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comments11.xml" ContentType="application/vnd.openxmlformats-officedocument.spreadsheetml.comments+xml"/>
  <Override PartName="/xl/comments5.xml" ContentType="application/vnd.openxmlformats-officedocument.spreadsheetml.comments+xml"/>
  <Override PartName="/xl/drawings/vmlDrawing7.vml" ContentType="application/vnd.openxmlformats-officedocument.vmlDrawing"/>
  <Override PartName="/xl/drawings/vmlDrawing6.vml" ContentType="application/vnd.openxmlformats-officedocument.vmlDrawing"/>
  <Override PartName="/xl/drawings/drawing34.xml" ContentType="application/vnd.openxmlformats-officedocument.drawing+xml"/>
  <Override PartName="/xl/drawings/vmlDrawing5.vml" ContentType="application/vnd.openxmlformats-officedocument.vmlDrawing"/>
  <Override PartName="/xl/drawings/vmlDrawing4.vml" ContentType="application/vnd.openxmlformats-officedocument.vmlDrawing"/>
  <Override PartName="/xl/drawings/drawing26.xml" ContentType="application/vnd.openxmlformats-officedocument.drawing+xml"/>
  <Override PartName="/xl/drawings/vmlDrawing10.vml" ContentType="application/vnd.openxmlformats-officedocument.vmlDrawing"/>
  <Override PartName="/xl/drawings/vmlDrawing9.vml" ContentType="application/vnd.openxmlformats-officedocument.vmlDrawing"/>
  <Override PartName="/xl/drawings/drawing23.xml" ContentType="application/vnd.openxmlformats-officedocument.drawing+xml"/>
  <Override PartName="/xl/drawings/drawing35.xml" ContentType="application/vnd.openxmlformats-officedocument.drawing+xml"/>
  <Override PartName="/xl/drawings/drawing42.xml" ContentType="application/vnd.openxmlformats-officedocument.drawing+xml"/>
  <Override PartName="/xl/drawings/vmlDrawing8.vml" ContentType="application/vnd.openxmlformats-officedocument.vmlDrawing"/>
  <Override PartName="/xl/drawings/drawing39.xml" ContentType="application/vnd.openxmlformats-officedocument.drawing+xml"/>
  <Override PartName="/xl/drawings/drawing45.xml" ContentType="application/vnd.openxmlformats-officedocument.drawing+xml"/>
  <Override PartName="/xl/drawings/drawing1.xml" ContentType="application/vnd.openxmlformats-officedocument.drawing+xml"/>
  <Override PartName="/xl/drawings/vmlDrawing3.vml" ContentType="application/vnd.openxmlformats-officedocument.vmlDrawing"/>
  <Override PartName="/xl/drawings/vmlDrawing1.vml" ContentType="application/vnd.openxmlformats-officedocument.vmlDrawing"/>
  <Override PartName="/xl/drawings/vmlDrawing2.vml" ContentType="application/vnd.openxmlformats-officedocument.vmlDrawing"/>
  <Override PartName="/xl/drawings/drawing24.xml" ContentType="application/vnd.openxmlformats-officedocument.drawing+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5.xml" ContentType="application/vnd.ms-excel.controlproperties+xml"/>
  <Override PartName="/xl/ctrlProps/ctrlProps22.xml" ContentType="application/vnd.ms-excel.controlproperties+xml"/>
  <Override PartName="/xl/ctrlProps/ctrlProps9.xml" ContentType="application/vnd.ms-excel.controlproperties+xml"/>
  <Override PartName="/xl/ctrlProps/ctrlProps21.xml" ContentType="application/vnd.ms-excel.controlproperties+xml"/>
  <Override PartName="/xl/ctrlProps/ctrlProps8.xml" ContentType="application/vnd.ms-excel.controlproperties+xml"/>
  <Override PartName="/xl/ctrlProps/ctrlProps19.xml" ContentType="application/vnd.ms-excel.controlproperties+xml"/>
  <Override PartName="/xl/ctrlProps/ctrlProps2.xml" ContentType="application/vnd.ms-excel.controlproperties+xml"/>
  <Override PartName="/xl/ctrlProps/ctrlProps52.xml" ContentType="application/vnd.ms-excel.controlproperties+xml"/>
  <Override PartName="/xl/ctrlProps/ctrlProps11.xml" ContentType="application/vnd.ms-excel.controlproperties+xml"/>
  <Override PartName="/xl/ctrlProps/ctrlProps48.xml" ContentType="application/vnd.ms-excel.controlproperties+xml"/>
  <Override PartName="/xl/ctrlProps/ctrlProps3.xml" ContentType="application/vnd.ms-excel.controlproperties+xml"/>
  <Override PartName="/xl/ctrlProps/ctrlProps53.xml" ContentType="application/vnd.ms-excel.controlproperties+xml"/>
  <Override PartName="/xl/ctrlProps/ctrlProps36.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18.xml" ContentType="application/vnd.ms-excel.controlproperties+xml"/>
  <Override PartName="/xl/ctrlProps/ctrlProps41.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7.xml" ContentType="application/vnd.ms-excel.controlproperties+xml"/>
  <Override PartName="/xl/ctrlProps/ctrlProps10.xml" ContentType="application/vnd.ms-excel.controlproperties+xml"/>
  <Override PartName="/xl/ctrlProps/ctrlProps46.xml" ContentType="application/vnd.ms-excel.controlproperties+xml"/>
  <Override PartName="/xl/ctrlProps/ctrlProps50.xml" ContentType="application/vnd.ms-excel.controlproperties+xml"/>
  <Override PartName="/xl/ctrlProps/ctrlProps13.xml" ContentType="application/vnd.ms-excel.controlproperties+xml"/>
  <Override PartName="/xl/ctrlProps/ctrlProps51.xml" ContentType="application/vnd.ms-excel.controlproperties+xml"/>
  <Override PartName="/xl/ctrlProps/ctrlProps14.xml" ContentType="application/vnd.ms-excel.controlproperties+xml"/>
  <Override PartName="/xl/ctrlProps/ctrlProps55.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7.xml" ContentType="application/vnd.ms-excel.controlproperties+xml"/>
  <Override PartName="/xl/ctrlProps/ctrlProps4.xml" ContentType="application/vnd.ms-excel.controlproperties+xml"/>
  <Override PartName="/xl/ctrlProps/ctrlProps54.xml" ContentType="application/vnd.ms-excel.controlproperties+xml"/>
  <Override PartName="/xl/ctrlProps/ctrlProps20.xml" ContentType="application/vnd.ms-excel.controlproperties+xml"/>
  <Override PartName="/xl/ctrlProps/ctrlProps57.xml" ContentType="application/vnd.ms-excel.controlproperties+xml"/>
  <Override PartName="/xl/ctrlProps/ctrlProps7.xml" ContentType="application/vnd.ms-excel.controlproperties+xml"/>
  <Override PartName="/xl/ctrlProps/ctrlProps16.xml" ContentType="application/vnd.ms-excel.controlproperties+xml"/>
  <Override PartName="/xl/ctrlProps/ctrlProps56.xml" ContentType="application/vnd.ms-excel.controlproperties+xml"/>
  <Override PartName="/xl/ctrlProps/ctrlProps6.xml" ContentType="application/vnd.ms-excel.controlproperties+xml"/>
  <Override PartName="/xl/ctrlProps/ctrlProps15.xml" ContentType="application/vnd.ms-excel.controlproperties+xml"/>
  <Override PartName="/xl/sharedStrings.xml" ContentType="application/vnd.openxmlformats-officedocument.spreadsheetml.sharedStrings+xml"/>
  <Override PartName="/xl/externalLinks/_rels/externalLink2.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9.xml" ContentType="application/vnd.openxmlformats-officedocument.spreadsheetml.comments+xml"/>
  <Override PartName="/xl/worksheets/_rels/sheet16.xml.rels" ContentType="application/vnd.openxmlformats-package.relationships+xml"/>
  <Override PartName="/xl/worksheets/_rels/sheet15.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8.xml.rels" ContentType="application/vnd.openxmlformats-package.relationships+xml"/>
  <Override PartName="/xl/worksheets/_rels/sheet14.xml.rels" ContentType="application/vnd.openxmlformats-package.relationships+xml"/>
  <Override PartName="/xl/worksheets/_rels/sheet5.xml.rels" ContentType="application/vnd.openxmlformats-package.relationships+xml"/>
  <Override PartName="/xl/worksheets/_rels/sheet11.xml.rels" ContentType="application/vnd.openxmlformats-package.relationships+xml"/>
  <Override PartName="/xl/worksheets/_rels/sheet6.xml.rels" ContentType="application/vnd.openxmlformats-package.relationships+xml"/>
  <Override PartName="/xl/worksheets/sheet11.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theme/theme1.xml" ContentType="application/vnd.openxmlformats-officedocument.theme+xml"/>
  <Override PartName="/xl/comments7.xml" ContentType="application/vnd.openxmlformats-officedocument.spreadsheetml.comments+xml"/>
  <Override PartName="/xl/workbook.xml" ContentType="application/vnd.openxmlformats-officedocument.spreadsheetml.sheet.main+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MAIN" sheetId="1" state="visible" r:id="rId3"/>
    <sheet name="Henwood Reference" sheetId="2" state="visible" r:id="rId4"/>
    <sheet name="Tejon" sheetId="3" state="visible" r:id="rId5"/>
    <sheet name="Returns" sheetId="4" state="visible" r:id="rId6"/>
    <sheet name="Budget" sheetId="5" state="visible" r:id="rId7"/>
    <sheet name="Debt" sheetId="6" state="visible" r:id="rId8"/>
    <sheet name="Assumptions" sheetId="7" state="visible" r:id="rId9"/>
    <sheet name="Template" sheetId="8" state="visible" r:id="rId10"/>
    <sheet name="Gas Curves" sheetId="9" state="visible" r:id="rId11"/>
    <sheet name="Curve Paste" sheetId="10" state="visible" r:id="rId12"/>
    <sheet name="CALC" sheetId="11" state="visible" r:id="rId13"/>
    <sheet name="TAKE" sheetId="12" state="visible" r:id="rId14"/>
    <sheet name="Iterbox" sheetId="13" state="hidden" r:id="rId15"/>
    <sheet name="InpBox" sheetId="14" state="hidden" r:id="rId16"/>
    <sheet name="GoToBox" sheetId="15" state="hidden" r:id="rId17"/>
    <sheet name="PrintBox" sheetId="16" state="hidden" r:id="rId18"/>
    <sheet name="Take Function" sheetId="17" state="hidden" r:id="rId19"/>
    <sheet name="Fetching Macros" sheetId="18" state="hidden" r:id="rId20"/>
    <sheet name="Pricing Macros" sheetId="19" state="hidden" r:id="rId21"/>
    <sheet name="Date Functions" sheetId="20" state="hidden" r:id="rId22"/>
  </sheets>
  <externalReferences>
    <externalReference r:id="rId23"/>
    <externalReference r:id="rId24"/>
  </externalReferences>
  <definedNames>
    <definedName function="false" hidden="false" localSheetId="6" name="_xlnm.Print_Area" vbProcedure="false">Assumptions!$A$1:$M$77</definedName>
    <definedName function="false" hidden="false" localSheetId="4" name="_xlnm.Print_Area" vbProcedure="false">Budget!$A$59:$J$95</definedName>
    <definedName function="false" hidden="false" localSheetId="10" name="_xlnm.Print_Area" vbProcedure="false">CALC!$A$12:$GR$61</definedName>
    <definedName function="false" hidden="false" localSheetId="10" name="_xlnm.Print_Titles" vbProcedure="false">CALC!$A:$A</definedName>
    <definedName function="false" hidden="false" localSheetId="5" name="_xlnm.Print_Area" vbProcedure="false">Debt!$A$1:$V$131</definedName>
    <definedName function="false" hidden="false" localSheetId="0" name="_xlnm.Print_Area" vbProcedure="false">MAIN!$B$1:$AN$57</definedName>
    <definedName function="false" hidden="false" localSheetId="3" name="_xlnm.Print_Area" vbProcedure="false">Returns!$A$1:$Y$24</definedName>
    <definedName function="false" hidden="false" localSheetId="2" name="_xlnm.Print_Area" vbProcedure="false">Tejon!$A$7:$X$29</definedName>
    <definedName function="false" hidden="false" localSheetId="7" name="_xlnm.Print_Area" vbProcedure="false">Template!$A$4:$AC$261</definedName>
    <definedName function="false" hidden="false" localSheetId="7" name="_xlnm.Print_Titles" vbProcedure="false">Template!$4:$5</definedName>
    <definedName function="false" hidden="false" name="ASSET_SALES" vbProcedure="false">Template!$A$609:$X$622</definedName>
    <definedName function="false" hidden="false" name="AvailDays" vbProcedure="false">CALC!$AT$17:$AW$292</definedName>
    <definedName function="false" hidden="false" name="BasisIndex" vbProcedure="false">MAIN!$AX$18:$AX$31</definedName>
    <definedName function="false" hidden="false" name="BasisNumber" vbProcedure="false">MAIN!$AX$16</definedName>
    <definedName function="false" hidden="false" name="BasisTable" vbProcedure="false">'Curve Paste'!$BQ$40:$BR$316</definedName>
    <definedName function="false" hidden="false" name="BegDate" vbProcedure="false">MAIN!$C$11</definedName>
    <definedName function="false" hidden="false" name="BegMonth" vbProcedure="false">MAIN!$AT$50</definedName>
    <definedName function="false" hidden="false" name="BegYear" vbProcedure="false">MAIN!$AT$51</definedName>
    <definedName function="false" hidden="false" name="BS" vbProcedure="false">Template!$A$367:$AC$410</definedName>
    <definedName function="false" hidden="false" name="CalcMode" vbProcedure="false">MAIN!$AT$53</definedName>
    <definedName function="false" hidden="false" name="CAP1" vbProcedure="false">Template!$A$412:$X$432</definedName>
    <definedName function="false" hidden="false" name="CAP2" vbProcedure="false">Template!$A$421:$X$433</definedName>
    <definedName function="false" hidden="false" name="CAP_TFF_FEES" vbProcedure="false">Template!$A$412:$AC$481</definedName>
    <definedName function="false" hidden="false" name="CASH" vbProcedure="false">Template!$I$362:$AF$364</definedName>
    <definedName function="false" hidden="false" name="CASH1" vbProcedure="false">Template!$I$362:$I$364</definedName>
    <definedName function="false" hidden="false" name="CASH2" vbProcedure="false">Template!$G$362:$G$364</definedName>
    <definedName function="false" hidden="false" name="CASHA" vbProcedure="false">Template!$I$362</definedName>
    <definedName function="false" hidden="false" name="CASHB" vbProcedure="false">Template!$I$363</definedName>
    <definedName function="false" hidden="false" name="CASHC" vbProcedure="false">Template!$I$364</definedName>
    <definedName function="false" hidden="false" name="CBidOfferVolSpreadFlag" vbProcedure="false">MAIN!$AP$26</definedName>
    <definedName function="false" hidden="false" name="CBuySell" vbProcedure="false">MAIN!$AP$24</definedName>
    <definedName function="false" hidden="false" name="CCapVolCurve" vbProcedure="false">MAIN!$AP$31</definedName>
    <definedName function="false" hidden="false" name="CFloorVolCurve" vbProcedure="false">MAIN!$AP$30</definedName>
    <definedName function="false" hidden="false" name="CombineTakesFlag" vbProcedure="false">MAIN!$AP$13</definedName>
    <definedName function="false" hidden="false" name="CorrPeakOffPeak" vbProcedure="false">MAIN!$C$32</definedName>
    <definedName function="false" hidden="false" name="CorrPeakOffPeakOver" vbProcedure="false">MAIN!$Q$27:$Q$38</definedName>
    <definedName function="false" hidden="false" name="CorrPeakOffPeakOverFlag" vbProcedure="false">MAIN!$AP$34</definedName>
    <definedName function="false" hidden="false" name="CorrPowerGas" vbProcedure="false">MAIN!$C$33</definedName>
    <definedName function="false" hidden="false" name="CorrPowerGasOver" vbProcedure="false">MAIN!$R$27:$R$38</definedName>
    <definedName function="false" hidden="false" name="CorrPowerGasOverFlag" vbProcedure="false">MAIN!$AP$35</definedName>
    <definedName function="false" hidden="false" name="CPriceCurve" vbProcedure="false">MAIN!$AP$28</definedName>
    <definedName function="false" hidden="false" name="CSpec" vbProcedure="false">MAIN!$AP$25</definedName>
    <definedName function="false" hidden="false" name="CurveDate" vbProcedure="false">MAIN!$C$7</definedName>
    <definedName function="false" hidden="false" name="CustomHoFlag" vbProcedure="false">MAIN!$AT$19</definedName>
    <definedName function="false" hidden="false" name="CustomHoPeriod" vbProcedure="false">MAIN!$AU$19</definedName>
    <definedName function="false" hidden="false" name="CustomMFFlag" vbProcedure="false">MAIN!$AT$16</definedName>
    <definedName function="false" hidden="false" name="CustomMFPeriod" vbProcedure="false">MAIN!$AU$16</definedName>
    <definedName function="false" hidden="false" name="CustomSaFlag" vbProcedure="false">MAIN!$AT$17</definedName>
    <definedName function="false" hidden="false" name="CustomSaPeriod" vbProcedure="false">MAIN!$AU$17</definedName>
    <definedName function="false" hidden="false" name="CustomSuFlag" vbProcedure="false">MAIN!$AT$18</definedName>
    <definedName function="false" hidden="false" name="CustomSuPeriod" vbProcedure="false">MAIN!$AU$18</definedName>
    <definedName function="false" hidden="false" name="CVolSmile" vbProcedure="false">MAIN!$AP$29</definedName>
    <definedName function="false" hidden="false" name="CVolType" vbProcedure="false">MAIN!$AP$27</definedName>
    <definedName function="false" hidden="false" name="DailyScalarsTable" vbProcedure="false">'Curve Paste'!$AT$11:$BE$34</definedName>
    <definedName function="false" hidden="false" name="DateToday" vbProcedure="false">MAIN!$C$6</definedName>
    <definedName function="false" hidden="false" name="DEBTSCHED_THRU_TAXAS" vbProcedure="false">Template!$A$561:$AC$631</definedName>
    <definedName function="false" hidden="false" name="Debt_Sched" vbProcedure="false">Template!$A$561:$X$580</definedName>
    <definedName function="false" hidden="false" name="Debt_Term" vbProcedure="false">MAIN!$K$63</definedName>
    <definedName function="false" hidden="false" name="DEFREV" vbProcedure="false">Template!$I$415:$AF$416</definedName>
    <definedName function="false" hidden="false" name="DEFREV1" vbProcedure="false">Template!$I$415:$I$416</definedName>
    <definedName function="false" hidden="false" name="DEFREV2" vbProcedure="false">Template!$G$415:$G$416</definedName>
    <definedName function="false" hidden="false" name="DEFREVA" vbProcedure="false">Template!$I$415</definedName>
    <definedName function="false" hidden="false" name="DEFREVB" vbProcedure="false">Template!$I$416</definedName>
    <definedName function="false" hidden="false" name="DiffOptVolume" vbProcedure="false">MAIN!$I$7</definedName>
    <definedName function="false" hidden="false" name="DiffOptVolumeFlag" vbProcedure="false">MAIN!$AP$8</definedName>
    <definedName function="false" hidden="false" name="DiffOptVolumeHourlyOver" vbProcedure="false">MAIN!$V$34:$Y$57</definedName>
    <definedName function="false" hidden="false" name="DiffOptVolumeMonthlyOver" vbProcedure="false">MAIN!$Q$8:$Q$19</definedName>
    <definedName function="false" hidden="false" name="DILUTION" vbProcedure="false">Template!$A$723:$S$736</definedName>
    <definedName function="false" hidden="false" name="driftswitch" vbProcedure="false">#REF!</definedName>
    <definedName function="false" hidden="false" name="EmbeddedOrigination" vbProcedure="false">MAIN!$L$29</definedName>
    <definedName function="false" hidden="false" name="EndDate" vbProcedure="false">MAIN!$C$12</definedName>
    <definedName function="false" hidden="false" name="FASB" vbProcedure="false">Template!$A$748:$AC$780</definedName>
    <definedName function="false" hidden="false" name="FINFEE1A" vbProcedure="false">Template!$I$303</definedName>
    <definedName function="false" hidden="false" name="FINFEE2A" vbProcedure="false">Template!$J$303</definedName>
    <definedName function="false" hidden="false" name="FirmHol" vbProcedure="false">TAKE!$AF$47:$BH$58</definedName>
    <definedName function="false" hidden="false" name="FirmSat" vbProcedure="false">TAKE!$AF$19:$BH$30</definedName>
    <definedName function="false" hidden="false" name="FirmSun" vbProcedure="false">TAKE!$AF$33:$BH$44</definedName>
    <definedName function="false" hidden="false" name="FirmWeek" vbProcedure="false">TAKE!$AF$5:$BH$16</definedName>
    <definedName function="false" hidden="false" name="FundsFlow" vbProcedure="false">Template!$A$448:$X$468</definedName>
    <definedName function="false" hidden="false" name="GasFirstMonth" vbProcedure="false">'Gas Curves'!$F$6</definedName>
    <definedName function="false" hidden="false" name="GasPriceCurve" vbProcedure="false">MAIN!$AP$32</definedName>
    <definedName function="false" hidden="false" name="GasTable" vbProcedure="false">'Gas Curves'!$A$6:$N$289</definedName>
    <definedName function="false" hidden="false" name="GasTransportPercent" vbProcedure="false">Assumptions!$L$33</definedName>
    <definedName function="false" hidden="false" name="GasVolAsPercentOfNYMEX" vbProcedure="false">[1]MAIN!$F$32</definedName>
    <definedName function="false" hidden="false" name="GasVolCurve" vbProcedure="false">MAIN!$AP$33</definedName>
    <definedName function="false" hidden="false" name="GasVolOver" vbProcedure="false">[1]MAIN!$F$34</definedName>
    <definedName function="false" hidden="false" name="GasVolSpread" vbProcedure="false">[1]MAIN!$F$33</definedName>
    <definedName function="false" hidden="false" name="HeatRateDegradation" vbProcedure="false">MAIN!$AA$59:$AM$80</definedName>
    <definedName function="false" hidden="false" name="HeatRateOffPeak" vbProcedure="false">HeatRatePeak*MAIN!$F$27</definedName>
    <definedName function="false" hidden="false" name="HeatRatePeak" vbProcedure="false">MAIN!$F$26</definedName>
    <definedName function="false" hidden="false" name="Holidays" vbProcedure="false">CALC!$D$17:$D$292</definedName>
    <definedName function="false" hidden="false" name="INCTAX" vbProcedure="false">Template!$A$634:$AC$676</definedName>
    <definedName function="false" hidden="false" name="INPUT" vbProcedure="false">Template!$A$434:$S$633</definedName>
    <definedName function="false" hidden="false" name="INT" vbProcedure="false">Template!$A$581:$S$595</definedName>
    <definedName function="false" hidden="false" name="INTEXP" vbProcedure="false">Template!$K$305:$AF$305</definedName>
    <definedName function="false" hidden="false" name="INTEXP1" vbProcedure="false">Template!$I$305</definedName>
    <definedName function="false" hidden="false" name="INTEXP1A" vbProcedure="false">Template!$I$304</definedName>
    <definedName function="false" hidden="false" name="INTEXP2" vbProcedure="false">Template!$J$305</definedName>
    <definedName function="false" hidden="false" name="INTEXP2A" vbProcedure="false">Template!$J$304</definedName>
    <definedName function="false" hidden="false" name="INTINC" vbProcedure="false">Template!$J$300:$AF$300</definedName>
    <definedName function="false" hidden="false" name="INTINC1" vbProcedure="false">Template!$I$300</definedName>
    <definedName function="false" hidden="false" name="INTINC1A" vbProcedure="false">Template!$I$299</definedName>
    <definedName function="false" hidden="false" name="INTINC2" vbProcedure="false">Template!$J$300</definedName>
    <definedName function="false" hidden="false" name="INTINC2A" vbProcedure="false">Template!$J$299</definedName>
    <definedName function="false" hidden="false" name="IRFirstMonth" vbProcedure="false">'Curve Paste'!$A$3</definedName>
    <definedName function="false" hidden="false" name="IRTable" vbProcedure="false">'Curve Paste'!$A$3:$B$279</definedName>
    <definedName function="false" hidden="false" name="IS" vbProcedure="false">Template!$A$283:$AC$322</definedName>
    <definedName function="false" hidden="false" name="iterprec" vbProcedure="false">Template!$B$2</definedName>
    <definedName function="false" hidden="false" name="iterx" vbProcedure="false">Template!$A$2</definedName>
    <definedName function="false" hidden="false" name="K" vbProcedure="false">Template!$I$414:$AF$419</definedName>
    <definedName function="false" hidden="false" name="KA" vbProcedure="false">Template!$I$414:$I$419</definedName>
    <definedName function="false" hidden="false" name="KB" vbProcedure="false">Template!$F$414:$F$419</definedName>
    <definedName function="false" hidden="false" name="LastDateOfMonthlyVol" vbProcedure="false">#REF!</definedName>
    <definedName function="false" hidden="false" name="MaxMWTable" vbProcedure="false">TAKE!$CP$5:$CQ$16</definedName>
    <definedName function="false" hidden="false" name="MonthKnockOutTable" vbProcedure="false">MAIN!$AP$40:$AP$51</definedName>
    <definedName function="false" hidden="false" name="MostExpFlag" vbProcedure="false">MAIN!$AP$11</definedName>
    <definedName function="false" hidden="false" name="OBuySell" vbProcedure="false">MAIN!$AP$18</definedName>
    <definedName function="false" hidden="false" name="OCallPut" vbProcedure="false">MAIN!$AP$19</definedName>
    <definedName function="false" hidden="false" name="OffPeakPeriod" vbProcedure="false">MAIN!$AU$7</definedName>
    <definedName function="false" hidden="false" name="OImpVol" vbProcedure="false">MAIN!$L$26</definedName>
    <definedName function="false" hidden="false" name="OmicronIndex" vbProcedure="false">MAIN!$AW$35:$AW$44</definedName>
    <definedName function="false" hidden="false" name="OmicronNumber" vbProcedure="false">MAIN!$BA$34</definedName>
    <definedName function="false" hidden="false" name="OPCO" vbProcedure="false">Template!$A$4:$AC$261</definedName>
    <definedName function="false" hidden="false" name="OPENBS" vbProcedure="false">Template!$A$483:$S$524</definedName>
    <definedName function="false" hidden="false" name="OPENBS_WC" vbProcedure="false">Template!$A$483:$AC$552</definedName>
    <definedName function="false" hidden="false" name="OPriceCurve" vbProcedure="false">MAIN!$AP$20</definedName>
    <definedName function="false" hidden="false" name="OptExpDateShift" vbProcedure="false">MAIN!$R$21</definedName>
    <definedName function="false" hidden="false" name="OptHol" vbProcedure="false">TAKE!$BK$47:$CM$58</definedName>
    <definedName function="false" hidden="false" name="OptSat" vbProcedure="false">TAKE!$BK$19:$CM$30</definedName>
    <definedName function="false" hidden="false" name="OptSun" vbProcedure="false">TAKE!$BK$33:$CM$44</definedName>
    <definedName function="false" hidden="false" name="OptWeek" vbProcedure="false">TAKE!$BK$5:$CM$16</definedName>
    <definedName function="false" hidden="false" name="OrderedPrices" vbProcedure="false">TAKE!$F$37:$AC$48</definedName>
    <definedName function="false" hidden="false" name="OrderedPricesSat" vbProcedure="false">TAKE!$F$53:$AC$64</definedName>
    <definedName function="false" hidden="false" name="OrderedPricesSun" vbProcedure="false">TAKE!$F$69:$AC$80</definedName>
    <definedName function="false" hidden="false" name="OrderedScalars" vbProcedure="false">TAKE!$F$21:$AC$32</definedName>
    <definedName function="false" hidden="false" name="OTake" vbProcedure="false">MAIN!$F$6</definedName>
    <definedName function="false" hidden="false" name="Other_Inc" vbProcedure="false">Template!$A$598:$S$606</definedName>
    <definedName function="false" hidden="false" name="OVolCurve" vbProcedure="false">MAIN!$AP$21</definedName>
    <definedName function="false" hidden="false" name="OVolOverDailyOffPeak" vbProcedure="false">MAIN!$F$19</definedName>
    <definedName function="false" hidden="false" name="OVolOverDailyPeak" vbProcedure="false">MAIN!$F$18</definedName>
    <definedName function="false" hidden="false" name="OVolOverMonthlyOffPeak" vbProcedure="false">MAIN!$F$17</definedName>
    <definedName function="false" hidden="false" name="OVolOverMonthlyPeak" vbProcedure="false">MAIN!$F$16</definedName>
    <definedName function="false" hidden="false" name="OVolSmile" vbProcedure="false">MAIN!$AP$23</definedName>
    <definedName function="false" hidden="false" name="OVolType" vbProcedure="false">MAIN!$AP$22</definedName>
    <definedName function="false" hidden="false" name="PeakEnd" vbProcedure="false">'Curve Paste'!$AU$7</definedName>
    <definedName function="false" hidden="false" name="PeakPeriod" vbProcedure="false">MAIN!$AU$6</definedName>
    <definedName function="false" hidden="false" name="PeakStart" vbProcedure="false">'Curve Paste'!$AT$7</definedName>
    <definedName function="false" hidden="false" name="PlannedOutages" vbProcedure="false">CALC!$AY$17:$AY$299</definedName>
    <definedName function="false" hidden="false" name="Plantstart" vbProcedure="false">MAIN!$C$59</definedName>
    <definedName function="false" hidden="false" name="PositionBasis" vbProcedure="false">#REF!</definedName>
    <definedName function="false" hidden="false" name="PositionRegion" vbProcedure="false">'Curve Paste'!$D$3</definedName>
    <definedName function="false" hidden="false" name="PriceEsc" vbProcedure="false">MAIN!$L$7</definedName>
    <definedName function="false" hidden="false" name="PriceEscType" vbProcedure="false">MAIN!$AP$10</definedName>
    <definedName function="false" hidden="false" name="PriceTable" vbProcedure="false">'Curve Paste'!$D$40:$K$316</definedName>
    <definedName function="false" hidden="false" name="PriceTableWeekend" vbProcedure="false">'Curve Paste'!$M$9:$T$313</definedName>
    <definedName function="false" hidden="false" name="RankOffPeak" vbProcedure="false">TAKE!$V$5:$AC$16</definedName>
    <definedName function="false" hidden="false" name="RankPeak" vbProcedure="false">TAKE!$F$5:$U$16</definedName>
    <definedName function="false" hidden="false" name="RegionIndex" vbProcedure="false">MAIN!$AU$23:$AU$47</definedName>
    <definedName function="false" hidden="false" name="RegionNumber" vbProcedure="false">MAIN!$AU$21</definedName>
    <definedName function="false" hidden="false" name="REPAY" vbProcedure="false">Template!$A$561:$S$580</definedName>
    <definedName function="false" hidden="false" name="SBuySell" vbProcedure="false">MAIN!$AP$14</definedName>
    <definedName function="false" hidden="false" name="ScalarsOrderedOffPeak" vbProcedure="false">TAKE!$V$21:$AC$32</definedName>
    <definedName function="false" hidden="false" name="ScalarsOrderedPeak" vbProcedure="false">TAKE!$F$21:$U$32</definedName>
    <definedName function="false" hidden="false" name="SOBuySell" vbProcedure="false">MAIN!$AP$15</definedName>
    <definedName function="false" hidden="false" name="SOCallPut" vbProcedure="false">MAIN!$AP$16</definedName>
    <definedName function="false" hidden="false" name="SOPriceCurve" vbProcedure="false">MAIN!$AP$17</definedName>
    <definedName function="false" hidden="false" name="SpreadOptPowerMargin" vbProcedure="false">MAIN!$F$28+MAIN!$F$29</definedName>
    <definedName function="false" hidden="false" name="STake" vbProcedure="false">MAIN!$F$5</definedName>
    <definedName function="false" hidden="false" name="S_U" vbProcedure="false">Template!$A$327:$AC$365</definedName>
    <definedName function="false" hidden="false" name="TakeType" vbProcedure="false">MAIN!$AP$12</definedName>
    <definedName function="false" hidden="false" name="TAX" vbProcedure="false">Template!$A$625:$S$629</definedName>
    <definedName function="false" hidden="false" name="TDATE" vbProcedure="false">Template!$C$437</definedName>
    <definedName function="false" hidden="false" name="TRANSACTION_FEES" vbProcedure="false">Template!$A$471:$T$480</definedName>
    <definedName function="false" hidden="false" name="VAL" vbProcedure="false">Template!$A$680:$AC$721</definedName>
    <definedName function="false" hidden="false" name="VolatilityTable" vbProcedure="false">'Curve Paste'!$M$9:$AN$294</definedName>
    <definedName function="false" hidden="false" name="VolSmileBook" vbProcedure="false">'Curve Paste'!$AS$37:$AT$57</definedName>
    <definedName function="false" hidden="false" name="VolSmileModel" vbProcedure="false">#REF!</definedName>
    <definedName function="false" hidden="false" name="VolTableDailyOffPeak" vbProcedure="false">#REF!</definedName>
    <definedName function="false" hidden="false" name="VolTableDailyPeak" vbProcedure="false">#REF!</definedName>
    <definedName function="false" hidden="false" name="VolTableDailyPeakSat" vbProcedure="false">#REF!</definedName>
    <definedName function="false" hidden="false" name="VolTableDailyPeakSun" vbProcedure="false">#REF!</definedName>
    <definedName function="false" hidden="false" name="VolTableMonthlyOffPeak" vbProcedure="false">#REF!</definedName>
    <definedName function="false" hidden="false" name="VolTableMonthlyPeak" vbProcedure="false">#REF!</definedName>
    <definedName function="false" hidden="false" name="VolTableMonthlyPeakSat" vbProcedure="false">#REF!</definedName>
    <definedName function="false" hidden="false" name="VolTableMonthlyPeakSun" vbProcedure="false">#REF!</definedName>
    <definedName function="false" hidden="false" name="VolTableYearlyOffPeak" vbProcedure="false">#REF!</definedName>
    <definedName function="false" hidden="false" name="VolTableYearlyPeak" vbProcedure="false">#REF!</definedName>
    <definedName function="false" hidden="false" name="VolTableYearlyPeakSat" vbProcedure="false">#REF!</definedName>
    <definedName function="false" hidden="false" name="VolTableYearlyPeakSun" vbProcedure="false">#REF!</definedName>
    <definedName function="false" hidden="false" name="Volume" vbProcedure="false">MAIN!$I$5</definedName>
    <definedName function="false" hidden="false" name="VolumeEsc" vbProcedure="false">MAIN!$L$5</definedName>
    <definedName function="false" hidden="false" name="VolumeEscType" vbProcedure="false">MAIN!$AP$9</definedName>
    <definedName function="false" hidden="false" name="VolumeHourlyOver" vbProcedure="false">MAIN!$V$7:$Y$30</definedName>
    <definedName function="false" hidden="false" name="VolumeMonthlyOver" vbProcedure="false">MAIN!$P$8:$P$19</definedName>
    <definedName function="false" hidden="false" name="VolumeMonthlyOverFlag" vbProcedure="false">MAIN!$AP$7</definedName>
    <definedName function="false" hidden="false" name="waitime" vbProcedure="false">Template!$A$3</definedName>
    <definedName function="false" hidden="false" name="WC" vbProcedure="false">Template!$A$528:$S$560</definedName>
    <definedName function="false" hidden="false" name="WeatherCapacityAdjustment" vbProcedure="false">MAIN!$AA$84:$AC$95</definedName>
    <definedName function="false" hidden="false" name="WeatherHeatRateAdjustment" vbProcedure="false">MAIN!$AG$84:$AI$95</definedName>
    <definedName function="false" hidden="false" name="WeekDef" vbProcedure="false">MAIN!$AS$7</definedName>
    <definedName function="false" hidden="false" name="YearOffset" vbProcedure="false">[2]OffsetLookup!$B$6:$D$27</definedName>
    <definedName function="false" hidden="false" name="ZA0" vbProcedure="false">"Crystal Ball Data : Ver. 4.0"</definedName>
    <definedName function="false" hidden="false" name="ZA0A" vbProcedure="false">479+842</definedName>
    <definedName function="false" hidden="false" name="ZA0C" vbProcedure="false">0+0</definedName>
    <definedName function="false" hidden="false" name="ZA0F" vbProcedure="false">2+109</definedName>
    <definedName function="false" hidden="false" name="ZA0T" vbProcedure="false">43347870+0</definedName>
    <definedName function="false" hidden="false" name="_Order1" vbProcedure="false">255</definedName>
    <definedName function="false" hidden="false" name="_Order2" vbProcedure="false">0</definedName>
    <definedName function="false" hidden="false" localSheetId="7" name="curr2" vbProcedure="false">Template!$D$134</definedName>
    <definedName function="false" hidden="false" localSheetId="7" name="output" vbProcedure="false">Template!$E$265:$Y$275</definedName>
    <definedName function="false" hidden="false" localSheetId="7" name="stub" vbProcedure="false">Template!$H$278</definedName>
    <definedName function="false" hidden="false" localSheetId="7" name="TIT" vbProcedure="false">Template!$F$5</definedName>
  </definedNames>
  <calcPr iterateCount="3" refMode="A1" iterate="true" iterateDelta="0.001"/>
  <extLst>
    <ext xmlns:loext="http://schemas.libreoffice.org/" uri="{7626C862-2A13-11E5-B345-FEFF819CDC9F}">
      <loext:extCalcPr stringRefSyntax="CalcA1"/>
    </ext>
  </extLst>
</workbook>
</file>

<file path=xl/comments1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U13" authorId="0">
      <text>
        <r>
          <rPr>
            <b val="true"/>
            <sz val="8"/>
            <color rgb="FF000000"/>
            <rFont val="Tahoma"/>
            <family val="0"/>
          </rPr>
          <t xml:space="preserve">Dale Furrow:
</t>
        </r>
        <r>
          <rPr>
            <sz val="8"/>
            <color rgb="FF000000"/>
            <rFont val="Tahoma"/>
            <family val="0"/>
          </rPr>
          <t xml:space="preserve">Division by scalar is a result of dividing the take function by outage: corrects the resultant scalar</t>
        </r>
      </text>
      <mc:AlternateContent>
        <mc:Choice Requires="v2">
          <commentPr autoFill="true" autoScale="false" colHidden="false" locked="false" rowHidden="false" textHAlign="justify" textVAlign="top">
            <anchor moveWithCells="false" sizeWithCells="false">
              <xdr:from>
                <xdr:col>73</xdr:col>
                <xdr:colOff>25</xdr:colOff>
                <xdr:row>11</xdr:row>
                <xdr:rowOff>8</xdr:rowOff>
              </xdr:from>
              <xdr:to>
                <xdr:col>75</xdr:col>
                <xdr:colOff>38</xdr:colOff>
                <xdr:row>15</xdr:row>
                <xdr:rowOff>11</xdr:rowOff>
              </xdr:to>
            </anchor>
          </commentPr>
        </mc:Choice>
        <mc:Fallback/>
      </mc:AlternateContent>
    </comment>
    <comment ref="CT15" authorId="0">
      <text>
        <r>
          <rPr>
            <b val="true"/>
            <sz val="8"/>
            <color rgb="FF000000"/>
            <rFont val="Tahoma"/>
            <family val="0"/>
          </rPr>
          <t xml:space="preserve">Dale Furrow:
</t>
        </r>
        <r>
          <rPr>
            <sz val="8"/>
            <color rgb="FF000000"/>
            <rFont val="Tahoma"/>
            <family val="0"/>
          </rPr>
          <t xml:space="preserve">Supplemental is an hourly option, not basket
</t>
        </r>
      </text>
      <mc:AlternateContent>
        <mc:Choice Requires="v2">
          <commentPr autoFill="true" autoScale="false" colHidden="false" locked="false" rowHidden="false" textHAlign="justify" textVAlign="top">
            <anchor moveWithCells="false" sizeWithCells="false">
              <xdr:from>
                <xdr:col>98</xdr:col>
                <xdr:colOff>8</xdr:colOff>
                <xdr:row>13</xdr:row>
                <xdr:rowOff>7</xdr:rowOff>
              </xdr:from>
              <xdr:to>
                <xdr:col>99</xdr:col>
                <xdr:colOff>61</xdr:colOff>
                <xdr:row>17</xdr:row>
                <xdr:rowOff>11</xdr:rowOff>
              </xdr:to>
            </anchor>
          </commentPr>
        </mc:Choice>
        <mc:Fallback/>
      </mc:AlternateContent>
    </comment>
    <comment ref="DY16" authorId="0">
      <text>
        <r>
          <rPr>
            <b val="true"/>
            <sz val="8"/>
            <color rgb="FF000000"/>
            <rFont val="Tahoma"/>
            <family val="0"/>
          </rPr>
          <t xml:space="preserve">Dale Furrow:Original Code
</t>
        </r>
        <r>
          <rPr>
            <sz val="8"/>
            <color rgb="FF000000"/>
            <rFont val="Tahoma"/>
            <family val="0"/>
          </rPr>
          <t xml:space="preserve">IF(OVolType,IF(AND(CF17&gt;0,CT17&gt;0,DG17&gt;0,CU17&gt;0),newSPRDOPT(CF17,CT17,DA17,0,DG17,CU17,CV17,BT17*365.25,OCallPut,0),0),IF(BS17,(DH17*BH17+DI17*BI17+DJ17*BJ17+DK17*BK17)/BS17,0)) Now Only Hourly Option
</t>
        </r>
      </text>
      <mc:AlternateContent>
        <mc:Choice Requires="v2">
          <commentPr autoFill="true" autoScale="false" colHidden="false" locked="false" rowHidden="false" textHAlign="justify" textVAlign="top">
            <anchor moveWithCells="false" sizeWithCells="false">
              <xdr:from>
                <xdr:col>129</xdr:col>
                <xdr:colOff>36</xdr:colOff>
                <xdr:row>14</xdr:row>
                <xdr:rowOff>7</xdr:rowOff>
              </xdr:from>
              <xdr:to>
                <xdr:col>132</xdr:col>
                <xdr:colOff>68</xdr:colOff>
                <xdr:row>22</xdr:row>
                <xdr:rowOff>9</xdr:rowOff>
              </xdr:to>
            </anchor>
          </commentPr>
        </mc:Choice>
        <mc:Fallback/>
      </mc:AlternateContent>
    </comment>
    <comment ref="EX14" authorId="0">
      <text>
        <r>
          <rPr>
            <b val="true"/>
            <sz val="8"/>
            <color rgb="FF000000"/>
            <rFont val="Tahoma"/>
            <family val="0"/>
          </rPr>
          <t xml:space="preserve">Julie Lim:
</t>
        </r>
        <r>
          <rPr>
            <sz val="8"/>
            <color rgb="FF000000"/>
            <rFont val="Tahoma"/>
            <family val="0"/>
          </rPr>
          <t xml:space="preserve">Hourly Option Only</t>
        </r>
      </text>
      <mc:AlternateContent>
        <mc:Choice Requires="v2">
          <commentPr autoFill="true" autoScale="false" colHidden="false" locked="false" rowHidden="false" textHAlign="justify" textVAlign="top">
            <anchor moveWithCells="false" sizeWithCells="false">
              <xdr:from>
                <xdr:col>153</xdr:col>
                <xdr:colOff>17</xdr:colOff>
                <xdr:row>12</xdr:row>
                <xdr:rowOff>7</xdr:rowOff>
              </xdr:from>
              <xdr:to>
                <xdr:col>154</xdr:col>
                <xdr:colOff>14</xdr:colOff>
                <xdr:row>16</xdr:row>
                <xdr:rowOff>11</xdr:rowOff>
              </xdr:to>
            </anchor>
          </commentPr>
        </mc:Choice>
        <mc:Fallback/>
      </mc:AlternateContent>
    </comment>
    <comment ref="FC14" authorId="0">
      <text>
        <r>
          <rPr>
            <b val="true"/>
            <sz val="8"/>
            <color rgb="FF000000"/>
            <rFont val="Tahoma"/>
            <family val="0"/>
          </rPr>
          <t xml:space="preserve">Julie Lim:
</t>
        </r>
        <r>
          <rPr>
            <sz val="8"/>
            <color rgb="FF000000"/>
            <rFont val="Tahoma"/>
            <family val="0"/>
          </rPr>
          <t xml:space="preserve">Hourly Option Only</t>
        </r>
      </text>
      <mc:AlternateContent>
        <mc:Choice Requires="v2">
          <commentPr autoFill="true" autoScale="false" colHidden="false" locked="false" rowHidden="false" textHAlign="justify" textVAlign="top">
            <anchor moveWithCells="false" sizeWithCells="false">
              <xdr:from>
                <xdr:col>159</xdr:col>
                <xdr:colOff>8</xdr:colOff>
                <xdr:row>12</xdr:row>
                <xdr:rowOff>8</xdr:rowOff>
              </xdr:from>
              <xdr:to>
                <xdr:col>160</xdr:col>
                <xdr:colOff>-17</xdr:colOff>
                <xdr:row>16</xdr:row>
                <xdr:rowOff>12</xdr:rowOff>
              </xdr:to>
            </anchor>
          </commentPr>
        </mc:Choice>
        <mc:Fallback/>
      </mc:AlternateContent>
    </comment>
  </commentList>
</comments>
</file>

<file path=xl/comments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O25" authorId="0">
      <text>
        <r>
          <rPr>
            <b val="true"/>
            <sz val="8"/>
            <color rgb="FF000000"/>
            <rFont val="Tahoma"/>
            <family val="0"/>
          </rPr>
          <t xml:space="preserve">wcheng:
</t>
        </r>
        <r>
          <rPr>
            <sz val="8"/>
            <color rgb="FF000000"/>
            <rFont val="Tahoma"/>
            <family val="0"/>
          </rPr>
          <t xml:space="preserve">Chevron Nox option ($150) plus Aera VOC and Sox options ($203)</t>
        </r>
      </text>
      <mc:AlternateContent>
        <mc:Choice Requires="v2">
          <commentPr autoFill="true" autoScale="false" colHidden="false" locked="false" rowHidden="false" textHAlign="justify" textVAlign="top">
            <anchor moveWithCells="false" sizeWithCells="false">
              <xdr:from>
                <xdr:col>15</xdr:col>
                <xdr:colOff>16</xdr:colOff>
                <xdr:row>23</xdr:row>
                <xdr:rowOff>5</xdr:rowOff>
              </xdr:from>
              <xdr:to>
                <xdr:col>17</xdr:col>
                <xdr:colOff>11</xdr:colOff>
                <xdr:row>28</xdr:row>
                <xdr:rowOff>4</xdr:rowOff>
              </xdr:to>
            </anchor>
          </commentPr>
        </mc:Choice>
        <mc:Fallback/>
      </mc:AlternateContent>
    </comment>
    <comment ref="P25" authorId="0">
      <text>
        <r>
          <rPr>
            <b val="true"/>
            <sz val="8"/>
            <color rgb="FF000000"/>
            <rFont val="Tahoma"/>
            <family val="0"/>
          </rPr>
          <t xml:space="preserve">wcheng:
</t>
        </r>
        <r>
          <rPr>
            <sz val="8"/>
            <color rgb="FF000000"/>
            <rFont val="Tahoma"/>
            <family val="0"/>
          </rPr>
          <t xml:space="preserve">Chevron Nox credits ($3,435) plus commission ($120)</t>
        </r>
      </text>
      <mc:AlternateContent>
        <mc:Choice Requires="v2">
          <commentPr autoFill="true" autoScale="false" colHidden="false" locked="false" rowHidden="false" textHAlign="justify" textVAlign="top">
            <anchor moveWithCells="false" sizeWithCells="false">
              <xdr:from>
                <xdr:col>16</xdr:col>
                <xdr:colOff>16</xdr:colOff>
                <xdr:row>23</xdr:row>
                <xdr:rowOff>5</xdr:rowOff>
              </xdr:from>
              <xdr:to>
                <xdr:col>18</xdr:col>
                <xdr:colOff>8</xdr:colOff>
                <xdr:row>28</xdr:row>
                <xdr:rowOff>4</xdr:rowOff>
              </xdr:to>
            </anchor>
          </commentPr>
        </mc:Choice>
        <mc:Fallback/>
      </mc:AlternateContent>
    </comment>
    <comment ref="Q25" authorId="0">
      <text>
        <r>
          <rPr>
            <b val="true"/>
            <sz val="8"/>
            <color rgb="FF000000"/>
            <rFont val="Tahoma"/>
            <family val="0"/>
          </rPr>
          <t xml:space="preserve">wcheng:
</t>
        </r>
        <r>
          <rPr>
            <sz val="8"/>
            <color rgb="FF000000"/>
            <rFont val="Tahoma"/>
            <family val="0"/>
          </rPr>
          <t xml:space="preserve">Occidental option ($698)
plus Aera VOC and Sox credits ($1,823)</t>
        </r>
      </text>
      <mc:AlternateContent>
        <mc:Choice Requires="v2">
          <commentPr autoFill="true" autoScale="false" colHidden="false" locked="false" rowHidden="false" textHAlign="justify" textVAlign="top">
            <anchor moveWithCells="false" sizeWithCells="false">
              <xdr:from>
                <xdr:col>17</xdr:col>
                <xdr:colOff>16</xdr:colOff>
                <xdr:row>23</xdr:row>
                <xdr:rowOff>5</xdr:rowOff>
              </xdr:from>
              <xdr:to>
                <xdr:col>19</xdr:col>
                <xdr:colOff>9</xdr:colOff>
                <xdr:row>28</xdr:row>
                <xdr:rowOff>4</xdr:rowOff>
              </xdr:to>
            </anchor>
          </commentPr>
        </mc:Choice>
        <mc:Fallback/>
      </mc:AlternateContent>
    </comment>
    <comment ref="R25" authorId="0">
      <text>
        <r>
          <rPr>
            <b val="true"/>
            <sz val="8"/>
            <color rgb="FF000000"/>
            <rFont val="Tahoma"/>
            <family val="0"/>
          </rPr>
          <t xml:space="preserve">wcheng:
</t>
        </r>
        <r>
          <rPr>
            <sz val="8"/>
            <color rgb="FF000000"/>
            <rFont val="Tahoma"/>
            <family val="0"/>
          </rPr>
          <t xml:space="preserve">Occidental option ($698) plus Aera Nox options ($288) plus Chevron VOC option ($100)
</t>
        </r>
      </text>
      <mc:AlternateContent>
        <mc:Choice Requires="v2">
          <commentPr autoFill="true" autoScale="false" colHidden="false" locked="false" rowHidden="false" textHAlign="justify" textVAlign="top">
            <anchor moveWithCells="false" sizeWithCells="false">
              <xdr:from>
                <xdr:col>18</xdr:col>
                <xdr:colOff>16</xdr:colOff>
                <xdr:row>23</xdr:row>
                <xdr:rowOff>5</xdr:rowOff>
              </xdr:from>
              <xdr:to>
                <xdr:col>20</xdr:col>
                <xdr:colOff>10</xdr:colOff>
                <xdr:row>28</xdr:row>
                <xdr:rowOff>4</xdr:rowOff>
              </xdr:to>
            </anchor>
          </commentPr>
        </mc:Choice>
        <mc:Fallback/>
      </mc:AlternateContent>
    </comment>
    <comment ref="S25" authorId="0">
      <text>
        <r>
          <rPr>
            <b val="true"/>
            <sz val="8"/>
            <color rgb="FF000000"/>
            <rFont val="Tahoma"/>
            <family val="0"/>
          </rPr>
          <t xml:space="preserve">wcheng:
</t>
        </r>
        <r>
          <rPr>
            <sz val="8"/>
            <color rgb="FF000000"/>
            <rFont val="Tahoma"/>
            <family val="0"/>
          </rPr>
          <t xml:space="preserve">Chevron VOC credits</t>
        </r>
      </text>
      <mc:AlternateContent>
        <mc:Choice Requires="v2">
          <commentPr autoFill="true" autoScale="false" colHidden="false" locked="false" rowHidden="false" textHAlign="justify" textVAlign="top">
            <anchor moveWithCells="false" sizeWithCells="false">
              <xdr:from>
                <xdr:col>19</xdr:col>
                <xdr:colOff>16</xdr:colOff>
                <xdr:row>23</xdr:row>
                <xdr:rowOff>5</xdr:rowOff>
              </xdr:from>
              <xdr:to>
                <xdr:col>21</xdr:col>
                <xdr:colOff>13</xdr:colOff>
                <xdr:row>28</xdr:row>
                <xdr:rowOff>4</xdr:rowOff>
              </xdr:to>
            </anchor>
          </commentPr>
        </mc:Choice>
        <mc:Fallback/>
      </mc:AlternateContent>
    </comment>
    <comment ref="T25" authorId="0">
      <text>
        <r>
          <rPr>
            <b val="true"/>
            <sz val="8"/>
            <color rgb="FF000000"/>
            <rFont val="Tahoma"/>
            <family val="0"/>
          </rPr>
          <t xml:space="preserve">wcheng:
</t>
        </r>
        <r>
          <rPr>
            <sz val="8"/>
            <color rgb="FF000000"/>
            <rFont val="Tahoma"/>
            <family val="0"/>
          </rPr>
          <t xml:space="preserve">Occidental option ($698) plus Aera Nox credits ($2,588)</t>
        </r>
      </text>
      <mc:AlternateContent>
        <mc:Choice Requires="v2">
          <commentPr autoFill="true" autoScale="false" colHidden="false" locked="false" rowHidden="false" textHAlign="justify" textVAlign="top">
            <anchor moveWithCells="false" sizeWithCells="false">
              <xdr:from>
                <xdr:col>20</xdr:col>
                <xdr:colOff>16</xdr:colOff>
                <xdr:row>23</xdr:row>
                <xdr:rowOff>5</xdr:rowOff>
              </xdr:from>
              <xdr:to>
                <xdr:col>22</xdr:col>
                <xdr:colOff>16</xdr:colOff>
                <xdr:row>28</xdr:row>
                <xdr:rowOff>4</xdr:rowOff>
              </xdr:to>
            </anchor>
          </commentPr>
        </mc:Choice>
        <mc:Fallback/>
      </mc:AlternateContent>
    </comment>
    <comment ref="V25" authorId="0">
      <text>
        <r>
          <rPr>
            <b val="true"/>
            <sz val="8"/>
            <color rgb="FF000000"/>
            <rFont val="Tahoma"/>
            <family val="0"/>
          </rPr>
          <t xml:space="preserve">wcheng:
</t>
        </r>
        <r>
          <rPr>
            <sz val="8"/>
            <color rgb="FF000000"/>
            <rFont val="Tahoma"/>
            <family val="0"/>
          </rPr>
          <t xml:space="preserve">Occidental credits ($15,897) plus commission ($559)</t>
        </r>
      </text>
      <mc:AlternateContent>
        <mc:Choice Requires="v2">
          <commentPr autoFill="true" autoScale="false" colHidden="false" locked="false" rowHidden="false" textHAlign="justify" textVAlign="top">
            <anchor moveWithCells="false" sizeWithCells="false">
              <xdr:from>
                <xdr:col>22</xdr:col>
                <xdr:colOff>16</xdr:colOff>
                <xdr:row>23</xdr:row>
                <xdr:rowOff>5</xdr:rowOff>
              </xdr:from>
              <xdr:to>
                <xdr:col>24</xdr:col>
                <xdr:colOff>16</xdr:colOff>
                <xdr:row>28</xdr:row>
                <xdr:rowOff>4</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L32" authorId="0">
      <text>
        <r>
          <rPr>
            <b val="true"/>
            <sz val="8"/>
            <color rgb="FF000000"/>
            <rFont val="Tahoma"/>
            <family val="0"/>
          </rPr>
          <t xml:space="preserve">wcheng:
</t>
        </r>
        <r>
          <rPr>
            <sz val="8"/>
            <color rgb="FF000000"/>
            <rFont val="Tahoma"/>
            <family val="0"/>
          </rPr>
          <t xml:space="preserve">$.06 Mojave charge plus $.022 for lateral</t>
        </r>
      </text>
      <mc:AlternateContent>
        <mc:Choice Requires="v2">
          <commentPr autoFill="true" autoScale="false" colHidden="false" locked="false" rowHidden="false" textHAlign="justify" textVAlign="top">
            <anchor moveWithCells="false" sizeWithCells="false">
              <xdr:from>
                <xdr:col>12</xdr:col>
                <xdr:colOff>16</xdr:colOff>
                <xdr:row>30</xdr:row>
                <xdr:rowOff>7</xdr:rowOff>
              </xdr:from>
              <xdr:to>
                <xdr:col>13</xdr:col>
                <xdr:colOff>72</xdr:colOff>
                <xdr:row>34</xdr:row>
                <xdr:rowOff>11</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H40" authorId="0">
      <text>
        <r>
          <rPr>
            <sz val="8"/>
            <color rgb="FF000000"/>
            <rFont val="Tahoma"/>
            <family val="0"/>
          </rPr>
          <t xml:space="preserve">If life is 2 years or less, do not assume declining balance method.</t>
        </r>
      </text>
      <mc:AlternateContent>
        <mc:Choice Requires="v2">
          <commentPr autoFill="true" autoScale="false" colHidden="false" locked="false" rowHidden="false" textHAlign="justify" textVAlign="top">
            <anchor moveWithCells="false" sizeWithCells="false">
              <xdr:from>
                <xdr:col>7</xdr:col>
                <xdr:colOff>60</xdr:colOff>
                <xdr:row>37</xdr:row>
                <xdr:rowOff>3</xdr:rowOff>
              </xdr:from>
              <xdr:to>
                <xdr:col>9</xdr:col>
                <xdr:colOff>44</xdr:colOff>
                <xdr:row>50</xdr:row>
                <xdr:rowOff>2</xdr:rowOff>
              </xdr:to>
            </anchor>
          </commentPr>
        </mc:Choice>
        <mc:Fallback/>
      </mc:AlternateContent>
    </comment>
  </commentList>
</comments>
</file>

<file path=xl/comments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O5" authorId="0">
      <text>
        <r>
          <rPr>
            <b val="true"/>
            <sz val="8"/>
            <color rgb="FF000000"/>
            <rFont val="Tahoma"/>
            <family val="0"/>
          </rPr>
          <t xml:space="preserve">wcheng:
</t>
        </r>
        <r>
          <rPr>
            <sz val="8"/>
            <color rgb="FF000000"/>
            <rFont val="Tahoma"/>
            <family val="0"/>
          </rPr>
          <t xml:space="preserve">3/00</t>
        </r>
      </text>
      <mc:AlternateContent>
        <mc:Choice Requires="v2">
          <commentPr autoFill="true" autoScale="false" colHidden="false" locked="false" rowHidden="false" textHAlign="justify" textVAlign="top">
            <anchor moveWithCells="false" sizeWithCells="false">
              <xdr:from>
                <xdr:col>15</xdr:col>
                <xdr:colOff>16</xdr:colOff>
                <xdr:row>3</xdr:row>
                <xdr:rowOff>7</xdr:rowOff>
              </xdr:from>
              <xdr:to>
                <xdr:col>17</xdr:col>
                <xdr:colOff>16</xdr:colOff>
                <xdr:row>7</xdr:row>
                <xdr:rowOff>12</xdr:rowOff>
              </xdr:to>
            </anchor>
          </commentPr>
        </mc:Choice>
        <mc:Fallback/>
      </mc:AlternateContent>
    </comment>
  </commentList>
</comments>
</file>

<file path=xl/sharedStrings.xml><?xml version="1.0" encoding="utf-8"?>
<sst xmlns="http://schemas.openxmlformats.org/spreadsheetml/2006/main" count="2347" uniqueCount="1273">
  <si>
    <t xml:space="preserve">ENRON WEST DESK - POWER</t>
  </si>
  <si>
    <t xml:space="preserve">Project Name</t>
  </si>
  <si>
    <t xml:space="preserve">Standard Load Take Model</t>
  </si>
  <si>
    <t xml:space="preserve"> </t>
  </si>
  <si>
    <t xml:space="preserve">Start Date/Curves</t>
  </si>
  <si>
    <t xml:space="preserve">Operation Characteristics</t>
  </si>
  <si>
    <t xml:space="preserve">Swap Take</t>
  </si>
  <si>
    <t xml:space="preserve">Hourly Net Capacity (MW)</t>
  </si>
  <si>
    <t xml:space="preserve">Volume Escalator</t>
  </si>
  <si>
    <t xml:space="preserve">Monthly Power Volume Override</t>
  </si>
  <si>
    <t xml:space="preserve">Minimum Operation Hourly Volume Override</t>
  </si>
  <si>
    <t xml:space="preserve">Planned Outages</t>
  </si>
  <si>
    <t xml:space="preserve">Blue Cells Are Controlled By Option Buttons.</t>
  </si>
  <si>
    <t xml:space="preserve">Pricing Date</t>
  </si>
  <si>
    <t xml:space="preserve">Option Take</t>
  </si>
  <si>
    <t xml:space="preserve">Minimum Take (% of Total)</t>
  </si>
  <si>
    <t xml:space="preserve">Month</t>
  </si>
  <si>
    <t xml:space="preserve">Regular</t>
  </si>
  <si>
    <t xml:space="preserve">Diff.Opt.</t>
  </si>
  <si>
    <t xml:space="preserve">Peak / Off-Peak</t>
  </si>
  <si>
    <t xml:space="preserve">Hour</t>
  </si>
  <si>
    <t xml:space="preserve">Mon-Fri</t>
  </si>
  <si>
    <t xml:space="preserve">Sat</t>
  </si>
  <si>
    <t xml:space="preserve">Sun</t>
  </si>
  <si>
    <t xml:space="preserve">Hol</t>
  </si>
  <si>
    <t xml:space="preserve">Jan</t>
  </si>
  <si>
    <t xml:space="preserve">Feb</t>
  </si>
  <si>
    <t xml:space="preserve">Mar</t>
  </si>
  <si>
    <t xml:space="preserve">Apr</t>
  </si>
  <si>
    <t xml:space="preserve">May</t>
  </si>
  <si>
    <t xml:space="preserve">Jun</t>
  </si>
  <si>
    <t xml:space="preserve">Jul</t>
  </si>
  <si>
    <t xml:space="preserve">Aug</t>
  </si>
  <si>
    <t xml:space="preserve">Sep</t>
  </si>
  <si>
    <t xml:space="preserve">Oct</t>
  </si>
  <si>
    <t xml:space="preserve">Nov</t>
  </si>
  <si>
    <t xml:space="preserve">Dec</t>
  </si>
  <si>
    <t xml:space="preserve">Names</t>
  </si>
  <si>
    <t xml:space="preserve">Week Definition</t>
  </si>
  <si>
    <t xml:space="preserve">Peak Period</t>
  </si>
  <si>
    <t xml:space="preserve">Curve Date</t>
  </si>
  <si>
    <t xml:space="preserve">Price Escalator</t>
  </si>
  <si>
    <t xml:space="preserve">Knock-Out</t>
  </si>
  <si>
    <t xml:space="preserve">Volume</t>
  </si>
  <si>
    <t xml:space="preserve">Volume Monthly Over</t>
  </si>
  <si>
    <t xml:space="preserve">Off-Peak Period</t>
  </si>
  <si>
    <t xml:space="preserve">Power Region</t>
  </si>
  <si>
    <t xml:space="preserve">Hours:</t>
  </si>
  <si>
    <t xml:space="preserve">Diff. Opt. Volume Flag</t>
  </si>
  <si>
    <t xml:space="preserve">Basis</t>
  </si>
  <si>
    <t xml:space="preserve">  Week Definition</t>
  </si>
  <si>
    <t xml:space="preserve">Volume Escalation</t>
  </si>
  <si>
    <t xml:space="preserve">Popular Hours Used Table</t>
  </si>
  <si>
    <t xml:space="preserve">Mon-Sun, 7x24</t>
  </si>
  <si>
    <t xml:space="preserve">Mon-Sat, 6x16</t>
  </si>
  <si>
    <t xml:space="preserve">6x8+24</t>
  </si>
  <si>
    <t xml:space="preserve">Mon-Fri, 5x16</t>
  </si>
  <si>
    <t xml:space="preserve">5x8+2x24</t>
  </si>
  <si>
    <t xml:space="preserve">Mon-Sun, 7x16</t>
  </si>
  <si>
    <t xml:space="preserve">Mon-Sun, 7x8</t>
  </si>
  <si>
    <t xml:space="preserve">Custom</t>
  </si>
  <si>
    <t xml:space="preserve">Custom Week</t>
  </si>
  <si>
    <t xml:space="preserve">Hours Used</t>
  </si>
  <si>
    <t xml:space="preserve">Price Escalation</t>
  </si>
  <si>
    <t xml:space="preserve">100-2400</t>
  </si>
  <si>
    <t xml:space="preserve">Start Date</t>
  </si>
  <si>
    <t xml:space="preserve">Most Expensive Hours</t>
  </si>
  <si>
    <t xml:space="preserve">Saturday</t>
  </si>
  <si>
    <t xml:space="preserve">End Date</t>
  </si>
  <si>
    <t xml:space="preserve">TakeType</t>
  </si>
  <si>
    <t xml:space="preserve">Sunday</t>
  </si>
  <si>
    <t xml:space="preserve">Term in Years</t>
  </si>
  <si>
    <t xml:space="preserve">Combine Takes</t>
  </si>
  <si>
    <t xml:space="preserve">Holidays</t>
  </si>
  <si>
    <t xml:space="preserve">Swap Buy/Sell</t>
  </si>
  <si>
    <t xml:space="preserve">Option Pricing</t>
  </si>
  <si>
    <t xml:space="preserve">Contract Conditions</t>
  </si>
  <si>
    <t xml:space="preserve">Swaption Buy/Sell</t>
  </si>
  <si>
    <t xml:space="preserve">Week Definition Table</t>
  </si>
  <si>
    <t xml:space="preserve">Included?</t>
  </si>
  <si>
    <t xml:space="preserve">Regular Period</t>
  </si>
  <si>
    <t xml:space="preserve">Basis Table</t>
  </si>
  <si>
    <t xml:space="preserve">Pop Hrs Feed</t>
  </si>
  <si>
    <t xml:space="preserve">ECT</t>
  </si>
  <si>
    <t xml:space="preserve">Monthly Peak Vol Over</t>
  </si>
  <si>
    <t xml:space="preserve">Net Contracted Take (MW)</t>
  </si>
  <si>
    <t xml:space="preserve">Contract Price</t>
  </si>
  <si>
    <t xml:space="preserve">Contract Months</t>
  </si>
  <si>
    <t xml:space="preserve">Swaption Call/Put</t>
  </si>
  <si>
    <t xml:space="preserve">Option Type</t>
  </si>
  <si>
    <t xml:space="preserve">Monthly Off-Peak Vol Over</t>
  </si>
  <si>
    <t xml:space="preserve">Yes</t>
  </si>
  <si>
    <t xml:space="preserve">Swaption Price Curve</t>
  </si>
  <si>
    <t xml:space="preserve">Region</t>
  </si>
  <si>
    <t xml:space="preserve">#</t>
  </si>
  <si>
    <t xml:space="preserve">Daily Peak Vol Over</t>
  </si>
  <si>
    <t xml:space="preserve">Option Buy/Sell</t>
  </si>
  <si>
    <t xml:space="preserve">No Basis</t>
  </si>
  <si>
    <t xml:space="preserve">Price Curve to Use</t>
  </si>
  <si>
    <t xml:space="preserve">Daily Off-Peak Vol Over</t>
  </si>
  <si>
    <t xml:space="preserve">Option Call/Put</t>
  </si>
  <si>
    <t xml:space="preserve">1  BUSBAR</t>
  </si>
  <si>
    <t xml:space="preserve">Vol Curve to Use</t>
  </si>
  <si>
    <t xml:space="preserve">Monthly Option Exp. Date Adjustment</t>
  </si>
  <si>
    <t xml:space="preserve">Option Price Curve</t>
  </si>
  <si>
    <t xml:space="preserve">2  MID COLUMBIA</t>
  </si>
  <si>
    <t xml:space="preserve"> Vol Smile</t>
  </si>
  <si>
    <r>
      <rPr>
        <b val="true"/>
        <sz val="10"/>
        <color rgb="FF000000"/>
        <rFont val="Arial"/>
        <family val="2"/>
      </rPr>
      <t xml:space="preserve">Shift Back By</t>
    </r>
    <r>
      <rPr>
        <b val="true"/>
        <sz val="9"/>
        <color rgb="FF000000"/>
        <rFont val="Arial"/>
        <family val="2"/>
      </rPr>
      <t xml:space="preserve"> (Business Days)</t>
    </r>
  </si>
  <si>
    <t xml:space="preserve">Option Vol Curve</t>
  </si>
  <si>
    <t xml:space="preserve">Region Table</t>
  </si>
  <si>
    <t xml:space="preserve">3  MIDWAY</t>
  </si>
  <si>
    <t xml:space="preserve">Option Vol Type</t>
  </si>
  <si>
    <t xml:space="preserve">Delivery Point</t>
  </si>
  <si>
    <t xml:space="preserve">4  MEAD</t>
  </si>
  <si>
    <t xml:space="preserve">Intra-</t>
  </si>
  <si>
    <t xml:space="preserve">Correlation Overrides</t>
  </si>
  <si>
    <t xml:space="preserve">Option Vol Smile</t>
  </si>
  <si>
    <t xml:space="preserve">Con. Edison</t>
  </si>
  <si>
    <t xml:space="preserve">1      NY East</t>
  </si>
  <si>
    <t xml:space="preserve">1</t>
  </si>
  <si>
    <t xml:space="preserve">5  PALO VERDE</t>
  </si>
  <si>
    <t xml:space="preserve">Additional Information for Spread Option Pricing</t>
  </si>
  <si>
    <t xml:space="preserve">Peak-</t>
  </si>
  <si>
    <t xml:space="preserve">Power-</t>
  </si>
  <si>
    <t xml:space="preserve">Collar BCSF/SCBF</t>
  </si>
  <si>
    <t xml:space="preserve">PJM West</t>
  </si>
  <si>
    <t xml:space="preserve">1A   MACC-PJM</t>
  </si>
  <si>
    <t xml:space="preserve">1A</t>
  </si>
  <si>
    <t xml:space="preserve">6  FOUR CORNERS</t>
  </si>
  <si>
    <t xml:space="preserve">Period Feed</t>
  </si>
  <si>
    <t xml:space="preserve">Heat Rate/ Strike</t>
  </si>
  <si>
    <t xml:space="preserve">Volatility</t>
  </si>
  <si>
    <t xml:space="preserve">Off-Peak</t>
  </si>
  <si>
    <t xml:space="preserve">Coal</t>
  </si>
  <si>
    <t xml:space="preserve">Collar Specification</t>
  </si>
  <si>
    <t xml:space="preserve">Card Street</t>
  </si>
  <si>
    <t xml:space="preserve">1B   NEPOOL</t>
  </si>
  <si>
    <t xml:space="preserve">1B</t>
  </si>
  <si>
    <t xml:space="preserve">7  CRAIG</t>
  </si>
  <si>
    <t xml:space="preserve">24 Hrs</t>
  </si>
  <si>
    <t xml:space="preserve">NYMEX Gas Price Adjustments</t>
  </si>
  <si>
    <r>
      <rPr>
        <b val="true"/>
        <sz val="10"/>
        <rFont val="Arial"/>
        <family val="2"/>
      </rPr>
      <t xml:space="preserve">Incre.Heat Rate (Btu/kWh)</t>
    </r>
    <r>
      <rPr>
        <b val="true"/>
        <sz val="8"/>
        <rFont val="Arial"/>
        <family val="2"/>
      </rPr>
      <t xml:space="preserve"> </t>
    </r>
  </si>
  <si>
    <t xml:space="preserve">Scalars</t>
  </si>
  <si>
    <t xml:space="preserve">Correlation</t>
  </si>
  <si>
    <t xml:space="preserve">Collar Bid-Offer Vol Spread</t>
  </si>
  <si>
    <t xml:space="preserve">NY West</t>
  </si>
  <si>
    <t xml:space="preserve">1C   NY West</t>
  </si>
  <si>
    <t xml:space="preserve">1C</t>
  </si>
  <si>
    <t xml:space="preserve">8  NW DELV</t>
  </si>
  <si>
    <t xml:space="preserve">Peak</t>
  </si>
  <si>
    <r>
      <rPr>
        <b val="true"/>
        <sz val="10"/>
        <rFont val="Arial"/>
        <family val="2"/>
      </rPr>
      <t xml:space="preserve">Off-Peak Heat Rate</t>
    </r>
    <r>
      <rPr>
        <b val="true"/>
        <sz val="8"/>
        <rFont val="Arial"/>
        <family val="2"/>
      </rPr>
      <t xml:space="preserve"> (%OP)</t>
    </r>
  </si>
  <si>
    <t xml:space="preserve"> 1       Jan</t>
  </si>
  <si>
    <t xml:space="preserve">Collar Vol Type</t>
  </si>
  <si>
    <t xml:space="preserve">1D   East Hub</t>
  </si>
  <si>
    <t xml:space="preserve">1D</t>
  </si>
  <si>
    <t xml:space="preserve">10  Into EEI-R4</t>
  </si>
  <si>
    <t xml:space="preserve">Coal Vol Adjustments</t>
  </si>
  <si>
    <r>
      <rPr>
        <b val="true"/>
        <sz val="10"/>
        <rFont val="Arial"/>
        <family val="2"/>
      </rPr>
      <t xml:space="preserve">Wheeling Charge</t>
    </r>
    <r>
      <rPr>
        <b val="true"/>
        <sz val="8"/>
        <rFont val="Arial"/>
        <family val="2"/>
      </rPr>
      <t xml:space="preserve"> ($/MWh)</t>
    </r>
  </si>
  <si>
    <t xml:space="preserve"> 2       Feb</t>
  </si>
  <si>
    <t xml:space="preserve">Collar Price Curve</t>
  </si>
  <si>
    <t xml:space="preserve">1E    West Hub</t>
  </si>
  <si>
    <t xml:space="preserve">1E</t>
  </si>
  <si>
    <t xml:space="preserve">11  WISCONSIN-R4</t>
  </si>
  <si>
    <t xml:space="preserve">Hourly Override</t>
  </si>
  <si>
    <r>
      <rPr>
        <b val="true"/>
        <sz val="10"/>
        <rFont val="Arial"/>
        <family val="2"/>
      </rPr>
      <t xml:space="preserve">O&amp;M Cost</t>
    </r>
    <r>
      <rPr>
        <b val="true"/>
        <sz val="8"/>
        <rFont val="Arial"/>
        <family val="2"/>
      </rPr>
      <t xml:space="preserve"> ($/MWh)</t>
    </r>
  </si>
  <si>
    <t xml:space="preserve"> 3       Mar</t>
  </si>
  <si>
    <t xml:space="preserve">Collar Vol Smile</t>
  </si>
  <si>
    <t xml:space="preserve">1F   Firm LD</t>
  </si>
  <si>
    <t xml:space="preserve">1F</t>
  </si>
  <si>
    <t xml:space="preserve">12  MICHIGAN-R4</t>
  </si>
  <si>
    <t xml:space="preserve"> 4       Apr</t>
  </si>
  <si>
    <t xml:space="preserve">Collar Floor Vol Curve</t>
  </si>
  <si>
    <t xml:space="preserve">ECAR</t>
  </si>
  <si>
    <t xml:space="preserve">2     ECAR</t>
  </si>
  <si>
    <t xml:space="preserve">2</t>
  </si>
  <si>
    <t xml:space="preserve">14  EAST NY-R1A</t>
  </si>
  <si>
    <t xml:space="preserve">Correlations</t>
  </si>
  <si>
    <t xml:space="preserve"> 5       May</t>
  </si>
  <si>
    <t xml:space="preserve">Forced Outages</t>
  </si>
  <si>
    <t xml:space="preserve">Collar Cap Vol Curve</t>
  </si>
  <si>
    <t xml:space="preserve">Into AEP</t>
  </si>
  <si>
    <t xml:space="preserve">2A  Into AEP</t>
  </si>
  <si>
    <t xml:space="preserve">2A</t>
  </si>
  <si>
    <t xml:space="preserve">15  EASTERN ECAR-R1A</t>
  </si>
  <si>
    <t xml:space="preserve">Peak-Off Peak</t>
  </si>
  <si>
    <t xml:space="preserve"> 6       Jun</t>
  </si>
  <si>
    <t xml:space="preserve">Supplemental Operation Volume Override</t>
  </si>
  <si>
    <t xml:space="preserve">Gas Price Curve</t>
  </si>
  <si>
    <t xml:space="preserve">Eastern ECAR</t>
  </si>
  <si>
    <t xml:space="preserve">2B  Eastern ECAR</t>
  </si>
  <si>
    <t xml:space="preserve">2B</t>
  </si>
  <si>
    <t xml:space="preserve">OTHER</t>
  </si>
  <si>
    <t xml:space="preserve">Override</t>
  </si>
  <si>
    <t xml:space="preserve">Power-Gas</t>
  </si>
  <si>
    <t xml:space="preserve"> 7       Jul</t>
  </si>
  <si>
    <t xml:space="preserve">Gas Vol Curve</t>
  </si>
  <si>
    <t xml:space="preserve">Southern Co.</t>
  </si>
  <si>
    <t xml:space="preserve">3     SERC</t>
  </si>
  <si>
    <t xml:space="preserve">3</t>
  </si>
  <si>
    <t xml:space="preserve"> 8       Aug</t>
  </si>
  <si>
    <t xml:space="preserve">Peak-Off-Peak Corr Over</t>
  </si>
  <si>
    <t xml:space="preserve">FP&amp;L</t>
  </si>
  <si>
    <t xml:space="preserve">3A  SERC-FLA</t>
  </si>
  <si>
    <t xml:space="preserve">3A</t>
  </si>
  <si>
    <t xml:space="preserve">OMICRON Code</t>
  </si>
  <si>
    <t xml:space="preserve">OMICRON Region</t>
  </si>
  <si>
    <t xml:space="preserve"> 9       Sep</t>
  </si>
  <si>
    <t xml:space="preserve">Power-Gas Corr Over</t>
  </si>
  <si>
    <t xml:space="preserve">TVA</t>
  </si>
  <si>
    <t xml:space="preserve">3B  TVA</t>
  </si>
  <si>
    <t xml:space="preserve">3B</t>
  </si>
  <si>
    <t xml:space="preserve">NG_OMICRON_1</t>
  </si>
  <si>
    <t xml:space="preserve">Louisiana - Onshore South</t>
  </si>
  <si>
    <t xml:space="preserve">10      Oct</t>
  </si>
  <si>
    <t xml:space="preserve">MAIN</t>
  </si>
  <si>
    <t xml:space="preserve">4     MAIN</t>
  </si>
  <si>
    <t xml:space="preserve">4</t>
  </si>
  <si>
    <t xml:space="preserve">NG_OMICRON_2</t>
  </si>
  <si>
    <t xml:space="preserve">HSC - East Texas - Katy</t>
  </si>
  <si>
    <t xml:space="preserve">11      Nov</t>
  </si>
  <si>
    <t xml:space="preserve">NSP</t>
  </si>
  <si>
    <t xml:space="preserve">4A  MAPP</t>
  </si>
  <si>
    <t xml:space="preserve">4A</t>
  </si>
  <si>
    <t xml:space="preserve">NG_OMICRON_3</t>
  </si>
  <si>
    <t xml:space="preserve">Oklahoma - Mid Continent</t>
  </si>
  <si>
    <t xml:space="preserve">12      Dec</t>
  </si>
  <si>
    <t xml:space="preserve">Southern MAPP</t>
  </si>
  <si>
    <t xml:space="preserve">4B  Southern MAPP</t>
  </si>
  <si>
    <t xml:space="preserve">4B</t>
  </si>
  <si>
    <t xml:space="preserve">NG_OMICRON_4</t>
  </si>
  <si>
    <t xml:space="preserve">Permian Basin - San Juan Basin</t>
  </si>
  <si>
    <t xml:space="preserve">Month Knock-Out Table</t>
  </si>
  <si>
    <t xml:space="preserve">COMED</t>
  </si>
  <si>
    <t xml:space="preserve">4C  COMED</t>
  </si>
  <si>
    <t xml:space="preserve">4C</t>
  </si>
  <si>
    <t xml:space="preserve">NG_OMICRON_5</t>
  </si>
  <si>
    <t xml:space="preserve">Northern Ventura - Northern Demarc</t>
  </si>
  <si>
    <t xml:space="preserve">ENTERGY</t>
  </si>
  <si>
    <t xml:space="preserve">5     SPP</t>
  </si>
  <si>
    <t xml:space="preserve">5</t>
  </si>
  <si>
    <t xml:space="preserve">NG_OMICRON_6</t>
  </si>
  <si>
    <t xml:space="preserve">Market Area:  Northeast</t>
  </si>
  <si>
    <t xml:space="preserve">Associated</t>
  </si>
  <si>
    <t xml:space="preserve">5A  Associated</t>
  </si>
  <si>
    <t xml:space="preserve">5A</t>
  </si>
  <si>
    <t xml:space="preserve">NG_OMICRON_7</t>
  </si>
  <si>
    <t xml:space="preserve">Appalachia</t>
  </si>
  <si>
    <t xml:space="preserve">HL&amp;P</t>
  </si>
  <si>
    <t xml:space="preserve">6     ERCOT</t>
  </si>
  <si>
    <t xml:space="preserve">6</t>
  </si>
  <si>
    <t xml:space="preserve">NG_OMICRON_8</t>
  </si>
  <si>
    <t xml:space="preserve">Rockies</t>
  </si>
  <si>
    <t xml:space="preserve">Palo Verde</t>
  </si>
  <si>
    <t xml:space="preserve">7     WSCC-S</t>
  </si>
  <si>
    <t xml:space="preserve">7</t>
  </si>
  <si>
    <t xml:space="preserve">NG_OMICRON_9</t>
  </si>
  <si>
    <t xml:space="preserve">Alberta - Sumas</t>
  </si>
  <si>
    <t xml:space="preserve">COB</t>
  </si>
  <si>
    <t xml:space="preserve">8     WSCC-N</t>
  </si>
  <si>
    <t xml:space="preserve">8</t>
  </si>
  <si>
    <t xml:space="preserve">NG_OMICRON_10</t>
  </si>
  <si>
    <t xml:space="preserve">Sithe Curve (ANR/LA_ONSHO)</t>
  </si>
  <si>
    <t xml:space="preserve">Mid Columbia</t>
  </si>
  <si>
    <t xml:space="preserve">9     Mid Columbia</t>
  </si>
  <si>
    <t xml:space="preserve">NP-15</t>
  </si>
  <si>
    <t xml:space="preserve">10   NP-15</t>
  </si>
  <si>
    <t xml:space="preserve">SP-15</t>
  </si>
  <si>
    <t xml:space="preserve">11    SP-15</t>
  </si>
  <si>
    <t xml:space="preserve">First Month</t>
  </si>
  <si>
    <t xml:space="preserve">First Year</t>
  </si>
  <si>
    <t xml:space="preserve">Calculation Mode:</t>
  </si>
  <si>
    <t xml:space="preserve">Manual</t>
  </si>
  <si>
    <t xml:space="preserve">Heat Rate Degradation</t>
  </si>
  <si>
    <t xml:space="preserve">Is the 150 a Baseload Requirement?</t>
  </si>
  <si>
    <t xml:space="preserve">Weather-related Capacity Adjustment</t>
  </si>
  <si>
    <t xml:space="preserve">Weather-related Heat Rate Adjustment</t>
  </si>
  <si>
    <t xml:space="preserve">POWER.XLS</t>
  </si>
  <si>
    <t xml:space="preserve">Henwood Reference Curves</t>
  </si>
  <si>
    <t xml:space="preserve">Base Year</t>
  </si>
  <si>
    <t xml:space="preserve">Inflation</t>
  </si>
  <si>
    <t xml:space="preserve">Inflated</t>
  </si>
  <si>
    <t xml:space="preserve">Topock</t>
  </si>
  <si>
    <t xml:space="preserve">Interstate</t>
  </si>
  <si>
    <t xml:space="preserve">Delivered</t>
  </si>
  <si>
    <t xml:space="preserve">San Juan</t>
  </si>
  <si>
    <t xml:space="preserve">Year</t>
  </si>
  <si>
    <t xml:space="preserve">Date</t>
  </si>
  <si>
    <t xml:space="preserve">Gas</t>
  </si>
  <si>
    <t xml:space="preserve">Transport</t>
  </si>
  <si>
    <t xml:space="preserve">Heat Rate</t>
  </si>
  <si>
    <t xml:space="preserve">24 Hour</t>
  </si>
  <si>
    <t xml:space="preserve">Tejon Ranchcorp Pre-Operational Payments</t>
  </si>
  <si>
    <t xml:space="preserve">Tejon Payment (Signing of Land Lease Option)</t>
  </si>
  <si>
    <t xml:space="preserve">Tejon 12/99 Payment</t>
  </si>
  <si>
    <t xml:space="preserve">Tejon Payment (AFC Filing) </t>
  </si>
  <si>
    <t xml:space="preserve">Tejon Monthly Payments</t>
  </si>
  <si>
    <t xml:space="preserve">Tejon Makeup Payment</t>
  </si>
  <si>
    <t xml:space="preserve">Total</t>
  </si>
  <si>
    <t xml:space="preserve">NPV12 @ 4/30/99</t>
  </si>
  <si>
    <t xml:space="preserve">Tejon Ranchcorp Post-Operational Payments</t>
  </si>
  <si>
    <t xml:space="preserve">Fixed Rent Payment</t>
  </si>
  <si>
    <t xml:space="preserve">Spark Spread Payment</t>
  </si>
  <si>
    <t xml:space="preserve">Injection Wells Payment</t>
  </si>
  <si>
    <t xml:space="preserve">Total </t>
  </si>
  <si>
    <t xml:space="preserve">NPV of Pre-Operational Payments</t>
  </si>
  <si>
    <t xml:space="preserve">NPV of Post-Operational Payments</t>
  </si>
  <si>
    <t xml:space="preserve">Total Tejon NPV</t>
  </si>
  <si>
    <t xml:space="preserve">Project Returns</t>
  </si>
  <si>
    <t xml:space="preserve">Equity Investor</t>
  </si>
  <si>
    <t xml:space="preserve">Equity Investor Cash Flows</t>
  </si>
  <si>
    <t xml:space="preserve">IRR</t>
  </si>
  <si>
    <t xml:space="preserve">XNPV(Assumptions!L34,Returns!D18:V18,Returns!D3:V3)</t>
  </si>
  <si>
    <t xml:space="preserve">Developer (ECT)</t>
  </si>
  <si>
    <t xml:space="preserve">NPV</t>
  </si>
  <si>
    <t xml:space="preserve">Development Cash Flows</t>
  </si>
  <si>
    <t xml:space="preserve">Promote</t>
  </si>
  <si>
    <t xml:space="preserve">Development Fee</t>
  </si>
  <si>
    <t xml:space="preserve">Closing Costs Not Spent</t>
  </si>
  <si>
    <t xml:space="preserve">Sale of Air Pollution Offsets</t>
  </si>
  <si>
    <t xml:space="preserve">ECT as Developer and Equity Investor</t>
  </si>
  <si>
    <t xml:space="preserve">Equity Investment Cash Flows</t>
  </si>
  <si>
    <t xml:space="preserve">Tejon Ranchcorp</t>
  </si>
  <si>
    <t xml:space="preserve">Permit/</t>
  </si>
  <si>
    <t xml:space="preserve">Sign Land</t>
  </si>
  <si>
    <t xml:space="preserve">Financial</t>
  </si>
  <si>
    <t xml:space="preserve">Commercial</t>
  </si>
  <si>
    <t xml:space="preserve">Sign</t>
  </si>
  <si>
    <t xml:space="preserve">Lease</t>
  </si>
  <si>
    <t xml:space="preserve">File</t>
  </si>
  <si>
    <t xml:space="preserve">Close</t>
  </si>
  <si>
    <t xml:space="preserve">Operations</t>
  </si>
  <si>
    <t xml:space="preserve">LOI</t>
  </si>
  <si>
    <t xml:space="preserve">Option</t>
  </si>
  <si>
    <t xml:space="preserve">AFC</t>
  </si>
  <si>
    <t xml:space="preserve">Total Dry Hole</t>
  </si>
  <si>
    <t xml:space="preserve">Development Costs at Risk:</t>
  </si>
  <si>
    <t xml:space="preserve">EPC Turnkey</t>
  </si>
  <si>
    <t xml:space="preserve">Internal Costs</t>
  </si>
  <si>
    <t xml:space="preserve">Tejon 12/31/1999 Payment</t>
  </si>
  <si>
    <t xml:space="preserve">Tejon Payment (Data Adequacy and Water)</t>
  </si>
  <si>
    <t xml:space="preserve">Transmission Queue Position</t>
  </si>
  <si>
    <t xml:space="preserve">Environmental Permitting-Woody Clyde</t>
  </si>
  <si>
    <t xml:space="preserve">Environmental Permitting-Patch</t>
  </si>
  <si>
    <t xml:space="preserve">Air District Filing Fee</t>
  </si>
  <si>
    <t xml:space="preserve">Pre-Financial Closing Legal Fees</t>
  </si>
  <si>
    <t xml:space="preserve">Engineering</t>
  </si>
  <si>
    <t xml:space="preserve">Advance Water Payments</t>
  </si>
  <si>
    <t xml:space="preserve">Miscellaneous</t>
  </si>
  <si>
    <t xml:space="preserve">Contingency</t>
  </si>
  <si>
    <t xml:space="preserve">Total Development Costs at Risk</t>
  </si>
  <si>
    <t xml:space="preserve">Air Pollution Offset Costs:</t>
  </si>
  <si>
    <t xml:space="preserve">Air Pollution Offsets</t>
  </si>
  <si>
    <t xml:space="preserve">Total Environmental Offsets Costs:</t>
  </si>
  <si>
    <t xml:space="preserve">Cumulative Total during Development</t>
  </si>
  <si>
    <t xml:space="preserve">Closing Costs:</t>
  </si>
  <si>
    <t xml:space="preserve">Patch/Thompson</t>
  </si>
  <si>
    <t xml:space="preserve">Financial Closing Legal Fees</t>
  </si>
  <si>
    <t xml:space="preserve">Lender's Legal Fees</t>
  </si>
  <si>
    <t xml:space="preserve">Total Closing Costs</t>
  </si>
  <si>
    <t xml:space="preserve">Development Cost Reimbursement</t>
  </si>
  <si>
    <t xml:space="preserve">Total Cost at Financial Close</t>
  </si>
  <si>
    <t xml:space="preserve">Total Dry Hole Cost at Financial Close</t>
  </si>
  <si>
    <t xml:space="preserve">Here is where the discounting of future cash flows takes place</t>
  </si>
  <si>
    <t xml:space="preserve">Net Equity Cash Flows</t>
  </si>
  <si>
    <t xml:space="preserve">Cumulative Equity Cash Flows</t>
  </si>
  <si>
    <t xml:space="preserve">Equity NPV</t>
  </si>
  <si>
    <t xml:space="preserve">Year 2021 cash flows plus a terminal value equal to 3 times 2021 EBDIT</t>
  </si>
  <si>
    <t xml:space="preserve">The discount rate in this cell is linked to the assumption tab at Cell L29 (Required return for equity investor).</t>
  </si>
  <si>
    <t xml:space="preserve">Different rates </t>
  </si>
  <si>
    <t xml:space="preserve">Price Curve</t>
  </si>
  <si>
    <t xml:space="preserve">Gas Curve</t>
  </si>
  <si>
    <t xml:space="preserve">NPV of Monthly Payments</t>
  </si>
  <si>
    <t xml:space="preserve">Mid</t>
  </si>
  <si>
    <t xml:space="preserve">NPV of Payment at Signing of Land Lease Option</t>
  </si>
  <si>
    <t xml:space="preserve">Henwood</t>
  </si>
  <si>
    <t xml:space="preserve">WHAT IS THE POWER CURVE ADDER?</t>
  </si>
  <si>
    <t xml:space="preserve">NPV of Payment at 12/31/99</t>
  </si>
  <si>
    <t xml:space="preserve">NPV of Payment at AFC Filing</t>
  </si>
  <si>
    <t xml:space="preserve">NPV of Payments</t>
  </si>
  <si>
    <t xml:space="preserve">Henwood </t>
  </si>
  <si>
    <t xml:space="preserve">Total Payment</t>
  </si>
  <si>
    <t xml:space="preserve">Why the lowest rates for the Henwood pair?</t>
  </si>
  <si>
    <t xml:space="preserve">NPV of Makeup Payment at Financial Close</t>
  </si>
  <si>
    <t xml:space="preserve">FV of Makeup Payment at Financial Close</t>
  </si>
  <si>
    <t xml:space="preserve">to 3/31/00</t>
  </si>
  <si>
    <t xml:space="preserve">Environmental Offsets Costs:</t>
  </si>
  <si>
    <t xml:space="preserve">Total Quarterly Cash Flow</t>
  </si>
  <si>
    <t xml:space="preserve">Cumulative Quarterly Cash Flows</t>
  </si>
  <si>
    <t xml:space="preserve">Subsequent Capital Expenditures</t>
  </si>
  <si>
    <t xml:space="preserve">Scrubber Systems</t>
  </si>
  <si>
    <t xml:space="preserve">Periodic Overhauls</t>
  </si>
  <si>
    <t xml:space="preserve">Gross Adjusment Factor</t>
  </si>
  <si>
    <t xml:space="preserve">Grand Total</t>
  </si>
  <si>
    <t xml:space="preserve">Sources and Uses: Initial Capital Structure</t>
  </si>
  <si>
    <t xml:space="preserve">Sources and Uses: Scrubber Purchase</t>
  </si>
  <si>
    <t xml:space="preserve">Total Flows (Initial</t>
  </si>
  <si>
    <t xml:space="preserve">Sources:</t>
  </si>
  <si>
    <t xml:space="preserve">Uses:</t>
  </si>
  <si>
    <t xml:space="preserve"> + Subsequent Financing</t>
  </si>
  <si>
    <t xml:space="preserve">Debt Placement</t>
  </si>
  <si>
    <t xml:space="preserve">Purchase Price</t>
  </si>
  <si>
    <t xml:space="preserve">Total Debt</t>
  </si>
  <si>
    <t xml:space="preserve">Equity</t>
  </si>
  <si>
    <t xml:space="preserve">Fees</t>
  </si>
  <si>
    <t xml:space="preserve">Total Equity</t>
  </si>
  <si>
    <t xml:space="preserve">Debt Service Reserve</t>
  </si>
  <si>
    <t xml:space="preserve">Capitalized Interest</t>
  </si>
  <si>
    <t xml:space="preserve">Total Capital</t>
  </si>
  <si>
    <t xml:space="preserve">Working Capital</t>
  </si>
  <si>
    <t xml:space="preserve">Check</t>
  </si>
  <si>
    <t xml:space="preserve">Total Initial Fees</t>
  </si>
  <si>
    <t xml:space="preserve">Proof</t>
  </si>
  <si>
    <t xml:space="preserve">Development Cost</t>
  </si>
  <si>
    <t xml:space="preserve">Transition Cost</t>
  </si>
  <si>
    <t xml:space="preserve">Subsequent Project Purchase Price/Capital Structure</t>
  </si>
  <si>
    <t xml:space="preserve">Funding: Purchase Price</t>
  </si>
  <si>
    <t xml:space="preserve">After-Tax</t>
  </si>
  <si>
    <t xml:space="preserve">Debt Financed Purchase Price</t>
  </si>
  <si>
    <t xml:space="preserve">Amortization</t>
  </si>
  <si>
    <t xml:space="preserve">Const. Payment</t>
  </si>
  <si>
    <t xml:space="preserve">Years to Amortize</t>
  </si>
  <si>
    <t xml:space="preserve">Interest Rate</t>
  </si>
  <si>
    <t xml:space="preserve">Placement Fee</t>
  </si>
  <si>
    <t xml:space="preserve">Grace Period</t>
  </si>
  <si>
    <t xml:space="preserve">No</t>
  </si>
  <si>
    <t xml:space="preserve">Amortization of Initial + Subsequent Debt</t>
  </si>
  <si>
    <t xml:space="preserve">PPMT Amortization of Intial Debt </t>
  </si>
  <si>
    <t xml:space="preserve">Remaining Principal</t>
  </si>
  <si>
    <t xml:space="preserve">Total CAPEX</t>
  </si>
  <si>
    <t xml:space="preserve">Debt Financed</t>
  </si>
  <si>
    <t xml:space="preserve">Equity Placement</t>
  </si>
  <si>
    <t xml:space="preserve">Amortization: Debt Associated w/ Subsequent CAPEX</t>
  </si>
  <si>
    <t xml:space="preserve">Year 1 Amortization</t>
  </si>
  <si>
    <t xml:space="preserve">Year2 Amortization</t>
  </si>
  <si>
    <t xml:space="preserve">Year 3 Amortization</t>
  </si>
  <si>
    <t xml:space="preserve">Year 4 Amortization</t>
  </si>
  <si>
    <t xml:space="preserve">Year 5 Amortization</t>
  </si>
  <si>
    <t xml:space="preserve">Year 6 Amortization</t>
  </si>
  <si>
    <t xml:space="preserve">Total Amortization</t>
  </si>
  <si>
    <t xml:space="preserve">Initial Working Capital Calculation</t>
  </si>
  <si>
    <t xml:space="preserve">First Year Revenues</t>
  </si>
  <si>
    <t xml:space="preserve">First Year Variable Expenses</t>
  </si>
  <si>
    <t xml:space="preserve">ADJUSTED WORKING CAPITAL INPUT:</t>
  </si>
  <si>
    <t xml:space="preserve">$</t>
  </si>
  <si>
    <t xml:space="preserve">Operating Cash Balance  (Days)</t>
  </si>
  <si>
    <t xml:space="preserve">Accounts Receivable  (Days)</t>
  </si>
  <si>
    <t xml:space="preserve">Inventories  (x)</t>
  </si>
  <si>
    <t xml:space="preserve">Other Current Assets  ($)</t>
  </si>
  <si>
    <t xml:space="preserve">Accounts Payable  (Days)</t>
  </si>
  <si>
    <t xml:space="preserve">Accrued Expenses  (Days)</t>
  </si>
  <si>
    <t xml:space="preserve">Other Payables  ($)</t>
  </si>
  <si>
    <t xml:space="preserve">Total Net Days</t>
  </si>
  <si>
    <t xml:space="preserve">Total Asset Days</t>
  </si>
  <si>
    <t xml:space="preserve">Total Liability Days</t>
  </si>
  <si>
    <t xml:space="preserve">Interest During Construction Calculations</t>
  </si>
  <si>
    <t xml:space="preserve">Capital Cost</t>
  </si>
  <si>
    <t xml:space="preserve"> Cap Interest</t>
  </si>
  <si>
    <t xml:space="preserve">Project Development Cost </t>
  </si>
  <si>
    <t xml:space="preserve">Year 1</t>
  </si>
  <si>
    <t xml:space="preserve">Loan Rate</t>
  </si>
  <si>
    <t xml:space="preserve">Year 2</t>
  </si>
  <si>
    <t xml:space="preserve">Drawdown Fee (Basis Points)</t>
  </si>
  <si>
    <t xml:space="preserve">Year 3</t>
  </si>
  <si>
    <t xml:space="preserve">Monthly Rate</t>
  </si>
  <si>
    <t xml:space="preserve">Year 4</t>
  </si>
  <si>
    <t xml:space="preserve">Term (Months)</t>
  </si>
  <si>
    <t xml:space="preserve">Drawdown Schedule</t>
  </si>
  <si>
    <t xml:space="preserve">   0=Straightline, 1=Custom</t>
  </si>
  <si>
    <t xml:space="preserve">Calculated IDC</t>
  </si>
  <si>
    <t xml:space="preserve">Percent</t>
  </si>
  <si>
    <t xml:space="preserve">Monthly</t>
  </si>
  <si>
    <t xml:space="preserve">Cumulative</t>
  </si>
  <si>
    <t xml:space="preserve">Straight-Line</t>
  </si>
  <si>
    <t xml:space="preserve">Drawndown</t>
  </si>
  <si>
    <t xml:space="preserve">Principal</t>
  </si>
  <si>
    <t xml:space="preserve">Interest</t>
  </si>
  <si>
    <t xml:space="preserve">Drawdown</t>
  </si>
  <si>
    <t xml:space="preserve">ENRON POWER MARKETING, INC.</t>
  </si>
  <si>
    <t xml:space="preserve">Assumptions</t>
  </si>
  <si>
    <t xml:space="preserve">Pastoria Energy Facility</t>
  </si>
  <si>
    <t xml:space="preserve">Project Scenario</t>
  </si>
  <si>
    <t xml:space="preserve">PLANT SUMMARY:</t>
  </si>
  <si>
    <t xml:space="preserve">CAPITAL COST ($000):</t>
  </si>
  <si>
    <t xml:space="preserve">$/kW</t>
  </si>
  <si>
    <t xml:space="preserve">All Costs</t>
  </si>
  <si>
    <t xml:space="preserve">"Dry Hole"</t>
  </si>
  <si>
    <t xml:space="preserve">FINANCING:</t>
  </si>
  <si>
    <t xml:space="preserve">Output</t>
  </si>
  <si>
    <t xml:space="preserve">Baseload</t>
  </si>
  <si>
    <t xml:space="preserve">EPC Turnkey </t>
  </si>
  <si>
    <t xml:space="preserve">   % Equity</t>
  </si>
  <si>
    <t xml:space="preserve">Net Output (MW)</t>
  </si>
  <si>
    <t xml:space="preserve">   % Debt</t>
  </si>
  <si>
    <t xml:space="preserve">Heat Rate (btu/kWh)</t>
  </si>
  <si>
    <t xml:space="preserve">Site Prep / Balance of Construction:</t>
  </si>
  <si>
    <t xml:space="preserve">Senior Secured Debt:</t>
  </si>
  <si>
    <t xml:space="preserve">Fuel Usage (MMBtu/hour)</t>
  </si>
  <si>
    <t xml:space="preserve">   Spare Parts/Shop Tools</t>
  </si>
  <si>
    <t xml:space="preserve">   Lender's Placement Fee</t>
  </si>
  <si>
    <t xml:space="preserve">   Interconnect to Grid</t>
  </si>
  <si>
    <t xml:space="preserve">PROJECT TIMING:</t>
  </si>
  <si>
    <t xml:space="preserve">   Black Start Capability</t>
  </si>
  <si>
    <t xml:space="preserve">   Spread (years 1-4)</t>
  </si>
  <si>
    <t xml:space="preserve">Contract Signing with Tejon</t>
  </si>
  <si>
    <t xml:space="preserve">   Fuel Gas Line</t>
  </si>
  <si>
    <t xml:space="preserve">   Spread (years 5-8)</t>
  </si>
  <si>
    <t xml:space="preserve">AFC Filing Date</t>
  </si>
  <si>
    <t xml:space="preserve">   Zero Discharge/Well Injection</t>
  </si>
  <si>
    <t xml:space="preserve">   Spread (years 9-12)</t>
  </si>
  <si>
    <t xml:space="preserve">Receipt of AFC/Financial Close</t>
  </si>
  <si>
    <t xml:space="preserve">   Fuel Gas Compressor</t>
  </si>
  <si>
    <t xml:space="preserve">   Spread (years 13-15)</t>
  </si>
  <si>
    <t xml:space="preserve">Equity Infusion Date/Commercial Operations</t>
  </si>
  <si>
    <t xml:space="preserve">   SCR</t>
  </si>
  <si>
    <t xml:space="preserve">   Interest Rate on Term Loan</t>
  </si>
  <si>
    <t xml:space="preserve">Proforma End Date</t>
  </si>
  <si>
    <t xml:space="preserve">   Inlet Air Cooling</t>
  </si>
  <si>
    <t xml:space="preserve">   Debt Term (Yrs) </t>
  </si>
  <si>
    <t xml:space="preserve">   Intake and Water Discharge Structure</t>
  </si>
  <si>
    <t xml:space="preserve">   Principal Payment in First Year</t>
  </si>
  <si>
    <t xml:space="preserve">TAXES:</t>
  </si>
  <si>
    <t xml:space="preserve">   Transmission System Mitigation</t>
  </si>
  <si>
    <t xml:space="preserve">   Reserve (% of Annual Debt Service)</t>
  </si>
  <si>
    <t xml:space="preserve">Federal Corporate Income Tax Rate</t>
  </si>
  <si>
    <t xml:space="preserve">   Air Cooling/Property</t>
  </si>
  <si>
    <t xml:space="preserve">   Reserve Funded from Initial Financing</t>
  </si>
  <si>
    <t xml:space="preserve">State Corporate Income Tax Rate</t>
  </si>
  <si>
    <t xml:space="preserve">Effective Tax Rate</t>
  </si>
  <si>
    <t xml:space="preserve">CURVES:</t>
  </si>
  <si>
    <t xml:space="preserve">Soft Costs:</t>
  </si>
  <si>
    <t xml:space="preserve">Option Time Value</t>
  </si>
  <si>
    <t xml:space="preserve">ESCALATION:</t>
  </si>
  <si>
    <t xml:space="preserve">   Development Fee</t>
  </si>
  <si>
    <t xml:space="preserve">Power</t>
  </si>
  <si>
    <t xml:space="preserve">Annual Inflation </t>
  </si>
  <si>
    <t xml:space="preserve">   Internal Development Costs</t>
  </si>
  <si>
    <t xml:space="preserve">(1=Bid, 2=Mid, 3=Offer, 4=Henwood Reference)</t>
  </si>
  <si>
    <t xml:space="preserve">   Tejon Payment (Signing of Land Lease Option)</t>
  </si>
  <si>
    <t xml:space="preserve">PROJECT EXPENSES - $000</t>
  </si>
  <si>
    <t xml:space="preserve">   Tejon 12/31/99 Payment</t>
  </si>
  <si>
    <t xml:space="preserve">Power Curve Adder ($/MWh)</t>
  </si>
  <si>
    <t xml:space="preserve">O&amp;M Expenses</t>
  </si>
  <si>
    <t xml:space="preserve">   Tejon Payment (Data Adequacy, Water)</t>
  </si>
  <si>
    <t xml:space="preserve">Non-Fuel Variable Costs ($/MWh):</t>
  </si>
  <si>
    <t xml:space="preserve">   Tejon Monthly Payments </t>
  </si>
  <si>
    <t xml:space="preserve">   Maintenance Reserve</t>
  </si>
  <si>
    <t xml:space="preserve">   Tejon Makewhole Payment</t>
  </si>
  <si>
    <t xml:space="preserve">   Water</t>
  </si>
  <si>
    <t xml:space="preserve">   Patch/Thompson</t>
  </si>
  <si>
    <t xml:space="preserve">Gas Transport</t>
  </si>
  <si>
    <t xml:space="preserve">   Sewer</t>
  </si>
  <si>
    <t xml:space="preserve">   Air Pollution Offsets</t>
  </si>
  <si>
    <t xml:space="preserve">Fuel Losses</t>
  </si>
  <si>
    <t xml:space="preserve">Total Non-Fuel Variable Costs</t>
  </si>
  <si>
    <t xml:space="preserve">   Transmission Queue Position</t>
  </si>
  <si>
    <t xml:space="preserve">   Environmental Permitting - Woody Clyde</t>
  </si>
  <si>
    <t xml:space="preserve">RETURNS:</t>
  </si>
  <si>
    <t xml:space="preserve">Fixed G&amp;A Costs:</t>
  </si>
  <si>
    <t xml:space="preserve">   Environmental Permitting - Patch</t>
  </si>
  <si>
    <t xml:space="preserve">Term Debt</t>
  </si>
  <si>
    <t xml:space="preserve">   Air District Filing Fee</t>
  </si>
  <si>
    <t xml:space="preserve">Debt Coverage Ratios</t>
  </si>
  <si>
    <t xml:space="preserve">   Direct Labor- O&amp;M</t>
  </si>
  <si>
    <t xml:space="preserve">   Pre-Financial Closing Legal Fees</t>
  </si>
  <si>
    <t xml:space="preserve">Minimum</t>
  </si>
  <si>
    <t xml:space="preserve">   Fixed Water Costs</t>
  </si>
  <si>
    <t xml:space="preserve">   Financial Closing Legal Fees</t>
  </si>
  <si>
    <t xml:space="preserve">Maximum</t>
  </si>
  <si>
    <t xml:space="preserve">   Property Tax</t>
  </si>
  <si>
    <t xml:space="preserve">   Lenders' Legal Fee</t>
  </si>
  <si>
    <t xml:space="preserve">Average</t>
  </si>
  <si>
    <t xml:space="preserve">   Lease Expense</t>
  </si>
  <si>
    <t xml:space="preserve">   Engineering</t>
  </si>
  <si>
    <t xml:space="preserve">   Insurance</t>
  </si>
  <si>
    <t xml:space="preserve">   Project Management during Construction</t>
  </si>
  <si>
    <t xml:space="preserve">Equity Investor (as of Commercial Operations)</t>
  </si>
  <si>
    <t xml:space="preserve">   General &amp; Administrative</t>
  </si>
  <si>
    <t xml:space="preserve">   Startup and Acceptance</t>
  </si>
  <si>
    <t xml:space="preserve">   Outside Services</t>
  </si>
  <si>
    <t xml:space="preserve">   Advance Water Payments</t>
  </si>
  <si>
    <t xml:space="preserve">NPV @ Comm. Oper.</t>
  </si>
  <si>
    <t xml:space="preserve">   SCR / Co-Catalyst</t>
  </si>
  <si>
    <t xml:space="preserve">   Sales Tax</t>
  </si>
  <si>
    <t xml:space="preserve">   Project Management Fee</t>
  </si>
  <si>
    <t xml:space="preserve">   Title Insurance</t>
  </si>
  <si>
    <t xml:space="preserve">   Agency Fee</t>
  </si>
  <si>
    <t xml:space="preserve">   Insurance and Perf. Bond</t>
  </si>
  <si>
    <t xml:space="preserve">Developer (as of Financial Closing Date)</t>
  </si>
  <si>
    <t xml:space="preserve">   O/M Management Fee</t>
  </si>
  <si>
    <t xml:space="preserve">   Owner's Engineer</t>
  </si>
  <si>
    <t xml:space="preserve">   Fuel Management/SC Services</t>
  </si>
  <si>
    <t xml:space="preserve">   CBO/Engineer/Consultant</t>
  </si>
  <si>
    <t xml:space="preserve">   Consumables</t>
  </si>
  <si>
    <t xml:space="preserve">   Miscellaneous</t>
  </si>
  <si>
    <t xml:space="preserve">Development Costs</t>
  </si>
  <si>
    <t xml:space="preserve">   Contingency @</t>
  </si>
  <si>
    <t xml:space="preserve">Total Fixed G&amp;A Costs</t>
  </si>
  <si>
    <t xml:space="preserve">Other Expenses:</t>
  </si>
  <si>
    <t xml:space="preserve">   Total Development Costs</t>
  </si>
  <si>
    <t xml:space="preserve">Tejon Spark Spread Sharing</t>
  </si>
  <si>
    <t xml:space="preserve">IDC Calculations (See IDC Worksheet)</t>
  </si>
  <si>
    <t xml:space="preserve">   Capacity</t>
  </si>
  <si>
    <t xml:space="preserve">Rate</t>
  </si>
  <si>
    <t xml:space="preserve">Term </t>
  </si>
  <si>
    <t xml:space="preserve">Tejon Ranchcorp (as of 3/31/99)</t>
  </si>
  <si>
    <t xml:space="preserve">   Heat Rate</t>
  </si>
  <si>
    <t xml:space="preserve">Drawdown Schedule (0=SL,1=Custom)</t>
  </si>
  <si>
    <t xml:space="preserve">   Gas Adder</t>
  </si>
  <si>
    <t xml:space="preserve">Drawdown Fee</t>
  </si>
  <si>
    <t xml:space="preserve">Basis Points</t>
  </si>
  <si>
    <t xml:space="preserve">Pre-Operational Payments</t>
  </si>
  <si>
    <t xml:space="preserve">  % Sharing</t>
  </si>
  <si>
    <t xml:space="preserve">Total IDC</t>
  </si>
  <si>
    <t xml:space="preserve">Post-Operational Payments</t>
  </si>
  <si>
    <t xml:space="preserve">  Average or Hourly Calculation</t>
  </si>
  <si>
    <t xml:space="preserve">Hourly</t>
  </si>
  <si>
    <t xml:space="preserve">Senior Debt Placement Fee</t>
  </si>
  <si>
    <t xml:space="preserve">Summary Statistics (1st Full Year)</t>
  </si>
  <si>
    <t xml:space="preserve">Total Capital Cost</t>
  </si>
  <si>
    <t xml:space="preserve">Total Sales (MWh)</t>
  </si>
  <si>
    <t xml:space="preserve">RMR REVENUES:</t>
  </si>
  <si>
    <t xml:space="preserve">Load Factor</t>
  </si>
  <si>
    <t xml:space="preserve">Start Year</t>
  </si>
  <si>
    <t xml:space="preserve">Average Price </t>
  </si>
  <si>
    <t xml:space="preserve">End Year</t>
  </si>
  <si>
    <t xml:space="preserve">$/kW-year</t>
  </si>
  <si>
    <t xml:space="preserve">Total Consumption (MMBtu)</t>
  </si>
  <si>
    <t xml:space="preserve">TOLLING OPTION REVENUES:</t>
  </si>
  <si>
    <t xml:space="preserve">Average Price</t>
  </si>
  <si>
    <t xml:space="preserve">Tolling Option</t>
  </si>
  <si>
    <t xml:space="preserve">Revenues</t>
  </si>
  <si>
    <t xml:space="preserve">Gas Costs</t>
  </si>
  <si>
    <t xml:space="preserve">$/kW-month</t>
  </si>
  <si>
    <t xml:space="preserve">O&amp;M</t>
  </si>
  <si>
    <t xml:space="preserve">G&amp;A</t>
  </si>
  <si>
    <t xml:space="preserve">Depreciation</t>
  </si>
  <si>
    <t xml:space="preserve">EBIT</t>
  </si>
  <si>
    <t xml:space="preserve">Tax </t>
  </si>
  <si>
    <t xml:space="preserve">Net Income</t>
  </si>
  <si>
    <t xml:space="preserve">)</t>
  </si>
  <si>
    <t xml:space="preserve">Scheduled Capital Expenditures</t>
  </si>
  <si>
    <t xml:space="preserve">Total Asset</t>
  </si>
  <si>
    <t xml:space="preserve">Depreciable Assets</t>
  </si>
  <si>
    <t xml:space="preserve">Book Value</t>
  </si>
  <si>
    <t xml:space="preserve">Fixed Assets</t>
  </si>
  <si>
    <t xml:space="preserve">Scrubber</t>
  </si>
  <si>
    <t xml:space="preserve">Asset 3</t>
  </si>
  <si>
    <t xml:space="preserve">Asset 4</t>
  </si>
  <si>
    <t xml:space="preserve">Asset 5</t>
  </si>
  <si>
    <t xml:space="preserve">Asset 6</t>
  </si>
  <si>
    <t xml:space="preserve">Asset 7</t>
  </si>
  <si>
    <t xml:space="preserve">Asset 8</t>
  </si>
  <si>
    <t xml:space="preserve">Asset 9</t>
  </si>
  <si>
    <t xml:space="preserve">Asset 10</t>
  </si>
  <si>
    <t xml:space="preserve">   Total Fixed Assets</t>
  </si>
  <si>
    <t xml:space="preserve">Capitalized Construction Interest/Intangibles</t>
  </si>
  <si>
    <t xml:space="preserve">Funding 1</t>
  </si>
  <si>
    <t xml:space="preserve">Rate:</t>
  </si>
  <si>
    <t xml:space="preserve">Funding 2</t>
  </si>
  <si>
    <t xml:space="preserve">Subtotal  </t>
  </si>
  <si>
    <t xml:space="preserve">Non-Depreciable Assets (Land)</t>
  </si>
  <si>
    <t xml:space="preserve">Total Capital Expenditures</t>
  </si>
  <si>
    <t xml:space="preserve">Oil &amp; Gas Prices</t>
  </si>
  <si>
    <t xml:space="preserve">Depreciation &amp; Amortization Parameters</t>
  </si>
  <si>
    <t xml:space="preserve">Oil &amp; Gas Reserve Information</t>
  </si>
  <si>
    <t xml:space="preserve">Hedging Profits/(Losses)</t>
  </si>
  <si>
    <t xml:space="preserve">Book Capitalization and Depreciation</t>
  </si>
  <si>
    <t xml:space="preserve">Tax Depreciation</t>
  </si>
  <si>
    <t xml:space="preserve">Oil &amp; Gas Reserve Totals</t>
  </si>
  <si>
    <t xml:space="preserve">Start</t>
  </si>
  <si>
    <t xml:space="preserve">Simulated</t>
  </si>
  <si>
    <t xml:space="preserve">Residual/</t>
  </si>
  <si>
    <t xml:space="preserve">Method</t>
  </si>
  <si>
    <t xml:space="preserve">DB Decline</t>
  </si>
  <si>
    <t xml:space="preserve">Desc.</t>
  </si>
  <si>
    <t xml:space="preserve">Cost</t>
  </si>
  <si>
    <t xml:space="preserve">Salvage</t>
  </si>
  <si>
    <t xml:space="preserve">(mm/dd/yy)</t>
  </si>
  <si>
    <t xml:space="preserve">Life (yrs)</t>
  </si>
  <si>
    <t xml:space="preserve">(SL/DB)</t>
  </si>
  <si>
    <t xml:space="preserve">Value</t>
  </si>
  <si>
    <t xml:space="preserve">Life (yrs.)</t>
  </si>
  <si>
    <t xml:space="preserve">SL</t>
  </si>
  <si>
    <t xml:space="preserve">DB</t>
  </si>
  <si>
    <t xml:space="preserve">Subtotal </t>
  </si>
  <si>
    <t xml:space="preserve">diff. vs. book:</t>
  </si>
  <si>
    <t xml:space="preserve">Scheduled Depreciation Expense - Book</t>
  </si>
  <si>
    <t xml:space="preserve">Total Depreciation Expense</t>
  </si>
  <si>
    <t xml:space="preserve">Total Amortization of Capitalized Interest</t>
  </si>
  <si>
    <t xml:space="preserve">Total Book Depreciation/Amortization Expense</t>
  </si>
  <si>
    <t xml:space="preserve">chk:</t>
  </si>
  <si>
    <t xml:space="preserve">Scheduled Depreciation Expense - Tax</t>
  </si>
  <si>
    <t xml:space="preserve">MACRS</t>
  </si>
  <si>
    <t xml:space="preserve">Total Tax Depreciation/Amortization Expense</t>
  </si>
  <si>
    <t xml:space="preserve">Fixed Asset Summary</t>
  </si>
  <si>
    <t xml:space="preserve">Capitalized Costs</t>
  </si>
  <si>
    <t xml:space="preserve">Land</t>
  </si>
  <si>
    <t xml:space="preserve">Depreciation and  Amortization Expense - Book</t>
  </si>
  <si>
    <t xml:space="preserve">Depreciation Expense - Pre-Transaction Assets</t>
  </si>
  <si>
    <t xml:space="preserve">Add:  Book Depreciation Expense - Transaction Assets</t>
  </si>
  <si>
    <t xml:space="preserve">    Total Depreciation Expense - Book</t>
  </si>
  <si>
    <t xml:space="preserve">Amortization of Capitalized Costs - Book</t>
  </si>
  <si>
    <t xml:space="preserve">Depreciation and  Amortization Expense - Tax</t>
  </si>
  <si>
    <t xml:space="preserve">    Net Depreciation Expense - Tax</t>
  </si>
  <si>
    <t xml:space="preserve">Amortization of Capitalized Costs - Tax</t>
  </si>
  <si>
    <t xml:space="preserve">MACROECONOMIC DATA</t>
  </si>
  <si>
    <t xml:space="preserve">Escalation Factors - Dollars</t>
  </si>
  <si>
    <t xml:space="preserve">(1)</t>
  </si>
  <si>
    <t xml:space="preserve">Input Scenario</t>
  </si>
  <si>
    <t xml:space="preserve">Inflation Rate </t>
  </si>
  <si>
    <t xml:space="preserve">Cumulative index equivalent</t>
  </si>
  <si>
    <t xml:space="preserve">Other Currency Information</t>
  </si>
  <si>
    <t xml:space="preserve">Second currency name:</t>
  </si>
  <si>
    <t xml:space="preserve">Reis</t>
  </si>
  <si>
    <t xml:space="preserve">Distribution</t>
  </si>
  <si>
    <t xml:space="preserve">Normal</t>
  </si>
  <si>
    <t xml:space="preserve">Output Pricing</t>
  </si>
  <si>
    <t xml:space="preserve">Contract Rev</t>
  </si>
  <si>
    <t xml:space="preserve">Escalation Scenario (1 Flat, 2 esc)</t>
  </si>
  <si>
    <t xml:space="preserve">Beginning Price</t>
  </si>
  <si>
    <t xml:space="preserve">Input Price</t>
  </si>
  <si>
    <t xml:space="preserve">Adustments</t>
  </si>
  <si>
    <t xml:space="preserve">    Total Price</t>
  </si>
  <si>
    <t xml:space="preserve">    Price in USD</t>
  </si>
  <si>
    <t xml:space="preserve">Output Sales</t>
  </si>
  <si>
    <t xml:space="preserve">Sales</t>
  </si>
  <si>
    <t xml:space="preserve">Price</t>
  </si>
  <si>
    <t xml:space="preserve">Total Output 1 Revenue</t>
  </si>
  <si>
    <t xml:space="preserve">Market Revs</t>
  </si>
  <si>
    <t xml:space="preserve">Total Output 2 Revenue</t>
  </si>
  <si>
    <t xml:space="preserve">Tolling Option Revenues</t>
  </si>
  <si>
    <t xml:space="preserve">    Total Sales Revenue</t>
  </si>
  <si>
    <t xml:space="preserve">Cost of Sales</t>
  </si>
  <si>
    <t xml:space="preserve">Costs vary with</t>
  </si>
  <si>
    <t xml:space="preserve">MMBTU</t>
  </si>
  <si>
    <t xml:space="preserve">Totals in USD</t>
  </si>
  <si>
    <t xml:space="preserve">MWH</t>
  </si>
  <si>
    <t xml:space="preserve">Purchased Power</t>
  </si>
  <si>
    <t xml:space="preserve">ByProducts</t>
  </si>
  <si>
    <t xml:space="preserve">Total Variable Production Costs</t>
  </si>
  <si>
    <t xml:space="preserve">Fixed Cost</t>
  </si>
  <si>
    <t xml:space="preserve">Amount</t>
  </si>
  <si>
    <t xml:space="preserve">THESE ARE ALL VARIABLE COSTS</t>
  </si>
  <si>
    <t xml:space="preserve">Total Fixed Production Costs</t>
  </si>
  <si>
    <t xml:space="preserve">Total Costs of Sales</t>
  </si>
  <si>
    <t xml:space="preserve">General &amp; Admin</t>
  </si>
  <si>
    <t xml:space="preserve">Tejon Spark Spread </t>
  </si>
  <si>
    <t xml:space="preserve">SPARK SPREAD ROYALTY CALCULATED ON CALC SHEET, NOT GROWN BY INFLATION</t>
  </si>
  <si>
    <t xml:space="preserve">Total Variable Operating Expenses</t>
  </si>
  <si>
    <t xml:space="preserve">THESE ARE PROPERLY ESCALATED BY INFLATION</t>
  </si>
  <si>
    <t xml:space="preserve">Total Fixed Operating Expenses</t>
  </si>
  <si>
    <t xml:space="preserve">Total Operating Expenses</t>
  </si>
  <si>
    <t xml:space="preserve">SUMMARY INFORMATION</t>
  </si>
  <si>
    <t xml:space="preserve">    Total</t>
  </si>
  <si>
    <t xml:space="preserve">Cost of Revenues</t>
  </si>
  <si>
    <t xml:space="preserve">Other Costs of Sales</t>
  </si>
  <si>
    <t xml:space="preserve">    Total Cost of Revenues</t>
  </si>
  <si>
    <t xml:space="preserve">Gross Margin</t>
  </si>
  <si>
    <t xml:space="preserve">EBDIT</t>
  </si>
  <si>
    <t xml:space="preserve">Data to Financing Section</t>
  </si>
  <si>
    <t xml:space="preserve">Revenues (excluding deferred PP revenue)</t>
  </si>
  <si>
    <t xml:space="preserve">Cash Expenses</t>
  </si>
  <si>
    <t xml:space="preserve">Capital Expenditures - Total</t>
  </si>
  <si>
    <t xml:space="preserve">Capital Expenditures - Land</t>
  </si>
  <si>
    <t xml:space="preserve">Depreciation Expense - Book</t>
  </si>
  <si>
    <t xml:space="preserve">Depreciation Expense - Tax</t>
  </si>
  <si>
    <t xml:space="preserve">Amortization of Intangibles - Book</t>
  </si>
  <si>
    <t xml:space="preserve">Amortization of Intangibles - Tax</t>
  </si>
  <si>
    <t xml:space="preserve">Data from Financing Section</t>
  </si>
  <si>
    <t xml:space="preserve">Fraction of year</t>
  </si>
  <si>
    <t xml:space="preserve">Units</t>
  </si>
  <si>
    <t xml:space="preserve">SCENARIO:    </t>
  </si>
  <si>
    <t xml:space="preserve">Base Case</t>
  </si>
  <si>
    <t xml:space="preserve">($ in</t>
  </si>
  <si>
    <t xml:space="preserve">Thousands</t>
  </si>
  <si>
    <t xml:space="preserve">INCOME STATEMENT:</t>
  </si>
  <si>
    <t xml:space="preserve">Total Cost of Revenues</t>
  </si>
  <si>
    <t xml:space="preserve">Gross Profits</t>
  </si>
  <si>
    <t xml:space="preserve">Depreciation and Depletion</t>
  </si>
  <si>
    <t xml:space="preserve">    Subtotal - Depreciation, Depletion, Amortization</t>
  </si>
  <si>
    <t xml:space="preserve">Other Income:</t>
  </si>
  <si>
    <t xml:space="preserve">Interest Income</t>
  </si>
  <si>
    <t xml:space="preserve">Total Other Income</t>
  </si>
  <si>
    <t xml:space="preserve">Interest Expense:</t>
  </si>
  <si>
    <t xml:space="preserve">Deficit Revolver</t>
  </si>
  <si>
    <t xml:space="preserve">Total Interest Expense</t>
  </si>
  <si>
    <t xml:space="preserve">Income b/f Taxes and Gains</t>
  </si>
  <si>
    <t xml:space="preserve">Gain on Sale of Assets</t>
  </si>
  <si>
    <t xml:space="preserve">Gross Receipts Tax</t>
  </si>
  <si>
    <t xml:space="preserve">Income b/f Income Taxes</t>
  </si>
  <si>
    <t xml:space="preserve">Income Taxes</t>
  </si>
  <si>
    <t xml:space="preserve">Legal Reserve Requirement</t>
  </si>
  <si>
    <t xml:space="preserve">Net Income Available to Common</t>
  </si>
  <si>
    <t xml:space="preserve">Common Dividends</t>
  </si>
  <si>
    <t xml:space="preserve">SOURCES AND USES:</t>
  </si>
  <si>
    <t xml:space="preserve">SOURCES:</t>
  </si>
  <si>
    <t xml:space="preserve">Depreciation &amp; Amortization</t>
  </si>
  <si>
    <t xml:space="preserve">Deferred Income Taxes</t>
  </si>
  <si>
    <t xml:space="preserve">Non-Cash Interest and Dividends</t>
  </si>
  <si>
    <t xml:space="preserve">Net Proceeds from Sale of Assets</t>
  </si>
  <si>
    <t xml:space="preserve">Total Sources</t>
  </si>
  <si>
    <t xml:space="preserve">USES:</t>
  </si>
  <si>
    <t xml:space="preserve">Change in Adjusted W/C</t>
  </si>
  <si>
    <t xml:space="preserve">Decrease in</t>
  </si>
  <si>
    <t xml:space="preserve">Dividends/Treasury Stock Acquisition/Preferred Stock Redemption</t>
  </si>
  <si>
    <t xml:space="preserve">Total Uses</t>
  </si>
  <si>
    <t xml:space="preserve">EXCESS/(DEFICIT)</t>
  </si>
  <si>
    <t xml:space="preserve">FINANCED BY:</t>
  </si>
  <si>
    <t xml:space="preserve">Total Scheduled Financing</t>
  </si>
  <si>
    <t xml:space="preserve">Increase/(Decrease) in Deficit Revolver</t>
  </si>
  <si>
    <t xml:space="preserve">Decrease/(Increase) in Excess Cash</t>
  </si>
  <si>
    <t xml:space="preserve">Total Financing</t>
  </si>
  <si>
    <t xml:space="preserve">AVAILABLE CASH:</t>
  </si>
  <si>
    <t xml:space="preserve">Beginning Cash</t>
  </si>
  <si>
    <t xml:space="preserve">Operating Increase/(Decrease)</t>
  </si>
  <si>
    <t xml:space="preserve">Excess Increase/(Decrease)</t>
  </si>
  <si>
    <t xml:space="preserve">Ending Cash</t>
  </si>
  <si>
    <t xml:space="preserve">BALANCE SHEET:</t>
  </si>
  <si>
    <t xml:space="preserve">Total Intangibles</t>
  </si>
  <si>
    <t xml:space="preserve">Short Term Debt</t>
  </si>
  <si>
    <t xml:space="preserve">CAPITALIZATION:</t>
  </si>
  <si>
    <t xml:space="preserve">Deficit Revolver:</t>
  </si>
  <si>
    <t xml:space="preserve">Beginning Balance</t>
  </si>
  <si>
    <t xml:space="preserve">(Addition)</t>
  </si>
  <si>
    <t xml:space="preserve">Repayment</t>
  </si>
  <si>
    <t xml:space="preserve">Ending Balance</t>
  </si>
  <si>
    <t xml:space="preserve">    Interest Rate</t>
  </si>
  <si>
    <t xml:space="preserve">Excess Cash Flow Recapture</t>
  </si>
  <si>
    <t xml:space="preserve">TRANSACTION ASSUMPTIONS:</t>
  </si>
  <si>
    <t xml:space="preserve">Transaction Date:</t>
  </si>
  <si>
    <t xml:space="preserve">Transaction Date Adjustment:</t>
  </si>
  <si>
    <t xml:space="preserve">Fraction:</t>
  </si>
  <si>
    <t xml:space="preserve">Pre Transaction Revenues</t>
  </si>
  <si>
    <t xml:space="preserve">Months:</t>
  </si>
  <si>
    <t xml:space="preserve">and Expenses, and</t>
  </si>
  <si>
    <t xml:space="preserve">Post Transaction Revenues</t>
  </si>
  <si>
    <t xml:space="preserve">and Expenses in fiscal</t>
  </si>
  <si>
    <t xml:space="preserve">Fiscal Year End:</t>
  </si>
  <si>
    <t xml:space="preserve">Transaction Funds Flow</t>
  </si>
  <si>
    <t xml:space="preserve">Subsequent Fundings</t>
  </si>
  <si>
    <t xml:space="preserve">Transaction</t>
  </si>
  <si>
    <t xml:space="preserve">Totals</t>
  </si>
  <si>
    <t xml:space="preserve">Purchase Term Loan</t>
  </si>
  <si>
    <t xml:space="preserve">Scrubber Term Loan</t>
  </si>
  <si>
    <t xml:space="preserve">Common Stock</t>
  </si>
  <si>
    <t xml:space="preserve">Cash on Hand</t>
  </si>
  <si>
    <t xml:space="preserve">Sources</t>
  </si>
  <si>
    <t xml:space="preserve">Capital Exp.:</t>
  </si>
  <si>
    <t xml:space="preserve">PP&amp;E</t>
  </si>
  <si>
    <t xml:space="preserve">Dividend/Distribution</t>
  </si>
  <si>
    <t xml:space="preserve">Treasury Stock Acquisition</t>
  </si>
  <si>
    <t xml:space="preserve">Transaction Fees</t>
  </si>
  <si>
    <t xml:space="preserve">Excess Cash/Other Funding</t>
  </si>
  <si>
    <t xml:space="preserve">Uses</t>
  </si>
  <si>
    <t xml:space="preserve">Proof:</t>
  </si>
  <si>
    <t xml:space="preserve">TRANSACTION FEES:</t>
  </si>
  <si>
    <t xml:space="preserve">Tax Life</t>
  </si>
  <si>
    <t xml:space="preserve">Accounting</t>
  </si>
  <si>
    <t xml:space="preserve">%</t>
  </si>
  <si>
    <t xml:space="preserve">(Yrs)</t>
  </si>
  <si>
    <t xml:space="preserve">Treatment</t>
  </si>
  <si>
    <t xml:space="preserve">Transaction Advisory Fee</t>
  </si>
  <si>
    <t xml:space="preserve">NA</t>
  </si>
  <si>
    <t xml:space="preserve">Expensed:</t>
  </si>
  <si>
    <t xml:space="preserve">Other Fees and Expenses</t>
  </si>
  <si>
    <t xml:space="preserve">Capitalized:</t>
  </si>
  <si>
    <t xml:space="preserve">Upfront Placement Fees:</t>
  </si>
  <si>
    <t xml:space="preserve">Amortization:</t>
  </si>
  <si>
    <t xml:space="preserve">*(As % of Commitment)</t>
  </si>
  <si>
    <t xml:space="preserve">HISTORICAL AND OPENING BALANCE SHEETS:</t>
  </si>
  <si>
    <t xml:space="preserve">ASSETS:</t>
  </si>
  <si>
    <t xml:space="preserve">Add</t>
  </si>
  <si>
    <t xml:space="preserve">Subtract</t>
  </si>
  <si>
    <t xml:space="preserve">Operating Cash</t>
  </si>
  <si>
    <t xml:space="preserve">Cash and Marketable Securities</t>
  </si>
  <si>
    <t xml:space="preserve">Accounts Receivable</t>
  </si>
  <si>
    <t xml:space="preserve">Inventories</t>
  </si>
  <si>
    <t xml:space="preserve">Other Current Assets</t>
  </si>
  <si>
    <t xml:space="preserve">Total Current Assets</t>
  </si>
  <si>
    <t xml:space="preserve">Intangibles</t>
  </si>
  <si>
    <t xml:space="preserve">Gross PP&amp;E</t>
  </si>
  <si>
    <t xml:space="preserve">Accumulated Depreciation</t>
  </si>
  <si>
    <t xml:space="preserve">Net PP&amp;E</t>
  </si>
  <si>
    <t xml:space="preserve">Other Assets</t>
  </si>
  <si>
    <t xml:space="preserve">Total Assets</t>
  </si>
  <si>
    <t xml:space="preserve">LIABILITIES &amp; EQUITY:</t>
  </si>
  <si>
    <t xml:space="preserve">Accounts Payable</t>
  </si>
  <si>
    <t xml:space="preserve">Long-term</t>
  </si>
  <si>
    <t xml:space="preserve">Accrued Expenses</t>
  </si>
  <si>
    <t xml:space="preserve">Capitalization</t>
  </si>
  <si>
    <t xml:space="preserve">Other Payables</t>
  </si>
  <si>
    <t xml:space="preserve">Current Maturities</t>
  </si>
  <si>
    <t xml:space="preserve">Total Current Liabilities</t>
  </si>
  <si>
    <t xml:space="preserve">Deferred Taxes</t>
  </si>
  <si>
    <t xml:space="preserve">Other Liabilities</t>
  </si>
  <si>
    <t xml:space="preserve">Total Long-term Liabilities</t>
  </si>
  <si>
    <t xml:space="preserve">Total Liabilities</t>
  </si>
  <si>
    <t xml:space="preserve">Paid in Capital</t>
  </si>
  <si>
    <t xml:space="preserve">Treasury Stock</t>
  </si>
  <si>
    <t xml:space="preserve">Retained Earnings</t>
  </si>
  <si>
    <t xml:space="preserve">Preferred and Common Dividends</t>
  </si>
  <si>
    <t xml:space="preserve">Total Stockholders' Equity</t>
  </si>
  <si>
    <t xml:space="preserve">Total Liabilities &amp; Equity</t>
  </si>
  <si>
    <t xml:space="preserve">ADJ. WORKING CAPITAL ANALYSIS</t>
  </si>
  <si>
    <t xml:space="preserve">Operating Cash Balance</t>
  </si>
  <si>
    <t xml:space="preserve">Adjusted W/C Balance: </t>
  </si>
  <si>
    <t xml:space="preserve">Increase/(Decrease) in Other Liabilities</t>
  </si>
  <si>
    <t xml:space="preserve">Total Scheduled Debt Service</t>
  </si>
  <si>
    <t xml:space="preserve">Required Reserve</t>
  </si>
  <si>
    <t xml:space="preserve">Starting Reserve</t>
  </si>
  <si>
    <t xml:space="preserve">Reserve Addition</t>
  </si>
  <si>
    <t xml:space="preserve">Ending Reserve</t>
  </si>
  <si>
    <t xml:space="preserve">Increase/(Decrease) in Other Assets (DS Reserve)</t>
  </si>
  <si>
    <t xml:space="preserve">SCHEDULED DEBT AND STOCK</t>
  </si>
  <si>
    <t xml:space="preserve">    REPAYMENT AND ADDITIONS:</t>
  </si>
  <si>
    <t xml:space="preserve">(Scheduled Additions)</t>
  </si>
  <si>
    <t xml:space="preserve">Interest Deferral: (YES or NO)</t>
  </si>
  <si>
    <t xml:space="preserve">NO</t>
  </si>
  <si>
    <t xml:space="preserve">Interest Deferral Tax Deductible: (YES or NO)</t>
  </si>
  <si>
    <t xml:space="preserve">YES</t>
  </si>
  <si>
    <t xml:space="preserve">Interest Rate Deferred</t>
  </si>
  <si>
    <t xml:space="preserve">Amount Deferred (Accrued Semi-annually)</t>
  </si>
  <si>
    <t xml:space="preserve">Excess Cash Flow Recapture:</t>
  </si>
  <si>
    <t xml:space="preserve">Amount Deferred (Accrued Semi-annually)-Avg Balance</t>
  </si>
  <si>
    <t xml:space="preserve">Treasury Stock Purchases</t>
  </si>
  <si>
    <t xml:space="preserve">(Issues)</t>
  </si>
  <si>
    <t xml:space="preserve">INTEREST RATES, COUPON RATES AND</t>
  </si>
  <si>
    <t xml:space="preserve">DIVIDEND YIELDS:</t>
  </si>
  <si>
    <t xml:space="preserve">Hist Common Div'ds</t>
  </si>
  <si>
    <t xml:space="preserve">Dividend Payout Ratio</t>
  </si>
  <si>
    <t xml:space="preserve">Interest Earned on Cash Balances?</t>
  </si>
  <si>
    <t xml:space="preserve">Hist Int Income/Int on Cash Balances</t>
  </si>
  <si>
    <t xml:space="preserve">HISTORICAL AND PROFORMA NON-OPERATING ASSUMPTIONS:</t>
  </si>
  <si>
    <t xml:space="preserve">FYE:</t>
  </si>
  <si>
    <t xml:space="preserve">Amortization   -  Transaction Fees</t>
  </si>
  <si>
    <r>
      <rPr>
        <sz val="8"/>
        <rFont val="Arial"/>
        <family val="0"/>
      </rPr>
      <t xml:space="preserve">Amortization   -  Intangibles </t>
    </r>
    <r>
      <rPr>
        <i val="true"/>
        <sz val="8"/>
        <rFont val="Arial"/>
        <family val="0"/>
      </rPr>
      <t xml:space="preserve">(from operating sheet)</t>
    </r>
  </si>
  <si>
    <t xml:space="preserve">    Total Amortization Expense</t>
  </si>
  <si>
    <t xml:space="preserve">Other Income (excluding interest income)</t>
  </si>
  <si>
    <t xml:space="preserve">ASSET SALES</t>
  </si>
  <si>
    <t xml:space="preserve">Gross Sale Price</t>
  </si>
  <si>
    <t xml:space="preserve">Gross Book Value of Assets Sold</t>
  </si>
  <si>
    <t xml:space="preserve">Accumulated Depreciation - Book</t>
  </si>
  <si>
    <t xml:space="preserve">Net Book Value of Assets Sold</t>
  </si>
  <si>
    <t xml:space="preserve">Pretax Gain/(Loss) - Book</t>
  </si>
  <si>
    <t xml:space="preserve">Change in Book Depreciation  Expense Associated with Assets Sold</t>
  </si>
  <si>
    <t xml:space="preserve">Net Tax Value - Regular Tax*</t>
  </si>
  <si>
    <t xml:space="preserve">Pretax Gain/(Loss) - Tax</t>
  </si>
  <si>
    <t xml:space="preserve">Change in Tax Depreciation Expense Associated with Assets Sold</t>
  </si>
  <si>
    <t xml:space="preserve">*Default to Book Gain/(Loss)</t>
  </si>
  <si>
    <t xml:space="preserve">TAX ASSUMPTIONS:</t>
  </si>
  <si>
    <t xml:space="preserve">    $</t>
  </si>
  <si>
    <t xml:space="preserve">    %</t>
  </si>
  <si>
    <t xml:space="preserve">Historical Book Taxes</t>
  </si>
  <si>
    <t xml:space="preserve">Federal Income Tax Rate</t>
  </si>
  <si>
    <t xml:space="preserve">State Income Tax Rate</t>
  </si>
  <si>
    <t xml:space="preserve">Gross Receipt Tax</t>
  </si>
  <si>
    <t xml:space="preserve">INCOME TAX CALCULATION:</t>
  </si>
  <si>
    <t xml:space="preserve">REGULAR IRS TAXES:</t>
  </si>
  <si>
    <t xml:space="preserve">Income before Taxes</t>
  </si>
  <si>
    <t xml:space="preserve">Add Back:</t>
  </si>
  <si>
    <t xml:space="preserve">Book Depreciation</t>
  </si>
  <si>
    <t xml:space="preserve">Book Loss/(Gain) on Asset Sales</t>
  </si>
  <si>
    <t xml:space="preserve">Deduct: </t>
  </si>
  <si>
    <t xml:space="preserve">Tax Depreciation (Regular)</t>
  </si>
  <si>
    <t xml:space="preserve">Tax Loss/(Gain) on Asset Sales (Regular)</t>
  </si>
  <si>
    <t xml:space="preserve">Taxable Income before NOL</t>
  </si>
  <si>
    <t xml:space="preserve">Beginning NOL Balance</t>
  </si>
  <si>
    <t xml:space="preserve">Less: NOL Expired</t>
  </si>
  <si>
    <t xml:space="preserve">NOL Applicable</t>
  </si>
  <si>
    <t xml:space="preserve">NOL (Addition)</t>
  </si>
  <si>
    <t xml:space="preserve">NOL Used</t>
  </si>
  <si>
    <t xml:space="preserve">Ending NOL Balance</t>
  </si>
  <si>
    <t xml:space="preserve">Taxable Income After NOL</t>
  </si>
  <si>
    <t xml:space="preserve">State Taxes @</t>
  </si>
  <si>
    <t xml:space="preserve">Federal Taxes @</t>
  </si>
  <si>
    <t xml:space="preserve">Regular Taxes before AMT Tax Credit</t>
  </si>
  <si>
    <t xml:space="preserve">BOOK TAXES:</t>
  </si>
  <si>
    <t xml:space="preserve">Taxable Book Income before NOL </t>
  </si>
  <si>
    <t xml:space="preserve">Taxable Book Income After NOL</t>
  </si>
  <si>
    <t xml:space="preserve">Book Taxes</t>
  </si>
  <si>
    <t xml:space="preserve">Cash Taxes Paid (greater of AMT Taxes or Regular Taxes)</t>
  </si>
  <si>
    <t xml:space="preserve">DISCOUNTED CASHFLOW VALUATION ANALYSIS:</t>
  </si>
  <si>
    <t xml:space="preserve">OPERATING CASH FLOWS:</t>
  </si>
  <si>
    <t xml:space="preserve">Initial Equity Investment</t>
  </si>
  <si>
    <t xml:space="preserve">Plus:</t>
  </si>
  <si>
    <t xml:space="preserve">Amortization &amp; Depreciation</t>
  </si>
  <si>
    <t xml:space="preserve">Less:</t>
  </si>
  <si>
    <t xml:space="preserve">Increase/(Decrease) in Adjusted W/C (ex. OpCash)</t>
  </si>
  <si>
    <t xml:space="preserve">Operating Cash Flows</t>
  </si>
  <si>
    <t xml:space="preserve">Capital Expenditures</t>
  </si>
  <si>
    <t xml:space="preserve">Debt Principal Repayment</t>
  </si>
  <si>
    <t xml:space="preserve">Disbursements from Debt</t>
  </si>
  <si>
    <t xml:space="preserve">(Decrease)/Increase in Other Assets/Liabilities</t>
  </si>
  <si>
    <t xml:space="preserve">Net Cash Flow Available to Equity</t>
  </si>
  <si>
    <t xml:space="preserve">Valuation</t>
  </si>
  <si>
    <t xml:space="preserve">Annuity</t>
  </si>
  <si>
    <t xml:space="preserve">W/Terminal Value</t>
  </si>
  <si>
    <t xml:space="preserve">IBIT + DD&amp;A</t>
  </si>
  <si>
    <t xml:space="preserve">Interest Expense</t>
  </si>
  <si>
    <t xml:space="preserve">Discount Rate</t>
  </si>
  <si>
    <t xml:space="preserve">Debt Repayment</t>
  </si>
  <si>
    <t xml:space="preserve">(Pre-Tax) Debt Coverage Ratio</t>
  </si>
  <si>
    <t xml:space="preserve">Terminal Value:</t>
  </si>
  <si>
    <t xml:space="preserve">Running IRR</t>
  </si>
  <si>
    <t xml:space="preserve">Total Sale Price</t>
  </si>
  <si>
    <t xml:space="preserve">Book Value for Tax Purposes</t>
  </si>
  <si>
    <t xml:space="preserve">Net After Tax Proceeds</t>
  </si>
  <si>
    <t xml:space="preserve">W/C Balance</t>
  </si>
  <si>
    <t xml:space="preserve">DS Reserve</t>
  </si>
  <si>
    <t xml:space="preserve">Current and Long-Term Portions of Debt</t>
  </si>
  <si>
    <t xml:space="preserve">Discounted Operating Cash Flows</t>
  </si>
  <si>
    <t xml:space="preserve">Discounted Terminal Value</t>
  </si>
  <si>
    <t xml:space="preserve">Investments (Excess Cash)</t>
  </si>
  <si>
    <t xml:space="preserve">Firm Value Today</t>
  </si>
  <si>
    <t xml:space="preserve">Data from Operating Section</t>
  </si>
  <si>
    <t xml:space="preserve">Data to Operating Section</t>
  </si>
  <si>
    <t xml:space="preserve">Fraction of current year</t>
  </si>
  <si>
    <t xml:space="preserve">Unit</t>
  </si>
  <si>
    <t xml:space="preserve">FASB CASH FLOW ANALYSIS</t>
  </si>
  <si>
    <t xml:space="preserve">Cash Flow From Operating Activities:</t>
  </si>
  <si>
    <t xml:space="preserve">Losses/(Gains)</t>
  </si>
  <si>
    <t xml:space="preserve">Add/</t>
  </si>
  <si>
    <t xml:space="preserve">(Subtract)</t>
  </si>
  <si>
    <t xml:space="preserve">Change in:</t>
  </si>
  <si>
    <t xml:space="preserve">Cash Flow From Investing Activities:</t>
  </si>
  <si>
    <t xml:space="preserve">Cash Flow From Financing Activities:</t>
  </si>
  <si>
    <t xml:space="preserve">Dividends Paid</t>
  </si>
  <si>
    <t xml:space="preserve">Scheduled Debt and Preferred Stock Reductions</t>
  </si>
  <si>
    <t xml:space="preserve">Proceeds of Debt &amp; Stock Issues</t>
  </si>
  <si>
    <t xml:space="preserve">Net Increase/(Decrease) in Cash and Cash Equivalents</t>
  </si>
  <si>
    <t xml:space="preserve">Increase/(Decrease) in Adjusted W/C</t>
  </si>
  <si>
    <t xml:space="preserve">Cash Flow From Operations After Tax (Unlevered Cash Flow)</t>
  </si>
  <si>
    <t xml:space="preserve">Perpetuity</t>
  </si>
  <si>
    <t xml:space="preserve">Adj EBDIT</t>
  </si>
  <si>
    <t xml:space="preserve">VALUATION VARIABLES:</t>
  </si>
  <si>
    <t xml:space="preserve">RESIDUAL VALUE:</t>
  </si>
  <si>
    <t xml:space="preserve">Growth</t>
  </si>
  <si>
    <t xml:space="preserve">Multiple</t>
  </si>
  <si>
    <t xml:space="preserve">Term (Horizon)</t>
  </si>
  <si>
    <t xml:space="preserve">Adjusted EBDIT</t>
  </si>
  <si>
    <t xml:space="preserve">Investments (Excess Cash) Outstanding at Value Date</t>
  </si>
  <si>
    <t xml:space="preserve">Operating Profit After Tax </t>
  </si>
  <si>
    <t xml:space="preserve">Debt Outstanding at Value Date</t>
  </si>
  <si>
    <t xml:space="preserve">Number of Shares Outstanding at Value Date (000)</t>
  </si>
  <si>
    <t xml:space="preserve">Discount Rate (ATWACOC)</t>
  </si>
  <si>
    <t xml:space="preserve">Perpetuity Growth Rate</t>
  </si>
  <si>
    <t xml:space="preserve">EBDIT Multiple</t>
  </si>
  <si>
    <t xml:space="preserve">EBIT Multiple</t>
  </si>
  <si>
    <t xml:space="preserve">Corporate Residual Value</t>
  </si>
  <si>
    <t xml:space="preserve">DISCOUNT RATE:</t>
  </si>
  <si>
    <t xml:space="preserve">Tax Rate</t>
  </si>
  <si>
    <t xml:space="preserve">Target Debt/Equity</t>
  </si>
  <si>
    <t xml:space="preserve">Target Debt/Capitalization</t>
  </si>
  <si>
    <t xml:space="preserve">Cost of Equity (unlevered)</t>
  </si>
  <si>
    <t xml:space="preserve">Cost of Equity (levered)</t>
  </si>
  <si>
    <t xml:space="preserve">Weighted Avg Cost of Debt</t>
  </si>
  <si>
    <t xml:space="preserve">Weighted Avg After Tax Cost of Debt</t>
  </si>
  <si>
    <t xml:space="preserve">Debt Outstanding</t>
  </si>
  <si>
    <t xml:space="preserve">A-T Weighted Average Cost of Capital (ATWACOC)</t>
  </si>
  <si>
    <t xml:space="preserve">Equity Value</t>
  </si>
  <si>
    <t xml:space="preserve">COST OF EQUITY (UNLEVERED):</t>
  </si>
  <si>
    <t xml:space="preserve">Risk-Free Rate</t>
  </si>
  <si>
    <t xml:space="preserve">30-Year Treasury Bond</t>
  </si>
  <si>
    <t xml:space="preserve">Beta</t>
  </si>
  <si>
    <t xml:space="preserve">Company Specific (Unlevered)</t>
  </si>
  <si>
    <t xml:space="preserve">Market Risk Premium</t>
  </si>
  <si>
    <t xml:space="preserve">Equity Value per Share</t>
  </si>
  <si>
    <t xml:space="preserve">Cost of Equity</t>
  </si>
  <si>
    <t xml:space="preserve">Gas Curves</t>
  </si>
  <si>
    <t xml:space="preserve">Please note that as of now, Omicron bid and offer vols are derived from mid using fixed 7% spreads.</t>
  </si>
  <si>
    <t xml:space="preserve">NYMEX</t>
  </si>
  <si>
    <t xml:space="preserve">Omicron Volatility</t>
  </si>
  <si>
    <t xml:space="preserve">Nymex Price</t>
  </si>
  <si>
    <t xml:space="preserve">Adjusted</t>
  </si>
  <si>
    <t xml:space="preserve">Spreads</t>
  </si>
  <si>
    <t xml:space="preserve">Change in</t>
  </si>
  <si>
    <t xml:space="preserve">SoCal</t>
  </si>
  <si>
    <t xml:space="preserve">Mojave</t>
  </si>
  <si>
    <t xml:space="preserve">Bid</t>
  </si>
  <si>
    <t xml:space="preserve">Offer</t>
  </si>
  <si>
    <t xml:space="preserve">Tenths of 1c</t>
  </si>
  <si>
    <t xml:space="preserve">Vol</t>
  </si>
  <si>
    <t xml:space="preserve">Int Rates Curve</t>
  </si>
  <si>
    <t xml:space="preserve">Forward Power Price Curves, Volatilities and Price Profile</t>
  </si>
  <si>
    <t xml:space="preserve">Model Volatility</t>
  </si>
  <si>
    <t xml:space="preserve">REGION 11</t>
  </si>
  <si>
    <t xml:space="preserve">SP15</t>
  </si>
  <si>
    <t xml:space="preserve">Smile Table</t>
  </si>
  <si>
    <t xml:space="preserve">Monthly Volatilities</t>
  </si>
  <si>
    <t xml:space="preserve">Intra-Month Volatilties</t>
  </si>
  <si>
    <t xml:space="preserve">Strike-Mid</t>
  </si>
  <si>
    <t xml:space="preserve">Smile</t>
  </si>
  <si>
    <t xml:space="preserve">PEAK</t>
  </si>
  <si>
    <t xml:space="preserve">OFF-PEAK</t>
  </si>
  <si>
    <t xml:space="preserve">Capacity</t>
  </si>
  <si>
    <t xml:space="preserve">OffPeak</t>
  </si>
  <si>
    <t xml:space="preserve">Group</t>
  </si>
  <si>
    <t xml:space="preserve">Prudent</t>
  </si>
  <si>
    <t xml:space="preserve">Code</t>
  </si>
  <si>
    <t xml:space="preserve">Factor</t>
  </si>
  <si>
    <t xml:space="preserve">End</t>
  </si>
  <si>
    <t xml:space="preserve">($/MWH)</t>
  </si>
  <si>
    <t xml:space="preserve">Daily Price Profile</t>
  </si>
  <si>
    <t xml:space="preserve">HR</t>
  </si>
  <si>
    <t xml:space="preserve">P/OP</t>
  </si>
  <si>
    <t xml:space="preserve">Volatility Smile</t>
  </si>
  <si>
    <t xml:space="preserve">Price Sensitivies</t>
  </si>
  <si>
    <t xml:space="preserve">Curve Adder</t>
  </si>
  <si>
    <t xml:space="preserve">Transmission Losses</t>
  </si>
  <si>
    <t xml:space="preserve">Be Careful with Copying Rows, Formulas in the Grey Cells Are "Special".</t>
  </si>
  <si>
    <t xml:space="preserve">First Month of Price Curve:</t>
  </si>
  <si>
    <t xml:space="preserve">This is the column for which the spark spread volumes should be used.</t>
  </si>
  <si>
    <t xml:space="preserve">We have three curves, essentially - Peak weekly, Peak Sunday and Off-Peak</t>
  </si>
  <si>
    <t xml:space="preserve">Where do these volatilities come from?</t>
  </si>
  <si>
    <t xml:space="preserve">Where do the gas volatilities come from?</t>
  </si>
  <si>
    <t xml:space="preserve">Pop in Variable O&amp;M curve here</t>
  </si>
  <si>
    <t xml:space="preserve">The baseload requirement should be included in this section, at market prices</t>
  </si>
  <si>
    <t xml:space="preserve">Mon Friday16 hrs</t>
  </si>
  <si>
    <t xml:space="preserve">No difference</t>
  </si>
  <si>
    <t xml:space="preserve">.75 Weekday Peak              7 days/week  </t>
  </si>
  <si>
    <t xml:space="preserve">Why are we including a Peak Saturday? The prices will be identical to the</t>
  </si>
  <si>
    <t xml:space="preserve">There should be a minimum number of baseload hours happening here.</t>
  </si>
  <si>
    <t xml:space="preserve">Are these prices</t>
  </si>
  <si>
    <t xml:space="preserve">in West</t>
  </si>
  <si>
    <t xml:space="preserve">Peak weekday.</t>
  </si>
  <si>
    <t xml:space="preserve">This is where the in the money is used.</t>
  </si>
  <si>
    <t xml:space="preserve">Covered over the entire volume.</t>
  </si>
  <si>
    <t xml:space="preserve">Calendar</t>
  </si>
  <si>
    <t xml:space="preserve">Discounting</t>
  </si>
  <si>
    <t xml:space="preserve">Volatilities</t>
  </si>
  <si>
    <t xml:space="preserve">Availability</t>
  </si>
  <si>
    <t xml:space="preserve">"Minimum Operation" Take</t>
  </si>
  <si>
    <t xml:space="preserve">"Supplemental Operation" Take</t>
  </si>
  <si>
    <t xml:space="preserve">Supplemental</t>
  </si>
  <si>
    <t xml:space="preserve">Spread Option Section</t>
  </si>
  <si>
    <t xml:space="preserve">Tie volume to intrinsic</t>
  </si>
  <si>
    <t xml:space="preserve">Weekday</t>
  </si>
  <si>
    <t xml:space="preserve">15-Day</t>
  </si>
  <si>
    <t xml:space="preserve">Number Of Various Days</t>
  </si>
  <si>
    <t xml:space="preserve">MWHs</t>
  </si>
  <si>
    <t xml:space="preserve">Effective</t>
  </si>
  <si>
    <t xml:space="preserve">Operation</t>
  </si>
  <si>
    <t xml:space="preserve">Yrs</t>
  </si>
  <si>
    <t xml:space="preserve">                      "Minimum Operation" Market Price Curve</t>
  </si>
  <si>
    <t xml:space="preserve">                  "Supplemental Operation" Market Price Curve</t>
  </si>
  <si>
    <t xml:space="preserve">Gas Price ($/MWh)</t>
  </si>
  <si>
    <t xml:space="preserve">Variable O$M ($/MWh)</t>
  </si>
  <si>
    <t xml:space="preserve">Power Vols</t>
  </si>
  <si>
    <t xml:space="preserve">Undiscounted Option Premium</t>
  </si>
  <si>
    <t xml:space="preserve">Undiscounted Power Delta</t>
  </si>
  <si>
    <t xml:space="preserve">Undiscounted Coal Delta</t>
  </si>
  <si>
    <t xml:space="preserve">Minimum Operation Option Value</t>
  </si>
  <si>
    <t xml:space="preserve">Minimum Operation Intrinsic Value</t>
  </si>
  <si>
    <t xml:space="preserve">Minimum Option Time Value</t>
  </si>
  <si>
    <t xml:space="preserve">Supplemental Operation Option Value</t>
  </si>
  <si>
    <t xml:space="preserve">Supplemental Operation Intrinsic Value</t>
  </si>
  <si>
    <t xml:space="preserve">Supplemental Operation Time Value</t>
  </si>
  <si>
    <t xml:space="preserve">Contracted Power</t>
  </si>
  <si>
    <t xml:space="preserve">Power Produced from Plant to Fulfill Contract </t>
  </si>
  <si>
    <t xml:space="preserve">Excess Power Produced from Plant Sold to Market</t>
  </si>
  <si>
    <t xml:space="preserve">Total Fuel &amp; Variable Cost</t>
  </si>
  <si>
    <t xml:space="preserve">Power Bought from Market to Fulfill Contract</t>
  </si>
  <si>
    <t xml:space="preserve">Tejon Weekday Peak Spark Spread Calculations</t>
  </si>
  <si>
    <t xml:space="preserve">Tejon Saturday Peak Spark Spread Calculations</t>
  </si>
  <si>
    <t xml:space="preserve">Tejon Sunday Peak Spark Spread Calculations</t>
  </si>
  <si>
    <t xml:space="preserve">Tejon Off-Peak Spark Spread Calculations</t>
  </si>
  <si>
    <t xml:space="preserve">Annualized Cash Flow Summary</t>
  </si>
  <si>
    <t xml:space="preserve">Delivery</t>
  </si>
  <si>
    <t xml:space="preserve">Possible</t>
  </si>
  <si>
    <t xml:space="preserve">Deal</t>
  </si>
  <si>
    <t xml:space="preserve">Discount</t>
  </si>
  <si>
    <t xml:space="preserve">Peak Sat</t>
  </si>
  <si>
    <t xml:space="preserve">Peak Sun</t>
  </si>
  <si>
    <t xml:space="preserve">Between Deal Start And End</t>
  </si>
  <si>
    <t xml:space="preserve">Outages</t>
  </si>
  <si>
    <t xml:space="preserve">Taken</t>
  </si>
  <si>
    <t xml:space="preserve">to</t>
  </si>
  <si>
    <t xml:space="preserve">Peak </t>
  </si>
  <si>
    <t xml:space="preserve">Before Vol Smile Adjustment</t>
  </si>
  <si>
    <t xml:space="preserve">Min</t>
  </si>
  <si>
    <t xml:space="preserve">Sup</t>
  </si>
  <si>
    <t xml:space="preserve">Blended</t>
  </si>
  <si>
    <t xml:space="preserve">Contracted Net</t>
  </si>
  <si>
    <t xml:space="preserve">MWHs Contracted</t>
  </si>
  <si>
    <t xml:space="preserve">Contract</t>
  </si>
  <si>
    <t xml:space="preserve">"Minimum Operation" MWHs Sold</t>
  </si>
  <si>
    <t xml:space="preserve">"Supplemental Operation" MWHs Sold</t>
  </si>
  <si>
    <t xml:space="preserve">"Supplemental Operation" MWHs Sold </t>
  </si>
  <si>
    <t xml:space="preserve">Market Sales</t>
  </si>
  <si>
    <t xml:space="preserve">Gas Cost</t>
  </si>
  <si>
    <t xml:space="preserve">Strike Price</t>
  </si>
  <si>
    <t xml:space="preserve">MWHs Bought from Market</t>
  </si>
  <si>
    <t xml:space="preserve">Market Purchases</t>
  </si>
  <si>
    <t xml:space="preserve">Tolling</t>
  </si>
  <si>
    <t xml:space="preserve">Expenses</t>
  </si>
  <si>
    <t xml:space="preserve">Holiday</t>
  </si>
  <si>
    <t xml:space="preserve">Starts</t>
  </si>
  <si>
    <t xml:space="preserve">Ends</t>
  </si>
  <si>
    <t xml:space="preserve">Corr</t>
  </si>
  <si>
    <t xml:space="preserve">Week</t>
  </si>
  <si>
    <t xml:space="preserve">Peak,Week</t>
  </si>
  <si>
    <t xml:space="preserve">Peak,Sat</t>
  </si>
  <si>
    <t xml:space="preserve">Peak,Sun</t>
  </si>
  <si>
    <t xml:space="preserve">Exp.</t>
  </si>
  <si>
    <t xml:space="preserve">Min Peak</t>
  </si>
  <si>
    <t xml:space="preserve">Sup Peak</t>
  </si>
  <si>
    <t xml:space="preserve">All Hours</t>
  </si>
  <si>
    <t xml:space="preserve">Peak-Sun</t>
  </si>
  <si>
    <t xml:space="preserve">Hourly Capacity</t>
  </si>
  <si>
    <t xml:space="preserve">Volumes</t>
  </si>
  <si>
    <t xml:space="preserve">Blended Price</t>
  </si>
  <si>
    <t xml:space="preserve">Min Volumes</t>
  </si>
  <si>
    <t xml:space="preserve">Supp Volumes</t>
  </si>
  <si>
    <t xml:space="preserve">Blended Unit</t>
  </si>
  <si>
    <t xml:space="preserve">Total Market</t>
  </si>
  <si>
    <t xml:space="preserve">Total Min Op</t>
  </si>
  <si>
    <t xml:space="preserve">Total Supp Op</t>
  </si>
  <si>
    <t xml:space="preserve">Plant Operating Costs</t>
  </si>
  <si>
    <t xml:space="preserve">Market Purchase</t>
  </si>
  <si>
    <t xml:space="preserve">(UNDISCOUNTED)</t>
  </si>
  <si>
    <t xml:space="preserve">-Hol</t>
  </si>
  <si>
    <t xml:space="preserve">Peak Only</t>
  </si>
  <si>
    <t xml:space="preserve">(MW)</t>
  </si>
  <si>
    <t xml:space="preserve">(MWHs)</t>
  </si>
  <si>
    <t xml:space="preserve">($)</t>
  </si>
  <si>
    <t xml:space="preserve">(mmbtu)</t>
  </si>
  <si>
    <t xml:space="preserve">($/mmbtu)</t>
  </si>
  <si>
    <t xml:space="preserve">MWh</t>
  </si>
  <si>
    <t xml:space="preserve">$/MWh</t>
  </si>
  <si>
    <t xml:space="preserve">Gas Price</t>
  </si>
  <si>
    <t xml:space="preserve">Spark Spread</t>
  </si>
  <si>
    <t xml:space="preserve">Contract Volumes</t>
  </si>
  <si>
    <t xml:space="preserve">Contract Sales</t>
  </si>
  <si>
    <t xml:space="preserve">Market Volumes</t>
  </si>
  <si>
    <t xml:space="preserve">Market Price</t>
  </si>
  <si>
    <t xml:space="preserve">Time Value</t>
  </si>
  <si>
    <t xml:space="preserve">Gas (mmbtu)</t>
  </si>
  <si>
    <t xml:space="preserve">Gas  Price</t>
  </si>
  <si>
    <t xml:space="preserve">O&amp;M Vol</t>
  </si>
  <si>
    <t xml:space="preserve">O&amp;M Price</t>
  </si>
  <si>
    <t xml:space="preserve">O&amp;M Cost</t>
  </si>
  <si>
    <t xml:space="preserve">Market Cost</t>
  </si>
  <si>
    <t xml:space="preserve">Power Cost</t>
  </si>
  <si>
    <t xml:space="preserve">=IF(AND(CG17&gt;0,DW17&gt;0,EI17&gt;0,EB17&gt;0),newSPRDOPT(CG17,DW17,ED17,0,EI17,EB17,EC17,BZ17*365.25,OCallPut,1),0)</t>
  </si>
  <si>
    <t xml:space="preserve">=IF(AND(CH17&gt;0,DX17&gt;0,EJ17&gt;0,EB17&gt;0),newSPRDOPT(CH17,DX17,EE17,0,EJ17,EB17,EC17,BZ17*365.25,OCallPut,1),0)</t>
  </si>
  <si>
    <t xml:space="preserve">=IF(AND(CI17&gt;0,DY17&gt;0,EK17&gt;0,EB17&gt;0),newSPRDOPT(CI17,DY17,EF17,0,EK17,EB17,EC17,BZ17*365.25,OCallPut,1),0)</t>
  </si>
  <si>
    <t xml:space="preserve">=IF(AND(CK17&gt;0,DZ17&gt;0,EL17&gt;0,EB17&gt;0),newSPRDOPT(CK17,DZ17,EG17,0,EL17,EB17,EC17,BZ17*365.25,OCallPut,1),0)</t>
  </si>
  <si>
    <t xml:space="preserve">=IF(OVolType,IF(AND(CL17&gt;0,EA17&gt;0,EM17&gt;0,EB17&gt;0),newSPRDOPT(CL17,EA17,EH17,0,EM17,EB17,EC17,BZ17*365.25,OCallPut,1),0),IF(CF17,(ES17*CA17+ET17*CB17+EU17*CC17+EV17*CE17)/CF17,0))</t>
  </si>
  <si>
    <t xml:space="preserve">=IF(AND(CG17&gt;0,DW17&gt;0,EI17&gt;0,EB17&gt;0),newSPRDOPT(CG17,DW17,ED17,0,EI17,EB17,EC17,BZ17*365.25,OCallPut,2),0)</t>
  </si>
  <si>
    <t xml:space="preserve">=IF(AND(CH17&gt;0,DX17&gt;0,EJ17&gt;0,EB17&gt;0),newSPRDOPT(CH17,DX17,EE17,0,EJ17,EB17,EC17,BZ17*365.25,OCallPut,2),0)</t>
  </si>
  <si>
    <t xml:space="preserve">=IF(AND(CI17&gt;0,DY17&gt;0,EK17&gt;0,EB17&gt;0),newSPRDOPT(CI17,DY17,EF17,0,EK17,EB17,EC17,BZ17*365.25,OCallPut,2),0)</t>
  </si>
  <si>
    <t xml:space="preserve">=IF(AND(CK17&gt;0,DZ17&gt;0,EL17&gt;0,EB17&gt;0),newSPRDOPT(CK17,DZ17,EG17,0,EL17,EB17,EC17,BZ17*365.25,OCallPut,2),0)</t>
  </si>
  <si>
    <t xml:space="preserve">=IF(OVolType,IF(AND(CL17&gt;0,EA17&gt;0,EM17&gt;0,EB17&gt;0),newSPRDOPT(CL17,EA17,EH17,0,EM17,EB17,EC17,BZ17*365.25,OCallPut,2),0),IF(CF17,(EX17*CA17+EY17*CB17+EZ17*CC17+FA17*CE17)/CF17,0))</t>
  </si>
  <si>
    <t xml:space="preserve">Here, knocking-out of months is not in force. If some months are excluded, this will be taken into account on the "CALC" page. Hours are numbered from the most to the least expensive.</t>
  </si>
  <si>
    <t xml:space="preserve">Price Rankings For Daily Takes (Initialized When a New Curve Is Fetched)</t>
  </si>
  <si>
    <t xml:space="preserve">Regular MegaWatts Available For Firm Take On Different Days</t>
  </si>
  <si>
    <t xml:space="preserve">Effective Scalars</t>
  </si>
  <si>
    <t xml:space="preserve">MegaWatts Available For Optional Take On Different Days</t>
  </si>
  <si>
    <t xml:space="preserve">Weekdays</t>
  </si>
  <si>
    <t xml:space="preserve">Off-</t>
  </si>
  <si>
    <t xml:space="preserve">for 100% Take</t>
  </si>
  <si>
    <t xml:space="preserve">Max. MW</t>
  </si>
  <si>
    <t xml:space="preserve">Month\Ranking</t>
  </si>
  <si>
    <t xml:space="preserve">Firm</t>
  </si>
  <si>
    <t xml:space="preserve">Opt</t>
  </si>
  <si>
    <t xml:space="preserve">Saturdays</t>
  </si>
  <si>
    <t xml:space="preserve">Ordered Hourly Scalars (Initialized When a New Curve Is Fetched)</t>
  </si>
  <si>
    <t xml:space="preserve">Sundays</t>
  </si>
  <si>
    <t xml:space="preserve">Ordered Weekday Hourly Prices for the First Year</t>
  </si>
  <si>
    <t xml:space="preserve">Lookup</t>
  </si>
  <si>
    <t xml:space="preserve">First-Year Mid Prices</t>
  </si>
  <si>
    <t xml:space="preserve">Ordered Saturday Hourly Prices for the First Year</t>
  </si>
  <si>
    <t xml:space="preserve">Ordered Sunday Hourly Prices for the First Year</t>
  </si>
</sst>
</file>

<file path=xl/styles.xml><?xml version="1.0" encoding="utf-8"?>
<styleSheet xmlns="http://schemas.openxmlformats.org/spreadsheetml/2006/main">
  <numFmts count="82">
    <numFmt numFmtId="164" formatCode="General"/>
    <numFmt numFmtId="165" formatCode="[$-409]#,##0_);[RED]\(#,##0\)"/>
    <numFmt numFmtId="166" formatCode="_(* #,##0_);_(* \(#,##0\);_(* \-_);_(@_)"/>
    <numFmt numFmtId="167" formatCode="_-* #,##0_-;\-* #,##0_-;_-* \-_-;_-@_-"/>
    <numFmt numFmtId="168" formatCode="_ * #,##0_ ;_ * \-#,##0_ ;_ * \-_ ;_ @_ "/>
    <numFmt numFmtId="169" formatCode="[$-409]#,##0.00_);[RED]\(#,##0.00\)"/>
    <numFmt numFmtId="170" formatCode="_(* #,##0.00_);_(* \(#,##0.00\);_(* \-??_);_(@_)"/>
    <numFmt numFmtId="171" formatCode="_-* #,##0.00_-;\-* #,##0.00_-;_-* \-??_-;_-@_-"/>
    <numFmt numFmtId="172" formatCode="#,##0.00"/>
    <numFmt numFmtId="173" formatCode="_ * #,##0.00_ ;_ * \-#,##0.00_ ;_ * \-??_ ;_ @_ "/>
    <numFmt numFmtId="174" formatCode="\$#,##0_);[RED]&quot;($&quot;#,##0\)"/>
    <numFmt numFmtId="175" formatCode="_(\$* #,##0_);_(\$* \(#,##0\);_(\$* \-_);_(@_)"/>
    <numFmt numFmtId="176" formatCode="_-\$* #,##0_-;&quot;-$&quot;* #,##0_-;_-\$* \-_-;_-@_-"/>
    <numFmt numFmtId="177" formatCode="\$#,##0.00_);[RED]&quot;($&quot;#,##0.00\)"/>
    <numFmt numFmtId="178" formatCode="_(\$* #,##0.00_);_(\$* \(#,##0.00\);_(\$* \-??_);_(@_)"/>
    <numFmt numFmtId="179" formatCode="_-\$* #,##0.00_-;&quot;-$&quot;* #,##0.00_-;_-\$* \-??_-;_-@_-"/>
    <numFmt numFmtId="180" formatCode="_ &quot;CHF &quot;* #,##0.00_ ;_ &quot;CHF &quot;* \-#,##0.00_ ;_ &quot;CHF &quot;* \-??_ ;_ @_ "/>
    <numFmt numFmtId="181" formatCode="_-* #,##0\ _D_M_-;\-* #,##0\ _D_M_-;_-* &quot;- &quot;_D_M_-;_-@_-"/>
    <numFmt numFmtId="182" formatCode="_-* #,##0.00\ _D_M_-;\-* #,##0.00\ _D_M_-;_-* \-??\ _D_M_-;_-@_-"/>
    <numFmt numFmtId="183" formatCode="[$-409]#,##0_);\(#,##0\)"/>
    <numFmt numFmtId="184" formatCode="General_)"/>
    <numFmt numFmtId="185" formatCode="#,##0"/>
    <numFmt numFmtId="186" formatCode="0.000000_)"/>
    <numFmt numFmtId="187" formatCode="_-* #,##0&quot; DM&quot;_-;\-* #,##0&quot; DM&quot;_-;_-* &quot;- DM&quot;_-;_-@_-"/>
    <numFmt numFmtId="188" formatCode="0.000_);[RED]\-0.000_)"/>
    <numFmt numFmtId="189" formatCode="\$#,##0.00_);&quot;($&quot;#,##0.00\)"/>
    <numFmt numFmtId="190" formatCode="0_);[RED]\-0_)"/>
    <numFmt numFmtId="191" formatCode="0%"/>
    <numFmt numFmtId="192" formatCode="0"/>
    <numFmt numFmtId="193" formatCode="0.0%"/>
    <numFmt numFmtId="194" formatCode="mm/dd/yy"/>
    <numFmt numFmtId="195" formatCode="0.00%"/>
    <numFmt numFmtId="196" formatCode="[$-409]h:mm"/>
    <numFmt numFmtId="197" formatCode="\$#,##0_);&quot;($&quot;#,##0\)"/>
    <numFmt numFmtId="198" formatCode="@"/>
    <numFmt numFmtId="199" formatCode="0.000"/>
    <numFmt numFmtId="200" formatCode="#0"/>
    <numFmt numFmtId="201" formatCode="[$-409]m/d/yyyy"/>
    <numFmt numFmtId="202" formatCode="0_);\(0\)"/>
    <numFmt numFmtId="203" formatCode="0_);[RED]\(0\)"/>
    <numFmt numFmtId="204" formatCode="[$-409]#,##0.00_);\(#,##0.00\)"/>
    <numFmt numFmtId="205" formatCode="\$#,##0"/>
    <numFmt numFmtId="206" formatCode="_(* #,##0_);_(* \(#,##0\);_(* \-??_);_(@_)"/>
    <numFmt numFmtId="207" formatCode="0;[RED]0"/>
    <numFmt numFmtId="208" formatCode="#,##0.0"/>
    <numFmt numFmtId="209" formatCode="[$-409]d\-mmm\-yy"/>
    <numFmt numFmtId="210" formatCode="0_)"/>
    <numFmt numFmtId="211" formatCode="#,##0.0_);\(#,##0.0\)"/>
    <numFmt numFmtId="212" formatCode="0.000%"/>
    <numFmt numFmtId="213" formatCode="0.0000"/>
    <numFmt numFmtId="214" formatCode="0.00_);[RED]\(0.00\)"/>
    <numFmt numFmtId="215" formatCode="0.0_);\(0.0\)"/>
    <numFmt numFmtId="216" formatCode="#,##0.000_);\(#,##0.000\)"/>
    <numFmt numFmtId="217" formatCode="[$-409]h:mm\ AM/PM"/>
    <numFmt numFmtId="218" formatCode="yyyy"/>
    <numFmt numFmtId="219" formatCode="[$-409]0"/>
    <numFmt numFmtId="220" formatCode="[$-409]mmm\-yy"/>
    <numFmt numFmtId="221" formatCode="\$#,##0.0000_);&quot;($&quot;#,##0.0000\)"/>
    <numFmt numFmtId="222" formatCode="#,##0.000"/>
    <numFmt numFmtId="223" formatCode="0.000_)"/>
    <numFmt numFmtId="224" formatCode="[$-409]#,##0"/>
    <numFmt numFmtId="225" formatCode="hh:mm\ AM/PM_)"/>
    <numFmt numFmtId="226" formatCode="mm/dd/yy_)"/>
    <numFmt numFmtId="227" formatCode="[$-409]0.00%"/>
    <numFmt numFmtId="228" formatCode="[$-409]0%"/>
    <numFmt numFmtId="229" formatCode="[$-409]mm/dd/yy"/>
    <numFmt numFmtId="230" formatCode="[$-409]#,##0.00"/>
    <numFmt numFmtId="231" formatCode="mmmm\-yy"/>
    <numFmt numFmtId="232" formatCode=";;;"/>
    <numFmt numFmtId="233" formatCode="mmm\-dd"/>
    <numFmt numFmtId="234" formatCode="#,##0.0_);[RED]\(#,##0.0\)"/>
    <numFmt numFmtId="235" formatCode="0.0_)"/>
    <numFmt numFmtId="236" formatCode="0.00_)"/>
    <numFmt numFmtId="237" formatCode="mmm\-yy_)"/>
    <numFmt numFmtId="238" formatCode="dd\-mmm\-yy_)"/>
    <numFmt numFmtId="239" formatCode="dd\-mmm\-yy_);[RED]dd\-mmm\-yy_)"/>
    <numFmt numFmtId="240" formatCode="0.00"/>
    <numFmt numFmtId="241" formatCode="m/d"/>
    <numFmt numFmtId="242" formatCode="#,##0.0000_);\(#,##0.0000\)"/>
    <numFmt numFmtId="243" formatCode="dd\-mmm\-yy"/>
    <numFmt numFmtId="244" formatCode="_(* #,##0.00_);_(* \(#,##0.00\);_(* \-_);_(@_)"/>
    <numFmt numFmtId="245" formatCode="_(* #,##0.000_);_(* \(#,##0.000\);_(* \-_);_(@_)"/>
  </numFmts>
  <fonts count="100">
    <font>
      <sz val="10"/>
      <name val="Arial"/>
      <family val="0"/>
    </font>
    <font>
      <sz val="10"/>
      <name val="Arial"/>
      <family val="0"/>
    </font>
    <font>
      <sz val="10"/>
      <name val="Arial"/>
      <family val="0"/>
    </font>
    <font>
      <sz val="10"/>
      <name val="Arial"/>
      <family val="0"/>
    </font>
    <font>
      <b val="true"/>
      <u val="single"/>
      <sz val="11"/>
      <color rgb="FF800000"/>
      <name val="Arial"/>
      <family val="2"/>
    </font>
    <font>
      <sz val="10"/>
      <color rgb="FF0000FF"/>
      <name val="Arial"/>
      <family val="2"/>
    </font>
    <font>
      <sz val="8"/>
      <name val="Arial"/>
      <family val="0"/>
    </font>
    <font>
      <sz val="12"/>
      <color rgb="FF000000"/>
      <name val="Arial MT"/>
      <family val="0"/>
    </font>
    <font>
      <sz val="10"/>
      <name val="Courier New"/>
      <family val="0"/>
    </font>
    <font>
      <sz val="8"/>
      <name val=""/>
      <family val="0"/>
    </font>
    <font>
      <sz val="10"/>
      <name val="Arial"/>
      <family val="2"/>
    </font>
    <font>
      <sz val="11"/>
      <name val="Arial"/>
      <family val="0"/>
    </font>
    <font>
      <sz val="10"/>
      <name val="MS Sans Serif"/>
      <family val="0"/>
    </font>
    <font>
      <sz val="8"/>
      <name val="Arial"/>
      <family val="2"/>
    </font>
    <font>
      <sz val="10"/>
      <color rgb="FF000000"/>
      <name val="Arial"/>
      <family val="2"/>
    </font>
    <font>
      <sz val="8"/>
      <name val="Times New Roman"/>
      <family val="0"/>
    </font>
    <font>
      <sz val="12"/>
      <name val="Arial"/>
      <family val="0"/>
    </font>
    <font>
      <sz val="8"/>
      <name val="MS Sans Serif"/>
      <family val="2"/>
    </font>
    <font>
      <sz val="8"/>
      <color rgb="FF0000FF"/>
      <name val="Arial"/>
      <family val="2"/>
    </font>
    <font>
      <b val="true"/>
      <sz val="10"/>
      <color rgb="FF000000"/>
      <name val="Arial"/>
      <family val="0"/>
    </font>
    <font>
      <b val="true"/>
      <sz val="12"/>
      <color rgb="FFE3E3E3"/>
      <name val="Arial"/>
      <family val="2"/>
    </font>
    <font>
      <b val="true"/>
      <sz val="12"/>
      <color rgb="FFFFFFFF"/>
      <name val="Arial"/>
      <family val="2"/>
    </font>
    <font>
      <b val="true"/>
      <sz val="12"/>
      <color rgb="FFFF0000"/>
      <name val="Arial"/>
      <family val="2"/>
    </font>
    <font>
      <sz val="10"/>
      <color rgb="FF0000FF"/>
      <name val="Courier New"/>
      <family val="0"/>
    </font>
    <font>
      <b val="true"/>
      <sz val="9"/>
      <name val="Arial"/>
      <family val="2"/>
    </font>
    <font>
      <b val="true"/>
      <sz val="10"/>
      <name val="Arial"/>
      <family val="2"/>
    </font>
    <font>
      <b val="true"/>
      <sz val="10"/>
      <name val="Arial"/>
      <family val="0"/>
    </font>
    <font>
      <b val="true"/>
      <sz val="8"/>
      <color rgb="FF000000"/>
      <name val="Arial"/>
      <family val="2"/>
    </font>
    <font>
      <b val="true"/>
      <sz val="8"/>
      <color rgb="FF0000FF"/>
      <name val="Times New Roman"/>
      <family val="1"/>
    </font>
    <font>
      <b val="true"/>
      <sz val="10"/>
      <color rgb="FF000000"/>
      <name val="Arial"/>
      <family val="2"/>
    </font>
    <font>
      <b val="true"/>
      <sz val="10"/>
      <name val="Times New Roman"/>
      <family val="1"/>
    </font>
    <font>
      <b val="true"/>
      <sz val="9"/>
      <color rgb="FF000000"/>
      <name val="Arial"/>
      <family val="2"/>
    </font>
    <font>
      <b val="true"/>
      <sz val="10"/>
      <color rgb="FFFFFFFF"/>
      <name val="Arial"/>
      <family val="2"/>
    </font>
    <font>
      <sz val="10"/>
      <color rgb="FF000000"/>
      <name val="Arial"/>
      <family val="0"/>
    </font>
    <font>
      <b val="true"/>
      <sz val="8"/>
      <name val="Arial"/>
      <family val="2"/>
    </font>
    <font>
      <b val="true"/>
      <sz val="10"/>
      <color rgb="FF800000"/>
      <name val="Arial"/>
      <family val="2"/>
    </font>
    <font>
      <sz val="10"/>
      <color rgb="FFFFFFFF"/>
      <name val="Arial"/>
      <family val="2"/>
    </font>
    <font>
      <b val="true"/>
      <sz val="8"/>
      <color rgb="FF0000FF"/>
      <name val="Arial"/>
      <family val="2"/>
    </font>
    <font>
      <b val="true"/>
      <sz val="11"/>
      <name val="Arial"/>
      <family val="2"/>
    </font>
    <font>
      <b val="true"/>
      <sz val="10"/>
      <color rgb="FF0000FF"/>
      <name val="Arial"/>
      <family val="2"/>
    </font>
    <font>
      <sz val="9"/>
      <name val="Arial"/>
      <family val="2"/>
    </font>
    <font>
      <b val="true"/>
      <sz val="14"/>
      <color rgb="FFFFFFFF"/>
      <name val="Arial"/>
      <family val="2"/>
    </font>
    <font>
      <sz val="10"/>
      <name val="Times New Roman"/>
      <family val="1"/>
    </font>
    <font>
      <i val="true"/>
      <sz val="10"/>
      <name val="Times New Roman"/>
      <family val="1"/>
    </font>
    <font>
      <sz val="8"/>
      <name val="Times New Roman"/>
      <family val="1"/>
    </font>
    <font>
      <sz val="8"/>
      <color rgb="FF3333CC"/>
      <name val="Times New Roman"/>
      <family val="1"/>
    </font>
    <font>
      <i val="true"/>
      <sz val="8"/>
      <name val="Times New Roman"/>
      <family val="1"/>
    </font>
    <font>
      <sz val="10"/>
      <color rgb="FF000000"/>
      <name val="Courier New"/>
      <family val="3"/>
    </font>
    <font>
      <sz val="10"/>
      <color rgb="FFFF0000"/>
      <name val="Arial"/>
      <family val="2"/>
    </font>
    <font>
      <b val="true"/>
      <u val="single"/>
      <sz val="8"/>
      <name val="Arial"/>
      <family val="2"/>
    </font>
    <font>
      <sz val="8"/>
      <color rgb="FF000000"/>
      <name val="Arial"/>
      <family val="2"/>
    </font>
    <font>
      <sz val="8"/>
      <color rgb="FF3333CC"/>
      <name val="Arial"/>
      <family val="2"/>
    </font>
    <font>
      <u val="single"/>
      <sz val="8"/>
      <name val="Arial"/>
      <family val="2"/>
    </font>
    <font>
      <b val="true"/>
      <sz val="8"/>
      <color rgb="FF000000"/>
      <name val="Tahoma"/>
      <family val="0"/>
    </font>
    <font>
      <sz val="8"/>
      <color rgb="FF000000"/>
      <name val="Tahoma"/>
      <family val="0"/>
    </font>
    <font>
      <b val="true"/>
      <sz val="14"/>
      <name val="Arial"/>
      <family val="2"/>
    </font>
    <font>
      <i val="true"/>
      <sz val="10"/>
      <name val="Arial"/>
      <family val="2"/>
    </font>
    <font>
      <sz val="8"/>
      <color rgb="FFFF0000"/>
      <name val="Arial"/>
      <family val="2"/>
    </font>
    <font>
      <b val="true"/>
      <sz val="8"/>
      <color rgb="FF0000FF"/>
      <name val="Arial"/>
      <family val="0"/>
    </font>
    <font>
      <i val="true"/>
      <sz val="8"/>
      <color rgb="FFFF0000"/>
      <name val="Arial"/>
      <family val="2"/>
    </font>
    <font>
      <b val="true"/>
      <i val="true"/>
      <sz val="8"/>
      <color rgb="FFFF0000"/>
      <name val="Arial"/>
      <family val="2"/>
    </font>
    <font>
      <b val="true"/>
      <sz val="8"/>
      <color rgb="FFFF0000"/>
      <name val="Arial"/>
      <family val="0"/>
    </font>
    <font>
      <b val="true"/>
      <sz val="8"/>
      <color rgb="FF3333CC"/>
      <name val="Arial"/>
      <family val="2"/>
    </font>
    <font>
      <b val="true"/>
      <sz val="8"/>
      <color rgb="FF000000"/>
      <name val="Arial"/>
      <family val="0"/>
    </font>
    <font>
      <i val="true"/>
      <sz val="8"/>
      <name val="Arial"/>
      <family val="2"/>
    </font>
    <font>
      <sz val="8"/>
      <color rgb="FF000000"/>
      <name val="Arial"/>
      <family val="0"/>
    </font>
    <font>
      <b val="true"/>
      <i val="true"/>
      <sz val="8"/>
      <name val="Arial"/>
      <family val="2"/>
    </font>
    <font>
      <b val="true"/>
      <sz val="8"/>
      <name val="Arial"/>
      <family val="0"/>
    </font>
    <font>
      <b val="true"/>
      <sz val="8"/>
      <color rgb="FF000000"/>
      <name val="Arial MT"/>
      <family val="0"/>
    </font>
    <font>
      <b val="true"/>
      <i val="true"/>
      <sz val="8"/>
      <color rgb="FF000000"/>
      <name val="P-TIMES"/>
      <family val="0"/>
    </font>
    <font>
      <b val="true"/>
      <sz val="8"/>
      <color rgb="FF000000"/>
      <name val="P-TIMES"/>
      <family val="0"/>
    </font>
    <font>
      <sz val="8"/>
      <color rgb="FF000000"/>
      <name val="Arial MT"/>
      <family val="0"/>
    </font>
    <font>
      <b val="true"/>
      <i val="true"/>
      <sz val="8"/>
      <name val="P-TIMES"/>
      <family val="0"/>
    </font>
    <font>
      <b val="true"/>
      <sz val="8"/>
      <name val="P-TIMES"/>
      <family val="0"/>
    </font>
    <font>
      <b val="true"/>
      <sz val="8"/>
      <color rgb="FF3333CC"/>
      <name val="Arial"/>
      <family val="0"/>
    </font>
    <font>
      <sz val="8"/>
      <color rgb="FF000000"/>
      <name val="P-TIMES"/>
      <family val="0"/>
    </font>
    <font>
      <b val="true"/>
      <sz val="16"/>
      <color rgb="FF000000"/>
      <name val="Arial"/>
      <family val="2"/>
    </font>
    <font>
      <b val="true"/>
      <u val="single"/>
      <sz val="8"/>
      <color rgb="FF000000"/>
      <name val="Arial"/>
      <family val="2"/>
    </font>
    <font>
      <u val="single"/>
      <sz val="8"/>
      <color rgb="FF000000"/>
      <name val="Arial"/>
      <family val="2"/>
    </font>
    <font>
      <sz val="8"/>
      <color rgb="FFFFFFFF"/>
      <name val="Arial"/>
      <family val="0"/>
    </font>
    <font>
      <sz val="8"/>
      <color rgb="FFFFFFFF"/>
      <name val=""/>
      <family val="0"/>
    </font>
    <font>
      <sz val="7"/>
      <name val="Arial"/>
      <family val="0"/>
    </font>
    <font>
      <i val="true"/>
      <sz val="8"/>
      <name val="Arial"/>
      <family val="0"/>
    </font>
    <font>
      <u val="single"/>
      <sz val="8"/>
      <color rgb="FF0000FF"/>
      <name val="Arial"/>
      <family val="2"/>
    </font>
    <font>
      <sz val="8"/>
      <color rgb="FF0000FF"/>
      <name val="Arial"/>
      <family val="0"/>
    </font>
    <font>
      <sz val="8"/>
      <color rgb="FF008000"/>
      <name val="Arial"/>
      <family val="2"/>
    </font>
    <font>
      <b val="true"/>
      <sz val="8"/>
      <color rgb="FFFF0000"/>
      <name val="Arial"/>
      <family val="2"/>
    </font>
    <font>
      <i val="true"/>
      <sz val="7.5"/>
      <color rgb="FF0000FF"/>
      <name val="Arial"/>
      <family val="2"/>
    </font>
    <font>
      <i val="true"/>
      <u val="single"/>
      <sz val="8"/>
      <name val="Arial"/>
      <family val="2"/>
    </font>
    <font>
      <i val="true"/>
      <sz val="8"/>
      <color rgb="FFFFFFFF"/>
      <name val="Arial"/>
      <family val="2"/>
    </font>
    <font>
      <b val="true"/>
      <i val="true"/>
      <sz val="8"/>
      <name val="Arial"/>
      <family val="0"/>
    </font>
    <font>
      <sz val="8"/>
      <color rgb="FFFFFFFF"/>
      <name val="Arial"/>
      <family val="2"/>
    </font>
    <font>
      <sz val="18"/>
      <color rgb="FF0000FF"/>
      <name val="Arial"/>
      <family val="0"/>
    </font>
    <font>
      <b val="true"/>
      <sz val="11"/>
      <color rgb="FFFF0000"/>
      <name val="Arial"/>
      <family val="2"/>
    </font>
    <font>
      <sz val="10"/>
      <color rgb="FF000000"/>
      <name val="Courier New"/>
      <family val="0"/>
    </font>
    <font>
      <b val="true"/>
      <sz val="10"/>
      <color rgb="FF000000"/>
      <name val="Courier New"/>
      <family val="0"/>
    </font>
    <font>
      <sz val="10"/>
      <color rgb="FF3333CC"/>
      <name val="Arial"/>
      <family val="2"/>
    </font>
    <font>
      <b val="true"/>
      <sz val="10"/>
      <color rgb="FFFF0000"/>
      <name val="Arial"/>
      <family val="2"/>
    </font>
    <font>
      <b val="true"/>
      <sz val="14"/>
      <name val="Arial"/>
      <family val="0"/>
    </font>
    <font>
      <b val="true"/>
      <sz val="12"/>
      <name val="Arial"/>
      <family val="0"/>
    </font>
  </fonts>
  <fills count="16">
    <fill>
      <patternFill patternType="none"/>
    </fill>
    <fill>
      <patternFill patternType="gray125"/>
    </fill>
    <fill>
      <patternFill patternType="solid">
        <fgColor rgb="FF00FFFF"/>
        <bgColor rgb="FF00FFFF"/>
      </patternFill>
    </fill>
    <fill>
      <patternFill patternType="solid">
        <fgColor rgb="FF003300"/>
        <bgColor rgb="FF333300"/>
      </patternFill>
    </fill>
    <fill>
      <patternFill patternType="solid">
        <fgColor rgb="FFFFFF99"/>
        <bgColor rgb="FFFFFFBF"/>
      </patternFill>
    </fill>
    <fill>
      <patternFill patternType="solid">
        <fgColor rgb="FFC0C0C0"/>
        <bgColor rgb="FF99CCFF"/>
      </patternFill>
    </fill>
    <fill>
      <patternFill patternType="solid">
        <fgColor rgb="FFFF00FF"/>
        <bgColor rgb="FFFF00FF"/>
      </patternFill>
    </fill>
    <fill>
      <patternFill patternType="solid">
        <fgColor rgb="FF008000"/>
        <bgColor rgb="FF339933"/>
      </patternFill>
    </fill>
    <fill>
      <patternFill patternType="solid">
        <fgColor rgb="FFFF0000"/>
        <bgColor rgb="FF993300"/>
      </patternFill>
    </fill>
    <fill>
      <patternFill patternType="solid">
        <fgColor rgb="FFFFFFFF"/>
        <bgColor rgb="FFFFFFBF"/>
      </patternFill>
    </fill>
    <fill>
      <patternFill patternType="solid">
        <fgColor rgb="FF00FF00"/>
        <bgColor rgb="FF33CCCC"/>
      </patternFill>
    </fill>
    <fill>
      <patternFill patternType="solid">
        <fgColor rgb="FF339933"/>
        <bgColor rgb="FF008000"/>
      </patternFill>
    </fill>
    <fill>
      <patternFill patternType="solid">
        <fgColor rgb="FFFFFF00"/>
        <bgColor rgb="FFFFFF00"/>
      </patternFill>
    </fill>
    <fill>
      <patternFill patternType="solid">
        <fgColor rgb="FFE3E3E3"/>
        <bgColor rgb="FFCCFFCC"/>
      </patternFill>
    </fill>
    <fill>
      <patternFill patternType="solid">
        <fgColor rgb="FFFFFFBF"/>
        <bgColor rgb="FFFFFF99"/>
      </patternFill>
    </fill>
    <fill>
      <patternFill patternType="solid">
        <fgColor rgb="FFFF8080"/>
        <bgColor rgb="FFFF99CC"/>
      </patternFill>
    </fill>
  </fills>
  <borders count="102">
    <border diagonalUp="false" diagonalDown="false">
      <left/>
      <right/>
      <top/>
      <bottom/>
      <diagonal/>
    </border>
    <border diagonalUp="false" diagonalDown="false">
      <left style="double"/>
      <right style="double"/>
      <top style="double"/>
      <bottom style="double"/>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diagonal/>
    </border>
    <border diagonalUp="false" diagonalDown="false">
      <left style="medium"/>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thin"/>
      <right style="thin"/>
      <top style="thin"/>
      <bottom style="thin"/>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style="medium"/>
      <right style="thin"/>
      <top/>
      <bottom style="thin"/>
      <diagonal/>
    </border>
    <border diagonalUp="false" diagonalDown="false">
      <left style="thin"/>
      <right style="thin"/>
      <top/>
      <bottom style="thin"/>
      <diagonal/>
    </border>
    <border diagonalUp="false" diagonalDown="false">
      <left style="thin"/>
      <right style="medium"/>
      <top/>
      <bottom style="thin"/>
      <diagonal/>
    </border>
    <border diagonalUp="false" diagonalDown="false">
      <left style="thin"/>
      <right style="thin"/>
      <top style="medium"/>
      <bottom style="thin"/>
      <diagonal/>
    </border>
    <border diagonalUp="false" diagonalDown="false">
      <left style="medium"/>
      <right style="medium"/>
      <top style="thin"/>
      <bottom style="mediu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style="medium"/>
      <right/>
      <top style="thin"/>
      <bottom style="thin"/>
      <diagonal/>
    </border>
    <border diagonalUp="false" diagonalDown="false">
      <left style="thin"/>
      <right style="thin"/>
      <top style="thin"/>
      <bottom style="medium"/>
      <diagonal/>
    </border>
    <border diagonalUp="false" diagonalDown="false">
      <left style="medium"/>
      <right/>
      <top style="thin"/>
      <bottom style="medium"/>
      <diagonal/>
    </border>
    <border diagonalUp="false" diagonalDown="false">
      <left style="medium"/>
      <right style="thin"/>
      <top style="medium"/>
      <bottom style="medium"/>
      <diagonal/>
    </border>
    <border diagonalUp="false" diagonalDown="false">
      <left style="thin"/>
      <right style="medium"/>
      <top style="medium"/>
      <bottom style="medium"/>
      <diagonal/>
    </border>
    <border diagonalUp="false" diagonalDown="false">
      <left style="medium"/>
      <right style="medium"/>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right/>
      <top style="medium"/>
      <bottom style="medium"/>
      <diagonal/>
    </border>
    <border diagonalUp="false" diagonalDown="false">
      <left style="medium"/>
      <right style="medium"/>
      <top/>
      <bottom style="medium"/>
      <diagonal/>
    </border>
    <border diagonalUp="false" diagonalDown="false">
      <left style="medium"/>
      <right style="medium"/>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right/>
      <top/>
      <bottom style="thin"/>
      <diagonal/>
    </border>
    <border diagonalUp="false" diagonalDown="false">
      <left/>
      <right style="medium"/>
      <top/>
      <bottom style="thin"/>
      <diagonal/>
    </border>
    <border diagonalUp="false" diagonalDown="false">
      <left style="medium"/>
      <right/>
      <top/>
      <bottom style="thin"/>
      <diagonal/>
    </border>
    <border diagonalUp="false" diagonalDown="false">
      <left style="double"/>
      <right style="double"/>
      <top style="double"/>
      <bottom/>
      <diagonal/>
    </border>
    <border diagonalUp="false" diagonalDown="false">
      <left style="double"/>
      <right style="double"/>
      <top/>
      <bottom style="double"/>
      <diagonal/>
    </border>
    <border diagonalUp="false" diagonalDown="false">
      <left style="double"/>
      <right style="medium"/>
      <top style="double"/>
      <bottom style="double"/>
      <diagonal/>
    </border>
    <border diagonalUp="false" diagonalDown="false">
      <left/>
      <right/>
      <top style="thin"/>
      <bottom style="double"/>
      <diagonal/>
    </border>
    <border diagonalUp="false" diagonalDown="false">
      <left/>
      <right style="medium"/>
      <top style="thin"/>
      <bottom style="double"/>
      <diagonal/>
    </border>
    <border diagonalUp="false" diagonalDown="false">
      <left/>
      <right/>
      <top/>
      <bottom style="medium"/>
      <diagonal/>
    </border>
    <border diagonalUp="false" diagonalDown="false">
      <left/>
      <right/>
      <top style="medium"/>
      <bottom/>
      <diagonal/>
    </border>
    <border diagonalUp="false" diagonalDown="false">
      <left style="medium"/>
      <right/>
      <top style="thin"/>
      <bottom style="double"/>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style="thin"/>
      <bottom/>
      <diagonal/>
    </border>
    <border diagonalUp="false" diagonalDown="false">
      <left style="thin"/>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top style="medium"/>
      <bottom/>
      <diagonal/>
    </border>
    <border diagonalUp="false" diagonalDown="false">
      <left/>
      <right style="medium"/>
      <top style="thin"/>
      <bottom/>
      <diagonal/>
    </border>
    <border diagonalUp="false" diagonalDown="false">
      <left style="medium"/>
      <right style="thin"/>
      <top/>
      <bottom/>
      <diagonal/>
    </border>
    <border diagonalUp="false" diagonalDown="false">
      <left style="thin"/>
      <right style="thin"/>
      <top/>
      <bottom/>
      <diagonal/>
    </border>
    <border diagonalUp="false" diagonalDown="false">
      <left style="thin"/>
      <right/>
      <top/>
      <bottom style="medium"/>
      <diagonal/>
    </border>
    <border diagonalUp="false" diagonalDown="false">
      <left style="thin"/>
      <right style="thin"/>
      <top/>
      <bottom style="medium"/>
      <diagonal/>
    </border>
    <border diagonalUp="false" diagonalDown="false">
      <left/>
      <right/>
      <top style="thick"/>
      <bottom/>
      <diagonal/>
    </border>
    <border diagonalUp="false" diagonalDown="false">
      <left/>
      <right/>
      <top/>
      <bottom style="thick"/>
      <diagonal/>
    </border>
    <border diagonalUp="false" diagonalDown="false">
      <left/>
      <right style="thin"/>
      <top style="thin"/>
      <bottom style="double"/>
      <diagonal/>
    </border>
    <border diagonalUp="false" diagonalDown="false">
      <left/>
      <right style="double"/>
      <top style="double"/>
      <bottom style="double"/>
      <diagonal/>
    </border>
    <border diagonalUp="false" diagonalDown="false">
      <left style="double"/>
      <right style="double"/>
      <top style="thin"/>
      <bottom style="double"/>
      <diagonal/>
    </border>
    <border diagonalUp="false" diagonalDown="false">
      <left/>
      <right style="double"/>
      <top style="thin"/>
      <bottom style="double"/>
      <diagonal/>
    </border>
    <border diagonalUp="false" diagonalDown="false">
      <left style="thin"/>
      <right/>
      <top style="thin"/>
      <bottom style="double"/>
      <diagonal/>
    </border>
    <border diagonalUp="false" diagonalDown="false">
      <left/>
      <right style="double"/>
      <top style="double"/>
      <bottom/>
      <diagonal/>
    </border>
    <border diagonalUp="false" diagonalDown="false">
      <left/>
      <right style="double"/>
      <top/>
      <bottom style="double"/>
      <diagonal/>
    </border>
    <border diagonalUp="false" diagonalDown="false">
      <left style="thin"/>
      <right/>
      <top style="double"/>
      <bottom/>
      <diagonal/>
    </border>
    <border diagonalUp="false" diagonalDown="false">
      <left style="double"/>
      <right/>
      <top style="double"/>
      <bottom style="double"/>
      <diagonal/>
    </border>
    <border diagonalUp="false" diagonalDown="false">
      <left style="thin"/>
      <right style="double"/>
      <top style="double"/>
      <bottom style="double"/>
      <diagonal/>
    </border>
    <border diagonalUp="false" diagonalDown="false">
      <left style="medium"/>
      <right/>
      <top style="thin"/>
      <bottom/>
      <diagonal/>
    </border>
    <border diagonalUp="false" diagonalDown="false">
      <left/>
      <right/>
      <top/>
      <bottom style="double"/>
      <diagonal/>
    </border>
    <border diagonalUp="false" diagonalDown="false">
      <left style="thin"/>
      <right/>
      <top/>
      <bottom style="double"/>
      <diagonal/>
    </border>
    <border diagonalUp="false" diagonalDown="false">
      <left/>
      <right style="medium"/>
      <top style="medium"/>
      <bottom style="thin"/>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thin"/>
      <top style="medium"/>
      <bottom style="thin"/>
      <diagonal/>
    </border>
    <border diagonalUp="false" diagonalDown="false">
      <left style="thin"/>
      <right style="medium"/>
      <top/>
      <bottom/>
      <diagonal/>
    </border>
    <border diagonalUp="false" diagonalDown="false">
      <left style="medium"/>
      <right style="medium"/>
      <top/>
      <bottom style="thin"/>
      <diagonal/>
    </border>
    <border diagonalUp="false" diagonalDown="false">
      <left style="dotted"/>
      <right style="thin"/>
      <top style="thin"/>
      <bottom/>
      <diagonal/>
    </border>
    <border diagonalUp="false" diagonalDown="false">
      <left style="dotted"/>
      <right style="thin"/>
      <top/>
      <bottom/>
      <diagonal/>
    </border>
    <border diagonalUp="false" diagonalDown="false">
      <left/>
      <right style="thin"/>
      <top/>
      <bottom style="medium"/>
      <diagonal/>
    </border>
    <border diagonalUp="false" diagonalDown="false">
      <left style="thin"/>
      <right style="medium"/>
      <top/>
      <bottom style="medium"/>
      <diagonal/>
    </border>
    <border diagonalUp="false" diagonalDown="false">
      <left/>
      <right style="thin"/>
      <top style="thin"/>
      <bottom style="medium"/>
      <diagonal/>
    </border>
    <border diagonalUp="false" diagonalDown="false">
      <left style="dotted"/>
      <right/>
      <top/>
      <bottom style="medium"/>
      <diagonal/>
    </border>
    <border diagonalUp="false" diagonalDown="false">
      <left style="medium"/>
      <right style="thin"/>
      <top/>
      <bottom style="medium"/>
      <diagonal/>
    </border>
    <border diagonalUp="false" diagonalDown="false">
      <left/>
      <right style="thin"/>
      <top style="medium"/>
      <bottom/>
      <diagonal/>
    </border>
    <border diagonalUp="false" diagonalDown="false">
      <left style="thin"/>
      <right style="medium"/>
      <top style="medium"/>
      <bottom/>
      <diagonal/>
    </border>
    <border diagonalUp="false" diagonalDown="false">
      <left style="dotted"/>
      <right/>
      <top style="medium"/>
      <bottom/>
      <diagonal/>
    </border>
    <border diagonalUp="false" diagonalDown="false">
      <left style="dotted"/>
      <right/>
      <top/>
      <bottom/>
      <diagonal/>
    </border>
  </borders>
  <cellStyleXfs count="2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91"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7"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7"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8"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9" fontId="0" fillId="2" borderId="0" applyFont="true" applyBorder="false" applyAlignment="false" applyProtection="false"/>
    <xf numFmtId="170" fontId="0" fillId="0" borderId="0" applyFont="true" applyBorder="false" applyAlignment="false" applyProtection="false"/>
    <xf numFmtId="171"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1"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3" fontId="0" fillId="0" borderId="0" applyFont="true" applyBorder="false" applyAlignment="false" applyProtection="false"/>
    <xf numFmtId="172" fontId="0" fillId="0" borderId="0" applyFont="true" applyBorder="false" applyAlignment="false" applyProtection="false"/>
    <xf numFmtId="169"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69"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6"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6" fontId="0" fillId="0" borderId="0" applyFont="true" applyBorder="false" applyAlignment="false" applyProtection="false"/>
    <xf numFmtId="174" fontId="0" fillId="0" borderId="0" applyFont="true" applyBorder="false" applyAlignment="false" applyProtection="false"/>
    <xf numFmtId="174"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64"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9"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9"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80"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67" fontId="0" fillId="0" borderId="0" applyFont="true" applyBorder="false" applyAlignment="false" applyProtection="false"/>
    <xf numFmtId="167" fontId="0" fillId="0" borderId="0" applyFont="true" applyBorder="false" applyAlignment="false" applyProtection="false"/>
    <xf numFmtId="181" fontId="0" fillId="0" borderId="0" applyFont="true" applyBorder="false" applyAlignment="false" applyProtection="false"/>
    <xf numFmtId="171" fontId="0" fillId="0" borderId="0" applyFont="true" applyBorder="false" applyAlignment="false" applyProtection="false"/>
    <xf numFmtId="171" fontId="0" fillId="0" borderId="0" applyFont="true" applyBorder="false" applyAlignment="false" applyProtection="false"/>
    <xf numFmtId="182" fontId="0" fillId="0" borderId="0" applyFont="true" applyBorder="false" applyAlignment="false" applyProtection="false"/>
    <xf numFmtId="164" fontId="4" fillId="0" borderId="0" applyFont="true" applyBorder="false" applyAlignment="false" applyProtection="false"/>
    <xf numFmtId="164" fontId="5" fillId="0" borderId="1" applyFont="true" applyBorder="true" applyAlignment="false" applyProtection="false"/>
    <xf numFmtId="183" fontId="6" fillId="0" borderId="0" applyFont="true" applyBorder="false" applyAlignment="false" applyProtection="false"/>
    <xf numFmtId="164" fontId="7"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3" fontId="6" fillId="0" borderId="0" applyFont="true" applyBorder="false" applyAlignment="false" applyProtection="false"/>
    <xf numFmtId="183" fontId="9" fillId="0" borderId="0" applyFont="true" applyBorder="true" applyAlignment="true" applyProtection="true">
      <alignment horizontal="general" vertical="bottom" textRotation="0" wrapText="false" indent="0" shrinkToFit="false"/>
      <protection locked="true" hidden="false"/>
    </xf>
    <xf numFmtId="183" fontId="6" fillId="0" borderId="0" applyFont="true" applyBorder="false" applyAlignment="false" applyProtection="false"/>
    <xf numFmtId="164" fontId="1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top" textRotation="0" wrapText="tru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4" fillId="3" borderId="0" applyFont="true" applyBorder="true" applyAlignment="true" applyProtection="true">
      <alignment horizontal="general" vertical="bottom" textRotation="0" wrapText="false" indent="0" shrinkToFit="false"/>
      <protection locked="true" hidden="false"/>
    </xf>
    <xf numFmtId="164" fontId="10" fillId="3"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5" fontId="0" fillId="0" borderId="0" applyFont="true" applyBorder="true" applyAlignment="false" applyProtection="tru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5"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6" fontId="8"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true" applyAlignment="true" applyProtection="true">
      <alignment horizontal="general" vertical="bottom" textRotation="0" wrapText="false" indent="0" shrinkToFit="false"/>
      <protection locked="false" hidden="false"/>
    </xf>
    <xf numFmtId="164" fontId="13" fillId="0" borderId="0" applyFont="true" applyBorder="true" applyAlignment="true" applyProtection="true">
      <alignment horizontal="general" vertical="bottom" textRotation="0" wrapText="false" indent="0" shrinkToFit="false"/>
      <protection locked="true" hidden="false"/>
    </xf>
    <xf numFmtId="183" fontId="1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6"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3" fontId="6" fillId="0" borderId="0" applyFont="true" applyBorder="false" applyAlignment="false" applyProtection="false"/>
    <xf numFmtId="164" fontId="12"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0" fillId="3"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13" fillId="4" borderId="0" applyFont="true" applyBorder="false" applyAlignment="false" applyProtection="false"/>
    <xf numFmtId="183" fontId="6" fillId="0" borderId="0" applyFont="true" applyBorder="true" applyAlignment="true" applyProtection="true">
      <alignment horizontal="general" vertical="bottom" textRotation="0" wrapText="false" indent="0" shrinkToFit="false"/>
      <protection locked="true" hidden="false"/>
    </xf>
    <xf numFmtId="164" fontId="6" fillId="5" borderId="0" applyFont="true" applyBorder="false" applyAlignment="false" applyProtection="false"/>
    <xf numFmtId="185" fontId="18" fillId="0" borderId="1" applyFont="true" applyBorder="true" applyAlignment="true" applyProtection="false">
      <alignment horizontal="general" vertical="bottom" textRotation="0" wrapText="false" indent="0" shrinkToFit="false"/>
    </xf>
    <xf numFmtId="185" fontId="18" fillId="6" borderId="1" applyFont="true" applyBorder="true" applyAlignment="true" applyProtection="false">
      <alignment horizontal="general" vertical="bottom" textRotation="0" wrapText="false" indent="0" shrinkToFit="false"/>
    </xf>
    <xf numFmtId="164" fontId="0" fillId="0" borderId="0" applyFont="true" applyBorder="false" applyAlignment="false" applyProtection="false"/>
    <xf numFmtId="164" fontId="0" fillId="0" borderId="0" applyFont="true" applyBorder="false" applyAlignment="false" applyProtection="false"/>
    <xf numFmtId="187"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cellStyleXfs>
  <cellXfs count="170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88" fontId="19" fillId="7" borderId="0" xfId="0" applyFont="true" applyBorder="false" applyAlignment="false" applyProtection="true">
      <alignment horizontal="general" vertical="bottom" textRotation="0" wrapText="false" indent="0" shrinkToFit="false"/>
      <protection locked="true" hidden="false"/>
    </xf>
    <xf numFmtId="189" fontId="20" fillId="7" borderId="0" xfId="0" applyFont="true" applyBorder="true" applyAlignment="true" applyProtection="true">
      <alignment horizontal="left" vertical="bottom" textRotation="0" wrapText="false" indent="0" shrinkToFit="false"/>
      <protection locked="true" hidden="false"/>
    </xf>
    <xf numFmtId="164" fontId="5" fillId="7" borderId="0" xfId="0" applyFont="true" applyBorder="false" applyAlignment="false" applyProtection="true">
      <alignment horizontal="general" vertical="bottom" textRotation="0" wrapText="false" indent="0" shrinkToFit="false"/>
      <protection locked="false" hidden="false"/>
    </xf>
    <xf numFmtId="189" fontId="21" fillId="8" borderId="0" xfId="0" applyFont="true" applyBorder="true" applyAlignment="true" applyProtection="true">
      <alignment horizontal="left" vertical="bottom" textRotation="0" wrapText="false" indent="0" shrinkToFit="false"/>
      <protection locked="true" hidden="false"/>
    </xf>
    <xf numFmtId="164" fontId="0" fillId="8" borderId="0" xfId="0" applyFont="false" applyBorder="false" applyAlignment="false" applyProtection="false">
      <alignment horizontal="general" vertical="bottom" textRotation="0" wrapText="false" indent="0" shrinkToFit="false"/>
      <protection locked="true" hidden="false"/>
    </xf>
    <xf numFmtId="190" fontId="5" fillId="7" borderId="0" xfId="0" applyFont="true" applyBorder="false" applyAlignment="false" applyProtection="tru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5" fillId="7" borderId="0" xfId="0" applyFont="true" applyBorder="false" applyAlignment="false" applyProtection="true">
      <alignment horizontal="general" vertical="bottom" textRotation="0" wrapText="false" indent="0" shrinkToFit="false"/>
      <protection locked="true" hidden="false"/>
    </xf>
    <xf numFmtId="189" fontId="22" fillId="7" borderId="0" xfId="0" applyFont="true" applyBorder="true" applyAlignment="true" applyProtection="true">
      <alignment horizontal="left" vertical="bottom" textRotation="0" wrapText="false" indent="0" shrinkToFit="false"/>
      <protection locked="true" hidden="false"/>
    </xf>
    <xf numFmtId="164" fontId="10" fillId="7" borderId="0" xfId="0" applyFont="true" applyBorder="false" applyAlignment="fals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false" hidden="false"/>
    </xf>
    <xf numFmtId="190" fontId="23" fillId="0" borderId="0" xfId="0" applyFont="true" applyBorder="false" applyAlignment="false" applyProtection="true">
      <alignment horizontal="general" vertical="bottom" textRotation="0" wrapText="false" indent="0" shrinkToFit="false"/>
      <protection locked="false" hidden="false"/>
    </xf>
    <xf numFmtId="164" fontId="23" fillId="0" borderId="0" xfId="0" applyFont="true" applyBorder="false" applyAlignment="true" applyProtection="true">
      <alignment horizontal="left" vertical="bottom" textRotation="0" wrapText="false" indent="0" shrinkToFit="false"/>
      <protection locked="false" hidden="false"/>
    </xf>
    <xf numFmtId="190" fontId="5" fillId="7" borderId="0" xfId="0" applyFont="true" applyBorder="true" applyAlignment="false" applyProtection="true">
      <alignment horizontal="general" vertical="bottom" textRotation="0" wrapText="false" indent="0" shrinkToFit="false"/>
      <protection locked="true" hidden="false"/>
    </xf>
    <xf numFmtId="190" fontId="19" fillId="7" borderId="0" xfId="0" applyFont="true" applyBorder="false" applyAlignment="false" applyProtection="true">
      <alignment horizontal="general" vertical="bottom" textRotation="0" wrapText="false" indent="0" shrinkToFit="false"/>
      <protection locked="true" hidden="false"/>
    </xf>
    <xf numFmtId="164" fontId="24" fillId="5" borderId="2" xfId="0" applyFont="true" applyBorder="true" applyAlignment="true" applyProtection="true">
      <alignment horizontal="right" vertical="bottom" textRotation="0" wrapText="false" indent="0" shrinkToFit="false"/>
      <protection locked="true" hidden="false"/>
    </xf>
    <xf numFmtId="191" fontId="19" fillId="0" borderId="3" xfId="19" applyFont="true" applyBorder="true" applyAlignment="true" applyProtection="true">
      <alignment horizontal="general" vertical="bottom" textRotation="0" wrapText="false" indent="0" shrinkToFit="false"/>
      <protection locked="false" hidden="false"/>
    </xf>
    <xf numFmtId="164" fontId="19" fillId="5" borderId="2" xfId="0" applyFont="true" applyBorder="true" applyAlignment="true" applyProtection="true">
      <alignment horizontal="right" vertical="bottom" textRotation="0" wrapText="false" indent="0" shrinkToFit="false"/>
      <protection locked="true" hidden="false"/>
    </xf>
    <xf numFmtId="192" fontId="25" fillId="0" borderId="3" xfId="15" applyFont="true" applyBorder="true" applyAlignment="true" applyProtection="true">
      <alignment horizontal="general" vertical="bottom" textRotation="0" wrapText="false" indent="0" shrinkToFit="false"/>
      <protection locked="false" hidden="false"/>
    </xf>
    <xf numFmtId="164" fontId="26" fillId="5" borderId="2" xfId="0" applyFont="true" applyBorder="true" applyAlignment="true" applyProtection="false">
      <alignment horizontal="right" vertical="bottom" textRotation="0" wrapText="false" indent="0" shrinkToFit="false"/>
      <protection locked="true" hidden="false"/>
    </xf>
    <xf numFmtId="193" fontId="26" fillId="0" borderId="3" xfId="0" applyFont="true" applyBorder="true" applyAlignment="false" applyProtection="false">
      <alignment horizontal="general" vertical="bottom" textRotation="0" wrapText="false" indent="0" shrinkToFit="false"/>
      <protection locked="true" hidden="false"/>
    </xf>
    <xf numFmtId="164" fontId="25" fillId="9" borderId="4"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center" vertical="bottom" textRotation="0" wrapText="false" indent="0" shrinkToFit="false"/>
      <protection locked="true" hidden="false"/>
    </xf>
    <xf numFmtId="164" fontId="25" fillId="9" borderId="5"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90" fontId="19" fillId="5" borderId="2" xfId="0" applyFont="true" applyBorder="true" applyAlignment="true" applyProtection="true">
      <alignment horizontal="right" vertical="bottom" textRotation="0" wrapText="false" indent="0" shrinkToFit="false"/>
      <protection locked="true" hidden="false"/>
    </xf>
    <xf numFmtId="194" fontId="19" fillId="5" borderId="3" xfId="0" applyFont="true" applyBorder="true" applyAlignment="true" applyProtection="true">
      <alignment horizontal="right" vertical="bottom" textRotation="0" wrapText="false" indent="0" shrinkToFit="false"/>
      <protection locked="false" hidden="false"/>
    </xf>
    <xf numFmtId="164" fontId="26" fillId="5" borderId="2" xfId="0" applyFont="true" applyBorder="true" applyAlignment="true" applyProtection="true">
      <alignment horizontal="right" vertical="bottom" textRotation="0" wrapText="false" indent="0" shrinkToFit="false"/>
      <protection locked="true" hidden="false"/>
    </xf>
    <xf numFmtId="164" fontId="27" fillId="5" borderId="6" xfId="0" applyFont="true" applyBorder="true" applyAlignment="true" applyProtection="true">
      <alignment horizontal="right" vertical="bottom" textRotation="0" wrapText="false" indent="0" shrinkToFit="false"/>
      <protection locked="true" hidden="false"/>
    </xf>
    <xf numFmtId="193" fontId="25" fillId="9" borderId="7" xfId="19" applyFont="true" applyBorder="true" applyAlignment="true" applyProtection="true">
      <alignment horizontal="general" vertical="bottom" textRotation="0" wrapText="false" indent="0" shrinkToFit="false"/>
      <protection locked="true" hidden="false"/>
    </xf>
    <xf numFmtId="164" fontId="0" fillId="9" borderId="8" xfId="0" applyFont="false" applyBorder="true" applyAlignment="false" applyProtection="false">
      <alignment horizontal="general" vertical="bottom" textRotation="0" wrapText="false" indent="0" shrinkToFit="false"/>
      <protection locked="true" hidden="false"/>
    </xf>
    <xf numFmtId="164" fontId="0" fillId="9" borderId="9" xfId="0" applyFont="false" applyBorder="true" applyAlignment="false" applyProtection="false">
      <alignment horizontal="general" vertical="bottom" textRotation="0" wrapText="false" indent="0" shrinkToFit="false"/>
      <protection locked="true" hidden="false"/>
    </xf>
    <xf numFmtId="164" fontId="24" fillId="5" borderId="10" xfId="0" applyFont="true" applyBorder="true" applyAlignment="true" applyProtection="false">
      <alignment horizontal="center" vertical="bottom" textRotation="0" wrapText="false" indent="0" shrinkToFit="false"/>
      <protection locked="true" hidden="false"/>
    </xf>
    <xf numFmtId="164" fontId="26" fillId="5" borderId="11" xfId="0" applyFont="true" applyBorder="true" applyAlignment="true" applyProtection="false">
      <alignment horizontal="center" vertical="bottom" textRotation="0" wrapText="false" indent="0" shrinkToFit="false"/>
      <protection locked="true" hidden="false"/>
    </xf>
    <xf numFmtId="164" fontId="26" fillId="5" borderId="12" xfId="0" applyFont="true" applyBorder="true" applyAlignment="true" applyProtection="false">
      <alignment horizontal="center" vertical="bottom" textRotation="0" wrapText="false" indent="0" shrinkToFit="false"/>
      <protection locked="true" hidden="false"/>
    </xf>
    <xf numFmtId="164" fontId="26" fillId="5" borderId="6" xfId="0" applyFont="true" applyBorder="true" applyAlignment="true" applyProtection="false">
      <alignment horizontal="center" vertical="bottom" textRotation="0" wrapText="false" indent="0" shrinkToFit="false"/>
      <protection locked="true" hidden="false"/>
    </xf>
    <xf numFmtId="164" fontId="26" fillId="5" borderId="13" xfId="0" applyFont="true" applyBorder="true" applyAlignment="true" applyProtection="false">
      <alignment horizontal="center" vertical="bottom" textRotation="0" wrapText="false" indent="0" shrinkToFit="false"/>
      <protection locked="true" hidden="false"/>
    </xf>
    <xf numFmtId="164" fontId="26" fillId="5" borderId="13" xfId="0" applyFont="true" applyBorder="true" applyAlignment="true" applyProtection="true">
      <alignment horizontal="center" vertical="bottom" textRotation="0" wrapText="false" indent="0" shrinkToFit="false"/>
      <protection locked="true" hidden="false"/>
    </xf>
    <xf numFmtId="164" fontId="26" fillId="5" borderId="7" xfId="0" applyFont="true" applyBorder="true" applyAlignment="true" applyProtection="true">
      <alignment horizontal="center" vertical="bottom" textRotation="0" wrapText="false" indent="0" shrinkToFit="false"/>
      <protection locked="true" hidden="false"/>
    </xf>
    <xf numFmtId="164" fontId="10" fillId="5" borderId="6" xfId="0" applyFont="true" applyBorder="true" applyAlignment="false" applyProtection="false">
      <alignment horizontal="general" vertical="bottom" textRotation="0" wrapText="false" indent="0" shrinkToFit="false"/>
      <protection locked="true" hidden="false"/>
    </xf>
    <xf numFmtId="164" fontId="25" fillId="5" borderId="13" xfId="0" applyFont="true" applyBorder="true" applyAlignment="true" applyProtection="false">
      <alignment horizontal="center" vertical="bottom" textRotation="0" wrapText="false" indent="0" shrinkToFit="false"/>
      <protection locked="true" hidden="false"/>
    </xf>
    <xf numFmtId="164" fontId="25" fillId="5" borderId="7"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false">
      <alignment horizontal="right" vertical="bottom" textRotation="0" wrapText="false" indent="0" shrinkToFit="false"/>
      <protection locked="true" hidden="false"/>
    </xf>
    <xf numFmtId="164" fontId="0" fillId="0" borderId="3" xfId="0" applyFont="false" applyBorder="true" applyAlignment="true" applyProtection="false">
      <alignment horizontal="right" vertical="bottom" textRotation="0" wrapText="false" indent="0" shrinkToFit="false"/>
      <protection locked="true" hidden="false"/>
    </xf>
    <xf numFmtId="190" fontId="19" fillId="5" borderId="6" xfId="0" applyFont="true" applyBorder="true" applyAlignment="true" applyProtection="true">
      <alignment horizontal="right" vertical="bottom" textRotation="0" wrapText="false" indent="0" shrinkToFit="false"/>
      <protection locked="true" hidden="false"/>
    </xf>
    <xf numFmtId="164" fontId="10" fillId="9" borderId="15" xfId="0" applyFont="true" applyBorder="true" applyAlignment="false" applyProtection="true">
      <alignment horizontal="general" vertical="bottom" textRotation="0" wrapText="false" indent="0" shrinkToFit="false"/>
      <protection locked="true" hidden="false"/>
    </xf>
    <xf numFmtId="191" fontId="19" fillId="9" borderId="16" xfId="19" applyFont="true" applyBorder="true" applyAlignment="true" applyProtection="true">
      <alignment horizontal="general" vertical="bottom" textRotation="0" wrapText="false" indent="0" shrinkToFit="false"/>
      <protection locked="false" hidden="false"/>
    </xf>
    <xf numFmtId="164" fontId="0" fillId="5" borderId="6" xfId="0" applyFont="false" applyBorder="true" applyAlignment="false" applyProtection="false">
      <alignment horizontal="general" vertical="bottom" textRotation="0" wrapText="false" indent="0" shrinkToFit="false"/>
      <protection locked="true" hidden="false"/>
    </xf>
    <xf numFmtId="192" fontId="26" fillId="0" borderId="7" xfId="0" applyFont="true" applyBorder="true" applyAlignment="false" applyProtection="false">
      <alignment horizontal="general" vertical="bottom" textRotation="0" wrapText="false" indent="0" shrinkToFit="false"/>
      <protection locked="true" hidden="false"/>
    </xf>
    <xf numFmtId="193" fontId="26" fillId="0" borderId="3" xfId="0" applyFont="true" applyBorder="true" applyAlignment="false" applyProtection="false">
      <alignment horizontal="general" vertical="bottom" textRotation="0" wrapText="false" indent="0" shrinkToFit="false"/>
      <protection locked="true" hidden="false"/>
    </xf>
    <xf numFmtId="164" fontId="24" fillId="5" borderId="17" xfId="0" applyFont="true" applyBorder="true" applyAlignment="true" applyProtection="false">
      <alignment horizontal="center" vertical="bottom" textRotation="0" wrapText="false" indent="0" shrinkToFit="false"/>
      <protection locked="true" hidden="false"/>
    </xf>
    <xf numFmtId="164" fontId="26" fillId="5" borderId="18" xfId="0" applyFont="true" applyBorder="true" applyAlignment="true" applyProtection="false">
      <alignment horizontal="center" vertical="bottom" textRotation="0" wrapText="false" indent="0" shrinkToFit="false"/>
      <protection locked="true" hidden="false"/>
    </xf>
    <xf numFmtId="164" fontId="26" fillId="5" borderId="19" xfId="0" applyFont="true" applyBorder="true" applyAlignment="true" applyProtection="false">
      <alignment horizontal="center" vertical="bottom" textRotation="0" wrapText="false" indent="0" shrinkToFit="false"/>
      <protection locked="true" hidden="false"/>
    </xf>
    <xf numFmtId="164" fontId="26" fillId="5" borderId="6" xfId="0" applyFont="true" applyBorder="true" applyAlignment="true" applyProtection="false">
      <alignment horizontal="right" vertical="bottom" textRotation="0" wrapText="false" indent="0" shrinkToFit="false"/>
      <protection locked="true" hidden="false"/>
    </xf>
    <xf numFmtId="164" fontId="26" fillId="5" borderId="13" xfId="0" applyFont="true" applyBorder="true" applyAlignment="false" applyProtection="true">
      <alignment horizontal="general" vertical="bottom" textRotation="0" wrapText="false" indent="0" shrinkToFit="false"/>
      <protection locked="true" hidden="false"/>
    </xf>
    <xf numFmtId="192" fontId="25" fillId="8" borderId="13" xfId="0" applyFont="true" applyBorder="true" applyAlignment="false" applyProtection="true">
      <alignment horizontal="general" vertical="bottom" textRotation="0" wrapText="false" indent="0" shrinkToFit="false"/>
      <protection locked="true" hidden="false"/>
    </xf>
    <xf numFmtId="164" fontId="26" fillId="5" borderId="6" xfId="0" applyFont="true" applyBorder="true" applyAlignment="false" applyProtection="false">
      <alignment horizontal="general" vertical="bottom" textRotation="0" wrapText="false" indent="0" shrinkToFit="false"/>
      <protection locked="true" hidden="false"/>
    </xf>
    <xf numFmtId="193" fontId="28" fillId="9" borderId="13" xfId="19" applyFont="true" applyBorder="true" applyAlignment="true" applyProtection="true">
      <alignment horizontal="general" vertical="bottom" textRotation="0" wrapText="false" indent="0" shrinkToFit="false"/>
      <protection locked="true" hidden="false"/>
    </xf>
    <xf numFmtId="193" fontId="28" fillId="9" borderId="7" xfId="19" applyFont="true" applyBorder="true" applyAlignment="true" applyProtection="tru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2" borderId="20" xfId="0" applyFont="fals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2" borderId="21" xfId="0" applyFont="fals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right" vertical="bottom" textRotation="0" wrapText="false" indent="0" shrinkToFit="false"/>
      <protection locked="true" hidden="false"/>
    </xf>
    <xf numFmtId="164" fontId="0" fillId="0" borderId="23"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9" fillId="5" borderId="6" xfId="0" applyFont="true" applyBorder="true" applyAlignment="true" applyProtection="true">
      <alignment horizontal="right" vertical="bottom" textRotation="0" wrapText="false" indent="0" shrinkToFit="false"/>
      <protection locked="true" hidden="false"/>
    </xf>
    <xf numFmtId="190" fontId="19" fillId="0" borderId="7" xfId="0" applyFont="true" applyBorder="true" applyAlignment="false" applyProtection="true">
      <alignment horizontal="general" vertical="bottom" textRotation="0" wrapText="false" indent="0" shrinkToFit="false"/>
      <protection locked="false" hidden="false"/>
    </xf>
    <xf numFmtId="164" fontId="26" fillId="9" borderId="24" xfId="0" applyFont="true" applyBorder="true" applyAlignment="false" applyProtection="false">
      <alignment horizontal="general" vertical="bottom" textRotation="0" wrapText="false" indent="0" shrinkToFit="false"/>
      <protection locked="true" hidden="false"/>
    </xf>
    <xf numFmtId="164" fontId="0" fillId="9" borderId="25" xfId="0" applyFont="false" applyBorder="true" applyAlignment="false" applyProtection="false">
      <alignment horizontal="general" vertical="bottom" textRotation="0" wrapText="false" indent="0" shrinkToFit="false"/>
      <protection locked="true" hidden="false"/>
    </xf>
    <xf numFmtId="164" fontId="19" fillId="5" borderId="8" xfId="0" applyFont="true" applyBorder="true" applyAlignment="true" applyProtection="true">
      <alignment horizontal="left" vertical="bottom" textRotation="0" wrapText="false" indent="0" shrinkToFit="false"/>
      <protection locked="true" hidden="false"/>
    </xf>
    <xf numFmtId="164" fontId="19" fillId="5" borderId="9" xfId="0" applyFont="true" applyBorder="true" applyAlignment="true" applyProtection="true">
      <alignment horizontal="left" vertical="bottom" textRotation="0" wrapText="false" indent="0" shrinkToFit="false"/>
      <protection locked="true" hidden="false"/>
    </xf>
    <xf numFmtId="192" fontId="29" fillId="9" borderId="13" xfId="0" applyFont="true" applyBorder="true" applyAlignment="false" applyProtection="false">
      <alignment horizontal="general" vertical="bottom" textRotation="0" wrapText="false" indent="0" shrinkToFit="false"/>
      <protection locked="true" hidden="false"/>
    </xf>
    <xf numFmtId="192" fontId="29" fillId="9" borderId="7" xfId="0" applyFont="true" applyBorder="true" applyAlignment="false" applyProtection="false">
      <alignment horizontal="general" vertical="bottom" textRotation="0" wrapText="false" indent="0" shrinkToFit="false"/>
      <protection locked="true" hidden="false"/>
    </xf>
    <xf numFmtId="164" fontId="30" fillId="5" borderId="6" xfId="0" applyFont="true" applyBorder="true" applyAlignment="false" applyProtection="false">
      <alignment horizontal="general"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2" borderId="13" xfId="0" applyFont="false" applyBorder="true" applyAlignment="true" applyProtection="false">
      <alignment horizontal="center"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5" borderId="24" xfId="0" applyFont="false" applyBorder="true" applyAlignment="false" applyProtection="false">
      <alignment horizontal="general" vertical="bottom" textRotation="0" wrapText="false" indent="0" shrinkToFit="false"/>
      <protection locked="true" hidden="false"/>
    </xf>
    <xf numFmtId="164" fontId="0" fillId="5" borderId="25" xfId="0" applyFont="false" applyBorder="true" applyAlignment="false" applyProtection="false">
      <alignment horizontal="general" vertical="bottom" textRotation="0" wrapText="false" indent="0" shrinkToFit="false"/>
      <protection locked="true" hidden="false"/>
    </xf>
    <xf numFmtId="164" fontId="19" fillId="5" borderId="24" xfId="0" applyFont="true" applyBorder="true" applyAlignment="true" applyProtection="true">
      <alignment horizontal="left" vertical="bottom" textRotation="0" wrapText="false" indent="0" shrinkToFit="false"/>
      <protection locked="true" hidden="false"/>
    </xf>
    <xf numFmtId="164" fontId="26" fillId="0" borderId="2" xfId="0" applyFont="true" applyBorder="true" applyAlignment="false" applyProtection="false">
      <alignment horizontal="general" vertical="bottom" textRotation="0" wrapText="false" indent="0" shrinkToFit="false"/>
      <protection locked="true" hidden="false"/>
    </xf>
    <xf numFmtId="164" fontId="26" fillId="0" borderId="20" xfId="0" applyFont="true" applyBorder="true" applyAlignment="true" applyProtection="false">
      <alignment horizontal="center" vertical="bottom" textRotation="0" wrapText="false" indent="0" shrinkToFit="false"/>
      <protection locked="true" hidden="false"/>
    </xf>
    <xf numFmtId="164" fontId="26" fillId="0" borderId="3" xfId="0" applyFont="true" applyBorder="true" applyAlignment="true" applyProtection="false">
      <alignment horizontal="center" vertical="bottom" textRotation="0" wrapText="false" indent="0" shrinkToFit="false"/>
      <protection locked="true" hidden="false"/>
    </xf>
    <xf numFmtId="190" fontId="19" fillId="7" borderId="0" xfId="0" applyFont="true" applyBorder="true" applyAlignment="false" applyProtection="true">
      <alignment horizontal="general" vertical="bottom" textRotation="0" wrapText="false" indent="0" shrinkToFit="false"/>
      <protection locked="true" hidden="false"/>
    </xf>
    <xf numFmtId="164" fontId="26" fillId="5" borderId="14" xfId="0" applyFont="true" applyBorder="true" applyAlignment="true" applyProtection="false">
      <alignment horizontal="center"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0" borderId="13" xfId="0" applyFont="true" applyBorder="true" applyAlignment="true" applyProtection="false">
      <alignment horizontal="right" vertical="bottom" textRotation="0" wrapText="false" indent="0" shrinkToFit="false"/>
      <protection locked="true" hidden="false"/>
    </xf>
    <xf numFmtId="164" fontId="0" fillId="0" borderId="7" xfId="0" applyFont="false" applyBorder="true" applyAlignment="true" applyProtection="false">
      <alignment horizontal="right" vertical="bottom" textRotation="0" wrapText="false" indent="0" shrinkToFit="false"/>
      <protection locked="true" hidden="false"/>
    </xf>
    <xf numFmtId="194" fontId="26" fillId="0" borderId="7" xfId="0" applyFont="true" applyBorder="true" applyAlignment="true" applyProtection="true">
      <alignment horizontal="right" vertical="bottom" textRotation="0" wrapText="false" indent="0" shrinkToFit="false"/>
      <protection locked="false" hidden="false"/>
    </xf>
    <xf numFmtId="189" fontId="31" fillId="7" borderId="0" xfId="0" applyFont="true" applyBorder="true" applyAlignment="true" applyProtection="true">
      <alignment horizontal="center" vertical="bottom" textRotation="0" wrapText="false" indent="0" shrinkToFit="false"/>
      <protection locked="true" hidden="false"/>
    </xf>
    <xf numFmtId="164" fontId="5" fillId="9" borderId="26" xfId="0" applyFont="true" applyBorder="true" applyAlignment="false" applyProtection="true">
      <alignment horizontal="general" vertical="bottom" textRotation="0" wrapText="false" indent="0" shrinkToFit="false"/>
      <protection locked="true" hidden="false"/>
    </xf>
    <xf numFmtId="164" fontId="26" fillId="5" borderId="7" xfId="0" applyFont="true" applyBorder="true" applyAlignment="true" applyProtection="false">
      <alignment horizontal="right"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0" fillId="2" borderId="7" xfId="0" applyFont="false" applyBorder="true" applyAlignment="true" applyProtection="false">
      <alignment horizontal="center" vertical="bottom" textRotation="0" wrapText="false" indent="0" shrinkToFit="false"/>
      <protection locked="true" hidden="false"/>
    </xf>
    <xf numFmtId="192" fontId="29" fillId="9" borderId="13" xfId="0" applyFont="true" applyBorder="true" applyAlignment="false" applyProtection="true">
      <alignment horizontal="general" vertical="bottom" textRotation="0" wrapText="false" indent="0" shrinkToFit="false"/>
      <protection locked="true" hidden="false"/>
    </xf>
    <xf numFmtId="192" fontId="29" fillId="9" borderId="7" xfId="0" applyFont="true" applyBorder="true" applyAlignment="false" applyProtection="true">
      <alignment horizontal="general" vertical="bottom" textRotation="0" wrapText="false" indent="0" shrinkToFit="false"/>
      <protection locked="true" hidden="false"/>
    </xf>
    <xf numFmtId="164" fontId="19" fillId="5" borderId="22" xfId="0" applyFont="true" applyBorder="true" applyAlignment="true" applyProtection="true">
      <alignment horizontal="right" vertical="bottom" textRotation="0" wrapText="false" indent="0" shrinkToFit="false"/>
      <protection locked="true" hidden="false"/>
    </xf>
    <xf numFmtId="172" fontId="26" fillId="5" borderId="23" xfId="15" applyFont="true" applyBorder="true" applyAlignment="true" applyProtection="true">
      <alignment horizontal="general" vertical="bottom" textRotation="0" wrapText="false" indent="0" shrinkToFit="false"/>
      <protection locked="fals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26" fillId="5" borderId="6" xfId="0" applyFont="true" applyBorder="true" applyAlignment="false" applyProtection="true">
      <alignment horizontal="general" vertical="bottom" textRotation="0" wrapText="false" indent="0" shrinkToFit="false"/>
      <protection locked="true" hidden="false"/>
    </xf>
    <xf numFmtId="164" fontId="0" fillId="0" borderId="22" xfId="0" applyFont="tru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5" fillId="9" borderId="28" xfId="0" applyFont="true" applyBorder="true" applyAlignment="false" applyProtection="true">
      <alignment horizontal="general" vertical="bottom" textRotation="0" wrapText="false" indent="0" shrinkToFit="false"/>
      <protection locked="true" hidden="false"/>
    </xf>
    <xf numFmtId="164" fontId="26" fillId="5" borderId="22" xfId="0" applyFont="true" applyBorder="true" applyAlignment="true" applyProtection="false">
      <alignment horizontal="right" vertical="bottom" textRotation="0" wrapText="false" indent="0" shrinkToFit="false"/>
      <protection locked="true" hidden="false"/>
    </xf>
    <xf numFmtId="164" fontId="26" fillId="5" borderId="23" xfId="0" applyFont="true" applyBorder="true" applyAlignment="true" applyProtection="false">
      <alignment horizontal="right"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88" fontId="32" fillId="8" borderId="0" xfId="0" applyFont="true" applyBorder="false" applyAlignment="false" applyProtection="true">
      <alignment horizontal="general" vertical="bottom" textRotation="0" wrapText="false" indent="0" shrinkToFit="false"/>
      <protection locked="true" hidden="false"/>
    </xf>
    <xf numFmtId="164" fontId="32" fillId="8" borderId="0" xfId="0" applyFont="true" applyBorder="true" applyAlignment="true" applyProtection="true">
      <alignment horizontal="right" vertical="bottom" textRotation="0" wrapText="false" indent="0" shrinkToFit="false"/>
      <protection locked="true" hidden="false"/>
    </xf>
    <xf numFmtId="164" fontId="0" fillId="0" borderId="20" xfId="0" applyFont="true" applyBorder="true" applyAlignment="true" applyProtection="false">
      <alignment horizontal="center" vertical="bottom" textRotation="0" wrapText="false" indent="0" shrinkToFit="false"/>
      <protection locked="true" hidden="false"/>
    </xf>
    <xf numFmtId="164" fontId="0" fillId="0" borderId="3" xfId="0" applyFont="true" applyBorder="true" applyAlignment="true" applyProtection="false">
      <alignment horizontal="center" vertical="bottom" textRotation="0" wrapText="false" indent="0" shrinkToFit="false"/>
      <protection locked="true" hidden="false"/>
    </xf>
    <xf numFmtId="164" fontId="19" fillId="0" borderId="14" xfId="0" applyFont="true" applyBorder="true" applyAlignment="true" applyProtection="false">
      <alignment horizontal="center" vertical="bottom" textRotation="0" wrapText="false" indent="0" shrinkToFit="false"/>
      <protection locked="true" hidden="false"/>
    </xf>
    <xf numFmtId="164" fontId="25" fillId="0" borderId="4" xfId="0" applyFont="true" applyBorder="true" applyAlignment="true" applyProtection="false">
      <alignment horizontal="center" vertical="bottom" textRotation="0" wrapText="false" indent="0" shrinkToFit="false"/>
      <protection locked="true" hidden="false"/>
    </xf>
    <xf numFmtId="164" fontId="19" fillId="5" borderId="29" xfId="0" applyFont="true" applyBorder="true" applyAlignment="true" applyProtection="true">
      <alignment horizontal="right" vertical="bottom" textRotation="0" wrapText="false" indent="0" shrinkToFit="false"/>
      <protection locked="true" hidden="false"/>
    </xf>
    <xf numFmtId="164" fontId="0" fillId="0" borderId="30" xfId="0" applyFont="false" applyBorder="true" applyAlignment="false" applyProtection="false">
      <alignment horizontal="general" vertical="bottom" textRotation="0" wrapText="false" indent="0" shrinkToFit="false"/>
      <protection locked="true" hidden="false"/>
    </xf>
    <xf numFmtId="164" fontId="19" fillId="7" borderId="0" xfId="0" applyFont="true" applyBorder="true" applyAlignment="true" applyProtection="true">
      <alignment horizontal="right" vertical="bottom" textRotation="0" wrapText="false" indent="0" shrinkToFit="false"/>
      <protection locked="true" hidden="false"/>
    </xf>
    <xf numFmtId="164" fontId="31" fillId="5" borderId="2" xfId="0" applyFont="true" applyBorder="true" applyAlignment="true" applyProtection="true">
      <alignment horizontal="right" vertical="bottom" textRotation="0" wrapText="false" indent="0" shrinkToFit="false"/>
      <protection locked="true" hidden="false"/>
    </xf>
    <xf numFmtId="195" fontId="26" fillId="0" borderId="3" xfId="0" applyFont="true" applyBorder="true" applyAlignment="false" applyProtection="false">
      <alignment horizontal="general" vertical="bottom" textRotation="0" wrapText="false" indent="0" shrinkToFit="false"/>
      <protection locked="true" hidden="false"/>
    </xf>
    <xf numFmtId="164" fontId="26" fillId="5" borderId="2" xfId="0" applyFont="true" applyBorder="true" applyAlignment="true" applyProtection="false">
      <alignment horizontal="left" vertical="bottom" textRotation="0" wrapText="false" indent="5" shrinkToFit="false"/>
      <protection locked="true" hidden="false"/>
    </xf>
    <xf numFmtId="164" fontId="26" fillId="5" borderId="3" xfId="0" applyFont="true" applyBorder="true" applyAlignment="true" applyProtection="false">
      <alignment horizontal="center" vertical="bottom" textRotation="0" wrapText="false" indent="0" shrinkToFit="false"/>
      <protection locked="true" hidden="false"/>
    </xf>
    <xf numFmtId="164" fontId="26" fillId="5" borderId="2" xfId="0" applyFont="true" applyBorder="true" applyAlignment="true" applyProtection="false">
      <alignment horizontal="left" vertical="bottom" textRotation="0" wrapText="false" indent="0" shrinkToFit="false"/>
      <protection locked="true" hidden="false"/>
    </xf>
    <xf numFmtId="164" fontId="0" fillId="2" borderId="13" xfId="0" applyFont="false" applyBorder="true" applyAlignment="false" applyProtection="false">
      <alignment horizontal="general" vertical="bottom" textRotation="0" wrapText="false" indent="0" shrinkToFit="false"/>
      <protection locked="true" hidden="false"/>
    </xf>
    <xf numFmtId="164" fontId="0" fillId="2" borderId="7" xfId="0" applyFont="false" applyBorder="true" applyAlignment="false" applyProtection="false">
      <alignment horizontal="general" vertical="bottom" textRotation="0" wrapText="false" indent="0" shrinkToFit="false"/>
      <protection locked="true" hidden="false"/>
    </xf>
    <xf numFmtId="164" fontId="19" fillId="10" borderId="24" xfId="0" applyFont="true" applyBorder="true" applyAlignment="true" applyProtection="false">
      <alignment horizontal="center" vertical="bottom" textRotation="0" wrapText="false" indent="0" shrinkToFit="false"/>
      <protection locked="true" hidden="false"/>
    </xf>
    <xf numFmtId="164" fontId="33" fillId="2" borderId="30" xfId="0" applyFont="true" applyBorder="true" applyAlignment="false" applyProtection="true">
      <alignment horizontal="general" vertical="bottom" textRotation="0" wrapText="false" indent="0" shrinkToFit="false"/>
      <protection locked="false" hidden="false"/>
    </xf>
    <xf numFmtId="164" fontId="10" fillId="0" borderId="31" xfId="0" applyFont="true" applyBorder="true" applyAlignment="true" applyProtection="false">
      <alignment horizontal="left" vertical="bottom" textRotation="0" wrapText="false" indent="0" shrinkToFit="false"/>
      <protection locked="true" hidden="false"/>
    </xf>
    <xf numFmtId="164" fontId="19" fillId="5" borderId="32" xfId="0" applyFont="true" applyBorder="true" applyAlignment="true" applyProtection="true">
      <alignment horizontal="right" vertical="bottom" textRotation="0" wrapText="false" indent="0" shrinkToFit="false"/>
      <protection locked="true" hidden="false"/>
    </xf>
    <xf numFmtId="164" fontId="0" fillId="0" borderId="33" xfId="0" applyFont="false" applyBorder="true" applyAlignment="false" applyProtection="false">
      <alignment horizontal="general" vertical="bottom" textRotation="0" wrapText="false" indent="0" shrinkToFit="false"/>
      <protection locked="true" hidden="false"/>
    </xf>
    <xf numFmtId="164" fontId="31" fillId="5" borderId="6" xfId="0" applyFont="true" applyBorder="true" applyAlignment="true" applyProtection="true">
      <alignment horizontal="right" vertical="bottom" textRotation="0" wrapText="false" indent="0" shrinkToFit="false"/>
      <protection locked="true" hidden="false"/>
    </xf>
    <xf numFmtId="195" fontId="26" fillId="0" borderId="7" xfId="0" applyFont="true" applyBorder="true" applyAlignment="false" applyProtection="false">
      <alignment horizontal="general" vertical="bottom" textRotation="0" wrapText="false" indent="0" shrinkToFit="false"/>
      <protection locked="true" hidden="false"/>
    </xf>
    <xf numFmtId="164" fontId="19" fillId="9" borderId="6" xfId="0" applyFont="true" applyBorder="true" applyAlignment="true" applyProtection="true">
      <alignment horizontal="right" vertical="bottom" textRotation="0" wrapText="false" indent="0" shrinkToFit="false"/>
      <protection locked="true" hidden="false"/>
    </xf>
    <xf numFmtId="183" fontId="25" fillId="0" borderId="7" xfId="0" applyFont="true" applyBorder="true" applyAlignment="false" applyProtection="false">
      <alignment horizontal="general" vertical="bottom" textRotation="0" wrapText="false" indent="0" shrinkToFit="false"/>
      <protection locked="true" hidden="false"/>
    </xf>
    <xf numFmtId="189" fontId="25" fillId="9" borderId="7" xfId="0" applyFont="true" applyBorder="true" applyAlignment="false" applyProtection="false">
      <alignment horizontal="general" vertical="bottom" textRotation="0" wrapText="false" indent="0" shrinkToFit="false"/>
      <protection locked="true" hidden="false"/>
    </xf>
    <xf numFmtId="183" fontId="25" fillId="0" borderId="7" xfId="0" applyFont="true" applyBorder="true" applyAlignment="true" applyProtection="false">
      <alignment horizontal="right" vertical="bottom" textRotation="0" wrapText="false" indent="0" shrinkToFit="false"/>
      <protection locked="true" hidden="false"/>
    </xf>
    <xf numFmtId="164" fontId="33" fillId="0" borderId="2" xfId="0" applyFont="true" applyBorder="true" applyAlignment="true" applyProtection="true">
      <alignment horizontal="center" vertical="bottom" textRotation="0" wrapText="false" indent="0" shrinkToFit="false"/>
      <protection locked="false" hidden="false"/>
    </xf>
    <xf numFmtId="164" fontId="19" fillId="0" borderId="3" xfId="0" applyFont="true" applyBorder="true" applyAlignment="true" applyProtection="true">
      <alignment horizontal="center" vertical="bottom" textRotation="0" wrapText="false" indent="0" shrinkToFit="false"/>
      <protection locked="false" hidden="false"/>
    </xf>
    <xf numFmtId="164" fontId="19" fillId="9" borderId="8" xfId="0" applyFont="true" applyBorder="true" applyAlignment="true" applyProtection="true">
      <alignment horizontal="left"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26" fillId="5" borderId="22" xfId="0" applyFont="true" applyBorder="true" applyAlignment="false" applyProtection="false">
      <alignment horizontal="general" vertical="bottom" textRotation="0" wrapText="false" indent="0" shrinkToFit="false"/>
      <protection locked="true" hidden="false"/>
    </xf>
    <xf numFmtId="192" fontId="29" fillId="9" borderId="27" xfId="0" applyFont="true" applyBorder="true" applyAlignment="false" applyProtection="false">
      <alignment horizontal="general" vertical="bottom" textRotation="0" wrapText="false" indent="0" shrinkToFit="false"/>
      <protection locked="true" hidden="false"/>
    </xf>
    <xf numFmtId="192" fontId="29" fillId="9" borderId="23" xfId="0" applyFont="true" applyBorder="true" applyAlignment="false" applyProtection="false">
      <alignment horizontal="general" vertical="bottom" textRotation="0" wrapText="false" indent="0" shrinkToFit="false"/>
      <protection locked="true" hidden="false"/>
    </xf>
    <xf numFmtId="164" fontId="0" fillId="2" borderId="27" xfId="0" applyFont="false" applyBorder="true" applyAlignment="false" applyProtection="false">
      <alignment horizontal="general" vertical="bottom" textRotation="0" wrapText="false" indent="0" shrinkToFit="false"/>
      <protection locked="true" hidden="false"/>
    </xf>
    <xf numFmtId="164" fontId="0" fillId="2" borderId="23" xfId="0" applyFont="false" applyBorder="true" applyAlignment="false" applyProtection="false">
      <alignment horizontal="general" vertical="bottom" textRotation="0" wrapText="false" indent="0" shrinkToFit="false"/>
      <protection locked="true" hidden="false"/>
    </xf>
    <xf numFmtId="164" fontId="33" fillId="0" borderId="6" xfId="0" applyFont="true" applyBorder="true" applyAlignment="true" applyProtection="true">
      <alignment horizontal="left" vertical="bottom" textRotation="0" wrapText="false" indent="0" shrinkToFit="false"/>
      <protection locked="false" hidden="false"/>
    </xf>
    <xf numFmtId="164" fontId="33" fillId="0" borderId="7" xfId="0" applyFont="true" applyBorder="true" applyAlignment="true" applyProtection="true">
      <alignment horizontal="center" vertical="bottom" textRotation="0" wrapText="false" indent="0" shrinkToFit="false"/>
      <protection locked="false" hidden="false"/>
    </xf>
    <xf numFmtId="196" fontId="13" fillId="0" borderId="0" xfId="0" applyFont="true" applyBorder="true" applyAlignment="false" applyProtection="false">
      <alignment horizontal="general" vertical="bottom" textRotation="0" wrapText="false" indent="0" shrinkToFit="false"/>
      <protection locked="true" hidden="false"/>
    </xf>
    <xf numFmtId="164" fontId="19" fillId="9" borderId="22" xfId="0" applyFont="true" applyBorder="true" applyAlignment="true" applyProtection="true">
      <alignment horizontal="right" vertical="bottom" textRotation="0" wrapText="false" indent="0" shrinkToFit="false"/>
      <protection locked="true" hidden="false"/>
    </xf>
    <xf numFmtId="183" fontId="25" fillId="0" borderId="23" xfId="0" applyFont="true" applyBorder="true" applyAlignment="true" applyProtection="false">
      <alignment horizontal="right" vertical="bottom" textRotation="0" wrapText="false" indent="0" shrinkToFit="false"/>
      <protection locked="true" hidden="false"/>
    </xf>
    <xf numFmtId="189" fontId="20" fillId="7" borderId="0" xfId="0" applyFont="true" applyBorder="true" applyAlignment="true" applyProtection="true">
      <alignment horizontal="center" vertical="bottom" textRotation="0" wrapText="false" indent="0" shrinkToFit="false"/>
      <protection locked="true" hidden="false"/>
    </xf>
    <xf numFmtId="164" fontId="5" fillId="7" borderId="0" xfId="0" applyFont="true" applyBorder="true" applyAlignment="false" applyProtection="true">
      <alignment horizontal="general" vertical="bottom" textRotation="0" wrapText="false" indent="0" shrinkToFit="false"/>
      <protection locked="false" hidden="false"/>
    </xf>
    <xf numFmtId="164" fontId="29" fillId="5" borderId="24" xfId="0" applyFont="true" applyBorder="true" applyAlignment="true" applyProtection="true">
      <alignment horizontal="right" vertical="bottom" textRotation="0" wrapText="false" indent="0" shrinkToFit="false"/>
      <protection locked="true" hidden="false"/>
    </xf>
    <xf numFmtId="164" fontId="0" fillId="5" borderId="34" xfId="0" applyFont="false" applyBorder="true" applyAlignment="false" applyProtection="false">
      <alignment horizontal="general" vertical="bottom" textRotation="0" wrapText="false" indent="0" shrinkToFit="false"/>
      <protection locked="true" hidden="false"/>
    </xf>
    <xf numFmtId="164" fontId="29" fillId="5" borderId="34" xfId="0" applyFont="true" applyBorder="true" applyAlignment="true" applyProtection="true">
      <alignment horizontal="right" vertical="bottom" textRotation="0" wrapText="false" indent="0" shrinkToFit="false"/>
      <protection locked="true" hidden="false"/>
    </xf>
    <xf numFmtId="192" fontId="19" fillId="0" borderId="30" xfId="15" applyFont="true" applyBorder="true" applyAlignment="true" applyProtection="true">
      <alignment horizontal="general" vertical="bottom" textRotation="0" wrapText="false" indent="0" shrinkToFit="false"/>
      <protection locked="false" hidden="false"/>
    </xf>
    <xf numFmtId="164" fontId="19" fillId="0" borderId="24" xfId="0" applyFont="true" applyBorder="true" applyAlignment="false" applyProtection="false">
      <alignment horizontal="general" vertical="bottom" textRotation="0" wrapText="false" indent="0" shrinkToFit="false"/>
      <protection locked="true" hidden="false"/>
    </xf>
    <xf numFmtId="164" fontId="19" fillId="10" borderId="14" xfId="0" applyFont="true" applyBorder="true" applyAlignment="true" applyProtection="false">
      <alignment horizontal="center" vertical="bottom" textRotation="0" wrapText="false" indent="0" shrinkToFit="false"/>
      <protection locked="true" hidden="false"/>
    </xf>
    <xf numFmtId="164" fontId="14" fillId="2" borderId="14" xfId="0" applyFont="true" applyBorder="true" applyAlignment="false" applyProtection="true">
      <alignment horizontal="general" vertical="bottom" textRotation="0" wrapText="false" indent="0" shrinkToFit="false"/>
      <protection locked="false" hidden="false"/>
    </xf>
    <xf numFmtId="164" fontId="35" fillId="7" borderId="0" xfId="0" applyFont="true" applyBorder="false" applyAlignment="true" applyProtection="false">
      <alignment horizontal="right" vertical="bottom" textRotation="0" wrapText="false" indent="0" shrinkToFit="false"/>
      <protection locked="true" hidden="false"/>
    </xf>
    <xf numFmtId="164" fontId="33" fillId="0" borderId="2" xfId="0" applyFont="true" applyBorder="true" applyAlignment="true" applyProtection="true">
      <alignment horizontal="center" vertical="bottom" textRotation="0" wrapText="false" indent="0" shrinkToFit="false"/>
      <protection locked="true" hidden="false"/>
    </xf>
    <xf numFmtId="164" fontId="33" fillId="0" borderId="20" xfId="0" applyFont="true" applyBorder="true" applyAlignment="true" applyProtection="true">
      <alignment horizontal="center" vertical="bottom" textRotation="0" wrapText="false" indent="0" shrinkToFit="false"/>
      <protection locked="true" hidden="false"/>
    </xf>
    <xf numFmtId="164" fontId="0" fillId="0" borderId="33"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97" fontId="0" fillId="0" borderId="0" xfId="0" applyFont="false" applyBorder="false" applyAlignment="false" applyProtection="true">
      <alignment horizontal="general" vertical="bottom" textRotation="0" wrapText="false" indent="0" shrinkToFit="false"/>
      <protection locked="true" hidden="false"/>
    </xf>
    <xf numFmtId="164" fontId="25" fillId="5" borderId="4" xfId="0" applyFont="true" applyBorder="true" applyAlignment="true" applyProtection="false">
      <alignment horizontal="center" vertical="bottom" textRotation="0" wrapText="false" indent="0" shrinkToFit="false"/>
      <protection locked="true" hidden="false"/>
    </xf>
    <xf numFmtId="164" fontId="25" fillId="9" borderId="14" xfId="0" applyFont="true" applyBorder="true" applyAlignment="true" applyProtection="false">
      <alignment horizontal="center" vertical="bottom" textRotation="0" wrapText="false" indent="0" shrinkToFit="false"/>
      <protection locked="true" hidden="false"/>
    </xf>
    <xf numFmtId="164" fontId="33" fillId="0" borderId="6" xfId="0" applyFont="true" applyBorder="true" applyAlignment="true" applyProtection="true">
      <alignment horizontal="left" vertical="bottom" textRotation="0" wrapText="false" indent="0" shrinkToFit="false"/>
      <protection locked="true" hidden="false"/>
    </xf>
    <xf numFmtId="164" fontId="33" fillId="0" borderId="13" xfId="0" applyFont="true" applyBorder="true" applyAlignment="true" applyProtection="true">
      <alignment horizontal="left" vertical="bottom" textRotation="0" wrapText="false" indent="0" shrinkToFit="false"/>
      <protection locked="true" hidden="false"/>
    </xf>
    <xf numFmtId="164" fontId="33" fillId="0" borderId="7" xfId="0" applyFont="true" applyBorder="true" applyAlignment="true" applyProtection="true">
      <alignment horizontal="center" vertical="bottom" textRotation="0" wrapText="false" indent="0" shrinkToFit="false"/>
      <protection locked="true" hidden="false"/>
    </xf>
    <xf numFmtId="164" fontId="10" fillId="0" borderId="35" xfId="0" applyFont="true" applyBorder="true" applyAlignment="true" applyProtection="false">
      <alignment horizontal="left" vertical="bottom" textRotation="0" wrapText="false" indent="0" shrinkToFit="false"/>
      <protection locked="true" hidden="false"/>
    </xf>
    <xf numFmtId="164" fontId="36" fillId="8" borderId="0" xfId="0" applyFont="true" applyBorder="false" applyAlignment="false" applyProtection="false">
      <alignment horizontal="general" vertical="bottom" textRotation="0" wrapText="false" indent="0" shrinkToFit="false"/>
      <protection locked="true" hidden="false"/>
    </xf>
    <xf numFmtId="164" fontId="10" fillId="7" borderId="0" xfId="0" applyFont="true" applyBorder="true" applyAlignment="false" applyProtection="true">
      <alignment horizontal="general" vertical="bottom" textRotation="0" wrapText="false" indent="0" shrinkToFit="false"/>
      <protection locked="true" hidden="false"/>
    </xf>
    <xf numFmtId="164" fontId="25" fillId="5" borderId="31" xfId="0" applyFont="true" applyBorder="true" applyAlignment="true" applyProtection="false">
      <alignment horizontal="center" vertical="bottom" textRotation="0" wrapText="false" indent="0" shrinkToFit="false"/>
      <protection locked="true" hidden="false"/>
    </xf>
    <xf numFmtId="164" fontId="24" fillId="5" borderId="4" xfId="0" applyFont="true" applyBorder="true" applyAlignment="true" applyProtection="false">
      <alignment horizontal="center" vertical="bottom" textRotation="0" wrapText="false" indent="0" shrinkToFit="false"/>
      <protection locked="true" hidden="false"/>
    </xf>
    <xf numFmtId="164" fontId="37" fillId="5" borderId="14" xfId="0" applyFont="true" applyBorder="true" applyAlignment="true" applyProtection="false">
      <alignment horizontal="center" vertical="bottom" textRotation="0" wrapText="false" indent="0" shrinkToFit="false"/>
      <protection locked="true" hidden="false"/>
    </xf>
    <xf numFmtId="164" fontId="38" fillId="5" borderId="5" xfId="0" applyFont="true" applyBorder="true" applyAlignment="true" applyProtection="false">
      <alignment horizontal="center" vertical="bottom" textRotation="0" wrapText="false" indent="0" shrinkToFit="false"/>
      <protection locked="true" hidden="false"/>
    </xf>
    <xf numFmtId="164" fontId="24" fillId="5" borderId="31" xfId="0" applyFont="true" applyBorder="true" applyAlignment="true" applyProtection="false">
      <alignment horizontal="center" vertical="bottom" textRotation="0" wrapText="false" indent="0" shrinkToFit="false"/>
      <protection locked="true" hidden="false"/>
    </xf>
    <xf numFmtId="164" fontId="10" fillId="0" borderId="31" xfId="0" applyFont="true" applyBorder="true" applyAlignment="false" applyProtection="false">
      <alignment horizontal="general" vertical="bottom" textRotation="0" wrapText="false" indent="0" shrinkToFit="false"/>
      <protection locked="true" hidden="false"/>
    </xf>
    <xf numFmtId="164" fontId="38" fillId="5" borderId="14" xfId="0" applyFont="true" applyBorder="true" applyAlignment="true" applyProtection="false">
      <alignment horizontal="center" vertical="bottom" textRotation="0" wrapText="false" indent="0" shrinkToFit="false"/>
      <protection locked="true" hidden="false"/>
    </xf>
    <xf numFmtId="164" fontId="25" fillId="5" borderId="6" xfId="0" applyFont="true" applyBorder="true" applyAlignment="true" applyProtection="false">
      <alignment horizontal="right" vertical="bottom" textRotation="0" wrapText="false" indent="0" shrinkToFit="false"/>
      <protection locked="true" hidden="false"/>
    </xf>
    <xf numFmtId="185" fontId="26" fillId="5" borderId="7" xfId="15" applyFont="true" applyBorder="true" applyAlignment="true" applyProtection="true">
      <alignment horizontal="general" vertical="bottom" textRotation="0" wrapText="false" indent="0" shrinkToFit="false"/>
      <protection locked="false" hidden="false"/>
    </xf>
    <xf numFmtId="164" fontId="25" fillId="5" borderId="35" xfId="0" applyFont="true" applyBorder="true" applyAlignment="true" applyProtection="false">
      <alignment horizontal="center" vertical="bottom" textRotation="0" wrapText="false" indent="0" shrinkToFit="false"/>
      <protection locked="true" hidden="false"/>
    </xf>
    <xf numFmtId="164" fontId="24" fillId="5" borderId="35" xfId="0" applyFont="true" applyBorder="true" applyAlignment="true" applyProtection="false">
      <alignment horizontal="center" vertical="bottom" textRotation="0" wrapText="false" indent="0" shrinkToFit="false"/>
      <protection locked="true" hidden="false"/>
    </xf>
    <xf numFmtId="164" fontId="13" fillId="0" borderId="6" xfId="0" applyFont="true" applyBorder="true" applyAlignment="false" applyProtection="false">
      <alignment horizontal="general" vertical="bottom" textRotation="0" wrapText="false" indent="0" shrinkToFit="false"/>
      <protection locked="true" hidden="false"/>
    </xf>
    <xf numFmtId="191" fontId="39" fillId="0" borderId="7" xfId="19" applyFont="true" applyBorder="true" applyAlignment="true" applyProtection="true">
      <alignment horizontal="general" vertical="bottom" textRotation="0" wrapText="false" indent="0" shrinkToFit="false"/>
      <protection locked="true" hidden="false"/>
    </xf>
    <xf numFmtId="198" fontId="26" fillId="5" borderId="6" xfId="0" applyFont="true" applyBorder="true" applyAlignment="true" applyProtection="false">
      <alignment horizontal="left" vertical="bottom" textRotation="0" wrapText="false" indent="0" shrinkToFit="false"/>
      <protection locked="true" hidden="false"/>
    </xf>
    <xf numFmtId="199" fontId="19" fillId="0" borderId="5" xfId="0" applyFont="true" applyBorder="true" applyAlignment="false" applyProtection="false">
      <alignment horizontal="general" vertical="bottom" textRotation="0" wrapText="false" indent="0" shrinkToFit="false"/>
      <protection locked="true" hidden="false"/>
    </xf>
    <xf numFmtId="191" fontId="19" fillId="0" borderId="36" xfId="0" applyFont="true" applyBorder="true" applyAlignment="false" applyProtection="false">
      <alignment horizontal="general" vertical="bottom" textRotation="0" wrapText="false" indent="0" shrinkToFit="false"/>
      <protection locked="true" hidden="false"/>
    </xf>
    <xf numFmtId="172" fontId="26" fillId="0" borderId="7" xfId="0" applyFont="true" applyBorder="true" applyAlignment="false" applyProtection="false">
      <alignment horizontal="general" vertical="bottom" textRotation="0" wrapText="false" indent="0" shrinkToFit="false"/>
      <protection locked="true" hidden="false"/>
    </xf>
    <xf numFmtId="199" fontId="19" fillId="0" borderId="36" xfId="0" applyFont="true" applyBorder="true" applyAlignment="false" applyProtection="false">
      <alignment horizontal="general" vertical="bottom" textRotation="0" wrapText="false" indent="0" shrinkToFit="false"/>
      <protection locked="true" hidden="false"/>
    </xf>
    <xf numFmtId="164" fontId="10" fillId="0" borderId="35" xfId="0" applyFont="true" applyBorder="true" applyAlignment="false" applyProtection="false">
      <alignment horizontal="general" vertical="bottom" textRotation="0" wrapText="false" indent="0" shrinkToFit="false"/>
      <protection locked="true" hidden="false"/>
    </xf>
    <xf numFmtId="164" fontId="33" fillId="0" borderId="0"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true" applyProtection="false">
      <alignment horizontal="center" vertical="bottom" textRotation="0" wrapText="false" indent="0" shrinkToFit="false"/>
      <protection locked="true" hidden="false"/>
    </xf>
    <xf numFmtId="164" fontId="26" fillId="5" borderId="27" xfId="0" applyFont="true" applyBorder="true" applyAlignment="false" applyProtection="true">
      <alignment horizontal="general" vertical="bottom" textRotation="0" wrapText="false" indent="0" shrinkToFit="false"/>
      <protection locked="true" hidden="false"/>
    </xf>
    <xf numFmtId="164" fontId="0" fillId="0" borderId="31" xfId="0" applyFont="false" applyBorder="true" applyAlignment="true" applyProtection="false">
      <alignment horizontal="center" vertical="bottom" textRotation="0" wrapText="false" indent="0" shrinkToFit="false"/>
      <protection locked="true" hidden="false"/>
    </xf>
    <xf numFmtId="164" fontId="26" fillId="5" borderId="5" xfId="0" applyFont="true" applyBorder="true" applyAlignment="true" applyProtection="false">
      <alignment horizontal="center" vertical="bottom" textRotation="0" wrapText="false" indent="0" shrinkToFit="false"/>
      <protection locked="true" hidden="false"/>
    </xf>
    <xf numFmtId="164" fontId="33" fillId="0" borderId="22" xfId="0" applyFont="true" applyBorder="true" applyAlignment="true" applyProtection="true">
      <alignment horizontal="left" vertical="bottom" textRotation="0" wrapText="false" indent="0" shrinkToFit="false"/>
      <protection locked="false" hidden="false"/>
    </xf>
    <xf numFmtId="164" fontId="33" fillId="0" borderId="23" xfId="0" applyFont="true" applyBorder="true" applyAlignment="true" applyProtection="true">
      <alignment horizontal="center" vertical="bottom" textRotation="0" wrapText="false" indent="0" shrinkToFit="false"/>
      <protection locked="false" hidden="false"/>
    </xf>
    <xf numFmtId="191" fontId="19" fillId="9" borderId="7" xfId="0" applyFont="true" applyBorder="true" applyAlignment="false" applyProtection="true">
      <alignment horizontal="general" vertical="bottom" textRotation="0" wrapText="false" indent="0" shrinkToFit="false"/>
      <protection locked="true" hidden="false"/>
    </xf>
    <xf numFmtId="164" fontId="0" fillId="0" borderId="14" xfId="0" applyFont="true" applyBorder="true" applyAlignment="false" applyProtection="false">
      <alignment horizontal="general" vertical="bottom" textRotation="0" wrapText="false" indent="0" shrinkToFit="false"/>
      <protection locked="true" hidden="false"/>
    </xf>
    <xf numFmtId="164" fontId="0" fillId="0" borderId="35" xfId="0" applyFont="true" applyBorder="true" applyAlignment="true" applyProtection="false">
      <alignment horizontal="center" vertical="bottom" textRotation="0" wrapText="false" indent="0" shrinkToFit="false"/>
      <protection locked="true" hidden="false"/>
    </xf>
    <xf numFmtId="164" fontId="31" fillId="5" borderId="22" xfId="0" applyFont="true" applyBorder="true" applyAlignment="true" applyProtection="true">
      <alignment horizontal="right" vertical="bottom" textRotation="0" wrapText="false" indent="0" shrinkToFit="false"/>
      <protection locked="true" hidden="false"/>
    </xf>
    <xf numFmtId="191" fontId="19" fillId="9" borderId="23" xfId="0" applyFont="true" applyBorder="true" applyAlignment="false" applyProtection="true">
      <alignment horizontal="general" vertical="bottom" textRotation="0" wrapText="false" indent="0" shrinkToFit="false"/>
      <protection locked="true" hidden="false"/>
    </xf>
    <xf numFmtId="192" fontId="26" fillId="8" borderId="13" xfId="0" applyFont="true" applyBorder="true" applyAlignment="false" applyProtection="true">
      <alignment horizontal="general" vertical="bottom" textRotation="0" wrapText="false" indent="0" shrinkToFit="false"/>
      <protection locked="true" hidden="false"/>
    </xf>
    <xf numFmtId="164" fontId="40" fillId="0" borderId="6" xfId="0" applyFont="true" applyBorder="true" applyAlignment="false" applyProtection="false">
      <alignment horizontal="general" vertical="bottom" textRotation="0" wrapText="false" indent="0" shrinkToFit="false"/>
      <protection locked="true" hidden="false"/>
    </xf>
    <xf numFmtId="164" fontId="26" fillId="0" borderId="24" xfId="0" applyFont="true" applyBorder="true" applyAlignment="true" applyProtection="false">
      <alignment horizontal="center" vertical="bottom" textRotation="0" wrapText="false" indent="0" shrinkToFit="false"/>
      <protection locked="true" hidden="false"/>
    </xf>
    <xf numFmtId="164" fontId="26" fillId="0" borderId="34" xfId="0" applyFont="true" applyBorder="true" applyAlignment="true" applyProtection="false">
      <alignment horizontal="center" vertical="bottom" textRotation="0" wrapText="false" indent="0" shrinkToFit="false"/>
      <protection locked="true" hidden="false"/>
    </xf>
    <xf numFmtId="192" fontId="25" fillId="2" borderId="14" xfId="0" applyFont="true" applyBorder="true" applyAlignment="true" applyProtection="false">
      <alignment horizontal="general" vertical="bottom" textRotation="0" wrapText="false" indent="0" shrinkToFit="false"/>
      <protection locked="true" hidden="false"/>
    </xf>
    <xf numFmtId="197" fontId="0" fillId="0" borderId="0" xfId="0" applyFont="false" applyBorder="false" applyAlignment="true" applyProtection="true">
      <alignment horizontal="left" vertical="bottom" textRotation="0" wrapText="false" indent="0" shrinkToFit="false"/>
      <protection locked="true" hidden="false"/>
    </xf>
    <xf numFmtId="188" fontId="41" fillId="7" borderId="0" xfId="0" applyFont="true" applyBorder="false" applyAlignment="false" applyProtection="true">
      <alignment horizontal="general" vertical="bottom" textRotation="0" wrapText="false" indent="0" shrinkToFit="false"/>
      <protection locked="true" hidden="false"/>
    </xf>
    <xf numFmtId="164" fontId="40" fillId="0" borderId="22" xfId="0" applyFont="true" applyBorder="true" applyAlignment="false" applyProtection="false">
      <alignment horizontal="general" vertical="bottom" textRotation="0" wrapText="false" indent="0" shrinkToFit="false"/>
      <protection locked="true" hidden="false"/>
    </xf>
    <xf numFmtId="164" fontId="0" fillId="2" borderId="27" xfId="0" applyFont="false" applyBorder="true" applyAlignment="true" applyProtection="false">
      <alignment horizontal="center"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94" fontId="10" fillId="0" borderId="6" xfId="0" applyFont="true" applyBorder="true" applyAlignment="false" applyProtection="true">
      <alignment horizontal="general" vertical="bottom" textRotation="0" wrapText="false" indent="0" shrinkToFit="false"/>
      <protection locked="false" hidden="false"/>
    </xf>
    <xf numFmtId="164" fontId="10" fillId="0" borderId="37" xfId="0" applyFont="true" applyBorder="true" applyAlignment="false" applyProtection="true">
      <alignment horizontal="general" vertical="bottom" textRotation="0" wrapText="false" indent="0" shrinkToFit="false"/>
      <protection locked="fals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96" fontId="13" fillId="0" borderId="39" xfId="0" applyFont="true" applyBorder="true" applyAlignment="false" applyProtection="false">
      <alignment horizontal="general" vertical="bottom" textRotation="0" wrapText="false" indent="0" shrinkToFit="false"/>
      <protection locked="true" hidden="false"/>
    </xf>
    <xf numFmtId="198" fontId="26" fillId="5" borderId="22" xfId="0" applyFont="true" applyBorder="true" applyAlignment="true" applyProtection="false">
      <alignment horizontal="left" vertical="bottom" textRotation="0" wrapText="false" indent="0" shrinkToFit="false"/>
      <protection locked="true" hidden="false"/>
    </xf>
    <xf numFmtId="199" fontId="19" fillId="0" borderId="21" xfId="0" applyFont="true" applyBorder="true" applyAlignment="false" applyProtection="false">
      <alignment horizontal="general" vertical="bottom" textRotation="0" wrapText="false" indent="0" shrinkToFit="false"/>
      <protection locked="true" hidden="false"/>
    </xf>
    <xf numFmtId="191" fontId="19" fillId="0" borderId="21" xfId="0" applyFont="true" applyBorder="true" applyAlignment="false" applyProtection="false">
      <alignment horizontal="general" vertical="bottom" textRotation="0" wrapText="false" indent="0" shrinkToFit="false"/>
      <protection locked="true" hidden="false"/>
    </xf>
    <xf numFmtId="195" fontId="0" fillId="0" borderId="0" xfId="0" applyFont="false" applyBorder="false" applyAlignment="false" applyProtection="true">
      <alignment horizontal="general" vertical="bottom" textRotation="0" wrapText="false" indent="0" shrinkToFit="false"/>
      <protection locked="true" hidden="false"/>
    </xf>
    <xf numFmtId="164" fontId="33" fillId="0" borderId="10" xfId="0" applyFont="true" applyBorder="true" applyAlignment="true" applyProtection="true">
      <alignment horizontal="left" vertical="bottom" textRotation="0" wrapText="false" indent="0" shrinkToFit="false"/>
      <protection locked="true" hidden="false"/>
    </xf>
    <xf numFmtId="164" fontId="33" fillId="0" borderId="11" xfId="0" applyFont="true" applyBorder="true" applyAlignment="true" applyProtection="true">
      <alignment horizontal="left" vertical="bottom" textRotation="0" wrapText="false" indent="0" shrinkToFit="false"/>
      <protection locked="true" hidden="false"/>
    </xf>
    <xf numFmtId="164" fontId="33" fillId="0" borderId="12" xfId="0" applyFont="true" applyBorder="true" applyAlignment="true" applyProtection="true">
      <alignment horizontal="center" vertical="bottom" textRotation="0" wrapText="false" indent="0" shrinkToFit="false"/>
      <protection locked="true" hidden="false"/>
    </xf>
    <xf numFmtId="194" fontId="10" fillId="0" borderId="22" xfId="0" applyFont="true" applyBorder="true" applyAlignment="false" applyProtection="true">
      <alignment horizontal="general" vertical="bottom" textRotation="0" wrapText="false" indent="0" shrinkToFit="false"/>
      <protection locked="false" hidden="false"/>
    </xf>
    <xf numFmtId="164" fontId="10" fillId="0" borderId="40" xfId="0" applyFont="true" applyBorder="true" applyAlignment="false" applyProtection="true">
      <alignment horizontal="general" vertical="bottom" textRotation="0" wrapText="false" indent="0" shrinkToFit="false"/>
      <protection locked="false" hidden="false"/>
    </xf>
    <xf numFmtId="164" fontId="0" fillId="0" borderId="41" xfId="0" applyFont="false" applyBorder="true" applyAlignment="false" applyProtection="false">
      <alignment horizontal="general" vertical="bottom" textRotation="0" wrapText="false" indent="0" shrinkToFit="false"/>
      <protection locked="true" hidden="false"/>
    </xf>
    <xf numFmtId="164" fontId="0" fillId="0" borderId="41" xfId="0" applyFont="false" applyBorder="true" applyAlignment="false" applyProtection="false">
      <alignment horizontal="general" vertical="bottom" textRotation="0" wrapText="false" indent="0" shrinkToFit="false"/>
      <protection locked="true" hidden="false"/>
    </xf>
    <xf numFmtId="196" fontId="13" fillId="0" borderId="42" xfId="0" applyFont="true" applyBorder="true" applyAlignment="false" applyProtection="false">
      <alignment horizontal="general" vertical="bottom" textRotation="0" wrapText="false" indent="0" shrinkToFit="false"/>
      <protection locked="true" hidden="false"/>
    </xf>
    <xf numFmtId="194" fontId="10" fillId="0" borderId="0" xfId="0" applyFont="true" applyBorder="true" applyAlignment="false" applyProtection="true">
      <alignment horizontal="general" vertical="bottom" textRotation="0" wrapText="false" indent="0" shrinkToFit="false"/>
      <protection locked="false" hidden="false"/>
    </xf>
    <xf numFmtId="164" fontId="10"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33" fillId="0" borderId="22" xfId="0" applyFont="true" applyBorder="true" applyAlignment="true" applyProtection="true">
      <alignment horizontal="left" vertical="bottom" textRotation="0" wrapText="false" indent="0" shrinkToFit="false"/>
      <protection locked="true" hidden="false"/>
    </xf>
    <xf numFmtId="164" fontId="33" fillId="0" borderId="27" xfId="0" applyFont="true" applyBorder="true" applyAlignment="true" applyProtection="true">
      <alignment horizontal="left" vertical="bottom" textRotation="0" wrapText="false" indent="0" shrinkToFit="false"/>
      <protection locked="true" hidden="false"/>
    </xf>
    <xf numFmtId="164" fontId="33" fillId="0" borderId="23" xfId="0" applyFont="true" applyBorder="true" applyAlignment="true" applyProtection="true">
      <alignment horizontal="center"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26" fillId="0" borderId="29" xfId="0" applyFont="true" applyBorder="true" applyAlignment="true" applyProtection="false">
      <alignment horizontal="center" vertical="bottom" textRotation="0" wrapText="false" indent="0" shrinkToFit="false"/>
      <protection locked="true" hidden="false"/>
    </xf>
    <xf numFmtId="164" fontId="26" fillId="10" borderId="30" xfId="0" applyFont="true" applyBorder="true" applyAlignment="true" applyProtection="false">
      <alignment horizontal="center"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right" vertical="bottom" textRotation="0" wrapText="false" indent="0" shrinkToFit="false"/>
      <protection locked="true" hidden="false"/>
    </xf>
    <xf numFmtId="164" fontId="25" fillId="7"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true" applyAlignment="true" applyProtection="false">
      <alignment horizontal="left" vertical="bottom" textRotation="0" wrapText="false" indent="1" shrinkToFit="false"/>
      <protection locked="true" hidden="false"/>
    </xf>
    <xf numFmtId="164" fontId="44" fillId="0" borderId="0" xfId="0" applyFont="true" applyBorder="true" applyAlignment="false" applyProtection="false">
      <alignment horizontal="general" vertical="bottom" textRotation="0" wrapText="false" indent="0" shrinkToFit="false"/>
      <protection locked="true" hidden="false"/>
    </xf>
    <xf numFmtId="164" fontId="45" fillId="0" borderId="0" xfId="0" applyFont="true" applyBorder="true" applyAlignment="false" applyProtection="false">
      <alignment horizontal="general" vertical="bottom" textRotation="0" wrapText="false" indent="0" shrinkToFit="false"/>
      <protection locked="true" hidden="false"/>
    </xf>
    <xf numFmtId="164" fontId="42" fillId="0" borderId="0" xfId="0" applyFont="true" applyBorder="true" applyAlignment="false" applyProtection="false">
      <alignment horizontal="general" vertical="bottom" textRotation="0" wrapText="false" indent="0" shrinkToFit="false"/>
      <protection locked="true" hidden="false"/>
    </xf>
    <xf numFmtId="164" fontId="46" fillId="0" borderId="0" xfId="0" applyFont="true" applyBorder="tru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200" fontId="33" fillId="0" borderId="0" xfId="15" applyFont="true" applyBorder="true" applyAlignment="true" applyProtection="true">
      <alignment horizontal="general" vertical="bottom" textRotation="0" wrapText="false" indent="0" shrinkToFit="false"/>
      <protection locked="true" hidden="false"/>
    </xf>
    <xf numFmtId="201" fontId="33" fillId="0" borderId="0"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true" applyProtection="false">
      <alignment horizontal="left" vertical="bottom" textRotation="0" wrapText="false" indent="0" shrinkToFit="false"/>
      <protection locked="true" hidden="false"/>
    </xf>
    <xf numFmtId="164" fontId="47"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false" applyProtection="true">
      <alignment horizontal="general" vertical="bottom" textRotation="0" wrapText="false" indent="0" shrinkToFit="false"/>
      <protection locked="false" hidden="false"/>
    </xf>
    <xf numFmtId="164" fontId="23" fillId="0" borderId="0" xfId="0" applyFont="true" applyBorder="true" applyAlignment="false" applyProtection="true">
      <alignment horizontal="general" vertical="bottom" textRotation="0" wrapText="false" indent="0" shrinkToFit="false"/>
      <protection locked="false" hidden="false"/>
    </xf>
    <xf numFmtId="164" fontId="33" fillId="0" borderId="0" xfId="0" applyFont="true" applyBorder="true" applyAlignment="true" applyProtection="false">
      <alignment horizontal="left" vertical="bottom" textRotation="0" wrapText="false" indent="0" shrinkToFit="false"/>
      <protection locked="true" hidden="false"/>
    </xf>
    <xf numFmtId="164" fontId="33" fillId="0" borderId="0" xfId="0" applyFont="true" applyBorder="true" applyAlignment="false" applyProtection="true">
      <alignment horizontal="general" vertical="bottom" textRotation="0" wrapText="false" indent="0" shrinkToFit="false"/>
      <protection locked="false" hidden="false"/>
    </xf>
    <xf numFmtId="164" fontId="33" fillId="0" borderId="0" xfId="0" applyFont="true" applyBorder="true" applyAlignment="true" applyProtection="false">
      <alignment horizontal="center" vertical="bottom" textRotation="0" wrapText="false" indent="0" shrinkToFit="false"/>
      <protection locked="true" hidden="false"/>
    </xf>
    <xf numFmtId="164" fontId="33" fillId="0" borderId="0" xfId="0" applyFont="true" applyBorder="true" applyAlignment="true" applyProtection="true">
      <alignment horizontal="center" vertical="bottom" textRotation="0" wrapText="false" indent="0" shrinkToFit="false"/>
      <protection locked="true" hidden="false"/>
    </xf>
    <xf numFmtId="164" fontId="33" fillId="0" borderId="0" xfId="0" applyFont="true" applyBorder="true" applyAlignment="true" applyProtection="true">
      <alignment horizontal="left" vertical="bottom" textRotation="0" wrapText="false" indent="0" shrinkToFit="false"/>
      <protection locked="true" hidden="false"/>
    </xf>
    <xf numFmtId="164" fontId="33" fillId="0" borderId="0" xfId="0" applyFont="true" applyBorder="true" applyAlignment="true" applyProtection="true">
      <alignment horizontal="center" vertical="bottom" textRotation="0" wrapText="false" indent="0" shrinkToFit="false"/>
      <protection locked="false" hidden="false"/>
    </xf>
    <xf numFmtId="164" fontId="33" fillId="0" borderId="0" xfId="0" applyFont="true" applyBorder="true" applyAlignment="true" applyProtection="true">
      <alignment horizontal="left" vertical="bottom" textRotation="0" wrapText="false" indent="0" shrinkToFit="false"/>
      <protection locked="fals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92" fontId="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95" fontId="5" fillId="0" borderId="0" xfId="0" applyFont="true" applyBorder="false" applyAlignment="false" applyProtection="false">
      <alignment horizontal="general" vertical="bottom" textRotation="0" wrapText="false" indent="0" shrinkToFit="false"/>
      <protection locked="true" hidden="false"/>
    </xf>
    <xf numFmtId="202"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203" fontId="0" fillId="0" borderId="0" xfId="0" applyFont="false" applyBorder="false" applyAlignment="true" applyProtection="false">
      <alignment horizontal="center" vertical="bottom" textRotation="0" wrapText="false" indent="0" shrinkToFit="false"/>
      <protection locked="true" hidden="false"/>
    </xf>
    <xf numFmtId="194" fontId="0" fillId="0" borderId="0" xfId="0" applyFont="false" applyBorder="false" applyAlignment="true" applyProtection="false">
      <alignment horizontal="center" vertical="bottom" textRotation="0" wrapText="false" indent="0" shrinkToFit="false"/>
      <protection locked="true" hidden="false"/>
    </xf>
    <xf numFmtId="177" fontId="0" fillId="0" borderId="0" xfId="0" applyFont="false" applyBorder="false" applyAlignment="true" applyProtection="false">
      <alignment horizontal="center" vertical="bottom" textRotation="0" wrapText="false" indent="0" shrinkToFit="false"/>
      <protection locked="true" hidden="false"/>
    </xf>
    <xf numFmtId="204" fontId="0" fillId="0" borderId="0" xfId="0" applyFont="false" applyBorder="false" applyAlignment="false" applyProtection="false">
      <alignment horizontal="general" vertical="bottom" textRotation="0" wrapText="false" indent="0" shrinkToFit="false"/>
      <protection locked="true" hidden="false"/>
    </xf>
    <xf numFmtId="172" fontId="0" fillId="0" borderId="0" xfId="0" applyFont="false" applyBorder="true" applyAlignment="false" applyProtection="false">
      <alignment horizontal="general" vertical="bottom" textRotation="0" wrapText="fals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204" fontId="48" fillId="0" borderId="0" xfId="0" applyFont="true" applyBorder="false" applyAlignment="false" applyProtection="false">
      <alignment horizontal="general" vertical="bottom" textRotation="0" wrapText="false" indent="0" shrinkToFit="false"/>
      <protection locked="true" hidden="false"/>
    </xf>
    <xf numFmtId="194" fontId="48" fillId="0" borderId="0" xfId="0" applyFont="true" applyBorder="false" applyAlignment="true" applyProtection="false">
      <alignment horizontal="center" vertical="bottom" textRotation="0" wrapText="false" indent="0" shrinkToFit="false"/>
      <protection locked="true" hidden="false"/>
    </xf>
    <xf numFmtId="177" fontId="48" fillId="0"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94" fontId="50" fillId="12" borderId="1" xfId="136" applyFont="true" applyBorder="true" applyAlignment="true" applyProtection="false">
      <alignment horizontal="center"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75" fontId="13" fillId="0" borderId="0" xfId="0" applyFont="true" applyBorder="false" applyAlignment="false" applyProtection="false">
      <alignment horizontal="general" vertical="bottom" textRotation="0" wrapText="false" indent="0" shrinkToFit="false"/>
      <protection locked="true" hidden="false"/>
    </xf>
    <xf numFmtId="164" fontId="13" fillId="0" borderId="43" xfId="0" applyFont="true" applyBorder="true" applyAlignment="false" applyProtection="false">
      <alignment horizontal="general" vertical="bottom" textRotation="0" wrapText="false" indent="0" shrinkToFit="false"/>
      <protection locked="true" hidden="false"/>
    </xf>
    <xf numFmtId="164" fontId="0" fillId="0" borderId="43" xfId="0" applyFont="false" applyBorder="true" applyAlignment="false" applyProtection="false">
      <alignment horizontal="general" vertical="bottom" textRotation="0" wrapText="false" indent="0" shrinkToFit="false"/>
      <protection locked="true" hidden="false"/>
    </xf>
    <xf numFmtId="175" fontId="13" fillId="0" borderId="43"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true" applyAlignment="false" applyProtection="false">
      <alignment horizontal="general" vertical="bottom" textRotation="0" wrapText="false" indent="0" shrinkToFit="false"/>
      <protection locked="true" hidden="false"/>
    </xf>
    <xf numFmtId="175" fontId="34" fillId="0" borderId="0" xfId="0" applyFont="true" applyBorder="false" applyAlignment="false" applyProtection="false">
      <alignment horizontal="general" vertical="bottom" textRotation="0" wrapText="false" indent="0" shrinkToFit="false"/>
      <protection locked="true" hidden="false"/>
    </xf>
    <xf numFmtId="201" fontId="36"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6" fillId="0" borderId="43"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34" fillId="0" borderId="43" xfId="0" applyFont="true" applyBorder="true" applyAlignment="false" applyProtection="false">
      <alignment horizontal="general" vertical="bottom" textRotation="0" wrapText="false" indent="0" shrinkToFit="false"/>
      <protection locked="true" hidden="false"/>
    </xf>
    <xf numFmtId="175" fontId="34" fillId="0" borderId="43" xfId="0" applyFont="true" applyBorder="true" applyAlignment="false" applyProtection="false">
      <alignment horizontal="general" vertical="bottom" textRotation="0" wrapText="false" indent="0" shrinkToFit="false"/>
      <protection locked="true" hidden="false"/>
    </xf>
    <xf numFmtId="175" fontId="34" fillId="0" borderId="0" xfId="0" applyFont="true" applyBorder="true" applyAlignment="false" applyProtection="false">
      <alignment horizontal="general" vertical="bottom" textRotation="0" wrapText="false" indent="0" shrinkToFit="false"/>
      <protection locked="true" hidden="false"/>
    </xf>
    <xf numFmtId="164" fontId="34" fillId="0" borderId="32" xfId="0" applyFont="true" applyBorder="true" applyAlignment="false" applyProtection="false">
      <alignment horizontal="general" vertical="bottom" textRotation="0" wrapText="false" indent="0" shrinkToFit="false"/>
      <protection locked="true" hidden="false"/>
    </xf>
    <xf numFmtId="195" fontId="34" fillId="0" borderId="33" xfId="0" applyFont="true" applyBorder="true" applyAlignment="false" applyProtection="false">
      <alignment horizontal="general" vertical="bottom" textRotation="0" wrapText="false" indent="0" shrinkToFit="false"/>
      <protection locked="true" hidden="false"/>
    </xf>
    <xf numFmtId="164" fontId="34" fillId="0" borderId="8" xfId="0" applyFont="true" applyBorder="true" applyAlignment="false" applyProtection="false">
      <alignment horizontal="general" vertical="bottom" textRotation="0" wrapText="false" indent="0" shrinkToFit="false"/>
      <protection locked="true" hidden="false"/>
    </xf>
    <xf numFmtId="174" fontId="34" fillId="0" borderId="9" xfId="0" applyFont="true" applyBorder="true" applyAlignment="false" applyProtection="false">
      <alignment horizontal="general" vertical="bottom" textRotation="0" wrapText="false" indent="0" shrinkToFit="false"/>
      <protection locked="true" hidden="false"/>
    </xf>
    <xf numFmtId="194" fontId="13" fillId="0"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true" applyProtection="false">
      <alignment horizontal="center" vertical="bottom" textRotation="0" wrapText="false" indent="0" shrinkToFit="false"/>
      <protection locked="true" hidden="false"/>
    </xf>
    <xf numFmtId="174" fontId="34" fillId="0" borderId="0" xfId="0" applyFont="true" applyBorder="false" applyAlignment="false" applyProtection="false">
      <alignment horizontal="general" vertical="bottom" textRotation="0" wrapText="false" indent="0" shrinkToFit="false"/>
      <protection locked="true" hidden="false"/>
    </xf>
    <xf numFmtId="175" fontId="13" fillId="0" borderId="0" xfId="0" applyFont="true" applyBorder="true" applyAlignment="false" applyProtection="false">
      <alignment horizontal="general" vertical="bottom" textRotation="0" wrapText="false" indent="0" shrinkToFit="false"/>
      <protection locked="true" hidden="false"/>
    </xf>
    <xf numFmtId="174" fontId="34" fillId="0" borderId="43" xfId="0" applyFont="true" applyBorder="true" applyAlignment="false" applyProtection="false">
      <alignment horizontal="general" vertical="bottom" textRotation="0" wrapText="false" indent="0" shrinkToFit="false"/>
      <protection locked="true" hidden="false"/>
    </xf>
    <xf numFmtId="195" fontId="34" fillId="0" borderId="33" xfId="0" applyFont="true" applyBorder="true" applyAlignment="true" applyProtection="false">
      <alignment horizontal="right" vertical="bottom" textRotation="0" wrapText="false" indent="0" shrinkToFit="false"/>
      <protection locked="true" hidden="false"/>
    </xf>
    <xf numFmtId="164" fontId="34" fillId="0" borderId="0" xfId="0" applyFont="true" applyBorder="false" applyAlignment="true" applyProtection="false">
      <alignment horizontal="center" vertical="bottom" textRotation="0" wrapText="false" indent="0" shrinkToFit="false"/>
      <protection locked="true" hidden="false"/>
    </xf>
    <xf numFmtId="194" fontId="27" fillId="12" borderId="1" xfId="136" applyFont="tru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75" fontId="34" fillId="0" borderId="16" xfId="0" applyFont="true" applyBorder="true" applyAlignment="false" applyProtection="false">
      <alignment horizontal="general" vertical="bottom" textRotation="0" wrapText="false" indent="0" shrinkToFit="false"/>
      <protection locked="true" hidden="false"/>
    </xf>
    <xf numFmtId="175" fontId="18"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75" fontId="34" fillId="0" borderId="16" xfId="0" applyFont="true" applyBorder="true" applyAlignment="false" applyProtection="false">
      <alignment horizontal="general" vertical="bottom" textRotation="0" wrapText="false" indent="0" shrinkToFit="false"/>
      <protection locked="true" hidden="false"/>
    </xf>
    <xf numFmtId="175" fontId="18" fillId="0" borderId="0" xfId="0" applyFont="true" applyBorder="false" applyAlignment="false" applyProtection="false">
      <alignment horizontal="general" vertical="bottom" textRotation="0" wrapText="false" indent="0" shrinkToFit="false"/>
      <protection locked="true" hidden="false"/>
    </xf>
    <xf numFmtId="175" fontId="34" fillId="0" borderId="44" xfId="0" applyFont="true" applyBorder="true" applyAlignment="false" applyProtection="false">
      <alignment horizontal="general" vertical="bottom" textRotation="0" wrapText="false" indent="0" shrinkToFit="false"/>
      <protection locked="true" hidden="false"/>
    </xf>
    <xf numFmtId="175" fontId="18" fillId="0" borderId="45" xfId="0" applyFont="true" applyBorder="true" applyAlignment="false" applyProtection="false">
      <alignment horizontal="general" vertical="bottom" textRotation="0" wrapText="false" indent="0" shrinkToFit="false"/>
      <protection locked="true" hidden="false"/>
    </xf>
    <xf numFmtId="175" fontId="18" fillId="0" borderId="43" xfId="0" applyFont="true" applyBorder="true" applyAlignment="false" applyProtection="false">
      <alignment horizontal="general" vertical="bottom" textRotation="0" wrapText="false" indent="0" shrinkToFit="false"/>
      <protection locked="true" hidden="false"/>
    </xf>
    <xf numFmtId="175" fontId="13" fillId="0" borderId="0" xfId="0" applyFont="true" applyBorder="tru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95" fontId="34" fillId="0" borderId="16" xfId="0" applyFont="true" applyBorder="true" applyAlignment="false" applyProtection="false">
      <alignment horizontal="general" vertical="bottom" textRotation="0" wrapText="false" indent="0" shrinkToFit="false"/>
      <protection locked="true" hidden="false"/>
    </xf>
    <xf numFmtId="164" fontId="34" fillId="0" borderId="24" xfId="0" applyFont="true" applyBorder="true" applyAlignment="false" applyProtection="false">
      <alignment horizontal="general" vertical="bottom" textRotation="0" wrapText="false" indent="0" shrinkToFit="false"/>
      <protection locked="true" hidden="false"/>
    </xf>
    <xf numFmtId="164" fontId="34" fillId="0" borderId="34" xfId="0" applyFont="true" applyBorder="true" applyAlignment="false" applyProtection="false">
      <alignment horizontal="general" vertical="bottom" textRotation="0" wrapText="false" indent="0" shrinkToFit="false"/>
      <protection locked="true" hidden="false"/>
    </xf>
    <xf numFmtId="175" fontId="34" fillId="0" borderId="25" xfId="0" applyFont="true" applyBorder="tru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74" fontId="13" fillId="0" borderId="0" xfId="0" applyFont="true" applyBorder="false" applyAlignment="false" applyProtection="false">
      <alignment horizontal="general" vertical="bottom" textRotation="0" wrapText="false" indent="0" shrinkToFit="false"/>
      <protection locked="true" hidden="false"/>
    </xf>
    <xf numFmtId="185" fontId="13" fillId="0" borderId="0" xfId="0" applyFont="true" applyBorder="false" applyAlignment="false" applyProtection="false">
      <alignment horizontal="general" vertical="bottom" textRotation="0" wrapText="false" indent="0" shrinkToFit="false"/>
      <protection locked="true" hidden="false"/>
    </xf>
    <xf numFmtId="164" fontId="52" fillId="0" borderId="0" xfId="0" applyFont="true" applyBorder="false" applyAlignment="false" applyProtection="false">
      <alignment horizontal="general" vertical="bottom" textRotation="0" wrapText="false" indent="0" shrinkToFit="false"/>
      <protection locked="true" hidden="false"/>
    </xf>
    <xf numFmtId="174" fontId="52" fillId="0" borderId="0" xfId="0" applyFont="true" applyBorder="false" applyAlignment="false" applyProtection="false">
      <alignment horizontal="general" vertical="bottom" textRotation="0" wrapText="false" indent="0" shrinkToFit="false"/>
      <protection locked="true" hidden="false"/>
    </xf>
    <xf numFmtId="205" fontId="34" fillId="0" borderId="0" xfId="0" applyFont="true" applyBorder="false" applyAlignment="false" applyProtection="false">
      <alignment horizontal="general" vertical="bottom" textRotation="0" wrapText="false" indent="0" shrinkToFit="false"/>
      <protection locked="true" hidden="false"/>
    </xf>
    <xf numFmtId="194" fontId="27" fillId="12" borderId="46" xfId="136" applyFont="true" applyBorder="true" applyAlignment="true" applyProtection="false">
      <alignment horizontal="center" vertical="bottom" textRotation="0" wrapText="false" indent="0" shrinkToFit="false"/>
      <protection locked="true" hidden="false"/>
    </xf>
    <xf numFmtId="194" fontId="27" fillId="12" borderId="47" xfId="136" applyFont="true" applyBorder="true" applyAlignment="true" applyProtection="false">
      <alignment horizontal="center" vertical="bottom" textRotation="0" wrapText="false" indent="0" shrinkToFit="false"/>
      <protection locked="true" hidden="false"/>
    </xf>
    <xf numFmtId="164" fontId="34" fillId="0" borderId="16" xfId="0" applyFont="true" applyBorder="true" applyAlignment="false" applyProtection="false">
      <alignment horizontal="general" vertical="bottom" textRotation="0" wrapText="false" indent="0" shrinkToFit="false"/>
      <protection locked="true" hidden="false"/>
    </xf>
    <xf numFmtId="178" fontId="13" fillId="0" borderId="0" xfId="0" applyFont="true" applyBorder="false" applyAlignment="false" applyProtection="false">
      <alignment horizontal="general" vertical="bottom" textRotation="0" wrapText="false" indent="0" shrinkToFit="false"/>
      <protection locked="true" hidden="false"/>
    </xf>
    <xf numFmtId="185" fontId="6" fillId="0" borderId="0" xfId="141" applyFont="true" applyBorder="false" applyAlignment="true" applyProtection="false">
      <alignment horizontal="general" vertical="bottom" textRotation="0" wrapText="false" indent="0" shrinkToFit="false"/>
      <protection locked="true" hidden="false"/>
    </xf>
    <xf numFmtId="185" fontId="6" fillId="0" borderId="0" xfId="141" applyFont="true" applyBorder="true" applyAlignment="true" applyProtection="false">
      <alignment horizontal="general" vertical="bottom" textRotation="0" wrapText="false" indent="0" shrinkToFit="false"/>
      <protection locked="true" hidden="false"/>
    </xf>
    <xf numFmtId="206" fontId="6" fillId="0" borderId="0" xfId="141" applyFont="true" applyBorder="true" applyAlignment="true" applyProtection="false">
      <alignment horizontal="general" vertical="bottom" textRotation="0" wrapText="false" indent="0" shrinkToFit="false"/>
      <protection locked="true" hidden="false"/>
    </xf>
    <xf numFmtId="206" fontId="6" fillId="0" borderId="16" xfId="141" applyFont="true" applyBorder="true" applyAlignment="true" applyProtection="false">
      <alignment horizontal="general" vertical="bottom" textRotation="0" wrapText="false" indent="0" shrinkToFit="false"/>
      <protection locked="true" hidden="false"/>
    </xf>
    <xf numFmtId="185" fontId="6" fillId="0" borderId="15" xfId="141" applyFont="true" applyBorder="true" applyAlignment="true" applyProtection="false">
      <alignment horizontal="general" vertical="bottom" textRotation="0" wrapText="false" indent="0" shrinkToFit="false"/>
      <protection locked="true" hidden="false"/>
    </xf>
    <xf numFmtId="185" fontId="6" fillId="0" borderId="16" xfId="141" applyFont="true" applyBorder="true" applyAlignment="true" applyProtection="false">
      <alignment horizontal="general" vertical="bottom" textRotation="0" wrapText="false" indent="0" shrinkToFit="false"/>
      <protection locked="true" hidden="false"/>
    </xf>
    <xf numFmtId="185" fontId="55" fillId="0" borderId="15" xfId="141" applyFont="true" applyBorder="true" applyAlignment="true" applyProtection="false">
      <alignment horizontal="general" vertical="bottom" textRotation="0" wrapText="false" indent="0" shrinkToFit="false"/>
      <protection locked="true" hidden="false"/>
    </xf>
    <xf numFmtId="185" fontId="25" fillId="0" borderId="15" xfId="141" applyFont="true" applyBorder="true" applyAlignment="true" applyProtection="false">
      <alignment horizontal="general" vertical="bottom" textRotation="0" wrapText="false" indent="0" shrinkToFit="false"/>
      <protection locked="true" hidden="false"/>
    </xf>
    <xf numFmtId="164" fontId="25" fillId="0" borderId="0" xfId="139" applyFont="true" applyBorder="true" applyAlignment="false" applyProtection="false">
      <alignment horizontal="general" vertical="bottom" textRotation="0" wrapText="false" indent="0" shrinkToFit="false"/>
      <protection locked="true" hidden="false"/>
    </xf>
    <xf numFmtId="201" fontId="6" fillId="12" borderId="1" xfId="144" applyFont="true" applyBorder="true" applyAlignment="true" applyProtection="true">
      <alignment horizontal="right" vertical="bottom" textRotation="0" wrapText="false" indent="0" shrinkToFit="false"/>
      <protection locked="true" hidden="false"/>
    </xf>
    <xf numFmtId="207" fontId="6" fillId="12" borderId="1" xfId="144" applyFont="true" applyBorder="true" applyAlignment="true" applyProtection="true">
      <alignment horizontal="right" vertical="bottom" textRotation="0" wrapText="false" indent="0" shrinkToFit="false"/>
      <protection locked="true" hidden="false"/>
    </xf>
    <xf numFmtId="207" fontId="6" fillId="12" borderId="48" xfId="144" applyFont="true" applyBorder="true" applyAlignment="true" applyProtection="true">
      <alignment horizontal="right" vertical="bottom" textRotation="0" wrapText="false" indent="0" shrinkToFit="false"/>
      <protection locked="true" hidden="false"/>
    </xf>
    <xf numFmtId="185" fontId="25" fillId="0" borderId="0" xfId="141" applyFont="true" applyBorder="true" applyAlignment="true" applyProtection="false">
      <alignment horizontal="general" vertical="bottom" textRotation="0" wrapText="false" indent="0" shrinkToFit="false"/>
      <protection locked="true" hidden="false"/>
    </xf>
    <xf numFmtId="164" fontId="25" fillId="0" borderId="16" xfId="139" applyFont="true" applyBorder="true" applyAlignment="false" applyProtection="false">
      <alignment horizontal="general" vertical="bottom" textRotation="0" wrapText="false" indent="0" shrinkToFit="false"/>
      <protection locked="true" hidden="false"/>
    </xf>
    <xf numFmtId="185" fontId="56" fillId="0" borderId="15" xfId="141" applyFont="true" applyBorder="true" applyAlignment="true" applyProtection="false">
      <alignment horizontal="left" vertical="bottom" textRotation="0" wrapText="false" indent="0" shrinkToFit="false"/>
      <protection locked="true" hidden="false"/>
    </xf>
    <xf numFmtId="164" fontId="0" fillId="0" borderId="0" xfId="139" applyFont="false" applyBorder="true" applyAlignment="false" applyProtection="false">
      <alignment horizontal="general" vertical="bottom" textRotation="0" wrapText="false" indent="0" shrinkToFit="false"/>
      <protection locked="true" hidden="false"/>
    </xf>
    <xf numFmtId="185" fontId="6" fillId="0" borderId="0" xfId="141" applyFont="true" applyBorder="true" applyAlignment="true" applyProtection="false">
      <alignment horizontal="left" vertical="bottom" textRotation="0" wrapText="false" indent="0" shrinkToFit="false"/>
      <protection locked="true" hidden="false"/>
    </xf>
    <xf numFmtId="185" fontId="6" fillId="0" borderId="16" xfId="141" applyFont="true" applyBorder="true" applyAlignment="true" applyProtection="false">
      <alignment horizontal="left" vertical="bottom" textRotation="0" wrapText="false" indent="0" shrinkToFit="false"/>
      <protection locked="true" hidden="false"/>
    </xf>
    <xf numFmtId="185" fontId="6" fillId="0" borderId="15" xfId="141" applyFont="true" applyBorder="true" applyAlignment="true" applyProtection="false">
      <alignment horizontal="left" vertical="bottom" textRotation="0" wrapText="false" indent="0" shrinkToFit="false"/>
      <protection locked="true" hidden="false"/>
    </xf>
    <xf numFmtId="185" fontId="0" fillId="0" borderId="0" xfId="139" applyFont="false" applyBorder="true" applyAlignment="false" applyProtection="false">
      <alignment horizontal="general" vertical="bottom" textRotation="0" wrapText="false" indent="0" shrinkToFit="false"/>
      <protection locked="true" hidden="false"/>
    </xf>
    <xf numFmtId="185" fontId="57" fillId="0" borderId="0" xfId="141" applyFont="true" applyBorder="true" applyAlignment="true" applyProtection="false">
      <alignment horizontal="right" vertical="bottom" textRotation="0" wrapText="false" indent="0" shrinkToFit="false"/>
      <protection locked="true" hidden="false"/>
    </xf>
    <xf numFmtId="185" fontId="57" fillId="0" borderId="16" xfId="141" applyFont="true" applyBorder="true" applyAlignment="true" applyProtection="false">
      <alignment horizontal="right" vertical="bottom" textRotation="0" wrapText="false" indent="0" shrinkToFit="false"/>
      <protection locked="true" hidden="false"/>
    </xf>
    <xf numFmtId="185" fontId="57" fillId="0" borderId="44" xfId="141" applyFont="true" applyBorder="true" applyAlignment="true" applyProtection="false">
      <alignment horizontal="right" vertical="bottom" textRotation="0" wrapText="false" indent="0" shrinkToFit="false"/>
      <protection locked="true" hidden="false"/>
    </xf>
    <xf numFmtId="185" fontId="6" fillId="0" borderId="15" xfId="141" applyFont="true" applyBorder="true" applyAlignment="true" applyProtection="false">
      <alignment horizontal="right" vertical="bottom" textRotation="0" wrapText="false" indent="0" shrinkToFit="false"/>
      <protection locked="true" hidden="false"/>
    </xf>
    <xf numFmtId="185" fontId="6" fillId="0" borderId="38" xfId="141" applyFont="true" applyBorder="true" applyAlignment="true" applyProtection="false">
      <alignment horizontal="right" vertical="bottom" textRotation="0" wrapText="false" indent="0" shrinkToFit="false"/>
      <protection locked="true" hidden="false"/>
    </xf>
    <xf numFmtId="185" fontId="6" fillId="0" borderId="39" xfId="141" applyFont="true" applyBorder="true" applyAlignment="true" applyProtection="false">
      <alignment horizontal="right" vertical="bottom" textRotation="0" wrapText="false" indent="0" shrinkToFit="false"/>
      <protection locked="true" hidden="false"/>
    </xf>
    <xf numFmtId="185" fontId="6" fillId="0" borderId="0" xfId="141" applyFont="true" applyBorder="true" applyAlignment="true" applyProtection="false">
      <alignment horizontal="right" vertical="bottom" textRotation="0" wrapText="false" indent="0" shrinkToFit="false"/>
      <protection locked="true" hidden="false"/>
    </xf>
    <xf numFmtId="185" fontId="6" fillId="0" borderId="0" xfId="141" applyFont="true" applyBorder="true" applyAlignment="true" applyProtection="false">
      <alignment horizontal="right" vertical="bottom" textRotation="0" wrapText="false" indent="0" shrinkToFit="false"/>
      <protection locked="true" hidden="false"/>
    </xf>
    <xf numFmtId="164" fontId="0" fillId="0" borderId="16" xfId="139" applyFont="false" applyBorder="true" applyAlignment="false" applyProtection="false">
      <alignment horizontal="general" vertical="bottom" textRotation="0" wrapText="false" indent="0" shrinkToFit="false"/>
      <protection locked="true" hidden="false"/>
    </xf>
    <xf numFmtId="172" fontId="39" fillId="0" borderId="0" xfId="141" applyFont="true" applyBorder="true" applyAlignment="true" applyProtection="false">
      <alignment horizontal="right" vertical="bottom" textRotation="0" wrapText="false" indent="0" shrinkToFit="false"/>
      <protection locked="true" hidden="false"/>
    </xf>
    <xf numFmtId="172" fontId="25" fillId="0" borderId="0" xfId="141" applyFont="true" applyBorder="true" applyAlignment="true" applyProtection="false">
      <alignment horizontal="right" vertical="bottom" textRotation="0" wrapText="false" indent="0" shrinkToFit="false"/>
      <protection locked="true" hidden="false"/>
    </xf>
    <xf numFmtId="172" fontId="25" fillId="0" borderId="16" xfId="141" applyFont="true" applyBorder="true" applyAlignment="true" applyProtection="false">
      <alignment horizontal="right" vertical="bottom" textRotation="0" wrapText="false" indent="0" shrinkToFit="false"/>
      <protection locked="true" hidden="false"/>
    </xf>
    <xf numFmtId="185" fontId="25" fillId="0" borderId="49" xfId="141" applyFont="true" applyBorder="true" applyAlignment="true" applyProtection="false">
      <alignment horizontal="right" vertical="bottom" textRotation="0" wrapText="false" indent="0" shrinkToFit="false"/>
      <protection locked="true" hidden="false"/>
    </xf>
    <xf numFmtId="185" fontId="25" fillId="0" borderId="50" xfId="141" applyFont="true" applyBorder="true" applyAlignment="true" applyProtection="false">
      <alignment horizontal="right" vertical="bottom" textRotation="0" wrapText="false" indent="0" shrinkToFit="false"/>
      <protection locked="true" hidden="false"/>
    </xf>
    <xf numFmtId="185" fontId="25" fillId="0" borderId="8" xfId="141" applyFont="true" applyBorder="true" applyAlignment="true" applyProtection="false">
      <alignment horizontal="general" vertical="bottom" textRotation="0" wrapText="false" indent="0" shrinkToFit="false"/>
      <protection locked="true" hidden="false"/>
    </xf>
    <xf numFmtId="164" fontId="0" fillId="0" borderId="51" xfId="139" applyFont="false" applyBorder="true" applyAlignment="false" applyProtection="false">
      <alignment horizontal="general" vertical="bottom" textRotation="0" wrapText="false" indent="0" shrinkToFit="false"/>
      <protection locked="true" hidden="false"/>
    </xf>
    <xf numFmtId="185" fontId="25" fillId="0" borderId="51" xfId="141" applyFont="true" applyBorder="true" applyAlignment="true" applyProtection="false">
      <alignment horizontal="right" vertical="bottom" textRotation="0" wrapText="false" indent="0" shrinkToFit="false"/>
      <protection locked="true" hidden="false"/>
    </xf>
    <xf numFmtId="185" fontId="25" fillId="0" borderId="9" xfId="141" applyFont="true" applyBorder="true" applyAlignment="true" applyProtection="false">
      <alignment horizontal="right" vertical="bottom" textRotation="0" wrapText="false" indent="0" shrinkToFit="false"/>
      <protection locked="true" hidden="false"/>
    </xf>
    <xf numFmtId="164" fontId="0" fillId="0" borderId="0" xfId="139" applyFont="false" applyBorder="false" applyAlignment="false" applyProtection="false">
      <alignment horizontal="general" vertical="bottom" textRotation="0" wrapText="false" indent="0" shrinkToFit="false"/>
      <protection locked="true" hidden="false"/>
    </xf>
    <xf numFmtId="185" fontId="25" fillId="0" borderId="0" xfId="141" applyFont="true" applyBorder="true" applyAlignment="true" applyProtection="false">
      <alignment horizontal="right" vertical="bottom" textRotation="0" wrapText="false" indent="0" shrinkToFit="false"/>
      <protection locked="true" hidden="false"/>
    </xf>
    <xf numFmtId="185" fontId="25" fillId="0" borderId="0" xfId="141" applyFont="true" applyBorder="true" applyAlignment="true" applyProtection="false">
      <alignment horizontal="right" vertical="bottom" textRotation="0" wrapText="false" indent="0" shrinkToFit="false"/>
      <protection locked="true" hidden="false"/>
    </xf>
    <xf numFmtId="185" fontId="55" fillId="0" borderId="32" xfId="141" applyFont="true" applyBorder="true" applyAlignment="true" applyProtection="false">
      <alignment horizontal="general" vertical="bottom" textRotation="0" wrapText="false" indent="0" shrinkToFit="false"/>
      <protection locked="true" hidden="false"/>
    </xf>
    <xf numFmtId="183" fontId="13" fillId="0" borderId="52" xfId="144" applyFont="true" applyBorder="true" applyAlignment="false" applyProtection="false">
      <alignment horizontal="general" vertical="bottom" textRotation="0" wrapText="false" indent="0" shrinkToFit="false"/>
      <protection locked="true" hidden="false"/>
    </xf>
    <xf numFmtId="185" fontId="6" fillId="0" borderId="52" xfId="141" applyFont="true" applyBorder="true" applyAlignment="true" applyProtection="false">
      <alignment horizontal="general" vertical="bottom" textRotation="0" wrapText="false" indent="0" shrinkToFit="false"/>
      <protection locked="true" hidden="false"/>
    </xf>
    <xf numFmtId="185" fontId="6" fillId="0" borderId="33" xfId="141" applyFont="true" applyBorder="true" applyAlignment="true" applyProtection="false">
      <alignment horizontal="general" vertical="bottom" textRotation="0" wrapText="false" indent="0" shrinkToFit="false"/>
      <protection locked="true" hidden="false"/>
    </xf>
    <xf numFmtId="185" fontId="34" fillId="0" borderId="32" xfId="141" applyFont="true" applyBorder="true" applyAlignment="true" applyProtection="false">
      <alignment horizontal="general" vertical="bottom" textRotation="0" wrapText="false" indent="0" shrinkToFit="false"/>
      <protection locked="true" hidden="false"/>
    </xf>
    <xf numFmtId="164" fontId="27" fillId="5" borderId="15" xfId="132" applyFont="true" applyBorder="true" applyAlignment="false" applyProtection="false">
      <alignment horizontal="general" vertical="bottom" textRotation="0" wrapText="false" indent="0" shrinkToFit="false"/>
      <protection locked="true" hidden="false"/>
    </xf>
    <xf numFmtId="164" fontId="50" fillId="5" borderId="0" xfId="132" applyFont="true" applyBorder="true" applyAlignment="false" applyProtection="false">
      <alignment horizontal="general" vertical="bottom" textRotation="0" wrapText="false" indent="0" shrinkToFit="false"/>
      <protection locked="true" hidden="false"/>
    </xf>
    <xf numFmtId="164" fontId="27" fillId="5" borderId="0" xfId="132" applyFont="true" applyBorder="true" applyAlignment="false" applyProtection="false">
      <alignment horizontal="general" vertical="bottom" textRotation="0" wrapText="false" indent="0" shrinkToFit="false"/>
      <protection locked="true" hidden="false"/>
    </xf>
    <xf numFmtId="164" fontId="27" fillId="5" borderId="0" xfId="132" applyFont="true" applyBorder="true" applyAlignment="true" applyProtection="false">
      <alignment horizontal="left" vertical="bottom" textRotation="0" wrapText="false" indent="0" shrinkToFit="false"/>
      <protection locked="true" hidden="false"/>
    </xf>
    <xf numFmtId="185" fontId="6" fillId="5" borderId="0" xfId="141" applyFont="true" applyBorder="true" applyAlignment="true" applyProtection="false">
      <alignment horizontal="general" vertical="bottom" textRotation="0" wrapText="false" indent="0" shrinkToFit="false"/>
      <protection locked="true" hidden="false"/>
    </xf>
    <xf numFmtId="185" fontId="6" fillId="5" borderId="16" xfId="141" applyFont="true" applyBorder="true" applyAlignment="true" applyProtection="false">
      <alignment horizontal="general" vertical="bottom" textRotation="0" wrapText="false" indent="0" shrinkToFit="false"/>
      <protection locked="true" hidden="false"/>
    </xf>
    <xf numFmtId="185" fontId="34" fillId="0" borderId="15" xfId="141" applyFont="true" applyBorder="true" applyAlignment="true" applyProtection="false">
      <alignment horizontal="general" vertical="bottom" textRotation="0" wrapText="false" indent="0" shrinkToFit="false"/>
      <protection locked="true" hidden="false"/>
    </xf>
    <xf numFmtId="164" fontId="50" fillId="5" borderId="15" xfId="132" applyFont="true" applyBorder="true" applyAlignment="false" applyProtection="false">
      <alignment horizontal="general" vertical="bottom" textRotation="0" wrapText="false" indent="0" shrinkToFit="false"/>
      <protection locked="true" hidden="false"/>
    </xf>
    <xf numFmtId="205" fontId="34" fillId="5" borderId="0" xfId="19" applyFont="true" applyBorder="true" applyAlignment="true" applyProtection="true">
      <alignment horizontal="right" vertical="bottom" textRotation="0" wrapText="false" indent="0" shrinkToFit="false"/>
      <protection locked="true" hidden="false"/>
    </xf>
    <xf numFmtId="164" fontId="50" fillId="5" borderId="0" xfId="132" applyFont="true" applyBorder="true" applyAlignment="true" applyProtection="false">
      <alignment horizontal="left" vertical="bottom" textRotation="0" wrapText="false" indent="0" shrinkToFit="false"/>
      <protection locked="true" hidden="false"/>
    </xf>
    <xf numFmtId="195" fontId="58" fillId="5" borderId="0" xfId="132" applyFont="true" applyBorder="true" applyAlignment="true" applyProtection="true">
      <alignment horizontal="center" vertical="bottom" textRotation="0" wrapText="false" indent="0" shrinkToFit="false"/>
      <protection locked="false" hidden="false"/>
    </xf>
    <xf numFmtId="205" fontId="34" fillId="5" borderId="16" xfId="19" applyFont="true" applyBorder="true" applyAlignment="true" applyProtection="true">
      <alignment horizontal="right" vertical="bottom" textRotation="0" wrapText="false" indent="0" shrinkToFit="false"/>
      <protection locked="true" hidden="false"/>
    </xf>
    <xf numFmtId="185" fontId="6" fillId="0" borderId="0" xfId="141" applyFont="true" applyBorder="true" applyAlignment="true" applyProtection="false">
      <alignment horizontal="general" vertical="bottom" textRotation="0" wrapText="false" indent="0" shrinkToFit="false"/>
      <protection locked="true" hidden="false"/>
    </xf>
    <xf numFmtId="191" fontId="6" fillId="0" borderId="16" xfId="141" applyFont="true" applyBorder="true" applyAlignment="true" applyProtection="false">
      <alignment horizontal="general" vertical="bottom" textRotation="0" wrapText="false" indent="0" shrinkToFit="false"/>
      <protection locked="true" hidden="false"/>
    </xf>
    <xf numFmtId="164" fontId="59" fillId="5" borderId="15" xfId="132" applyFont="true" applyBorder="true" applyAlignment="false" applyProtection="false">
      <alignment horizontal="general" vertical="bottom" textRotation="0" wrapText="false" indent="0" shrinkToFit="false"/>
      <protection locked="true" hidden="false"/>
    </xf>
    <xf numFmtId="205" fontId="60" fillId="5" borderId="0" xfId="19" applyFont="true" applyBorder="true" applyAlignment="true" applyProtection="true">
      <alignment horizontal="right" vertical="bottom" textRotation="0" wrapText="false" indent="0" shrinkToFit="false"/>
      <protection locked="true" hidden="false"/>
    </xf>
    <xf numFmtId="205" fontId="60" fillId="5" borderId="49" xfId="19" applyFont="true" applyBorder="true" applyAlignment="true" applyProtection="true">
      <alignment horizontal="right" vertical="bottom" textRotation="0" wrapText="false" indent="0" shrinkToFit="false"/>
      <protection locked="true" hidden="false"/>
    </xf>
    <xf numFmtId="205" fontId="61" fillId="5" borderId="16" xfId="19" applyFont="true" applyBorder="true" applyAlignment="true" applyProtection="true">
      <alignment horizontal="right" vertical="bottom" textRotation="0" wrapText="false" indent="0" shrinkToFit="false"/>
      <protection locked="true" hidden="false"/>
    </xf>
    <xf numFmtId="185" fontId="6" fillId="0" borderId="49" xfId="141" applyFont="true" applyBorder="true" applyAlignment="true" applyProtection="false">
      <alignment horizontal="general" vertical="bottom" textRotation="0" wrapText="false" indent="0" shrinkToFit="false"/>
      <protection locked="true" hidden="false"/>
    </xf>
    <xf numFmtId="205" fontId="62" fillId="5" borderId="16" xfId="19" applyFont="true" applyBorder="true" applyAlignment="true" applyProtection="true">
      <alignment horizontal="right" vertical="bottom" textRotation="0" wrapText="false" indent="0" shrinkToFit="false"/>
      <protection locked="true" hidden="false"/>
    </xf>
    <xf numFmtId="185" fontId="6" fillId="0" borderId="8" xfId="141" applyFont="true" applyBorder="true" applyAlignment="true" applyProtection="false">
      <alignment horizontal="general" vertical="bottom" textRotation="0" wrapText="false" indent="0" shrinkToFit="false"/>
      <protection locked="true" hidden="false"/>
    </xf>
    <xf numFmtId="208" fontId="6" fillId="0" borderId="51" xfId="141" applyFont="true" applyBorder="true" applyAlignment="true" applyProtection="false">
      <alignment horizontal="general" vertical="bottom" textRotation="0" wrapText="false" indent="0" shrinkToFit="false"/>
      <protection locked="true" hidden="false"/>
    </xf>
    <xf numFmtId="185" fontId="6" fillId="0" borderId="9" xfId="141" applyFont="true" applyBorder="true" applyAlignment="true" applyProtection="false">
      <alignment horizontal="general" vertical="bottom" textRotation="0" wrapText="false" indent="0" shrinkToFit="false"/>
      <protection locked="true" hidden="false"/>
    </xf>
    <xf numFmtId="205" fontId="63" fillId="5" borderId="16" xfId="19" applyFont="true" applyBorder="true" applyAlignment="true" applyProtection="true">
      <alignment horizontal="right" vertical="bottom" textRotation="0" wrapText="false" indent="0" shrinkToFit="false"/>
      <protection locked="true" hidden="false"/>
    </xf>
    <xf numFmtId="164" fontId="59" fillId="5" borderId="0" xfId="132" applyFont="true" applyBorder="true" applyAlignment="false" applyProtection="false">
      <alignment horizontal="general" vertical="bottom" textRotation="0" wrapText="false" indent="0" shrinkToFit="false"/>
      <protection locked="true" hidden="false"/>
    </xf>
    <xf numFmtId="205" fontId="60" fillId="5" borderId="16" xfId="19" applyFont="true" applyBorder="true" applyAlignment="true" applyProtection="true">
      <alignment horizontal="right" vertical="bottom" textRotation="0" wrapText="false" indent="0" shrinkToFit="false"/>
      <protection locked="true" hidden="false"/>
    </xf>
    <xf numFmtId="205" fontId="60" fillId="5" borderId="50" xfId="19" applyFont="true" applyBorder="true" applyAlignment="true" applyProtection="true">
      <alignment horizontal="right" vertical="bottom" textRotation="0" wrapText="false" indent="0" shrinkToFit="false"/>
      <protection locked="true" hidden="false"/>
    </xf>
    <xf numFmtId="185" fontId="49" fillId="5" borderId="32" xfId="141" applyFont="true" applyBorder="true" applyAlignment="true" applyProtection="false">
      <alignment horizontal="general" vertical="bottom" textRotation="0" wrapText="false" indent="0" shrinkToFit="false"/>
      <protection locked="true" hidden="false"/>
    </xf>
    <xf numFmtId="185" fontId="6" fillId="5" borderId="52" xfId="141" applyFont="true" applyBorder="true" applyAlignment="true" applyProtection="false">
      <alignment horizontal="general" vertical="bottom" textRotation="0" wrapText="false" indent="0" shrinkToFit="false"/>
      <protection locked="true" hidden="false"/>
    </xf>
    <xf numFmtId="185" fontId="34" fillId="5" borderId="33" xfId="141" applyFont="true" applyBorder="true" applyAlignment="true" applyProtection="false">
      <alignment horizontal="center" vertical="bottom" textRotation="0" wrapText="false" indent="0" shrinkToFit="false"/>
      <protection locked="true" hidden="false"/>
    </xf>
    <xf numFmtId="185" fontId="64" fillId="0" borderId="0" xfId="141" applyFont="true" applyBorder="true" applyAlignment="true" applyProtection="false">
      <alignment horizontal="general" vertical="bottom" textRotation="0" wrapText="false" indent="0" shrinkToFit="false"/>
      <protection locked="true" hidden="false"/>
    </xf>
    <xf numFmtId="185" fontId="64" fillId="0" borderId="16" xfId="141" applyFont="true" applyBorder="true" applyAlignment="true" applyProtection="false">
      <alignment horizontal="general" vertical="bottom" textRotation="0" wrapText="false" indent="0" shrinkToFit="false"/>
      <protection locked="true" hidden="false"/>
    </xf>
    <xf numFmtId="185" fontId="6" fillId="0" borderId="51" xfId="141" applyFont="true" applyBorder="true" applyAlignment="true" applyProtection="false">
      <alignment horizontal="general" vertical="bottom" textRotation="0" wrapText="false" indent="0" shrinkToFit="false"/>
      <protection locked="true" hidden="false"/>
    </xf>
    <xf numFmtId="185" fontId="64" fillId="0" borderId="51" xfId="141" applyFont="true" applyBorder="true" applyAlignment="true" applyProtection="false">
      <alignment horizontal="general" vertical="bottom" textRotation="0" wrapText="false" indent="0" shrinkToFit="false"/>
      <protection locked="true" hidden="false"/>
    </xf>
    <xf numFmtId="185" fontId="64" fillId="0" borderId="9" xfId="141" applyFont="true" applyBorder="true" applyAlignment="true" applyProtection="false">
      <alignment horizontal="general" vertical="bottom" textRotation="0" wrapText="false" indent="0" shrinkToFit="false"/>
      <protection locked="true" hidden="false"/>
    </xf>
    <xf numFmtId="185" fontId="27" fillId="5" borderId="16" xfId="132" applyFont="true" applyBorder="true" applyAlignment="false" applyProtection="false">
      <alignment horizontal="general" vertical="bottom" textRotation="0" wrapText="false" indent="0" shrinkToFit="false"/>
      <protection locked="true" hidden="false"/>
    </xf>
    <xf numFmtId="185" fontId="62" fillId="5" borderId="16" xfId="19" applyFont="true" applyBorder="true" applyAlignment="true" applyProtection="true">
      <alignment horizontal="right" vertical="bottom" textRotation="0" wrapText="false" indent="0" shrinkToFit="false"/>
      <protection locked="true" hidden="false"/>
    </xf>
    <xf numFmtId="170" fontId="6" fillId="0" borderId="0" xfId="15" applyFont="true" applyBorder="true" applyAlignment="true" applyProtection="true">
      <alignment horizontal="general" vertical="bottom" textRotation="0" wrapText="false" indent="0" shrinkToFit="false"/>
      <protection locked="true" hidden="false"/>
    </xf>
    <xf numFmtId="164" fontId="63" fillId="5" borderId="32" xfId="132" applyFont="true" applyBorder="true" applyAlignment="false" applyProtection="false">
      <alignment horizontal="general" vertical="bottom" textRotation="0" wrapText="false" indent="0" shrinkToFit="false"/>
      <protection locked="true" hidden="false"/>
    </xf>
    <xf numFmtId="164" fontId="65" fillId="5" borderId="52" xfId="132" applyFont="true" applyBorder="true" applyAlignment="true" applyProtection="false">
      <alignment horizontal="right" vertical="bottom" textRotation="0" wrapText="false" indent="0" shrinkToFit="false"/>
      <protection locked="true" hidden="false"/>
    </xf>
    <xf numFmtId="164" fontId="63" fillId="5" borderId="33" xfId="132" applyFont="true" applyBorder="true" applyAlignment="false" applyProtection="false">
      <alignment horizontal="general" vertical="bottom" textRotation="0" wrapText="false" indent="0" shrinkToFit="false"/>
      <protection locked="true" hidden="false"/>
    </xf>
    <xf numFmtId="164" fontId="27" fillId="5" borderId="8" xfId="132" applyFont="true" applyBorder="true" applyAlignment="false" applyProtection="false">
      <alignment horizontal="general" vertical="bottom" textRotation="0" wrapText="false" indent="0" shrinkToFit="false"/>
      <protection locked="true" hidden="false"/>
    </xf>
    <xf numFmtId="164" fontId="50" fillId="5" borderId="51" xfId="132" applyFont="true" applyBorder="true" applyAlignment="false" applyProtection="false">
      <alignment horizontal="general" vertical="bottom" textRotation="0" wrapText="false" indent="0" shrinkToFit="false"/>
      <protection locked="true" hidden="false"/>
    </xf>
    <xf numFmtId="185" fontId="27" fillId="5" borderId="9" xfId="132" applyFont="true" applyBorder="true" applyAlignment="false" applyProtection="false">
      <alignment horizontal="general" vertical="bottom" textRotation="0" wrapText="false" indent="0" shrinkToFit="false"/>
      <protection locked="true" hidden="false"/>
    </xf>
    <xf numFmtId="185" fontId="6" fillId="5" borderId="15" xfId="141" applyFont="true" applyBorder="true" applyAlignment="true" applyProtection="false">
      <alignment horizontal="general" vertical="bottom" textRotation="0" wrapText="false" indent="0" shrinkToFit="false"/>
      <protection locked="true" hidden="false"/>
    </xf>
    <xf numFmtId="185" fontId="49" fillId="5" borderId="15" xfId="141" applyFont="true" applyBorder="true" applyAlignment="true" applyProtection="false">
      <alignment horizontal="general" vertical="bottom" textRotation="0" wrapText="false" indent="0" shrinkToFit="false"/>
      <protection locked="true" hidden="false"/>
    </xf>
    <xf numFmtId="185" fontId="34" fillId="5" borderId="16" xfId="141" applyFont="true" applyBorder="true" applyAlignment="true" applyProtection="false">
      <alignment horizontal="center" vertical="bottom" textRotation="0" wrapText="false" indent="0" shrinkToFit="false"/>
      <protection locked="true" hidden="false"/>
    </xf>
    <xf numFmtId="185" fontId="37" fillId="5" borderId="14" xfId="19" applyFont="true" applyBorder="true" applyAlignment="true" applyProtection="true">
      <alignment horizontal="right" vertical="bottom" textRotation="0" wrapText="false" indent="0" shrinkToFit="false"/>
      <protection locked="true" hidden="false"/>
    </xf>
    <xf numFmtId="191" fontId="37" fillId="5" borderId="14" xfId="19" applyFont="true" applyBorder="true" applyAlignment="true" applyProtection="true">
      <alignment horizontal="right" vertical="bottom" textRotation="0" wrapText="false" indent="0" shrinkToFit="false"/>
      <protection locked="true" hidden="false"/>
    </xf>
    <xf numFmtId="205" fontId="62" fillId="5" borderId="14" xfId="19" applyFont="true" applyBorder="true" applyAlignment="true" applyProtection="true">
      <alignment horizontal="right" vertical="bottom" textRotation="0" wrapText="false" indent="0" shrinkToFit="false"/>
      <protection locked="true" hidden="false"/>
    </xf>
    <xf numFmtId="164" fontId="50" fillId="5" borderId="15" xfId="132" applyFont="true" applyBorder="true" applyAlignment="true" applyProtection="false">
      <alignment horizontal="left" vertical="bottom" textRotation="0" wrapText="false" indent="0" shrinkToFit="false"/>
      <protection locked="true" hidden="false"/>
    </xf>
    <xf numFmtId="195" fontId="37" fillId="5" borderId="14" xfId="19" applyFont="true" applyBorder="true" applyAlignment="true" applyProtection="true">
      <alignment horizontal="right" vertical="bottom" textRotation="0" wrapText="false" indent="0" shrinkToFit="false"/>
      <protection locked="true" hidden="false"/>
    </xf>
    <xf numFmtId="164" fontId="0" fillId="0" borderId="51" xfId="0" applyFont="false" applyBorder="true" applyAlignment="false" applyProtection="false">
      <alignment horizontal="general" vertical="bottom" textRotation="0" wrapText="false" indent="0" shrinkToFit="false"/>
      <protection locked="true" hidden="false"/>
    </xf>
    <xf numFmtId="164" fontId="50" fillId="5" borderId="8" xfId="132" applyFont="true" applyBorder="true" applyAlignment="true" applyProtection="false">
      <alignment horizontal="left" vertical="bottom" textRotation="0" wrapText="false" indent="0" shrinkToFit="false"/>
      <protection locked="true" hidden="false"/>
    </xf>
    <xf numFmtId="195" fontId="58" fillId="5" borderId="51" xfId="132" applyFont="true" applyBorder="true" applyAlignment="true" applyProtection="true">
      <alignment horizontal="center" vertical="bottom" textRotation="0" wrapText="false" indent="0" shrinkToFit="false"/>
      <protection locked="false" hidden="false"/>
    </xf>
    <xf numFmtId="174" fontId="37" fillId="5" borderId="14" xfId="19" applyFont="true" applyBorder="true" applyAlignment="true" applyProtection="true">
      <alignment horizontal="right" vertical="bottom" textRotation="0" wrapText="false" indent="0" shrinkToFit="false"/>
      <protection locked="true" hidden="false"/>
    </xf>
    <xf numFmtId="185" fontId="64" fillId="0" borderId="0" xfId="141" applyFont="true" applyBorder="false" applyAlignment="true" applyProtection="false">
      <alignment horizontal="general" vertical="bottom" textRotation="0" wrapText="false" indent="0" shrinkToFit="false"/>
      <protection locked="true" hidden="false"/>
    </xf>
    <xf numFmtId="209" fontId="6" fillId="12" borderId="1" xfId="144" applyFont="true" applyBorder="true" applyAlignment="true" applyProtection="true">
      <alignment horizontal="right" vertical="bottom" textRotation="0" wrapText="false" indent="0" shrinkToFit="false"/>
      <protection locked="true" hidden="false"/>
    </xf>
    <xf numFmtId="185" fontId="6" fillId="0" borderId="0" xfId="141" applyFont="true" applyBorder="false" applyAlignment="true" applyProtection="false">
      <alignment horizontal="general" vertical="bottom" textRotation="0" wrapText="false" indent="0" shrinkToFit="false"/>
      <protection locked="true" hidden="false"/>
    </xf>
    <xf numFmtId="207" fontId="6" fillId="0" borderId="0" xfId="144" applyFont="true" applyBorder="true" applyAlignment="true" applyProtection="true">
      <alignment horizontal="right" vertical="bottom" textRotation="0" wrapText="false" indent="0" shrinkToFit="false"/>
      <protection locked="true" hidden="false"/>
    </xf>
    <xf numFmtId="166" fontId="6" fillId="0" borderId="0" xfId="141" applyFont="true" applyBorder="true" applyAlignment="true" applyProtection="false">
      <alignment horizontal="general" vertical="bottom" textRotation="0" wrapText="false" indent="0" shrinkToFit="false"/>
      <protection locked="true" hidden="false"/>
    </xf>
    <xf numFmtId="205" fontId="6" fillId="0" borderId="0" xfId="141" applyFont="true" applyBorder="true" applyAlignment="true" applyProtection="false">
      <alignment horizontal="general" vertical="bottom" textRotation="0" wrapText="false" indent="0" shrinkToFit="false"/>
      <protection locked="true" hidden="false"/>
    </xf>
    <xf numFmtId="185" fontId="34" fillId="0" borderId="0" xfId="141" applyFont="true" applyBorder="false" applyAlignment="true" applyProtection="false">
      <alignment horizontal="general" vertical="bottom" textRotation="0" wrapText="false" indent="0" shrinkToFit="false"/>
      <protection locked="true" hidden="false"/>
    </xf>
    <xf numFmtId="191" fontId="13" fillId="0" borderId="0" xfId="141" applyFont="true" applyBorder="false" applyAlignment="true" applyProtection="false">
      <alignment horizontal="general" vertical="bottom" textRotation="0" wrapText="false" indent="0" shrinkToFit="false"/>
      <protection locked="true" hidden="false"/>
    </xf>
    <xf numFmtId="191" fontId="62" fillId="0" borderId="0" xfId="141" applyFont="true" applyBorder="false" applyAlignment="true" applyProtection="false">
      <alignment horizontal="general" vertical="bottom" textRotation="0" wrapText="false" indent="0" shrinkToFit="false"/>
      <protection locked="true" hidden="false"/>
    </xf>
    <xf numFmtId="191" fontId="34" fillId="0" borderId="0" xfId="141" applyFont="true" applyBorder="false" applyAlignment="true" applyProtection="false">
      <alignment horizontal="general" vertical="bottom" textRotation="0" wrapText="false" indent="0" shrinkToFit="false"/>
      <protection locked="true" hidden="false"/>
    </xf>
    <xf numFmtId="185" fontId="51" fillId="0" borderId="0" xfId="141" applyFont="true" applyBorder="false" applyAlignment="true" applyProtection="false">
      <alignment horizontal="general" vertical="bottom" textRotation="0" wrapText="false" indent="0" shrinkToFit="false"/>
      <protection locked="true" hidden="false"/>
    </xf>
    <xf numFmtId="185" fontId="13" fillId="0" borderId="0" xfId="141" applyFont="true" applyBorder="false" applyAlignment="true" applyProtection="false">
      <alignment horizontal="general" vertical="bottom" textRotation="0" wrapText="false" indent="0" shrinkToFit="false"/>
      <protection locked="true" hidden="false"/>
    </xf>
    <xf numFmtId="195" fontId="18" fillId="0" borderId="0" xfId="141" applyFont="true" applyBorder="false" applyAlignment="true" applyProtection="false">
      <alignment horizontal="general" vertical="bottom" textRotation="0" wrapText="false" indent="0" shrinkToFit="false"/>
      <protection locked="true" hidden="false"/>
    </xf>
    <xf numFmtId="195" fontId="13" fillId="0" borderId="0" xfId="141" applyFont="true" applyBorder="false" applyAlignment="true" applyProtection="false">
      <alignment horizontal="general" vertical="bottom" textRotation="0" wrapText="false" indent="0" shrinkToFit="false"/>
      <protection locked="true" hidden="false"/>
    </xf>
    <xf numFmtId="185" fontId="18" fillId="0" borderId="0" xfId="141" applyFont="true" applyBorder="false" applyAlignment="true" applyProtection="false">
      <alignment horizontal="general" vertical="bottom" textRotation="0" wrapText="false" indent="0" shrinkToFit="false"/>
      <protection locked="true" hidden="false"/>
    </xf>
    <xf numFmtId="185" fontId="66" fillId="0" borderId="0" xfId="141" applyFont="true" applyBorder="false" applyAlignment="true" applyProtection="false">
      <alignment horizontal="general" vertical="bottom" textRotation="0" wrapText="false" indent="0" shrinkToFit="false"/>
      <protection locked="true" hidden="false"/>
    </xf>
    <xf numFmtId="183" fontId="13" fillId="0" borderId="0" xfId="141" applyFont="true" applyBorder="false" applyAlignment="true" applyProtection="false">
      <alignment horizontal="right" vertical="bottom" textRotation="0" wrapText="false" indent="0" shrinkToFit="false"/>
      <protection locked="true" hidden="false"/>
    </xf>
    <xf numFmtId="166" fontId="6" fillId="0" borderId="38" xfId="141" applyFont="true" applyBorder="true" applyAlignment="true" applyProtection="false">
      <alignment horizontal="general" vertical="bottom" textRotation="0" wrapText="false" indent="0" shrinkToFit="false"/>
      <protection locked="true" hidden="false"/>
    </xf>
    <xf numFmtId="185" fontId="13" fillId="0" borderId="0" xfId="141" applyFont="true" applyBorder="true" applyAlignment="true" applyProtection="false">
      <alignment horizontal="general" vertical="bottom" textRotation="0" wrapText="false" indent="0" shrinkToFit="false"/>
      <protection locked="true" hidden="false"/>
    </xf>
    <xf numFmtId="185" fontId="51" fillId="0" borderId="0" xfId="141" applyFont="true" applyBorder="true" applyAlignment="true" applyProtection="false">
      <alignment horizontal="general" vertical="bottom" textRotation="0" wrapText="false" indent="0" shrinkToFit="false"/>
      <protection locked="true" hidden="false"/>
    </xf>
    <xf numFmtId="183" fontId="67" fillId="0" borderId="15" xfId="144" applyFont="true" applyBorder="true" applyAlignment="true" applyProtection="false">
      <alignment horizontal="left" vertical="bottom" textRotation="0" wrapText="false" indent="0" shrinkToFit="false"/>
      <protection locked="true" hidden="false"/>
    </xf>
    <xf numFmtId="183" fontId="6" fillId="0" borderId="0" xfId="144" applyFont="true" applyBorder="true" applyAlignment="false" applyProtection="false">
      <alignment horizontal="general" vertical="bottom" textRotation="0" wrapText="false" indent="0" shrinkToFit="false"/>
      <protection locked="true" hidden="false"/>
    </xf>
    <xf numFmtId="210" fontId="6" fillId="0" borderId="0" xfId="144" applyFont="true" applyBorder="true" applyAlignment="false" applyProtection="true">
      <alignment horizontal="general" vertical="bottom" textRotation="0" wrapText="false" indent="0" shrinkToFit="false"/>
      <protection locked="true" hidden="false"/>
    </xf>
    <xf numFmtId="201" fontId="6" fillId="0" borderId="1" xfId="144" applyFont="true" applyBorder="true" applyAlignment="true" applyProtection="true">
      <alignment horizontal="right" vertical="bottom" textRotation="0" wrapText="false" indent="0" shrinkToFit="false"/>
      <protection locked="true" hidden="false"/>
    </xf>
    <xf numFmtId="177" fontId="6" fillId="0" borderId="1" xfId="144" applyFont="true" applyBorder="true" applyAlignment="true" applyProtection="true">
      <alignment horizontal="center" vertical="bottom" textRotation="0" wrapText="false" indent="0" shrinkToFit="false"/>
      <protection locked="true" hidden="false"/>
    </xf>
    <xf numFmtId="183" fontId="6" fillId="0" borderId="15" xfId="141" applyFont="true" applyBorder="true" applyAlignment="true" applyProtection="false">
      <alignment horizontal="general" vertical="bottom" textRotation="0" wrapText="false" indent="0" shrinkToFit="false"/>
      <protection locked="true" hidden="false"/>
    </xf>
    <xf numFmtId="211" fontId="18" fillId="0" borderId="0" xfId="141" applyFont="true" applyBorder="true" applyAlignment="true" applyProtection="false">
      <alignment horizontal="general" vertical="bottom" textRotation="0" wrapText="false" indent="0" shrinkToFit="false"/>
      <protection locked="true" hidden="false"/>
    </xf>
    <xf numFmtId="174" fontId="6" fillId="0" borderId="0" xfId="141" applyFont="true" applyBorder="true" applyAlignment="true" applyProtection="false">
      <alignment horizontal="general" vertical="bottom" textRotation="0" wrapText="false" indent="0" shrinkToFit="false"/>
      <protection locked="true" hidden="false"/>
    </xf>
    <xf numFmtId="174" fontId="18" fillId="0" borderId="0" xfId="105" applyFont="true" applyBorder="true" applyAlignment="true" applyProtection="true">
      <alignment horizontal="general" vertical="bottom" textRotation="0" wrapText="false" indent="0" shrinkToFit="false"/>
      <protection locked="true" hidden="false"/>
    </xf>
    <xf numFmtId="191" fontId="6" fillId="0" borderId="0" xfId="141" applyFont="true" applyBorder="true" applyAlignment="true" applyProtection="false">
      <alignment horizontal="general" vertical="bottom" textRotation="0" wrapText="false" indent="0" shrinkToFit="false"/>
      <protection locked="true" hidden="false"/>
    </xf>
    <xf numFmtId="177" fontId="6" fillId="0" borderId="0" xfId="141" applyFont="true" applyBorder="true" applyAlignment="true" applyProtection="false">
      <alignment horizontal="general" vertical="bottom" textRotation="0" wrapText="false" indent="0" shrinkToFit="false"/>
      <protection locked="true" hidden="false"/>
    </xf>
    <xf numFmtId="211" fontId="6" fillId="0" borderId="0" xfId="141" applyFont="true" applyBorder="true" applyAlignment="true" applyProtection="false">
      <alignment horizontal="general" vertical="bottom" textRotation="0" wrapText="false" indent="0" shrinkToFit="false"/>
      <protection locked="true" hidden="false"/>
    </xf>
    <xf numFmtId="185" fontId="64" fillId="0" borderId="53" xfId="141" applyFont="true" applyBorder="true" applyAlignment="true" applyProtection="false">
      <alignment horizontal="general" vertical="bottom" textRotation="0" wrapText="false" indent="0" shrinkToFit="false"/>
      <protection locked="true" hidden="false"/>
    </xf>
    <xf numFmtId="185" fontId="64" fillId="0" borderId="49" xfId="141" applyFont="true" applyBorder="true" applyAlignment="true" applyProtection="false">
      <alignment horizontal="general" vertical="bottom" textRotation="0" wrapText="false" indent="0" shrinkToFit="false"/>
      <protection locked="true" hidden="false"/>
    </xf>
    <xf numFmtId="191" fontId="6" fillId="0" borderId="51" xfId="141" applyFont="true" applyBorder="true" applyAlignment="true" applyProtection="false">
      <alignment horizontal="general" vertical="bottom" textRotation="0" wrapText="false" indent="0" shrinkToFit="false"/>
      <protection locked="true" hidden="false"/>
    </xf>
    <xf numFmtId="164" fontId="68" fillId="0" borderId="37" xfId="153" applyFont="true" applyBorder="true" applyAlignment="false" applyProtection="false">
      <alignment horizontal="general" vertical="bottom" textRotation="0" wrapText="false" indent="0" shrinkToFit="false"/>
      <protection locked="true" hidden="false"/>
    </xf>
    <xf numFmtId="185" fontId="6" fillId="0" borderId="54" xfId="141" applyFont="true" applyBorder="true" applyAlignment="true" applyProtection="false">
      <alignment horizontal="general" vertical="bottom" textRotation="0" wrapText="false" indent="0" shrinkToFit="false"/>
      <protection locked="true" hidden="false"/>
    </xf>
    <xf numFmtId="164" fontId="69" fillId="0" borderId="38" xfId="153" applyFont="true" applyBorder="true" applyAlignment="false" applyProtection="false">
      <alignment horizontal="general" vertical="bottom" textRotation="0" wrapText="false" indent="0" shrinkToFit="false"/>
      <protection locked="true" hidden="false"/>
    </xf>
    <xf numFmtId="164" fontId="69" fillId="0" borderId="38" xfId="153" applyFont="true" applyBorder="true" applyAlignment="true" applyProtection="false">
      <alignment horizontal="center" vertical="bottom" textRotation="0" wrapText="false" indent="0" shrinkToFit="false"/>
      <protection locked="true" hidden="false"/>
    </xf>
    <xf numFmtId="164" fontId="69" fillId="0" borderId="54" xfId="153" applyFont="true" applyBorder="true" applyAlignment="true" applyProtection="false">
      <alignment horizontal="center" vertical="bottom" textRotation="0" wrapText="false" indent="0" shrinkToFit="false"/>
      <protection locked="true" hidden="false"/>
    </xf>
    <xf numFmtId="164" fontId="69" fillId="0" borderId="54" xfId="153" applyFont="true" applyBorder="true" applyAlignment="false" applyProtection="false">
      <alignment horizontal="general" vertical="bottom" textRotation="0" wrapText="false" indent="0" shrinkToFit="false"/>
      <protection locked="true" hidden="false"/>
    </xf>
    <xf numFmtId="164" fontId="70" fillId="0" borderId="54" xfId="153" applyFont="true" applyBorder="true" applyAlignment="true" applyProtection="false">
      <alignment horizontal="center" vertical="bottom" textRotation="0" wrapText="false" indent="0" shrinkToFit="false"/>
      <protection locked="true" hidden="false"/>
    </xf>
    <xf numFmtId="164" fontId="70" fillId="0" borderId="55" xfId="153" applyFont="true" applyBorder="true" applyAlignment="true" applyProtection="false">
      <alignment horizontal="center" vertical="bottom" textRotation="0" wrapText="false" indent="0" shrinkToFit="false"/>
      <protection locked="true" hidden="false"/>
    </xf>
    <xf numFmtId="164" fontId="71" fillId="0" borderId="56" xfId="153" applyFont="true" applyBorder="true" applyAlignment="false" applyProtection="false">
      <alignment horizontal="general" vertical="bottom" textRotation="0" wrapText="false" indent="0" shrinkToFit="false"/>
      <protection locked="true" hidden="false"/>
    </xf>
    <xf numFmtId="164" fontId="69" fillId="0" borderId="0" xfId="153" applyFont="true" applyBorder="true" applyAlignment="false" applyProtection="false">
      <alignment horizontal="general" vertical="bottom" textRotation="0" wrapText="false" indent="0" shrinkToFit="false"/>
      <protection locked="true" hidden="false"/>
    </xf>
    <xf numFmtId="164" fontId="71" fillId="0" borderId="0" xfId="153" applyFont="true" applyBorder="true" applyAlignment="false" applyProtection="false">
      <alignment horizontal="general" vertical="bottom" textRotation="0" wrapText="false" indent="0" shrinkToFit="false"/>
      <protection locked="true" hidden="false"/>
    </xf>
    <xf numFmtId="164" fontId="69" fillId="0" borderId="0" xfId="153" applyFont="true" applyBorder="true" applyAlignment="true" applyProtection="false">
      <alignment horizontal="center" vertical="bottom" textRotation="0" wrapText="false" indent="0" shrinkToFit="false"/>
      <protection locked="true" hidden="false"/>
    </xf>
    <xf numFmtId="164" fontId="72" fillId="0" borderId="0" xfId="153" applyFont="true" applyBorder="true" applyAlignment="true" applyProtection="false">
      <alignment horizontal="center" vertical="bottom" textRotation="0" wrapText="false" indent="0" shrinkToFit="false"/>
      <protection locked="true" hidden="false"/>
    </xf>
    <xf numFmtId="164" fontId="73" fillId="0" borderId="0" xfId="153" applyFont="true" applyBorder="true" applyAlignment="true" applyProtection="false">
      <alignment horizontal="center" vertical="bottom" textRotation="0" wrapText="false" indent="0" shrinkToFit="false"/>
      <protection locked="true" hidden="false"/>
    </xf>
    <xf numFmtId="191" fontId="74" fillId="0" borderId="0" xfId="19" applyFont="true" applyBorder="true" applyAlignment="true" applyProtection="true">
      <alignment horizontal="center" vertical="bottom" textRotation="0" wrapText="false" indent="0" shrinkToFit="false"/>
      <protection locked="true" hidden="false"/>
    </xf>
    <xf numFmtId="191" fontId="74" fillId="0" borderId="57" xfId="19" applyFont="true" applyBorder="true" applyAlignment="true" applyProtection="true">
      <alignment horizontal="center" vertical="bottom" textRotation="0" wrapText="false" indent="0" shrinkToFit="false"/>
      <protection locked="true" hidden="false"/>
    </xf>
    <xf numFmtId="164" fontId="70" fillId="0" borderId="0" xfId="153" applyFont="true" applyBorder="true" applyAlignment="false" applyProtection="false">
      <alignment horizontal="general" vertical="bottom" textRotation="0" wrapText="false" indent="0" shrinkToFit="false"/>
      <protection locked="true" hidden="false"/>
    </xf>
    <xf numFmtId="164" fontId="70" fillId="0" borderId="58" xfId="153" applyFont="true" applyBorder="true" applyAlignment="false" applyProtection="false">
      <alignment horizontal="general" vertical="bottom" textRotation="0" wrapText="false" indent="0" shrinkToFit="false"/>
      <protection locked="true" hidden="false"/>
    </xf>
    <xf numFmtId="164" fontId="71" fillId="0" borderId="54" xfId="153" applyFont="true" applyBorder="true" applyAlignment="false" applyProtection="false">
      <alignment horizontal="general" vertical="bottom" textRotation="0" wrapText="false" indent="0" shrinkToFit="false"/>
      <protection locked="true" hidden="false"/>
    </xf>
    <xf numFmtId="197" fontId="73" fillId="0" borderId="55" xfId="153" applyFont="true" applyBorder="true" applyAlignment="false" applyProtection="false">
      <alignment horizontal="general" vertical="bottom" textRotation="0" wrapText="false" indent="0" shrinkToFit="false"/>
      <protection locked="true" hidden="false"/>
    </xf>
    <xf numFmtId="164" fontId="73" fillId="0" borderId="0" xfId="153" applyFont="true" applyBorder="true" applyAlignment="true" applyProtection="false">
      <alignment horizontal="right" vertical="bottom" textRotation="0" wrapText="false" indent="0" shrinkToFit="false"/>
      <protection locked="true" hidden="false"/>
    </xf>
    <xf numFmtId="174" fontId="73" fillId="0" borderId="13" xfId="109" applyFont="true" applyBorder="true" applyAlignment="true" applyProtection="true">
      <alignment horizontal="general" vertical="bottom" textRotation="0" wrapText="false" indent="0" shrinkToFit="false"/>
      <protection locked="true" hidden="false"/>
    </xf>
    <xf numFmtId="185" fontId="6" fillId="0" borderId="57" xfId="141" applyFont="true" applyBorder="true" applyAlignment="true" applyProtection="false">
      <alignment horizontal="general" vertical="bottom" textRotation="0" wrapText="false" indent="0" shrinkToFit="false"/>
      <protection locked="true" hidden="false"/>
    </xf>
    <xf numFmtId="164" fontId="70" fillId="0" borderId="56" xfId="153" applyFont="true" applyBorder="true" applyAlignment="false" applyProtection="false">
      <alignment horizontal="general" vertical="bottom" textRotation="0" wrapText="false" indent="0" shrinkToFit="false"/>
      <protection locked="true" hidden="false"/>
    </xf>
    <xf numFmtId="195" fontId="73" fillId="0" borderId="57" xfId="153" applyFont="true" applyBorder="true" applyAlignment="false" applyProtection="false">
      <alignment horizontal="general" vertical="bottom" textRotation="0" wrapText="false" indent="0" shrinkToFit="false"/>
      <protection locked="true" hidden="false"/>
    </xf>
    <xf numFmtId="185" fontId="73" fillId="0" borderId="57" xfId="153" applyFont="true" applyBorder="true" applyAlignment="false" applyProtection="false">
      <alignment horizontal="general" vertical="bottom" textRotation="0" wrapText="false" indent="0" shrinkToFit="false"/>
      <protection locked="true" hidden="false"/>
    </xf>
    <xf numFmtId="212" fontId="73" fillId="0" borderId="57" xfId="153" applyFont="true" applyBorder="true" applyAlignment="false" applyProtection="false">
      <alignment horizontal="general" vertical="bottom" textRotation="0" wrapText="false" indent="0" shrinkToFit="false"/>
      <protection locked="true" hidden="false"/>
    </xf>
    <xf numFmtId="183" fontId="73" fillId="0" borderId="57" xfId="153" applyFont="true" applyBorder="true" applyAlignment="false" applyProtection="false">
      <alignment horizontal="general" vertical="bottom" textRotation="0" wrapText="false" indent="0" shrinkToFit="false"/>
      <protection locked="true" hidden="false"/>
    </xf>
    <xf numFmtId="174" fontId="73" fillId="0" borderId="0" xfId="153" applyFont="true" applyBorder="true" applyAlignment="false" applyProtection="false">
      <alignment horizontal="general" vertical="bottom" textRotation="0" wrapText="false" indent="0" shrinkToFit="false"/>
      <protection locked="true" hidden="false"/>
    </xf>
    <xf numFmtId="174" fontId="73" fillId="12" borderId="0" xfId="153" applyFont="true" applyBorder="true" applyAlignment="false" applyProtection="false">
      <alignment horizontal="general" vertical="bottom" textRotation="0" wrapText="false" indent="0" shrinkToFit="false"/>
      <protection locked="true" hidden="false"/>
    </xf>
    <xf numFmtId="183" fontId="73" fillId="0" borderId="57" xfId="153" applyFont="true" applyBorder="true" applyAlignment="false" applyProtection="false">
      <alignment horizontal="general" vertical="bottom" textRotation="0" wrapText="false" indent="0" shrinkToFit="false"/>
      <protection locked="true" hidden="false"/>
    </xf>
    <xf numFmtId="164" fontId="75" fillId="0" borderId="0" xfId="153" applyFont="true" applyBorder="true" applyAlignment="false" applyProtection="false">
      <alignment horizontal="general" vertical="bottom" textRotation="0" wrapText="false" indent="0" shrinkToFit="false"/>
      <protection locked="true" hidden="false"/>
    </xf>
    <xf numFmtId="164" fontId="75" fillId="0" borderId="57" xfId="153" applyFont="true" applyBorder="true" applyAlignment="false" applyProtection="false">
      <alignment horizontal="general" vertical="bottom" textRotation="0" wrapText="false" indent="0" shrinkToFit="false"/>
      <protection locked="true" hidden="false"/>
    </xf>
    <xf numFmtId="164" fontId="75" fillId="0" borderId="59" xfId="153" applyFont="true" applyBorder="true" applyAlignment="false" applyProtection="false">
      <alignment horizontal="general" vertical="bottom" textRotation="0" wrapText="false" indent="0" shrinkToFit="false"/>
      <protection locked="true" hidden="false"/>
    </xf>
    <xf numFmtId="164" fontId="71" fillId="0" borderId="43" xfId="153" applyFont="true" applyBorder="true" applyAlignment="false" applyProtection="false">
      <alignment horizontal="general" vertical="bottom" textRotation="0" wrapText="false" indent="0" shrinkToFit="false"/>
      <protection locked="true" hidden="false"/>
    </xf>
    <xf numFmtId="164" fontId="70" fillId="0" borderId="60" xfId="153" applyFont="true" applyBorder="true" applyAlignment="false" applyProtection="false">
      <alignment horizontal="general" vertical="bottom" textRotation="0" wrapText="false" indent="0" shrinkToFit="false"/>
      <protection locked="true" hidden="false"/>
    </xf>
    <xf numFmtId="164" fontId="75" fillId="0" borderId="0" xfId="153" applyFont="true" applyBorder="true" applyAlignment="true" applyProtection="false">
      <alignment horizontal="right" vertical="bottom" textRotation="0" wrapText="false" indent="0" shrinkToFit="false"/>
      <protection locked="true" hidden="false"/>
    </xf>
    <xf numFmtId="174" fontId="75" fillId="0" borderId="57" xfId="109" applyFont="true" applyBorder="true" applyAlignment="true" applyProtection="true">
      <alignment horizontal="general" vertical="bottom" textRotation="0" wrapText="false" indent="0" shrinkToFit="false"/>
      <protection locked="true" hidden="false"/>
    </xf>
    <xf numFmtId="164" fontId="70" fillId="0" borderId="37" xfId="153" applyFont="true" applyBorder="true" applyAlignment="false" applyProtection="false">
      <alignment horizontal="general" vertical="bottom" textRotation="0" wrapText="false" indent="0" shrinkToFit="false"/>
      <protection locked="true" hidden="false"/>
    </xf>
    <xf numFmtId="164" fontId="71" fillId="0" borderId="38" xfId="153" applyFont="true" applyBorder="true" applyAlignment="false" applyProtection="false">
      <alignment horizontal="general" vertical="bottom" textRotation="0" wrapText="false" indent="0" shrinkToFit="false"/>
      <protection locked="true" hidden="false"/>
    </xf>
    <xf numFmtId="197" fontId="70" fillId="0" borderId="61" xfId="153" applyFont="true" applyBorder="true" applyAlignment="false" applyProtection="false">
      <alignment horizontal="general" vertical="bottom" textRotation="0" wrapText="false" indent="0" shrinkToFit="false"/>
      <protection locked="true" hidden="false"/>
    </xf>
    <xf numFmtId="164" fontId="70" fillId="0" borderId="62" xfId="153" applyFont="true" applyBorder="true" applyAlignment="false" applyProtection="false">
      <alignment horizontal="general" vertical="bottom" textRotation="0" wrapText="false" indent="0" shrinkToFit="false"/>
      <protection locked="true" hidden="false"/>
    </xf>
    <xf numFmtId="164" fontId="70" fillId="0" borderId="63" xfId="153" applyFont="true" applyBorder="true" applyAlignment="false" applyProtection="false">
      <alignment horizontal="general" vertical="bottom" textRotation="0" wrapText="false" indent="0" shrinkToFit="false"/>
      <protection locked="true" hidden="false"/>
    </xf>
    <xf numFmtId="164" fontId="70" fillId="0" borderId="64" xfId="153" applyFont="true" applyBorder="true" applyAlignment="false" applyProtection="false">
      <alignment horizontal="general" vertical="bottom" textRotation="0" wrapText="false" indent="0" shrinkToFit="false"/>
      <protection locked="true" hidden="false"/>
    </xf>
    <xf numFmtId="164" fontId="70" fillId="0" borderId="33" xfId="153" applyFont="true" applyBorder="true" applyAlignment="false" applyProtection="false">
      <alignment horizontal="general" vertical="bottom" textRotation="0" wrapText="false" indent="0" shrinkToFit="false"/>
      <protection locked="true" hidden="false"/>
    </xf>
    <xf numFmtId="164" fontId="70" fillId="0" borderId="11" xfId="153" applyFont="true" applyBorder="true" applyAlignment="false" applyProtection="false">
      <alignment horizontal="general" vertical="bottom" textRotation="0" wrapText="false" indent="0" shrinkToFit="false"/>
      <protection locked="true" hidden="false"/>
    </xf>
    <xf numFmtId="164" fontId="70" fillId="0" borderId="17" xfId="153" applyFont="true" applyBorder="true" applyAlignment="false" applyProtection="false">
      <alignment horizontal="general" vertical="bottom" textRotation="0" wrapText="false" indent="0" shrinkToFit="false"/>
      <protection locked="true" hidden="false"/>
    </xf>
    <xf numFmtId="164" fontId="70" fillId="0" borderId="18" xfId="153" applyFont="true" applyBorder="true" applyAlignment="false" applyProtection="false">
      <alignment horizontal="general" vertical="bottom" textRotation="0" wrapText="false" indent="0" shrinkToFit="false"/>
      <protection locked="true" hidden="false"/>
    </xf>
    <xf numFmtId="164" fontId="70" fillId="0" borderId="59" xfId="153" applyFont="true" applyBorder="true" applyAlignment="false" applyProtection="false">
      <alignment horizontal="general" vertical="bottom" textRotation="0" wrapText="false" indent="0" shrinkToFit="false"/>
      <protection locked="true" hidden="false"/>
    </xf>
    <xf numFmtId="164" fontId="70" fillId="0" borderId="44" xfId="153" applyFont="true" applyBorder="true" applyAlignment="false" applyProtection="false">
      <alignment horizontal="general" vertical="bottom" textRotation="0" wrapText="false" indent="0" shrinkToFit="false"/>
      <protection locked="true" hidden="false"/>
    </xf>
    <xf numFmtId="193" fontId="75" fillId="0" borderId="15" xfId="153" applyFont="true" applyBorder="true" applyAlignment="false" applyProtection="false">
      <alignment horizontal="general" vertical="bottom" textRotation="0" wrapText="false" indent="0" shrinkToFit="false"/>
      <protection locked="true" hidden="false"/>
    </xf>
    <xf numFmtId="164" fontId="75" fillId="0" borderId="11" xfId="153" applyFont="true" applyBorder="true" applyAlignment="false" applyProtection="false">
      <alignment horizontal="general" vertical="bottom" textRotation="0" wrapText="false" indent="0" shrinkToFit="false"/>
      <protection locked="true" hidden="false"/>
    </xf>
    <xf numFmtId="164" fontId="75" fillId="0" borderId="58" xfId="153" applyFont="true" applyBorder="true" applyAlignment="false" applyProtection="false">
      <alignment horizontal="general" vertical="bottom" textRotation="0" wrapText="false" indent="0" shrinkToFit="false"/>
      <protection locked="true" hidden="false"/>
    </xf>
    <xf numFmtId="164" fontId="75" fillId="0" borderId="65" xfId="153" applyFont="true" applyBorder="true" applyAlignment="false" applyProtection="false">
      <alignment horizontal="general" vertical="bottom" textRotation="0" wrapText="false" indent="0" shrinkToFit="false"/>
      <protection locked="true" hidden="false"/>
    </xf>
    <xf numFmtId="193" fontId="75" fillId="0" borderId="11" xfId="153" applyFont="true" applyBorder="true" applyAlignment="false" applyProtection="false">
      <alignment horizontal="general" vertical="bottom" textRotation="0" wrapText="false" indent="0" shrinkToFit="false"/>
      <protection locked="true" hidden="false"/>
    </xf>
    <xf numFmtId="174" fontId="70" fillId="0" borderId="57" xfId="153" applyFont="true" applyBorder="true" applyAlignment="false" applyProtection="false">
      <alignment horizontal="general" vertical="bottom" textRotation="0" wrapText="false" indent="0" shrinkToFit="false"/>
      <protection locked="true" hidden="false"/>
    </xf>
    <xf numFmtId="193" fontId="75" fillId="0" borderId="66" xfId="153" applyFont="true" applyBorder="true" applyAlignment="false" applyProtection="false">
      <alignment horizontal="general" vertical="bottom" textRotation="0" wrapText="false" indent="0" shrinkToFit="false"/>
      <protection locked="true" hidden="false"/>
    </xf>
    <xf numFmtId="197" fontId="75" fillId="0" borderId="56" xfId="153" applyFont="true" applyBorder="true" applyAlignment="false" applyProtection="false">
      <alignment horizontal="general" vertical="bottom" textRotation="0" wrapText="false" indent="0" shrinkToFit="false"/>
      <protection locked="true" hidden="false"/>
    </xf>
    <xf numFmtId="197" fontId="75" fillId="0" borderId="67" xfId="153" applyFont="true" applyBorder="true" applyAlignment="false" applyProtection="false">
      <alignment horizontal="general" vertical="bottom" textRotation="0" wrapText="false" indent="0" shrinkToFit="false"/>
      <protection locked="true" hidden="false"/>
    </xf>
    <xf numFmtId="197" fontId="75" fillId="0" borderId="16" xfId="153" applyFont="true" applyBorder="true" applyAlignment="false" applyProtection="false">
      <alignment horizontal="general" vertical="bottom" textRotation="0" wrapText="false" indent="0" shrinkToFit="false"/>
      <protection locked="true" hidden="false"/>
    </xf>
    <xf numFmtId="193" fontId="75" fillId="0" borderId="67" xfId="153" applyFont="true" applyBorder="true" applyAlignment="false" applyProtection="false">
      <alignment horizontal="general" vertical="bottom" textRotation="0" wrapText="false" indent="0" shrinkToFit="false"/>
      <protection locked="true" hidden="false"/>
    </xf>
    <xf numFmtId="164" fontId="75" fillId="0" borderId="56" xfId="153" applyFont="true" applyBorder="true" applyAlignment="false" applyProtection="false">
      <alignment horizontal="general" vertical="bottom" textRotation="0" wrapText="false" indent="0" shrinkToFit="false"/>
      <protection locked="true" hidden="false"/>
    </xf>
    <xf numFmtId="197" fontId="75" fillId="0" borderId="0" xfId="153" applyFont="true" applyBorder="true" applyAlignment="false" applyProtection="false">
      <alignment horizontal="general" vertical="bottom" textRotation="0" wrapText="false" indent="0" shrinkToFit="false"/>
      <protection locked="true" hidden="false"/>
    </xf>
    <xf numFmtId="193" fontId="75" fillId="0" borderId="8" xfId="153" applyFont="true" applyBorder="true" applyAlignment="false" applyProtection="false">
      <alignment horizontal="general" vertical="bottom" textRotation="0" wrapText="false" indent="0" shrinkToFit="false"/>
      <protection locked="true" hidden="false"/>
    </xf>
    <xf numFmtId="164" fontId="75" fillId="0" borderId="68" xfId="153" applyFont="true" applyBorder="true" applyAlignment="false" applyProtection="false">
      <alignment horizontal="general" vertical="bottom" textRotation="0" wrapText="false" indent="0" shrinkToFit="false"/>
      <protection locked="true" hidden="false"/>
    </xf>
    <xf numFmtId="197" fontId="75" fillId="0" borderId="68" xfId="153" applyFont="true" applyBorder="true" applyAlignment="false" applyProtection="false">
      <alignment horizontal="general" vertical="bottom" textRotation="0" wrapText="false" indent="0" shrinkToFit="false"/>
      <protection locked="true" hidden="false"/>
    </xf>
    <xf numFmtId="197" fontId="75" fillId="0" borderId="69" xfId="153" applyFont="true" applyBorder="true" applyAlignment="false" applyProtection="false">
      <alignment horizontal="general" vertical="bottom" textRotation="0" wrapText="false" indent="0" shrinkToFit="false"/>
      <protection locked="true" hidden="false"/>
    </xf>
    <xf numFmtId="197" fontId="75" fillId="0" borderId="9" xfId="153" applyFont="true" applyBorder="true" applyAlignment="false" applyProtection="false">
      <alignment horizontal="general" vertical="bottom" textRotation="0" wrapText="false" indent="0" shrinkToFit="false"/>
      <protection locked="true" hidden="false"/>
    </xf>
    <xf numFmtId="185" fontId="69" fillId="0" borderId="57" xfId="153" applyFont="true" applyBorder="true" applyAlignment="true" applyProtection="false">
      <alignment horizontal="right" vertical="bottom" textRotation="0" wrapText="false" indent="0" shrinkToFit="false"/>
      <protection locked="true" hidden="false"/>
    </xf>
    <xf numFmtId="201" fontId="75" fillId="0" borderId="57" xfId="153" applyFont="true" applyBorder="true" applyAlignment="false" applyProtection="false">
      <alignment horizontal="general" vertical="bottom" textRotation="0" wrapText="false" indent="0" shrinkToFit="false"/>
      <protection locked="true" hidden="false"/>
    </xf>
    <xf numFmtId="193" fontId="75" fillId="0" borderId="0" xfId="153" applyFont="true" applyBorder="true" applyAlignment="false" applyProtection="false">
      <alignment horizontal="general" vertical="bottom" textRotation="0" wrapText="false" indent="0" shrinkToFit="false"/>
      <protection locked="true" hidden="false"/>
    </xf>
    <xf numFmtId="197" fontId="71" fillId="0" borderId="0" xfId="153" applyFont="true" applyBorder="true" applyAlignment="false" applyProtection="false">
      <alignment horizontal="general" vertical="bottom" textRotation="0" wrapText="false" indent="0" shrinkToFit="false"/>
      <protection locked="true" hidden="false"/>
    </xf>
    <xf numFmtId="164" fontId="71" fillId="0" borderId="59" xfId="153" applyFont="true" applyBorder="true" applyAlignment="false" applyProtection="false">
      <alignment horizontal="general" vertical="bottom" textRotation="0" wrapText="false" indent="0" shrinkToFit="false"/>
      <protection locked="true" hidden="false"/>
    </xf>
    <xf numFmtId="193" fontId="75" fillId="0" borderId="45" xfId="153" applyFont="true" applyBorder="true" applyAlignment="false" applyProtection="false">
      <alignment horizontal="general" vertical="bottom" textRotation="0" wrapText="false" indent="0" shrinkToFit="false"/>
      <protection locked="true" hidden="false"/>
    </xf>
    <xf numFmtId="197" fontId="75" fillId="0" borderId="59" xfId="153" applyFont="true" applyBorder="true" applyAlignment="false" applyProtection="false">
      <alignment horizontal="general" vertical="bottom" textRotation="0" wrapText="false" indent="0" shrinkToFit="false"/>
      <protection locked="true" hidden="false"/>
    </xf>
    <xf numFmtId="197" fontId="75" fillId="0" borderId="18" xfId="153" applyFont="true" applyBorder="true" applyAlignment="false" applyProtection="false">
      <alignment horizontal="general" vertical="bottom" textRotation="0" wrapText="false" indent="0" shrinkToFit="false"/>
      <protection locked="true" hidden="false"/>
    </xf>
    <xf numFmtId="197" fontId="75" fillId="0" borderId="44" xfId="153" applyFont="true" applyBorder="true" applyAlignment="false" applyProtection="false">
      <alignment horizontal="general" vertical="bottom" textRotation="0" wrapText="false" indent="0" shrinkToFit="false"/>
      <protection locked="true" hidden="false"/>
    </xf>
    <xf numFmtId="193" fontId="75" fillId="0" borderId="18" xfId="153" applyFont="true" applyBorder="true" applyAlignment="false" applyProtection="false">
      <alignment horizontal="general" vertical="bottom" textRotation="0" wrapText="false" indent="0" shrinkToFit="false"/>
      <protection locked="true" hidden="false"/>
    </xf>
    <xf numFmtId="164" fontId="75" fillId="0" borderId="43" xfId="153" applyFont="true" applyBorder="true" applyAlignment="false" applyProtection="false">
      <alignment horizontal="general" vertical="bottom" textRotation="0" wrapText="false" indent="0" shrinkToFit="false"/>
      <protection locked="true" hidden="false"/>
    </xf>
    <xf numFmtId="164" fontId="75" fillId="0" borderId="60" xfId="153" applyFont="true" applyBorder="true" applyAlignment="false" applyProtection="false">
      <alignment horizontal="general" vertical="bottom" textRotation="0" wrapText="false" indent="0" shrinkToFit="false"/>
      <protection locked="true" hidden="false"/>
    </xf>
    <xf numFmtId="164" fontId="71" fillId="0" borderId="0" xfId="153" applyFont="true" applyBorder="false" applyAlignment="false" applyProtection="false">
      <alignment horizontal="general" vertical="bottom" textRotation="0" wrapText="false" indent="0" shrinkToFit="false"/>
      <protection locked="true" hidden="false"/>
    </xf>
    <xf numFmtId="164" fontId="75" fillId="0" borderId="0" xfId="153" applyFont="true" applyBorder="false" applyAlignment="false" applyProtection="false">
      <alignment horizontal="general" vertical="bottom" textRotation="0" wrapText="false" indent="0" shrinkToFit="false"/>
      <protection locked="true" hidden="false"/>
    </xf>
    <xf numFmtId="164" fontId="25" fillId="0" borderId="0" xfId="139" applyFont="true" applyBorder="false" applyAlignment="false" applyProtection="false">
      <alignment horizontal="general" vertical="bottom" textRotation="0" wrapText="false" indent="0" shrinkToFit="false"/>
      <protection locked="true" hidden="false"/>
    </xf>
    <xf numFmtId="206" fontId="0" fillId="0" borderId="0" xfId="49" applyFont="true" applyBorder="true" applyAlignment="true" applyProtection="true">
      <alignment horizontal="general" vertical="bottom" textRotation="0" wrapText="false" indent="0" shrinkToFit="false"/>
      <protection locked="true" hidden="false"/>
    </xf>
    <xf numFmtId="206" fontId="25" fillId="0" borderId="0" xfId="49" applyFont="true" applyBorder="true" applyAlignment="true" applyProtection="true">
      <alignment horizontal="general" vertical="bottom" textRotation="0" wrapText="false" indent="0" shrinkToFit="false"/>
      <protection locked="true" hidden="false"/>
    </xf>
    <xf numFmtId="164" fontId="50" fillId="0" borderId="0" xfId="132" applyFont="true" applyBorder="false" applyAlignment="false" applyProtection="false">
      <alignment horizontal="general" vertical="bottom" textRotation="0" wrapText="false" indent="0" shrinkToFit="false"/>
      <protection locked="true" hidden="false"/>
    </xf>
    <xf numFmtId="164" fontId="76" fillId="0" borderId="0" xfId="132" applyFont="true" applyBorder="false" applyAlignment="false" applyProtection="false">
      <alignment horizontal="general" vertical="bottom" textRotation="0" wrapText="false" indent="0" shrinkToFit="false"/>
      <protection locked="true" hidden="false"/>
    </xf>
    <xf numFmtId="213" fontId="50" fillId="0" borderId="0" xfId="132" applyFont="true" applyBorder="false" applyAlignment="false" applyProtection="false">
      <alignment horizontal="general" vertical="bottom" textRotation="0" wrapText="false" indent="0" shrinkToFit="false"/>
      <protection locked="true" hidden="false"/>
    </xf>
    <xf numFmtId="164" fontId="27" fillId="0" borderId="0" xfId="132" applyFont="true" applyBorder="false" applyAlignment="false" applyProtection="false">
      <alignment horizontal="general" vertical="bottom" textRotation="0" wrapText="false" indent="0" shrinkToFit="false"/>
      <protection locked="true" hidden="false"/>
    </xf>
    <xf numFmtId="164" fontId="37" fillId="0" borderId="0" xfId="132" applyFont="true" applyBorder="false" applyAlignment="false" applyProtection="true">
      <alignment horizontal="general" vertical="bottom" textRotation="0" wrapText="false" indent="0" shrinkToFit="false"/>
      <protection locked="false" hidden="false"/>
    </xf>
    <xf numFmtId="164" fontId="63" fillId="0" borderId="0" xfId="132" applyFont="true" applyBorder="true" applyAlignment="false" applyProtection="false">
      <alignment horizontal="general" vertical="bottom" textRotation="0" wrapText="false" indent="0" shrinkToFit="false"/>
      <protection locked="true" hidden="false"/>
    </xf>
    <xf numFmtId="164" fontId="50" fillId="0" borderId="0" xfId="132" applyFont="true" applyBorder="true" applyAlignment="false" applyProtection="false">
      <alignment horizontal="general" vertical="bottom" textRotation="0" wrapText="false" indent="0" shrinkToFit="false"/>
      <protection locked="true" hidden="false"/>
    </xf>
    <xf numFmtId="164" fontId="27" fillId="0" borderId="32" xfId="132" applyFont="true" applyBorder="true" applyAlignment="false" applyProtection="false">
      <alignment horizontal="general" vertical="bottom" textRotation="0" wrapText="false" indent="0" shrinkToFit="false"/>
      <protection locked="true" hidden="false"/>
    </xf>
    <xf numFmtId="164" fontId="50" fillId="0" borderId="52" xfId="132" applyFont="true" applyBorder="true" applyAlignment="false" applyProtection="false">
      <alignment horizontal="general" vertical="bottom" textRotation="0" wrapText="false" indent="0" shrinkToFit="false"/>
      <protection locked="true" hidden="false"/>
    </xf>
    <xf numFmtId="164" fontId="50" fillId="0" borderId="33" xfId="132" applyFont="true" applyBorder="true" applyAlignment="false" applyProtection="false">
      <alignment horizontal="general" vertical="bottom" textRotation="0" wrapText="false" indent="0" shrinkToFit="false"/>
      <protection locked="true" hidden="false"/>
    </xf>
    <xf numFmtId="164" fontId="50" fillId="0" borderId="52" xfId="132" applyFont="true" applyBorder="true" applyAlignment="true" applyProtection="false">
      <alignment horizontal="center" vertical="bottom" textRotation="0" wrapText="false" indent="0" shrinkToFit="false"/>
      <protection locked="true" hidden="false"/>
    </xf>
    <xf numFmtId="164" fontId="27" fillId="0" borderId="33" xfId="132" applyFont="true" applyBorder="true" applyAlignment="true" applyProtection="false">
      <alignment horizontal="center" vertical="bottom" textRotation="0" wrapText="false" indent="0" shrinkToFit="false"/>
      <protection locked="true" hidden="false"/>
    </xf>
    <xf numFmtId="164" fontId="34" fillId="0" borderId="4" xfId="0" applyFont="true" applyBorder="true" applyAlignment="true" applyProtection="false">
      <alignment horizontal="center" vertical="bottom" textRotation="0" wrapText="false" indent="0" shrinkToFit="false"/>
      <protection locked="true" hidden="false"/>
    </xf>
    <xf numFmtId="197" fontId="50" fillId="0" borderId="33" xfId="132" applyFont="true" applyBorder="true" applyAlignment="false" applyProtection="false">
      <alignment horizontal="general" vertical="bottom" textRotation="0" wrapText="false" indent="0" shrinkToFit="false"/>
      <protection locked="true" hidden="false"/>
    </xf>
    <xf numFmtId="164" fontId="52" fillId="0" borderId="15"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4" fillId="0" borderId="16" xfId="0" applyFont="true" applyBorder="true" applyAlignment="true" applyProtection="false">
      <alignment horizontal="center" vertical="bottom" textRotation="0" wrapText="false" indent="0" shrinkToFit="false"/>
      <protection locked="true" hidden="false"/>
    </xf>
    <xf numFmtId="164" fontId="50" fillId="0" borderId="15" xfId="132" applyFont="true" applyBorder="true" applyAlignment="false" applyProtection="false">
      <alignment horizontal="general" vertical="bottom" textRotation="0" wrapText="false" indent="0" shrinkToFit="false"/>
      <protection locked="true" hidden="false"/>
    </xf>
    <xf numFmtId="197" fontId="34" fillId="0" borderId="13" xfId="136" applyFont="true" applyBorder="true" applyAlignment="true" applyProtection="false">
      <alignment horizontal="center" vertical="bottom" textRotation="0" wrapText="false" indent="0" shrinkToFit="false"/>
      <protection locked="true" hidden="false"/>
    </xf>
    <xf numFmtId="197" fontId="37" fillId="12" borderId="7" xfId="132" applyFont="true" applyBorder="true" applyAlignment="false" applyProtection="false">
      <alignment horizontal="general" vertical="bottom" textRotation="0" wrapText="false" indent="0" shrinkToFit="false"/>
      <protection locked="true" hidden="false"/>
    </xf>
    <xf numFmtId="175" fontId="34" fillId="12" borderId="36" xfId="132" applyFont="true" applyBorder="true" applyAlignment="false" applyProtection="false">
      <alignment horizontal="general" vertical="bottom" textRotation="0" wrapText="false" indent="0" shrinkToFit="false"/>
      <protection locked="true" hidden="false"/>
    </xf>
    <xf numFmtId="193" fontId="27" fillId="0" borderId="13" xfId="132" applyFont="true" applyBorder="true" applyAlignment="true" applyProtection="false">
      <alignment horizontal="center" vertical="bottom" textRotation="0" wrapText="false" indent="0" shrinkToFit="false"/>
      <protection locked="true" hidden="false"/>
    </xf>
    <xf numFmtId="197" fontId="27" fillId="0" borderId="7" xfId="132" applyFont="true" applyBorder="true" applyAlignment="false" applyProtection="false">
      <alignment horizontal="general" vertical="bottom" textRotation="0" wrapText="false" indent="0" shrinkToFit="false"/>
      <protection locked="true" hidden="false"/>
    </xf>
    <xf numFmtId="164" fontId="13" fillId="0" borderId="15" xfId="0" applyFont="true" applyBorder="true" applyAlignment="false" applyProtection="false">
      <alignment horizontal="general" vertical="bottom" textRotation="0" wrapText="false" indent="0" shrinkToFit="false"/>
      <protection locked="true" hidden="false"/>
    </xf>
    <xf numFmtId="183" fontId="37" fillId="12" borderId="13" xfId="132" applyFont="true" applyBorder="true" applyAlignment="false" applyProtection="true">
      <alignment horizontal="general" vertical="bottom" textRotation="0" wrapText="false" indent="0" shrinkToFit="false"/>
      <protection locked="false" hidden="false"/>
    </xf>
    <xf numFmtId="183" fontId="37" fillId="12" borderId="39" xfId="132" applyFont="true" applyBorder="true" applyAlignment="false" applyProtection="true">
      <alignment horizontal="general" vertical="bottom" textRotation="0" wrapText="false" indent="0" shrinkToFit="false"/>
      <protection locked="fals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31" xfId="0" applyFont="false" applyBorder="true" applyAlignment="false" applyProtection="false">
      <alignment horizontal="general" vertical="bottom" textRotation="0" wrapText="false" indent="0" shrinkToFit="false"/>
      <protection locked="true" hidden="false"/>
    </xf>
    <xf numFmtId="193" fontId="58" fillId="12" borderId="13" xfId="132" applyFont="true" applyBorder="true" applyAlignment="true" applyProtection="true">
      <alignment horizontal="center" vertical="bottom" textRotation="0" wrapText="false" indent="0" shrinkToFit="false"/>
      <protection locked="false" hidden="false"/>
    </xf>
    <xf numFmtId="164" fontId="67" fillId="0" borderId="15" xfId="0" applyFont="true" applyBorder="true" applyAlignment="false" applyProtection="false">
      <alignment horizontal="general" vertical="bottom" textRotation="0" wrapText="false" indent="0" shrinkToFit="false"/>
      <protection locked="true" hidden="false"/>
    </xf>
    <xf numFmtId="164" fontId="77" fillId="0" borderId="15" xfId="132" applyFont="true" applyBorder="true" applyAlignment="false" applyProtection="false">
      <alignment horizontal="general" vertical="bottom" textRotation="0" wrapText="false" indent="0" shrinkToFit="false"/>
      <protection locked="true" hidden="false"/>
    </xf>
    <xf numFmtId="164" fontId="50" fillId="0" borderId="16" xfId="132" applyFont="true" applyBorder="true" applyAlignment="false" applyProtection="false">
      <alignment horizontal="general" vertical="bottom" textRotation="0" wrapText="false" indent="0" shrinkToFit="false"/>
      <protection locked="true" hidden="false"/>
    </xf>
    <xf numFmtId="164" fontId="13" fillId="0" borderId="8" xfId="0" applyFont="true" applyBorder="true" applyAlignment="false" applyProtection="false">
      <alignment horizontal="general" vertical="bottom" textRotation="0" wrapText="false" indent="0" shrinkToFit="false"/>
      <protection locked="true" hidden="false"/>
    </xf>
    <xf numFmtId="183" fontId="67" fillId="0" borderId="27" xfId="132" applyFont="true" applyBorder="true" applyAlignment="false" applyProtection="true">
      <alignment horizontal="general" vertical="bottom" textRotation="0" wrapText="false" indent="0" shrinkToFit="false"/>
      <protection locked="false" hidden="false"/>
    </xf>
    <xf numFmtId="183" fontId="67" fillId="0" borderId="42" xfId="132" applyFont="true" applyBorder="true" applyAlignment="false" applyProtection="true">
      <alignment horizontal="general" vertical="bottom" textRotation="0" wrapText="false" indent="0" shrinkToFit="false"/>
      <protection locked="false" hidden="false"/>
    </xf>
    <xf numFmtId="183" fontId="37" fillId="12" borderId="7" xfId="132" applyFont="true" applyBorder="true" applyAlignment="false" applyProtection="true">
      <alignment horizontal="general" vertical="bottom" textRotation="0" wrapText="false" indent="0" shrinkToFit="false"/>
      <protection locked="false" hidden="false"/>
    </xf>
    <xf numFmtId="183" fontId="37" fillId="12" borderId="36" xfId="132" applyFont="true" applyBorder="true" applyAlignment="false" applyProtection="true">
      <alignment horizontal="general" vertical="bottom" textRotation="0" wrapText="false" indent="0" shrinkToFit="false"/>
      <protection locked="false" hidden="false"/>
    </xf>
    <xf numFmtId="195" fontId="58" fillId="12" borderId="7" xfId="132" applyFont="true" applyBorder="true" applyAlignment="true" applyProtection="true">
      <alignment horizontal="center" vertical="bottom" textRotation="0" wrapText="false" indent="0" shrinkToFit="false"/>
      <protection locked="false" hidden="false"/>
    </xf>
    <xf numFmtId="164" fontId="0" fillId="0" borderId="34" xfId="0" applyFont="false" applyBorder="true" applyAlignment="false" applyProtection="false">
      <alignment horizontal="general" vertical="bottom" textRotation="0" wrapText="false" indent="0" shrinkToFit="false"/>
      <protection locked="true" hidden="false"/>
    </xf>
    <xf numFmtId="164" fontId="50" fillId="0" borderId="33" xfId="132" applyFont="true" applyBorder="true" applyAlignment="true" applyProtection="false">
      <alignment horizontal="center" vertical="bottom" textRotation="0" wrapText="false" indent="0" shrinkToFit="false"/>
      <protection locked="true" hidden="false"/>
    </xf>
    <xf numFmtId="164" fontId="50" fillId="0" borderId="13" xfId="132" applyFont="true" applyBorder="true" applyAlignment="true" applyProtection="false">
      <alignment horizontal="center" vertical="bottom" textRotation="0" wrapText="false" indent="0" shrinkToFit="false"/>
      <protection locked="true" hidden="false"/>
    </xf>
    <xf numFmtId="164" fontId="65" fillId="0" borderId="15" xfId="132" applyFont="true" applyBorder="true" applyAlignment="false" applyProtection="false">
      <alignment horizontal="general" vertical="bottom" textRotation="0" wrapText="false" indent="0" shrinkToFit="false"/>
      <protection locked="true" hidden="false"/>
    </xf>
    <xf numFmtId="201" fontId="37" fillId="12" borderId="7" xfId="132" applyFont="true" applyBorder="true" applyAlignment="true" applyProtection="false">
      <alignment horizontal="center" vertical="bottom" textRotation="0" wrapText="false" indent="0" shrinkToFit="false"/>
      <protection locked="true" hidden="false"/>
    </xf>
    <xf numFmtId="201" fontId="37" fillId="12" borderId="19" xfId="132" applyFont="true" applyBorder="true" applyAlignment="true" applyProtection="false">
      <alignment horizontal="center" vertical="bottom" textRotation="0" wrapText="false" indent="0" shrinkToFit="false"/>
      <protection locked="true" hidden="false"/>
    </xf>
    <xf numFmtId="195" fontId="27" fillId="0" borderId="7" xfId="132" applyFont="true" applyBorder="true" applyAlignment="true" applyProtection="true">
      <alignment horizontal="center" vertical="bottom" textRotation="0" wrapText="false" indent="0" shrinkToFit="false"/>
      <protection locked="false" hidden="false"/>
    </xf>
    <xf numFmtId="164" fontId="50" fillId="0" borderId="8" xfId="132" applyFont="true" applyBorder="true" applyAlignment="false" applyProtection="false">
      <alignment horizontal="general" vertical="bottom" textRotation="0" wrapText="false" indent="0" shrinkToFit="false"/>
      <protection locked="true" hidden="false"/>
    </xf>
    <xf numFmtId="164" fontId="50" fillId="0" borderId="51" xfId="132" applyFont="true" applyBorder="true" applyAlignment="false" applyProtection="false">
      <alignment horizontal="general" vertical="bottom" textRotation="0" wrapText="false" indent="0" shrinkToFit="false"/>
      <protection locked="true" hidden="false"/>
    </xf>
    <xf numFmtId="201" fontId="37" fillId="12" borderId="23" xfId="132" applyFont="true" applyBorder="true" applyAlignment="true" applyProtection="false">
      <alignment horizontal="center" vertical="bottom" textRotation="0" wrapText="false" indent="0" shrinkToFit="false"/>
      <protection locked="true" hidden="false"/>
    </xf>
    <xf numFmtId="183" fontId="58" fillId="12" borderId="7" xfId="132" applyFont="true" applyBorder="true" applyAlignment="true" applyProtection="true">
      <alignment horizontal="center" vertical="bottom" textRotation="0" wrapText="false" indent="0" shrinkToFit="false"/>
      <protection locked="fals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50" fillId="0" borderId="0" xfId="132" applyFont="true" applyBorder="true" applyAlignment="true" applyProtection="false">
      <alignment horizontal="center" vertical="bottom" textRotation="0" wrapText="false" indent="0" shrinkToFit="false"/>
      <protection locked="true" hidden="false"/>
    </xf>
    <xf numFmtId="164" fontId="37" fillId="12" borderId="7" xfId="132" applyFont="true" applyBorder="true" applyAlignment="true" applyProtection="false">
      <alignment horizontal="center" vertical="bottom" textRotation="0" wrapText="false" indent="0" shrinkToFit="false"/>
      <protection locked="true" hidden="false"/>
    </xf>
    <xf numFmtId="164" fontId="78" fillId="0" borderId="52" xfId="132" applyFont="true" applyBorder="true" applyAlignment="true" applyProtection="false">
      <alignment horizontal="center" vertical="bottom" textRotation="0" wrapText="false" indent="0" shrinkToFit="false"/>
      <protection locked="true" hidden="false"/>
    </xf>
    <xf numFmtId="164" fontId="78" fillId="0" borderId="33" xfId="132" applyFont="true" applyBorder="true" applyAlignment="true" applyProtection="false">
      <alignment horizontal="center" vertical="bottom" textRotation="0" wrapText="false" indent="0" shrinkToFit="false"/>
      <protection locked="true" hidden="false"/>
    </xf>
    <xf numFmtId="193" fontId="58" fillId="12" borderId="7" xfId="132" applyFont="true" applyBorder="true" applyAlignment="true" applyProtection="true">
      <alignment horizontal="center" vertical="bottom" textRotation="0" wrapText="false" indent="0" shrinkToFit="false"/>
      <protection locked="false" hidden="false"/>
    </xf>
    <xf numFmtId="164" fontId="37" fillId="12" borderId="23" xfId="132" applyFont="true" applyBorder="true" applyAlignment="true" applyProtection="false">
      <alignment horizontal="center" vertical="bottom" textRotation="0" wrapText="false" indent="0" shrinkToFit="false"/>
      <protection locked="true" hidden="false"/>
    </xf>
    <xf numFmtId="164" fontId="50" fillId="0" borderId="0" xfId="132" applyFont="true" applyBorder="true" applyAlignment="false" applyProtection="false">
      <alignment horizontal="general" vertical="bottom" textRotation="0" wrapText="false" indent="0" shrinkToFit="false"/>
      <protection locked="true" hidden="false"/>
    </xf>
    <xf numFmtId="193" fontId="58" fillId="12" borderId="12" xfId="132" applyFont="true" applyBorder="true" applyAlignment="true" applyProtection="true">
      <alignment horizontal="center" vertical="bottom" textRotation="0" wrapText="false" indent="0" shrinkToFit="false"/>
      <protection locked="false" hidden="false"/>
    </xf>
    <xf numFmtId="197" fontId="34" fillId="0" borderId="13" xfId="136" applyFont="true" applyBorder="true" applyAlignment="false" applyProtection="false">
      <alignment horizontal="general" vertical="bottom" textRotation="0" wrapText="false" indent="0" shrinkToFit="false"/>
      <protection locked="true" hidden="false"/>
    </xf>
    <xf numFmtId="195" fontId="50" fillId="0" borderId="0" xfId="132" applyFont="true" applyBorder="false" applyAlignment="false" applyProtection="false">
      <alignment horizontal="general" vertical="bottom" textRotation="0" wrapText="false" indent="0" shrinkToFit="false"/>
      <protection locked="true" hidden="false"/>
    </xf>
    <xf numFmtId="164" fontId="27" fillId="0" borderId="8" xfId="132" applyFont="true" applyBorder="true" applyAlignment="false" applyProtection="false">
      <alignment horizontal="general" vertical="bottom" textRotation="0" wrapText="false" indent="0" shrinkToFit="false"/>
      <protection locked="true" hidden="false"/>
    </xf>
    <xf numFmtId="164" fontId="50" fillId="0" borderId="51" xfId="132" applyFont="true" applyBorder="true" applyAlignment="true" applyProtection="false">
      <alignment horizontal="center" vertical="bottom" textRotation="0" wrapText="false" indent="0" shrinkToFit="false"/>
      <protection locked="true" hidden="false"/>
    </xf>
    <xf numFmtId="195" fontId="27" fillId="0" borderId="14" xfId="132" applyFont="true" applyBorder="true" applyAlignment="true" applyProtection="true">
      <alignment horizontal="center" vertical="bottom" textRotation="0" wrapText="false" indent="0" shrinkToFit="false"/>
      <protection locked="false" hidden="false"/>
    </xf>
    <xf numFmtId="183" fontId="50" fillId="0" borderId="0" xfId="132" applyFont="true" applyBorder="false" applyAlignment="false" applyProtection="false">
      <alignment horizontal="general" vertical="bottom" textRotation="0" wrapText="false" indent="0" shrinkToFit="false"/>
      <protection locked="true" hidden="false"/>
    </xf>
    <xf numFmtId="164" fontId="67" fillId="0" borderId="32" xfId="0" applyFont="true" applyBorder="true" applyAlignment="false" applyProtection="false">
      <alignment horizontal="general" vertical="bottom" textRotation="0" wrapText="false" indent="0" shrinkToFit="false"/>
      <protection locked="true" hidden="false"/>
    </xf>
    <xf numFmtId="164" fontId="6" fillId="0" borderId="52" xfId="0" applyFont="true" applyBorder="true" applyAlignment="false" applyProtection="false">
      <alignment horizontal="general" vertical="bottom" textRotation="0" wrapText="false" indent="0" shrinkToFit="false"/>
      <protection locked="true" hidden="false"/>
    </xf>
    <xf numFmtId="164" fontId="6" fillId="0" borderId="33" xfId="0" applyFont="true" applyBorder="true" applyAlignment="false" applyProtection="false">
      <alignment horizontal="general" vertical="bottom" textRotation="0" wrapText="false" indent="0" shrinkToFit="false"/>
      <protection locked="true" hidden="false"/>
    </xf>
    <xf numFmtId="164" fontId="6" fillId="0" borderId="15" xfId="0" applyFont="true" applyBorder="true" applyAlignment="false" applyProtection="false">
      <alignment horizontal="general" vertical="bottom" textRotation="0" wrapText="false" indent="0" shrinkToFit="false"/>
      <protection locked="true" hidden="false"/>
    </xf>
    <xf numFmtId="164" fontId="37" fillId="12" borderId="13" xfId="0" applyFont="true" applyBorder="true" applyAlignment="true" applyProtection="false">
      <alignment horizontal="center" vertical="bottom" textRotation="0" wrapText="false" indent="0" shrinkToFit="false"/>
      <protection locked="true" hidden="false"/>
    </xf>
    <xf numFmtId="164" fontId="6" fillId="0" borderId="16" xfId="0" applyFont="true" applyBorder="true" applyAlignment="false" applyProtection="false">
      <alignment horizontal="general" vertical="bottom" textRotation="0" wrapText="false" indent="0" shrinkToFit="false"/>
      <protection locked="true" hidden="false"/>
    </xf>
    <xf numFmtId="183" fontId="58" fillId="12" borderId="13" xfId="132" applyFont="true" applyBorder="true" applyAlignment="true" applyProtection="true">
      <alignment horizontal="center" vertical="bottom" textRotation="0" wrapText="false" indent="0" shrinkToFit="false"/>
      <protection locked="false" hidden="false"/>
    </xf>
    <xf numFmtId="193" fontId="58" fillId="12" borderId="23" xfId="132" applyFont="true" applyBorder="true" applyAlignment="true" applyProtection="true">
      <alignment horizontal="center" vertical="bottom" textRotation="0" wrapText="false" indent="0" shrinkToFit="false"/>
      <protection locked="false" hidden="false"/>
    </xf>
    <xf numFmtId="183" fontId="34" fillId="12" borderId="7" xfId="132" applyFont="true" applyBorder="true" applyAlignment="false" applyProtection="true">
      <alignment horizontal="general" vertical="bottom" textRotation="0" wrapText="false" indent="0" shrinkToFit="false"/>
      <protection locked="false" hidden="false"/>
    </xf>
    <xf numFmtId="183" fontId="34" fillId="12" borderId="36" xfId="132" applyFont="true" applyBorder="true" applyAlignment="false" applyProtection="true">
      <alignment horizontal="general" vertical="bottom" textRotation="0" wrapText="false" indent="0" shrinkToFit="false"/>
      <protection locked="false" hidden="false"/>
    </xf>
    <xf numFmtId="164" fontId="6" fillId="0" borderId="0" xfId="0" applyFont="true" applyBorder="true" applyAlignment="true" applyProtection="false">
      <alignment horizontal="center" vertical="bottom" textRotation="0" wrapText="false" indent="0" shrinkToFit="false"/>
      <protection locked="true" hidden="false"/>
    </xf>
    <xf numFmtId="177" fontId="37" fillId="12" borderId="7" xfId="132" applyFont="true" applyBorder="true" applyAlignment="true" applyProtection="false">
      <alignment horizontal="center" vertical="bottom" textRotation="0" wrapText="false" indent="0" shrinkToFit="false"/>
      <protection locked="true" hidden="false"/>
    </xf>
    <xf numFmtId="164" fontId="77" fillId="0" borderId="15" xfId="136" applyFont="true" applyBorder="true" applyAlignment="true" applyProtection="false">
      <alignment horizontal="left" vertical="bottom" textRotation="0" wrapText="false" indent="0" shrinkToFit="false"/>
      <protection locked="true" hidden="false"/>
    </xf>
    <xf numFmtId="165" fontId="58" fillId="0" borderId="0" xfId="15" applyFont="true" applyBorder="true" applyAlignment="true" applyProtection="true">
      <alignment horizontal="general" vertical="bottom" textRotation="0" wrapText="false" indent="0" shrinkToFit="false"/>
      <protection locked="true" hidden="false"/>
    </xf>
    <xf numFmtId="164" fontId="77" fillId="0" borderId="0" xfId="132" applyFont="true" applyBorder="true" applyAlignment="false" applyProtection="false">
      <alignment horizontal="general" vertical="bottom" textRotation="0" wrapText="false" indent="0" shrinkToFit="false"/>
      <protection locked="tru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4" fontId="27" fillId="0" borderId="15" xfId="132" applyFont="true" applyBorder="true" applyAlignment="false" applyProtection="false">
      <alignment horizontal="general" vertical="bottom" textRotation="0" wrapText="false" indent="0" shrinkToFit="false"/>
      <protection locked="true" hidden="false"/>
    </xf>
    <xf numFmtId="164" fontId="77" fillId="0" borderId="0" xfId="132" applyFont="true" applyBorder="true" applyAlignment="true" applyProtection="false">
      <alignment horizontal="right" vertical="bottom" textRotation="0" wrapText="false" indent="0" shrinkToFit="false"/>
      <protection locked="true" hidden="false"/>
    </xf>
    <xf numFmtId="183" fontId="37" fillId="12" borderId="13" xfId="132" applyFont="true" applyBorder="true" applyAlignment="true" applyProtection="true">
      <alignment horizontal="center" vertical="bottom" textRotation="0" wrapText="false" indent="0" shrinkToFit="false"/>
      <protection locked="false" hidden="false"/>
    </xf>
    <xf numFmtId="177" fontId="37" fillId="12" borderId="7" xfId="15" applyFont="true" applyBorder="true" applyAlignment="true" applyProtection="true">
      <alignment horizontal="center" vertical="bottom" textRotation="0" wrapText="false" indent="0" shrinkToFit="false"/>
      <protection locked="true" hidden="false"/>
    </xf>
    <xf numFmtId="177" fontId="50" fillId="0" borderId="0" xfId="15" applyFont="true" applyBorder="true" applyAlignment="true" applyProtection="true">
      <alignment horizontal="general" vertical="bottom" textRotation="0" wrapText="false" indent="0" shrinkToFit="false"/>
      <protection locked="true" hidden="false"/>
    </xf>
    <xf numFmtId="177" fontId="37" fillId="12" borderId="13" xfId="132" applyFont="true" applyBorder="true" applyAlignment="true" applyProtection="false">
      <alignment horizontal="center" vertical="bottom" textRotation="0" wrapText="false" indent="0" shrinkToFit="false"/>
      <protection locked="true" hidden="false"/>
    </xf>
    <xf numFmtId="177" fontId="37" fillId="12" borderId="12" xfId="15" applyFont="true" applyBorder="true" applyAlignment="true" applyProtection="true">
      <alignment horizontal="center" vertical="bottom" textRotation="0" wrapText="false" indent="0" shrinkToFit="false"/>
      <protection locked="true" hidden="false"/>
    </xf>
    <xf numFmtId="195" fontId="58" fillId="12" borderId="27" xfId="132" applyFont="true" applyBorder="true" applyAlignment="true" applyProtection="true">
      <alignment horizontal="center" vertical="bottom" textRotation="0" wrapText="false" indent="0" shrinkToFit="false"/>
      <protection locked="false" hidden="false"/>
    </xf>
    <xf numFmtId="164" fontId="50" fillId="0" borderId="9" xfId="132" applyFont="true" applyBorder="true" applyAlignment="false" applyProtection="false">
      <alignment horizontal="general" vertical="bottom" textRotation="0" wrapText="false" indent="0" shrinkToFit="false"/>
      <protection locked="true" hidden="false"/>
    </xf>
    <xf numFmtId="177" fontId="34" fillId="0" borderId="14" xfId="15" applyFont="true" applyBorder="true" applyAlignment="true" applyProtection="true">
      <alignment horizontal="center" vertical="bottom" textRotation="0" wrapText="false" indent="0" shrinkToFit="false"/>
      <protection locked="true" hidden="false"/>
    </xf>
    <xf numFmtId="164" fontId="34" fillId="13" borderId="32" xfId="0" applyFont="true" applyBorder="true" applyAlignment="false" applyProtection="false">
      <alignment horizontal="general" vertical="bottom" textRotation="0" wrapText="false" indent="0" shrinkToFit="false"/>
      <protection locked="true" hidden="false"/>
    </xf>
    <xf numFmtId="164" fontId="34" fillId="13" borderId="52" xfId="0" applyFont="true" applyBorder="true" applyAlignment="false" applyProtection="false">
      <alignment horizontal="general" vertical="bottom" textRotation="0" wrapText="false" indent="0" shrinkToFit="false"/>
      <protection locked="true" hidden="false"/>
    </xf>
    <xf numFmtId="164" fontId="13" fillId="13" borderId="33" xfId="0" applyFont="true" applyBorder="true" applyAlignment="false" applyProtection="false">
      <alignment horizontal="general" vertical="bottom" textRotation="0" wrapText="false" indent="0" shrinkToFit="false"/>
      <protection locked="true" hidden="false"/>
    </xf>
    <xf numFmtId="164" fontId="77" fillId="13" borderId="15" xfId="132" applyFont="true" applyBorder="true" applyAlignment="false" applyProtection="false">
      <alignment horizontal="general" vertical="bottom" textRotation="0" wrapText="false" indent="0" shrinkToFit="false"/>
      <protection locked="true" hidden="false"/>
    </xf>
    <xf numFmtId="164" fontId="50" fillId="13" borderId="0" xfId="132" applyFont="true" applyBorder="true" applyAlignment="false" applyProtection="false">
      <alignment horizontal="general" vertical="bottom" textRotation="0" wrapText="false" indent="0" shrinkToFit="false"/>
      <protection locked="true" hidden="false"/>
    </xf>
    <xf numFmtId="164" fontId="50" fillId="13" borderId="16" xfId="132" applyFont="true" applyBorder="true" applyAlignment="false" applyProtection="false">
      <alignment horizontal="general" vertical="bottom" textRotation="0" wrapText="false" indent="0" shrinkToFit="false"/>
      <protection locked="true" hidden="false"/>
    </xf>
    <xf numFmtId="197" fontId="27" fillId="0" borderId="0" xfId="132" applyFont="true" applyBorder="true" applyAlignment="false" applyProtection="false">
      <alignment horizontal="general" vertical="bottom" textRotation="0" wrapText="false" indent="0" shrinkToFit="false"/>
      <protection locked="true" hidden="false"/>
    </xf>
    <xf numFmtId="164" fontId="27" fillId="13" borderId="15" xfId="132" applyFont="true" applyBorder="true" applyAlignment="false" applyProtection="false">
      <alignment horizontal="general" vertical="bottom" textRotation="0" wrapText="false" indent="0" shrinkToFit="false"/>
      <protection locked="true" hidden="false"/>
    </xf>
    <xf numFmtId="197" fontId="58" fillId="12" borderId="7" xfId="136" applyFont="true" applyBorder="true" applyAlignment="false" applyProtection="false">
      <alignment horizontal="general" vertical="bottom" textRotation="0" wrapText="false" indent="0" shrinkToFit="false"/>
      <protection locked="true" hidden="false"/>
    </xf>
    <xf numFmtId="164" fontId="50" fillId="13" borderId="15" xfId="132" applyFont="true" applyBorder="true" applyAlignment="false" applyProtection="false">
      <alignment horizontal="general" vertical="bottom" textRotation="0" wrapText="false" indent="0" shrinkToFit="false"/>
      <protection locked="true" hidden="false"/>
    </xf>
    <xf numFmtId="164" fontId="27" fillId="13" borderId="0" xfId="132" applyFont="true" applyBorder="true" applyAlignment="false" applyProtection="false">
      <alignment horizontal="general" vertical="bottom" textRotation="0" wrapText="false" indent="0" shrinkToFit="false"/>
      <protection locked="true" hidden="false"/>
    </xf>
    <xf numFmtId="214" fontId="27" fillId="13" borderId="7" xfId="132" applyFont="true" applyBorder="true" applyAlignment="false" applyProtection="false">
      <alignment horizontal="general" vertical="bottom" textRotation="0" wrapText="false" indent="0" shrinkToFit="false"/>
      <protection locked="true" hidden="false"/>
    </xf>
    <xf numFmtId="164" fontId="27" fillId="0" borderId="0" xfId="132" applyFont="true" applyBorder="true" applyAlignment="false" applyProtection="false">
      <alignment horizontal="general" vertical="bottom" textRotation="0" wrapText="false" indent="0" shrinkToFit="false"/>
      <protection locked="true" hidden="false"/>
    </xf>
    <xf numFmtId="183" fontId="58" fillId="12" borderId="7" xfId="136" applyFont="true" applyBorder="true" applyAlignment="false" applyProtection="false">
      <alignment horizontal="general" vertical="bottom" textRotation="0" wrapText="false" indent="0" shrinkToFit="false"/>
      <protection locked="true" hidden="false"/>
    </xf>
    <xf numFmtId="193" fontId="58" fillId="12" borderId="13" xfId="132" applyFont="true" applyBorder="true" applyAlignment="false" applyProtection="true">
      <alignment horizontal="general" vertical="bottom" textRotation="0" wrapText="false" indent="0" shrinkToFit="false"/>
      <protection locked="false" hidden="false"/>
    </xf>
    <xf numFmtId="183" fontId="34" fillId="0" borderId="7" xfId="136" applyFont="true" applyBorder="true" applyAlignment="false" applyProtection="false">
      <alignment horizontal="general" vertical="bottom" textRotation="0" wrapText="false" indent="0" shrinkToFit="false"/>
      <protection locked="true" hidden="false"/>
    </xf>
    <xf numFmtId="183" fontId="50" fillId="0" borderId="0" xfId="132" applyFont="true" applyBorder="true" applyAlignment="true" applyProtection="false">
      <alignment horizontal="center" vertical="bottom" textRotation="0" wrapText="false" indent="0" shrinkToFit="false"/>
      <protection locked="true" hidden="false"/>
    </xf>
    <xf numFmtId="164" fontId="34" fillId="13" borderId="15" xfId="0" applyFont="true" applyBorder="true" applyAlignment="false" applyProtection="false">
      <alignment horizontal="general" vertical="bottom" textRotation="0" wrapText="false" indent="0" shrinkToFit="false"/>
      <protection locked="true" hidden="false"/>
    </xf>
    <xf numFmtId="164" fontId="34" fillId="13" borderId="0" xfId="0" applyFont="true" applyBorder="true" applyAlignment="false" applyProtection="false">
      <alignment horizontal="general" vertical="bottom" textRotation="0" wrapText="false" indent="0" shrinkToFit="false"/>
      <protection locked="true" hidden="false"/>
    </xf>
    <xf numFmtId="195" fontId="34" fillId="13" borderId="5" xfId="0" applyFont="true" applyBorder="true" applyAlignment="false" applyProtection="false">
      <alignment horizontal="general" vertical="bottom" textRotation="0" wrapText="false" indent="0" shrinkToFit="false"/>
      <protection locked="true" hidden="false"/>
    </xf>
    <xf numFmtId="191" fontId="37" fillId="12" borderId="37" xfId="0" applyFont="true" applyBorder="true" applyAlignment="true" applyProtection="false">
      <alignment horizontal="center" vertical="bottom" textRotation="0" wrapText="false" indent="0" shrinkToFit="false"/>
      <protection locked="true" hidden="false"/>
    </xf>
    <xf numFmtId="174" fontId="34" fillId="13" borderId="21" xfId="0" applyFont="true" applyBorder="true" applyAlignment="false" applyProtection="false">
      <alignment horizontal="general" vertical="bottom" textRotation="0" wrapText="false" indent="0" shrinkToFit="false"/>
      <protection locked="true" hidden="false"/>
    </xf>
    <xf numFmtId="195" fontId="37" fillId="12" borderId="13" xfId="132" applyFont="true" applyBorder="true" applyAlignment="true" applyProtection="true">
      <alignment horizontal="center" vertical="bottom" textRotation="0" wrapText="false" indent="0" shrinkToFit="false"/>
      <protection locked="false" hidden="false"/>
    </xf>
    <xf numFmtId="183" fontId="34" fillId="0" borderId="7" xfId="132" applyFont="true" applyBorder="true" applyAlignment="false" applyProtection="false">
      <alignment horizontal="general" vertical="bottom" textRotation="0" wrapText="false" indent="0" shrinkToFit="false"/>
      <protection locked="true" hidden="false"/>
    </xf>
    <xf numFmtId="164" fontId="13" fillId="13" borderId="15" xfId="0" applyFont="true" applyBorder="true" applyAlignment="false" applyProtection="false">
      <alignment horizontal="general" vertical="bottom" textRotation="0" wrapText="false" indent="0" shrinkToFit="false"/>
      <protection locked="true" hidden="false"/>
    </xf>
    <xf numFmtId="164" fontId="13" fillId="13" borderId="0" xfId="0" applyFont="true" applyBorder="true" applyAlignment="false" applyProtection="false">
      <alignment horizontal="general" vertical="bottom" textRotation="0" wrapText="false" indent="0" shrinkToFit="false"/>
      <protection locked="true" hidden="false"/>
    </xf>
    <xf numFmtId="164" fontId="13" fillId="13" borderId="16" xfId="0" applyFont="true" applyBorder="true" applyAlignment="false" applyProtection="false">
      <alignment horizontal="general" vertical="bottom" textRotation="0" wrapText="false" indent="0" shrinkToFit="false"/>
      <protection locked="true" hidden="false"/>
    </xf>
    <xf numFmtId="183" fontId="58" fillId="12" borderId="7" xfId="132" applyFont="true" applyBorder="true" applyAlignment="false" applyProtection="true">
      <alignment horizontal="general" vertical="bottom" textRotation="0" wrapText="false" indent="0" shrinkToFit="false"/>
      <protection locked="false" hidden="false"/>
    </xf>
    <xf numFmtId="183" fontId="37" fillId="12" borderId="36" xfId="132" applyFont="true" applyBorder="true" applyAlignment="false" applyProtection="false">
      <alignment horizontal="general" vertical="bottom" textRotation="0" wrapText="false" indent="0" shrinkToFit="false"/>
      <protection locked="true" hidden="false"/>
    </xf>
    <xf numFmtId="177" fontId="27" fillId="0" borderId="0" xfId="15" applyFont="true" applyBorder="true" applyAlignment="true" applyProtection="true">
      <alignment horizontal="general" vertical="bottom" textRotation="0" wrapText="false" indent="0" shrinkToFit="false"/>
      <protection locked="true" hidden="false"/>
    </xf>
    <xf numFmtId="164" fontId="49" fillId="13" borderId="15" xfId="0" applyFont="true" applyBorder="true" applyAlignment="false" applyProtection="false">
      <alignment horizontal="general" vertical="bottom" textRotation="0" wrapText="false" indent="0" shrinkToFit="false"/>
      <protection locked="true" hidden="false"/>
    </xf>
    <xf numFmtId="195" fontId="34" fillId="13" borderId="7" xfId="0" applyFont="true" applyBorder="true" applyAlignment="true" applyProtection="false">
      <alignment horizontal="right" vertical="bottom" textRotation="0" wrapText="false" indent="0" shrinkToFit="false"/>
      <protection locked="true" hidden="false"/>
    </xf>
    <xf numFmtId="193" fontId="27" fillId="0" borderId="0" xfId="132" applyFont="true" applyBorder="true" applyAlignment="false" applyProtection="false">
      <alignment horizontal="general" vertical="bottom" textRotation="0" wrapText="false" indent="0" shrinkToFit="false"/>
      <protection locked="true" hidden="false"/>
    </xf>
    <xf numFmtId="191" fontId="37" fillId="12" borderId="13" xfId="0" applyFont="true" applyBorder="true" applyAlignment="true" applyProtection="false">
      <alignment horizontal="center" vertical="bottom" textRotation="0" wrapText="false" indent="0" shrinkToFit="false"/>
      <protection locked="true" hidden="false"/>
    </xf>
    <xf numFmtId="183" fontId="34" fillId="12" borderId="36" xfId="132" applyFont="true" applyBorder="true" applyAlignment="false" applyProtection="false">
      <alignment horizontal="general" vertical="bottom" textRotation="0" wrapText="false" indent="0" shrinkToFit="false"/>
      <protection locked="true" hidden="false"/>
    </xf>
    <xf numFmtId="164" fontId="34" fillId="13" borderId="0" xfId="0" applyFont="true" applyBorder="true" applyAlignment="true" applyProtection="false">
      <alignment horizontal="right" vertical="bottom" textRotation="0" wrapText="false" indent="0" shrinkToFit="false"/>
      <protection locked="true" hidden="false"/>
    </xf>
    <xf numFmtId="174" fontId="34" fillId="13" borderId="7" xfId="0" applyFont="true" applyBorder="true" applyAlignment="false" applyProtection="false">
      <alignment horizontal="general" vertical="bottom" textRotation="0" wrapText="false" indent="0" shrinkToFit="false"/>
      <protection locked="true" hidden="false"/>
    </xf>
    <xf numFmtId="183" fontId="58" fillId="12" borderId="12" xfId="136" applyFont="true" applyBorder="true" applyAlignment="false" applyProtection="false">
      <alignment horizontal="general" vertical="bottom" textRotation="0" wrapText="false" indent="0" shrinkToFit="false"/>
      <protection locked="true" hidden="false"/>
    </xf>
    <xf numFmtId="169" fontId="50" fillId="0" borderId="0" xfId="15" applyFont="true" applyBorder="true" applyAlignment="true" applyProtection="true">
      <alignment horizontal="general" vertical="bottom" textRotation="0" wrapText="false" indent="0" shrinkToFit="false"/>
      <protection locked="true" hidden="false"/>
    </xf>
    <xf numFmtId="193" fontId="37" fillId="12" borderId="13" xfId="132" applyFont="true" applyBorder="true" applyAlignment="true" applyProtection="true">
      <alignment horizontal="center" vertical="bottom" textRotation="0" wrapText="false" indent="0" shrinkToFit="false"/>
      <protection locked="false" hidden="false"/>
    </xf>
    <xf numFmtId="197" fontId="63" fillId="0" borderId="14" xfId="132" applyFont="true" applyBorder="true" applyAlignment="false" applyProtection="false">
      <alignment horizontal="general" vertical="bottom" textRotation="0" wrapText="false" indent="0" shrinkToFit="false"/>
      <protection locked="true" hidden="false"/>
    </xf>
    <xf numFmtId="197" fontId="0" fillId="0" borderId="0" xfId="0" applyFont="false" applyBorder="true" applyAlignment="false" applyProtection="false">
      <alignment horizontal="general" vertical="bottom" textRotation="0" wrapText="false" indent="0" shrinkToFit="false"/>
      <protection locked="true" hidden="false"/>
    </xf>
    <xf numFmtId="175" fontId="27" fillId="0" borderId="14" xfId="132" applyFont="true" applyBorder="true" applyAlignment="false" applyProtection="false">
      <alignment horizontal="general" vertical="bottom" textRotation="0" wrapText="false" indent="0" shrinkToFit="false"/>
      <protection locked="true" hidden="false"/>
    </xf>
    <xf numFmtId="164" fontId="0" fillId="13" borderId="15" xfId="0" applyFont="false" applyBorder="true" applyAlignment="false" applyProtection="false">
      <alignment horizontal="general" vertical="bottom" textRotation="0" wrapText="false" indent="0" shrinkToFit="false"/>
      <protection locked="true" hidden="false"/>
    </xf>
    <xf numFmtId="197" fontId="34" fillId="0" borderId="40" xfId="136" applyFont="true" applyBorder="true" applyAlignment="true" applyProtection="false">
      <alignment horizontal="center" vertical="bottom" textRotation="0" wrapText="false" indent="0" shrinkToFit="false"/>
      <protection locked="true" hidden="false"/>
    </xf>
    <xf numFmtId="197" fontId="27" fillId="0" borderId="14" xfId="132" applyFont="true" applyBorder="true" applyAlignment="false" applyProtection="false">
      <alignment horizontal="general" vertical="bottom" textRotation="0" wrapText="false" indent="0" shrinkToFit="false"/>
      <protection locked="true" hidden="false"/>
    </xf>
    <xf numFmtId="197" fontId="50" fillId="0" borderId="0" xfId="132" applyFont="true" applyBorder="false" applyAlignment="false" applyProtection="false">
      <alignment horizontal="general" vertical="bottom" textRotation="0" wrapText="false" indent="0" shrinkToFit="false"/>
      <protection locked="true" hidden="false"/>
    </xf>
    <xf numFmtId="183" fontId="0" fillId="13" borderId="15" xfId="0" applyFont="false" applyBorder="true" applyAlignment="false" applyProtection="false">
      <alignment horizontal="general" vertical="bottom" textRotation="0" wrapText="false" indent="0" shrinkToFit="false"/>
      <protection locked="true" hidden="false"/>
    </xf>
    <xf numFmtId="164" fontId="0" fillId="13" borderId="0" xfId="0" applyFont="false" applyBorder="true" applyAlignment="false" applyProtection="false">
      <alignment horizontal="general" vertical="bottom" textRotation="0" wrapText="false" indent="0" shrinkToFit="false"/>
      <protection locked="true" hidden="false"/>
    </xf>
    <xf numFmtId="164" fontId="0" fillId="13" borderId="16" xfId="0" applyFont="false" applyBorder="true" applyAlignment="false" applyProtection="false">
      <alignment horizontal="general" vertical="bottom" textRotation="0" wrapText="false" indent="0" shrinkToFit="false"/>
      <protection locked="true" hidden="false"/>
    </xf>
    <xf numFmtId="174" fontId="34" fillId="13" borderId="16" xfId="0" applyFont="true" applyBorder="true" applyAlignment="false" applyProtection="false">
      <alignment horizontal="general" vertical="bottom" textRotation="0" wrapText="false" indent="0" shrinkToFit="false"/>
      <protection locked="true" hidden="false"/>
    </xf>
    <xf numFmtId="183" fontId="34" fillId="0" borderId="7" xfId="132" applyFont="true" applyBorder="true" applyAlignment="false" applyProtection="true">
      <alignment horizontal="general" vertical="bottom" textRotation="0" wrapText="false" indent="0" shrinkToFit="false"/>
      <protection locked="false" hidden="false"/>
    </xf>
    <xf numFmtId="195" fontId="58" fillId="12" borderId="13" xfId="132" applyFont="true" applyBorder="true" applyAlignment="true" applyProtection="true">
      <alignment horizontal="center" vertical="bottom" textRotation="0" wrapText="false" indent="0" shrinkToFit="false"/>
      <protection locked="false" hidden="false"/>
    </xf>
    <xf numFmtId="183" fontId="37" fillId="12" borderId="7" xfId="132" applyFont="true" applyBorder="true" applyAlignment="true" applyProtection="false">
      <alignment horizontal="center" vertical="bottom" textRotation="0" wrapText="false" indent="0" shrinkToFit="false"/>
      <protection locked="true" hidden="false"/>
    </xf>
    <xf numFmtId="197" fontId="27" fillId="0" borderId="0" xfId="132" applyFont="true" applyBorder="false" applyAlignment="false" applyProtection="true">
      <alignment horizontal="general" vertical="bottom" textRotation="0" wrapText="false" indent="0" shrinkToFit="false"/>
      <protection locked="false" hidden="false"/>
    </xf>
    <xf numFmtId="177" fontId="37" fillId="12" borderId="7" xfId="15" applyFont="true" applyBorder="true" applyAlignment="true" applyProtection="true">
      <alignment horizontal="right" vertical="bottom" textRotation="0" wrapText="false" indent="0" shrinkToFit="false"/>
      <protection locked="true" hidden="false"/>
    </xf>
    <xf numFmtId="215" fontId="37" fillId="12" borderId="13" xfId="132" applyFont="true" applyBorder="true" applyAlignment="true" applyProtection="true">
      <alignment horizontal="center" vertical="bottom" textRotation="0" wrapText="false" indent="0" shrinkToFit="false"/>
      <protection locked="false" hidden="false"/>
    </xf>
    <xf numFmtId="164" fontId="13" fillId="0" borderId="16" xfId="0" applyFont="true" applyBorder="true" applyAlignment="false" applyProtection="false">
      <alignment horizontal="general" vertical="bottom" textRotation="0" wrapText="false" indent="0" shrinkToFit="false"/>
      <protection locked="true" hidden="false"/>
    </xf>
    <xf numFmtId="195" fontId="58" fillId="12" borderId="7" xfId="132" applyFont="true" applyBorder="true" applyAlignment="true" applyProtection="true">
      <alignment horizontal="right" vertical="bottom" textRotation="0" wrapText="false" indent="0" shrinkToFit="false"/>
      <protection locked="false" hidden="false"/>
    </xf>
    <xf numFmtId="195" fontId="58" fillId="12" borderId="23" xfId="132" applyFont="true" applyBorder="true" applyAlignment="true" applyProtection="true">
      <alignment horizontal="right" vertical="bottom" textRotation="0" wrapText="false" indent="0" shrinkToFit="false"/>
      <protection locked="false" hidden="false"/>
    </xf>
    <xf numFmtId="164" fontId="13" fillId="13" borderId="8" xfId="0" applyFont="true" applyBorder="true" applyAlignment="false" applyProtection="false">
      <alignment horizontal="general" vertical="bottom" textRotation="0" wrapText="false" indent="0" shrinkToFit="false"/>
      <protection locked="true" hidden="false"/>
    </xf>
    <xf numFmtId="164" fontId="34" fillId="13" borderId="51" xfId="0" applyFont="true" applyBorder="true" applyAlignment="true" applyProtection="false">
      <alignment horizontal="right" vertical="bottom" textRotation="0" wrapText="false" indent="0" shrinkToFit="false"/>
      <protection locked="true" hidden="false"/>
    </xf>
    <xf numFmtId="174" fontId="34" fillId="13" borderId="23" xfId="0" applyFont="true" applyBorder="true" applyAlignment="false" applyProtection="false">
      <alignment horizontal="general" vertical="bottom" textRotation="0" wrapText="false" indent="0" shrinkToFit="false"/>
      <protection locked="true" hidden="false"/>
    </xf>
    <xf numFmtId="183" fontId="34" fillId="0" borderId="12" xfId="132" applyFont="true" applyBorder="true" applyAlignment="false" applyProtection="true">
      <alignment horizontal="general" vertical="bottom" textRotation="0" wrapText="false" indent="0" shrinkToFit="false"/>
      <protection locked="false" hidden="false"/>
    </xf>
    <xf numFmtId="189" fontId="27" fillId="0" borderId="32" xfId="132" applyFont="true" applyBorder="true" applyAlignment="false" applyProtection="false">
      <alignment horizontal="general" vertical="bottom" textRotation="0" wrapText="false" indent="0" shrinkToFit="false"/>
      <protection locked="true" hidden="false"/>
    </xf>
    <xf numFmtId="189" fontId="50" fillId="0" borderId="52" xfId="132" applyFont="true" applyBorder="true" applyAlignment="false" applyProtection="false">
      <alignment horizontal="general" vertical="bottom" textRotation="0" wrapText="false" indent="0" shrinkToFit="false"/>
      <protection locked="true" hidden="false"/>
    </xf>
    <xf numFmtId="166" fontId="50" fillId="0" borderId="7" xfId="132" applyFont="true" applyBorder="true" applyAlignment="false" applyProtection="false">
      <alignment horizontal="general" vertical="bottom" textRotation="0" wrapText="false" indent="0" shrinkToFit="false"/>
      <protection locked="true" hidden="false"/>
    </xf>
    <xf numFmtId="164" fontId="0" fillId="0" borderId="52" xfId="0" applyFont="false" applyBorder="true" applyAlignment="false" applyProtection="false">
      <alignment horizontal="general" vertical="bottom" textRotation="0" wrapText="false" indent="0" shrinkToFit="false"/>
      <protection locked="true" hidden="false"/>
    </xf>
    <xf numFmtId="195" fontId="50" fillId="0" borderId="7" xfId="132" applyFont="true" applyBorder="true" applyAlignment="false" applyProtection="false">
      <alignment horizontal="general" vertical="bottom" textRotation="0" wrapText="false" indent="0" shrinkToFit="false"/>
      <protection locked="true" hidden="false"/>
    </xf>
    <xf numFmtId="202" fontId="58" fillId="12" borderId="7" xfId="132" applyFont="true" applyBorder="true" applyAlignment="true" applyProtection="true">
      <alignment horizontal="center" vertical="bottom" textRotation="0" wrapText="false" indent="0" shrinkToFit="false"/>
      <protection locked="false" hidden="false"/>
    </xf>
    <xf numFmtId="177" fontId="50" fillId="0" borderId="7" xfId="132" applyFont="true" applyBorder="true" applyAlignment="false" applyProtection="false">
      <alignment horizontal="general" vertical="bottom" textRotation="0" wrapText="false" indent="0" shrinkToFit="false"/>
      <protection locked="true" hidden="false"/>
    </xf>
    <xf numFmtId="202" fontId="37" fillId="12" borderId="7" xfId="132" applyFont="true" applyBorder="true" applyAlignment="true" applyProtection="false">
      <alignment horizontal="center" vertical="bottom" textRotation="0" wrapText="false" indent="0" shrinkToFit="false"/>
      <protection locked="true" hidden="false"/>
    </xf>
    <xf numFmtId="177" fontId="37" fillId="12" borderId="23" xfId="132" applyFont="true" applyBorder="true" applyAlignment="true" applyProtection="false">
      <alignment horizontal="center" vertical="bottom" textRotation="0" wrapText="false" indent="0" shrinkToFit="false"/>
      <protection locked="true" hidden="false"/>
    </xf>
    <xf numFmtId="164" fontId="13" fillId="0" borderId="52" xfId="0" applyFont="true" applyBorder="true" applyAlignment="false" applyProtection="false">
      <alignment horizontal="general" vertical="bottom" textRotation="0" wrapText="false" indent="0" shrinkToFit="false"/>
      <protection locked="true" hidden="false"/>
    </xf>
    <xf numFmtId="164" fontId="13" fillId="0" borderId="33" xfId="0" applyFont="true" applyBorder="true" applyAlignment="false" applyProtection="false">
      <alignment horizontal="general" vertical="bottom" textRotation="0" wrapText="false" indent="0" shrinkToFit="false"/>
      <protection locked="true" hidden="false"/>
    </xf>
    <xf numFmtId="197" fontId="50" fillId="0" borderId="15" xfId="132" applyFont="true" applyBorder="true" applyAlignment="false" applyProtection="false">
      <alignment horizontal="general" vertical="bottom" textRotation="0" wrapText="false" indent="0" shrinkToFit="false"/>
      <protection locked="true" hidden="false"/>
    </xf>
    <xf numFmtId="164" fontId="37" fillId="12" borderId="7" xfId="0" applyFont="true" applyBorder="true" applyAlignment="true" applyProtection="false">
      <alignment horizontal="center" vertical="bottom" textRotation="0" wrapText="false" indent="0" shrinkToFit="false"/>
      <protection locked="true" hidden="false"/>
    </xf>
    <xf numFmtId="201" fontId="37" fillId="12" borderId="7" xfId="0" applyFont="true" applyBorder="true" applyAlignment="true" applyProtection="false">
      <alignment horizontal="center" vertical="bottom" textRotation="0" wrapText="false" indent="0" shrinkToFit="false"/>
      <protection locked="true" hidden="false"/>
    </xf>
    <xf numFmtId="174" fontId="50" fillId="0" borderId="7" xfId="132" applyFont="true" applyBorder="true" applyAlignment="false" applyProtection="false">
      <alignment horizontal="general" vertical="bottom" textRotation="0" wrapText="false" indent="0" shrinkToFit="false"/>
      <protection locked="true" hidden="false"/>
    </xf>
    <xf numFmtId="169" fontId="78" fillId="0" borderId="0" xfId="15" applyFont="true" applyBorder="true" applyAlignment="true" applyProtection="true">
      <alignment horizontal="general" vertical="bottom" textRotation="0" wrapText="false" indent="0" shrinkToFit="false"/>
      <protection locked="true" hidden="false"/>
    </xf>
    <xf numFmtId="164" fontId="50" fillId="0" borderId="0" xfId="132" applyFont="true" applyBorder="false" applyAlignment="true" applyProtection="false">
      <alignment horizontal="center" vertical="bottom" textRotation="0" wrapText="false" indent="0" shrinkToFit="false"/>
      <protection locked="true" hidden="false"/>
    </xf>
    <xf numFmtId="183" fontId="50" fillId="0" borderId="12" xfId="132" applyFont="true" applyBorder="true" applyAlignment="false" applyProtection="false">
      <alignment horizontal="general" vertical="bottom" textRotation="0" wrapText="false" indent="0" shrinkToFit="false"/>
      <protection locked="true" hidden="false"/>
    </xf>
    <xf numFmtId="174" fontId="27" fillId="0" borderId="14" xfId="132" applyFont="true" applyBorder="true" applyAlignment="false" applyProtection="false">
      <alignment horizontal="general" vertical="bottom" textRotation="0" wrapText="false" indent="0" shrinkToFit="false"/>
      <protection locked="true" hidden="false"/>
    </xf>
    <xf numFmtId="174" fontId="50" fillId="0" borderId="19" xfId="132" applyFont="true" applyBorder="true" applyAlignment="false" applyProtection="false">
      <alignment horizontal="general" vertical="bottom" textRotation="0" wrapText="false" indent="0" shrinkToFit="false"/>
      <protection locked="true" hidden="false"/>
    </xf>
    <xf numFmtId="193" fontId="50" fillId="0" borderId="0" xfId="132" applyFont="true" applyBorder="true" applyAlignment="false" applyProtection="false">
      <alignment horizontal="general" vertical="bottom" textRotation="0" wrapText="false" indent="0" shrinkToFit="false"/>
      <protection locked="true" hidden="false"/>
    </xf>
    <xf numFmtId="164" fontId="50" fillId="0" borderId="0" xfId="132" applyFont="true" applyBorder="false" applyAlignment="true" applyProtection="false">
      <alignment horizontal="right" vertical="bottom" textRotation="0" wrapText="false" indent="0" shrinkToFit="false"/>
      <protection locked="true" hidden="false"/>
    </xf>
    <xf numFmtId="177" fontId="50" fillId="0" borderId="0" xfId="132" applyFont="true" applyBorder="false" applyAlignment="false" applyProtection="false">
      <alignment horizontal="general" vertical="bottom" textRotation="0" wrapText="false" indent="0" shrinkToFit="false"/>
      <protection locked="true" hidden="false"/>
    </xf>
    <xf numFmtId="197" fontId="63" fillId="0" borderId="0" xfId="132" applyFont="true" applyBorder="true" applyAlignment="false" applyProtection="false">
      <alignment horizontal="general" vertical="bottom" textRotation="0" wrapText="false" indent="0" shrinkToFit="false"/>
      <protection locked="true" hidden="false"/>
    </xf>
    <xf numFmtId="216" fontId="0" fillId="0" borderId="0" xfId="0" applyFont="false" applyBorder="false" applyAlignment="false" applyProtection="false">
      <alignment horizontal="general" vertical="bottom" textRotation="0" wrapText="false" indent="0" shrinkToFit="false"/>
      <protection locked="true" hidden="false"/>
    </xf>
    <xf numFmtId="164" fontId="67" fillId="0" borderId="0" xfId="0" applyFont="true" applyBorder="false" applyAlignment="false" applyProtection="false">
      <alignment horizontal="general" vertical="bottom" textRotation="0" wrapText="false" indent="0" shrinkToFit="false"/>
      <protection locked="true" hidden="false"/>
    </xf>
    <xf numFmtId="164" fontId="6" fillId="0" borderId="0" xfId="204" applyFont="true" applyBorder="false" applyAlignment="true" applyProtection="false">
      <alignment horizontal="general" vertical="bottom" textRotation="0" wrapText="false" indent="0" shrinkToFit="false"/>
      <protection locked="true" hidden="false"/>
    </xf>
    <xf numFmtId="183" fontId="79" fillId="0" borderId="0" xfId="144" applyFont="true" applyBorder="false" applyAlignment="false" applyProtection="false">
      <alignment horizontal="general" vertical="bottom" textRotation="0" wrapText="false" indent="0" shrinkToFit="false"/>
      <protection locked="true" hidden="false"/>
    </xf>
    <xf numFmtId="185" fontId="79" fillId="0" borderId="0" xfId="141" applyFont="true" applyBorder="false" applyAlignment="true" applyProtection="false">
      <alignment horizontal="general" vertical="bottom" textRotation="0" wrapText="false" indent="0" shrinkToFit="false"/>
      <protection locked="true" hidden="false"/>
    </xf>
    <xf numFmtId="183" fontId="6" fillId="0" borderId="0" xfId="144" applyFont="true" applyBorder="false" applyAlignment="false" applyProtection="false">
      <alignment horizontal="general" vertical="bottom" textRotation="0" wrapText="false" indent="0" shrinkToFit="false"/>
      <protection locked="true" hidden="false"/>
    </xf>
    <xf numFmtId="183" fontId="6" fillId="0" borderId="0" xfId="204" applyFont="true" applyBorder="false" applyAlignment="true" applyProtection="false">
      <alignment horizontal="general" vertical="bottom" textRotation="0" wrapText="false" indent="0" shrinkToFit="false"/>
      <protection locked="true" hidden="false"/>
    </xf>
    <xf numFmtId="183" fontId="80" fillId="0" borderId="0" xfId="144" applyFont="true" applyBorder="false" applyAlignment="false" applyProtection="false">
      <alignment horizontal="general" vertical="bottom" textRotation="0" wrapText="false" indent="0" shrinkToFit="false"/>
      <protection locked="true" hidden="false"/>
    </xf>
    <xf numFmtId="183" fontId="81" fillId="0" borderId="0" xfId="144" applyFont="true" applyBorder="false" applyAlignment="true" applyProtection="false">
      <alignment horizontal="general" vertical="bottom" textRotation="0" wrapText="false" indent="0" shrinkToFit="false"/>
      <protection locked="true" hidden="false"/>
    </xf>
    <xf numFmtId="209" fontId="6" fillId="0" borderId="0" xfId="144" applyFont="true" applyBorder="false" applyAlignment="true" applyProtection="false">
      <alignment horizontal="left" vertical="bottom" textRotation="0" wrapText="false" indent="0" shrinkToFit="false"/>
      <protection locked="true" hidden="false"/>
    </xf>
    <xf numFmtId="217" fontId="6" fillId="0" borderId="0" xfId="144" applyFont="true" applyBorder="false" applyAlignment="false" applyProtection="false">
      <alignment horizontal="general" vertical="bottom" textRotation="0" wrapText="false" indent="0" shrinkToFit="false"/>
      <protection locked="true" hidden="false"/>
    </xf>
    <xf numFmtId="164" fontId="13" fillId="0" borderId="0" xfId="204" applyFont="true" applyBorder="false" applyAlignment="true" applyProtection="false">
      <alignment horizontal="right" vertical="bottom" textRotation="0" wrapText="false" indent="0" shrinkToFit="false"/>
      <protection locked="true" hidden="false"/>
    </xf>
    <xf numFmtId="216" fontId="6" fillId="0" borderId="0" xfId="144" applyFont="true" applyBorder="false" applyAlignment="true" applyProtection="false">
      <alignment horizontal="general" vertical="bottom" textRotation="0" wrapText="false" indent="0" shrinkToFit="false"/>
      <protection locked="true" hidden="false"/>
    </xf>
    <xf numFmtId="218" fontId="6" fillId="14" borderId="1" xfId="144" applyFont="true" applyBorder="true" applyAlignment="true" applyProtection="true">
      <alignment horizontal="center" vertical="bottom" textRotation="0" wrapText="false" indent="0" shrinkToFit="false"/>
      <protection locked="true" hidden="false"/>
    </xf>
    <xf numFmtId="201" fontId="6" fillId="14" borderId="1" xfId="144" applyFont="true" applyBorder="true" applyAlignment="true" applyProtection="true">
      <alignment horizontal="center" vertical="bottom" textRotation="0" wrapText="false" indent="0" shrinkToFit="false"/>
      <protection locked="true" hidden="false"/>
    </xf>
    <xf numFmtId="201" fontId="6" fillId="12" borderId="1" xfId="144" applyFont="true" applyBorder="true" applyAlignment="true" applyProtection="true">
      <alignment horizontal="center" vertical="bottom" textRotation="0" wrapText="false" indent="0" shrinkToFit="false"/>
      <protection locked="true" hidden="false"/>
    </xf>
    <xf numFmtId="207" fontId="6" fillId="12" borderId="1" xfId="144" applyFont="true" applyBorder="true" applyAlignment="true" applyProtection="true">
      <alignment horizontal="center" vertical="bottom" textRotation="0" wrapText="false" indent="0" shrinkToFit="false"/>
      <protection locked="true" hidden="false"/>
    </xf>
    <xf numFmtId="164" fontId="67" fillId="0" borderId="0" xfId="204" applyFont="true" applyBorder="false" applyAlignment="true" applyProtection="false">
      <alignment horizontal="general" vertical="bottom" textRotation="0" wrapText="false" indent="0" shrinkToFit="false"/>
      <protection locked="true" hidden="false"/>
    </xf>
    <xf numFmtId="217" fontId="6" fillId="0" borderId="0" xfId="204" applyFont="true" applyBorder="false" applyAlignment="true" applyProtection="false">
      <alignment horizontal="general" vertical="bottom" textRotation="0" wrapText="false" indent="0" shrinkToFit="false"/>
      <protection locked="true" hidden="false"/>
    </xf>
    <xf numFmtId="183" fontId="67" fillId="0" borderId="0" xfId="204" applyFont="true" applyBorder="false" applyAlignment="true" applyProtection="false">
      <alignment horizontal="general" vertical="bottom" textRotation="0" wrapText="false" indent="0" shrinkToFit="false"/>
      <protection locked="true" hidden="false"/>
    </xf>
    <xf numFmtId="164" fontId="82" fillId="0" borderId="0" xfId="204" applyFont="true" applyBorder="false" applyAlignment="true" applyProtection="false">
      <alignment horizontal="right" vertical="bottom" textRotation="0" wrapText="false" indent="0" shrinkToFit="false"/>
      <protection locked="true" hidden="false"/>
    </xf>
    <xf numFmtId="183" fontId="6" fillId="0" borderId="0" xfId="204" applyFont="true" applyBorder="false" applyAlignment="true" applyProtection="false">
      <alignment horizontal="right" vertical="bottom" textRotation="0" wrapText="false" indent="0" shrinkToFit="false"/>
      <protection locked="true" hidden="false"/>
    </xf>
    <xf numFmtId="183" fontId="6" fillId="0" borderId="0" xfId="204" applyFont="true" applyBorder="false" applyAlignment="true" applyProtection="false">
      <alignment horizontal="center" vertical="bottom" textRotation="0" wrapText="false" indent="0" shrinkToFit="false"/>
      <protection locked="true" hidden="false"/>
    </xf>
    <xf numFmtId="183" fontId="6" fillId="0" borderId="0" xfId="204" applyFont="true" applyBorder="false" applyAlignment="true" applyProtection="false">
      <alignment horizontal="left" vertical="bottom" textRotation="0" wrapText="false" indent="0" shrinkToFit="false"/>
      <protection locked="true" hidden="false"/>
    </xf>
    <xf numFmtId="164" fontId="6" fillId="0" borderId="0" xfId="204" applyFont="true" applyBorder="false" applyAlignment="true" applyProtection="false">
      <alignment horizontal="right" vertical="bottom" textRotation="0" wrapText="false" indent="0" shrinkToFit="false"/>
      <protection locked="true" hidden="false"/>
    </xf>
    <xf numFmtId="164" fontId="13" fillId="0" borderId="0" xfId="204" applyFont="true" applyBorder="false" applyAlignment="true" applyProtection="false">
      <alignment horizontal="general" vertical="bottom" textRotation="0" wrapText="false" indent="0" shrinkToFit="false"/>
      <protection locked="true" hidden="false"/>
    </xf>
    <xf numFmtId="164" fontId="6" fillId="0" borderId="70" xfId="204" applyFont="true" applyBorder="true" applyAlignment="true" applyProtection="false">
      <alignment horizontal="general" vertical="bottom" textRotation="0" wrapText="false" indent="0" shrinkToFit="false"/>
      <protection locked="true" hidden="false"/>
    </xf>
    <xf numFmtId="164" fontId="49" fillId="0" borderId="0" xfId="167" applyFont="true" applyBorder="true" applyAlignment="true" applyProtection="false">
      <alignment horizontal="left" vertical="bottom" textRotation="0" wrapText="false" indent="0" shrinkToFit="false"/>
      <protection locked="true" hidden="false"/>
    </xf>
    <xf numFmtId="164" fontId="13" fillId="0" borderId="0" xfId="167" applyFont="false" applyBorder="true" applyAlignment="false" applyProtection="false">
      <alignment horizontal="general" vertical="bottom" textRotation="0" wrapText="false" indent="0" shrinkToFit="false"/>
      <protection locked="true" hidden="false"/>
    </xf>
    <xf numFmtId="201" fontId="6" fillId="0" borderId="1" xfId="144" applyFont="true" applyBorder="true" applyAlignment="true" applyProtection="true">
      <alignment horizontal="center" vertical="bottom" textRotation="0" wrapText="false" indent="0" shrinkToFit="false"/>
      <protection locked="true" hidden="false"/>
    </xf>
    <xf numFmtId="219" fontId="6" fillId="0" borderId="1" xfId="144" applyFont="true" applyBorder="true" applyAlignment="true" applyProtection="true">
      <alignment horizontal="center" vertical="bottom" textRotation="0" wrapText="false" indent="0" shrinkToFit="false"/>
      <protection locked="true" hidden="false"/>
    </xf>
    <xf numFmtId="164" fontId="67" fillId="0" borderId="0" xfId="167" applyFont="true" applyBorder="true" applyAlignment="true" applyProtection="false">
      <alignment horizontal="left" vertical="bottom" textRotation="0" wrapText="false" indent="0" shrinkToFit="false"/>
      <protection locked="true" hidden="false"/>
    </xf>
    <xf numFmtId="164" fontId="52" fillId="0" borderId="0" xfId="167" applyFont="true" applyBorder="true" applyAlignment="false" applyProtection="false">
      <alignment horizontal="general" vertical="bottom" textRotation="0" wrapText="false" indent="0" shrinkToFit="false"/>
      <protection locked="true" hidden="false"/>
    </xf>
    <xf numFmtId="164" fontId="18" fillId="0" borderId="0" xfId="167" applyFont="true" applyBorder="true" applyAlignment="true" applyProtection="false">
      <alignment horizontal="left" vertical="bottom" textRotation="0" wrapText="false" indent="0" shrinkToFit="false"/>
      <protection locked="true" hidden="false"/>
    </xf>
    <xf numFmtId="185" fontId="13" fillId="0" borderId="0" xfId="167" applyFont="false" applyBorder="true" applyAlignment="false" applyProtection="false">
      <alignment horizontal="general" vertical="bottom" textRotation="0" wrapText="false" indent="0" shrinkToFit="false"/>
      <protection locked="true" hidden="false"/>
    </xf>
    <xf numFmtId="185" fontId="6" fillId="0" borderId="0" xfId="204" applyFont="true" applyBorder="false" applyAlignment="true" applyProtection="false">
      <alignment horizontal="general" vertical="bottom" textRotation="0" wrapText="false" indent="0" shrinkToFit="false"/>
      <protection locked="true" hidden="false"/>
    </xf>
    <xf numFmtId="185" fontId="18" fillId="0" borderId="0" xfId="167" applyFont="true" applyBorder="true" applyAlignment="false" applyProtection="false">
      <alignment horizontal="general" vertical="bottom" textRotation="0" wrapText="false" indent="0" shrinkToFit="false"/>
      <protection locked="true" hidden="false"/>
    </xf>
    <xf numFmtId="185" fontId="18" fillId="0" borderId="0" xfId="167" applyFont="true" applyBorder="true" applyAlignment="false" applyProtection="false">
      <alignment horizontal="general" vertical="bottom" textRotation="0" wrapText="false" indent="0" shrinkToFit="false"/>
      <protection locked="true" hidden="false"/>
    </xf>
    <xf numFmtId="185" fontId="13" fillId="0" borderId="0" xfId="167" applyFont="true" applyBorder="true" applyAlignment="false" applyProtection="false">
      <alignment horizontal="general" vertical="bottom" textRotation="0" wrapText="false" indent="0" shrinkToFit="false"/>
      <protection locked="true" hidden="false"/>
    </xf>
    <xf numFmtId="185" fontId="52" fillId="0" borderId="0" xfId="167" applyFont="true" applyBorder="true" applyAlignment="false" applyProtection="false">
      <alignment horizontal="general" vertical="bottom" textRotation="0" wrapText="false" indent="0" shrinkToFit="false"/>
      <protection locked="true" hidden="false"/>
    </xf>
    <xf numFmtId="185" fontId="83" fillId="0" borderId="0" xfId="167" applyFont="true" applyBorder="true" applyAlignment="false" applyProtection="false">
      <alignment horizontal="general" vertical="bottom" textRotation="0" wrapText="false" indent="0" shrinkToFit="false"/>
      <protection locked="true" hidden="false"/>
    </xf>
    <xf numFmtId="164" fontId="13" fillId="0" borderId="0" xfId="167" applyFont="true" applyBorder="true" applyAlignment="true" applyProtection="false">
      <alignment horizontal="right" vertical="bottom" textRotation="0" wrapText="false" indent="0" shrinkToFit="false"/>
      <protection locked="true" hidden="false"/>
    </xf>
    <xf numFmtId="185" fontId="18" fillId="0" borderId="0" xfId="204" applyFont="true" applyBorder="false" applyAlignment="true" applyProtection="false">
      <alignment horizontal="general" vertical="bottom" textRotation="0" wrapText="false" indent="0" shrinkToFit="false"/>
      <protection locked="true" hidden="false"/>
    </xf>
    <xf numFmtId="164" fontId="67" fillId="0" borderId="0" xfId="167" applyFont="true" applyBorder="false" applyAlignment="true" applyProtection="false">
      <alignment horizontal="left" vertical="bottom" textRotation="0" wrapText="false" indent="0" shrinkToFit="false"/>
      <protection locked="true" hidden="false"/>
    </xf>
    <xf numFmtId="195" fontId="18" fillId="0" borderId="13" xfId="167" applyFont="true" applyBorder="true" applyAlignment="true" applyProtection="false">
      <alignment horizontal="right" vertical="bottom" textRotation="0" wrapText="false" indent="0" shrinkToFit="false"/>
      <protection locked="true" hidden="false"/>
    </xf>
    <xf numFmtId="164" fontId="18" fillId="0" borderId="0" xfId="204" applyFont="true" applyBorder="false" applyAlignment="true" applyProtection="false">
      <alignment horizontal="left" vertical="bottom" textRotation="0" wrapText="false" indent="0" shrinkToFit="false"/>
      <protection locked="true" hidden="false"/>
    </xf>
    <xf numFmtId="164" fontId="13" fillId="0" borderId="0" xfId="167" applyFont="false" applyBorder="false" applyAlignment="false" applyProtection="false">
      <alignment horizontal="general" vertical="bottom" textRotation="0" wrapText="false" indent="0" shrinkToFit="false"/>
      <protection locked="true" hidden="false"/>
    </xf>
    <xf numFmtId="164" fontId="34" fillId="0" borderId="0" xfId="167" applyFont="true" applyBorder="true" applyAlignment="true" applyProtection="false">
      <alignment horizontal="left" vertical="bottom" textRotation="0" wrapText="false" indent="0" shrinkToFit="false"/>
      <protection locked="true" hidden="false"/>
    </xf>
    <xf numFmtId="164" fontId="34" fillId="0" borderId="0" xfId="167" applyFont="true" applyBorder="true" applyAlignment="false" applyProtection="false">
      <alignment horizontal="general" vertical="bottom" textRotation="0" wrapText="false" indent="0" shrinkToFit="false"/>
      <protection locked="true" hidden="false"/>
    </xf>
    <xf numFmtId="164" fontId="34" fillId="0" borderId="71" xfId="167" applyFont="true" applyBorder="true" applyAlignment="false" applyProtection="false">
      <alignment horizontal="general" vertical="bottom" textRotation="0" wrapText="false" indent="0" shrinkToFit="false"/>
      <protection locked="true" hidden="false"/>
    </xf>
    <xf numFmtId="164" fontId="13" fillId="0" borderId="71" xfId="167" applyFont="false" applyBorder="true" applyAlignment="true" applyProtection="false">
      <alignment horizontal="right" vertical="bottom" textRotation="0" wrapText="false" indent="0" shrinkToFit="false"/>
      <protection locked="true" hidden="false"/>
    </xf>
    <xf numFmtId="164" fontId="13" fillId="0" borderId="71" xfId="167" applyFont="false" applyBorder="true" applyAlignment="false" applyProtection="false">
      <alignment horizontal="general" vertical="bottom" textRotation="0" wrapText="false" indent="0" shrinkToFit="false"/>
      <protection locked="true" hidden="false"/>
    </xf>
    <xf numFmtId="185" fontId="13" fillId="0" borderId="71" xfId="167" applyFont="false" applyBorder="true" applyAlignment="false" applyProtection="false">
      <alignment horizontal="general" vertical="bottom" textRotation="0" wrapText="false" indent="0" shrinkToFit="false"/>
      <protection locked="true" hidden="false"/>
    </xf>
    <xf numFmtId="164" fontId="49" fillId="0" borderId="0" xfId="204" applyFont="true" applyBorder="false" applyAlignment="true" applyProtection="false">
      <alignment horizontal="left" vertical="bottom" textRotation="0" wrapText="false" indent="0" shrinkToFit="false"/>
      <protection locked="true" hidden="false"/>
    </xf>
    <xf numFmtId="164" fontId="6" fillId="0" borderId="0" xfId="204" applyFont="true" applyBorder="false" applyAlignment="true" applyProtection="false">
      <alignment horizontal="left" vertical="bottom" textRotation="0" wrapText="false" indent="0" shrinkToFit="false"/>
      <protection locked="true" hidden="false"/>
    </xf>
    <xf numFmtId="164" fontId="49" fillId="0" borderId="11" xfId="204" applyFont="true" applyBorder="true" applyAlignment="true" applyProtection="false">
      <alignment horizontal="center" vertical="bottom" textRotation="0" wrapText="false" indent="0" shrinkToFit="false"/>
      <protection locked="true" hidden="false"/>
    </xf>
    <xf numFmtId="164" fontId="6" fillId="0" borderId="56" xfId="204" applyFont="true" applyBorder="true" applyAlignment="true" applyProtection="false">
      <alignment horizontal="general" vertical="bottom" textRotation="0" wrapText="false" indent="0" shrinkToFit="false"/>
      <protection locked="true" hidden="false"/>
    </xf>
    <xf numFmtId="164" fontId="6" fillId="0" borderId="57" xfId="204" applyFont="true" applyBorder="true" applyAlignment="true" applyProtection="false">
      <alignment horizontal="general" vertical="bottom" textRotation="0" wrapText="false" indent="0" shrinkToFit="false"/>
      <protection locked="true" hidden="false"/>
    </xf>
    <xf numFmtId="164" fontId="13" fillId="0" borderId="56" xfId="204" applyFont="true" applyBorder="true" applyAlignment="true" applyProtection="false">
      <alignment horizontal="general" vertical="bottom" textRotation="0" wrapText="false" indent="0" shrinkToFit="false"/>
      <protection locked="true" hidden="false"/>
    </xf>
    <xf numFmtId="164" fontId="6" fillId="0" borderId="0" xfId="204" applyFont="true" applyBorder="true" applyAlignment="true" applyProtection="false">
      <alignment horizontal="right" vertical="bottom" textRotation="0" wrapText="false" indent="0" shrinkToFit="false"/>
      <protection locked="true" hidden="false"/>
    </xf>
    <xf numFmtId="164" fontId="6" fillId="0" borderId="0" xfId="204" applyFont="true" applyBorder="true" applyAlignment="true" applyProtection="false">
      <alignment horizontal="left" vertical="bottom" textRotation="0" wrapText="false" indent="0" shrinkToFit="false"/>
      <protection locked="true" hidden="false"/>
    </xf>
    <xf numFmtId="164" fontId="6" fillId="0" borderId="0" xfId="204" applyFont="true" applyBorder="true" applyAlignment="true" applyProtection="false">
      <alignment horizontal="general" vertical="bottom" textRotation="0" wrapText="false" indent="0" shrinkToFit="false"/>
      <protection locked="true" hidden="false"/>
    </xf>
    <xf numFmtId="164" fontId="6" fillId="0" borderId="0" xfId="204" applyFont="true" applyBorder="true" applyAlignment="true" applyProtection="false">
      <alignment horizontal="center" vertical="bottom" textRotation="0" wrapText="false" indent="0" shrinkToFit="false"/>
      <protection locked="true" hidden="false"/>
    </xf>
    <xf numFmtId="164" fontId="52" fillId="0" borderId="56" xfId="204" applyFont="true" applyBorder="true" applyAlignment="true" applyProtection="false">
      <alignment horizontal="general" vertical="bottom" textRotation="0" wrapText="false" indent="0" shrinkToFit="false"/>
      <protection locked="true" hidden="false"/>
    </xf>
    <xf numFmtId="164" fontId="52" fillId="0" borderId="0" xfId="204" applyFont="true" applyBorder="true" applyAlignment="true" applyProtection="false">
      <alignment horizontal="right" vertical="bottom" textRotation="0" wrapText="false" indent="0" shrinkToFit="false"/>
      <protection locked="true" hidden="false"/>
    </xf>
    <xf numFmtId="164" fontId="52" fillId="0" borderId="0" xfId="204" applyFont="true" applyBorder="true" applyAlignment="true" applyProtection="false">
      <alignment horizontal="center" vertical="bottom" textRotation="0" wrapText="false" indent="0" shrinkToFit="false"/>
      <protection locked="true" hidden="false"/>
    </xf>
    <xf numFmtId="164" fontId="52" fillId="0" borderId="57" xfId="204" applyFont="true" applyBorder="true" applyAlignment="true" applyProtection="false">
      <alignment horizontal="center" vertical="bottom" textRotation="0" wrapText="false" indent="0" shrinkToFit="false"/>
      <protection locked="true" hidden="false"/>
    </xf>
    <xf numFmtId="164" fontId="13" fillId="0" borderId="56" xfId="204" applyFont="true" applyBorder="true" applyAlignment="true" applyProtection="false">
      <alignment horizontal="left" vertical="bottom" textRotation="0" wrapText="false" indent="0" shrinkToFit="false"/>
      <protection locked="true" hidden="false"/>
    </xf>
    <xf numFmtId="185" fontId="13" fillId="0" borderId="0" xfId="204" applyFont="true" applyBorder="true" applyAlignment="true" applyProtection="false">
      <alignment horizontal="general" vertical="bottom" textRotation="0" wrapText="false" indent="0" shrinkToFit="false"/>
      <protection locked="true" hidden="false"/>
    </xf>
    <xf numFmtId="185" fontId="18" fillId="0" borderId="0" xfId="204" applyFont="true" applyBorder="true" applyAlignment="true" applyProtection="false">
      <alignment horizontal="general" vertical="bottom" textRotation="0" wrapText="false" indent="0" shrinkToFit="false"/>
      <protection locked="true" hidden="false"/>
    </xf>
    <xf numFmtId="220" fontId="18" fillId="0" borderId="0"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true" applyAlignment="true" applyProtection="false">
      <alignment horizontal="right" vertical="bottom" textRotation="0" wrapText="false" indent="0" shrinkToFit="false"/>
      <protection locked="true" hidden="false"/>
    </xf>
    <xf numFmtId="191" fontId="18" fillId="0" borderId="57" xfId="204" applyFont="true" applyBorder="true" applyAlignment="true" applyProtection="false">
      <alignment horizontal="general" vertical="bottom" textRotation="0" wrapText="false" indent="0" shrinkToFit="false"/>
      <protection locked="true" hidden="false"/>
    </xf>
    <xf numFmtId="164" fontId="50" fillId="0" borderId="56" xfId="204" applyFont="true" applyBorder="true" applyAlignment="true" applyProtection="false">
      <alignment horizontal="left" vertical="bottom" textRotation="0" wrapText="false" indent="0" shrinkToFit="false"/>
      <protection locked="true" hidden="false"/>
    </xf>
    <xf numFmtId="185" fontId="83" fillId="0" borderId="0" xfId="204" applyFont="true" applyBorder="true" applyAlignment="true" applyProtection="false">
      <alignment horizontal="general" vertical="bottom" textRotation="0" wrapText="false" indent="0" shrinkToFit="false"/>
      <protection locked="true" hidden="false"/>
    </xf>
    <xf numFmtId="164" fontId="6" fillId="0" borderId="56" xfId="204" applyFont="true" applyBorder="true" applyAlignment="true" applyProtection="false">
      <alignment horizontal="right" vertical="bottom" textRotation="0" wrapText="false" indent="0" shrinkToFit="false"/>
      <protection locked="true" hidden="false"/>
    </xf>
    <xf numFmtId="164" fontId="57" fillId="0" borderId="0" xfId="204" applyFont="true" applyBorder="false" applyAlignment="true" applyProtection="false">
      <alignment horizontal="general" vertical="bottom" textRotation="0" wrapText="false" indent="0" shrinkToFit="false"/>
      <protection locked="true" hidden="false"/>
    </xf>
    <xf numFmtId="185" fontId="6" fillId="0" borderId="0" xfId="204" applyFont="true" applyBorder="true" applyAlignment="true" applyProtection="false">
      <alignment horizontal="general" vertical="bottom" textRotation="0" wrapText="false" indent="0" shrinkToFit="false"/>
      <protection locked="true" hidden="false"/>
    </xf>
    <xf numFmtId="185" fontId="6" fillId="0" borderId="57"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false" applyAlignment="true" applyProtection="false">
      <alignment horizontal="left" vertical="bottom" textRotation="0" wrapText="false" indent="0" shrinkToFit="false"/>
      <protection locked="true" hidden="false"/>
    </xf>
    <xf numFmtId="164" fontId="6" fillId="0" borderId="59" xfId="204" applyFont="true" applyBorder="tru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general" vertical="bottom" textRotation="0" wrapText="false" indent="0" shrinkToFit="false"/>
      <protection locked="true" hidden="false"/>
    </xf>
    <xf numFmtId="164" fontId="6" fillId="0" borderId="60" xfId="204" applyFont="true" applyBorder="tru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right" vertical="bottom" textRotation="0" wrapText="false" indent="0" shrinkToFit="false"/>
      <protection locked="true" hidden="false"/>
    </xf>
    <xf numFmtId="185" fontId="6" fillId="0" borderId="43" xfId="204" applyFont="true" applyBorder="true" applyAlignment="true" applyProtection="false">
      <alignment horizontal="general" vertical="bottom" textRotation="0" wrapText="false" indent="0" shrinkToFit="false"/>
      <protection locked="true" hidden="false"/>
    </xf>
    <xf numFmtId="177" fontId="6" fillId="0" borderId="0" xfId="204" applyFont="true" applyBorder="true" applyAlignment="true" applyProtection="false">
      <alignment horizontal="general" vertical="bottom" textRotation="0" wrapText="false" indent="0" shrinkToFit="false"/>
      <protection locked="true" hidden="false"/>
    </xf>
    <xf numFmtId="185" fontId="50" fillId="0" borderId="0" xfId="204" applyFont="true" applyBorder="false" applyAlignment="true" applyProtection="false">
      <alignment horizontal="right" vertical="bottom" textRotation="0" wrapText="false" indent="0" shrinkToFit="false"/>
      <protection locked="true" hidden="false"/>
    </xf>
    <xf numFmtId="185" fontId="6" fillId="0" borderId="54" xfId="204" applyFont="true" applyBorder="true" applyAlignment="true" applyProtection="false">
      <alignment horizontal="general" vertical="bottom" textRotation="0" wrapText="false" indent="0" shrinkToFit="false"/>
      <protection locked="true" hidden="false"/>
    </xf>
    <xf numFmtId="185" fontId="50" fillId="0" borderId="54" xfId="204" applyFont="true" applyBorder="true" applyAlignment="true" applyProtection="false">
      <alignment horizontal="right" vertical="bottom" textRotation="0" wrapText="false" indent="0" shrinkToFit="false"/>
      <protection locked="true" hidden="false"/>
    </xf>
    <xf numFmtId="212" fontId="6" fillId="0" borderId="0" xfId="204" applyFont="true" applyBorder="false" applyAlignment="true" applyProtection="false">
      <alignment horizontal="general" vertical="bottom" textRotation="0" wrapText="false" indent="0" shrinkToFit="false"/>
      <protection locked="true" hidden="false"/>
    </xf>
    <xf numFmtId="164" fontId="67" fillId="0" borderId="71" xfId="204" applyFont="true" applyBorder="true" applyAlignment="true" applyProtection="false">
      <alignment horizontal="left" vertical="bottom" textRotation="0" wrapText="false" indent="0" shrinkToFit="false"/>
      <protection locked="true" hidden="false"/>
    </xf>
    <xf numFmtId="164" fontId="6" fillId="0" borderId="71" xfId="204" applyFont="true" applyBorder="true" applyAlignment="true" applyProtection="false">
      <alignment horizontal="general" vertical="bottom" textRotation="0" wrapText="false" indent="0" shrinkToFit="false"/>
      <protection locked="true" hidden="false"/>
    </xf>
    <xf numFmtId="185" fontId="6" fillId="0" borderId="71" xfId="204" applyFont="true" applyBorder="true" applyAlignment="true" applyProtection="false">
      <alignment horizontal="general" vertical="bottom" textRotation="0" wrapText="false" indent="0" shrinkToFit="false"/>
      <protection locked="true" hidden="false"/>
    </xf>
    <xf numFmtId="185" fontId="13" fillId="0" borderId="0" xfId="204" applyFont="true" applyBorder="false" applyAlignment="true" applyProtection="false">
      <alignment horizontal="general" vertical="bottom" textRotation="0" wrapText="false" indent="0" shrinkToFit="false"/>
      <protection locked="true" hidden="false"/>
    </xf>
    <xf numFmtId="183" fontId="67" fillId="0" borderId="0" xfId="144" applyFont="true" applyBorder="false" applyAlignment="true" applyProtection="false">
      <alignment horizontal="left" vertical="bottom" textRotation="0" wrapText="false" indent="0" shrinkToFit="false"/>
      <protection locked="true" hidden="false"/>
    </xf>
    <xf numFmtId="164" fontId="18" fillId="0" borderId="54"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false" applyAlignment="true" applyProtection="false">
      <alignment horizontal="general" vertical="bottom" textRotation="0" wrapText="false" indent="0" shrinkToFit="false"/>
      <protection locked="true" hidden="false"/>
    </xf>
    <xf numFmtId="164" fontId="13" fillId="0" borderId="54" xfId="204" applyFont="true" applyBorder="true" applyAlignment="true" applyProtection="false">
      <alignment horizontal="general" vertical="bottom" textRotation="0" wrapText="false" indent="0" shrinkToFit="false"/>
      <protection locked="true" hidden="false"/>
    </xf>
    <xf numFmtId="164" fontId="13" fillId="0" borderId="0" xfId="204" applyFont="true" applyBorder="true" applyAlignment="true" applyProtection="false">
      <alignment horizontal="general" vertical="bottom" textRotation="0" wrapText="false" indent="0" shrinkToFit="false"/>
      <protection locked="true" hidden="false"/>
    </xf>
    <xf numFmtId="164" fontId="6" fillId="0" borderId="71" xfId="204" applyFont="true" applyBorder="true" applyAlignment="true" applyProtection="false">
      <alignment horizontal="left" vertical="bottom" textRotation="0" wrapText="false" indent="0" shrinkToFit="false"/>
      <protection locked="true" hidden="false"/>
    </xf>
    <xf numFmtId="164" fontId="13" fillId="0" borderId="71" xfId="204" applyFont="true" applyBorder="true" applyAlignment="true" applyProtection="false">
      <alignment horizontal="general" vertical="bottom" textRotation="0" wrapText="false" indent="0" shrinkToFit="false"/>
      <protection locked="true" hidden="false"/>
    </xf>
    <xf numFmtId="164" fontId="34" fillId="0" borderId="0" xfId="204" applyFont="true" applyBorder="false" applyAlignment="true" applyProtection="false">
      <alignment horizontal="general" vertical="bottom" textRotation="0" wrapText="false" indent="0" shrinkToFit="false"/>
      <protection locked="true" hidden="false"/>
    </xf>
    <xf numFmtId="164" fontId="67" fillId="0" borderId="0" xfId="204" applyFont="true" applyBorder="false" applyAlignment="true" applyProtection="false">
      <alignment horizontal="right" vertical="bottom" textRotation="0" wrapText="false" indent="0" shrinkToFit="false"/>
      <protection locked="true" hidden="false"/>
    </xf>
    <xf numFmtId="195" fontId="13" fillId="0" borderId="13" xfId="221" applyFont="true" applyBorder="true" applyAlignment="false" applyProtection="true">
      <alignment horizontal="general" vertical="bottom" textRotation="0" wrapText="false" indent="0" shrinkToFit="false"/>
      <protection locked="true" hidden="false"/>
    </xf>
    <xf numFmtId="199" fontId="6" fillId="0" borderId="0" xfId="204" applyFont="true" applyBorder="fals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left" vertical="bottom" textRotation="0" wrapText="false" indent="0" shrinkToFit="false"/>
      <protection locked="true" hidden="false"/>
    </xf>
    <xf numFmtId="164" fontId="13" fillId="0" borderId="43" xfId="204" applyFont="true" applyBorder="true" applyAlignment="true" applyProtection="false">
      <alignment horizontal="general" vertical="bottom" textRotation="0" wrapText="false" indent="0" shrinkToFit="false"/>
      <protection locked="true" hidden="false"/>
    </xf>
    <xf numFmtId="164" fontId="6" fillId="0" borderId="54" xfId="204" applyFont="true" applyBorder="true" applyAlignment="true" applyProtection="false">
      <alignment horizontal="general" vertical="bottom" textRotation="0" wrapText="false" indent="0" shrinkToFit="false"/>
      <protection locked="true" hidden="false"/>
    </xf>
    <xf numFmtId="164" fontId="13" fillId="0" borderId="54" xfId="167" applyFont="false" applyBorder="true" applyAlignment="false" applyProtection="false">
      <alignment horizontal="general" vertical="bottom" textRotation="0" wrapText="false" indent="0" shrinkToFit="false"/>
      <protection locked="true" hidden="false"/>
    </xf>
    <xf numFmtId="164" fontId="13" fillId="0" borderId="0" xfId="167" applyFont="false" applyBorder="true" applyAlignment="true" applyProtection="false">
      <alignment horizontal="left" vertical="bottom" textRotation="0" wrapText="false" indent="0" shrinkToFit="false"/>
      <protection locked="true" hidden="false"/>
    </xf>
    <xf numFmtId="164" fontId="18" fillId="0" borderId="13" xfId="167" applyFont="true" applyBorder="true" applyAlignment="true" applyProtection="false">
      <alignment horizontal="right" vertical="bottom" textRotation="0" wrapText="false" indent="0" shrinkToFit="false"/>
      <protection locked="true" hidden="false"/>
    </xf>
    <xf numFmtId="164" fontId="18" fillId="0" borderId="0" xfId="167" applyFont="true" applyBorder="true" applyAlignment="true" applyProtection="false">
      <alignment horizontal="right" vertical="bottom" textRotation="0" wrapText="false" indent="0" shrinkToFit="false"/>
      <protection locked="true" hidden="false"/>
    </xf>
    <xf numFmtId="195" fontId="13" fillId="0" borderId="0" xfId="167" applyFont="false" applyBorder="true" applyAlignment="false" applyProtection="false">
      <alignment horizontal="general" vertical="bottom" textRotation="0" wrapText="false" indent="0" shrinkToFit="false"/>
      <protection locked="true" hidden="false"/>
    </xf>
    <xf numFmtId="164" fontId="67" fillId="0" borderId="0" xfId="167" applyFont="true" applyBorder="false" applyAlignment="true" applyProtection="false">
      <alignment horizontal="right" vertical="bottom" textRotation="0" wrapText="false" indent="0" shrinkToFit="false"/>
      <protection locked="true" hidden="false"/>
    </xf>
    <xf numFmtId="164" fontId="13" fillId="0" borderId="0" xfId="167" applyFont="true" applyBorder="false" applyAlignment="true" applyProtection="false">
      <alignment horizontal="left" vertical="bottom" textRotation="0" wrapText="false" indent="0" shrinkToFit="false"/>
      <protection locked="true" hidden="false"/>
    </xf>
    <xf numFmtId="164" fontId="13" fillId="0" borderId="0" xfId="167" applyFont="false" applyBorder="false" applyAlignment="true" applyProtection="false">
      <alignment horizontal="right" vertical="bottom" textRotation="0" wrapText="false" indent="0" shrinkToFit="false"/>
      <protection locked="true" hidden="false"/>
    </xf>
    <xf numFmtId="164" fontId="18" fillId="0" borderId="13" xfId="167" applyFont="true" applyBorder="true" applyAlignment="false" applyProtection="false">
      <alignment horizontal="general" vertical="bottom" textRotation="0" wrapText="false" indent="0" shrinkToFit="false"/>
      <protection locked="true" hidden="false"/>
    </xf>
    <xf numFmtId="221" fontId="13" fillId="0" borderId="0" xfId="167" applyFont="false" applyBorder="true" applyAlignment="false" applyProtection="false">
      <alignment horizontal="general" vertical="bottom" textRotation="0" wrapText="false" indent="0" shrinkToFit="false"/>
      <protection locked="true" hidden="false"/>
    </xf>
    <xf numFmtId="195" fontId="18" fillId="0" borderId="13" xfId="221" applyFont="false" applyBorder="true" applyAlignment="false" applyProtection="true">
      <alignment horizontal="general" vertical="bottom" textRotation="0" wrapText="false" indent="0" shrinkToFit="false"/>
      <protection locked="true" hidden="false"/>
    </xf>
    <xf numFmtId="183" fontId="13" fillId="0" borderId="0" xfId="167" applyFont="false" applyBorder="false" applyAlignment="false" applyProtection="false">
      <alignment horizontal="general" vertical="bottom" textRotation="0" wrapText="false" indent="0" shrinkToFit="false"/>
      <protection locked="true" hidden="false"/>
    </xf>
    <xf numFmtId="199" fontId="13" fillId="0" borderId="0" xfId="167" applyFont="false" applyBorder="false" applyAlignment="false" applyProtection="false">
      <alignment horizontal="general" vertical="bottom" textRotation="0" wrapText="false" indent="0" shrinkToFit="false"/>
      <protection locked="true" hidden="false"/>
    </xf>
    <xf numFmtId="164" fontId="62" fillId="0" borderId="0" xfId="204" applyFont="true" applyBorder="false" applyAlignment="true" applyProtection="false">
      <alignment horizontal="left" vertical="bottom" textRotation="0" wrapText="false" indent="0" shrinkToFit="false"/>
      <protection locked="true" hidden="false"/>
    </xf>
    <xf numFmtId="164" fontId="18" fillId="0" borderId="13" xfId="204" applyFont="true" applyBorder="true" applyAlignment="true" applyProtection="false">
      <alignment horizontal="general" vertical="bottom" textRotation="0" wrapText="false" indent="0" shrinkToFit="false"/>
      <protection locked="true" hidden="false"/>
    </xf>
    <xf numFmtId="210" fontId="6" fillId="0" borderId="0" xfId="144" applyFont="true" applyBorder="true" applyAlignment="true" applyProtection="true">
      <alignment horizontal="center" vertical="bottom" textRotation="0" wrapText="false" indent="0" shrinkToFit="false"/>
      <protection locked="true" hidden="false"/>
    </xf>
    <xf numFmtId="185" fontId="18" fillId="0" borderId="13" xfId="221" applyFont="false" applyBorder="true" applyAlignment="false" applyProtection="true">
      <alignment horizontal="general" vertical="bottom" textRotation="0" wrapText="false" indent="0" shrinkToFit="false"/>
      <protection locked="true" hidden="false"/>
    </xf>
    <xf numFmtId="222" fontId="18" fillId="0" borderId="13" xfId="221" applyFont="false" applyBorder="true" applyAlignment="false" applyProtection="true">
      <alignment horizontal="general" vertical="bottom" textRotation="0" wrapText="false" indent="0" shrinkToFit="false"/>
      <protection locked="true" hidden="false"/>
    </xf>
    <xf numFmtId="199" fontId="13" fillId="0" borderId="13" xfId="221" applyFont="true" applyBorder="true" applyAlignment="false" applyProtection="true">
      <alignment horizontal="general" vertical="bottom" textRotation="0" wrapText="false" indent="0" shrinkToFit="false"/>
      <protection locked="true" hidden="false"/>
    </xf>
    <xf numFmtId="199" fontId="18" fillId="0" borderId="0" xfId="204" applyFont="true" applyBorder="false" applyAlignment="true" applyProtection="false">
      <alignment horizontal="general" vertical="bottom" textRotation="0" wrapText="false" indent="0" shrinkToFit="false"/>
      <protection locked="true" hidden="false"/>
    </xf>
    <xf numFmtId="199" fontId="18" fillId="0" borderId="13" xfId="221" applyFont="false" applyBorder="true" applyAlignment="false" applyProtection="true">
      <alignment horizontal="general" vertical="bottom" textRotation="0" wrapText="false" indent="0" shrinkToFit="false"/>
      <protection locked="true" hidden="false"/>
    </xf>
    <xf numFmtId="199" fontId="6" fillId="0" borderId="0" xfId="204" applyFont="true" applyBorder="false" applyAlignment="true" applyProtection="false">
      <alignment horizontal="left" vertical="bottom" textRotation="0" wrapText="false" indent="0" shrinkToFit="false"/>
      <protection locked="true" hidden="false"/>
    </xf>
    <xf numFmtId="164" fontId="49" fillId="0" borderId="0" xfId="204" applyFont="true" applyBorder="true" applyAlignment="true" applyProtection="false">
      <alignment horizontal="left" vertical="bottom" textRotation="0" wrapText="false" indent="0" shrinkToFit="false"/>
      <protection locked="true" hidden="false"/>
    </xf>
    <xf numFmtId="199" fontId="6" fillId="0" borderId="0" xfId="204" applyFont="true" applyBorder="true" applyAlignment="true" applyProtection="false">
      <alignment horizontal="left" vertical="bottom" textRotation="0" wrapText="false" indent="0" shrinkToFit="false"/>
      <protection locked="true" hidden="false"/>
    </xf>
    <xf numFmtId="164" fontId="49" fillId="0" borderId="0"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true" applyAlignment="true" applyProtection="false">
      <alignment horizontal="general" vertical="bottom" textRotation="0" wrapText="false" indent="0" shrinkToFit="false"/>
      <protection locked="true" hidden="false"/>
    </xf>
    <xf numFmtId="174" fontId="6" fillId="0" borderId="54" xfId="204" applyFont="true" applyBorder="true" applyAlignment="true" applyProtection="false">
      <alignment horizontal="general" vertical="bottom" textRotation="0" wrapText="false" indent="0" shrinkToFit="false"/>
      <protection locked="true" hidden="false"/>
    </xf>
    <xf numFmtId="185" fontId="6" fillId="0" borderId="43" xfId="141" applyFont="true" applyBorder="true" applyAlignment="true" applyProtection="false">
      <alignment horizontal="general" vertical="bottom" textRotation="0" wrapText="false" indent="0" shrinkToFit="false"/>
      <protection locked="true" hidden="false"/>
    </xf>
    <xf numFmtId="199" fontId="6" fillId="0" borderId="43" xfId="204" applyFont="true" applyBorder="true" applyAlignment="true" applyProtection="false">
      <alignment horizontal="left" vertical="bottom" textRotation="0" wrapText="false" indent="0" shrinkToFit="false"/>
      <protection locked="true" hidden="false"/>
    </xf>
    <xf numFmtId="192" fontId="6" fillId="0" borderId="43" xfId="204" applyFont="true" applyBorder="true" applyAlignment="true" applyProtection="false">
      <alignment horizontal="general" vertical="bottom" textRotation="0" wrapText="false" indent="0" shrinkToFit="false"/>
      <protection locked="true" hidden="false"/>
    </xf>
    <xf numFmtId="192" fontId="6" fillId="0" borderId="0" xfId="204" applyFont="true" applyBorder="true" applyAlignment="true" applyProtection="false">
      <alignment horizontal="general" vertical="bottom" textRotation="0" wrapText="false" indent="0" shrinkToFit="false"/>
      <protection locked="true" hidden="false"/>
    </xf>
    <xf numFmtId="164" fontId="18" fillId="0" borderId="18" xfId="204" applyFont="true" applyBorder="true" applyAlignment="true" applyProtection="false">
      <alignment horizontal="general" vertical="bottom" textRotation="0" wrapText="false" indent="0" shrinkToFit="false"/>
      <protection locked="true" hidden="false"/>
    </xf>
    <xf numFmtId="177" fontId="13" fillId="0" borderId="13" xfId="221" applyFont="true" applyBorder="true" applyAlignment="false" applyProtection="true">
      <alignment horizontal="general" vertical="bottom" textRotation="0" wrapText="false" indent="0" shrinkToFit="false"/>
      <protection locked="true" hidden="false"/>
    </xf>
    <xf numFmtId="177" fontId="18" fillId="0" borderId="13" xfId="221" applyFont="false" applyBorder="true" applyAlignment="false" applyProtection="true">
      <alignment horizontal="general" vertical="bottom" textRotation="0" wrapText="false" indent="0" shrinkToFit="false"/>
      <protection locked="true" hidden="false"/>
    </xf>
    <xf numFmtId="177" fontId="6" fillId="0" borderId="0" xfId="204" applyFont="true" applyBorder="false" applyAlignment="true" applyProtection="false">
      <alignment horizontal="general" vertical="bottom" textRotation="0" wrapText="false" indent="0" shrinkToFit="false"/>
      <protection locked="true" hidden="false"/>
    </xf>
    <xf numFmtId="223" fontId="6" fillId="0" borderId="0" xfId="144" applyFont="true" applyBorder="true" applyAlignment="true" applyProtection="true">
      <alignment horizontal="center" vertical="bottom" textRotation="0" wrapText="false" indent="0" shrinkToFit="false"/>
      <protection locked="true" hidden="false"/>
    </xf>
    <xf numFmtId="174" fontId="13" fillId="0" borderId="54" xfId="204" applyFont="true" applyBorder="true" applyAlignment="true" applyProtection="false">
      <alignment horizontal="general" vertical="bottom" textRotation="0" wrapText="false" indent="0" shrinkToFit="false"/>
      <protection locked="true" hidden="false"/>
    </xf>
    <xf numFmtId="164" fontId="34" fillId="0" borderId="0" xfId="204" applyFont="true" applyBorder="true" applyAlignment="true" applyProtection="false">
      <alignment horizontal="general" vertical="bottom" textRotation="0" wrapText="false" indent="0" shrinkToFit="false"/>
      <protection locked="true" hidden="false"/>
    </xf>
    <xf numFmtId="174" fontId="13" fillId="0" borderId="43" xfId="204" applyFont="true" applyBorder="true" applyAlignment="true" applyProtection="false">
      <alignment horizontal="general" vertical="bottom" textRotation="0" wrapText="false" indent="0" shrinkToFit="false"/>
      <protection locked="true" hidden="false"/>
    </xf>
    <xf numFmtId="192" fontId="6" fillId="0" borderId="54"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true" applyAlignment="true" applyProtection="false">
      <alignment horizontal="left" vertical="bottom" textRotation="0" wrapText="false" indent="0" shrinkToFit="false"/>
      <protection locked="true" hidden="false"/>
    </xf>
    <xf numFmtId="174" fontId="18" fillId="0" borderId="54" xfId="51" applyFont="true" applyBorder="true" applyAlignment="true" applyProtection="true">
      <alignment horizontal="general" vertical="bottom" textRotation="0" wrapText="false" indent="0" shrinkToFit="false"/>
      <protection locked="true" hidden="false"/>
    </xf>
    <xf numFmtId="174" fontId="34" fillId="0" borderId="54" xfId="204" applyFont="true" applyBorder="true" applyAlignment="true" applyProtection="false">
      <alignment horizontal="general" vertical="bottom" textRotation="0" wrapText="false" indent="0" shrinkToFit="false"/>
      <protection locked="true" hidden="false"/>
    </xf>
    <xf numFmtId="183" fontId="18" fillId="0" borderId="0" xfId="144" applyFont="true" applyBorder="true" applyAlignment="false" applyProtection="false">
      <alignment horizontal="general" vertical="bottom" textRotation="0" wrapText="false" indent="0" shrinkToFit="false"/>
      <protection locked="true" hidden="false"/>
    </xf>
    <xf numFmtId="165" fontId="84" fillId="0" borderId="0" xfId="51" applyFont="true" applyBorder="true" applyAlignment="true" applyProtection="true">
      <alignment horizontal="right" vertical="bottom" textRotation="0" wrapText="false" indent="0" shrinkToFit="false"/>
      <protection locked="true" hidden="false"/>
    </xf>
    <xf numFmtId="165" fontId="18" fillId="0" borderId="0" xfId="51" applyFont="true" applyBorder="true" applyAlignment="true" applyProtection="true">
      <alignment horizontal="right" vertical="bottom" textRotation="0" wrapText="false" indent="0" shrinkToFit="false"/>
      <protection locked="true" hidden="false"/>
    </xf>
    <xf numFmtId="183" fontId="67" fillId="0" borderId="0" xfId="144" applyFont="true" applyBorder="false" applyAlignment="false" applyProtection="false">
      <alignment horizontal="general" vertical="bottom" textRotation="0" wrapText="false" indent="0" shrinkToFit="false"/>
      <protection locked="true" hidden="false"/>
    </xf>
    <xf numFmtId="165" fontId="18" fillId="0" borderId="0" xfId="51" applyFont="true" applyBorder="true" applyAlignment="true" applyProtection="true">
      <alignment horizontal="general" vertical="bottom" textRotation="0" wrapText="false" indent="0" shrinkToFit="false"/>
      <protection locked="true" hidden="false"/>
    </xf>
    <xf numFmtId="165" fontId="6" fillId="0" borderId="0" xfId="51" applyFont="true" applyBorder="true" applyAlignment="true" applyProtection="true">
      <alignment horizontal="general" vertical="bottom" textRotation="0" wrapText="false" indent="0" shrinkToFit="false"/>
      <protection locked="true" hidden="false"/>
    </xf>
    <xf numFmtId="165" fontId="13" fillId="0" borderId="0" xfId="51" applyFont="true" applyBorder="true" applyAlignment="true" applyProtection="true">
      <alignment horizontal="general" vertical="bottom" textRotation="0" wrapText="false" indent="0" shrinkToFit="false"/>
      <protection locked="true" hidden="false"/>
    </xf>
    <xf numFmtId="165" fontId="18" fillId="0" borderId="13" xfId="51" applyFont="true" applyBorder="true" applyAlignment="true" applyProtection="true">
      <alignment horizontal="center" vertical="bottom" textRotation="0" wrapText="false" indent="0" shrinkToFit="false"/>
      <protection locked="true" hidden="false"/>
    </xf>
    <xf numFmtId="224" fontId="18" fillId="0" borderId="0" xfId="51" applyFont="true" applyBorder="true" applyAlignment="true" applyProtection="true">
      <alignment horizontal="general" vertical="bottom" textRotation="0" wrapText="false" indent="0" shrinkToFit="false"/>
      <protection locked="true" hidden="false"/>
    </xf>
    <xf numFmtId="177" fontId="18" fillId="0" borderId="13" xfId="105" applyFont="true" applyBorder="true" applyAlignment="true" applyProtection="true">
      <alignment horizontal="general" vertical="bottom" textRotation="0" wrapText="false" indent="0" shrinkToFit="false"/>
      <protection locked="true" hidden="false"/>
    </xf>
    <xf numFmtId="177" fontId="18" fillId="0" borderId="0" xfId="51" applyFont="true" applyBorder="true" applyAlignment="true" applyProtection="true">
      <alignment horizontal="general" vertical="bottom" textRotation="0" wrapText="false" indent="0" shrinkToFit="false"/>
      <protection locked="true" hidden="false"/>
    </xf>
    <xf numFmtId="185" fontId="13" fillId="0" borderId="0" xfId="167" applyFont="false" applyBorder="false" applyAlignment="false" applyProtection="false">
      <alignment horizontal="general" vertical="bottom" textRotation="0" wrapText="false" indent="0" shrinkToFit="false"/>
      <protection locked="true" hidden="false"/>
    </xf>
    <xf numFmtId="174" fontId="13" fillId="0" borderId="0" xfId="167" applyFont="false" applyBorder="true" applyAlignment="false" applyProtection="false">
      <alignment horizontal="general" vertical="bottom" textRotation="0" wrapText="false" indent="0" shrinkToFit="false"/>
      <protection locked="true" hidden="false"/>
    </xf>
    <xf numFmtId="177" fontId="57" fillId="0" borderId="0" xfId="51" applyFont="true" applyBorder="true" applyAlignment="true" applyProtection="true">
      <alignment horizontal="general" vertical="bottom" textRotation="0" wrapText="false" indent="0" shrinkToFit="false"/>
      <protection locked="true" hidden="false"/>
    </xf>
    <xf numFmtId="174" fontId="57" fillId="0" borderId="0" xfId="167" applyFont="true" applyBorder="true" applyAlignment="false" applyProtection="false">
      <alignment horizontal="general" vertical="bottom" textRotation="0" wrapText="false" indent="0" shrinkToFit="false"/>
      <protection locked="true" hidden="false"/>
    </xf>
    <xf numFmtId="174" fontId="13" fillId="0" borderId="54" xfId="167" applyFont="false" applyBorder="true" applyAlignment="false" applyProtection="false">
      <alignment horizontal="general" vertical="bottom" textRotation="0" wrapText="false" indent="0" shrinkToFit="false"/>
      <protection locked="true" hidden="false"/>
    </xf>
    <xf numFmtId="174" fontId="6" fillId="0" borderId="0" xfId="51" applyFont="true" applyBorder="true" applyAlignment="true" applyProtection="true">
      <alignment horizontal="general" vertical="bottom" textRotation="0" wrapText="false" indent="0" shrinkToFit="false"/>
      <protection locked="true" hidden="false"/>
    </xf>
    <xf numFmtId="174" fontId="18" fillId="0" borderId="13" xfId="105" applyFont="true" applyBorder="true" applyAlignment="true" applyProtection="true">
      <alignment horizontal="general" vertical="bottom" textRotation="0" wrapText="false" indent="0" shrinkToFit="false"/>
      <protection locked="true" hidden="false"/>
    </xf>
    <xf numFmtId="174" fontId="18" fillId="0" borderId="0" xfId="51" applyFont="true" applyBorder="true" applyAlignment="true" applyProtection="true">
      <alignment horizontal="general" vertical="bottom" textRotation="0" wrapText="false" indent="0" shrinkToFit="false"/>
      <protection locked="true" hidden="false"/>
    </xf>
    <xf numFmtId="174" fontId="13" fillId="0" borderId="0" xfId="167" applyFont="false" applyBorder="true" applyAlignment="true" applyProtection="false">
      <alignment horizontal="right" vertical="bottom" textRotation="0" wrapText="false" indent="0" shrinkToFit="false"/>
      <protection locked="true" hidden="false"/>
    </xf>
    <xf numFmtId="174" fontId="6" fillId="0" borderId="54" xfId="51" applyFont="true" applyBorder="true" applyAlignment="true" applyProtection="true">
      <alignment horizontal="general" vertical="bottom" textRotation="0" wrapText="false" indent="0" shrinkToFit="false"/>
      <protection locked="true" hidden="false"/>
    </xf>
    <xf numFmtId="183" fontId="6" fillId="0" borderId="70" xfId="144" applyFont="true" applyBorder="true" applyAlignment="false" applyProtection="false">
      <alignment horizontal="general" vertical="bottom" textRotation="0" wrapText="false" indent="0" shrinkToFit="false"/>
      <protection locked="true" hidden="false"/>
    </xf>
    <xf numFmtId="183" fontId="49" fillId="0" borderId="0" xfId="144" applyFont="true" applyBorder="false" applyAlignment="false" applyProtection="false">
      <alignment horizontal="general" vertical="bottom" textRotation="0" wrapText="false" indent="0" shrinkToFit="false"/>
      <protection locked="true" hidden="false"/>
    </xf>
    <xf numFmtId="174" fontId="13" fillId="0" borderId="0" xfId="167" applyFont="false" applyBorder="false" applyAlignment="false" applyProtection="false">
      <alignment horizontal="general" vertical="bottom" textRotation="0" wrapText="false" indent="0" shrinkToFit="false"/>
      <protection locked="true" hidden="false"/>
    </xf>
    <xf numFmtId="174" fontId="18" fillId="0" borderId="0" xfId="167" applyFont="true" applyBorder="false" applyAlignment="false" applyProtection="false">
      <alignment horizontal="general" vertical="bottom" textRotation="0" wrapText="false" indent="0" shrinkToFit="false"/>
      <protection locked="true" hidden="false"/>
    </xf>
    <xf numFmtId="174" fontId="85" fillId="0" borderId="13" xfId="105" applyFont="true" applyBorder="true" applyAlignment="true" applyProtection="true">
      <alignment horizontal="general" vertical="bottom" textRotation="0" wrapText="false" indent="0" shrinkToFit="false"/>
      <protection locked="true" hidden="false"/>
    </xf>
    <xf numFmtId="174" fontId="13" fillId="0" borderId="0" xfId="167" applyFont="true" applyBorder="true" applyAlignment="false" applyProtection="false">
      <alignment horizontal="general" vertical="bottom" textRotation="0" wrapText="false" indent="0" shrinkToFit="false"/>
      <protection locked="true" hidden="false"/>
    </xf>
    <xf numFmtId="174" fontId="6" fillId="0" borderId="0" xfId="204" applyFont="true" applyBorder="false" applyAlignment="true" applyProtection="false">
      <alignment horizontal="general" vertical="bottom" textRotation="0" wrapText="false" indent="0" shrinkToFit="false"/>
      <protection locked="true" hidden="false"/>
    </xf>
    <xf numFmtId="174" fontId="6" fillId="0" borderId="0" xfId="204" applyFont="true" applyBorder="true" applyAlignment="true" applyProtection="false">
      <alignment horizontal="general" vertical="bottom" textRotation="0" wrapText="false" indent="0" shrinkToFit="false"/>
      <protection locked="true" hidden="false"/>
    </xf>
    <xf numFmtId="174" fontId="6" fillId="0" borderId="0" xfId="204" applyFont="true" applyBorder="false" applyAlignment="true" applyProtection="false">
      <alignment horizontal="right" vertical="bottom" textRotation="0" wrapText="false" indent="0" shrinkToFit="false"/>
      <protection locked="true" hidden="false"/>
    </xf>
    <xf numFmtId="192" fontId="6" fillId="0" borderId="0" xfId="204" applyFont="true" applyBorder="false" applyAlignment="true" applyProtection="false">
      <alignment horizontal="general" vertical="bottom" textRotation="0" wrapText="false" indent="0" shrinkToFit="false"/>
      <protection locked="true" hidden="false"/>
    </xf>
    <xf numFmtId="174" fontId="6" fillId="0" borderId="0" xfId="204" applyFont="true" applyBorder="true" applyAlignment="true" applyProtection="false">
      <alignment horizontal="right" vertical="bottom" textRotation="0" wrapText="false" indent="0" shrinkToFit="false"/>
      <protection locked="true" hidden="false"/>
    </xf>
    <xf numFmtId="174" fontId="6" fillId="0" borderId="43" xfId="204" applyFont="true" applyBorder="true" applyAlignment="true" applyProtection="false">
      <alignment horizontal="right" vertical="bottom" textRotation="0" wrapText="false" indent="0" shrinkToFit="false"/>
      <protection locked="true" hidden="false"/>
    </xf>
    <xf numFmtId="174" fontId="6" fillId="0" borderId="54" xfId="204" applyFont="true" applyBorder="true" applyAlignment="true" applyProtection="false">
      <alignment horizontal="right" vertical="bottom" textRotation="0" wrapText="false" indent="0" shrinkToFit="false"/>
      <protection locked="true" hidden="false"/>
    </xf>
    <xf numFmtId="164" fontId="86" fillId="0" borderId="0" xfId="204" applyFont="true" applyBorder="false" applyAlignment="true" applyProtection="false">
      <alignment horizontal="left" vertical="bottom" textRotation="0" wrapText="false" indent="0" shrinkToFit="false"/>
      <protection locked="true" hidden="false"/>
    </xf>
    <xf numFmtId="164" fontId="6" fillId="0" borderId="54" xfId="204" applyFont="true" applyBorder="true" applyAlignment="true" applyProtection="false">
      <alignment horizontal="left" vertical="bottom" textRotation="0" wrapText="false" indent="0" shrinkToFit="false"/>
      <protection locked="true" hidden="false"/>
    </xf>
    <xf numFmtId="183" fontId="6" fillId="0" borderId="0" xfId="144" applyFont="true" applyBorder="false" applyAlignment="true" applyProtection="false">
      <alignment horizontal="left" vertical="bottom" textRotation="0" wrapText="false" indent="0" shrinkToFit="false"/>
      <protection locked="true" hidden="false"/>
    </xf>
    <xf numFmtId="195" fontId="6" fillId="0" borderId="0" xfId="204" applyFont="true" applyBorder="false" applyAlignment="true" applyProtection="false">
      <alignment horizontal="general" vertical="bottom" textRotation="0" wrapText="false" indent="0" shrinkToFit="false"/>
      <protection locked="true" hidden="false"/>
    </xf>
    <xf numFmtId="183" fontId="6" fillId="0" borderId="0" xfId="144" applyFont="true" applyBorder="true" applyAlignment="true" applyProtection="false">
      <alignment horizontal="right" vertical="bottom" textRotation="0" wrapText="false" indent="0" shrinkToFit="false"/>
      <protection locked="true" hidden="false"/>
    </xf>
    <xf numFmtId="164" fontId="37" fillId="0" borderId="0" xfId="142" applyFont="true" applyBorder="false" applyAlignment="false" applyProtection="false">
      <alignment horizontal="general" vertical="bottom" textRotation="0" wrapText="false" indent="0" shrinkToFit="false"/>
      <protection locked="true" hidden="false"/>
    </xf>
    <xf numFmtId="183" fontId="9" fillId="0" borderId="0" xfId="144" applyFont="false" applyBorder="false" applyAlignment="false" applyProtection="false">
      <alignment horizontal="general" vertical="bottom" textRotation="0" wrapText="false" indent="0" shrinkToFit="false"/>
      <protection locked="true" hidden="false"/>
    </xf>
    <xf numFmtId="183" fontId="84" fillId="0" borderId="0" xfId="144" applyFont="true" applyBorder="false" applyAlignment="false" applyProtection="true">
      <alignment horizontal="general" vertical="bottom" textRotation="0" wrapText="false" indent="0" shrinkToFit="false"/>
      <protection locked="false" hidden="false"/>
    </xf>
    <xf numFmtId="225" fontId="6" fillId="0" borderId="0" xfId="144" applyFont="true" applyBorder="false" applyAlignment="false" applyProtection="true">
      <alignment horizontal="general" vertical="bottom" textRotation="0" wrapText="false" indent="0" shrinkToFit="false"/>
      <protection locked="true" hidden="false"/>
    </xf>
    <xf numFmtId="226" fontId="6" fillId="0" borderId="0" xfId="144" applyFont="true" applyBorder="false" applyAlignment="false" applyProtection="true">
      <alignment horizontal="general" vertical="bottom" textRotation="0" wrapText="false" indent="0" shrinkToFit="false"/>
      <protection locked="true" hidden="false"/>
    </xf>
    <xf numFmtId="164" fontId="87" fillId="0" borderId="0" xfId="142" applyFont="true" applyBorder="false" applyAlignment="true" applyProtection="false">
      <alignment horizontal="center" vertical="bottom" textRotation="0" wrapText="false" indent="0" shrinkToFit="false"/>
      <protection locked="true" hidden="false"/>
    </xf>
    <xf numFmtId="184" fontId="6" fillId="0" borderId="0" xfId="144" applyFont="true" applyBorder="false" applyAlignment="true" applyProtection="true">
      <alignment horizontal="center" vertical="bottom" textRotation="0" wrapText="false" indent="0" shrinkToFit="false"/>
      <protection locked="true" hidden="false"/>
    </xf>
    <xf numFmtId="183" fontId="6" fillId="0" borderId="0" xfId="144" applyFont="true" applyBorder="false" applyAlignment="true" applyProtection="false">
      <alignment horizontal="right" vertical="bottom" textRotation="0" wrapText="false" indent="0" shrinkToFit="false"/>
      <protection locked="true" hidden="false"/>
    </xf>
    <xf numFmtId="185" fontId="6" fillId="0" borderId="0" xfId="141" applyFont="true" applyBorder="false" applyAlignment="true" applyProtection="false">
      <alignment horizontal="center" vertical="bottom" textRotation="0" wrapText="false" indent="0" shrinkToFit="false"/>
      <protection locked="true" hidden="false"/>
    </xf>
    <xf numFmtId="218" fontId="6" fillId="0" borderId="1" xfId="144" applyFont="true" applyBorder="true" applyAlignment="true" applyProtection="true">
      <alignment horizontal="center" vertical="bottom" textRotation="0" wrapText="false" indent="0" shrinkToFit="false"/>
      <protection locked="true" hidden="false"/>
    </xf>
    <xf numFmtId="210" fontId="6" fillId="0" borderId="0" xfId="144" applyFont="true" applyBorder="false" applyAlignment="false" applyProtection="true">
      <alignment horizontal="general" vertical="bottom" textRotation="0" wrapText="false" indent="0" shrinkToFit="false"/>
      <protection locked="true" hidden="false"/>
    </xf>
    <xf numFmtId="183" fontId="6" fillId="0" borderId="0" xfId="141" applyFont="true" applyBorder="false" applyAlignment="true" applyProtection="false">
      <alignment horizontal="general" vertical="bottom" textRotation="0" wrapText="false" indent="0" shrinkToFit="false"/>
      <protection locked="true" hidden="false"/>
    </xf>
    <xf numFmtId="183" fontId="84" fillId="0" borderId="0" xfId="144" applyFont="true" applyBorder="false" applyAlignment="false" applyProtection="true">
      <alignment horizontal="general" vertical="bottom" textRotation="0" wrapText="false" indent="0" shrinkToFit="false"/>
      <protection locked="false" hidden="false"/>
    </xf>
    <xf numFmtId="183" fontId="6" fillId="0" borderId="0" xfId="144" applyFont="true" applyBorder="false" applyAlignment="false" applyProtection="true">
      <alignment horizontal="general" vertical="bottom" textRotation="0" wrapText="false" indent="0" shrinkToFit="false"/>
      <protection locked="true" hidden="false"/>
    </xf>
    <xf numFmtId="183" fontId="6" fillId="0" borderId="57" xfId="141" applyFont="true" applyBorder="true" applyAlignment="true" applyProtection="false">
      <alignment horizontal="general" vertical="bottom" textRotation="0" wrapText="false" indent="0" shrinkToFit="false"/>
      <protection locked="true" hidden="false"/>
    </xf>
    <xf numFmtId="183" fontId="6" fillId="0" borderId="43" xfId="144" applyFont="true" applyBorder="true" applyAlignment="false" applyProtection="true">
      <alignment horizontal="general" vertical="bottom" textRotation="0" wrapText="false" indent="0" shrinkToFit="false"/>
      <protection locked="true" hidden="false"/>
    </xf>
    <xf numFmtId="224" fontId="6" fillId="0" borderId="43" xfId="144" applyFont="true" applyBorder="true" applyAlignment="false" applyProtection="true">
      <alignment horizontal="general" vertical="bottom" textRotation="0" wrapText="false" indent="0" shrinkToFit="false"/>
      <protection locked="true" hidden="false"/>
    </xf>
    <xf numFmtId="183" fontId="6" fillId="0" borderId="59" xfId="144" applyFont="true" applyBorder="true" applyAlignment="false" applyProtection="true">
      <alignment horizontal="general" vertical="bottom" textRotation="0" wrapText="false" indent="0" shrinkToFit="false"/>
      <protection locked="true" hidden="false"/>
    </xf>
    <xf numFmtId="183" fontId="82" fillId="0" borderId="0" xfId="144" applyFont="true" applyBorder="false" applyAlignment="true" applyProtection="false">
      <alignment horizontal="left" vertical="bottom" textRotation="0" wrapText="false" indent="0" shrinkToFit="false"/>
      <protection locked="true" hidden="false"/>
    </xf>
    <xf numFmtId="183" fontId="6" fillId="0" borderId="0" xfId="144" applyFont="true" applyBorder="true" applyAlignment="false" applyProtection="true">
      <alignment horizontal="general" vertical="bottom" textRotation="0" wrapText="false" indent="0" shrinkToFit="false"/>
      <protection locked="true" hidden="false"/>
    </xf>
    <xf numFmtId="183" fontId="6" fillId="0" borderId="56" xfId="144" applyFont="true" applyBorder="true" applyAlignment="false" applyProtection="true">
      <alignment horizontal="general" vertical="bottom" textRotation="0" wrapText="false" indent="0" shrinkToFit="false"/>
      <protection locked="true" hidden="false"/>
    </xf>
    <xf numFmtId="183" fontId="6" fillId="0" borderId="54" xfId="144" applyFont="true" applyBorder="true" applyAlignment="false" applyProtection="true">
      <alignment horizontal="general" vertical="bottom" textRotation="0" wrapText="false" indent="0" shrinkToFit="false"/>
      <protection locked="true" hidden="false"/>
    </xf>
    <xf numFmtId="183" fontId="6" fillId="0" borderId="55" xfId="144" applyFont="true" applyBorder="true" applyAlignment="false" applyProtection="true">
      <alignment horizontal="general" vertical="bottom" textRotation="0" wrapText="false" indent="0" shrinkToFit="false"/>
      <protection locked="true" hidden="false"/>
    </xf>
    <xf numFmtId="183" fontId="6" fillId="0" borderId="57" xfId="144" applyFont="true" applyBorder="true" applyAlignment="false" applyProtection="true">
      <alignment horizontal="general" vertical="bottom" textRotation="0" wrapText="false" indent="0" shrinkToFit="false"/>
      <protection locked="true" hidden="false"/>
    </xf>
    <xf numFmtId="183" fontId="6" fillId="0" borderId="54" xfId="144" applyFont="true" applyBorder="true" applyAlignment="false" applyProtection="false">
      <alignment horizontal="general" vertical="bottom" textRotation="0" wrapText="false" indent="0" shrinkToFit="false"/>
      <protection locked="true" hidden="false"/>
    </xf>
    <xf numFmtId="183" fontId="6" fillId="0" borderId="55" xfId="144" applyFont="true" applyBorder="true" applyAlignment="false" applyProtection="false">
      <alignment horizontal="general" vertical="bottom" textRotation="0" wrapText="false" indent="0" shrinkToFit="false"/>
      <protection locked="true" hidden="false"/>
    </xf>
    <xf numFmtId="183" fontId="6" fillId="0" borderId="57" xfId="144" applyFont="true" applyBorder="true" applyAlignment="false" applyProtection="false">
      <alignment horizontal="general" vertical="bottom" textRotation="0" wrapText="false" indent="0" shrinkToFit="false"/>
      <protection locked="true" hidden="false"/>
    </xf>
    <xf numFmtId="227" fontId="6" fillId="0" borderId="0" xfId="144" applyFont="true" applyBorder="false" applyAlignment="false" applyProtection="true">
      <alignment horizontal="general" vertical="bottom" textRotation="0" wrapText="false" indent="0" shrinkToFit="false"/>
      <protection locked="true" hidden="false"/>
    </xf>
    <xf numFmtId="183" fontId="84" fillId="0" borderId="57" xfId="144" applyFont="true" applyBorder="true" applyAlignment="false" applyProtection="true">
      <alignment horizontal="general" vertical="bottom" textRotation="0" wrapText="false" indent="0" shrinkToFit="false"/>
      <protection locked="false" hidden="false"/>
    </xf>
    <xf numFmtId="183" fontId="57" fillId="0" borderId="0" xfId="144" applyFont="true" applyBorder="false" applyAlignment="false" applyProtection="true">
      <alignment horizontal="general" vertical="bottom" textRotation="0" wrapText="false" indent="0" shrinkToFit="false"/>
      <protection locked="true" hidden="false"/>
    </xf>
    <xf numFmtId="183" fontId="6" fillId="0" borderId="49" xfId="144" applyFont="true" applyBorder="true" applyAlignment="false" applyProtection="true">
      <alignment horizontal="general" vertical="bottom" textRotation="0" wrapText="false" indent="0" shrinkToFit="false"/>
      <protection locked="true" hidden="false"/>
    </xf>
    <xf numFmtId="183" fontId="6" fillId="0" borderId="72" xfId="144" applyFont="true" applyBorder="true" applyAlignment="false" applyProtection="true">
      <alignment horizontal="general" vertical="bottom" textRotation="0" wrapText="false" indent="0" shrinkToFit="false"/>
      <protection locked="true" hidden="false"/>
    </xf>
    <xf numFmtId="228" fontId="6" fillId="0" borderId="0" xfId="144" applyFont="true" applyBorder="false" applyAlignment="false" applyProtection="true">
      <alignment horizontal="general" vertical="bottom" textRotation="0" wrapText="false" indent="0" shrinkToFit="false"/>
      <protection locked="true" hidden="false"/>
    </xf>
    <xf numFmtId="183" fontId="6" fillId="0" borderId="49" xfId="144" applyFont="true" applyBorder="true" applyAlignment="false" applyProtection="false">
      <alignment horizontal="general" vertical="bottom" textRotation="0" wrapText="false" indent="0" shrinkToFit="false"/>
      <protection locked="true" hidden="false"/>
    </xf>
    <xf numFmtId="193" fontId="6" fillId="0" borderId="0" xfId="144" applyFont="true" applyBorder="false" applyAlignment="false" applyProtection="true">
      <alignment horizontal="general" vertical="bottom" textRotation="0" wrapText="false" indent="0" shrinkToFit="false"/>
      <protection locked="true" hidden="false"/>
    </xf>
    <xf numFmtId="183" fontId="18" fillId="0" borderId="0" xfId="144" applyFont="true" applyBorder="false" applyAlignment="false" applyProtection="true">
      <alignment horizontal="general" vertical="bottom" textRotation="0" wrapText="false" indent="0" shrinkToFit="false"/>
      <protection locked="true" hidden="false"/>
    </xf>
    <xf numFmtId="183" fontId="6" fillId="12" borderId="0" xfId="144" applyFont="true" applyBorder="false" applyAlignment="false" applyProtection="true">
      <alignment horizontal="general" vertical="bottom" textRotation="0" wrapText="false" indent="0" shrinkToFit="false"/>
      <protection locked="true" hidden="false"/>
    </xf>
    <xf numFmtId="211" fontId="6" fillId="0" borderId="0" xfId="144" applyFont="true" applyBorder="false" applyAlignment="false" applyProtection="true">
      <alignment horizontal="general" vertical="bottom" textRotation="0" wrapText="false" indent="0" shrinkToFit="false"/>
      <protection locked="true" hidden="false"/>
    </xf>
    <xf numFmtId="183" fontId="9" fillId="0" borderId="0" xfId="144" applyFont="true" applyBorder="false" applyAlignment="false" applyProtection="false">
      <alignment horizontal="general" vertical="bottom" textRotation="0" wrapText="false" indent="0" shrinkToFit="false"/>
      <protection locked="true" hidden="false"/>
    </xf>
    <xf numFmtId="229" fontId="6" fillId="0" borderId="1" xfId="144" applyFont="true" applyBorder="true" applyAlignment="true" applyProtection="true">
      <alignment horizontal="center" vertical="bottom" textRotation="0" wrapText="false" indent="0" shrinkToFit="false"/>
      <protection locked="true" hidden="false"/>
    </xf>
    <xf numFmtId="229" fontId="6" fillId="0" borderId="73" xfId="144" applyFont="true" applyBorder="true" applyAlignment="true" applyProtection="true">
      <alignment horizontal="center" vertical="bottom" textRotation="0" wrapText="false" indent="0" shrinkToFit="false"/>
      <protection locked="true" hidden="false"/>
    </xf>
    <xf numFmtId="183" fontId="82" fillId="0" borderId="0" xfId="144" applyFont="true" applyBorder="false" applyAlignment="false" applyProtection="false">
      <alignment horizontal="general" vertical="bottom" textRotation="0" wrapText="false" indent="0" shrinkToFit="false"/>
      <protection locked="true" hidden="false"/>
    </xf>
    <xf numFmtId="183" fontId="6" fillId="0" borderId="60" xfId="144" applyFont="true" applyBorder="true" applyAlignment="false" applyProtection="true">
      <alignment horizontal="general" vertical="bottom" textRotation="0" wrapText="false" indent="0" shrinkToFit="false"/>
      <protection locked="true" hidden="false"/>
    </xf>
    <xf numFmtId="183" fontId="6" fillId="0" borderId="0" xfId="144" applyFont="true" applyBorder="false" applyAlignment="false" applyProtection="true">
      <alignment horizontal="general" vertical="bottom" textRotation="0" wrapText="false" indent="0" shrinkToFit="false"/>
      <protection locked="true" hidden="false"/>
    </xf>
    <xf numFmtId="183" fontId="6" fillId="0" borderId="56" xfId="144" applyFont="true" applyBorder="true" applyAlignment="false" applyProtection="false">
      <alignment horizontal="general" vertical="bottom" textRotation="0" wrapText="false" indent="0" shrinkToFit="false"/>
      <protection locked="true" hidden="false"/>
    </xf>
    <xf numFmtId="183" fontId="6" fillId="0" borderId="58" xfId="144" applyFont="true" applyBorder="true" applyAlignment="false" applyProtection="true">
      <alignment horizontal="general" vertical="bottom" textRotation="0" wrapText="false" indent="0" shrinkToFit="false"/>
      <protection locked="true" hidden="false"/>
    </xf>
    <xf numFmtId="230" fontId="6" fillId="0" borderId="0" xfId="144" applyFont="true" applyBorder="false" applyAlignment="false" applyProtection="true">
      <alignment horizontal="general" vertical="bottom" textRotation="0" wrapText="false" indent="0" shrinkToFit="false"/>
      <protection locked="true" hidden="false"/>
    </xf>
    <xf numFmtId="201" fontId="6" fillId="0" borderId="73" xfId="144" applyFont="true" applyBorder="true" applyAlignment="true" applyProtection="true">
      <alignment horizontal="center" vertical="bottom" textRotation="0" wrapText="false" indent="0" shrinkToFit="false"/>
      <protection locked="true" hidden="false"/>
    </xf>
    <xf numFmtId="218" fontId="6" fillId="0" borderId="73" xfId="144" applyFont="true" applyBorder="true" applyAlignment="true" applyProtection="true">
      <alignment horizontal="center" vertical="bottom" textRotation="0" wrapText="false" indent="0" shrinkToFit="false"/>
      <protection locked="true" hidden="false"/>
    </xf>
    <xf numFmtId="183" fontId="13" fillId="0" borderId="0" xfId="144" applyFont="true" applyBorder="false" applyAlignment="false" applyProtection="false">
      <alignment horizontal="general" vertical="bottom" textRotation="0" wrapText="false" indent="0" shrinkToFit="false"/>
      <protection locked="true" hidden="false"/>
    </xf>
    <xf numFmtId="195" fontId="6" fillId="0" borderId="0" xfId="19" applyFont="true" applyBorder="true" applyAlignment="true" applyProtection="true">
      <alignment horizontal="general" vertical="bottom" textRotation="0" wrapText="false" indent="0" shrinkToFit="false"/>
      <protection locked="true" hidden="false"/>
    </xf>
    <xf numFmtId="201" fontId="6" fillId="0" borderId="0" xfId="144" applyFont="true" applyBorder="false" applyAlignment="false" applyProtection="false">
      <alignment horizontal="general" vertical="bottom" textRotation="0" wrapText="false" indent="0" shrinkToFit="false"/>
      <protection locked="true" hidden="false"/>
    </xf>
    <xf numFmtId="201" fontId="85" fillId="0" borderId="0" xfId="142" applyFont="true" applyBorder="false" applyAlignment="false" applyProtection="false">
      <alignment horizontal="general" vertical="bottom" textRotation="0" wrapText="false" indent="0" shrinkToFit="false"/>
      <protection locked="true" hidden="false"/>
    </xf>
    <xf numFmtId="201" fontId="6" fillId="0" borderId="0" xfId="142" applyFont="true" applyBorder="false" applyAlignment="false" applyProtection="false">
      <alignment horizontal="general" vertical="bottom" textRotation="0" wrapText="false" indent="0" shrinkToFit="false"/>
      <protection locked="true" hidden="false"/>
    </xf>
    <xf numFmtId="227" fontId="6" fillId="0" borderId="11" xfId="144" applyFont="true" applyBorder="true" applyAlignment="false" applyProtection="true">
      <alignment horizontal="general" vertical="bottom" textRotation="0" wrapText="false" indent="0" shrinkToFit="false"/>
      <protection locked="true" hidden="false"/>
    </xf>
    <xf numFmtId="183" fontId="6" fillId="0" borderId="13" xfId="144" applyFont="true" applyBorder="true" applyAlignment="false" applyProtection="false">
      <alignment horizontal="general" vertical="bottom" textRotation="0" wrapText="false" indent="0" shrinkToFit="false"/>
      <protection locked="true" hidden="false"/>
    </xf>
    <xf numFmtId="227" fontId="6" fillId="0" borderId="0" xfId="144" applyFont="true" applyBorder="false" applyAlignment="true" applyProtection="true">
      <alignment horizontal="right" vertical="bottom" textRotation="0" wrapText="false" indent="0" shrinkToFit="false"/>
      <protection locked="true" hidden="false"/>
    </xf>
    <xf numFmtId="231" fontId="6" fillId="0" borderId="0" xfId="144" applyFont="true" applyBorder="false" applyAlignment="true" applyProtection="true">
      <alignment horizontal="left" vertical="bottom" textRotation="0" wrapText="false" indent="0" shrinkToFit="false"/>
      <protection locked="true" hidden="false"/>
    </xf>
    <xf numFmtId="183" fontId="6" fillId="0" borderId="70" xfId="144" applyFont="true" applyBorder="true" applyAlignment="true" applyProtection="false">
      <alignment horizontal="left" vertical="bottom" textRotation="0" wrapText="false" indent="0" shrinkToFit="false"/>
      <protection locked="true" hidden="false"/>
    </xf>
    <xf numFmtId="185" fontId="6" fillId="0" borderId="70" xfId="141" applyFont="true" applyBorder="true" applyAlignment="true" applyProtection="false">
      <alignment horizontal="general" vertical="bottom" textRotation="0" wrapText="false" indent="0" shrinkToFit="false"/>
      <protection locked="true" hidden="false"/>
    </xf>
    <xf numFmtId="210" fontId="6" fillId="0" borderId="70" xfId="144" applyFont="true" applyBorder="true" applyAlignment="false" applyProtection="true">
      <alignment horizontal="general" vertical="bottom" textRotation="0" wrapText="false" indent="0" shrinkToFit="false"/>
      <protection locked="true" hidden="false"/>
    </xf>
    <xf numFmtId="185" fontId="52" fillId="0" borderId="0" xfId="141" applyFont="true" applyBorder="false" applyAlignment="true" applyProtection="false">
      <alignment horizontal="center" vertical="bottom" textRotation="0" wrapText="false" indent="0" shrinkToFit="false"/>
      <protection locked="true" hidden="false"/>
    </xf>
    <xf numFmtId="183" fontId="6" fillId="0" borderId="0" xfId="144" applyFont="true" applyBorder="false" applyAlignment="true" applyProtection="false">
      <alignment horizontal="center" vertical="bottom" textRotation="0" wrapText="false" indent="0" shrinkToFit="false"/>
      <protection locked="true" hidden="false"/>
    </xf>
    <xf numFmtId="183" fontId="88" fillId="0" borderId="0" xfId="144" applyFont="true" applyBorder="false" applyAlignment="true" applyProtection="false">
      <alignment horizontal="left" vertical="bottom" textRotation="0" wrapText="false" indent="0" shrinkToFit="false"/>
      <protection locked="true" hidden="false"/>
    </xf>
    <xf numFmtId="183" fontId="18" fillId="0" borderId="0" xfId="144" applyFont="true" applyBorder="false" applyAlignment="true" applyProtection="false">
      <alignment horizontal="left" vertical="bottom" textRotation="0" wrapText="false" indent="0" shrinkToFit="false"/>
      <protection locked="true" hidden="false"/>
    </xf>
    <xf numFmtId="183" fontId="13" fillId="0" borderId="0" xfId="144" applyFont="true" applyBorder="false" applyAlignment="false" applyProtection="true">
      <alignment horizontal="general" vertical="bottom" textRotation="0" wrapText="false" indent="0" shrinkToFit="false"/>
      <protection locked="false" hidden="false"/>
    </xf>
    <xf numFmtId="165" fontId="84" fillId="0" borderId="0" xfId="51" applyFont="true" applyBorder="true" applyAlignment="true" applyProtection="true">
      <alignment horizontal="general" vertical="bottom" textRotation="0" wrapText="false" indent="0" shrinkToFit="false"/>
      <protection locked="true" hidden="false"/>
    </xf>
    <xf numFmtId="227" fontId="6" fillId="0" borderId="54" xfId="144" applyFont="true" applyBorder="true" applyAlignment="false" applyProtection="true">
      <alignment horizontal="general" vertical="bottom" textRotation="0" wrapText="false" indent="0" shrinkToFit="false"/>
      <protection locked="true" hidden="false"/>
    </xf>
    <xf numFmtId="165" fontId="6" fillId="0" borderId="11" xfId="51" applyFont="true" applyBorder="true" applyAlignment="true" applyProtection="true">
      <alignment horizontal="general" vertical="bottom" textRotation="0" wrapText="false" indent="0" shrinkToFit="false"/>
      <protection locked="true" hidden="false"/>
    </xf>
    <xf numFmtId="165" fontId="84" fillId="0" borderId="58" xfId="51" applyFont="true" applyBorder="true" applyAlignment="true" applyProtection="true">
      <alignment horizontal="general" vertical="bottom" textRotation="0" wrapText="false" indent="0" shrinkToFit="false"/>
      <protection locked="true" hidden="false"/>
    </xf>
    <xf numFmtId="183" fontId="13" fillId="0" borderId="67" xfId="144" applyFont="true" applyBorder="true" applyAlignment="false" applyProtection="false">
      <alignment horizontal="general" vertical="bottom" textRotation="0" wrapText="false" indent="0" shrinkToFit="false"/>
      <protection locked="true" hidden="false"/>
    </xf>
    <xf numFmtId="165" fontId="84" fillId="0" borderId="56" xfId="51" applyFont="true" applyBorder="true" applyAlignment="true" applyProtection="true">
      <alignment horizontal="general" vertical="bottom" textRotation="0" wrapText="false" indent="0" shrinkToFit="false"/>
      <protection locked="true" hidden="false"/>
    </xf>
    <xf numFmtId="183" fontId="18" fillId="0" borderId="18" xfId="144" applyFont="true" applyBorder="true" applyAlignment="false" applyProtection="false">
      <alignment horizontal="general" vertical="bottom" textRotation="0" wrapText="false" indent="0" shrinkToFit="false"/>
      <protection locked="true" hidden="false"/>
    </xf>
    <xf numFmtId="165" fontId="84" fillId="0" borderId="59" xfId="51" applyFont="true" applyBorder="true" applyAlignment="true" applyProtection="true">
      <alignment horizontal="general" vertical="bottom" textRotation="0" wrapText="false" indent="0" shrinkToFit="false"/>
      <protection locked="true" hidden="false"/>
    </xf>
    <xf numFmtId="183" fontId="6" fillId="0" borderId="43" xfId="144" applyFont="true" applyBorder="true" applyAlignment="false" applyProtection="false">
      <alignment horizontal="general" vertical="bottom" textRotation="0" wrapText="false" indent="0" shrinkToFit="false"/>
      <protection locked="true" hidden="false"/>
    </xf>
    <xf numFmtId="165" fontId="13" fillId="0" borderId="0" xfId="51" applyFont="true" applyBorder="true" applyAlignment="true" applyProtection="true">
      <alignment horizontal="right" vertical="bottom" textRotation="0" wrapText="false" indent="0" shrinkToFit="false"/>
      <protection locked="true" hidden="false"/>
    </xf>
    <xf numFmtId="183" fontId="82" fillId="0" borderId="0" xfId="144" applyFont="true" applyBorder="false" applyAlignment="true" applyProtection="false">
      <alignment horizontal="right" vertical="bottom" textRotation="0" wrapText="false" indent="0" shrinkToFit="false"/>
      <protection locked="true" hidden="false"/>
    </xf>
    <xf numFmtId="183" fontId="6" fillId="0" borderId="46" xfId="144" applyFont="true" applyBorder="true" applyAlignment="true" applyProtection="false">
      <alignment horizontal="center" vertical="bottom" textRotation="0" wrapText="false" indent="0" shrinkToFit="false"/>
      <protection locked="true" hidden="false"/>
    </xf>
    <xf numFmtId="183" fontId="6" fillId="0" borderId="1" xfId="144" applyFont="true" applyBorder="true" applyAlignment="true" applyProtection="false">
      <alignment horizontal="center" vertical="bottom" textRotation="0" wrapText="false" indent="0" shrinkToFit="false"/>
      <protection locked="true" hidden="false"/>
    </xf>
    <xf numFmtId="183" fontId="6" fillId="0" borderId="47" xfId="144" applyFont="true" applyBorder="true" applyAlignment="true" applyProtection="false">
      <alignment horizontal="center" vertical="bottom" textRotation="0" wrapText="false" indent="0" shrinkToFit="false"/>
      <protection locked="true" hidden="false"/>
    </xf>
    <xf numFmtId="201" fontId="6" fillId="5" borderId="73" xfId="144" applyFont="true" applyBorder="true" applyAlignment="true" applyProtection="true">
      <alignment horizontal="center" vertical="bottom" textRotation="0" wrapText="false" indent="0" shrinkToFit="false"/>
      <protection locked="true" hidden="false"/>
    </xf>
    <xf numFmtId="218" fontId="6" fillId="5" borderId="73" xfId="144" applyFont="true" applyBorder="true" applyAlignment="true" applyProtection="true">
      <alignment horizontal="center" vertical="bottom" textRotation="0" wrapText="false" indent="0" shrinkToFit="false"/>
      <protection locked="true" hidden="false"/>
    </xf>
    <xf numFmtId="212" fontId="84" fillId="0" borderId="0" xfId="144" applyFont="true" applyBorder="false" applyAlignment="false" applyProtection="true">
      <alignment horizontal="general" vertical="bottom" textRotation="0" wrapText="false" indent="0" shrinkToFit="false"/>
      <protection locked="false" hidden="false"/>
    </xf>
    <xf numFmtId="210" fontId="18" fillId="0" borderId="0" xfId="144" applyFont="true" applyBorder="false" applyAlignment="false" applyProtection="true">
      <alignment horizontal="general" vertical="bottom" textRotation="0" wrapText="false" indent="0" shrinkToFit="false"/>
      <protection locked="true" hidden="false"/>
    </xf>
    <xf numFmtId="183" fontId="6" fillId="12" borderId="0" xfId="144" applyFont="true" applyBorder="false" applyAlignment="false" applyProtection="false">
      <alignment horizontal="general" vertical="bottom" textRotation="0" wrapText="false" indent="0" shrinkToFit="false"/>
      <protection locked="true" hidden="false"/>
    </xf>
    <xf numFmtId="183" fontId="18" fillId="0" borderId="0" xfId="144" applyFont="true" applyBorder="false" applyAlignment="false" applyProtection="false">
      <alignment horizontal="general" vertical="bottom" textRotation="0" wrapText="false" indent="0" shrinkToFit="false"/>
      <protection locked="true" hidden="false"/>
    </xf>
    <xf numFmtId="218" fontId="6" fillId="0" borderId="1" xfId="144" applyFont="true" applyBorder="true" applyAlignment="true" applyProtection="true">
      <alignment horizontal="center" vertical="bottom" textRotation="0" wrapText="false" indent="0" shrinkToFit="false"/>
      <protection locked="true" hidden="false"/>
    </xf>
    <xf numFmtId="226" fontId="6" fillId="0" borderId="1" xfId="144" applyFont="true" applyBorder="true" applyAlignment="true" applyProtection="true">
      <alignment horizontal="center" vertical="bottom" textRotation="0" wrapText="false" indent="0" shrinkToFit="false"/>
      <protection locked="true" hidden="false"/>
    </xf>
    <xf numFmtId="185" fontId="6" fillId="0" borderId="46" xfId="141" applyFont="true" applyBorder="true" applyAlignment="true" applyProtection="false">
      <alignment horizontal="center" vertical="bottom" textRotation="0" wrapText="false" indent="0" shrinkToFit="false"/>
      <protection locked="true" hidden="false"/>
    </xf>
    <xf numFmtId="183" fontId="84" fillId="12" borderId="0" xfId="144" applyFont="true" applyBorder="false" applyAlignment="false" applyProtection="true">
      <alignment horizontal="general" vertical="bottom" textRotation="0" wrapText="false" indent="0" shrinkToFit="false"/>
      <protection locked="false" hidden="false"/>
    </xf>
    <xf numFmtId="185" fontId="6" fillId="0" borderId="47" xfId="141" applyFont="true" applyBorder="true" applyAlignment="true" applyProtection="false">
      <alignment horizontal="center" vertical="bottom" textRotation="0" wrapText="false" indent="0" shrinkToFit="false"/>
      <protection locked="true" hidden="false"/>
    </xf>
    <xf numFmtId="183" fontId="84" fillId="0" borderId="0" xfId="144" applyFont="true" applyBorder="true" applyAlignment="true" applyProtection="true">
      <alignment horizontal="right" vertical="bottom" textRotation="0" wrapText="false" indent="0" shrinkToFit="false"/>
      <protection locked="true" hidden="false"/>
    </xf>
    <xf numFmtId="183" fontId="65" fillId="0" borderId="0" xfId="144" applyFont="true" applyBorder="false" applyAlignment="false" applyProtection="true">
      <alignment horizontal="general" vertical="bottom" textRotation="0" wrapText="false" indent="0" shrinkToFit="false"/>
      <protection locked="false" hidden="false"/>
    </xf>
    <xf numFmtId="183" fontId="65" fillId="0" borderId="0" xfId="144" applyFont="true" applyBorder="false" applyAlignment="false" applyProtection="true">
      <alignment horizontal="general" vertical="bottom" textRotation="0" wrapText="false" indent="0" shrinkToFit="false"/>
      <protection locked="true" hidden="false"/>
    </xf>
    <xf numFmtId="183" fontId="6" fillId="0" borderId="46" xfId="144" applyFont="true" applyBorder="true" applyAlignment="true" applyProtection="true">
      <alignment horizontal="center" vertical="bottom" textRotation="0" wrapText="false" indent="0" shrinkToFit="false"/>
      <protection locked="true" hidden="false"/>
    </xf>
    <xf numFmtId="183" fontId="6" fillId="0" borderId="47" xfId="144" applyFont="true" applyBorder="true" applyAlignment="true" applyProtection="true">
      <alignment horizontal="center" vertical="bottom" textRotation="0" wrapText="false" indent="0" shrinkToFit="false"/>
      <protection locked="true" hidden="false"/>
    </xf>
    <xf numFmtId="183" fontId="84" fillId="0" borderId="0" xfId="144" applyFont="true" applyBorder="false" applyAlignment="false" applyProtection="false">
      <alignment horizontal="general" vertical="bottom" textRotation="0" wrapText="false" indent="0" shrinkToFit="false"/>
      <protection locked="true" hidden="false"/>
    </xf>
    <xf numFmtId="183" fontId="50" fillId="0" borderId="0" xfId="144" applyFont="true" applyBorder="false" applyAlignment="false" applyProtection="true">
      <alignment horizontal="general" vertical="bottom" textRotation="0" wrapText="false" indent="0" shrinkToFit="false"/>
      <protection locked="false" hidden="false"/>
    </xf>
    <xf numFmtId="183" fontId="50" fillId="0" borderId="0" xfId="144" applyFont="true" applyBorder="false" applyAlignment="false" applyProtection="true">
      <alignment horizontal="general" vertical="bottom" textRotation="0" wrapText="false" indent="0" shrinkToFit="false"/>
      <protection locked="false" hidden="false"/>
    </xf>
    <xf numFmtId="227" fontId="6" fillId="0" borderId="49" xfId="144" applyFont="true" applyBorder="true" applyAlignment="false" applyProtection="true">
      <alignment horizontal="general" vertical="bottom" textRotation="0" wrapText="false" indent="0" shrinkToFit="false"/>
      <protection locked="true" hidden="false"/>
    </xf>
    <xf numFmtId="183" fontId="9" fillId="0" borderId="70" xfId="144" applyFont="false" applyBorder="true" applyAlignment="false" applyProtection="false">
      <alignment horizontal="general" vertical="bottom" textRotation="0" wrapText="false" indent="0" shrinkToFit="false"/>
      <protection locked="true" hidden="false"/>
    </xf>
    <xf numFmtId="227" fontId="6" fillId="0" borderId="70" xfId="144" applyFont="true" applyBorder="true" applyAlignment="false" applyProtection="true">
      <alignment horizontal="general" vertical="bottom" textRotation="0" wrapText="false" indent="0" shrinkToFit="false"/>
      <protection locked="true" hidden="false"/>
    </xf>
    <xf numFmtId="201" fontId="6" fillId="0" borderId="1" xfId="144" applyFont="true" applyBorder="true" applyAlignment="true" applyProtection="true">
      <alignment horizontal="center" vertical="bottom" textRotation="0" wrapText="false" indent="0" shrinkToFit="false"/>
      <protection locked="true" hidden="false"/>
    </xf>
    <xf numFmtId="211" fontId="6" fillId="0" borderId="0" xfId="141" applyFont="true" applyBorder="false" applyAlignment="true" applyProtection="false">
      <alignment horizontal="general" vertical="bottom" textRotation="0" wrapText="false" indent="0" shrinkToFit="false"/>
      <protection locked="true" hidden="false"/>
    </xf>
    <xf numFmtId="211" fontId="18" fillId="0" borderId="0" xfId="141" applyFont="true" applyBorder="false" applyAlignment="true" applyProtection="false">
      <alignment horizontal="general" vertical="bottom" textRotation="0" wrapText="false" indent="0" shrinkToFit="false"/>
      <protection locked="true" hidden="false"/>
    </xf>
    <xf numFmtId="211" fontId="84" fillId="0" borderId="0" xfId="141" applyFont="true" applyBorder="false" applyAlignment="true" applyProtection="false">
      <alignment horizontal="general" vertical="bottom" textRotation="0" wrapText="false" indent="0" shrinkToFit="false"/>
      <protection locked="true" hidden="false"/>
    </xf>
    <xf numFmtId="174" fontId="84" fillId="0" borderId="0" xfId="105" applyFont="true" applyBorder="true" applyAlignment="true" applyProtection="true">
      <alignment horizontal="general" vertical="bottom" textRotation="0" wrapText="false" indent="0" shrinkToFit="false"/>
      <protection locked="true" hidden="false"/>
    </xf>
    <xf numFmtId="183" fontId="67" fillId="0" borderId="58" xfId="144" applyFont="true" applyBorder="true" applyAlignment="true" applyProtection="false">
      <alignment horizontal="left" vertical="bottom" textRotation="0" wrapText="false" indent="0" shrinkToFit="false"/>
      <protection locked="true" hidden="false"/>
    </xf>
    <xf numFmtId="218" fontId="6" fillId="0" borderId="74" xfId="144" applyFont="true" applyBorder="true" applyAlignment="true" applyProtection="true">
      <alignment horizontal="center" vertical="bottom" textRotation="0" wrapText="false" indent="0" shrinkToFit="false"/>
      <protection locked="true" hidden="false"/>
    </xf>
    <xf numFmtId="201" fontId="6" fillId="0" borderId="74" xfId="144" applyFont="true" applyBorder="true" applyAlignment="true" applyProtection="true">
      <alignment horizontal="center" vertical="bottom" textRotation="0" wrapText="false" indent="0" shrinkToFit="false"/>
      <protection locked="true" hidden="false"/>
    </xf>
    <xf numFmtId="201" fontId="6" fillId="5" borderId="75" xfId="144" applyFont="true" applyBorder="true" applyAlignment="true" applyProtection="true">
      <alignment horizontal="center" vertical="bottom" textRotation="0" wrapText="false" indent="0" shrinkToFit="false"/>
      <protection locked="true" hidden="false"/>
    </xf>
    <xf numFmtId="218" fontId="6" fillId="5" borderId="75" xfId="144" applyFont="true" applyBorder="true" applyAlignment="true" applyProtection="true">
      <alignment horizontal="center" vertical="bottom" textRotation="0" wrapText="false" indent="0" shrinkToFit="false"/>
      <protection locked="true" hidden="false"/>
    </xf>
    <xf numFmtId="218" fontId="6" fillId="5" borderId="72" xfId="144" applyFont="true" applyBorder="true" applyAlignment="true" applyProtection="true">
      <alignment horizontal="center" vertical="bottom" textRotation="0" wrapText="false" indent="0" shrinkToFit="false"/>
      <protection locked="true" hidden="false"/>
    </xf>
    <xf numFmtId="183" fontId="6" fillId="0" borderId="56" xfId="144" applyFont="true" applyBorder="true" applyAlignment="true" applyProtection="false">
      <alignment horizontal="left" vertical="bottom" textRotation="0" wrapText="false" indent="0" shrinkToFit="false"/>
      <protection locked="true" hidden="false"/>
    </xf>
    <xf numFmtId="183" fontId="6" fillId="12" borderId="0" xfId="144" applyFont="true" applyBorder="true" applyAlignment="false" applyProtection="true">
      <alignment horizontal="general" vertical="bottom" textRotation="0" wrapText="false" indent="0" shrinkToFit="false"/>
      <protection locked="true" hidden="false"/>
    </xf>
    <xf numFmtId="183" fontId="13" fillId="12" borderId="0" xfId="144" applyFont="true" applyBorder="true" applyAlignment="false" applyProtection="true">
      <alignment horizontal="general" vertical="bottom" textRotation="0" wrapText="false" indent="0" shrinkToFit="false"/>
      <protection locked="true" hidden="false"/>
    </xf>
    <xf numFmtId="183" fontId="13" fillId="0" borderId="56" xfId="144" applyFont="true" applyBorder="true" applyAlignment="false" applyProtection="true">
      <alignment horizontal="general" vertical="bottom" textRotation="0" wrapText="false" indent="0" shrinkToFit="false"/>
      <protection locked="true" hidden="false"/>
    </xf>
    <xf numFmtId="183" fontId="13" fillId="0" borderId="0" xfId="144" applyFont="true" applyBorder="true" applyAlignment="false" applyProtection="true">
      <alignment horizontal="general" vertical="bottom" textRotation="0" wrapText="false" indent="0" shrinkToFit="false"/>
      <protection locked="true" hidden="false"/>
    </xf>
    <xf numFmtId="183" fontId="13" fillId="0" borderId="57" xfId="144" applyFont="true" applyBorder="true" applyAlignment="false" applyProtection="true">
      <alignment horizontal="general" vertical="bottom" textRotation="0" wrapText="false" indent="0" shrinkToFit="false"/>
      <protection locked="true" hidden="false"/>
    </xf>
    <xf numFmtId="183" fontId="84" fillId="0" borderId="0" xfId="144" applyFont="true" applyBorder="true" applyAlignment="false" applyProtection="true">
      <alignment horizontal="general" vertical="bottom" textRotation="0" wrapText="false" indent="0" shrinkToFit="false"/>
      <protection locked="false" hidden="false"/>
    </xf>
    <xf numFmtId="232" fontId="6" fillId="0" borderId="0" xfId="144" applyFont="true" applyBorder="true" applyAlignment="false" applyProtection="true">
      <alignment horizontal="general" vertical="bottom" textRotation="0" wrapText="false" indent="0" shrinkToFit="false"/>
      <protection locked="true" hidden="false"/>
    </xf>
    <xf numFmtId="183" fontId="6" fillId="0" borderId="76" xfId="144" applyFont="true" applyBorder="true" applyAlignment="false" applyProtection="true">
      <alignment horizontal="general" vertical="bottom" textRotation="0" wrapText="false" indent="0" shrinkToFit="false"/>
      <protection locked="true" hidden="false"/>
    </xf>
    <xf numFmtId="183" fontId="6" fillId="0" borderId="59" xfId="144" applyFont="true" applyBorder="true" applyAlignment="true" applyProtection="false">
      <alignment horizontal="left" vertical="bottom" textRotation="0" wrapText="false" indent="0" shrinkToFit="false"/>
      <protection locked="true" hidden="false"/>
    </xf>
    <xf numFmtId="183" fontId="6" fillId="12" borderId="43" xfId="144" applyFont="true" applyBorder="true" applyAlignment="false" applyProtection="false">
      <alignment horizontal="general" vertical="bottom" textRotation="0" wrapText="false" indent="0" shrinkToFit="false"/>
      <protection locked="true" hidden="false"/>
    </xf>
    <xf numFmtId="183" fontId="6" fillId="0" borderId="60" xfId="144" applyFont="true" applyBorder="true" applyAlignment="false" applyProtection="false">
      <alignment horizontal="general" vertical="bottom" textRotation="0" wrapText="false" indent="0" shrinkToFit="false"/>
      <protection locked="true" hidden="false"/>
    </xf>
    <xf numFmtId="183" fontId="6" fillId="8" borderId="0" xfId="144" applyFont="true" applyBorder="false" applyAlignment="false" applyProtection="false">
      <alignment horizontal="general" vertical="bottom" textRotation="0" wrapText="false" indent="0" shrinkToFit="false"/>
      <protection locked="true" hidden="false"/>
    </xf>
    <xf numFmtId="183" fontId="6" fillId="8" borderId="0" xfId="144" applyFont="true" applyBorder="true" applyAlignment="false" applyProtection="false">
      <alignment horizontal="general" vertical="bottom" textRotation="0" wrapText="false" indent="0" shrinkToFit="false"/>
      <protection locked="true" hidden="false"/>
    </xf>
    <xf numFmtId="183" fontId="6" fillId="0" borderId="58" xfId="144" applyFont="true" applyBorder="true" applyAlignment="true" applyProtection="false">
      <alignment horizontal="left" vertical="bottom" textRotation="0" wrapText="false" indent="0" shrinkToFit="false"/>
      <protection locked="true" hidden="false"/>
    </xf>
    <xf numFmtId="183" fontId="84" fillId="0" borderId="54" xfId="144" applyFont="true" applyBorder="true" applyAlignment="false" applyProtection="true">
      <alignment horizontal="general" vertical="bottom" textRotation="0" wrapText="false" indent="0" shrinkToFit="false"/>
      <protection locked="false" hidden="false"/>
    </xf>
    <xf numFmtId="183" fontId="84" fillId="0" borderId="55" xfId="144" applyFont="true" applyBorder="true" applyAlignment="false" applyProtection="true">
      <alignment horizontal="general" vertical="bottom" textRotation="0" wrapText="false" indent="0" shrinkToFit="false"/>
      <protection locked="false" hidden="false"/>
    </xf>
    <xf numFmtId="183" fontId="84" fillId="0" borderId="0" xfId="144" applyFont="true" applyBorder="true" applyAlignment="false" applyProtection="true">
      <alignment horizontal="general" vertical="bottom" textRotation="0" wrapText="false" indent="0" shrinkToFit="false"/>
      <protection locked="false" hidden="false"/>
    </xf>
    <xf numFmtId="183" fontId="84" fillId="0" borderId="57" xfId="144" applyFont="true" applyBorder="true" applyAlignment="false" applyProtection="true">
      <alignment horizontal="general" vertical="bottom" textRotation="0" wrapText="false" indent="0" shrinkToFit="false"/>
      <protection locked="false" hidden="false"/>
    </xf>
    <xf numFmtId="183" fontId="13" fillId="0" borderId="0" xfId="144" applyFont="true" applyBorder="true" applyAlignment="false" applyProtection="true">
      <alignment horizontal="general" vertical="bottom" textRotation="0" wrapText="false" indent="0" shrinkToFit="false"/>
      <protection locked="false" hidden="false"/>
    </xf>
    <xf numFmtId="183" fontId="84" fillId="12" borderId="0" xfId="144" applyFont="true" applyBorder="true" applyAlignment="false" applyProtection="true">
      <alignment horizontal="general" vertical="bottom" textRotation="0" wrapText="false" indent="0" shrinkToFit="false"/>
      <protection locked="false" hidden="false"/>
    </xf>
    <xf numFmtId="183" fontId="6" fillId="12" borderId="0" xfId="144" applyFont="true" applyBorder="true" applyAlignment="false" applyProtection="false">
      <alignment horizontal="general" vertical="bottom" textRotation="0" wrapText="false" indent="0" shrinkToFit="false"/>
      <protection locked="true" hidden="false"/>
    </xf>
    <xf numFmtId="183" fontId="13" fillId="0" borderId="0" xfId="144" applyFont="true" applyBorder="true" applyAlignment="false" applyProtection="true">
      <alignment horizontal="general" vertical="bottom" textRotation="0" wrapText="false" indent="0" shrinkToFit="false"/>
      <protection locked="false" hidden="false"/>
    </xf>
    <xf numFmtId="201" fontId="6" fillId="5" borderId="1" xfId="144" applyFont="true" applyBorder="true" applyAlignment="true" applyProtection="true">
      <alignment horizontal="center" vertical="bottom" textRotation="0" wrapText="false" indent="0" shrinkToFit="false"/>
      <protection locked="true" hidden="false"/>
    </xf>
    <xf numFmtId="210" fontId="84" fillId="0" borderId="0" xfId="144" applyFont="true" applyBorder="false" applyAlignment="false" applyProtection="true">
      <alignment horizontal="general" vertical="bottom" textRotation="0" wrapText="false" indent="0" shrinkToFit="false"/>
      <protection locked="false" hidden="false"/>
    </xf>
    <xf numFmtId="210" fontId="84" fillId="0" borderId="0" xfId="144" applyFont="true" applyBorder="false" applyAlignment="true" applyProtection="true">
      <alignment horizontal="right" vertical="bottom" textRotation="0" wrapText="false" indent="0" shrinkToFit="false"/>
      <protection locked="false" hidden="false"/>
    </xf>
    <xf numFmtId="227" fontId="84" fillId="0" borderId="0" xfId="144" applyFont="true" applyBorder="false" applyAlignment="false" applyProtection="true">
      <alignment horizontal="general" vertical="bottom" textRotation="0" wrapText="false" indent="0" shrinkToFit="false"/>
      <protection locked="false" hidden="false"/>
    </xf>
    <xf numFmtId="227" fontId="18" fillId="0" borderId="0" xfId="144" applyFont="true" applyBorder="false" applyAlignment="false" applyProtection="true">
      <alignment horizontal="general" vertical="bottom" textRotation="0" wrapText="false" indent="0" shrinkToFit="false"/>
      <protection locked="false" hidden="false"/>
    </xf>
    <xf numFmtId="183" fontId="6" fillId="0" borderId="70" xfId="144" applyFont="true" applyBorder="true" applyAlignment="false" applyProtection="true">
      <alignment horizontal="general" vertical="bottom" textRotation="0" wrapText="false" indent="0" shrinkToFit="false"/>
      <protection locked="true" hidden="false"/>
    </xf>
    <xf numFmtId="218" fontId="6" fillId="0" borderId="46" xfId="144" applyFont="true" applyBorder="true" applyAlignment="true" applyProtection="true">
      <alignment horizontal="center" vertical="bottom" textRotation="0" wrapText="false" indent="0" shrinkToFit="false"/>
      <protection locked="true" hidden="false"/>
    </xf>
    <xf numFmtId="201" fontId="6" fillId="0" borderId="46" xfId="144" applyFont="true" applyBorder="true" applyAlignment="true" applyProtection="true">
      <alignment horizontal="center" vertical="bottom" textRotation="0" wrapText="false" indent="0" shrinkToFit="false"/>
      <protection locked="true" hidden="false"/>
    </xf>
    <xf numFmtId="201" fontId="6" fillId="5" borderId="77" xfId="144" applyFont="true" applyBorder="true" applyAlignment="true" applyProtection="true">
      <alignment horizontal="center" vertical="bottom" textRotation="0" wrapText="false" indent="0" shrinkToFit="false"/>
      <protection locked="true" hidden="false"/>
    </xf>
    <xf numFmtId="218" fontId="6" fillId="5" borderId="77" xfId="144" applyFont="true" applyBorder="true" applyAlignment="true" applyProtection="true">
      <alignment horizontal="center" vertical="bottom" textRotation="0" wrapText="false" indent="0" shrinkToFit="false"/>
      <protection locked="true" hidden="false"/>
    </xf>
    <xf numFmtId="183" fontId="6" fillId="0" borderId="47" xfId="144" applyFont="true" applyBorder="true" applyAlignment="true" applyProtection="false">
      <alignment horizontal="center" vertical="bottom" textRotation="0" wrapText="false" indent="0" shrinkToFit="false"/>
      <protection locked="true" hidden="false"/>
    </xf>
    <xf numFmtId="183" fontId="6" fillId="5" borderId="47" xfId="144" applyFont="true" applyBorder="true" applyAlignment="true" applyProtection="false">
      <alignment horizontal="center" vertical="bottom" textRotation="0" wrapText="false" indent="0" shrinkToFit="false"/>
      <protection locked="true" hidden="false"/>
    </xf>
    <xf numFmtId="183" fontId="6" fillId="5" borderId="78" xfId="144" applyFont="true" applyBorder="true" applyAlignment="true" applyProtection="false">
      <alignment horizontal="center" vertical="bottom" textRotation="0" wrapText="false" indent="0" shrinkToFit="false"/>
      <protection locked="true" hidden="false"/>
    </xf>
    <xf numFmtId="183" fontId="6" fillId="0" borderId="0" xfId="144" applyFont="true" applyBorder="true" applyAlignment="true" applyProtection="false">
      <alignment horizontal="center" vertical="bottom" textRotation="0" wrapText="false" indent="0" shrinkToFit="false"/>
      <protection locked="true" hidden="false"/>
    </xf>
    <xf numFmtId="183" fontId="6" fillId="0" borderId="0" xfId="144" applyFont="true" applyBorder="true" applyAlignment="true" applyProtection="false">
      <alignment horizontal="center" vertical="bottom" textRotation="0" wrapText="false" indent="0" shrinkToFit="false"/>
      <protection locked="true" hidden="false"/>
    </xf>
    <xf numFmtId="183" fontId="13" fillId="0" borderId="0" xfId="144" applyFont="true" applyBorder="false" applyAlignment="false" applyProtection="false">
      <alignment horizontal="general" vertical="bottom" textRotation="0" wrapText="false" indent="0" shrinkToFit="false"/>
      <protection locked="true" hidden="false"/>
    </xf>
    <xf numFmtId="227" fontId="13" fillId="0" borderId="0" xfId="144" applyFont="true" applyBorder="false" applyAlignment="false" applyProtection="true">
      <alignment horizontal="general" vertical="bottom" textRotation="0" wrapText="false" indent="0" shrinkToFit="false"/>
      <protection locked="false" hidden="false"/>
    </xf>
    <xf numFmtId="183" fontId="49" fillId="0" borderId="0" xfId="144" applyFont="true" applyBorder="false" applyAlignment="true" applyProtection="false">
      <alignment horizontal="left" vertical="bottom" textRotation="0" wrapText="false" indent="0" shrinkToFit="false"/>
      <protection locked="true" hidden="false"/>
    </xf>
    <xf numFmtId="183" fontId="84" fillId="0" borderId="0" xfId="144" applyFont="true" applyBorder="false" applyAlignment="true" applyProtection="true">
      <alignment horizontal="right" vertical="bottom" textRotation="0" wrapText="false" indent="0" shrinkToFit="false"/>
      <protection locked="false" hidden="false"/>
    </xf>
    <xf numFmtId="185" fontId="6" fillId="5" borderId="46" xfId="141" applyFont="true" applyBorder="true" applyAlignment="true" applyProtection="false">
      <alignment horizontal="center" vertical="bottom" textRotation="0" wrapText="false" indent="0" shrinkToFit="false"/>
      <protection locked="true" hidden="false"/>
    </xf>
    <xf numFmtId="233" fontId="6" fillId="0" borderId="0" xfId="144" applyFont="true" applyBorder="false" applyAlignment="false" applyProtection="true">
      <alignment horizontal="general" vertical="bottom" textRotation="0" wrapText="false" indent="0" shrinkToFit="false"/>
      <protection locked="true" hidden="false"/>
    </xf>
    <xf numFmtId="201" fontId="6" fillId="5" borderId="47" xfId="141" applyFont="true" applyBorder="true" applyAlignment="true" applyProtection="false">
      <alignment horizontal="center" vertical="bottom" textRotation="0" wrapText="false" indent="0" shrinkToFit="false"/>
      <protection locked="true" hidden="false"/>
    </xf>
    <xf numFmtId="218" fontId="6" fillId="5" borderId="1" xfId="144" applyFont="true" applyBorder="true" applyAlignment="true" applyProtection="true">
      <alignment horizontal="center" vertical="bottom" textRotation="0" wrapText="false" indent="0" shrinkToFit="false"/>
      <protection locked="true" hidden="false"/>
    </xf>
    <xf numFmtId="183" fontId="13" fillId="0" borderId="49" xfId="144" applyFont="true" applyBorder="true" applyAlignment="false" applyProtection="true">
      <alignment horizontal="general" vertical="bottom" textRotation="0" wrapText="false" indent="0" shrinkToFit="false"/>
      <protection locked="false" hidden="false"/>
    </xf>
    <xf numFmtId="183" fontId="34" fillId="0" borderId="0" xfId="144" applyFont="true" applyBorder="false" applyAlignment="true" applyProtection="false">
      <alignment horizontal="left" vertical="bottom" textRotation="0" wrapText="false" indent="0" shrinkToFit="false"/>
      <protection locked="true" hidden="false"/>
    </xf>
    <xf numFmtId="193" fontId="85" fillId="0" borderId="0" xfId="144" applyFont="true" applyBorder="false" applyAlignment="false" applyProtection="true">
      <alignment horizontal="general" vertical="bottom" textRotation="0" wrapText="false" indent="0" shrinkToFit="false"/>
      <protection locked="false" hidden="false"/>
    </xf>
    <xf numFmtId="185" fontId="6" fillId="0" borderId="0" xfId="141" applyFont="true" applyBorder="false" applyAlignment="true" applyProtection="false">
      <alignment horizontal="left" vertical="bottom" textRotation="0" wrapText="false" indent="0" shrinkToFit="false"/>
      <protection locked="true" hidden="false"/>
    </xf>
    <xf numFmtId="183" fontId="6" fillId="0" borderId="71" xfId="144" applyFont="true" applyBorder="true" applyAlignment="true" applyProtection="false">
      <alignment horizontal="left" vertical="bottom" textRotation="0" wrapText="false" indent="0" shrinkToFit="false"/>
      <protection locked="true" hidden="false"/>
    </xf>
    <xf numFmtId="183" fontId="6" fillId="0" borderId="71" xfId="144" applyFont="true" applyBorder="true" applyAlignment="false" applyProtection="false">
      <alignment horizontal="general" vertical="bottom" textRotation="0" wrapText="false" indent="0" shrinkToFit="false"/>
      <protection locked="true" hidden="false"/>
    </xf>
    <xf numFmtId="185" fontId="6" fillId="0" borderId="71" xfId="141" applyFont="true" applyBorder="true" applyAlignment="true" applyProtection="false">
      <alignment horizontal="general" vertical="bottom" textRotation="0" wrapText="false" indent="0" shrinkToFit="false"/>
      <protection locked="true" hidden="false"/>
    </xf>
    <xf numFmtId="183" fontId="6" fillId="0" borderId="71" xfId="144" applyFont="true" applyBorder="true" applyAlignment="true" applyProtection="false">
      <alignment horizontal="right" vertical="bottom" textRotation="0" wrapText="false" indent="0" shrinkToFit="false"/>
      <protection locked="true" hidden="false"/>
    </xf>
    <xf numFmtId="183" fontId="84" fillId="0" borderId="71" xfId="144" applyFont="true" applyBorder="true" applyAlignment="false" applyProtection="true">
      <alignment horizontal="general" vertical="bottom" textRotation="0" wrapText="false" indent="0" shrinkToFit="false"/>
      <protection locked="false" hidden="false"/>
    </xf>
    <xf numFmtId="183" fontId="84" fillId="0" borderId="71" xfId="144" applyFont="true" applyBorder="true" applyAlignment="false" applyProtection="true">
      <alignment horizontal="general" vertical="bottom" textRotation="0" wrapText="false" indent="0" shrinkToFit="false"/>
      <protection locked="false" hidden="false"/>
    </xf>
    <xf numFmtId="183" fontId="67" fillId="0" borderId="0" xfId="144" applyFont="true" applyBorder="false" applyAlignment="true" applyProtection="false">
      <alignment horizontal="general" vertical="bottom" textRotation="0" wrapText="false" indent="0" shrinkToFit="false"/>
      <protection locked="true" hidden="false"/>
    </xf>
    <xf numFmtId="183" fontId="82" fillId="0" borderId="0" xfId="144" applyFont="true" applyBorder="false" applyAlignment="true" applyProtection="false">
      <alignment horizontal="general" vertical="bottom" textRotation="0" wrapText="false" indent="0" shrinkToFit="false"/>
      <protection locked="true" hidden="false"/>
    </xf>
    <xf numFmtId="183" fontId="6" fillId="0" borderId="79" xfId="144" applyFont="true" applyBorder="true" applyAlignment="false" applyProtection="true">
      <alignment horizontal="general" vertical="bottom" textRotation="0" wrapText="false" indent="0" shrinkToFit="false"/>
      <protection locked="true" hidden="false"/>
    </xf>
    <xf numFmtId="183" fontId="6" fillId="0" borderId="0" xfId="144" applyFont="true" applyBorder="false" applyAlignment="true" applyProtection="false">
      <alignment horizontal="general" vertical="bottom" textRotation="0" wrapText="false" indent="0" shrinkToFit="false"/>
      <protection locked="true" hidden="false"/>
    </xf>
    <xf numFmtId="165" fontId="6" fillId="0" borderId="0" xfId="144" applyFont="true" applyBorder="true" applyAlignment="false" applyProtection="true">
      <alignment horizontal="general" vertical="bottom" textRotation="0" wrapText="false" indent="0" shrinkToFit="false"/>
      <protection locked="true" hidden="false"/>
    </xf>
    <xf numFmtId="165" fontId="6" fillId="0" borderId="56" xfId="144" applyFont="true" applyBorder="true" applyAlignment="false" applyProtection="true">
      <alignment horizontal="general" vertical="bottom" textRotation="0" wrapText="false" indent="0" shrinkToFit="false"/>
      <protection locked="true" hidden="false"/>
    </xf>
    <xf numFmtId="165" fontId="6" fillId="0" borderId="0" xfId="144" applyFont="true" applyBorder="false" applyAlignment="false" applyProtection="true">
      <alignment horizontal="general" vertical="bottom" textRotation="0" wrapText="false" indent="0" shrinkToFit="false"/>
      <protection locked="true" hidden="false"/>
    </xf>
    <xf numFmtId="183" fontId="13" fillId="0" borderId="0" xfId="144" applyFont="true" applyBorder="false" applyAlignment="true" applyProtection="false">
      <alignment horizontal="general" vertical="bottom" textRotation="0" wrapText="false" indent="0" shrinkToFit="false"/>
      <protection locked="true" hidden="false"/>
    </xf>
    <xf numFmtId="165" fontId="6" fillId="0" borderId="0" xfId="144" applyFont="true" applyBorder="true" applyAlignment="false" applyProtection="false">
      <alignment horizontal="general" vertical="bottom" textRotation="0" wrapText="false" indent="0" shrinkToFit="false"/>
      <protection locked="true" hidden="false"/>
    </xf>
    <xf numFmtId="165" fontId="6" fillId="0" borderId="56" xfId="144" applyFont="true" applyBorder="true" applyAlignment="false" applyProtection="false">
      <alignment horizontal="general" vertical="bottom" textRotation="0" wrapText="false" indent="0" shrinkToFit="false"/>
      <protection locked="true" hidden="false"/>
    </xf>
    <xf numFmtId="165" fontId="6" fillId="0" borderId="0" xfId="144" applyFont="true" applyBorder="false" applyAlignment="false" applyProtection="false">
      <alignment horizontal="general" vertical="bottom" textRotation="0" wrapText="false" indent="0" shrinkToFit="false"/>
      <protection locked="true" hidden="false"/>
    </xf>
    <xf numFmtId="165" fontId="6" fillId="0" borderId="54" xfId="144" applyFont="true" applyBorder="true" applyAlignment="false" applyProtection="true">
      <alignment horizontal="general" vertical="bottom" textRotation="0" wrapText="false" indent="0" shrinkToFit="false"/>
      <protection locked="true" hidden="false"/>
    </xf>
    <xf numFmtId="165" fontId="6" fillId="0" borderId="58" xfId="144" applyFont="true" applyBorder="true" applyAlignment="false" applyProtection="true">
      <alignment horizontal="general" vertical="bottom" textRotation="0" wrapText="false" indent="0" shrinkToFit="false"/>
      <protection locked="true" hidden="false"/>
    </xf>
    <xf numFmtId="165" fontId="6" fillId="0" borderId="0" xfId="141" applyFont="true" applyBorder="true" applyAlignment="true" applyProtection="false">
      <alignment horizontal="general" vertical="bottom" textRotation="0" wrapText="false" indent="0" shrinkToFit="false"/>
      <protection locked="true" hidden="false"/>
    </xf>
    <xf numFmtId="165" fontId="6" fillId="0" borderId="56" xfId="141" applyFont="true" applyBorder="true" applyAlignment="true" applyProtection="false">
      <alignment horizontal="general" vertical="bottom" textRotation="0" wrapText="false" indent="0" shrinkToFit="false"/>
      <protection locked="true" hidden="false"/>
    </xf>
    <xf numFmtId="165" fontId="6" fillId="0" borderId="0" xfId="141" applyFont="true" applyBorder="false" applyAlignment="true" applyProtection="false">
      <alignment horizontal="general" vertical="bottom" textRotation="0" wrapText="false" indent="0" shrinkToFit="false"/>
      <protection locked="true" hidden="false"/>
    </xf>
    <xf numFmtId="165" fontId="6" fillId="0" borderId="43" xfId="141" applyFont="true" applyBorder="true" applyAlignment="true" applyProtection="false">
      <alignment horizontal="general" vertical="bottom" textRotation="0" wrapText="false" indent="0" shrinkToFit="false"/>
      <protection locked="true" hidden="false"/>
    </xf>
    <xf numFmtId="165" fontId="18" fillId="0" borderId="59" xfId="141" applyFont="true" applyBorder="true" applyAlignment="true" applyProtection="false">
      <alignment horizontal="general" vertical="bottom" textRotation="0" wrapText="false" indent="0" shrinkToFit="false"/>
      <protection locked="true" hidden="false"/>
    </xf>
    <xf numFmtId="165" fontId="18" fillId="0" borderId="43" xfId="141" applyFont="true" applyBorder="true" applyAlignment="true" applyProtection="false">
      <alignment horizontal="general" vertical="bottom" textRotation="0" wrapText="false" indent="0" shrinkToFit="false"/>
      <protection locked="true" hidden="false"/>
    </xf>
    <xf numFmtId="165" fontId="6" fillId="0" borderId="54" xfId="141" applyFont="true" applyBorder="true" applyAlignment="true" applyProtection="false">
      <alignment horizontal="general" vertical="bottom" textRotation="0" wrapText="false" indent="0" shrinkToFit="false"/>
      <protection locked="true" hidden="false"/>
    </xf>
    <xf numFmtId="165" fontId="6" fillId="0" borderId="58" xfId="141" applyFont="true" applyBorder="true" applyAlignment="true" applyProtection="false">
      <alignment horizontal="general" vertical="bottom" textRotation="0" wrapText="false" indent="0" shrinkToFit="false"/>
      <protection locked="true" hidden="false"/>
    </xf>
    <xf numFmtId="183" fontId="6" fillId="0" borderId="0" xfId="144" applyFont="true" applyBorder="true" applyAlignment="true" applyProtection="false">
      <alignment horizontal="general" vertical="bottom" textRotation="0" wrapText="false" indent="0" shrinkToFit="false"/>
      <protection locked="true" hidden="false"/>
    </xf>
    <xf numFmtId="165" fontId="6" fillId="0" borderId="49" xfId="144" applyFont="true" applyBorder="true" applyAlignment="false" applyProtection="false">
      <alignment horizontal="general" vertical="bottom" textRotation="0" wrapText="false" indent="0" shrinkToFit="false"/>
      <protection locked="true" hidden="false"/>
    </xf>
    <xf numFmtId="165" fontId="6" fillId="0" borderId="76" xfId="144" applyFont="true" applyBorder="true" applyAlignment="false" applyProtection="false">
      <alignment horizontal="general" vertical="bottom" textRotation="0" wrapText="false" indent="0" shrinkToFit="false"/>
      <protection locked="true" hidden="false"/>
    </xf>
    <xf numFmtId="165" fontId="6" fillId="0" borderId="57" xfId="144" applyFont="true" applyBorder="true" applyAlignment="false" applyProtection="false">
      <alignment horizontal="general" vertical="bottom" textRotation="0" wrapText="false" indent="0" shrinkToFit="false"/>
      <protection locked="true" hidden="false"/>
    </xf>
    <xf numFmtId="165" fontId="6" fillId="0" borderId="72" xfId="144" applyFont="true" applyBorder="true" applyAlignment="false" applyProtection="false">
      <alignment horizontal="general" vertical="bottom" textRotation="0" wrapText="false" indent="0" shrinkToFit="false"/>
      <protection locked="true" hidden="false"/>
    </xf>
    <xf numFmtId="165" fontId="6" fillId="0" borderId="49" xfId="144" applyFont="true" applyBorder="true" applyAlignment="false" applyProtection="true">
      <alignment horizontal="general" vertical="bottom" textRotation="0" wrapText="false" indent="0" shrinkToFit="false"/>
      <protection locked="true" hidden="false"/>
    </xf>
    <xf numFmtId="165" fontId="6" fillId="0" borderId="72" xfId="144" applyFont="true" applyBorder="true" applyAlignment="false" applyProtection="true">
      <alignment horizontal="general" vertical="bottom" textRotation="0" wrapText="false" indent="0" shrinkToFit="false"/>
      <protection locked="true" hidden="false"/>
    </xf>
    <xf numFmtId="183" fontId="9" fillId="0" borderId="71" xfId="144" applyFont="false" applyBorder="true" applyAlignment="false" applyProtection="false">
      <alignment horizontal="general" vertical="bottom" textRotation="0" wrapText="false" indent="0" shrinkToFit="false"/>
      <protection locked="true" hidden="false"/>
    </xf>
    <xf numFmtId="201" fontId="6" fillId="0" borderId="80" xfId="144" applyFont="true" applyBorder="true" applyAlignment="true" applyProtection="true">
      <alignment horizontal="center" vertical="bottom" textRotation="0" wrapText="false" indent="0" shrinkToFit="false"/>
      <protection locked="true" hidden="false"/>
    </xf>
    <xf numFmtId="218" fontId="6" fillId="0" borderId="81" xfId="144" applyFont="true" applyBorder="true" applyAlignment="true" applyProtection="true">
      <alignment horizontal="center" vertical="bottom" textRotation="0" wrapText="false" indent="0" shrinkToFit="false"/>
      <protection locked="true" hidden="false"/>
    </xf>
    <xf numFmtId="185" fontId="6" fillId="0" borderId="79" xfId="141" applyFont="true" applyBorder="true" applyAlignment="true" applyProtection="false">
      <alignment horizontal="general" vertical="bottom" textRotation="0" wrapText="false" indent="0" shrinkToFit="false"/>
      <protection locked="true" hidden="false"/>
    </xf>
    <xf numFmtId="165" fontId="51" fillId="0" borderId="56" xfId="144" applyFont="true" applyBorder="true" applyAlignment="false" applyProtection="true">
      <alignment horizontal="general" vertical="bottom" textRotation="0" wrapText="false" indent="0" shrinkToFit="false"/>
      <protection locked="true" hidden="false"/>
    </xf>
    <xf numFmtId="165" fontId="51" fillId="0" borderId="0" xfId="144" applyFont="true" applyBorder="true" applyAlignment="false" applyProtection="true">
      <alignment horizontal="general" vertical="bottom" textRotation="0" wrapText="false" indent="0" shrinkToFit="false"/>
      <protection locked="true" hidden="false"/>
    </xf>
    <xf numFmtId="183" fontId="6" fillId="0" borderId="37" xfId="144" applyFont="true" applyBorder="true" applyAlignment="false" applyProtection="false">
      <alignment horizontal="general" vertical="bottom" textRotation="0" wrapText="false" indent="0" shrinkToFit="false"/>
      <protection locked="true" hidden="false"/>
    </xf>
    <xf numFmtId="183" fontId="6" fillId="0" borderId="38" xfId="144" applyFont="true" applyBorder="true" applyAlignment="false" applyProtection="false">
      <alignment horizontal="general" vertical="bottom" textRotation="0" wrapText="false" indent="0" shrinkToFit="false"/>
      <protection locked="true" hidden="false"/>
    </xf>
    <xf numFmtId="183" fontId="66" fillId="0" borderId="0" xfId="144" applyFont="true" applyBorder="false" applyAlignment="true" applyProtection="false">
      <alignment horizontal="left" vertical="bottom" textRotation="0" wrapText="false" indent="0" shrinkToFit="false"/>
      <protection locked="true" hidden="false"/>
    </xf>
    <xf numFmtId="183" fontId="6" fillId="5" borderId="49" xfId="144" applyFont="true" applyBorder="true" applyAlignment="false" applyProtection="false">
      <alignment horizontal="general" vertical="bottom" textRotation="0" wrapText="false" indent="0" shrinkToFit="false"/>
      <protection locked="true" hidden="false"/>
    </xf>
    <xf numFmtId="183" fontId="6" fillId="0" borderId="76" xfId="144" applyFont="true" applyBorder="true" applyAlignment="false" applyProtection="false">
      <alignment horizontal="general" vertical="bottom" textRotation="0" wrapText="false" indent="0" shrinkToFit="false"/>
      <protection locked="true" hidden="false"/>
    </xf>
    <xf numFmtId="183" fontId="64" fillId="0" borderId="0" xfId="144" applyFont="true" applyBorder="false" applyAlignment="true" applyProtection="false">
      <alignment horizontal="left" vertical="bottom" textRotation="0" wrapText="false" indent="0" shrinkToFit="false"/>
      <protection locked="true" hidden="false"/>
    </xf>
    <xf numFmtId="183" fontId="64" fillId="0" borderId="0" xfId="144" applyFont="true" applyBorder="false" applyAlignment="false" applyProtection="false">
      <alignment horizontal="general" vertical="bottom" textRotation="0" wrapText="false" indent="0" shrinkToFit="false"/>
      <protection locked="true" hidden="false"/>
    </xf>
    <xf numFmtId="183" fontId="89" fillId="0" borderId="0" xfId="144" applyFont="true" applyBorder="true" applyAlignment="false" applyProtection="false">
      <alignment horizontal="general" vertical="bottom" textRotation="0" wrapText="false" indent="0" shrinkToFit="false"/>
      <protection locked="true" hidden="false"/>
    </xf>
    <xf numFmtId="183" fontId="64" fillId="0" borderId="0" xfId="144" applyFont="true" applyBorder="true" applyAlignment="false" applyProtection="false">
      <alignment horizontal="general" vertical="bottom" textRotation="0" wrapText="false" indent="0" shrinkToFit="false"/>
      <protection locked="true" hidden="false"/>
    </xf>
    <xf numFmtId="164" fontId="64" fillId="0" borderId="0" xfId="204" applyFont="true" applyBorder="false" applyAlignment="true" applyProtection="false">
      <alignment horizontal="general" vertical="bottom" textRotation="0" wrapText="false" indent="0" shrinkToFit="false"/>
      <protection locked="true" hidden="false"/>
    </xf>
    <xf numFmtId="183" fontId="64" fillId="0" borderId="0" xfId="204" applyFont="true" applyBorder="false" applyAlignment="true" applyProtection="false">
      <alignment horizontal="general" vertical="bottom" textRotation="0" wrapText="false" indent="0" shrinkToFit="false"/>
      <protection locked="true" hidden="false"/>
    </xf>
    <xf numFmtId="183" fontId="6" fillId="0" borderId="32" xfId="144" applyFont="true" applyBorder="true" applyAlignment="true" applyProtection="false">
      <alignment horizontal="left" vertical="bottom" textRotation="0" wrapText="false" indent="0" shrinkToFit="false"/>
      <protection locked="true" hidden="false"/>
    </xf>
    <xf numFmtId="183" fontId="6" fillId="0" borderId="52" xfId="144" applyFont="true" applyBorder="true" applyAlignment="false" applyProtection="false">
      <alignment horizontal="general" vertical="bottom" textRotation="0" wrapText="false" indent="0" shrinkToFit="false"/>
      <protection locked="true" hidden="false"/>
    </xf>
    <xf numFmtId="183" fontId="6" fillId="0" borderId="52" xfId="144" applyFont="true" applyBorder="true" applyAlignment="true" applyProtection="false">
      <alignment horizontal="center" vertical="bottom" textRotation="0" wrapText="false" indent="0" shrinkToFit="false"/>
      <protection locked="true" hidden="false"/>
    </xf>
    <xf numFmtId="164" fontId="6" fillId="0" borderId="33" xfId="204" applyFont="true" applyBorder="true" applyAlignment="true" applyProtection="false">
      <alignment horizontal="general" vertical="bottom" textRotation="0" wrapText="false" indent="0" shrinkToFit="false"/>
      <protection locked="true" hidden="false"/>
    </xf>
    <xf numFmtId="183" fontId="66" fillId="0" borderId="15" xfId="144" applyFont="true" applyBorder="true" applyAlignment="true" applyProtection="false">
      <alignment horizontal="left" vertical="bottom" textRotation="0" wrapText="false" indent="0" shrinkToFit="false"/>
      <protection locked="true" hidden="false"/>
    </xf>
    <xf numFmtId="164" fontId="6" fillId="0" borderId="16" xfId="204" applyFont="true" applyBorder="true" applyAlignment="true" applyProtection="false">
      <alignment horizontal="general" vertical="bottom" textRotation="0" wrapText="false" indent="0" shrinkToFit="false"/>
      <protection locked="true" hidden="false"/>
    </xf>
    <xf numFmtId="218" fontId="34" fillId="0" borderId="0" xfId="141" applyFont="true" applyBorder="true" applyAlignment="true" applyProtection="false">
      <alignment horizontal="right" vertical="bottom" textRotation="0" wrapText="false" indent="0" shrinkToFit="false"/>
      <protection locked="true" hidden="false"/>
    </xf>
    <xf numFmtId="183" fontId="6" fillId="0" borderId="15" xfId="144" applyFont="true" applyBorder="true" applyAlignment="true" applyProtection="false">
      <alignment horizontal="left" vertical="bottom" textRotation="0" wrapText="false" indent="0" shrinkToFit="false"/>
      <protection locked="true" hidden="false"/>
    </xf>
    <xf numFmtId="164" fontId="6" fillId="0" borderId="0" xfId="204" applyFont="true" applyBorder="true" applyAlignment="true" applyProtection="false">
      <alignment horizontal="left" vertical="bottom" textRotation="0" wrapText="false" indent="2" shrinkToFit="false"/>
      <protection locked="true" hidden="false"/>
    </xf>
    <xf numFmtId="183" fontId="6" fillId="0" borderId="0" xfId="204" applyFont="true" applyBorder="true" applyAlignment="true" applyProtection="false">
      <alignment horizontal="general" vertical="bottom" textRotation="0" wrapText="false" indent="0" shrinkToFit="false"/>
      <protection locked="true" hidden="false"/>
    </xf>
    <xf numFmtId="164" fontId="6" fillId="0" borderId="15" xfId="204" applyFont="true" applyBorder="true" applyAlignment="true" applyProtection="false">
      <alignment horizontal="general" vertical="bottom" textRotation="0" wrapText="false" indent="0" shrinkToFit="false"/>
      <protection locked="true" hidden="false"/>
    </xf>
    <xf numFmtId="227" fontId="13" fillId="0" borderId="13" xfId="144" applyFont="true" applyBorder="true" applyAlignment="false" applyProtection="true">
      <alignment horizontal="general" vertical="bottom" textRotation="0" wrapText="false" indent="0" shrinkToFit="false"/>
      <protection locked="true" hidden="false"/>
    </xf>
    <xf numFmtId="185" fontId="6" fillId="0" borderId="0" xfId="141" applyFont="true" applyBorder="true" applyAlignment="true" applyProtection="false">
      <alignment horizontal="left" vertical="bottom" textRotation="0" wrapText="false" indent="2" shrinkToFit="false"/>
      <protection locked="true" hidden="false"/>
    </xf>
    <xf numFmtId="234" fontId="6" fillId="0" borderId="0" xfId="141" applyFont="true" applyBorder="true" applyAlignment="true" applyProtection="false">
      <alignment horizontal="general" vertical="bottom" textRotation="0" wrapText="false" indent="0" shrinkToFit="false"/>
      <protection locked="true" hidden="false"/>
    </xf>
    <xf numFmtId="165" fontId="18" fillId="0" borderId="0" xfId="144" applyFont="true" applyBorder="true" applyAlignment="false" applyProtection="true">
      <alignment horizontal="general" vertical="bottom" textRotation="0" wrapText="false" indent="0" shrinkToFit="false"/>
      <protection locked="true" hidden="false"/>
    </xf>
    <xf numFmtId="191" fontId="6" fillId="0" borderId="0" xfId="19" applyFont="true" applyBorder="true" applyAlignment="true" applyProtection="true">
      <alignment horizontal="general" vertical="bottom" textRotation="0" wrapText="false" indent="0" shrinkToFit="false"/>
      <protection locked="true" hidden="false"/>
    </xf>
    <xf numFmtId="164" fontId="6" fillId="0" borderId="37" xfId="204" applyFont="true" applyBorder="true" applyAlignment="true" applyProtection="false">
      <alignment horizontal="general" vertical="bottom" textRotation="0" wrapText="false" indent="0" shrinkToFit="false"/>
      <protection locked="true" hidden="false"/>
    </xf>
    <xf numFmtId="164" fontId="6" fillId="0" borderId="38" xfId="204" applyFont="true" applyBorder="true" applyAlignment="true" applyProtection="false">
      <alignment horizontal="general" vertical="bottom" textRotation="0" wrapText="false" indent="0" shrinkToFit="false"/>
      <protection locked="true" hidden="false"/>
    </xf>
    <xf numFmtId="165" fontId="62" fillId="0" borderId="61" xfId="204" applyFont="true" applyBorder="true" applyAlignment="true" applyProtection="false">
      <alignment horizontal="general" vertical="bottom" textRotation="0" wrapText="false" indent="0" shrinkToFit="false"/>
      <protection locked="true" hidden="false"/>
    </xf>
    <xf numFmtId="164" fontId="6" fillId="0" borderId="82" xfId="204" applyFont="true" applyBorder="true" applyAlignment="true" applyProtection="false">
      <alignment horizontal="general" vertical="bottom" textRotation="0" wrapText="false" indent="0" shrinkToFit="false"/>
      <protection locked="true" hidden="false"/>
    </xf>
    <xf numFmtId="183" fontId="6" fillId="0" borderId="55" xfId="204" applyFont="true" applyBorder="true" applyAlignment="true" applyProtection="false">
      <alignment horizontal="general" vertical="bottom" textRotation="0" wrapText="false" indent="0" shrinkToFit="false"/>
      <protection locked="true" hidden="false"/>
    </xf>
    <xf numFmtId="164" fontId="34" fillId="0" borderId="15" xfId="204" applyFont="true" applyBorder="true" applyAlignment="true" applyProtection="false">
      <alignment horizontal="general" vertical="bottom" textRotation="0" wrapText="false" indent="0" shrinkToFit="false"/>
      <protection locked="true" hidden="false"/>
    </xf>
    <xf numFmtId="165" fontId="34" fillId="0" borderId="57" xfId="144" applyFont="true" applyBorder="true" applyAlignment="false" applyProtection="true">
      <alignment horizontal="general" vertical="bottom" textRotation="0" wrapText="false" indent="0" shrinkToFit="false"/>
      <protection locked="true" hidden="false"/>
    </xf>
    <xf numFmtId="165" fontId="6" fillId="0" borderId="0" xfId="144" applyFont="true" applyBorder="true" applyAlignment="true" applyProtection="true">
      <alignment horizontal="right" vertical="bottom" textRotation="0" wrapText="false" indent="0" shrinkToFit="false"/>
      <protection locked="true" hidden="false"/>
    </xf>
    <xf numFmtId="183" fontId="34" fillId="0" borderId="15" xfId="144" applyFont="true" applyBorder="true" applyAlignment="true" applyProtection="false">
      <alignment horizontal="left" vertical="bottom" textRotation="0" wrapText="false" indent="0" shrinkToFit="false"/>
      <protection locked="true" hidden="false"/>
    </xf>
    <xf numFmtId="183" fontId="34" fillId="0" borderId="0" xfId="144" applyFont="true" applyBorder="true" applyAlignment="false" applyProtection="false">
      <alignment horizontal="general" vertical="bottom" textRotation="0" wrapText="false" indent="0" shrinkToFit="false"/>
      <protection locked="true" hidden="false"/>
    </xf>
    <xf numFmtId="165" fontId="6" fillId="0" borderId="57" xfId="141" applyFont="true" applyBorder="true" applyAlignment="true" applyProtection="false">
      <alignment horizontal="general" vertical="bottom" textRotation="0" wrapText="false" indent="0" shrinkToFit="false"/>
      <protection locked="true" hidden="false"/>
    </xf>
    <xf numFmtId="183" fontId="6" fillId="0" borderId="45" xfId="144" applyFont="true" applyBorder="true" applyAlignment="true" applyProtection="false">
      <alignment horizontal="left" vertical="bottom" textRotation="0" wrapText="false" indent="0" shrinkToFit="false"/>
      <protection locked="true" hidden="false"/>
    </xf>
    <xf numFmtId="224" fontId="6" fillId="0" borderId="72" xfId="144" applyFont="true" applyBorder="true" applyAlignment="false" applyProtection="false">
      <alignment horizontal="general" vertical="bottom" textRotation="0" wrapText="false" indent="0" shrinkToFit="false"/>
      <protection locked="true" hidden="false"/>
    </xf>
    <xf numFmtId="183" fontId="82" fillId="0" borderId="15" xfId="144" applyFont="true" applyBorder="true" applyAlignment="true" applyProtection="false">
      <alignment horizontal="left" vertical="bottom" textRotation="0" wrapText="false" indent="0" shrinkToFit="false"/>
      <protection locked="true" hidden="false"/>
    </xf>
    <xf numFmtId="183" fontId="64" fillId="0" borderId="15" xfId="144" applyFont="true" applyBorder="true" applyAlignment="true" applyProtection="false">
      <alignment horizontal="left" vertical="bottom" textRotation="0" wrapText="false" indent="0" shrinkToFit="false"/>
      <protection locked="true" hidden="false"/>
    </xf>
    <xf numFmtId="183" fontId="34" fillId="0" borderId="54" xfId="144" applyFont="true" applyBorder="true" applyAlignment="false" applyProtection="false">
      <alignment horizontal="general" vertical="bottom" textRotation="0" wrapText="false" indent="0" shrinkToFit="false"/>
      <protection locked="true" hidden="false"/>
    </xf>
    <xf numFmtId="183" fontId="34" fillId="0" borderId="8" xfId="144" applyFont="true" applyBorder="true" applyAlignment="true" applyProtection="false">
      <alignment horizontal="left" vertical="bottom" textRotation="0" wrapText="false" indent="0" shrinkToFit="false"/>
      <protection locked="true" hidden="false"/>
    </xf>
    <xf numFmtId="183" fontId="6" fillId="0" borderId="51" xfId="144" applyFont="true" applyBorder="true" applyAlignment="false" applyProtection="false">
      <alignment horizontal="general" vertical="bottom" textRotation="0" wrapText="false" indent="0" shrinkToFit="false"/>
      <protection locked="true" hidden="false"/>
    </xf>
    <xf numFmtId="227" fontId="34" fillId="0" borderId="51" xfId="144" applyFont="true" applyBorder="true" applyAlignment="false" applyProtection="false">
      <alignment horizontal="general" vertical="bottom" textRotation="0" wrapText="false" indent="0" shrinkToFit="false"/>
      <protection locked="true" hidden="false"/>
    </xf>
    <xf numFmtId="164" fontId="6" fillId="0" borderId="9" xfId="204" applyFont="true" applyBorder="true" applyAlignment="true" applyProtection="false">
      <alignment horizontal="general" vertical="bottom" textRotation="0" wrapText="false" indent="0" shrinkToFit="false"/>
      <protection locked="true" hidden="false"/>
    </xf>
    <xf numFmtId="185" fontId="6" fillId="15" borderId="70" xfId="141" applyFont="true" applyBorder="true" applyAlignment="true" applyProtection="false">
      <alignment horizontal="general" vertical="bottom" textRotation="0" wrapText="false" indent="0" shrinkToFit="false"/>
      <protection locked="true" hidden="false"/>
    </xf>
    <xf numFmtId="183" fontId="6" fillId="15" borderId="70" xfId="144" applyFont="true" applyBorder="true" applyAlignment="false" applyProtection="false">
      <alignment horizontal="general" vertical="bottom" textRotation="0" wrapText="false" indent="0" shrinkToFit="false"/>
      <protection locked="true" hidden="false"/>
    </xf>
    <xf numFmtId="185" fontId="86" fillId="15" borderId="0" xfId="141" applyFont="true" applyBorder="false" applyAlignment="true" applyProtection="false">
      <alignment horizontal="general" vertical="bottom" textRotation="0" wrapText="false" indent="0" shrinkToFit="false"/>
      <protection locked="true" hidden="false"/>
    </xf>
    <xf numFmtId="185" fontId="6" fillId="15" borderId="0" xfId="141" applyFont="true" applyBorder="false" applyAlignment="true" applyProtection="false">
      <alignment horizontal="general" vertical="bottom" textRotation="0" wrapText="false" indent="0" shrinkToFit="false"/>
      <protection locked="true" hidden="false"/>
    </xf>
    <xf numFmtId="183" fontId="6" fillId="15" borderId="0" xfId="144" applyFont="true" applyBorder="false" applyAlignment="false" applyProtection="false">
      <alignment horizontal="general" vertical="bottom" textRotation="0" wrapText="false" indent="0" shrinkToFit="false"/>
      <protection locked="true" hidden="false"/>
    </xf>
    <xf numFmtId="165" fontId="6" fillId="15" borderId="0" xfId="51" applyFont="true" applyBorder="true" applyAlignment="true" applyProtection="true">
      <alignment horizontal="general" vertical="bottom" textRotation="0" wrapText="false" indent="0" shrinkToFit="false"/>
      <protection locked="true" hidden="false"/>
    </xf>
    <xf numFmtId="165" fontId="6" fillId="15" borderId="0" xfId="141" applyFont="true" applyBorder="false" applyAlignment="true" applyProtection="false">
      <alignment horizontal="general" vertical="bottom" textRotation="0" wrapText="false" indent="0" shrinkToFit="false"/>
      <protection locked="true" hidden="false"/>
    </xf>
    <xf numFmtId="183" fontId="6" fillId="15" borderId="71" xfId="144" applyFont="true" applyBorder="true" applyAlignment="false" applyProtection="false">
      <alignment horizontal="general" vertical="bottom" textRotation="0" wrapText="false" indent="0" shrinkToFit="false"/>
      <protection locked="true" hidden="false"/>
    </xf>
    <xf numFmtId="185" fontId="6" fillId="15" borderId="71" xfId="141" applyFont="true" applyBorder="true" applyAlignment="true" applyProtection="false">
      <alignment horizontal="general" vertical="bottom" textRotation="0" wrapText="false" indent="0" shrinkToFit="false"/>
      <protection locked="true" hidden="false"/>
    </xf>
    <xf numFmtId="185" fontId="86" fillId="15" borderId="0" xfId="141" applyFont="true" applyBorder="false" applyAlignment="true" applyProtection="false">
      <alignment horizontal="left" vertical="bottom" textRotation="0" wrapText="false" indent="0" shrinkToFit="false"/>
      <protection locked="true" hidden="false"/>
    </xf>
    <xf numFmtId="195" fontId="6" fillId="15" borderId="0" xfId="141" applyFont="true" applyBorder="false" applyAlignment="true" applyProtection="false">
      <alignment horizontal="general" vertical="bottom" textRotation="0" wrapText="false" indent="0" shrinkToFit="false"/>
      <protection locked="true" hidden="false"/>
    </xf>
    <xf numFmtId="185" fontId="6" fillId="15" borderId="0" xfId="141" applyFont="true" applyBorder="false" applyAlignment="true" applyProtection="false">
      <alignment horizontal="left" vertical="bottom" textRotation="0" wrapText="false" indent="0" shrinkToFit="false"/>
      <protection locked="true" hidden="false"/>
    </xf>
    <xf numFmtId="183" fontId="6" fillId="15" borderId="0" xfId="144" applyFont="true" applyBorder="true" applyAlignment="true" applyProtection="false">
      <alignment horizontal="right" vertical="bottom" textRotation="0" wrapText="false" indent="0" shrinkToFit="false"/>
      <protection locked="true" hidden="false"/>
    </xf>
    <xf numFmtId="183" fontId="6" fillId="15" borderId="0" xfId="141" applyFont="true" applyBorder="false" applyAlignment="true" applyProtection="false">
      <alignment horizontal="general" vertical="bottom" textRotation="0" wrapText="false" indent="0" shrinkToFit="false"/>
      <protection locked="true" hidden="false"/>
    </xf>
    <xf numFmtId="211" fontId="6" fillId="15" borderId="0" xfId="141" applyFont="true" applyBorder="false" applyAlignment="true" applyProtection="false">
      <alignment horizontal="general" vertical="bottom" textRotation="0" wrapText="false" indent="0" shrinkToFit="false"/>
      <protection locked="true" hidden="false"/>
    </xf>
    <xf numFmtId="183" fontId="6" fillId="0" borderId="0" xfId="144" applyFont="true" applyBorder="true" applyAlignment="false" applyProtection="false">
      <alignment horizontal="general" vertical="bottom" textRotation="0" wrapText="false" indent="0" shrinkToFit="false"/>
      <protection locked="true" hidden="false"/>
    </xf>
    <xf numFmtId="183" fontId="90" fillId="0" borderId="0" xfId="144" applyFont="true" applyBorder="false" applyAlignment="true" applyProtection="false">
      <alignment horizontal="left" vertical="bottom" textRotation="0" wrapText="false" indent="0" shrinkToFit="false"/>
      <protection locked="true" hidden="false"/>
    </xf>
    <xf numFmtId="183" fontId="6" fillId="0" borderId="58" xfId="144" applyFont="true" applyBorder="true" applyAlignment="false" applyProtection="false">
      <alignment horizontal="general" vertical="bottom" textRotation="0" wrapText="false" indent="0" shrinkToFit="false"/>
      <protection locked="true" hidden="false"/>
    </xf>
    <xf numFmtId="183" fontId="90" fillId="0" borderId="0" xfId="144" applyFont="true" applyBorder="false" applyAlignment="false" applyProtection="false">
      <alignment horizontal="general" vertical="bottom" textRotation="0" wrapText="false" indent="0" shrinkToFit="false"/>
      <protection locked="true" hidden="false"/>
    </xf>
    <xf numFmtId="183" fontId="6" fillId="0" borderId="83" xfId="144" applyFont="true" applyBorder="true" applyAlignment="false" applyProtection="false">
      <alignment horizontal="general" vertical="bottom" textRotation="0" wrapText="false" indent="0" shrinkToFit="false"/>
      <protection locked="true" hidden="false"/>
    </xf>
    <xf numFmtId="183" fontId="6" fillId="0" borderId="84" xfId="144" applyFont="true" applyBorder="true" applyAlignment="false" applyProtection="false">
      <alignment horizontal="general" vertical="bottom" textRotation="0" wrapText="false" indent="0" shrinkToFit="false"/>
      <protection locked="true" hidden="false"/>
    </xf>
    <xf numFmtId="201" fontId="6" fillId="0" borderId="0" xfId="204" applyFont="true" applyBorder="false" applyAlignment="true" applyProtection="false">
      <alignment horizontal="general" vertical="bottom" textRotation="0" wrapText="false" indent="0" shrinkToFit="false"/>
      <protection locked="true" hidden="false"/>
    </xf>
    <xf numFmtId="183" fontId="91" fillId="0" borderId="0" xfId="144" applyFont="true" applyBorder="false" applyAlignment="false" applyProtection="false">
      <alignment horizontal="general" vertical="bottom" textRotation="0" wrapText="false" indent="0" shrinkToFit="false"/>
      <protection locked="true" hidden="false"/>
    </xf>
    <xf numFmtId="183" fontId="6" fillId="0" borderId="72" xfId="144" applyFont="true" applyBorder="true" applyAlignment="false" applyProtection="false">
      <alignment horizontal="general" vertical="bottom" textRotation="0" wrapText="false" indent="0" shrinkToFit="false"/>
      <protection locked="true" hidden="false"/>
    </xf>
    <xf numFmtId="183" fontId="6" fillId="0" borderId="46" xfId="144" applyFont="true" applyBorder="true" applyAlignment="true" applyProtection="false">
      <alignment horizontal="center" vertical="bottom" textRotation="0" wrapText="false" indent="0" shrinkToFit="false"/>
      <protection locked="true" hidden="false"/>
    </xf>
    <xf numFmtId="235" fontId="84" fillId="0" borderId="0" xfId="144" applyFont="true" applyBorder="false" applyAlignment="false" applyProtection="true">
      <alignment horizontal="general" vertical="bottom" textRotation="0" wrapText="false" indent="0" shrinkToFit="false"/>
      <protection locked="false" hidden="false"/>
    </xf>
    <xf numFmtId="235" fontId="6" fillId="0" borderId="0" xfId="144" applyFont="true" applyBorder="false" applyAlignment="false" applyProtection="true">
      <alignment horizontal="general" vertical="bottom" textRotation="0" wrapText="false" indent="0" shrinkToFit="false"/>
      <protection locked="true" hidden="false"/>
    </xf>
    <xf numFmtId="236" fontId="84" fillId="0" borderId="0" xfId="144" applyFont="true" applyBorder="false" applyAlignment="false" applyProtection="true">
      <alignment horizontal="general" vertical="bottom" textRotation="0" wrapText="false" indent="0" shrinkToFit="false"/>
      <protection locked="false" hidden="false"/>
    </xf>
    <xf numFmtId="189" fontId="6" fillId="0" borderId="83" xfId="144" applyFont="true" applyBorder="true" applyAlignment="false" applyProtection="true">
      <alignment horizontal="general" vertical="bottom" textRotation="0" wrapText="false" indent="0" shrinkToFit="false"/>
      <protection locked="true" hidden="false"/>
    </xf>
    <xf numFmtId="183" fontId="92" fillId="0" borderId="0" xfId="0" applyFont="true" applyBorder="true" applyAlignment="false" applyProtection="true">
      <alignment horizontal="general" vertical="bottom" textRotation="0" wrapText="fals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false" applyProtection="true">
      <alignment horizontal="general" vertical="bottom" textRotation="0" wrapText="false" indent="0" shrinkToFit="false"/>
      <protection locked="true" hidden="false"/>
    </xf>
    <xf numFmtId="164" fontId="26" fillId="0" borderId="4" xfId="0" applyFont="true" applyBorder="true" applyAlignment="true" applyProtection="true">
      <alignment horizontal="center" vertical="bottom" textRotation="0" wrapText="false" indent="0" shrinkToFit="false"/>
      <protection locked="true" hidden="false"/>
    </xf>
    <xf numFmtId="164" fontId="26" fillId="0" borderId="52" xfId="0" applyFont="true" applyBorder="true" applyAlignment="true" applyProtection="false">
      <alignment horizontal="center" vertical="bottom" textRotation="0" wrapText="false" indent="0" shrinkToFit="false"/>
      <protection locked="true" hidden="false"/>
    </xf>
    <xf numFmtId="164" fontId="26" fillId="0" borderId="5" xfId="0" applyFont="true" applyBorder="true" applyAlignment="true" applyProtection="true">
      <alignment horizontal="center" vertical="bottom" textRotation="0" wrapText="false" indent="0" shrinkToFit="false"/>
      <protection locked="true" hidden="false"/>
    </xf>
    <xf numFmtId="164" fontId="94" fillId="0" borderId="4" xfId="0" applyFont="true" applyBorder="true" applyAlignment="true" applyProtection="true">
      <alignment horizontal="center" vertical="bottom" textRotation="0" wrapText="false" indent="0" shrinkToFit="false"/>
      <protection locked="true" hidden="false"/>
    </xf>
    <xf numFmtId="164" fontId="95" fillId="0" borderId="4" xfId="0" applyFont="true" applyBorder="true" applyAlignment="true" applyProtection="true">
      <alignment horizontal="center" vertical="bottom" textRotation="0" wrapText="false" indent="0" shrinkToFit="false"/>
      <protection locked="true" hidden="false"/>
    </xf>
    <xf numFmtId="164" fontId="26" fillId="0" borderId="31" xfId="0" applyFont="true" applyBorder="true" applyAlignment="true" applyProtection="true">
      <alignment horizontal="center" vertical="bottom" textRotation="0" wrapText="false" indent="0" shrinkToFit="false"/>
      <protection locked="true" hidden="false"/>
    </xf>
    <xf numFmtId="164" fontId="26" fillId="0" borderId="6" xfId="0" applyFont="true" applyBorder="true" applyAlignment="true" applyProtection="true">
      <alignment horizontal="center" vertical="bottom" textRotation="0" wrapText="false" indent="0" shrinkToFit="false"/>
      <protection locked="true" hidden="false"/>
    </xf>
    <xf numFmtId="164" fontId="26" fillId="0" borderId="7" xfId="0" applyFont="true" applyBorder="true" applyAlignment="true" applyProtection="true">
      <alignment horizontal="center" vertical="bottom" textRotation="0" wrapText="false" indent="0" shrinkToFit="false"/>
      <protection locked="true" hidden="false"/>
    </xf>
    <xf numFmtId="195" fontId="26" fillId="0" borderId="13"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center" vertical="bottom" textRotation="0" wrapText="false" indent="0" shrinkToFit="false"/>
      <protection locked="true" hidden="false"/>
    </xf>
    <xf numFmtId="164" fontId="94" fillId="0" borderId="31" xfId="0" applyFont="true" applyBorder="true" applyAlignment="true" applyProtection="true">
      <alignment horizontal="center" vertical="bottom" textRotation="0" wrapText="false" indent="0" shrinkToFit="false"/>
      <protection locked="true" hidden="false"/>
    </xf>
    <xf numFmtId="164" fontId="95" fillId="0" borderId="31" xfId="0" applyFont="true" applyBorder="true" applyAlignment="true" applyProtection="true">
      <alignment horizontal="center" vertical="bottom" textRotation="0" wrapText="false" indent="0" shrinkToFit="false"/>
      <protection locked="true" hidden="false"/>
    </xf>
    <xf numFmtId="164" fontId="23" fillId="0" borderId="35" xfId="0" applyFont="true" applyBorder="true" applyAlignment="false" applyProtection="true">
      <alignment horizontal="general" vertical="bottom" textRotation="0" wrapText="false" indent="0" shrinkToFit="false"/>
      <protection locked="true" hidden="false"/>
    </xf>
    <xf numFmtId="164" fontId="26" fillId="0" borderId="22" xfId="0" applyFont="true" applyBorder="true" applyAlignment="true" applyProtection="true">
      <alignment horizontal="center" vertical="bottom" textRotation="0" wrapText="false" indent="0" shrinkToFit="false"/>
      <protection locked="true" hidden="false"/>
    </xf>
    <xf numFmtId="164" fontId="26" fillId="0" borderId="27" xfId="0" applyFont="true" applyBorder="true" applyAlignment="true" applyProtection="true">
      <alignment horizontal="center" vertical="bottom" textRotation="0" wrapText="false" indent="0" shrinkToFit="false"/>
      <protection locked="true" hidden="false"/>
    </xf>
    <xf numFmtId="164" fontId="26" fillId="0" borderId="23" xfId="0" applyFont="true" applyBorder="true" applyAlignment="true" applyProtection="true">
      <alignment horizontal="center" vertical="bottom" textRotation="0" wrapText="false" indent="0" shrinkToFit="false"/>
      <protection locked="true" hidden="false"/>
    </xf>
    <xf numFmtId="164" fontId="33" fillId="0" borderId="35" xfId="0" applyFont="true" applyBorder="true" applyAlignment="true" applyProtection="true">
      <alignment horizontal="center" vertical="bottom" textRotation="0" wrapText="false" indent="0" shrinkToFit="false"/>
      <protection locked="true" hidden="false"/>
    </xf>
    <xf numFmtId="164" fontId="19" fillId="0" borderId="35" xfId="0" applyFont="true" applyBorder="true" applyAlignment="true" applyProtection="true">
      <alignment horizontal="center" vertical="bottom" textRotation="0" wrapText="false" indent="0" shrinkToFit="false"/>
      <protection locked="true" hidden="false"/>
    </xf>
    <xf numFmtId="220" fontId="0" fillId="0" borderId="0" xfId="0" applyFont="false" applyBorder="true" applyAlignment="false" applyProtection="true">
      <alignment horizontal="general" vertical="bottom" textRotation="0" wrapText="false" indent="0" shrinkToFit="false"/>
      <protection locked="true" hidden="false"/>
    </xf>
    <xf numFmtId="199" fontId="0" fillId="0" borderId="0" xfId="0" applyFont="false" applyBorder="false" applyAlignment="false" applyProtection="false">
      <alignment horizontal="general" vertical="bottom" textRotation="0" wrapText="false" indent="0" shrinkToFit="false"/>
      <protection locked="true" hidden="false"/>
    </xf>
    <xf numFmtId="195" fontId="0" fillId="0" borderId="0" xfId="0" applyFont="false" applyBorder="false" applyAlignment="false" applyProtection="false">
      <alignment horizontal="general" vertical="bottom" textRotation="0" wrapText="false" indent="0" shrinkToFit="false"/>
      <protection locked="true" hidden="false"/>
    </xf>
    <xf numFmtId="192" fontId="0" fillId="5" borderId="0" xfId="0" applyFont="false" applyBorder="true" applyAlignment="false" applyProtection="true">
      <alignment horizontal="general" vertical="bottom" textRotation="0" wrapText="false" indent="0" shrinkToFit="false"/>
      <protection locked="true" hidden="false"/>
    </xf>
    <xf numFmtId="199" fontId="0" fillId="0" borderId="0" xfId="0" applyFont="true" applyBorder="true" applyAlignment="false" applyProtection="true">
      <alignment horizontal="general" vertical="bottom" textRotation="0" wrapText="false" indent="0" shrinkToFit="false"/>
      <protection locked="true" hidden="false"/>
    </xf>
    <xf numFmtId="199" fontId="0" fillId="0" borderId="0" xfId="0" applyFont="false" applyBorder="true" applyAlignment="false" applyProtection="true">
      <alignment horizontal="general" vertical="bottom" textRotation="0" wrapText="false" indent="0" shrinkToFit="false"/>
      <protection locked="true" hidden="false"/>
    </xf>
    <xf numFmtId="192" fontId="0" fillId="0" borderId="0" xfId="0" applyFont="false" applyBorder="true" applyAlignment="false" applyProtection="true">
      <alignment horizontal="general" vertical="bottom" textRotation="0" wrapText="false" indent="0" shrinkToFit="false"/>
      <protection locked="true" hidden="false"/>
    </xf>
    <xf numFmtId="195" fontId="48"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tru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90" fontId="23" fillId="0" borderId="0" xfId="0" applyFont="true" applyBorder="fals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true" hidden="false"/>
    </xf>
    <xf numFmtId="190" fontId="23" fillId="0" borderId="0" xfId="0" applyFont="true" applyBorder="true" applyAlignment="fals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left" vertical="bottom" textRotation="0" wrapText="false" indent="0" shrinkToFit="false"/>
      <protection locked="true" hidden="false"/>
    </xf>
    <xf numFmtId="220" fontId="0" fillId="2" borderId="14" xfId="0" applyFont="false" applyBorder="true" applyAlignment="false" applyProtection="true">
      <alignment horizontal="general" vertical="bottom" textRotation="0" wrapText="false" indent="0" shrinkToFit="false"/>
      <protection locked="true" hidden="false"/>
    </xf>
    <xf numFmtId="226" fontId="0" fillId="0" borderId="0" xfId="0" applyFont="false" applyBorder="false" applyAlignment="false" applyProtection="true">
      <alignment horizontal="general" vertical="bottom" textRotation="0" wrapText="false" indent="0" shrinkToFit="false"/>
      <protection locked="true" hidden="false"/>
    </xf>
    <xf numFmtId="164" fontId="26" fillId="0" borderId="31" xfId="0" applyFont="tru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true">
      <alignment horizontal="center" vertical="bottom" textRotation="0" wrapText="false" indent="0" shrinkToFit="false"/>
      <protection locked="true" hidden="false"/>
    </xf>
    <xf numFmtId="164" fontId="0" fillId="0" borderId="3" xfId="0" applyFont="true" applyBorder="true" applyAlignment="true" applyProtection="true">
      <alignment horizontal="center" vertical="bottom" textRotation="0" wrapText="false" indent="0" shrinkToFit="false"/>
      <protection locked="true" hidden="false"/>
    </xf>
    <xf numFmtId="195" fontId="26" fillId="0" borderId="7" xfId="0" applyFont="true" applyBorder="true" applyAlignment="true" applyProtection="false">
      <alignment horizontal="center" vertical="bottom" textRotation="0" wrapText="false" indent="0" shrinkToFit="false"/>
      <protection locked="true" hidden="false"/>
    </xf>
    <xf numFmtId="177" fontId="0" fillId="0" borderId="6" xfId="0" applyFont="false" applyBorder="true" applyAlignment="false" applyProtection="true">
      <alignment horizontal="general" vertical="bottom" textRotation="0" wrapText="false" indent="0" shrinkToFit="false"/>
      <protection locked="true" hidden="false"/>
    </xf>
    <xf numFmtId="195" fontId="23" fillId="0" borderId="7" xfId="0" applyFont="true" applyBorder="true" applyAlignment="false" applyProtection="true">
      <alignment horizontal="general" vertical="bottom" textRotation="0" wrapText="false" indent="0" shrinkToFit="false"/>
      <protection locked="true" hidden="false"/>
    </xf>
    <xf numFmtId="190" fontId="47" fillId="0" borderId="0" xfId="0" applyFont="true" applyBorder="true" applyAlignment="false" applyProtection="true">
      <alignment horizontal="general" vertical="bottom" textRotation="0" wrapText="false" indent="0" shrinkToFit="false"/>
      <protection locked="true" hidden="false"/>
    </xf>
    <xf numFmtId="237" fontId="0" fillId="0" borderId="0" xfId="0" applyFont="false" applyBorder="false" applyAlignment="false" applyProtection="true">
      <alignment horizontal="general" vertical="bottom" textRotation="0" wrapText="false" indent="0" shrinkToFit="false"/>
      <protection locked="true" hidden="false"/>
    </xf>
    <xf numFmtId="204" fontId="23" fillId="0" borderId="0" xfId="0" applyFont="true" applyBorder="false" applyAlignment="true" applyProtection="true">
      <alignment horizontal="center" vertical="bottom" textRotation="0" wrapText="false" indent="0" shrinkToFit="false"/>
      <protection locked="false" hidden="false"/>
    </xf>
    <xf numFmtId="164" fontId="0" fillId="0" borderId="0" xfId="0" applyFont="true" applyBorder="false" applyAlignment="true" applyProtection="true">
      <alignment horizontal="center" vertical="bottom" textRotation="0" wrapText="false" indent="0" shrinkToFit="false"/>
      <protection locked="true" hidden="false"/>
    </xf>
    <xf numFmtId="170" fontId="14" fillId="0" borderId="0" xfId="15" applyFont="true" applyBorder="true" applyAlignment="true" applyProtection="true">
      <alignment horizontal="center" vertical="bottom" textRotation="0" wrapText="false" indent="0" shrinkToFit="false"/>
      <protection locked="false" hidden="false"/>
    </xf>
    <xf numFmtId="164" fontId="14" fillId="0" borderId="0" xfId="0" applyFont="true" applyBorder="true" applyAlignment="true" applyProtection="false">
      <alignment horizontal="center" vertical="bottom" textRotation="0" wrapText="false" indent="0" shrinkToFit="false"/>
      <protection locked="true" hidden="false"/>
    </xf>
    <xf numFmtId="220" fontId="0" fillId="2" borderId="14" xfId="0" applyFont="false" applyBorder="true" applyAlignment="false" applyProtection="false">
      <alignment horizontal="general" vertical="bottom" textRotation="0" wrapText="false" indent="0" shrinkToFit="false"/>
      <protection locked="true" hidden="false"/>
    </xf>
    <xf numFmtId="238" fontId="0" fillId="0" borderId="0" xfId="0" applyFont="false" applyBorder="true" applyAlignment="false" applyProtection="true">
      <alignment horizontal="general" vertical="bottom" textRotation="0" wrapText="false" indent="0" shrinkToFit="false"/>
      <protection locked="true" hidden="false"/>
    </xf>
    <xf numFmtId="164" fontId="47" fillId="0" borderId="0" xfId="0" applyFont="true" applyBorder="tru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false" hidden="false"/>
    </xf>
    <xf numFmtId="239" fontId="23" fillId="0" borderId="0" xfId="0" applyFont="true" applyBorder="false" applyAlignment="true" applyProtection="true">
      <alignment horizontal="center" vertical="bottom" textRotation="0" wrapText="false" indent="0" shrinkToFit="false"/>
      <protection locked="false" hidden="false"/>
    </xf>
    <xf numFmtId="190" fontId="0" fillId="0" borderId="0" xfId="0" applyFont="false" applyBorder="false" applyAlignment="false" applyProtection="true">
      <alignment horizontal="general" vertical="bottom" textRotation="0" wrapText="false" indent="0" shrinkToFit="false"/>
      <protection locked="true" hidden="false"/>
    </xf>
    <xf numFmtId="201" fontId="23" fillId="0" borderId="0" xfId="0" applyFont="true" applyBorder="true" applyAlignment="false" applyProtection="true">
      <alignment horizontal="general" vertical="bottom" textRotation="0" wrapText="false" indent="0" shrinkToFit="false"/>
      <protection locked="true" hidden="false"/>
    </xf>
    <xf numFmtId="201" fontId="33" fillId="0" borderId="0" xfId="0" applyFont="true" applyBorder="true" applyAlignment="false" applyProtection="true">
      <alignment horizontal="general" vertical="bottom" textRotation="0" wrapText="false" indent="0" shrinkToFit="false"/>
      <protection locked="true" hidden="false"/>
    </xf>
    <xf numFmtId="170" fontId="14" fillId="0" borderId="0" xfId="0" applyFont="true" applyBorder="true" applyAlignment="false" applyProtection="false">
      <alignment horizontal="general" vertical="bottom" textRotation="0" wrapText="false" indent="0" shrinkToFit="false"/>
      <protection locked="true" hidden="false"/>
    </xf>
    <xf numFmtId="201" fontId="0" fillId="0" borderId="0" xfId="0" applyFont="false" applyBorder="true" applyAlignment="false" applyProtection="false">
      <alignment horizontal="general" vertical="bottom" textRotation="0" wrapText="false" indent="0" shrinkToFit="false"/>
      <protection locked="true" hidden="false"/>
    </xf>
    <xf numFmtId="240" fontId="0" fillId="0" borderId="0" xfId="0" applyFont="false" applyBorder="true" applyAlignment="false" applyProtection="false">
      <alignment horizontal="general" vertical="bottom" textRotation="0" wrapText="false" indent="0" shrinkToFit="false"/>
      <protection locked="true" hidden="false"/>
    </xf>
    <xf numFmtId="236" fontId="0" fillId="0" borderId="0" xfId="0" applyFont="false" applyBorder="false" applyAlignment="false" applyProtection="true">
      <alignment horizontal="general" vertical="bottom" textRotation="0" wrapText="false" indent="0" shrinkToFit="false"/>
      <protection locked="true" hidden="false"/>
    </xf>
    <xf numFmtId="240" fontId="33" fillId="0" borderId="0" xfId="0" applyFont="true" applyBorder="true" applyAlignment="false" applyProtection="false">
      <alignment horizontal="general" vertical="bottom" textRotation="0" wrapText="false" indent="0" shrinkToFit="false"/>
      <protection locked="true" hidden="false"/>
    </xf>
    <xf numFmtId="170" fontId="33" fillId="0" borderId="0" xfId="0" applyFont="true" applyBorder="true" applyAlignment="false" applyProtection="false">
      <alignment horizontal="general" vertical="bottom" textRotation="0" wrapText="false" indent="0" shrinkToFit="false"/>
      <protection locked="true" hidden="false"/>
    </xf>
    <xf numFmtId="237" fontId="0" fillId="0" borderId="0" xfId="0" applyFont="true" applyBorder="false" applyAlignment="true" applyProtection="true">
      <alignment horizontal="center" vertical="bottom" textRotation="0" wrapText="false" indent="0" shrinkToFit="false"/>
      <protection locked="true" hidden="false"/>
    </xf>
    <xf numFmtId="241" fontId="23" fillId="0" borderId="0" xfId="0" applyFont="true" applyBorder="true" applyAlignment="false" applyProtection="true">
      <alignment horizontal="general" vertical="bottom" textRotation="0" wrapText="false" indent="0" shrinkToFit="false"/>
      <protection locked="true" hidden="false"/>
    </xf>
    <xf numFmtId="242" fontId="23" fillId="0" borderId="0" xfId="0" applyFont="true" applyBorder="false" applyAlignment="false" applyProtection="true">
      <alignment horizontal="general" vertical="bottom" textRotation="0" wrapText="false" indent="0" shrinkToFit="false"/>
      <protection locked="false" hidden="false"/>
    </xf>
    <xf numFmtId="183" fontId="23" fillId="0" borderId="0" xfId="0" applyFont="true" applyBorder="true" applyAlignment="false" applyProtection="true">
      <alignment horizontal="general" vertical="bottom" textRotation="0" wrapText="false" indent="0" shrinkToFit="false"/>
      <protection locked="true" hidden="false"/>
    </xf>
    <xf numFmtId="189" fontId="0" fillId="0" borderId="6" xfId="0" applyFont="false" applyBorder="true" applyAlignment="false" applyProtection="true">
      <alignment horizontal="general" vertical="bottom" textRotation="0" wrapText="false" indent="0" shrinkToFit="false"/>
      <protection locked="true" hidden="false"/>
    </xf>
    <xf numFmtId="189" fontId="0" fillId="0" borderId="22" xfId="0" applyFont="false" applyBorder="true" applyAlignment="false" applyProtection="true">
      <alignment horizontal="general" vertical="bottom" textRotation="0" wrapText="false" indent="0" shrinkToFit="false"/>
      <protection locked="true" hidden="false"/>
    </xf>
    <xf numFmtId="195" fontId="23" fillId="0" borderId="23" xfId="0" applyFont="true" applyBorder="true" applyAlignment="false" applyProtection="true">
      <alignment horizontal="general" vertical="bottom" textRotation="0" wrapText="false" indent="0" shrinkToFit="false"/>
      <protection locked="true" hidden="false"/>
    </xf>
    <xf numFmtId="204" fontId="0" fillId="0" borderId="0" xfId="0" applyFont="false" applyBorder="false" applyAlignment="false" applyProtection="true">
      <alignment horizontal="general" vertical="bottom" textRotation="0" wrapText="false" indent="0" shrinkToFit="false"/>
      <protection locked="true" hidden="false"/>
    </xf>
    <xf numFmtId="195" fontId="0" fillId="0" borderId="0" xfId="0" applyFont="false" applyBorder="false" applyAlignment="false" applyProtection="true">
      <alignment horizontal="general" vertical="bottom" textRotation="0" wrapText="false" indent="0" shrinkToFit="false"/>
      <protection locked="true" hidden="false"/>
    </xf>
    <xf numFmtId="199" fontId="23" fillId="0" borderId="0" xfId="0" applyFont="true" applyBorder="true" applyAlignment="false" applyProtection="true">
      <alignment horizontal="general" vertical="bottom" textRotation="0" wrapText="false" indent="0" shrinkToFit="false"/>
      <protection locked="true" hidden="false"/>
    </xf>
    <xf numFmtId="170" fontId="14" fillId="0" borderId="0" xfId="15" applyFont="true" applyBorder="true" applyAlignment="true" applyProtection="true">
      <alignment horizontal="center" vertical="bottom" textRotation="0" wrapText="false" indent="0" shrinkToFit="false"/>
      <protection locked="true" hidden="false"/>
    </xf>
    <xf numFmtId="240" fontId="48" fillId="0" borderId="0" xfId="0" applyFont="true" applyBorder="true" applyAlignment="false" applyProtection="false">
      <alignment horizontal="general" vertical="bottom" textRotation="0" wrapText="false" indent="0" shrinkToFit="false"/>
      <protection locked="true" hidden="false"/>
    </xf>
    <xf numFmtId="220" fontId="48" fillId="0" borderId="0" xfId="0" applyFont="true" applyBorder="true" applyAlignment="false" applyProtection="true">
      <alignment horizontal="general" vertical="bottom" textRotation="0" wrapText="false" indent="0" shrinkToFit="false"/>
      <protection locked="true" hidden="false"/>
    </xf>
    <xf numFmtId="170" fontId="48" fillId="0" borderId="0" xfId="0" applyFont="true" applyBorder="false" applyAlignment="false" applyProtection="true">
      <alignment horizontal="general" vertical="bottom" textRotation="0" wrapText="false" indent="0" shrinkToFit="false"/>
      <protection locked="true" hidden="false"/>
    </xf>
    <xf numFmtId="164" fontId="48" fillId="0" borderId="0" xfId="0" applyFont="true" applyBorder="true" applyAlignment="false" applyProtection="false">
      <alignment horizontal="general" vertical="bottom" textRotation="0" wrapText="false" indent="0" shrinkToFit="false"/>
      <protection locked="true" hidden="false"/>
    </xf>
    <xf numFmtId="170" fontId="48" fillId="0" borderId="0" xfId="0" applyFont="true" applyBorder="true" applyAlignment="false" applyProtection="false">
      <alignment horizontal="general" vertical="bottom" textRotation="0" wrapText="false" indent="0" shrinkToFit="false"/>
      <protection locked="true" hidden="false"/>
    </xf>
    <xf numFmtId="201" fontId="48" fillId="0" borderId="0" xfId="0" applyFont="true" applyBorder="true" applyAlignment="false" applyProtection="true">
      <alignment horizontal="general" vertical="bottom" textRotation="0" wrapText="false" indent="0" shrinkToFit="false"/>
      <protection locked="true" hidden="false"/>
    </xf>
    <xf numFmtId="164" fontId="48" fillId="0" borderId="0" xfId="0" applyFont="true" applyBorder="false" applyAlignment="false" applyProtection="true">
      <alignment horizontal="general" vertical="bottom" textRotation="0" wrapText="false" indent="0" shrinkToFit="false"/>
      <protection locked="true" hidden="false"/>
    </xf>
    <xf numFmtId="192" fontId="0" fillId="0" borderId="0" xfId="0" applyFont="false" applyBorder="false" applyAlignment="false" applyProtection="false">
      <alignment horizontal="general" vertical="bottom" textRotation="0" wrapText="false" indent="0" shrinkToFit="false"/>
      <protection locked="true" hidden="false"/>
    </xf>
    <xf numFmtId="191"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92" fontId="0" fillId="0" borderId="0" xfId="0" applyFont="true" applyBorder="false" applyAlignment="true" applyProtection="false">
      <alignment horizontal="right" vertical="bottom" textRotation="0" wrapText="false" indent="0" shrinkToFit="false"/>
      <protection locked="true" hidden="false"/>
    </xf>
    <xf numFmtId="172" fontId="9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95" fontId="96" fillId="0" borderId="0" xfId="0" applyFont="true" applyBorder="false" applyAlignment="false" applyProtection="false">
      <alignment horizontal="general" vertical="bottom" textRotation="0" wrapText="false" indent="0" shrinkToFit="false"/>
      <protection locked="true" hidden="false"/>
    </xf>
    <xf numFmtId="164" fontId="97" fillId="0" borderId="0" xfId="0" applyFont="true" applyBorder="false" applyAlignment="false" applyProtection="false">
      <alignment horizontal="general" vertical="bottom" textRotation="0" wrapText="false" indent="0" shrinkToFit="false"/>
      <protection locked="true" hidden="false"/>
    </xf>
    <xf numFmtId="199" fontId="0" fillId="0" borderId="0" xfId="0" applyFont="false" applyBorder="false" applyAlignment="true" applyProtection="false">
      <alignment horizontal="general" vertical="bottom" textRotation="0" wrapText="false" indent="0" shrinkToFit="false"/>
      <protection locked="true" hidden="false"/>
    </xf>
    <xf numFmtId="206"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26" fillId="0" borderId="24" xfId="0" applyFont="true" applyBorder="true" applyAlignment="false" applyProtection="false">
      <alignment horizontal="general" vertical="bottom" textRotation="0" wrapText="false" indent="0" shrinkToFit="false"/>
      <protection locked="true" hidden="false"/>
    </xf>
    <xf numFmtId="164" fontId="0" fillId="0" borderId="34" xfId="0" applyFont="true" applyBorder="true" applyAlignment="false" applyProtection="false">
      <alignment horizontal="general" vertical="bottom" textRotation="0" wrapText="false" indent="0" shrinkToFit="false"/>
      <protection locked="true" hidden="false"/>
    </xf>
    <xf numFmtId="220" fontId="0" fillId="0" borderId="30" xfId="0" applyFont="true" applyBorder="true" applyAlignment="true" applyProtection="false">
      <alignment horizontal="center" vertical="bottom" textRotation="0" wrapText="false" indent="0" shrinkToFit="false"/>
      <protection locked="true" hidden="false"/>
    </xf>
    <xf numFmtId="185" fontId="0" fillId="0" borderId="0" xfId="0" applyFont="false" applyBorder="false" applyAlignment="true" applyProtection="false">
      <alignment horizontal="general" vertical="bottom" textRotation="0" wrapText="false" indent="0" shrinkToFit="false"/>
      <protection locked="true" hidden="false"/>
    </xf>
    <xf numFmtId="183" fontId="0" fillId="0" borderId="0" xfId="0" applyFont="false" applyBorder="false" applyAlignment="false" applyProtection="false">
      <alignment horizontal="general" vertical="bottom" textRotation="0" wrapText="false" indent="0" shrinkToFit="false"/>
      <protection locked="true" hidden="false"/>
    </xf>
    <xf numFmtId="240" fontId="0" fillId="0" borderId="0" xfId="0" applyFont="false" applyBorder="false" applyAlignment="false" applyProtection="false">
      <alignment horizontal="general" vertical="bottom" textRotation="0" wrapText="false" indent="0" shrinkToFit="false"/>
      <protection locked="true" hidden="false"/>
    </xf>
    <xf numFmtId="170" fontId="0" fillId="0" borderId="0"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220" fontId="0" fillId="0" borderId="0" xfId="0" applyFont="false" applyBorder="false" applyAlignment="false" applyProtection="false">
      <alignment horizontal="general" vertical="bottom" textRotation="0" wrapText="false" indent="0" shrinkToFit="false"/>
      <protection locked="true" hidden="false"/>
    </xf>
    <xf numFmtId="164" fontId="26" fillId="0" borderId="5" xfId="0" applyFont="true" applyBorder="true" applyAlignment="true" applyProtection="false">
      <alignment horizontal="center" vertical="bottom" textRotation="0" wrapText="false" indent="0" shrinkToFit="false"/>
      <protection locked="true" hidden="false"/>
    </xf>
    <xf numFmtId="192" fontId="26" fillId="0" borderId="4" xfId="0" applyFont="true" applyBorder="true" applyAlignment="true" applyProtection="false">
      <alignment horizontal="center" vertical="bottom" textRotation="0" wrapText="false" indent="0" shrinkToFit="false"/>
      <protection locked="true" hidden="false"/>
    </xf>
    <xf numFmtId="191" fontId="26" fillId="0" borderId="85" xfId="0" applyFont="true" applyBorder="true" applyAlignment="true" applyProtection="false">
      <alignment horizontal="center" vertical="bottom" textRotation="0" wrapText="false" indent="0" shrinkToFit="false"/>
      <protection locked="true" hidden="false"/>
    </xf>
    <xf numFmtId="191" fontId="0" fillId="0" borderId="52" xfId="0" applyFont="true" applyBorder="true" applyAlignment="true" applyProtection="false">
      <alignment horizontal="center" vertical="bottom" textRotation="0" wrapText="false" indent="0" shrinkToFit="false"/>
      <protection locked="true" hidden="false"/>
    </xf>
    <xf numFmtId="164" fontId="0" fillId="0" borderId="32" xfId="0" applyFont="true" applyBorder="true" applyAlignment="true" applyProtection="false">
      <alignment horizontal="left" vertical="bottom" textRotation="0" wrapText="false" indent="5" shrinkToFit="false"/>
      <protection locked="true" hidden="false"/>
    </xf>
    <xf numFmtId="164" fontId="0" fillId="0" borderId="52" xfId="0" applyFont="false" applyBorder="true" applyAlignment="true" applyProtection="false">
      <alignment horizontal="center"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25" fillId="0" borderId="25"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true" applyProtection="false">
      <alignment horizontal="left" vertical="bottom" textRotation="0" wrapText="false" indent="2" shrinkToFit="false"/>
      <protection locked="true" hidden="false"/>
    </xf>
    <xf numFmtId="164" fontId="26" fillId="0" borderId="33" xfId="0" applyFont="true" applyBorder="true" applyAlignment="true" applyProtection="false">
      <alignment horizontal="center" vertical="bottom" textRotation="0" wrapText="false" indent="0" shrinkToFit="false"/>
      <protection locked="true" hidden="false"/>
    </xf>
    <xf numFmtId="164" fontId="25" fillId="0" borderId="86" xfId="0" applyFont="true" applyBorder="true" applyAlignment="true" applyProtection="false">
      <alignment horizontal="left" vertical="bottom" textRotation="0" wrapText="false" indent="15" shrinkToFit="false"/>
      <protection locked="true" hidden="false"/>
    </xf>
    <xf numFmtId="164" fontId="25" fillId="0" borderId="87" xfId="0" applyFont="true" applyBorder="true" applyAlignment="true" applyProtection="false">
      <alignment horizontal="center" vertical="bottom" textRotation="0" wrapText="false" indent="0" shrinkToFit="false"/>
      <protection locked="true" hidden="false"/>
    </xf>
    <xf numFmtId="164" fontId="25" fillId="0" borderId="85" xfId="0" applyFont="true" applyBorder="true" applyAlignment="true" applyProtection="false">
      <alignment horizontal="center" vertical="bottom" textRotation="0" wrapText="false" indent="0" shrinkToFit="false"/>
      <protection locked="true" hidden="false"/>
    </xf>
    <xf numFmtId="164" fontId="26" fillId="0" borderId="86" xfId="0" applyFont="true" applyBorder="true" applyAlignment="true" applyProtection="false">
      <alignment horizontal="center" vertical="bottom" textRotation="0" wrapText="false" indent="0" shrinkToFit="false"/>
      <protection locked="true" hidden="false"/>
    </xf>
    <xf numFmtId="164" fontId="26" fillId="0" borderId="87" xfId="0" applyFont="true" applyBorder="true" applyAlignment="true" applyProtection="false">
      <alignment horizontal="center" vertical="bottom" textRotation="0" wrapText="false" indent="0" shrinkToFit="false"/>
      <protection locked="true" hidden="false"/>
    </xf>
    <xf numFmtId="164" fontId="26" fillId="0" borderId="87" xfId="0" applyFont="true" applyBorder="true" applyAlignment="true" applyProtection="false">
      <alignment horizontal="center" vertical="bottom" textRotation="0" wrapText="false" indent="0" shrinkToFit="false"/>
      <protection locked="true" hidden="false"/>
    </xf>
    <xf numFmtId="166" fontId="26" fillId="0" borderId="52" xfId="0" applyFont="true" applyBorder="true" applyAlignment="true" applyProtection="false">
      <alignment horizontal="center" vertical="bottom" textRotation="0" wrapText="false" indent="0" shrinkToFit="false"/>
      <protection locked="true" hidden="false"/>
    </xf>
    <xf numFmtId="164" fontId="26" fillId="0" borderId="88"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6" fontId="0" fillId="0" borderId="0" xfId="0" applyFont="false" applyBorder="false" applyAlignment="true" applyProtection="false">
      <alignment horizontal="general" vertical="bottom" textRotation="0" wrapText="false" indent="0" shrinkToFit="false"/>
      <protection locked="true" hidden="false"/>
    </xf>
    <xf numFmtId="166" fontId="0" fillId="0" borderId="0" xfId="0" applyFont="true" applyBorder="true" applyAlignment="true" applyProtection="false">
      <alignment horizontal="general" vertical="bottom" textRotation="0" wrapText="false" indent="0" shrinkToFit="false"/>
      <protection locked="true" hidden="false"/>
    </xf>
    <xf numFmtId="164" fontId="0" fillId="0" borderId="15" xfId="0" applyFont="true" applyBorder="true" applyAlignment="true" applyProtection="false">
      <alignment horizontal="general" vertical="bottom" textRotation="0" wrapText="false" indent="0" shrinkToFit="false"/>
      <protection locked="true" hidden="false"/>
    </xf>
    <xf numFmtId="164" fontId="0" fillId="0" borderId="57"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0" fillId="0" borderId="56" xfId="0" applyFont="true" applyBorder="true" applyAlignment="true" applyProtection="false">
      <alignment horizontal="general" vertical="bottom" textRotation="0" wrapText="false" indent="0" shrinkToFit="false"/>
      <protection locked="true" hidden="false"/>
    </xf>
    <xf numFmtId="164" fontId="0" fillId="0" borderId="89" xfId="0" applyFont="true" applyBorder="true" applyAlignment="true" applyProtection="false">
      <alignment horizontal="general" vertical="bottom" textRotation="0" wrapText="false" indent="0" shrinkToFit="false"/>
      <protection locked="true" hidden="false"/>
    </xf>
    <xf numFmtId="192" fontId="0" fillId="0" borderId="82" xfId="0" applyFont="true" applyBorder="true" applyAlignment="true" applyProtection="false">
      <alignment horizontal="center" vertical="bottom" textRotation="0" wrapText="false" indent="0" shrinkToFit="false"/>
      <protection locked="true" hidden="false"/>
    </xf>
    <xf numFmtId="192" fontId="0" fillId="0" borderId="65" xfId="0" applyFont="true" applyBorder="true" applyAlignment="true" applyProtection="false">
      <alignment horizontal="center" vertical="bottom" textRotation="0" wrapText="false" indent="0" shrinkToFit="false"/>
      <protection locked="true" hidden="false"/>
    </xf>
    <xf numFmtId="164" fontId="0" fillId="0" borderId="6" xfId="0" applyFont="true" applyBorder="true" applyAlignment="true" applyProtection="false">
      <alignment horizontal="center" vertical="bottom" textRotation="0" wrapText="false" indent="0" shrinkToFit="false"/>
      <protection locked="true" hidden="false"/>
    </xf>
    <xf numFmtId="164" fontId="0" fillId="0" borderId="11"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left" vertical="bottom" textRotation="0" wrapText="false" indent="4" shrinkToFit="false"/>
      <protection locked="true" hidden="false"/>
    </xf>
    <xf numFmtId="164" fontId="0" fillId="0" borderId="38" xfId="0" applyFont="true" applyBorder="true" applyAlignment="true" applyProtection="false">
      <alignment horizontal="center" vertical="bottom" textRotation="0" wrapText="false" indent="0" shrinkToFit="false"/>
      <protection locked="true" hidden="false"/>
    </xf>
    <xf numFmtId="164" fontId="0" fillId="0" borderId="61" xfId="0" applyFont="true" applyBorder="true" applyAlignment="true" applyProtection="false">
      <alignment horizontal="center" vertical="bottom" textRotation="0" wrapText="false" indent="0" shrinkToFit="false"/>
      <protection locked="true" hidden="false"/>
    </xf>
    <xf numFmtId="164" fontId="0" fillId="0" borderId="58" xfId="0" applyFont="true" applyBorder="true" applyAlignment="true" applyProtection="false">
      <alignment horizontal="left" vertical="bottom" textRotation="0" wrapText="false" indent="4" shrinkToFit="false"/>
      <protection locked="true" hidden="false"/>
    </xf>
    <xf numFmtId="164" fontId="0" fillId="0" borderId="39" xfId="0" applyFont="true" applyBorder="true" applyAlignment="true" applyProtection="false">
      <alignment horizontal="center" vertical="bottom" textRotation="0" wrapText="false" indent="0" shrinkToFit="false"/>
      <protection locked="true" hidden="false"/>
    </xf>
    <xf numFmtId="191" fontId="0" fillId="0" borderId="57" xfId="0" applyFont="true" applyBorder="true" applyAlignment="true" applyProtection="false">
      <alignment horizontal="center" vertical="bottom" textRotation="0" wrapText="false" indent="0" shrinkToFit="false"/>
      <protection locked="true" hidden="false"/>
    </xf>
    <xf numFmtId="191" fontId="0" fillId="0" borderId="67" xfId="0" applyFont="true" applyBorder="true" applyAlignment="true" applyProtection="false">
      <alignment horizontal="center" vertical="bottom" textRotation="0" wrapText="false" indent="0" shrinkToFit="false"/>
      <protection locked="true" hidden="false"/>
    </xf>
    <xf numFmtId="191" fontId="0" fillId="0" borderId="11" xfId="0" applyFont="true" applyBorder="true" applyAlignment="true" applyProtection="false">
      <alignment horizontal="center" vertical="bottom" textRotation="0" wrapText="false" indent="0" shrinkToFit="false"/>
      <protection locked="true" hidden="false"/>
    </xf>
    <xf numFmtId="191" fontId="0" fillId="0" borderId="56" xfId="0" applyFont="true" applyBorder="true" applyAlignment="true" applyProtection="false">
      <alignment horizontal="center" vertical="bottom" textRotation="0" wrapText="false" indent="0" shrinkToFit="false"/>
      <protection locked="true" hidden="false"/>
    </xf>
    <xf numFmtId="191" fontId="0" fillId="0" borderId="12" xfId="0" applyFont="true" applyBorder="true" applyAlignment="true" applyProtection="false">
      <alignment horizontal="center" vertical="bottom" textRotation="0" wrapText="false" indent="0" shrinkToFit="false"/>
      <protection locked="true" hidden="false"/>
    </xf>
    <xf numFmtId="191" fontId="0" fillId="0" borderId="0" xfId="0" applyFont="true" applyBorder="true" applyAlignment="true" applyProtection="false">
      <alignment horizontal="center" vertical="bottom" textRotation="0" wrapText="false" indent="0" shrinkToFit="false"/>
      <protection locked="true" hidden="false"/>
    </xf>
    <xf numFmtId="164" fontId="0" fillId="0" borderId="15" xfId="0" applyFont="true" applyBorder="true" applyAlignment="true" applyProtection="false">
      <alignment horizontal="left" vertical="bottom" textRotation="0" wrapText="false" indent="1"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true" applyProtection="false">
      <alignment horizontal="center" vertical="bottom" textRotation="0" wrapText="false" indent="0" shrinkToFit="false"/>
      <protection locked="true" hidden="false"/>
    </xf>
    <xf numFmtId="164" fontId="0" fillId="0" borderId="31" xfId="0" applyFont="true" applyBorder="true" applyAlignment="true" applyProtection="false">
      <alignment horizontal="center" vertical="bottom" textRotation="0" wrapText="false" indent="0" shrinkToFit="false"/>
      <protection locked="true" hidden="false"/>
    </xf>
    <xf numFmtId="164" fontId="0" fillId="0" borderId="4"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2" shrinkToFit="false"/>
      <protection locked="true" hidden="false"/>
    </xf>
    <xf numFmtId="164" fontId="26" fillId="0" borderId="16"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4" shrinkToFit="false"/>
      <protection locked="true" hidden="false"/>
    </xf>
    <xf numFmtId="164" fontId="0" fillId="0" borderId="15"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general" vertical="bottom" textRotation="0" wrapText="false" indent="0" shrinkToFit="false"/>
      <protection locked="true" hidden="false"/>
    </xf>
    <xf numFmtId="164" fontId="0" fillId="0" borderId="38" xfId="0" applyFont="false" applyBorder="true" applyAlignment="true" applyProtection="false">
      <alignment horizontal="center" vertical="bottom" textRotation="0" wrapText="false" indent="0" shrinkToFit="false"/>
      <protection locked="true" hidden="false"/>
    </xf>
    <xf numFmtId="164" fontId="0" fillId="0" borderId="61" xfId="0" applyFont="false" applyBorder="true" applyAlignment="true" applyProtection="false">
      <alignment horizontal="center" vertical="bottom" textRotation="0" wrapText="false" indent="0" shrinkToFit="false"/>
      <protection locked="true" hidden="false"/>
    </xf>
    <xf numFmtId="164" fontId="0" fillId="0" borderId="45" xfId="0" applyFont="true" applyBorder="true" applyAlignment="true" applyProtection="false">
      <alignment horizontal="left" vertical="bottom" textRotation="0" wrapText="false" indent="15" shrinkToFit="false"/>
      <protection locked="true" hidden="false"/>
    </xf>
    <xf numFmtId="164" fontId="0" fillId="0" borderId="43" xfId="0" applyFont="true" applyBorder="true" applyAlignment="true" applyProtection="false">
      <alignment horizontal="center" vertical="bottom" textRotation="0" wrapText="false" indent="0" shrinkToFit="false"/>
      <protection locked="true" hidden="false"/>
    </xf>
    <xf numFmtId="164" fontId="0" fillId="0" borderId="43" xfId="0" applyFont="true" applyBorder="true" applyAlignment="true" applyProtection="false">
      <alignment horizontal="center" vertical="bottom" textRotation="0" wrapText="false" indent="0" shrinkToFit="false"/>
      <protection locked="true" hidden="false"/>
    </xf>
    <xf numFmtId="164" fontId="0" fillId="0" borderId="60" xfId="0" applyFont="true" applyBorder="true" applyAlignment="true" applyProtection="false">
      <alignment horizontal="center" vertical="bottom" textRotation="0" wrapText="false" indent="0" shrinkToFit="false"/>
      <protection locked="true" hidden="false"/>
    </xf>
    <xf numFmtId="164" fontId="0" fillId="0" borderId="58"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true" applyProtection="false">
      <alignment horizontal="center" vertical="bottom" textRotation="0" wrapText="false" indent="0" shrinkToFit="false"/>
      <protection locked="true" hidden="false"/>
    </xf>
    <xf numFmtId="164" fontId="0" fillId="0" borderId="55" xfId="0" applyFont="true" applyBorder="true" applyAlignment="true" applyProtection="false">
      <alignment horizontal="center" vertical="bottom" textRotation="0" wrapText="false" indent="0" shrinkToFit="false"/>
      <protection locked="true" hidden="false"/>
    </xf>
    <xf numFmtId="164" fontId="0" fillId="0" borderId="52" xfId="0" applyFont="true" applyBorder="true" applyAlignment="true" applyProtection="false">
      <alignment horizontal="general" vertical="bottom" textRotation="0" wrapText="false" indent="0" shrinkToFit="false"/>
      <protection locked="true" hidden="false"/>
    </xf>
    <xf numFmtId="164" fontId="25" fillId="0" borderId="87" xfId="0" applyFont="true" applyBorder="true" applyAlignment="true" applyProtection="false">
      <alignment horizontal="left" vertical="bottom" textRotation="0" wrapText="false" indent="15" shrinkToFit="false"/>
      <protection locked="true" hidden="false"/>
    </xf>
    <xf numFmtId="164" fontId="25" fillId="0" borderId="5" xfId="0" applyFont="true" applyBorder="true" applyAlignment="true" applyProtection="false">
      <alignment horizontal="center" vertical="bottom" textRotation="0" wrapText="false" indent="0" shrinkToFit="false"/>
      <protection locked="true" hidden="false"/>
    </xf>
    <xf numFmtId="166" fontId="25" fillId="0" borderId="86" xfId="0" applyFont="true" applyBorder="true" applyAlignment="true" applyProtection="false">
      <alignment horizontal="left" vertical="bottom" textRotation="0" wrapText="false" indent="11" shrinkToFit="false"/>
      <protection locked="true" hidden="false"/>
    </xf>
    <xf numFmtId="166" fontId="25" fillId="0" borderId="87" xfId="0" applyFont="true" applyBorder="true" applyAlignment="true" applyProtection="false">
      <alignment horizontal="center" vertical="bottom" textRotation="0" wrapText="false" indent="0" shrinkToFit="false"/>
      <protection locked="true" hidden="false"/>
    </xf>
    <xf numFmtId="166" fontId="25" fillId="0" borderId="85" xfId="0" applyFont="true" applyBorder="true" applyAlignment="true" applyProtection="false">
      <alignment horizontal="center" vertical="bottom" textRotation="0" wrapText="false" indent="0" shrinkToFit="false"/>
      <protection locked="true" hidden="false"/>
    </xf>
    <xf numFmtId="166" fontId="25" fillId="0" borderId="5" xfId="0" applyFont="true" applyBorder="true" applyAlignment="true" applyProtection="false">
      <alignment horizontal="center" vertical="bottom" textRotation="0" wrapText="false" indent="0" shrinkToFit="false"/>
      <protection locked="true" hidden="false"/>
    </xf>
    <xf numFmtId="166" fontId="25" fillId="0" borderId="0" xfId="0" applyFont="true" applyBorder="true" applyAlignment="true" applyProtection="false">
      <alignment horizontal="center" vertical="bottom" textRotation="0" wrapText="false" indent="0" shrinkToFit="false"/>
      <protection locked="true" hidden="false"/>
    </xf>
    <xf numFmtId="166" fontId="25" fillId="0" borderId="4" xfId="0" applyFont="true" applyBorder="true" applyAlignment="true" applyProtection="false">
      <alignment horizontal="center" vertical="bottom" textRotation="0" wrapText="false" indent="0" shrinkToFit="false"/>
      <protection locked="true" hidden="false"/>
    </xf>
    <xf numFmtId="166" fontId="25" fillId="0" borderId="24" xfId="0" applyFont="true" applyBorder="true" applyAlignment="true" applyProtection="false">
      <alignment horizontal="left" vertical="bottom" textRotation="0" wrapText="false" indent="0" shrinkToFit="false"/>
      <protection locked="true" hidden="false"/>
    </xf>
    <xf numFmtId="166" fontId="25" fillId="0" borderId="34" xfId="0" applyFont="true" applyBorder="true" applyAlignment="true" applyProtection="false">
      <alignment horizontal="center" vertical="bottom" textRotation="0" wrapText="false" indent="0" shrinkToFit="false"/>
      <protection locked="true" hidden="false"/>
    </xf>
    <xf numFmtId="166" fontId="25" fillId="0" borderId="25"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56" xfId="0" applyFont="true" applyBorder="true" applyAlignment="true" applyProtection="false">
      <alignment horizontal="center" vertical="bottom" textRotation="0" wrapText="false" indent="0" shrinkToFit="false"/>
      <protection locked="true" hidden="false"/>
    </xf>
    <xf numFmtId="164" fontId="0" fillId="0" borderId="89" xfId="0" applyFont="true" applyBorder="true" applyAlignment="true" applyProtection="false">
      <alignment horizontal="center" vertical="bottom" textRotation="0" wrapText="false" indent="0" shrinkToFit="false"/>
      <protection locked="true" hidden="false"/>
    </xf>
    <xf numFmtId="192" fontId="0" fillId="0" borderId="15" xfId="0" applyFont="true" applyBorder="true" applyAlignment="true" applyProtection="false">
      <alignment horizontal="center" vertical="bottom" textRotation="0" wrapText="false" indent="0" shrinkToFit="false"/>
      <protection locked="true" hidden="false"/>
    </xf>
    <xf numFmtId="192" fontId="0" fillId="0" borderId="16" xfId="0" applyFont="true" applyBorder="true" applyAlignment="true" applyProtection="false">
      <alignment horizontal="center" vertical="bottom" textRotation="0" wrapText="false" indent="0" shrinkToFit="false"/>
      <protection locked="true" hidden="false"/>
    </xf>
    <xf numFmtId="164" fontId="0" fillId="0" borderId="57" xfId="0" applyFont="true" applyBorder="true" applyAlignment="true" applyProtection="false">
      <alignment horizontal="center" vertical="bottom" textRotation="0" wrapText="false" indent="0" shrinkToFit="false"/>
      <protection locked="true" hidden="false"/>
    </xf>
    <xf numFmtId="164" fontId="0" fillId="0" borderId="54" xfId="0" applyFont="true" applyBorder="true" applyAlignment="true" applyProtection="false">
      <alignment horizontal="left" vertical="bottom" textRotation="0" wrapText="false" indent="0" shrinkToFit="false"/>
      <protection locked="true" hidden="false"/>
    </xf>
    <xf numFmtId="164" fontId="0" fillId="0" borderId="54" xfId="0" applyFont="true" applyBorder="true" applyAlignment="true" applyProtection="false">
      <alignment horizontal="center" vertical="bottom" textRotation="0" wrapText="false" indent="0" shrinkToFit="false"/>
      <protection locked="true" hidden="false"/>
    </xf>
    <xf numFmtId="164" fontId="0" fillId="0" borderId="65" xfId="0" applyFont="true" applyBorder="true" applyAlignment="true" applyProtection="false">
      <alignment horizontal="center" vertical="bottom" textRotation="0" wrapText="false" indent="0" shrinkToFit="false"/>
      <protection locked="true" hidden="false"/>
    </xf>
    <xf numFmtId="191" fontId="0" fillId="0" borderId="89" xfId="0" applyFont="true" applyBorder="true" applyAlignment="true" applyProtection="false">
      <alignment horizontal="center" vertical="bottom" textRotation="0" wrapText="false" indent="0" shrinkToFit="false"/>
      <protection locked="true" hidden="false"/>
    </xf>
    <xf numFmtId="164" fontId="0" fillId="0" borderId="44" xfId="0" applyFont="true" applyBorder="true" applyAlignment="true" applyProtection="false">
      <alignment horizontal="center" vertical="bottom" textRotation="0" wrapText="false" indent="0" shrinkToFit="false"/>
      <protection locked="true" hidden="false"/>
    </xf>
    <xf numFmtId="164" fontId="0" fillId="0" borderId="90"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5" shrinkToFit="false"/>
      <protection locked="true" hidden="false"/>
    </xf>
    <xf numFmtId="164" fontId="0" fillId="0" borderId="7" xfId="0" applyFont="true" applyBorder="true" applyAlignment="true" applyProtection="false">
      <alignment horizontal="center" vertical="bottom" textRotation="0" wrapText="false" indent="0" shrinkToFit="false"/>
      <protection locked="true" hidden="false"/>
    </xf>
    <xf numFmtId="164" fontId="0" fillId="0" borderId="54" xfId="0" applyFont="true" applyBorder="true" applyAlignment="true" applyProtection="false">
      <alignment horizontal="center" vertical="bottom" textRotation="0" wrapText="false" indent="0" shrinkToFit="false"/>
      <protection locked="true" hidden="false"/>
    </xf>
    <xf numFmtId="164" fontId="0" fillId="0" borderId="67" xfId="0" applyFont="true" applyBorder="true" applyAlignment="true" applyProtection="false">
      <alignment horizontal="center" vertical="bottom" textRotation="0" wrapText="false" indent="0" shrinkToFit="false"/>
      <protection locked="true" hidden="false"/>
    </xf>
    <xf numFmtId="164" fontId="0" fillId="0" borderId="91" xfId="0" applyFont="true" applyBorder="true" applyAlignment="true" applyProtection="false">
      <alignment horizontal="center" vertical="bottom" textRotation="0" wrapText="false" indent="0" shrinkToFit="false"/>
      <protection locked="true" hidden="false"/>
    </xf>
    <xf numFmtId="185" fontId="10" fillId="0" borderId="10" xfId="0" applyFont="true" applyBorder="true" applyAlignment="true" applyProtection="false">
      <alignment horizontal="center" vertical="bottom" textRotation="0" wrapText="false" indent="0" shrinkToFit="false"/>
      <protection locked="true" hidden="false"/>
    </xf>
    <xf numFmtId="185" fontId="0" fillId="0" borderId="38" xfId="0" applyFont="true" applyBorder="true" applyAlignment="true" applyProtection="false">
      <alignment horizontal="left" vertical="bottom" textRotation="0" wrapText="false" indent="7" shrinkToFit="false"/>
      <protection locked="true" hidden="false"/>
    </xf>
    <xf numFmtId="185" fontId="0" fillId="0" borderId="38" xfId="0" applyFont="false" applyBorder="true" applyAlignment="true" applyProtection="false">
      <alignment horizontal="center" vertical="bottom" textRotation="0" wrapText="false" indent="0" shrinkToFit="false"/>
      <protection locked="true" hidden="false"/>
    </xf>
    <xf numFmtId="164" fontId="0" fillId="0" borderId="12" xfId="0" applyFont="true" applyBorder="true" applyAlignment="true" applyProtection="false">
      <alignment horizontal="center" vertical="bottom" textRotation="0" wrapText="false" indent="0" shrinkToFit="false"/>
      <protection locked="true" hidden="false"/>
    </xf>
    <xf numFmtId="164" fontId="0" fillId="0" borderId="26" xfId="0" applyFont="true" applyBorder="true" applyAlignment="true" applyProtection="false">
      <alignment horizontal="left" vertical="bottom" textRotation="0" wrapText="false" indent="6" shrinkToFit="false"/>
      <protection locked="true" hidden="false"/>
    </xf>
    <xf numFmtId="164" fontId="0" fillId="0" borderId="37" xfId="0" applyFont="true" applyBorder="true" applyAlignment="true" applyProtection="false">
      <alignment horizontal="left" vertical="bottom" textRotation="0" wrapText="false" indent="5" shrinkToFit="false"/>
      <protection locked="true" hidden="false"/>
    </xf>
    <xf numFmtId="164" fontId="0" fillId="0" borderId="39" xfId="0" applyFont="false" applyBorder="true" applyAlignment="true" applyProtection="false">
      <alignment horizontal="center" vertical="bottom" textRotation="0" wrapText="false" indent="0" shrinkToFit="false"/>
      <protection locked="true" hidden="false"/>
    </xf>
    <xf numFmtId="164" fontId="0" fillId="0" borderId="43" xfId="0" applyFont="true" applyBorder="true" applyAlignment="true" applyProtection="false">
      <alignment horizontal="left" vertical="bottom" textRotation="0" wrapText="false" indent="6" shrinkToFit="false"/>
      <protection locked="true" hidden="false"/>
    </xf>
    <xf numFmtId="164" fontId="0" fillId="0" borderId="43" xfId="0" applyFont="false" applyBorder="true" applyAlignment="true" applyProtection="false">
      <alignment horizontal="center" vertical="bottom" textRotation="0" wrapText="false" indent="0" shrinkToFit="false"/>
      <protection locked="true" hidden="false"/>
    </xf>
    <xf numFmtId="164" fontId="0" fillId="0" borderId="60" xfId="0" applyFont="false" applyBorder="true" applyAlignment="true" applyProtection="false">
      <alignment horizontal="center" vertical="bottom" textRotation="0" wrapText="false" indent="0" shrinkToFit="false"/>
      <protection locked="true" hidden="false"/>
    </xf>
    <xf numFmtId="164" fontId="0" fillId="0" borderId="59" xfId="0" applyFont="true" applyBorder="true" applyAlignment="true" applyProtection="false">
      <alignment horizontal="left" vertical="bottom" textRotation="0" wrapText="false" indent="6" shrinkToFit="false"/>
      <protection locked="true" hidden="false"/>
    </xf>
    <xf numFmtId="164" fontId="0" fillId="0" borderId="59" xfId="0" applyFont="true" applyBorder="true" applyAlignment="true" applyProtection="false">
      <alignment horizontal="left" vertical="bottom" textRotation="0" wrapText="false" indent="12" shrinkToFit="false"/>
      <protection locked="true" hidden="false"/>
    </xf>
    <xf numFmtId="166" fontId="0" fillId="0" borderId="26" xfId="0" applyFont="true" applyBorder="true" applyAlignment="true" applyProtection="false">
      <alignment horizontal="left" vertical="bottom" textRotation="0" wrapText="false" indent="8" shrinkToFit="false"/>
      <protection locked="true" hidden="false"/>
    </xf>
    <xf numFmtId="166" fontId="0" fillId="0" borderId="38" xfId="0" applyFont="false" applyBorder="true" applyAlignment="true" applyProtection="false">
      <alignment horizontal="center" vertical="bottom" textRotation="0" wrapText="false" indent="0" shrinkToFit="false"/>
      <protection locked="true" hidden="false"/>
    </xf>
    <xf numFmtId="166" fontId="0" fillId="0" borderId="61" xfId="0" applyFont="false" applyBorder="true" applyAlignment="true" applyProtection="false">
      <alignment horizontal="center" vertical="bottom" textRotation="0" wrapText="false" indent="0" shrinkToFit="false"/>
      <protection locked="true" hidden="false"/>
    </xf>
    <xf numFmtId="166" fontId="0" fillId="0" borderId="37" xfId="0" applyFont="true" applyBorder="true" applyAlignment="true" applyProtection="false">
      <alignment horizontal="left" vertical="bottom" textRotation="0" wrapText="false" indent="6" shrinkToFit="false"/>
      <protection locked="true" hidden="false"/>
    </xf>
    <xf numFmtId="166" fontId="0" fillId="0" borderId="39" xfId="0" applyFont="false" applyBorder="true" applyAlignment="true" applyProtection="false">
      <alignment horizontal="center" vertical="bottom" textRotation="0" wrapText="false" indent="0" shrinkToFit="false"/>
      <protection locked="true" hidden="false"/>
    </xf>
    <xf numFmtId="166" fontId="0" fillId="0" borderId="82" xfId="0" applyFont="false" applyBorder="true" applyAlignment="true" applyProtection="false">
      <alignment horizontal="center" vertical="bottom" textRotation="0" wrapText="false" indent="0" shrinkToFit="false"/>
      <protection locked="true" hidden="false"/>
    </xf>
    <xf numFmtId="166" fontId="0" fillId="0" borderId="54" xfId="0" applyFont="false" applyBorder="true" applyAlignment="true" applyProtection="false">
      <alignment horizontal="center" vertical="bottom" textRotation="0" wrapText="false" indent="0" shrinkToFit="false"/>
      <protection locked="true" hidden="false"/>
    </xf>
    <xf numFmtId="166" fontId="0" fillId="0" borderId="65" xfId="0" applyFont="false" applyBorder="true" applyAlignment="true" applyProtection="false">
      <alignment horizontal="center" vertical="bottom" textRotation="0" wrapText="false" indent="0" shrinkToFit="false"/>
      <protection locked="true" hidden="false"/>
    </xf>
    <xf numFmtId="166" fontId="0" fillId="0" borderId="15" xfId="0" applyFont="true" applyBorder="true" applyAlignment="true" applyProtection="false">
      <alignment horizontal="center" vertical="bottom" textRotation="0" wrapText="false" indent="0" shrinkToFit="false"/>
      <protection locked="true" hidden="false"/>
    </xf>
    <xf numFmtId="166" fontId="0" fillId="0" borderId="16" xfId="0" applyFont="false" applyBorder="true" applyAlignment="true" applyProtection="false">
      <alignment horizontal="center" vertical="bottom" textRotation="0" wrapText="false" indent="0" shrinkToFit="false"/>
      <protection locked="true" hidden="false"/>
    </xf>
    <xf numFmtId="166" fontId="25" fillId="0" borderId="86" xfId="0" applyFont="true" applyBorder="true" applyAlignment="true" applyProtection="false">
      <alignment horizontal="center" vertical="bottom" textRotation="0" wrapText="false" indent="0" shrinkToFit="false"/>
      <protection locked="true" hidden="false"/>
    </xf>
    <xf numFmtId="166" fontId="0" fillId="0" borderId="87" xfId="0" applyFont="false" applyBorder="true" applyAlignment="true" applyProtection="false">
      <alignment horizontal="center" vertical="bottom" textRotation="0" wrapText="false" indent="0" shrinkToFit="false"/>
      <protection locked="true" hidden="false"/>
    </xf>
    <xf numFmtId="164" fontId="25" fillId="0" borderId="85" xfId="0" applyFont="tru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true" applyProtection="false">
      <alignment horizontal="center" vertical="bottom" textRotation="0" wrapText="false" indent="0" shrinkToFit="false"/>
      <protection locked="true" hidden="false"/>
    </xf>
    <xf numFmtId="164" fontId="26" fillId="0" borderId="45" xfId="0" applyFont="true" applyBorder="true" applyAlignment="true" applyProtection="false">
      <alignment horizontal="left" vertical="bottom" textRotation="0" wrapText="false" indent="4" shrinkToFit="false"/>
      <protection locked="true" hidden="false"/>
    </xf>
    <xf numFmtId="164" fontId="26" fillId="0" borderId="44" xfId="0" applyFont="true" applyBorder="true" applyAlignment="true" applyProtection="false">
      <alignment horizontal="center" vertical="bottom" textRotation="0" wrapText="false" indent="0" shrinkToFit="false"/>
      <protection locked="true" hidden="false"/>
    </xf>
    <xf numFmtId="164" fontId="26" fillId="0" borderId="45" xfId="0" applyFont="true" applyBorder="true" applyAlignment="true" applyProtection="false">
      <alignment horizontal="left" vertical="bottom" textRotation="0" wrapText="false" indent="5"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92" xfId="0" applyFont="true" applyBorder="true" applyAlignment="true" applyProtection="false">
      <alignment horizontal="center" vertical="bottom" textRotation="0" wrapText="false" indent="0" shrinkToFit="false"/>
      <protection locked="true" hidden="false"/>
    </xf>
    <xf numFmtId="185" fontId="10" fillId="0" borderId="66" xfId="0" applyFont="true" applyBorder="true" applyAlignment="true" applyProtection="false">
      <alignment horizontal="center" vertical="bottom" textRotation="0" wrapText="false" indent="0" shrinkToFit="false"/>
      <protection locked="true" hidden="false"/>
    </xf>
    <xf numFmtId="164" fontId="0" fillId="0" borderId="18" xfId="0" applyFont="true" applyBorder="true" applyAlignment="true" applyProtection="false">
      <alignment horizontal="center" vertical="bottom" textRotation="0" wrapText="false" indent="0" shrinkToFit="false"/>
      <protection locked="true" hidden="false"/>
    </xf>
    <xf numFmtId="164" fontId="0" fillId="0" borderId="59" xfId="0" applyFont="true" applyBorder="true" applyAlignment="true" applyProtection="false">
      <alignment horizontal="center" vertical="bottom" textRotation="0" wrapText="false" indent="0" shrinkToFit="false"/>
      <protection locked="true" hidden="false"/>
    </xf>
    <xf numFmtId="185" fontId="0" fillId="0" borderId="67" xfId="0" applyFont="true" applyBorder="true" applyAlignment="true" applyProtection="false">
      <alignment horizontal="center" vertical="bottom" textRotation="0" wrapText="false" indent="0" shrinkToFit="false"/>
      <protection locked="true" hidden="false"/>
    </xf>
    <xf numFmtId="185" fontId="0" fillId="0" borderId="89" xfId="0" applyFont="true" applyBorder="true" applyAlignment="true" applyProtection="false">
      <alignment horizontal="center" vertical="bottom" textRotation="0" wrapText="false" indent="0" shrinkToFit="false"/>
      <protection locked="true" hidden="false"/>
    </xf>
    <xf numFmtId="164" fontId="0" fillId="0" borderId="17"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center" vertical="bottom" textRotation="0" wrapText="false" indent="0" shrinkToFit="false"/>
      <protection locked="true" hidden="false"/>
    </xf>
    <xf numFmtId="166" fontId="0" fillId="0" borderId="15" xfId="0" applyFont="false" applyBorder="true" applyAlignment="true" applyProtection="false">
      <alignment horizontal="general" vertical="bottom" textRotation="0" wrapText="false" indent="0" shrinkToFit="false"/>
      <protection locked="true" hidden="false"/>
    </xf>
    <xf numFmtId="166" fontId="0" fillId="0" borderId="55" xfId="0" applyFont="false" applyBorder="true" applyAlignment="true" applyProtection="false">
      <alignment horizontal="general" vertical="bottom" textRotation="0" wrapText="false" indent="0" shrinkToFit="false"/>
      <protection locked="true" hidden="false"/>
    </xf>
    <xf numFmtId="166" fontId="0" fillId="0" borderId="58" xfId="0" applyFont="true" applyBorder="true" applyAlignment="true" applyProtection="false">
      <alignment horizontal="general" vertical="bottom" textRotation="0" wrapText="false" indent="0" shrinkToFit="false"/>
      <protection locked="true" hidden="false"/>
    </xf>
    <xf numFmtId="166" fontId="0" fillId="0" borderId="0" xfId="0" applyFont="true" applyBorder="true" applyAlignment="true" applyProtection="false">
      <alignment horizontal="center" vertical="bottom" textRotation="0" wrapText="false" indent="0" shrinkToFit="false"/>
      <protection locked="true" hidden="false"/>
    </xf>
    <xf numFmtId="166" fontId="0" fillId="0" borderId="26" xfId="0" applyFont="true" applyBorder="true" applyAlignment="true" applyProtection="false">
      <alignment horizontal="left" vertical="bottom" textRotation="0" wrapText="false" indent="15" shrinkToFit="false"/>
      <protection locked="true" hidden="false"/>
    </xf>
    <xf numFmtId="166" fontId="0" fillId="0" borderId="37" xfId="0" applyFont="true" applyBorder="true" applyAlignment="true" applyProtection="false">
      <alignment horizontal="left" vertical="bottom" textRotation="0" wrapText="false" indent="10" shrinkToFit="false"/>
      <protection locked="true" hidden="false"/>
    </xf>
    <xf numFmtId="172" fontId="0" fillId="0" borderId="19" xfId="0" applyFont="true" applyBorder="true" applyAlignment="true" applyProtection="false">
      <alignment horizontal="center" vertical="bottom" textRotation="0" wrapText="false" indent="0" shrinkToFit="false"/>
      <protection locked="true" hidden="false"/>
    </xf>
    <xf numFmtId="164" fontId="0" fillId="0" borderId="8" xfId="0" applyFont="true" applyBorder="true" applyAlignment="true" applyProtection="false">
      <alignment horizontal="general" vertical="bottom" textRotation="0" wrapText="false" indent="0" shrinkToFit="false"/>
      <protection locked="true" hidden="false"/>
    </xf>
    <xf numFmtId="164" fontId="0" fillId="0" borderId="93" xfId="0" applyFont="true" applyBorder="true" applyAlignment="true" applyProtection="false">
      <alignment horizontal="general" vertical="bottom" textRotation="0" wrapText="false" indent="0" shrinkToFit="false"/>
      <protection locked="true" hidden="false"/>
    </xf>
    <xf numFmtId="243" fontId="0" fillId="0" borderId="11" xfId="0" applyFont="true" applyBorder="true" applyAlignment="true" applyProtection="false">
      <alignment horizontal="general" vertical="bottom" textRotation="0" wrapText="false" indent="0" shrinkToFit="false"/>
      <protection locked="true" hidden="false"/>
    </xf>
    <xf numFmtId="164" fontId="0" fillId="0" borderId="68" xfId="0" applyFont="true" applyBorder="true" applyAlignment="true" applyProtection="false">
      <alignment horizontal="general" vertical="bottom" textRotation="0" wrapText="false" indent="0" shrinkToFit="false"/>
      <protection locked="true" hidden="false"/>
    </xf>
    <xf numFmtId="164" fontId="0" fillId="0" borderId="94" xfId="0" applyFont="true" applyBorder="true" applyAlignment="true" applyProtection="false">
      <alignment horizontal="general" vertical="bottom" textRotation="0" wrapText="false" indent="0" shrinkToFit="false"/>
      <protection locked="true" hidden="false"/>
    </xf>
    <xf numFmtId="192" fontId="0" fillId="4" borderId="15" xfId="0" applyFont="true" applyBorder="true" applyAlignment="true" applyProtection="false">
      <alignment horizontal="left" vertical="bottom" textRotation="0" wrapText="false" indent="0" shrinkToFit="false"/>
      <protection locked="true" hidden="false"/>
    </xf>
    <xf numFmtId="192" fontId="0" fillId="4" borderId="16" xfId="0" applyFont="true" applyBorder="true" applyAlignment="true" applyProtection="false">
      <alignment horizontal="center" vertical="bottom" textRotation="0" wrapText="false" indent="0" shrinkToFit="false"/>
      <protection locked="true" hidden="false"/>
    </xf>
    <xf numFmtId="191" fontId="0" fillId="0" borderId="51" xfId="0" applyFont="true" applyBorder="true" applyAlignment="true" applyProtection="false">
      <alignment horizontal="center" vertical="bottom" textRotation="0" wrapText="false" indent="0" shrinkToFit="false"/>
      <protection locked="true" hidden="false"/>
    </xf>
    <xf numFmtId="191" fontId="0" fillId="0" borderId="93" xfId="0" applyFont="true" applyBorder="true" applyAlignment="true" applyProtection="false">
      <alignment horizontal="center" vertical="bottom" textRotation="0" wrapText="false" indent="0" shrinkToFit="false"/>
      <protection locked="true" hidden="false"/>
    </xf>
    <xf numFmtId="191" fontId="0" fillId="0" borderId="68" xfId="0" applyFont="true" applyBorder="true" applyAlignment="true" applyProtection="false">
      <alignment horizontal="center" vertical="bottom" textRotation="0" wrapText="false" indent="0" shrinkToFit="false"/>
      <protection locked="true" hidden="false"/>
    </xf>
    <xf numFmtId="191" fontId="0" fillId="0" borderId="9" xfId="0" applyFont="true" applyBorder="true" applyAlignment="true" applyProtection="false">
      <alignment horizontal="center" vertical="bottom" textRotation="0" wrapText="false" indent="0" shrinkToFit="false"/>
      <protection locked="true" hidden="false"/>
    </xf>
    <xf numFmtId="198" fontId="0" fillId="0" borderId="8" xfId="0" applyFont="true" applyBorder="true" applyAlignment="true" applyProtection="false">
      <alignment horizontal="center" vertical="bottom" textRotation="0" wrapText="false" indent="0" shrinkToFit="false"/>
      <protection locked="true" hidden="false"/>
    </xf>
    <xf numFmtId="198" fontId="0" fillId="0" borderId="51" xfId="0" applyFont="true" applyBorder="true" applyAlignment="true" applyProtection="false">
      <alignment horizontal="center" vertical="bottom" textRotation="0" wrapText="false" indent="0" shrinkToFit="false"/>
      <protection locked="true" hidden="false"/>
    </xf>
    <xf numFmtId="198" fontId="0" fillId="0" borderId="9" xfId="0" applyFont="true" applyBorder="true" applyAlignment="true" applyProtection="false">
      <alignment horizontal="center" vertical="bottom" textRotation="0" wrapText="false" indent="0" shrinkToFit="false"/>
      <protection locked="true" hidden="false"/>
    </xf>
    <xf numFmtId="198" fontId="0" fillId="0" borderId="31" xfId="0" applyFont="true" applyBorder="true" applyAlignment="true" applyProtection="false">
      <alignment horizontal="center" vertical="bottom" textRotation="0" wrapText="false" indent="0" shrinkToFit="false"/>
      <protection locked="true" hidden="false"/>
    </xf>
    <xf numFmtId="185" fontId="0" fillId="0" borderId="95" xfId="0" applyFont="true" applyBorder="true" applyAlignment="true" applyProtection="false">
      <alignment horizontal="right" vertical="bottom" textRotation="0" wrapText="false" indent="0" shrinkToFit="false"/>
      <protection locked="true" hidden="false"/>
    </xf>
    <xf numFmtId="185" fontId="0" fillId="0" borderId="27" xfId="0" applyFont="true" applyBorder="true" applyAlignment="true" applyProtection="false">
      <alignment horizontal="right" vertical="bottom" textRotation="0" wrapText="false" indent="0" shrinkToFit="false"/>
      <protection locked="true" hidden="false"/>
    </xf>
    <xf numFmtId="185" fontId="0" fillId="0" borderId="23" xfId="0" applyFont="true" applyBorder="true" applyAlignment="true" applyProtection="false">
      <alignment horizontal="right" vertical="bottom" textRotation="0" wrapText="false" indent="0" shrinkToFit="false"/>
      <protection locked="true" hidden="false"/>
    </xf>
    <xf numFmtId="185" fontId="0" fillId="0" borderId="22" xfId="0" applyFont="true" applyBorder="true" applyAlignment="true" applyProtection="false">
      <alignment horizontal="right" vertical="bottom" textRotation="0" wrapText="false" indent="0" shrinkToFit="false"/>
      <protection locked="true" hidden="false"/>
    </xf>
    <xf numFmtId="185" fontId="0" fillId="0" borderId="22" xfId="0" applyFont="true" applyBorder="true" applyAlignment="true" applyProtection="false">
      <alignment horizontal="center" vertical="bottom" textRotation="0" wrapText="false" indent="0" shrinkToFit="false"/>
      <protection locked="true" hidden="false"/>
    </xf>
    <xf numFmtId="185" fontId="0" fillId="0" borderId="9" xfId="0" applyFont="true" applyBorder="true" applyAlignment="true" applyProtection="false">
      <alignment horizontal="center" vertical="bottom" textRotation="0" wrapText="false" indent="0" shrinkToFit="false"/>
      <protection locked="true" hidden="false"/>
    </xf>
    <xf numFmtId="164" fontId="0" fillId="0" borderId="68" xfId="0" applyFont="true" applyBorder="true" applyAlignment="true" applyProtection="false">
      <alignment horizontal="center" vertical="bottom" textRotation="0" wrapText="false" indent="0" shrinkToFit="false"/>
      <protection locked="true" hidden="false"/>
    </xf>
    <xf numFmtId="164" fontId="0" fillId="0" borderId="51" xfId="0" applyFont="true" applyBorder="true" applyAlignment="true" applyProtection="false">
      <alignment horizontal="center" vertical="bottom" textRotation="0" wrapText="false" indent="0" shrinkToFit="false"/>
      <protection locked="true" hidden="false"/>
    </xf>
    <xf numFmtId="164" fontId="0" fillId="0" borderId="93" xfId="0" applyFont="true" applyBorder="true" applyAlignment="true" applyProtection="false">
      <alignment horizontal="center" vertical="bottom" textRotation="0" wrapText="false" indent="0" shrinkToFit="false"/>
      <protection locked="true" hidden="false"/>
    </xf>
    <xf numFmtId="164" fontId="0" fillId="0" borderId="51" xfId="0" applyFont="true" applyBorder="true" applyAlignment="true" applyProtection="false">
      <alignment horizontal="general" vertical="bottom" textRotation="0" wrapText="false" indent="0" shrinkToFit="false"/>
      <protection locked="true" hidden="false"/>
    </xf>
    <xf numFmtId="164" fontId="0" fillId="0" borderId="51" xfId="0" applyFont="true" applyBorder="true" applyAlignment="true" applyProtection="false">
      <alignment horizontal="general" vertical="bottom" textRotation="0" wrapText="false" indent="0" shrinkToFit="false"/>
      <protection locked="true" hidden="false"/>
    </xf>
    <xf numFmtId="164" fontId="0" fillId="0" borderId="69" xfId="0" applyFont="true" applyBorder="true" applyAlignment="true" applyProtection="false">
      <alignment horizontal="general" vertical="bottom" textRotation="0" wrapText="false" indent="0" shrinkToFit="false"/>
      <protection locked="true" hidden="false"/>
    </xf>
    <xf numFmtId="164" fontId="0" fillId="0" borderId="96" xfId="0" applyFont="true" applyBorder="true" applyAlignment="true" applyProtection="false">
      <alignment horizontal="general" vertical="bottom" textRotation="0" wrapText="false" indent="0" shrinkToFit="false"/>
      <protection locked="true" hidden="false"/>
    </xf>
    <xf numFmtId="164" fontId="36" fillId="0" borderId="93" xfId="0" applyFont="true" applyBorder="true" applyAlignment="true" applyProtection="false">
      <alignment horizontal="general" vertical="bottom" textRotation="0" wrapText="false" indent="0" shrinkToFit="false"/>
      <protection locked="true" hidden="false"/>
    </xf>
    <xf numFmtId="185" fontId="0" fillId="0" borderId="68" xfId="0" applyFont="true" applyBorder="true" applyAlignment="true" applyProtection="false">
      <alignment horizontal="general" vertical="bottom" textRotation="0" wrapText="false" indent="0" shrinkToFit="false"/>
      <protection locked="true" hidden="false"/>
    </xf>
    <xf numFmtId="185" fontId="0" fillId="0" borderId="51" xfId="0" applyFont="true" applyBorder="true" applyAlignment="true" applyProtection="false">
      <alignment horizontal="general" vertical="bottom" textRotation="0" wrapText="false" indent="0" shrinkToFit="false"/>
      <protection locked="true" hidden="false"/>
    </xf>
    <xf numFmtId="185" fontId="0" fillId="0" borderId="93" xfId="0" applyFont="true" applyBorder="true" applyAlignment="true" applyProtection="false">
      <alignment horizontal="general" vertical="bottom" textRotation="0" wrapText="false" indent="0" shrinkToFit="false"/>
      <protection locked="true" hidden="false"/>
    </xf>
    <xf numFmtId="185" fontId="0" fillId="0" borderId="41" xfId="0" applyFont="true" applyBorder="true" applyAlignment="true" applyProtection="false">
      <alignment horizontal="general" vertical="bottom" textRotation="0" wrapText="false" indent="0" shrinkToFit="false"/>
      <protection locked="true" hidden="false"/>
    </xf>
    <xf numFmtId="185" fontId="0" fillId="0" borderId="40" xfId="0" applyFont="true" applyBorder="true" applyAlignment="true" applyProtection="false">
      <alignment horizontal="general" vertical="bottom" textRotation="0" wrapText="false" indent="0" shrinkToFit="false"/>
      <protection locked="true" hidden="false"/>
    </xf>
    <xf numFmtId="185" fontId="0" fillId="0" borderId="27" xfId="0" applyFont="true" applyBorder="true" applyAlignment="true" applyProtection="false">
      <alignment horizontal="general" vertical="bottom" textRotation="0" wrapText="false" indent="0" shrinkToFit="false"/>
      <protection locked="true" hidden="false"/>
    </xf>
    <xf numFmtId="164" fontId="10" fillId="0" borderId="97" xfId="0" applyFont="true" applyBorder="true" applyAlignment="true" applyProtection="false">
      <alignment horizontal="center" vertical="bottom" textRotation="0" wrapText="false" indent="0" shrinkToFit="false"/>
      <protection locked="true" hidden="false"/>
    </xf>
    <xf numFmtId="185" fontId="0" fillId="0" borderId="40" xfId="0" applyFont="true" applyBorder="true" applyAlignment="true" applyProtection="false">
      <alignment horizontal="right" vertical="bottom" textRotation="0" wrapText="false" indent="0" shrinkToFit="false"/>
      <protection locked="true" hidden="false"/>
    </xf>
    <xf numFmtId="185" fontId="0" fillId="0" borderId="69" xfId="0" applyFont="true" applyBorder="true" applyAlignment="true" applyProtection="false">
      <alignment horizontal="center" vertical="bottom" textRotation="0" wrapText="false" indent="0" shrinkToFit="false"/>
      <protection locked="true" hidden="false"/>
    </xf>
    <xf numFmtId="185" fontId="0" fillId="0" borderId="94" xfId="0" applyFont="true" applyBorder="true" applyAlignment="true" applyProtection="false">
      <alignment horizontal="center" vertical="bottom" textRotation="0" wrapText="false" indent="0" shrinkToFit="false"/>
      <protection locked="true" hidden="false"/>
    </xf>
    <xf numFmtId="185" fontId="0" fillId="0" borderId="68" xfId="0" applyFont="true" applyBorder="true" applyAlignment="true" applyProtection="false">
      <alignment horizontal="center" vertical="bottom" textRotation="0" wrapText="false" indent="0" shrinkToFit="false"/>
      <protection locked="true" hidden="false"/>
    </xf>
    <xf numFmtId="185" fontId="0" fillId="0" borderId="97" xfId="0" applyFont="true" applyBorder="true" applyAlignment="true" applyProtection="false">
      <alignment horizontal="center" vertical="bottom" textRotation="0" wrapText="false" indent="0" shrinkToFit="false"/>
      <protection locked="true" hidden="false"/>
    </xf>
    <xf numFmtId="185" fontId="0" fillId="0" borderId="51" xfId="0" applyFont="true" applyBorder="true" applyAlignment="true" applyProtection="false">
      <alignment horizontal="center" vertical="bottom" textRotation="0" wrapText="false" indent="0" shrinkToFit="false"/>
      <protection locked="true" hidden="false"/>
    </xf>
    <xf numFmtId="185" fontId="0" fillId="0" borderId="93" xfId="0" applyFont="true" applyBorder="true" applyAlignment="true" applyProtection="false">
      <alignment horizontal="center" vertical="bottom" textRotation="0" wrapText="false" indent="0" shrinkToFit="false"/>
      <protection locked="true" hidden="false"/>
    </xf>
    <xf numFmtId="185" fontId="0" fillId="0" borderId="8" xfId="0" applyFont="true" applyBorder="true" applyAlignment="true" applyProtection="false">
      <alignment horizontal="center" vertical="bottom" textRotation="0" wrapText="false" indent="0" shrinkToFit="false"/>
      <protection locked="true" hidden="false"/>
    </xf>
    <xf numFmtId="185" fontId="0" fillId="0" borderId="15" xfId="0" applyFont="true" applyBorder="true" applyAlignment="true" applyProtection="false">
      <alignment horizontal="center" vertical="bottom" textRotation="0" wrapText="false" indent="0" shrinkToFit="false"/>
      <protection locked="true" hidden="false"/>
    </xf>
    <xf numFmtId="185" fontId="0" fillId="0" borderId="16" xfId="0" applyFont="true" applyBorder="true" applyAlignment="true" applyProtection="false">
      <alignment horizontal="center" vertical="bottom" textRotation="0" wrapText="false" indent="0" shrinkToFit="false"/>
      <protection locked="true" hidden="false"/>
    </xf>
    <xf numFmtId="185" fontId="0" fillId="0" borderId="31" xfId="0" applyFont="true" applyBorder="true" applyAlignment="true" applyProtection="false">
      <alignment horizontal="center" vertical="bottom" textRotation="0" wrapText="false" indent="0" shrinkToFit="false"/>
      <protection locked="true" hidden="false"/>
    </xf>
    <xf numFmtId="185" fontId="0" fillId="0" borderId="95" xfId="0" applyFont="true" applyBorder="true" applyAlignment="true" applyProtection="false">
      <alignment horizontal="center" vertical="bottom" textRotation="0" wrapText="false" indent="0" shrinkToFit="false"/>
      <protection locked="true" hidden="false"/>
    </xf>
    <xf numFmtId="172" fontId="0" fillId="0" borderId="94" xfId="0" applyFont="true" applyBorder="true" applyAlignment="true" applyProtection="false">
      <alignment horizontal="center" vertical="bottom" textRotation="0" wrapText="false" indent="0" shrinkToFit="false"/>
      <protection locked="true" hidden="false"/>
    </xf>
    <xf numFmtId="220" fontId="0" fillId="5" borderId="15" xfId="0" applyFont="false" applyBorder="true" applyAlignment="false" applyProtection="false">
      <alignment horizontal="general" vertical="bottom" textRotation="0" wrapText="false" indent="0" shrinkToFit="false"/>
      <protection locked="true" hidden="false"/>
    </xf>
    <xf numFmtId="243" fontId="0" fillId="0" borderId="4" xfId="0" applyFont="false" applyBorder="true" applyAlignment="false" applyProtection="false">
      <alignment horizontal="general" vertical="bottom" textRotation="0" wrapText="false" indent="0" shrinkToFit="false"/>
      <protection locked="true" hidden="false"/>
    </xf>
    <xf numFmtId="243" fontId="0" fillId="0" borderId="52" xfId="0" applyFont="false" applyBorder="true" applyAlignment="false" applyProtection="false">
      <alignment horizontal="general" vertical="bottom" textRotation="0" wrapText="false" indent="0" shrinkToFit="false"/>
      <protection locked="true" hidden="false"/>
    </xf>
    <xf numFmtId="243" fontId="0" fillId="0" borderId="64" xfId="0" applyFont="false" applyBorder="true" applyAlignment="false" applyProtection="false">
      <alignment horizontal="general" vertical="bottom" textRotation="0" wrapText="false" indent="0" shrinkToFit="false"/>
      <protection locked="true" hidden="false"/>
    </xf>
    <xf numFmtId="195" fontId="96" fillId="0" borderId="32" xfId="0" applyFont="true" applyBorder="true" applyAlignment="false" applyProtection="false">
      <alignment horizontal="general" vertical="bottom" textRotation="0" wrapText="false" indent="0" shrinkToFit="false"/>
      <protection locked="true" hidden="false"/>
    </xf>
    <xf numFmtId="213" fontId="0" fillId="0" borderId="33" xfId="0" applyFont="false" applyBorder="true" applyAlignment="false" applyProtection="false">
      <alignment horizontal="general" vertical="bottom" textRotation="0" wrapText="false" indent="0" shrinkToFit="false"/>
      <protection locked="true" hidden="false"/>
    </xf>
    <xf numFmtId="240" fontId="0" fillId="5" borderId="52" xfId="0" applyFont="false" applyBorder="true" applyAlignment="false" applyProtection="false">
      <alignment horizontal="general" vertical="bottom" textRotation="0" wrapText="false" indent="0" shrinkToFit="false"/>
      <protection locked="true" hidden="false"/>
    </xf>
    <xf numFmtId="240" fontId="0" fillId="5" borderId="98" xfId="0" applyFont="false" applyBorder="true" applyAlignment="false" applyProtection="false">
      <alignment horizontal="general" vertical="bottom" textRotation="0" wrapText="false" indent="0" shrinkToFit="false"/>
      <protection locked="true" hidden="false"/>
    </xf>
    <xf numFmtId="240" fontId="0" fillId="5" borderId="64" xfId="0" applyFont="false" applyBorder="true" applyAlignment="false" applyProtection="false">
      <alignment horizontal="general" vertical="bottom" textRotation="0" wrapText="false" indent="0" shrinkToFit="false"/>
      <protection locked="true" hidden="false"/>
    </xf>
    <xf numFmtId="240" fontId="0" fillId="5" borderId="33" xfId="0" applyFont="false" applyBorder="true" applyAlignment="false" applyProtection="false">
      <alignment horizontal="general" vertical="bottom" textRotation="0" wrapText="false" indent="0" shrinkToFit="false"/>
      <protection locked="true" hidden="false"/>
    </xf>
    <xf numFmtId="191" fontId="0" fillId="0" borderId="0" xfId="19" applyFont="true" applyBorder="true" applyAlignment="true" applyProtection="true">
      <alignment horizontal="general" vertical="bottom" textRotation="0" wrapText="false" indent="0" shrinkToFit="false"/>
      <protection locked="true" hidden="false"/>
    </xf>
    <xf numFmtId="191" fontId="0" fillId="0" borderId="57" xfId="19" applyFont="true" applyBorder="true" applyAlignment="true" applyProtection="true">
      <alignment horizontal="general" vertical="bottom" textRotation="0" wrapText="false" indent="0" shrinkToFit="false"/>
      <protection locked="true" hidden="false"/>
    </xf>
    <xf numFmtId="191" fontId="0" fillId="0" borderId="16" xfId="19" applyFont="true" applyBorder="true" applyAlignment="true" applyProtection="true">
      <alignment horizontal="general" vertical="bottom" textRotation="0" wrapText="false" indent="0" shrinkToFit="false"/>
      <protection locked="true" hidden="false"/>
    </xf>
    <xf numFmtId="240" fontId="0" fillId="0" borderId="33" xfId="19" applyFont="true" applyBorder="true" applyAlignment="true" applyProtection="true">
      <alignment horizontal="general" vertical="bottom" textRotation="0" wrapText="false" indent="0" shrinkToFit="false"/>
      <protection locked="true" hidden="false"/>
    </xf>
    <xf numFmtId="164" fontId="0" fillId="0" borderId="32" xfId="0" applyFont="false" applyBorder="true" applyAlignment="false" applyProtection="false">
      <alignment horizontal="general" vertical="bottom" textRotation="0" wrapText="false" indent="0" shrinkToFit="false"/>
      <protection locked="true" hidden="false"/>
    </xf>
    <xf numFmtId="191" fontId="0" fillId="0" borderId="4" xfId="19" applyFont="true" applyBorder="true" applyAlignment="true" applyProtection="true">
      <alignment horizontal="general" vertical="bottom" textRotation="0" wrapText="false" indent="0" shrinkToFit="false"/>
      <protection locked="true" hidden="false"/>
    </xf>
    <xf numFmtId="185" fontId="0" fillId="0" borderId="0" xfId="0" applyFont="false" applyBorder="true" applyAlignment="false" applyProtection="false">
      <alignment horizontal="general" vertical="bottom" textRotation="0" wrapText="false" indent="0" shrinkToFit="false"/>
      <protection locked="true" hidden="false"/>
    </xf>
    <xf numFmtId="185" fontId="0" fillId="0" borderId="56" xfId="0" applyFont="false" applyBorder="true" applyAlignment="false" applyProtection="false">
      <alignment horizontal="general" vertical="bottom" textRotation="0" wrapText="false" indent="0" shrinkToFit="false"/>
      <protection locked="true" hidden="false"/>
    </xf>
    <xf numFmtId="185" fontId="0" fillId="0" borderId="99" xfId="0" applyFont="false" applyBorder="true" applyAlignment="false" applyProtection="false">
      <alignment horizontal="general" vertical="bottom" textRotation="0" wrapText="false" indent="0" shrinkToFit="false"/>
      <protection locked="true" hidden="false"/>
    </xf>
    <xf numFmtId="240" fontId="0" fillId="0" borderId="15" xfId="0" applyFont="false" applyBorder="true" applyAlignment="false" applyProtection="false">
      <alignment horizontal="general" vertical="bottom" textRotation="0" wrapText="false" indent="0" shrinkToFit="false"/>
      <protection locked="true" hidden="false"/>
    </xf>
    <xf numFmtId="240" fontId="0" fillId="0" borderId="56" xfId="0" applyFont="false" applyBorder="true" applyAlignment="false" applyProtection="false">
      <alignment horizontal="general" vertical="bottom" textRotation="0" wrapText="false" indent="0" shrinkToFit="false"/>
      <protection locked="true" hidden="false"/>
    </xf>
    <xf numFmtId="240" fontId="0" fillId="0" borderId="99" xfId="0" applyFont="false" applyBorder="true" applyAlignment="false" applyProtection="false">
      <alignment horizontal="general" vertical="bottom" textRotation="0" wrapText="false" indent="0" shrinkToFit="false"/>
      <protection locked="true" hidden="false"/>
    </xf>
    <xf numFmtId="185" fontId="0" fillId="0" borderId="15" xfId="0" applyFont="false" applyBorder="true" applyAlignment="false" applyProtection="false">
      <alignment horizontal="general" vertical="bottom" textRotation="0" wrapText="false" indent="0" shrinkToFit="false"/>
      <protection locked="true" hidden="false"/>
    </xf>
    <xf numFmtId="240" fontId="0" fillId="0" borderId="64" xfId="0" applyFont="false" applyBorder="true" applyAlignment="false" applyProtection="false">
      <alignment horizontal="general" vertical="bottom" textRotation="0" wrapText="false" indent="0" shrinkToFit="false"/>
      <protection locked="true" hidden="false"/>
    </xf>
    <xf numFmtId="185" fontId="0" fillId="0" borderId="32" xfId="0" applyFont="false" applyBorder="true" applyAlignment="false" applyProtection="false">
      <alignment horizontal="general" vertical="bottom" textRotation="0" wrapText="false" indent="0" shrinkToFit="false"/>
      <protection locked="true" hidden="false"/>
    </xf>
    <xf numFmtId="185" fontId="0" fillId="0" borderId="33" xfId="0" applyFont="false" applyBorder="true" applyAlignment="false" applyProtection="false">
      <alignment horizontal="general" vertical="bottom" textRotation="0" wrapText="false" indent="0" shrinkToFit="false"/>
      <protection locked="true" hidden="false"/>
    </xf>
    <xf numFmtId="185" fontId="0" fillId="0" borderId="16" xfId="0" applyFont="false" applyBorder="true" applyAlignment="false" applyProtection="false">
      <alignment horizontal="general" vertical="bottom" textRotation="0" wrapText="false" indent="0" shrinkToFit="false"/>
      <protection locked="true" hidden="false"/>
    </xf>
    <xf numFmtId="170" fontId="0" fillId="0" borderId="64" xfId="0" applyFont="false" applyBorder="true" applyAlignment="false" applyProtection="false">
      <alignment horizontal="general" vertical="bottom" textRotation="0" wrapText="false" indent="0" shrinkToFit="false"/>
      <protection locked="true" hidden="false"/>
    </xf>
    <xf numFmtId="170" fontId="0" fillId="0" borderId="15" xfId="0" applyFont="false" applyBorder="true" applyAlignment="false" applyProtection="false">
      <alignment horizontal="general" vertical="bottom" textRotation="0" wrapText="false" indent="0" shrinkToFit="false"/>
      <protection locked="true" hidden="false"/>
    </xf>
    <xf numFmtId="170" fontId="0" fillId="0" borderId="16" xfId="0" applyFont="false" applyBorder="true" applyAlignment="false" applyProtection="false">
      <alignment horizontal="general" vertical="bottom" textRotation="0" wrapText="false" indent="0" shrinkToFit="false"/>
      <protection locked="true" hidden="false"/>
    </xf>
    <xf numFmtId="191" fontId="0" fillId="0" borderId="32" xfId="0" applyFont="false" applyBorder="true" applyAlignment="false" applyProtection="false">
      <alignment horizontal="general" vertical="bottom" textRotation="0" wrapText="false" indent="0" shrinkToFit="false"/>
      <protection locked="true" hidden="false"/>
    </xf>
    <xf numFmtId="191" fontId="0" fillId="0" borderId="52" xfId="0" applyFont="false" applyBorder="true" applyAlignment="false" applyProtection="false">
      <alignment horizontal="general" vertical="bottom" textRotation="0" wrapText="false" indent="0" shrinkToFit="false"/>
      <protection locked="true" hidden="false"/>
    </xf>
    <xf numFmtId="191" fontId="0" fillId="0" borderId="33" xfId="0" applyFont="false" applyBorder="true" applyAlignment="false" applyProtection="false">
      <alignment horizontal="general" vertical="bottom" textRotation="0" wrapText="false" indent="0" shrinkToFit="false"/>
      <protection locked="true" hidden="false"/>
    </xf>
    <xf numFmtId="170" fontId="0" fillId="0" borderId="32" xfId="0" applyFont="false" applyBorder="true" applyAlignment="false" applyProtection="false">
      <alignment horizontal="general" vertical="bottom" textRotation="0" wrapText="false" indent="0" shrinkToFit="false"/>
      <protection locked="true" hidden="false"/>
    </xf>
    <xf numFmtId="170" fontId="0" fillId="0" borderId="52" xfId="0" applyFont="false" applyBorder="true" applyAlignment="false" applyProtection="false">
      <alignment horizontal="general" vertical="bottom" textRotation="0" wrapText="false" indent="0" shrinkToFit="false"/>
      <protection locked="true" hidden="false"/>
    </xf>
    <xf numFmtId="170" fontId="0" fillId="0" borderId="52" xfId="0" applyFont="false" applyBorder="true" applyAlignment="false" applyProtection="false">
      <alignment horizontal="general" vertical="bottom" textRotation="0" wrapText="false" indent="0" shrinkToFit="false"/>
      <protection locked="true" hidden="false"/>
    </xf>
    <xf numFmtId="195" fontId="0" fillId="0" borderId="63" xfId="0" applyFont="false" applyBorder="true" applyAlignment="false" applyProtection="false">
      <alignment horizontal="general" vertical="bottom" textRotation="0" wrapText="false" indent="0" shrinkToFit="false"/>
      <protection locked="true" hidden="false"/>
    </xf>
    <xf numFmtId="240" fontId="0" fillId="0" borderId="63" xfId="0" applyFont="false" applyBorder="true" applyAlignment="false" applyProtection="false">
      <alignment horizontal="general" vertical="bottom" textRotation="0" wrapText="false" indent="0" shrinkToFit="false"/>
      <protection locked="true" hidden="false"/>
    </xf>
    <xf numFmtId="170" fontId="0" fillId="0" borderId="98" xfId="0" applyFont="false" applyBorder="true" applyAlignment="false" applyProtection="false">
      <alignment horizontal="general" vertical="bottom" textRotation="0" wrapText="false" indent="0" shrinkToFit="false"/>
      <protection locked="true" hidden="false"/>
    </xf>
    <xf numFmtId="195" fontId="0" fillId="0" borderId="52" xfId="0" applyFont="false" applyBorder="true" applyAlignment="false" applyProtection="false">
      <alignment horizontal="general" vertical="bottom" textRotation="0" wrapText="false" indent="0" shrinkToFit="false"/>
      <protection locked="true" hidden="false"/>
    </xf>
    <xf numFmtId="195" fontId="0" fillId="0" borderId="98" xfId="0" applyFont="false" applyBorder="true" applyAlignment="false" applyProtection="false">
      <alignment horizontal="general" vertical="bottom" textRotation="0" wrapText="false" indent="0" shrinkToFit="false"/>
      <protection locked="true" hidden="false"/>
    </xf>
    <xf numFmtId="170" fontId="0" fillId="0" borderId="100" xfId="0" applyFont="false" applyBorder="true" applyAlignment="false" applyProtection="false">
      <alignment horizontal="general" vertical="bottom" textRotation="0" wrapText="false" indent="0" shrinkToFit="false"/>
      <protection locked="true" hidden="false"/>
    </xf>
    <xf numFmtId="166" fontId="0" fillId="0" borderId="52" xfId="0" applyFont="false" applyBorder="true" applyAlignment="false" applyProtection="false">
      <alignment horizontal="general" vertical="bottom" textRotation="0" wrapText="false" indent="0" shrinkToFit="false"/>
      <protection locked="true" hidden="false"/>
    </xf>
    <xf numFmtId="206" fontId="0" fillId="0" borderId="64" xfId="0" applyFont="false" applyBorder="true" applyAlignment="false" applyProtection="false">
      <alignment horizontal="general" vertical="bottom" textRotation="0" wrapText="false" indent="0" shrinkToFit="false"/>
      <protection locked="true" hidden="false"/>
    </xf>
    <xf numFmtId="206" fontId="0" fillId="0" borderId="52" xfId="0" applyFont="false" applyBorder="true" applyAlignment="false" applyProtection="false">
      <alignment horizontal="general" vertical="bottom" textRotation="0" wrapText="false" indent="0" shrinkToFit="false"/>
      <protection locked="true" hidden="false"/>
    </xf>
    <xf numFmtId="206" fontId="0" fillId="0" borderId="98" xfId="0" applyFont="false" applyBorder="true" applyAlignment="false" applyProtection="false">
      <alignment horizontal="general" vertical="bottom" textRotation="0" wrapText="false" indent="0" shrinkToFit="false"/>
      <protection locked="true" hidden="false"/>
    </xf>
    <xf numFmtId="166" fontId="0" fillId="0" borderId="32" xfId="0" applyFont="false" applyBorder="true" applyAlignment="false" applyProtection="false">
      <alignment horizontal="general" vertical="bottom" textRotation="0" wrapText="false" indent="0" shrinkToFit="false"/>
      <protection locked="true" hidden="false"/>
    </xf>
    <xf numFmtId="166" fontId="0" fillId="0" borderId="33" xfId="0" applyFont="false" applyBorder="true" applyAlignment="false" applyProtection="false">
      <alignment horizontal="general" vertical="bottom" textRotation="0" wrapText="false" indent="0" shrinkToFit="false"/>
      <protection locked="true" hidden="false"/>
    </xf>
    <xf numFmtId="166" fontId="0" fillId="0" borderId="0" xfId="0" applyFont="false" applyBorder="true" applyAlignment="false" applyProtection="false">
      <alignment horizontal="general" vertical="bottom" textRotation="0" wrapText="false" indent="0" shrinkToFit="false"/>
      <protection locked="true" hidden="false"/>
    </xf>
    <xf numFmtId="183" fontId="0" fillId="0" borderId="56" xfId="0" applyFont="false" applyBorder="true" applyAlignment="false" applyProtection="false">
      <alignment horizontal="general" vertical="bottom" textRotation="0" wrapText="false" indent="0" shrinkToFit="false"/>
      <protection locked="true" hidden="false"/>
    </xf>
    <xf numFmtId="183" fontId="0" fillId="0" borderId="0" xfId="0" applyFont="false" applyBorder="true" applyAlignment="false" applyProtection="false">
      <alignment horizontal="general" vertical="bottom" textRotation="0" wrapText="false" indent="0" shrinkToFit="false"/>
      <protection locked="true" hidden="false"/>
    </xf>
    <xf numFmtId="183" fontId="0" fillId="0" borderId="57" xfId="0" applyFont="false" applyBorder="true" applyAlignment="false" applyProtection="false">
      <alignment horizontal="general" vertical="bottom" textRotation="0" wrapText="false" indent="0" shrinkToFit="false"/>
      <protection locked="true" hidden="false"/>
    </xf>
    <xf numFmtId="204" fontId="0" fillId="0" borderId="0" xfId="0" applyFont="false" applyBorder="true" applyAlignment="false" applyProtection="false">
      <alignment horizontal="general" vertical="bottom" textRotation="0" wrapText="false" indent="0" shrinkToFit="false"/>
      <protection locked="true" hidden="false"/>
    </xf>
    <xf numFmtId="183" fontId="0" fillId="0" borderId="16" xfId="0" applyFont="false" applyBorder="true" applyAlignment="false" applyProtection="false">
      <alignment horizontal="general" vertical="bottom" textRotation="0" wrapText="false" indent="0" shrinkToFit="false"/>
      <protection locked="true" hidden="false"/>
    </xf>
    <xf numFmtId="166" fontId="0" fillId="0" borderId="98" xfId="0" applyFont="false" applyBorder="true" applyAlignment="false" applyProtection="false">
      <alignment horizontal="general" vertical="bottom" textRotation="0" wrapText="false" indent="0" shrinkToFit="false"/>
      <protection locked="true" hidden="false"/>
    </xf>
    <xf numFmtId="166" fontId="0" fillId="0" borderId="16" xfId="0" applyFont="false" applyBorder="true" applyAlignment="false" applyProtection="false">
      <alignment horizontal="general" vertical="bottom" textRotation="0" wrapText="false" indent="0" shrinkToFit="false"/>
      <protection locked="true" hidden="false"/>
    </xf>
    <xf numFmtId="166" fontId="0" fillId="0" borderId="64" xfId="0" applyFont="false" applyBorder="true" applyAlignment="false" applyProtection="false">
      <alignment horizontal="general" vertical="bottom" textRotation="0" wrapText="false" indent="0" shrinkToFit="false"/>
      <protection locked="true" hidden="false"/>
    </xf>
    <xf numFmtId="244" fontId="0" fillId="0" borderId="52" xfId="0" applyFont="false" applyBorder="true" applyAlignment="false" applyProtection="false">
      <alignment horizontal="general" vertical="bottom" textRotation="0" wrapText="false" indent="0" shrinkToFit="false"/>
      <protection locked="true" hidden="false"/>
    </xf>
    <xf numFmtId="206" fontId="0" fillId="0" borderId="15" xfId="15" applyFont="true" applyBorder="true" applyAlignment="true" applyProtection="true">
      <alignment horizontal="general" vertical="bottom" textRotation="0" wrapText="false" indent="0" shrinkToFit="false"/>
      <protection locked="true" hidden="false"/>
    </xf>
    <xf numFmtId="206" fontId="0" fillId="0" borderId="0" xfId="15" applyFont="true" applyBorder="true" applyAlignment="true" applyProtection="true">
      <alignment horizontal="general" vertical="bottom" textRotation="0" wrapText="false" indent="0" shrinkToFit="false"/>
      <protection locked="true" hidden="false"/>
    </xf>
    <xf numFmtId="244" fontId="0" fillId="0" borderId="0" xfId="0" applyFont="false" applyBorder="true" applyAlignment="false" applyProtection="false">
      <alignment horizontal="general" vertical="bottom" textRotation="0" wrapText="false" indent="0" shrinkToFit="false"/>
      <protection locked="true" hidden="false"/>
    </xf>
    <xf numFmtId="166" fontId="0" fillId="0" borderId="57" xfId="0" applyFont="false" applyBorder="true" applyAlignment="false" applyProtection="false">
      <alignment horizontal="general" vertical="bottom" textRotation="0" wrapText="false" indent="0" shrinkToFit="false"/>
      <protection locked="true" hidden="false"/>
    </xf>
    <xf numFmtId="245" fontId="0" fillId="0" borderId="52" xfId="0" applyFont="false" applyBorder="true" applyAlignment="false" applyProtection="false">
      <alignment horizontal="general" vertical="bottom" textRotation="0" wrapText="false" indent="0" shrinkToFit="false"/>
      <protection locked="true" hidden="false"/>
    </xf>
    <xf numFmtId="166" fontId="0" fillId="0" borderId="15" xfId="0" applyFont="false" applyBorder="true" applyAlignment="false" applyProtection="false">
      <alignment horizontal="general" vertical="bottom" textRotation="0" wrapText="false" indent="0" shrinkToFit="false"/>
      <protection locked="true" hidden="false"/>
    </xf>
    <xf numFmtId="192" fontId="0" fillId="0" borderId="31" xfId="0" applyFont="false" applyBorder="true" applyAlignment="false" applyProtection="false">
      <alignment horizontal="general" vertical="bottom" textRotation="0" wrapText="false" indent="0" shrinkToFit="false"/>
      <protection locked="true" hidden="false"/>
    </xf>
    <xf numFmtId="240" fontId="0" fillId="0" borderId="0" xfId="0" applyFont="false" applyBorder="true" applyAlignment="false" applyProtection="false">
      <alignment horizontal="general" vertical="bottom" textRotation="0" wrapText="false" indent="0" shrinkToFit="false"/>
      <protection locked="true" hidden="false"/>
    </xf>
    <xf numFmtId="166" fontId="0" fillId="0" borderId="56" xfId="0" applyFont="false" applyBorder="true" applyAlignment="false" applyProtection="false">
      <alignment horizontal="general" vertical="bottom" textRotation="0" wrapText="false" indent="0" shrinkToFit="false"/>
      <protection locked="true" hidden="false"/>
    </xf>
    <xf numFmtId="165" fontId="0" fillId="0" borderId="16" xfId="0" applyFont="false" applyBorder="true" applyAlignment="true" applyProtection="false">
      <alignment horizontal="general" vertical="bottom" textRotation="0" wrapText="false" indent="0" shrinkToFit="false"/>
      <protection locked="true" hidden="false"/>
    </xf>
    <xf numFmtId="220" fontId="0" fillId="0" borderId="15" xfId="0" applyFont="false" applyBorder="true" applyAlignment="false" applyProtection="false">
      <alignment horizontal="general" vertical="bottom" textRotation="0" wrapText="false" indent="0" shrinkToFit="false"/>
      <protection locked="true" hidden="false"/>
    </xf>
    <xf numFmtId="243" fontId="0" fillId="0" borderId="31" xfId="0" applyFont="false" applyBorder="true" applyAlignment="false" applyProtection="false">
      <alignment horizontal="general" vertical="bottom" textRotation="0" wrapText="false" indent="0" shrinkToFit="false"/>
      <protection locked="true" hidden="false"/>
    </xf>
    <xf numFmtId="243" fontId="0" fillId="0" borderId="0" xfId="0" applyFont="false" applyBorder="true" applyAlignment="false" applyProtection="false">
      <alignment horizontal="general" vertical="bottom" textRotation="0" wrapText="false" indent="0" shrinkToFit="false"/>
      <protection locked="true" hidden="false"/>
    </xf>
    <xf numFmtId="243" fontId="0" fillId="0" borderId="56" xfId="0" applyFont="false" applyBorder="true" applyAlignment="false" applyProtection="false">
      <alignment horizontal="general" vertical="bottom" textRotation="0" wrapText="false" indent="0" shrinkToFit="false"/>
      <protection locked="true" hidden="false"/>
    </xf>
    <xf numFmtId="195" fontId="96" fillId="0" borderId="15" xfId="0" applyFont="true" applyBorder="true" applyAlignment="false" applyProtection="false">
      <alignment horizontal="general" vertical="bottom" textRotation="0" wrapText="false" indent="0" shrinkToFit="false"/>
      <protection locked="true" hidden="false"/>
    </xf>
    <xf numFmtId="213" fontId="0" fillId="0" borderId="16" xfId="0" applyFont="false" applyBorder="true" applyAlignment="false" applyProtection="false">
      <alignment horizontal="general" vertical="bottom" textRotation="0" wrapText="false" indent="0" shrinkToFit="false"/>
      <protection locked="true" hidden="false"/>
    </xf>
    <xf numFmtId="240" fontId="0" fillId="5" borderId="0" xfId="0" applyFont="false" applyBorder="true" applyAlignment="false" applyProtection="false">
      <alignment horizontal="general" vertical="bottom" textRotation="0" wrapText="false" indent="0" shrinkToFit="false"/>
      <protection locked="true" hidden="false"/>
    </xf>
    <xf numFmtId="240" fontId="0" fillId="5" borderId="57" xfId="0" applyFont="false" applyBorder="true" applyAlignment="false" applyProtection="false">
      <alignment horizontal="general" vertical="bottom" textRotation="0" wrapText="false" indent="0" shrinkToFit="false"/>
      <protection locked="true" hidden="false"/>
    </xf>
    <xf numFmtId="240" fontId="0" fillId="5" borderId="56" xfId="0" applyFont="false" applyBorder="true" applyAlignment="false" applyProtection="false">
      <alignment horizontal="general" vertical="bottom" textRotation="0" wrapText="false" indent="0" shrinkToFit="false"/>
      <protection locked="true" hidden="false"/>
    </xf>
    <xf numFmtId="240" fontId="0" fillId="5" borderId="16" xfId="0" applyFont="false" applyBorder="true" applyAlignment="false" applyProtection="false">
      <alignment horizontal="general" vertical="bottom" textRotation="0" wrapText="false" indent="0" shrinkToFit="false"/>
      <protection locked="true" hidden="false"/>
    </xf>
    <xf numFmtId="240" fontId="0" fillId="0" borderId="16" xfId="19" applyFont="true" applyBorder="true" applyAlignment="true" applyProtection="true">
      <alignment horizontal="general" vertical="bottom" textRotation="0" wrapText="false" indent="0" shrinkToFit="false"/>
      <protection locked="true" hidden="false"/>
    </xf>
    <xf numFmtId="191" fontId="0" fillId="0" borderId="31" xfId="19" applyFont="true" applyBorder="true" applyAlignment="true" applyProtection="true">
      <alignment horizontal="general" vertical="bottom" textRotation="0" wrapText="false" indent="0" shrinkToFit="false"/>
      <protection locked="true" hidden="false"/>
    </xf>
    <xf numFmtId="185" fontId="0" fillId="0" borderId="89" xfId="0" applyFont="false" applyBorder="true" applyAlignment="false" applyProtection="false">
      <alignment horizontal="general" vertical="bottom" textRotation="0" wrapText="false" indent="0" shrinkToFit="false"/>
      <protection locked="true" hidden="false"/>
    </xf>
    <xf numFmtId="240" fontId="0" fillId="0" borderId="89" xfId="0" applyFont="false" applyBorder="true" applyAlignment="false" applyProtection="false">
      <alignment horizontal="general" vertical="bottom" textRotation="0" wrapText="false" indent="0" shrinkToFit="false"/>
      <protection locked="true" hidden="false"/>
    </xf>
    <xf numFmtId="170" fontId="0" fillId="0" borderId="56" xfId="0" applyFont="false" applyBorder="true" applyAlignment="false" applyProtection="false">
      <alignment horizontal="general" vertical="bottom" textRotation="0" wrapText="false" indent="0" shrinkToFit="false"/>
      <protection locked="true" hidden="false"/>
    </xf>
    <xf numFmtId="191" fontId="0" fillId="0" borderId="15" xfId="0" applyFont="false" applyBorder="true" applyAlignment="false" applyProtection="false">
      <alignment horizontal="general" vertical="bottom" textRotation="0" wrapText="false" indent="0" shrinkToFit="false"/>
      <protection locked="true" hidden="false"/>
    </xf>
    <xf numFmtId="191" fontId="0" fillId="0" borderId="0" xfId="0" applyFont="false" applyBorder="true" applyAlignment="false" applyProtection="false">
      <alignment horizontal="general" vertical="bottom" textRotation="0" wrapText="false" indent="0" shrinkToFit="false"/>
      <protection locked="true" hidden="false"/>
    </xf>
    <xf numFmtId="191" fontId="0" fillId="0" borderId="16" xfId="0" applyFont="false" applyBorder="true" applyAlignment="false" applyProtection="false">
      <alignment horizontal="general" vertical="bottom" textRotation="0" wrapText="false" indent="0" shrinkToFit="false"/>
      <protection locked="true" hidden="false"/>
    </xf>
    <xf numFmtId="170" fontId="0" fillId="0" borderId="0" xfId="0" applyFont="false" applyBorder="true" applyAlignment="false" applyProtection="false">
      <alignment horizontal="general" vertical="bottom" textRotation="0" wrapText="false" indent="0" shrinkToFit="false"/>
      <protection locked="true" hidden="false"/>
    </xf>
    <xf numFmtId="195" fontId="0" fillId="0" borderId="67" xfId="0" applyFont="false" applyBorder="true" applyAlignment="false" applyProtection="false">
      <alignment horizontal="general" vertical="bottom" textRotation="0" wrapText="false" indent="0" shrinkToFit="false"/>
      <protection locked="true" hidden="false"/>
    </xf>
    <xf numFmtId="170" fontId="0" fillId="0" borderId="57" xfId="0" applyFont="false" applyBorder="true" applyAlignment="false" applyProtection="false">
      <alignment horizontal="general" vertical="bottom" textRotation="0" wrapText="false" indent="0" shrinkToFit="false"/>
      <protection locked="true" hidden="false"/>
    </xf>
    <xf numFmtId="195" fontId="0" fillId="0" borderId="0" xfId="0" applyFont="false" applyBorder="true" applyAlignment="false" applyProtection="false">
      <alignment horizontal="general" vertical="bottom" textRotation="0" wrapText="false" indent="0" shrinkToFit="false"/>
      <protection locked="true" hidden="false"/>
    </xf>
    <xf numFmtId="195" fontId="0" fillId="0" borderId="57" xfId="0" applyFont="false" applyBorder="true" applyAlignment="false" applyProtection="false">
      <alignment horizontal="general" vertical="bottom" textRotation="0" wrapText="false" indent="0" shrinkToFit="false"/>
      <protection locked="true" hidden="false"/>
    </xf>
    <xf numFmtId="170" fontId="0" fillId="0" borderId="101" xfId="0" applyFont="false" applyBorder="true" applyAlignment="false" applyProtection="false">
      <alignment horizontal="general" vertical="bottom" textRotation="0" wrapText="false" indent="0" shrinkToFit="false"/>
      <protection locked="true" hidden="false"/>
    </xf>
    <xf numFmtId="206" fontId="0" fillId="0" borderId="56" xfId="0" applyFont="false" applyBorder="true" applyAlignment="false" applyProtection="false">
      <alignment horizontal="general" vertical="bottom" textRotation="0" wrapText="false" indent="0" shrinkToFit="false"/>
      <protection locked="true" hidden="false"/>
    </xf>
    <xf numFmtId="206" fontId="0" fillId="0" borderId="0" xfId="0" applyFont="false" applyBorder="true" applyAlignment="false" applyProtection="false">
      <alignment horizontal="general" vertical="bottom" textRotation="0" wrapText="false" indent="0" shrinkToFit="false"/>
      <protection locked="true" hidden="false"/>
    </xf>
    <xf numFmtId="206" fontId="0" fillId="0" borderId="57" xfId="0" applyFont="false" applyBorder="true" applyAlignment="false" applyProtection="false">
      <alignment horizontal="general" vertical="bottom" textRotation="0" wrapText="false" indent="0" shrinkToFit="false"/>
      <protection locked="true" hidden="false"/>
    </xf>
    <xf numFmtId="245" fontId="0" fillId="0" borderId="0" xfId="0" applyFont="false" applyBorder="true" applyAlignment="false" applyProtection="false">
      <alignment horizontal="general" vertical="bottom" textRotation="0" wrapText="false" indent="0" shrinkToFit="false"/>
      <protection locked="true" hidden="false"/>
    </xf>
    <xf numFmtId="240" fontId="0" fillId="0" borderId="57" xfId="0" applyFont="false" applyBorder="true" applyAlignment="false" applyProtection="false">
      <alignment horizontal="general" vertical="bottom" textRotation="0" wrapText="false" indent="0" shrinkToFit="false"/>
      <protection locked="true" hidden="false"/>
    </xf>
    <xf numFmtId="240" fontId="0" fillId="0" borderId="16" xfId="0" applyFont="false" applyBorder="true" applyAlignment="false" applyProtection="false">
      <alignment horizontal="general" vertical="bottom" textRotation="0" wrapText="false" indent="0" shrinkToFit="false"/>
      <protection locked="true" hidden="false"/>
    </xf>
    <xf numFmtId="192" fontId="0" fillId="0" borderId="35" xfId="0" applyFont="false" applyBorder="true" applyAlignment="false" applyProtection="false">
      <alignment horizontal="general" vertical="bottom" textRotation="0" wrapText="false" indent="0" shrinkToFit="false"/>
      <protection locked="true" hidden="false"/>
    </xf>
    <xf numFmtId="166" fontId="0" fillId="0" borderId="8" xfId="0" applyFont="false" applyBorder="true" applyAlignment="false" applyProtection="false">
      <alignment horizontal="general" vertical="bottom" textRotation="0" wrapText="false" indent="0" shrinkToFit="false"/>
      <protection locked="true" hidden="false"/>
    </xf>
    <xf numFmtId="240" fontId="0" fillId="0" borderId="51" xfId="0" applyFont="false" applyBorder="true" applyAlignment="false" applyProtection="false">
      <alignment horizontal="general" vertical="bottom" textRotation="0" wrapText="false" indent="0" shrinkToFit="false"/>
      <protection locked="true" hidden="false"/>
    </xf>
    <xf numFmtId="166" fontId="0" fillId="0" borderId="93" xfId="0" applyFont="false" applyBorder="true" applyAlignment="false" applyProtection="false">
      <alignment horizontal="general" vertical="bottom" textRotation="0" wrapText="false" indent="0" shrinkToFit="false"/>
      <protection locked="true" hidden="false"/>
    </xf>
    <xf numFmtId="166" fontId="0" fillId="0" borderId="68" xfId="0" applyFont="false" applyBorder="true" applyAlignment="false" applyProtection="false">
      <alignment horizontal="general" vertical="bottom" textRotation="0" wrapText="false" indent="0" shrinkToFit="false"/>
      <protection locked="true" hidden="false"/>
    </xf>
    <xf numFmtId="244" fontId="0" fillId="0" borderId="51" xfId="0" applyFont="false" applyBorder="true" applyAlignment="false" applyProtection="false">
      <alignment horizontal="general" vertical="bottom" textRotation="0" wrapText="false" indent="0" shrinkToFit="false"/>
      <protection locked="true" hidden="false"/>
    </xf>
    <xf numFmtId="166" fontId="0" fillId="0" borderId="51" xfId="0" applyFont="false" applyBorder="true" applyAlignment="false" applyProtection="false">
      <alignment horizontal="general" vertical="bottom" textRotation="0" wrapText="false" indent="0" shrinkToFit="false"/>
      <protection locked="true" hidden="false"/>
    </xf>
    <xf numFmtId="166" fontId="0" fillId="0" borderId="9" xfId="0" applyFont="false" applyBorder="true" applyAlignment="false" applyProtection="false">
      <alignment horizontal="general" vertical="bottom" textRotation="0" wrapText="false" indent="0" shrinkToFit="false"/>
      <protection locked="true" hidden="false"/>
    </xf>
    <xf numFmtId="165" fontId="0" fillId="0" borderId="94" xfId="0" applyFont="false" applyBorder="true" applyAlignment="true" applyProtection="false">
      <alignment horizontal="general" vertical="bottom" textRotation="0" wrapText="false" indent="0" shrinkToFit="false"/>
      <protection locked="true" hidden="false"/>
    </xf>
    <xf numFmtId="172" fontId="0" fillId="0" borderId="0" xfId="0" applyFont="false" applyBorder="true" applyAlignment="true" applyProtection="false">
      <alignment horizontal="general" vertical="bottom" textRotation="0" wrapText="false" indent="0" shrinkToFit="false"/>
      <protection locked="true" hidden="false"/>
    </xf>
    <xf numFmtId="220" fontId="0" fillId="0" borderId="8" xfId="0" applyFont="false" applyBorder="true" applyAlignment="false" applyProtection="false">
      <alignment horizontal="general" vertical="bottom" textRotation="0" wrapText="false" indent="0" shrinkToFit="false"/>
      <protection locked="true" hidden="false"/>
    </xf>
    <xf numFmtId="243" fontId="0" fillId="0" borderId="51" xfId="0" applyFont="false" applyBorder="true" applyAlignment="false" applyProtection="false">
      <alignment horizontal="general" vertical="bottom" textRotation="0" wrapText="false" indent="0" shrinkToFit="false"/>
      <protection locked="true" hidden="false"/>
    </xf>
    <xf numFmtId="243" fontId="0" fillId="0" borderId="68" xfId="0" applyFont="false" applyBorder="true" applyAlignment="false" applyProtection="false">
      <alignment horizontal="general" vertical="bottom" textRotation="0" wrapText="false" indent="0" shrinkToFit="false"/>
      <protection locked="true" hidden="false"/>
    </xf>
    <xf numFmtId="243" fontId="0" fillId="0" borderId="16" xfId="0" applyFont="false" applyBorder="true" applyAlignment="false" applyProtection="false">
      <alignment horizontal="general" vertical="bottom" textRotation="0" wrapText="false" indent="0" shrinkToFit="false"/>
      <protection locked="true" hidden="false"/>
    </xf>
    <xf numFmtId="195" fontId="96" fillId="0" borderId="0" xfId="0" applyFont="true" applyBorder="true" applyAlignment="false" applyProtection="false">
      <alignment horizontal="general" vertical="bottom" textRotation="0" wrapText="false" indent="0" shrinkToFit="false"/>
      <protection locked="true" hidden="false"/>
    </xf>
    <xf numFmtId="240" fontId="0" fillId="0" borderId="0" xfId="19" applyFont="true" applyBorder="true" applyAlignment="true" applyProtection="true">
      <alignment horizontal="general" vertical="bottom" textRotation="0" wrapText="false" indent="0" shrinkToFit="false"/>
      <protection locked="true" hidden="false"/>
    </xf>
    <xf numFmtId="220" fontId="0" fillId="0" borderId="0" xfId="0" applyFont="false" applyBorder="true" applyAlignment="false" applyProtection="false">
      <alignment horizontal="general" vertical="bottom" textRotation="0" wrapText="false" indent="0" shrinkToFit="false"/>
      <protection locked="true" hidden="false"/>
    </xf>
    <xf numFmtId="191" fontId="0" fillId="0" borderId="0" xfId="19" applyFont="true" applyBorder="true" applyAlignment="true" applyProtection="true">
      <alignment horizontal="general" vertical="bottom" textRotation="0" wrapText="false" indent="0" shrinkToFit="false"/>
      <protection locked="true" hidden="false"/>
    </xf>
    <xf numFmtId="185" fontId="26" fillId="0" borderId="0" xfId="0" applyFont="true" applyBorder="false" applyAlignment="false" applyProtection="false">
      <alignment horizontal="general" vertical="bottom" textRotation="0" wrapText="false" indent="0" shrinkToFit="false"/>
      <protection locked="true" hidden="false"/>
    </xf>
    <xf numFmtId="164" fontId="98" fillId="0" borderId="4"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general" vertical="bottom" textRotation="0" wrapText="false" indent="0" shrinkToFit="false"/>
      <protection locked="true" hidden="false"/>
    </xf>
    <xf numFmtId="164" fontId="98" fillId="0" borderId="14"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false" applyProtection="false">
      <alignment horizontal="general" vertical="bottom" textRotation="0" wrapText="false" indent="0" shrinkToFit="false"/>
      <protection locked="true" hidden="false"/>
    </xf>
    <xf numFmtId="164" fontId="99" fillId="0" borderId="14"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true" applyProtection="false">
      <alignment horizontal="general" vertical="bottom" textRotation="0" wrapText="false" indent="0" shrinkToFit="false"/>
      <protection locked="true" hidden="false"/>
    </xf>
    <xf numFmtId="164" fontId="26" fillId="0" borderId="52" xfId="0" applyFont="true" applyBorder="true" applyAlignment="true" applyProtection="false">
      <alignment horizontal="general" vertical="bottom" textRotation="0" wrapText="false" indent="0" shrinkToFit="false"/>
      <protection locked="true" hidden="false"/>
    </xf>
    <xf numFmtId="164" fontId="26" fillId="0" borderId="33" xfId="0" applyFont="true" applyBorder="true" applyAlignment="true" applyProtection="false">
      <alignment horizontal="general" vertical="bottom" textRotation="0" wrapText="false" indent="0" shrinkToFit="false"/>
      <protection locked="true" hidden="false"/>
    </xf>
    <xf numFmtId="185" fontId="26" fillId="0" borderId="32" xfId="0" applyFont="true" applyBorder="true" applyAlignment="true" applyProtection="false">
      <alignment horizontal="center" vertical="bottom" textRotation="0" wrapText="false" indent="0" shrinkToFit="false"/>
      <protection locked="true" hidden="false"/>
    </xf>
    <xf numFmtId="185" fontId="26" fillId="0" borderId="4" xfId="0" applyFont="true" applyBorder="true" applyAlignment="true" applyProtection="false">
      <alignment horizontal="center" vertical="bottom" textRotation="0" wrapText="false" indent="0" shrinkToFit="false"/>
      <protection locked="true" hidden="false"/>
    </xf>
    <xf numFmtId="164" fontId="26" fillId="0" borderId="33" xfId="0" applyFont="true" applyBorder="true" applyAlignment="true" applyProtection="false">
      <alignment horizontal="center" vertical="bottom" textRotation="0" wrapText="false" indent="0" shrinkToFit="false"/>
      <protection locked="true" hidden="false"/>
    </xf>
    <xf numFmtId="164" fontId="26" fillId="0" borderId="31" xfId="0" applyFont="true" applyBorder="true" applyAlignment="true" applyProtection="false">
      <alignment horizontal="center" vertical="bottom" textRotation="0" wrapText="false" indent="0" shrinkToFit="false"/>
      <protection locked="true" hidden="false"/>
    </xf>
    <xf numFmtId="164" fontId="26" fillId="0" borderId="62" xfId="0" applyFont="true" applyBorder="true" applyAlignment="true" applyProtection="false">
      <alignment horizontal="center" vertical="bottom" textRotation="0" wrapText="false" indent="0" shrinkToFit="false"/>
      <protection locked="true" hidden="false"/>
    </xf>
    <xf numFmtId="185" fontId="26" fillId="0" borderId="33"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general" vertical="bottom" textRotation="0" wrapText="false" indent="0" shrinkToFit="false"/>
      <protection locked="true" hidden="false"/>
    </xf>
    <xf numFmtId="164" fontId="26" fillId="0" borderId="16" xfId="0" applyFont="true" applyBorder="true" applyAlignment="true" applyProtection="false">
      <alignment horizontal="general" vertical="bottom" textRotation="0" wrapText="false" indent="0" shrinkToFit="false"/>
      <protection locked="true" hidden="false"/>
    </xf>
    <xf numFmtId="185" fontId="26" fillId="0" borderId="8" xfId="0" applyFont="true" applyBorder="true" applyAlignment="true" applyProtection="false">
      <alignment horizontal="center" vertical="bottom" textRotation="0" wrapText="false" indent="0" shrinkToFit="false"/>
      <protection locked="true" hidden="false"/>
    </xf>
    <xf numFmtId="185" fontId="26" fillId="0" borderId="35" xfId="0" applyFont="true" applyBorder="true" applyAlignment="true" applyProtection="false">
      <alignment horizontal="center" vertical="bottom" textRotation="0" wrapText="false" indent="0" shrinkToFit="false"/>
      <protection locked="true" hidden="false"/>
    </xf>
    <xf numFmtId="198" fontId="26" fillId="0" borderId="9"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center" vertical="bottom" textRotation="0" wrapText="false" indent="0" shrinkToFit="false"/>
      <protection locked="true" hidden="false"/>
    </xf>
    <xf numFmtId="164" fontId="26" fillId="0" borderId="97" xfId="0" applyFont="true" applyBorder="true" applyAlignment="true" applyProtection="false">
      <alignment horizontal="center" vertical="bottom" textRotation="0" wrapText="false" indent="0" shrinkToFit="false"/>
      <protection locked="true" hidden="false"/>
    </xf>
    <xf numFmtId="164" fontId="26" fillId="0" borderId="27" xfId="0" applyFont="true" applyBorder="true" applyAlignment="true" applyProtection="false">
      <alignment horizontal="center" vertical="bottom" textRotation="0" wrapText="false" indent="0" shrinkToFit="false"/>
      <protection locked="true" hidden="false"/>
    </xf>
    <xf numFmtId="185" fontId="26" fillId="0" borderId="23" xfId="0" applyFont="true" applyBorder="true" applyAlignment="true" applyProtection="false">
      <alignment horizontal="center" vertical="bottom" textRotation="0" wrapText="false" indent="0" shrinkToFit="false"/>
      <protection locked="true" hidden="false"/>
    </xf>
    <xf numFmtId="198" fontId="26" fillId="0" borderId="0" xfId="0" applyFont="true" applyBorder="true" applyAlignment="true" applyProtection="false">
      <alignment horizontal="center" vertical="bottom" textRotation="0" wrapText="false" indent="0" shrinkToFit="false"/>
      <protection locked="true" hidden="false"/>
    </xf>
    <xf numFmtId="164" fontId="26" fillId="0" borderId="6" xfId="0" applyFont="true" applyBorder="true" applyAlignment="tru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false" indent="0" shrinkToFit="false"/>
      <protection locked="true" hidden="false"/>
    </xf>
    <xf numFmtId="164" fontId="26" fillId="0" borderId="7" xfId="0" applyFont="true" applyBorder="true" applyAlignment="true" applyProtection="false">
      <alignment horizontal="general" vertical="bottom" textRotation="0" wrapText="false" indent="0" shrinkToFit="false"/>
      <protection locked="true" hidden="false"/>
    </xf>
    <xf numFmtId="164" fontId="26" fillId="0" borderId="2" xfId="0" applyFont="true" applyBorder="true" applyAlignment="true" applyProtection="false">
      <alignment horizontal="general" vertical="bottom" textRotation="0" wrapText="false" indent="0" shrinkToFit="false"/>
      <protection locked="true" hidden="false"/>
    </xf>
    <xf numFmtId="164" fontId="26" fillId="0" borderId="20" xfId="0" applyFont="true" applyBorder="true" applyAlignment="true" applyProtection="false">
      <alignment horizontal="general" vertical="bottom" textRotation="0" wrapText="false" indent="0" shrinkToFit="false"/>
      <protection locked="true" hidden="false"/>
    </xf>
    <xf numFmtId="164" fontId="26" fillId="0" borderId="3" xfId="0" applyFont="true" applyBorder="true" applyAlignment="true" applyProtection="false">
      <alignment horizontal="general" vertical="bottom" textRotation="0" wrapText="false" indent="0" shrinkToFit="false"/>
      <protection locked="true" hidden="false"/>
    </xf>
    <xf numFmtId="192" fontId="26" fillId="0" borderId="15" xfId="0" applyFont="true" applyBorder="true" applyAlignment="false" applyProtection="false">
      <alignment horizontal="general" vertical="bottom" textRotation="0" wrapText="false" indent="0" shrinkToFit="false"/>
      <protection locked="true" hidden="false"/>
    </xf>
    <xf numFmtId="192" fontId="26" fillId="0" borderId="31" xfId="0" applyFont="true" applyBorder="true" applyAlignment="false" applyProtection="false">
      <alignment horizontal="general" vertical="bottom" textRotation="0" wrapText="false" indent="0" shrinkToFit="false"/>
      <protection locked="true" hidden="false"/>
    </xf>
    <xf numFmtId="192" fontId="26" fillId="0" borderId="16" xfId="0" applyFont="true" applyBorder="true" applyAlignment="false" applyProtection="false">
      <alignment horizontal="general" vertical="bottom" textRotation="0" wrapText="false" indent="0" shrinkToFit="false"/>
      <protection locked="true" hidden="false"/>
    </xf>
    <xf numFmtId="199" fontId="26" fillId="0" borderId="31" xfId="0" applyFont="true" applyBorder="true" applyAlignment="false" applyProtection="false">
      <alignment horizontal="general" vertical="bottom" textRotation="0" wrapText="false" indent="0" shrinkToFit="false"/>
      <protection locked="true" hidden="false"/>
    </xf>
    <xf numFmtId="185" fontId="26" fillId="0" borderId="20" xfId="0" applyFont="true" applyBorder="true" applyAlignment="false" applyProtection="false">
      <alignment horizontal="general" vertical="bottom" textRotation="0" wrapText="false" indent="0" shrinkToFit="false"/>
      <protection locked="true" hidden="false"/>
    </xf>
    <xf numFmtId="185" fontId="26" fillId="0"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85" fontId="26" fillId="0" borderId="13" xfId="0" applyFont="true" applyBorder="true" applyAlignment="false" applyProtection="false">
      <alignment horizontal="general" vertical="bottom" textRotation="0" wrapText="false" indent="0" shrinkToFit="false"/>
      <protection locked="true" hidden="false"/>
    </xf>
    <xf numFmtId="185" fontId="26" fillId="0" borderId="7"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64" fontId="26" fillId="0" borderId="8" xfId="0" applyFont="true" applyBorder="true" applyAlignment="true" applyProtection="false">
      <alignment horizontal="general" vertical="bottom" textRotation="0" wrapText="false" indent="0" shrinkToFit="false"/>
      <protection locked="true" hidden="false"/>
    </xf>
    <xf numFmtId="164" fontId="26" fillId="0" borderId="22" xfId="0" applyFont="true" applyBorder="true" applyAlignment="true" applyProtection="false">
      <alignment horizontal="general" vertical="bottom" textRotation="0" wrapText="false" indent="0" shrinkToFit="false"/>
      <protection locked="true" hidden="false"/>
    </xf>
    <xf numFmtId="164" fontId="26" fillId="0" borderId="27" xfId="0" applyFont="true" applyBorder="true" applyAlignment="true" applyProtection="false">
      <alignment horizontal="general" vertical="bottom" textRotation="0" wrapText="false" indent="0" shrinkToFit="false"/>
      <protection locked="true" hidden="false"/>
    </xf>
    <xf numFmtId="164" fontId="26" fillId="0" borderId="23" xfId="0" applyFont="true" applyBorder="true" applyAlignment="true" applyProtection="false">
      <alignment horizontal="general" vertical="bottom" textRotation="0" wrapText="false" indent="0" shrinkToFit="false"/>
      <protection locked="true" hidden="false"/>
    </xf>
    <xf numFmtId="192" fontId="26" fillId="0" borderId="8" xfId="0" applyFont="true" applyBorder="true" applyAlignment="false" applyProtection="false">
      <alignment horizontal="general" vertical="bottom" textRotation="0" wrapText="false" indent="0" shrinkToFit="false"/>
      <protection locked="true" hidden="false"/>
    </xf>
    <xf numFmtId="192" fontId="26" fillId="0" borderId="35" xfId="0" applyFont="true" applyBorder="true" applyAlignment="false" applyProtection="false">
      <alignment horizontal="general" vertical="bottom" textRotation="0" wrapText="false" indent="0" shrinkToFit="false"/>
      <protection locked="true" hidden="false"/>
    </xf>
    <xf numFmtId="192" fontId="26" fillId="0" borderId="9" xfId="0" applyFont="true" applyBorder="true" applyAlignment="false" applyProtection="false">
      <alignment horizontal="general" vertical="bottom" textRotation="0" wrapText="false" indent="0" shrinkToFit="false"/>
      <protection locked="true" hidden="false"/>
    </xf>
    <xf numFmtId="199" fontId="26" fillId="0" borderId="35" xfId="0" applyFont="true" applyBorder="true" applyAlignment="false" applyProtection="false">
      <alignment horizontal="general" vertical="bottom" textRotation="0" wrapText="false" indent="0" shrinkToFit="false"/>
      <protection locked="true" hidden="false"/>
    </xf>
    <xf numFmtId="185" fontId="26" fillId="0" borderId="27" xfId="0" applyFont="true" applyBorder="true" applyAlignment="false" applyProtection="false">
      <alignment horizontal="general" vertical="bottom" textRotation="0" wrapText="false" indent="0" shrinkToFit="false"/>
      <protection locked="true" hidden="false"/>
    </xf>
    <xf numFmtId="185" fontId="26" fillId="0" borderId="23" xfId="0" applyFont="true" applyBorder="true" applyAlignment="false" applyProtection="false">
      <alignment horizontal="general" vertical="bottom" textRotation="0" wrapText="false" indent="0" shrinkToFit="false"/>
      <protection locked="true" hidden="false"/>
    </xf>
    <xf numFmtId="164" fontId="26" fillId="0" borderId="4" xfId="0" applyFont="true" applyBorder="true" applyAlignment="false" applyProtection="false">
      <alignment horizontal="general" vertical="bottom" textRotation="0" wrapText="false" indent="0" shrinkToFit="false"/>
      <protection locked="true" hidden="false"/>
    </xf>
    <xf numFmtId="164" fontId="26" fillId="0" borderId="35" xfId="0" applyFont="true" applyBorder="true" applyAlignment="true" applyProtection="false">
      <alignment horizontal="center" vertical="bottom" textRotation="0" wrapText="false" indent="0" shrinkToFit="false"/>
      <protection locked="true" hidden="false"/>
    </xf>
    <xf numFmtId="199" fontId="26" fillId="0" borderId="15" xfId="0" applyFont="true" applyBorder="true" applyAlignment="false" applyProtection="false">
      <alignment horizontal="general" vertical="bottom" textRotation="0" wrapText="false" indent="0" shrinkToFit="false"/>
      <protection locked="true" hidden="false"/>
    </xf>
    <xf numFmtId="199" fontId="26" fillId="0" borderId="4" xfId="0" applyFont="true" applyBorder="true" applyAlignment="false" applyProtection="false">
      <alignment horizontal="general" vertical="bottom" textRotation="0" wrapText="false" indent="0" shrinkToFit="false"/>
      <protection locked="true" hidden="false"/>
    </xf>
    <xf numFmtId="194" fontId="26" fillId="0" borderId="0" xfId="0" applyFont="true" applyBorder="true" applyAlignment="false" applyProtection="false">
      <alignment horizontal="general" vertical="bottom" textRotation="0" wrapText="false" indent="0" shrinkToFit="false"/>
      <protection locked="true" hidden="false"/>
    </xf>
    <xf numFmtId="199" fontId="26" fillId="0" borderId="6" xfId="0" applyFont="true" applyBorder="true" applyAlignment="true" applyProtection="false">
      <alignment horizontal="general" vertical="bottom" textRotation="0" wrapText="false" indent="0" shrinkToFit="false"/>
      <protection locked="true" hidden="false"/>
    </xf>
    <xf numFmtId="199" fontId="26" fillId="0" borderId="13" xfId="0" applyFont="true" applyBorder="true" applyAlignment="true" applyProtection="false">
      <alignment horizontal="general" vertical="bottom" textRotation="0" wrapText="false" indent="0" shrinkToFit="false"/>
      <protection locked="true" hidden="false"/>
    </xf>
    <xf numFmtId="199" fontId="26" fillId="0" borderId="7" xfId="0" applyFont="true" applyBorder="true" applyAlignment="true" applyProtection="false">
      <alignment horizontal="general" vertical="bottom" textRotation="0" wrapText="false" indent="0" shrinkToFit="false"/>
      <protection locked="true" hidden="false"/>
    </xf>
    <xf numFmtId="199" fontId="26" fillId="0" borderId="8" xfId="0" applyFont="true" applyBorder="true" applyAlignment="false" applyProtection="false">
      <alignment horizontal="general" vertical="bottom" textRotation="0" wrapText="false" indent="0" shrinkToFit="false"/>
      <protection locked="true" hidden="false"/>
    </xf>
    <xf numFmtId="199" fontId="26" fillId="0" borderId="22" xfId="0" applyFont="true" applyBorder="true" applyAlignment="true" applyProtection="false">
      <alignment horizontal="general" vertical="bottom" textRotation="0" wrapText="false" indent="0" shrinkToFit="false"/>
      <protection locked="true" hidden="false"/>
    </xf>
    <xf numFmtId="199" fontId="26" fillId="0" borderId="27" xfId="0" applyFont="true" applyBorder="true" applyAlignment="true" applyProtection="false">
      <alignment horizontal="general" vertical="bottom" textRotation="0" wrapText="false" indent="0" shrinkToFit="false"/>
      <protection locked="true" hidden="false"/>
    </xf>
    <xf numFmtId="199" fontId="26" fillId="0" borderId="23" xfId="0" applyFont="true" applyBorder="true" applyAlignment="true" applyProtection="false">
      <alignment horizontal="general" vertical="bottom" textRotation="0" wrapText="false" indent="0" shrinkToFit="false"/>
      <protection locked="true" hidden="false"/>
    </xf>
    <xf numFmtId="164" fontId="0" fillId="0" borderId="32" xfId="0" applyFont="true" applyBorder="true" applyAlignment="true" applyProtection="false">
      <alignment horizontal="center" vertical="bottom" textRotation="0" wrapText="false" indent="0" shrinkToFit="false"/>
      <protection locked="true" hidden="false"/>
    </xf>
    <xf numFmtId="164" fontId="0" fillId="0" borderId="14" xfId="0" applyFont="true" applyBorder="true" applyAlignment="true" applyProtection="false">
      <alignment horizontal="center"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general" vertical="bottom" textRotation="0" wrapText="false" indent="0" shrinkToFit="false"/>
      <protection locked="true" hidden="false"/>
    </xf>
    <xf numFmtId="194" fontId="26" fillId="0" borderId="4" xfId="0" applyFont="true" applyBorder="true" applyAlignment="true" applyProtection="false">
      <alignment horizontal="general" vertical="bottom" textRotation="0" wrapText="false" indent="0" shrinkToFit="false"/>
      <protection locked="true" hidden="false"/>
    </xf>
    <xf numFmtId="172" fontId="26" fillId="0" borderId="4" xfId="0" applyFont="true" applyBorder="true" applyAlignment="false" applyProtection="false">
      <alignment horizontal="general" vertical="bottom" textRotation="0" wrapText="false" indent="0" shrinkToFit="false"/>
      <protection locked="true" hidden="false"/>
    </xf>
    <xf numFmtId="240" fontId="26" fillId="0" borderId="6" xfId="0" applyFont="true" applyBorder="true" applyAlignment="true" applyProtection="false">
      <alignment horizontal="general" vertical="bottom" textRotation="0" wrapText="false" indent="0" shrinkToFit="false"/>
      <protection locked="true" hidden="false"/>
    </xf>
    <xf numFmtId="240" fontId="26" fillId="0" borderId="13" xfId="0" applyFont="true" applyBorder="true" applyAlignment="true" applyProtection="false">
      <alignment horizontal="general" vertical="bottom" textRotation="0" wrapText="false" indent="0" shrinkToFit="false"/>
      <protection locked="true" hidden="false"/>
    </xf>
    <xf numFmtId="240" fontId="26" fillId="0" borderId="7" xfId="0" applyFont="true" applyBorder="true" applyAlignment="true" applyProtection="false">
      <alignment horizontal="general" vertical="bottom" textRotation="0" wrapText="false" indent="0" shrinkToFit="false"/>
      <protection locked="true" hidden="false"/>
    </xf>
    <xf numFmtId="164" fontId="26" fillId="0" borderId="31" xfId="0" applyFont="true" applyBorder="true" applyAlignment="true" applyProtection="false">
      <alignment horizontal="general" vertical="bottom" textRotation="0" wrapText="false" indent="0" shrinkToFit="false"/>
      <protection locked="true" hidden="false"/>
    </xf>
    <xf numFmtId="194" fontId="26" fillId="0" borderId="31" xfId="0" applyFont="true" applyBorder="true" applyAlignment="true" applyProtection="false">
      <alignment horizontal="general" vertical="bottom" textRotation="0" wrapText="false" indent="0" shrinkToFit="false"/>
      <protection locked="true" hidden="false"/>
    </xf>
    <xf numFmtId="172" fontId="26" fillId="0" borderId="31" xfId="0" applyFont="true" applyBorder="true" applyAlignment="false" applyProtection="false">
      <alignment horizontal="general" vertical="bottom" textRotation="0" wrapText="false" indent="0" shrinkToFit="false"/>
      <protection locked="true" hidden="false"/>
    </xf>
    <xf numFmtId="164" fontId="26" fillId="0" borderId="35" xfId="0" applyFont="true" applyBorder="true" applyAlignment="true" applyProtection="false">
      <alignment horizontal="general" vertical="bottom" textRotation="0" wrapText="false" indent="0" shrinkToFit="false"/>
      <protection locked="true" hidden="false"/>
    </xf>
    <xf numFmtId="194" fontId="26" fillId="0" borderId="35" xfId="0" applyFont="true" applyBorder="true" applyAlignment="true" applyProtection="false">
      <alignment horizontal="general" vertical="bottom" textRotation="0" wrapText="false" indent="0" shrinkToFit="false"/>
      <protection locked="true" hidden="false"/>
    </xf>
    <xf numFmtId="172" fontId="26" fillId="0" borderId="35" xfId="0" applyFont="true" applyBorder="true" applyAlignment="false" applyProtection="false">
      <alignment horizontal="general" vertical="bottom" textRotation="0" wrapText="false" indent="0" shrinkToFit="false"/>
      <protection locked="true" hidden="false"/>
    </xf>
    <xf numFmtId="240" fontId="26" fillId="0" borderId="22" xfId="0" applyFont="true" applyBorder="true" applyAlignment="true" applyProtection="false">
      <alignment horizontal="general" vertical="bottom" textRotation="0" wrapText="false" indent="0" shrinkToFit="false"/>
      <protection locked="true" hidden="false"/>
    </xf>
    <xf numFmtId="240" fontId="26" fillId="0" borderId="27" xfId="0" applyFont="true" applyBorder="true" applyAlignment="true" applyProtection="false">
      <alignment horizontal="general" vertical="bottom" textRotation="0" wrapText="false" indent="0" shrinkToFit="false"/>
      <protection locked="true" hidden="false"/>
    </xf>
    <xf numFmtId="240" fontId="26" fillId="0" borderId="23" xfId="0" applyFont="true" applyBorder="true" applyAlignment="true" applyProtection="false">
      <alignment horizontal="general" vertical="bottom" textRotation="0" wrapText="false" indent="0" shrinkToFit="false"/>
      <protection locked="true" hidden="false"/>
    </xf>
  </cellXfs>
  <cellStyles count="215">
    <cellStyle name="Normal" xfId="0" builtinId="0"/>
    <cellStyle name="Comma" xfId="15" builtinId="3"/>
    <cellStyle name="Comma [0]" xfId="16" builtinId="6"/>
    <cellStyle name="Currency" xfId="17" builtinId="4"/>
    <cellStyle name="Currency [0]" xfId="18" builtinId="7"/>
    <cellStyle name="Percent" xfId="19" builtinId="5"/>
    <cellStyle name="Comma [0]_12.4.98 Final Ver3 Updated 1.25.99-Weather Adjustment" xfId="20"/>
    <cellStyle name="Comma [0]_A" xfId="21"/>
    <cellStyle name="Comma [0]_Assumptions" xfId="22"/>
    <cellStyle name="Comma [0]_B" xfId="23"/>
    <cellStyle name="Comma [0]_Book3" xfId="24"/>
    <cellStyle name="Comma [0]_Cap X 11-12" xfId="25"/>
    <cellStyle name="Comma [0]_Cashflow" xfId="26"/>
    <cellStyle name="Comma [0]_CENTCF1G" xfId="27"/>
    <cellStyle name="Comma [0]_CFMODEL" xfId="28"/>
    <cellStyle name="Comma [0]_CFTEST49" xfId="29"/>
    <cellStyle name="Comma [0]_Curve_Backin5" xfId="30"/>
    <cellStyle name="Comma [0]_Delta-RAROC-11-9" xfId="31"/>
    <cellStyle name="Comma [0]_EVER1" xfId="32"/>
    <cellStyle name="Comma [0]_H" xfId="33"/>
    <cellStyle name="Comma [0]_Int. Data Table" xfId="34"/>
    <cellStyle name="Comma [0]_OPCO4A" xfId="35"/>
    <cellStyle name="Comma [0]_priccurv" xfId="36"/>
    <cellStyle name="Comma [0]_PriceCurve" xfId="37"/>
    <cellStyle name="Comma [0]_PROFILE4" xfId="38"/>
    <cellStyle name="Comma [0]_SELECT" xfId="39"/>
    <cellStyle name="Comma [0]_sensitivities" xfId="40"/>
    <cellStyle name="Comma [0]_SUMMARY" xfId="41"/>
    <cellStyle name="Comma [0]_Template" xfId="42"/>
    <cellStyle name="Comma [0]_West501f-hcentrifugal15posco_revised2.xls Chart 1" xfId="43"/>
    <cellStyle name="Comma_12.4.98 Final Ver3 Updated 1.25.99-Weather Adjustment" xfId="44"/>
    <cellStyle name="Comma_A" xfId="45"/>
    <cellStyle name="Comma_Assumptions" xfId="46"/>
    <cellStyle name="Comma_B" xfId="47"/>
    <cellStyle name="Comma_Book3" xfId="48"/>
    <cellStyle name="Comma_Cap X 11-12" xfId="49"/>
    <cellStyle name="Comma_Cashflow" xfId="50"/>
    <cellStyle name="Comma_CENTCF1G" xfId="51"/>
    <cellStyle name="Comma_CFMODEL" xfId="52"/>
    <cellStyle name="Comma_CFtest3" xfId="53"/>
    <cellStyle name="Comma_CFTEST49" xfId="54"/>
    <cellStyle name="Comma_Curve_Backin5" xfId="55"/>
    <cellStyle name="Comma_Delta-RAROC-11-9" xfId="56"/>
    <cellStyle name="Comma_EVER1" xfId="57"/>
    <cellStyle name="Comma_GASDATA1" xfId="58"/>
    <cellStyle name="Comma_H" xfId="59"/>
    <cellStyle name="Comma_Int. Data Table" xfId="60"/>
    <cellStyle name="Comma_OFFDATA1" xfId="61"/>
    <cellStyle name="Comma_OPCO4A" xfId="62"/>
    <cellStyle name="Comma_PKDATA1" xfId="63"/>
    <cellStyle name="Comma_priccurv" xfId="64"/>
    <cellStyle name="Comma_PriceCurve" xfId="65"/>
    <cellStyle name="Comma_PROFILE4" xfId="66"/>
    <cellStyle name="Comma_SELECT" xfId="67"/>
    <cellStyle name="Comma_sensitivities" xfId="68"/>
    <cellStyle name="Comma_SUMMARY" xfId="69"/>
    <cellStyle name="Comma_Template" xfId="70"/>
    <cellStyle name="Comma_TESTDATA" xfId="71"/>
    <cellStyle name="Comma_West501f-hcentrifugal15posco_revised2.xls Chart 1" xfId="72"/>
    <cellStyle name="Currency [0]_12.4.98 Final Ver3 Updated 1.25.99-Weather Adjustment" xfId="73"/>
    <cellStyle name="Currency [0]_A" xfId="74"/>
    <cellStyle name="Currency [0]_Assumptions" xfId="75"/>
    <cellStyle name="Currency [0]_B" xfId="76"/>
    <cellStyle name="Currency [0]_Book3" xfId="77"/>
    <cellStyle name="Currency [0]_Cap X 11-12" xfId="78"/>
    <cellStyle name="Currency [0]_Cashflow" xfId="79"/>
    <cellStyle name="Currency [0]_CENTCF1G" xfId="80"/>
    <cellStyle name="Currency [0]_CFMODEL" xfId="81"/>
    <cellStyle name="Currency [0]_CFTEST49" xfId="82"/>
    <cellStyle name="Currency [0]_Curve_Backin5" xfId="83"/>
    <cellStyle name="Currency [0]_Delta-RAROC-11-9" xfId="84"/>
    <cellStyle name="Currency [0]_EVER1" xfId="85"/>
    <cellStyle name="Currency [0]_H" xfId="86"/>
    <cellStyle name="Currency [0]_Int. Data Table" xfId="87"/>
    <cellStyle name="Currency [0]_OPCO4A" xfId="88"/>
    <cellStyle name="Currency [0]_priccurv" xfId="89"/>
    <cellStyle name="Currency [0]_PriceCurve" xfId="90"/>
    <cellStyle name="Currency [0]_PROFILE4" xfId="91"/>
    <cellStyle name="Currency [0]_SELECT" xfId="92"/>
    <cellStyle name="Currency [0]_sensitivities" xfId="93"/>
    <cellStyle name="Currency [0]_SUMMARY" xfId="94"/>
    <cellStyle name="Currency [0]_Template" xfId="95"/>
    <cellStyle name="Currency [0]_West501f-hcentrifugal15posco_revised2.xls Chart 1" xfId="96"/>
    <cellStyle name="Currency_12.4.98 Final Ver3 Updated 1.25.99-Weather Adjustment" xfId="97"/>
    <cellStyle name="Currency_A" xfId="98"/>
    <cellStyle name="Currency_Assumptions" xfId="99"/>
    <cellStyle name="Currency_B" xfId="100"/>
    <cellStyle name="Currency_BIGOUT" xfId="101"/>
    <cellStyle name="Currency_Book3" xfId="102"/>
    <cellStyle name="Currency_Cap X 11-12" xfId="103"/>
    <cellStyle name="Currency_Cashflow" xfId="104"/>
    <cellStyle name="Currency_CENTCF1G" xfId="105"/>
    <cellStyle name="Currency_CFMODEL" xfId="106"/>
    <cellStyle name="Currency_CFtest3" xfId="107"/>
    <cellStyle name="Currency_CFTEST49" xfId="108"/>
    <cellStyle name="Currency_Curve_Backin5" xfId="109"/>
    <cellStyle name="Currency_Delta-RAROC-11-9" xfId="110"/>
    <cellStyle name="Currency_EVER1" xfId="111"/>
    <cellStyle name="Currency_H" xfId="112"/>
    <cellStyle name="Currency_Int. Data Table" xfId="113"/>
    <cellStyle name="Currency_OPCO4A" xfId="114"/>
    <cellStyle name="Currency_priccurv" xfId="115"/>
    <cellStyle name="Currency_PriceCurve" xfId="116"/>
    <cellStyle name="Currency_PROFILE4" xfId="117"/>
    <cellStyle name="Currency_SELECT" xfId="118"/>
    <cellStyle name="Currency_sensitivities" xfId="119"/>
    <cellStyle name="Currency_SUMMARY" xfId="120"/>
    <cellStyle name="Currency_Template" xfId="121"/>
    <cellStyle name="Currency_West501f-hcentrifugal15posco_revised2.xls Chart 1" xfId="122"/>
    <cellStyle name="Dezimal [0]_Compiling Utility Macros" xfId="123"/>
    <cellStyle name="Dezimal [0]_FixerSetupDlg" xfId="124"/>
    <cellStyle name="Dezimal [0]_TemplateInformation" xfId="125"/>
    <cellStyle name="Dezimal_Compiling Utility Macros" xfId="126"/>
    <cellStyle name="Dezimal_FixerSetupDlg" xfId="127"/>
    <cellStyle name="Dezimal_TemplateInformation" xfId="128"/>
    <cellStyle name="HEADER" xfId="129"/>
    <cellStyle name="HIGHLIGHT" xfId="130"/>
    <cellStyle name="Normal_12.4.98 Final Ver3 Updated 1.25.99-Weather Adjustment" xfId="131"/>
    <cellStyle name="Normal_A" xfId="132"/>
    <cellStyle name="Normal_A_PriceCurve" xfId="133"/>
    <cellStyle name="Normal_A_West501f-hcentrifugal15posco_revised2.xls Chart 1" xfId="134"/>
    <cellStyle name="Normal_Assumptions" xfId="135"/>
    <cellStyle name="Normal_B" xfId="136"/>
    <cellStyle name="Normal_BIGOUT" xfId="137"/>
    <cellStyle name="Normal_Book3" xfId="138"/>
    <cellStyle name="Normal_Cap X 11-12" xfId="139"/>
    <cellStyle name="Normal_Cashflow" xfId="140"/>
    <cellStyle name="Normal_CENTCF1G" xfId="141"/>
    <cellStyle name="Normal_CFMACROS.XLM" xfId="142"/>
    <cellStyle name="Normal_CFMODEL" xfId="143"/>
    <cellStyle name="Normal_CFMODEL.XLS" xfId="144"/>
    <cellStyle name="Normal_CFTEST49" xfId="145"/>
    <cellStyle name="Normal_ChgLoan" xfId="146"/>
    <cellStyle name="Normal_Code" xfId="147"/>
    <cellStyle name="Normal_Curve_Backin5" xfId="148"/>
    <cellStyle name="Normal_Curves" xfId="149"/>
    <cellStyle name="Normal_Delta-RAROC-11-9" xfId="150"/>
    <cellStyle name="Normal_EVER1" xfId="151"/>
    <cellStyle name="Normal_GASDATA1" xfId="152"/>
    <cellStyle name="Normal_H" xfId="153"/>
    <cellStyle name="Normal_Igobox" xfId="154"/>
    <cellStyle name="Normal_Igobox_1" xfId="155"/>
    <cellStyle name="Normal_Igobox_2" xfId="156"/>
    <cellStyle name="Normal_Igobox_Imacros" xfId="157"/>
    <cellStyle name="Normal_Igobox_IPP" xfId="158"/>
    <cellStyle name="Normal_Igobox_Iprintbox" xfId="159"/>
    <cellStyle name="Normal_Imacros" xfId="160"/>
    <cellStyle name="Normal_Imacros_1" xfId="161"/>
    <cellStyle name="Normal_Imacros_2" xfId="162"/>
    <cellStyle name="Normal_INPUT" xfId="163"/>
    <cellStyle name="Normal_INT" xfId="164"/>
    <cellStyle name="Normal_Int. Data Table" xfId="165"/>
    <cellStyle name="Normal_Int. Data Table_1" xfId="166"/>
    <cellStyle name="Normal_IPP" xfId="167"/>
    <cellStyle name="Normal_IPP_1" xfId="168"/>
    <cellStyle name="Normal_IPP_1_Igobox" xfId="169"/>
    <cellStyle name="Normal_IPP_1_Imacros" xfId="170"/>
    <cellStyle name="Normal_IPP_1_Iprintbox" xfId="171"/>
    <cellStyle name="Normal_IPP_2" xfId="172"/>
    <cellStyle name="Normal_Iprintbox" xfId="173"/>
    <cellStyle name="Normal_Iprintbox_1" xfId="174"/>
    <cellStyle name="Normal_Iprintbox_2" xfId="175"/>
    <cellStyle name="Normal_Iterbox" xfId="176"/>
    <cellStyle name="Normal_Lock" xfId="177"/>
    <cellStyle name="Normal_MID CURVE" xfId="178"/>
    <cellStyle name="Normal_Module1 (2)" xfId="179"/>
    <cellStyle name="Normal_Module1 (2)_1" xfId="180"/>
    <cellStyle name="Normal_MONTHLY" xfId="181"/>
    <cellStyle name="Normal_OFFDATA1" xfId="182"/>
    <cellStyle name="Normal_OPCALC" xfId="183"/>
    <cellStyle name="Normal_OPCALC_1" xfId="184"/>
    <cellStyle name="Normal_OPCO4A" xfId="185"/>
    <cellStyle name="Normal_PKDATA1" xfId="186"/>
    <cellStyle name="Normal_priccurv" xfId="187"/>
    <cellStyle name="Normal_priccurv_1" xfId="188"/>
    <cellStyle name="Normal_priccurv_2" xfId="189"/>
    <cellStyle name="Normal_PriceCurve" xfId="190"/>
    <cellStyle name="Normal_PriceSheet" xfId="191"/>
    <cellStyle name="Normal_PriceSheet_1" xfId="192"/>
    <cellStyle name="Normal_PrintBox (2)" xfId="193"/>
    <cellStyle name="Normal_Production Payment model" xfId="194"/>
    <cellStyle name="Normal_production tony" xfId="195"/>
    <cellStyle name="Normal_PROFILE4" xfId="196"/>
    <cellStyle name="Normal_SELECT" xfId="197"/>
    <cellStyle name="Normal_sensitivities" xfId="198"/>
    <cellStyle name="Normal_Sheet1" xfId="199"/>
    <cellStyle name="Normal_Specifics" xfId="200"/>
    <cellStyle name="Normal_Spread" xfId="201"/>
    <cellStyle name="Normal_Spread_1" xfId="202"/>
    <cellStyle name="Normal_SUMMARY" xfId="203"/>
    <cellStyle name="Normal_Template" xfId="204"/>
    <cellStyle name="Normal_Template_Delta-RAROC-11-9" xfId="205"/>
    <cellStyle name="Normal_TESTDATA" xfId="206"/>
    <cellStyle name="Normal_USInf (2)" xfId="207"/>
    <cellStyle name="Normal_VDlg" xfId="208"/>
    <cellStyle name="Normal_West501f-hcentrifugal15posco_revised2.xls Chart 1" xfId="209"/>
    <cellStyle name="Standard_Anpassen der Amortisation" xfId="210"/>
    <cellStyle name="Standard_ATW" xfId="211"/>
    <cellStyle name="Standard_Compiling Utility Macros" xfId="212"/>
    <cellStyle name="Standard_FixerSetupDlg" xfId="213"/>
    <cellStyle name="Standard_Sperren" xfId="214"/>
    <cellStyle name="Standard_Sperren_1" xfId="215"/>
    <cellStyle name="Standard_TemplateInformation" xfId="216"/>
    <cellStyle name="Standard_TemplateInformation_1" xfId="217"/>
    <cellStyle name="Unprot" xfId="218"/>
    <cellStyle name="Unprot$" xfId="219"/>
    <cellStyle name="Unprot_USINF_97" xfId="220"/>
    <cellStyle name="Unprotect" xfId="221"/>
    <cellStyle name="Unprotect_12.4.98 Final Ver3 Updated 1.25.99-Weather Adjustment" xfId="222"/>
    <cellStyle name="Währung [0]_Compiling Utility Macros" xfId="223"/>
    <cellStyle name="Währung [0]_FixerSetupDlg" xfId="224"/>
    <cellStyle name="Währung [0]_TemplateInformation" xfId="225"/>
    <cellStyle name="Währung_Compiling Utility Macros" xfId="226"/>
    <cellStyle name="Währung_FixerSetupDlg" xfId="227"/>
    <cellStyle name="Währung_TemplateInformation" xfId="2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BF"/>
      <rgbColor rgb="FFCCFFFF"/>
      <rgbColor rgb="FF660066"/>
      <rgbColor rgb="FFFF8080"/>
      <rgbColor rgb="FF0066CC"/>
      <rgbColor rgb="FFE3E3E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33"/>
      <rgbColor rgb="FF003300"/>
      <rgbColor rgb="FF333300"/>
      <rgbColor rgb="FF993300"/>
      <rgbColor rgb="FF993366"/>
      <rgbColor rgb="FF3333CC"/>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externalLink" Target="externalLinks/externalLink1.xml"/><Relationship Id="rId24" Type="http://schemas.openxmlformats.org/officeDocument/2006/relationships/externalLink" Target="externalLinks/externalLink2.xml"/><Relationship Id="rId25" Type="http://schemas.openxmlformats.org/officeDocument/2006/relationships/sharedStrings" Target="sharedStrings.xml"/>
</Relationships>
</file>

<file path=xl/ctrlProps/ctrlProps10.xml><?xml version="1.0" encoding="utf-8"?>
<formControlPr xmlns="http://schemas.microsoft.com/office/spreadsheetml/2009/9/main" objectType="CheckBox" checked="Checked" autoLine="false" print="true" fmlaLink="MAIN!$AP$42" lockText="1" noThreeD="1"/>
</file>

<file path=xl/ctrlProps/ctrlProps11.xml><?xml version="1.0" encoding="utf-8"?>
<formControlPr xmlns="http://schemas.microsoft.com/office/spreadsheetml/2009/9/main" objectType="CheckBox" checked="Checked" autoLine="false" print="true" fmlaLink="MAIN!$AP$43" lockText="1" noThreeD="1"/>
</file>

<file path=xl/ctrlProps/ctrlProps12.xml><?xml version="1.0" encoding="utf-8"?>
<formControlPr xmlns="http://schemas.microsoft.com/office/spreadsheetml/2009/9/main" objectType="CheckBox" checked="Checked" autoLine="false" print="true" fmlaLink="MAIN!$AP$44" lockText="1" noThreeD="1"/>
</file>

<file path=xl/ctrlProps/ctrlProps13.xml><?xml version="1.0" encoding="utf-8"?>
<formControlPr xmlns="http://schemas.microsoft.com/office/spreadsheetml/2009/9/main" objectType="CheckBox" checked="Checked" autoLine="false" print="true" fmlaLink="MAIN!$AP$45" lockText="1" noThreeD="1"/>
</file>

<file path=xl/ctrlProps/ctrlProps14.xml><?xml version="1.0" encoding="utf-8"?>
<formControlPr xmlns="http://schemas.microsoft.com/office/spreadsheetml/2009/9/main" objectType="CheckBox" checked="Checked" autoLine="false" print="true" fmlaLink="MAIN!$AP$46" lockText="1" noThreeD="1"/>
</file>

<file path=xl/ctrlProps/ctrlProps15.xml><?xml version="1.0" encoding="utf-8"?>
<formControlPr xmlns="http://schemas.microsoft.com/office/spreadsheetml/2009/9/main" objectType="CheckBox" checked="Checked" autoLine="false" print="true" fmlaLink="MAIN!$AP$47" lockText="1" noThreeD="1"/>
</file>

<file path=xl/ctrlProps/ctrlProps16.xml><?xml version="1.0" encoding="utf-8"?>
<formControlPr xmlns="http://schemas.microsoft.com/office/spreadsheetml/2009/9/main" objectType="CheckBox" checked="Checked" autoLine="false" print="true" fmlaLink="MAIN!$AP$48" lockText="1" noThreeD="1"/>
</file>

<file path=xl/ctrlProps/ctrlProps17.xml><?xml version="1.0" encoding="utf-8"?>
<formControlPr xmlns="http://schemas.microsoft.com/office/spreadsheetml/2009/9/main" objectType="CheckBox" checked="Checked" autoLine="false" print="true" fmlaLink="MAIN!$AP$49" lockText="1" noThreeD="1"/>
</file>

<file path=xl/ctrlProps/ctrlProps18.xml><?xml version="1.0" encoding="utf-8"?>
<formControlPr xmlns="http://schemas.microsoft.com/office/spreadsheetml/2009/9/main" objectType="CheckBox" checked="Checked" autoLine="false" print="true" fmlaLink="MAIN!$AP$50" lockText="1" noThreeD="1"/>
</file>

<file path=xl/ctrlProps/ctrlProps19.xml><?xml version="1.0" encoding="utf-8"?>
<formControlPr xmlns="http://schemas.microsoft.com/office/spreadsheetml/2009/9/main" objectType="CheckBox" checked="Checked" autoLine="false" print="true" fmlaLink="MAIN!$AP$51" lockText="1" noThreeD="1"/>
</file>

<file path=xl/ctrlProps/ctrlProps2.xml><?xml version="1.0" encoding="utf-8"?>
<formControlPr xmlns="http://schemas.microsoft.com/office/spreadsheetml/2009/9/main" objectType="CheckBox" checked="Checked" autoLine="false" print="true" fmlaLink="MAIN!$AT$16" lockText="1" noThreeD="1"/>
</file>

<file path=xl/ctrlProps/ctrlProps20.xml><?xml version="1.0" encoding="utf-8"?>
<formControlPr xmlns="http://schemas.microsoft.com/office/spreadsheetml/2009/9/main" objectType="CheckBox" checked="Checked" autoLine="false" print="true" fmlaLink="MAIN!$AP$8" lockText="1" noThreeD="1"/>
</file>

<file path=xl/ctrlProps/ctrlProps21.xml><?xml version="1.0" encoding="utf-8"?>
<formControlPr xmlns="http://schemas.microsoft.com/office/spreadsheetml/2009/9/main" objectType="CheckBox" autoLine="false" print="true" fmlaLink="MAIN!$AP$35" lockText="1" noThreeD="1"/>
</file>

<file path=xl/ctrlProps/ctrlProps22.xml><?xml version="1.0" encoding="utf-8"?>
<formControlPr xmlns="http://schemas.microsoft.com/office/spreadsheetml/2009/9/main" objectType="CheckBox" autoLine="false" print="true" fmlaLink="MAIN!$AP$34" lockText="1" noThreeD="1"/>
</file>

<file path=xl/ctrlProps/ctrlProps25.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CheckBox" checked="Checked" autoLine="false" print="true" fmlaLink="MAIN!$AT$17" lockText="1" noThreeD="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6.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4.xml><?xml version="1.0" encoding="utf-8"?>
<formControlPr xmlns="http://schemas.microsoft.com/office/spreadsheetml/2009/9/main" objectType="CheckBox" checked="Checked" autoLine="false" print="true" fmlaLink="MAIN!$AT$18" lockText="1" noThreeD="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CheckBox" autoLine="false" print="true" lockText="1" noThreeD="1"/>
</file>

<file path=xl/ctrlProps/ctrlProps49.xml><?xml version="1.0" encoding="utf-8"?>
<formControlPr xmlns="http://schemas.microsoft.com/office/spreadsheetml/2009/9/main" objectType="CheckBox" autoLine="false" print="true" lockText="1" noThreeD="1"/>
</file>

<file path=xl/ctrlProps/ctrlProps5.xml><?xml version="1.0" encoding="utf-8"?>
<formControlPr xmlns="http://schemas.microsoft.com/office/spreadsheetml/2009/9/main" objectType="CheckBox" checked="Checked" autoLine="false" print="true" fmlaLink="MAIN!$AT$19" lockText="1" noThreeD="1"/>
</file>

<file path=xl/ctrlProps/ctrlProps50.xml><?xml version="1.0" encoding="utf-8"?>
<formControlPr xmlns="http://schemas.microsoft.com/office/spreadsheetml/2009/9/main" objectType="CheckBox" autoLine="false" print="true" lockText="1" noThreeD="1"/>
</file>

<file path=xl/ctrlProps/ctrlProps51.xml><?xml version="1.0" encoding="utf-8"?>
<formControlPr xmlns="http://schemas.microsoft.com/office/spreadsheetml/2009/9/main" objectType="CheckBox" autoLine="false" print="true" lockText="1" noThreeD="1"/>
</file>

<file path=xl/ctrlProps/ctrlProps52.xml><?xml version="1.0" encoding="utf-8"?>
<formControlPr xmlns="http://schemas.microsoft.com/office/spreadsheetml/2009/9/main" objectType="CheckBox" autoLine="false" print="true" lockText="1" noThreeD="1"/>
</file>

<file path=xl/ctrlProps/ctrlProps53.xml><?xml version="1.0" encoding="utf-8"?>
<formControlPr xmlns="http://schemas.microsoft.com/office/spreadsheetml/2009/9/main" objectType="CheckBox" autoLine="false" print="true" lockText="1" noThreeD="1"/>
</file>

<file path=xl/ctrlProps/ctrlProps54.xml><?xml version="1.0" encoding="utf-8"?>
<formControlPr xmlns="http://schemas.microsoft.com/office/spreadsheetml/2009/9/main" objectType="CheckBox" autoLine="false" print="true" lockText="1" noThreeD="1"/>
</file>

<file path=xl/ctrlProps/ctrlProps55.xml><?xml version="1.0" encoding="utf-8"?>
<formControlPr xmlns="http://schemas.microsoft.com/office/spreadsheetml/2009/9/main" objectType="CheckBox" autoLine="false" print="true" lockText="1" noThreeD="1"/>
</file>

<file path=xl/ctrlProps/ctrlProps56.xml><?xml version="1.0" encoding="utf-8"?>
<formControlPr xmlns="http://schemas.microsoft.com/office/spreadsheetml/2009/9/main" objectType="CheckBox" autoLine="false" print="true" lockText="1" noThreeD="1"/>
</file>

<file path=xl/ctrlProps/ctrlProps57.xml><?xml version="1.0" encoding="utf-8"?>
<formControlPr xmlns="http://schemas.microsoft.com/office/spreadsheetml/2009/9/main" objectType="CheckBox" autoLine="false" print="true" lockText="1" noThreeD="1"/>
</file>

<file path=xl/ctrlProps/ctrlProps6.xml><?xml version="1.0" encoding="utf-8"?>
<formControlPr xmlns="http://schemas.microsoft.com/office/spreadsheetml/2009/9/main" objectType="CheckBox" autoLine="false" print="true" fmlaLink="MAIN!$AP$7" lockText="1" noThreeD="1"/>
</file>

<file path=xl/ctrlProps/ctrlProps7.xml><?xml version="1.0" encoding="utf-8"?>
<formControlPr xmlns="http://schemas.microsoft.com/office/spreadsheetml/2009/9/main" objectType="CheckBox" autoLine="false" print="true" fmlaLink="MAIN!$AP$13" lockText="1" noThreeD="1"/>
</file>

<file path=xl/ctrlProps/ctrlProps8.xml><?xml version="1.0" encoding="utf-8"?>
<formControlPr xmlns="http://schemas.microsoft.com/office/spreadsheetml/2009/9/main" objectType="CheckBox" checked="Checked" autoLine="false" print="true" fmlaLink="MAIN!$AP$40" lockText="1" noThreeD="1"/>
</file>

<file path=xl/ctrlProps/ctrlProps9.xml><?xml version="1.0" encoding="utf-8"?>
<formControlPr xmlns="http://schemas.microsoft.com/office/spreadsheetml/2009/9/main" objectType="CheckBox" checked="Checked" autoLine="false" print="true" fmlaLink="MAIN!$AP$41" lockText="1" noThreeD="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2</xdr:col>
          <xdr:colOff>10440</xdr:colOff>
          <xdr:row>7</xdr:row>
          <xdr:rowOff>0</xdr:rowOff>
        </xdr:from>
        <xdr:to>
          <xdr:col>3</xdr:col>
          <xdr:colOff>-19080</xdr:colOff>
          <xdr:row>8</xdr:row>
          <xdr:rowOff>0</xdr:rowOff>
        </xdr:to>
        <xdr:sp>
          <xdr:nvSpPr>
            <xdr:cNvPr id="0" name="Drop Down 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8</xdr:row>
          <xdr:rowOff>0</xdr:rowOff>
        </xdr:from>
        <xdr:to>
          <xdr:col>3</xdr:col>
          <xdr:colOff>-29520</xdr:colOff>
          <xdr:row>9</xdr:row>
          <xdr:rowOff>-76320</xdr:rowOff>
        </xdr:to>
        <xdr:sp>
          <xdr:nvSpPr>
            <xdr:cNvPr id="0" name="Drop Down 4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10</xdr:row>
          <xdr:rowOff>9360</xdr:rowOff>
        </xdr:from>
        <xdr:to>
          <xdr:col>8</xdr:col>
          <xdr:colOff>-914040</xdr:colOff>
          <xdr:row>11</xdr:row>
          <xdr:rowOff>0</xdr:rowOff>
        </xdr:to>
        <xdr:sp>
          <xdr:nvSpPr>
            <xdr:cNvPr id="1001" name="Check Box 46" descr="Mon - Fri" hidden="0"/>
            <xdr:cNvSpPr/>
          </xdr:nvSpPr>
          <xdr:spPr>
            <a:xfrm>
              <a:off x="0" y="0"/>
              <a:ext cx="0" cy="0"/>
            </a:xfrm>
            <a:prstGeom prst="rect">
              <a:avLst/>
            </a:prstGeom>
          </xdr:spPr>
          <xdr:txBody>
            <a:bodyPr anchor="ctr">
              <a:noAutofit/>
            </a:bodyPr>
            <a:p>
              <a:r>
                <a:t>Mon - Fri</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11</xdr:row>
          <xdr:rowOff>9720</xdr:rowOff>
        </xdr:from>
        <xdr:to>
          <xdr:col>8</xdr:col>
          <xdr:colOff>-944640</xdr:colOff>
          <xdr:row>12</xdr:row>
          <xdr:rowOff>0</xdr:rowOff>
        </xdr:to>
        <xdr:sp>
          <xdr:nvSpPr>
            <xdr:cNvPr id="1002" name="Check Box 47" descr="Saturday" hidden="0"/>
            <xdr:cNvSpPr/>
          </xdr:nvSpPr>
          <xdr:spPr>
            <a:xfrm>
              <a:off x="0" y="0"/>
              <a:ext cx="0" cy="0"/>
            </a:xfrm>
            <a:prstGeom prst="rect">
              <a:avLst/>
            </a:prstGeom>
          </xdr:spPr>
          <xdr:txBody>
            <a:bodyPr anchor="ctr">
              <a:noAutofit/>
            </a:bodyPr>
            <a:p>
              <a:r>
                <a:t>Saturday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12</xdr:row>
          <xdr:rowOff>9720</xdr:rowOff>
        </xdr:from>
        <xdr:to>
          <xdr:col>8</xdr:col>
          <xdr:colOff>-944640</xdr:colOff>
          <xdr:row>13</xdr:row>
          <xdr:rowOff>-9000</xdr:rowOff>
        </xdr:to>
        <xdr:sp>
          <xdr:nvSpPr>
            <xdr:cNvPr id="1003" name="Check Box 48" descr="Sunday" hidden="0"/>
            <xdr:cNvSpPr/>
          </xdr:nvSpPr>
          <xdr:spPr>
            <a:xfrm>
              <a:off x="0" y="0"/>
              <a:ext cx="0" cy="0"/>
            </a:xfrm>
            <a:prstGeom prst="rect">
              <a:avLst/>
            </a:prstGeom>
          </xdr:spPr>
          <xdr:txBody>
            <a:bodyPr anchor="ctr">
              <a:noAutofit/>
            </a:bodyPr>
            <a:p>
              <a:r>
                <a:t>Sunday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13</xdr:row>
          <xdr:rowOff>0</xdr:rowOff>
        </xdr:from>
        <xdr:to>
          <xdr:col>8</xdr:col>
          <xdr:colOff>-944640</xdr:colOff>
          <xdr:row>14</xdr:row>
          <xdr:rowOff>-19440</xdr:rowOff>
        </xdr:to>
        <xdr:sp>
          <xdr:nvSpPr>
            <xdr:cNvPr id="1004" name="Check Box 49" descr="Holidays" hidden="0"/>
            <xdr:cNvSpPr/>
          </xdr:nvSpPr>
          <xdr:spPr>
            <a:xfrm>
              <a:off x="0" y="0"/>
              <a:ext cx="0" cy="0"/>
            </a:xfrm>
            <a:prstGeom prst="rect">
              <a:avLst/>
            </a:prstGeom>
          </xdr:spPr>
          <xdr:txBody>
            <a:bodyPr anchor="ctr">
              <a:noAutofit/>
            </a:bodyPr>
            <a:p>
              <a:r>
                <a:t>Holidays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10</xdr:row>
          <xdr:rowOff>9360</xdr:rowOff>
        </xdr:from>
        <xdr:to>
          <xdr:col>8</xdr:col>
          <xdr:colOff>916920</xdr:colOff>
          <xdr:row>11</xdr:row>
          <xdr:rowOff>0</xdr:rowOff>
        </xdr:to>
        <xdr:sp>
          <xdr:nvSpPr>
            <xdr:cNvPr id="0" name="Drop Down 5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11</xdr:row>
          <xdr:rowOff>0</xdr:rowOff>
        </xdr:from>
        <xdr:to>
          <xdr:col>8</xdr:col>
          <xdr:colOff>916920</xdr:colOff>
          <xdr:row>12</xdr:row>
          <xdr:rowOff>0</xdr:rowOff>
        </xdr:to>
        <xdr:sp>
          <xdr:nvSpPr>
            <xdr:cNvPr id="0" name="Drop Down 5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12</xdr:row>
          <xdr:rowOff>0</xdr:rowOff>
        </xdr:from>
        <xdr:to>
          <xdr:col>8</xdr:col>
          <xdr:colOff>916920</xdr:colOff>
          <xdr:row>13</xdr:row>
          <xdr:rowOff>0</xdr:rowOff>
        </xdr:to>
        <xdr:sp>
          <xdr:nvSpPr>
            <xdr:cNvPr id="0" name="Drop Down 5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13</xdr:row>
          <xdr:rowOff>9720</xdr:rowOff>
        </xdr:from>
        <xdr:to>
          <xdr:col>8</xdr:col>
          <xdr:colOff>916920</xdr:colOff>
          <xdr:row>14</xdr:row>
          <xdr:rowOff>-19440</xdr:rowOff>
        </xdr:to>
        <xdr:sp>
          <xdr:nvSpPr>
            <xdr:cNvPr id="0" name="Drop Down 5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1307880</xdr:colOff>
          <xdr:row>8</xdr:row>
          <xdr:rowOff>0</xdr:rowOff>
        </xdr:from>
        <xdr:to>
          <xdr:col>8</xdr:col>
          <xdr:colOff>916920</xdr:colOff>
          <xdr:row>9</xdr:row>
          <xdr:rowOff>-86040</xdr:rowOff>
        </xdr:to>
        <xdr:sp>
          <xdr:nvSpPr>
            <xdr:cNvPr id="0" name="Drop Down 6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10800</xdr:colOff>
          <xdr:row>7</xdr:row>
          <xdr:rowOff>0</xdr:rowOff>
        </xdr:from>
        <xdr:to>
          <xdr:col>8</xdr:col>
          <xdr:colOff>91440</xdr:colOff>
          <xdr:row>8</xdr:row>
          <xdr:rowOff>-19440</xdr:rowOff>
        </xdr:to>
        <xdr:sp>
          <xdr:nvSpPr>
            <xdr:cNvPr id="1005" name="Check Box 66" descr="Monthly Volume Override" hidden="0"/>
            <xdr:cNvSpPr/>
          </xdr:nvSpPr>
          <xdr:spPr>
            <a:xfrm>
              <a:off x="0" y="0"/>
              <a:ext cx="0" cy="0"/>
            </a:xfrm>
            <a:prstGeom prst="rect">
              <a:avLst/>
            </a:prstGeom>
          </xdr:spPr>
          <xdr:txBody>
            <a:bodyPr anchor="ctr">
              <a:noAutofit/>
            </a:bodyPr>
            <a:p>
              <a:r>
                <a:t>Monthly Volume Override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402120</xdr:colOff>
          <xdr:row>5</xdr:row>
          <xdr:rowOff>0</xdr:rowOff>
        </xdr:from>
        <xdr:to>
          <xdr:col>11</xdr:col>
          <xdr:colOff>-342000</xdr:colOff>
          <xdr:row>6</xdr:row>
          <xdr:rowOff>-18720</xdr:rowOff>
        </xdr:to>
        <xdr:sp>
          <xdr:nvSpPr>
            <xdr:cNvPr id="0" name="Option Button 68" descr="Calendar" hidden="0"/>
            <xdr:cNvSpPr/>
          </xdr:nvSpPr>
          <xdr:spPr>
            <a:xfrm>
              <a:off x="0" y="0"/>
              <a:ext cx="0" cy="0"/>
            </a:xfrm>
            <a:prstGeom prst="rect">
              <a:avLst/>
            </a:prstGeom>
          </xdr:spPr>
          <xdr:txBody>
            <a:bodyPr anchor="ctr">
              <a:noAutofit/>
            </a:bodyPr>
            <a:p>
              <a:r>
                <a:t>Calendar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1398960</xdr:colOff>
          <xdr:row>5</xdr:row>
          <xdr:rowOff>0</xdr:rowOff>
        </xdr:from>
        <xdr:to>
          <xdr:col>11</xdr:col>
          <xdr:colOff>473400</xdr:colOff>
          <xdr:row>6</xdr:row>
          <xdr:rowOff>-18720</xdr:rowOff>
        </xdr:to>
        <xdr:sp>
          <xdr:nvSpPr>
            <xdr:cNvPr id="0" name="Option Button 69" descr="Deal" hidden="0"/>
            <xdr:cNvSpPr/>
          </xdr:nvSpPr>
          <xdr:spPr>
            <a:xfrm>
              <a:off x="0" y="0"/>
              <a:ext cx="0" cy="0"/>
            </a:xfrm>
            <a:prstGeom prst="rect">
              <a:avLst/>
            </a:prstGeom>
          </xdr:spPr>
          <xdr:txBody>
            <a:bodyPr anchor="ctr">
              <a:noAutofit/>
            </a:bodyPr>
            <a:p>
              <a:r>
                <a:t>Deal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0</xdr:colOff>
          <xdr:row>4</xdr:row>
          <xdr:rowOff>190800</xdr:rowOff>
        </xdr:from>
        <xdr:to>
          <xdr:col>12</xdr:col>
          <xdr:colOff>273240</xdr:colOff>
          <xdr:row>5</xdr:row>
          <xdr:rowOff>218880</xdr:rowOff>
        </xdr:to>
        <xdr:sp>
          <xdr:nvSpPr>
            <xdr:cNvPr id="0" name="Group Box 7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29880</xdr:colOff>
          <xdr:row>6</xdr:row>
          <xdr:rowOff>38160</xdr:rowOff>
        </xdr:from>
        <xdr:to>
          <xdr:col>5</xdr:col>
          <xdr:colOff>-1175760</xdr:colOff>
          <xdr:row>7</xdr:row>
          <xdr:rowOff>-19080</xdr:rowOff>
        </xdr:to>
        <xdr:sp>
          <xdr:nvSpPr>
            <xdr:cNvPr id="0" name="Option Button 76" descr="Annual" hidden="0"/>
            <xdr:cNvSpPr/>
          </xdr:nvSpPr>
          <xdr:spPr>
            <a:xfrm>
              <a:off x="0" y="0"/>
              <a:ext cx="0" cy="0"/>
            </a:xfrm>
            <a:prstGeom prst="rect">
              <a:avLst/>
            </a:prstGeom>
          </xdr:spPr>
          <xdr:txBody>
            <a:bodyPr anchor="ctr">
              <a:noAutofit/>
            </a:bodyPr>
            <a:p>
              <a:r>
                <a:t>Annual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745200</xdr:colOff>
          <xdr:row>6</xdr:row>
          <xdr:rowOff>38160</xdr:rowOff>
        </xdr:from>
        <xdr:to>
          <xdr:col>5</xdr:col>
          <xdr:colOff>-369720</xdr:colOff>
          <xdr:row>7</xdr:row>
          <xdr:rowOff>-19080</xdr:rowOff>
        </xdr:to>
        <xdr:sp>
          <xdr:nvSpPr>
            <xdr:cNvPr id="0" name="Option Button 77" descr="Monthly" hidden="0"/>
            <xdr:cNvSpPr/>
          </xdr:nvSpPr>
          <xdr:spPr>
            <a:xfrm>
              <a:off x="0" y="0"/>
              <a:ext cx="0" cy="0"/>
            </a:xfrm>
            <a:prstGeom prst="rect">
              <a:avLst/>
            </a:prstGeom>
          </xdr:spPr>
          <xdr:txBody>
            <a:bodyPr anchor="ctr">
              <a:noAutofit/>
            </a:bodyPr>
            <a:p>
              <a:r>
                <a:t>Monthly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1518840</xdr:colOff>
          <xdr:row>6</xdr:row>
          <xdr:rowOff>38160</xdr:rowOff>
        </xdr:from>
        <xdr:to>
          <xdr:col>5</xdr:col>
          <xdr:colOff>232920</xdr:colOff>
          <xdr:row>7</xdr:row>
          <xdr:rowOff>-19080</xdr:rowOff>
        </xdr:to>
        <xdr:sp>
          <xdr:nvSpPr>
            <xdr:cNvPr id="0" name="Option Button 78" descr="Daily" hidden="0"/>
            <xdr:cNvSpPr/>
          </xdr:nvSpPr>
          <xdr:spPr>
            <a:xfrm>
              <a:off x="0" y="0"/>
              <a:ext cx="0" cy="0"/>
            </a:xfrm>
            <a:prstGeom prst="rect">
              <a:avLst/>
            </a:prstGeom>
          </xdr:spPr>
          <xdr:txBody>
            <a:bodyPr anchor="ctr">
              <a:noAutofit/>
            </a:bodyPr>
            <a:p>
              <a:r>
                <a:t>Daily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80280</xdr:colOff>
          <xdr:row>4</xdr:row>
          <xdr:rowOff>181440</xdr:rowOff>
        </xdr:from>
        <xdr:to>
          <xdr:col>5</xdr:col>
          <xdr:colOff>1037880</xdr:colOff>
          <xdr:row>6</xdr:row>
          <xdr:rowOff>257400</xdr:rowOff>
        </xdr:to>
        <xdr:sp>
          <xdr:nvSpPr>
            <xdr:cNvPr id="0" name="Group Box 79"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60120</xdr:colOff>
          <xdr:row>8</xdr:row>
          <xdr:rowOff>37800</xdr:rowOff>
        </xdr:from>
        <xdr:to>
          <xdr:col>5</xdr:col>
          <xdr:colOff>514800</xdr:colOff>
          <xdr:row>9</xdr:row>
          <xdr:rowOff>-76320</xdr:rowOff>
        </xdr:to>
        <xdr:sp>
          <xdr:nvSpPr>
            <xdr:cNvPr id="1006" name="Check Box 80" descr="Combine Swap and Option Takes" hidden="0"/>
            <xdr:cNvSpPr/>
          </xdr:nvSpPr>
          <xdr:spPr>
            <a:xfrm>
              <a:off x="0" y="0"/>
              <a:ext cx="0" cy="0"/>
            </a:xfrm>
            <a:prstGeom prst="rect">
              <a:avLst/>
            </a:prstGeom>
          </xdr:spPr>
          <xdr:txBody>
            <a:bodyPr anchor="ctr">
              <a:noAutofit/>
            </a:bodyPr>
            <a:p>
              <a:r>
                <a:t>Combine Swap and Option Takes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413280</xdr:colOff>
          <xdr:row>7</xdr:row>
          <xdr:rowOff>9720</xdr:rowOff>
        </xdr:from>
        <xdr:to>
          <xdr:col>11</xdr:col>
          <xdr:colOff>-280080</xdr:colOff>
          <xdr:row>8</xdr:row>
          <xdr:rowOff>-28080</xdr:rowOff>
        </xdr:to>
        <xdr:sp>
          <xdr:nvSpPr>
            <xdr:cNvPr id="0" name="Option Button 82" descr="Calendar" hidden="0"/>
            <xdr:cNvSpPr/>
          </xdr:nvSpPr>
          <xdr:spPr>
            <a:xfrm>
              <a:off x="0" y="0"/>
              <a:ext cx="0" cy="0"/>
            </a:xfrm>
            <a:prstGeom prst="rect">
              <a:avLst/>
            </a:prstGeom>
          </xdr:spPr>
          <xdr:txBody>
            <a:bodyPr anchor="ctr">
              <a:noAutofit/>
            </a:bodyPr>
            <a:p>
              <a:r>
                <a:t>Calendar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12</xdr:col>
          <xdr:colOff>273240</xdr:colOff>
          <xdr:row>8</xdr:row>
          <xdr:rowOff>0</xdr:rowOff>
        </xdr:to>
        <xdr:sp>
          <xdr:nvSpPr>
            <xdr:cNvPr id="0" name="Group Box 8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3</xdr:col>
          <xdr:colOff>-9000</xdr:colOff>
          <xdr:row>16</xdr:row>
          <xdr:rowOff>38520</xdr:rowOff>
        </xdr:to>
        <xdr:sp>
          <xdr:nvSpPr>
            <xdr:cNvPr id="0" name="Group Box 99"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0</xdr:colOff>
          <xdr:row>17</xdr:row>
          <xdr:rowOff>10080</xdr:rowOff>
        </xdr:to>
        <xdr:sp>
          <xdr:nvSpPr>
            <xdr:cNvPr id="0" name="Group Box 10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0</xdr:colOff>
          <xdr:row>19</xdr:row>
          <xdr:rowOff>9360</xdr:rowOff>
        </xdr:to>
        <xdr:sp>
          <xdr:nvSpPr>
            <xdr:cNvPr id="0" name="Group Box 10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0</xdr:colOff>
          <xdr:row>20</xdr:row>
          <xdr:rowOff>-19080</xdr:rowOff>
        </xdr:to>
        <xdr:sp>
          <xdr:nvSpPr>
            <xdr:cNvPr id="0" name="Group Box 10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1299240</xdr:colOff>
          <xdr:row>18</xdr:row>
          <xdr:rowOff>38520</xdr:rowOff>
        </xdr:to>
        <xdr:sp>
          <xdr:nvSpPr>
            <xdr:cNvPr id="0" name="Group Box 10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41040</xdr:colOff>
          <xdr:row>15</xdr:row>
          <xdr:rowOff>9720</xdr:rowOff>
        </xdr:from>
        <xdr:to>
          <xdr:col>3</xdr:col>
          <xdr:colOff>-652680</xdr:colOff>
          <xdr:row>16</xdr:row>
          <xdr:rowOff>9360</xdr:rowOff>
        </xdr:to>
        <xdr:sp>
          <xdr:nvSpPr>
            <xdr:cNvPr id="0" name="Option Button 105" descr="Buys" hidden="0"/>
            <xdr:cNvSpPr/>
          </xdr:nvSpPr>
          <xdr:spPr>
            <a:xfrm>
              <a:off x="0" y="0"/>
              <a:ext cx="0" cy="0"/>
            </a:xfrm>
            <a:prstGeom prst="rect">
              <a:avLst/>
            </a:prstGeom>
          </xdr:spPr>
          <xdr:txBody>
            <a:bodyPr anchor="ctr">
              <a:noAutofit/>
            </a:bodyPr>
            <a:p>
              <a:r>
                <a:t>Buys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744840</xdr:colOff>
          <xdr:row>15</xdr:row>
          <xdr:rowOff>28440</xdr:rowOff>
        </xdr:from>
        <xdr:to>
          <xdr:col>3</xdr:col>
          <xdr:colOff>-29520</xdr:colOff>
          <xdr:row>16</xdr:row>
          <xdr:rowOff>9360</xdr:rowOff>
        </xdr:to>
        <xdr:sp>
          <xdr:nvSpPr>
            <xdr:cNvPr id="0" name="Option Button 106" descr="Sells" hidden="0"/>
            <xdr:cNvSpPr/>
          </xdr:nvSpPr>
          <xdr:spPr>
            <a:xfrm>
              <a:off x="0" y="0"/>
              <a:ext cx="0" cy="0"/>
            </a:xfrm>
            <a:prstGeom prst="rect">
              <a:avLst/>
            </a:prstGeom>
          </xdr:spPr>
          <xdr:txBody>
            <a:bodyPr anchor="ctr">
              <a:noAutofit/>
            </a:bodyPr>
            <a:p>
              <a:r>
                <a:t>Sells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30960</xdr:colOff>
          <xdr:row>16</xdr:row>
          <xdr:rowOff>9360</xdr:rowOff>
        </xdr:from>
        <xdr:to>
          <xdr:col>3</xdr:col>
          <xdr:colOff>-622080</xdr:colOff>
          <xdr:row>17</xdr:row>
          <xdr:rowOff>0</xdr:rowOff>
        </xdr:to>
        <xdr:sp>
          <xdr:nvSpPr>
            <xdr:cNvPr id="0" name="Option Button 107" descr="Call" hidden="0"/>
            <xdr:cNvSpPr/>
          </xdr:nvSpPr>
          <xdr:spPr>
            <a:xfrm>
              <a:off x="0" y="0"/>
              <a:ext cx="0" cy="0"/>
            </a:xfrm>
            <a:prstGeom prst="rect">
              <a:avLst/>
            </a:prstGeom>
          </xdr:spPr>
          <xdr:txBody>
            <a:bodyPr anchor="ctr">
              <a:noAutofit/>
            </a:bodyPr>
            <a:p>
              <a:r>
                <a:t>Call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734760</xdr:colOff>
          <xdr:row>16</xdr:row>
          <xdr:rowOff>9360</xdr:rowOff>
        </xdr:from>
        <xdr:to>
          <xdr:col>3</xdr:col>
          <xdr:colOff>-48600</xdr:colOff>
          <xdr:row>17</xdr:row>
          <xdr:rowOff>0</xdr:rowOff>
        </xdr:to>
        <xdr:sp>
          <xdr:nvSpPr>
            <xdr:cNvPr id="0" name="Option Button 108" descr="Put" hidden="0"/>
            <xdr:cNvSpPr/>
          </xdr:nvSpPr>
          <xdr:spPr>
            <a:xfrm>
              <a:off x="0" y="0"/>
              <a:ext cx="0" cy="0"/>
            </a:xfrm>
            <a:prstGeom prst="rect">
              <a:avLst/>
            </a:prstGeom>
          </xdr:spPr>
          <xdr:txBody>
            <a:bodyPr anchor="ctr">
              <a:noAutofit/>
            </a:bodyPr>
            <a:p>
              <a:r>
                <a:t>Put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18</xdr:row>
          <xdr:rowOff>28800</xdr:rowOff>
        </xdr:from>
        <xdr:to>
          <xdr:col>3</xdr:col>
          <xdr:colOff>-491760</xdr:colOff>
          <xdr:row>19</xdr:row>
          <xdr:rowOff>0</xdr:rowOff>
        </xdr:to>
        <xdr:sp>
          <xdr:nvSpPr>
            <xdr:cNvPr id="0" name="Option Button 109"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794880</xdr:colOff>
          <xdr:row>18</xdr:row>
          <xdr:rowOff>28800</xdr:rowOff>
        </xdr:from>
        <xdr:to>
          <xdr:col>3</xdr:col>
          <xdr:colOff>-29520</xdr:colOff>
          <xdr:row>19</xdr:row>
          <xdr:rowOff>0</xdr:rowOff>
        </xdr:to>
        <xdr:sp>
          <xdr:nvSpPr>
            <xdr:cNvPr id="0" name="Option Button 110"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19</xdr:row>
          <xdr:rowOff>9360</xdr:rowOff>
        </xdr:from>
        <xdr:to>
          <xdr:col>3</xdr:col>
          <xdr:colOff>-501840</xdr:colOff>
          <xdr:row>20</xdr:row>
          <xdr:rowOff>-38160</xdr:rowOff>
        </xdr:to>
        <xdr:sp>
          <xdr:nvSpPr>
            <xdr:cNvPr id="0" name="Option Button 112"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794880</xdr:colOff>
          <xdr:row>19</xdr:row>
          <xdr:rowOff>0</xdr:rowOff>
        </xdr:from>
        <xdr:to>
          <xdr:col>3</xdr:col>
          <xdr:colOff>-49680</xdr:colOff>
          <xdr:row>20</xdr:row>
          <xdr:rowOff>-28080</xdr:rowOff>
        </xdr:to>
        <xdr:sp>
          <xdr:nvSpPr>
            <xdr:cNvPr id="0" name="Option Button 113"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191520</xdr:colOff>
          <xdr:row>17</xdr:row>
          <xdr:rowOff>10080</xdr:rowOff>
        </xdr:from>
        <xdr:to>
          <xdr:col>2</xdr:col>
          <xdr:colOff>-621720</xdr:colOff>
          <xdr:row>18</xdr:row>
          <xdr:rowOff>-8640</xdr:rowOff>
        </xdr:to>
        <xdr:sp>
          <xdr:nvSpPr>
            <xdr:cNvPr id="0" name="Option Button 115" descr="Hourly" hidden="0"/>
            <xdr:cNvSpPr/>
          </xdr:nvSpPr>
          <xdr:spPr>
            <a:xfrm>
              <a:off x="0" y="0"/>
              <a:ext cx="0" cy="0"/>
            </a:xfrm>
            <a:prstGeom prst="rect">
              <a:avLst/>
            </a:prstGeom>
          </xdr:spPr>
          <xdr:txBody>
            <a:bodyPr anchor="ctr">
              <a:noAutofit/>
            </a:bodyPr>
            <a:p>
              <a:r>
                <a:t>Hourly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1187280</xdr:colOff>
          <xdr:row>17</xdr:row>
          <xdr:rowOff>10080</xdr:rowOff>
        </xdr:from>
        <xdr:to>
          <xdr:col>2</xdr:col>
          <xdr:colOff>313200</xdr:colOff>
          <xdr:row>18</xdr:row>
          <xdr:rowOff>-9720</xdr:rowOff>
        </xdr:to>
        <xdr:sp>
          <xdr:nvSpPr>
            <xdr:cNvPr id="0" name="Option Button 116" descr="Daily" hidden="0"/>
            <xdr:cNvSpPr/>
          </xdr:nvSpPr>
          <xdr:spPr>
            <a:xfrm>
              <a:off x="0" y="0"/>
              <a:ext cx="0" cy="0"/>
            </a:xfrm>
            <a:prstGeom prst="rect">
              <a:avLst/>
            </a:prstGeom>
          </xdr:spPr>
          <xdr:txBody>
            <a:bodyPr anchor="ctr">
              <a:noAutofit/>
            </a:bodyPr>
            <a:p>
              <a:r>
                <a:t>Daily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855000</xdr:colOff>
          <xdr:row>20</xdr:row>
          <xdr:rowOff>28800</xdr:rowOff>
        </xdr:from>
        <xdr:to>
          <xdr:col>2</xdr:col>
          <xdr:colOff>-99360</xdr:colOff>
          <xdr:row>21</xdr:row>
          <xdr:rowOff>-18360</xdr:rowOff>
        </xdr:to>
        <xdr:sp>
          <xdr:nvSpPr>
            <xdr:cNvPr id="0" name="Option Button 117" descr="None" hidden="0"/>
            <xdr:cNvSpPr/>
          </xdr:nvSpPr>
          <xdr:spPr>
            <a:xfrm>
              <a:off x="0" y="0"/>
              <a:ext cx="0" cy="0"/>
            </a:xfrm>
            <a:prstGeom prst="rect">
              <a:avLst/>
            </a:prstGeom>
          </xdr:spPr>
          <xdr:txBody>
            <a:bodyPr anchor="ctr">
              <a:noAutofit/>
            </a:bodyPr>
            <a:p>
              <a:r>
                <a:t>None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1408680</xdr:colOff>
          <xdr:row>7</xdr:row>
          <xdr:rowOff>28800</xdr:rowOff>
        </xdr:from>
        <xdr:to>
          <xdr:col>11</xdr:col>
          <xdr:colOff>473400</xdr:colOff>
          <xdr:row>8</xdr:row>
          <xdr:rowOff>-19440</xdr:rowOff>
        </xdr:to>
        <xdr:sp>
          <xdr:nvSpPr>
            <xdr:cNvPr id="0" name="Option Button 121" descr="Deal" hidden="0"/>
            <xdr:cNvSpPr/>
          </xdr:nvSpPr>
          <xdr:spPr>
            <a:xfrm>
              <a:off x="0" y="0"/>
              <a:ext cx="0" cy="0"/>
            </a:xfrm>
            <a:prstGeom prst="rect">
              <a:avLst/>
            </a:prstGeom>
          </xdr:spPr>
          <xdr:txBody>
            <a:bodyPr anchor="ctr">
              <a:noAutofit/>
            </a:bodyPr>
            <a:p>
              <a:r>
                <a:t>Deal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20</xdr:row>
          <xdr:rowOff>28800</xdr:rowOff>
        </xdr:from>
        <xdr:to>
          <xdr:col>3</xdr:col>
          <xdr:colOff>-712800</xdr:colOff>
          <xdr:row>21</xdr:row>
          <xdr:rowOff>-18360</xdr:rowOff>
        </xdr:to>
        <xdr:sp>
          <xdr:nvSpPr>
            <xdr:cNvPr id="0" name="Option Button 123" descr="Book" hidden="0"/>
            <xdr:cNvSpPr/>
          </xdr:nvSpPr>
          <xdr:spPr>
            <a:xfrm>
              <a:off x="0" y="0"/>
              <a:ext cx="0" cy="0"/>
            </a:xfrm>
            <a:prstGeom prst="rect">
              <a:avLst/>
            </a:prstGeom>
          </xdr:spPr>
          <xdr:txBody>
            <a:bodyPr anchor="ctr">
              <a:noAutofit/>
            </a:bodyPr>
            <a:p>
              <a:r>
                <a:t>Book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644040</xdr:colOff>
          <xdr:row>20</xdr:row>
          <xdr:rowOff>28800</xdr:rowOff>
        </xdr:from>
        <xdr:to>
          <xdr:col>3</xdr:col>
          <xdr:colOff>-49680</xdr:colOff>
          <xdr:row>21</xdr:row>
          <xdr:rowOff>-18360</xdr:rowOff>
        </xdr:to>
        <xdr:sp>
          <xdr:nvSpPr>
            <xdr:cNvPr id="0" name="Option Button 124" descr="Model" hidden="0"/>
            <xdr:cNvSpPr/>
          </xdr:nvSpPr>
          <xdr:spPr>
            <a:xfrm>
              <a:off x="0" y="0"/>
              <a:ext cx="0" cy="0"/>
            </a:xfrm>
            <a:prstGeom prst="rect">
              <a:avLst/>
            </a:prstGeom>
          </xdr:spPr>
          <xdr:txBody>
            <a:bodyPr anchor="ctr">
              <a:noAutofit/>
            </a:bodyPr>
            <a:p>
              <a:r>
                <a:t>Model</a:t>
              </a:r>
            </a:p>
          </xdr:txBody>
        </xdr:sp>
        <xdr:clientData/>
      </xdr:twoCellAnchor>
    </mc:Choice>
  </mc:AlternateContent>
  <xdr:twoCellAnchor editAs="oneCell">
    <xdr:from>
      <xdr:col>19</xdr:col>
      <xdr:colOff>0</xdr:colOff>
      <xdr:row>4</xdr:row>
      <xdr:rowOff>29160</xdr:rowOff>
    </xdr:from>
    <xdr:to>
      <xdr:col>24</xdr:col>
      <xdr:colOff>583560</xdr:colOff>
      <xdr:row>30</xdr:row>
      <xdr:rowOff>28800</xdr:rowOff>
    </xdr:to>
    <xdr:sp>
      <xdr:nvSpPr>
        <xdr:cNvPr id="0" name="Rectangle 223"/>
        <xdr:cNvSpPr/>
      </xdr:nvSpPr>
      <xdr:spPr>
        <a:xfrm>
          <a:off x="16350120" y="762480"/>
          <a:ext cx="4044960" cy="621972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14</xdr:col>
          <xdr:colOff>0</xdr:colOff>
          <xdr:row>7</xdr:row>
          <xdr:rowOff>9720</xdr:rowOff>
        </xdr:from>
        <xdr:to>
          <xdr:col>15</xdr:col>
          <xdr:colOff>41040</xdr:colOff>
          <xdr:row>8</xdr:row>
          <xdr:rowOff>-29160</xdr:rowOff>
        </xdr:to>
        <xdr:sp>
          <xdr:nvSpPr>
            <xdr:cNvPr id="1007" name="Check Box 262" descr="1 Jan" hidden="0"/>
            <xdr:cNvSpPr/>
          </xdr:nvSpPr>
          <xdr:spPr>
            <a:xfrm>
              <a:off x="0" y="0"/>
              <a:ext cx="0" cy="0"/>
            </a:xfrm>
            <a:prstGeom prst="rect">
              <a:avLst/>
            </a:prstGeom>
          </xdr:spPr>
          <xdr:txBody>
            <a:bodyPr anchor="ctr">
              <a:noAutofit/>
            </a:bodyPr>
            <a:p>
              <a:r>
                <a:t>1 Jan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8</xdr:row>
          <xdr:rowOff>9720</xdr:rowOff>
        </xdr:from>
        <xdr:to>
          <xdr:col>15</xdr:col>
          <xdr:colOff>30600</xdr:colOff>
          <xdr:row>9</xdr:row>
          <xdr:rowOff>-95760</xdr:rowOff>
        </xdr:to>
        <xdr:sp>
          <xdr:nvSpPr>
            <xdr:cNvPr id="1008" name="Check Box 274" descr="2 Feb" hidden="0"/>
            <xdr:cNvSpPr/>
          </xdr:nvSpPr>
          <xdr:spPr>
            <a:xfrm>
              <a:off x="0" y="0"/>
              <a:ext cx="0" cy="0"/>
            </a:xfrm>
            <a:prstGeom prst="rect">
              <a:avLst/>
            </a:prstGeom>
          </xdr:spPr>
          <xdr:txBody>
            <a:bodyPr anchor="ctr">
              <a:noAutofit/>
            </a:bodyPr>
            <a:p>
              <a:r>
                <a:t>2 Feb</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9</xdr:row>
          <xdr:rowOff>9360</xdr:rowOff>
        </xdr:from>
        <xdr:to>
          <xdr:col>15</xdr:col>
          <xdr:colOff>41040</xdr:colOff>
          <xdr:row>10</xdr:row>
          <xdr:rowOff>-18360</xdr:rowOff>
        </xdr:to>
        <xdr:sp>
          <xdr:nvSpPr>
            <xdr:cNvPr id="1009" name="Check Box 275" descr="3 Mar" hidden="0"/>
            <xdr:cNvSpPr/>
          </xdr:nvSpPr>
          <xdr:spPr>
            <a:xfrm>
              <a:off x="0" y="0"/>
              <a:ext cx="0" cy="0"/>
            </a:xfrm>
            <a:prstGeom prst="rect">
              <a:avLst/>
            </a:prstGeom>
          </xdr:spPr>
          <xdr:txBody>
            <a:bodyPr anchor="ctr">
              <a:noAutofit/>
            </a:bodyPr>
            <a:p>
              <a:r>
                <a:t>3 Mar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10</xdr:row>
          <xdr:rowOff>9360</xdr:rowOff>
        </xdr:from>
        <xdr:to>
          <xdr:col>15</xdr:col>
          <xdr:colOff>30600</xdr:colOff>
          <xdr:row>11</xdr:row>
          <xdr:rowOff>-18720</xdr:rowOff>
        </xdr:to>
        <xdr:sp>
          <xdr:nvSpPr>
            <xdr:cNvPr id="1010" name="Check Box 276" descr="4 Apr" hidden="0"/>
            <xdr:cNvSpPr/>
          </xdr:nvSpPr>
          <xdr:spPr>
            <a:xfrm>
              <a:off x="0" y="0"/>
              <a:ext cx="0" cy="0"/>
            </a:xfrm>
            <a:prstGeom prst="rect">
              <a:avLst/>
            </a:prstGeom>
          </xdr:spPr>
          <xdr:txBody>
            <a:bodyPr anchor="ctr">
              <a:noAutofit/>
            </a:bodyPr>
            <a:p>
              <a:r>
                <a:t>4 Apr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11</xdr:row>
          <xdr:rowOff>9720</xdr:rowOff>
        </xdr:from>
        <xdr:to>
          <xdr:col>15</xdr:col>
          <xdr:colOff>41040</xdr:colOff>
          <xdr:row>12</xdr:row>
          <xdr:rowOff>0</xdr:rowOff>
        </xdr:to>
        <xdr:sp>
          <xdr:nvSpPr>
            <xdr:cNvPr id="1011" name="Check Box 277" descr="5 May" hidden="0"/>
            <xdr:cNvSpPr/>
          </xdr:nvSpPr>
          <xdr:spPr>
            <a:xfrm>
              <a:off x="0" y="0"/>
              <a:ext cx="0" cy="0"/>
            </a:xfrm>
            <a:prstGeom prst="rect">
              <a:avLst/>
            </a:prstGeom>
          </xdr:spPr>
          <xdr:txBody>
            <a:bodyPr anchor="ctr">
              <a:noAutofit/>
            </a:bodyPr>
            <a:p>
              <a:r>
                <a:t>5 May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12</xdr:row>
          <xdr:rowOff>9720</xdr:rowOff>
        </xdr:from>
        <xdr:to>
          <xdr:col>15</xdr:col>
          <xdr:colOff>41040</xdr:colOff>
          <xdr:row>13</xdr:row>
          <xdr:rowOff>-9720</xdr:rowOff>
        </xdr:to>
        <xdr:sp>
          <xdr:nvSpPr>
            <xdr:cNvPr id="1012" name="Check Box 278" descr="6 Jun" hidden="0"/>
            <xdr:cNvSpPr/>
          </xdr:nvSpPr>
          <xdr:spPr>
            <a:xfrm>
              <a:off x="0" y="0"/>
              <a:ext cx="0" cy="0"/>
            </a:xfrm>
            <a:prstGeom prst="rect">
              <a:avLst/>
            </a:prstGeom>
          </xdr:spPr>
          <xdr:txBody>
            <a:bodyPr anchor="ctr">
              <a:noAutofit/>
            </a:bodyPr>
            <a:p>
              <a:r>
                <a:t>6 Jun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13</xdr:row>
          <xdr:rowOff>9720</xdr:rowOff>
        </xdr:from>
        <xdr:to>
          <xdr:col>15</xdr:col>
          <xdr:colOff>41040</xdr:colOff>
          <xdr:row>14</xdr:row>
          <xdr:rowOff>-29160</xdr:rowOff>
        </xdr:to>
        <xdr:sp>
          <xdr:nvSpPr>
            <xdr:cNvPr id="1013" name="Check Box 279" descr="7 Jul" hidden="0"/>
            <xdr:cNvSpPr/>
          </xdr:nvSpPr>
          <xdr:spPr>
            <a:xfrm>
              <a:off x="0" y="0"/>
              <a:ext cx="0" cy="0"/>
            </a:xfrm>
            <a:prstGeom prst="rect">
              <a:avLst/>
            </a:prstGeom>
          </xdr:spPr>
          <xdr:txBody>
            <a:bodyPr anchor="ctr">
              <a:noAutofit/>
            </a:bodyPr>
            <a:p>
              <a:r>
                <a:t>7 Jul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14</xdr:row>
          <xdr:rowOff>9720</xdr:rowOff>
        </xdr:from>
        <xdr:to>
          <xdr:col>15</xdr:col>
          <xdr:colOff>41040</xdr:colOff>
          <xdr:row>15</xdr:row>
          <xdr:rowOff>9720</xdr:rowOff>
        </xdr:to>
        <xdr:sp>
          <xdr:nvSpPr>
            <xdr:cNvPr id="1014" name="Check Box 280" descr="8 Aug" hidden="0"/>
            <xdr:cNvSpPr/>
          </xdr:nvSpPr>
          <xdr:spPr>
            <a:xfrm>
              <a:off x="0" y="0"/>
              <a:ext cx="0" cy="0"/>
            </a:xfrm>
            <a:prstGeom prst="rect">
              <a:avLst/>
            </a:prstGeom>
          </xdr:spPr>
          <xdr:txBody>
            <a:bodyPr anchor="ctr">
              <a:noAutofit/>
            </a:bodyPr>
            <a:p>
              <a:r>
                <a:t>8 Aug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15</xdr:row>
          <xdr:rowOff>9720</xdr:rowOff>
        </xdr:from>
        <xdr:to>
          <xdr:col>15</xdr:col>
          <xdr:colOff>41040</xdr:colOff>
          <xdr:row>16</xdr:row>
          <xdr:rowOff>9360</xdr:rowOff>
        </xdr:to>
        <xdr:sp>
          <xdr:nvSpPr>
            <xdr:cNvPr id="1015" name="Check Box 281" descr="9 Sep" hidden="0"/>
            <xdr:cNvSpPr/>
          </xdr:nvSpPr>
          <xdr:spPr>
            <a:xfrm>
              <a:off x="0" y="0"/>
              <a:ext cx="0" cy="0"/>
            </a:xfrm>
            <a:prstGeom prst="rect">
              <a:avLst/>
            </a:prstGeom>
          </xdr:spPr>
          <xdr:txBody>
            <a:bodyPr anchor="ctr">
              <a:noAutofit/>
            </a:bodyPr>
            <a:p>
              <a:r>
                <a:t>9 Sep</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16</xdr:row>
          <xdr:rowOff>9360</xdr:rowOff>
        </xdr:from>
        <xdr:to>
          <xdr:col>15</xdr:col>
          <xdr:colOff>41040</xdr:colOff>
          <xdr:row>17</xdr:row>
          <xdr:rowOff>0</xdr:rowOff>
        </xdr:to>
        <xdr:sp>
          <xdr:nvSpPr>
            <xdr:cNvPr id="1016" name="Check Box 282" descr="10 Oct" hidden="0"/>
            <xdr:cNvSpPr/>
          </xdr:nvSpPr>
          <xdr:spPr>
            <a:xfrm>
              <a:off x="0" y="0"/>
              <a:ext cx="0" cy="0"/>
            </a:xfrm>
            <a:prstGeom prst="rect">
              <a:avLst/>
            </a:prstGeom>
          </xdr:spPr>
          <xdr:txBody>
            <a:bodyPr anchor="ctr">
              <a:noAutofit/>
            </a:bodyPr>
            <a:p>
              <a:r>
                <a:t>10 Oct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41040</xdr:colOff>
          <xdr:row>18</xdr:row>
          <xdr:rowOff>-9720</xdr:rowOff>
        </xdr:to>
        <xdr:sp>
          <xdr:nvSpPr>
            <xdr:cNvPr id="1017" name="Check Box 283" descr="11 Nov" hidden="0"/>
            <xdr:cNvSpPr/>
          </xdr:nvSpPr>
          <xdr:spPr>
            <a:xfrm>
              <a:off x="0" y="0"/>
              <a:ext cx="0" cy="0"/>
            </a:xfrm>
            <a:prstGeom prst="rect">
              <a:avLst/>
            </a:prstGeom>
          </xdr:spPr>
          <xdr:txBody>
            <a:bodyPr anchor="ctr">
              <a:noAutofit/>
            </a:bodyPr>
            <a:p>
              <a:r>
                <a:t>11 Nov</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18</xdr:row>
          <xdr:rowOff>10080</xdr:rowOff>
        </xdr:from>
        <xdr:to>
          <xdr:col>15</xdr:col>
          <xdr:colOff>41040</xdr:colOff>
          <xdr:row>19</xdr:row>
          <xdr:rowOff>0</xdr:rowOff>
        </xdr:to>
        <xdr:sp>
          <xdr:nvSpPr>
            <xdr:cNvPr id="1018" name="Check Box 284" descr="12 Dec" hidden="0"/>
            <xdr:cNvSpPr/>
          </xdr:nvSpPr>
          <xdr:spPr>
            <a:xfrm>
              <a:off x="0" y="0"/>
              <a:ext cx="0" cy="0"/>
            </a:xfrm>
            <a:prstGeom prst="rect">
              <a:avLst/>
            </a:prstGeom>
          </xdr:spPr>
          <xdr:txBody>
            <a:bodyPr anchor="ctr">
              <a:noAutofit/>
            </a:bodyPr>
            <a:p>
              <a:r>
                <a:t>12 Dec</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131040</xdr:colOff>
          <xdr:row>6</xdr:row>
          <xdr:rowOff>9360</xdr:rowOff>
        </xdr:from>
        <xdr:to>
          <xdr:col>6</xdr:col>
          <xdr:colOff>-552240</xdr:colOff>
          <xdr:row>7</xdr:row>
          <xdr:rowOff>-29160</xdr:rowOff>
        </xdr:to>
        <xdr:sp>
          <xdr:nvSpPr>
            <xdr:cNvPr id="0" name="Option Button 320" descr="100%" hidden="0"/>
            <xdr:cNvSpPr/>
          </xdr:nvSpPr>
          <xdr:spPr>
            <a:xfrm>
              <a:off x="0" y="0"/>
              <a:ext cx="0" cy="0"/>
            </a:xfrm>
            <a:prstGeom prst="rect">
              <a:avLst/>
            </a:prstGeom>
          </xdr:spPr>
          <xdr:txBody>
            <a:bodyPr anchor="ctr">
              <a:noAutofit/>
            </a:bodyPr>
            <a:p>
              <a:r>
                <a:t>100%</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10800</xdr:colOff>
          <xdr:row>6</xdr:row>
          <xdr:rowOff>0</xdr:rowOff>
        </xdr:from>
        <xdr:to>
          <xdr:col>8</xdr:col>
          <xdr:colOff>-68040</xdr:colOff>
          <xdr:row>7</xdr:row>
          <xdr:rowOff>-57240</xdr:rowOff>
        </xdr:to>
        <xdr:sp>
          <xdr:nvSpPr>
            <xdr:cNvPr id="1019" name="Check Box 324" descr="Diff. Opt. Volume (MW)" hidden="0"/>
            <xdr:cNvSpPr/>
          </xdr:nvSpPr>
          <xdr:spPr>
            <a:xfrm>
              <a:off x="0" y="0"/>
              <a:ext cx="0" cy="0"/>
            </a:xfrm>
            <a:prstGeom prst="rect">
              <a:avLst/>
            </a:prstGeom>
          </xdr:spPr>
          <xdr:txBody>
            <a:bodyPr anchor="ctr">
              <a:noAutofit/>
            </a:bodyPr>
            <a:p>
              <a:r>
                <a:t>Diff. Opt. Volume (MW)</a:t>
              </a:r>
            </a:p>
          </xdr:txBody>
        </xdr:sp>
        <xdr:clientData/>
      </xdr:twoCellAnchor>
    </mc:Choice>
  </mc:AlternateContent>
  <xdr:twoCellAnchor editAs="oneCell">
    <xdr:from>
      <xdr:col>19</xdr:col>
      <xdr:colOff>0</xdr:colOff>
      <xdr:row>31</xdr:row>
      <xdr:rowOff>0</xdr:rowOff>
    </xdr:from>
    <xdr:to>
      <xdr:col>24</xdr:col>
      <xdr:colOff>583560</xdr:colOff>
      <xdr:row>56</xdr:row>
      <xdr:rowOff>237960</xdr:rowOff>
    </xdr:to>
    <xdr:sp>
      <xdr:nvSpPr>
        <xdr:cNvPr id="1" name="Rectangle 330"/>
        <xdr:cNvSpPr/>
      </xdr:nvSpPr>
      <xdr:spPr>
        <a:xfrm>
          <a:off x="16350120" y="7201080"/>
          <a:ext cx="4044960" cy="639108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2</xdr:col>
          <xdr:colOff>412920</xdr:colOff>
          <xdr:row>17</xdr:row>
          <xdr:rowOff>10080</xdr:rowOff>
        </xdr:from>
        <xdr:to>
          <xdr:col>3</xdr:col>
          <xdr:colOff>-139320</xdr:colOff>
          <xdr:row>18</xdr:row>
          <xdr:rowOff>-8640</xdr:rowOff>
        </xdr:to>
        <xdr:sp>
          <xdr:nvSpPr>
            <xdr:cNvPr id="0" name="Option Button 347" descr="Monthly" hidden="0"/>
            <xdr:cNvSpPr/>
          </xdr:nvSpPr>
          <xdr:spPr>
            <a:xfrm>
              <a:off x="0" y="0"/>
              <a:ext cx="0" cy="0"/>
            </a:xfrm>
            <a:prstGeom prst="rect">
              <a:avLst/>
            </a:prstGeom>
          </xdr:spPr>
          <xdr:txBody>
            <a:bodyPr anchor="ctr">
              <a:noAutofit/>
            </a:bodyPr>
            <a:p>
              <a:r>
                <a:t>Monthly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3</xdr:col>
          <xdr:colOff>0</xdr:colOff>
          <xdr:row>27</xdr:row>
          <xdr:rowOff>29160</xdr:rowOff>
        </xdr:to>
        <xdr:sp>
          <xdr:nvSpPr>
            <xdr:cNvPr id="0" name="Group Box 35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26</xdr:row>
          <xdr:rowOff>28800</xdr:rowOff>
        </xdr:from>
        <xdr:to>
          <xdr:col>3</xdr:col>
          <xdr:colOff>-501840</xdr:colOff>
          <xdr:row>27</xdr:row>
          <xdr:rowOff>-9360</xdr:rowOff>
        </xdr:to>
        <xdr:sp>
          <xdr:nvSpPr>
            <xdr:cNvPr id="0" name="Option Button 352"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784440</xdr:colOff>
          <xdr:row>26</xdr:row>
          <xdr:rowOff>28800</xdr:rowOff>
        </xdr:from>
        <xdr:to>
          <xdr:col>3</xdr:col>
          <xdr:colOff>-60120</xdr:colOff>
          <xdr:row>27</xdr:row>
          <xdr:rowOff>-9360</xdr:rowOff>
        </xdr:to>
        <xdr:sp>
          <xdr:nvSpPr>
            <xdr:cNvPr id="0" name="Option Button 353"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1237680</xdr:colOff>
          <xdr:row>28</xdr:row>
          <xdr:rowOff>28080</xdr:rowOff>
        </xdr:from>
        <xdr:to>
          <xdr:col>3</xdr:col>
          <xdr:colOff>50040</xdr:colOff>
          <xdr:row>29</xdr:row>
          <xdr:rowOff>9360</xdr:rowOff>
        </xdr:to>
        <xdr:sp>
          <xdr:nvSpPr>
            <xdr:cNvPr id="0" name="Group Box 35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1389240</xdr:colOff>
          <xdr:row>28</xdr:row>
          <xdr:rowOff>28080</xdr:rowOff>
        </xdr:from>
        <xdr:to>
          <xdr:col>2</xdr:col>
          <xdr:colOff>676080</xdr:colOff>
          <xdr:row>29</xdr:row>
          <xdr:rowOff>-38520</xdr:rowOff>
        </xdr:to>
        <xdr:sp>
          <xdr:nvSpPr>
            <xdr:cNvPr id="0" name="Option Button 355"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392400</xdr:colOff>
          <xdr:row>28</xdr:row>
          <xdr:rowOff>28080</xdr:rowOff>
        </xdr:from>
        <xdr:to>
          <xdr:col>3</xdr:col>
          <xdr:colOff>-411480</xdr:colOff>
          <xdr:row>29</xdr:row>
          <xdr:rowOff>-38520</xdr:rowOff>
        </xdr:to>
        <xdr:sp>
          <xdr:nvSpPr>
            <xdr:cNvPr id="0" name="Option Button 356"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835560</xdr:colOff>
          <xdr:row>20</xdr:row>
          <xdr:rowOff>0</xdr:rowOff>
        </xdr:from>
        <xdr:to>
          <xdr:col>2</xdr:col>
          <xdr:colOff>1299240</xdr:colOff>
          <xdr:row>21</xdr:row>
          <xdr:rowOff>0</xdr:rowOff>
        </xdr:to>
        <xdr:sp>
          <xdr:nvSpPr>
            <xdr:cNvPr id="0" name="Group Box 38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543240</xdr:colOff>
          <xdr:row>7</xdr:row>
          <xdr:rowOff>28800</xdr:rowOff>
        </xdr:from>
        <xdr:to>
          <xdr:col>5</xdr:col>
          <xdr:colOff>-270000</xdr:colOff>
          <xdr:row>8</xdr:row>
          <xdr:rowOff>-18360</xdr:rowOff>
        </xdr:to>
        <xdr:sp>
          <xdr:nvSpPr>
            <xdr:cNvPr id="0" name="Option Button 385" descr="Most Expensive" hidden="0"/>
            <xdr:cNvSpPr/>
          </xdr:nvSpPr>
          <xdr:spPr>
            <a:xfrm>
              <a:off x="0" y="0"/>
              <a:ext cx="0" cy="0"/>
            </a:xfrm>
            <a:prstGeom prst="rect">
              <a:avLst/>
            </a:prstGeom>
          </xdr:spPr>
          <xdr:txBody>
            <a:bodyPr anchor="ctr">
              <a:noAutofit/>
            </a:bodyPr>
            <a:p>
              <a:r>
                <a:t>Most Expensive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1620720</xdr:colOff>
          <xdr:row>7</xdr:row>
          <xdr:rowOff>9720</xdr:rowOff>
        </xdr:from>
        <xdr:to>
          <xdr:col>5</xdr:col>
          <xdr:colOff>806400</xdr:colOff>
          <xdr:row>8</xdr:row>
          <xdr:rowOff>-9720</xdr:rowOff>
        </xdr:to>
        <xdr:sp>
          <xdr:nvSpPr>
            <xdr:cNvPr id="0" name="Option Button 386" descr="Least Expensive" hidden="0"/>
            <xdr:cNvSpPr/>
          </xdr:nvSpPr>
          <xdr:spPr>
            <a:xfrm>
              <a:off x="0" y="0"/>
              <a:ext cx="0" cy="0"/>
            </a:xfrm>
            <a:prstGeom prst="rect">
              <a:avLst/>
            </a:prstGeom>
          </xdr:spPr>
          <xdr:txBody>
            <a:bodyPr anchor="ctr">
              <a:noAutofit/>
            </a:bodyPr>
            <a:p>
              <a:r>
                <a:t>Least Expensive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70200</xdr:colOff>
          <xdr:row>7</xdr:row>
          <xdr:rowOff>0</xdr:rowOff>
        </xdr:from>
        <xdr:to>
          <xdr:col>5</xdr:col>
          <xdr:colOff>1047960</xdr:colOff>
          <xdr:row>8</xdr:row>
          <xdr:rowOff>0</xdr:rowOff>
        </xdr:to>
        <xdr:sp>
          <xdr:nvSpPr>
            <xdr:cNvPr id="0" name="Group Box 387"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10440</xdr:colOff>
          <xdr:row>32</xdr:row>
          <xdr:rowOff>28080</xdr:rowOff>
        </xdr:from>
        <xdr:to>
          <xdr:col>2</xdr:col>
          <xdr:colOff>-762480</xdr:colOff>
          <xdr:row>33</xdr:row>
          <xdr:rowOff>-29160</xdr:rowOff>
        </xdr:to>
        <xdr:sp>
          <xdr:nvSpPr>
            <xdr:cNvPr id="1020" name="Check Box 390" descr="Override" hidden="0"/>
            <xdr:cNvSpPr/>
          </xdr:nvSpPr>
          <xdr:spPr>
            <a:xfrm>
              <a:off x="0" y="0"/>
              <a:ext cx="0" cy="0"/>
            </a:xfrm>
            <a:prstGeom prst="rect">
              <a:avLst/>
            </a:prstGeom>
          </xdr:spPr>
          <xdr:txBody>
            <a:bodyPr anchor="ctr">
              <a:noAutofit/>
            </a:bodyPr>
            <a:p>
              <a:r>
                <a:t>Override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10440</xdr:colOff>
          <xdr:row>31</xdr:row>
          <xdr:rowOff>28080</xdr:rowOff>
        </xdr:from>
        <xdr:to>
          <xdr:col>2</xdr:col>
          <xdr:colOff>-762480</xdr:colOff>
          <xdr:row>32</xdr:row>
          <xdr:rowOff>-29160</xdr:rowOff>
        </xdr:to>
        <xdr:sp>
          <xdr:nvSpPr>
            <xdr:cNvPr id="1021" name="Check Box 391" descr="Override" hidden="0"/>
            <xdr:cNvSpPr/>
          </xdr:nvSpPr>
          <xdr:spPr>
            <a:xfrm>
              <a:off x="0" y="0"/>
              <a:ext cx="0" cy="0"/>
            </a:xfrm>
            <a:prstGeom prst="rect">
              <a:avLst/>
            </a:prstGeom>
          </xdr:spPr>
          <xdr:txBody>
            <a:bodyPr anchor="ctr">
              <a:noAutofit/>
            </a:bodyPr>
            <a:p>
              <a:r>
                <a:t>Override</a:t>
              </a:r>
            </a:p>
          </xdr:txBody>
        </xdr:sp>
        <xdr:clientData/>
      </xdr:twoCellAnchor>
    </mc:Choice>
  </mc:AlternateContent>
  <xdr:twoCellAnchor editAs="oneCell">
    <xdr:from>
      <xdr:col>14</xdr:col>
      <xdr:colOff>0</xdr:colOff>
      <xdr:row>20</xdr:row>
      <xdr:rowOff>0</xdr:rowOff>
    </xdr:from>
    <xdr:to>
      <xdr:col>17</xdr:col>
      <xdr:colOff>814680</xdr:colOff>
      <xdr:row>20</xdr:row>
      <xdr:rowOff>247680</xdr:rowOff>
    </xdr:to>
    <xdr:sp>
      <xdr:nvSpPr>
        <xdr:cNvPr id="2" name="Rectangle 394"/>
        <xdr:cNvSpPr/>
      </xdr:nvSpPr>
      <xdr:spPr>
        <a:xfrm>
          <a:off x="13091040" y="4505400"/>
          <a:ext cx="3118680" cy="24768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xdr:twoCellAnchor editAs="oneCell">
    <xdr:from>
      <xdr:col>4</xdr:col>
      <xdr:colOff>0</xdr:colOff>
      <xdr:row>3</xdr:row>
      <xdr:rowOff>142560</xdr:rowOff>
    </xdr:from>
    <xdr:to>
      <xdr:col>6</xdr:col>
      <xdr:colOff>50040</xdr:colOff>
      <xdr:row>9</xdr:row>
      <xdr:rowOff>18720</xdr:rowOff>
    </xdr:to>
    <xdr:sp>
      <xdr:nvSpPr>
        <xdr:cNvPr id="3" name="Text 1710"/>
        <xdr:cNvSpPr/>
      </xdr:nvSpPr>
      <xdr:spPr>
        <a:xfrm>
          <a:off x="3008160" y="704520"/>
          <a:ext cx="3270600" cy="1285920"/>
        </a:xfrm>
        <a:prstGeom prst="rect">
          <a:avLst/>
        </a:prstGeom>
        <a:solidFill>
          <a:srgbClr val="339933"/>
        </a:solidFill>
        <a:ln w="0">
          <a:noFill/>
        </a:ln>
      </xdr:spPr>
      <xdr:style>
        <a:lnRef idx="0"/>
        <a:fillRef idx="0"/>
        <a:effectRef idx="0"/>
        <a:fontRef idx="minor"/>
      </xdr:style>
    </xdr:sp>
    <xdr:clientData/>
  </xdr:twoCellAnchor>
  <xdr:twoCellAnchor editAs="oneCell">
    <xdr:from>
      <xdr:col>9</xdr:col>
      <xdr:colOff>69840</xdr:colOff>
      <xdr:row>3</xdr:row>
      <xdr:rowOff>9360</xdr:rowOff>
    </xdr:from>
    <xdr:to>
      <xdr:col>12</xdr:col>
      <xdr:colOff>312840</xdr:colOff>
      <xdr:row>8</xdr:row>
      <xdr:rowOff>95760</xdr:rowOff>
    </xdr:to>
    <xdr:sp>
      <xdr:nvSpPr>
        <xdr:cNvPr id="4" name="Text 1711"/>
        <xdr:cNvSpPr/>
      </xdr:nvSpPr>
      <xdr:spPr>
        <a:xfrm>
          <a:off x="9246960" y="571320"/>
          <a:ext cx="2718000" cy="1181880"/>
        </a:xfrm>
        <a:prstGeom prst="rect">
          <a:avLst/>
        </a:prstGeom>
        <a:solidFill>
          <a:srgbClr val="339933"/>
        </a:solidFill>
        <a:ln w="0">
          <a:noFill/>
        </a:ln>
      </xdr:spPr>
      <xdr:style>
        <a:lnRef idx="0"/>
        <a:fillRef idx="0"/>
        <a:effectRef idx="0"/>
        <a:fontRef idx="minor"/>
      </xdr:style>
    </xdr:sp>
    <xdr:clientData/>
  </xdr:twoCellAnchor>
  <xdr:twoCellAnchor editAs="oneCell">
    <xdr:from>
      <xdr:col>13</xdr:col>
      <xdr:colOff>473040</xdr:colOff>
      <xdr:row>3</xdr:row>
      <xdr:rowOff>162000</xdr:rowOff>
    </xdr:from>
    <xdr:to>
      <xdr:col>18</xdr:col>
      <xdr:colOff>30240</xdr:colOff>
      <xdr:row>37</xdr:row>
      <xdr:rowOff>266760</xdr:rowOff>
    </xdr:to>
    <xdr:sp>
      <xdr:nvSpPr>
        <xdr:cNvPr id="5" name="Text 1715"/>
        <xdr:cNvSpPr/>
      </xdr:nvSpPr>
      <xdr:spPr>
        <a:xfrm>
          <a:off x="13051080" y="723960"/>
          <a:ext cx="3188880" cy="8315280"/>
        </a:xfrm>
        <a:prstGeom prst="rect">
          <a:avLst/>
        </a:prstGeom>
        <a:solidFill>
          <a:srgbClr val="339933"/>
        </a:solidFill>
        <a:ln w="0">
          <a:noFill/>
        </a:ln>
      </xdr:spPr>
      <xdr:style>
        <a:lnRef idx="0"/>
        <a:fillRef idx="0"/>
        <a:effectRef idx="0"/>
        <a:fontRef idx="minor"/>
      </xdr:style>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1278720</xdr:colOff>
      <xdr:row>58</xdr:row>
      <xdr:rowOff>47160</xdr:rowOff>
    </xdr:from>
    <xdr:to>
      <xdr:col>1</xdr:col>
      <xdr:colOff>594000</xdr:colOff>
      <xdr:row>59</xdr:row>
      <xdr:rowOff>133560</xdr:rowOff>
    </xdr:to>
    <xdr:sp>
      <xdr:nvSpPr>
        <xdr:cNvPr id="6" name="Text 50"/>
        <xdr:cNvSpPr/>
      </xdr:nvSpPr>
      <xdr:spPr>
        <a:xfrm>
          <a:off x="1278720" y="9305640"/>
          <a:ext cx="996120" cy="22896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twoCellAnchor editAs="oneCell">
    <xdr:from>
      <xdr:col>0</xdr:col>
      <xdr:colOff>29520</xdr:colOff>
      <xdr:row>4</xdr:row>
      <xdr:rowOff>104400</xdr:rowOff>
    </xdr:from>
    <xdr:to>
      <xdr:col>0</xdr:col>
      <xdr:colOff>1027440</xdr:colOff>
      <xdr:row>5</xdr:row>
      <xdr:rowOff>152640</xdr:rowOff>
    </xdr:to>
    <xdr:sp>
      <xdr:nvSpPr>
        <xdr:cNvPr id="7" name="Text 51"/>
        <xdr:cNvSpPr/>
      </xdr:nvSpPr>
      <xdr:spPr>
        <a:xfrm>
          <a:off x="29520" y="828360"/>
          <a:ext cx="997920" cy="21960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13</xdr:col>
          <xdr:colOff>452520</xdr:colOff>
          <xdr:row>37</xdr:row>
          <xdr:rowOff>18720</xdr:rowOff>
        </xdr:from>
        <xdr:to>
          <xdr:col>15</xdr:col>
          <xdr:colOff>131400</xdr:colOff>
          <xdr:row>39</xdr:row>
          <xdr:rowOff>38160</xdr:rowOff>
        </xdr:to>
        <xdr:sp>
          <xdr:nvSpPr>
            <xdr:cNvPr id="1001" name="Button 17" descr="OPTIMIZE" hidden="0"/>
            <xdr:cNvSpPr/>
          </xdr:nvSpPr>
          <xdr:spPr>
            <a:xfrm>
              <a:off x="0" y="0"/>
              <a:ext cx="0" cy="0"/>
            </a:xfrm>
            <a:prstGeom prst="rect">
              <a:avLst/>
            </a:prstGeom>
          </xdr:spPr>
          <xdr:txBody>
            <a:bodyPr anchor="ctr">
              <a:noAutofit/>
            </a:bodyPr>
            <a:p>
              <a:r>
                <a:t>OPTIMIZE</a:t>
              </a:r>
            </a:p>
          </xdr:txBody>
        </xdr:sp>
        <xdr:clientData/>
      </xdr:twoCellAnchor>
    </mc:Choice>
  </mc:AlternateContent>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221040</xdr:colOff>
      <xdr:row>486</xdr:row>
      <xdr:rowOff>76680</xdr:rowOff>
    </xdr:from>
    <xdr:to>
      <xdr:col>16</xdr:col>
      <xdr:colOff>432720</xdr:colOff>
      <xdr:row>490</xdr:row>
      <xdr:rowOff>142920</xdr:rowOff>
    </xdr:to>
    <xdr:sp>
      <xdr:nvSpPr>
        <xdr:cNvPr id="8" name="Text 48"/>
        <xdr:cNvSpPr/>
      </xdr:nvSpPr>
      <xdr:spPr>
        <a:xfrm>
          <a:off x="11356560" y="60598440"/>
          <a:ext cx="1026360" cy="63792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pPr algn="ctr"/>
          <a:r>
            <a:rPr b="0" lang="en-US" sz="800" strike="noStrike" u="none">
              <a:effectLst/>
              <a:uFillTx/>
              <a:latin typeface="Arial"/>
            </a:rPr>
            <a:t>*Not to exceed total cash balances.</a:t>
          </a:r>
          <a:endParaRPr b="0" lang="en-US" sz="800" strike="noStrike" u="none">
            <a:effectLst/>
            <a:uFillTx/>
            <a:latin typeface="Times New Roman"/>
          </a:endParaRPr>
        </a:p>
        <a:p>
          <a:pPr algn="ctr"/>
          <a:r>
            <a:rPr b="0" lang="en-US" sz="800" strike="noStrike" u="none">
              <a:effectLst/>
              <a:uFillTx/>
              <a:latin typeface="Arial"/>
            </a:rPr>
            <a:t>Default value equal to $0.</a:t>
          </a:r>
          <a:endParaRPr b="0" lang="en-US" sz="8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884880</xdr:colOff>
          <xdr:row>0</xdr:row>
          <xdr:rowOff>0</xdr:rowOff>
        </xdr:from>
        <xdr:to>
          <xdr:col>2</xdr:col>
          <xdr:colOff>886320</xdr:colOff>
          <xdr:row>2</xdr:row>
          <xdr:rowOff>9360</xdr:rowOff>
        </xdr:to>
        <xdr:sp>
          <xdr:nvSpPr>
            <xdr:cNvPr id="1001" name="Button 52" descr="Optimize" hidden="0"/>
            <xdr:cNvSpPr/>
          </xdr:nvSpPr>
          <xdr:spPr>
            <a:xfrm>
              <a:off x="0" y="0"/>
              <a:ext cx="0" cy="0"/>
            </a:xfrm>
            <a:prstGeom prst="rect">
              <a:avLst/>
            </a:prstGeom>
          </xdr:spPr>
          <xdr:txBody>
            <a:bodyPr anchor="ctr">
              <a:noAutofit/>
            </a:bodyPr>
            <a:p>
              <a:r>
                <a:t>Optimize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9360</xdr:rowOff>
        </xdr:from>
        <xdr:to>
          <xdr:col>1</xdr:col>
          <xdr:colOff>1080</xdr:colOff>
          <xdr:row>1</xdr:row>
          <xdr:rowOff>9720</xdr:rowOff>
        </xdr:to>
        <xdr:sp>
          <xdr:nvSpPr>
            <xdr:cNvPr id="1002" name="Button 610" descr="Inputs" hidden="0"/>
            <xdr:cNvSpPr/>
          </xdr:nvSpPr>
          <xdr:spPr>
            <a:xfrm>
              <a:off x="0" y="0"/>
              <a:ext cx="0" cy="0"/>
            </a:xfrm>
            <a:prstGeom prst="rect">
              <a:avLst/>
            </a:prstGeom>
          </xdr:spPr>
          <xdr:txBody>
            <a:bodyPr anchor="ctr">
              <a:noAutofit/>
            </a:bodyPr>
            <a:p>
              <a:r>
                <a:t>Inputs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0</xdr:row>
          <xdr:rowOff>9360</xdr:rowOff>
        </xdr:from>
        <xdr:to>
          <xdr:col>2</xdr:col>
          <xdr:colOff>-9720</xdr:colOff>
          <xdr:row>1</xdr:row>
          <xdr:rowOff>9720</xdr:rowOff>
        </xdr:to>
        <xdr:sp>
          <xdr:nvSpPr>
            <xdr:cNvPr id="1003" name="Button 614" descr="Go To" hidden="0"/>
            <xdr:cNvSpPr/>
          </xdr:nvSpPr>
          <xdr:spPr>
            <a:xfrm>
              <a:off x="0" y="0"/>
              <a:ext cx="0" cy="0"/>
            </a:xfrm>
            <a:prstGeom prst="rect">
              <a:avLst/>
            </a:prstGeom>
          </xdr:spPr>
          <xdr:txBody>
            <a:bodyPr anchor="ctr">
              <a:noAutofit/>
            </a:bodyPr>
            <a:p>
              <a:r>
                <a:t>Go To</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1</xdr:row>
          <xdr:rowOff>9720</xdr:rowOff>
        </xdr:from>
        <xdr:to>
          <xdr:col>1</xdr:col>
          <xdr:colOff>1080</xdr:colOff>
          <xdr:row>2</xdr:row>
          <xdr:rowOff>18720</xdr:rowOff>
        </xdr:to>
        <xdr:sp>
          <xdr:nvSpPr>
            <xdr:cNvPr id="1004" name="Button 615" descr="Set" hidden="0"/>
            <xdr:cNvSpPr/>
          </xdr:nvSpPr>
          <xdr:spPr>
            <a:xfrm>
              <a:off x="0" y="0"/>
              <a:ext cx="0" cy="0"/>
            </a:xfrm>
            <a:prstGeom prst="rect">
              <a:avLst/>
            </a:prstGeom>
          </xdr:spPr>
          <xdr:txBody>
            <a:bodyPr anchor="ctr">
              <a:noAutofit/>
            </a:bodyPr>
            <a:p>
              <a:r>
                <a:t>Set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1</xdr:row>
          <xdr:rowOff>9720</xdr:rowOff>
        </xdr:from>
        <xdr:to>
          <xdr:col>2</xdr:col>
          <xdr:colOff>-9720</xdr:colOff>
          <xdr:row>2</xdr:row>
          <xdr:rowOff>18720</xdr:rowOff>
        </xdr:to>
        <xdr:sp>
          <xdr:nvSpPr>
            <xdr:cNvPr id="1005" name="Button 93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2</xdr:row>
          <xdr:rowOff>18720</xdr:rowOff>
        </xdr:from>
        <xdr:to>
          <xdr:col>1</xdr:col>
          <xdr:colOff>1080</xdr:colOff>
          <xdr:row>3</xdr:row>
          <xdr:rowOff>0</xdr:rowOff>
        </xdr:to>
        <xdr:sp>
          <xdr:nvSpPr>
            <xdr:cNvPr id="1006" name="Button 934" descr="Clear #REF" hidden="0"/>
            <xdr:cNvSpPr/>
          </xdr:nvSpPr>
          <xdr:spPr>
            <a:xfrm>
              <a:off x="0" y="0"/>
              <a:ext cx="0" cy="0"/>
            </a:xfrm>
            <a:prstGeom prst="rect">
              <a:avLst/>
            </a:prstGeom>
          </xdr:spPr>
          <xdr:txBody>
            <a:bodyPr anchor="ctr">
              <a:noAutofit/>
            </a:bodyPr>
            <a:p>
              <a:r>
                <a:t>Clear #REF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0</xdr:row>
          <xdr:rowOff>9360</xdr:rowOff>
        </xdr:from>
        <xdr:to>
          <xdr:col>4</xdr:col>
          <xdr:colOff>302760</xdr:colOff>
          <xdr:row>1</xdr:row>
          <xdr:rowOff>19080</xdr:rowOff>
        </xdr:to>
        <xdr:sp>
          <xdr:nvSpPr>
            <xdr:cNvPr id="1007" name="Button 165" descr="Print Rev/Exp" hidden="0"/>
            <xdr:cNvSpPr/>
          </xdr:nvSpPr>
          <xdr:spPr>
            <a:xfrm>
              <a:off x="0" y="0"/>
              <a:ext cx="0" cy="0"/>
            </a:xfrm>
            <a:prstGeom prst="rect">
              <a:avLst/>
            </a:prstGeom>
          </xdr:spPr>
          <xdr:txBody>
            <a:bodyPr anchor="ctr">
              <a:noAutofit/>
            </a:bodyPr>
            <a:p>
              <a:r>
                <a:t>Print Rev/Exp</a:t>
              </a:r>
            </a:p>
          </xdr:txBody>
        </xdr:sp>
        <xdr:clientData/>
      </xdr:twoCellAnchor>
    </mc:Choice>
  </mc:AlternateContent>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oneCell">
    <xdr:from>
      <xdr:col>222</xdr:col>
      <xdr:colOff>70560</xdr:colOff>
      <xdr:row>10</xdr:row>
      <xdr:rowOff>85680</xdr:rowOff>
    </xdr:from>
    <xdr:to>
      <xdr:col>223</xdr:col>
      <xdr:colOff>403200</xdr:colOff>
      <xdr:row>11</xdr:row>
      <xdr:rowOff>104400</xdr:rowOff>
    </xdr:to>
    <xdr:sp>
      <xdr:nvSpPr>
        <xdr:cNvPr id="9" name="Text 13363"/>
        <xdr:cNvSpPr/>
      </xdr:nvSpPr>
      <xdr:spPr>
        <a:xfrm>
          <a:off x="142731000" y="1724040"/>
          <a:ext cx="1137240" cy="19008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16</xdr:col>
          <xdr:colOff>0</xdr:colOff>
          <xdr:row>1</xdr:row>
          <xdr:rowOff>0</xdr:rowOff>
        </xdr:from>
        <xdr:to>
          <xdr:col>69</xdr:col>
          <xdr:colOff>69840</xdr:colOff>
          <xdr:row>26</xdr:row>
          <xdr:rowOff>66960</xdr:rowOff>
        </xdr:to>
        <xdr:sp>
          <xdr:nvSpPr>
            <xdr:cNvPr id="0" name="Dialog Frame 1" descr="Calculation Parameters" hidden="0"/>
            <xdr:cNvSpPr/>
          </xdr:nvSpPr>
          <xdr:spPr>
            <a:xfrm>
              <a:off x="0" y="0"/>
              <a:ext cx="0" cy="0"/>
            </a:xfrm>
            <a:prstGeom prst="rect">
              <a:avLst/>
            </a:prstGeom>
          </xdr:spPr>
          <xdr:txBody>
            <a:bodyPr anchor="ctr">
              <a:noAutofit/>
            </a:bodyPr>
            <a:p>
              <a:r>
                <a:t>Calculation Parameters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57</xdr:col>
          <xdr:colOff>0</xdr:colOff>
          <xdr:row>15</xdr:row>
          <xdr:rowOff>0</xdr:rowOff>
        </xdr:from>
        <xdr:to>
          <xdr:col>66</xdr:col>
          <xdr:colOff>69840</xdr:colOff>
          <xdr:row>17</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57</xdr:col>
          <xdr:colOff>0</xdr:colOff>
          <xdr:row>20</xdr:row>
          <xdr:rowOff>0</xdr:rowOff>
        </xdr:from>
        <xdr:to>
          <xdr:col>66</xdr:col>
          <xdr:colOff>69840</xdr:colOff>
          <xdr:row>22</xdr:row>
          <xdr:rowOff>66600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40</xdr:col>
          <xdr:colOff>69840</xdr:colOff>
          <xdr:row>9</xdr:row>
          <xdr:rowOff>28440</xdr:rowOff>
        </xdr:to>
        <xdr:sp>
          <xdr:nvSpPr>
            <xdr:cNvPr id="0" name="Label 5" descr="Set Optimization iterations    (default = 25)" hidden="0"/>
            <xdr:cNvSpPr/>
          </xdr:nvSpPr>
          <xdr:spPr>
            <a:xfrm>
              <a:off x="0" y="0"/>
              <a:ext cx="0" cy="0"/>
            </a:xfrm>
            <a:prstGeom prst="rect">
              <a:avLst/>
            </a:prstGeom>
          </xdr:spPr>
          <xdr:txBody>
            <a:bodyPr anchor="ctr">
              <a:noAutofit/>
            </a:bodyPr>
            <a:p>
              <a:r>
                <a:t>Set Optimization iterations    (default = 25)</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39</xdr:col>
          <xdr:colOff>69840</xdr:colOff>
          <xdr:row>16</xdr:row>
          <xdr:rowOff>28800</xdr:rowOff>
        </xdr:to>
        <xdr:sp>
          <xdr:nvSpPr>
            <xdr:cNvPr id="0" name="Label 6" descr="Set Optimization precision  (default = 1)" hidden="0"/>
            <xdr:cNvSpPr/>
          </xdr:nvSpPr>
          <xdr:spPr>
            <a:xfrm>
              <a:off x="0" y="0"/>
              <a:ext cx="0" cy="0"/>
            </a:xfrm>
            <a:prstGeom prst="rect">
              <a:avLst/>
            </a:prstGeom>
          </xdr:spPr>
          <xdr:txBody>
            <a:bodyPr anchor="ctr">
              <a:noAutofit/>
            </a:bodyPr>
            <a:p>
              <a:r>
                <a:t>Set Optimization precision  (default = 1)</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43</xdr:col>
          <xdr:colOff>0</xdr:colOff>
          <xdr:row>20</xdr:row>
          <xdr:rowOff>0</xdr:rowOff>
        </xdr:from>
        <xdr:to>
          <xdr:col>52</xdr:col>
          <xdr:colOff>360</xdr:colOff>
          <xdr:row>22</xdr:row>
          <xdr:rowOff>66600</xdr:rowOff>
        </xdr:to>
        <xdr:sp>
          <xdr:nvSpPr>
            <xdr:cNvPr id="1003" name="Button 8"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39</xdr:col>
          <xdr:colOff>69840</xdr:colOff>
          <xdr:row>23</xdr:row>
          <xdr:rowOff>28440</xdr:rowOff>
        </xdr:to>
        <xdr:sp>
          <xdr:nvSpPr>
            <xdr:cNvPr id="0" name="Label 9" descr="Reset Excel calculation parameters" hidden="0"/>
            <xdr:cNvSpPr/>
          </xdr:nvSpPr>
          <xdr:spPr>
            <a:xfrm>
              <a:off x="0" y="0"/>
              <a:ext cx="0" cy="0"/>
            </a:xfrm>
            <a:prstGeom prst="rect">
              <a:avLst/>
            </a:prstGeom>
          </xdr:spPr>
          <xdr:txBody>
            <a:bodyPr anchor="ctr">
              <a:noAutofit/>
            </a:bodyPr>
            <a:p>
              <a:r>
                <a:t>Reset Excel calculation parameters</a:t>
              </a:r>
            </a:p>
          </xdr:txBody>
        </xdr:sp>
        <xdr:clientData/>
      </xdr:twoCellAnchor>
    </mc:Choice>
  </mc:AlternateContent>
</xdr:wsDr>
</file>

<file path=xl/drawings/drawing3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82</xdr:col>
          <xdr:colOff>39960</xdr:colOff>
          <xdr:row>36</xdr:row>
          <xdr:rowOff>9360</xdr:rowOff>
        </xdr:to>
        <xdr:sp>
          <xdr:nvSpPr>
            <xdr:cNvPr id="0" name="InpBox" descr="CF Model Inputs" hidden="0"/>
            <xdr:cNvSpPr/>
          </xdr:nvSpPr>
          <xdr:spPr>
            <a:xfrm>
              <a:off x="0" y="0"/>
              <a:ext cx="0" cy="0"/>
            </a:xfrm>
            <a:prstGeom prst="rect">
              <a:avLst/>
            </a:prstGeom>
          </xdr:spPr>
          <xdr:txBody>
            <a:bodyPr anchor="ctr">
              <a:noAutofit/>
            </a:bodyPr>
            <a:p>
              <a:r>
                <a:t>CF Model Inputs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69</xdr:col>
          <xdr:colOff>0</xdr:colOff>
          <xdr:row>20</xdr:row>
          <xdr:rowOff>0</xdr:rowOff>
        </xdr:from>
        <xdr:to>
          <xdr:col>78</xdr:col>
          <xdr:colOff>69840</xdr:colOff>
          <xdr:row>22</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69</xdr:col>
          <xdr:colOff>0</xdr:colOff>
          <xdr:row>24</xdr:row>
          <xdr:rowOff>0</xdr:rowOff>
        </xdr:from>
        <xdr:to>
          <xdr:col>78</xdr:col>
          <xdr:colOff>69840</xdr:colOff>
          <xdr:row>26</xdr:row>
          <xdr:rowOff>66960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429120</xdr:colOff>
          <xdr:row>4</xdr:row>
          <xdr:rowOff>76320</xdr:rowOff>
        </xdr:from>
        <xdr:to>
          <xdr:col>1</xdr:col>
          <xdr:colOff>851040</xdr:colOff>
          <xdr:row>5</xdr:row>
          <xdr:rowOff>142920</xdr:rowOff>
        </xdr:to>
        <xdr:sp>
          <xdr:nvSpPr>
            <xdr:cNvPr id="0" name="Option Button 40" descr="Transaction Date:" hidden="0"/>
            <xdr:cNvSpPr/>
          </xdr:nvSpPr>
          <xdr:spPr>
            <a:xfrm>
              <a:off x="0" y="0"/>
              <a:ext cx="0" cy="0"/>
            </a:xfrm>
            <a:prstGeom prst="rect">
              <a:avLst/>
            </a:prstGeom>
          </xdr:spPr>
          <xdr:txBody>
            <a:bodyPr anchor="ctr">
              <a:noAutofit/>
            </a:bodyPr>
            <a:p>
              <a:r>
                <a:t>Transaction Date: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429120</xdr:colOff>
          <xdr:row>7</xdr:row>
          <xdr:rowOff>19080</xdr:rowOff>
        </xdr:from>
        <xdr:to>
          <xdr:col>2</xdr:col>
          <xdr:colOff>245160</xdr:colOff>
          <xdr:row>8</xdr:row>
          <xdr:rowOff>66600</xdr:rowOff>
        </xdr:to>
        <xdr:sp>
          <xdr:nvSpPr>
            <xdr:cNvPr id="0" name="Option Button 4" descr="Transaction Funds Flow" hidden="0"/>
            <xdr:cNvSpPr/>
          </xdr:nvSpPr>
          <xdr:spPr>
            <a:xfrm>
              <a:off x="0" y="0"/>
              <a:ext cx="0" cy="0"/>
            </a:xfrm>
            <a:prstGeom prst="rect">
              <a:avLst/>
            </a:prstGeom>
          </xdr:spPr>
          <xdr:txBody>
            <a:bodyPr anchor="ctr">
              <a:noAutofit/>
            </a:bodyPr>
            <a:p>
              <a:r>
                <a:t>Transaction Funds Flow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419040</xdr:colOff>
          <xdr:row>8</xdr:row>
          <xdr:rowOff>66600</xdr:rowOff>
        </xdr:from>
        <xdr:to>
          <xdr:col>2</xdr:col>
          <xdr:colOff>235080</xdr:colOff>
          <xdr:row>9</xdr:row>
          <xdr:rowOff>123840</xdr:rowOff>
        </xdr:to>
        <xdr:sp>
          <xdr:nvSpPr>
            <xdr:cNvPr id="0" name="Option Button 9" descr="Transaction Fees" hidden="0"/>
            <xdr:cNvSpPr/>
          </xdr:nvSpPr>
          <xdr:spPr>
            <a:xfrm>
              <a:off x="0" y="0"/>
              <a:ext cx="0" cy="0"/>
            </a:xfrm>
            <a:prstGeom prst="rect">
              <a:avLst/>
            </a:prstGeom>
          </xdr:spPr>
          <xdr:txBody>
            <a:bodyPr anchor="ctr">
              <a:noAutofit/>
            </a:bodyPr>
            <a:p>
              <a:r>
                <a:t>Transaction Fees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389160</xdr:colOff>
          <xdr:row>10</xdr:row>
          <xdr:rowOff>133560</xdr:rowOff>
        </xdr:from>
        <xdr:to>
          <xdr:col>2</xdr:col>
          <xdr:colOff>275040</xdr:colOff>
          <xdr:row>20</xdr:row>
          <xdr:rowOff>57240</xdr:rowOff>
        </xdr:to>
        <xdr:sp>
          <xdr:nvSpPr>
            <xdr:cNvPr id="0" name="Option Button 6" descr="Opening Balance Sheet" hidden="0"/>
            <xdr:cNvSpPr/>
          </xdr:nvSpPr>
          <xdr:spPr>
            <a:xfrm>
              <a:off x="0" y="0"/>
              <a:ext cx="0" cy="0"/>
            </a:xfrm>
            <a:prstGeom prst="rect">
              <a:avLst/>
            </a:prstGeom>
          </xdr:spPr>
          <xdr:txBody>
            <a:bodyPr anchor="ctr">
              <a:noAutofit/>
            </a:bodyPr>
            <a:p>
              <a:r>
                <a:t>Opening Balance Sheet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389160</xdr:colOff>
          <xdr:row>20</xdr:row>
          <xdr:rowOff>47880</xdr:rowOff>
        </xdr:from>
        <xdr:to>
          <xdr:col>2</xdr:col>
          <xdr:colOff>494640</xdr:colOff>
          <xdr:row>21</xdr:row>
          <xdr:rowOff>114120</xdr:rowOff>
        </xdr:to>
        <xdr:sp>
          <xdr:nvSpPr>
            <xdr:cNvPr id="0" name="Option Button 7" descr="Working Capital/Other B/S" hidden="0"/>
            <xdr:cNvSpPr/>
          </xdr:nvSpPr>
          <xdr:spPr>
            <a:xfrm>
              <a:off x="0" y="0"/>
              <a:ext cx="0" cy="0"/>
            </a:xfrm>
            <a:prstGeom prst="rect">
              <a:avLst/>
            </a:prstGeom>
          </xdr:spPr>
          <xdr:txBody>
            <a:bodyPr anchor="ctr">
              <a:noAutofit/>
            </a:bodyPr>
            <a:p>
              <a:r>
                <a:t>Working Capital/Other B/S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3</xdr:row>
          <xdr:rowOff>57240</xdr:rowOff>
        </xdr:from>
        <xdr:to>
          <xdr:col>5</xdr:col>
          <xdr:colOff>268560</xdr:colOff>
          <xdr:row>4</xdr:row>
          <xdr:rowOff>114480</xdr:rowOff>
        </xdr:to>
        <xdr:sp>
          <xdr:nvSpPr>
            <xdr:cNvPr id="0" name="Option Button 14" descr="Repayment Schedule" hidden="0"/>
            <xdr:cNvSpPr/>
          </xdr:nvSpPr>
          <xdr:spPr>
            <a:xfrm>
              <a:off x="0" y="0"/>
              <a:ext cx="0" cy="0"/>
            </a:xfrm>
            <a:prstGeom prst="rect">
              <a:avLst/>
            </a:prstGeom>
          </xdr:spPr>
          <xdr:txBody>
            <a:bodyPr anchor="ctr">
              <a:noAutofit/>
            </a:bodyPr>
            <a:p>
              <a:r>
                <a:t>Repayment Schedule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4</xdr:row>
          <xdr:rowOff>104760</xdr:rowOff>
        </xdr:from>
        <xdr:to>
          <xdr:col>5</xdr:col>
          <xdr:colOff>59040</xdr:colOff>
          <xdr:row>6</xdr:row>
          <xdr:rowOff>19440</xdr:rowOff>
        </xdr:to>
        <xdr:sp>
          <xdr:nvSpPr>
            <xdr:cNvPr id="0" name="Option Button 15" descr="Interest Rates" hidden="0"/>
            <xdr:cNvSpPr/>
          </xdr:nvSpPr>
          <xdr:spPr>
            <a:xfrm>
              <a:off x="0" y="0"/>
              <a:ext cx="0" cy="0"/>
            </a:xfrm>
            <a:prstGeom prst="rect">
              <a:avLst/>
            </a:prstGeom>
          </xdr:spPr>
          <xdr:txBody>
            <a:bodyPr anchor="ctr">
              <a:noAutofit/>
            </a:bodyPr>
            <a:p>
              <a:r>
                <a:t>Interest Rates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7</xdr:row>
          <xdr:rowOff>47880</xdr:rowOff>
        </xdr:from>
        <xdr:to>
          <xdr:col>5</xdr:col>
          <xdr:colOff>268560</xdr:colOff>
          <xdr:row>8</xdr:row>
          <xdr:rowOff>95400</xdr:rowOff>
        </xdr:to>
        <xdr:sp>
          <xdr:nvSpPr>
            <xdr:cNvPr id="0" name="Option Button 17" descr="Other Income Data" hidden="0"/>
            <xdr:cNvSpPr/>
          </xdr:nvSpPr>
          <xdr:spPr>
            <a:xfrm>
              <a:off x="0" y="0"/>
              <a:ext cx="0" cy="0"/>
            </a:xfrm>
            <a:prstGeom prst="rect">
              <a:avLst/>
            </a:prstGeom>
          </xdr:spPr>
          <xdr:txBody>
            <a:bodyPr anchor="ctr">
              <a:noAutofit/>
            </a:bodyPr>
            <a:p>
              <a:r>
                <a:t>Other Income Data</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8</xdr:row>
          <xdr:rowOff>85680</xdr:rowOff>
        </xdr:from>
        <xdr:to>
          <xdr:col>5</xdr:col>
          <xdr:colOff>128880</xdr:colOff>
          <xdr:row>10</xdr:row>
          <xdr:rowOff>360</xdr:rowOff>
        </xdr:to>
        <xdr:sp>
          <xdr:nvSpPr>
            <xdr:cNvPr id="0" name="Option Button 30" descr="Asset Sales" hidden="0"/>
            <xdr:cNvSpPr/>
          </xdr:nvSpPr>
          <xdr:spPr>
            <a:xfrm>
              <a:off x="0" y="0"/>
              <a:ext cx="0" cy="0"/>
            </a:xfrm>
            <a:prstGeom prst="rect">
              <a:avLst/>
            </a:prstGeom>
          </xdr:spPr>
          <xdr:txBody>
            <a:bodyPr anchor="ctr">
              <a:noAutofit/>
            </a:bodyPr>
            <a:p>
              <a:r>
                <a:t>Asset Sales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9</xdr:row>
          <xdr:rowOff>123840</xdr:rowOff>
        </xdr:from>
        <xdr:to>
          <xdr:col>5</xdr:col>
          <xdr:colOff>128880</xdr:colOff>
          <xdr:row>19</xdr:row>
          <xdr:rowOff>57240</xdr:rowOff>
        </xdr:to>
        <xdr:sp>
          <xdr:nvSpPr>
            <xdr:cNvPr id="0" name="Option Button 41" descr="Tax Items" hidden="0"/>
            <xdr:cNvSpPr/>
          </xdr:nvSpPr>
          <xdr:spPr>
            <a:xfrm>
              <a:off x="0" y="0"/>
              <a:ext cx="0" cy="0"/>
            </a:xfrm>
            <a:prstGeom prst="rect">
              <a:avLst/>
            </a:prstGeom>
          </xdr:spPr>
          <xdr:txBody>
            <a:bodyPr anchor="ctr">
              <a:noAutofit/>
            </a:bodyPr>
            <a:p>
              <a:r>
                <a:t>Tax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106200</xdr:colOff>
          <xdr:row>3</xdr:row>
          <xdr:rowOff>66600</xdr:rowOff>
        </xdr:from>
        <xdr:to>
          <xdr:col>8</xdr:col>
          <xdr:colOff>446760</xdr:colOff>
          <xdr:row>4</xdr:row>
          <xdr:rowOff>123840</xdr:rowOff>
        </xdr:to>
        <xdr:sp>
          <xdr:nvSpPr>
            <xdr:cNvPr id="0" name="Option Button 32" descr="DCF Valuation" hidden="0"/>
            <xdr:cNvSpPr/>
          </xdr:nvSpPr>
          <xdr:spPr>
            <a:xfrm>
              <a:off x="0" y="0"/>
              <a:ext cx="0" cy="0"/>
            </a:xfrm>
            <a:prstGeom prst="rect">
              <a:avLst/>
            </a:prstGeom>
          </xdr:spPr>
          <xdr:txBody>
            <a:bodyPr anchor="ctr">
              <a:noAutofit/>
            </a:bodyPr>
            <a:p>
              <a:r>
                <a:t>DCF Valuation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59760</xdr:colOff>
          <xdr:row>8</xdr:row>
          <xdr:rowOff>47520</xdr:rowOff>
        </xdr:from>
        <xdr:to>
          <xdr:col>26</xdr:col>
          <xdr:colOff>59760</xdr:colOff>
          <xdr:row>11</xdr:row>
          <xdr:rowOff>19080</xdr:rowOff>
        </xdr:to>
        <xdr:sp>
          <xdr:nvSpPr>
            <xdr:cNvPr id="0" name="Label 26" descr="Transaction Items:" hidden="0"/>
            <xdr:cNvSpPr/>
          </xdr:nvSpPr>
          <xdr:spPr>
            <a:xfrm>
              <a:off x="0" y="0"/>
              <a:ext cx="0" cy="0"/>
            </a:xfrm>
            <a:prstGeom prst="rect">
              <a:avLst/>
            </a:prstGeom>
          </xdr:spPr>
          <xdr:txBody>
            <a:bodyPr anchor="ctr">
              <a:noAutofit/>
            </a:bodyPr>
            <a:p>
              <a:r>
                <a:t>Transaction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39960</xdr:colOff>
          <xdr:row>23</xdr:row>
          <xdr:rowOff>9720</xdr:rowOff>
        </xdr:from>
        <xdr:to>
          <xdr:col>25</xdr:col>
          <xdr:colOff>39960</xdr:colOff>
          <xdr:row>25</xdr:row>
          <xdr:rowOff>47880</xdr:rowOff>
        </xdr:to>
        <xdr:sp>
          <xdr:nvSpPr>
            <xdr:cNvPr id="0" name="Label 27" descr="Balance Sheet Items:" hidden="0"/>
            <xdr:cNvSpPr/>
          </xdr:nvSpPr>
          <xdr:spPr>
            <a:xfrm>
              <a:off x="0" y="0"/>
              <a:ext cx="0" cy="0"/>
            </a:xfrm>
            <a:prstGeom prst="rect">
              <a:avLst/>
            </a:prstGeom>
          </xdr:spPr>
          <xdr:txBody>
            <a:bodyPr anchor="ctr">
              <a:noAutofit/>
            </a:bodyPr>
            <a:p>
              <a:r>
                <a:t>Balance Sheet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35</xdr:col>
          <xdr:colOff>0</xdr:colOff>
          <xdr:row>6</xdr:row>
          <xdr:rowOff>0</xdr:rowOff>
        </xdr:from>
        <xdr:to>
          <xdr:col>53</xdr:col>
          <xdr:colOff>360</xdr:colOff>
          <xdr:row>8</xdr:row>
          <xdr:rowOff>37800</xdr:rowOff>
        </xdr:to>
        <xdr:sp>
          <xdr:nvSpPr>
            <xdr:cNvPr id="0" name="Label 28" descr="Debt Items:" hidden="0"/>
            <xdr:cNvSpPr/>
          </xdr:nvSpPr>
          <xdr:spPr>
            <a:xfrm>
              <a:off x="0" y="0"/>
              <a:ext cx="0" cy="0"/>
            </a:xfrm>
            <a:prstGeom prst="rect">
              <a:avLst/>
            </a:prstGeom>
          </xdr:spPr>
          <xdr:txBody>
            <a:bodyPr anchor="ctr">
              <a:noAutofit/>
            </a:bodyPr>
            <a:p>
              <a:r>
                <a:t>Debt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53</xdr:col>
          <xdr:colOff>70200</xdr:colOff>
          <xdr:row>17</xdr:row>
          <xdr:rowOff>37800</xdr:rowOff>
        </xdr:to>
        <xdr:sp>
          <xdr:nvSpPr>
            <xdr:cNvPr id="0" name="Label 29" descr="Cash Flow Items:" hidden="0"/>
            <xdr:cNvSpPr/>
          </xdr:nvSpPr>
          <xdr:spPr>
            <a:xfrm>
              <a:off x="0" y="0"/>
              <a:ext cx="0" cy="0"/>
            </a:xfrm>
            <a:prstGeom prst="rect">
              <a:avLst/>
            </a:prstGeom>
          </xdr:spPr>
          <xdr:txBody>
            <a:bodyPr anchor="ctr">
              <a:noAutofit/>
            </a:bodyPr>
            <a:p>
              <a:r>
                <a:t>Cash Flow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62</xdr:col>
          <xdr:colOff>0</xdr:colOff>
          <xdr:row>6</xdr:row>
          <xdr:rowOff>0</xdr:rowOff>
        </xdr:from>
        <xdr:to>
          <xdr:col>79</xdr:col>
          <xdr:colOff>69840</xdr:colOff>
          <xdr:row>8</xdr:row>
          <xdr:rowOff>37800</xdr:rowOff>
        </xdr:to>
        <xdr:sp>
          <xdr:nvSpPr>
            <xdr:cNvPr id="0" name="Label 33" descr="Analyses:" hidden="0"/>
            <xdr:cNvSpPr/>
          </xdr:nvSpPr>
          <xdr:spPr>
            <a:xfrm>
              <a:off x="0" y="0"/>
              <a:ext cx="0" cy="0"/>
            </a:xfrm>
            <a:prstGeom prst="rect">
              <a:avLst/>
            </a:prstGeom>
          </xdr:spPr>
          <xdr:txBody>
            <a:bodyPr anchor="ctr">
              <a:noAutofit/>
            </a:bodyPr>
            <a:p>
              <a:r>
                <a:t>Analyses:</a:t>
              </a:r>
            </a:p>
          </xdr:txBody>
        </xdr:sp>
        <xdr:clientData/>
      </xdr:twoCellAnchor>
    </mc:Choice>
  </mc:AlternateContent>
</xdr:wsDr>
</file>

<file path=xl/drawings/drawing4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13</xdr:col>
          <xdr:colOff>0</xdr:colOff>
          <xdr:row>5</xdr:row>
          <xdr:rowOff>0</xdr:rowOff>
        </xdr:from>
        <xdr:to>
          <xdr:col>51</xdr:col>
          <xdr:colOff>360</xdr:colOff>
          <xdr:row>26</xdr:row>
          <xdr:rowOff>66960</xdr:rowOff>
        </xdr:to>
        <xdr:sp>
          <xdr:nvSpPr>
            <xdr:cNvPr id="0" name="Dialog Frame 1" descr="Go To..." hidden="0"/>
            <xdr:cNvSpPr/>
          </xdr:nvSpPr>
          <xdr:spPr>
            <a:xfrm>
              <a:off x="0" y="0"/>
              <a:ext cx="0" cy="0"/>
            </a:xfrm>
            <a:prstGeom prst="rect">
              <a:avLst/>
            </a:prstGeom>
          </xdr:spPr>
          <xdr:txBody>
            <a:bodyPr anchor="ctr">
              <a:noAutofit/>
            </a:bodyPr>
            <a:p>
              <a:r>
                <a:t>Go To...</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38</xdr:col>
          <xdr:colOff>0</xdr:colOff>
          <xdr:row>18</xdr:row>
          <xdr:rowOff>0</xdr:rowOff>
        </xdr:from>
        <xdr:to>
          <xdr:col>48</xdr:col>
          <xdr:colOff>360</xdr:colOff>
          <xdr:row>20</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38</xdr:col>
          <xdr:colOff>0</xdr:colOff>
          <xdr:row>22</xdr:row>
          <xdr:rowOff>0</xdr:rowOff>
        </xdr:from>
        <xdr:to>
          <xdr:col>48</xdr:col>
          <xdr:colOff>360</xdr:colOff>
          <xdr:row>24</xdr:row>
          <xdr:rowOff>66600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3</xdr:row>
          <xdr:rowOff>57240</xdr:rowOff>
        </xdr:from>
        <xdr:to>
          <xdr:col>2</xdr:col>
          <xdr:colOff>723960</xdr:colOff>
          <xdr:row>4</xdr:row>
          <xdr:rowOff>114480</xdr:rowOff>
        </xdr:to>
        <xdr:sp>
          <xdr:nvSpPr>
            <xdr:cNvPr id="0" name="Option Button 5" descr="Income Statement" hidden="0"/>
            <xdr:cNvSpPr/>
          </xdr:nvSpPr>
          <xdr:spPr>
            <a:xfrm>
              <a:off x="0" y="0"/>
              <a:ext cx="0" cy="0"/>
            </a:xfrm>
            <a:prstGeom prst="rect">
              <a:avLst/>
            </a:prstGeom>
          </xdr:spPr>
          <xdr:txBody>
            <a:bodyPr anchor="ctr">
              <a:noAutofit/>
            </a:bodyPr>
            <a:p>
              <a:r>
                <a:t>Income Statement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4</xdr:row>
          <xdr:rowOff>104760</xdr:rowOff>
        </xdr:from>
        <xdr:to>
          <xdr:col>3</xdr:col>
          <xdr:colOff>57600</xdr:colOff>
          <xdr:row>6</xdr:row>
          <xdr:rowOff>19440</xdr:rowOff>
        </xdr:to>
        <xdr:sp>
          <xdr:nvSpPr>
            <xdr:cNvPr id="0" name="Option Button 7" descr="Sources and Uses" hidden="0"/>
            <xdr:cNvSpPr/>
          </xdr:nvSpPr>
          <xdr:spPr>
            <a:xfrm>
              <a:off x="0" y="0"/>
              <a:ext cx="0" cy="0"/>
            </a:xfrm>
            <a:prstGeom prst="rect">
              <a:avLst/>
            </a:prstGeom>
          </xdr:spPr>
          <xdr:txBody>
            <a:bodyPr anchor="ctr">
              <a:noAutofit/>
            </a:bodyPr>
            <a:p>
              <a:r>
                <a:t>Sources and Uses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6</xdr:row>
          <xdr:rowOff>9720</xdr:rowOff>
        </xdr:from>
        <xdr:to>
          <xdr:col>2</xdr:col>
          <xdr:colOff>863640</xdr:colOff>
          <xdr:row>7</xdr:row>
          <xdr:rowOff>57240</xdr:rowOff>
        </xdr:to>
        <xdr:sp>
          <xdr:nvSpPr>
            <xdr:cNvPr id="0" name="Option Button 8" descr="Cash Flow Statement" hidden="0"/>
            <xdr:cNvSpPr/>
          </xdr:nvSpPr>
          <xdr:spPr>
            <a:xfrm>
              <a:off x="0" y="0"/>
              <a:ext cx="0" cy="0"/>
            </a:xfrm>
            <a:prstGeom prst="rect">
              <a:avLst/>
            </a:prstGeom>
          </xdr:spPr>
          <xdr:txBody>
            <a:bodyPr anchor="ctr">
              <a:noAutofit/>
            </a:bodyPr>
            <a:p>
              <a:r>
                <a:t>Cash Flow Statement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7</xdr:row>
          <xdr:rowOff>47880</xdr:rowOff>
        </xdr:from>
        <xdr:to>
          <xdr:col>2</xdr:col>
          <xdr:colOff>863640</xdr:colOff>
          <xdr:row>8</xdr:row>
          <xdr:rowOff>95400</xdr:rowOff>
        </xdr:to>
        <xdr:sp>
          <xdr:nvSpPr>
            <xdr:cNvPr id="0" name="Option Button 9" descr="Balance Sheet" hidden="0"/>
            <xdr:cNvSpPr/>
          </xdr:nvSpPr>
          <xdr:spPr>
            <a:xfrm>
              <a:off x="0" y="0"/>
              <a:ext cx="0" cy="0"/>
            </a:xfrm>
            <a:prstGeom prst="rect">
              <a:avLst/>
            </a:prstGeom>
          </xdr:spPr>
          <xdr:txBody>
            <a:bodyPr anchor="ctr">
              <a:noAutofit/>
            </a:bodyPr>
            <a:p>
              <a:r>
                <a:t>Balance Sheet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8</xdr:row>
          <xdr:rowOff>85680</xdr:rowOff>
        </xdr:from>
        <xdr:to>
          <xdr:col>2</xdr:col>
          <xdr:colOff>863640</xdr:colOff>
          <xdr:row>10</xdr:row>
          <xdr:rowOff>360</xdr:rowOff>
        </xdr:to>
        <xdr:sp>
          <xdr:nvSpPr>
            <xdr:cNvPr id="0" name="Option Button 10" descr="Capitalization" hidden="0"/>
            <xdr:cNvSpPr/>
          </xdr:nvSpPr>
          <xdr:spPr>
            <a:xfrm>
              <a:off x="0" y="0"/>
              <a:ext cx="0" cy="0"/>
            </a:xfrm>
            <a:prstGeom prst="rect">
              <a:avLst/>
            </a:prstGeom>
          </xdr:spPr>
          <xdr:txBody>
            <a:bodyPr anchor="ctr">
              <a:noAutofit/>
            </a:bodyPr>
            <a:p>
              <a:r>
                <a:t>Capitalization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9</xdr:row>
          <xdr:rowOff>133560</xdr:rowOff>
        </xdr:from>
        <xdr:to>
          <xdr:col>2</xdr:col>
          <xdr:colOff>793800</xdr:colOff>
          <xdr:row>19</xdr:row>
          <xdr:rowOff>57240</xdr:rowOff>
        </xdr:to>
        <xdr:sp>
          <xdr:nvSpPr>
            <xdr:cNvPr id="0" name="Option Button 11" descr="Income Taxes" hidden="0"/>
            <xdr:cNvSpPr/>
          </xdr:nvSpPr>
          <xdr:spPr>
            <a:xfrm>
              <a:off x="0" y="0"/>
              <a:ext cx="0" cy="0"/>
            </a:xfrm>
            <a:prstGeom prst="rect">
              <a:avLst/>
            </a:prstGeom>
          </xdr:spPr>
          <xdr:txBody>
            <a:bodyPr anchor="ctr">
              <a:noAutofit/>
            </a:bodyPr>
            <a:p>
              <a:r>
                <a:t>Income Taxes</a:t>
              </a:r>
            </a:p>
          </xdr:txBody>
        </xdr:sp>
        <xdr:clientData/>
      </xdr:twoCellAnchor>
    </mc:Choice>
  </mc:AlternateContent>
</xdr:wsDr>
</file>

<file path=xl/drawings/drawing45.xml><?xml version="1.0" encoding="UTF-8" standalone="yes"?>
<xdr:wsDr xmlns:xdr="http://schemas.openxmlformats.org/drawingml/2006/spreadsheetDrawing" xmlns:a="http://schemas.openxmlformats.org/drawingml/2006/main" xmlns:r="http://schemas.openxmlformats.org/officeDocument/2006/relationships"><mc:AlternateContent xmlns:mc="http://schemas.openxmlformats.org/markup-compatibility/2006"><mc:Choice xmlns:a14="http://schemas.microsoft.com/office/drawing/2010/main" Requires="a14"><xdr:twoCellAnchor editAs="oneCell"><xdr:from><xdr:col>3</xdr:col><xdr:colOff>59760</xdr:colOff><xdr:row>1</xdr:row><xdr:rowOff>28800</xdr:rowOff></xdr:from><xdr:to><xdr:col>67</xdr:col><xdr:colOff>69840</xdr:colOff><xdr:row>49</xdr:row><xdr:rowOff>66600</xdr:rowOff></xdr:to><xdr:sp><xdr:nvSpPr><xdr:cNvPr id="0" name="Dialog Frame 1" descr="CF Model Print Menu" hidden="0"/><xdr:cNvSpPr/></xdr:nvSpPr><xdr:spPr><a:xfrm><a:off x="0" y="0"/><a:ext cx="0" cy="0"/></a:xfrm><a:prstGeom prst="rect"><a:avLst/></a:prstGeom></xdr:spPr><xdr:txBody><a:bodyPr anchor="ctr"><a:noAutofit/></a:bodyPr><a:p><a:r><a:t>CF Model Print Menu</a:t></a:r></a:p></xdr:txBody></xdr:sp><xdr:clientData/></xdr:twoCellAnchor></mc:Choice></mc:AlternateContent><mc:AlternateContent xmlns:mc="http://schemas.openxmlformats.org/markup-compatibility/2006"><mc:Choice xmlns:a14="http://schemas.microsoft.com/office/drawing/2010/main" Requires="a14"><xdr:twoCellAnchor editAs="oneCell"><xdr:from><xdr:col>48</xdr:col><xdr:colOff>39960</xdr:colOff><xdr:row>29</xdr:row><xdr:rowOff>28800</xdr:rowOff></xdr:from><xdr:to><xdr:col>58</xdr:col><xdr:colOff>39960</xdr:colOff><xdr:row>32</xdr:row><xdr:rowOff>28440</xdr:rowOff></xdr:to><xdr:sp><xdr:nvSpPr><xdr:cNvPr id="1001" name="Button 2" descr="OK" hidden="0"/><xdr:cNvSpPr/></xdr:nvSpPr><xdr:spPr><a:xfrm><a:off x="0" y="0"/><a:ext cx="0" cy="0"/></a:xfrm><a:prstGeom prst="rect"><a:avLst/></a:prstGeom></xdr:spPr><xdr:txBody><a:bodyPr anchor="ctr"><a:noAutofit/></a:bodyPr><a:p><a:r><a:t>OK</a:t></a:r></a:p></xdr:txBody></xdr:sp><xdr:clientData/></xdr:twoCellAnchor></mc:Choice></mc:AlternateContent><mc:AlternateContent xmlns:mc="http://schemas.openxmlformats.org/markup-compatibility/2006"><mc:Choice xmlns:a14="http://schemas.microsoft.com/office/drawing/2010/main" Requires="a14"><xdr:twoCellAnchor editAs="oneCell"><xdr:from><xdr:col>48</xdr:col><xdr:colOff>39960</xdr:colOff><xdr:row>34</xdr:row><xdr:rowOff>9720</xdr:rowOff></xdr:from><xdr:to><xdr:col>58</xdr:col><xdr:colOff>39960</xdr:colOff><xdr:row>37</xdr:row><xdr:rowOff>9360</xdr:rowOff></xdr:to><xdr:sp><xdr:nvSpPr><xdr:cNvPr id="1002" name="Button 3" descr="Cancel" hidden="0"/><xdr:cNvSpPr/></xdr:nvSpPr><xdr:spPr><a:xfrm><a:off x="0" y="0"/><a:ext cx="0" cy="0"/></a:xfrm><a:prstGeom prst="rect"><a:avLst/></a:prstGeom></xdr:spPr><xdr:txBody><a:bodyPr anchor="ctr"><a:noAutofit/></a:bodyPr><a:p><a:r><a:t>Cancel</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35</xdr:row><xdr:rowOff>0</xdr:rowOff></xdr:from><xdr:to><xdr:col>40</xdr:col><xdr:colOff>69840</xdr:colOff><xdr:row>38</xdr:row><xdr:rowOff>19080</xdr:rowOff></xdr:to><xdr:sp><xdr:nvSpPr><xdr:cNvPr id="1003" name="Check Box 6" descr="Debt Repayment/" hidden="0"/><xdr:cNvSpPr/></xdr:nvSpPr><xdr:spPr><a:xfrm><a:off x="0" y="0"/><a:ext cx="0" cy="0"/></a:xfrm><a:prstGeom prst="rect"><a:avLst/></a:prstGeom></xdr:spPr><xdr:txBody><a:bodyPr anchor="ctr"><a:noAutofit/></a:bodyPr><a:p><a:r><a:t>Debt Repayment/</a:t></a:r></a:p></xdr:txBody></xdr:sp><xdr:clientData/></xdr:twoCellAnchor></mc:Choice></mc:AlternateContent><mc:AlternateContent xmlns:mc="http://schemas.openxmlformats.org/markup-compatibility/2006"><mc:Choice xmlns:a14="http://schemas.microsoft.com/office/drawing/2010/main" Requires="a14"><xdr:twoCellAnchor editAs="oneCell"><xdr:from><xdr:col>6</xdr:col><xdr:colOff>0</xdr:colOff><xdr:row>5</xdr:row><xdr:rowOff>28800</xdr:rowOff></xdr:from><xdr:to><xdr:col>28</xdr:col><xdr:colOff>69840</xdr:colOff><xdr:row>8</xdr:row><xdr:rowOff>37800</xdr:rowOff></xdr:to><xdr:sp><xdr:nvSpPr><xdr:cNvPr id="1004" name="Check Box 11" descr="Financial Statements" hidden="0"/><xdr:cNvSpPr/></xdr:nvSpPr><xdr:spPr><a:xfrm><a:off x="0" y="0"/><a:ext cx="0" cy="0"/></a:xfrm><a:prstGeom prst="rect"><a:avLst/></a:prstGeom></xdr:spPr><xdr:txBody><a:bodyPr anchor="ctr"><a:noAutofit/></a:bodyPr><a:p><a:r><a:t>Financial Statements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10</xdr:row><xdr:rowOff>57240</xdr:rowOff></xdr:from><xdr:to><xdr:col>30</xdr:col><xdr:colOff>69840</xdr:colOff><xdr:row>13</xdr:row><xdr:rowOff>66600</xdr:rowOff></xdr:to><xdr:sp><xdr:nvSpPr><xdr:cNvPr id="1005" name="Check Box 13" descr="Income Statement" hidden="0"/><xdr:cNvSpPr/></xdr:nvSpPr><xdr:spPr><a:xfrm><a:off x="0" y="0"/><a:ext cx="0" cy="0"/></a:xfrm><a:prstGeom prst="rect"><a:avLst/></a:prstGeom></xdr:spPr><xdr:txBody><a:bodyPr anchor="ctr"><a:noAutofit/></a:bodyPr><a:p><a:r><a:t>Income Statement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22</xdr:row><xdr:rowOff>56880</xdr:rowOff></xdr:from><xdr:to><xdr:col>29</xdr:col><xdr:colOff>69840</xdr:colOff><xdr:row>25</xdr:row><xdr:rowOff>66600</xdr:rowOff></xdr:to><xdr:sp><xdr:nvSpPr><xdr:cNvPr id="1006" name="Check Box 15" descr="Balance Sheet" hidden="0"/><xdr:cNvSpPr/></xdr:nvSpPr><xdr:spPr><a:xfrm><a:off x="0" y="0"/><a:ext cx="0" cy="0"/></a:xfrm><a:prstGeom prst="rect"><a:avLst/></a:prstGeom></xdr:spPr><xdr:txBody><a:bodyPr anchor="ctr"><a:noAutofit/></a:bodyPr><a:p><a:r><a:t>Balance Sheet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19</xdr:row><xdr:rowOff>0</xdr:rowOff></xdr:from><xdr:to><xdr:col>29</xdr:col><xdr:colOff>69840</xdr:colOff><xdr:row>22</xdr:row><xdr:rowOff>9360</xdr:rowOff></xdr:to><xdr:sp><xdr:nvSpPr><xdr:cNvPr id="1007" name="Check Box 16" descr="Cash Flow Statement" hidden="0"/><xdr:cNvSpPr/></xdr:nvSpPr><xdr:spPr><a:xfrm><a:off x="0" y="0"/><a:ext cx="0" cy="0"/></a:xfrm><a:prstGeom prst="rect"><a:avLst/></a:prstGeom></xdr:spPr><xdr:txBody><a:bodyPr anchor="ctr"><a:noAutofit/></a:bodyPr><a:p><a:r><a:t>Cash Flow Statement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27</xdr:row><xdr:rowOff>0</xdr:rowOff></xdr:from><xdr:to><xdr:col>41</xdr:col><xdr:colOff>69840</xdr:colOff><xdr:row>30</xdr:row><xdr:rowOff>19080</xdr:rowOff></xdr:to><xdr:sp><xdr:nvSpPr><xdr:cNvPr id="1008" name="Check Box 18" descr="Opening Balance Sheet/Working Capital" hidden="0"/><xdr:cNvSpPr/></xdr:nvSpPr><xdr:spPr><a:xfrm><a:off x="0" y="0"/><a:ext cx="0" cy="0"/></a:xfrm><a:prstGeom prst="rect"><a:avLst/></a:prstGeom></xdr:spPr><xdr:txBody><a:bodyPr anchor="ctr"><a:noAutofit/></a:bodyPr><a:p><a:r><a:t>Opening Balance Sheet/Working Capital</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31</xdr:row><xdr:rowOff>9720</xdr:rowOff></xdr:from><xdr:to><xdr:col>42</xdr:col><xdr:colOff>69840</xdr:colOff><xdr:row>34</xdr:row><xdr:rowOff>28800</xdr:rowOff></xdr:to><xdr:sp><xdr:nvSpPr><xdr:cNvPr id="1009" name="Check Box 19" descr="Capitalization/Transaction Funds Flow/Fees" hidden="0"/><xdr:cNvSpPr/></xdr:nvSpPr><xdr:spPr><a:xfrm><a:off x="0" y="0"/><a:ext cx="0" cy="0"/></a:xfrm><a:prstGeom prst="rect"><a:avLst/></a:prstGeom></xdr:spPr><xdr:txBody><a:bodyPr anchor="ctr"><a:noAutofit/></a:bodyPr><a:p><a:r><a:t>Capitalization/Transaction Funds Flow/Fees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44</xdr:row><xdr:rowOff>57240</xdr:rowOff></xdr:from><xdr:to><xdr:col>31</xdr:col><xdr:colOff>69840</xdr:colOff><xdr:row>47</xdr:row><xdr:rowOff>66600</xdr:rowOff></xdr:to><xdr:sp><xdr:nvSpPr><xdr:cNvPr id="1010" name="Check Box 20" descr="Income Taxes" hidden="0"/><xdr:cNvSpPr/></xdr:nvSpPr><xdr:spPr><a:xfrm><a:off x="0" y="0"/><a:ext cx="0" cy="0"/></a:xfrm><a:prstGeom prst="rect"><a:avLst/></a:prstGeom></xdr:spPr><xdr:txBody><a:bodyPr anchor="ctr"><a:noAutofit/></a:bodyPr><a:p><a:r><a:t>Income Taxes</a:t></a:r></a:p></xdr:txBody></xdr:sp><xdr:clientData/></xdr:twoCellAnchor></mc:Choice></mc:AlternateContent><mc:AlternateContent xmlns:mc="http://schemas.openxmlformats.org/markup-compatibility/2006"><mc:Choice xmlns:a14="http://schemas.microsoft.com/office/drawing/2010/main" Requires="a14"><xdr:twoCellAnchor editAs="oneCell"><xdr:from><xdr:col>39</xdr:col><xdr:colOff>0</xdr:colOff><xdr:row>9</xdr:row><xdr:rowOff>0</xdr:rowOff></xdr:from><xdr:to><xdr:col>56</xdr:col><xdr:colOff>69840</xdr:colOff><xdr:row>12</xdr:row><xdr:rowOff>9360</xdr:rowOff></xdr:to><xdr:sp><xdr:nvSpPr><xdr:cNvPr id="1011" name="Check Box 23" descr="DCF Analysis" hidden="0"/><xdr:cNvSpPr/></xdr:nvSpPr><xdr:spPr><a:xfrm><a:off x="0" y="0"/><a:ext cx="0" cy="0"/></a:xfrm><a:prstGeom prst="rect"><a:avLst/></a:prstGeom></xdr:spPr><xdr:txBody><a:bodyPr anchor="ctr"><a:noAutofit/></a:bodyPr><a:p><a:r><a:t>DCF Analysis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14</xdr:row><xdr:rowOff>38160</xdr:rowOff></xdr:from><xdr:to><xdr:col>27</xdr:col><xdr:colOff>69840</xdr:colOff><xdr:row>17</xdr:row><xdr:rowOff>47520</xdr:rowOff></xdr:to><xdr:sp><xdr:nvSpPr><xdr:cNvPr id="1012" name="Check Box 31" descr="Sources &amp; Uses" hidden="0"/><xdr:cNvSpPr/></xdr:nvSpPr><xdr:spPr><a:xfrm><a:off x="0" y="0"/><a:ext cx="0" cy="0"/></a:xfrm><a:prstGeom prst="rect"><a:avLst/></a:prstGeom></xdr:spPr><xdr:txBody><a:bodyPr anchor="ctr"><a:noAutofit/></a:bodyPr><a:p><a:r><a:t>Sources & Uses</a:t></a:r></a:p></xdr:txBody></xdr:sp><xdr:clientData/></xdr:twoCellAnchor></mc:Choice></mc:AlternateContent><mc:AlternateContent xmlns:mc="http://schemas.openxmlformats.org/markup-compatibility/2006"><mc:Choice xmlns:a14="http://schemas.microsoft.com/office/drawing/2010/main" Requires="a14"><xdr:twoCellAnchor editAs="oneCell"><xdr:from><xdr:col>44</xdr:col><xdr:colOff>39960</xdr:colOff><xdr:row>38</xdr:row><xdr:rowOff>38160</xdr:rowOff></xdr:from><xdr:to><xdr:col>63</xdr:col><xdr:colOff>39960</xdr:colOff><xdr:row>42</xdr:row><xdr:rowOff>66600</xdr:rowOff></xdr:to><xdr:sp><xdr:nvSpPr><xdr:cNvPr id="0" name="Label 33" descr="Print delay in seconds&#10;(default = 6)" hidden="0"/><xdr:cNvSpPr/></xdr:nvSpPr><xdr:spPr><a:xfrm><a:off x="0" y="0"/><a:ext cx="0" cy="0"/></a:xfrm><a:prstGeom prst="rect"><a:avLst/></a:prstGeom></xdr:spPr><xdr:txBody><a:bodyPr anchor="ctr"><a:noAutofit/></a:bodyPr><a:p><a:r><a:t>Print delay in seconds
(default = 6)</a:t></a:r></a:p></xdr:txBody></xdr:sp><xdr:clientData/></xdr:twoCellAnchor></mc:Choice></mc:AlternateContent><mc:AlternateContent xmlns:mc="http://schemas.openxmlformats.org/markup-compatibility/2006"><mc:Choice xmlns:a14="http://schemas.microsoft.com/office/drawing/2010/main" Requires="a14"><xdr:twoCellAnchor editAs="oneCell"><xdr:from><xdr:col>44</xdr:col><xdr:colOff>0</xdr:colOff><xdr:row>38</xdr:row><xdr:rowOff>38160</xdr:rowOff></xdr:from><xdr:to><xdr:col>63</xdr:col><xdr:colOff>59760</xdr:colOff><xdr:row>46</xdr:row><xdr:rowOff>66600</xdr:rowOff></xdr:to><xdr:sp><xdr:nvSpPr><xdr:cNvPr id="0" name="Group Box 35" descr="" hidden="0"/><xdr:cNvSpPr/></xdr:nvSpPr><xdr:spPr><a:xfrm><a:off x="0" y="0"/><a:ext cx="0" cy="0"/></a:xfrm><a:prstGeom prst="rect"><a:avLst/></a:prstGeom></xdr:spPr><xdr:txBody><a:bodyPr anchor="ctr"><a:noAutofit/></a:bodyPr><a:p><a:r><a:t></a:t></a:r></a:p></xdr:txBody></xdr:sp><xdr:clientData/></xdr:twoCellAnchor></mc:Choice></mc:AlternateContent><mc:AlternateContent xmlns:mc="http://schemas.openxmlformats.org/markup-compatibility/2006"><mc:Choice xmlns:a14="http://schemas.microsoft.com/office/drawing/2010/main" Requires="a14"><xdr:twoCellAnchor editAs="oneCell"><xdr:from><xdr:col>12</xdr:col><xdr:colOff>0</xdr:colOff><xdr:row>38</xdr:row><xdr:rowOff>0</xdr:rowOff></xdr:from><xdr:to><xdr:col>35</xdr:col><xdr:colOff>69840</xdr:colOff><xdr:row>44</xdr:row><xdr:rowOff>66600</xdr:rowOff></xdr:to><xdr:sp><xdr:nvSpPr><xdr:cNvPr id="0" name="Label 37" descr="Interest Rates/Other Income/Asset Sales/Tax Assumptions" hidden="0"/><xdr:cNvSpPr/></xdr:nvSpPr><xdr:spPr><a:xfrm><a:off x="0" y="0"/><a:ext cx="0" cy="0"/></a:xfrm><a:prstGeom prst="rect"><a:avLst/></a:prstGeom></xdr:spPr><xdr:txBody><a:bodyPr anchor="ctr"><a:noAutofit/></a:bodyPr><a:p><a:r><a:t>Interest Rates/Other Income/Asset Sales/Tax Assumptions</a:t></a:r></a:p></xdr:txBody></xdr:sp><xdr:clientData/></xdr:twoCellAnchor></mc:Choice></mc:AlternateContent><mc:AlternateContent xmlns:mc="http://schemas.openxmlformats.org/markup-compatibility/2006"><mc:Choice xmlns:a14="http://schemas.microsoft.com/office/drawing/2010/main" Requires="a14"><xdr:twoCellAnchor editAs="oneCell"><xdr:from><xdr:col>38</xdr:col><xdr:colOff>0</xdr:colOff><xdr:row>6</xdr:row><xdr:rowOff>0</xdr:rowOff></xdr:from><xdr:to><xdr:col>55</xdr:col><xdr:colOff>69840</xdr:colOff><xdr:row>7</xdr:row><xdr:rowOff>66960</xdr:rowOff></xdr:to><xdr:sp><xdr:nvSpPr><xdr:cNvPr id="0" name="Label 38" descr="Analysis of Results" hidden="0"/><xdr:cNvSpPr/></xdr:nvSpPr><xdr:spPr><a:xfrm><a:off x="0" y="0"/><a:ext cx="0" cy="0"/></a:xfrm><a:prstGeom prst="rect"><a:avLst/></a:prstGeom></xdr:spPr><xdr:txBody><a:bodyPr anchor="ctr"><a:noAutofit/></a:bodyPr><a:p><a:r><a:t>Analysis of Results</a:t></a:r></a:p></xdr:txBody></xdr:sp><xdr:clientData/></xdr:twoCellAnchor></mc:Choice></mc:AlternateContent></xdr:wsDr>
</file>

<file path=xl/externalLinks/_rels/externalLink1.xml.rels><?xml version="1.0" encoding="UTF-8"?>
<Relationships xmlns="http://schemas.openxmlformats.org/package/2006/relationships"><Relationship Id="rId1" Type="http://schemas.openxmlformats.org/officeDocument/2006/relationships/externalLinkPath" Target="../../../../../../../../M:/power2/pricing/Pwr_strc.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C:/TEMP/Mcp-sum.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TIPS"/>
      <sheetName val="MAIN"/>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P15"/>
      <sheetName val="SP15"/>
      <sheetName val="COB"/>
      <sheetName val="COLORADO"/>
      <sheetName val="NORTHWEST"/>
      <sheetName val="PALOVERDE"/>
      <sheetName val="S Nevada"/>
      <sheetName val="OffsetLookup"/>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s2.x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Relationship Id="rId11" Type="http://schemas.openxmlformats.org/officeDocument/2006/relationships/ctrlProp" Target="../ctrlProps/ctrlProps10.xml"/><Relationship Id="rId12" Type="http://schemas.openxmlformats.org/officeDocument/2006/relationships/ctrlProp" Target="../ctrlProps/ctrlProps11.xml"/><Relationship Id="rId13" Type="http://schemas.openxmlformats.org/officeDocument/2006/relationships/ctrlProp" Target="../ctrlProps/ctrlProps12.xml"/><Relationship Id="rId14" Type="http://schemas.openxmlformats.org/officeDocument/2006/relationships/ctrlProp" Target="../ctrlProps/ctrlProps13.xml"/><Relationship Id="rId15" Type="http://schemas.openxmlformats.org/officeDocument/2006/relationships/ctrlProp" Target="../ctrlProps/ctrlProps14.xml"/><Relationship Id="rId16" Type="http://schemas.openxmlformats.org/officeDocument/2006/relationships/ctrlProp" Target="../ctrlProps/ctrlProps15.xml"/><Relationship Id="rId17" Type="http://schemas.openxmlformats.org/officeDocument/2006/relationships/ctrlProp" Target="../ctrlProps/ctrlProps16.xml"/><Relationship Id="rId18" Type="http://schemas.openxmlformats.org/officeDocument/2006/relationships/ctrlProp" Target="../ctrlProps/ctrlProps17.xml"/><Relationship Id="rId19" Type="http://schemas.openxmlformats.org/officeDocument/2006/relationships/ctrlProp" Target="../ctrlProps/ctrlProps18.xml"/><Relationship Id="rId20" Type="http://schemas.openxmlformats.org/officeDocument/2006/relationships/ctrlProp" Target="../ctrlProps/ctrlProps19.xml"/><Relationship Id="rId21" Type="http://schemas.openxmlformats.org/officeDocument/2006/relationships/ctrlProp" Target="../ctrlProps/ctrlProps20.xml"/><Relationship Id="rId22" Type="http://schemas.openxmlformats.org/officeDocument/2006/relationships/ctrlProp" Target="../ctrlProps/ctrlProps21.xml"/><Relationship Id="rId23" Type="http://schemas.openxmlformats.org/officeDocument/2006/relationships/ctrlProp" Target="../ctrlProps/ctrlProps22.x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34.xml"/><Relationship Id="rId3" Type="http://schemas.openxmlformats.org/officeDocument/2006/relationships/vmlDrawing" Target="../drawings/vmlDrawing6.vml"/>
</Relationships>
</file>

<file path=xl/worksheets/_rels/sheet13.xml.rels><?xml version="1.0" encoding="UTF-8"?>
<Relationships xmlns="http://schemas.openxmlformats.org/package/2006/relationships"><Relationship Id="rId1" Type="http://schemas.openxmlformats.org/officeDocument/2006/relationships/drawing" Target="../drawings/drawing35.xml"/><Relationship Id="rId2" Type="http://schemas.openxmlformats.org/officeDocument/2006/relationships/vmlDrawing" Target="../drawings/vmlDrawing7.vml"/><Relationship Id="rId3" Type="http://schemas.openxmlformats.org/officeDocument/2006/relationships/ctrlProp" Target="../ctrlProps/ctrlProps36.xml"/><Relationship Id="rId4" Type="http://schemas.openxmlformats.org/officeDocument/2006/relationships/ctrlProp" Target="../ctrlProps/ctrlProps37.xml"/><Relationship Id="rId5" Type="http://schemas.openxmlformats.org/officeDocument/2006/relationships/ctrlProp" Target="../ctrlProps/ctrlProps38.xml"/>
</Relationships>
</file>

<file path=xl/worksheets/_rels/sheet14.xml.rels><?xml version="1.0" encoding="UTF-8"?>
<Relationships xmlns="http://schemas.openxmlformats.org/package/2006/relationships"><Relationship Id="rId1" Type="http://schemas.openxmlformats.org/officeDocument/2006/relationships/drawing" Target="../drawings/drawing39.xml"/><Relationship Id="rId2" Type="http://schemas.openxmlformats.org/officeDocument/2006/relationships/vmlDrawing" Target="../drawings/vmlDrawing8.vml"/><Relationship Id="rId3" Type="http://schemas.openxmlformats.org/officeDocument/2006/relationships/ctrlProp" Target="../ctrlProps/ctrlProps40.xml"/><Relationship Id="rId4" Type="http://schemas.openxmlformats.org/officeDocument/2006/relationships/ctrlProp" Target="../ctrlProps/ctrlProps41.xml"/>
</Relationships>
</file>

<file path=xl/worksheets/_rels/sheet15.xml.rels><?xml version="1.0" encoding="UTF-8"?>
<Relationships xmlns="http://schemas.openxmlformats.org/package/2006/relationships"><Relationship Id="rId1" Type="http://schemas.openxmlformats.org/officeDocument/2006/relationships/drawing" Target="../drawings/drawing42.xml"/><Relationship Id="rId2" Type="http://schemas.openxmlformats.org/officeDocument/2006/relationships/vmlDrawing" Target="../drawings/vmlDrawing9.vml"/><Relationship Id="rId3" Type="http://schemas.openxmlformats.org/officeDocument/2006/relationships/ctrlProp" Target="../ctrlProps/ctrlProps43.xml"/><Relationship Id="rId4" Type="http://schemas.openxmlformats.org/officeDocument/2006/relationships/ctrlProp" Target="../ctrlProps/ctrlProps44.xml"/>
</Relationships>
</file>

<file path=xl/worksheets/_rels/sheet16.xml.rels><?xml version="1.0" encoding="UTF-8"?>
<Relationships xmlns="http://schemas.openxmlformats.org/package/2006/relationships"><Relationship Id="rId1" Type="http://schemas.openxmlformats.org/officeDocument/2006/relationships/drawing" Target="../drawings/drawing45.xml"/><Relationship Id="rId2" Type="http://schemas.openxmlformats.org/officeDocument/2006/relationships/vmlDrawing" Target="../drawings/vmlDrawing10.vml"/><Relationship Id="rId3" Type="http://schemas.openxmlformats.org/officeDocument/2006/relationships/ctrlProp" Target="../ctrlProps/ctrlProps46.xml"/><Relationship Id="rId4" Type="http://schemas.openxmlformats.org/officeDocument/2006/relationships/ctrlProp" Target="../ctrlProps/ctrlProps47.xml"/><Relationship Id="rId5" Type="http://schemas.openxmlformats.org/officeDocument/2006/relationships/ctrlProp" Target="../ctrlProps/ctrlProps48.xml"/><Relationship Id="rId6" Type="http://schemas.openxmlformats.org/officeDocument/2006/relationships/ctrlProp" Target="../ctrlProps/ctrlProps49.xml"/><Relationship Id="rId7" Type="http://schemas.openxmlformats.org/officeDocument/2006/relationships/ctrlProp" Target="../ctrlProps/ctrlProps50.xml"/><Relationship Id="rId8" Type="http://schemas.openxmlformats.org/officeDocument/2006/relationships/ctrlProp" Target="../ctrlProps/ctrlProps51.xml"/><Relationship Id="rId9" Type="http://schemas.openxmlformats.org/officeDocument/2006/relationships/ctrlProp" Target="../ctrlProps/ctrlProps52.xml"/><Relationship Id="rId10" Type="http://schemas.openxmlformats.org/officeDocument/2006/relationships/ctrlProp" Target="../ctrlProps/ctrlProps53.xml"/><Relationship Id="rId11" Type="http://schemas.openxmlformats.org/officeDocument/2006/relationships/ctrlProp" Target="../ctrlProps/ctrlProps54.xml"/><Relationship Id="rId12" Type="http://schemas.openxmlformats.org/officeDocument/2006/relationships/ctrlProp" Target="../ctrlProps/ctrlProps55.xml"/><Relationship Id="rId13" Type="http://schemas.openxmlformats.org/officeDocument/2006/relationships/ctrlProp" Target="../ctrlProps/ctrlProps56.xml"/><Relationship Id="rId14" Type="http://schemas.openxmlformats.org/officeDocument/2006/relationships/ctrlProp" Target="../ctrlProps/ctrlProps57.x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drawing" Target="../drawings/drawing23.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4.xml"/><Relationship Id="rId3" Type="http://schemas.openxmlformats.org/officeDocument/2006/relationships/vmlDrawing" Target="../drawings/vmlDrawing3.vml"/><Relationship Id="rId4" Type="http://schemas.openxmlformats.org/officeDocument/2006/relationships/ctrlProp" Target="../ctrlProps/ctrlProps2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6.xml"/><Relationship Id="rId3" Type="http://schemas.openxmlformats.org/officeDocument/2006/relationships/vmlDrawing" Target="../drawings/vmlDrawing4.vml"/><Relationship Id="rId4" Type="http://schemas.openxmlformats.org/officeDocument/2006/relationships/ctrlProp" Target="../ctrlProps/ctrlProps27.xml"/><Relationship Id="rId5" Type="http://schemas.openxmlformats.org/officeDocument/2006/relationships/ctrlProp" Target="../ctrlProps/ctrlProps28.xml"/><Relationship Id="rId6" Type="http://schemas.openxmlformats.org/officeDocument/2006/relationships/ctrlProp" Target="../ctrlProps/ctrlProps29.xml"/><Relationship Id="rId7" Type="http://schemas.openxmlformats.org/officeDocument/2006/relationships/ctrlProp" Target="../ctrlProps/ctrlProps30.xml"/><Relationship Id="rId8" Type="http://schemas.openxmlformats.org/officeDocument/2006/relationships/ctrlProp" Target="../ctrlProps/ctrlProps31.xml"/><Relationship Id="rId9" Type="http://schemas.openxmlformats.org/officeDocument/2006/relationships/ctrlProp" Target="../ctrlProps/ctrlProps32.xml"/><Relationship Id="rId10" Type="http://schemas.openxmlformats.org/officeDocument/2006/relationships/ctrlProp" Target="../ctrlProps/ctrlProps33.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5.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F35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13671875" defaultRowHeight="12.75" customHeight="true" zeroHeight="false" outlineLevelRow="0" outlineLevelCol="0"/>
  <cols>
    <col collapsed="false" customWidth="true" hidden="false" outlineLevel="0" max="1" min="1" style="1" width="1.28"/>
    <col collapsed="false" customWidth="true" hidden="false" outlineLevel="0" max="2" min="2" style="1" width="21.56"/>
    <col collapsed="false" customWidth="true" hidden="false" outlineLevel="0" max="3" min="3" style="1" width="18.56"/>
    <col collapsed="false" customWidth="true" hidden="false" outlineLevel="0" max="4" min="4" style="1" width="1.28"/>
    <col collapsed="false" customWidth="true" hidden="false" outlineLevel="0" max="5" min="5" style="1" width="27.42"/>
    <col collapsed="false" customWidth="true" hidden="false" outlineLevel="0" max="6" min="6" style="1" width="18.28"/>
    <col collapsed="false" customWidth="true" hidden="false" outlineLevel="0" max="7" min="7" style="1" width="1.28"/>
    <col collapsed="false" customWidth="true" hidden="false" outlineLevel="0" max="8" min="8" style="1" width="25.99"/>
    <col collapsed="false" customWidth="true" hidden="false" outlineLevel="0" max="9" min="9" style="1" width="14.56"/>
    <col collapsed="false" customWidth="true" hidden="false" outlineLevel="0" max="10" min="10" style="1" width="1.28"/>
    <col collapsed="false" customWidth="true" hidden="false" outlineLevel="0" max="11" min="11" style="1" width="22.99"/>
    <col collapsed="false" customWidth="true" hidden="false" outlineLevel="0" max="12" min="12" style="1" width="10.85"/>
    <col collapsed="false" customWidth="true" hidden="false" outlineLevel="0" max="13" min="13" style="1" width="13.14"/>
    <col collapsed="false" customWidth="true" hidden="false" outlineLevel="0" max="14" min="14" style="1" width="7.28"/>
    <col collapsed="false" customWidth="true" hidden="false" outlineLevel="0" max="15" min="15" style="1" width="10.28"/>
    <col collapsed="false" customWidth="true" hidden="false" outlineLevel="0" max="16" min="16" style="1" width="10.85"/>
    <col collapsed="false" customWidth="true" hidden="false" outlineLevel="0" max="18" min="17" style="1" width="11.56"/>
    <col collapsed="false" customWidth="true" hidden="false" outlineLevel="0" max="19" min="19" style="1" width="1.99"/>
    <col collapsed="false" customWidth="true" hidden="false" outlineLevel="0" max="20" min="20" style="1" width="15.99"/>
    <col collapsed="false" customWidth="true" hidden="false" outlineLevel="0" max="25" min="21" style="1" width="8.28"/>
    <col collapsed="false" customWidth="true" hidden="false" outlineLevel="0" max="26" min="26" style="1" width="4.14"/>
    <col collapsed="false" customWidth="true" hidden="false" outlineLevel="0" max="40" min="27" style="1" width="8.28"/>
    <col collapsed="false" customWidth="true" hidden="false" outlineLevel="0" max="41" min="41" style="1" width="20.85"/>
    <col collapsed="false" customWidth="true" hidden="false" outlineLevel="0" max="42" min="42" style="1" width="7.14"/>
    <col collapsed="false" customWidth="true" hidden="false" outlineLevel="0" max="43" min="43" style="0" width="2.28"/>
    <col collapsed="false" customWidth="true" hidden="false" outlineLevel="0" max="44" min="44" style="0" width="3.56"/>
    <col collapsed="false" customWidth="true" hidden="false" outlineLevel="0" max="45" min="45" style="1" width="26.99"/>
    <col collapsed="false" customWidth="true" hidden="false" outlineLevel="0" max="46" min="46" style="1" width="23.56"/>
    <col collapsed="false" customWidth="true" hidden="false" outlineLevel="0" max="47" min="47" style="1" width="14.56"/>
    <col collapsed="false" customWidth="true" hidden="false" outlineLevel="0" max="48" min="48" style="1" width="14.14"/>
    <col collapsed="false" customWidth="true" hidden="false" outlineLevel="0" max="49" min="49" style="1" width="22.85"/>
    <col collapsed="false" customWidth="true" hidden="false" outlineLevel="0" max="50" min="50" style="1" width="14.14"/>
    <col collapsed="false" customWidth="true" hidden="false" outlineLevel="0" max="51" min="51" style="1" width="15.28"/>
    <col collapsed="false" customWidth="true" hidden="false" outlineLevel="0" max="52" min="52" style="1" width="14.85"/>
    <col collapsed="false" customWidth="false" hidden="false" outlineLevel="0" max="53" min="53" style="1" width="9.14"/>
    <col collapsed="false" customWidth="true" hidden="false" outlineLevel="0" max="54" min="54" style="1" width="6.7"/>
    <col collapsed="false" customWidth="true" hidden="false" outlineLevel="0" max="55" min="55" style="1" width="13.85"/>
    <col collapsed="false" customWidth="true" hidden="false" outlineLevel="0" max="56" min="56" style="1" width="9.41"/>
    <col collapsed="false" customWidth="false" hidden="false" outlineLevel="0" max="57" min="57" style="1" width="9.14"/>
    <col collapsed="false" customWidth="true" hidden="false" outlineLevel="0" max="58" min="58" style="1" width="13.14"/>
    <col collapsed="false" customWidth="false" hidden="false" outlineLevel="0" max="63" min="59" style="1" width="9.14"/>
    <col collapsed="false" customWidth="true" hidden="false" outlineLevel="0" max="64" min="64" style="1" width="12.7"/>
    <col collapsed="false" customWidth="false" hidden="false" outlineLevel="0" max="65" min="65" style="1" width="9.14"/>
    <col collapsed="false" customWidth="true" hidden="false" outlineLevel="0" max="66" min="66" style="1" width="11.56"/>
    <col collapsed="false" customWidth="false" hidden="false" outlineLevel="0" max="257" min="67" style="1" width="9.14"/>
  </cols>
  <sheetData>
    <row r="1" customFormat="false" ht="15.75" hidden="false" customHeight="false" outlineLevel="0" collapsed="false">
      <c r="A1" s="2"/>
      <c r="B1" s="3" t="s">
        <v>0</v>
      </c>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customFormat="false" ht="15.75" hidden="false" customHeight="false" outlineLevel="0" collapsed="false">
      <c r="A2" s="2"/>
      <c r="B2" s="3" t="s">
        <v>1</v>
      </c>
      <c r="C2" s="3" t="s">
        <v>2</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customFormat="false" ht="12.75" hidden="false" customHeight="false" outlineLevel="0" collapsed="false">
      <c r="A3" s="2"/>
      <c r="B3" s="2"/>
      <c r="C3" s="2"/>
      <c r="D3" s="2"/>
      <c r="E3" s="2"/>
      <c r="F3" s="2"/>
      <c r="G3" s="2"/>
      <c r="H3" s="2"/>
      <c r="I3" s="2"/>
      <c r="J3" s="2"/>
      <c r="K3" s="2"/>
      <c r="L3" s="2"/>
      <c r="M3" s="2"/>
      <c r="N3" s="2"/>
      <c r="O3" s="2"/>
      <c r="P3" s="2"/>
      <c r="Q3" s="2"/>
      <c r="R3" s="2"/>
      <c r="S3" s="2"/>
      <c r="T3" s="2"/>
      <c r="U3" s="2"/>
      <c r="V3" s="2"/>
      <c r="W3" s="2"/>
      <c r="X3" s="2"/>
      <c r="Y3" s="2"/>
      <c r="Z3" s="2"/>
      <c r="AA3" s="2"/>
      <c r="AB3" s="2" t="s">
        <v>3</v>
      </c>
      <c r="AC3" s="2" t="s">
        <v>3</v>
      </c>
      <c r="AD3" s="2"/>
      <c r="AE3" s="2"/>
      <c r="AF3" s="2"/>
      <c r="AG3" s="2"/>
      <c r="AH3" s="2"/>
      <c r="AI3" s="2"/>
      <c r="AJ3" s="2"/>
      <c r="AK3" s="2"/>
      <c r="AL3" s="2"/>
      <c r="AM3" s="2"/>
      <c r="AN3" s="2"/>
    </row>
    <row r="4" customFormat="false" ht="13.5" hidden="false" customHeight="true" outlineLevel="0" collapsed="false">
      <c r="A4" s="4"/>
      <c r="B4" s="5" t="s">
        <v>4</v>
      </c>
      <c r="C4" s="6"/>
      <c r="D4" s="7"/>
      <c r="E4" s="8"/>
      <c r="F4" s="8"/>
      <c r="G4" s="7"/>
      <c r="H4" s="5" t="s">
        <v>5</v>
      </c>
      <c r="I4" s="6"/>
      <c r="J4" s="9"/>
      <c r="K4" s="8"/>
      <c r="L4" s="8"/>
      <c r="M4" s="8"/>
      <c r="N4" s="10"/>
      <c r="O4" s="11"/>
      <c r="P4" s="8"/>
      <c r="Q4" s="8"/>
      <c r="R4" s="8"/>
      <c r="S4" s="8"/>
      <c r="T4" s="8"/>
      <c r="U4" s="8"/>
      <c r="V4" s="8"/>
      <c r="W4" s="8"/>
      <c r="X4" s="8"/>
      <c r="Y4" s="8"/>
      <c r="Z4" s="8"/>
      <c r="AA4" s="8"/>
      <c r="AB4" s="8"/>
      <c r="AC4" s="8"/>
      <c r="AD4" s="8"/>
      <c r="AE4" s="8"/>
      <c r="AF4" s="8"/>
      <c r="AG4" s="8"/>
      <c r="AH4" s="8"/>
      <c r="AI4" s="8"/>
      <c r="AJ4" s="8"/>
      <c r="AK4" s="8"/>
      <c r="AL4" s="8"/>
      <c r="AM4" s="8"/>
      <c r="AN4" s="8"/>
      <c r="AO4" s="0"/>
      <c r="AP4" s="0"/>
      <c r="AS4" s="0"/>
      <c r="AT4" s="0"/>
      <c r="AU4" s="0"/>
      <c r="AV4" s="0"/>
      <c r="AW4" s="0"/>
      <c r="AX4" s="0"/>
      <c r="AY4" s="0"/>
      <c r="AZ4" s="0"/>
      <c r="BA4" s="0"/>
      <c r="BD4" s="12"/>
      <c r="BE4" s="13"/>
      <c r="BG4" s="13"/>
      <c r="BH4" s="13"/>
      <c r="BI4" s="13"/>
      <c r="BJ4" s="13" t="str">
        <f aca="false">IF(OR(C307=1,C308=1),+"Daily and Monthly Pricing Matrices are to the RIGHT "&amp;REPT(CHAR(26),5),"")</f>
        <v/>
      </c>
      <c r="BK4" s="13"/>
      <c r="BL4" s="13"/>
      <c r="BM4" s="13"/>
      <c r="BN4" s="13"/>
      <c r="BO4" s="14"/>
      <c r="BR4" s="15"/>
      <c r="BX4" s="15"/>
      <c r="BY4" s="13"/>
    </row>
    <row r="5" customFormat="false" ht="15.75" hidden="false" customHeight="true" outlineLevel="0" collapsed="false">
      <c r="A5" s="16"/>
      <c r="B5" s="2"/>
      <c r="C5" s="2"/>
      <c r="D5" s="17"/>
      <c r="E5" s="18" t="s">
        <v>6</v>
      </c>
      <c r="F5" s="19" t="n">
        <v>1</v>
      </c>
      <c r="G5" s="7"/>
      <c r="H5" s="20" t="s">
        <v>7</v>
      </c>
      <c r="I5" s="21" t="n">
        <f aca="false">Assumptions!$C$9</f>
        <v>750</v>
      </c>
      <c r="J5" s="9"/>
      <c r="K5" s="22" t="s">
        <v>8</v>
      </c>
      <c r="L5" s="23" t="n">
        <v>0</v>
      </c>
      <c r="M5" s="2"/>
      <c r="N5" s="10"/>
      <c r="O5" s="24" t="s">
        <v>9</v>
      </c>
      <c r="P5" s="24"/>
      <c r="Q5" s="24"/>
      <c r="R5" s="8"/>
      <c r="S5" s="8"/>
      <c r="T5" s="25" t="s">
        <v>10</v>
      </c>
      <c r="U5" s="25"/>
      <c r="V5" s="25"/>
      <c r="W5" s="25"/>
      <c r="X5" s="25"/>
      <c r="Y5" s="25"/>
      <c r="Z5" s="8"/>
      <c r="AA5" s="26" t="s">
        <v>11</v>
      </c>
      <c r="AB5" s="26"/>
      <c r="AC5" s="26"/>
      <c r="AD5" s="26"/>
      <c r="AE5" s="26"/>
      <c r="AF5" s="26"/>
      <c r="AG5" s="26"/>
      <c r="AH5" s="26"/>
      <c r="AI5" s="26"/>
      <c r="AJ5" s="26"/>
      <c r="AK5" s="26"/>
      <c r="AL5" s="26"/>
      <c r="AM5" s="26"/>
      <c r="AN5" s="2"/>
      <c r="AO5" s="27" t="s">
        <v>12</v>
      </c>
      <c r="AP5" s="0"/>
      <c r="BB5" s="0"/>
      <c r="BC5" s="0"/>
      <c r="BD5" s="14"/>
      <c r="BE5" s="14"/>
      <c r="BF5" s="14"/>
      <c r="BG5" s="14"/>
      <c r="BH5" s="14"/>
      <c r="BI5" s="14"/>
      <c r="BJ5" s="14"/>
      <c r="BK5" s="14"/>
      <c r="BL5" s="14"/>
      <c r="BM5" s="14"/>
      <c r="BN5" s="14"/>
      <c r="BO5" s="14"/>
    </row>
    <row r="6" customFormat="false" ht="17.25" hidden="false" customHeight="true" outlineLevel="0" collapsed="false">
      <c r="A6" s="7"/>
      <c r="B6" s="28" t="s">
        <v>13</v>
      </c>
      <c r="C6" s="29" t="n">
        <f aca="false">CurveDate+1</f>
        <v>36630</v>
      </c>
      <c r="D6" s="17"/>
      <c r="E6" s="30" t="s">
        <v>14</v>
      </c>
      <c r="F6" s="19" t="n">
        <v>1</v>
      </c>
      <c r="G6" s="7"/>
      <c r="H6" s="31" t="s">
        <v>15</v>
      </c>
      <c r="I6" s="32" t="n">
        <f aca="false">Assumptions!B9/Assumptions!C9</f>
        <v>0.2</v>
      </c>
      <c r="J6" s="9"/>
      <c r="K6" s="33"/>
      <c r="L6" s="34"/>
      <c r="M6" s="2"/>
      <c r="N6" s="10"/>
      <c r="O6" s="35" t="s">
        <v>16</v>
      </c>
      <c r="P6" s="36" t="s">
        <v>17</v>
      </c>
      <c r="Q6" s="37" t="s">
        <v>18</v>
      </c>
      <c r="R6" s="8"/>
      <c r="S6" s="8"/>
      <c r="T6" s="38" t="s">
        <v>19</v>
      </c>
      <c r="U6" s="39" t="s">
        <v>20</v>
      </c>
      <c r="V6" s="39" t="s">
        <v>21</v>
      </c>
      <c r="W6" s="40" t="s">
        <v>22</v>
      </c>
      <c r="X6" s="40" t="s">
        <v>23</v>
      </c>
      <c r="Y6" s="41" t="s">
        <v>24</v>
      </c>
      <c r="Z6" s="8"/>
      <c r="AA6" s="42" t="s">
        <v>3</v>
      </c>
      <c r="AB6" s="43" t="s">
        <v>25</v>
      </c>
      <c r="AC6" s="43" t="s">
        <v>26</v>
      </c>
      <c r="AD6" s="43" t="s">
        <v>27</v>
      </c>
      <c r="AE6" s="43" t="s">
        <v>28</v>
      </c>
      <c r="AF6" s="43" t="s">
        <v>29</v>
      </c>
      <c r="AG6" s="43" t="s">
        <v>30</v>
      </c>
      <c r="AH6" s="43" t="s">
        <v>31</v>
      </c>
      <c r="AI6" s="43" t="s">
        <v>32</v>
      </c>
      <c r="AJ6" s="43" t="s">
        <v>33</v>
      </c>
      <c r="AK6" s="43" t="s">
        <v>34</v>
      </c>
      <c r="AL6" s="43" t="s">
        <v>35</v>
      </c>
      <c r="AM6" s="44" t="s">
        <v>36</v>
      </c>
      <c r="AN6" s="2"/>
      <c r="AO6" s="45" t="s">
        <v>37</v>
      </c>
      <c r="AP6" s="45"/>
      <c r="AQ6" s="45"/>
      <c r="AS6" s="46" t="s">
        <v>38</v>
      </c>
      <c r="AT6" s="47" t="s">
        <v>39</v>
      </c>
      <c r="AU6" s="48" t="str">
        <f aca="false">CONCATENATE(PeakStart,"-",PeakEnd)</f>
        <v>700-2200</v>
      </c>
      <c r="AV6" s="0"/>
      <c r="AW6" s="0"/>
      <c r="AX6" s="0"/>
      <c r="AZ6" s="0"/>
      <c r="BA6" s="0"/>
      <c r="BB6" s="0"/>
      <c r="BC6" s="0"/>
      <c r="BD6" s="13"/>
      <c r="BE6" s="13"/>
      <c r="BF6" s="13"/>
      <c r="BG6" s="13"/>
      <c r="BH6" s="13"/>
      <c r="BI6" s="13"/>
      <c r="BJ6" s="13"/>
      <c r="BK6" s="13"/>
      <c r="BL6" s="13"/>
      <c r="BM6" s="13"/>
      <c r="BN6" s="13"/>
      <c r="BO6" s="13"/>
    </row>
    <row r="7" customFormat="false" ht="20.25" hidden="false" customHeight="true" outlineLevel="0" collapsed="false">
      <c r="A7" s="7"/>
      <c r="B7" s="49" t="s">
        <v>40</v>
      </c>
      <c r="C7" s="29" t="n">
        <f aca="false">'Curve Paste'!D9</f>
        <v>36629</v>
      </c>
      <c r="D7" s="17"/>
      <c r="E7" s="50"/>
      <c r="F7" s="51"/>
      <c r="G7" s="7"/>
      <c r="H7" s="52"/>
      <c r="I7" s="53" t="n">
        <v>0</v>
      </c>
      <c r="J7" s="9"/>
      <c r="K7" s="22" t="s">
        <v>41</v>
      </c>
      <c r="L7" s="54" t="n">
        <v>0</v>
      </c>
      <c r="M7" s="2"/>
      <c r="N7" s="10"/>
      <c r="O7" s="55" t="s">
        <v>42</v>
      </c>
      <c r="P7" s="56" t="s">
        <v>43</v>
      </c>
      <c r="Q7" s="57" t="s">
        <v>43</v>
      </c>
      <c r="R7" s="8"/>
      <c r="S7" s="8"/>
      <c r="T7" s="58" t="str">
        <f aca="false">IF(OR(U7&lt;PeakStart,U7&gt;PeakEnd),"Off-Peak","Peak")</f>
        <v>Off-Peak</v>
      </c>
      <c r="U7" s="59" t="n">
        <v>100</v>
      </c>
      <c r="V7" s="60" t="n">
        <f aca="false">Assumptions!$B$9</f>
        <v>150</v>
      </c>
      <c r="W7" s="60" t="n">
        <f aca="false">Assumptions!$B$9</f>
        <v>150</v>
      </c>
      <c r="X7" s="60" t="n">
        <f aca="false">Assumptions!$B$9</f>
        <v>150</v>
      </c>
      <c r="Y7" s="60" t="n">
        <f aca="false">Assumptions!$B$9</f>
        <v>150</v>
      </c>
      <c r="Z7" s="8"/>
      <c r="AA7" s="61" t="n">
        <f aca="false">YEAR(BegDate)</f>
        <v>2003</v>
      </c>
      <c r="AB7" s="62" t="n">
        <v>0</v>
      </c>
      <c r="AC7" s="62" t="n">
        <v>0</v>
      </c>
      <c r="AD7" s="62" t="n">
        <v>0</v>
      </c>
      <c r="AE7" s="62" t="n">
        <v>0</v>
      </c>
      <c r="AF7" s="62" t="n">
        <v>0</v>
      </c>
      <c r="AG7" s="62" t="n">
        <v>0</v>
      </c>
      <c r="AH7" s="62" t="n">
        <v>0</v>
      </c>
      <c r="AI7" s="62" t="n">
        <v>0</v>
      </c>
      <c r="AJ7" s="62" t="n">
        <v>0</v>
      </c>
      <c r="AK7" s="62" t="n">
        <v>0</v>
      </c>
      <c r="AL7" s="62" t="n">
        <v>0</v>
      </c>
      <c r="AM7" s="63" t="n">
        <v>0</v>
      </c>
      <c r="AN7" s="2"/>
      <c r="AO7" s="64" t="s">
        <v>44</v>
      </c>
      <c r="AP7" s="65" t="b">
        <f aca="false">FALSE()</f>
        <v>0</v>
      </c>
      <c r="AQ7" s="66"/>
      <c r="AS7" s="67" t="n">
        <v>8</v>
      </c>
      <c r="AT7" s="68" t="s">
        <v>45</v>
      </c>
      <c r="AU7" s="69" t="str">
        <f aca="false">CONCATENATE(PeakEnd+100,"-",PeakStart-100)</f>
        <v>2300-600</v>
      </c>
      <c r="AV7" s="0"/>
      <c r="AW7" s="0"/>
      <c r="AX7" s="0"/>
      <c r="AZ7" s="0"/>
      <c r="BA7" s="0"/>
      <c r="BB7" s="0"/>
      <c r="BC7" s="0"/>
      <c r="BD7" s="12"/>
      <c r="BE7" s="0"/>
      <c r="BG7" s="13"/>
      <c r="BH7" s="12"/>
      <c r="BK7" s="13"/>
      <c r="BL7" s="12"/>
      <c r="BO7" s="13"/>
      <c r="BS7" s="70"/>
      <c r="BT7" s="70"/>
      <c r="BZ7" s="70"/>
      <c r="CA7" s="70"/>
    </row>
    <row r="8" customFormat="false" ht="19.5" hidden="false" customHeight="true" outlineLevel="0" collapsed="false">
      <c r="A8" s="7"/>
      <c r="B8" s="71" t="s">
        <v>46</v>
      </c>
      <c r="C8" s="72"/>
      <c r="D8" s="17"/>
      <c r="E8" s="73" t="s">
        <v>47</v>
      </c>
      <c r="F8" s="74"/>
      <c r="G8" s="7"/>
      <c r="H8" s="75"/>
      <c r="I8" s="76"/>
      <c r="J8" s="9"/>
      <c r="K8" s="33"/>
      <c r="L8" s="34"/>
      <c r="M8" s="2"/>
      <c r="N8" s="10"/>
      <c r="O8" s="61"/>
      <c r="P8" s="77" t="n">
        <v>0</v>
      </c>
      <c r="Q8" s="78" t="n">
        <v>0</v>
      </c>
      <c r="R8" s="8"/>
      <c r="S8" s="8"/>
      <c r="T8" s="58" t="str">
        <f aca="false">IF(OR(U8&lt;PeakStart,U8&gt;PeakEnd),"Off-Peak","Peak")</f>
        <v>Off-Peak</v>
      </c>
      <c r="U8" s="59" t="n">
        <v>200</v>
      </c>
      <c r="V8" s="60" t="n">
        <f aca="false">Assumptions!$B$9</f>
        <v>150</v>
      </c>
      <c r="W8" s="60" t="n">
        <f aca="false">Assumptions!$B$9</f>
        <v>150</v>
      </c>
      <c r="X8" s="60" t="n">
        <f aca="false">Assumptions!$B$9</f>
        <v>150</v>
      </c>
      <c r="Y8" s="60" t="n">
        <f aca="false">Assumptions!$B$9</f>
        <v>150</v>
      </c>
      <c r="Z8" s="8"/>
      <c r="AA8" s="79" t="n">
        <f aca="false">AA7+1</f>
        <v>2004</v>
      </c>
      <c r="AB8" s="62" t="n">
        <v>0</v>
      </c>
      <c r="AC8" s="62" t="n">
        <v>0</v>
      </c>
      <c r="AD8" s="62" t="n">
        <v>0</v>
      </c>
      <c r="AE8" s="62" t="n">
        <v>0.1</v>
      </c>
      <c r="AF8" s="62" t="n">
        <v>0</v>
      </c>
      <c r="AG8" s="62" t="n">
        <v>0</v>
      </c>
      <c r="AH8" s="62" t="n">
        <v>0</v>
      </c>
      <c r="AI8" s="62" t="n">
        <v>0</v>
      </c>
      <c r="AJ8" s="62" t="n">
        <v>0</v>
      </c>
      <c r="AK8" s="62" t="n">
        <v>0</v>
      </c>
      <c r="AL8" s="62" t="n">
        <v>0</v>
      </c>
      <c r="AM8" s="63" t="n">
        <v>0</v>
      </c>
      <c r="AN8" s="2"/>
      <c r="AO8" s="80" t="s">
        <v>48</v>
      </c>
      <c r="AP8" s="81" t="b">
        <f aca="false">TRUE()</f>
        <v>1</v>
      </c>
      <c r="AQ8" s="82"/>
      <c r="AZ8" s="0"/>
      <c r="BA8" s="0"/>
      <c r="BB8" s="0"/>
      <c r="BC8" s="0"/>
      <c r="BD8" s="13"/>
      <c r="BE8" s="13"/>
      <c r="BF8" s="13"/>
      <c r="BG8" s="13"/>
      <c r="BH8" s="13"/>
      <c r="BI8" s="13"/>
      <c r="BJ8" s="13"/>
      <c r="BK8" s="13"/>
      <c r="BL8" s="13"/>
      <c r="BM8" s="13"/>
      <c r="BN8" s="13"/>
      <c r="BO8" s="13"/>
      <c r="BS8" s="70"/>
      <c r="BT8" s="70"/>
      <c r="BX8" s="70"/>
      <c r="BY8" s="70"/>
      <c r="BZ8" s="70"/>
      <c r="CA8" s="70"/>
      <c r="CB8" s="70"/>
      <c r="CC8" s="12"/>
      <c r="CE8" s="12"/>
      <c r="CF8" s="12"/>
    </row>
    <row r="9" customFormat="false" ht="24.75" hidden="false" customHeight="true" outlineLevel="0" collapsed="false">
      <c r="A9" s="4"/>
      <c r="B9" s="49" t="s">
        <v>49</v>
      </c>
      <c r="C9" s="83"/>
      <c r="D9" s="17"/>
      <c r="E9" s="84"/>
      <c r="F9" s="85"/>
      <c r="G9" s="7"/>
      <c r="H9" s="86" t="s">
        <v>50</v>
      </c>
      <c r="I9" s="85"/>
      <c r="J9" s="9"/>
      <c r="K9" s="10"/>
      <c r="L9" s="10"/>
      <c r="M9" s="2"/>
      <c r="N9" s="10"/>
      <c r="O9" s="61"/>
      <c r="P9" s="77" t="n">
        <v>0</v>
      </c>
      <c r="Q9" s="78" t="n">
        <v>0</v>
      </c>
      <c r="R9" s="8"/>
      <c r="S9" s="8"/>
      <c r="T9" s="58" t="str">
        <f aca="false">IF(OR(U9&lt;PeakStart,U9&gt;PeakEnd),"Off-Peak","Peak")</f>
        <v>Off-Peak</v>
      </c>
      <c r="U9" s="59" t="n">
        <v>300</v>
      </c>
      <c r="V9" s="60" t="n">
        <f aca="false">Assumptions!$B$9</f>
        <v>150</v>
      </c>
      <c r="W9" s="60" t="n">
        <f aca="false">Assumptions!$B$9</f>
        <v>150</v>
      </c>
      <c r="X9" s="60" t="n">
        <f aca="false">Assumptions!$B$9</f>
        <v>150</v>
      </c>
      <c r="Y9" s="60" t="n">
        <f aca="false">Assumptions!$B$9</f>
        <v>150</v>
      </c>
      <c r="Z9" s="8"/>
      <c r="AA9" s="61" t="n">
        <f aca="false">AA8+1</f>
        <v>2005</v>
      </c>
      <c r="AB9" s="62" t="n">
        <v>0</v>
      </c>
      <c r="AC9" s="62" t="n">
        <v>0</v>
      </c>
      <c r="AD9" s="62" t="n">
        <v>0</v>
      </c>
      <c r="AE9" s="62" t="n">
        <v>0.1</v>
      </c>
      <c r="AF9" s="62" t="n">
        <v>0</v>
      </c>
      <c r="AG9" s="62" t="n">
        <v>0</v>
      </c>
      <c r="AH9" s="62" t="n">
        <v>0</v>
      </c>
      <c r="AI9" s="62" t="n">
        <v>0</v>
      </c>
      <c r="AJ9" s="62" t="n">
        <v>0</v>
      </c>
      <c r="AK9" s="62" t="n">
        <v>0</v>
      </c>
      <c r="AL9" s="62" t="n">
        <v>0</v>
      </c>
      <c r="AM9" s="63" t="n">
        <v>0</v>
      </c>
      <c r="AN9" s="2"/>
      <c r="AO9" s="80" t="s">
        <v>51</v>
      </c>
      <c r="AP9" s="81" t="n">
        <v>1</v>
      </c>
      <c r="AQ9" s="82"/>
      <c r="AS9" s="87" t="s">
        <v>52</v>
      </c>
      <c r="AT9" s="88" t="s">
        <v>53</v>
      </c>
      <c r="AU9" s="88" t="s">
        <v>54</v>
      </c>
      <c r="AV9" s="88" t="s">
        <v>55</v>
      </c>
      <c r="AW9" s="88" t="s">
        <v>56</v>
      </c>
      <c r="AX9" s="88" t="s">
        <v>57</v>
      </c>
      <c r="AY9" s="88" t="s">
        <v>58</v>
      </c>
      <c r="AZ9" s="88" t="s">
        <v>59</v>
      </c>
      <c r="BA9" s="89" t="s">
        <v>60</v>
      </c>
      <c r="BB9" s="0"/>
      <c r="BC9" s="0"/>
      <c r="BG9" s="13"/>
      <c r="BH9" s="12"/>
      <c r="BI9" s="13"/>
      <c r="BK9" s="13"/>
      <c r="BL9" s="12"/>
      <c r="BM9" s="13"/>
      <c r="BO9" s="13"/>
      <c r="BR9" s="70"/>
      <c r="BS9" s="70"/>
      <c r="BT9" s="70"/>
      <c r="BX9" s="70"/>
      <c r="BY9" s="70"/>
      <c r="BZ9" s="70"/>
      <c r="CA9" s="70"/>
      <c r="CB9" s="70"/>
      <c r="CC9" s="12"/>
      <c r="CE9" s="12"/>
      <c r="CF9" s="12"/>
    </row>
    <row r="10" customFormat="false" ht="18.75" hidden="false" customHeight="true" outlineLevel="0" collapsed="false">
      <c r="A10" s="4"/>
      <c r="B10" s="8"/>
      <c r="C10" s="8"/>
      <c r="D10" s="90"/>
      <c r="E10" s="17"/>
      <c r="F10" s="17"/>
      <c r="G10" s="8"/>
      <c r="H10" s="91" t="s">
        <v>61</v>
      </c>
      <c r="I10" s="91"/>
      <c r="J10" s="8"/>
      <c r="K10" s="91" t="s">
        <v>62</v>
      </c>
      <c r="L10" s="91"/>
      <c r="M10" s="2"/>
      <c r="N10" s="10"/>
      <c r="O10" s="61"/>
      <c r="P10" s="77" t="n">
        <v>0</v>
      </c>
      <c r="Q10" s="78" t="n">
        <v>0</v>
      </c>
      <c r="R10" s="8"/>
      <c r="S10" s="8"/>
      <c r="T10" s="58" t="str">
        <f aca="false">IF(OR(U10&lt;PeakStart,U10&gt;PeakEnd),"Off-Peak","Peak")</f>
        <v>Off-Peak</v>
      </c>
      <c r="U10" s="59" t="n">
        <v>400</v>
      </c>
      <c r="V10" s="60" t="n">
        <f aca="false">Assumptions!$B$9</f>
        <v>150</v>
      </c>
      <c r="W10" s="60" t="n">
        <f aca="false">Assumptions!$B$9</f>
        <v>150</v>
      </c>
      <c r="X10" s="60" t="n">
        <f aca="false">Assumptions!$B$9</f>
        <v>150</v>
      </c>
      <c r="Y10" s="60" t="n">
        <f aca="false">Assumptions!$B$9</f>
        <v>150</v>
      </c>
      <c r="Z10" s="8"/>
      <c r="AA10" s="79" t="n">
        <f aca="false">AA9+1</f>
        <v>2006</v>
      </c>
      <c r="AB10" s="62" t="n">
        <v>0</v>
      </c>
      <c r="AC10" s="62" t="n">
        <v>0</v>
      </c>
      <c r="AD10" s="62" t="n">
        <v>0</v>
      </c>
      <c r="AE10" s="62" t="n">
        <v>0.2</v>
      </c>
      <c r="AF10" s="62" t="n">
        <v>0</v>
      </c>
      <c r="AG10" s="62" t="n">
        <v>0</v>
      </c>
      <c r="AH10" s="62" t="n">
        <v>0</v>
      </c>
      <c r="AI10" s="62" t="n">
        <v>0</v>
      </c>
      <c r="AJ10" s="62" t="n">
        <v>0</v>
      </c>
      <c r="AK10" s="62" t="n">
        <v>0</v>
      </c>
      <c r="AL10" s="62" t="n">
        <v>0</v>
      </c>
      <c r="AM10" s="63" t="n">
        <v>0</v>
      </c>
      <c r="AN10" s="2"/>
      <c r="AO10" s="80" t="s">
        <v>63</v>
      </c>
      <c r="AP10" s="81" t="n">
        <v>1</v>
      </c>
      <c r="AQ10" s="82"/>
      <c r="AS10" s="92" t="s">
        <v>21</v>
      </c>
      <c r="AT10" s="93" t="s">
        <v>64</v>
      </c>
      <c r="AU10" s="93" t="str">
        <f aca="false">PeakPeriod</f>
        <v>700-2200</v>
      </c>
      <c r="AV10" s="93" t="str">
        <f aca="false">OffPeakPeriod</f>
        <v>2300-600</v>
      </c>
      <c r="AW10" s="93" t="str">
        <f aca="false">PeakPeriod</f>
        <v>700-2200</v>
      </c>
      <c r="AX10" s="93" t="str">
        <f aca="false">OffPeakPeriod</f>
        <v>2300-600</v>
      </c>
      <c r="AY10" s="93" t="str">
        <f aca="false">PeakPeriod</f>
        <v>700-2200</v>
      </c>
      <c r="AZ10" s="93" t="str">
        <f aca="false">OffPeakPeriod</f>
        <v>2300-600</v>
      </c>
      <c r="BA10" s="94" t="str">
        <f aca="false">IF(AND(WeekDef=8,CustomMFFlag),INDEX($AZ$29:$AZ$32,AU16),"")</f>
        <v>Override</v>
      </c>
      <c r="BB10" s="0"/>
      <c r="BC10" s="0"/>
      <c r="BG10" s="13"/>
      <c r="BH10" s="12"/>
      <c r="BI10" s="13"/>
      <c r="BK10" s="13"/>
      <c r="BL10" s="13"/>
      <c r="BM10" s="13"/>
      <c r="BN10" s="13"/>
      <c r="BO10" s="13"/>
    </row>
    <row r="11" customFormat="false" ht="18.75" hidden="false" customHeight="true" outlineLevel="0" collapsed="false">
      <c r="A11" s="4"/>
      <c r="B11" s="71" t="s">
        <v>65</v>
      </c>
      <c r="C11" s="95" t="n">
        <f aca="false">Assumptions!C17+1</f>
        <v>37803</v>
      </c>
      <c r="D11" s="96"/>
      <c r="E11" s="2"/>
      <c r="F11" s="2"/>
      <c r="G11" s="8"/>
      <c r="H11" s="97"/>
      <c r="I11" s="2"/>
      <c r="J11" s="8"/>
      <c r="K11" s="58" t="s">
        <v>21</v>
      </c>
      <c r="L11" s="98" t="str">
        <f aca="false">INDEX(AT10:BA10,WeekDef)</f>
        <v>Override</v>
      </c>
      <c r="M11" s="2"/>
      <c r="N11" s="10"/>
      <c r="O11" s="61"/>
      <c r="P11" s="77" t="n">
        <v>0</v>
      </c>
      <c r="Q11" s="78" t="n">
        <v>0</v>
      </c>
      <c r="R11" s="8"/>
      <c r="S11" s="8"/>
      <c r="T11" s="58" t="str">
        <f aca="false">IF(OR(U11&lt;PeakStart,U11&gt;PeakEnd),"Off-Peak","Peak")</f>
        <v>Off-Peak</v>
      </c>
      <c r="U11" s="59" t="n">
        <v>500</v>
      </c>
      <c r="V11" s="60" t="n">
        <f aca="false">Assumptions!$B$9</f>
        <v>150</v>
      </c>
      <c r="W11" s="60" t="n">
        <f aca="false">Assumptions!$B$9</f>
        <v>150</v>
      </c>
      <c r="X11" s="60" t="n">
        <f aca="false">Assumptions!$B$9</f>
        <v>150</v>
      </c>
      <c r="Y11" s="60" t="n">
        <f aca="false">Assumptions!$B$9</f>
        <v>150</v>
      </c>
      <c r="Z11" s="8"/>
      <c r="AA11" s="61" t="n">
        <f aca="false">AA10+1</f>
        <v>2007</v>
      </c>
      <c r="AB11" s="62" t="n">
        <v>0</v>
      </c>
      <c r="AC11" s="62" t="n">
        <v>0</v>
      </c>
      <c r="AD11" s="62" t="n">
        <v>0</v>
      </c>
      <c r="AE11" s="62" t="n">
        <v>0.1</v>
      </c>
      <c r="AF11" s="62" t="n">
        <v>0</v>
      </c>
      <c r="AG11" s="62" t="n">
        <v>0</v>
      </c>
      <c r="AH11" s="62" t="n">
        <v>0</v>
      </c>
      <c r="AI11" s="62" t="n">
        <v>0</v>
      </c>
      <c r="AJ11" s="62" t="n">
        <v>0</v>
      </c>
      <c r="AK11" s="62" t="n">
        <v>0</v>
      </c>
      <c r="AL11" s="62" t="n">
        <v>0</v>
      </c>
      <c r="AM11" s="63" t="n">
        <v>0</v>
      </c>
      <c r="AN11" s="2"/>
      <c r="AO11" s="80" t="s">
        <v>66</v>
      </c>
      <c r="AP11" s="99" t="n">
        <f aca="false">IF(AQ11=1,TRUE(),FALSE())</f>
        <v>1</v>
      </c>
      <c r="AQ11" s="100" t="n">
        <v>1</v>
      </c>
      <c r="AS11" s="92" t="s">
        <v>67</v>
      </c>
      <c r="AT11" s="93" t="s">
        <v>64</v>
      </c>
      <c r="AU11" s="93" t="str">
        <f aca="false">PeakPeriod</f>
        <v>700-2200</v>
      </c>
      <c r="AV11" s="93" t="str">
        <f aca="false">OffPeakPeriod</f>
        <v>2300-600</v>
      </c>
      <c r="AW11" s="93" t="s">
        <v>3</v>
      </c>
      <c r="AX11" s="93" t="s">
        <v>64</v>
      </c>
      <c r="AY11" s="93" t="str">
        <f aca="false">PeakPeriod</f>
        <v>700-2200</v>
      </c>
      <c r="AZ11" s="93" t="str">
        <f aca="false">OffPeakPeriod</f>
        <v>2300-600</v>
      </c>
      <c r="BA11" s="94" t="str">
        <f aca="false">IF(AND(WeekDef=8,CustomSaFlag),INDEX($AZ$29:$AZ$32,AU17),"")</f>
        <v>Override</v>
      </c>
      <c r="BB11" s="0"/>
      <c r="BC11" s="0"/>
      <c r="BG11" s="13"/>
      <c r="BH11" s="13"/>
      <c r="BI11" s="13"/>
      <c r="BJ11" s="13"/>
      <c r="BK11" s="13"/>
      <c r="BL11" s="12"/>
      <c r="BO11" s="13"/>
    </row>
    <row r="12" customFormat="false" ht="18" hidden="false" customHeight="true" outlineLevel="0" collapsed="false">
      <c r="A12" s="4"/>
      <c r="B12" s="71" t="s">
        <v>68</v>
      </c>
      <c r="C12" s="95" t="n">
        <f aca="false">Assumptions!C18</f>
        <v>44926</v>
      </c>
      <c r="D12" s="90"/>
      <c r="E12" s="2"/>
      <c r="F12" s="2"/>
      <c r="G12" s="17"/>
      <c r="H12" s="97"/>
      <c r="I12" s="2"/>
      <c r="J12" s="8"/>
      <c r="K12" s="58" t="s">
        <v>67</v>
      </c>
      <c r="L12" s="98" t="str">
        <f aca="false">INDEX(AT11:BA11,WeekDef)</f>
        <v>Override</v>
      </c>
      <c r="M12" s="2"/>
      <c r="N12" s="10"/>
      <c r="O12" s="61"/>
      <c r="P12" s="101" t="n">
        <v>0</v>
      </c>
      <c r="Q12" s="102" t="n">
        <v>0</v>
      </c>
      <c r="R12" s="8"/>
      <c r="S12" s="8"/>
      <c r="T12" s="58" t="str">
        <f aca="false">IF(OR(U12&lt;PeakStart,U12&gt;PeakEnd),"Off-Peak","Peak")</f>
        <v>Off-Peak</v>
      </c>
      <c r="U12" s="59" t="n">
        <v>600</v>
      </c>
      <c r="V12" s="60" t="n">
        <f aca="false">Assumptions!$B$9</f>
        <v>150</v>
      </c>
      <c r="W12" s="60" t="n">
        <f aca="false">Assumptions!$B$9</f>
        <v>150</v>
      </c>
      <c r="X12" s="60" t="n">
        <f aca="false">Assumptions!$B$9</f>
        <v>150</v>
      </c>
      <c r="Y12" s="60" t="n">
        <f aca="false">Assumptions!$B$9</f>
        <v>150</v>
      </c>
      <c r="Z12" s="8"/>
      <c r="AA12" s="79" t="n">
        <f aca="false">AA11+1</f>
        <v>2008</v>
      </c>
      <c r="AB12" s="62" t="n">
        <v>0</v>
      </c>
      <c r="AC12" s="62" t="n">
        <v>0</v>
      </c>
      <c r="AD12" s="62" t="n">
        <v>0</v>
      </c>
      <c r="AE12" s="62" t="n">
        <v>0.1</v>
      </c>
      <c r="AF12" s="62" t="n">
        <v>0</v>
      </c>
      <c r="AG12" s="62" t="n">
        <v>0</v>
      </c>
      <c r="AH12" s="62" t="n">
        <v>0</v>
      </c>
      <c r="AI12" s="62" t="n">
        <v>0</v>
      </c>
      <c r="AJ12" s="62" t="n">
        <v>0</v>
      </c>
      <c r="AK12" s="62" t="n">
        <v>0</v>
      </c>
      <c r="AL12" s="62" t="n">
        <v>0</v>
      </c>
      <c r="AM12" s="63" t="n">
        <v>0</v>
      </c>
      <c r="AN12" s="2"/>
      <c r="AO12" s="80" t="s">
        <v>69</v>
      </c>
      <c r="AP12" s="81" t="n">
        <v>4</v>
      </c>
      <c r="AQ12" s="82"/>
      <c r="AS12" s="92" t="s">
        <v>70</v>
      </c>
      <c r="AT12" s="93" t="s">
        <v>64</v>
      </c>
      <c r="AU12" s="93" t="s">
        <v>3</v>
      </c>
      <c r="AV12" s="93" t="s">
        <v>64</v>
      </c>
      <c r="AW12" s="93" t="s">
        <v>3</v>
      </c>
      <c r="AX12" s="93" t="s">
        <v>64</v>
      </c>
      <c r="AY12" s="93" t="str">
        <f aca="false">PeakPeriod</f>
        <v>700-2200</v>
      </c>
      <c r="AZ12" s="93" t="str">
        <f aca="false">OffPeakPeriod</f>
        <v>2300-600</v>
      </c>
      <c r="BA12" s="94" t="str">
        <f aca="false">IF(AND(WeekDef=8,CustomSuFlag),INDEX($AZ$29:$AZ$32,AU18),"")</f>
        <v>Override</v>
      </c>
      <c r="BB12" s="0"/>
      <c r="BC12" s="0"/>
      <c r="BG12" s="13"/>
      <c r="BH12" s="13"/>
      <c r="BI12" s="13"/>
      <c r="BJ12" s="13"/>
      <c r="BK12" s="13"/>
      <c r="BL12" s="12"/>
      <c r="BO12" s="13"/>
    </row>
    <row r="13" customFormat="false" ht="18" hidden="false" customHeight="true" outlineLevel="0" collapsed="false">
      <c r="A13" s="4"/>
      <c r="B13" s="103" t="s">
        <v>71</v>
      </c>
      <c r="C13" s="104" t="n">
        <f aca="false">(EndDate-BegDate+1)/365.25</f>
        <v>19.5044490075291</v>
      </c>
      <c r="D13" s="105"/>
      <c r="E13" s="2"/>
      <c r="F13" s="2"/>
      <c r="G13" s="17"/>
      <c r="H13" s="97"/>
      <c r="I13" s="2"/>
      <c r="J13" s="8"/>
      <c r="K13" s="58" t="s">
        <v>70</v>
      </c>
      <c r="L13" s="98" t="str">
        <f aca="false">INDEX(AT12:BA12,WeekDef)</f>
        <v>Override</v>
      </c>
      <c r="M13" s="2"/>
      <c r="N13" s="10"/>
      <c r="O13" s="106"/>
      <c r="P13" s="101" t="n">
        <v>0</v>
      </c>
      <c r="Q13" s="102" t="n">
        <v>0</v>
      </c>
      <c r="R13" s="8"/>
      <c r="S13" s="8"/>
      <c r="T13" s="58" t="str">
        <f aca="false">IF(OR(U13&lt;PeakStart,U13&gt;PeakEnd),"Off-Peak","Peak")</f>
        <v>Peak</v>
      </c>
      <c r="U13" s="59" t="n">
        <v>700</v>
      </c>
      <c r="V13" s="60" t="n">
        <f aca="false">Assumptions!$B$9</f>
        <v>150</v>
      </c>
      <c r="W13" s="60" t="n">
        <f aca="false">Assumptions!$B$9</f>
        <v>150</v>
      </c>
      <c r="X13" s="60" t="n">
        <f aca="false">Assumptions!$B$9</f>
        <v>150</v>
      </c>
      <c r="Y13" s="60" t="n">
        <f aca="false">Assumptions!$B$9</f>
        <v>150</v>
      </c>
      <c r="Z13" s="8"/>
      <c r="AA13" s="61" t="n">
        <f aca="false">AA12+1</f>
        <v>2009</v>
      </c>
      <c r="AB13" s="62" t="n">
        <v>0</v>
      </c>
      <c r="AC13" s="62" t="n">
        <v>0</v>
      </c>
      <c r="AD13" s="62" t="n">
        <v>0</v>
      </c>
      <c r="AE13" s="62" t="n">
        <v>0.7</v>
      </c>
      <c r="AF13" s="62" t="n">
        <v>0</v>
      </c>
      <c r="AG13" s="62" t="n">
        <v>0</v>
      </c>
      <c r="AH13" s="62" t="n">
        <v>0</v>
      </c>
      <c r="AI13" s="62" t="n">
        <v>0</v>
      </c>
      <c r="AJ13" s="62" t="n">
        <v>0</v>
      </c>
      <c r="AK13" s="62" t="n">
        <v>0</v>
      </c>
      <c r="AL13" s="62" t="n">
        <v>0</v>
      </c>
      <c r="AM13" s="63" t="n">
        <v>0</v>
      </c>
      <c r="AN13" s="2"/>
      <c r="AO13" s="80" t="s">
        <v>72</v>
      </c>
      <c r="AP13" s="81" t="b">
        <f aca="false">FALSE()</f>
        <v>0</v>
      </c>
      <c r="AQ13" s="82"/>
      <c r="AS13" s="107" t="s">
        <v>73</v>
      </c>
      <c r="AT13" s="108" t="str">
        <f aca="false">AT12</f>
        <v>100-2400</v>
      </c>
      <c r="AU13" s="108" t="str">
        <f aca="false">AU12</f>
        <v> </v>
      </c>
      <c r="AV13" s="108" t="str">
        <f aca="false">AV12</f>
        <v>100-2400</v>
      </c>
      <c r="AW13" s="108" t="str">
        <f aca="false">AW12</f>
        <v> </v>
      </c>
      <c r="AX13" s="108" t="str">
        <f aca="false">AX12</f>
        <v>100-2400</v>
      </c>
      <c r="AY13" s="108" t="str">
        <f aca="false">AY12</f>
        <v>700-2200</v>
      </c>
      <c r="AZ13" s="108" t="str">
        <f aca="false">AZ12</f>
        <v>2300-600</v>
      </c>
      <c r="BA13" s="69" t="str">
        <f aca="false">IF(AND(WeekDef=8,CustomHoFlag),INDEX($AZ$29:$AZ$32,AU19),"")</f>
        <v>Override</v>
      </c>
      <c r="BB13" s="0"/>
      <c r="BC13" s="0"/>
      <c r="BD13" s="109"/>
      <c r="BG13" s="13"/>
      <c r="BK13" s="13"/>
      <c r="BL13" s="12"/>
      <c r="BO13" s="13"/>
    </row>
    <row r="14" customFormat="false" ht="19.5" hidden="false" customHeight="true" outlineLevel="0" collapsed="false">
      <c r="A14" s="4"/>
      <c r="B14" s="2"/>
      <c r="C14" s="2"/>
      <c r="D14" s="8"/>
      <c r="E14" s="2"/>
      <c r="F14" s="2"/>
      <c r="G14" s="2"/>
      <c r="H14" s="110"/>
      <c r="I14" s="2"/>
      <c r="J14" s="8"/>
      <c r="K14" s="111" t="s">
        <v>73</v>
      </c>
      <c r="L14" s="112" t="str">
        <f aca="false">INDEX(AT13:BA13,WeekDef)</f>
        <v>Override</v>
      </c>
      <c r="M14" s="2"/>
      <c r="N14" s="10"/>
      <c r="O14" s="106"/>
      <c r="P14" s="101" t="n">
        <v>0</v>
      </c>
      <c r="Q14" s="102" t="n">
        <v>0</v>
      </c>
      <c r="R14" s="8"/>
      <c r="S14" s="8"/>
      <c r="T14" s="58" t="str">
        <f aca="false">IF(OR(U14&lt;PeakStart,U14&gt;PeakEnd),"Off-Peak","Peak")</f>
        <v>Peak</v>
      </c>
      <c r="U14" s="59" t="n">
        <v>800</v>
      </c>
      <c r="V14" s="60" t="n">
        <f aca="false">Assumptions!$B$9</f>
        <v>150</v>
      </c>
      <c r="W14" s="60" t="n">
        <f aca="false">Assumptions!$B$9</f>
        <v>150</v>
      </c>
      <c r="X14" s="60" t="n">
        <f aca="false">Assumptions!$B$9</f>
        <v>150</v>
      </c>
      <c r="Y14" s="60" t="n">
        <f aca="false">Assumptions!$B$9</f>
        <v>150</v>
      </c>
      <c r="Z14" s="8"/>
      <c r="AA14" s="79" t="n">
        <f aca="false">AA13+1</f>
        <v>2010</v>
      </c>
      <c r="AB14" s="62" t="n">
        <v>0</v>
      </c>
      <c r="AC14" s="62" t="n">
        <v>0</v>
      </c>
      <c r="AD14" s="62" t="n">
        <v>0</v>
      </c>
      <c r="AE14" s="62" t="n">
        <v>0.1</v>
      </c>
      <c r="AF14" s="62" t="n">
        <v>0</v>
      </c>
      <c r="AG14" s="62" t="n">
        <v>0</v>
      </c>
      <c r="AH14" s="62" t="n">
        <v>0</v>
      </c>
      <c r="AI14" s="62" t="n">
        <v>0</v>
      </c>
      <c r="AJ14" s="62" t="n">
        <v>0</v>
      </c>
      <c r="AK14" s="62" t="n">
        <v>0</v>
      </c>
      <c r="AL14" s="62" t="n">
        <v>0</v>
      </c>
      <c r="AM14" s="63" t="n">
        <v>0</v>
      </c>
      <c r="AN14" s="2"/>
      <c r="AO14" s="80" t="s">
        <v>74</v>
      </c>
      <c r="AP14" s="113" t="n">
        <f aca="false">2-AQ14</f>
        <v>1</v>
      </c>
      <c r="AQ14" s="100" t="n">
        <v>1</v>
      </c>
      <c r="AS14" s="0"/>
      <c r="AT14" s="0"/>
      <c r="AU14" s="0"/>
      <c r="AV14" s="0"/>
      <c r="AW14" s="0"/>
      <c r="AX14" s="0"/>
      <c r="AY14" s="0"/>
      <c r="AZ14" s="0"/>
      <c r="BA14" s="0"/>
      <c r="BB14" s="0"/>
      <c r="BC14" s="0"/>
      <c r="BD14" s="0"/>
      <c r="BG14" s="13"/>
      <c r="BK14" s="13"/>
      <c r="BL14" s="12"/>
      <c r="BM14" s="13"/>
      <c r="BO14" s="13"/>
    </row>
    <row r="15" customFormat="false" ht="16.5" hidden="false" customHeight="true" outlineLevel="0" collapsed="false">
      <c r="A15" s="4"/>
      <c r="B15" s="5" t="s">
        <v>75</v>
      </c>
      <c r="C15" s="114"/>
      <c r="D15" s="115"/>
      <c r="E15" s="114"/>
      <c r="F15" s="114"/>
      <c r="G15" s="2"/>
      <c r="H15" s="5" t="s">
        <v>76</v>
      </c>
      <c r="I15" s="114"/>
      <c r="J15" s="114"/>
      <c r="K15" s="114"/>
      <c r="L15" s="114"/>
      <c r="M15" s="114"/>
      <c r="N15" s="10"/>
      <c r="O15" s="106"/>
      <c r="P15" s="101" t="n">
        <v>0</v>
      </c>
      <c r="Q15" s="102" t="n">
        <v>0</v>
      </c>
      <c r="R15" s="8"/>
      <c r="S15" s="8"/>
      <c r="T15" s="58" t="str">
        <f aca="false">IF(OR(U15&lt;PeakStart,U15&gt;PeakEnd),"Off-Peak","Peak")</f>
        <v>Peak</v>
      </c>
      <c r="U15" s="59" t="n">
        <v>900</v>
      </c>
      <c r="V15" s="60" t="n">
        <f aca="false">Assumptions!$B$9</f>
        <v>150</v>
      </c>
      <c r="W15" s="60" t="n">
        <f aca="false">Assumptions!$B$9</f>
        <v>150</v>
      </c>
      <c r="X15" s="60" t="n">
        <f aca="false">Assumptions!$B$9</f>
        <v>150</v>
      </c>
      <c r="Y15" s="60" t="n">
        <f aca="false">Assumptions!$B$9</f>
        <v>150</v>
      </c>
      <c r="Z15" s="8"/>
      <c r="AA15" s="61" t="n">
        <f aca="false">AA14+1</f>
        <v>2011</v>
      </c>
      <c r="AB15" s="62" t="n">
        <v>0</v>
      </c>
      <c r="AC15" s="62" t="n">
        <v>0</v>
      </c>
      <c r="AD15" s="62" t="n">
        <v>0</v>
      </c>
      <c r="AE15" s="62" t="n">
        <v>0.1</v>
      </c>
      <c r="AF15" s="62" t="n">
        <v>0</v>
      </c>
      <c r="AG15" s="62" t="n">
        <v>0</v>
      </c>
      <c r="AH15" s="62" t="n">
        <v>0</v>
      </c>
      <c r="AI15" s="62" t="n">
        <v>0</v>
      </c>
      <c r="AJ15" s="62" t="n">
        <v>0</v>
      </c>
      <c r="AK15" s="62" t="n">
        <v>0</v>
      </c>
      <c r="AL15" s="62" t="n">
        <v>0</v>
      </c>
      <c r="AM15" s="63" t="n">
        <v>0</v>
      </c>
      <c r="AN15" s="2"/>
      <c r="AO15" s="80" t="s">
        <v>77</v>
      </c>
      <c r="AP15" s="113" t="n">
        <f aca="false">2-AQ15</f>
        <v>1</v>
      </c>
      <c r="AQ15" s="100" t="n">
        <v>1</v>
      </c>
      <c r="AS15" s="87" t="s">
        <v>78</v>
      </c>
      <c r="AT15" s="116" t="s">
        <v>79</v>
      </c>
      <c r="AU15" s="117" t="s">
        <v>80</v>
      </c>
      <c r="AV15" s="0"/>
      <c r="AW15" s="118" t="s">
        <v>81</v>
      </c>
      <c r="AX15" s="118"/>
      <c r="AY15" s="0"/>
      <c r="AZ15" s="119" t="s">
        <v>82</v>
      </c>
      <c r="BA15" s="0"/>
      <c r="BB15" s="0"/>
      <c r="BC15" s="0"/>
      <c r="BD15" s="0"/>
      <c r="BG15" s="13"/>
      <c r="BK15" s="13"/>
      <c r="BL15" s="13"/>
      <c r="BM15" s="13"/>
      <c r="BN15" s="13"/>
      <c r="BO15" s="13"/>
    </row>
    <row r="16" customFormat="false" ht="16.5" hidden="false" customHeight="true" outlineLevel="0" collapsed="false">
      <c r="A16" s="4"/>
      <c r="B16" s="120" t="s">
        <v>83</v>
      </c>
      <c r="C16" s="121"/>
      <c r="D16" s="122"/>
      <c r="E16" s="123" t="s">
        <v>84</v>
      </c>
      <c r="F16" s="124" t="n">
        <v>0</v>
      </c>
      <c r="G16" s="2"/>
      <c r="H16" s="125" t="s">
        <v>85</v>
      </c>
      <c r="I16" s="126"/>
      <c r="J16" s="126"/>
      <c r="K16" s="126" t="s">
        <v>86</v>
      </c>
      <c r="L16" s="127" t="s">
        <v>87</v>
      </c>
      <c r="M16" s="126"/>
      <c r="N16" s="10"/>
      <c r="O16" s="61"/>
      <c r="P16" s="77" t="n">
        <v>0</v>
      </c>
      <c r="Q16" s="78" t="n">
        <v>0</v>
      </c>
      <c r="R16" s="8"/>
      <c r="S16" s="8"/>
      <c r="T16" s="58" t="str">
        <f aca="false">IF(OR(U16&lt;PeakStart,U16&gt;PeakEnd),"Off-Peak","Peak")</f>
        <v>Peak</v>
      </c>
      <c r="U16" s="59" t="n">
        <v>1000</v>
      </c>
      <c r="V16" s="60" t="n">
        <f aca="false">Assumptions!$B$9</f>
        <v>150</v>
      </c>
      <c r="W16" s="60" t="n">
        <f aca="false">Assumptions!$B$9</f>
        <v>150</v>
      </c>
      <c r="X16" s="60" t="n">
        <f aca="false">Assumptions!$B$9</f>
        <v>150</v>
      </c>
      <c r="Y16" s="60" t="n">
        <f aca="false">Assumptions!$B$9</f>
        <v>150</v>
      </c>
      <c r="Z16" s="8"/>
      <c r="AA16" s="79" t="n">
        <f aca="false">AA15+1</f>
        <v>2012</v>
      </c>
      <c r="AB16" s="62" t="n">
        <v>0</v>
      </c>
      <c r="AC16" s="62" t="n">
        <v>0</v>
      </c>
      <c r="AD16" s="62" t="n">
        <v>0</v>
      </c>
      <c r="AE16" s="62" t="n">
        <v>0.2</v>
      </c>
      <c r="AF16" s="62" t="n">
        <v>0</v>
      </c>
      <c r="AG16" s="62" t="n">
        <v>0</v>
      </c>
      <c r="AH16" s="62" t="n">
        <v>0</v>
      </c>
      <c r="AI16" s="62" t="n">
        <v>0</v>
      </c>
      <c r="AJ16" s="62" t="n">
        <v>0</v>
      </c>
      <c r="AK16" s="62" t="n">
        <v>0</v>
      </c>
      <c r="AL16" s="62" t="n">
        <v>0</v>
      </c>
      <c r="AM16" s="63" t="n">
        <v>0</v>
      </c>
      <c r="AN16" s="2"/>
      <c r="AO16" s="80" t="s">
        <v>88</v>
      </c>
      <c r="AP16" s="113" t="n">
        <f aca="false">2-AQ16</f>
        <v>1</v>
      </c>
      <c r="AQ16" s="100" t="n">
        <v>1</v>
      </c>
      <c r="AS16" s="92" t="s">
        <v>21</v>
      </c>
      <c r="AT16" s="128" t="b">
        <f aca="false">TRUE()</f>
        <v>1</v>
      </c>
      <c r="AU16" s="129" t="n">
        <v>4</v>
      </c>
      <c r="AV16" s="0"/>
      <c r="AW16" s="130" t="str">
        <f aca="false">INDEX(AW18:AW31,AX16)</f>
        <v>No Basis</v>
      </c>
      <c r="AX16" s="131" t="n">
        <v>1</v>
      </c>
      <c r="AY16" s="0"/>
      <c r="AZ16" s="132" t="s">
        <v>53</v>
      </c>
      <c r="BA16" s="0"/>
      <c r="BB16" s="0"/>
      <c r="BC16" s="0"/>
      <c r="BD16" s="0"/>
      <c r="BG16" s="13"/>
      <c r="BK16" s="13"/>
      <c r="BO16" s="13"/>
      <c r="BW16" s="1" t="n">
        <v>1</v>
      </c>
    </row>
    <row r="17" customFormat="false" ht="17.25" hidden="false" customHeight="true" outlineLevel="0" collapsed="false">
      <c r="A17" s="4"/>
      <c r="B17" s="133" t="s">
        <v>89</v>
      </c>
      <c r="C17" s="134"/>
      <c r="D17" s="122"/>
      <c r="E17" s="135" t="s">
        <v>90</v>
      </c>
      <c r="F17" s="136" t="n">
        <v>0</v>
      </c>
      <c r="G17" s="2"/>
      <c r="H17" s="137" t="n">
        <v>1999</v>
      </c>
      <c r="I17" s="138" t="n">
        <v>0</v>
      </c>
      <c r="J17" s="138"/>
      <c r="K17" s="139" t="n">
        <v>0</v>
      </c>
      <c r="L17" s="137" t="n">
        <v>1</v>
      </c>
      <c r="M17" s="140" t="s">
        <v>91</v>
      </c>
      <c r="N17" s="10"/>
      <c r="O17" s="61"/>
      <c r="P17" s="77" t="n">
        <v>0</v>
      </c>
      <c r="Q17" s="78" t="n">
        <v>0</v>
      </c>
      <c r="R17" s="8"/>
      <c r="S17" s="8"/>
      <c r="T17" s="58" t="str">
        <f aca="false">IF(OR(U17&lt;PeakStart,U17&gt;PeakEnd),"Off-Peak","Peak")</f>
        <v>Peak</v>
      </c>
      <c r="U17" s="59" t="n">
        <v>1100</v>
      </c>
      <c r="V17" s="60" t="n">
        <f aca="false">Assumptions!$B$9</f>
        <v>150</v>
      </c>
      <c r="W17" s="60" t="n">
        <f aca="false">Assumptions!$B$9</f>
        <v>150</v>
      </c>
      <c r="X17" s="60" t="n">
        <f aca="false">Assumptions!$B$9</f>
        <v>150</v>
      </c>
      <c r="Y17" s="60" t="n">
        <f aca="false">Assumptions!$B$9</f>
        <v>150</v>
      </c>
      <c r="Z17" s="8"/>
      <c r="AA17" s="61" t="n">
        <f aca="false">AA16+1</f>
        <v>2013</v>
      </c>
      <c r="AB17" s="62" t="n">
        <v>0</v>
      </c>
      <c r="AC17" s="62" t="n">
        <v>0</v>
      </c>
      <c r="AD17" s="62" t="n">
        <v>0</v>
      </c>
      <c r="AE17" s="62" t="n">
        <v>0.1</v>
      </c>
      <c r="AF17" s="62" t="n">
        <v>0</v>
      </c>
      <c r="AG17" s="62" t="n">
        <v>0</v>
      </c>
      <c r="AH17" s="62" t="n">
        <v>0</v>
      </c>
      <c r="AI17" s="62" t="n">
        <v>0</v>
      </c>
      <c r="AJ17" s="62" t="n">
        <v>0</v>
      </c>
      <c r="AK17" s="62" t="n">
        <v>0</v>
      </c>
      <c r="AL17" s="62" t="n">
        <v>0</v>
      </c>
      <c r="AM17" s="63" t="n">
        <v>0</v>
      </c>
      <c r="AN17" s="2"/>
      <c r="AO17" s="80" t="s">
        <v>92</v>
      </c>
      <c r="AP17" s="113" t="n">
        <f aca="false">2-AQ17</f>
        <v>1</v>
      </c>
      <c r="AQ17" s="100" t="n">
        <v>1</v>
      </c>
      <c r="AS17" s="92" t="s">
        <v>67</v>
      </c>
      <c r="AT17" s="128" t="b">
        <f aca="false">TRUE()</f>
        <v>1</v>
      </c>
      <c r="AU17" s="129" t="n">
        <v>4</v>
      </c>
      <c r="AV17" s="0"/>
      <c r="AW17" s="141" t="s">
        <v>93</v>
      </c>
      <c r="AX17" s="142" t="s">
        <v>94</v>
      </c>
      <c r="AY17" s="0"/>
      <c r="AZ17" s="132" t="s">
        <v>54</v>
      </c>
      <c r="BA17" s="0"/>
      <c r="BB17" s="0"/>
      <c r="BC17" s="0"/>
      <c r="BD17" s="0"/>
      <c r="BG17" s="13"/>
      <c r="BK17" s="13"/>
      <c r="BO17" s="13"/>
    </row>
    <row r="18" customFormat="false" ht="18" hidden="false" customHeight="true" outlineLevel="0" collapsed="false">
      <c r="A18" s="4"/>
      <c r="B18" s="143"/>
      <c r="C18" s="34"/>
      <c r="D18" s="122"/>
      <c r="E18" s="135" t="s">
        <v>95</v>
      </c>
      <c r="F18" s="136" t="n">
        <v>0</v>
      </c>
      <c r="G18" s="2"/>
      <c r="H18" s="137" t="n">
        <v>2005</v>
      </c>
      <c r="I18" s="140" t="n">
        <v>0</v>
      </c>
      <c r="J18" s="140"/>
      <c r="K18" s="139" t="n">
        <v>0</v>
      </c>
      <c r="L18" s="137" t="n">
        <f aca="false">+L17+1</f>
        <v>2</v>
      </c>
      <c r="M18" s="140" t="s">
        <v>91</v>
      </c>
      <c r="N18" s="10"/>
      <c r="O18" s="61"/>
      <c r="P18" s="77" t="n">
        <v>0</v>
      </c>
      <c r="Q18" s="78" t="n">
        <v>0</v>
      </c>
      <c r="R18" s="8"/>
      <c r="S18" s="8"/>
      <c r="T18" s="58" t="str">
        <f aca="false">IF(OR(U18&lt;PeakStart,U18&gt;PeakEnd),"Off-Peak","Peak")</f>
        <v>Peak</v>
      </c>
      <c r="U18" s="59" t="n">
        <v>1200</v>
      </c>
      <c r="V18" s="60" t="n">
        <f aca="false">Assumptions!$B$9</f>
        <v>150</v>
      </c>
      <c r="W18" s="60" t="n">
        <f aca="false">Assumptions!$B$9</f>
        <v>150</v>
      </c>
      <c r="X18" s="60" t="n">
        <f aca="false">Assumptions!$B$9</f>
        <v>150</v>
      </c>
      <c r="Y18" s="60" t="n">
        <f aca="false">Assumptions!$B$9</f>
        <v>150</v>
      </c>
      <c r="Z18" s="8"/>
      <c r="AA18" s="79" t="n">
        <f aca="false">AA17+1</f>
        <v>2014</v>
      </c>
      <c r="AB18" s="62" t="n">
        <v>0</v>
      </c>
      <c r="AC18" s="62" t="n">
        <v>0</v>
      </c>
      <c r="AD18" s="62" t="n">
        <v>0</v>
      </c>
      <c r="AE18" s="62" t="n">
        <v>0.1</v>
      </c>
      <c r="AF18" s="62" t="n">
        <v>0</v>
      </c>
      <c r="AG18" s="62" t="n">
        <v>0</v>
      </c>
      <c r="AH18" s="62" t="n">
        <v>0</v>
      </c>
      <c r="AI18" s="62" t="n">
        <v>0</v>
      </c>
      <c r="AJ18" s="62" t="n">
        <v>0</v>
      </c>
      <c r="AK18" s="62" t="n">
        <v>0</v>
      </c>
      <c r="AL18" s="62" t="n">
        <v>0</v>
      </c>
      <c r="AM18" s="63" t="n">
        <v>0</v>
      </c>
      <c r="AN18" s="2"/>
      <c r="AO18" s="80" t="s">
        <v>96</v>
      </c>
      <c r="AP18" s="113" t="n">
        <f aca="false">2-AQ18</f>
        <v>1</v>
      </c>
      <c r="AQ18" s="100" t="n">
        <v>1</v>
      </c>
      <c r="AS18" s="92" t="s">
        <v>70</v>
      </c>
      <c r="AT18" s="128" t="b">
        <f aca="false">TRUE()</f>
        <v>1</v>
      </c>
      <c r="AU18" s="129" t="n">
        <v>4</v>
      </c>
      <c r="AV18" s="0"/>
      <c r="AW18" s="80" t="s">
        <v>97</v>
      </c>
      <c r="AX18" s="82"/>
      <c r="AY18" s="0"/>
      <c r="AZ18" s="132" t="s">
        <v>55</v>
      </c>
      <c r="BA18" s="144"/>
      <c r="BB18" s="0"/>
      <c r="BC18" s="0"/>
      <c r="BG18" s="13"/>
      <c r="BH18" s="13"/>
      <c r="BI18" s="13"/>
      <c r="BJ18" s="13"/>
      <c r="BK18" s="13"/>
      <c r="BL18" s="13"/>
      <c r="BM18" s="13"/>
      <c r="BN18" s="13"/>
      <c r="BO18" s="13"/>
    </row>
    <row r="19" customFormat="false" ht="18" hidden="false" customHeight="true" outlineLevel="0" collapsed="false">
      <c r="A19" s="4"/>
      <c r="B19" s="71" t="s">
        <v>98</v>
      </c>
      <c r="C19" s="82"/>
      <c r="D19" s="122"/>
      <c r="E19" s="135" t="s">
        <v>99</v>
      </c>
      <c r="F19" s="136" t="n">
        <v>0</v>
      </c>
      <c r="G19" s="2"/>
      <c r="H19" s="137" t="n">
        <v>2010</v>
      </c>
      <c r="I19" s="140" t="n">
        <v>0</v>
      </c>
      <c r="J19" s="140"/>
      <c r="K19" s="139" t="n">
        <v>0</v>
      </c>
      <c r="L19" s="137" t="n">
        <f aca="false">+L18+1</f>
        <v>3</v>
      </c>
      <c r="M19" s="140" t="s">
        <v>91</v>
      </c>
      <c r="N19" s="10"/>
      <c r="O19" s="145"/>
      <c r="P19" s="146" t="n">
        <v>0</v>
      </c>
      <c r="Q19" s="147" t="n">
        <v>0</v>
      </c>
      <c r="R19" s="8"/>
      <c r="S19" s="8"/>
      <c r="T19" s="58" t="str">
        <f aca="false">IF(OR(U19&lt;PeakStart,U19&gt;PeakEnd),"Off-Peak","Peak")</f>
        <v>Peak</v>
      </c>
      <c r="U19" s="59" t="n">
        <v>1300</v>
      </c>
      <c r="V19" s="60" t="n">
        <f aca="false">Assumptions!$B$9</f>
        <v>150</v>
      </c>
      <c r="W19" s="60" t="n">
        <f aca="false">Assumptions!$B$9</f>
        <v>150</v>
      </c>
      <c r="X19" s="60" t="n">
        <f aca="false">Assumptions!$B$9</f>
        <v>150</v>
      </c>
      <c r="Y19" s="60" t="n">
        <f aca="false">Assumptions!$B$9</f>
        <v>150</v>
      </c>
      <c r="Z19" s="8"/>
      <c r="AA19" s="61" t="n">
        <f aca="false">AA18+1</f>
        <v>2015</v>
      </c>
      <c r="AB19" s="62" t="n">
        <v>0</v>
      </c>
      <c r="AC19" s="62" t="n">
        <v>0</v>
      </c>
      <c r="AD19" s="62" t="n">
        <v>0</v>
      </c>
      <c r="AE19" s="62" t="n">
        <v>0.7</v>
      </c>
      <c r="AF19" s="62" t="n">
        <v>0</v>
      </c>
      <c r="AG19" s="62" t="n">
        <v>0</v>
      </c>
      <c r="AH19" s="62" t="n">
        <v>0</v>
      </c>
      <c r="AI19" s="62" t="n">
        <v>0</v>
      </c>
      <c r="AJ19" s="62" t="n">
        <v>0</v>
      </c>
      <c r="AK19" s="62" t="n">
        <v>0</v>
      </c>
      <c r="AL19" s="62" t="n">
        <v>0</v>
      </c>
      <c r="AM19" s="63" t="n">
        <v>0</v>
      </c>
      <c r="AN19" s="2"/>
      <c r="AO19" s="80" t="s">
        <v>100</v>
      </c>
      <c r="AP19" s="113" t="n">
        <f aca="false">2-AQ19</f>
        <v>1</v>
      </c>
      <c r="AQ19" s="100" t="n">
        <v>1</v>
      </c>
      <c r="AS19" s="107" t="s">
        <v>73</v>
      </c>
      <c r="AT19" s="148" t="b">
        <f aca="false">TRUE()</f>
        <v>1</v>
      </c>
      <c r="AU19" s="149" t="n">
        <v>4</v>
      </c>
      <c r="AV19" s="0"/>
      <c r="AW19" s="150" t="s">
        <v>101</v>
      </c>
      <c r="AX19" s="151" t="n">
        <v>1</v>
      </c>
      <c r="AY19" s="0"/>
      <c r="AZ19" s="132" t="s">
        <v>56</v>
      </c>
      <c r="BA19" s="152"/>
      <c r="BB19" s="0"/>
      <c r="BC19" s="0"/>
      <c r="BG19" s="13"/>
      <c r="BH19" s="13"/>
      <c r="BI19" s="13"/>
      <c r="BJ19" s="13"/>
      <c r="BK19" s="13"/>
      <c r="BL19" s="13"/>
      <c r="BM19" s="13"/>
      <c r="BN19" s="13"/>
      <c r="BO19" s="13"/>
    </row>
    <row r="20" customFormat="false" ht="20.25" hidden="false" customHeight="true" outlineLevel="0" collapsed="false">
      <c r="A20" s="4"/>
      <c r="B20" s="71" t="s">
        <v>102</v>
      </c>
      <c r="C20" s="82"/>
      <c r="D20" s="122"/>
      <c r="E20" s="2"/>
      <c r="F20" s="2"/>
      <c r="G20" s="2"/>
      <c r="H20" s="153" t="n">
        <v>2015</v>
      </c>
      <c r="I20" s="154" t="n">
        <v>0</v>
      </c>
      <c r="J20" s="154"/>
      <c r="K20" s="139" t="n">
        <v>0</v>
      </c>
      <c r="L20" s="137" t="n">
        <f aca="false">+L19+1</f>
        <v>4</v>
      </c>
      <c r="M20" s="140" t="s">
        <v>91</v>
      </c>
      <c r="N20" s="10"/>
      <c r="O20" s="155" t="s">
        <v>103</v>
      </c>
      <c r="P20" s="155"/>
      <c r="Q20" s="155"/>
      <c r="R20" s="155"/>
      <c r="S20" s="8"/>
      <c r="T20" s="58" t="str">
        <f aca="false">IF(OR(U20&lt;PeakStart,U20&gt;PeakEnd),"Off-Peak","Peak")</f>
        <v>Peak</v>
      </c>
      <c r="U20" s="59" t="n">
        <v>1400</v>
      </c>
      <c r="V20" s="60" t="n">
        <f aca="false">Assumptions!$B$9</f>
        <v>150</v>
      </c>
      <c r="W20" s="60" t="n">
        <f aca="false">Assumptions!$B$9</f>
        <v>150</v>
      </c>
      <c r="X20" s="60" t="n">
        <f aca="false">Assumptions!$B$9</f>
        <v>150</v>
      </c>
      <c r="Y20" s="60" t="n">
        <f aca="false">Assumptions!$B$9</f>
        <v>150</v>
      </c>
      <c r="Z20" s="8"/>
      <c r="AA20" s="79" t="n">
        <f aca="false">AA19+1</f>
        <v>2016</v>
      </c>
      <c r="AB20" s="62" t="n">
        <v>0</v>
      </c>
      <c r="AC20" s="62" t="n">
        <v>0</v>
      </c>
      <c r="AD20" s="62" t="n">
        <v>0</v>
      </c>
      <c r="AE20" s="62" t="n">
        <v>0.1</v>
      </c>
      <c r="AF20" s="62" t="n">
        <v>0</v>
      </c>
      <c r="AG20" s="62" t="n">
        <v>0</v>
      </c>
      <c r="AH20" s="62" t="n">
        <v>0</v>
      </c>
      <c r="AI20" s="62" t="n">
        <v>0</v>
      </c>
      <c r="AJ20" s="62" t="n">
        <v>0</v>
      </c>
      <c r="AK20" s="62" t="n">
        <v>0</v>
      </c>
      <c r="AL20" s="62" t="n">
        <v>0</v>
      </c>
      <c r="AM20" s="63" t="n">
        <v>0</v>
      </c>
      <c r="AN20" s="2"/>
      <c r="AO20" s="80" t="s">
        <v>104</v>
      </c>
      <c r="AP20" s="113" t="n">
        <f aca="false">2-AQ20</f>
        <v>0</v>
      </c>
      <c r="AQ20" s="100" t="n">
        <v>2</v>
      </c>
      <c r="AW20" s="150" t="s">
        <v>105</v>
      </c>
      <c r="AX20" s="151" t="n">
        <v>2</v>
      </c>
      <c r="AY20" s="0"/>
      <c r="AZ20" s="132" t="s">
        <v>57</v>
      </c>
      <c r="BA20" s="152"/>
      <c r="BB20" s="0"/>
      <c r="BC20" s="0"/>
      <c r="BG20" s="13"/>
      <c r="BH20" s="12"/>
      <c r="BJ20" s="70"/>
      <c r="BL20" s="70"/>
      <c r="BM20" s="70"/>
      <c r="BO20" s="13"/>
    </row>
    <row r="21" customFormat="false" ht="19.5" hidden="false" customHeight="true" outlineLevel="0" collapsed="false">
      <c r="A21" s="156"/>
      <c r="B21" s="143" t="s">
        <v>106</v>
      </c>
      <c r="C21" s="34"/>
      <c r="D21" s="3"/>
      <c r="E21" s="2"/>
      <c r="F21" s="2"/>
      <c r="G21" s="2"/>
      <c r="H21" s="2"/>
      <c r="I21" s="2"/>
      <c r="J21" s="2"/>
      <c r="K21" s="2"/>
      <c r="L21" s="137" t="n">
        <f aca="false">+L20+1</f>
        <v>5</v>
      </c>
      <c r="M21" s="140" t="s">
        <v>91</v>
      </c>
      <c r="N21" s="10"/>
      <c r="O21" s="157"/>
      <c r="P21" s="158"/>
      <c r="Q21" s="159" t="s">
        <v>107</v>
      </c>
      <c r="R21" s="160" t="n">
        <v>0</v>
      </c>
      <c r="S21" s="8"/>
      <c r="T21" s="58" t="str">
        <f aca="false">IF(OR(U21&lt;PeakStart,U21&gt;PeakEnd),"Off-Peak","Peak")</f>
        <v>Peak</v>
      </c>
      <c r="U21" s="59" t="n">
        <v>1500</v>
      </c>
      <c r="V21" s="60" t="n">
        <f aca="false">Assumptions!$B$9</f>
        <v>150</v>
      </c>
      <c r="W21" s="60" t="n">
        <f aca="false">Assumptions!$B$9</f>
        <v>150</v>
      </c>
      <c r="X21" s="60" t="n">
        <f aca="false">Assumptions!$B$9</f>
        <v>150</v>
      </c>
      <c r="Y21" s="60" t="n">
        <f aca="false">Assumptions!$B$9</f>
        <v>150</v>
      </c>
      <c r="Z21" s="8"/>
      <c r="AA21" s="61" t="n">
        <f aca="false">AA20+1</f>
        <v>2017</v>
      </c>
      <c r="AB21" s="62" t="n">
        <v>0</v>
      </c>
      <c r="AC21" s="62" t="n">
        <v>0</v>
      </c>
      <c r="AD21" s="62" t="n">
        <v>0</v>
      </c>
      <c r="AE21" s="62" t="n">
        <v>0.1</v>
      </c>
      <c r="AF21" s="62" t="n">
        <v>0</v>
      </c>
      <c r="AG21" s="62" t="n">
        <v>0</v>
      </c>
      <c r="AH21" s="62" t="n">
        <v>0</v>
      </c>
      <c r="AI21" s="62" t="n">
        <v>0</v>
      </c>
      <c r="AJ21" s="62" t="n">
        <v>0</v>
      </c>
      <c r="AK21" s="62" t="n">
        <v>0</v>
      </c>
      <c r="AL21" s="62" t="n">
        <v>0</v>
      </c>
      <c r="AM21" s="63" t="n">
        <v>0</v>
      </c>
      <c r="AN21" s="2"/>
      <c r="AO21" s="80" t="s">
        <v>108</v>
      </c>
      <c r="AP21" s="113" t="n">
        <f aca="false">2-AQ21</f>
        <v>0</v>
      </c>
      <c r="AQ21" s="100" t="n">
        <v>2</v>
      </c>
      <c r="AS21" s="161" t="s">
        <v>109</v>
      </c>
      <c r="AT21" s="162" t="str">
        <f aca="false">INDEX(AT23:AT47,AU21)</f>
        <v>11    SP-15</v>
      </c>
      <c r="AU21" s="163" t="n">
        <v>25</v>
      </c>
      <c r="AV21" s="109"/>
      <c r="AW21" s="150" t="s">
        <v>110</v>
      </c>
      <c r="AX21" s="151" t="n">
        <v>3</v>
      </c>
      <c r="AY21" s="0"/>
      <c r="AZ21" s="132" t="s">
        <v>58</v>
      </c>
      <c r="BA21" s="152"/>
      <c r="BB21" s="0"/>
      <c r="BC21" s="0"/>
      <c r="BG21" s="13"/>
      <c r="BH21" s="13"/>
      <c r="BI21" s="13"/>
      <c r="BJ21" s="13"/>
      <c r="BK21" s="13"/>
      <c r="BL21" s="13"/>
      <c r="BM21" s="13"/>
      <c r="BN21" s="13"/>
      <c r="BO21" s="13"/>
      <c r="BT21" s="1" t="n">
        <v>21</v>
      </c>
    </row>
    <row r="22" customFormat="false" ht="18" hidden="false" customHeight="true" outlineLevel="0" collapsed="false">
      <c r="A22" s="156"/>
      <c r="B22" s="2"/>
      <c r="C22" s="2"/>
      <c r="D22" s="164"/>
      <c r="E22" s="2"/>
      <c r="F22" s="2"/>
      <c r="G22" s="2"/>
      <c r="H22" s="2"/>
      <c r="I22" s="2"/>
      <c r="J22" s="2"/>
      <c r="K22" s="2"/>
      <c r="L22" s="137" t="n">
        <f aca="false">+L21+1</f>
        <v>6</v>
      </c>
      <c r="M22" s="140" t="s">
        <v>91</v>
      </c>
      <c r="N22" s="10"/>
      <c r="O22" s="8"/>
      <c r="P22" s="8"/>
      <c r="Q22" s="8"/>
      <c r="R22" s="8"/>
      <c r="S22" s="8"/>
      <c r="T22" s="58" t="str">
        <f aca="false">IF(OR(U22&lt;PeakStart,U22&gt;PeakEnd),"Off-Peak","Peak")</f>
        <v>Peak</v>
      </c>
      <c r="U22" s="59" t="n">
        <v>1600</v>
      </c>
      <c r="V22" s="60" t="n">
        <f aca="false">Assumptions!$B$9</f>
        <v>150</v>
      </c>
      <c r="W22" s="60" t="n">
        <f aca="false">Assumptions!$B$9</f>
        <v>150</v>
      </c>
      <c r="X22" s="60" t="n">
        <f aca="false">Assumptions!$B$9</f>
        <v>150</v>
      </c>
      <c r="Y22" s="60" t="n">
        <f aca="false">Assumptions!$B$9</f>
        <v>150</v>
      </c>
      <c r="Z22" s="8"/>
      <c r="AA22" s="79" t="n">
        <f aca="false">AA21+1</f>
        <v>2018</v>
      </c>
      <c r="AB22" s="62" t="n">
        <v>0</v>
      </c>
      <c r="AC22" s="62" t="n">
        <v>0</v>
      </c>
      <c r="AD22" s="62" t="n">
        <v>0</v>
      </c>
      <c r="AE22" s="62" t="n">
        <v>0.2</v>
      </c>
      <c r="AF22" s="62" t="n">
        <v>0</v>
      </c>
      <c r="AG22" s="62" t="n">
        <v>0</v>
      </c>
      <c r="AH22" s="62" t="n">
        <v>0</v>
      </c>
      <c r="AI22" s="62" t="n">
        <v>0</v>
      </c>
      <c r="AJ22" s="62" t="n">
        <v>0</v>
      </c>
      <c r="AK22" s="62" t="n">
        <v>0</v>
      </c>
      <c r="AL22" s="62" t="n">
        <v>0</v>
      </c>
      <c r="AM22" s="63" t="n">
        <v>0</v>
      </c>
      <c r="AN22" s="2"/>
      <c r="AO22" s="80" t="s">
        <v>111</v>
      </c>
      <c r="AP22" s="113" t="n">
        <f aca="false">AQ22-1</f>
        <v>2</v>
      </c>
      <c r="AQ22" s="100" t="n">
        <v>3</v>
      </c>
      <c r="AS22" s="165" t="s">
        <v>112</v>
      </c>
      <c r="AT22" s="166" t="s">
        <v>93</v>
      </c>
      <c r="AU22" s="167" t="s">
        <v>94</v>
      </c>
      <c r="AV22" s="168"/>
      <c r="AW22" s="150" t="s">
        <v>113</v>
      </c>
      <c r="AX22" s="151" t="n">
        <v>4</v>
      </c>
      <c r="AY22" s="0"/>
      <c r="AZ22" s="132" t="s">
        <v>59</v>
      </c>
      <c r="BA22" s="152"/>
      <c r="BB22" s="0"/>
      <c r="BC22" s="0"/>
      <c r="BG22" s="13"/>
      <c r="BH22" s="12"/>
      <c r="BM22" s="169"/>
      <c r="BO22" s="13"/>
    </row>
    <row r="23" customFormat="false" ht="18.75" hidden="false" customHeight="true" outlineLevel="0" collapsed="false">
      <c r="A23" s="156"/>
      <c r="B23" s="2"/>
      <c r="C23" s="2"/>
      <c r="D23" s="10"/>
      <c r="E23" s="2"/>
      <c r="F23" s="2"/>
      <c r="G23" s="2"/>
      <c r="H23" s="2"/>
      <c r="I23" s="2"/>
      <c r="J23" s="10"/>
      <c r="K23" s="8"/>
      <c r="L23" s="137" t="n">
        <f aca="false">+L22+1</f>
        <v>7</v>
      </c>
      <c r="M23" s="140" t="s">
        <v>91</v>
      </c>
      <c r="N23" s="10"/>
      <c r="O23" s="170"/>
      <c r="P23" s="170" t="s">
        <v>114</v>
      </c>
      <c r="Q23" s="171" t="s">
        <v>115</v>
      </c>
      <c r="R23" s="171"/>
      <c r="S23" s="8"/>
      <c r="T23" s="58" t="str">
        <f aca="false">IF(OR(U23&lt;PeakStart,U23&gt;PeakEnd),"Off-Peak","Peak")</f>
        <v>Peak</v>
      </c>
      <c r="U23" s="59" t="n">
        <v>1700</v>
      </c>
      <c r="V23" s="60" t="n">
        <f aca="false">Assumptions!$B$9</f>
        <v>150</v>
      </c>
      <c r="W23" s="60" t="n">
        <f aca="false">Assumptions!$B$9</f>
        <v>150</v>
      </c>
      <c r="X23" s="60" t="n">
        <f aca="false">Assumptions!$B$9</f>
        <v>150</v>
      </c>
      <c r="Y23" s="60" t="n">
        <f aca="false">Assumptions!$B$9</f>
        <v>150</v>
      </c>
      <c r="Z23" s="8"/>
      <c r="AA23" s="61" t="n">
        <f aca="false">AA22+1</f>
        <v>2019</v>
      </c>
      <c r="AB23" s="62" t="n">
        <v>0</v>
      </c>
      <c r="AC23" s="62" t="n">
        <v>0</v>
      </c>
      <c r="AD23" s="62" t="n">
        <v>0</v>
      </c>
      <c r="AE23" s="62" t="n">
        <v>0.1</v>
      </c>
      <c r="AF23" s="62" t="n">
        <v>0</v>
      </c>
      <c r="AG23" s="62" t="n">
        <v>0</v>
      </c>
      <c r="AH23" s="62" t="n">
        <v>0</v>
      </c>
      <c r="AI23" s="62" t="n">
        <v>0</v>
      </c>
      <c r="AJ23" s="62" t="n">
        <v>0</v>
      </c>
      <c r="AK23" s="62" t="n">
        <v>0</v>
      </c>
      <c r="AL23" s="62" t="n">
        <v>0</v>
      </c>
      <c r="AM23" s="63" t="n">
        <v>0</v>
      </c>
      <c r="AN23" s="2"/>
      <c r="AO23" s="80" t="s">
        <v>116</v>
      </c>
      <c r="AP23" s="113" t="n">
        <f aca="false">AQ23-1</f>
        <v>0</v>
      </c>
      <c r="AQ23" s="100" t="n">
        <v>1</v>
      </c>
      <c r="AS23" s="172" t="s">
        <v>117</v>
      </c>
      <c r="AT23" s="173" t="s">
        <v>118</v>
      </c>
      <c r="AU23" s="174" t="s">
        <v>119</v>
      </c>
      <c r="AW23" s="150" t="s">
        <v>120</v>
      </c>
      <c r="AX23" s="151" t="n">
        <v>5</v>
      </c>
      <c r="AY23" s="0"/>
      <c r="AZ23" s="175" t="s">
        <v>60</v>
      </c>
      <c r="BA23" s="152"/>
      <c r="BB23" s="0"/>
      <c r="BG23" s="13"/>
      <c r="BN23" s="13"/>
      <c r="BO23" s="13"/>
    </row>
    <row r="24" customFormat="false" ht="18" hidden="false" customHeight="true" outlineLevel="0" collapsed="false">
      <c r="A24" s="156"/>
      <c r="B24" s="5" t="s">
        <v>121</v>
      </c>
      <c r="C24" s="5"/>
      <c r="D24" s="176"/>
      <c r="E24" s="5"/>
      <c r="F24" s="5"/>
      <c r="G24" s="177"/>
      <c r="H24" s="2"/>
      <c r="I24" s="2"/>
      <c r="J24" s="8"/>
      <c r="K24" s="2"/>
      <c r="L24" s="137" t="n">
        <f aca="false">+L23+1</f>
        <v>8</v>
      </c>
      <c r="M24" s="140" t="s">
        <v>91</v>
      </c>
      <c r="N24" s="10"/>
      <c r="O24" s="178"/>
      <c r="P24" s="178" t="s">
        <v>16</v>
      </c>
      <c r="Q24" s="179" t="s">
        <v>122</v>
      </c>
      <c r="R24" s="179" t="s">
        <v>123</v>
      </c>
      <c r="S24" s="8"/>
      <c r="T24" s="58" t="str">
        <f aca="false">IF(OR(U24&lt;PeakStart,U24&gt;PeakEnd),"Off-Peak","Peak")</f>
        <v>Peak</v>
      </c>
      <c r="U24" s="59" t="n">
        <v>1800</v>
      </c>
      <c r="V24" s="60" t="n">
        <f aca="false">Assumptions!$B$9</f>
        <v>150</v>
      </c>
      <c r="W24" s="60" t="n">
        <f aca="false">Assumptions!$B$9</f>
        <v>150</v>
      </c>
      <c r="X24" s="60" t="n">
        <f aca="false">Assumptions!$B$9</f>
        <v>150</v>
      </c>
      <c r="Y24" s="60" t="n">
        <f aca="false">Assumptions!$B$9</f>
        <v>150</v>
      </c>
      <c r="Z24" s="8"/>
      <c r="AA24" s="79" t="n">
        <f aca="false">AA23+1</f>
        <v>2020</v>
      </c>
      <c r="AB24" s="62" t="n">
        <v>0</v>
      </c>
      <c r="AC24" s="62" t="n">
        <v>0</v>
      </c>
      <c r="AD24" s="62" t="n">
        <v>0</v>
      </c>
      <c r="AE24" s="62" t="n">
        <v>0.1</v>
      </c>
      <c r="AF24" s="62" t="n">
        <v>0</v>
      </c>
      <c r="AG24" s="62" t="n">
        <v>0</v>
      </c>
      <c r="AH24" s="62" t="n">
        <v>0</v>
      </c>
      <c r="AI24" s="62" t="n">
        <v>0</v>
      </c>
      <c r="AJ24" s="62" t="n">
        <v>0</v>
      </c>
      <c r="AK24" s="62" t="n">
        <v>0</v>
      </c>
      <c r="AL24" s="62" t="n">
        <v>0</v>
      </c>
      <c r="AM24" s="63" t="n">
        <v>0</v>
      </c>
      <c r="AN24" s="2"/>
      <c r="AO24" s="80" t="s">
        <v>124</v>
      </c>
      <c r="AP24" s="113" t="n">
        <f aca="false">2-AQ24</f>
        <v>2</v>
      </c>
      <c r="AQ24" s="100" t="n">
        <v>0</v>
      </c>
      <c r="AS24" s="172" t="s">
        <v>125</v>
      </c>
      <c r="AT24" s="173" t="s">
        <v>126</v>
      </c>
      <c r="AU24" s="174" t="s">
        <v>127</v>
      </c>
      <c r="AW24" s="150" t="s">
        <v>128</v>
      </c>
      <c r="AX24" s="151" t="n">
        <v>6</v>
      </c>
      <c r="AY24" s="0"/>
      <c r="AZ24" s="119" t="s">
        <v>129</v>
      </c>
      <c r="BA24" s="152"/>
      <c r="BB24" s="0"/>
      <c r="BG24" s="13"/>
      <c r="BH24" s="12"/>
      <c r="BO24" s="13"/>
    </row>
    <row r="25" customFormat="false" ht="19.5" hidden="false" customHeight="true" outlineLevel="0" collapsed="false">
      <c r="A25" s="156"/>
      <c r="B25" s="180" t="str">
        <f aca="false">IF(OBuySell=1,IF(OCallPut=1,"ECT Can Deliver Coal, Take Power","ECT Can Deliver Power, Take Coal"),IF(OCallPut=1,"Counterparty Can Deliver Coal, Take Power","Counterparty Can Deliver Power, Take Coal"))</f>
        <v>ECT Can Deliver Coal, Take Power</v>
      </c>
      <c r="C25" s="180"/>
      <c r="D25" s="8"/>
      <c r="E25" s="181" t="s">
        <v>130</v>
      </c>
      <c r="F25" s="181"/>
      <c r="G25" s="2"/>
      <c r="H25" s="2"/>
      <c r="I25" s="2"/>
      <c r="J25" s="8"/>
      <c r="K25" s="2"/>
      <c r="L25" s="137" t="n">
        <f aca="false">+L24+1</f>
        <v>9</v>
      </c>
      <c r="M25" s="140" t="s">
        <v>91</v>
      </c>
      <c r="N25" s="10"/>
      <c r="O25" s="178" t="s">
        <v>16</v>
      </c>
      <c r="P25" s="178" t="s">
        <v>131</v>
      </c>
      <c r="Q25" s="182" t="s">
        <v>132</v>
      </c>
      <c r="R25" s="182" t="s">
        <v>133</v>
      </c>
      <c r="S25" s="8"/>
      <c r="T25" s="58" t="str">
        <f aca="false">IF(OR(U25&lt;PeakStart,U25&gt;PeakEnd),"Off-Peak","Peak")</f>
        <v>Peak</v>
      </c>
      <c r="U25" s="59" t="n">
        <v>1900</v>
      </c>
      <c r="V25" s="60" t="n">
        <f aca="false">Assumptions!$B$9</f>
        <v>150</v>
      </c>
      <c r="W25" s="60" t="n">
        <f aca="false">Assumptions!$B$9</f>
        <v>150</v>
      </c>
      <c r="X25" s="60" t="n">
        <f aca="false">Assumptions!$B$9</f>
        <v>150</v>
      </c>
      <c r="Y25" s="60" t="n">
        <f aca="false">Assumptions!$B$9</f>
        <v>150</v>
      </c>
      <c r="Z25" s="8"/>
      <c r="AA25" s="61" t="n">
        <f aca="false">AA24+1</f>
        <v>2021</v>
      </c>
      <c r="AB25" s="62" t="n">
        <v>0</v>
      </c>
      <c r="AC25" s="62" t="n">
        <v>0</v>
      </c>
      <c r="AD25" s="62" t="n">
        <v>0</v>
      </c>
      <c r="AE25" s="62" t="n">
        <v>0.7</v>
      </c>
      <c r="AF25" s="62" t="n">
        <v>0</v>
      </c>
      <c r="AG25" s="62" t="n">
        <v>0</v>
      </c>
      <c r="AH25" s="62" t="n">
        <v>0</v>
      </c>
      <c r="AI25" s="62" t="n">
        <v>0</v>
      </c>
      <c r="AJ25" s="62" t="n">
        <v>0</v>
      </c>
      <c r="AK25" s="62" t="n">
        <v>0</v>
      </c>
      <c r="AL25" s="62" t="n">
        <v>0</v>
      </c>
      <c r="AM25" s="63" t="n">
        <v>0</v>
      </c>
      <c r="AN25" s="2"/>
      <c r="AO25" s="80" t="s">
        <v>134</v>
      </c>
      <c r="AP25" s="113" t="n">
        <f aca="false">2-AQ25</f>
        <v>1</v>
      </c>
      <c r="AQ25" s="100" t="n">
        <v>1</v>
      </c>
      <c r="AS25" s="172" t="s">
        <v>135</v>
      </c>
      <c r="AT25" s="173" t="s">
        <v>136</v>
      </c>
      <c r="AU25" s="174" t="s">
        <v>137</v>
      </c>
      <c r="AW25" s="150" t="s">
        <v>138</v>
      </c>
      <c r="AX25" s="151" t="n">
        <v>7</v>
      </c>
      <c r="AY25" s="0"/>
      <c r="AZ25" s="183" t="s">
        <v>139</v>
      </c>
      <c r="BA25" s="152"/>
      <c r="BB25" s="0"/>
      <c r="BG25" s="13"/>
      <c r="BJ25" s="14"/>
      <c r="BL25" s="14"/>
      <c r="BO25" s="13"/>
    </row>
    <row r="26" customFormat="false" ht="18.75" hidden="false" customHeight="true" outlineLevel="0" collapsed="false">
      <c r="A26" s="156"/>
      <c r="B26" s="184" t="s">
        <v>140</v>
      </c>
      <c r="C26" s="184"/>
      <c r="D26" s="8"/>
      <c r="E26" s="185" t="s">
        <v>141</v>
      </c>
      <c r="F26" s="186" t="n">
        <f aca="false">Assumptions!C10</f>
        <v>7000</v>
      </c>
      <c r="G26" s="8"/>
      <c r="H26" s="2"/>
      <c r="I26" s="2"/>
      <c r="J26" s="8"/>
      <c r="K26" s="2"/>
      <c r="L26" s="137" t="n">
        <f aca="false">+L25+1</f>
        <v>10</v>
      </c>
      <c r="M26" s="140" t="s">
        <v>91</v>
      </c>
      <c r="N26" s="2"/>
      <c r="O26" s="187"/>
      <c r="P26" s="187" t="s">
        <v>142</v>
      </c>
      <c r="Q26" s="188" t="s">
        <v>143</v>
      </c>
      <c r="R26" s="188" t="s">
        <v>143</v>
      </c>
      <c r="S26" s="8"/>
      <c r="T26" s="58" t="str">
        <f aca="false">IF(OR(U26&lt;PeakStart,U26&gt;PeakEnd),"Off-Peak","Peak")</f>
        <v>Peak</v>
      </c>
      <c r="U26" s="59" t="n">
        <v>2000</v>
      </c>
      <c r="V26" s="60" t="n">
        <f aca="false">Assumptions!$B$9</f>
        <v>150</v>
      </c>
      <c r="W26" s="60" t="n">
        <f aca="false">Assumptions!$B$9</f>
        <v>150</v>
      </c>
      <c r="X26" s="60" t="n">
        <f aca="false">Assumptions!$B$9</f>
        <v>150</v>
      </c>
      <c r="Y26" s="60" t="n">
        <f aca="false">Assumptions!$B$9</f>
        <v>150</v>
      </c>
      <c r="Z26" s="8"/>
      <c r="AA26" s="61" t="n">
        <f aca="false">AA25+1</f>
        <v>2022</v>
      </c>
      <c r="AB26" s="62" t="n">
        <v>0</v>
      </c>
      <c r="AC26" s="62" t="n">
        <v>0</v>
      </c>
      <c r="AD26" s="62" t="n">
        <v>0</v>
      </c>
      <c r="AE26" s="62" t="n">
        <v>0.1</v>
      </c>
      <c r="AF26" s="62" t="n">
        <v>0</v>
      </c>
      <c r="AG26" s="62" t="n">
        <v>0</v>
      </c>
      <c r="AH26" s="62" t="n">
        <v>0</v>
      </c>
      <c r="AI26" s="62" t="n">
        <v>0</v>
      </c>
      <c r="AJ26" s="62" t="n">
        <v>0</v>
      </c>
      <c r="AK26" s="62" t="n">
        <v>0</v>
      </c>
      <c r="AL26" s="62" t="n">
        <v>0</v>
      </c>
      <c r="AM26" s="63" t="n">
        <v>0</v>
      </c>
      <c r="AN26" s="2"/>
      <c r="AO26" s="189" t="s">
        <v>144</v>
      </c>
      <c r="AP26" s="81" t="b">
        <f aca="false">TRUE()</f>
        <v>1</v>
      </c>
      <c r="AQ26" s="82"/>
      <c r="AS26" s="172" t="s">
        <v>145</v>
      </c>
      <c r="AT26" s="173" t="s">
        <v>146</v>
      </c>
      <c r="AU26" s="174" t="s">
        <v>147</v>
      </c>
      <c r="AW26" s="150" t="s">
        <v>148</v>
      </c>
      <c r="AX26" s="151" t="n">
        <v>8</v>
      </c>
      <c r="AY26" s="0"/>
      <c r="AZ26" s="183" t="s">
        <v>149</v>
      </c>
      <c r="BA26" s="152"/>
      <c r="BB26" s="0"/>
      <c r="BG26" s="13"/>
      <c r="BL26" s="169"/>
      <c r="BN26" s="13"/>
      <c r="BO26" s="13"/>
      <c r="BR26" s="12"/>
    </row>
    <row r="27" customFormat="false" ht="18.75" hidden="false" customHeight="true" outlineLevel="0" collapsed="false">
      <c r="A27" s="156"/>
      <c r="B27" s="120" t="s">
        <v>98</v>
      </c>
      <c r="C27" s="121"/>
      <c r="D27" s="8"/>
      <c r="E27" s="185" t="s">
        <v>150</v>
      </c>
      <c r="F27" s="190" t="n">
        <f aca="false">Assumptions!B10/Assumptions!C10</f>
        <v>1.28571428571429</v>
      </c>
      <c r="G27" s="8"/>
      <c r="H27" s="2"/>
      <c r="I27" s="2"/>
      <c r="J27" s="8"/>
      <c r="K27" s="2"/>
      <c r="L27" s="137" t="n">
        <f aca="false">+L26+1</f>
        <v>11</v>
      </c>
      <c r="M27" s="140" t="s">
        <v>91</v>
      </c>
      <c r="N27" s="2"/>
      <c r="O27" s="191" t="s">
        <v>151</v>
      </c>
      <c r="P27" s="192" t="n">
        <v>1</v>
      </c>
      <c r="Q27" s="193" t="n">
        <v>0.5</v>
      </c>
      <c r="R27" s="193" t="n">
        <v>0.5</v>
      </c>
      <c r="S27" s="8"/>
      <c r="T27" s="58" t="str">
        <f aca="false">IF(OR(U27&lt;PeakStart,U27&gt;PeakEnd),"Off-Peak","Peak")</f>
        <v>Peak</v>
      </c>
      <c r="U27" s="59" t="n">
        <v>2100</v>
      </c>
      <c r="V27" s="60" t="n">
        <f aca="false">Assumptions!$B$9</f>
        <v>150</v>
      </c>
      <c r="W27" s="60" t="n">
        <f aca="false">Assumptions!$B$9</f>
        <v>150</v>
      </c>
      <c r="X27" s="60" t="n">
        <f aca="false">Assumptions!$B$9</f>
        <v>150</v>
      </c>
      <c r="Y27" s="60" t="n">
        <f aca="false">Assumptions!$B$9</f>
        <v>150</v>
      </c>
      <c r="Z27" s="8"/>
      <c r="AA27" s="61" t="n">
        <f aca="false">AA26+1</f>
        <v>2023</v>
      </c>
      <c r="AB27" s="62" t="n">
        <v>0</v>
      </c>
      <c r="AC27" s="62" t="n">
        <v>0</v>
      </c>
      <c r="AD27" s="62" t="n">
        <v>0</v>
      </c>
      <c r="AE27" s="62" t="n">
        <v>0.1</v>
      </c>
      <c r="AF27" s="62" t="n">
        <v>0</v>
      </c>
      <c r="AG27" s="62" t="n">
        <v>0</v>
      </c>
      <c r="AH27" s="62" t="n">
        <v>0</v>
      </c>
      <c r="AI27" s="62" t="n">
        <v>0</v>
      </c>
      <c r="AJ27" s="62" t="n">
        <v>0</v>
      </c>
      <c r="AK27" s="62" t="n">
        <v>0</v>
      </c>
      <c r="AL27" s="62" t="n">
        <v>0</v>
      </c>
      <c r="AM27" s="63" t="n">
        <v>0</v>
      </c>
      <c r="AN27" s="8"/>
      <c r="AO27" s="80" t="s">
        <v>152</v>
      </c>
      <c r="AP27" s="113" t="n">
        <f aca="false">AQ27-1</f>
        <v>0</v>
      </c>
      <c r="AQ27" s="100" t="n">
        <v>1</v>
      </c>
      <c r="AS27" s="172"/>
      <c r="AT27" s="173" t="s">
        <v>153</v>
      </c>
      <c r="AU27" s="174" t="s">
        <v>154</v>
      </c>
      <c r="AV27" s="0"/>
      <c r="AW27" s="150" t="s">
        <v>155</v>
      </c>
      <c r="AX27" s="151" t="n">
        <v>10</v>
      </c>
      <c r="AY27" s="0"/>
      <c r="AZ27" s="183" t="s">
        <v>132</v>
      </c>
      <c r="BA27" s="152"/>
      <c r="BB27" s="0"/>
      <c r="BG27" s="13"/>
      <c r="BH27" s="13"/>
      <c r="BI27" s="13"/>
      <c r="BJ27" s="13"/>
      <c r="BK27" s="13"/>
      <c r="BL27" s="13"/>
      <c r="BM27" s="13"/>
      <c r="BN27" s="13"/>
      <c r="BO27" s="13"/>
      <c r="BR27" s="12"/>
    </row>
    <row r="28" customFormat="false" ht="19.5" hidden="false" customHeight="true" outlineLevel="0" collapsed="false">
      <c r="A28" s="10"/>
      <c r="B28" s="184" t="s">
        <v>156</v>
      </c>
      <c r="C28" s="184"/>
      <c r="D28" s="8"/>
      <c r="E28" s="185" t="s">
        <v>157</v>
      </c>
      <c r="F28" s="194" t="n">
        <v>0</v>
      </c>
      <c r="G28" s="8"/>
      <c r="H28" s="2"/>
      <c r="I28" s="2"/>
      <c r="J28" s="8"/>
      <c r="K28" s="2"/>
      <c r="L28" s="137" t="n">
        <f aca="false">+L27+1</f>
        <v>12</v>
      </c>
      <c r="M28" s="140" t="s">
        <v>91</v>
      </c>
      <c r="N28" s="2"/>
      <c r="O28" s="191" t="s">
        <v>158</v>
      </c>
      <c r="P28" s="195" t="n">
        <v>1</v>
      </c>
      <c r="Q28" s="193" t="n">
        <v>0.5</v>
      </c>
      <c r="R28" s="193" t="n">
        <v>0.5</v>
      </c>
      <c r="S28" s="8"/>
      <c r="T28" s="58" t="str">
        <f aca="false">IF(OR(U28&lt;PeakStart,U28&gt;PeakEnd),"Off-Peak","Peak")</f>
        <v>Peak</v>
      </c>
      <c r="U28" s="59" t="n">
        <v>2200</v>
      </c>
      <c r="V28" s="60" t="n">
        <f aca="false">Assumptions!$B$9</f>
        <v>150</v>
      </c>
      <c r="W28" s="60" t="n">
        <f aca="false">Assumptions!$B$9</f>
        <v>150</v>
      </c>
      <c r="X28" s="60" t="n">
        <f aca="false">Assumptions!$B$9</f>
        <v>150</v>
      </c>
      <c r="Y28" s="60" t="n">
        <f aca="false">Assumptions!$B$9</f>
        <v>150</v>
      </c>
      <c r="Z28" s="8"/>
      <c r="AA28" s="61" t="n">
        <f aca="false">AA27+1</f>
        <v>2024</v>
      </c>
      <c r="AB28" s="62" t="n">
        <v>0</v>
      </c>
      <c r="AC28" s="62" t="n">
        <v>0</v>
      </c>
      <c r="AD28" s="62" t="n">
        <v>0</v>
      </c>
      <c r="AE28" s="62" t="n">
        <v>0.2</v>
      </c>
      <c r="AF28" s="62" t="n">
        <v>0</v>
      </c>
      <c r="AG28" s="62" t="n">
        <v>0</v>
      </c>
      <c r="AH28" s="62" t="n">
        <v>0</v>
      </c>
      <c r="AI28" s="62" t="n">
        <v>0</v>
      </c>
      <c r="AJ28" s="62" t="n">
        <v>0</v>
      </c>
      <c r="AK28" s="62" t="n">
        <v>0</v>
      </c>
      <c r="AL28" s="62" t="n">
        <v>0</v>
      </c>
      <c r="AM28" s="63" t="n">
        <v>0</v>
      </c>
      <c r="AN28" s="8"/>
      <c r="AO28" s="80" t="s">
        <v>159</v>
      </c>
      <c r="AP28" s="113" t="n">
        <f aca="false">2-AQ28</f>
        <v>2</v>
      </c>
      <c r="AQ28" s="100" t="n">
        <v>0</v>
      </c>
      <c r="AS28" s="172"/>
      <c r="AT28" s="173" t="s">
        <v>160</v>
      </c>
      <c r="AU28" s="174" t="s">
        <v>161</v>
      </c>
      <c r="AV28" s="0"/>
      <c r="AW28" s="150" t="s">
        <v>162</v>
      </c>
      <c r="AX28" s="151" t="n">
        <v>11</v>
      </c>
      <c r="AY28" s="0"/>
      <c r="AZ28" s="196" t="s">
        <v>163</v>
      </c>
      <c r="BA28" s="152"/>
      <c r="BB28" s="0"/>
      <c r="BG28" s="13"/>
      <c r="BH28" s="13"/>
      <c r="BI28" s="13"/>
      <c r="BJ28" s="13"/>
      <c r="BK28" s="13"/>
      <c r="BL28" s="13"/>
      <c r="BM28" s="13"/>
      <c r="BN28" s="13"/>
      <c r="BO28" s="13"/>
      <c r="BR28" s="12"/>
    </row>
    <row r="29" customFormat="false" ht="21" hidden="false" customHeight="true" outlineLevel="0" collapsed="false">
      <c r="A29" s="10"/>
      <c r="B29" s="73" t="s">
        <v>102</v>
      </c>
      <c r="C29" s="74"/>
      <c r="D29" s="8"/>
      <c r="E29" s="185" t="s">
        <v>164</v>
      </c>
      <c r="F29" s="194" t="n">
        <f aca="false">Assumptions!C34</f>
        <v>1.8</v>
      </c>
      <c r="G29" s="8"/>
      <c r="H29" s="2"/>
      <c r="I29" s="2"/>
      <c r="J29" s="8"/>
      <c r="K29" s="2"/>
      <c r="L29" s="2"/>
      <c r="M29" s="2"/>
      <c r="N29" s="10"/>
      <c r="O29" s="191" t="s">
        <v>165</v>
      </c>
      <c r="P29" s="195" t="n">
        <v>1</v>
      </c>
      <c r="Q29" s="193" t="n">
        <v>0.5</v>
      </c>
      <c r="R29" s="193" t="n">
        <v>0.5</v>
      </c>
      <c r="S29" s="8"/>
      <c r="T29" s="58" t="str">
        <f aca="false">IF(OR(U29&lt;PeakStart,U29&gt;PeakEnd),"Off-Peak","Peak")</f>
        <v>Off-Peak</v>
      </c>
      <c r="U29" s="59" t="n">
        <v>2300</v>
      </c>
      <c r="V29" s="60" t="n">
        <f aca="false">Assumptions!$B$9</f>
        <v>150</v>
      </c>
      <c r="W29" s="60" t="n">
        <f aca="false">Assumptions!$B$9</f>
        <v>150</v>
      </c>
      <c r="X29" s="60" t="n">
        <f aca="false">Assumptions!$B$9</f>
        <v>150</v>
      </c>
      <c r="Y29" s="60" t="n">
        <f aca="false">Assumptions!$B$9</f>
        <v>150</v>
      </c>
      <c r="Z29" s="8"/>
      <c r="AA29" s="8"/>
      <c r="AB29" s="8"/>
      <c r="AC29" s="8"/>
      <c r="AD29" s="8"/>
      <c r="AE29" s="8"/>
      <c r="AF29" s="8"/>
      <c r="AG29" s="8"/>
      <c r="AH29" s="8"/>
      <c r="AI29" s="8"/>
      <c r="AJ29" s="8"/>
      <c r="AK29" s="8"/>
      <c r="AL29" s="8"/>
      <c r="AM29" s="8"/>
      <c r="AN29" s="8"/>
      <c r="AO29" s="80" t="s">
        <v>166</v>
      </c>
      <c r="AP29" s="113" t="n">
        <f aca="false">AQ29-1</f>
        <v>0</v>
      </c>
      <c r="AQ29" s="100" t="n">
        <v>1</v>
      </c>
      <c r="AS29" s="172"/>
      <c r="AT29" s="173" t="s">
        <v>167</v>
      </c>
      <c r="AU29" s="174" t="s">
        <v>168</v>
      </c>
      <c r="AV29" s="197"/>
      <c r="AW29" s="150" t="s">
        <v>169</v>
      </c>
      <c r="AX29" s="151" t="n">
        <v>12</v>
      </c>
      <c r="AY29" s="0"/>
      <c r="AZ29" s="198" t="s">
        <v>64</v>
      </c>
      <c r="BA29" s="152"/>
      <c r="BB29" s="0"/>
      <c r="BG29" s="13"/>
      <c r="BH29" s="12"/>
      <c r="BJ29" s="15"/>
      <c r="BO29" s="13"/>
      <c r="BR29" s="12"/>
    </row>
    <row r="30" customFormat="false" ht="21" hidden="false" customHeight="true" outlineLevel="0" collapsed="false">
      <c r="A30" s="10"/>
      <c r="B30" s="2"/>
      <c r="C30" s="2"/>
      <c r="D30" s="2"/>
      <c r="E30" s="2"/>
      <c r="F30" s="2"/>
      <c r="G30" s="2"/>
      <c r="H30" s="2"/>
      <c r="I30" s="2"/>
      <c r="J30" s="2"/>
      <c r="K30" s="2"/>
      <c r="L30" s="8"/>
      <c r="M30" s="8"/>
      <c r="N30" s="10"/>
      <c r="O30" s="191" t="s">
        <v>170</v>
      </c>
      <c r="P30" s="195" t="n">
        <v>1</v>
      </c>
      <c r="Q30" s="193" t="n">
        <v>0.5</v>
      </c>
      <c r="R30" s="193" t="n">
        <v>0.5</v>
      </c>
      <c r="S30" s="8"/>
      <c r="T30" s="111" t="str">
        <f aca="false">IF(OR(U30&lt;PeakStart,U30&gt;PeakEnd),"Off-Peak","Peak")</f>
        <v>Off-Peak</v>
      </c>
      <c r="U30" s="199" t="n">
        <v>2400</v>
      </c>
      <c r="V30" s="60" t="n">
        <f aca="false">Assumptions!$B$9</f>
        <v>150</v>
      </c>
      <c r="W30" s="60" t="n">
        <f aca="false">Assumptions!$B$9</f>
        <v>150</v>
      </c>
      <c r="X30" s="60" t="n">
        <f aca="false">Assumptions!$B$9</f>
        <v>150</v>
      </c>
      <c r="Y30" s="60" t="n">
        <f aca="false">Assumptions!$B$9</f>
        <v>150</v>
      </c>
      <c r="Z30" s="8"/>
      <c r="AA30" s="8"/>
      <c r="AB30" s="8"/>
      <c r="AC30" s="8"/>
      <c r="AD30" s="8"/>
      <c r="AE30" s="8"/>
      <c r="AF30" s="8"/>
      <c r="AG30" s="8"/>
      <c r="AH30" s="8"/>
      <c r="AI30" s="8"/>
      <c r="AJ30" s="8"/>
      <c r="AK30" s="8"/>
      <c r="AL30" s="8"/>
      <c r="AM30" s="8"/>
      <c r="AN30" s="8"/>
      <c r="AO30" s="80" t="s">
        <v>171</v>
      </c>
      <c r="AP30" s="113" t="n">
        <f aca="false">2-AQ30</f>
        <v>1</v>
      </c>
      <c r="AQ30" s="100" t="n">
        <v>1</v>
      </c>
      <c r="AS30" s="172" t="s">
        <v>172</v>
      </c>
      <c r="AT30" s="173" t="s">
        <v>173</v>
      </c>
      <c r="AU30" s="174" t="s">
        <v>174</v>
      </c>
      <c r="AV30" s="197"/>
      <c r="AW30" s="150" t="s">
        <v>175</v>
      </c>
      <c r="AX30" s="151" t="n">
        <v>14</v>
      </c>
      <c r="AY30" s="0"/>
      <c r="AZ30" s="200" t="str">
        <f aca="false">PeakPeriod</f>
        <v>700-2200</v>
      </c>
      <c r="BA30" s="152" t="n">
        <v>4</v>
      </c>
      <c r="BB30" s="0"/>
      <c r="BG30" s="13"/>
      <c r="BH30" s="13"/>
      <c r="BI30" s="13"/>
      <c r="BJ30" s="13"/>
      <c r="BK30" s="13"/>
      <c r="BL30" s="13"/>
      <c r="BM30" s="13"/>
      <c r="BN30" s="13"/>
      <c r="BO30" s="13"/>
      <c r="BR30" s="12"/>
    </row>
    <row r="31" customFormat="false" ht="19.5" hidden="false" customHeight="true" outlineLevel="0" collapsed="false">
      <c r="A31" s="10"/>
      <c r="B31" s="201" t="s">
        <v>176</v>
      </c>
      <c r="C31" s="201"/>
      <c r="D31" s="2"/>
      <c r="E31" s="2"/>
      <c r="F31" s="2"/>
      <c r="G31" s="2"/>
      <c r="H31" s="2"/>
      <c r="I31" s="2"/>
      <c r="J31" s="2"/>
      <c r="K31" s="2"/>
      <c r="L31" s="2"/>
      <c r="M31" s="2"/>
      <c r="N31" s="10"/>
      <c r="O31" s="191" t="s">
        <v>177</v>
      </c>
      <c r="P31" s="195" t="n">
        <v>1</v>
      </c>
      <c r="Q31" s="193" t="n">
        <v>0.5</v>
      </c>
      <c r="R31" s="193" t="n">
        <v>0.5</v>
      </c>
      <c r="S31" s="8"/>
      <c r="T31" s="8"/>
      <c r="U31" s="8"/>
      <c r="V31" s="8" t="s">
        <v>3</v>
      </c>
      <c r="W31" s="8" t="s">
        <v>3</v>
      </c>
      <c r="X31" s="8" t="s">
        <v>3</v>
      </c>
      <c r="Y31" s="8"/>
      <c r="Z31" s="8"/>
      <c r="AA31" s="26" t="s">
        <v>178</v>
      </c>
      <c r="AB31" s="26"/>
      <c r="AC31" s="26"/>
      <c r="AD31" s="26"/>
      <c r="AE31" s="26"/>
      <c r="AF31" s="26"/>
      <c r="AG31" s="26"/>
      <c r="AH31" s="26"/>
      <c r="AI31" s="26"/>
      <c r="AJ31" s="26"/>
      <c r="AK31" s="26"/>
      <c r="AL31" s="26"/>
      <c r="AM31" s="26"/>
      <c r="AN31" s="8"/>
      <c r="AO31" s="80" t="s">
        <v>179</v>
      </c>
      <c r="AP31" s="113" t="n">
        <f aca="false">2-AQ31</f>
        <v>1</v>
      </c>
      <c r="AQ31" s="100" t="n">
        <v>1</v>
      </c>
      <c r="AS31" s="172" t="s">
        <v>180</v>
      </c>
      <c r="AT31" s="173" t="s">
        <v>181</v>
      </c>
      <c r="AU31" s="174" t="s">
        <v>182</v>
      </c>
      <c r="AV31" s="197"/>
      <c r="AW31" s="202" t="s">
        <v>183</v>
      </c>
      <c r="AX31" s="203" t="n">
        <v>15</v>
      </c>
      <c r="AY31" s="0"/>
      <c r="AZ31" s="200" t="str">
        <f aca="false">OffPeakPeriod</f>
        <v>2300-600</v>
      </c>
      <c r="BA31" s="152"/>
      <c r="BB31" s="0"/>
      <c r="BG31" s="13"/>
      <c r="BH31" s="12"/>
      <c r="BL31" s="12"/>
      <c r="BO31" s="13"/>
      <c r="BR31" s="12"/>
    </row>
    <row r="32" customFormat="false" ht="20.25" hidden="false" customHeight="true" outlineLevel="0" collapsed="false">
      <c r="A32" s="10"/>
      <c r="B32" s="135" t="s">
        <v>184</v>
      </c>
      <c r="C32" s="204" t="n">
        <v>0.5</v>
      </c>
      <c r="D32" s="2"/>
      <c r="E32" s="2"/>
      <c r="F32" s="2"/>
      <c r="G32" s="2"/>
      <c r="H32" s="2"/>
      <c r="I32" s="2"/>
      <c r="J32" s="2"/>
      <c r="K32" s="2"/>
      <c r="L32" s="2"/>
      <c r="M32" s="2"/>
      <c r="N32" s="10"/>
      <c r="O32" s="191" t="s">
        <v>185</v>
      </c>
      <c r="P32" s="195" t="n">
        <v>1</v>
      </c>
      <c r="Q32" s="193" t="n">
        <v>0.5</v>
      </c>
      <c r="R32" s="193" t="n">
        <v>0.5</v>
      </c>
      <c r="S32" s="8"/>
      <c r="T32" s="25" t="s">
        <v>186</v>
      </c>
      <c r="U32" s="25"/>
      <c r="V32" s="25"/>
      <c r="W32" s="25"/>
      <c r="X32" s="25"/>
      <c r="Y32" s="25"/>
      <c r="Z32" s="8"/>
      <c r="AA32" s="42" t="s">
        <v>3</v>
      </c>
      <c r="AB32" s="43" t="s">
        <v>25</v>
      </c>
      <c r="AC32" s="43" t="s">
        <v>26</v>
      </c>
      <c r="AD32" s="43" t="s">
        <v>27</v>
      </c>
      <c r="AE32" s="43" t="s">
        <v>28</v>
      </c>
      <c r="AF32" s="43" t="s">
        <v>29</v>
      </c>
      <c r="AG32" s="43" t="s">
        <v>30</v>
      </c>
      <c r="AH32" s="43" t="s">
        <v>31</v>
      </c>
      <c r="AI32" s="43" t="s">
        <v>32</v>
      </c>
      <c r="AJ32" s="43" t="s">
        <v>33</v>
      </c>
      <c r="AK32" s="43" t="s">
        <v>34</v>
      </c>
      <c r="AL32" s="43" t="s">
        <v>35</v>
      </c>
      <c r="AM32" s="44" t="s">
        <v>36</v>
      </c>
      <c r="AN32" s="8"/>
      <c r="AO32" s="80" t="s">
        <v>187</v>
      </c>
      <c r="AP32" s="113" t="n">
        <f aca="false">2-AQ32</f>
        <v>0</v>
      </c>
      <c r="AQ32" s="100" t="n">
        <v>2</v>
      </c>
      <c r="AS32" s="172" t="s">
        <v>188</v>
      </c>
      <c r="AT32" s="173" t="s">
        <v>189</v>
      </c>
      <c r="AU32" s="174" t="s">
        <v>190</v>
      </c>
      <c r="AV32" s="197"/>
      <c r="AW32" s="205" t="s">
        <v>191</v>
      </c>
      <c r="AX32" s="0"/>
      <c r="AY32" s="0"/>
      <c r="AZ32" s="206" t="s">
        <v>192</v>
      </c>
      <c r="BA32" s="152"/>
      <c r="BB32" s="0"/>
      <c r="BG32" s="13"/>
      <c r="BH32" s="12"/>
      <c r="BL32" s="12"/>
      <c r="BO32" s="13"/>
    </row>
    <row r="33" customFormat="false" ht="20.25" hidden="false" customHeight="true" outlineLevel="0" collapsed="false">
      <c r="A33" s="10"/>
      <c r="B33" s="207" t="s">
        <v>193</v>
      </c>
      <c r="C33" s="208" t="n">
        <v>0.5</v>
      </c>
      <c r="D33" s="2"/>
      <c r="E33" s="2"/>
      <c r="F33" s="2"/>
      <c r="G33" s="2"/>
      <c r="H33" s="2"/>
      <c r="I33" s="2"/>
      <c r="J33" s="2"/>
      <c r="K33" s="2"/>
      <c r="L33" s="2"/>
      <c r="M33" s="2"/>
      <c r="N33" s="10"/>
      <c r="O33" s="191" t="s">
        <v>194</v>
      </c>
      <c r="P33" s="195" t="n">
        <v>1</v>
      </c>
      <c r="Q33" s="193" t="n">
        <v>0.5</v>
      </c>
      <c r="R33" s="193" t="n">
        <v>0.5</v>
      </c>
      <c r="S33" s="8"/>
      <c r="T33" s="38" t="s">
        <v>19</v>
      </c>
      <c r="U33" s="39" t="s">
        <v>20</v>
      </c>
      <c r="V33" s="39" t="s">
        <v>21</v>
      </c>
      <c r="W33" s="40" t="s">
        <v>22</v>
      </c>
      <c r="X33" s="40" t="s">
        <v>23</v>
      </c>
      <c r="Y33" s="41" t="s">
        <v>24</v>
      </c>
      <c r="Z33" s="8"/>
      <c r="AA33" s="61" t="n">
        <f aca="false">YEAR(BegDate)</f>
        <v>2003</v>
      </c>
      <c r="AB33" s="62" t="n">
        <v>0.03</v>
      </c>
      <c r="AC33" s="62" t="n">
        <v>0.03</v>
      </c>
      <c r="AD33" s="62" t="n">
        <v>0.03</v>
      </c>
      <c r="AE33" s="62" t="n">
        <v>0.03</v>
      </c>
      <c r="AF33" s="62" t="n">
        <v>0.03</v>
      </c>
      <c r="AG33" s="62" t="n">
        <v>0.03</v>
      </c>
      <c r="AH33" s="62" t="n">
        <v>0.03</v>
      </c>
      <c r="AI33" s="62" t="n">
        <v>0.03</v>
      </c>
      <c r="AJ33" s="62" t="n">
        <v>0.03</v>
      </c>
      <c r="AK33" s="62" t="n">
        <v>0.03</v>
      </c>
      <c r="AL33" s="62" t="n">
        <v>0.03</v>
      </c>
      <c r="AM33" s="62" t="n">
        <v>0.03</v>
      </c>
      <c r="AN33" s="8"/>
      <c r="AO33" s="80" t="s">
        <v>195</v>
      </c>
      <c r="AP33" s="113" t="n">
        <f aca="false">2-AQ33</f>
        <v>0</v>
      </c>
      <c r="AQ33" s="100" t="n">
        <v>2</v>
      </c>
      <c r="AS33" s="172" t="s">
        <v>196</v>
      </c>
      <c r="AT33" s="173" t="s">
        <v>197</v>
      </c>
      <c r="AU33" s="174" t="s">
        <v>198</v>
      </c>
      <c r="AV33" s="197"/>
      <c r="AW33" s="0"/>
      <c r="AX33" s="0"/>
      <c r="AY33" s="0"/>
      <c r="BA33" s="152"/>
      <c r="BB33" s="0"/>
      <c r="BG33" s="13"/>
      <c r="BH33" s="12"/>
      <c r="BL33" s="12"/>
      <c r="BO33" s="13"/>
    </row>
    <row r="34" customFormat="false" ht="21" hidden="false" customHeight="true" outlineLevel="0" collapsed="false">
      <c r="A34" s="10"/>
      <c r="B34" s="2"/>
      <c r="C34" s="2"/>
      <c r="D34" s="2"/>
      <c r="E34" s="2"/>
      <c r="F34" s="2"/>
      <c r="G34" s="2"/>
      <c r="H34" s="2"/>
      <c r="I34" s="2"/>
      <c r="J34" s="2"/>
      <c r="K34" s="2"/>
      <c r="L34" s="2"/>
      <c r="M34" s="2"/>
      <c r="N34" s="8"/>
      <c r="O34" s="191" t="s">
        <v>199</v>
      </c>
      <c r="P34" s="195" t="n">
        <v>1</v>
      </c>
      <c r="Q34" s="193" t="n">
        <v>0.5</v>
      </c>
      <c r="R34" s="193" t="n">
        <v>0.5</v>
      </c>
      <c r="S34" s="8"/>
      <c r="T34" s="58" t="str">
        <f aca="false">IF(OR(U34&lt;PeakStart,U34&gt;PeakEnd),"Off-Peak","Peak")</f>
        <v>Off-Peak</v>
      </c>
      <c r="U34" s="59" t="n">
        <v>100</v>
      </c>
      <c r="V34" s="209" t="n">
        <f aca="false">Volume-V7</f>
        <v>600</v>
      </c>
      <c r="W34" s="209" t="n">
        <f aca="false">Volume-W7</f>
        <v>600</v>
      </c>
      <c r="X34" s="209" t="n">
        <f aca="false">Volume-X7</f>
        <v>600</v>
      </c>
      <c r="Y34" s="209" t="n">
        <f aca="false">Volume-Y7</f>
        <v>600</v>
      </c>
      <c r="Z34" s="8"/>
      <c r="AA34" s="79" t="n">
        <f aca="false">AA33+1</f>
        <v>2004</v>
      </c>
      <c r="AB34" s="62" t="n">
        <v>0.03</v>
      </c>
      <c r="AC34" s="62" t="n">
        <v>0.03</v>
      </c>
      <c r="AD34" s="62" t="n">
        <v>0.03</v>
      </c>
      <c r="AE34" s="62" t="n">
        <v>0.03</v>
      </c>
      <c r="AF34" s="62" t="n">
        <v>0.03</v>
      </c>
      <c r="AG34" s="62" t="n">
        <v>0.03</v>
      </c>
      <c r="AH34" s="62" t="n">
        <v>0.03</v>
      </c>
      <c r="AI34" s="62" t="n">
        <v>0.03</v>
      </c>
      <c r="AJ34" s="62" t="n">
        <v>0.03</v>
      </c>
      <c r="AK34" s="62" t="n">
        <v>0.03</v>
      </c>
      <c r="AL34" s="62" t="n">
        <v>0.03</v>
      </c>
      <c r="AM34" s="62" t="n">
        <v>0.03</v>
      </c>
      <c r="AN34" s="8"/>
      <c r="AO34" s="210" t="s">
        <v>200</v>
      </c>
      <c r="AP34" s="81" t="b">
        <f aca="false">FALSE()</f>
        <v>0</v>
      </c>
      <c r="AQ34" s="82"/>
      <c r="AS34" s="172" t="s">
        <v>201</v>
      </c>
      <c r="AT34" s="173" t="s">
        <v>202</v>
      </c>
      <c r="AU34" s="174" t="s">
        <v>203</v>
      </c>
      <c r="AV34" s="197"/>
      <c r="AW34" s="211" t="s">
        <v>204</v>
      </c>
      <c r="AX34" s="211" t="s">
        <v>205</v>
      </c>
      <c r="AY34" s="211"/>
      <c r="AZ34" s="212" t="n">
        <v>4</v>
      </c>
      <c r="BA34" s="213" t="n">
        <v>4</v>
      </c>
      <c r="BB34" s="0"/>
      <c r="BG34" s="13"/>
      <c r="BH34" s="12"/>
      <c r="BL34" s="214"/>
      <c r="BM34" s="169"/>
      <c r="BO34" s="13"/>
      <c r="BZ34" s="1" t="n">
        <v>4</v>
      </c>
    </row>
    <row r="35" customFormat="false" ht="21" hidden="false" customHeight="true" outlineLevel="0" collapsed="false">
      <c r="A35" s="10"/>
      <c r="B35" s="215" t="str">
        <f aca="true">+CELL("filename",B34)</f>
        <v>'file:///mnt/12tb/@roms/datasets/enron/EDRM Enron Email Data Set v2 XML/filtered-attachments/xls/Pastoria_CFTejon8a_revised_21___750_MW.xls'#$MAIN</v>
      </c>
      <c r="C35" s="2"/>
      <c r="D35" s="2"/>
      <c r="E35" s="2"/>
      <c r="F35" s="2"/>
      <c r="G35" s="2"/>
      <c r="H35" s="2"/>
      <c r="I35" s="2"/>
      <c r="J35" s="2"/>
      <c r="K35" s="2"/>
      <c r="L35" s="2"/>
      <c r="M35" s="2"/>
      <c r="N35" s="8"/>
      <c r="O35" s="191" t="s">
        <v>206</v>
      </c>
      <c r="P35" s="195" t="n">
        <v>1</v>
      </c>
      <c r="Q35" s="193" t="n">
        <v>0.5</v>
      </c>
      <c r="R35" s="193" t="n">
        <v>0.5</v>
      </c>
      <c r="S35" s="8"/>
      <c r="T35" s="58" t="str">
        <f aca="false">IF(OR(U35&lt;PeakStart,U35&gt;PeakEnd),"Off-Peak","Peak")</f>
        <v>Off-Peak</v>
      </c>
      <c r="U35" s="59" t="n">
        <v>200</v>
      </c>
      <c r="V35" s="209" t="n">
        <f aca="false">Volume-V8</f>
        <v>600</v>
      </c>
      <c r="W35" s="209" t="n">
        <f aca="false">Volume-W8</f>
        <v>600</v>
      </c>
      <c r="X35" s="209" t="n">
        <f aca="false">Volume-X8</f>
        <v>600</v>
      </c>
      <c r="Y35" s="209" t="n">
        <f aca="false">Volume-Y8</f>
        <v>600</v>
      </c>
      <c r="Z35" s="8"/>
      <c r="AA35" s="61" t="n">
        <f aca="false">AA34+1</f>
        <v>2005</v>
      </c>
      <c r="AB35" s="62" t="n">
        <v>0.03</v>
      </c>
      <c r="AC35" s="62" t="n">
        <v>0.03</v>
      </c>
      <c r="AD35" s="62" t="n">
        <v>0.03</v>
      </c>
      <c r="AE35" s="62" t="n">
        <v>0.03</v>
      </c>
      <c r="AF35" s="62" t="n">
        <v>0.03</v>
      </c>
      <c r="AG35" s="62" t="n">
        <v>0.03</v>
      </c>
      <c r="AH35" s="62" t="n">
        <v>0.03</v>
      </c>
      <c r="AI35" s="62" t="n">
        <v>0.03</v>
      </c>
      <c r="AJ35" s="62" t="n">
        <v>0.03</v>
      </c>
      <c r="AK35" s="62" t="n">
        <v>0.03</v>
      </c>
      <c r="AL35" s="62" t="n">
        <v>0.03</v>
      </c>
      <c r="AM35" s="62" t="n">
        <v>0.03</v>
      </c>
      <c r="AN35" s="8"/>
      <c r="AO35" s="216" t="s">
        <v>207</v>
      </c>
      <c r="AP35" s="217" t="b">
        <f aca="false">FALSE()</f>
        <v>0</v>
      </c>
      <c r="AQ35" s="218"/>
      <c r="AS35" s="172" t="s">
        <v>208</v>
      </c>
      <c r="AT35" s="173" t="s">
        <v>209</v>
      </c>
      <c r="AU35" s="174" t="s">
        <v>210</v>
      </c>
      <c r="AV35" s="197" t="n">
        <v>1</v>
      </c>
      <c r="AW35" s="219" t="s">
        <v>211</v>
      </c>
      <c r="AX35" s="220" t="s">
        <v>212</v>
      </c>
      <c r="AY35" s="221"/>
      <c r="AZ35" s="222"/>
      <c r="BA35" s="223" t="n">
        <v>4</v>
      </c>
      <c r="BB35" s="0"/>
      <c r="BG35" s="13"/>
      <c r="BH35" s="13"/>
      <c r="BI35" s="13"/>
      <c r="BJ35" s="13"/>
      <c r="BK35" s="13"/>
      <c r="BL35" s="13"/>
      <c r="BM35" s="13"/>
      <c r="BN35" s="13"/>
      <c r="BO35" s="13"/>
    </row>
    <row r="36" customFormat="false" ht="20.25" hidden="false" customHeight="true" outlineLevel="0" collapsed="false">
      <c r="A36" s="8"/>
      <c r="B36" s="2"/>
      <c r="C36" s="2"/>
      <c r="D36" s="2"/>
      <c r="E36" s="2"/>
      <c r="F36" s="2"/>
      <c r="G36" s="2"/>
      <c r="H36" s="2"/>
      <c r="I36" s="2"/>
      <c r="J36" s="2"/>
      <c r="K36" s="2"/>
      <c r="L36" s="2"/>
      <c r="M36" s="2"/>
      <c r="N36" s="8"/>
      <c r="O36" s="191" t="s">
        <v>213</v>
      </c>
      <c r="P36" s="195" t="n">
        <v>1</v>
      </c>
      <c r="Q36" s="193" t="n">
        <v>0.5</v>
      </c>
      <c r="R36" s="193" t="n">
        <v>0.5</v>
      </c>
      <c r="S36" s="8"/>
      <c r="T36" s="58" t="str">
        <f aca="false">IF(OR(U36&lt;PeakStart,U36&gt;PeakEnd),"Off-Peak","Peak")</f>
        <v>Off-Peak</v>
      </c>
      <c r="U36" s="59" t="n">
        <v>300</v>
      </c>
      <c r="V36" s="209" t="n">
        <f aca="false">Volume-V9</f>
        <v>600</v>
      </c>
      <c r="W36" s="209" t="n">
        <f aca="false">Volume-W9</f>
        <v>600</v>
      </c>
      <c r="X36" s="209" t="n">
        <f aca="false">Volume-X9</f>
        <v>600</v>
      </c>
      <c r="Y36" s="209" t="n">
        <f aca="false">Volume-Y9</f>
        <v>600</v>
      </c>
      <c r="Z36" s="8"/>
      <c r="AA36" s="79" t="n">
        <f aca="false">AA35+1</f>
        <v>2006</v>
      </c>
      <c r="AB36" s="62" t="n">
        <v>0.03</v>
      </c>
      <c r="AC36" s="62" t="n">
        <v>0.03</v>
      </c>
      <c r="AD36" s="62" t="n">
        <v>0.03</v>
      </c>
      <c r="AE36" s="62" t="n">
        <v>0.03</v>
      </c>
      <c r="AF36" s="62" t="n">
        <v>0.03</v>
      </c>
      <c r="AG36" s="62" t="n">
        <v>0.03</v>
      </c>
      <c r="AH36" s="62" t="n">
        <v>0.03</v>
      </c>
      <c r="AI36" s="62" t="n">
        <v>0.03</v>
      </c>
      <c r="AJ36" s="62" t="n">
        <v>0.03</v>
      </c>
      <c r="AK36" s="62" t="n">
        <v>0.03</v>
      </c>
      <c r="AL36" s="62" t="n">
        <v>0.03</v>
      </c>
      <c r="AM36" s="62" t="n">
        <v>0.03</v>
      </c>
      <c r="AN36" s="8"/>
      <c r="AO36" s="0"/>
      <c r="AP36" s="0"/>
      <c r="AS36" s="172" t="s">
        <v>214</v>
      </c>
      <c r="AT36" s="173" t="s">
        <v>215</v>
      </c>
      <c r="AU36" s="174" t="s">
        <v>216</v>
      </c>
      <c r="AV36" s="197" t="n">
        <v>2</v>
      </c>
      <c r="AW36" s="219" t="s">
        <v>217</v>
      </c>
      <c r="AX36" s="220" t="s">
        <v>218</v>
      </c>
      <c r="AY36" s="221"/>
      <c r="AZ36" s="222"/>
      <c r="BA36" s="223"/>
      <c r="BB36" s="0"/>
      <c r="BG36" s="13"/>
      <c r="BH36" s="13"/>
      <c r="BI36" s="13"/>
      <c r="BJ36" s="13"/>
      <c r="BK36" s="13"/>
      <c r="BL36" s="13"/>
      <c r="BM36" s="13"/>
      <c r="BN36" s="13"/>
      <c r="BO36" s="13"/>
    </row>
    <row r="37" customFormat="false" ht="21" hidden="false" customHeight="true" outlineLevel="0" collapsed="false">
      <c r="A37" s="8"/>
      <c r="B37" s="8"/>
      <c r="C37" s="8"/>
      <c r="D37" s="8"/>
      <c r="E37" s="8"/>
      <c r="F37" s="8"/>
      <c r="G37" s="8"/>
      <c r="H37" s="8"/>
      <c r="I37" s="8"/>
      <c r="J37" s="8"/>
      <c r="K37" s="8"/>
      <c r="L37" s="8"/>
      <c r="M37" s="8"/>
      <c r="N37" s="8"/>
      <c r="O37" s="191" t="s">
        <v>219</v>
      </c>
      <c r="P37" s="195" t="n">
        <v>1</v>
      </c>
      <c r="Q37" s="193" t="n">
        <v>0.5</v>
      </c>
      <c r="R37" s="193" t="n">
        <v>0.5</v>
      </c>
      <c r="S37" s="8"/>
      <c r="T37" s="58" t="str">
        <f aca="false">IF(OR(U37&lt;PeakStart,U37&gt;PeakEnd),"Off-Peak","Peak")</f>
        <v>Off-Peak</v>
      </c>
      <c r="U37" s="59" t="n">
        <v>400</v>
      </c>
      <c r="V37" s="209" t="n">
        <f aca="false">Volume-V10</f>
        <v>600</v>
      </c>
      <c r="W37" s="209" t="n">
        <f aca="false">Volume-W10</f>
        <v>600</v>
      </c>
      <c r="X37" s="209" t="n">
        <f aca="false">Volume-X10</f>
        <v>600</v>
      </c>
      <c r="Y37" s="209" t="n">
        <f aca="false">Volume-Y10</f>
        <v>600</v>
      </c>
      <c r="Z37" s="8"/>
      <c r="AA37" s="61" t="n">
        <f aca="false">AA36+1</f>
        <v>2007</v>
      </c>
      <c r="AB37" s="62" t="n">
        <v>0.03</v>
      </c>
      <c r="AC37" s="62" t="n">
        <v>0.03</v>
      </c>
      <c r="AD37" s="62" t="n">
        <v>0.03</v>
      </c>
      <c r="AE37" s="62" t="n">
        <v>0.03</v>
      </c>
      <c r="AF37" s="62" t="n">
        <v>0.03</v>
      </c>
      <c r="AG37" s="62" t="n">
        <v>0.03</v>
      </c>
      <c r="AH37" s="62" t="n">
        <v>0.03</v>
      </c>
      <c r="AI37" s="62" t="n">
        <v>0.03</v>
      </c>
      <c r="AJ37" s="62" t="n">
        <v>0.03</v>
      </c>
      <c r="AK37" s="62" t="n">
        <v>0.03</v>
      </c>
      <c r="AL37" s="62" t="n">
        <v>0.03</v>
      </c>
      <c r="AM37" s="62" t="n">
        <v>0.03</v>
      </c>
      <c r="AN37" s="8"/>
      <c r="AO37" s="0"/>
      <c r="AP37" s="0"/>
      <c r="AS37" s="172" t="s">
        <v>220</v>
      </c>
      <c r="AT37" s="173" t="s">
        <v>221</v>
      </c>
      <c r="AU37" s="174" t="s">
        <v>222</v>
      </c>
      <c r="AV37" s="197" t="n">
        <v>3</v>
      </c>
      <c r="AW37" s="219" t="s">
        <v>223</v>
      </c>
      <c r="AX37" s="220" t="s">
        <v>224</v>
      </c>
      <c r="AY37" s="221"/>
      <c r="AZ37" s="222"/>
      <c r="BA37" s="223"/>
      <c r="BB37" s="0"/>
      <c r="BG37" s="13"/>
      <c r="BH37" s="12"/>
      <c r="BJ37" s="15"/>
      <c r="BM37" s="13"/>
      <c r="BO37" s="13"/>
    </row>
    <row r="38" customFormat="false" ht="21" hidden="false" customHeight="true" outlineLevel="0" collapsed="false">
      <c r="A38" s="8"/>
      <c r="B38" s="8"/>
      <c r="C38" s="8"/>
      <c r="D38" s="8"/>
      <c r="E38" s="8"/>
      <c r="F38" s="8"/>
      <c r="G38" s="8"/>
      <c r="H38" s="8"/>
      <c r="I38" s="8"/>
      <c r="J38" s="8"/>
      <c r="K38" s="8"/>
      <c r="L38" s="8"/>
      <c r="M38" s="8"/>
      <c r="N38" s="8"/>
      <c r="O38" s="224" t="s">
        <v>225</v>
      </c>
      <c r="P38" s="225" t="n">
        <v>1</v>
      </c>
      <c r="Q38" s="226" t="n">
        <v>0.5</v>
      </c>
      <c r="R38" s="226" t="n">
        <v>0.5</v>
      </c>
      <c r="S38" s="8"/>
      <c r="T38" s="58" t="str">
        <f aca="false">IF(OR(U38&lt;PeakStart,U38&gt;PeakEnd),"Off-Peak","Peak")</f>
        <v>Off-Peak</v>
      </c>
      <c r="U38" s="59" t="n">
        <v>500</v>
      </c>
      <c r="V38" s="209" t="n">
        <f aca="false">Volume-V11</f>
        <v>600</v>
      </c>
      <c r="W38" s="209" t="n">
        <f aca="false">Volume-W11</f>
        <v>600</v>
      </c>
      <c r="X38" s="209" t="n">
        <f aca="false">Volume-X11</f>
        <v>600</v>
      </c>
      <c r="Y38" s="209" t="n">
        <f aca="false">Volume-Y11</f>
        <v>600</v>
      </c>
      <c r="Z38" s="8"/>
      <c r="AA38" s="79" t="n">
        <f aca="false">AA37+1</f>
        <v>2008</v>
      </c>
      <c r="AB38" s="62" t="n">
        <v>0.03</v>
      </c>
      <c r="AC38" s="62" t="n">
        <v>0.03</v>
      </c>
      <c r="AD38" s="62" t="n">
        <v>0.03</v>
      </c>
      <c r="AE38" s="62" t="n">
        <v>0.03</v>
      </c>
      <c r="AF38" s="62" t="n">
        <v>0.03</v>
      </c>
      <c r="AG38" s="62" t="n">
        <v>0.03</v>
      </c>
      <c r="AH38" s="62" t="n">
        <v>0.03</v>
      </c>
      <c r="AI38" s="62" t="n">
        <v>0.03</v>
      </c>
      <c r="AJ38" s="62" t="n">
        <v>0.03</v>
      </c>
      <c r="AK38" s="62" t="n">
        <v>0.03</v>
      </c>
      <c r="AL38" s="62" t="n">
        <v>0.03</v>
      </c>
      <c r="AM38" s="62" t="n">
        <v>0.03</v>
      </c>
      <c r="AN38" s="8"/>
      <c r="AO38" s="0"/>
      <c r="AP38" s="0"/>
      <c r="AS38" s="172" t="s">
        <v>226</v>
      </c>
      <c r="AT38" s="173" t="s">
        <v>227</v>
      </c>
      <c r="AU38" s="174" t="s">
        <v>228</v>
      </c>
      <c r="AV38" s="197" t="n">
        <v>4</v>
      </c>
      <c r="AW38" s="219" t="s">
        <v>229</v>
      </c>
      <c r="AX38" s="220" t="s">
        <v>230</v>
      </c>
      <c r="AY38" s="221"/>
      <c r="AZ38" s="222"/>
      <c r="BA38" s="223"/>
      <c r="BB38" s="0"/>
      <c r="BG38" s="13"/>
      <c r="BH38" s="13"/>
      <c r="BI38" s="13"/>
      <c r="BJ38" s="13"/>
      <c r="BK38" s="13"/>
      <c r="BL38" s="13"/>
      <c r="BM38" s="13"/>
      <c r="BN38" s="13"/>
      <c r="BO38" s="13"/>
    </row>
    <row r="39" customFormat="false" ht="21" hidden="false" customHeight="true" outlineLevel="0" collapsed="false">
      <c r="B39" s="8"/>
      <c r="C39" s="8"/>
      <c r="D39" s="8"/>
      <c r="E39" s="8"/>
      <c r="F39" s="8"/>
      <c r="G39" s="8"/>
      <c r="H39" s="8"/>
      <c r="I39" s="8"/>
      <c r="J39" s="8"/>
      <c r="K39" s="8"/>
      <c r="L39" s="8"/>
      <c r="M39" s="8"/>
      <c r="N39" s="8"/>
      <c r="O39" s="8"/>
      <c r="P39" s="8"/>
      <c r="Q39" s="8"/>
      <c r="R39" s="8"/>
      <c r="S39" s="8"/>
      <c r="T39" s="58" t="str">
        <f aca="false">IF(OR(U39&lt;PeakStart,U39&gt;PeakEnd),"Off-Peak","Peak")</f>
        <v>Off-Peak</v>
      </c>
      <c r="U39" s="59" t="n">
        <v>600</v>
      </c>
      <c r="V39" s="209" t="n">
        <f aca="false">Volume-V12</f>
        <v>600</v>
      </c>
      <c r="W39" s="209" t="n">
        <f aca="false">Volume-W12</f>
        <v>600</v>
      </c>
      <c r="X39" s="209" t="n">
        <f aca="false">Volume-X12</f>
        <v>600</v>
      </c>
      <c r="Y39" s="209" t="n">
        <f aca="false">Volume-Y12</f>
        <v>600</v>
      </c>
      <c r="Z39" s="8"/>
      <c r="AA39" s="61" t="n">
        <f aca="false">AA38+1</f>
        <v>2009</v>
      </c>
      <c r="AB39" s="62" t="n">
        <v>0.03</v>
      </c>
      <c r="AC39" s="62" t="n">
        <v>0.03</v>
      </c>
      <c r="AD39" s="62" t="n">
        <v>0.03</v>
      </c>
      <c r="AE39" s="62" t="n">
        <v>0.03</v>
      </c>
      <c r="AF39" s="62" t="n">
        <v>0.03</v>
      </c>
      <c r="AG39" s="62" t="n">
        <v>0.03</v>
      </c>
      <c r="AH39" s="62" t="n">
        <v>0.03</v>
      </c>
      <c r="AI39" s="62" t="n">
        <v>0.03</v>
      </c>
      <c r="AJ39" s="62" t="n">
        <v>0.03</v>
      </c>
      <c r="AK39" s="62" t="n">
        <v>0.03</v>
      </c>
      <c r="AL39" s="62" t="n">
        <v>0.03</v>
      </c>
      <c r="AM39" s="62" t="n">
        <v>0.03</v>
      </c>
      <c r="AN39" s="8"/>
      <c r="AO39" s="25" t="s">
        <v>231</v>
      </c>
      <c r="AP39" s="25"/>
      <c r="AS39" s="172" t="s">
        <v>232</v>
      </c>
      <c r="AT39" s="173" t="s">
        <v>233</v>
      </c>
      <c r="AU39" s="174" t="s">
        <v>234</v>
      </c>
      <c r="AV39" s="197" t="n">
        <v>5</v>
      </c>
      <c r="AW39" s="219" t="s">
        <v>235</v>
      </c>
      <c r="AX39" s="220" t="s">
        <v>236</v>
      </c>
      <c r="AY39" s="221"/>
      <c r="AZ39" s="222"/>
      <c r="BA39" s="223"/>
      <c r="BB39" s="0"/>
      <c r="BG39" s="13"/>
      <c r="BO39" s="13"/>
    </row>
    <row r="40" customFormat="false" ht="21" hidden="false" customHeight="true" outlineLevel="0" collapsed="false">
      <c r="B40" s="8"/>
      <c r="C40" s="8"/>
      <c r="D40" s="8"/>
      <c r="E40" s="8"/>
      <c r="F40" s="8"/>
      <c r="G40" s="8"/>
      <c r="H40" s="8"/>
      <c r="I40" s="8"/>
      <c r="J40" s="8"/>
      <c r="K40" s="8"/>
      <c r="L40" s="8"/>
      <c r="M40" s="8"/>
      <c r="N40" s="8"/>
      <c r="O40" s="8"/>
      <c r="P40" s="8"/>
      <c r="Q40" s="8"/>
      <c r="R40" s="8"/>
      <c r="S40" s="8"/>
      <c r="T40" s="58" t="str">
        <f aca="false">IF(OR(U40&lt;PeakStart,U40&gt;PeakEnd),"Off-Peak","Peak")</f>
        <v>Peak</v>
      </c>
      <c r="U40" s="59" t="n">
        <v>700</v>
      </c>
      <c r="V40" s="209" t="n">
        <f aca="false">Volume-V13</f>
        <v>600</v>
      </c>
      <c r="W40" s="209" t="n">
        <f aca="false">Volume-W13</f>
        <v>600</v>
      </c>
      <c r="X40" s="209" t="n">
        <f aca="false">Volume-X13</f>
        <v>600</v>
      </c>
      <c r="Y40" s="209" t="n">
        <f aca="false">Volume-Y13</f>
        <v>600</v>
      </c>
      <c r="Z40" s="8"/>
      <c r="AA40" s="79" t="n">
        <f aca="false">AA39+1</f>
        <v>2010</v>
      </c>
      <c r="AB40" s="62" t="n">
        <v>0.03</v>
      </c>
      <c r="AC40" s="62" t="n">
        <v>0.03</v>
      </c>
      <c r="AD40" s="62" t="n">
        <v>0.03</v>
      </c>
      <c r="AE40" s="62" t="n">
        <v>0.03</v>
      </c>
      <c r="AF40" s="62" t="n">
        <v>0.03</v>
      </c>
      <c r="AG40" s="62" t="n">
        <v>0.03</v>
      </c>
      <c r="AH40" s="62" t="n">
        <v>0.03</v>
      </c>
      <c r="AI40" s="62" t="n">
        <v>0.03</v>
      </c>
      <c r="AJ40" s="62" t="n">
        <v>0.03</v>
      </c>
      <c r="AK40" s="62" t="n">
        <v>0.03</v>
      </c>
      <c r="AL40" s="62" t="n">
        <v>0.03</v>
      </c>
      <c r="AM40" s="62" t="n">
        <v>0.03</v>
      </c>
      <c r="AN40" s="8"/>
      <c r="AO40" s="80" t="n">
        <v>1</v>
      </c>
      <c r="AP40" s="129" t="b">
        <f aca="false">TRUE()</f>
        <v>1</v>
      </c>
      <c r="AS40" s="172" t="s">
        <v>237</v>
      </c>
      <c r="AT40" s="173" t="s">
        <v>238</v>
      </c>
      <c r="AU40" s="174" t="s">
        <v>239</v>
      </c>
      <c r="AV40" s="197" t="n">
        <v>6</v>
      </c>
      <c r="AW40" s="219" t="s">
        <v>240</v>
      </c>
      <c r="AX40" s="220" t="s">
        <v>241</v>
      </c>
      <c r="AY40" s="221"/>
      <c r="AZ40" s="222"/>
      <c r="BA40" s="223"/>
      <c r="BB40" s="0"/>
      <c r="BG40" s="13"/>
      <c r="BH40" s="12"/>
      <c r="BL40" s="12"/>
      <c r="BO40" s="13"/>
    </row>
    <row r="41" customFormat="false" ht="21" hidden="false" customHeight="true" outlineLevel="0" collapsed="false">
      <c r="B41" s="8"/>
      <c r="C41" s="8"/>
      <c r="D41" s="8"/>
      <c r="E41" s="8"/>
      <c r="F41" s="8"/>
      <c r="G41" s="8"/>
      <c r="H41" s="8"/>
      <c r="I41" s="8"/>
      <c r="J41" s="8"/>
      <c r="K41" s="8"/>
      <c r="L41" s="8"/>
      <c r="M41" s="8"/>
      <c r="N41" s="8"/>
      <c r="O41" s="8"/>
      <c r="P41" s="8"/>
      <c r="Q41" s="8"/>
      <c r="R41" s="8"/>
      <c r="S41" s="8"/>
      <c r="T41" s="58" t="str">
        <f aca="false">IF(OR(U41&lt;PeakStart,U41&gt;PeakEnd),"Off-Peak","Peak")</f>
        <v>Peak</v>
      </c>
      <c r="U41" s="59" t="n">
        <v>800</v>
      </c>
      <c r="V41" s="209" t="n">
        <f aca="false">Volume-V14</f>
        <v>600</v>
      </c>
      <c r="W41" s="209" t="n">
        <f aca="false">Volume-W14</f>
        <v>600</v>
      </c>
      <c r="X41" s="209" t="n">
        <f aca="false">Volume-X14</f>
        <v>600</v>
      </c>
      <c r="Y41" s="209" t="n">
        <f aca="false">Volume-Y14</f>
        <v>600</v>
      </c>
      <c r="Z41" s="8"/>
      <c r="AA41" s="61" t="n">
        <f aca="false">AA40+1</f>
        <v>2011</v>
      </c>
      <c r="AB41" s="62" t="n">
        <v>0.03</v>
      </c>
      <c r="AC41" s="62" t="n">
        <v>0.03</v>
      </c>
      <c r="AD41" s="62" t="n">
        <v>0.03</v>
      </c>
      <c r="AE41" s="62" t="n">
        <v>0.03</v>
      </c>
      <c r="AF41" s="62" t="n">
        <v>0.03</v>
      </c>
      <c r="AG41" s="62" t="n">
        <v>0.03</v>
      </c>
      <c r="AH41" s="62" t="n">
        <v>0.03</v>
      </c>
      <c r="AI41" s="62" t="n">
        <v>0.03</v>
      </c>
      <c r="AJ41" s="62" t="n">
        <v>0.03</v>
      </c>
      <c r="AK41" s="62" t="n">
        <v>0.03</v>
      </c>
      <c r="AL41" s="62" t="n">
        <v>0.03</v>
      </c>
      <c r="AM41" s="62" t="n">
        <v>0.03</v>
      </c>
      <c r="AN41" s="8"/>
      <c r="AO41" s="80" t="n">
        <v>2</v>
      </c>
      <c r="AP41" s="129" t="b">
        <f aca="false">TRUE()</f>
        <v>1</v>
      </c>
      <c r="AS41" s="172" t="s">
        <v>242</v>
      </c>
      <c r="AT41" s="173" t="s">
        <v>243</v>
      </c>
      <c r="AU41" s="174" t="s">
        <v>244</v>
      </c>
      <c r="AV41" s="197" t="n">
        <v>7</v>
      </c>
      <c r="AW41" s="219" t="s">
        <v>245</v>
      </c>
      <c r="AX41" s="220" t="s">
        <v>246</v>
      </c>
      <c r="AY41" s="221"/>
      <c r="AZ41" s="222"/>
      <c r="BA41" s="223"/>
      <c r="BB41" s="0"/>
      <c r="BG41" s="13"/>
      <c r="BH41" s="12"/>
      <c r="BL41" s="12"/>
      <c r="BO41" s="13"/>
    </row>
    <row r="42" customFormat="false" ht="21" hidden="false" customHeight="true" outlineLevel="0" collapsed="false">
      <c r="B42" s="8"/>
      <c r="C42" s="8"/>
      <c r="D42" s="8"/>
      <c r="E42" s="8"/>
      <c r="F42" s="8"/>
      <c r="G42" s="8"/>
      <c r="H42" s="8"/>
      <c r="I42" s="8"/>
      <c r="J42" s="8"/>
      <c r="K42" s="8"/>
      <c r="L42" s="8"/>
      <c r="M42" s="8"/>
      <c r="N42" s="8"/>
      <c r="O42" s="8"/>
      <c r="P42" s="8"/>
      <c r="Q42" s="8"/>
      <c r="R42" s="8"/>
      <c r="S42" s="8"/>
      <c r="T42" s="58" t="str">
        <f aca="false">IF(OR(U42&lt;PeakStart,U42&gt;PeakEnd),"Off-Peak","Peak")</f>
        <v>Peak</v>
      </c>
      <c r="U42" s="59" t="n">
        <v>900</v>
      </c>
      <c r="V42" s="209" t="n">
        <f aca="false">Volume-V15</f>
        <v>600</v>
      </c>
      <c r="W42" s="209" t="n">
        <f aca="false">Volume-W15</f>
        <v>600</v>
      </c>
      <c r="X42" s="209" t="n">
        <f aca="false">Volume-X15</f>
        <v>600</v>
      </c>
      <c r="Y42" s="209" t="n">
        <f aca="false">Volume-Y15</f>
        <v>600</v>
      </c>
      <c r="Z42" s="8"/>
      <c r="AA42" s="79" t="n">
        <f aca="false">AA41+1</f>
        <v>2012</v>
      </c>
      <c r="AB42" s="62" t="n">
        <v>0.03</v>
      </c>
      <c r="AC42" s="62" t="n">
        <v>0.03</v>
      </c>
      <c r="AD42" s="62" t="n">
        <v>0.03</v>
      </c>
      <c r="AE42" s="62" t="n">
        <v>0.03</v>
      </c>
      <c r="AF42" s="62" t="n">
        <v>0.03</v>
      </c>
      <c r="AG42" s="62" t="n">
        <v>0.03</v>
      </c>
      <c r="AH42" s="62" t="n">
        <v>0.03</v>
      </c>
      <c r="AI42" s="62" t="n">
        <v>0.03</v>
      </c>
      <c r="AJ42" s="62" t="n">
        <v>0.03</v>
      </c>
      <c r="AK42" s="62" t="n">
        <v>0.03</v>
      </c>
      <c r="AL42" s="62" t="n">
        <v>0.03</v>
      </c>
      <c r="AM42" s="62" t="n">
        <v>0.03</v>
      </c>
      <c r="AN42" s="8"/>
      <c r="AO42" s="80" t="n">
        <v>3</v>
      </c>
      <c r="AP42" s="129" t="b">
        <f aca="false">TRUE()</f>
        <v>1</v>
      </c>
      <c r="AS42" s="172" t="s">
        <v>247</v>
      </c>
      <c r="AT42" s="173" t="s">
        <v>248</v>
      </c>
      <c r="AU42" s="174" t="s">
        <v>249</v>
      </c>
      <c r="AV42" s="1" t="n">
        <v>8</v>
      </c>
      <c r="AW42" s="219" t="s">
        <v>250</v>
      </c>
      <c r="AX42" s="220" t="s">
        <v>251</v>
      </c>
      <c r="AY42" s="221"/>
      <c r="AZ42" s="222"/>
      <c r="BA42" s="223"/>
      <c r="BB42" s="0"/>
      <c r="BD42" s="12"/>
      <c r="BE42" s="227"/>
      <c r="BG42" s="13"/>
      <c r="BH42" s="12"/>
      <c r="BL42" s="12"/>
      <c r="BO42" s="13"/>
    </row>
    <row r="43" customFormat="false" ht="21" hidden="false" customHeight="true" outlineLevel="0" collapsed="false">
      <c r="B43" s="8"/>
      <c r="C43" s="8"/>
      <c r="D43" s="8"/>
      <c r="E43" s="8"/>
      <c r="F43" s="8"/>
      <c r="G43" s="8"/>
      <c r="H43" s="8"/>
      <c r="I43" s="8"/>
      <c r="J43" s="8"/>
      <c r="K43" s="8"/>
      <c r="L43" s="8"/>
      <c r="M43" s="8"/>
      <c r="N43" s="8"/>
      <c r="O43" s="8"/>
      <c r="P43" s="8"/>
      <c r="Q43" s="8"/>
      <c r="R43" s="8"/>
      <c r="S43" s="8"/>
      <c r="T43" s="58" t="str">
        <f aca="false">IF(OR(U43&lt;PeakStart,U43&gt;PeakEnd),"Off-Peak","Peak")</f>
        <v>Peak</v>
      </c>
      <c r="U43" s="59" t="n">
        <v>1000</v>
      </c>
      <c r="V43" s="209" t="n">
        <f aca="false">Volume-V16</f>
        <v>600</v>
      </c>
      <c r="W43" s="209" t="n">
        <f aca="false">Volume-W16</f>
        <v>600</v>
      </c>
      <c r="X43" s="209" t="n">
        <f aca="false">Volume-X16</f>
        <v>600</v>
      </c>
      <c r="Y43" s="209" t="n">
        <f aca="false">Volume-Y16</f>
        <v>600</v>
      </c>
      <c r="Z43" s="8"/>
      <c r="AA43" s="61" t="n">
        <f aca="false">AA42+1</f>
        <v>2013</v>
      </c>
      <c r="AB43" s="62" t="n">
        <v>0.03</v>
      </c>
      <c r="AC43" s="62" t="n">
        <v>0.03</v>
      </c>
      <c r="AD43" s="62" t="n">
        <v>0.03</v>
      </c>
      <c r="AE43" s="62" t="n">
        <v>0.03</v>
      </c>
      <c r="AF43" s="62" t="n">
        <v>0.03</v>
      </c>
      <c r="AG43" s="62" t="n">
        <v>0.03</v>
      </c>
      <c r="AH43" s="62" t="n">
        <v>0.03</v>
      </c>
      <c r="AI43" s="62" t="n">
        <v>0.03</v>
      </c>
      <c r="AJ43" s="62" t="n">
        <v>0.03</v>
      </c>
      <c r="AK43" s="62" t="n">
        <v>0.03</v>
      </c>
      <c r="AL43" s="62" t="n">
        <v>0.03</v>
      </c>
      <c r="AM43" s="62" t="n">
        <v>0.03</v>
      </c>
      <c r="AN43" s="8"/>
      <c r="AO43" s="80" t="n">
        <v>4</v>
      </c>
      <c r="AP43" s="129" t="b">
        <f aca="false">TRUE()</f>
        <v>1</v>
      </c>
      <c r="AS43" s="172" t="s">
        <v>252</v>
      </c>
      <c r="AT43" s="173" t="s">
        <v>253</v>
      </c>
      <c r="AU43" s="174" t="s">
        <v>254</v>
      </c>
      <c r="AV43" s="1" t="n">
        <v>9</v>
      </c>
      <c r="AW43" s="219" t="s">
        <v>255</v>
      </c>
      <c r="AX43" s="220" t="s">
        <v>256</v>
      </c>
      <c r="AY43" s="221"/>
      <c r="AZ43" s="222"/>
      <c r="BA43" s="223"/>
      <c r="BB43" s="0"/>
      <c r="BD43" s="13"/>
      <c r="BE43" s="13"/>
      <c r="BF43" s="13"/>
      <c r="BG43" s="13"/>
      <c r="BH43" s="13"/>
      <c r="BI43" s="13"/>
      <c r="BJ43" s="13"/>
      <c r="BK43" s="13"/>
      <c r="BL43" s="13"/>
      <c r="BM43" s="13"/>
      <c r="BN43" s="13"/>
      <c r="BO43" s="13"/>
    </row>
    <row r="44" customFormat="false" ht="21" hidden="false" customHeight="true" outlineLevel="0" collapsed="false">
      <c r="B44" s="8"/>
      <c r="C44" s="8"/>
      <c r="D44" s="8"/>
      <c r="E44" s="8"/>
      <c r="F44" s="8"/>
      <c r="G44" s="8"/>
      <c r="H44" s="8"/>
      <c r="I44" s="8"/>
      <c r="J44" s="8"/>
      <c r="K44" s="8"/>
      <c r="L44" s="8"/>
      <c r="M44" s="8"/>
      <c r="N44" s="8"/>
      <c r="O44" s="8"/>
      <c r="P44" s="8"/>
      <c r="Q44" s="8"/>
      <c r="R44" s="8"/>
      <c r="S44" s="8"/>
      <c r="T44" s="58" t="str">
        <f aca="false">IF(OR(U44&lt;PeakStart,U44&gt;PeakEnd),"Off-Peak","Peak")</f>
        <v>Peak</v>
      </c>
      <c r="U44" s="59" t="n">
        <v>1100</v>
      </c>
      <c r="V44" s="209" t="n">
        <f aca="false">Volume-V17</f>
        <v>600</v>
      </c>
      <c r="W44" s="209" t="n">
        <f aca="false">Volume-W17</f>
        <v>600</v>
      </c>
      <c r="X44" s="209" t="n">
        <f aca="false">Volume-X17</f>
        <v>600</v>
      </c>
      <c r="Y44" s="209" t="n">
        <f aca="false">Volume-Y17</f>
        <v>600</v>
      </c>
      <c r="Z44" s="8"/>
      <c r="AA44" s="79" t="n">
        <f aca="false">AA43+1</f>
        <v>2014</v>
      </c>
      <c r="AB44" s="62" t="n">
        <v>0.03</v>
      </c>
      <c r="AC44" s="62" t="n">
        <v>0.03</v>
      </c>
      <c r="AD44" s="62" t="n">
        <v>0.03</v>
      </c>
      <c r="AE44" s="62" t="n">
        <v>0.03</v>
      </c>
      <c r="AF44" s="62" t="n">
        <v>0.03</v>
      </c>
      <c r="AG44" s="62" t="n">
        <v>0.03</v>
      </c>
      <c r="AH44" s="62" t="n">
        <v>0.03</v>
      </c>
      <c r="AI44" s="62" t="n">
        <v>0.03</v>
      </c>
      <c r="AJ44" s="62" t="n">
        <v>0.03</v>
      </c>
      <c r="AK44" s="62" t="n">
        <v>0.03</v>
      </c>
      <c r="AL44" s="62" t="n">
        <v>0.03</v>
      </c>
      <c r="AM44" s="62" t="n">
        <v>0.03</v>
      </c>
      <c r="AN44" s="8"/>
      <c r="AO44" s="80" t="n">
        <v>5</v>
      </c>
      <c r="AP44" s="129" t="b">
        <f aca="false">TRUE()</f>
        <v>1</v>
      </c>
      <c r="AS44" s="228" t="s">
        <v>257</v>
      </c>
      <c r="AT44" s="229" t="s">
        <v>258</v>
      </c>
      <c r="AU44" s="230" t="s">
        <v>259</v>
      </c>
      <c r="AV44" s="1" t="n">
        <v>10</v>
      </c>
      <c r="AW44" s="231" t="s">
        <v>260</v>
      </c>
      <c r="AX44" s="232" t="s">
        <v>261</v>
      </c>
      <c r="AY44" s="233"/>
      <c r="AZ44" s="234"/>
      <c r="BA44" s="235"/>
      <c r="BB44" s="0"/>
      <c r="BQ44" s="12"/>
    </row>
    <row r="45" customFormat="false" ht="21" hidden="false" customHeight="true" outlineLevel="0" collapsed="false">
      <c r="B45" s="8"/>
      <c r="C45" s="8"/>
      <c r="D45" s="8"/>
      <c r="E45" s="8"/>
      <c r="F45" s="8"/>
      <c r="G45" s="8"/>
      <c r="H45" s="8"/>
      <c r="I45" s="8"/>
      <c r="J45" s="8"/>
      <c r="K45" s="8"/>
      <c r="L45" s="8"/>
      <c r="M45" s="8"/>
      <c r="N45" s="8"/>
      <c r="O45" s="8"/>
      <c r="P45" s="8"/>
      <c r="Q45" s="8"/>
      <c r="R45" s="8"/>
      <c r="S45" s="8"/>
      <c r="T45" s="58" t="str">
        <f aca="false">IF(OR(U45&lt;PeakStart,U45&gt;PeakEnd),"Off-Peak","Peak")</f>
        <v>Peak</v>
      </c>
      <c r="U45" s="59" t="n">
        <v>1200</v>
      </c>
      <c r="V45" s="209" t="n">
        <f aca="false">Volume-V18</f>
        <v>600</v>
      </c>
      <c r="W45" s="209" t="n">
        <f aca="false">Volume-W18</f>
        <v>600</v>
      </c>
      <c r="X45" s="209" t="n">
        <f aca="false">Volume-X18</f>
        <v>600</v>
      </c>
      <c r="Y45" s="209" t="n">
        <f aca="false">Volume-Y18</f>
        <v>600</v>
      </c>
      <c r="Z45" s="8"/>
      <c r="AA45" s="61" t="n">
        <f aca="false">AA44+1</f>
        <v>2015</v>
      </c>
      <c r="AB45" s="62" t="n">
        <v>0.03</v>
      </c>
      <c r="AC45" s="62" t="n">
        <v>0.03</v>
      </c>
      <c r="AD45" s="62" t="n">
        <v>0.03</v>
      </c>
      <c r="AE45" s="62" t="n">
        <v>0.03</v>
      </c>
      <c r="AF45" s="62" t="n">
        <v>0.03</v>
      </c>
      <c r="AG45" s="62" t="n">
        <v>0.03</v>
      </c>
      <c r="AH45" s="62" t="n">
        <v>0.03</v>
      </c>
      <c r="AI45" s="62" t="n">
        <v>0.03</v>
      </c>
      <c r="AJ45" s="62" t="n">
        <v>0.03</v>
      </c>
      <c r="AK45" s="62" t="n">
        <v>0.03</v>
      </c>
      <c r="AL45" s="62" t="n">
        <v>0.03</v>
      </c>
      <c r="AM45" s="62" t="n">
        <v>0.03</v>
      </c>
      <c r="AN45" s="8"/>
      <c r="AO45" s="80" t="n">
        <v>6</v>
      </c>
      <c r="AP45" s="129" t="b">
        <f aca="false">TRUE()</f>
        <v>1</v>
      </c>
      <c r="AS45" s="228" t="s">
        <v>262</v>
      </c>
      <c r="AT45" s="229" t="s">
        <v>263</v>
      </c>
      <c r="AU45" s="230" t="n">
        <v>9</v>
      </c>
      <c r="AW45" s="0"/>
      <c r="AX45" s="236"/>
      <c r="AY45" s="237"/>
      <c r="AZ45" s="238"/>
      <c r="BA45" s="109"/>
      <c r="BB45" s="152"/>
      <c r="BE45" s="13"/>
      <c r="BF45" s="13"/>
      <c r="BG45" s="13"/>
    </row>
    <row r="46" customFormat="false" ht="17.25" hidden="false" customHeight="true" outlineLevel="0" collapsed="false">
      <c r="B46" s="8"/>
      <c r="C46" s="8"/>
      <c r="D46" s="8"/>
      <c r="E46" s="8"/>
      <c r="F46" s="8"/>
      <c r="G46" s="8"/>
      <c r="H46" s="8"/>
      <c r="I46" s="8"/>
      <c r="J46" s="8"/>
      <c r="K46" s="8"/>
      <c r="L46" s="8"/>
      <c r="M46" s="8"/>
      <c r="N46" s="8"/>
      <c r="O46" s="8"/>
      <c r="P46" s="8"/>
      <c r="Q46" s="8"/>
      <c r="R46" s="8"/>
      <c r="S46" s="8"/>
      <c r="T46" s="58" t="str">
        <f aca="false">IF(OR(U46&lt;PeakStart,U46&gt;PeakEnd),"Off-Peak","Peak")</f>
        <v>Peak</v>
      </c>
      <c r="U46" s="59" t="n">
        <v>1300</v>
      </c>
      <c r="V46" s="209" t="n">
        <f aca="false">Volume-V19</f>
        <v>600</v>
      </c>
      <c r="W46" s="209" t="n">
        <f aca="false">Volume-W19</f>
        <v>600</v>
      </c>
      <c r="X46" s="209" t="n">
        <f aca="false">Volume-X19</f>
        <v>600</v>
      </c>
      <c r="Y46" s="209" t="n">
        <f aca="false">Volume-Y19</f>
        <v>600</v>
      </c>
      <c r="Z46" s="8"/>
      <c r="AA46" s="79" t="n">
        <f aca="false">AA45+1</f>
        <v>2016</v>
      </c>
      <c r="AB46" s="62" t="n">
        <v>0.03</v>
      </c>
      <c r="AC46" s="62" t="n">
        <v>0.03</v>
      </c>
      <c r="AD46" s="62" t="n">
        <v>0.03</v>
      </c>
      <c r="AE46" s="62" t="n">
        <v>0.03</v>
      </c>
      <c r="AF46" s="62" t="n">
        <v>0.03</v>
      </c>
      <c r="AG46" s="62" t="n">
        <v>0.03</v>
      </c>
      <c r="AH46" s="62" t="n">
        <v>0.03</v>
      </c>
      <c r="AI46" s="62" t="n">
        <v>0.03</v>
      </c>
      <c r="AJ46" s="62" t="n">
        <v>0.03</v>
      </c>
      <c r="AK46" s="62" t="n">
        <v>0.03</v>
      </c>
      <c r="AL46" s="62" t="n">
        <v>0.03</v>
      </c>
      <c r="AM46" s="62" t="n">
        <v>0.03</v>
      </c>
      <c r="AN46" s="8"/>
      <c r="AO46" s="80" t="n">
        <v>7</v>
      </c>
      <c r="AP46" s="129" t="b">
        <f aca="false">TRUE()</f>
        <v>1</v>
      </c>
      <c r="AS46" s="228" t="s">
        <v>264</v>
      </c>
      <c r="AT46" s="229" t="s">
        <v>265</v>
      </c>
      <c r="AU46" s="230" t="n">
        <v>10</v>
      </c>
      <c r="AW46" s="0"/>
      <c r="AX46" s="236"/>
      <c r="AY46" s="237"/>
      <c r="AZ46" s="238"/>
      <c r="BA46" s="109"/>
      <c r="BB46" s="152"/>
    </row>
    <row r="47" customFormat="false" ht="17.25" hidden="false" customHeight="true" outlineLevel="0" collapsed="false">
      <c r="B47" s="8"/>
      <c r="C47" s="8"/>
      <c r="D47" s="8"/>
      <c r="E47" s="8"/>
      <c r="F47" s="8"/>
      <c r="G47" s="8"/>
      <c r="H47" s="8"/>
      <c r="I47" s="8"/>
      <c r="J47" s="8"/>
      <c r="K47" s="8"/>
      <c r="L47" s="8"/>
      <c r="M47" s="8"/>
      <c r="N47" s="8"/>
      <c r="O47" s="8"/>
      <c r="P47" s="8"/>
      <c r="Q47" s="8"/>
      <c r="R47" s="8"/>
      <c r="S47" s="8"/>
      <c r="T47" s="58" t="str">
        <f aca="false">IF(OR(U47&lt;PeakStart,U47&gt;PeakEnd),"Off-Peak","Peak")</f>
        <v>Peak</v>
      </c>
      <c r="U47" s="59" t="n">
        <v>1400</v>
      </c>
      <c r="V47" s="209" t="n">
        <f aca="false">Volume-V20</f>
        <v>600</v>
      </c>
      <c r="W47" s="209" t="n">
        <f aca="false">Volume-W20</f>
        <v>600</v>
      </c>
      <c r="X47" s="209" t="n">
        <f aca="false">Volume-X20</f>
        <v>600</v>
      </c>
      <c r="Y47" s="209" t="n">
        <f aca="false">Volume-Y20</f>
        <v>600</v>
      </c>
      <c r="Z47" s="8"/>
      <c r="AA47" s="61" t="n">
        <f aca="false">AA46+1</f>
        <v>2017</v>
      </c>
      <c r="AB47" s="62" t="n">
        <v>0.03</v>
      </c>
      <c r="AC47" s="62" t="n">
        <v>0.03</v>
      </c>
      <c r="AD47" s="62" t="n">
        <v>0.03</v>
      </c>
      <c r="AE47" s="62" t="n">
        <v>0.03</v>
      </c>
      <c r="AF47" s="62" t="n">
        <v>0.03</v>
      </c>
      <c r="AG47" s="62" t="n">
        <v>0.03</v>
      </c>
      <c r="AH47" s="62" t="n">
        <v>0.03</v>
      </c>
      <c r="AI47" s="62" t="n">
        <v>0.03</v>
      </c>
      <c r="AJ47" s="62" t="n">
        <v>0.03</v>
      </c>
      <c r="AK47" s="62" t="n">
        <v>0.03</v>
      </c>
      <c r="AL47" s="62" t="n">
        <v>0.03</v>
      </c>
      <c r="AM47" s="62" t="n">
        <v>0.03</v>
      </c>
      <c r="AN47" s="8"/>
      <c r="AO47" s="80" t="n">
        <v>8</v>
      </c>
      <c r="AP47" s="129" t="b">
        <f aca="false">TRUE()</f>
        <v>1</v>
      </c>
      <c r="AS47" s="239" t="s">
        <v>266</v>
      </c>
      <c r="AT47" s="240" t="s">
        <v>267</v>
      </c>
      <c r="AU47" s="241" t="n">
        <v>11</v>
      </c>
      <c r="AW47" s="0"/>
      <c r="AX47" s="236"/>
      <c r="AY47" s="237"/>
      <c r="AZ47" s="238"/>
      <c r="BA47" s="109"/>
      <c r="BB47" s="152"/>
    </row>
    <row r="48" customFormat="false" ht="17.25" hidden="false" customHeight="true" outlineLevel="0" collapsed="false">
      <c r="B48" s="8"/>
      <c r="C48" s="8"/>
      <c r="D48" s="8"/>
      <c r="E48" s="8"/>
      <c r="F48" s="8"/>
      <c r="G48" s="8"/>
      <c r="H48" s="8"/>
      <c r="I48" s="8"/>
      <c r="J48" s="8"/>
      <c r="K48" s="8"/>
      <c r="L48" s="8"/>
      <c r="M48" s="8"/>
      <c r="N48" s="8"/>
      <c r="O48" s="8"/>
      <c r="P48" s="8"/>
      <c r="Q48" s="8"/>
      <c r="R48" s="8"/>
      <c r="S48" s="8"/>
      <c r="T48" s="58" t="str">
        <f aca="false">IF(OR(U48&lt;PeakStart,U48&gt;PeakEnd),"Off-Peak","Peak")</f>
        <v>Peak</v>
      </c>
      <c r="U48" s="59" t="n">
        <v>1500</v>
      </c>
      <c r="V48" s="209" t="n">
        <f aca="false">Volume-V21</f>
        <v>600</v>
      </c>
      <c r="W48" s="209" t="n">
        <f aca="false">Volume-W21</f>
        <v>600</v>
      </c>
      <c r="X48" s="209" t="n">
        <f aca="false">Volume-X21</f>
        <v>600</v>
      </c>
      <c r="Y48" s="209" t="n">
        <f aca="false">Volume-Y21</f>
        <v>600</v>
      </c>
      <c r="Z48" s="8"/>
      <c r="AA48" s="79" t="n">
        <f aca="false">AA47+1</f>
        <v>2018</v>
      </c>
      <c r="AB48" s="62" t="n">
        <v>0.03</v>
      </c>
      <c r="AC48" s="62" t="n">
        <v>0.03</v>
      </c>
      <c r="AD48" s="62" t="n">
        <v>0.03</v>
      </c>
      <c r="AE48" s="62" t="n">
        <v>0.03</v>
      </c>
      <c r="AF48" s="62" t="n">
        <v>0.03</v>
      </c>
      <c r="AG48" s="62" t="n">
        <v>0.03</v>
      </c>
      <c r="AH48" s="62" t="n">
        <v>0.03</v>
      </c>
      <c r="AI48" s="62" t="n">
        <v>0.03</v>
      </c>
      <c r="AJ48" s="62" t="n">
        <v>0.03</v>
      </c>
      <c r="AK48" s="62" t="n">
        <v>0.03</v>
      </c>
      <c r="AL48" s="62" t="n">
        <v>0.03</v>
      </c>
      <c r="AM48" s="62" t="n">
        <v>0.03</v>
      </c>
      <c r="AN48" s="8"/>
      <c r="AO48" s="80" t="n">
        <v>9</v>
      </c>
      <c r="AP48" s="129" t="b">
        <f aca="false">TRUE()</f>
        <v>1</v>
      </c>
      <c r="AS48" s="0"/>
      <c r="AT48" s="205" t="s">
        <v>191</v>
      </c>
      <c r="AU48" s="0"/>
      <c r="AW48" s="0"/>
      <c r="AX48" s="236"/>
      <c r="AY48" s="237"/>
      <c r="AZ48" s="238"/>
      <c r="BA48" s="109"/>
      <c r="BB48" s="152"/>
    </row>
    <row r="49" customFormat="false" ht="17.25" hidden="false" customHeight="true" outlineLevel="0" collapsed="false">
      <c r="B49" s="8"/>
      <c r="C49" s="8"/>
      <c r="D49" s="8"/>
      <c r="E49" s="8"/>
      <c r="F49" s="8"/>
      <c r="G49" s="8"/>
      <c r="H49" s="8"/>
      <c r="I49" s="8"/>
      <c r="J49" s="8"/>
      <c r="K49" s="8"/>
      <c r="L49" s="8"/>
      <c r="M49" s="8"/>
      <c r="N49" s="8"/>
      <c r="O49" s="8"/>
      <c r="P49" s="8"/>
      <c r="Q49" s="8"/>
      <c r="R49" s="8"/>
      <c r="S49" s="8"/>
      <c r="T49" s="58" t="str">
        <f aca="false">IF(OR(U49&lt;PeakStart,U49&gt;PeakEnd),"Off-Peak","Peak")</f>
        <v>Peak</v>
      </c>
      <c r="U49" s="59" t="n">
        <v>1600</v>
      </c>
      <c r="V49" s="209" t="n">
        <f aca="false">Volume-V22</f>
        <v>600</v>
      </c>
      <c r="W49" s="209" t="n">
        <f aca="false">Volume-W22</f>
        <v>600</v>
      </c>
      <c r="X49" s="209" t="n">
        <f aca="false">Volume-X22</f>
        <v>600</v>
      </c>
      <c r="Y49" s="209" t="n">
        <f aca="false">Volume-Y22</f>
        <v>600</v>
      </c>
      <c r="Z49" s="8"/>
      <c r="AA49" s="61" t="n">
        <f aca="false">AA48+1</f>
        <v>2019</v>
      </c>
      <c r="AB49" s="62" t="n">
        <v>0.03</v>
      </c>
      <c r="AC49" s="62" t="n">
        <v>0.03</v>
      </c>
      <c r="AD49" s="62" t="n">
        <v>0.03</v>
      </c>
      <c r="AE49" s="62" t="n">
        <v>0.03</v>
      </c>
      <c r="AF49" s="62" t="n">
        <v>0.03</v>
      </c>
      <c r="AG49" s="62" t="n">
        <v>0.03</v>
      </c>
      <c r="AH49" s="62" t="n">
        <v>0.03</v>
      </c>
      <c r="AI49" s="62" t="n">
        <v>0.03</v>
      </c>
      <c r="AJ49" s="62" t="n">
        <v>0.03</v>
      </c>
      <c r="AK49" s="62" t="n">
        <v>0.03</v>
      </c>
      <c r="AL49" s="62" t="n">
        <v>0.03</v>
      </c>
      <c r="AM49" s="62" t="n">
        <v>0.03</v>
      </c>
      <c r="AN49" s="8"/>
      <c r="AO49" s="80" t="n">
        <v>10</v>
      </c>
      <c r="AP49" s="129" t="b">
        <f aca="false">TRUE()</f>
        <v>1</v>
      </c>
      <c r="AS49" s="0"/>
      <c r="AT49" s="0"/>
      <c r="AU49" s="0"/>
      <c r="AW49" s="0"/>
      <c r="AX49" s="236"/>
      <c r="AY49" s="237"/>
      <c r="AZ49" s="238"/>
      <c r="BA49" s="109"/>
      <c r="BB49" s="152"/>
    </row>
    <row r="50" customFormat="false" ht="17.25" hidden="false" customHeight="true" outlineLevel="0" collapsed="false">
      <c r="B50" s="8"/>
      <c r="C50" s="8"/>
      <c r="D50" s="8"/>
      <c r="E50" s="8"/>
      <c r="F50" s="8"/>
      <c r="G50" s="8"/>
      <c r="H50" s="8"/>
      <c r="I50" s="8"/>
      <c r="J50" s="8"/>
      <c r="K50" s="8"/>
      <c r="L50" s="8"/>
      <c r="M50" s="8"/>
      <c r="N50" s="8"/>
      <c r="O50" s="8"/>
      <c r="P50" s="8"/>
      <c r="Q50" s="8"/>
      <c r="R50" s="8"/>
      <c r="S50" s="8"/>
      <c r="T50" s="58" t="str">
        <f aca="false">IF(OR(U50&lt;PeakStart,U50&gt;PeakEnd),"Off-Peak","Peak")</f>
        <v>Peak</v>
      </c>
      <c r="U50" s="59" t="n">
        <v>1700</v>
      </c>
      <c r="V50" s="209" t="n">
        <f aca="false">Volume-V23</f>
        <v>600</v>
      </c>
      <c r="W50" s="209" t="n">
        <f aca="false">Volume-W23</f>
        <v>600</v>
      </c>
      <c r="X50" s="209" t="n">
        <f aca="false">Volume-X23</f>
        <v>600</v>
      </c>
      <c r="Y50" s="209" t="n">
        <f aca="false">Volume-Y23</f>
        <v>600</v>
      </c>
      <c r="Z50" s="8"/>
      <c r="AA50" s="79" t="n">
        <f aca="false">AA49+1</f>
        <v>2020</v>
      </c>
      <c r="AB50" s="62" t="n">
        <v>0.03</v>
      </c>
      <c r="AC50" s="62" t="n">
        <v>0.03</v>
      </c>
      <c r="AD50" s="62" t="n">
        <v>0.03</v>
      </c>
      <c r="AE50" s="62" t="n">
        <v>0.03</v>
      </c>
      <c r="AF50" s="62" t="n">
        <v>0.03</v>
      </c>
      <c r="AG50" s="62" t="n">
        <v>0.03</v>
      </c>
      <c r="AH50" s="62" t="n">
        <v>0.03</v>
      </c>
      <c r="AI50" s="62" t="n">
        <v>0.03</v>
      </c>
      <c r="AJ50" s="62" t="n">
        <v>0.03</v>
      </c>
      <c r="AK50" s="62" t="n">
        <v>0.03</v>
      </c>
      <c r="AL50" s="62" t="n">
        <v>0.03</v>
      </c>
      <c r="AM50" s="62" t="n">
        <v>0.03</v>
      </c>
      <c r="AN50" s="8"/>
      <c r="AO50" s="80" t="n">
        <v>11</v>
      </c>
      <c r="AP50" s="129" t="b">
        <f aca="false">TRUE()</f>
        <v>1</v>
      </c>
      <c r="AS50" s="242" t="s">
        <v>268</v>
      </c>
      <c r="AT50" s="243" t="n">
        <f aca="false">MONTH(BegDate)</f>
        <v>7</v>
      </c>
      <c r="AU50" s="0"/>
      <c r="AW50" s="0"/>
      <c r="AX50" s="236"/>
      <c r="AY50" s="237"/>
      <c r="AZ50" s="238"/>
      <c r="BA50" s="109"/>
      <c r="BB50" s="152"/>
    </row>
    <row r="51" customFormat="false" ht="17.25" hidden="false" customHeight="true" outlineLevel="0" collapsed="false">
      <c r="B51" s="8"/>
      <c r="C51" s="8"/>
      <c r="D51" s="8"/>
      <c r="E51" s="8"/>
      <c r="F51" s="8"/>
      <c r="G51" s="8"/>
      <c r="H51" s="8"/>
      <c r="I51" s="8"/>
      <c r="J51" s="8"/>
      <c r="K51" s="8"/>
      <c r="L51" s="8"/>
      <c r="M51" s="8"/>
      <c r="N51" s="8"/>
      <c r="O51" s="8"/>
      <c r="P51" s="8"/>
      <c r="Q51" s="8"/>
      <c r="R51" s="8"/>
      <c r="S51" s="8"/>
      <c r="T51" s="58" t="str">
        <f aca="false">IF(OR(U51&lt;PeakStart,U51&gt;PeakEnd),"Off-Peak","Peak")</f>
        <v>Peak</v>
      </c>
      <c r="U51" s="59" t="n">
        <v>1800</v>
      </c>
      <c r="V51" s="209" t="n">
        <f aca="false">Volume-V24</f>
        <v>600</v>
      </c>
      <c r="W51" s="209" t="n">
        <f aca="false">Volume-W24</f>
        <v>600</v>
      </c>
      <c r="X51" s="209" t="n">
        <f aca="false">Volume-X24</f>
        <v>600</v>
      </c>
      <c r="Y51" s="209" t="n">
        <f aca="false">Volume-Y24</f>
        <v>600</v>
      </c>
      <c r="Z51" s="8"/>
      <c r="AA51" s="61" t="n">
        <f aca="false">AA50+1</f>
        <v>2021</v>
      </c>
      <c r="AB51" s="62" t="n">
        <v>0.03</v>
      </c>
      <c r="AC51" s="62" t="n">
        <v>0.03</v>
      </c>
      <c r="AD51" s="62" t="n">
        <v>0.03</v>
      </c>
      <c r="AE51" s="62" t="n">
        <v>0.03</v>
      </c>
      <c r="AF51" s="62" t="n">
        <v>0.03</v>
      </c>
      <c r="AG51" s="62" t="n">
        <v>0.03</v>
      </c>
      <c r="AH51" s="62" t="n">
        <v>0.03</v>
      </c>
      <c r="AI51" s="62" t="n">
        <v>0.03</v>
      </c>
      <c r="AJ51" s="62" t="n">
        <v>0.03</v>
      </c>
      <c r="AK51" s="62" t="n">
        <v>0.03</v>
      </c>
      <c r="AL51" s="62" t="n">
        <v>0.03</v>
      </c>
      <c r="AM51" s="62" t="n">
        <v>0.03</v>
      </c>
      <c r="AN51" s="8"/>
      <c r="AO51" s="244" t="n">
        <v>12</v>
      </c>
      <c r="AP51" s="149" t="b">
        <f aca="false">TRUE()</f>
        <v>1</v>
      </c>
      <c r="AS51" s="107" t="s">
        <v>269</v>
      </c>
      <c r="AT51" s="245" t="n">
        <f aca="false">YEAR(BegDate)</f>
        <v>2003</v>
      </c>
      <c r="AU51" s="0"/>
      <c r="AW51" s="0"/>
      <c r="AX51" s="236"/>
      <c r="AY51" s="237"/>
      <c r="AZ51" s="238"/>
      <c r="BA51" s="109"/>
      <c r="BB51" s="152"/>
    </row>
    <row r="52" customFormat="false" ht="17.25" hidden="false" customHeight="true" outlineLevel="0" collapsed="false">
      <c r="B52" s="8"/>
      <c r="C52" s="8"/>
      <c r="D52" s="8"/>
      <c r="E52" s="8"/>
      <c r="F52" s="8"/>
      <c r="G52" s="8"/>
      <c r="H52" s="8"/>
      <c r="I52" s="8"/>
      <c r="J52" s="8"/>
      <c r="K52" s="8"/>
      <c r="L52" s="8"/>
      <c r="M52" s="8"/>
      <c r="N52" s="8"/>
      <c r="O52" s="8"/>
      <c r="P52" s="8"/>
      <c r="Q52" s="8"/>
      <c r="R52" s="8"/>
      <c r="S52" s="8"/>
      <c r="T52" s="58" t="str">
        <f aca="false">IF(OR(U52&lt;PeakStart,U52&gt;PeakEnd),"Off-Peak","Peak")</f>
        <v>Peak</v>
      </c>
      <c r="U52" s="59" t="n">
        <v>1900</v>
      </c>
      <c r="V52" s="209" t="n">
        <f aca="false">Volume-V25</f>
        <v>600</v>
      </c>
      <c r="W52" s="209" t="n">
        <f aca="false">Volume-W25</f>
        <v>600</v>
      </c>
      <c r="X52" s="209" t="n">
        <f aca="false">Volume-X25</f>
        <v>600</v>
      </c>
      <c r="Y52" s="209" t="n">
        <f aca="false">Volume-Y25</f>
        <v>600</v>
      </c>
      <c r="Z52" s="8"/>
      <c r="AA52" s="61" t="n">
        <f aca="false">AA51+1</f>
        <v>2022</v>
      </c>
      <c r="AB52" s="62" t="n">
        <v>0.03</v>
      </c>
      <c r="AC52" s="62" t="n">
        <v>0.03</v>
      </c>
      <c r="AD52" s="62" t="n">
        <v>0.03</v>
      </c>
      <c r="AE52" s="62" t="n">
        <v>0.03</v>
      </c>
      <c r="AF52" s="62" t="n">
        <v>0.03</v>
      </c>
      <c r="AG52" s="62" t="n">
        <v>0.03</v>
      </c>
      <c r="AH52" s="62" t="n">
        <v>0.03</v>
      </c>
      <c r="AI52" s="62" t="n">
        <v>0.03</v>
      </c>
      <c r="AJ52" s="62" t="n">
        <v>0.03</v>
      </c>
      <c r="AK52" s="62" t="n">
        <v>0.03</v>
      </c>
      <c r="AL52" s="62" t="n">
        <v>0.03</v>
      </c>
      <c r="AM52" s="62" t="n">
        <v>0.03</v>
      </c>
      <c r="AN52" s="8"/>
      <c r="AO52" s="0"/>
      <c r="AP52" s="0"/>
      <c r="AS52" s="238"/>
      <c r="AT52" s="238"/>
      <c r="AU52" s="0"/>
      <c r="AW52" s="0"/>
      <c r="AX52" s="0"/>
      <c r="AY52" s="0"/>
      <c r="AZ52" s="0"/>
      <c r="BA52" s="0"/>
      <c r="BB52" s="0"/>
    </row>
    <row r="53" customFormat="false" ht="17.25" hidden="false" customHeight="true" outlineLevel="0" collapsed="false">
      <c r="B53" s="8"/>
      <c r="C53" s="8"/>
      <c r="D53" s="8"/>
      <c r="E53" s="8"/>
      <c r="F53" s="8"/>
      <c r="G53" s="8"/>
      <c r="H53" s="8"/>
      <c r="I53" s="8"/>
      <c r="J53" s="8"/>
      <c r="K53" s="8"/>
      <c r="L53" s="8"/>
      <c r="M53" s="8"/>
      <c r="N53" s="8"/>
      <c r="O53" s="8"/>
      <c r="P53" s="8"/>
      <c r="Q53" s="8"/>
      <c r="R53" s="8"/>
      <c r="S53" s="8"/>
      <c r="T53" s="58" t="str">
        <f aca="false">IF(OR(U53&lt;PeakStart,U53&gt;PeakEnd),"Off-Peak","Peak")</f>
        <v>Peak</v>
      </c>
      <c r="U53" s="59" t="n">
        <v>2000</v>
      </c>
      <c r="V53" s="209" t="n">
        <f aca="false">Volume-V26</f>
        <v>600</v>
      </c>
      <c r="W53" s="209" t="n">
        <f aca="false">Volume-W26</f>
        <v>600</v>
      </c>
      <c r="X53" s="209" t="n">
        <f aca="false">Volume-X26</f>
        <v>600</v>
      </c>
      <c r="Y53" s="209" t="n">
        <f aca="false">Volume-Y26</f>
        <v>600</v>
      </c>
      <c r="Z53" s="8"/>
      <c r="AA53" s="61" t="n">
        <f aca="false">AA52+1</f>
        <v>2023</v>
      </c>
      <c r="AB53" s="62" t="n">
        <v>0.03</v>
      </c>
      <c r="AC53" s="62" t="n">
        <v>0.03</v>
      </c>
      <c r="AD53" s="62" t="n">
        <v>0.03</v>
      </c>
      <c r="AE53" s="62" t="n">
        <v>0.03</v>
      </c>
      <c r="AF53" s="62" t="n">
        <v>0.03</v>
      </c>
      <c r="AG53" s="62" t="n">
        <v>0.03</v>
      </c>
      <c r="AH53" s="62" t="n">
        <v>0.03</v>
      </c>
      <c r="AI53" s="62" t="n">
        <v>0.03</v>
      </c>
      <c r="AJ53" s="62" t="n">
        <v>0.03</v>
      </c>
      <c r="AK53" s="62" t="n">
        <v>0.03</v>
      </c>
      <c r="AL53" s="62" t="n">
        <v>0.03</v>
      </c>
      <c r="AM53" s="62" t="n">
        <v>0.03</v>
      </c>
      <c r="AN53" s="8"/>
      <c r="AO53" s="0"/>
      <c r="AP53" s="0"/>
      <c r="AS53" s="246" t="s">
        <v>270</v>
      </c>
      <c r="AT53" s="247" t="s">
        <v>271</v>
      </c>
      <c r="AU53" s="0"/>
    </row>
    <row r="54" customFormat="false" ht="17.25" hidden="false" customHeight="true" outlineLevel="0" collapsed="false">
      <c r="B54" s="8"/>
      <c r="C54" s="8"/>
      <c r="D54" s="8"/>
      <c r="E54" s="8"/>
      <c r="F54" s="8"/>
      <c r="G54" s="8"/>
      <c r="H54" s="8"/>
      <c r="I54" s="8"/>
      <c r="J54" s="8"/>
      <c r="K54" s="8"/>
      <c r="L54" s="8"/>
      <c r="M54" s="8"/>
      <c r="N54" s="8"/>
      <c r="O54" s="8"/>
      <c r="P54" s="8"/>
      <c r="Q54" s="8"/>
      <c r="R54" s="8"/>
      <c r="S54" s="8"/>
      <c r="T54" s="58" t="str">
        <f aca="false">IF(OR(U54&lt;PeakStart,U54&gt;PeakEnd),"Off-Peak","Peak")</f>
        <v>Peak</v>
      </c>
      <c r="U54" s="59" t="n">
        <v>2100</v>
      </c>
      <c r="V54" s="209" t="n">
        <f aca="false">Volume-V27</f>
        <v>600</v>
      </c>
      <c r="W54" s="209" t="n">
        <f aca="false">Volume-W27</f>
        <v>600</v>
      </c>
      <c r="X54" s="209" t="n">
        <f aca="false">Volume-X27</f>
        <v>600</v>
      </c>
      <c r="Y54" s="209" t="n">
        <f aca="false">Volume-Y27</f>
        <v>600</v>
      </c>
      <c r="Z54" s="8"/>
      <c r="AA54" s="61" t="n">
        <f aca="false">AA53+1</f>
        <v>2024</v>
      </c>
      <c r="AB54" s="62" t="n">
        <v>0.03</v>
      </c>
      <c r="AC54" s="62" t="n">
        <v>0.03</v>
      </c>
      <c r="AD54" s="62" t="n">
        <v>0.03</v>
      </c>
      <c r="AE54" s="62" t="n">
        <v>0.03</v>
      </c>
      <c r="AF54" s="62" t="n">
        <v>0.03</v>
      </c>
      <c r="AG54" s="62" t="n">
        <v>0.03</v>
      </c>
      <c r="AH54" s="62" t="n">
        <v>0.03</v>
      </c>
      <c r="AI54" s="62" t="n">
        <v>0.03</v>
      </c>
      <c r="AJ54" s="62" t="n">
        <v>0.03</v>
      </c>
      <c r="AK54" s="62" t="n">
        <v>0.03</v>
      </c>
      <c r="AL54" s="62" t="n">
        <v>0.03</v>
      </c>
      <c r="AM54" s="62" t="n">
        <v>0.03</v>
      </c>
      <c r="AN54" s="8"/>
      <c r="AO54" s="0"/>
      <c r="AP54" s="0"/>
      <c r="AS54" s="0"/>
      <c r="AT54" s="0"/>
      <c r="AU54" s="0"/>
    </row>
    <row r="55" customFormat="false" ht="18.75" hidden="false" customHeight="true" outlineLevel="0" collapsed="false">
      <c r="B55" s="8"/>
      <c r="C55" s="8"/>
      <c r="D55" s="8"/>
      <c r="E55" s="8"/>
      <c r="F55" s="8"/>
      <c r="G55" s="8"/>
      <c r="H55" s="8"/>
      <c r="I55" s="8"/>
      <c r="J55" s="8"/>
      <c r="K55" s="8"/>
      <c r="L55" s="8"/>
      <c r="M55" s="8"/>
      <c r="N55" s="8"/>
      <c r="O55" s="8"/>
      <c r="P55" s="8"/>
      <c r="Q55" s="8"/>
      <c r="R55" s="8"/>
      <c r="S55" s="8"/>
      <c r="T55" s="58" t="str">
        <f aca="false">IF(OR(U55&lt;PeakStart,U55&gt;PeakEnd),"Off-Peak","Peak")</f>
        <v>Peak</v>
      </c>
      <c r="U55" s="59" t="n">
        <v>2200</v>
      </c>
      <c r="V55" s="209" t="n">
        <f aca="false">Volume-V28</f>
        <v>600</v>
      </c>
      <c r="W55" s="209" t="n">
        <f aca="false">Volume-W28</f>
        <v>600</v>
      </c>
      <c r="X55" s="209" t="n">
        <f aca="false">Volume-X28</f>
        <v>600</v>
      </c>
      <c r="Y55" s="209" t="n">
        <f aca="false">Volume-Y28</f>
        <v>600</v>
      </c>
      <c r="Z55" s="8"/>
      <c r="AA55" s="8"/>
      <c r="AB55" s="8"/>
      <c r="AC55" s="8"/>
      <c r="AD55" s="8"/>
      <c r="AE55" s="8"/>
      <c r="AF55" s="8"/>
      <c r="AG55" s="8"/>
      <c r="AH55" s="8"/>
      <c r="AI55" s="8"/>
      <c r="AJ55" s="8"/>
      <c r="AK55" s="8"/>
      <c r="AL55" s="8"/>
      <c r="AM55" s="8"/>
      <c r="AN55" s="8"/>
      <c r="AO55" s="0"/>
      <c r="AP55" s="0"/>
      <c r="AS55" s="0"/>
      <c r="AT55" s="0"/>
      <c r="AU55" s="0"/>
    </row>
    <row r="56" customFormat="false" ht="18.75" hidden="false" customHeight="true" outlineLevel="0" collapsed="false">
      <c r="B56" s="8"/>
      <c r="C56" s="8"/>
      <c r="D56" s="8"/>
      <c r="E56" s="8"/>
      <c r="F56" s="8"/>
      <c r="G56" s="8"/>
      <c r="H56" s="8"/>
      <c r="I56" s="8"/>
      <c r="J56" s="8"/>
      <c r="K56" s="8"/>
      <c r="L56" s="8"/>
      <c r="M56" s="8"/>
      <c r="N56" s="8"/>
      <c r="O56" s="8"/>
      <c r="P56" s="8"/>
      <c r="Q56" s="8"/>
      <c r="R56" s="8"/>
      <c r="S56" s="8"/>
      <c r="T56" s="58" t="str">
        <f aca="false">IF(OR(U56&lt;PeakStart,U56&gt;PeakEnd),"Off-Peak","Peak")</f>
        <v>Off-Peak</v>
      </c>
      <c r="U56" s="59" t="n">
        <v>2300</v>
      </c>
      <c r="V56" s="209" t="n">
        <f aca="false">Volume-V29</f>
        <v>600</v>
      </c>
      <c r="W56" s="209" t="n">
        <f aca="false">Volume-W29</f>
        <v>600</v>
      </c>
      <c r="X56" s="209" t="n">
        <f aca="false">Volume-X29</f>
        <v>600</v>
      </c>
      <c r="Y56" s="209" t="n">
        <f aca="false">Volume-Y29</f>
        <v>600</v>
      </c>
      <c r="Z56" s="8"/>
      <c r="AA56" s="8"/>
      <c r="AB56" s="8"/>
      <c r="AC56" s="8"/>
      <c r="AD56" s="8"/>
      <c r="AE56" s="8"/>
      <c r="AF56" s="8"/>
      <c r="AG56" s="8"/>
      <c r="AH56" s="8"/>
      <c r="AI56" s="8"/>
      <c r="AJ56" s="8"/>
      <c r="AK56" s="8"/>
      <c r="AL56" s="8"/>
      <c r="AM56" s="8"/>
      <c r="AN56" s="8"/>
      <c r="AO56" s="0"/>
      <c r="AP56" s="0"/>
      <c r="AR56" s="238"/>
      <c r="AS56" s="0"/>
      <c r="AT56" s="0"/>
      <c r="AU56" s="0"/>
      <c r="AW56" s="0"/>
      <c r="AX56" s="0"/>
    </row>
    <row r="57" customFormat="false" ht="18.75" hidden="false" customHeight="true" outlineLevel="0" collapsed="false">
      <c r="B57" s="8"/>
      <c r="C57" s="8"/>
      <c r="D57" s="8"/>
      <c r="E57" s="8"/>
      <c r="F57" s="8"/>
      <c r="G57" s="8"/>
      <c r="H57" s="8"/>
      <c r="I57" s="8"/>
      <c r="J57" s="8"/>
      <c r="K57" s="8"/>
      <c r="L57" s="8"/>
      <c r="M57" s="8"/>
      <c r="N57" s="8"/>
      <c r="O57" s="8"/>
      <c r="P57" s="8"/>
      <c r="Q57" s="8"/>
      <c r="R57" s="8"/>
      <c r="S57" s="8"/>
      <c r="T57" s="111" t="str">
        <f aca="false">IF(OR(U57&lt;PeakStart,U57&gt;PeakEnd),"Off-Peak","Peak")</f>
        <v>Off-Peak</v>
      </c>
      <c r="U57" s="199" t="n">
        <v>2400</v>
      </c>
      <c r="V57" s="209" t="n">
        <f aca="false">Volume-V30</f>
        <v>600</v>
      </c>
      <c r="W57" s="209" t="n">
        <f aca="false">Volume-W30</f>
        <v>600</v>
      </c>
      <c r="X57" s="209" t="n">
        <f aca="false">Volume-X30</f>
        <v>600</v>
      </c>
      <c r="Y57" s="209" t="n">
        <f aca="false">Volume-Y30</f>
        <v>600</v>
      </c>
      <c r="Z57" s="248"/>
      <c r="AA57" s="26" t="s">
        <v>272</v>
      </c>
      <c r="AB57" s="26"/>
      <c r="AC57" s="26"/>
      <c r="AD57" s="26"/>
      <c r="AE57" s="26"/>
      <c r="AF57" s="26"/>
      <c r="AG57" s="26"/>
      <c r="AH57" s="26"/>
      <c r="AI57" s="26"/>
      <c r="AJ57" s="26"/>
      <c r="AK57" s="26"/>
      <c r="AL57" s="26"/>
      <c r="AM57" s="26"/>
      <c r="AN57" s="248"/>
      <c r="AO57" s="0"/>
      <c r="AP57" s="0"/>
      <c r="AR57" s="238"/>
      <c r="AS57" s="0"/>
      <c r="AT57" s="0"/>
      <c r="AU57" s="0"/>
      <c r="AW57" s="0"/>
      <c r="AX57" s="0"/>
    </row>
    <row r="58" customFormat="false" ht="18.75" hidden="false" customHeight="true" outlineLevel="0" collapsed="false">
      <c r="Z58" s="248"/>
      <c r="AA58" s="61" t="n">
        <v>0.00042</v>
      </c>
      <c r="AB58" s="62" t="s">
        <v>25</v>
      </c>
      <c r="AC58" s="62" t="s">
        <v>26</v>
      </c>
      <c r="AD58" s="62" t="s">
        <v>27</v>
      </c>
      <c r="AE58" s="62" t="s">
        <v>28</v>
      </c>
      <c r="AF58" s="62" t="s">
        <v>29</v>
      </c>
      <c r="AG58" s="62" t="s">
        <v>30</v>
      </c>
      <c r="AH58" s="62" t="s">
        <v>31</v>
      </c>
      <c r="AI58" s="62" t="s">
        <v>32</v>
      </c>
      <c r="AJ58" s="62" t="s">
        <v>33</v>
      </c>
      <c r="AK58" s="62" t="s">
        <v>34</v>
      </c>
      <c r="AL58" s="62" t="s">
        <v>35</v>
      </c>
      <c r="AM58" s="62" t="s">
        <v>36</v>
      </c>
      <c r="AN58" s="248"/>
      <c r="AQ58" s="1"/>
      <c r="AR58" s="109"/>
      <c r="AW58" s="0"/>
      <c r="AX58" s="0"/>
    </row>
    <row r="59" customFormat="false" ht="18.75" hidden="false" customHeight="true" outlineLevel="0" collapsed="false">
      <c r="Z59" s="248"/>
      <c r="AA59" s="79" t="n">
        <f aca="false">YEAR(BegDate)</f>
        <v>2003</v>
      </c>
      <c r="AB59" s="62" t="n">
        <f aca="false">$AA$58</f>
        <v>0.00042</v>
      </c>
      <c r="AC59" s="62" t="n">
        <f aca="false">AB59+$AA$58</f>
        <v>0.00084</v>
      </c>
      <c r="AD59" s="62" t="n">
        <f aca="false">AC59+$AA$58</f>
        <v>0.00126</v>
      </c>
      <c r="AE59" s="62" t="n">
        <f aca="false">AD59+$AA$58</f>
        <v>0.00168</v>
      </c>
      <c r="AF59" s="62" t="n">
        <f aca="false">AE59+$AA$58</f>
        <v>0.0021</v>
      </c>
      <c r="AG59" s="62" t="n">
        <f aca="false">AF59+$AA$58</f>
        <v>0.00252</v>
      </c>
      <c r="AH59" s="62" t="n">
        <f aca="false">AG59+$AA$58</f>
        <v>0.00294</v>
      </c>
      <c r="AI59" s="62" t="n">
        <f aca="false">AH59+$AA$58</f>
        <v>0.00336</v>
      </c>
      <c r="AJ59" s="62" t="n">
        <f aca="false">AI59+$AA$58</f>
        <v>0.00378</v>
      </c>
      <c r="AK59" s="62" t="n">
        <f aca="false">AJ59+$AA$58</f>
        <v>0.0042</v>
      </c>
      <c r="AL59" s="62" t="n">
        <f aca="false">AK59+$AA$58</f>
        <v>0.00462</v>
      </c>
      <c r="AM59" s="62" t="n">
        <f aca="false">AL59+$AA$58</f>
        <v>0.00504</v>
      </c>
      <c r="AN59" s="248"/>
      <c r="AQ59" s="1"/>
      <c r="AR59" s="109"/>
      <c r="AW59" s="0"/>
      <c r="AX59" s="0"/>
    </row>
    <row r="60" customFormat="false" ht="18.75" hidden="false" customHeight="true" outlineLevel="0" collapsed="false">
      <c r="Z60" s="248"/>
      <c r="AA60" s="61" t="n">
        <f aca="false">AA59+1</f>
        <v>2004</v>
      </c>
      <c r="AB60" s="62" t="n">
        <f aca="false">AM59+$AA$58</f>
        <v>0.00546</v>
      </c>
      <c r="AC60" s="62" t="n">
        <f aca="false">AB60+$AA$58</f>
        <v>0.00588</v>
      </c>
      <c r="AD60" s="62" t="n">
        <f aca="false">AC60+$AA$58</f>
        <v>0.0063</v>
      </c>
      <c r="AE60" s="62" t="n">
        <f aca="false">AD60+$AA$58</f>
        <v>0.00672</v>
      </c>
      <c r="AF60" s="62" t="n">
        <f aca="false">AE60+$AA$58</f>
        <v>0.00714</v>
      </c>
      <c r="AG60" s="62" t="n">
        <f aca="false">AF60+$AA$58</f>
        <v>0.00756</v>
      </c>
      <c r="AH60" s="62" t="n">
        <f aca="false">AG60+$AA$58</f>
        <v>0.00798</v>
      </c>
      <c r="AI60" s="62" t="n">
        <f aca="false">AH60+$AA$58</f>
        <v>0.0084</v>
      </c>
      <c r="AJ60" s="62" t="n">
        <f aca="false">AI60+$AA$58</f>
        <v>0.00882</v>
      </c>
      <c r="AK60" s="62" t="n">
        <f aca="false">AJ60+$AA$58</f>
        <v>0.00924</v>
      </c>
      <c r="AL60" s="62" t="n">
        <f aca="false">AK60+$AA$58</f>
        <v>0.00966</v>
      </c>
      <c r="AM60" s="62" t="n">
        <f aca="false">AL60+$AA$58</f>
        <v>0.01008</v>
      </c>
      <c r="AN60" s="248"/>
      <c r="AQ60" s="1"/>
      <c r="AR60" s="1"/>
      <c r="AW60" s="0"/>
      <c r="AX60" s="0"/>
    </row>
    <row r="61" customFormat="false" ht="18.75" hidden="false" customHeight="true" outlineLevel="0" collapsed="false">
      <c r="T61" s="1" t="s">
        <v>273</v>
      </c>
      <c r="Z61" s="248"/>
      <c r="AA61" s="79" t="n">
        <f aca="false">AA60+1</f>
        <v>2005</v>
      </c>
      <c r="AB61" s="62" t="n">
        <f aca="false">AM60+$AA$58</f>
        <v>0.0105</v>
      </c>
      <c r="AC61" s="62" t="n">
        <f aca="false">AB61+$AA$58</f>
        <v>0.01092</v>
      </c>
      <c r="AD61" s="62" t="n">
        <f aca="false">AC61+$AA$58</f>
        <v>0.01134</v>
      </c>
      <c r="AE61" s="62" t="n">
        <f aca="false">AD61+$AA$58</f>
        <v>0.01176</v>
      </c>
      <c r="AF61" s="62" t="n">
        <f aca="false">AE61+$AA$58</f>
        <v>0.01218</v>
      </c>
      <c r="AG61" s="62" t="n">
        <f aca="false">AF61+$AA$58</f>
        <v>0.0126</v>
      </c>
      <c r="AH61" s="62" t="n">
        <f aca="false">AG61+$AA$58</f>
        <v>0.01302</v>
      </c>
      <c r="AI61" s="62" t="n">
        <f aca="false">AH61+$AA$58</f>
        <v>0.01344</v>
      </c>
      <c r="AJ61" s="62" t="n">
        <f aca="false">AI61+$AA$58</f>
        <v>0.01386</v>
      </c>
      <c r="AK61" s="62" t="n">
        <f aca="false">AJ61+$AA$58</f>
        <v>0.01428</v>
      </c>
      <c r="AL61" s="62" t="n">
        <f aca="false">AK61+$AA$58</f>
        <v>0.0147</v>
      </c>
      <c r="AM61" s="62" t="n">
        <f aca="false">AL61+$AA$58</f>
        <v>0.01512</v>
      </c>
      <c r="AN61" s="248"/>
      <c r="AQ61" s="1"/>
      <c r="AR61" s="1"/>
      <c r="AW61" s="0"/>
      <c r="AX61" s="0"/>
    </row>
    <row r="62" customFormat="false" ht="18.75" hidden="false" customHeight="true" outlineLevel="0" collapsed="false">
      <c r="Z62" s="248"/>
      <c r="AA62" s="61" t="n">
        <f aca="false">AA61+1</f>
        <v>2006</v>
      </c>
      <c r="AB62" s="62" t="n">
        <f aca="false">AM61+$AA$58</f>
        <v>0.01554</v>
      </c>
      <c r="AC62" s="62" t="n">
        <f aca="false">AB62+$AA$58</f>
        <v>0.01596</v>
      </c>
      <c r="AD62" s="62" t="n">
        <f aca="false">AC62+$AA$58</f>
        <v>0.01638</v>
      </c>
      <c r="AE62" s="62" t="n">
        <f aca="false">AD62-0.005</f>
        <v>0.01138</v>
      </c>
      <c r="AF62" s="62" t="n">
        <f aca="false">AE62+$AA$58</f>
        <v>0.0118</v>
      </c>
      <c r="AG62" s="62" t="n">
        <f aca="false">AF62+$AA$58</f>
        <v>0.01222</v>
      </c>
      <c r="AH62" s="62" t="n">
        <f aca="false">AG62+$AA$58</f>
        <v>0.01264</v>
      </c>
      <c r="AI62" s="62" t="n">
        <f aca="false">AH62+$AA$58</f>
        <v>0.01306</v>
      </c>
      <c r="AJ62" s="62" t="n">
        <f aca="false">AI62+$AA$58</f>
        <v>0.01348</v>
      </c>
      <c r="AK62" s="62" t="n">
        <f aca="false">AJ62+$AA$58</f>
        <v>0.0139</v>
      </c>
      <c r="AL62" s="62" t="n">
        <f aca="false">AK62+$AA$58</f>
        <v>0.01432</v>
      </c>
      <c r="AM62" s="62" t="n">
        <f aca="false">AL62+$AA$58</f>
        <v>0.01474</v>
      </c>
      <c r="AN62" s="248"/>
      <c r="AQ62" s="1"/>
      <c r="AR62" s="1"/>
      <c r="AW62" s="0"/>
      <c r="AX62" s="0"/>
    </row>
    <row r="63" customFormat="false" ht="18.75" hidden="false" customHeight="true" outlineLevel="0" collapsed="false">
      <c r="Z63" s="248"/>
      <c r="AA63" s="79" t="n">
        <f aca="false">AA62+1</f>
        <v>2007</v>
      </c>
      <c r="AB63" s="62" t="n">
        <f aca="false">AM62+$AA$58</f>
        <v>0.01516</v>
      </c>
      <c r="AC63" s="62" t="n">
        <f aca="false">AB63+$AA$58</f>
        <v>0.01558</v>
      </c>
      <c r="AD63" s="62" t="n">
        <f aca="false">AC63+$AA$58</f>
        <v>0.016</v>
      </c>
      <c r="AE63" s="62" t="n">
        <f aca="false">AD63+$AA$58</f>
        <v>0.01642</v>
      </c>
      <c r="AF63" s="62" t="n">
        <f aca="false">AE63+$AA$58</f>
        <v>0.01684</v>
      </c>
      <c r="AG63" s="62" t="n">
        <f aca="false">AF63+$AA$58</f>
        <v>0.01726</v>
      </c>
      <c r="AH63" s="62" t="n">
        <f aca="false">AG63+$AA$58</f>
        <v>0.01768</v>
      </c>
      <c r="AI63" s="62" t="n">
        <f aca="false">AH63+$AA$58</f>
        <v>0.0181</v>
      </c>
      <c r="AJ63" s="62" t="n">
        <f aca="false">AI63+$AA$58</f>
        <v>0.01852</v>
      </c>
      <c r="AK63" s="62" t="n">
        <f aca="false">AJ63+$AA$58</f>
        <v>0.01894</v>
      </c>
      <c r="AL63" s="62" t="n">
        <f aca="false">AK63+$AA$58</f>
        <v>0.01936</v>
      </c>
      <c r="AM63" s="62" t="n">
        <f aca="false">AL63+$AA$58</f>
        <v>0.01978</v>
      </c>
      <c r="AN63" s="248"/>
      <c r="AQ63" s="1"/>
      <c r="AR63" s="1"/>
      <c r="AW63" s="0"/>
      <c r="AX63" s="0"/>
    </row>
    <row r="64" customFormat="false" ht="18.75" hidden="false" customHeight="true" outlineLevel="0" collapsed="false">
      <c r="Z64" s="248"/>
      <c r="AA64" s="61" t="n">
        <f aca="false">AA63+1</f>
        <v>2008</v>
      </c>
      <c r="AB64" s="62" t="n">
        <f aca="false">AM63+$AA$58</f>
        <v>0.0202</v>
      </c>
      <c r="AC64" s="62" t="n">
        <f aca="false">AB64+$AA$58</f>
        <v>0.02062</v>
      </c>
      <c r="AD64" s="62" t="n">
        <f aca="false">AC64+$AA$58</f>
        <v>0.02104</v>
      </c>
      <c r="AE64" s="62" t="n">
        <f aca="false">AD64+$AA$58</f>
        <v>0.02146</v>
      </c>
      <c r="AF64" s="62" t="n">
        <f aca="false">AE64+$AA$58</f>
        <v>0.02188</v>
      </c>
      <c r="AG64" s="62" t="n">
        <f aca="false">AF64+$AA$58</f>
        <v>0.0223</v>
      </c>
      <c r="AH64" s="62" t="n">
        <f aca="false">AG64+$AA$58</f>
        <v>0.02272</v>
      </c>
      <c r="AI64" s="62" t="n">
        <f aca="false">AH64+$AA$58</f>
        <v>0.02314</v>
      </c>
      <c r="AJ64" s="62" t="n">
        <f aca="false">AI64+$AA$58</f>
        <v>0.02356</v>
      </c>
      <c r="AK64" s="62" t="n">
        <f aca="false">AJ64+$AA$58</f>
        <v>0.02398</v>
      </c>
      <c r="AL64" s="62" t="n">
        <f aca="false">AK64+$AA$58</f>
        <v>0.0244</v>
      </c>
      <c r="AM64" s="62" t="n">
        <f aca="false">AL64+$AA$58</f>
        <v>0.02482</v>
      </c>
      <c r="AN64" s="248"/>
      <c r="AQ64" s="1"/>
      <c r="AR64" s="1"/>
      <c r="AW64" s="0"/>
      <c r="AX64" s="0"/>
    </row>
    <row r="65" customFormat="false" ht="18.75" hidden="false" customHeight="true" outlineLevel="0" collapsed="false">
      <c r="Z65" s="248"/>
      <c r="AA65" s="79" t="n">
        <f aca="false">AA64+1</f>
        <v>2009</v>
      </c>
      <c r="AB65" s="62" t="n">
        <f aca="false">AM64+$AA$58</f>
        <v>0.02524</v>
      </c>
      <c r="AC65" s="62" t="n">
        <f aca="false">AB65+$AA$58</f>
        <v>0.02566</v>
      </c>
      <c r="AD65" s="62" t="n">
        <f aca="false">AC65+$AA$58</f>
        <v>0.02608</v>
      </c>
      <c r="AE65" s="62" t="n">
        <v>0.005</v>
      </c>
      <c r="AF65" s="62" t="n">
        <f aca="false">AE65+$AA$58</f>
        <v>0.00542</v>
      </c>
      <c r="AG65" s="62" t="n">
        <f aca="false">AF65+$AA$58</f>
        <v>0.00584</v>
      </c>
      <c r="AH65" s="62" t="n">
        <f aca="false">AG65+$AA$58</f>
        <v>0.00626</v>
      </c>
      <c r="AI65" s="62" t="n">
        <f aca="false">AH65+$AA$58</f>
        <v>0.00668</v>
      </c>
      <c r="AJ65" s="62" t="n">
        <f aca="false">AI65+$AA$58</f>
        <v>0.0071</v>
      </c>
      <c r="AK65" s="62" t="n">
        <f aca="false">AJ65+$AA$58</f>
        <v>0.00752</v>
      </c>
      <c r="AL65" s="62" t="n">
        <f aca="false">AK65+$AA$58</f>
        <v>0.00794</v>
      </c>
      <c r="AM65" s="62" t="n">
        <f aca="false">AL65+$AA$58</f>
        <v>0.00836</v>
      </c>
      <c r="AN65" s="248"/>
      <c r="AQ65" s="1"/>
      <c r="AR65" s="1"/>
      <c r="AW65" s="0"/>
      <c r="AX65" s="0"/>
    </row>
    <row r="66" customFormat="false" ht="16.5" hidden="false" customHeight="true" outlineLevel="0" collapsed="false">
      <c r="Z66" s="248"/>
      <c r="AA66" s="61" t="n">
        <f aca="false">AA65+1</f>
        <v>2010</v>
      </c>
      <c r="AB66" s="62" t="n">
        <f aca="false">AM65+$AA$58</f>
        <v>0.00878</v>
      </c>
      <c r="AC66" s="62" t="n">
        <f aca="false">AB66+$AA$58</f>
        <v>0.0092</v>
      </c>
      <c r="AD66" s="62" t="n">
        <f aca="false">AC66+$AA$58</f>
        <v>0.00962</v>
      </c>
      <c r="AE66" s="62" t="n">
        <f aca="false">AD66+$AA$58</f>
        <v>0.01004</v>
      </c>
      <c r="AF66" s="62" t="n">
        <f aca="false">AE66+$AA$58</f>
        <v>0.01046</v>
      </c>
      <c r="AG66" s="62" t="n">
        <f aca="false">AF66+$AA$58</f>
        <v>0.01088</v>
      </c>
      <c r="AH66" s="62" t="n">
        <f aca="false">AG66+$AA$58</f>
        <v>0.0113</v>
      </c>
      <c r="AI66" s="62" t="n">
        <f aca="false">AH66+$AA$58</f>
        <v>0.01172</v>
      </c>
      <c r="AJ66" s="62" t="n">
        <f aca="false">AI66+$AA$58</f>
        <v>0.01214</v>
      </c>
      <c r="AK66" s="62" t="n">
        <f aca="false">AJ66+$AA$58</f>
        <v>0.01256</v>
      </c>
      <c r="AL66" s="62" t="n">
        <f aca="false">AK66+$AA$58</f>
        <v>0.01298</v>
      </c>
      <c r="AM66" s="62" t="n">
        <f aca="false">AL66+$AA$58</f>
        <v>0.0134</v>
      </c>
      <c r="AN66" s="248"/>
      <c r="AQ66" s="1"/>
      <c r="AR66" s="1"/>
      <c r="AW66" s="0"/>
      <c r="AX66" s="0"/>
    </row>
    <row r="67" customFormat="false" ht="16.5" hidden="false" customHeight="true" outlineLevel="0" collapsed="false">
      <c r="Z67" s="248"/>
      <c r="AA67" s="79" t="n">
        <f aca="false">AA66+1</f>
        <v>2011</v>
      </c>
      <c r="AB67" s="62" t="n">
        <f aca="false">AM66+$AA$58</f>
        <v>0.01382</v>
      </c>
      <c r="AC67" s="62" t="n">
        <f aca="false">AB67+$AA$58</f>
        <v>0.01424</v>
      </c>
      <c r="AD67" s="62" t="n">
        <f aca="false">AC67+$AA$58</f>
        <v>0.01466</v>
      </c>
      <c r="AE67" s="62" t="n">
        <f aca="false">AD67+$AA$58</f>
        <v>0.01508</v>
      </c>
      <c r="AF67" s="62" t="n">
        <f aca="false">AE67+$AA$58</f>
        <v>0.0155</v>
      </c>
      <c r="AG67" s="62" t="n">
        <f aca="false">AF67+$AA$58</f>
        <v>0.01592</v>
      </c>
      <c r="AH67" s="62" t="n">
        <f aca="false">AG67+$AA$58</f>
        <v>0.01634</v>
      </c>
      <c r="AI67" s="62" t="n">
        <f aca="false">AH67+$AA$58</f>
        <v>0.01676</v>
      </c>
      <c r="AJ67" s="62" t="n">
        <f aca="false">AI67+$AA$58</f>
        <v>0.01718</v>
      </c>
      <c r="AK67" s="62" t="n">
        <f aca="false">AJ67+$AA$58</f>
        <v>0.0176</v>
      </c>
      <c r="AL67" s="62" t="n">
        <f aca="false">AK67+$AA$58</f>
        <v>0.01802</v>
      </c>
      <c r="AM67" s="62" t="n">
        <f aca="false">AL67+$AA$58</f>
        <v>0.01844</v>
      </c>
      <c r="AN67" s="248"/>
      <c r="AQ67" s="1"/>
      <c r="AR67" s="1"/>
      <c r="AW67" s="0"/>
      <c r="AX67" s="0"/>
    </row>
    <row r="68" customFormat="false" ht="16.5" hidden="false" customHeight="true" outlineLevel="0" collapsed="false">
      <c r="Z68" s="248"/>
      <c r="AA68" s="61" t="n">
        <f aca="false">AA67+1</f>
        <v>2012</v>
      </c>
      <c r="AB68" s="62" t="n">
        <f aca="false">AM67+$AA$58</f>
        <v>0.01886</v>
      </c>
      <c r="AC68" s="62" t="n">
        <f aca="false">AB68+$AA$58</f>
        <v>0.01928</v>
      </c>
      <c r="AD68" s="62" t="n">
        <f aca="false">AC68+$AA$58</f>
        <v>0.0197</v>
      </c>
      <c r="AE68" s="62" t="n">
        <f aca="false">AD68-0.005</f>
        <v>0.0147</v>
      </c>
      <c r="AF68" s="62" t="n">
        <f aca="false">AE68+$AA$58</f>
        <v>0.01512</v>
      </c>
      <c r="AG68" s="62" t="n">
        <f aca="false">AF68+$AA$58</f>
        <v>0.01554</v>
      </c>
      <c r="AH68" s="62" t="n">
        <f aca="false">AG68+$AA$58</f>
        <v>0.01596</v>
      </c>
      <c r="AI68" s="62" t="n">
        <f aca="false">AH68+$AA$58</f>
        <v>0.01638</v>
      </c>
      <c r="AJ68" s="62" t="n">
        <f aca="false">AI68+$AA$58</f>
        <v>0.0168</v>
      </c>
      <c r="AK68" s="62" t="n">
        <f aca="false">AJ68+$AA$58</f>
        <v>0.01722</v>
      </c>
      <c r="AL68" s="62" t="n">
        <f aca="false">AK68+$AA$58</f>
        <v>0.01764</v>
      </c>
      <c r="AM68" s="62" t="n">
        <f aca="false">AL68+$AA$58</f>
        <v>0.01806</v>
      </c>
      <c r="AN68" s="248"/>
      <c r="AQ68" s="1"/>
      <c r="AR68" s="1"/>
      <c r="AW68" s="0"/>
      <c r="AX68" s="0"/>
    </row>
    <row r="69" customFormat="false" ht="16.5" hidden="false" customHeight="true" outlineLevel="0" collapsed="false">
      <c r="Z69" s="248"/>
      <c r="AA69" s="79" t="n">
        <f aca="false">AA68+1</f>
        <v>2013</v>
      </c>
      <c r="AB69" s="62" t="n">
        <f aca="false">AM68+$AA$58</f>
        <v>0.01848</v>
      </c>
      <c r="AC69" s="62" t="n">
        <f aca="false">AB69+$AA$58</f>
        <v>0.0189</v>
      </c>
      <c r="AD69" s="62" t="n">
        <f aca="false">AC69+$AA$58</f>
        <v>0.01932</v>
      </c>
      <c r="AE69" s="62" t="n">
        <f aca="false">AD69+$AA$58</f>
        <v>0.01974</v>
      </c>
      <c r="AF69" s="62" t="n">
        <f aca="false">AE69+$AA$58</f>
        <v>0.02016</v>
      </c>
      <c r="AG69" s="62" t="n">
        <f aca="false">AF69+$AA$58</f>
        <v>0.02058</v>
      </c>
      <c r="AH69" s="62" t="n">
        <f aca="false">AG69+$AA$58</f>
        <v>0.021</v>
      </c>
      <c r="AI69" s="62" t="n">
        <f aca="false">AH69+$AA$58</f>
        <v>0.02142</v>
      </c>
      <c r="AJ69" s="62" t="n">
        <f aca="false">AI69+$AA$58</f>
        <v>0.02184</v>
      </c>
      <c r="AK69" s="62" t="n">
        <f aca="false">AJ69+$AA$58</f>
        <v>0.02226</v>
      </c>
      <c r="AL69" s="62" t="n">
        <f aca="false">AK69+$AA$58</f>
        <v>0.02268</v>
      </c>
      <c r="AM69" s="62" t="n">
        <f aca="false">AL69+$AA$58</f>
        <v>0.0231</v>
      </c>
      <c r="AN69" s="248"/>
      <c r="AQ69" s="1"/>
      <c r="AR69" s="1"/>
      <c r="AW69" s="0"/>
      <c r="AX69" s="0"/>
    </row>
    <row r="70" customFormat="false" ht="16.5" hidden="false" customHeight="true" outlineLevel="0" collapsed="false">
      <c r="Z70" s="248"/>
      <c r="AA70" s="61" t="n">
        <f aca="false">AA69+1</f>
        <v>2014</v>
      </c>
      <c r="AB70" s="62" t="n">
        <f aca="false">AM69+$AA$58</f>
        <v>0.02352</v>
      </c>
      <c r="AC70" s="62" t="n">
        <f aca="false">AB70+$AA$58</f>
        <v>0.02394</v>
      </c>
      <c r="AD70" s="62" t="n">
        <f aca="false">AC70+$AA$58</f>
        <v>0.02436</v>
      </c>
      <c r="AE70" s="62" t="n">
        <f aca="false">AD70+$AA$58</f>
        <v>0.02478</v>
      </c>
      <c r="AF70" s="62" t="n">
        <f aca="false">AE70+$AA$58</f>
        <v>0.0252</v>
      </c>
      <c r="AG70" s="62" t="n">
        <f aca="false">AF70+$AA$58</f>
        <v>0.02562</v>
      </c>
      <c r="AH70" s="62" t="n">
        <f aca="false">AG70+$AA$58</f>
        <v>0.02604</v>
      </c>
      <c r="AI70" s="62" t="n">
        <f aca="false">AH70+$AA$58</f>
        <v>0.02646</v>
      </c>
      <c r="AJ70" s="62" t="n">
        <f aca="false">AI70+$AA$58</f>
        <v>0.02688</v>
      </c>
      <c r="AK70" s="62" t="n">
        <f aca="false">AJ70+$AA$58</f>
        <v>0.0273</v>
      </c>
      <c r="AL70" s="62" t="n">
        <f aca="false">AK70+$AA$58</f>
        <v>0.02772</v>
      </c>
      <c r="AM70" s="62" t="n">
        <f aca="false">AL70+$AA$58</f>
        <v>0.02814</v>
      </c>
      <c r="AN70" s="248"/>
      <c r="AQ70" s="1"/>
      <c r="AR70" s="1"/>
      <c r="AW70" s="0"/>
      <c r="AX70" s="0"/>
    </row>
    <row r="71" customFormat="false" ht="16.5" hidden="false" customHeight="true" outlineLevel="0" collapsed="false">
      <c r="Z71" s="248"/>
      <c r="AA71" s="79" t="n">
        <f aca="false">AA70+1</f>
        <v>2015</v>
      </c>
      <c r="AB71" s="62" t="n">
        <f aca="false">AM70+$AA$58</f>
        <v>0.02856</v>
      </c>
      <c r="AC71" s="62" t="n">
        <f aca="false">AB71+$AA$58</f>
        <v>0.02898</v>
      </c>
      <c r="AD71" s="62" t="n">
        <f aca="false">AC71+$AA$58</f>
        <v>0.0294</v>
      </c>
      <c r="AE71" s="62" t="n">
        <v>0.005</v>
      </c>
      <c r="AF71" s="62" t="n">
        <f aca="false">AE71+$AA$58</f>
        <v>0.00542</v>
      </c>
      <c r="AG71" s="62" t="n">
        <f aca="false">AF71+$AA$58</f>
        <v>0.00584</v>
      </c>
      <c r="AH71" s="62" t="n">
        <f aca="false">AG71+$AA$58</f>
        <v>0.00626</v>
      </c>
      <c r="AI71" s="62" t="n">
        <f aca="false">AH71+$AA$58</f>
        <v>0.00668</v>
      </c>
      <c r="AJ71" s="62" t="n">
        <f aca="false">AI71+$AA$58</f>
        <v>0.0071</v>
      </c>
      <c r="AK71" s="62" t="n">
        <f aca="false">AJ71+$AA$58</f>
        <v>0.00752</v>
      </c>
      <c r="AL71" s="62" t="n">
        <f aca="false">AK71+$AA$58</f>
        <v>0.00794</v>
      </c>
      <c r="AM71" s="62" t="n">
        <f aca="false">AL71+$AA$58</f>
        <v>0.00836</v>
      </c>
      <c r="AN71" s="248"/>
      <c r="AQ71" s="1"/>
      <c r="AR71" s="1"/>
      <c r="AW71" s="0"/>
      <c r="AX71" s="0"/>
    </row>
    <row r="72" customFormat="false" ht="16.5" hidden="false" customHeight="true" outlineLevel="0" collapsed="false">
      <c r="Z72" s="248"/>
      <c r="AA72" s="61" t="n">
        <f aca="false">AA71+1</f>
        <v>2016</v>
      </c>
      <c r="AB72" s="62" t="n">
        <f aca="false">AM71+$AA$58</f>
        <v>0.00878</v>
      </c>
      <c r="AC72" s="62" t="n">
        <f aca="false">AB72+$AA$58</f>
        <v>0.0092</v>
      </c>
      <c r="AD72" s="62" t="n">
        <f aca="false">AC72+$AA$58</f>
        <v>0.00962</v>
      </c>
      <c r="AE72" s="62" t="n">
        <f aca="false">AD72+$AA$58</f>
        <v>0.01004</v>
      </c>
      <c r="AF72" s="62" t="n">
        <f aca="false">AE72+$AA$58</f>
        <v>0.01046</v>
      </c>
      <c r="AG72" s="62" t="n">
        <f aca="false">AF72+$AA$58</f>
        <v>0.01088</v>
      </c>
      <c r="AH72" s="62" t="n">
        <f aca="false">AG72+$AA$58</f>
        <v>0.0113</v>
      </c>
      <c r="AI72" s="62" t="n">
        <f aca="false">AH72+$AA$58</f>
        <v>0.01172</v>
      </c>
      <c r="AJ72" s="62" t="n">
        <f aca="false">AI72+$AA$58</f>
        <v>0.01214</v>
      </c>
      <c r="AK72" s="62" t="n">
        <f aca="false">AJ72+$AA$58</f>
        <v>0.01256</v>
      </c>
      <c r="AL72" s="62" t="n">
        <f aca="false">AK72+$AA$58</f>
        <v>0.01298</v>
      </c>
      <c r="AM72" s="62" t="n">
        <f aca="false">AL72+$AA$58</f>
        <v>0.0134</v>
      </c>
      <c r="AN72" s="248"/>
      <c r="AQ72" s="1"/>
      <c r="AR72" s="1"/>
      <c r="AW72" s="0"/>
      <c r="AX72" s="0"/>
    </row>
    <row r="73" customFormat="false" ht="16.5" hidden="false" customHeight="true" outlineLevel="0" collapsed="false">
      <c r="Z73" s="248"/>
      <c r="AA73" s="79" t="n">
        <f aca="false">AA72+1</f>
        <v>2017</v>
      </c>
      <c r="AB73" s="62" t="n">
        <f aca="false">AM72+$AA$58</f>
        <v>0.01382</v>
      </c>
      <c r="AC73" s="62" t="n">
        <f aca="false">AB73+$AA$58</f>
        <v>0.01424</v>
      </c>
      <c r="AD73" s="62" t="n">
        <f aca="false">AC73+$AA$58</f>
        <v>0.01466</v>
      </c>
      <c r="AE73" s="62" t="n">
        <f aca="false">AD73+$AA$58</f>
        <v>0.01508</v>
      </c>
      <c r="AF73" s="62" t="n">
        <f aca="false">AE73+$AA$58</f>
        <v>0.0155</v>
      </c>
      <c r="AG73" s="62" t="n">
        <f aca="false">AF73+$AA$58</f>
        <v>0.01592</v>
      </c>
      <c r="AH73" s="62" t="n">
        <f aca="false">AG73+$AA$58</f>
        <v>0.01634</v>
      </c>
      <c r="AI73" s="62" t="n">
        <f aca="false">AH73+$AA$58</f>
        <v>0.01676</v>
      </c>
      <c r="AJ73" s="62" t="n">
        <f aca="false">AI73+$AA$58</f>
        <v>0.01718</v>
      </c>
      <c r="AK73" s="62" t="n">
        <f aca="false">AJ73+$AA$58</f>
        <v>0.0176</v>
      </c>
      <c r="AL73" s="62" t="n">
        <f aca="false">AK73+$AA$58</f>
        <v>0.01802</v>
      </c>
      <c r="AM73" s="62" t="n">
        <f aca="false">AL73+$AA$58</f>
        <v>0.01844</v>
      </c>
      <c r="AN73" s="248"/>
      <c r="AQ73" s="1"/>
      <c r="AR73" s="1"/>
      <c r="AW73" s="0"/>
      <c r="AX73" s="0"/>
    </row>
    <row r="74" customFormat="false" ht="16.5" hidden="false" customHeight="true" outlineLevel="0" collapsed="false">
      <c r="Z74" s="248"/>
      <c r="AA74" s="61" t="n">
        <f aca="false">AA73+1</f>
        <v>2018</v>
      </c>
      <c r="AB74" s="62" t="n">
        <f aca="false">AM73+$AA$58</f>
        <v>0.01886</v>
      </c>
      <c r="AC74" s="62" t="n">
        <f aca="false">AB74+$AA$58</f>
        <v>0.01928</v>
      </c>
      <c r="AD74" s="62" t="n">
        <f aca="false">AC74+$AA$58</f>
        <v>0.0197</v>
      </c>
      <c r="AE74" s="62" t="n">
        <f aca="false">AD74-0.005</f>
        <v>0.0147</v>
      </c>
      <c r="AF74" s="62" t="n">
        <f aca="false">AE74+$AA$58</f>
        <v>0.01512</v>
      </c>
      <c r="AG74" s="62" t="n">
        <f aca="false">AF74+$AA$58</f>
        <v>0.01554</v>
      </c>
      <c r="AH74" s="62" t="n">
        <f aca="false">AG74+$AA$58</f>
        <v>0.01596</v>
      </c>
      <c r="AI74" s="62" t="n">
        <f aca="false">AH74+$AA$58</f>
        <v>0.01638</v>
      </c>
      <c r="AJ74" s="62" t="n">
        <f aca="false">AI74+$AA$58</f>
        <v>0.0168</v>
      </c>
      <c r="AK74" s="62" t="n">
        <f aca="false">AJ74+$AA$58</f>
        <v>0.01722</v>
      </c>
      <c r="AL74" s="62" t="n">
        <f aca="false">AK74+$AA$58</f>
        <v>0.01764</v>
      </c>
      <c r="AM74" s="62" t="n">
        <f aca="false">AL74+$AA$58</f>
        <v>0.01806</v>
      </c>
      <c r="AN74" s="248"/>
      <c r="AQ74" s="1"/>
      <c r="AR74" s="1"/>
      <c r="AW74" s="0"/>
      <c r="AX74" s="0"/>
    </row>
    <row r="75" customFormat="false" ht="16.5" hidden="false" customHeight="true" outlineLevel="0" collapsed="false">
      <c r="Z75" s="248"/>
      <c r="AA75" s="79" t="n">
        <f aca="false">AA74+1</f>
        <v>2019</v>
      </c>
      <c r="AB75" s="62" t="n">
        <f aca="false">AM74+$AA$58</f>
        <v>0.01848</v>
      </c>
      <c r="AC75" s="62" t="n">
        <f aca="false">AB75+$AA$58</f>
        <v>0.0189</v>
      </c>
      <c r="AD75" s="62" t="n">
        <f aca="false">AC75+$AA$58</f>
        <v>0.01932</v>
      </c>
      <c r="AE75" s="62" t="n">
        <f aca="false">AD75+$AA$58</f>
        <v>0.01974</v>
      </c>
      <c r="AF75" s="62" t="n">
        <f aca="false">AE75+$AA$58</f>
        <v>0.02016</v>
      </c>
      <c r="AG75" s="62" t="n">
        <f aca="false">AF75+$AA$58</f>
        <v>0.02058</v>
      </c>
      <c r="AH75" s="62" t="n">
        <f aca="false">AG75+$AA$58</f>
        <v>0.021</v>
      </c>
      <c r="AI75" s="62" t="n">
        <f aca="false">AH75+$AA$58</f>
        <v>0.02142</v>
      </c>
      <c r="AJ75" s="62" t="n">
        <f aca="false">AI75+$AA$58</f>
        <v>0.02184</v>
      </c>
      <c r="AK75" s="62" t="n">
        <f aca="false">AJ75+$AA$58</f>
        <v>0.02226</v>
      </c>
      <c r="AL75" s="62" t="n">
        <f aca="false">AK75+$AA$58</f>
        <v>0.02268</v>
      </c>
      <c r="AM75" s="62" t="n">
        <f aca="false">AL75+$AA$58</f>
        <v>0.0231</v>
      </c>
      <c r="AN75" s="248"/>
      <c r="AQ75" s="1"/>
      <c r="AR75" s="1"/>
      <c r="AW75" s="0"/>
      <c r="AX75" s="0"/>
    </row>
    <row r="76" customFormat="false" ht="16.5" hidden="false" customHeight="true" outlineLevel="0" collapsed="false">
      <c r="Z76" s="248"/>
      <c r="AA76" s="61" t="n">
        <f aca="false">AA75+1</f>
        <v>2020</v>
      </c>
      <c r="AB76" s="62" t="n">
        <f aca="false">AM75+$AA$58</f>
        <v>0.02352</v>
      </c>
      <c r="AC76" s="62" t="n">
        <f aca="false">AB76+$AA$58</f>
        <v>0.02394</v>
      </c>
      <c r="AD76" s="62" t="n">
        <f aca="false">AC76+$AA$58</f>
        <v>0.02436</v>
      </c>
      <c r="AE76" s="62" t="n">
        <f aca="false">AD76+$AA$58</f>
        <v>0.02478</v>
      </c>
      <c r="AF76" s="62" t="n">
        <f aca="false">AE76+$AA$58</f>
        <v>0.0252</v>
      </c>
      <c r="AG76" s="62" t="n">
        <f aca="false">AF76+$AA$58</f>
        <v>0.02562</v>
      </c>
      <c r="AH76" s="62" t="n">
        <f aca="false">AG76+$AA$58</f>
        <v>0.02604</v>
      </c>
      <c r="AI76" s="62" t="n">
        <f aca="false">AH76+$AA$58</f>
        <v>0.02646</v>
      </c>
      <c r="AJ76" s="62" t="n">
        <f aca="false">AI76+$AA$58</f>
        <v>0.02688</v>
      </c>
      <c r="AK76" s="62" t="n">
        <f aca="false">AJ76+$AA$58</f>
        <v>0.0273</v>
      </c>
      <c r="AL76" s="62" t="n">
        <f aca="false">AK76+$AA$58</f>
        <v>0.02772</v>
      </c>
      <c r="AM76" s="62" t="n">
        <f aca="false">AL76+$AA$58</f>
        <v>0.02814</v>
      </c>
      <c r="AN76" s="248"/>
      <c r="AQ76" s="1"/>
      <c r="AR76" s="1"/>
      <c r="AW76" s="0"/>
      <c r="AX76" s="0"/>
    </row>
    <row r="77" customFormat="false" ht="16.5" hidden="false" customHeight="true" outlineLevel="0" collapsed="false">
      <c r="Z77" s="248"/>
      <c r="AA77" s="61" t="n">
        <f aca="false">AA76+1</f>
        <v>2021</v>
      </c>
      <c r="AB77" s="62" t="n">
        <f aca="false">AM76+$AA$58</f>
        <v>0.02856</v>
      </c>
      <c r="AC77" s="62" t="n">
        <f aca="false">AB77+$AA$58</f>
        <v>0.02898</v>
      </c>
      <c r="AD77" s="62" t="n">
        <f aca="false">AC77+$AA$58</f>
        <v>0.0294</v>
      </c>
      <c r="AE77" s="62" t="n">
        <v>0.005</v>
      </c>
      <c r="AF77" s="62" t="n">
        <f aca="false">AE77+$AA$58</f>
        <v>0.00542</v>
      </c>
      <c r="AG77" s="62" t="n">
        <f aca="false">AF77+$AA$58</f>
        <v>0.00584</v>
      </c>
      <c r="AH77" s="62" t="n">
        <f aca="false">AG77+$AA$58</f>
        <v>0.00626</v>
      </c>
      <c r="AI77" s="62" t="n">
        <f aca="false">AH77+$AA$58</f>
        <v>0.00668</v>
      </c>
      <c r="AJ77" s="62" t="n">
        <f aca="false">AI77+$AA$58</f>
        <v>0.0071</v>
      </c>
      <c r="AK77" s="62" t="n">
        <f aca="false">AJ77+$AA$58</f>
        <v>0.00752</v>
      </c>
      <c r="AL77" s="62" t="n">
        <f aca="false">AK77+$AA$58</f>
        <v>0.00794</v>
      </c>
      <c r="AM77" s="62" t="n">
        <f aca="false">AL77+$AA$58</f>
        <v>0.00836</v>
      </c>
      <c r="AN77" s="248"/>
      <c r="AQ77" s="1"/>
      <c r="AR77" s="1"/>
      <c r="AW77" s="0"/>
      <c r="AX77" s="0"/>
    </row>
    <row r="78" customFormat="false" ht="16.5" hidden="false" customHeight="true" outlineLevel="0" collapsed="false">
      <c r="Z78" s="248"/>
      <c r="AA78" s="61" t="n">
        <f aca="false">AA77+1</f>
        <v>2022</v>
      </c>
      <c r="AB78" s="62" t="n">
        <f aca="false">AM77+$AA$58</f>
        <v>0.00878</v>
      </c>
      <c r="AC78" s="62" t="n">
        <f aca="false">AB78+$AA$58</f>
        <v>0.0092</v>
      </c>
      <c r="AD78" s="62" t="n">
        <f aca="false">AC78+$AA$58</f>
        <v>0.00962</v>
      </c>
      <c r="AE78" s="62" t="n">
        <f aca="false">AD78+$AA$58</f>
        <v>0.01004</v>
      </c>
      <c r="AF78" s="62" t="n">
        <f aca="false">AE78+$AA$58</f>
        <v>0.01046</v>
      </c>
      <c r="AG78" s="62" t="n">
        <f aca="false">AF78+$AA$58</f>
        <v>0.01088</v>
      </c>
      <c r="AH78" s="62" t="n">
        <f aca="false">AG78+$AA$58</f>
        <v>0.0113</v>
      </c>
      <c r="AI78" s="62" t="n">
        <f aca="false">AH78+$AA$58</f>
        <v>0.01172</v>
      </c>
      <c r="AJ78" s="62" t="n">
        <f aca="false">AI78+$AA$58</f>
        <v>0.01214</v>
      </c>
      <c r="AK78" s="62" t="n">
        <f aca="false">AJ78+$AA$58</f>
        <v>0.01256</v>
      </c>
      <c r="AL78" s="62" t="n">
        <f aca="false">AK78+$AA$58</f>
        <v>0.01298</v>
      </c>
      <c r="AM78" s="62" t="n">
        <f aca="false">AL78+$AA$58</f>
        <v>0.0134</v>
      </c>
      <c r="AN78" s="248"/>
      <c r="AQ78" s="1"/>
      <c r="AR78" s="1"/>
      <c r="AW78" s="0"/>
      <c r="AX78" s="0"/>
    </row>
    <row r="79" customFormat="false" ht="16.5" hidden="false" customHeight="true" outlineLevel="0" collapsed="false">
      <c r="Z79" s="248"/>
      <c r="AA79" s="61" t="n">
        <f aca="false">AA78+1</f>
        <v>2023</v>
      </c>
      <c r="AB79" s="62" t="n">
        <f aca="false">AM78+$AA$58</f>
        <v>0.01382</v>
      </c>
      <c r="AC79" s="62" t="n">
        <f aca="false">AB79+$AA$58</f>
        <v>0.01424</v>
      </c>
      <c r="AD79" s="62" t="n">
        <f aca="false">AC79+$AA$58</f>
        <v>0.01466</v>
      </c>
      <c r="AE79" s="62" t="n">
        <f aca="false">AD79+$AA$58</f>
        <v>0.01508</v>
      </c>
      <c r="AF79" s="62" t="n">
        <f aca="false">AE79+$AA$58</f>
        <v>0.0155</v>
      </c>
      <c r="AG79" s="62" t="n">
        <f aca="false">AF79+$AA$58</f>
        <v>0.01592</v>
      </c>
      <c r="AH79" s="62" t="n">
        <f aca="false">AG79+$AA$58</f>
        <v>0.01634</v>
      </c>
      <c r="AI79" s="62" t="n">
        <f aca="false">AH79+$AA$58</f>
        <v>0.01676</v>
      </c>
      <c r="AJ79" s="62" t="n">
        <f aca="false">AI79+$AA$58</f>
        <v>0.01718</v>
      </c>
      <c r="AK79" s="62" t="n">
        <f aca="false">AJ79+$AA$58</f>
        <v>0.0176</v>
      </c>
      <c r="AL79" s="62" t="n">
        <f aca="false">AK79+$AA$58</f>
        <v>0.01802</v>
      </c>
      <c r="AM79" s="62" t="n">
        <f aca="false">AL79+$AA$58</f>
        <v>0.01844</v>
      </c>
      <c r="AN79" s="248"/>
      <c r="AQ79" s="1"/>
      <c r="AR79" s="1"/>
      <c r="AW79" s="0"/>
      <c r="AX79" s="0"/>
    </row>
    <row r="80" customFormat="false" ht="16.5" hidden="false" customHeight="true" outlineLevel="0" collapsed="false">
      <c r="Z80" s="248"/>
      <c r="AA80" s="61" t="n">
        <f aca="false">AA79+1</f>
        <v>2024</v>
      </c>
      <c r="AB80" s="62" t="n">
        <f aca="false">AM79+$AA$58</f>
        <v>0.01886</v>
      </c>
      <c r="AC80" s="62" t="n">
        <f aca="false">AB80+$AA$58</f>
        <v>0.01928</v>
      </c>
      <c r="AD80" s="62" t="n">
        <f aca="false">AC80+$AA$58</f>
        <v>0.0197</v>
      </c>
      <c r="AE80" s="62" t="n">
        <f aca="false">AD80-0.005</f>
        <v>0.0147</v>
      </c>
      <c r="AF80" s="62" t="n">
        <f aca="false">AE80+$AA$58</f>
        <v>0.01512</v>
      </c>
      <c r="AG80" s="62" t="n">
        <f aca="false">AF80+$AA$58</f>
        <v>0.01554</v>
      </c>
      <c r="AH80" s="62" t="n">
        <f aca="false">AG80+$AA$58</f>
        <v>0.01596</v>
      </c>
      <c r="AI80" s="62" t="n">
        <f aca="false">AH80+$AA$58</f>
        <v>0.01638</v>
      </c>
      <c r="AJ80" s="62" t="n">
        <f aca="false">AI80+$AA$58</f>
        <v>0.0168</v>
      </c>
      <c r="AK80" s="62" t="n">
        <f aca="false">AJ80+$AA$58</f>
        <v>0.01722</v>
      </c>
      <c r="AL80" s="62" t="n">
        <f aca="false">AK80+$AA$58</f>
        <v>0.01764</v>
      </c>
      <c r="AM80" s="62" t="n">
        <f aca="false">AL80+$AA$58</f>
        <v>0.01806</v>
      </c>
      <c r="AN80" s="248"/>
      <c r="AQ80" s="1"/>
      <c r="AR80" s="1"/>
      <c r="AW80" s="0"/>
      <c r="AX80" s="0"/>
    </row>
    <row r="81" customFormat="false" ht="16.5" hidden="false" customHeight="true" outlineLevel="0" collapsed="false">
      <c r="Z81" s="8"/>
      <c r="AA81" s="8"/>
      <c r="AB81" s="8"/>
      <c r="AC81" s="8"/>
      <c r="AD81" s="8"/>
      <c r="AE81" s="8"/>
      <c r="AF81" s="8"/>
      <c r="AG81" s="8"/>
      <c r="AH81" s="8"/>
      <c r="AI81" s="8"/>
      <c r="AJ81" s="8"/>
      <c r="AK81" s="8"/>
      <c r="AL81" s="8"/>
      <c r="AM81" s="8"/>
      <c r="AN81" s="8"/>
      <c r="AQ81" s="1"/>
      <c r="AR81" s="1"/>
      <c r="AW81" s="0"/>
      <c r="AX81" s="0"/>
    </row>
    <row r="82" customFormat="false" ht="16.5" hidden="false" customHeight="true" outlineLevel="0" collapsed="false">
      <c r="V82" s="249"/>
      <c r="W82" s="249"/>
      <c r="X82" s="249"/>
      <c r="Y82" s="249"/>
      <c r="Z82" s="8"/>
      <c r="AA82" s="250" t="s">
        <v>274</v>
      </c>
      <c r="AB82" s="8"/>
      <c r="AC82" s="8"/>
      <c r="AD82" s="8"/>
      <c r="AE82" s="8"/>
      <c r="AF82" s="8"/>
      <c r="AG82" s="250" t="s">
        <v>275</v>
      </c>
      <c r="AH82" s="8"/>
      <c r="AI82" s="8"/>
      <c r="AJ82" s="8"/>
      <c r="AK82" s="8"/>
      <c r="AL82" s="8"/>
      <c r="AM82" s="8"/>
      <c r="AN82" s="8"/>
      <c r="AQ82" s="1"/>
      <c r="AR82" s="1"/>
      <c r="AW82" s="0"/>
      <c r="AX82" s="0"/>
    </row>
    <row r="83" customFormat="false" ht="16.5" hidden="false" customHeight="true" outlineLevel="0" collapsed="false">
      <c r="V83" s="249"/>
      <c r="W83" s="249"/>
      <c r="X83" s="249"/>
      <c r="Y83" s="249"/>
      <c r="Z83" s="8"/>
      <c r="AA83" s="79"/>
      <c r="AB83" s="62" t="s">
        <v>149</v>
      </c>
      <c r="AC83" s="62" t="s">
        <v>132</v>
      </c>
      <c r="AD83" s="8"/>
      <c r="AE83" s="8"/>
      <c r="AF83" s="8"/>
      <c r="AG83" s="79"/>
      <c r="AH83" s="62" t="s">
        <v>149</v>
      </c>
      <c r="AI83" s="62" t="s">
        <v>132</v>
      </c>
      <c r="AJ83" s="8"/>
      <c r="AK83" s="8"/>
      <c r="AL83" s="8"/>
      <c r="AM83" s="8"/>
      <c r="AN83" s="8"/>
      <c r="AQ83" s="1"/>
      <c r="AR83" s="1"/>
      <c r="AV83" s="0"/>
      <c r="AW83" s="0"/>
      <c r="AX83" s="0"/>
    </row>
    <row r="84" customFormat="false" ht="16.5" hidden="false" customHeight="true" outlineLevel="0" collapsed="false">
      <c r="V84" s="109"/>
      <c r="W84" s="109"/>
      <c r="X84" s="109"/>
      <c r="Y84" s="109"/>
      <c r="Z84" s="8"/>
      <c r="AA84" s="79" t="n">
        <v>1</v>
      </c>
      <c r="AB84" s="62" t="n">
        <v>0</v>
      </c>
      <c r="AC84" s="62" t="n">
        <v>0</v>
      </c>
      <c r="AD84" s="8"/>
      <c r="AE84" s="8"/>
      <c r="AF84" s="8"/>
      <c r="AG84" s="79" t="n">
        <v>1</v>
      </c>
      <c r="AH84" s="62" t="n">
        <v>0</v>
      </c>
      <c r="AI84" s="62" t="n">
        <v>0</v>
      </c>
      <c r="AJ84" s="8"/>
      <c r="AK84" s="8"/>
      <c r="AL84" s="8"/>
      <c r="AM84" s="8"/>
      <c r="AN84" s="8"/>
      <c r="AQ84" s="1"/>
      <c r="AR84" s="1"/>
      <c r="AV84" s="0"/>
      <c r="AW84" s="0"/>
      <c r="AX84" s="0"/>
    </row>
    <row r="85" customFormat="false" ht="16.5" hidden="false" customHeight="true" outlineLevel="0" collapsed="false">
      <c r="V85" s="109"/>
      <c r="W85" s="109"/>
      <c r="X85" s="109"/>
      <c r="Y85" s="109"/>
      <c r="Z85" s="8"/>
      <c r="AA85" s="61" t="n">
        <v>2</v>
      </c>
      <c r="AB85" s="62" t="n">
        <v>0</v>
      </c>
      <c r="AC85" s="62" t="n">
        <v>0</v>
      </c>
      <c r="AD85" s="8"/>
      <c r="AE85" s="8"/>
      <c r="AF85" s="8"/>
      <c r="AG85" s="61" t="n">
        <v>2</v>
      </c>
      <c r="AH85" s="62" t="n">
        <v>0</v>
      </c>
      <c r="AI85" s="62" t="n">
        <v>0</v>
      </c>
      <c r="AJ85" s="8"/>
      <c r="AK85" s="8"/>
      <c r="AL85" s="8"/>
      <c r="AM85" s="8"/>
      <c r="AN85" s="8"/>
      <c r="AQ85" s="1"/>
      <c r="AR85" s="1"/>
      <c r="AV85" s="0"/>
      <c r="AW85" s="0"/>
      <c r="AX85" s="0"/>
    </row>
    <row r="86" customFormat="false" ht="16.5" hidden="false" customHeight="true" outlineLevel="0" collapsed="false">
      <c r="V86" s="109"/>
      <c r="W86" s="109"/>
      <c r="X86" s="109"/>
      <c r="Y86" s="109"/>
      <c r="Z86" s="8"/>
      <c r="AA86" s="79" t="n">
        <v>3</v>
      </c>
      <c r="AB86" s="62" t="n">
        <v>0</v>
      </c>
      <c r="AC86" s="62" t="n">
        <v>0</v>
      </c>
      <c r="AD86" s="8"/>
      <c r="AE86" s="8"/>
      <c r="AF86" s="8"/>
      <c r="AG86" s="79" t="n">
        <v>3</v>
      </c>
      <c r="AH86" s="62" t="n">
        <v>0</v>
      </c>
      <c r="AI86" s="62" t="n">
        <v>0</v>
      </c>
      <c r="AJ86" s="8"/>
      <c r="AK86" s="8"/>
      <c r="AL86" s="8"/>
      <c r="AM86" s="8"/>
      <c r="AN86" s="8"/>
      <c r="AQ86" s="1"/>
      <c r="AR86" s="1"/>
      <c r="AV86" s="0"/>
      <c r="AW86" s="0"/>
      <c r="AX86" s="0"/>
    </row>
    <row r="87" customFormat="false" ht="16.5" hidden="false" customHeight="true" outlineLevel="0" collapsed="false">
      <c r="V87" s="109"/>
      <c r="W87" s="109"/>
      <c r="X87" s="109"/>
      <c r="Y87" s="109"/>
      <c r="Z87" s="8"/>
      <c r="AA87" s="61" t="n">
        <v>4</v>
      </c>
      <c r="AB87" s="62" t="n">
        <v>0</v>
      </c>
      <c r="AC87" s="62" t="n">
        <v>0</v>
      </c>
      <c r="AD87" s="8"/>
      <c r="AE87" s="8"/>
      <c r="AF87" s="8"/>
      <c r="AG87" s="61" t="n">
        <v>4</v>
      </c>
      <c r="AH87" s="62" t="n">
        <v>0</v>
      </c>
      <c r="AI87" s="62" t="n">
        <v>0</v>
      </c>
      <c r="AJ87" s="8"/>
      <c r="AK87" s="8"/>
      <c r="AL87" s="8"/>
      <c r="AM87" s="8"/>
      <c r="AN87" s="8"/>
      <c r="AQ87" s="1"/>
      <c r="AR87" s="1"/>
      <c r="AV87" s="0"/>
      <c r="AW87" s="0"/>
      <c r="AX87" s="0"/>
    </row>
    <row r="88" customFormat="false" ht="12.75" hidden="false" customHeight="false" outlineLevel="0" collapsed="false">
      <c r="V88" s="109"/>
      <c r="W88" s="109"/>
      <c r="X88" s="109"/>
      <c r="Y88" s="109"/>
      <c r="Z88" s="8"/>
      <c r="AA88" s="79" t="n">
        <v>5</v>
      </c>
      <c r="AB88" s="62" t="n">
        <v>0</v>
      </c>
      <c r="AC88" s="62" t="n">
        <v>0</v>
      </c>
      <c r="AD88" s="8"/>
      <c r="AE88" s="8"/>
      <c r="AF88" s="8"/>
      <c r="AG88" s="79" t="n">
        <v>5</v>
      </c>
      <c r="AH88" s="62" t="n">
        <v>0</v>
      </c>
      <c r="AI88" s="62" t="n">
        <v>0</v>
      </c>
      <c r="AJ88" s="8"/>
      <c r="AK88" s="8"/>
      <c r="AL88" s="8"/>
      <c r="AM88" s="8"/>
      <c r="AN88" s="8"/>
      <c r="AQ88" s="1"/>
      <c r="AR88" s="1"/>
      <c r="AV88" s="0"/>
      <c r="AW88" s="0"/>
      <c r="AX88" s="0"/>
    </row>
    <row r="89" customFormat="false" ht="12.75" hidden="false" customHeight="false" outlineLevel="0" collapsed="false">
      <c r="V89" s="109"/>
      <c r="W89" s="109"/>
      <c r="X89" s="109"/>
      <c r="Y89" s="109"/>
      <c r="Z89" s="8"/>
      <c r="AA89" s="61" t="n">
        <v>6</v>
      </c>
      <c r="AB89" s="62" t="n">
        <v>0</v>
      </c>
      <c r="AC89" s="62" t="n">
        <v>0</v>
      </c>
      <c r="AD89" s="8"/>
      <c r="AE89" s="8"/>
      <c r="AF89" s="8"/>
      <c r="AG89" s="61" t="n">
        <v>6</v>
      </c>
      <c r="AH89" s="62" t="n">
        <v>0</v>
      </c>
      <c r="AI89" s="62" t="n">
        <v>0</v>
      </c>
      <c r="AJ89" s="8"/>
      <c r="AK89" s="8"/>
      <c r="AL89" s="8"/>
      <c r="AM89" s="8"/>
      <c r="AN89" s="8"/>
      <c r="AQ89" s="1"/>
      <c r="AR89" s="1"/>
      <c r="AV89" s="0"/>
      <c r="AW89" s="0"/>
      <c r="AX89" s="0"/>
    </row>
    <row r="90" customFormat="false" ht="12.75" hidden="false" customHeight="false" outlineLevel="0" collapsed="false">
      <c r="V90" s="109"/>
      <c r="W90" s="109"/>
      <c r="X90" s="109"/>
      <c r="Y90" s="109"/>
      <c r="Z90" s="8"/>
      <c r="AA90" s="79" t="n">
        <v>7</v>
      </c>
      <c r="AB90" s="62" t="n">
        <v>0</v>
      </c>
      <c r="AC90" s="62" t="n">
        <v>0</v>
      </c>
      <c r="AD90" s="8"/>
      <c r="AE90" s="8"/>
      <c r="AF90" s="8"/>
      <c r="AG90" s="79" t="n">
        <v>7</v>
      </c>
      <c r="AH90" s="62" t="n">
        <v>0</v>
      </c>
      <c r="AI90" s="62" t="n">
        <v>0</v>
      </c>
      <c r="AJ90" s="8"/>
      <c r="AK90" s="8"/>
      <c r="AL90" s="8"/>
      <c r="AM90" s="8"/>
      <c r="AN90" s="8"/>
      <c r="AQ90" s="1"/>
      <c r="AR90" s="1"/>
      <c r="AV90" s="0"/>
      <c r="AW90" s="0"/>
      <c r="AX90" s="0"/>
    </row>
    <row r="91" customFormat="false" ht="16.5" hidden="false" customHeight="true" outlineLevel="0" collapsed="false">
      <c r="V91" s="109"/>
      <c r="W91" s="109"/>
      <c r="X91" s="109"/>
      <c r="Y91" s="109"/>
      <c r="Z91" s="8"/>
      <c r="AA91" s="61" t="n">
        <v>8</v>
      </c>
      <c r="AB91" s="62" t="n">
        <v>0</v>
      </c>
      <c r="AC91" s="62" t="n">
        <v>0</v>
      </c>
      <c r="AD91" s="8"/>
      <c r="AE91" s="8"/>
      <c r="AF91" s="8"/>
      <c r="AG91" s="61" t="n">
        <v>8</v>
      </c>
      <c r="AH91" s="62" t="n">
        <v>0</v>
      </c>
      <c r="AI91" s="62" t="n">
        <v>0</v>
      </c>
      <c r="AJ91" s="8"/>
      <c r="AK91" s="8"/>
      <c r="AL91" s="8"/>
      <c r="AM91" s="8"/>
      <c r="AN91" s="8"/>
      <c r="AQ91" s="1"/>
      <c r="AR91" s="1"/>
      <c r="AV91" s="0"/>
      <c r="AW91" s="0"/>
      <c r="AX91" s="0"/>
    </row>
    <row r="92" customFormat="false" ht="16.5" hidden="false" customHeight="true" outlineLevel="0" collapsed="false">
      <c r="V92" s="109"/>
      <c r="W92" s="109"/>
      <c r="X92" s="109"/>
      <c r="Y92" s="109"/>
      <c r="Z92" s="8"/>
      <c r="AA92" s="79" t="n">
        <v>9</v>
      </c>
      <c r="AB92" s="62" t="n">
        <v>0</v>
      </c>
      <c r="AC92" s="62" t="n">
        <v>0</v>
      </c>
      <c r="AD92" s="8"/>
      <c r="AE92" s="8"/>
      <c r="AF92" s="8"/>
      <c r="AG92" s="79" t="n">
        <v>9</v>
      </c>
      <c r="AH92" s="62" t="n">
        <v>0</v>
      </c>
      <c r="AI92" s="62" t="n">
        <v>0</v>
      </c>
      <c r="AJ92" s="8"/>
      <c r="AK92" s="8"/>
      <c r="AL92" s="8"/>
      <c r="AM92" s="8"/>
      <c r="AN92" s="8"/>
      <c r="AQ92" s="1"/>
      <c r="AR92" s="1"/>
      <c r="AV92" s="0"/>
      <c r="AW92" s="0"/>
      <c r="AX92" s="0"/>
    </row>
    <row r="93" customFormat="false" ht="12.75" hidden="false" customHeight="false" outlineLevel="0" collapsed="false">
      <c r="Z93" s="8"/>
      <c r="AA93" s="61" t="n">
        <v>10</v>
      </c>
      <c r="AB93" s="62" t="n">
        <v>0</v>
      </c>
      <c r="AC93" s="62" t="n">
        <v>0</v>
      </c>
      <c r="AD93" s="8"/>
      <c r="AE93" s="8"/>
      <c r="AF93" s="8"/>
      <c r="AG93" s="61" t="n">
        <v>10</v>
      </c>
      <c r="AH93" s="62" t="n">
        <v>0</v>
      </c>
      <c r="AI93" s="62" t="n">
        <v>0</v>
      </c>
      <c r="AJ93" s="8"/>
      <c r="AK93" s="8"/>
      <c r="AL93" s="8"/>
      <c r="AM93" s="8"/>
      <c r="AN93" s="8"/>
      <c r="AQ93" s="1"/>
      <c r="AR93" s="1"/>
      <c r="AV93" s="0"/>
      <c r="AW93" s="0"/>
      <c r="AX93" s="0"/>
    </row>
    <row r="94" customFormat="false" ht="12.75" hidden="false" customHeight="false" outlineLevel="0" collapsed="false">
      <c r="Z94" s="8"/>
      <c r="AA94" s="79" t="n">
        <v>11</v>
      </c>
      <c r="AB94" s="62" t="n">
        <v>0</v>
      </c>
      <c r="AC94" s="62" t="n">
        <v>0</v>
      </c>
      <c r="AD94" s="8"/>
      <c r="AE94" s="8"/>
      <c r="AF94" s="8"/>
      <c r="AG94" s="79" t="n">
        <v>11</v>
      </c>
      <c r="AH94" s="62" t="n">
        <v>0</v>
      </c>
      <c r="AI94" s="62" t="n">
        <v>0</v>
      </c>
      <c r="AJ94" s="8"/>
      <c r="AK94" s="8"/>
      <c r="AL94" s="8"/>
      <c r="AM94" s="8"/>
      <c r="AN94" s="8"/>
      <c r="AQ94" s="1"/>
      <c r="AR94" s="1"/>
      <c r="AV94" s="0"/>
      <c r="AW94" s="0"/>
      <c r="AX94" s="0"/>
    </row>
    <row r="95" customFormat="false" ht="12.75" hidden="false" customHeight="false" outlineLevel="0" collapsed="false">
      <c r="Z95" s="8"/>
      <c r="AA95" s="61" t="n">
        <v>12</v>
      </c>
      <c r="AB95" s="62" t="n">
        <v>0</v>
      </c>
      <c r="AC95" s="62" t="n">
        <v>0</v>
      </c>
      <c r="AD95" s="8"/>
      <c r="AE95" s="8"/>
      <c r="AF95" s="8"/>
      <c r="AG95" s="61" t="n">
        <v>12</v>
      </c>
      <c r="AH95" s="62" t="n">
        <v>0</v>
      </c>
      <c r="AI95" s="62" t="n">
        <v>0</v>
      </c>
      <c r="AJ95" s="8"/>
      <c r="AK95" s="8"/>
      <c r="AL95" s="8"/>
      <c r="AM95" s="8"/>
      <c r="AN95" s="8"/>
      <c r="AQ95" s="1"/>
      <c r="AR95" s="1"/>
      <c r="AV95" s="0"/>
      <c r="AW95" s="0"/>
      <c r="AX95" s="0"/>
    </row>
    <row r="96" customFormat="false" ht="12.75" hidden="false" customHeight="false" outlineLevel="0" collapsed="false">
      <c r="Z96" s="8"/>
      <c r="AA96" s="8"/>
      <c r="AB96" s="8"/>
      <c r="AC96" s="8"/>
      <c r="AD96" s="8"/>
      <c r="AE96" s="8"/>
      <c r="AF96" s="8"/>
      <c r="AG96" s="8"/>
      <c r="AH96" s="8"/>
      <c r="AI96" s="8"/>
      <c r="AJ96" s="8"/>
      <c r="AK96" s="8"/>
      <c r="AL96" s="8"/>
      <c r="AM96" s="8"/>
      <c r="AN96" s="8"/>
      <c r="AQ96" s="1"/>
      <c r="AR96" s="1"/>
      <c r="AV96" s="0"/>
      <c r="AW96" s="0"/>
      <c r="AX96" s="0"/>
    </row>
    <row r="97" customFormat="false" ht="12.75" hidden="false" customHeight="false" outlineLevel="0" collapsed="false">
      <c r="Z97" s="8"/>
      <c r="AA97" s="8"/>
      <c r="AB97" s="8"/>
      <c r="AC97" s="8"/>
      <c r="AD97" s="8"/>
      <c r="AE97" s="8"/>
      <c r="AF97" s="8"/>
      <c r="AG97" s="8"/>
      <c r="AH97" s="8"/>
      <c r="AI97" s="8"/>
      <c r="AJ97" s="8"/>
      <c r="AK97" s="8"/>
      <c r="AL97" s="8"/>
      <c r="AM97" s="8"/>
      <c r="AN97" s="8"/>
      <c r="AQ97" s="1"/>
      <c r="AR97" s="1"/>
      <c r="AS97" s="251"/>
      <c r="AT97" s="251"/>
      <c r="AU97" s="251"/>
      <c r="AV97" s="252"/>
      <c r="AW97" s="252"/>
    </row>
    <row r="98" customFormat="false" ht="12.75" hidden="false" customHeight="false" outlineLevel="0" collapsed="false">
      <c r="Z98" s="8"/>
      <c r="AA98" s="8"/>
      <c r="AB98" s="8"/>
      <c r="AC98" s="8"/>
      <c r="AD98" s="8"/>
      <c r="AE98" s="8"/>
      <c r="AF98" s="8"/>
      <c r="AG98" s="8"/>
      <c r="AH98" s="8"/>
      <c r="AI98" s="8"/>
      <c r="AJ98" s="8"/>
      <c r="AK98" s="8"/>
      <c r="AL98" s="8"/>
      <c r="AM98" s="8"/>
      <c r="AN98" s="8"/>
      <c r="AQ98" s="1"/>
      <c r="AR98" s="1"/>
      <c r="AS98" s="251"/>
      <c r="AT98" s="251"/>
      <c r="AU98" s="251"/>
      <c r="AV98" s="252"/>
      <c r="AW98" s="252"/>
    </row>
    <row r="99" customFormat="false" ht="12.75" hidden="false" customHeight="false" outlineLevel="0" collapsed="false">
      <c r="Z99" s="8"/>
      <c r="AA99" s="8"/>
      <c r="AB99" s="8"/>
      <c r="AC99" s="8"/>
      <c r="AD99" s="8"/>
      <c r="AE99" s="8"/>
      <c r="AF99" s="8"/>
      <c r="AG99" s="8"/>
      <c r="AH99" s="8"/>
      <c r="AI99" s="8"/>
      <c r="AJ99" s="8"/>
      <c r="AK99" s="8"/>
      <c r="AL99" s="8"/>
      <c r="AM99" s="8"/>
      <c r="AN99" s="8"/>
      <c r="AQ99" s="1"/>
      <c r="AR99" s="1"/>
      <c r="AS99" s="251"/>
      <c r="AT99" s="251"/>
      <c r="AU99" s="251"/>
      <c r="AV99" s="252"/>
      <c r="AW99" s="252"/>
    </row>
    <row r="100" customFormat="false" ht="12.75" hidden="false" customHeight="false" outlineLevel="0" collapsed="false">
      <c r="V100" s="109"/>
      <c r="W100" s="109"/>
      <c r="X100" s="109"/>
      <c r="Y100" s="109"/>
      <c r="Z100" s="109"/>
      <c r="AA100" s="109"/>
      <c r="AB100" s="109"/>
      <c r="AC100" s="109"/>
      <c r="AD100" s="109"/>
      <c r="AE100" s="109"/>
      <c r="AF100" s="109"/>
      <c r="AG100" s="109"/>
      <c r="AH100" s="109"/>
      <c r="AI100" s="109"/>
      <c r="AJ100" s="109"/>
      <c r="AK100" s="109"/>
      <c r="AL100" s="109"/>
      <c r="AM100" s="109"/>
      <c r="AN100" s="109"/>
      <c r="AS100" s="0"/>
      <c r="AT100" s="0"/>
      <c r="AU100" s="252"/>
      <c r="AV100" s="252"/>
      <c r="AW100" s="252"/>
    </row>
    <row r="101" customFormat="false" ht="12.75" hidden="false" customHeight="false" outlineLevel="0" collapsed="false">
      <c r="F101" s="251"/>
      <c r="V101" s="109"/>
      <c r="W101" s="109"/>
      <c r="X101" s="109"/>
      <c r="Y101" s="109"/>
      <c r="Z101" s="109"/>
      <c r="AA101" s="109"/>
      <c r="AB101" s="109"/>
      <c r="AC101" s="109"/>
      <c r="AD101" s="109"/>
      <c r="AE101" s="109"/>
      <c r="AF101" s="109"/>
      <c r="AG101" s="109"/>
      <c r="AH101" s="109"/>
      <c r="AI101" s="109"/>
      <c r="AJ101" s="109"/>
      <c r="AK101" s="109"/>
      <c r="AL101" s="109"/>
      <c r="AM101" s="109"/>
      <c r="AN101" s="109"/>
      <c r="AS101" s="0"/>
      <c r="AT101" s="0"/>
      <c r="AU101" s="252"/>
      <c r="AV101" s="252"/>
      <c r="AW101" s="252"/>
    </row>
    <row r="102" customFormat="false" ht="12.75" hidden="false" customHeight="false" outlineLevel="0" collapsed="false">
      <c r="F102" s="251"/>
      <c r="V102" s="109"/>
      <c r="W102" s="109"/>
      <c r="X102" s="109"/>
      <c r="Y102" s="109"/>
      <c r="Z102" s="109"/>
      <c r="AA102" s="109"/>
      <c r="AB102" s="109"/>
      <c r="AC102" s="109"/>
      <c r="AD102" s="109"/>
      <c r="AE102" s="109"/>
      <c r="AF102" s="109"/>
      <c r="AG102" s="109"/>
      <c r="AH102" s="109"/>
      <c r="AI102" s="109"/>
      <c r="AJ102" s="109"/>
      <c r="AK102" s="109"/>
      <c r="AL102" s="109"/>
      <c r="AM102" s="109"/>
      <c r="AN102" s="109"/>
      <c r="AS102" s="0"/>
      <c r="AT102" s="0"/>
      <c r="AU102" s="252"/>
      <c r="AV102" s="252"/>
      <c r="AW102" s="252"/>
    </row>
    <row r="103" customFormat="false" ht="12.75" hidden="false" customHeight="false" outlineLevel="0" collapsed="false">
      <c r="F103" s="253" t="s">
        <v>3</v>
      </c>
      <c r="V103" s="109"/>
      <c r="W103" s="109"/>
      <c r="X103" s="109"/>
      <c r="Y103" s="109"/>
      <c r="Z103" s="109"/>
      <c r="AA103" s="109"/>
      <c r="AB103" s="109"/>
      <c r="AC103" s="109"/>
      <c r="AD103" s="109"/>
      <c r="AE103" s="109"/>
      <c r="AF103" s="109"/>
      <c r="AG103" s="109"/>
      <c r="AH103" s="109"/>
      <c r="AI103" s="109"/>
      <c r="AJ103" s="109"/>
      <c r="AK103" s="109"/>
      <c r="AL103" s="109"/>
      <c r="AM103" s="109"/>
      <c r="AN103" s="109"/>
      <c r="AS103" s="0"/>
      <c r="AT103" s="0"/>
      <c r="AU103" s="252"/>
      <c r="AV103" s="252"/>
      <c r="AW103" s="252"/>
    </row>
    <row r="104" customFormat="false" ht="12.75" hidden="false" customHeight="false" outlineLevel="0" collapsed="false">
      <c r="F104" s="251"/>
      <c r="V104" s="109"/>
      <c r="W104" s="109"/>
      <c r="X104" s="109"/>
      <c r="Y104" s="109"/>
      <c r="Z104" s="109"/>
      <c r="AA104" s="109"/>
      <c r="AB104" s="109"/>
      <c r="AC104" s="109"/>
      <c r="AD104" s="109"/>
      <c r="AE104" s="109"/>
      <c r="AF104" s="109"/>
      <c r="AG104" s="109"/>
      <c r="AH104" s="109"/>
      <c r="AI104" s="109"/>
      <c r="AJ104" s="109"/>
      <c r="AK104" s="109"/>
      <c r="AL104" s="109"/>
      <c r="AM104" s="109"/>
      <c r="AN104" s="109"/>
      <c r="AS104" s="0"/>
      <c r="AT104" s="0"/>
      <c r="AU104" s="252"/>
      <c r="AV104" s="252"/>
      <c r="AW104" s="252"/>
    </row>
    <row r="105" customFormat="false" ht="12.75" hidden="false" customHeight="false" outlineLevel="0" collapsed="false">
      <c r="F105" s="254" t="s">
        <v>3</v>
      </c>
      <c r="V105" s="109"/>
      <c r="W105" s="109"/>
      <c r="X105" s="109"/>
      <c r="Y105" s="109"/>
      <c r="Z105" s="109"/>
      <c r="AA105" s="109"/>
      <c r="AB105" s="109"/>
      <c r="AC105" s="109"/>
      <c r="AD105" s="109"/>
      <c r="AE105" s="109"/>
      <c r="AF105" s="109"/>
      <c r="AG105" s="109"/>
      <c r="AH105" s="109"/>
      <c r="AI105" s="109"/>
      <c r="AJ105" s="109"/>
      <c r="AK105" s="109"/>
      <c r="AL105" s="109"/>
      <c r="AM105" s="109"/>
      <c r="AN105" s="109"/>
      <c r="AS105" s="0"/>
      <c r="AT105" s="0"/>
      <c r="AU105" s="252"/>
      <c r="AV105" s="252"/>
      <c r="AW105" s="252"/>
    </row>
    <row r="106" customFormat="false" ht="12.75" hidden="false" customHeight="false" outlineLevel="0" collapsed="false">
      <c r="F106" s="253" t="s">
        <v>3</v>
      </c>
      <c r="V106" s="109"/>
      <c r="W106" s="109"/>
      <c r="X106" s="109"/>
      <c r="Y106" s="109"/>
      <c r="Z106" s="109"/>
      <c r="AA106" s="109"/>
      <c r="AB106" s="109"/>
      <c r="AC106" s="109"/>
      <c r="AD106" s="109"/>
      <c r="AE106" s="109"/>
      <c r="AF106" s="109"/>
      <c r="AG106" s="109"/>
      <c r="AH106" s="109"/>
      <c r="AI106" s="109"/>
      <c r="AJ106" s="109"/>
      <c r="AK106" s="109"/>
      <c r="AL106" s="109"/>
      <c r="AM106" s="109"/>
      <c r="AN106" s="109"/>
      <c r="AS106" s="0"/>
      <c r="AT106" s="0"/>
      <c r="AU106" s="252"/>
      <c r="AV106" s="252"/>
      <c r="AW106" s="252"/>
    </row>
    <row r="107" customFormat="false" ht="12.75" hidden="false" customHeight="false" outlineLevel="0" collapsed="false">
      <c r="B107" s="255" t="s">
        <v>3</v>
      </c>
      <c r="C107" s="256"/>
      <c r="D107" s="257"/>
      <c r="E107" s="257"/>
      <c r="F107" s="256" t="s">
        <v>3</v>
      </c>
      <c r="V107" s="109"/>
      <c r="W107" s="109"/>
      <c r="X107" s="109"/>
      <c r="Y107" s="109"/>
      <c r="Z107" s="109"/>
      <c r="AA107" s="109"/>
      <c r="AB107" s="109"/>
      <c r="AC107" s="109"/>
      <c r="AD107" s="109"/>
      <c r="AE107" s="109"/>
      <c r="AF107" s="109"/>
      <c r="AG107" s="109"/>
      <c r="AH107" s="109"/>
      <c r="AI107" s="109"/>
      <c r="AJ107" s="109"/>
      <c r="AK107" s="109"/>
      <c r="AL107" s="109"/>
      <c r="AM107" s="109"/>
      <c r="AN107" s="109"/>
      <c r="AS107" s="0"/>
      <c r="AT107" s="0"/>
      <c r="AU107" s="252"/>
      <c r="AV107" s="252"/>
      <c r="AW107" s="252"/>
    </row>
    <row r="108" customFormat="false" ht="12.75" hidden="false" customHeight="false" outlineLevel="0" collapsed="false">
      <c r="F108" s="254" t="s">
        <v>3</v>
      </c>
      <c r="V108" s="109"/>
      <c r="W108" s="109"/>
      <c r="X108" s="109"/>
      <c r="Y108" s="109"/>
      <c r="Z108" s="109"/>
      <c r="AA108" s="109"/>
      <c r="AB108" s="109"/>
      <c r="AC108" s="109"/>
      <c r="AD108" s="109"/>
      <c r="AE108" s="109"/>
      <c r="AF108" s="109"/>
      <c r="AG108" s="109"/>
      <c r="AH108" s="109"/>
      <c r="AI108" s="109"/>
      <c r="AJ108" s="109"/>
      <c r="AK108" s="109"/>
      <c r="AL108" s="109"/>
      <c r="AM108" s="109"/>
      <c r="AN108" s="109"/>
      <c r="AS108" s="0"/>
      <c r="AT108" s="0"/>
      <c r="AU108" s="252"/>
      <c r="AV108" s="252"/>
      <c r="AW108" s="252"/>
    </row>
    <row r="109" customFormat="false" ht="12.75" hidden="false" customHeight="false" outlineLevel="0" collapsed="false">
      <c r="F109" s="254"/>
      <c r="V109" s="109"/>
      <c r="W109" s="109"/>
      <c r="X109" s="109"/>
      <c r="Y109" s="109"/>
      <c r="Z109" s="109"/>
      <c r="AA109" s="109"/>
      <c r="AB109" s="109"/>
      <c r="AC109" s="109"/>
      <c r="AD109" s="109"/>
      <c r="AE109" s="109"/>
      <c r="AF109" s="109"/>
      <c r="AG109" s="109"/>
      <c r="AH109" s="109"/>
      <c r="AI109" s="109"/>
      <c r="AJ109" s="109"/>
      <c r="AK109" s="109"/>
      <c r="AL109" s="109"/>
      <c r="AM109" s="109"/>
      <c r="AN109" s="109"/>
      <c r="AS109" s="0"/>
      <c r="AT109" s="0"/>
      <c r="AU109" s="252"/>
      <c r="AV109" s="252"/>
      <c r="AW109" s="252"/>
    </row>
    <row r="110" customFormat="false" ht="12.75" hidden="false" customHeight="false" outlineLevel="0" collapsed="false">
      <c r="F110" s="254"/>
      <c r="V110" s="109"/>
      <c r="W110" s="109"/>
      <c r="X110" s="109"/>
      <c r="Y110" s="109"/>
      <c r="Z110" s="109"/>
      <c r="AA110" s="109"/>
      <c r="AB110" s="109"/>
      <c r="AC110" s="109"/>
      <c r="AD110" s="109"/>
      <c r="AE110" s="109"/>
      <c r="AF110" s="109"/>
      <c r="AG110" s="109"/>
      <c r="AH110" s="109"/>
      <c r="AI110" s="109"/>
      <c r="AJ110" s="109"/>
      <c r="AK110" s="109"/>
      <c r="AL110" s="109"/>
      <c r="AM110" s="109"/>
      <c r="AN110" s="109"/>
      <c r="AS110" s="0"/>
      <c r="AT110" s="0"/>
      <c r="AU110" s="252"/>
      <c r="AV110" s="252"/>
      <c r="AW110" s="252"/>
    </row>
    <row r="111" customFormat="false" ht="12.75" hidden="false" customHeight="false" outlineLevel="0" collapsed="false">
      <c r="F111" s="254"/>
      <c r="V111" s="109"/>
      <c r="W111" s="109"/>
      <c r="X111" s="109"/>
      <c r="Y111" s="109"/>
      <c r="Z111" s="109"/>
      <c r="AA111" s="109"/>
      <c r="AB111" s="109"/>
      <c r="AC111" s="109"/>
      <c r="AD111" s="109"/>
      <c r="AE111" s="109"/>
      <c r="AF111" s="109"/>
      <c r="AG111" s="109"/>
      <c r="AH111" s="109"/>
      <c r="AI111" s="109"/>
      <c r="AJ111" s="109"/>
      <c r="AK111" s="109"/>
      <c r="AL111" s="109"/>
      <c r="AM111" s="109"/>
      <c r="AN111" s="109"/>
      <c r="AS111" s="258"/>
      <c r="AT111" s="258"/>
      <c r="AU111" s="252"/>
      <c r="AV111" s="252"/>
      <c r="AW111" s="252"/>
    </row>
    <row r="112" customFormat="false" ht="12.75" hidden="false" customHeight="false" outlineLevel="0" collapsed="false">
      <c r="F112" s="259" t="s">
        <v>3</v>
      </c>
      <c r="V112" s="109"/>
      <c r="W112" s="109"/>
      <c r="X112" s="109"/>
      <c r="Y112" s="109"/>
      <c r="Z112" s="109"/>
      <c r="AA112" s="109"/>
      <c r="AB112" s="109"/>
      <c r="AC112" s="109"/>
      <c r="AD112" s="109"/>
      <c r="AE112" s="109"/>
      <c r="AF112" s="109"/>
      <c r="AG112" s="109"/>
      <c r="AH112" s="109"/>
      <c r="AI112" s="109"/>
      <c r="AJ112" s="109"/>
      <c r="AK112" s="109"/>
      <c r="AL112" s="109"/>
      <c r="AM112" s="109"/>
      <c r="AN112" s="109"/>
      <c r="AS112" s="252"/>
      <c r="AT112" s="252"/>
      <c r="AU112" s="252"/>
      <c r="AV112" s="252"/>
      <c r="AW112" s="252"/>
    </row>
    <row r="113" customFormat="false" ht="12.75" hidden="false" customHeight="false" outlineLevel="0" collapsed="false">
      <c r="F113" s="259"/>
      <c r="V113" s="109"/>
      <c r="W113" s="109"/>
      <c r="X113" s="109"/>
      <c r="Y113" s="109"/>
      <c r="Z113" s="109"/>
      <c r="AA113" s="109"/>
      <c r="AB113" s="109"/>
      <c r="AC113" s="109"/>
      <c r="AD113" s="109"/>
      <c r="AE113" s="109"/>
      <c r="AF113" s="109"/>
      <c r="AG113" s="109"/>
      <c r="AH113" s="109"/>
      <c r="AI113" s="109"/>
      <c r="AJ113" s="109"/>
      <c r="AK113" s="109"/>
      <c r="AL113" s="109"/>
      <c r="AM113" s="109"/>
      <c r="AN113" s="109"/>
      <c r="AS113" s="252"/>
      <c r="AT113" s="252"/>
      <c r="AU113" s="252"/>
      <c r="AV113" s="252"/>
      <c r="AW113" s="252"/>
    </row>
    <row r="114" customFormat="false" ht="12.75" hidden="false" customHeight="false" outlineLevel="0" collapsed="false">
      <c r="F114" s="259"/>
      <c r="V114" s="109"/>
      <c r="W114" s="109"/>
      <c r="X114" s="109"/>
      <c r="Y114" s="109"/>
      <c r="Z114" s="109"/>
      <c r="AA114" s="109"/>
      <c r="AB114" s="109"/>
      <c r="AC114" s="109"/>
      <c r="AD114" s="109"/>
      <c r="AE114" s="109"/>
      <c r="AF114" s="109"/>
      <c r="AG114" s="109"/>
      <c r="AH114" s="109"/>
      <c r="AI114" s="109"/>
      <c r="AJ114" s="109"/>
      <c r="AK114" s="109"/>
      <c r="AL114" s="109"/>
      <c r="AM114" s="109"/>
      <c r="AN114" s="109"/>
      <c r="AS114" s="252"/>
      <c r="AT114" s="252"/>
      <c r="AU114" s="252"/>
      <c r="AV114" s="252"/>
      <c r="AW114" s="252"/>
    </row>
    <row r="115" customFormat="false" ht="12.75" hidden="false" customHeight="false" outlineLevel="0" collapsed="false">
      <c r="F115" s="259"/>
      <c r="V115" s="109"/>
      <c r="W115" s="109"/>
      <c r="X115" s="109"/>
      <c r="Y115" s="109"/>
      <c r="Z115" s="109"/>
      <c r="AA115" s="109"/>
      <c r="AB115" s="109"/>
      <c r="AC115" s="109"/>
      <c r="AD115" s="109"/>
      <c r="AE115" s="109"/>
      <c r="AF115" s="109"/>
      <c r="AG115" s="109"/>
      <c r="AH115" s="109"/>
      <c r="AI115" s="109"/>
      <c r="AJ115" s="109"/>
      <c r="AK115" s="109"/>
      <c r="AL115" s="109"/>
      <c r="AM115" s="109"/>
      <c r="AN115" s="109"/>
      <c r="AS115" s="252"/>
      <c r="AT115" s="252"/>
      <c r="AU115" s="252"/>
      <c r="AV115" s="252"/>
      <c r="AW115" s="252"/>
    </row>
    <row r="116" customFormat="false" ht="12.75" hidden="false" customHeight="false" outlineLevel="0" collapsed="false">
      <c r="F116" s="259"/>
      <c r="V116" s="109"/>
      <c r="W116" s="109"/>
      <c r="X116" s="109"/>
      <c r="Y116" s="109"/>
      <c r="Z116" s="109"/>
      <c r="AA116" s="109"/>
      <c r="AB116" s="109"/>
      <c r="AC116" s="109"/>
      <c r="AD116" s="109"/>
      <c r="AE116" s="109"/>
      <c r="AF116" s="109"/>
      <c r="AG116" s="109"/>
      <c r="AH116" s="109"/>
      <c r="AI116" s="109"/>
      <c r="AJ116" s="109"/>
      <c r="AK116" s="109"/>
      <c r="AL116" s="109"/>
      <c r="AM116" s="109"/>
      <c r="AN116" s="109"/>
      <c r="AS116" s="252"/>
      <c r="AT116" s="252"/>
      <c r="AU116" s="252"/>
      <c r="AV116" s="252"/>
      <c r="AW116" s="252"/>
    </row>
    <row r="117" customFormat="false" ht="12.75" hidden="false" customHeight="false" outlineLevel="0" collapsed="false">
      <c r="F117" s="259"/>
      <c r="V117" s="109"/>
      <c r="W117" s="109"/>
      <c r="X117" s="109"/>
      <c r="Y117" s="109"/>
      <c r="Z117" s="109"/>
      <c r="AA117" s="109"/>
      <c r="AB117" s="109"/>
      <c r="AC117" s="109"/>
      <c r="AD117" s="109"/>
      <c r="AE117" s="109"/>
      <c r="AF117" s="109"/>
      <c r="AG117" s="109"/>
      <c r="AH117" s="109"/>
      <c r="AI117" s="109"/>
      <c r="AJ117" s="109"/>
      <c r="AK117" s="109"/>
      <c r="AL117" s="109"/>
      <c r="AM117" s="109"/>
      <c r="AN117" s="109"/>
      <c r="AO117" s="0"/>
      <c r="AP117" s="0"/>
      <c r="AS117" s="252"/>
      <c r="AT117" s="252"/>
      <c r="AU117" s="252"/>
      <c r="AV117" s="252"/>
      <c r="AW117" s="252"/>
    </row>
    <row r="118" customFormat="false" ht="12.75" hidden="false" customHeight="false" outlineLevel="0" collapsed="false">
      <c r="F118" s="251"/>
      <c r="V118" s="109"/>
      <c r="W118" s="109"/>
      <c r="X118" s="109"/>
      <c r="Y118" s="109"/>
      <c r="Z118" s="109"/>
      <c r="AA118" s="109"/>
      <c r="AB118" s="109"/>
      <c r="AC118" s="109"/>
      <c r="AD118" s="109"/>
      <c r="AE118" s="109"/>
      <c r="AF118" s="109"/>
      <c r="AG118" s="109"/>
      <c r="AH118" s="109"/>
      <c r="AI118" s="109"/>
      <c r="AJ118" s="109"/>
      <c r="AK118" s="109"/>
      <c r="AL118" s="109"/>
      <c r="AM118" s="109"/>
      <c r="AN118" s="109"/>
      <c r="AO118" s="0"/>
      <c r="AP118" s="0"/>
      <c r="AS118" s="252"/>
      <c r="AT118" s="252"/>
      <c r="AU118" s="252"/>
      <c r="AV118" s="252" t="s">
        <v>3</v>
      </c>
      <c r="AW118" s="252"/>
    </row>
    <row r="119" customFormat="false" ht="12.75" hidden="false" customHeight="false" outlineLevel="0" collapsed="false">
      <c r="F119" s="251"/>
      <c r="V119" s="109"/>
      <c r="W119" s="109"/>
      <c r="X119" s="109"/>
      <c r="Y119" s="109"/>
      <c r="Z119" s="109"/>
      <c r="AA119" s="109"/>
      <c r="AB119" s="109"/>
      <c r="AC119" s="109"/>
      <c r="AD119" s="109"/>
      <c r="AE119" s="109"/>
      <c r="AF119" s="109"/>
      <c r="AG119" s="109"/>
      <c r="AH119" s="109"/>
      <c r="AI119" s="109"/>
      <c r="AJ119" s="109"/>
      <c r="AK119" s="109"/>
      <c r="AL119" s="109"/>
      <c r="AM119" s="109"/>
      <c r="AN119" s="109"/>
      <c r="AO119" s="0"/>
      <c r="AP119" s="0"/>
      <c r="AS119" s="258"/>
      <c r="AT119" s="258"/>
      <c r="AU119" s="258"/>
      <c r="AV119" s="258"/>
      <c r="AW119" s="258"/>
    </row>
    <row r="120" customFormat="false" ht="12.75" hidden="false" customHeight="false" outlineLevel="0" collapsed="false">
      <c r="F120" s="251"/>
      <c r="V120" s="109"/>
      <c r="W120" s="109"/>
      <c r="X120" s="109"/>
      <c r="Y120" s="109"/>
      <c r="Z120" s="109"/>
      <c r="AA120" s="109"/>
      <c r="AB120" s="109"/>
      <c r="AC120" s="109"/>
      <c r="AD120" s="109"/>
      <c r="AE120" s="109"/>
      <c r="AF120" s="109"/>
      <c r="AG120" s="109"/>
      <c r="AH120" s="109"/>
      <c r="AI120" s="109"/>
      <c r="AJ120" s="109"/>
      <c r="AK120" s="109"/>
      <c r="AL120" s="109"/>
      <c r="AM120" s="109"/>
      <c r="AN120" s="109"/>
      <c r="AO120" s="0"/>
      <c r="AP120" s="0"/>
      <c r="AS120" s="258"/>
      <c r="AT120" s="258"/>
      <c r="AU120" s="258"/>
      <c r="AV120" s="258"/>
      <c r="AW120" s="258"/>
    </row>
    <row r="121" customFormat="false" ht="12.75" hidden="false" customHeight="false" outlineLevel="0" collapsed="false">
      <c r="F121" s="252"/>
      <c r="H121" s="0"/>
      <c r="I121" s="0"/>
      <c r="J121" s="0"/>
      <c r="K121" s="0"/>
      <c r="L121" s="0"/>
      <c r="M121" s="0"/>
      <c r="AO121" s="0"/>
      <c r="AP121" s="0"/>
      <c r="AS121" s="258"/>
      <c r="AT121" s="258"/>
      <c r="AU121" s="258"/>
      <c r="AV121" s="258"/>
      <c r="AW121" s="258"/>
    </row>
    <row r="122" customFormat="false" ht="12.75" hidden="false" customHeight="false" outlineLevel="0" collapsed="false">
      <c r="F122" s="252"/>
      <c r="H122" s="0"/>
      <c r="I122" s="0"/>
      <c r="J122" s="0"/>
      <c r="K122" s="0"/>
      <c r="L122" s="0"/>
      <c r="M122" s="0"/>
      <c r="AO122" s="0"/>
      <c r="AP122" s="0"/>
      <c r="AS122" s="260"/>
      <c r="AT122" s="260"/>
      <c r="AU122" s="260"/>
      <c r="AV122" s="260"/>
      <c r="AW122" s="260"/>
    </row>
    <row r="123" customFormat="false" ht="12.75" hidden="false" customHeight="false" outlineLevel="0" collapsed="false">
      <c r="F123" s="260"/>
      <c r="H123" s="0"/>
      <c r="I123" s="0"/>
      <c r="J123" s="0"/>
      <c r="K123" s="0"/>
      <c r="L123" s="0"/>
      <c r="M123" s="0"/>
      <c r="AO123" s="0"/>
      <c r="AP123" s="0"/>
      <c r="AS123" s="260"/>
      <c r="AT123" s="260"/>
      <c r="AU123" s="260"/>
      <c r="AV123" s="260"/>
      <c r="AW123" s="260"/>
    </row>
    <row r="124" customFormat="false" ht="12.75" hidden="false" customHeight="false" outlineLevel="0" collapsed="false">
      <c r="F124" s="260"/>
      <c r="H124" s="0"/>
      <c r="I124" s="0"/>
      <c r="J124" s="0"/>
      <c r="K124" s="0"/>
      <c r="L124" s="0"/>
      <c r="M124" s="0"/>
      <c r="AO124" s="0"/>
      <c r="AP124" s="0"/>
      <c r="AS124" s="260"/>
      <c r="AT124" s="260"/>
      <c r="AU124" s="260"/>
      <c r="AV124" s="260"/>
      <c r="AW124" s="260"/>
    </row>
    <row r="125" customFormat="false" ht="12.75" hidden="false" customHeight="false" outlineLevel="0" collapsed="false">
      <c r="F125" s="260"/>
      <c r="H125" s="0"/>
      <c r="I125" s="0"/>
      <c r="J125" s="0"/>
      <c r="K125" s="0"/>
      <c r="L125" s="0"/>
      <c r="M125" s="0"/>
      <c r="AO125" s="0"/>
      <c r="AP125" s="0"/>
      <c r="AS125" s="0"/>
      <c r="AT125" s="252"/>
      <c r="AU125" s="252"/>
      <c r="AV125" s="252"/>
      <c r="AW125" s="252"/>
    </row>
    <row r="126" customFormat="false" ht="12.75" hidden="false" customHeight="false" outlineLevel="0" collapsed="false">
      <c r="F126" s="252"/>
      <c r="H126" s="0"/>
      <c r="I126" s="0"/>
      <c r="J126" s="0"/>
      <c r="K126" s="0"/>
      <c r="L126" s="0"/>
      <c r="M126" s="0"/>
      <c r="AO126" s="0"/>
      <c r="AP126" s="0"/>
      <c r="AS126" s="252"/>
      <c r="AT126" s="252"/>
      <c r="AU126" s="252"/>
      <c r="AV126" s="252"/>
      <c r="AW126" s="252"/>
    </row>
    <row r="127" customFormat="false" ht="12.75" hidden="false" customHeight="false" outlineLevel="0" collapsed="false">
      <c r="F127" s="252"/>
      <c r="G127" s="252"/>
      <c r="H127" s="0"/>
      <c r="I127" s="0"/>
      <c r="J127" s="0"/>
      <c r="K127" s="0"/>
      <c r="L127" s="0"/>
      <c r="M127" s="0"/>
      <c r="AO127" s="0"/>
      <c r="AP127" s="0"/>
      <c r="AS127" s="252"/>
      <c r="AT127" s="252"/>
      <c r="AU127" s="252"/>
      <c r="AV127" s="252"/>
      <c r="AW127" s="252"/>
    </row>
    <row r="128" customFormat="false" ht="12.75" hidden="false" customHeight="false" outlineLevel="0" collapsed="false">
      <c r="F128" s="252"/>
      <c r="G128" s="252"/>
      <c r="H128" s="0"/>
      <c r="I128" s="0"/>
      <c r="J128" s="0"/>
      <c r="K128" s="0"/>
      <c r="L128" s="0"/>
      <c r="M128" s="0"/>
      <c r="AO128" s="0"/>
      <c r="AP128" s="0"/>
      <c r="AS128" s="252"/>
      <c r="AT128" s="252"/>
      <c r="AU128" s="252"/>
      <c r="AV128" s="252"/>
      <c r="AW128" s="252"/>
    </row>
    <row r="129" customFormat="false" ht="12.75" hidden="false" customHeight="false" outlineLevel="0" collapsed="false">
      <c r="B129" s="0"/>
      <c r="C129" s="0"/>
      <c r="D129" s="0"/>
      <c r="E129" s="0"/>
      <c r="F129" s="252"/>
      <c r="G129" s="252"/>
      <c r="H129" s="0"/>
      <c r="I129" s="0"/>
      <c r="J129" s="0"/>
      <c r="K129" s="0"/>
      <c r="L129" s="0"/>
      <c r="M129" s="0"/>
      <c r="AO129" s="0"/>
      <c r="AP129" s="0"/>
      <c r="AS129" s="252"/>
      <c r="AT129" s="252"/>
      <c r="AU129" s="252"/>
      <c r="AV129" s="252"/>
      <c r="AW129" s="252"/>
    </row>
    <row r="130" customFormat="false" ht="12.75" hidden="false" customHeight="false" outlineLevel="0" collapsed="false">
      <c r="B130" s="0"/>
      <c r="C130" s="0"/>
      <c r="D130" s="0"/>
      <c r="E130" s="0"/>
      <c r="F130" s="0"/>
      <c r="G130" s="252"/>
      <c r="H130" s="0"/>
      <c r="I130" s="0"/>
      <c r="J130" s="0"/>
      <c r="K130" s="0"/>
      <c r="L130" s="0"/>
      <c r="M130" s="0"/>
      <c r="AO130" s="0"/>
      <c r="AP130" s="0"/>
      <c r="AS130" s="252"/>
      <c r="AT130" s="252"/>
      <c r="AU130" s="252"/>
      <c r="AV130" s="252"/>
      <c r="AW130" s="252"/>
    </row>
    <row r="131" customFormat="false" ht="12.75" hidden="false" customHeight="false" outlineLevel="0" collapsed="false">
      <c r="B131" s="0"/>
      <c r="C131" s="0"/>
      <c r="D131" s="0"/>
      <c r="E131" s="0"/>
      <c r="F131" s="0"/>
      <c r="G131" s="252"/>
      <c r="H131" s="0"/>
      <c r="I131" s="0"/>
      <c r="J131" s="0"/>
      <c r="K131" s="0"/>
      <c r="L131" s="0"/>
      <c r="M131" s="0"/>
      <c r="AO131" s="0"/>
      <c r="AP131" s="0"/>
      <c r="AS131" s="252"/>
      <c r="AT131" s="252"/>
      <c r="AU131" s="252"/>
      <c r="AV131" s="252"/>
      <c r="AW131" s="252"/>
    </row>
    <row r="132" customFormat="false" ht="12.75" hidden="false" customHeight="false" outlineLevel="0" collapsed="false">
      <c r="B132" s="0"/>
      <c r="C132" s="0"/>
      <c r="D132" s="0"/>
      <c r="E132" s="0"/>
      <c r="F132" s="0"/>
      <c r="G132" s="252"/>
      <c r="H132" s="0"/>
      <c r="I132" s="0"/>
      <c r="J132" s="0"/>
      <c r="K132" s="0"/>
      <c r="L132" s="0"/>
      <c r="M132" s="0"/>
      <c r="N132" s="0"/>
      <c r="AO132" s="0"/>
      <c r="AP132" s="0"/>
      <c r="AS132" s="252"/>
      <c r="AT132" s="252"/>
      <c r="AU132" s="252"/>
      <c r="AV132" s="252"/>
      <c r="AW132" s="252"/>
    </row>
    <row r="133" customFormat="false" ht="12.75" hidden="false" customHeight="false" outlineLevel="0" collapsed="false">
      <c r="B133" s="0"/>
      <c r="C133" s="0"/>
      <c r="D133" s="0"/>
      <c r="E133" s="0"/>
      <c r="F133" s="0"/>
      <c r="G133" s="252"/>
      <c r="H133" s="0"/>
      <c r="I133" s="0"/>
      <c r="J133" s="0"/>
      <c r="K133" s="0"/>
      <c r="L133" s="0"/>
      <c r="M133" s="0"/>
      <c r="N133" s="0"/>
      <c r="AO133" s="0"/>
      <c r="AP133" s="0"/>
      <c r="AS133" s="252"/>
      <c r="AT133" s="252"/>
      <c r="AU133" s="252"/>
      <c r="AV133" s="252"/>
      <c r="AW133" s="252"/>
    </row>
    <row r="134" customFormat="false" ht="12.75" hidden="false" customHeight="false" outlineLevel="0" collapsed="false">
      <c r="A134" s="0"/>
      <c r="B134" s="0"/>
      <c r="C134" s="0"/>
      <c r="D134" s="0"/>
      <c r="E134" s="0"/>
      <c r="F134" s="0"/>
      <c r="G134" s="252"/>
      <c r="H134" s="0"/>
      <c r="I134" s="0"/>
      <c r="J134" s="0"/>
      <c r="K134" s="0"/>
      <c r="L134" s="0"/>
      <c r="M134" s="0"/>
      <c r="AO134" s="0"/>
      <c r="AP134" s="0"/>
      <c r="AS134" s="252"/>
      <c r="AT134" s="252"/>
      <c r="AU134" s="252"/>
      <c r="AV134" s="252"/>
      <c r="AW134" s="252"/>
    </row>
    <row r="135" customFormat="false" ht="12.75" hidden="false" customHeight="false" outlineLevel="0" collapsed="false">
      <c r="A135" s="0"/>
      <c r="B135" s="0"/>
      <c r="C135" s="0"/>
      <c r="D135" s="0"/>
      <c r="E135" s="0"/>
      <c r="F135" s="0"/>
      <c r="G135" s="252"/>
      <c r="H135" s="0"/>
      <c r="I135" s="0"/>
      <c r="J135" s="0"/>
      <c r="K135" s="0"/>
      <c r="L135" s="0"/>
      <c r="M135" s="0"/>
    </row>
    <row r="136" customFormat="false" ht="12.75" hidden="false" customHeight="false" outlineLevel="0" collapsed="false">
      <c r="A136" s="0"/>
      <c r="B136" s="0"/>
      <c r="C136" s="0"/>
      <c r="D136" s="0"/>
      <c r="E136" s="0"/>
      <c r="F136" s="0"/>
      <c r="H136" s="0"/>
      <c r="I136" s="0"/>
      <c r="J136" s="0"/>
      <c r="K136" s="0"/>
    </row>
    <row r="137" customFormat="false" ht="12.75" hidden="false" customHeight="false" outlineLevel="0" collapsed="false">
      <c r="A137" s="0"/>
      <c r="B137" s="0"/>
      <c r="C137" s="0"/>
      <c r="D137" s="0"/>
      <c r="E137" s="0"/>
      <c r="H137" s="252"/>
      <c r="I137" s="0"/>
      <c r="J137" s="0"/>
      <c r="K137" s="0"/>
    </row>
    <row r="138" customFormat="false" ht="12.75" hidden="false" customHeight="false" outlineLevel="0" collapsed="false">
      <c r="A138" s="0"/>
      <c r="J138" s="0"/>
      <c r="K138" s="0"/>
    </row>
    <row r="139" customFormat="false" ht="12.75" hidden="false" customHeight="false" outlineLevel="0" collapsed="false">
      <c r="A139" s="0"/>
      <c r="J139" s="0"/>
      <c r="K139" s="0"/>
    </row>
    <row r="140" customFormat="false" ht="12.75" hidden="false" customHeight="false" outlineLevel="0" collapsed="false">
      <c r="A140" s="0"/>
    </row>
    <row r="253" customFormat="false" ht="12.75" hidden="false" customHeight="false" outlineLevel="0" collapsed="false">
      <c r="F253" s="109"/>
    </row>
    <row r="254" customFormat="false" ht="12.75" hidden="false" customHeight="false" outlineLevel="0" collapsed="false">
      <c r="F254" s="197"/>
    </row>
    <row r="255" customFormat="false" ht="12.75" hidden="false" customHeight="false" outlineLevel="0" collapsed="false">
      <c r="B255" s="109"/>
      <c r="C255" s="109"/>
      <c r="D255" s="109"/>
      <c r="E255" s="109"/>
      <c r="F255" s="197"/>
    </row>
    <row r="256" customFormat="false" ht="12.75" hidden="false" customHeight="false" outlineLevel="0" collapsed="false">
      <c r="B256" s="197"/>
      <c r="C256" s="109"/>
      <c r="D256" s="261"/>
      <c r="E256" s="197"/>
      <c r="F256" s="197"/>
    </row>
    <row r="257" customFormat="false" ht="12.75" hidden="false" customHeight="false" outlineLevel="0" collapsed="false">
      <c r="B257" s="197"/>
      <c r="C257" s="197"/>
      <c r="D257" s="197"/>
      <c r="E257" s="197"/>
      <c r="F257" s="197"/>
    </row>
    <row r="258" customFormat="false" ht="12.75" hidden="false" customHeight="false" outlineLevel="0" collapsed="false">
      <c r="B258" s="109"/>
      <c r="C258" s="109"/>
      <c r="D258" s="197"/>
      <c r="E258" s="197"/>
      <c r="F258" s="197"/>
    </row>
    <row r="259" customFormat="false" ht="12.75" hidden="false" customHeight="false" outlineLevel="0" collapsed="false">
      <c r="B259" s="197"/>
      <c r="C259" s="197"/>
      <c r="D259" s="197"/>
      <c r="E259" s="197"/>
      <c r="F259" s="109"/>
    </row>
    <row r="260" customFormat="false" ht="12.75" hidden="false" customHeight="false" outlineLevel="0" collapsed="false">
      <c r="B260" s="197"/>
      <c r="C260" s="197"/>
      <c r="D260" s="197"/>
      <c r="E260" s="197"/>
      <c r="F260" s="109"/>
      <c r="H260" s="0"/>
    </row>
    <row r="261" customFormat="false" ht="12.75" hidden="false" customHeight="false" outlineLevel="0" collapsed="false">
      <c r="B261" s="109"/>
      <c r="C261" s="109"/>
      <c r="D261" s="109"/>
      <c r="E261" s="109"/>
      <c r="F261" s="109"/>
      <c r="H261" s="0"/>
    </row>
    <row r="262" customFormat="false" ht="12.75" hidden="false" customHeight="false" outlineLevel="0" collapsed="false">
      <c r="B262" s="109"/>
      <c r="C262" s="109"/>
      <c r="D262" s="109"/>
      <c r="E262" s="109"/>
      <c r="F262" s="197"/>
      <c r="H262" s="0"/>
    </row>
    <row r="263" customFormat="false" ht="12.75" hidden="false" customHeight="false" outlineLevel="0" collapsed="false">
      <c r="A263" s="109"/>
      <c r="B263" s="197"/>
      <c r="C263" s="109"/>
      <c r="D263" s="262"/>
      <c r="E263" s="109"/>
      <c r="F263" s="197"/>
      <c r="H263" s="0"/>
    </row>
    <row r="264" customFormat="false" ht="12.75" hidden="false" customHeight="false" outlineLevel="0" collapsed="false">
      <c r="A264" s="109"/>
      <c r="B264" s="197"/>
      <c r="C264" s="109"/>
      <c r="D264" s="261"/>
      <c r="E264" s="197"/>
      <c r="F264" s="197"/>
      <c r="H264" s="0"/>
    </row>
    <row r="265" customFormat="false" ht="12.75" hidden="false" customHeight="false" outlineLevel="0" collapsed="false">
      <c r="A265" s="109"/>
      <c r="B265" s="197"/>
      <c r="C265" s="197"/>
      <c r="D265" s="197"/>
      <c r="E265" s="197"/>
      <c r="F265" s="197"/>
      <c r="H265" s="0"/>
    </row>
    <row r="266" customFormat="false" ht="12.75" hidden="false" customHeight="false" outlineLevel="0" collapsed="false">
      <c r="A266" s="109"/>
      <c r="B266" s="109"/>
      <c r="C266" s="109"/>
      <c r="D266" s="197"/>
      <c r="E266" s="197"/>
      <c r="F266" s="197"/>
      <c r="H266" s="0"/>
    </row>
    <row r="267" customFormat="false" ht="12.75" hidden="false" customHeight="false" outlineLevel="0" collapsed="false">
      <c r="A267" s="109"/>
      <c r="B267" s="197"/>
      <c r="C267" s="197"/>
      <c r="D267" s="197"/>
      <c r="E267" s="197"/>
      <c r="F267" s="263"/>
      <c r="H267" s="0"/>
    </row>
    <row r="268" customFormat="false" ht="12.75" hidden="false" customHeight="false" outlineLevel="0" collapsed="false">
      <c r="A268" s="109"/>
      <c r="B268" s="197"/>
      <c r="C268" s="197"/>
      <c r="D268" s="197"/>
      <c r="E268" s="197"/>
      <c r="F268" s="263"/>
      <c r="H268" s="0"/>
    </row>
    <row r="269" customFormat="false" ht="12.75" hidden="false" customHeight="false" outlineLevel="0" collapsed="false">
      <c r="A269" s="109"/>
      <c r="B269" s="263"/>
      <c r="C269" s="263"/>
      <c r="D269" s="263"/>
      <c r="E269" s="263"/>
      <c r="F269" s="197"/>
      <c r="H269" s="0"/>
    </row>
    <row r="270" customFormat="false" ht="12.75" hidden="false" customHeight="false" outlineLevel="0" collapsed="false">
      <c r="A270" s="109"/>
      <c r="B270" s="197"/>
      <c r="C270" s="263"/>
      <c r="D270" s="263"/>
      <c r="E270" s="263"/>
      <c r="F270" s="197"/>
      <c r="H270" s="0"/>
    </row>
    <row r="271" customFormat="false" ht="12.75" hidden="false" customHeight="false" outlineLevel="0" collapsed="false">
      <c r="A271" s="109"/>
      <c r="B271" s="197"/>
      <c r="C271" s="109"/>
      <c r="D271" s="261"/>
      <c r="E271" s="197"/>
      <c r="F271" s="197"/>
      <c r="H271" s="0"/>
    </row>
    <row r="272" customFormat="false" ht="12.75" hidden="false" customHeight="false" outlineLevel="0" collapsed="false">
      <c r="A272" s="109"/>
      <c r="B272" s="197"/>
      <c r="C272" s="197"/>
      <c r="D272" s="197"/>
      <c r="E272" s="197"/>
      <c r="F272" s="197"/>
      <c r="H272" s="0"/>
    </row>
    <row r="273" customFormat="false" ht="12.75" hidden="false" customHeight="false" outlineLevel="0" collapsed="false">
      <c r="A273" s="109"/>
      <c r="B273" s="109"/>
      <c r="C273" s="109"/>
      <c r="D273" s="197"/>
      <c r="E273" s="197"/>
      <c r="F273" s="197"/>
      <c r="H273" s="0"/>
    </row>
    <row r="274" customFormat="false" ht="12.75" hidden="false" customHeight="false" outlineLevel="0" collapsed="false">
      <c r="A274" s="109"/>
      <c r="B274" s="197"/>
      <c r="C274" s="197"/>
      <c r="D274" s="197"/>
      <c r="E274" s="197"/>
      <c r="F274" s="263"/>
      <c r="H274" s="0"/>
    </row>
    <row r="275" customFormat="false" ht="12.75" hidden="false" customHeight="false" outlineLevel="0" collapsed="false">
      <c r="A275" s="109"/>
      <c r="B275" s="197"/>
      <c r="C275" s="197"/>
      <c r="D275" s="197"/>
      <c r="E275" s="197"/>
      <c r="F275" s="263"/>
      <c r="H275" s="0"/>
    </row>
    <row r="276" customFormat="false" ht="12.75" hidden="false" customHeight="false" outlineLevel="0" collapsed="false">
      <c r="A276" s="109"/>
      <c r="B276" s="263"/>
      <c r="C276" s="263"/>
      <c r="D276" s="263"/>
      <c r="E276" s="263"/>
      <c r="F276" s="109"/>
    </row>
    <row r="277" customFormat="false" ht="12.75" hidden="false" customHeight="false" outlineLevel="0" collapsed="false">
      <c r="A277" s="109"/>
      <c r="B277" s="263"/>
      <c r="C277" s="264"/>
      <c r="D277" s="263"/>
      <c r="E277" s="263"/>
    </row>
    <row r="278" customFormat="false" ht="12.75" hidden="false" customHeight="false" outlineLevel="0" collapsed="false">
      <c r="A278" s="109"/>
      <c r="B278" s="109"/>
      <c r="C278" s="109" t="s">
        <v>276</v>
      </c>
      <c r="D278" s="109"/>
      <c r="E278" s="109"/>
    </row>
    <row r="279" customFormat="false" ht="12.75" hidden="false" customHeight="false" outlineLevel="0" collapsed="false">
      <c r="A279" s="109"/>
      <c r="C279" s="1" t="s">
        <v>276</v>
      </c>
    </row>
    <row r="280" customFormat="false" ht="12.75" hidden="false" customHeight="false" outlineLevel="0" collapsed="false">
      <c r="A280" s="109"/>
    </row>
    <row r="281" customFormat="false" ht="12.75" hidden="false" customHeight="false" outlineLevel="0" collapsed="false">
      <c r="A281" s="109"/>
    </row>
    <row r="282" customFormat="false" ht="12.75" hidden="false" customHeight="false" outlineLevel="0" collapsed="false">
      <c r="A282" s="109"/>
    </row>
    <row r="283" customFormat="false" ht="12.75" hidden="false" customHeight="false" outlineLevel="0" collapsed="false">
      <c r="A283" s="109"/>
    </row>
    <row r="284" customFormat="false" ht="12.75" hidden="false" customHeight="false" outlineLevel="0" collapsed="false">
      <c r="A284" s="109"/>
    </row>
    <row r="285" customFormat="false" ht="12.75" hidden="false" customHeight="false" outlineLevel="0" collapsed="false">
      <c r="A285" s="109"/>
    </row>
    <row r="286" customFormat="false" ht="12.75" hidden="false" customHeight="false" outlineLevel="0" collapsed="false">
      <c r="A286" s="109"/>
    </row>
    <row r="289" customFormat="false" ht="12.75" hidden="false" customHeight="false" outlineLevel="0" collapsed="false">
      <c r="F289" s="109"/>
    </row>
    <row r="290" customFormat="false" ht="12.75" hidden="false" customHeight="false" outlineLevel="0" collapsed="false">
      <c r="B290" s="12"/>
      <c r="F290" s="109"/>
    </row>
    <row r="291" customFormat="false" ht="12.75" hidden="false" customHeight="false" outlineLevel="0" collapsed="false">
      <c r="B291" s="265"/>
      <c r="C291" s="109"/>
      <c r="D291" s="266"/>
      <c r="E291" s="267"/>
      <c r="F291" s="109"/>
    </row>
    <row r="292" customFormat="false" ht="12.75" hidden="false" customHeight="false" outlineLevel="0" collapsed="false">
      <c r="B292" s="109"/>
      <c r="C292" s="109"/>
      <c r="D292" s="109"/>
      <c r="E292" s="109"/>
      <c r="F292" s="109"/>
    </row>
    <row r="293" customFormat="false" ht="12.75" hidden="false" customHeight="false" outlineLevel="0" collapsed="false">
      <c r="B293" s="265"/>
      <c r="C293" s="268"/>
      <c r="D293" s="267"/>
      <c r="E293" s="109"/>
      <c r="F293" s="109"/>
    </row>
    <row r="294" customFormat="false" ht="12.75" hidden="false" customHeight="false" outlineLevel="0" collapsed="false">
      <c r="B294" s="265"/>
      <c r="C294" s="265"/>
      <c r="D294" s="109"/>
      <c r="E294" s="109"/>
      <c r="F294" s="109"/>
    </row>
    <row r="295" customFormat="false" ht="12.75" hidden="false" customHeight="false" outlineLevel="0" collapsed="false">
      <c r="B295" s="268"/>
      <c r="C295" s="268"/>
      <c r="D295" s="268"/>
      <c r="E295" s="109"/>
      <c r="F295" s="109"/>
    </row>
    <row r="296" customFormat="false" ht="12.75" hidden="false" customHeight="false" outlineLevel="0" collapsed="false">
      <c r="B296" s="265"/>
      <c r="C296" s="268"/>
      <c r="D296" s="267"/>
      <c r="E296" s="109"/>
      <c r="F296" s="109"/>
    </row>
    <row r="297" customFormat="false" ht="12.75" hidden="false" customHeight="false" outlineLevel="0" collapsed="false">
      <c r="B297" s="265"/>
      <c r="C297" s="268"/>
      <c r="D297" s="267"/>
      <c r="E297" s="109"/>
      <c r="F297" s="109"/>
    </row>
    <row r="298" customFormat="false" ht="12.75" hidden="false" customHeight="false" outlineLevel="0" collapsed="false">
      <c r="B298" s="265"/>
      <c r="C298" s="268"/>
      <c r="D298" s="267"/>
      <c r="E298" s="109"/>
      <c r="F298" s="109"/>
    </row>
    <row r="299" customFormat="false" ht="12.75" hidden="false" customHeight="false" outlineLevel="0" collapsed="false">
      <c r="B299" s="268"/>
      <c r="C299" s="268"/>
      <c r="D299" s="268"/>
      <c r="E299" s="109"/>
      <c r="F299" s="109"/>
    </row>
    <row r="300" customFormat="false" ht="12.75" hidden="false" customHeight="false" outlineLevel="0" collapsed="false">
      <c r="B300" s="109"/>
      <c r="C300" s="109"/>
      <c r="D300" s="268"/>
      <c r="E300" s="109"/>
      <c r="F300" s="109"/>
    </row>
    <row r="301" customFormat="false" ht="12.75" hidden="false" customHeight="false" outlineLevel="0" collapsed="false">
      <c r="B301" s="109"/>
      <c r="C301" s="109"/>
      <c r="D301" s="109"/>
      <c r="E301" s="109"/>
      <c r="F301" s="109"/>
    </row>
    <row r="302" customFormat="false" ht="12.75" hidden="false" customHeight="false" outlineLevel="0" collapsed="false">
      <c r="B302" s="109"/>
      <c r="C302" s="109"/>
      <c r="D302" s="109"/>
      <c r="E302" s="109"/>
      <c r="F302" s="109"/>
    </row>
    <row r="303" customFormat="false" ht="12.75" hidden="false" customHeight="false" outlineLevel="0" collapsed="false">
      <c r="B303" s="109"/>
      <c r="C303" s="109"/>
      <c r="D303" s="109"/>
      <c r="E303" s="109"/>
      <c r="F303" s="109"/>
    </row>
    <row r="304" customFormat="false" ht="12.75" hidden="false" customHeight="false" outlineLevel="0" collapsed="false">
      <c r="B304" s="109"/>
      <c r="C304" s="109"/>
      <c r="D304" s="109"/>
      <c r="E304" s="109"/>
      <c r="F304" s="109"/>
    </row>
    <row r="305" customFormat="false" ht="12.75" hidden="false" customHeight="false" outlineLevel="0" collapsed="false">
      <c r="B305" s="109"/>
      <c r="C305" s="109"/>
      <c r="D305" s="109"/>
      <c r="E305" s="109"/>
      <c r="F305" s="109"/>
    </row>
    <row r="306" customFormat="false" ht="12.75" hidden="false" customHeight="false" outlineLevel="0" collapsed="false">
      <c r="B306" s="268"/>
      <c r="C306" s="268"/>
      <c r="D306" s="268"/>
      <c r="E306" s="109"/>
      <c r="F306" s="109"/>
    </row>
    <row r="307" customFormat="false" ht="12.75" hidden="false" customHeight="false" outlineLevel="0" collapsed="false">
      <c r="B307" s="265"/>
      <c r="C307" s="268"/>
      <c r="D307" s="267"/>
      <c r="E307" s="109"/>
      <c r="F307" s="109"/>
    </row>
    <row r="308" customFormat="false" ht="12.75" hidden="false" customHeight="false" outlineLevel="0" collapsed="false">
      <c r="B308" s="265"/>
      <c r="C308" s="268"/>
      <c r="D308" s="267"/>
      <c r="E308" s="109"/>
      <c r="F308" s="109"/>
    </row>
    <row r="309" customFormat="false" ht="12.75" hidden="false" customHeight="false" outlineLevel="0" collapsed="false">
      <c r="B309" s="109"/>
      <c r="C309" s="109"/>
      <c r="D309" s="109"/>
      <c r="E309" s="109"/>
      <c r="F309" s="109"/>
    </row>
    <row r="310" customFormat="false" ht="12.75" hidden="false" customHeight="false" outlineLevel="0" collapsed="false">
      <c r="B310" s="265"/>
      <c r="C310" s="268"/>
      <c r="D310" s="267"/>
      <c r="E310" s="109"/>
      <c r="F310" s="109"/>
    </row>
    <row r="311" customFormat="false" ht="12.75" hidden="false" customHeight="false" outlineLevel="0" collapsed="false">
      <c r="B311" s="265"/>
      <c r="C311" s="268"/>
      <c r="D311" s="267"/>
      <c r="E311" s="109"/>
      <c r="F311" s="109"/>
    </row>
    <row r="312" customFormat="false" ht="12.75" hidden="false" customHeight="false" outlineLevel="0" collapsed="false">
      <c r="B312" s="265"/>
      <c r="C312" s="268"/>
      <c r="D312" s="267"/>
      <c r="E312" s="109"/>
      <c r="F312" s="109"/>
    </row>
    <row r="313" customFormat="false" ht="12.75" hidden="false" customHeight="false" outlineLevel="0" collapsed="false">
      <c r="B313" s="268"/>
      <c r="C313" s="268"/>
      <c r="D313" s="268"/>
      <c r="E313" s="109"/>
      <c r="F313" s="109"/>
    </row>
    <row r="314" customFormat="false" ht="12.75" hidden="false" customHeight="false" outlineLevel="0" collapsed="false">
      <c r="B314" s="265"/>
      <c r="C314" s="268"/>
      <c r="D314" s="267"/>
      <c r="E314" s="109"/>
      <c r="F314" s="269"/>
    </row>
    <row r="315" customFormat="false" ht="12.75" hidden="false" customHeight="false" outlineLevel="0" collapsed="false">
      <c r="B315" s="265"/>
      <c r="C315" s="268"/>
      <c r="D315" s="109"/>
      <c r="E315" s="109"/>
      <c r="F315" s="197"/>
    </row>
    <row r="316" customFormat="false" ht="12.75" hidden="false" customHeight="false" outlineLevel="0" collapsed="false">
      <c r="B316" s="197"/>
      <c r="C316" s="197"/>
      <c r="D316" s="270"/>
      <c r="E316" s="271"/>
      <c r="F316" s="197"/>
    </row>
    <row r="317" customFormat="false" ht="12.75" hidden="false" customHeight="false" outlineLevel="0" collapsed="false">
      <c r="B317" s="272"/>
      <c r="C317" s="272"/>
      <c r="D317" s="272"/>
      <c r="E317" s="271"/>
      <c r="F317" s="197"/>
    </row>
    <row r="318" customFormat="false" ht="12.75" hidden="false" customHeight="false" outlineLevel="0" collapsed="false">
      <c r="B318" s="273"/>
      <c r="C318" s="273"/>
      <c r="D318" s="272"/>
      <c r="E318" s="271"/>
      <c r="F318" s="197"/>
    </row>
    <row r="319" customFormat="false" ht="12.75" hidden="false" customHeight="false" outlineLevel="0" collapsed="false">
      <c r="B319" s="273"/>
      <c r="C319" s="273"/>
      <c r="D319" s="272"/>
      <c r="E319" s="271"/>
      <c r="F319" s="197"/>
    </row>
    <row r="320" customFormat="false" ht="12.75" hidden="false" customHeight="false" outlineLevel="0" collapsed="false">
      <c r="B320" s="273"/>
      <c r="C320" s="273"/>
      <c r="D320" s="272"/>
      <c r="E320" s="271"/>
      <c r="F320" s="197"/>
    </row>
    <row r="321" customFormat="false" ht="12.75" hidden="false" customHeight="false" outlineLevel="0" collapsed="false">
      <c r="B321" s="273"/>
      <c r="C321" s="273"/>
      <c r="D321" s="272"/>
      <c r="E321" s="271"/>
      <c r="F321" s="197"/>
    </row>
    <row r="322" customFormat="false" ht="12.75" hidden="false" customHeight="false" outlineLevel="0" collapsed="false">
      <c r="B322" s="273"/>
      <c r="C322" s="273"/>
      <c r="D322" s="272"/>
      <c r="E322" s="271"/>
      <c r="F322" s="197"/>
    </row>
    <row r="323" customFormat="false" ht="12.75" hidden="false" customHeight="false" outlineLevel="0" collapsed="false">
      <c r="B323" s="273"/>
      <c r="C323" s="273"/>
      <c r="D323" s="272"/>
      <c r="E323" s="271"/>
      <c r="F323" s="197"/>
    </row>
    <row r="324" customFormat="false" ht="12.75" hidden="false" customHeight="false" outlineLevel="0" collapsed="false">
      <c r="B324" s="273"/>
      <c r="C324" s="273"/>
      <c r="D324" s="272"/>
      <c r="E324" s="271"/>
      <c r="F324" s="197"/>
    </row>
    <row r="325" customFormat="false" ht="12.75" hidden="false" customHeight="false" outlineLevel="0" collapsed="false">
      <c r="B325" s="273"/>
      <c r="C325" s="273"/>
      <c r="D325" s="272"/>
      <c r="E325" s="271"/>
      <c r="F325" s="197"/>
    </row>
    <row r="326" customFormat="false" ht="12.75" hidden="false" customHeight="false" outlineLevel="0" collapsed="false">
      <c r="B326" s="273"/>
      <c r="C326" s="273"/>
      <c r="D326" s="272"/>
      <c r="E326" s="271"/>
      <c r="F326" s="197"/>
    </row>
    <row r="327" customFormat="false" ht="12.75" hidden="false" customHeight="false" outlineLevel="0" collapsed="false">
      <c r="B327" s="273"/>
      <c r="C327" s="273"/>
      <c r="D327" s="272"/>
      <c r="E327" s="271"/>
      <c r="F327" s="197"/>
    </row>
    <row r="328" customFormat="false" ht="12.75" hidden="false" customHeight="false" outlineLevel="0" collapsed="false">
      <c r="B328" s="273"/>
      <c r="C328" s="273"/>
      <c r="D328" s="272"/>
      <c r="E328" s="271"/>
      <c r="F328" s="109"/>
    </row>
    <row r="329" customFormat="false" ht="12.75" hidden="false" customHeight="false" outlineLevel="0" collapsed="false">
      <c r="B329" s="273"/>
      <c r="C329" s="273"/>
      <c r="D329" s="272"/>
      <c r="E329" s="271"/>
      <c r="F329" s="109"/>
    </row>
    <row r="330" customFormat="false" ht="12.75" hidden="false" customHeight="false" outlineLevel="0" collapsed="false">
      <c r="B330" s="109"/>
      <c r="C330" s="109"/>
      <c r="D330" s="109"/>
      <c r="E330" s="109"/>
      <c r="F330" s="109"/>
    </row>
    <row r="331" customFormat="false" ht="12.75" hidden="false" customHeight="false" outlineLevel="0" collapsed="false">
      <c r="B331" s="109"/>
      <c r="C331" s="109"/>
      <c r="D331" s="109"/>
      <c r="E331" s="109"/>
      <c r="F331" s="109"/>
    </row>
    <row r="332" customFormat="false" ht="12.75" hidden="false" customHeight="false" outlineLevel="0" collapsed="false">
      <c r="B332" s="270"/>
      <c r="C332" s="270"/>
      <c r="D332" s="270"/>
      <c r="E332" s="109"/>
      <c r="F332" s="109"/>
    </row>
    <row r="333" customFormat="false" ht="12.75" hidden="false" customHeight="false" outlineLevel="0" collapsed="false">
      <c r="B333" s="274"/>
      <c r="C333" s="274"/>
      <c r="D333" s="274"/>
      <c r="E333" s="109"/>
      <c r="F333" s="109"/>
    </row>
    <row r="334" customFormat="false" ht="12.75" hidden="false" customHeight="false" outlineLevel="0" collapsed="false">
      <c r="B334" s="275"/>
      <c r="C334" s="275"/>
      <c r="D334" s="274"/>
      <c r="E334" s="109"/>
      <c r="F334" s="109"/>
    </row>
    <row r="335" customFormat="false" ht="12.75" hidden="false" customHeight="false" outlineLevel="0" collapsed="false">
      <c r="B335" s="275"/>
      <c r="C335" s="275"/>
      <c r="D335" s="274"/>
      <c r="E335" s="109"/>
      <c r="F335" s="109"/>
    </row>
    <row r="336" customFormat="false" ht="12.75" hidden="false" customHeight="false" outlineLevel="0" collapsed="false">
      <c r="B336" s="275"/>
      <c r="C336" s="275"/>
      <c r="D336" s="274"/>
      <c r="E336" s="109"/>
      <c r="F336" s="109"/>
    </row>
    <row r="337" customFormat="false" ht="12.75" hidden="false" customHeight="false" outlineLevel="0" collapsed="false">
      <c r="B337" s="275"/>
      <c r="C337" s="275"/>
      <c r="D337" s="274"/>
      <c r="E337" s="109"/>
      <c r="F337" s="109"/>
    </row>
    <row r="338" customFormat="false" ht="12.75" hidden="false" customHeight="false" outlineLevel="0" collapsed="false">
      <c r="B338" s="275"/>
      <c r="C338" s="275"/>
      <c r="D338" s="274"/>
      <c r="E338" s="109"/>
      <c r="F338" s="109"/>
    </row>
    <row r="339" customFormat="false" ht="12.75" hidden="false" customHeight="false" outlineLevel="0" collapsed="false">
      <c r="B339" s="275"/>
      <c r="C339" s="275"/>
      <c r="D339" s="274"/>
      <c r="E339" s="109"/>
      <c r="F339" s="109"/>
    </row>
    <row r="340" customFormat="false" ht="12.75" hidden="false" customHeight="false" outlineLevel="0" collapsed="false">
      <c r="B340" s="275"/>
      <c r="C340" s="275"/>
      <c r="D340" s="274"/>
      <c r="E340" s="109"/>
      <c r="F340" s="109"/>
    </row>
    <row r="341" customFormat="false" ht="12.75" hidden="false" customHeight="false" outlineLevel="0" collapsed="false">
      <c r="B341" s="275"/>
      <c r="C341" s="275"/>
      <c r="D341" s="274"/>
      <c r="E341" s="109"/>
      <c r="F341" s="109"/>
    </row>
    <row r="342" customFormat="false" ht="12.75" hidden="false" customHeight="false" outlineLevel="0" collapsed="false">
      <c r="B342" s="275"/>
      <c r="C342" s="275"/>
      <c r="D342" s="274"/>
      <c r="E342" s="109"/>
      <c r="F342" s="109"/>
    </row>
    <row r="343" customFormat="false" ht="12.75" hidden="false" customHeight="false" outlineLevel="0" collapsed="false">
      <c r="B343" s="275"/>
      <c r="C343" s="275"/>
      <c r="D343" s="274"/>
      <c r="E343" s="109"/>
      <c r="F343" s="109"/>
    </row>
    <row r="344" customFormat="false" ht="12.75" hidden="false" customHeight="false" outlineLevel="0" collapsed="false">
      <c r="B344" s="275"/>
      <c r="C344" s="275"/>
      <c r="D344" s="274"/>
      <c r="E344" s="109"/>
      <c r="F344" s="109"/>
    </row>
    <row r="345" customFormat="false" ht="12.75" hidden="false" customHeight="false" outlineLevel="0" collapsed="false">
      <c r="B345" s="275"/>
      <c r="C345" s="275"/>
      <c r="D345" s="274"/>
      <c r="E345" s="109"/>
      <c r="F345" s="109"/>
    </row>
    <row r="346" customFormat="false" ht="12.75" hidden="false" customHeight="false" outlineLevel="0" collapsed="false">
      <c r="B346" s="275"/>
      <c r="C346" s="275"/>
      <c r="D346" s="274"/>
      <c r="E346" s="109"/>
      <c r="F346" s="109"/>
    </row>
    <row r="347" customFormat="false" ht="12.75" hidden="false" customHeight="false" outlineLevel="0" collapsed="false">
      <c r="B347" s="275"/>
      <c r="C347" s="275"/>
      <c r="D347" s="274"/>
      <c r="E347" s="109"/>
      <c r="F347" s="109"/>
    </row>
    <row r="348" customFormat="false" ht="12.75" hidden="false" customHeight="false" outlineLevel="0" collapsed="false">
      <c r="B348" s="275"/>
      <c r="C348" s="275"/>
      <c r="D348" s="274"/>
      <c r="E348" s="109"/>
      <c r="F348" s="109"/>
    </row>
    <row r="349" customFormat="false" ht="12.75" hidden="false" customHeight="false" outlineLevel="0" collapsed="false">
      <c r="B349" s="275"/>
      <c r="C349" s="275"/>
      <c r="D349" s="274"/>
      <c r="E349" s="109"/>
      <c r="F349" s="109"/>
    </row>
    <row r="350" customFormat="false" ht="12.75" hidden="false" customHeight="false" outlineLevel="0" collapsed="false">
      <c r="B350" s="109"/>
      <c r="C350" s="109"/>
      <c r="D350" s="109"/>
      <c r="E350" s="109"/>
      <c r="F350" s="109"/>
    </row>
    <row r="351" customFormat="false" ht="12.75" hidden="false" customHeight="false" outlineLevel="0" collapsed="false">
      <c r="B351" s="275"/>
      <c r="C351" s="275"/>
      <c r="D351" s="274"/>
      <c r="E351" s="109"/>
      <c r="F351" s="109"/>
    </row>
    <row r="352" customFormat="false" ht="12.75" hidden="false" customHeight="false" outlineLevel="0" collapsed="false">
      <c r="B352" s="109"/>
      <c r="C352" s="109"/>
      <c r="D352" s="109"/>
      <c r="E352" s="109"/>
      <c r="F352" s="109"/>
    </row>
    <row r="353" customFormat="false" ht="12.75" hidden="false" customHeight="false" outlineLevel="0" collapsed="false">
      <c r="B353" s="109"/>
      <c r="C353" s="109"/>
      <c r="D353" s="109"/>
      <c r="E353" s="109"/>
    </row>
    <row r="354" customFormat="false" ht="12.75" hidden="false" customHeight="false" outlineLevel="0" collapsed="false">
      <c r="B354" s="109"/>
      <c r="C354" s="109"/>
      <c r="D354" s="109"/>
      <c r="E354" s="109"/>
    </row>
  </sheetData>
  <mergeCells count="19">
    <mergeCell ref="O5:Q5"/>
    <mergeCell ref="T5:Y5"/>
    <mergeCell ref="AA5:AM5"/>
    <mergeCell ref="AO6:AQ6"/>
    <mergeCell ref="H10:I10"/>
    <mergeCell ref="K10:L10"/>
    <mergeCell ref="AW15:AX15"/>
    <mergeCell ref="O20:R20"/>
    <mergeCell ref="Q23:R23"/>
    <mergeCell ref="B25:C25"/>
    <mergeCell ref="E25:F25"/>
    <mergeCell ref="B26:C26"/>
    <mergeCell ref="B28:C28"/>
    <mergeCell ref="B31:C31"/>
    <mergeCell ref="AA31:AM31"/>
    <mergeCell ref="T32:Y32"/>
    <mergeCell ref="AX34:AY34"/>
    <mergeCell ref="AO39:AP39"/>
    <mergeCell ref="AA57:AM57"/>
  </mergeCells>
  <printOptions headings="false" gridLines="true" gridLinesSet="true" horizontalCentered="false" verticalCentered="false"/>
  <pageMargins left="0.45" right="0.45" top="0.670138888888889" bottom="0.7" header="0.5" footer="0.5"/>
  <pageSetup paperSize="5" scale="47" fitToWidth="1" fitToHeight="1" pageOrder="downThenOver" orientation="landscape" blackAndWhite="false" draft="false" cellComments="none" horizontalDpi="300" verticalDpi="300" copies="1"/>
  <headerFooter differentFirst="false" differentOddEven="false">
    <oddHeader>&amp;CMain</oddHeader>
    <oddFooter>&amp;L&amp;F&amp;CECT West Power&amp;RPage &amp;P of &amp;N</oddFooter>
  </headerFooter>
  <colBreaks count="1" manualBreakCount="1">
    <brk id="19" man="true" max="65535" min="0"/>
  </col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Mon - Fri">
              <controlPr defaultSize="0" locked="1" autoFill="0" autoLine="0" autoPict="0" print="true" altText="Check Box 46">
                <anchor moveWithCells="true" sizeWithCells="false">
                  <from>
                    <xdr:col>7</xdr:col>
                    <xdr:colOff>30600</xdr:colOff>
                    <xdr:row>10</xdr:row>
                    <xdr:rowOff>9360</xdr:rowOff>
                  </from>
                  <to>
                    <xdr:col>8</xdr:col>
                    <xdr:colOff>-914040</xdr:colOff>
                    <xdr:row>11</xdr:row>
                    <xdr:rowOff>0</xdr:rowOff>
                  </to>
                </anchor>
              </controlPr>
            </control>
          </mc:Choice>
        </mc:AlternateContent>
        <mc:AlternateContent xmlns:mc="http://schemas.openxmlformats.org/markup-compatibility/2006">
          <mc:Choice Requires="x14">
            <control shapeId="1002" r:id="rId4" name="Saturday">
              <controlPr defaultSize="0" locked="1" autoFill="0" autoLine="0" autoPict="0" print="true" altText="Check Box 47">
                <anchor moveWithCells="true" sizeWithCells="false">
                  <from>
                    <xdr:col>7</xdr:col>
                    <xdr:colOff>30600</xdr:colOff>
                    <xdr:row>11</xdr:row>
                    <xdr:rowOff>9720</xdr:rowOff>
                  </from>
                  <to>
                    <xdr:col>8</xdr:col>
                    <xdr:colOff>-944640</xdr:colOff>
                    <xdr:row>12</xdr:row>
                    <xdr:rowOff>0</xdr:rowOff>
                  </to>
                </anchor>
              </controlPr>
            </control>
          </mc:Choice>
        </mc:AlternateContent>
        <mc:AlternateContent xmlns:mc="http://schemas.openxmlformats.org/markup-compatibility/2006">
          <mc:Choice Requires="x14">
            <control shapeId="1003" r:id="rId5" name="Sunday">
              <controlPr defaultSize="0" locked="1" autoFill="0" autoLine="0" autoPict="0" print="true" altText="Check Box 48">
                <anchor moveWithCells="true" sizeWithCells="false">
                  <from>
                    <xdr:col>7</xdr:col>
                    <xdr:colOff>30600</xdr:colOff>
                    <xdr:row>12</xdr:row>
                    <xdr:rowOff>9720</xdr:rowOff>
                  </from>
                  <to>
                    <xdr:col>8</xdr:col>
                    <xdr:colOff>-944640</xdr:colOff>
                    <xdr:row>13</xdr:row>
                    <xdr:rowOff>-9000</xdr:rowOff>
                  </to>
                </anchor>
              </controlPr>
            </control>
          </mc:Choice>
        </mc:AlternateContent>
        <mc:AlternateContent xmlns:mc="http://schemas.openxmlformats.org/markup-compatibility/2006">
          <mc:Choice Requires="x14">
            <control shapeId="1004" r:id="rId6" name="Holidays">
              <controlPr defaultSize="0" locked="1" autoFill="0" autoLine="0" autoPict="0" print="true" altText="Check Box 49">
                <anchor moveWithCells="true" sizeWithCells="false">
                  <from>
                    <xdr:col>7</xdr:col>
                    <xdr:colOff>30600</xdr:colOff>
                    <xdr:row>13</xdr:row>
                    <xdr:rowOff>0</xdr:rowOff>
                  </from>
                  <to>
                    <xdr:col>8</xdr:col>
                    <xdr:colOff>-944640</xdr:colOff>
                    <xdr:row>14</xdr:row>
                    <xdr:rowOff>-19440</xdr:rowOff>
                  </to>
                </anchor>
              </controlPr>
            </control>
          </mc:Choice>
        </mc:AlternateContent>
        <mc:AlternateContent xmlns:mc="http://schemas.openxmlformats.org/markup-compatibility/2006">
          <mc:Choice Requires="x14">
            <control shapeId="1005" r:id="rId7" name="Monthly Volume Override">
              <controlPr defaultSize="0" locked="1" autoFill="0" autoLine="0" autoPict="0" print="true" altText="Check Box 66">
                <anchor moveWithCells="true" sizeWithCells="false">
                  <from>
                    <xdr:col>7</xdr:col>
                    <xdr:colOff>10800</xdr:colOff>
                    <xdr:row>7</xdr:row>
                    <xdr:rowOff>0</xdr:rowOff>
                  </from>
                  <to>
                    <xdr:col>8</xdr:col>
                    <xdr:colOff>91440</xdr:colOff>
                    <xdr:row>8</xdr:row>
                    <xdr:rowOff>-19440</xdr:rowOff>
                  </to>
                </anchor>
              </controlPr>
            </control>
          </mc:Choice>
        </mc:AlternateContent>
        <mc:AlternateContent xmlns:mc="http://schemas.openxmlformats.org/markup-compatibility/2006">
          <mc:Choice Requires="x14">
            <control shapeId="1006" r:id="rId8" name="Combine Swap and Option Takes">
              <controlPr defaultSize="0" locked="1" autoFill="0" autoLine="0" autoPict="0" print="true" altText="Check Box 80">
                <anchor moveWithCells="true" sizeWithCells="false">
                  <from>
                    <xdr:col>4</xdr:col>
                    <xdr:colOff>60120</xdr:colOff>
                    <xdr:row>8</xdr:row>
                    <xdr:rowOff>37800</xdr:rowOff>
                  </from>
                  <to>
                    <xdr:col>5</xdr:col>
                    <xdr:colOff>514800</xdr:colOff>
                    <xdr:row>9</xdr:row>
                    <xdr:rowOff>-76320</xdr:rowOff>
                  </to>
                </anchor>
              </controlPr>
            </control>
          </mc:Choice>
        </mc:AlternateContent>
        <mc:AlternateContent xmlns:mc="http://schemas.openxmlformats.org/markup-compatibility/2006">
          <mc:Choice Requires="x14">
            <control shapeId="1007" r:id="rId9" name="1 Jan">
              <controlPr defaultSize="0" locked="1" autoFill="0" autoLine="0" autoPict="0" print="true" altText="Check Box 262">
                <anchor moveWithCells="true" sizeWithCells="false">
                  <from>
                    <xdr:col>14</xdr:col>
                    <xdr:colOff>0</xdr:colOff>
                    <xdr:row>7</xdr:row>
                    <xdr:rowOff>9720</xdr:rowOff>
                  </from>
                  <to>
                    <xdr:col>15</xdr:col>
                    <xdr:colOff>41040</xdr:colOff>
                    <xdr:row>8</xdr:row>
                    <xdr:rowOff>-29160</xdr:rowOff>
                  </to>
                </anchor>
              </controlPr>
            </control>
          </mc:Choice>
        </mc:AlternateContent>
        <mc:AlternateContent xmlns:mc="http://schemas.openxmlformats.org/markup-compatibility/2006">
          <mc:Choice Requires="x14">
            <control shapeId="1008" r:id="rId10" name="2 Feb">
              <controlPr defaultSize="0" locked="1" autoFill="0" autoLine="0" autoPict="0" print="true" altText="Check Box 274">
                <anchor moveWithCells="true" sizeWithCells="false">
                  <from>
                    <xdr:col>14</xdr:col>
                    <xdr:colOff>0</xdr:colOff>
                    <xdr:row>8</xdr:row>
                    <xdr:rowOff>9720</xdr:rowOff>
                  </from>
                  <to>
                    <xdr:col>15</xdr:col>
                    <xdr:colOff>30600</xdr:colOff>
                    <xdr:row>9</xdr:row>
                    <xdr:rowOff>-95760</xdr:rowOff>
                  </to>
                </anchor>
              </controlPr>
            </control>
          </mc:Choice>
        </mc:AlternateContent>
        <mc:AlternateContent xmlns:mc="http://schemas.openxmlformats.org/markup-compatibility/2006">
          <mc:Choice Requires="x14">
            <control shapeId="1009" r:id="rId11" name="3 Mar">
              <controlPr defaultSize="0" locked="1" autoFill="0" autoLine="0" autoPict="0" print="true" altText="Check Box 275">
                <anchor moveWithCells="true" sizeWithCells="false">
                  <from>
                    <xdr:col>14</xdr:col>
                    <xdr:colOff>0</xdr:colOff>
                    <xdr:row>9</xdr:row>
                    <xdr:rowOff>9360</xdr:rowOff>
                  </from>
                  <to>
                    <xdr:col>15</xdr:col>
                    <xdr:colOff>41040</xdr:colOff>
                    <xdr:row>10</xdr:row>
                    <xdr:rowOff>-18360</xdr:rowOff>
                  </to>
                </anchor>
              </controlPr>
            </control>
          </mc:Choice>
        </mc:AlternateContent>
        <mc:AlternateContent xmlns:mc="http://schemas.openxmlformats.org/markup-compatibility/2006">
          <mc:Choice Requires="x14">
            <control shapeId="1010" r:id="rId12" name="4 Apr">
              <controlPr defaultSize="0" locked="1" autoFill="0" autoLine="0" autoPict="0" print="true" altText="Check Box 276">
                <anchor moveWithCells="true" sizeWithCells="false">
                  <from>
                    <xdr:col>14</xdr:col>
                    <xdr:colOff>0</xdr:colOff>
                    <xdr:row>10</xdr:row>
                    <xdr:rowOff>9360</xdr:rowOff>
                  </from>
                  <to>
                    <xdr:col>15</xdr:col>
                    <xdr:colOff>30600</xdr:colOff>
                    <xdr:row>11</xdr:row>
                    <xdr:rowOff>-18720</xdr:rowOff>
                  </to>
                </anchor>
              </controlPr>
            </control>
          </mc:Choice>
        </mc:AlternateContent>
        <mc:AlternateContent xmlns:mc="http://schemas.openxmlformats.org/markup-compatibility/2006">
          <mc:Choice Requires="x14">
            <control shapeId="1011" r:id="rId13" name="5 May">
              <controlPr defaultSize="0" locked="1" autoFill="0" autoLine="0" autoPict="0" print="true" altText="Check Box 277">
                <anchor moveWithCells="true" sizeWithCells="false">
                  <from>
                    <xdr:col>14</xdr:col>
                    <xdr:colOff>0</xdr:colOff>
                    <xdr:row>11</xdr:row>
                    <xdr:rowOff>9720</xdr:rowOff>
                  </from>
                  <to>
                    <xdr:col>15</xdr:col>
                    <xdr:colOff>41040</xdr:colOff>
                    <xdr:row>12</xdr:row>
                    <xdr:rowOff>0</xdr:rowOff>
                  </to>
                </anchor>
              </controlPr>
            </control>
          </mc:Choice>
        </mc:AlternateContent>
        <mc:AlternateContent xmlns:mc="http://schemas.openxmlformats.org/markup-compatibility/2006">
          <mc:Choice Requires="x14">
            <control shapeId="1012" r:id="rId14" name="6 Jun">
              <controlPr defaultSize="0" locked="1" autoFill="0" autoLine="0" autoPict="0" print="true" altText="Check Box 278">
                <anchor moveWithCells="true" sizeWithCells="false">
                  <from>
                    <xdr:col>14</xdr:col>
                    <xdr:colOff>0</xdr:colOff>
                    <xdr:row>12</xdr:row>
                    <xdr:rowOff>9720</xdr:rowOff>
                  </from>
                  <to>
                    <xdr:col>15</xdr:col>
                    <xdr:colOff>41040</xdr:colOff>
                    <xdr:row>13</xdr:row>
                    <xdr:rowOff>-9720</xdr:rowOff>
                  </to>
                </anchor>
              </controlPr>
            </control>
          </mc:Choice>
        </mc:AlternateContent>
        <mc:AlternateContent xmlns:mc="http://schemas.openxmlformats.org/markup-compatibility/2006">
          <mc:Choice Requires="x14">
            <control shapeId="1013" r:id="rId15" name="7 Jul">
              <controlPr defaultSize="0" locked="1" autoFill="0" autoLine="0" autoPict="0" print="true" altText="Check Box 279">
                <anchor moveWithCells="true" sizeWithCells="false">
                  <from>
                    <xdr:col>14</xdr:col>
                    <xdr:colOff>0</xdr:colOff>
                    <xdr:row>13</xdr:row>
                    <xdr:rowOff>9720</xdr:rowOff>
                  </from>
                  <to>
                    <xdr:col>15</xdr:col>
                    <xdr:colOff>41040</xdr:colOff>
                    <xdr:row>14</xdr:row>
                    <xdr:rowOff>-29160</xdr:rowOff>
                  </to>
                </anchor>
              </controlPr>
            </control>
          </mc:Choice>
        </mc:AlternateContent>
        <mc:AlternateContent xmlns:mc="http://schemas.openxmlformats.org/markup-compatibility/2006">
          <mc:Choice Requires="x14">
            <control shapeId="1014" r:id="rId16" name="8 Aug">
              <controlPr defaultSize="0" locked="1" autoFill="0" autoLine="0" autoPict="0" print="true" altText="Check Box 280">
                <anchor moveWithCells="true" sizeWithCells="false">
                  <from>
                    <xdr:col>14</xdr:col>
                    <xdr:colOff>0</xdr:colOff>
                    <xdr:row>14</xdr:row>
                    <xdr:rowOff>9720</xdr:rowOff>
                  </from>
                  <to>
                    <xdr:col>15</xdr:col>
                    <xdr:colOff>41040</xdr:colOff>
                    <xdr:row>15</xdr:row>
                    <xdr:rowOff>9720</xdr:rowOff>
                  </to>
                </anchor>
              </controlPr>
            </control>
          </mc:Choice>
        </mc:AlternateContent>
        <mc:AlternateContent xmlns:mc="http://schemas.openxmlformats.org/markup-compatibility/2006">
          <mc:Choice Requires="x14">
            <control shapeId="1015" r:id="rId17" name="9 Sep">
              <controlPr defaultSize="0" locked="1" autoFill="0" autoLine="0" autoPict="0" print="true" altText="Check Box 281">
                <anchor moveWithCells="true" sizeWithCells="false">
                  <from>
                    <xdr:col>14</xdr:col>
                    <xdr:colOff>0</xdr:colOff>
                    <xdr:row>15</xdr:row>
                    <xdr:rowOff>9720</xdr:rowOff>
                  </from>
                  <to>
                    <xdr:col>15</xdr:col>
                    <xdr:colOff>41040</xdr:colOff>
                    <xdr:row>16</xdr:row>
                    <xdr:rowOff>9360</xdr:rowOff>
                  </to>
                </anchor>
              </controlPr>
            </control>
          </mc:Choice>
        </mc:AlternateContent>
        <mc:AlternateContent xmlns:mc="http://schemas.openxmlformats.org/markup-compatibility/2006">
          <mc:Choice Requires="x14">
            <control shapeId="1016" r:id="rId18" name="10 Oct">
              <controlPr defaultSize="0" locked="1" autoFill="0" autoLine="0" autoPict="0" print="true" altText="Check Box 282">
                <anchor moveWithCells="true" sizeWithCells="false">
                  <from>
                    <xdr:col>14</xdr:col>
                    <xdr:colOff>0</xdr:colOff>
                    <xdr:row>16</xdr:row>
                    <xdr:rowOff>9360</xdr:rowOff>
                  </from>
                  <to>
                    <xdr:col>15</xdr:col>
                    <xdr:colOff>41040</xdr:colOff>
                    <xdr:row>17</xdr:row>
                    <xdr:rowOff>0</xdr:rowOff>
                  </to>
                </anchor>
              </controlPr>
            </control>
          </mc:Choice>
        </mc:AlternateContent>
        <mc:AlternateContent xmlns:mc="http://schemas.openxmlformats.org/markup-compatibility/2006">
          <mc:Choice Requires="x14">
            <control shapeId="1017" r:id="rId19" name="11 Nov">
              <controlPr defaultSize="0" locked="1" autoFill="0" autoLine="0" autoPict="0" print="true" altText="Check Box 283">
                <anchor moveWithCells="true" sizeWithCells="false">
                  <from>
                    <xdr:col>14</xdr:col>
                    <xdr:colOff>0</xdr:colOff>
                    <xdr:row>17</xdr:row>
                    <xdr:rowOff>0</xdr:rowOff>
                  </from>
                  <to>
                    <xdr:col>15</xdr:col>
                    <xdr:colOff>41040</xdr:colOff>
                    <xdr:row>18</xdr:row>
                    <xdr:rowOff>-9720</xdr:rowOff>
                  </to>
                </anchor>
              </controlPr>
            </control>
          </mc:Choice>
        </mc:AlternateContent>
        <mc:AlternateContent xmlns:mc="http://schemas.openxmlformats.org/markup-compatibility/2006">
          <mc:Choice Requires="x14">
            <control shapeId="1018" r:id="rId20" name="12 Dec">
              <controlPr defaultSize="0" locked="1" autoFill="0" autoLine="0" autoPict="0" print="true" altText="Check Box 284">
                <anchor moveWithCells="true" sizeWithCells="false">
                  <from>
                    <xdr:col>14</xdr:col>
                    <xdr:colOff>0</xdr:colOff>
                    <xdr:row>18</xdr:row>
                    <xdr:rowOff>10080</xdr:rowOff>
                  </from>
                  <to>
                    <xdr:col>15</xdr:col>
                    <xdr:colOff>41040</xdr:colOff>
                    <xdr:row>19</xdr:row>
                    <xdr:rowOff>0</xdr:rowOff>
                  </to>
                </anchor>
              </controlPr>
            </control>
          </mc:Choice>
        </mc:AlternateContent>
        <mc:AlternateContent xmlns:mc="http://schemas.openxmlformats.org/markup-compatibility/2006">
          <mc:Choice Requires="x14">
            <control shapeId="1019" r:id="rId21" name="Diff. Opt. Volume (MW)">
              <controlPr defaultSize="0" locked="1" autoFill="0" autoLine="0" autoPict="0" print="true" altText="Check Box 324">
                <anchor moveWithCells="true" sizeWithCells="false">
                  <from>
                    <xdr:col>7</xdr:col>
                    <xdr:colOff>10800</xdr:colOff>
                    <xdr:row>6</xdr:row>
                    <xdr:rowOff>0</xdr:rowOff>
                  </from>
                  <to>
                    <xdr:col>8</xdr:col>
                    <xdr:colOff>-68040</xdr:colOff>
                    <xdr:row>7</xdr:row>
                    <xdr:rowOff>-57240</xdr:rowOff>
                  </to>
                </anchor>
              </controlPr>
            </control>
          </mc:Choice>
        </mc:AlternateContent>
        <mc:AlternateContent xmlns:mc="http://schemas.openxmlformats.org/markup-compatibility/2006">
          <mc:Choice Requires="x14">
            <control shapeId="1020" r:id="rId22" name="Override">
              <controlPr defaultSize="0" locked="1" autoFill="0" autoLine="0" autoPict="0" print="true" altText="Check Box 390">
                <anchor moveWithCells="true" sizeWithCells="false">
                  <from>
                    <xdr:col>1</xdr:col>
                    <xdr:colOff>10440</xdr:colOff>
                    <xdr:row>32</xdr:row>
                    <xdr:rowOff>28080</xdr:rowOff>
                  </from>
                  <to>
                    <xdr:col>2</xdr:col>
                    <xdr:colOff>-762480</xdr:colOff>
                    <xdr:row>33</xdr:row>
                    <xdr:rowOff>-29160</xdr:rowOff>
                  </to>
                </anchor>
              </controlPr>
            </control>
          </mc:Choice>
        </mc:AlternateContent>
        <mc:AlternateContent xmlns:mc="http://schemas.openxmlformats.org/markup-compatibility/2006">
          <mc:Choice Requires="x14">
            <control shapeId="1021" r:id="rId23" name="Override">
              <controlPr defaultSize="0" locked="1" autoFill="0" autoLine="0" autoPict="0" print="true" altText="Check Box 391">
                <anchor moveWithCells="true" sizeWithCells="false">
                  <from>
                    <xdr:col>1</xdr:col>
                    <xdr:colOff>10440</xdr:colOff>
                    <xdr:row>31</xdr:row>
                    <xdr:rowOff>28080</xdr:rowOff>
                  </from>
                  <to>
                    <xdr:col>2</xdr:col>
                    <xdr:colOff>-762480</xdr:colOff>
                    <xdr:row>32</xdr:row>
                    <xdr:rowOff>-29160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CY509"/>
  <sheetViews>
    <sheetView showFormulas="false" showGridLines="false" showRowColHeaders="true" showZeros="true" rightToLeft="false" tabSelected="false" showOutlineSymbols="true" defaultGridColor="true" view="normal" topLeftCell="A1" colorId="64" zoomScale="75" zoomScaleNormal="75"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false" outlineLevel="0" max="1" min="1" style="238" width="11.7"/>
    <col collapsed="false" customWidth="true" hidden="false" outlineLevel="0" max="2" min="2" style="238" width="9.41"/>
    <col collapsed="false" customWidth="true" hidden="false" outlineLevel="0" max="3" min="3" style="1245" width="6.7"/>
    <col collapsed="false" customWidth="true" hidden="false" outlineLevel="0" max="4" min="4" style="1245" width="9.14"/>
    <col collapsed="false" customWidth="true" hidden="false" outlineLevel="0" max="5" min="5" style="1246" width="9.7"/>
    <col collapsed="false" customWidth="true" hidden="false" outlineLevel="0" max="7" min="6" style="1246" width="8.7"/>
    <col collapsed="false" customWidth="true" hidden="false" outlineLevel="0" max="8" min="8" style="1246" width="2.13"/>
    <col collapsed="false" customWidth="true" hidden="false" outlineLevel="0" max="11" min="9" style="1246" width="9.14"/>
    <col collapsed="false" customWidth="true" hidden="false" outlineLevel="0" max="12" min="12" style="1246" width="2.7"/>
    <col collapsed="false" customWidth="true" hidden="false" outlineLevel="0" max="16" min="13" style="1246" width="9.14"/>
    <col collapsed="false" customWidth="true" hidden="false" outlineLevel="0" max="17" min="17" style="1246" width="5.13"/>
    <col collapsed="false" customWidth="true" hidden="false" outlineLevel="0" max="20" min="18" style="1246" width="9.14"/>
    <col collapsed="false" customWidth="true" hidden="false" outlineLevel="0" max="21" min="21" style="1246" width="4.41"/>
    <col collapsed="false" customWidth="true" hidden="false" outlineLevel="0" max="24" min="22" style="1246" width="9.14"/>
    <col collapsed="false" customWidth="true" hidden="false" outlineLevel="0" max="25" min="25" style="1246" width="2.7"/>
    <col collapsed="false" customWidth="true" hidden="false" outlineLevel="0" max="28" min="26" style="1247" width="6.56"/>
    <col collapsed="false" customWidth="true" hidden="false" outlineLevel="0" max="29" min="29" style="1247" width="3.28"/>
    <col collapsed="false" customWidth="true" hidden="false" outlineLevel="0" max="32" min="30" style="1247" width="6.99"/>
    <col collapsed="false" customWidth="true" hidden="false" outlineLevel="0" max="33" min="33" style="1247" width="4.28"/>
    <col collapsed="false" customWidth="true" hidden="false" outlineLevel="0" max="36" min="34" style="1247" width="6.99"/>
    <col collapsed="false" customWidth="true" hidden="false" outlineLevel="0" max="37" min="37" style="1247" width="2.42"/>
    <col collapsed="false" customWidth="true" hidden="false" outlineLevel="0" max="40" min="38" style="1247" width="6.28"/>
    <col collapsed="false" customWidth="true" hidden="false" outlineLevel="0" max="41" min="41" style="1247" width="2.13"/>
    <col collapsed="false" customWidth="true" hidden="false" outlineLevel="0" max="42" min="42" style="1247" width="6.28"/>
    <col collapsed="false" customWidth="true" hidden="false" outlineLevel="0" max="43" min="43" style="1247" width="7.56"/>
    <col collapsed="false" customWidth="true" hidden="false" outlineLevel="0" max="44" min="44" style="1246" width="2.7"/>
    <col collapsed="false" customWidth="true" hidden="false" outlineLevel="0" max="45" min="45" style="1246" width="11.99"/>
    <col collapsed="false" customWidth="true" hidden="false" outlineLevel="0" max="57" min="46" style="1246" width="8.99"/>
    <col collapsed="false" customWidth="true" hidden="false" outlineLevel="0" max="58" min="58" style="1246" width="5.85"/>
    <col collapsed="false" customWidth="true" hidden="false" outlineLevel="0" max="59" min="59" style="1246" width="2.7"/>
    <col collapsed="false" customWidth="true" hidden="false" outlineLevel="0" max="60" min="60" style="1246" width="9.41"/>
    <col collapsed="false" customWidth="true" hidden="false" outlineLevel="0" max="61" min="61" style="1246" width="7.85"/>
    <col collapsed="false" customWidth="true" hidden="false" outlineLevel="0" max="68" min="62" style="1246" width="2.7"/>
    <col collapsed="false" customWidth="true" hidden="false" outlineLevel="0" max="78" min="69" style="0" width="10.28"/>
    <col collapsed="false" customWidth="true" hidden="false" outlineLevel="0" max="79" min="79" style="0" width="10.85"/>
    <col collapsed="false" customWidth="true" hidden="false" outlineLevel="0" max="80" min="80" style="0" width="7.85"/>
    <col collapsed="false" customWidth="true" hidden="false" outlineLevel="0" max="82" min="81" style="0" width="11.7"/>
    <col collapsed="false" customWidth="true" hidden="false" outlineLevel="0" max="98" min="83" style="0" width="10.99"/>
    <col collapsed="false" customWidth="true" hidden="false" outlineLevel="0" max="103" min="99" style="0" width="10.28"/>
  </cols>
  <sheetData>
    <row r="1" customFormat="false" ht="24" hidden="false" customHeight="false" outlineLevel="0" collapsed="false">
      <c r="A1" s="1216" t="s">
        <v>1082</v>
      </c>
      <c r="C1" s="238"/>
      <c r="D1" s="1216" t="s">
        <v>1083</v>
      </c>
      <c r="E1" s="1248"/>
      <c r="F1" s="1248"/>
      <c r="G1" s="1248"/>
      <c r="H1" s="1248"/>
      <c r="I1" s="1248"/>
      <c r="J1" s="1248"/>
      <c r="K1" s="1248"/>
      <c r="L1" s="1248"/>
      <c r="M1" s="1249"/>
      <c r="N1" s="1249"/>
      <c r="O1" s="1249"/>
      <c r="P1" s="1249"/>
      <c r="Q1" s="1249"/>
      <c r="R1" s="1249"/>
      <c r="S1" s="1249"/>
      <c r="T1" s="1249"/>
      <c r="U1" s="1249"/>
      <c r="V1" s="1249"/>
      <c r="W1" s="1249"/>
      <c r="X1" s="1249"/>
      <c r="Y1" s="1248"/>
      <c r="Z1" s="1250"/>
      <c r="AA1" s="1250"/>
      <c r="AB1" s="1250"/>
      <c r="AC1" s="1250"/>
      <c r="AD1" s="1250"/>
      <c r="AE1" s="1250"/>
      <c r="AF1" s="1250"/>
      <c r="AG1" s="1250"/>
      <c r="AH1" s="1250"/>
      <c r="AI1" s="1250"/>
      <c r="AJ1" s="1250"/>
      <c r="AK1" s="1250"/>
      <c r="AL1" s="1250"/>
      <c r="AM1" s="1250"/>
      <c r="AN1" s="1250"/>
      <c r="AO1" s="1250"/>
      <c r="AP1" s="1250"/>
      <c r="AQ1" s="1250"/>
      <c r="AR1" s="1248"/>
      <c r="AS1" s="1248"/>
      <c r="AT1" s="1248"/>
      <c r="AU1" s="1248"/>
      <c r="AV1" s="1248"/>
      <c r="AW1" s="1248"/>
      <c r="AX1" s="1248"/>
      <c r="AY1" s="1248"/>
      <c r="AZ1" s="1248"/>
      <c r="BA1" s="1248"/>
      <c r="BB1" s="1248"/>
      <c r="BC1" s="1248"/>
      <c r="BD1" s="1248"/>
      <c r="BE1" s="1248"/>
      <c r="BF1" s="1248"/>
      <c r="BG1" s="1248"/>
      <c r="BH1" s="1248"/>
      <c r="BI1" s="1248"/>
      <c r="BJ1" s="1248"/>
      <c r="BK1" s="1248"/>
      <c r="BL1" s="1248"/>
      <c r="BM1" s="1248"/>
      <c r="BN1" s="1248"/>
      <c r="BO1" s="1248"/>
      <c r="BP1" s="1248"/>
      <c r="BQ1" s="1216" t="s">
        <v>1068</v>
      </c>
    </row>
    <row r="2" customFormat="false" ht="27" hidden="false" customHeight="true" outlineLevel="0" collapsed="false">
      <c r="C2" s="1251"/>
      <c r="D2" s="1252"/>
      <c r="E2" s="1249"/>
      <c r="F2" s="1249"/>
      <c r="G2" s="1249"/>
      <c r="H2" s="1249"/>
      <c r="I2" s="1249"/>
      <c r="J2" s="1249"/>
      <c r="K2" s="1249"/>
      <c r="L2" s="1249"/>
      <c r="M2" s="1249"/>
      <c r="N2" s="1249"/>
      <c r="O2" s="1249"/>
      <c r="P2" s="1249"/>
      <c r="Q2" s="1249"/>
      <c r="R2" s="1249"/>
      <c r="S2" s="1249"/>
      <c r="T2" s="1249"/>
      <c r="U2" s="1249"/>
      <c r="V2" s="1249"/>
      <c r="W2" s="1249"/>
      <c r="X2" s="1249"/>
      <c r="Y2" s="1249"/>
      <c r="Z2" s="1250"/>
      <c r="AA2" s="1250"/>
      <c r="AB2" s="1250"/>
      <c r="AC2" s="1250"/>
      <c r="AD2" s="1250"/>
      <c r="AE2" s="1250"/>
      <c r="AF2" s="1250"/>
      <c r="AG2" s="1250"/>
      <c r="AH2" s="1250"/>
      <c r="AI2" s="1250"/>
      <c r="AJ2" s="1250"/>
      <c r="AK2" s="1250"/>
      <c r="AL2" s="1250"/>
      <c r="AM2" s="1250"/>
      <c r="AN2" s="1250"/>
      <c r="AO2" s="1250"/>
      <c r="AP2" s="1250"/>
      <c r="AQ2" s="1250"/>
      <c r="AR2" s="1249"/>
      <c r="AS2" s="1249"/>
      <c r="AT2" s="1249"/>
      <c r="AU2" s="1249"/>
      <c r="AV2" s="1249"/>
      <c r="AW2" s="1249"/>
      <c r="AX2" s="1249"/>
      <c r="AY2" s="1249"/>
      <c r="AZ2" s="1249"/>
      <c r="BA2" s="1249"/>
      <c r="BB2" s="1249"/>
      <c r="BC2" s="1249"/>
      <c r="BD2" s="1249"/>
      <c r="BE2" s="1249"/>
      <c r="BF2" s="1249"/>
      <c r="BG2" s="1249"/>
      <c r="BH2" s="25" t="s">
        <v>1084</v>
      </c>
      <c r="BI2" s="25"/>
      <c r="BJ2" s="1249"/>
      <c r="BK2" s="1249"/>
      <c r="BL2" s="1249"/>
      <c r="BM2" s="1249"/>
      <c r="BN2" s="1249"/>
      <c r="BO2" s="1249"/>
      <c r="BP2" s="1249"/>
      <c r="BQ2" s="1217" t="s">
        <v>1069</v>
      </c>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row>
    <row r="3" customFormat="false" ht="13.5" hidden="false" customHeight="false" outlineLevel="0" collapsed="false">
      <c r="A3" s="1253" t="n">
        <v>36647</v>
      </c>
      <c r="B3" s="1239" t="n">
        <v>0.062738908446644</v>
      </c>
      <c r="C3" s="1251"/>
      <c r="D3" s="1246" t="s">
        <v>1085</v>
      </c>
      <c r="E3" s="1246" t="s">
        <v>1086</v>
      </c>
      <c r="G3" s="1254" t="n">
        <v>36628</v>
      </c>
      <c r="Z3" s="109"/>
      <c r="AA3" s="109"/>
      <c r="AB3" s="109"/>
      <c r="AC3" s="109"/>
      <c r="AD3" s="109"/>
      <c r="AE3" s="109"/>
      <c r="AF3" s="109"/>
      <c r="AG3" s="109"/>
      <c r="AH3" s="109"/>
      <c r="AI3" s="109"/>
      <c r="AJ3" s="109"/>
      <c r="AK3" s="109"/>
      <c r="AL3" s="109"/>
      <c r="AM3" s="109"/>
      <c r="AN3" s="109"/>
      <c r="AO3" s="109"/>
      <c r="AP3" s="109"/>
      <c r="AQ3" s="109"/>
      <c r="BH3" s="1255" t="s">
        <v>1087</v>
      </c>
      <c r="BI3" s="1255"/>
      <c r="BQ3" s="1219"/>
      <c r="BR3" s="1220" t="s">
        <v>1070</v>
      </c>
      <c r="BS3" s="1220"/>
      <c r="BT3" s="1220"/>
      <c r="BU3" s="1220"/>
      <c r="BV3" s="1220"/>
      <c r="BW3" s="1220"/>
      <c r="BX3" s="1221" t="s">
        <v>1071</v>
      </c>
      <c r="BY3" s="1221"/>
      <c r="BZ3" s="1221"/>
      <c r="CA3" s="1222" t="s">
        <v>1072</v>
      </c>
      <c r="CB3" s="1223"/>
      <c r="CC3" s="1223" t="s">
        <v>1073</v>
      </c>
      <c r="CD3" s="1223" t="s">
        <v>1073</v>
      </c>
      <c r="CE3" s="1218"/>
      <c r="CF3" s="1218"/>
      <c r="CG3" s="1218"/>
      <c r="CH3" s="1218"/>
      <c r="CI3" s="1218"/>
      <c r="CJ3" s="1218"/>
      <c r="CK3" s="1218"/>
      <c r="CL3" s="1218"/>
      <c r="CM3" s="1218"/>
      <c r="CN3" s="1218"/>
      <c r="CO3" s="1218"/>
      <c r="CP3" s="1218"/>
      <c r="CQ3" s="1218"/>
      <c r="CR3" s="1218"/>
      <c r="CS3" s="1218"/>
      <c r="CT3" s="1218"/>
      <c r="CU3" s="238"/>
      <c r="CV3" s="238"/>
      <c r="CW3" s="238"/>
      <c r="CX3" s="238"/>
    </row>
    <row r="4" customFormat="false" ht="12.75" hidden="false" customHeight="false" outlineLevel="0" collapsed="false">
      <c r="A4" s="1237" t="n">
        <v>36678</v>
      </c>
      <c r="B4" s="1239" t="n">
        <v>0.06306165581607</v>
      </c>
      <c r="C4" s="1218"/>
      <c r="D4" s="1254"/>
      <c r="Z4" s="109" t="s">
        <v>1088</v>
      </c>
      <c r="AA4" s="109"/>
      <c r="AB4" s="109"/>
      <c r="AC4" s="109"/>
      <c r="AD4" s="109"/>
      <c r="AE4" s="109"/>
      <c r="AF4" s="109"/>
      <c r="AG4" s="109"/>
      <c r="AH4" s="109" t="s">
        <v>1089</v>
      </c>
      <c r="AI4" s="109"/>
      <c r="AJ4" s="109"/>
      <c r="AK4" s="109"/>
      <c r="AL4" s="109"/>
      <c r="AM4" s="109"/>
      <c r="AN4" s="109"/>
      <c r="AO4" s="109"/>
      <c r="AP4" s="109"/>
      <c r="AQ4" s="109"/>
      <c r="BH4" s="1256" t="s">
        <v>1090</v>
      </c>
      <c r="BI4" s="1257" t="s">
        <v>1091</v>
      </c>
      <c r="BQ4" s="1224" t="s">
        <v>16</v>
      </c>
      <c r="BR4" s="1225" t="s">
        <v>726</v>
      </c>
      <c r="BS4" s="1225"/>
      <c r="BT4" s="1225"/>
      <c r="BU4" s="1226" t="s">
        <v>131</v>
      </c>
      <c r="BV4" s="1226"/>
      <c r="BW4" s="1226"/>
      <c r="BX4" s="1227" t="n">
        <v>0.07</v>
      </c>
      <c r="BY4" s="1228" t="s">
        <v>1074</v>
      </c>
      <c r="BZ4" s="1258" t="n">
        <v>0.07</v>
      </c>
      <c r="CA4" s="1229" t="s">
        <v>1075</v>
      </c>
      <c r="CB4" s="1230" t="s">
        <v>49</v>
      </c>
      <c r="CC4" s="1230" t="s">
        <v>287</v>
      </c>
      <c r="CD4" s="1230" t="s">
        <v>287</v>
      </c>
      <c r="CE4" s="1218"/>
      <c r="CF4" s="1218"/>
      <c r="CG4" s="1218"/>
      <c r="CH4" s="1218"/>
      <c r="CI4" s="1218"/>
      <c r="CJ4" s="1218"/>
      <c r="CK4" s="1218"/>
      <c r="CL4" s="1218"/>
      <c r="CM4" s="1218"/>
      <c r="CN4" s="1218"/>
      <c r="CO4" s="1218"/>
      <c r="CP4" s="1218"/>
      <c r="CQ4" s="1218"/>
      <c r="CR4" s="1218"/>
      <c r="CS4" s="1218"/>
      <c r="CT4" s="1218"/>
      <c r="CU4" s="238"/>
      <c r="CV4" s="238"/>
      <c r="CW4" s="238"/>
      <c r="CX4" s="238"/>
    </row>
    <row r="5" customFormat="false" ht="13.5" hidden="false" customHeight="false" outlineLevel="0" collapsed="false">
      <c r="A5" s="1237" t="n">
        <v>36708</v>
      </c>
      <c r="B5" s="1239" t="n">
        <v>0.063805660340869</v>
      </c>
      <c r="C5" s="1218"/>
      <c r="D5" s="1246"/>
      <c r="F5" s="1246" t="s">
        <v>1092</v>
      </c>
      <c r="J5" s="1246" t="s">
        <v>1093</v>
      </c>
      <c r="O5" s="1246" t="s">
        <v>67</v>
      </c>
      <c r="S5" s="1246" t="s">
        <v>70</v>
      </c>
      <c r="W5" s="1246" t="s">
        <v>1094</v>
      </c>
      <c r="Z5" s="197"/>
      <c r="AA5" s="197" t="s">
        <v>149</v>
      </c>
      <c r="AB5" s="197"/>
      <c r="AC5" s="109"/>
      <c r="AD5" s="197"/>
      <c r="AE5" s="197" t="s">
        <v>1095</v>
      </c>
      <c r="AF5" s="197"/>
      <c r="AG5" s="109"/>
      <c r="AH5" s="197"/>
      <c r="AI5" s="197" t="s">
        <v>149</v>
      </c>
      <c r="AJ5" s="197"/>
      <c r="AK5" s="109"/>
      <c r="AL5" s="197"/>
      <c r="AM5" s="197" t="s">
        <v>1095</v>
      </c>
      <c r="AN5" s="197"/>
      <c r="AO5" s="109"/>
      <c r="AP5" s="197" t="s">
        <v>1096</v>
      </c>
      <c r="AQ5" s="197" t="s">
        <v>1097</v>
      </c>
      <c r="BH5" s="1259" t="n">
        <v>-5</v>
      </c>
      <c r="BI5" s="1260" t="n">
        <v>0.035</v>
      </c>
      <c r="BQ5" s="1231"/>
      <c r="BR5" s="1232" t="s">
        <v>1078</v>
      </c>
      <c r="BS5" s="1233" t="s">
        <v>372</v>
      </c>
      <c r="BT5" s="1233" t="s">
        <v>1079</v>
      </c>
      <c r="BU5" s="1233" t="s">
        <v>1078</v>
      </c>
      <c r="BV5" s="1233" t="s">
        <v>372</v>
      </c>
      <c r="BW5" s="1234" t="s">
        <v>1079</v>
      </c>
      <c r="BX5" s="1232" t="s">
        <v>1078</v>
      </c>
      <c r="BY5" s="1233" t="s">
        <v>372</v>
      </c>
      <c r="BZ5" s="1234" t="s">
        <v>1079</v>
      </c>
      <c r="CA5" s="1235" t="s">
        <v>1080</v>
      </c>
      <c r="CB5" s="1236"/>
      <c r="CC5" s="1236" t="s">
        <v>726</v>
      </c>
      <c r="CD5" s="1236" t="s">
        <v>1081</v>
      </c>
      <c r="CE5" s="1252"/>
      <c r="CF5" s="1252"/>
      <c r="CG5" s="1252"/>
      <c r="CH5" s="1252"/>
      <c r="CI5" s="1252"/>
      <c r="CJ5" s="1252"/>
      <c r="CK5" s="1252"/>
      <c r="CL5" s="1252"/>
      <c r="CM5" s="1252"/>
      <c r="CN5" s="1252"/>
      <c r="CO5" s="1252"/>
      <c r="CP5" s="1252"/>
      <c r="CQ5" s="1252"/>
      <c r="CR5" s="1252"/>
      <c r="CS5" s="1252"/>
      <c r="CT5" s="1252"/>
      <c r="CU5" s="1252"/>
      <c r="CV5" s="1252"/>
      <c r="CW5" s="1252"/>
      <c r="CX5" s="1252"/>
      <c r="CY5" s="1252"/>
    </row>
    <row r="6" customFormat="false" ht="13.5" hidden="false" customHeight="false" outlineLevel="0" collapsed="false">
      <c r="A6" s="1237" t="n">
        <v>36739</v>
      </c>
      <c r="B6" s="1239" t="n">
        <v>0.064616331073091</v>
      </c>
      <c r="C6" s="1261"/>
      <c r="D6" s="1262"/>
      <c r="E6" s="1263" t="s">
        <v>1078</v>
      </c>
      <c r="F6" s="1263" t="s">
        <v>372</v>
      </c>
      <c r="G6" s="1264" t="s">
        <v>1079</v>
      </c>
      <c r="I6" s="1264" t="s">
        <v>1078</v>
      </c>
      <c r="J6" s="1264" t="s">
        <v>372</v>
      </c>
      <c r="K6" s="1264" t="s">
        <v>1079</v>
      </c>
      <c r="N6" s="1263" t="s">
        <v>1078</v>
      </c>
      <c r="O6" s="1263" t="s">
        <v>372</v>
      </c>
      <c r="P6" s="1264" t="s">
        <v>1079</v>
      </c>
      <c r="R6" s="1263" t="s">
        <v>1078</v>
      </c>
      <c r="S6" s="1263" t="s">
        <v>372</v>
      </c>
      <c r="T6" s="1264" t="s">
        <v>1079</v>
      </c>
      <c r="V6" s="1263" t="s">
        <v>1078</v>
      </c>
      <c r="W6" s="1263" t="s">
        <v>372</v>
      </c>
      <c r="X6" s="1264" t="s">
        <v>1079</v>
      </c>
      <c r="Z6" s="1265" t="s">
        <v>1078</v>
      </c>
      <c r="AA6" s="1265" t="s">
        <v>372</v>
      </c>
      <c r="AB6" s="1266" t="s">
        <v>1079</v>
      </c>
      <c r="AC6" s="109"/>
      <c r="AD6" s="1265" t="s">
        <v>1078</v>
      </c>
      <c r="AE6" s="1265" t="s">
        <v>372</v>
      </c>
      <c r="AF6" s="1266" t="s">
        <v>1079</v>
      </c>
      <c r="AG6" s="109"/>
      <c r="AH6" s="1265" t="s">
        <v>1078</v>
      </c>
      <c r="AI6" s="1265" t="s">
        <v>372</v>
      </c>
      <c r="AJ6" s="1266" t="s">
        <v>1079</v>
      </c>
      <c r="AK6" s="109"/>
      <c r="AL6" s="1265" t="s">
        <v>1078</v>
      </c>
      <c r="AM6" s="1265" t="s">
        <v>372</v>
      </c>
      <c r="AN6" s="1266" t="s">
        <v>1079</v>
      </c>
      <c r="AO6" s="109"/>
      <c r="AP6" s="197" t="s">
        <v>1098</v>
      </c>
      <c r="AQ6" s="197" t="s">
        <v>1099</v>
      </c>
      <c r="AT6" s="1264" t="s">
        <v>669</v>
      </c>
      <c r="AU6" s="1264" t="s">
        <v>1100</v>
      </c>
      <c r="BH6" s="1259" t="n">
        <v>-4.5</v>
      </c>
      <c r="BI6" s="1260" t="n">
        <v>0.0275</v>
      </c>
      <c r="BQ6" s="1267" t="n">
        <v>36647</v>
      </c>
      <c r="BR6" s="1238" t="n">
        <v>3.016</v>
      </c>
      <c r="BS6" s="1238" t="n">
        <v>3.021</v>
      </c>
      <c r="BT6" s="1238" t="n">
        <v>3.026</v>
      </c>
      <c r="BU6" s="1239" t="n">
        <v>0.3325</v>
      </c>
      <c r="BV6" s="1239" t="n">
        <v>0.34</v>
      </c>
      <c r="BW6" s="1239" t="n">
        <v>0.3475</v>
      </c>
      <c r="BX6" s="1239" t="n">
        <v>-0.07</v>
      </c>
      <c r="BY6" s="1239"/>
      <c r="BZ6" s="1239" t="n">
        <v>0.07</v>
      </c>
      <c r="CA6" s="1240" t="n">
        <v>0</v>
      </c>
      <c r="CB6" s="1241" t="n">
        <v>0</v>
      </c>
      <c r="CC6" s="1242" t="n">
        <v>2.623</v>
      </c>
      <c r="CD6" s="1239" t="n">
        <v>0.5925</v>
      </c>
      <c r="CE6" s="1268"/>
      <c r="CF6" s="1268"/>
      <c r="CG6" s="1268"/>
      <c r="CH6" s="1268"/>
      <c r="CI6" s="1268"/>
      <c r="CJ6" s="1268"/>
      <c r="CK6" s="1268"/>
      <c r="CL6" s="1268"/>
      <c r="CM6" s="1268"/>
      <c r="CN6" s="1268"/>
      <c r="CO6" s="1268"/>
      <c r="CP6" s="1268"/>
      <c r="CQ6" s="1268"/>
      <c r="CR6" s="1268"/>
      <c r="CS6" s="1268"/>
      <c r="CT6" s="1268"/>
      <c r="CU6" s="1268"/>
      <c r="CV6" s="1268"/>
      <c r="CW6" s="1268"/>
      <c r="CX6" s="1268"/>
      <c r="CY6" s="1268"/>
    </row>
    <row r="7" customFormat="false" ht="12.75" hidden="false" customHeight="false" outlineLevel="0" collapsed="false">
      <c r="A7" s="1237" t="n">
        <v>36770</v>
      </c>
      <c r="B7" s="1239" t="n">
        <v>0.065314719016369</v>
      </c>
      <c r="C7" s="1269"/>
      <c r="D7" s="1246"/>
      <c r="E7" s="1246" t="s">
        <v>1101</v>
      </c>
      <c r="F7" s="1246" t="s">
        <v>1101</v>
      </c>
      <c r="G7" s="1246" t="s">
        <v>1101</v>
      </c>
      <c r="I7" s="1246" t="s">
        <v>1101</v>
      </c>
      <c r="J7" s="1246" t="s">
        <v>1101</v>
      </c>
      <c r="K7" s="1246" t="s">
        <v>1101</v>
      </c>
      <c r="N7" s="1246" t="s">
        <v>1101</v>
      </c>
      <c r="O7" s="1246" t="s">
        <v>1101</v>
      </c>
      <c r="P7" s="1246" t="s">
        <v>1101</v>
      </c>
      <c r="R7" s="1246" t="s">
        <v>1101</v>
      </c>
      <c r="S7" s="1246" t="s">
        <v>1101</v>
      </c>
      <c r="T7" s="1246" t="s">
        <v>1101</v>
      </c>
      <c r="V7" s="1246" t="s">
        <v>1101</v>
      </c>
      <c r="W7" s="1246" t="s">
        <v>1101</v>
      </c>
      <c r="X7" s="1246" t="s">
        <v>1101</v>
      </c>
      <c r="Z7" s="197"/>
      <c r="AA7" s="197"/>
      <c r="AB7" s="197"/>
      <c r="AC7" s="109"/>
      <c r="AD7" s="197"/>
      <c r="AE7" s="197"/>
      <c r="AF7" s="197"/>
      <c r="AG7" s="109"/>
      <c r="AH7" s="197"/>
      <c r="AI7" s="197"/>
      <c r="AJ7" s="197"/>
      <c r="AK7" s="109"/>
      <c r="AL7" s="197"/>
      <c r="AM7" s="197"/>
      <c r="AN7" s="197"/>
      <c r="AO7" s="109"/>
      <c r="AP7" s="109"/>
      <c r="AQ7" s="109"/>
      <c r="AS7" s="1264" t="s">
        <v>149</v>
      </c>
      <c r="AT7" s="1270" t="n">
        <v>700</v>
      </c>
      <c r="AU7" s="1270" t="n">
        <v>2200</v>
      </c>
      <c r="BH7" s="1259" t="n">
        <v>-4</v>
      </c>
      <c r="BI7" s="1260" t="n">
        <v>0.02</v>
      </c>
      <c r="BQ7" s="1237" t="n">
        <v>36678</v>
      </c>
      <c r="BR7" s="1238" t="n">
        <v>3.033</v>
      </c>
      <c r="BS7" s="1238" t="n">
        <v>3.038</v>
      </c>
      <c r="BT7" s="1238" t="n">
        <v>3.043</v>
      </c>
      <c r="BU7" s="1239" t="n">
        <v>0.355</v>
      </c>
      <c r="BV7" s="1239" t="n">
        <v>0.3625</v>
      </c>
      <c r="BW7" s="1239" t="n">
        <v>0.37</v>
      </c>
      <c r="BX7" s="1239" t="n">
        <v>-0.07</v>
      </c>
      <c r="BY7" s="1239"/>
      <c r="BZ7" s="1239" t="n">
        <v>0.07</v>
      </c>
      <c r="CA7" s="1240" t="n">
        <v>0</v>
      </c>
      <c r="CB7" s="1241" t="n">
        <v>0</v>
      </c>
      <c r="CC7" s="1242" t="n">
        <v>2.801</v>
      </c>
      <c r="CD7" s="1239" t="n">
        <v>0.5925</v>
      </c>
      <c r="CE7" s="1245"/>
      <c r="CF7" s="1245"/>
      <c r="CG7" s="1245"/>
      <c r="CH7" s="1245"/>
      <c r="CI7" s="1245"/>
      <c r="CJ7" s="1245"/>
      <c r="CK7" s="1245"/>
      <c r="CL7" s="1245"/>
      <c r="CM7" s="1245"/>
      <c r="CN7" s="1245"/>
      <c r="CO7" s="1245"/>
      <c r="CP7" s="1245"/>
      <c r="CQ7" s="1245"/>
      <c r="CR7" s="1245"/>
      <c r="CS7" s="1245"/>
      <c r="CT7" s="1245"/>
      <c r="CU7" s="1245"/>
      <c r="CV7" s="1245"/>
      <c r="CW7" s="1245"/>
      <c r="CX7" s="1245"/>
      <c r="CY7" s="1245"/>
    </row>
    <row r="8" customFormat="false" ht="12.75" hidden="false" customHeight="false" outlineLevel="0" collapsed="false">
      <c r="A8" s="1237" t="n">
        <v>36800</v>
      </c>
      <c r="B8" s="1239" t="n">
        <v>0.06591331046029</v>
      </c>
      <c r="C8" s="1269"/>
      <c r="D8" s="1264" t="s">
        <v>16</v>
      </c>
      <c r="M8" s="1246" t="s">
        <v>16</v>
      </c>
      <c r="Z8" s="109"/>
      <c r="AA8" s="109"/>
      <c r="AB8" s="109"/>
      <c r="AC8" s="109"/>
      <c r="AD8" s="109"/>
      <c r="AE8" s="109"/>
      <c r="AF8" s="109"/>
      <c r="AG8" s="109"/>
      <c r="AH8" s="109"/>
      <c r="AI8" s="109"/>
      <c r="AJ8" s="109"/>
      <c r="AK8" s="109"/>
      <c r="AL8" s="109"/>
      <c r="AM8" s="109"/>
      <c r="AN8" s="109"/>
      <c r="AO8" s="109"/>
      <c r="AP8" s="109"/>
      <c r="AQ8" s="109"/>
      <c r="AS8" s="1271" t="s">
        <v>1102</v>
      </c>
      <c r="AT8" s="1272"/>
      <c r="AU8" s="1272"/>
      <c r="AV8" s="1272"/>
      <c r="AW8" s="1272"/>
      <c r="AZ8" s="1272"/>
      <c r="BA8" s="1272"/>
      <c r="BB8" s="1272"/>
      <c r="BC8" s="1272"/>
      <c r="BD8" s="1272"/>
      <c r="BE8" s="1272"/>
      <c r="BF8" s="1272"/>
      <c r="BH8" s="1259" t="n">
        <v>-3.5</v>
      </c>
      <c r="BI8" s="1260" t="n">
        <v>0.015</v>
      </c>
      <c r="BQ8" s="1237" t="n">
        <v>36708</v>
      </c>
      <c r="BR8" s="1238" t="n">
        <v>3.044</v>
      </c>
      <c r="BS8" s="1238" t="n">
        <v>3.049</v>
      </c>
      <c r="BT8" s="1238" t="n">
        <v>3.054</v>
      </c>
      <c r="BU8" s="1239" t="n">
        <v>0.3675</v>
      </c>
      <c r="BV8" s="1239" t="n">
        <v>0.375</v>
      </c>
      <c r="BW8" s="1239" t="n">
        <v>0.3825</v>
      </c>
      <c r="BX8" s="1239" t="n">
        <v>-0.07</v>
      </c>
      <c r="BY8" s="1239"/>
      <c r="BZ8" s="1239" t="n">
        <v>0.07</v>
      </c>
      <c r="CA8" s="1240" t="n">
        <v>0</v>
      </c>
      <c r="CB8" s="1241" t="n">
        <v>0</v>
      </c>
      <c r="CC8" s="1242" t="n">
        <v>2.941</v>
      </c>
      <c r="CD8" s="1239" t="n">
        <v>0.605</v>
      </c>
      <c r="CE8" s="1245"/>
      <c r="CF8" s="1245"/>
      <c r="CG8" s="1245"/>
      <c r="CH8" s="1245"/>
      <c r="CI8" s="1245"/>
      <c r="CJ8" s="1245"/>
      <c r="CK8" s="1245"/>
      <c r="CL8" s="1245"/>
      <c r="CM8" s="1245"/>
      <c r="CN8" s="1245"/>
      <c r="CO8" s="1245"/>
      <c r="CP8" s="1245"/>
      <c r="CQ8" s="1245"/>
      <c r="CR8" s="1245"/>
      <c r="CS8" s="1245"/>
      <c r="CT8" s="1245"/>
      <c r="CU8" s="1245"/>
      <c r="CV8" s="1245"/>
      <c r="CW8" s="1245"/>
      <c r="CX8" s="1245"/>
      <c r="CY8" s="1245"/>
    </row>
    <row r="9" customFormat="false" ht="12.75" hidden="false" customHeight="false" outlineLevel="0" collapsed="false">
      <c r="A9" s="1237" t="n">
        <v>36831</v>
      </c>
      <c r="B9" s="1239" t="n">
        <v>0.066385068755817</v>
      </c>
      <c r="C9" s="1273"/>
      <c r="D9" s="1274" t="n">
        <v>36629</v>
      </c>
      <c r="E9" s="1275" t="n">
        <v>33.25</v>
      </c>
      <c r="F9" s="1275" t="n">
        <v>34</v>
      </c>
      <c r="G9" s="1275" t="n">
        <v>35.25</v>
      </c>
      <c r="H9" s="1266"/>
      <c r="I9" s="1275" t="n">
        <v>16.16</v>
      </c>
      <c r="J9" s="1275" t="n">
        <v>17.16</v>
      </c>
      <c r="K9" s="1275" t="n">
        <v>19.16</v>
      </c>
      <c r="M9" s="1276" t="n">
        <v>36586</v>
      </c>
      <c r="N9" s="1277" t="n">
        <v>0</v>
      </c>
      <c r="O9" s="1277" t="n">
        <v>0</v>
      </c>
      <c r="P9" s="1277" t="n">
        <v>0</v>
      </c>
      <c r="Q9" s="109"/>
      <c r="R9" s="1277" t="n">
        <v>0</v>
      </c>
      <c r="S9" s="1277" t="n">
        <v>0</v>
      </c>
      <c r="T9" s="1277" t="n">
        <v>0</v>
      </c>
      <c r="V9" s="1278" t="n">
        <v>0</v>
      </c>
      <c r="W9" s="1278" t="n">
        <v>0</v>
      </c>
      <c r="X9" s="1278" t="n">
        <v>0</v>
      </c>
      <c r="Z9" s="1277" t="n">
        <v>0.25</v>
      </c>
      <c r="AA9" s="1277" t="n">
        <v>0.3</v>
      </c>
      <c r="AB9" s="1277" t="n">
        <v>0.31</v>
      </c>
      <c r="AC9" s="109"/>
      <c r="AD9" s="1277" t="n">
        <v>0.06</v>
      </c>
      <c r="AE9" s="1277" t="n">
        <v>0.11</v>
      </c>
      <c r="AF9" s="1277" t="n">
        <v>0.16</v>
      </c>
      <c r="AG9" s="109"/>
      <c r="AH9" s="1277" t="n">
        <v>-0.1</v>
      </c>
      <c r="AI9" s="1277" t="n">
        <v>0.65</v>
      </c>
      <c r="AJ9" s="1277" t="n">
        <v>0.1</v>
      </c>
      <c r="AK9" s="109"/>
      <c r="AL9" s="1277" t="n">
        <v>-0.01</v>
      </c>
      <c r="AM9" s="1277" t="n">
        <v>0.16</v>
      </c>
      <c r="AN9" s="1277" t="n">
        <v>0.01</v>
      </c>
      <c r="AO9" s="109"/>
      <c r="AP9" s="1279" t="n">
        <v>1</v>
      </c>
      <c r="AQ9" s="1280" t="n">
        <v>0</v>
      </c>
      <c r="AS9" s="1262"/>
      <c r="AT9" s="1281" t="s">
        <v>25</v>
      </c>
      <c r="AU9" s="1281" t="s">
        <v>26</v>
      </c>
      <c r="AV9" s="1281" t="s">
        <v>27</v>
      </c>
      <c r="AW9" s="1281" t="s">
        <v>28</v>
      </c>
      <c r="AX9" s="1281" t="s">
        <v>29</v>
      </c>
      <c r="AY9" s="1281" t="s">
        <v>30</v>
      </c>
      <c r="AZ9" s="1281" t="s">
        <v>31</v>
      </c>
      <c r="BA9" s="1281" t="s">
        <v>32</v>
      </c>
      <c r="BB9" s="1281" t="s">
        <v>33</v>
      </c>
      <c r="BC9" s="1281" t="s">
        <v>34</v>
      </c>
      <c r="BD9" s="1281" t="s">
        <v>35</v>
      </c>
      <c r="BE9" s="1281" t="s">
        <v>36</v>
      </c>
      <c r="BF9" s="1262"/>
      <c r="BH9" s="1259" t="n">
        <v>-3</v>
      </c>
      <c r="BI9" s="1260" t="n">
        <v>0.0125</v>
      </c>
      <c r="BQ9" s="1237" t="n">
        <v>36739</v>
      </c>
      <c r="BR9" s="1238" t="n">
        <v>3.046</v>
      </c>
      <c r="BS9" s="1238" t="n">
        <v>3.051</v>
      </c>
      <c r="BT9" s="1238" t="n">
        <v>3.056</v>
      </c>
      <c r="BU9" s="1239" t="n">
        <v>0.3875</v>
      </c>
      <c r="BV9" s="1239" t="n">
        <v>0.395</v>
      </c>
      <c r="BW9" s="1239" t="n">
        <v>0.4025</v>
      </c>
      <c r="BX9" s="1239" t="n">
        <v>-0.07</v>
      </c>
      <c r="BY9" s="1239"/>
      <c r="BZ9" s="1239" t="n">
        <v>0.07</v>
      </c>
      <c r="CA9" s="1240" t="n">
        <v>0</v>
      </c>
      <c r="CB9" s="1241" t="n">
        <v>0</v>
      </c>
      <c r="CC9" s="1242" t="n">
        <v>2.966</v>
      </c>
      <c r="CD9" s="1239" t="n">
        <v>0.62</v>
      </c>
      <c r="CE9" s="1245"/>
      <c r="CF9" s="1245"/>
      <c r="CG9" s="1245"/>
      <c r="CH9" s="1245"/>
      <c r="CI9" s="1245"/>
      <c r="CJ9" s="1245"/>
      <c r="CK9" s="1245"/>
      <c r="CL9" s="1245"/>
      <c r="CM9" s="1245"/>
      <c r="CN9" s="1245"/>
      <c r="CO9" s="1245"/>
      <c r="CP9" s="1245"/>
      <c r="CQ9" s="1245"/>
      <c r="CR9" s="1245"/>
      <c r="CS9" s="1245"/>
      <c r="CT9" s="1245"/>
      <c r="CU9" s="1245"/>
      <c r="CV9" s="1245"/>
      <c r="CW9" s="1245"/>
      <c r="CX9" s="1245"/>
      <c r="CY9" s="1245"/>
    </row>
    <row r="10" customFormat="false" ht="12.75" hidden="false" customHeight="false" outlineLevel="0" collapsed="false">
      <c r="A10" s="1237" t="n">
        <v>36861</v>
      </c>
      <c r="B10" s="1239" t="n">
        <v>0.066841609112001</v>
      </c>
      <c r="C10" s="1273"/>
      <c r="D10" s="1274" t="n">
        <v>36630</v>
      </c>
      <c r="E10" s="1275" t="n">
        <v>34.25</v>
      </c>
      <c r="F10" s="1275" t="n">
        <v>35</v>
      </c>
      <c r="G10" s="1275" t="n">
        <v>36.25</v>
      </c>
      <c r="H10" s="1266"/>
      <c r="I10" s="1275" t="n">
        <v>22</v>
      </c>
      <c r="J10" s="1275" t="n">
        <v>23</v>
      </c>
      <c r="K10" s="1275" t="n">
        <v>25</v>
      </c>
      <c r="M10" s="1276" t="n">
        <v>36617</v>
      </c>
      <c r="N10" s="1277" t="n">
        <v>0</v>
      </c>
      <c r="O10" s="1277" t="n">
        <v>0</v>
      </c>
      <c r="P10" s="1277" t="n">
        <v>0</v>
      </c>
      <c r="Q10" s="109"/>
      <c r="R10" s="1277" t="n">
        <v>0</v>
      </c>
      <c r="S10" s="1277" t="n">
        <v>0</v>
      </c>
      <c r="T10" s="1277" t="n">
        <v>0</v>
      </c>
      <c r="V10" s="1278" t="n">
        <v>0</v>
      </c>
      <c r="W10" s="1278" t="n">
        <v>0</v>
      </c>
      <c r="X10" s="1278" t="n">
        <v>0</v>
      </c>
      <c r="Z10" s="1277" t="n">
        <v>0.24</v>
      </c>
      <c r="AA10" s="1277" t="n">
        <v>0.28</v>
      </c>
      <c r="AB10" s="1277" t="n">
        <v>0.3</v>
      </c>
      <c r="AC10" s="109"/>
      <c r="AD10" s="1277" t="n">
        <v>0.06</v>
      </c>
      <c r="AE10" s="1277" t="n">
        <v>0.11</v>
      </c>
      <c r="AF10" s="1277" t="n">
        <v>0.16</v>
      </c>
      <c r="AG10" s="109"/>
      <c r="AH10" s="1277" t="n">
        <v>-0.1</v>
      </c>
      <c r="AI10" s="1277" t="n">
        <v>0.65</v>
      </c>
      <c r="AJ10" s="1277" t="n">
        <v>0.1</v>
      </c>
      <c r="AK10" s="109"/>
      <c r="AL10" s="1277" t="n">
        <v>-0.01</v>
      </c>
      <c r="AM10" s="1277" t="n">
        <v>0.16</v>
      </c>
      <c r="AN10" s="1277" t="n">
        <v>0.01</v>
      </c>
      <c r="AO10" s="109"/>
      <c r="AP10" s="197" t="n">
        <v>1</v>
      </c>
      <c r="AQ10" s="1280" t="n">
        <v>0</v>
      </c>
      <c r="AS10" s="1264" t="s">
        <v>1103</v>
      </c>
      <c r="BF10" s="1264" t="s">
        <v>1104</v>
      </c>
      <c r="BH10" s="1259" t="n">
        <v>-2.5</v>
      </c>
      <c r="BI10" s="1260" t="n">
        <v>0.01</v>
      </c>
      <c r="BQ10" s="1237" t="n">
        <v>36770</v>
      </c>
      <c r="BR10" s="1238" t="n">
        <v>3.038</v>
      </c>
      <c r="BS10" s="1238" t="n">
        <v>3.043</v>
      </c>
      <c r="BT10" s="1238" t="n">
        <v>3.048</v>
      </c>
      <c r="BU10" s="1239" t="n">
        <v>0.3925</v>
      </c>
      <c r="BV10" s="1239" t="n">
        <v>0.4</v>
      </c>
      <c r="BW10" s="1239" t="n">
        <v>0.4075</v>
      </c>
      <c r="BX10" s="1239" t="n">
        <v>-0.07</v>
      </c>
      <c r="BY10" s="1239"/>
      <c r="BZ10" s="1239" t="n">
        <v>0.07</v>
      </c>
      <c r="CA10" s="1240" t="n">
        <v>0</v>
      </c>
      <c r="CB10" s="1241" t="n">
        <v>0</v>
      </c>
      <c r="CC10" s="1242" t="n">
        <v>2.789</v>
      </c>
      <c r="CD10" s="1239" t="n">
        <v>0.6</v>
      </c>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row>
    <row r="11" customFormat="false" ht="12.75" hidden="false" customHeight="false" outlineLevel="0" collapsed="false">
      <c r="A11" s="1237" t="n">
        <v>36892</v>
      </c>
      <c r="B11" s="1239" t="n">
        <v>0.067288114413205</v>
      </c>
      <c r="C11" s="1282"/>
      <c r="D11" s="1274" t="n">
        <v>36631</v>
      </c>
      <c r="E11" s="1275" t="n">
        <v>34.25</v>
      </c>
      <c r="F11" s="1275" t="n">
        <v>35</v>
      </c>
      <c r="G11" s="1275" t="n">
        <v>36.25</v>
      </c>
      <c r="H11" s="1266"/>
      <c r="I11" s="1275" t="n">
        <v>22</v>
      </c>
      <c r="J11" s="1275" t="n">
        <v>23</v>
      </c>
      <c r="K11" s="1275" t="n">
        <v>25</v>
      </c>
      <c r="M11" s="1276" t="n">
        <v>36647</v>
      </c>
      <c r="N11" s="1277" t="n">
        <v>34.6</v>
      </c>
      <c r="O11" s="1277" t="n">
        <v>35.35</v>
      </c>
      <c r="P11" s="1277" t="n">
        <v>36.6</v>
      </c>
      <c r="Q11" s="109"/>
      <c r="R11" s="1277" t="n">
        <v>25.7625</v>
      </c>
      <c r="S11" s="1277" t="n">
        <v>26.5125</v>
      </c>
      <c r="T11" s="1277" t="n">
        <v>27.7625</v>
      </c>
      <c r="V11" s="1278" t="n">
        <v>0</v>
      </c>
      <c r="W11" s="1278" t="n">
        <v>0</v>
      </c>
      <c r="X11" s="1278" t="n">
        <v>0</v>
      </c>
      <c r="Z11" s="1277" t="n">
        <v>0.23</v>
      </c>
      <c r="AA11" s="1277" t="n">
        <v>0.27</v>
      </c>
      <c r="AB11" s="1277" t="n">
        <v>0.29</v>
      </c>
      <c r="AC11" s="109"/>
      <c r="AD11" s="1277" t="n">
        <v>0.06</v>
      </c>
      <c r="AE11" s="1277" t="n">
        <v>0.11</v>
      </c>
      <c r="AF11" s="1277" t="n">
        <v>0.16</v>
      </c>
      <c r="AG11" s="109"/>
      <c r="AH11" s="1277" t="n">
        <v>-0.1</v>
      </c>
      <c r="AI11" s="1277" t="n">
        <v>0.65</v>
      </c>
      <c r="AJ11" s="1277" t="n">
        <v>0.1</v>
      </c>
      <c r="AK11" s="109"/>
      <c r="AL11" s="1277" t="n">
        <v>-0.01</v>
      </c>
      <c r="AM11" s="1277" t="n">
        <v>0.16</v>
      </c>
      <c r="AN11" s="1277" t="n">
        <v>0.01</v>
      </c>
      <c r="AO11" s="109"/>
      <c r="AP11" s="197" t="n">
        <v>1</v>
      </c>
      <c r="AQ11" s="1280" t="n">
        <v>0.1</v>
      </c>
      <c r="AS11" s="1246" t="n">
        <v>100</v>
      </c>
      <c r="AT11" s="1283" t="n">
        <v>0.96699290507633</v>
      </c>
      <c r="AU11" s="1283" t="n">
        <v>0.947634640423919</v>
      </c>
      <c r="AV11" s="1283" t="n">
        <v>0.951507368581018</v>
      </c>
      <c r="AW11" s="1283" t="n">
        <v>0.982808463920731</v>
      </c>
      <c r="AX11" s="1283" t="n">
        <v>0.984701131712973</v>
      </c>
      <c r="AY11" s="1283" t="n">
        <v>0.98806265515506</v>
      </c>
      <c r="AZ11" s="1283" t="n">
        <v>1.00987712448013</v>
      </c>
      <c r="BA11" s="1283" t="n">
        <v>0.984925200649911</v>
      </c>
      <c r="BB11" s="1283" t="n">
        <v>0.9859412405692</v>
      </c>
      <c r="BC11" s="1283" t="n">
        <v>1.00233482056182</v>
      </c>
      <c r="BD11" s="1283" t="n">
        <v>0.988235419919294</v>
      </c>
      <c r="BE11" s="1283" t="n">
        <v>0.954235610214122</v>
      </c>
      <c r="BF11" s="1246" t="s">
        <v>174</v>
      </c>
      <c r="BH11" s="1259" t="n">
        <v>-2</v>
      </c>
      <c r="BI11" s="1260" t="n">
        <v>0.0075</v>
      </c>
      <c r="BQ11" s="1237" t="n">
        <v>36800</v>
      </c>
      <c r="BR11" s="1238" t="n">
        <v>3.047</v>
      </c>
      <c r="BS11" s="1238" t="n">
        <v>3.052</v>
      </c>
      <c r="BT11" s="1238" t="n">
        <v>3.057</v>
      </c>
      <c r="BU11" s="1239" t="n">
        <v>0.395</v>
      </c>
      <c r="BV11" s="1239" t="n">
        <v>0.4025</v>
      </c>
      <c r="BW11" s="1239" t="n">
        <v>0.41</v>
      </c>
      <c r="BX11" s="1239" t="n">
        <v>-0.07</v>
      </c>
      <c r="BY11" s="1239"/>
      <c r="BZ11" s="1239" t="n">
        <v>0.07</v>
      </c>
      <c r="CA11" s="1240" t="n">
        <v>0</v>
      </c>
      <c r="CB11" s="1241" t="n">
        <v>0</v>
      </c>
      <c r="CC11" s="1242" t="n">
        <v>2.659</v>
      </c>
      <c r="CD11" s="1239" t="n">
        <v>0.5075</v>
      </c>
      <c r="CE11" s="1245"/>
      <c r="CF11" s="1245"/>
      <c r="CG11" s="1245"/>
      <c r="CH11" s="1245"/>
      <c r="CI11" s="1245"/>
      <c r="CJ11" s="1245"/>
      <c r="CK11" s="1245"/>
      <c r="CL11" s="1245"/>
      <c r="CM11" s="1245"/>
      <c r="CN11" s="1245"/>
      <c r="CO11" s="1245"/>
      <c r="CP11" s="1245"/>
      <c r="CQ11" s="1245"/>
      <c r="CR11" s="1245"/>
      <c r="CS11" s="1245"/>
      <c r="CT11" s="1245"/>
      <c r="CU11" s="1245"/>
      <c r="CV11" s="1245"/>
      <c r="CW11" s="1245"/>
      <c r="CX11" s="1245"/>
      <c r="CY11" s="1245"/>
    </row>
    <row r="12" customFormat="false" ht="12.75" hidden="false" customHeight="false" outlineLevel="0" collapsed="false">
      <c r="A12" s="1237" t="n">
        <v>36923</v>
      </c>
      <c r="B12" s="1239" t="n">
        <v>0.067694635637609</v>
      </c>
      <c r="C12" s="1284"/>
      <c r="D12" s="1274" t="n">
        <v>36632</v>
      </c>
      <c r="E12" s="1275" t="n">
        <v>26.25</v>
      </c>
      <c r="F12" s="1275" t="n">
        <v>27</v>
      </c>
      <c r="G12" s="1275" t="n">
        <v>28.25</v>
      </c>
      <c r="H12" s="1266"/>
      <c r="I12" s="1275" t="n">
        <v>22</v>
      </c>
      <c r="J12" s="1275" t="n">
        <v>23</v>
      </c>
      <c r="K12" s="1275" t="n">
        <v>25</v>
      </c>
      <c r="M12" s="1276" t="n">
        <v>36678</v>
      </c>
      <c r="N12" s="1277" t="n">
        <v>38.875</v>
      </c>
      <c r="O12" s="1277" t="n">
        <v>39.625</v>
      </c>
      <c r="P12" s="1277" t="n">
        <v>40.875</v>
      </c>
      <c r="Q12" s="109"/>
      <c r="R12" s="1277" t="n">
        <v>28.96875</v>
      </c>
      <c r="S12" s="1277" t="n">
        <v>29.71875</v>
      </c>
      <c r="T12" s="1277" t="n">
        <v>30.96875</v>
      </c>
      <c r="V12" s="1278" t="n">
        <v>0</v>
      </c>
      <c r="W12" s="1278" t="n">
        <v>0</v>
      </c>
      <c r="X12" s="1278" t="n">
        <v>0</v>
      </c>
      <c r="Z12" s="1277" t="n">
        <v>0.22</v>
      </c>
      <c r="AA12" s="1277" t="n">
        <v>0.27</v>
      </c>
      <c r="AB12" s="1277" t="n">
        <v>0.28</v>
      </c>
      <c r="AC12" s="109"/>
      <c r="AD12" s="1277" t="n">
        <v>0.05</v>
      </c>
      <c r="AE12" s="1277" t="n">
        <v>0.11</v>
      </c>
      <c r="AF12" s="1277" t="n">
        <v>0.15</v>
      </c>
      <c r="AG12" s="109"/>
      <c r="AH12" s="1277" t="n">
        <v>-0.35</v>
      </c>
      <c r="AI12" s="1277" t="n">
        <v>0.65</v>
      </c>
      <c r="AJ12" s="1277" t="n">
        <v>0.2</v>
      </c>
      <c r="AK12" s="109"/>
      <c r="AL12" s="1277" t="n">
        <v>-0.01</v>
      </c>
      <c r="AM12" s="1277" t="n">
        <v>0.16</v>
      </c>
      <c r="AN12" s="1277" t="n">
        <v>0.01</v>
      </c>
      <c r="AO12" s="109"/>
      <c r="AP12" s="197" t="n">
        <v>1</v>
      </c>
      <c r="AQ12" s="1280" t="n">
        <v>0.1</v>
      </c>
      <c r="AS12" s="1246" t="n">
        <v>200</v>
      </c>
      <c r="AT12" s="1283" t="n">
        <v>0.925923708335637</v>
      </c>
      <c r="AU12" s="1283" t="n">
        <v>0.91875934667139</v>
      </c>
      <c r="AV12" s="1283" t="n">
        <v>0.92433511190158</v>
      </c>
      <c r="AW12" s="1283" t="n">
        <v>0.938717201429352</v>
      </c>
      <c r="AX12" s="1283" t="n">
        <v>0.947810311216521</v>
      </c>
      <c r="AY12" s="1283" t="n">
        <v>0.94781163368185</v>
      </c>
      <c r="AZ12" s="1283" t="n">
        <v>0.958352781394414</v>
      </c>
      <c r="BA12" s="1283" t="n">
        <v>0.935656386226275</v>
      </c>
      <c r="BB12" s="1283" t="n">
        <v>0.945698740954131</v>
      </c>
      <c r="BC12" s="1283" t="n">
        <v>0.946036530121525</v>
      </c>
      <c r="BD12" s="1283" t="n">
        <v>0.939974486564858</v>
      </c>
      <c r="BE12" s="1283" t="n">
        <v>0.921330933999842</v>
      </c>
      <c r="BF12" s="1246" t="s">
        <v>174</v>
      </c>
      <c r="BH12" s="1259" t="n">
        <v>-1.5</v>
      </c>
      <c r="BI12" s="1260" t="n">
        <v>0.005</v>
      </c>
      <c r="BQ12" s="1237" t="n">
        <v>36831</v>
      </c>
      <c r="BR12" s="1238" t="n">
        <v>3.14</v>
      </c>
      <c r="BS12" s="1238" t="n">
        <v>3.145</v>
      </c>
      <c r="BT12" s="1238" t="n">
        <v>3.15</v>
      </c>
      <c r="BU12" s="1239" t="n">
        <v>0.4075</v>
      </c>
      <c r="BV12" s="1239" t="n">
        <v>0.415</v>
      </c>
      <c r="BW12" s="1239" t="n">
        <v>0.4225</v>
      </c>
      <c r="BX12" s="1239" t="n">
        <v>-0.07</v>
      </c>
      <c r="BY12" s="1239"/>
      <c r="BZ12" s="1239" t="n">
        <v>0.07</v>
      </c>
      <c r="CA12" s="1240" t="n">
        <v>0</v>
      </c>
      <c r="CB12" s="1241" t="n">
        <v>0</v>
      </c>
      <c r="CC12" s="1242" t="n">
        <v>2.524</v>
      </c>
      <c r="CD12" s="1239" t="n">
        <v>0.3825</v>
      </c>
      <c r="CE12" s="1268"/>
      <c r="CF12" s="1268"/>
      <c r="CG12" s="1268"/>
      <c r="CH12" s="1268"/>
      <c r="CI12" s="1268"/>
      <c r="CJ12" s="1268"/>
      <c r="CK12" s="1268"/>
      <c r="CL12" s="1268"/>
      <c r="CM12" s="1268"/>
      <c r="CN12" s="1268"/>
      <c r="CO12" s="1268"/>
      <c r="CP12" s="1268"/>
      <c r="CQ12" s="1268"/>
      <c r="CR12" s="1268"/>
      <c r="CS12" s="1268"/>
      <c r="CT12" s="1268"/>
      <c r="CU12" s="1268"/>
      <c r="CV12" s="1268"/>
      <c r="CW12" s="1268"/>
      <c r="CX12" s="1268"/>
      <c r="CY12" s="1268"/>
    </row>
    <row r="13" customFormat="false" ht="12.75" hidden="false" customHeight="false" outlineLevel="0" collapsed="false">
      <c r="A13" s="1237" t="n">
        <v>36951</v>
      </c>
      <c r="B13" s="1239" t="n">
        <v>0.068061816145383</v>
      </c>
      <c r="C13" s="1284"/>
      <c r="D13" s="1274" t="n">
        <v>36633</v>
      </c>
      <c r="E13" s="1275" t="n">
        <v>34.25</v>
      </c>
      <c r="F13" s="1275" t="n">
        <v>35</v>
      </c>
      <c r="G13" s="1275" t="n">
        <v>36.25</v>
      </c>
      <c r="H13" s="1266"/>
      <c r="I13" s="1275" t="n">
        <v>22</v>
      </c>
      <c r="J13" s="1275" t="n">
        <v>23</v>
      </c>
      <c r="K13" s="1275" t="n">
        <v>25</v>
      </c>
      <c r="M13" s="1276" t="n">
        <v>36708</v>
      </c>
      <c r="N13" s="1277" t="n">
        <v>56.575</v>
      </c>
      <c r="O13" s="1277" t="n">
        <v>57.325</v>
      </c>
      <c r="P13" s="1277" t="n">
        <v>58.575</v>
      </c>
      <c r="Q13" s="109"/>
      <c r="R13" s="1277" t="n">
        <v>42.24375</v>
      </c>
      <c r="S13" s="1277" t="n">
        <v>42.99375</v>
      </c>
      <c r="T13" s="1277" t="n">
        <v>44.24375</v>
      </c>
      <c r="V13" s="1278" t="n">
        <v>0</v>
      </c>
      <c r="W13" s="1278" t="n">
        <v>0</v>
      </c>
      <c r="X13" s="1278" t="n">
        <v>0</v>
      </c>
      <c r="Z13" s="1277" t="n">
        <v>0.22</v>
      </c>
      <c r="AA13" s="1277" t="n">
        <v>0.27</v>
      </c>
      <c r="AB13" s="1277" t="n">
        <v>0.28</v>
      </c>
      <c r="AC13" s="109"/>
      <c r="AD13" s="1277" t="n">
        <v>0.05</v>
      </c>
      <c r="AE13" s="1277" t="n">
        <v>0.11</v>
      </c>
      <c r="AF13" s="1277" t="n">
        <v>0.15</v>
      </c>
      <c r="AG13" s="109"/>
      <c r="AH13" s="1277" t="n">
        <v>-0.35</v>
      </c>
      <c r="AI13" s="1277" t="n">
        <v>3</v>
      </c>
      <c r="AJ13" s="1277" t="n">
        <v>0.35</v>
      </c>
      <c r="AK13" s="109"/>
      <c r="AL13" s="1277" t="n">
        <v>-0.01</v>
      </c>
      <c r="AM13" s="1277" t="n">
        <v>0.16</v>
      </c>
      <c r="AN13" s="1277" t="n">
        <v>0.01</v>
      </c>
      <c r="AO13" s="109"/>
      <c r="AP13" s="197" t="n">
        <v>2</v>
      </c>
      <c r="AQ13" s="1280" t="n">
        <v>0.1</v>
      </c>
      <c r="AS13" s="1246" t="n">
        <v>300</v>
      </c>
      <c r="AT13" s="1283" t="n">
        <v>0.908887380895758</v>
      </c>
      <c r="AU13" s="1283" t="n">
        <v>0.903009186442737</v>
      </c>
      <c r="AV13" s="1283" t="n">
        <v>0.919551263894637</v>
      </c>
      <c r="AW13" s="1283" t="n">
        <v>0.904038884196911</v>
      </c>
      <c r="AX13" s="1283" t="n">
        <v>0.916595001565678</v>
      </c>
      <c r="AY13" s="1283" t="n">
        <v>0.927797511703651</v>
      </c>
      <c r="AZ13" s="1283" t="n">
        <v>0.908274735658467</v>
      </c>
      <c r="BA13" s="1283" t="n">
        <v>0.920068795905064</v>
      </c>
      <c r="BB13" s="1283" t="n">
        <v>0.923091578766549</v>
      </c>
      <c r="BC13" s="1283" t="n">
        <v>0.926006440721558</v>
      </c>
      <c r="BD13" s="1283" t="n">
        <v>0.923640016814126</v>
      </c>
      <c r="BE13" s="1283" t="n">
        <v>0.913287568703018</v>
      </c>
      <c r="BF13" s="1246" t="s">
        <v>174</v>
      </c>
      <c r="BH13" s="1259" t="n">
        <v>-1</v>
      </c>
      <c r="BI13" s="1260" t="n">
        <v>0.0033</v>
      </c>
      <c r="BQ13" s="1237" t="n">
        <v>36861</v>
      </c>
      <c r="BR13" s="1238" t="n">
        <v>3.237</v>
      </c>
      <c r="BS13" s="1238" t="n">
        <v>3.242</v>
      </c>
      <c r="BT13" s="1238" t="n">
        <v>3.247</v>
      </c>
      <c r="BU13" s="1239" t="n">
        <v>0.41</v>
      </c>
      <c r="BV13" s="1239" t="n">
        <v>0.4175</v>
      </c>
      <c r="BW13" s="1239" t="n">
        <v>0.425</v>
      </c>
      <c r="BX13" s="1239" t="n">
        <v>-0.07</v>
      </c>
      <c r="BY13" s="1239"/>
      <c r="BZ13" s="1239" t="n">
        <v>0.07</v>
      </c>
      <c r="CA13" s="1240" t="n">
        <v>0</v>
      </c>
      <c r="CB13" s="1241" t="n">
        <v>0</v>
      </c>
      <c r="CC13" s="1242" t="n">
        <v>2.473</v>
      </c>
      <c r="CD13" s="1239" t="n">
        <v>0.31</v>
      </c>
      <c r="CE13" s="1245"/>
      <c r="CF13" s="1245"/>
      <c r="CG13" s="1245"/>
      <c r="CH13" s="1245"/>
      <c r="CI13" s="1245"/>
      <c r="CJ13" s="1245"/>
      <c r="CK13" s="1245"/>
      <c r="CL13" s="1245"/>
      <c r="CM13" s="1245"/>
      <c r="CN13" s="1245"/>
      <c r="CO13" s="1245"/>
      <c r="CP13" s="1245"/>
      <c r="CQ13" s="1245"/>
      <c r="CR13" s="1245"/>
      <c r="CS13" s="1245"/>
      <c r="CT13" s="1245"/>
      <c r="CU13" s="1245"/>
      <c r="CV13" s="1245"/>
      <c r="CW13" s="1245"/>
      <c r="CX13" s="1245"/>
      <c r="CY13" s="1245"/>
    </row>
    <row r="14" customFormat="false" ht="12.75" hidden="false" customHeight="false" outlineLevel="0" collapsed="false">
      <c r="A14" s="1237" t="n">
        <v>36982</v>
      </c>
      <c r="B14" s="1239" t="n">
        <v>0.068418556099149</v>
      </c>
      <c r="C14" s="1284"/>
      <c r="D14" s="1274" t="n">
        <v>36634</v>
      </c>
      <c r="E14" s="1275" t="n">
        <v>34.25</v>
      </c>
      <c r="F14" s="1275" t="n">
        <v>35</v>
      </c>
      <c r="G14" s="1275" t="n">
        <v>36.25</v>
      </c>
      <c r="H14" s="1266"/>
      <c r="I14" s="1275" t="n">
        <v>22</v>
      </c>
      <c r="J14" s="1275" t="n">
        <v>23</v>
      </c>
      <c r="K14" s="1275" t="n">
        <v>25</v>
      </c>
      <c r="M14" s="1276" t="n">
        <v>36739</v>
      </c>
      <c r="N14" s="1277" t="n">
        <v>77.125</v>
      </c>
      <c r="O14" s="1277" t="n">
        <v>77.875</v>
      </c>
      <c r="P14" s="1277" t="n">
        <v>79.125</v>
      </c>
      <c r="Q14" s="109"/>
      <c r="R14" s="1277" t="n">
        <v>57.65625</v>
      </c>
      <c r="S14" s="1277" t="n">
        <v>58.40625</v>
      </c>
      <c r="T14" s="1277" t="n">
        <v>59.65625</v>
      </c>
      <c r="V14" s="1278" t="n">
        <v>0</v>
      </c>
      <c r="W14" s="1278" t="n">
        <v>0</v>
      </c>
      <c r="X14" s="1278" t="n">
        <v>0</v>
      </c>
      <c r="Z14" s="1277" t="n">
        <v>0.22</v>
      </c>
      <c r="AA14" s="1277" t="n">
        <v>0.28</v>
      </c>
      <c r="AB14" s="1277" t="n">
        <v>0.28</v>
      </c>
      <c r="AC14" s="109"/>
      <c r="AD14" s="1277" t="n">
        <v>0.05</v>
      </c>
      <c r="AE14" s="1277" t="n">
        <v>0.11</v>
      </c>
      <c r="AF14" s="1277" t="n">
        <v>0.15</v>
      </c>
      <c r="AG14" s="109"/>
      <c r="AH14" s="1277" t="n">
        <v>-0.35</v>
      </c>
      <c r="AI14" s="1277" t="n">
        <v>3</v>
      </c>
      <c r="AJ14" s="1277" t="n">
        <v>0.35</v>
      </c>
      <c r="AK14" s="109"/>
      <c r="AL14" s="1277" t="n">
        <v>-0.01</v>
      </c>
      <c r="AM14" s="1277" t="n">
        <v>0.16</v>
      </c>
      <c r="AN14" s="1277" t="n">
        <v>0.01</v>
      </c>
      <c r="AO14" s="109"/>
      <c r="AP14" s="197" t="n">
        <v>2</v>
      </c>
      <c r="AQ14" s="1280" t="n">
        <v>0.1</v>
      </c>
      <c r="AS14" s="1246" t="n">
        <v>400</v>
      </c>
      <c r="AT14" s="1283" t="n">
        <v>0.921613983101827</v>
      </c>
      <c r="AU14" s="1283" t="n">
        <v>0.931216819082084</v>
      </c>
      <c r="AV14" s="1283" t="n">
        <v>0.926392166544566</v>
      </c>
      <c r="AW14" s="1283" t="n">
        <v>0.910764384167785</v>
      </c>
      <c r="AX14" s="1283" t="n">
        <v>0.912338368431472</v>
      </c>
      <c r="AY14" s="1283" t="n">
        <v>0.923508771279751</v>
      </c>
      <c r="AZ14" s="1283" t="n">
        <v>0.914300974615861</v>
      </c>
      <c r="BA14" s="1283" t="n">
        <v>0.920068795905065</v>
      </c>
      <c r="BB14" s="1283" t="n">
        <v>0.923437806117531</v>
      </c>
      <c r="BC14" s="1283" t="n">
        <v>0.920884314711835</v>
      </c>
      <c r="BD14" s="1283" t="n">
        <v>0.916891747729287</v>
      </c>
      <c r="BE14" s="1283" t="n">
        <v>0.918406073891906</v>
      </c>
      <c r="BF14" s="1246" t="s">
        <v>174</v>
      </c>
      <c r="BH14" s="1259" t="n">
        <v>-0.5</v>
      </c>
      <c r="BI14" s="1260" t="n">
        <v>0.0025</v>
      </c>
      <c r="BQ14" s="1237" t="n">
        <v>36892</v>
      </c>
      <c r="BR14" s="1238" t="n">
        <v>3.252</v>
      </c>
      <c r="BS14" s="1238" t="n">
        <v>3.257</v>
      </c>
      <c r="BT14" s="1238" t="n">
        <v>3.262</v>
      </c>
      <c r="BU14" s="1239" t="n">
        <v>0.4125</v>
      </c>
      <c r="BV14" s="1239" t="n">
        <v>0.42</v>
      </c>
      <c r="BW14" s="1239" t="n">
        <v>0.4275</v>
      </c>
      <c r="BX14" s="1239" t="n">
        <v>-0.07</v>
      </c>
      <c r="BY14" s="1239"/>
      <c r="BZ14" s="1239" t="n">
        <v>0.07</v>
      </c>
      <c r="CA14" s="1240" t="n">
        <v>0</v>
      </c>
      <c r="CB14" s="1241" t="n">
        <v>0</v>
      </c>
      <c r="CC14" s="1242" t="n">
        <v>2.483</v>
      </c>
      <c r="CD14" s="1239" t="n">
        <v>0.29</v>
      </c>
      <c r="CE14" s="1268"/>
      <c r="CF14" s="1268"/>
      <c r="CG14" s="1268"/>
      <c r="CH14" s="1268"/>
      <c r="CI14" s="1268"/>
      <c r="CJ14" s="1268"/>
      <c r="CK14" s="1268"/>
      <c r="CL14" s="1268"/>
      <c r="CM14" s="1268"/>
      <c r="CN14" s="1268"/>
      <c r="CO14" s="1268"/>
      <c r="CP14" s="1268"/>
      <c r="CQ14" s="1268"/>
      <c r="CR14" s="1268"/>
      <c r="CS14" s="1268"/>
      <c r="CT14" s="1268"/>
      <c r="CU14" s="1268"/>
      <c r="CV14" s="1268"/>
      <c r="CW14" s="1268"/>
      <c r="CX14" s="1268"/>
      <c r="CY14" s="1268"/>
    </row>
    <row r="15" customFormat="false" ht="12.75" hidden="false" customHeight="false" outlineLevel="0" collapsed="false">
      <c r="A15" s="1237" t="n">
        <v>37012</v>
      </c>
      <c r="B15" s="1239" t="n">
        <v>0.068677026242297</v>
      </c>
      <c r="C15" s="1284"/>
      <c r="D15" s="1274" t="n">
        <v>36635</v>
      </c>
      <c r="E15" s="1275" t="n">
        <v>34.25</v>
      </c>
      <c r="F15" s="1275" t="n">
        <v>35</v>
      </c>
      <c r="G15" s="1275" t="n">
        <v>36.25</v>
      </c>
      <c r="H15" s="1266"/>
      <c r="I15" s="1275" t="n">
        <v>22</v>
      </c>
      <c r="J15" s="1275" t="n">
        <v>23</v>
      </c>
      <c r="K15" s="1275" t="n">
        <v>25</v>
      </c>
      <c r="M15" s="1276" t="n">
        <v>36770</v>
      </c>
      <c r="N15" s="1277" t="n">
        <v>61.125</v>
      </c>
      <c r="O15" s="1277" t="n">
        <v>61.875</v>
      </c>
      <c r="P15" s="1277" t="n">
        <v>63.125</v>
      </c>
      <c r="Q15" s="109"/>
      <c r="R15" s="1277" t="n">
        <v>45.65625</v>
      </c>
      <c r="S15" s="1277" t="n">
        <v>46.40625</v>
      </c>
      <c r="T15" s="1277" t="n">
        <v>47.65625</v>
      </c>
      <c r="V15" s="1278" t="n">
        <v>0</v>
      </c>
      <c r="W15" s="1278" t="n">
        <v>0</v>
      </c>
      <c r="X15" s="1278" t="n">
        <v>0</v>
      </c>
      <c r="Z15" s="1277" t="n">
        <v>0.22</v>
      </c>
      <c r="AA15" s="1277" t="n">
        <v>0.35</v>
      </c>
      <c r="AB15" s="1277" t="n">
        <v>0.28</v>
      </c>
      <c r="AC15" s="109"/>
      <c r="AD15" s="1277" t="n">
        <v>0.05</v>
      </c>
      <c r="AE15" s="1277" t="n">
        <v>0.11</v>
      </c>
      <c r="AF15" s="1277" t="n">
        <v>0.15</v>
      </c>
      <c r="AG15" s="109"/>
      <c r="AH15" s="1277" t="n">
        <v>-0.35</v>
      </c>
      <c r="AI15" s="1277" t="n">
        <v>3</v>
      </c>
      <c r="AJ15" s="1277" t="n">
        <v>0.2</v>
      </c>
      <c r="AK15" s="109"/>
      <c r="AL15" s="1277" t="n">
        <v>-0.01</v>
      </c>
      <c r="AM15" s="1277" t="n">
        <v>0.16</v>
      </c>
      <c r="AN15" s="1277" t="n">
        <v>0.01</v>
      </c>
      <c r="AO15" s="109"/>
      <c r="AP15" s="197" t="n">
        <v>2</v>
      </c>
      <c r="AQ15" s="1280" t="n">
        <v>0.1</v>
      </c>
      <c r="AS15" s="1246" t="n">
        <v>500</v>
      </c>
      <c r="AT15" s="1283" t="n">
        <v>0.973015590455527</v>
      </c>
      <c r="AU15" s="1283" t="n">
        <v>0.981240405823106</v>
      </c>
      <c r="AV15" s="1283" t="n">
        <v>0.994992546964132</v>
      </c>
      <c r="AW15" s="1283" t="n">
        <v>0.978207509749846</v>
      </c>
      <c r="AX15" s="1283" t="n">
        <v>0.953485822062129</v>
      </c>
      <c r="AY15" s="1283" t="n">
        <v>0.937804572692751</v>
      </c>
      <c r="AZ15" s="1283" t="n">
        <v>0.94027646080688</v>
      </c>
      <c r="BA15" s="1283" t="n">
        <v>0.952547119146687</v>
      </c>
      <c r="BB15" s="1283" t="n">
        <v>0.963352873580672</v>
      </c>
      <c r="BC15" s="1283" t="n">
        <v>0.954900822071309</v>
      </c>
      <c r="BD15" s="1283" t="n">
        <v>0.977127028976687</v>
      </c>
      <c r="BE15" s="1283" t="n">
        <v>0.958386262477575</v>
      </c>
      <c r="BF15" s="1246" t="s">
        <v>174</v>
      </c>
      <c r="BH15" s="1259" t="n">
        <v>0</v>
      </c>
      <c r="BI15" s="1260" t="n">
        <v>0</v>
      </c>
      <c r="BQ15" s="1237" t="n">
        <v>36923</v>
      </c>
      <c r="BR15" s="1238" t="n">
        <v>3.087</v>
      </c>
      <c r="BS15" s="1238" t="n">
        <v>3.092</v>
      </c>
      <c r="BT15" s="1238" t="n">
        <v>3.097</v>
      </c>
      <c r="BU15" s="1239" t="n">
        <v>0.4025</v>
      </c>
      <c r="BV15" s="1239" t="n">
        <v>0.41</v>
      </c>
      <c r="BW15" s="1239" t="n">
        <v>0.4175</v>
      </c>
      <c r="BX15" s="1239" t="n">
        <v>-0.07</v>
      </c>
      <c r="BY15" s="1239"/>
      <c r="BZ15" s="1239" t="n">
        <v>0.07</v>
      </c>
      <c r="CA15" s="1240" t="n">
        <v>0</v>
      </c>
      <c r="CB15" s="1241" t="n">
        <v>0</v>
      </c>
      <c r="CC15" s="1242" t="n">
        <v>2.485</v>
      </c>
      <c r="CD15" s="1239" t="n">
        <v>0.2825</v>
      </c>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row>
    <row r="16" customFormat="false" ht="12.75" hidden="false" customHeight="false" outlineLevel="0" collapsed="false">
      <c r="A16" s="1237" t="n">
        <v>37043</v>
      </c>
      <c r="B16" s="1239" t="n">
        <v>0.068944112080107</v>
      </c>
      <c r="C16" s="1284"/>
      <c r="D16" s="1274" t="n">
        <v>36636</v>
      </c>
      <c r="E16" s="1275" t="n">
        <v>34.25</v>
      </c>
      <c r="F16" s="1275" t="n">
        <v>35</v>
      </c>
      <c r="G16" s="1275" t="n">
        <v>36.25</v>
      </c>
      <c r="H16" s="1266"/>
      <c r="I16" s="1275" t="n">
        <v>22</v>
      </c>
      <c r="J16" s="1275" t="n">
        <v>23</v>
      </c>
      <c r="K16" s="1275" t="n">
        <v>25</v>
      </c>
      <c r="M16" s="1276" t="n">
        <v>36800</v>
      </c>
      <c r="N16" s="1277" t="n">
        <v>42.375</v>
      </c>
      <c r="O16" s="1277" t="n">
        <v>43.125</v>
      </c>
      <c r="P16" s="1277" t="n">
        <v>44.375</v>
      </c>
      <c r="Q16" s="109"/>
      <c r="R16" s="1277" t="n">
        <v>31.59375</v>
      </c>
      <c r="S16" s="1277" t="n">
        <v>32.34375</v>
      </c>
      <c r="T16" s="1277" t="n">
        <v>33.59375</v>
      </c>
      <c r="V16" s="1278" t="n">
        <v>0</v>
      </c>
      <c r="W16" s="1278" t="n">
        <v>0</v>
      </c>
      <c r="X16" s="1278" t="n">
        <v>0</v>
      </c>
      <c r="Z16" s="1277" t="n">
        <v>0.22</v>
      </c>
      <c r="AA16" s="1277" t="n">
        <v>0.28</v>
      </c>
      <c r="AB16" s="1277" t="n">
        <v>0.28</v>
      </c>
      <c r="AC16" s="109"/>
      <c r="AD16" s="1277" t="n">
        <v>0.05</v>
      </c>
      <c r="AE16" s="1277" t="n">
        <v>0.11</v>
      </c>
      <c r="AF16" s="1277" t="n">
        <v>0.15</v>
      </c>
      <c r="AG16" s="109"/>
      <c r="AH16" s="1277" t="n">
        <v>-0.1</v>
      </c>
      <c r="AI16" s="1277" t="n">
        <v>0.6</v>
      </c>
      <c r="AJ16" s="1277" t="n">
        <v>0.1</v>
      </c>
      <c r="AK16" s="109"/>
      <c r="AL16" s="1277" t="n">
        <v>-0.01</v>
      </c>
      <c r="AM16" s="1277" t="n">
        <v>0.16</v>
      </c>
      <c r="AN16" s="1277" t="n">
        <v>0.01</v>
      </c>
      <c r="AO16" s="109"/>
      <c r="AP16" s="197" t="n">
        <v>3</v>
      </c>
      <c r="AQ16" s="1280" t="n">
        <v>0.1</v>
      </c>
      <c r="AS16" s="1246" t="n">
        <v>600</v>
      </c>
      <c r="AT16" s="1283" t="n">
        <v>1.14044223965729</v>
      </c>
      <c r="AU16" s="1283" t="n">
        <v>1.13519764611911</v>
      </c>
      <c r="AV16" s="1283" t="n">
        <v>1.08695692212641</v>
      </c>
      <c r="AW16" s="1283" t="n">
        <v>1.08282491410023</v>
      </c>
      <c r="AX16" s="1283" t="n">
        <v>1.04996950643746</v>
      </c>
      <c r="AY16" s="1283" t="n">
        <v>1.02214980102945</v>
      </c>
      <c r="AZ16" s="1283" t="n">
        <v>0.981792247262554</v>
      </c>
      <c r="BA16" s="1283" t="n">
        <v>1.03978448048036</v>
      </c>
      <c r="BB16" s="1283" t="n">
        <v>1.03020799014578</v>
      </c>
      <c r="BC16" s="1283" t="n">
        <v>1.05287924518286</v>
      </c>
      <c r="BD16" s="1283" t="n">
        <v>1.12426198700793</v>
      </c>
      <c r="BE16" s="1283" t="n">
        <v>1.11704478937534</v>
      </c>
      <c r="BF16" s="1246" t="s">
        <v>174</v>
      </c>
      <c r="BH16" s="1285" t="n">
        <v>1</v>
      </c>
      <c r="BI16" s="1260" t="n">
        <v>0.005</v>
      </c>
      <c r="BQ16" s="1237" t="n">
        <v>36951</v>
      </c>
      <c r="BR16" s="1238" t="n">
        <v>2.922</v>
      </c>
      <c r="BS16" s="1238" t="n">
        <v>2.927</v>
      </c>
      <c r="BT16" s="1238" t="n">
        <v>2.932</v>
      </c>
      <c r="BU16" s="1239" t="n">
        <v>0.355</v>
      </c>
      <c r="BV16" s="1239" t="n">
        <v>0.3625</v>
      </c>
      <c r="BW16" s="1239" t="n">
        <v>0.37</v>
      </c>
      <c r="BX16" s="1239" t="n">
        <v>-0.07</v>
      </c>
      <c r="BY16" s="1239"/>
      <c r="BZ16" s="1239" t="n">
        <v>0.07</v>
      </c>
      <c r="CA16" s="1240" t="n">
        <v>0</v>
      </c>
      <c r="CB16" s="1241" t="n">
        <v>0</v>
      </c>
      <c r="CC16" s="1242" t="n">
        <v>2.5</v>
      </c>
      <c r="CD16" s="1239" t="n">
        <v>0.2775</v>
      </c>
      <c r="CE16" s="1268"/>
      <c r="CF16" s="1268"/>
      <c r="CG16" s="1268"/>
      <c r="CH16" s="1268"/>
      <c r="CI16" s="1268"/>
      <c r="CJ16" s="1268"/>
      <c r="CK16" s="1268"/>
      <c r="CL16" s="1268"/>
      <c r="CM16" s="1268"/>
      <c r="CN16" s="1268"/>
      <c r="CO16" s="1268"/>
      <c r="CP16" s="1268"/>
      <c r="CQ16" s="1268"/>
      <c r="CR16" s="1268"/>
      <c r="CS16" s="1268"/>
      <c r="CT16" s="1268"/>
      <c r="CU16" s="1268"/>
      <c r="CV16" s="1268"/>
      <c r="CW16" s="1268"/>
      <c r="CX16" s="1268"/>
      <c r="CY16" s="1268"/>
    </row>
    <row r="17" customFormat="false" ht="12.75" hidden="false" customHeight="false" outlineLevel="0" collapsed="false">
      <c r="A17" s="1237" t="n">
        <v>37073</v>
      </c>
      <c r="B17" s="1239" t="n">
        <v>0.069186333097717</v>
      </c>
      <c r="C17" s="1284"/>
      <c r="D17" s="1274" t="n">
        <v>36637</v>
      </c>
      <c r="E17" s="1275" t="n">
        <v>34.25</v>
      </c>
      <c r="F17" s="1275" t="n">
        <v>35</v>
      </c>
      <c r="G17" s="1275" t="n">
        <v>36.25</v>
      </c>
      <c r="H17" s="1266"/>
      <c r="I17" s="1275" t="n">
        <v>22</v>
      </c>
      <c r="J17" s="1275" t="n">
        <v>23</v>
      </c>
      <c r="K17" s="1275" t="n">
        <v>25</v>
      </c>
      <c r="M17" s="1276" t="n">
        <v>36831</v>
      </c>
      <c r="N17" s="1277" t="n">
        <v>34.625</v>
      </c>
      <c r="O17" s="1277" t="n">
        <v>35.375</v>
      </c>
      <c r="P17" s="1277" t="n">
        <v>36.625</v>
      </c>
      <c r="Q17" s="109"/>
      <c r="R17" s="1277" t="n">
        <v>25.78125</v>
      </c>
      <c r="S17" s="1277" t="n">
        <v>26.53125</v>
      </c>
      <c r="T17" s="1277" t="n">
        <v>27.78125</v>
      </c>
      <c r="V17" s="1278" t="n">
        <v>0</v>
      </c>
      <c r="W17" s="1278" t="n">
        <v>0</v>
      </c>
      <c r="X17" s="1278" t="n">
        <v>0</v>
      </c>
      <c r="Z17" s="1277" t="n">
        <v>0.22</v>
      </c>
      <c r="AA17" s="1277" t="n">
        <v>0.2</v>
      </c>
      <c r="AB17" s="1277" t="n">
        <v>0.28</v>
      </c>
      <c r="AC17" s="109"/>
      <c r="AD17" s="1277" t="n">
        <v>0.05</v>
      </c>
      <c r="AE17" s="1277" t="n">
        <v>0.11</v>
      </c>
      <c r="AF17" s="1277" t="n">
        <v>0.15</v>
      </c>
      <c r="AG17" s="109"/>
      <c r="AH17" s="1277" t="n">
        <v>-0.1</v>
      </c>
      <c r="AI17" s="1277" t="n">
        <v>0.6</v>
      </c>
      <c r="AJ17" s="1277" t="n">
        <v>0.1</v>
      </c>
      <c r="AK17" s="109"/>
      <c r="AL17" s="1277" t="n">
        <v>-0.01</v>
      </c>
      <c r="AM17" s="1277" t="n">
        <v>0.16</v>
      </c>
      <c r="AN17" s="1277" t="n">
        <v>0.01</v>
      </c>
      <c r="AO17" s="109"/>
      <c r="AP17" s="197" t="n">
        <v>3</v>
      </c>
      <c r="AQ17" s="1280" t="n">
        <v>0.1</v>
      </c>
      <c r="AS17" s="1246" t="n">
        <v>700</v>
      </c>
      <c r="AT17" s="1283" t="n">
        <v>0.901107104125317</v>
      </c>
      <c r="AU17" s="1283" t="n">
        <v>0.959589469640232</v>
      </c>
      <c r="AV17" s="1283" t="n">
        <v>0.921267339337837</v>
      </c>
      <c r="AW17" s="1283" t="n">
        <v>0.891789706326817</v>
      </c>
      <c r="AX17" s="1283" t="n">
        <v>0.86748360592108</v>
      </c>
      <c r="AY17" s="1283" t="n">
        <v>0.790253391885752</v>
      </c>
      <c r="AZ17" s="1283" t="n">
        <v>0.706045481489623</v>
      </c>
      <c r="BA17" s="1283" t="n">
        <v>0.731372807222584</v>
      </c>
      <c r="BB17" s="1283" t="n">
        <v>0.778255109188979</v>
      </c>
      <c r="BC17" s="1283" t="n">
        <v>0.857865428340873</v>
      </c>
      <c r="BD17" s="1283" t="n">
        <v>0.860747292573468</v>
      </c>
      <c r="BE17" s="1283" t="n">
        <v>0.857100513211437</v>
      </c>
      <c r="BF17" s="1246" t="s">
        <v>119</v>
      </c>
      <c r="BH17" s="1285" t="n">
        <v>2</v>
      </c>
      <c r="BI17" s="1260" t="n">
        <v>0.01</v>
      </c>
      <c r="BQ17" s="1237" t="n">
        <v>36982</v>
      </c>
      <c r="BR17" s="1238" t="n">
        <v>2.777</v>
      </c>
      <c r="BS17" s="1238" t="n">
        <v>2.782</v>
      </c>
      <c r="BT17" s="1238" t="n">
        <v>2.787</v>
      </c>
      <c r="BU17" s="1239" t="n">
        <v>0.2825</v>
      </c>
      <c r="BV17" s="1239" t="n">
        <v>0.29</v>
      </c>
      <c r="BW17" s="1239" t="n">
        <v>0.2975</v>
      </c>
      <c r="BX17" s="1239" t="n">
        <v>-0.07</v>
      </c>
      <c r="BY17" s="1239"/>
      <c r="BZ17" s="1239" t="n">
        <v>0.07</v>
      </c>
      <c r="CA17" s="1240" t="n">
        <v>0</v>
      </c>
      <c r="CB17" s="1241" t="n">
        <v>0</v>
      </c>
      <c r="CC17" s="1242" t="n">
        <v>2.512</v>
      </c>
      <c r="CD17" s="1239" t="n">
        <v>0.2725</v>
      </c>
      <c r="CE17" s="1268"/>
      <c r="CF17" s="1268"/>
      <c r="CG17" s="1268"/>
      <c r="CH17" s="1268"/>
      <c r="CI17" s="1268"/>
      <c r="CJ17" s="1268"/>
      <c r="CK17" s="1268"/>
      <c r="CL17" s="1268"/>
      <c r="CM17" s="1268"/>
      <c r="CN17" s="1268"/>
      <c r="CO17" s="1268"/>
      <c r="CP17" s="1268"/>
      <c r="CQ17" s="1268"/>
      <c r="CR17" s="1268"/>
      <c r="CS17" s="1268"/>
      <c r="CT17" s="1268"/>
      <c r="CU17" s="1268"/>
      <c r="CV17" s="1268"/>
      <c r="CW17" s="1268"/>
      <c r="CX17" s="1268"/>
      <c r="CY17" s="1268"/>
    </row>
    <row r="18" customFormat="false" ht="12.75" hidden="false" customHeight="false" outlineLevel="0" collapsed="false">
      <c r="A18" s="1237" t="n">
        <v>37104</v>
      </c>
      <c r="B18" s="1239" t="n">
        <v>0.069405942853234</v>
      </c>
      <c r="C18" s="1284"/>
      <c r="D18" s="1274" t="n">
        <v>36638</v>
      </c>
      <c r="E18" s="1275" t="n">
        <v>34.25</v>
      </c>
      <c r="F18" s="1275" t="n">
        <v>35</v>
      </c>
      <c r="G18" s="1275" t="n">
        <v>36.25</v>
      </c>
      <c r="H18" s="1266"/>
      <c r="I18" s="1275" t="n">
        <v>22</v>
      </c>
      <c r="J18" s="1275" t="n">
        <v>23</v>
      </c>
      <c r="K18" s="1275" t="n">
        <v>25</v>
      </c>
      <c r="M18" s="1276" t="n">
        <v>36861</v>
      </c>
      <c r="N18" s="1277" t="n">
        <v>34.625</v>
      </c>
      <c r="O18" s="1277" t="n">
        <v>35.375</v>
      </c>
      <c r="P18" s="1277" t="n">
        <v>36.625</v>
      </c>
      <c r="Q18" s="109"/>
      <c r="R18" s="1277" t="n">
        <v>25.78125</v>
      </c>
      <c r="S18" s="1277" t="n">
        <v>26.53125</v>
      </c>
      <c r="T18" s="1277" t="n">
        <v>27.78125</v>
      </c>
      <c r="V18" s="1278" t="n">
        <v>0</v>
      </c>
      <c r="W18" s="1278" t="n">
        <v>0</v>
      </c>
      <c r="X18" s="1278" t="n">
        <v>0</v>
      </c>
      <c r="Z18" s="1277" t="n">
        <v>0.22</v>
      </c>
      <c r="AA18" s="1277" t="n">
        <v>0.2</v>
      </c>
      <c r="AB18" s="1277" t="n">
        <v>0.28</v>
      </c>
      <c r="AC18" s="109"/>
      <c r="AD18" s="1277" t="n">
        <v>0.05</v>
      </c>
      <c r="AE18" s="1277" t="n">
        <v>0.11</v>
      </c>
      <c r="AF18" s="1277" t="n">
        <v>0.15</v>
      </c>
      <c r="AG18" s="109"/>
      <c r="AH18" s="1277" t="n">
        <v>-0.25</v>
      </c>
      <c r="AI18" s="1277" t="n">
        <v>0.6</v>
      </c>
      <c r="AJ18" s="1277" t="n">
        <v>0.25</v>
      </c>
      <c r="AK18" s="109"/>
      <c r="AL18" s="1277" t="n">
        <v>-0.01</v>
      </c>
      <c r="AM18" s="1277" t="n">
        <v>0.16</v>
      </c>
      <c r="AN18" s="1277" t="n">
        <v>0.01</v>
      </c>
      <c r="AO18" s="109"/>
      <c r="AP18" s="197" t="n">
        <v>3</v>
      </c>
      <c r="AQ18" s="1280" t="n">
        <v>0.1</v>
      </c>
      <c r="AS18" s="1246" t="n">
        <v>800</v>
      </c>
      <c r="AT18" s="1283" t="n">
        <v>1.02412764649103</v>
      </c>
      <c r="AU18" s="1283" t="n">
        <v>1.02624358848949</v>
      </c>
      <c r="AV18" s="1283" t="n">
        <v>0.993564103635649</v>
      </c>
      <c r="AW18" s="1283" t="n">
        <v>0.976558645897048</v>
      </c>
      <c r="AX18" s="1283" t="n">
        <v>0.944388936658025</v>
      </c>
      <c r="AY18" s="1283" t="n">
        <v>0.867009245848535</v>
      </c>
      <c r="AZ18" s="1283" t="n">
        <v>0.803271416645571</v>
      </c>
      <c r="BA18" s="1283" t="n">
        <v>0.824834732887309</v>
      </c>
      <c r="BB18" s="1283" t="n">
        <v>0.852613893023691</v>
      </c>
      <c r="BC18" s="1283" t="n">
        <v>0.929463678506365</v>
      </c>
      <c r="BD18" s="1283" t="n">
        <v>0.990366341406732</v>
      </c>
      <c r="BE18" s="1283" t="n">
        <v>0.983144706330766</v>
      </c>
      <c r="BF18" s="1246" t="s">
        <v>119</v>
      </c>
      <c r="BH18" s="1285" t="n">
        <v>3</v>
      </c>
      <c r="BI18" s="1260" t="n">
        <v>0.02</v>
      </c>
      <c r="BQ18" s="1237" t="n">
        <v>37012</v>
      </c>
      <c r="BR18" s="1238" t="n">
        <v>2.737</v>
      </c>
      <c r="BS18" s="1238" t="n">
        <v>2.742</v>
      </c>
      <c r="BT18" s="1238" t="n">
        <v>2.747</v>
      </c>
      <c r="BU18" s="1239" t="n">
        <v>0.2525</v>
      </c>
      <c r="BV18" s="1239" t="n">
        <v>0.26</v>
      </c>
      <c r="BW18" s="1239" t="n">
        <v>0.2675</v>
      </c>
      <c r="BX18" s="1239" t="n">
        <v>-0.07</v>
      </c>
      <c r="BY18" s="1239"/>
      <c r="BZ18" s="1239" t="n">
        <v>0.07</v>
      </c>
      <c r="CA18" s="1240" t="n">
        <v>0</v>
      </c>
      <c r="CB18" s="1241" t="n">
        <v>0</v>
      </c>
      <c r="CC18" s="1242" t="n">
        <v>2.56</v>
      </c>
      <c r="CD18" s="1239" t="n">
        <v>0.2675</v>
      </c>
    </row>
    <row r="19" customFormat="false" ht="12.75" hidden="false" customHeight="false" outlineLevel="0" collapsed="false">
      <c r="A19" s="1237" t="n">
        <v>37135</v>
      </c>
      <c r="B19" s="1239" t="n">
        <v>0.069625552624703</v>
      </c>
      <c r="C19" s="1284"/>
      <c r="D19" s="1274" t="n">
        <v>36639</v>
      </c>
      <c r="E19" s="1275" t="n">
        <v>26.25</v>
      </c>
      <c r="F19" s="1275" t="n">
        <v>27</v>
      </c>
      <c r="G19" s="1275" t="n">
        <v>28.25</v>
      </c>
      <c r="H19" s="1266"/>
      <c r="I19" s="1275" t="n">
        <v>22</v>
      </c>
      <c r="J19" s="1275" t="n">
        <v>23</v>
      </c>
      <c r="K19" s="1275" t="n">
        <v>25</v>
      </c>
      <c r="M19" s="1276" t="n">
        <v>36892</v>
      </c>
      <c r="N19" s="1277" t="n">
        <v>34</v>
      </c>
      <c r="O19" s="1277" t="n">
        <v>35</v>
      </c>
      <c r="P19" s="1277" t="n">
        <v>38.5</v>
      </c>
      <c r="Q19" s="109"/>
      <c r="R19" s="1277" t="n">
        <v>25.25</v>
      </c>
      <c r="S19" s="1277" t="n">
        <v>26.25</v>
      </c>
      <c r="T19" s="1277" t="n">
        <v>29.75</v>
      </c>
      <c r="V19" s="1278" t="n">
        <v>0</v>
      </c>
      <c r="W19" s="1278" t="n">
        <v>0</v>
      </c>
      <c r="X19" s="1278" t="n">
        <v>0</v>
      </c>
      <c r="Z19" s="1277" t="n">
        <v>0.22</v>
      </c>
      <c r="AA19" s="1277" t="n">
        <v>0.23</v>
      </c>
      <c r="AB19" s="1277" t="n">
        <v>0.28</v>
      </c>
      <c r="AC19" s="109"/>
      <c r="AD19" s="1277" t="n">
        <v>0.05</v>
      </c>
      <c r="AE19" s="1277" t="n">
        <v>0.11</v>
      </c>
      <c r="AF19" s="1277" t="n">
        <v>0.15</v>
      </c>
      <c r="AG19" s="109"/>
      <c r="AH19" s="1277" t="n">
        <v>-0.25</v>
      </c>
      <c r="AI19" s="1277" t="n">
        <v>0.65</v>
      </c>
      <c r="AJ19" s="1277" t="n">
        <v>0.25</v>
      </c>
      <c r="AK19" s="109"/>
      <c r="AL19" s="1277" t="n">
        <v>-0.01</v>
      </c>
      <c r="AM19" s="1277" t="n">
        <v>0.16</v>
      </c>
      <c r="AN19" s="1277" t="n">
        <v>0.01</v>
      </c>
      <c r="AO19" s="109"/>
      <c r="AP19" s="197" t="n">
        <v>4</v>
      </c>
      <c r="AQ19" s="1280" t="n">
        <v>0.1</v>
      </c>
      <c r="AS19" s="1246" t="n">
        <v>900</v>
      </c>
      <c r="AT19" s="1283" t="n">
        <v>1.06241279215425</v>
      </c>
      <c r="AU19" s="1283" t="n">
        <v>1.05727223002277</v>
      </c>
      <c r="AV19" s="1283" t="n">
        <v>1.03005675609074</v>
      </c>
      <c r="AW19" s="1283" t="n">
        <v>1.02484604757609</v>
      </c>
      <c r="AX19" s="1283" t="n">
        <v>0.992073110290251</v>
      </c>
      <c r="AY19" s="1283" t="n">
        <v>0.93446121803349</v>
      </c>
      <c r="AZ19" s="1283" t="n">
        <v>0.87859909586426</v>
      </c>
      <c r="BA19" s="1283" t="n">
        <v>0.890068871456449</v>
      </c>
      <c r="BB19" s="1283" t="n">
        <v>0.929746755995396</v>
      </c>
      <c r="BC19" s="1283" t="n">
        <v>0.994757751018365</v>
      </c>
      <c r="BD19" s="1283" t="n">
        <v>1.03301325077498</v>
      </c>
      <c r="BE19" s="1283" t="n">
        <v>1.0299773235655</v>
      </c>
      <c r="BF19" s="1246" t="s">
        <v>119</v>
      </c>
      <c r="BH19" s="1285" t="n">
        <v>4</v>
      </c>
      <c r="BI19" s="1260" t="n">
        <v>0.04</v>
      </c>
      <c r="BQ19" s="1237" t="n">
        <v>37043</v>
      </c>
      <c r="BR19" s="1238" t="n">
        <v>2.743</v>
      </c>
      <c r="BS19" s="1238" t="n">
        <v>2.748</v>
      </c>
      <c r="BT19" s="1238" t="n">
        <v>2.753</v>
      </c>
      <c r="BU19" s="1239" t="n">
        <v>0.245</v>
      </c>
      <c r="BV19" s="1239" t="n">
        <v>0.2525</v>
      </c>
      <c r="BW19" s="1239" t="n">
        <v>0.26</v>
      </c>
      <c r="BX19" s="1239" t="n">
        <v>-0.07</v>
      </c>
      <c r="BY19" s="1239"/>
      <c r="BZ19" s="1239" t="n">
        <v>0.07</v>
      </c>
      <c r="CA19" s="1240" t="n">
        <v>0</v>
      </c>
      <c r="CB19" s="1241" t="n">
        <v>0</v>
      </c>
      <c r="CC19" s="1242" t="n">
        <v>2.713</v>
      </c>
      <c r="CD19" s="1239" t="n">
        <v>0.27</v>
      </c>
    </row>
    <row r="20" customFormat="false" ht="12.75" hidden="false" customHeight="false" outlineLevel="0" collapsed="false">
      <c r="A20" s="1237" t="n">
        <v>37165</v>
      </c>
      <c r="B20" s="1239" t="n">
        <v>0.069816471728604</v>
      </c>
      <c r="C20" s="1284"/>
      <c r="D20" s="1274" t="n">
        <v>36640</v>
      </c>
      <c r="E20" s="1275" t="n">
        <v>34.25</v>
      </c>
      <c r="F20" s="1275" t="n">
        <v>35</v>
      </c>
      <c r="G20" s="1275" t="n">
        <v>36.25</v>
      </c>
      <c r="H20" s="1266"/>
      <c r="I20" s="1275" t="n">
        <v>22</v>
      </c>
      <c r="J20" s="1275" t="n">
        <v>23</v>
      </c>
      <c r="K20" s="1275" t="n">
        <v>25</v>
      </c>
      <c r="M20" s="1276" t="n">
        <v>36923</v>
      </c>
      <c r="N20" s="1277" t="n">
        <v>33.5</v>
      </c>
      <c r="O20" s="1277" t="n">
        <v>34.5</v>
      </c>
      <c r="P20" s="1277" t="n">
        <v>38</v>
      </c>
      <c r="Q20" s="109"/>
      <c r="R20" s="1277" t="n">
        <v>24.875</v>
      </c>
      <c r="S20" s="1277" t="n">
        <v>25.875</v>
      </c>
      <c r="T20" s="1277" t="n">
        <v>29.375</v>
      </c>
      <c r="V20" s="1278" t="n">
        <v>0</v>
      </c>
      <c r="W20" s="1278" t="n">
        <v>0</v>
      </c>
      <c r="X20" s="1278" t="n">
        <v>0</v>
      </c>
      <c r="Z20" s="1277" t="n">
        <v>0.22</v>
      </c>
      <c r="AA20" s="1277" t="n">
        <v>0.23</v>
      </c>
      <c r="AB20" s="1277" t="n">
        <v>0.28</v>
      </c>
      <c r="AC20" s="109"/>
      <c r="AD20" s="1277" t="n">
        <v>0.05</v>
      </c>
      <c r="AE20" s="1277" t="n">
        <v>0.11</v>
      </c>
      <c r="AF20" s="1277" t="n">
        <v>0.15</v>
      </c>
      <c r="AG20" s="109"/>
      <c r="AH20" s="1277" t="n">
        <v>-0.25</v>
      </c>
      <c r="AI20" s="1277" t="n">
        <v>0.65</v>
      </c>
      <c r="AJ20" s="1277" t="n">
        <v>0.25</v>
      </c>
      <c r="AK20" s="109"/>
      <c r="AL20" s="1277" t="n">
        <v>-0.01</v>
      </c>
      <c r="AM20" s="1277" t="n">
        <v>0.16</v>
      </c>
      <c r="AN20" s="1277" t="n">
        <v>0.01</v>
      </c>
      <c r="AO20" s="109"/>
      <c r="AP20" s="197" t="n">
        <v>4</v>
      </c>
      <c r="AQ20" s="1280" t="n">
        <v>0.1</v>
      </c>
      <c r="AS20" s="1246" t="n">
        <v>1000</v>
      </c>
      <c r="AT20" s="1283" t="n">
        <v>1.05672107234138</v>
      </c>
      <c r="AU20" s="1283" t="n">
        <v>1.0607198568598</v>
      </c>
      <c r="AV20" s="1283" t="n">
        <v>1.04658173078738</v>
      </c>
      <c r="AW20" s="1283" t="n">
        <v>1.05439505457371</v>
      </c>
      <c r="AX20" s="1283" t="n">
        <v>1.03351545590189</v>
      </c>
      <c r="AY20" s="1283" t="n">
        <v>0.998070989271201</v>
      </c>
      <c r="AZ20" s="1283" t="n">
        <v>0.938554518860099</v>
      </c>
      <c r="BA20" s="1283" t="n">
        <v>0.943573011482202</v>
      </c>
      <c r="BB20" s="1283" t="n">
        <v>0.991087736080153</v>
      </c>
      <c r="BC20" s="1283" t="n">
        <v>1.02774606482812</v>
      </c>
      <c r="BD20" s="1283" t="n">
        <v>1.04054270920226</v>
      </c>
      <c r="BE20" s="1283" t="n">
        <v>1.0405520394132</v>
      </c>
      <c r="BF20" s="1246" t="s">
        <v>119</v>
      </c>
      <c r="BH20" s="1285" t="n">
        <v>5</v>
      </c>
      <c r="BI20" s="1260" t="n">
        <v>0.06</v>
      </c>
      <c r="BQ20" s="1237" t="n">
        <v>37073</v>
      </c>
      <c r="BR20" s="1238" t="n">
        <v>2.75</v>
      </c>
      <c r="BS20" s="1238" t="n">
        <v>2.755</v>
      </c>
      <c r="BT20" s="1238" t="n">
        <v>2.76</v>
      </c>
      <c r="BU20" s="1239" t="n">
        <v>0.2425</v>
      </c>
      <c r="BV20" s="1239" t="n">
        <v>0.25</v>
      </c>
      <c r="BW20" s="1239" t="n">
        <v>0.2575</v>
      </c>
      <c r="BX20" s="1239" t="n">
        <v>-0.07</v>
      </c>
      <c r="BY20" s="1239"/>
      <c r="BZ20" s="1239" t="n">
        <v>0.07</v>
      </c>
      <c r="CA20" s="1240" t="n">
        <v>0</v>
      </c>
      <c r="CB20" s="1241" t="n">
        <v>0</v>
      </c>
      <c r="CC20" s="1242" t="n">
        <v>2.853</v>
      </c>
      <c r="CD20" s="1239" t="n">
        <v>0.265</v>
      </c>
    </row>
    <row r="21" customFormat="false" ht="12.75" hidden="false" customHeight="false" outlineLevel="0" collapsed="false">
      <c r="A21" s="1237" t="n">
        <v>37196</v>
      </c>
      <c r="B21" s="1239" t="n">
        <v>0.069978270516739</v>
      </c>
      <c r="C21" s="1284"/>
      <c r="D21" s="1274" t="n">
        <v>36641</v>
      </c>
      <c r="E21" s="1275" t="n">
        <v>34.25</v>
      </c>
      <c r="F21" s="1275" t="n">
        <v>35</v>
      </c>
      <c r="G21" s="1275" t="n">
        <v>36.25</v>
      </c>
      <c r="H21" s="1266"/>
      <c r="I21" s="1275" t="n">
        <v>22</v>
      </c>
      <c r="J21" s="1275" t="n">
        <v>23</v>
      </c>
      <c r="K21" s="1275" t="n">
        <v>25</v>
      </c>
      <c r="M21" s="1276" t="n">
        <v>36951</v>
      </c>
      <c r="N21" s="1277" t="n">
        <v>32.75</v>
      </c>
      <c r="O21" s="1277" t="n">
        <v>33.75</v>
      </c>
      <c r="P21" s="1277" t="n">
        <v>37.25</v>
      </c>
      <c r="Q21" s="109"/>
      <c r="R21" s="1277" t="n">
        <v>24.3125</v>
      </c>
      <c r="S21" s="1277" t="n">
        <v>25.3125</v>
      </c>
      <c r="T21" s="1277" t="n">
        <v>28.8125</v>
      </c>
      <c r="V21" s="1278" t="n">
        <v>0</v>
      </c>
      <c r="W21" s="1278" t="n">
        <v>0</v>
      </c>
      <c r="X21" s="1278" t="n">
        <v>0</v>
      </c>
      <c r="Z21" s="1277" t="n">
        <v>0.22</v>
      </c>
      <c r="AA21" s="1277" t="n">
        <v>0.2</v>
      </c>
      <c r="AB21" s="1277" t="n">
        <v>0.28</v>
      </c>
      <c r="AC21" s="109"/>
      <c r="AD21" s="1277" t="n">
        <v>0.05</v>
      </c>
      <c r="AE21" s="1277" t="n">
        <v>0.11</v>
      </c>
      <c r="AF21" s="1277" t="n">
        <v>0.15</v>
      </c>
      <c r="AG21" s="109"/>
      <c r="AH21" s="1277" t="n">
        <v>-0.1</v>
      </c>
      <c r="AI21" s="1277" t="n">
        <v>0.65</v>
      </c>
      <c r="AJ21" s="1277" t="n">
        <v>0.1</v>
      </c>
      <c r="AK21" s="109"/>
      <c r="AL21" s="1277" t="n">
        <v>-0.01</v>
      </c>
      <c r="AM21" s="1277" t="n">
        <v>0.16</v>
      </c>
      <c r="AN21" s="1277" t="n">
        <v>0.01</v>
      </c>
      <c r="AO21" s="109"/>
      <c r="AP21" s="197" t="n">
        <v>4</v>
      </c>
      <c r="AQ21" s="1280" t="n">
        <v>0.1</v>
      </c>
      <c r="AS21" s="1246" t="n">
        <v>1100</v>
      </c>
      <c r="AT21" s="1283" t="n">
        <v>1.04327021932264</v>
      </c>
      <c r="AU21" s="1283" t="n">
        <v>1.02343965973002</v>
      </c>
      <c r="AV21" s="1283" t="n">
        <v>1.04738185985787</v>
      </c>
      <c r="AW21" s="1283" t="n">
        <v>1.06671056768601</v>
      </c>
      <c r="AX21" s="1283" t="n">
        <v>1.05027735301119</v>
      </c>
      <c r="AY21" s="1283" t="n">
        <v>1.02823938189401</v>
      </c>
      <c r="AZ21" s="1283" t="n">
        <v>0.99290663129558</v>
      </c>
      <c r="BA21" s="1283" t="n">
        <v>0.988476558567042</v>
      </c>
      <c r="BB21" s="1283" t="n">
        <v>1.02520487597891</v>
      </c>
      <c r="BC21" s="1283" t="n">
        <v>1.04181643085329</v>
      </c>
      <c r="BD21" s="1283" t="n">
        <v>1.03478476535687</v>
      </c>
      <c r="BE21" s="1283" t="n">
        <v>1.03589916444021</v>
      </c>
      <c r="BF21" s="1246" t="s">
        <v>119</v>
      </c>
      <c r="BH21" s="1285" t="n">
        <v>6</v>
      </c>
      <c r="BI21" s="1260" t="n">
        <v>0.08</v>
      </c>
      <c r="BQ21" s="1237" t="n">
        <v>37104</v>
      </c>
      <c r="BR21" s="1238" t="n">
        <v>2.754</v>
      </c>
      <c r="BS21" s="1238" t="n">
        <v>2.759</v>
      </c>
      <c r="BT21" s="1238" t="n">
        <v>2.764</v>
      </c>
      <c r="BU21" s="1239" t="n">
        <v>0.2425</v>
      </c>
      <c r="BV21" s="1239" t="n">
        <v>0.25</v>
      </c>
      <c r="BW21" s="1239" t="n">
        <v>0.2575</v>
      </c>
      <c r="BX21" s="1239" t="n">
        <v>-0.07</v>
      </c>
      <c r="BY21" s="1239"/>
      <c r="BZ21" s="1239" t="n">
        <v>0.07</v>
      </c>
      <c r="CA21" s="1240" t="n">
        <v>0</v>
      </c>
      <c r="CB21" s="1241" t="n">
        <v>0</v>
      </c>
      <c r="CC21" s="1242" t="n">
        <v>2.874</v>
      </c>
      <c r="CD21" s="1239" t="n">
        <v>0.2775</v>
      </c>
    </row>
    <row r="22" customFormat="false" ht="12.75" hidden="false" customHeight="false" outlineLevel="0" collapsed="false">
      <c r="A22" s="1237" t="n">
        <v>37226</v>
      </c>
      <c r="B22" s="1239" t="n">
        <v>0.070134849997369</v>
      </c>
      <c r="C22" s="1284"/>
      <c r="D22" s="1274" t="n">
        <v>36642</v>
      </c>
      <c r="E22" s="1275" t="n">
        <v>34.25</v>
      </c>
      <c r="F22" s="1275" t="n">
        <v>35</v>
      </c>
      <c r="G22" s="1275" t="n">
        <v>36.25</v>
      </c>
      <c r="H22" s="1266"/>
      <c r="I22" s="1275" t="n">
        <v>22</v>
      </c>
      <c r="J22" s="1275" t="n">
        <v>23</v>
      </c>
      <c r="K22" s="1275" t="n">
        <v>25</v>
      </c>
      <c r="M22" s="1276" t="n">
        <v>36982</v>
      </c>
      <c r="N22" s="1277" t="n">
        <v>32.25</v>
      </c>
      <c r="O22" s="1277" t="n">
        <v>33.25</v>
      </c>
      <c r="P22" s="1277" t="n">
        <v>36.75</v>
      </c>
      <c r="Q22" s="109"/>
      <c r="R22" s="1277" t="n">
        <v>23.9375</v>
      </c>
      <c r="S22" s="1277" t="n">
        <v>24.9375</v>
      </c>
      <c r="T22" s="1277" t="n">
        <v>28.4375</v>
      </c>
      <c r="V22" s="1278" t="n">
        <v>0</v>
      </c>
      <c r="W22" s="1278" t="n">
        <v>0</v>
      </c>
      <c r="X22" s="1278" t="n">
        <v>0</v>
      </c>
      <c r="Z22" s="1277" t="n">
        <v>0.22</v>
      </c>
      <c r="AA22" s="1277" t="n">
        <v>0.25</v>
      </c>
      <c r="AB22" s="1277" t="n">
        <v>0.28</v>
      </c>
      <c r="AC22" s="109"/>
      <c r="AD22" s="1277" t="n">
        <v>0.05</v>
      </c>
      <c r="AE22" s="1277" t="n">
        <v>0.11</v>
      </c>
      <c r="AF22" s="1277" t="n">
        <v>0.15</v>
      </c>
      <c r="AG22" s="109"/>
      <c r="AH22" s="1277" t="n">
        <v>-0.1</v>
      </c>
      <c r="AI22" s="1277" t="n">
        <v>0.65</v>
      </c>
      <c r="AJ22" s="1277" t="n">
        <v>0.1</v>
      </c>
      <c r="AK22" s="109"/>
      <c r="AL22" s="1277" t="n">
        <v>-0.01</v>
      </c>
      <c r="AM22" s="1277" t="n">
        <v>0.16</v>
      </c>
      <c r="AN22" s="1277" t="n">
        <v>0.01</v>
      </c>
      <c r="AO22" s="109"/>
      <c r="AP22" s="197" t="n">
        <v>5</v>
      </c>
      <c r="AQ22" s="1280" t="n">
        <v>0.2</v>
      </c>
      <c r="AS22" s="1246" t="n">
        <v>1200</v>
      </c>
      <c r="AT22" s="1283" t="n">
        <v>0.988713886752556</v>
      </c>
      <c r="AU22" s="1283" t="n">
        <v>0.989229977510636</v>
      </c>
      <c r="AV22" s="1283" t="n">
        <v>1.03159563261231</v>
      </c>
      <c r="AW22" s="1283" t="n">
        <v>1.04597691724171</v>
      </c>
      <c r="AX22" s="1283" t="n">
        <v>1.04241660126338</v>
      </c>
      <c r="AY22" s="1283" t="n">
        <v>1.03929163893979</v>
      </c>
      <c r="AZ22" s="1283" t="n">
        <v>1.02876781888188</v>
      </c>
      <c r="BA22" s="1283" t="n">
        <v>1.02018095082981</v>
      </c>
      <c r="BB22" s="1283" t="n">
        <v>1.03197933781418</v>
      </c>
      <c r="BC22" s="1283" t="n">
        <v>1.01687906175829</v>
      </c>
      <c r="BD22" s="1283" t="n">
        <v>1.00805145464614</v>
      </c>
      <c r="BE22" s="1283" t="n">
        <v>0.979770414139427</v>
      </c>
      <c r="BF22" s="1246" t="s">
        <v>119</v>
      </c>
      <c r="BH22" s="1285" t="n">
        <v>7</v>
      </c>
      <c r="BI22" s="1260" t="n">
        <v>0.1</v>
      </c>
      <c r="BQ22" s="1237" t="n">
        <v>37135</v>
      </c>
      <c r="BR22" s="1238" t="n">
        <v>2.758</v>
      </c>
      <c r="BS22" s="1238" t="n">
        <v>2.763</v>
      </c>
      <c r="BT22" s="1238" t="n">
        <v>2.768</v>
      </c>
      <c r="BU22" s="1239" t="n">
        <v>0.245</v>
      </c>
      <c r="BV22" s="1239" t="n">
        <v>0.2525</v>
      </c>
      <c r="BW22" s="1239" t="n">
        <v>0.26</v>
      </c>
      <c r="BX22" s="1239" t="n">
        <v>-0.07</v>
      </c>
      <c r="BY22" s="1239"/>
      <c r="BZ22" s="1239" t="n">
        <v>0.07</v>
      </c>
      <c r="CA22" s="1240" t="n">
        <v>0</v>
      </c>
      <c r="CB22" s="1241" t="n">
        <v>0</v>
      </c>
      <c r="CC22" s="1242" t="n">
        <v>2.734</v>
      </c>
      <c r="CD22" s="1239" t="n">
        <v>0.2675</v>
      </c>
    </row>
    <row r="23" customFormat="false" ht="12.75" hidden="false" customHeight="false" outlineLevel="0" collapsed="false">
      <c r="A23" s="1237" t="n">
        <v>37257</v>
      </c>
      <c r="B23" s="1239" t="n">
        <v>0.070286509709636</v>
      </c>
      <c r="C23" s="1284"/>
      <c r="D23" s="1274" t="n">
        <v>36643</v>
      </c>
      <c r="E23" s="1275" t="n">
        <v>34.25</v>
      </c>
      <c r="F23" s="1275" t="n">
        <v>35</v>
      </c>
      <c r="G23" s="1275" t="n">
        <v>36.25</v>
      </c>
      <c r="H23" s="1266"/>
      <c r="I23" s="1275" t="n">
        <v>22</v>
      </c>
      <c r="J23" s="1275" t="n">
        <v>23</v>
      </c>
      <c r="K23" s="1275" t="n">
        <v>25</v>
      </c>
      <c r="M23" s="1276" t="n">
        <v>37012</v>
      </c>
      <c r="N23" s="1277" t="n">
        <v>32.25</v>
      </c>
      <c r="O23" s="1277" t="n">
        <v>33.25</v>
      </c>
      <c r="P23" s="1277" t="n">
        <v>36.75</v>
      </c>
      <c r="Q23" s="109"/>
      <c r="R23" s="1277" t="n">
        <v>23.9375</v>
      </c>
      <c r="S23" s="1277" t="n">
        <v>24.9375</v>
      </c>
      <c r="T23" s="1277" t="n">
        <v>28.4375</v>
      </c>
      <c r="V23" s="1278" t="n">
        <v>0</v>
      </c>
      <c r="W23" s="1278" t="n">
        <v>0</v>
      </c>
      <c r="X23" s="1278" t="n">
        <v>0</v>
      </c>
      <c r="Z23" s="1277" t="n">
        <v>0.22</v>
      </c>
      <c r="AA23" s="1277" t="n">
        <v>0.25</v>
      </c>
      <c r="AB23" s="1277" t="n">
        <v>0.28</v>
      </c>
      <c r="AC23" s="109"/>
      <c r="AD23" s="1277" t="n">
        <v>0.05</v>
      </c>
      <c r="AE23" s="1277" t="n">
        <v>0.11</v>
      </c>
      <c r="AF23" s="1277" t="n">
        <v>0.15</v>
      </c>
      <c r="AG23" s="109"/>
      <c r="AH23" s="1277" t="n">
        <v>-0.1</v>
      </c>
      <c r="AI23" s="1277" t="n">
        <v>0.65</v>
      </c>
      <c r="AJ23" s="1277" t="n">
        <v>0.1</v>
      </c>
      <c r="AK23" s="109"/>
      <c r="AL23" s="1277" t="n">
        <v>-0.01</v>
      </c>
      <c r="AM23" s="1277" t="n">
        <v>0.16</v>
      </c>
      <c r="AN23" s="1277" t="n">
        <v>0.01</v>
      </c>
      <c r="AO23" s="109"/>
      <c r="AP23" s="197" t="n">
        <v>5</v>
      </c>
      <c r="AQ23" s="1280" t="n">
        <v>0.2</v>
      </c>
      <c r="AS23" s="1246" t="n">
        <v>1300</v>
      </c>
      <c r="AT23" s="1283" t="n">
        <v>0.955777384238713</v>
      </c>
      <c r="AU23" s="1283" t="n">
        <v>0.949318681588017</v>
      </c>
      <c r="AV23" s="1283" t="n">
        <v>1.0165804751622</v>
      </c>
      <c r="AW23" s="1283" t="n">
        <v>1.02221287118785</v>
      </c>
      <c r="AX23" s="1283" t="n">
        <v>1.03103007115809</v>
      </c>
      <c r="AY23" s="1283" t="n">
        <v>1.05399635861442</v>
      </c>
      <c r="AZ23" s="1283" t="n">
        <v>1.06462900646817</v>
      </c>
      <c r="BA23" s="1283" t="n">
        <v>1.05204895077807</v>
      </c>
      <c r="BB23" s="1283" t="n">
        <v>1.05143229758242</v>
      </c>
      <c r="BC23" s="1283" t="n">
        <v>1.00771891454448</v>
      </c>
      <c r="BD23" s="1283" t="n">
        <v>0.957660222625185</v>
      </c>
      <c r="BE23" s="1283" t="n">
        <v>0.936919897625819</v>
      </c>
      <c r="BF23" s="1246" t="s">
        <v>119</v>
      </c>
      <c r="BH23" s="1285" t="n">
        <v>8</v>
      </c>
      <c r="BI23" s="1260" t="n">
        <v>0.12</v>
      </c>
      <c r="BQ23" s="1237" t="n">
        <v>37165</v>
      </c>
      <c r="BR23" s="1238" t="n">
        <v>2.778</v>
      </c>
      <c r="BS23" s="1238" t="n">
        <v>2.783</v>
      </c>
      <c r="BT23" s="1238" t="n">
        <v>2.788</v>
      </c>
      <c r="BU23" s="1239" t="n">
        <v>0.25</v>
      </c>
      <c r="BV23" s="1239" t="n">
        <v>0.2575</v>
      </c>
      <c r="BW23" s="1239" t="n">
        <v>0.265</v>
      </c>
      <c r="BX23" s="1239" t="n">
        <v>-0.07</v>
      </c>
      <c r="BY23" s="1239"/>
      <c r="BZ23" s="1239" t="n">
        <v>0.07</v>
      </c>
      <c r="CA23" s="1240" t="n">
        <v>0</v>
      </c>
      <c r="CB23" s="1241" t="n">
        <v>0</v>
      </c>
      <c r="CC23" s="1242" t="n">
        <v>2.6</v>
      </c>
      <c r="CD23" s="1239" t="n">
        <v>0.2475</v>
      </c>
    </row>
    <row r="24" customFormat="false" ht="12.75" hidden="false" customHeight="false" outlineLevel="0" collapsed="false">
      <c r="A24" s="1237" t="n">
        <v>37288</v>
      </c>
      <c r="B24" s="1239" t="n">
        <v>0.070424130684843</v>
      </c>
      <c r="C24" s="1284"/>
      <c r="D24" s="1274" t="n">
        <v>36644</v>
      </c>
      <c r="E24" s="1275" t="n">
        <v>34.25</v>
      </c>
      <c r="F24" s="1275" t="n">
        <v>35</v>
      </c>
      <c r="G24" s="1275" t="n">
        <v>36.25</v>
      </c>
      <c r="H24" s="1266"/>
      <c r="I24" s="1275" t="n">
        <v>22</v>
      </c>
      <c r="J24" s="1275" t="n">
        <v>23</v>
      </c>
      <c r="K24" s="1275" t="n">
        <v>25</v>
      </c>
      <c r="M24" s="1276" t="n">
        <v>37043</v>
      </c>
      <c r="N24" s="1277" t="n">
        <v>37.5</v>
      </c>
      <c r="O24" s="1277" t="n">
        <v>38.5</v>
      </c>
      <c r="P24" s="1277" t="n">
        <v>42</v>
      </c>
      <c r="Q24" s="109"/>
      <c r="R24" s="1277" t="n">
        <v>27.875</v>
      </c>
      <c r="S24" s="1277" t="n">
        <v>28.875</v>
      </c>
      <c r="T24" s="1277" t="n">
        <v>32.375</v>
      </c>
      <c r="V24" s="1278" t="n">
        <v>0</v>
      </c>
      <c r="W24" s="1278" t="n">
        <v>0</v>
      </c>
      <c r="X24" s="1278" t="n">
        <v>0</v>
      </c>
      <c r="Z24" s="1277" t="n">
        <v>0.165</v>
      </c>
      <c r="AA24" s="1277" t="n">
        <v>0.175</v>
      </c>
      <c r="AB24" s="1277" t="n">
        <v>0.185</v>
      </c>
      <c r="AC24" s="109"/>
      <c r="AD24" s="1277" t="n">
        <v>0.09</v>
      </c>
      <c r="AE24" s="1277" t="n">
        <v>0.11</v>
      </c>
      <c r="AF24" s="1277" t="n">
        <v>0.13</v>
      </c>
      <c r="AG24" s="109"/>
      <c r="AH24" s="1277" t="n">
        <v>-0.35</v>
      </c>
      <c r="AI24" s="1277" t="n">
        <v>0.65</v>
      </c>
      <c r="AJ24" s="1277" t="n">
        <v>0.2</v>
      </c>
      <c r="AK24" s="109"/>
      <c r="AL24" s="1277" t="n">
        <v>-0.01</v>
      </c>
      <c r="AM24" s="1277" t="n">
        <v>0.16</v>
      </c>
      <c r="AN24" s="1277" t="n">
        <v>0.01</v>
      </c>
      <c r="AO24" s="109"/>
      <c r="AP24" s="197" t="n">
        <v>5</v>
      </c>
      <c r="AQ24" s="1280" t="n">
        <v>0.2</v>
      </c>
      <c r="AS24" s="1246" t="n">
        <v>1400</v>
      </c>
      <c r="AT24" s="1283" t="n">
        <v>0.924691420770754</v>
      </c>
      <c r="AU24" s="1283" t="n">
        <v>0.917250447116783</v>
      </c>
      <c r="AV24" s="1283" t="n">
        <v>0.981465653533457</v>
      </c>
      <c r="AW24" s="1283" t="n">
        <v>1.00120166738347</v>
      </c>
      <c r="AX24" s="1283" t="n">
        <v>1.02039671687633</v>
      </c>
      <c r="AY24" s="1283" t="n">
        <v>1.06794212501553</v>
      </c>
      <c r="AZ24" s="1283" t="n">
        <v>1.09225682255254</v>
      </c>
      <c r="BA24" s="1283" t="n">
        <v>1.09408465772287</v>
      </c>
      <c r="BB24" s="1283" t="n">
        <v>1.06536088983694</v>
      </c>
      <c r="BC24" s="1283" t="n">
        <v>0.999272649105208</v>
      </c>
      <c r="BD24" s="1283" t="n">
        <v>0.927389758355386</v>
      </c>
      <c r="BE24" s="1283" t="n">
        <v>0.907518190459169</v>
      </c>
      <c r="BF24" s="1246" t="s">
        <v>119</v>
      </c>
      <c r="BH24" s="1285" t="n">
        <v>9</v>
      </c>
      <c r="BI24" s="1260" t="n">
        <v>0.14</v>
      </c>
      <c r="BQ24" s="1237" t="n">
        <v>37196</v>
      </c>
      <c r="BR24" s="1238" t="n">
        <v>2.887</v>
      </c>
      <c r="BS24" s="1238" t="n">
        <v>2.892</v>
      </c>
      <c r="BT24" s="1238" t="n">
        <v>2.897</v>
      </c>
      <c r="BU24" s="1239" t="n">
        <v>0.254</v>
      </c>
      <c r="BV24" s="1239" t="n">
        <v>0.2615</v>
      </c>
      <c r="BW24" s="1239" t="n">
        <v>0.269</v>
      </c>
      <c r="BX24" s="1239" t="n">
        <v>-0.07</v>
      </c>
      <c r="BY24" s="1239"/>
      <c r="BZ24" s="1239" t="n">
        <v>0.07</v>
      </c>
      <c r="CA24" s="1240" t="n">
        <v>0</v>
      </c>
      <c r="CB24" s="1241" t="n">
        <v>0</v>
      </c>
      <c r="CC24" s="1242" t="n">
        <v>2.48</v>
      </c>
      <c r="CD24" s="1239" t="n">
        <v>0.205</v>
      </c>
    </row>
    <row r="25" customFormat="false" ht="13.5" hidden="false" customHeight="false" outlineLevel="0" collapsed="false">
      <c r="A25" s="1237" t="n">
        <v>37316</v>
      </c>
      <c r="B25" s="1239" t="n">
        <v>0.070548433506541</v>
      </c>
      <c r="C25" s="1284"/>
      <c r="D25" s="1274" t="n">
        <v>36645</v>
      </c>
      <c r="E25" s="1275" t="n">
        <v>34.25</v>
      </c>
      <c r="F25" s="1275" t="n">
        <v>35</v>
      </c>
      <c r="G25" s="1275" t="n">
        <v>36.25</v>
      </c>
      <c r="H25" s="1266"/>
      <c r="I25" s="1275" t="n">
        <v>21.5</v>
      </c>
      <c r="J25" s="1275" t="n">
        <v>22.5</v>
      </c>
      <c r="K25" s="1275" t="n">
        <v>24.5</v>
      </c>
      <c r="M25" s="1276" t="n">
        <v>37073</v>
      </c>
      <c r="N25" s="1277" t="n">
        <v>58.25</v>
      </c>
      <c r="O25" s="1277" t="n">
        <v>59.25</v>
      </c>
      <c r="P25" s="1277" t="n">
        <v>62.75</v>
      </c>
      <c r="Q25" s="109"/>
      <c r="R25" s="1277" t="n">
        <v>43.4375</v>
      </c>
      <c r="S25" s="1277" t="n">
        <v>44.4375</v>
      </c>
      <c r="T25" s="1277" t="n">
        <v>47.9375</v>
      </c>
      <c r="V25" s="1278" t="n">
        <v>0</v>
      </c>
      <c r="W25" s="1278" t="n">
        <v>0</v>
      </c>
      <c r="X25" s="1278" t="n">
        <v>0</v>
      </c>
      <c r="Z25" s="1277" t="n">
        <v>0.165</v>
      </c>
      <c r="AA25" s="1277" t="n">
        <v>0.175</v>
      </c>
      <c r="AB25" s="1277" t="n">
        <v>0.185</v>
      </c>
      <c r="AC25" s="109"/>
      <c r="AD25" s="1277" t="n">
        <v>0.09</v>
      </c>
      <c r="AE25" s="1277" t="n">
        <v>0.11</v>
      </c>
      <c r="AF25" s="1277" t="n">
        <v>0.13</v>
      </c>
      <c r="AG25" s="109"/>
      <c r="AH25" s="1277" t="n">
        <v>-0.35</v>
      </c>
      <c r="AI25" s="1277" t="n">
        <v>3</v>
      </c>
      <c r="AJ25" s="1277" t="n">
        <v>0.35</v>
      </c>
      <c r="AK25" s="109"/>
      <c r="AL25" s="1277" t="n">
        <v>-0.01</v>
      </c>
      <c r="AM25" s="1277" t="n">
        <v>0.16</v>
      </c>
      <c r="AN25" s="1277" t="n">
        <v>0.01</v>
      </c>
      <c r="AO25" s="109"/>
      <c r="AP25" s="197" t="n">
        <v>6</v>
      </c>
      <c r="AQ25" s="1280" t="n">
        <v>0.2</v>
      </c>
      <c r="AS25" s="1246" t="n">
        <v>1500</v>
      </c>
      <c r="AT25" s="1283" t="n">
        <v>0.912212811269733</v>
      </c>
      <c r="AU25" s="1283" t="n">
        <v>0.917874218378942</v>
      </c>
      <c r="AV25" s="1283" t="n">
        <v>0.950777572331537</v>
      </c>
      <c r="AW25" s="1283" t="n">
        <v>0.978056338200039</v>
      </c>
      <c r="AX25" s="1283" t="n">
        <v>1.0093628955001</v>
      </c>
      <c r="AY25" s="1283" t="n">
        <v>1.07643291476315</v>
      </c>
      <c r="AZ25" s="1283" t="n">
        <v>1.11259139105751</v>
      </c>
      <c r="BA25" s="1283" t="n">
        <v>1.120086669698</v>
      </c>
      <c r="BB25" s="1283" t="n">
        <v>1.07401375474778</v>
      </c>
      <c r="BC25" s="1283" t="n">
        <v>0.997671346147298</v>
      </c>
      <c r="BD25" s="1283" t="n">
        <v>0.916720672639793</v>
      </c>
      <c r="BE25" s="1283" t="n">
        <v>0.895043949348913</v>
      </c>
      <c r="BF25" s="1246" t="s">
        <v>119</v>
      </c>
      <c r="BH25" s="1286" t="n">
        <v>10</v>
      </c>
      <c r="BI25" s="1287" t="n">
        <v>0.16</v>
      </c>
      <c r="BQ25" s="1237" t="n">
        <v>37226</v>
      </c>
      <c r="BR25" s="1238" t="n">
        <v>2.989</v>
      </c>
      <c r="BS25" s="1238" t="n">
        <v>2.994</v>
      </c>
      <c r="BT25" s="1238" t="n">
        <v>2.999</v>
      </c>
      <c r="BU25" s="1239" t="n">
        <v>0.259</v>
      </c>
      <c r="BV25" s="1239" t="n">
        <v>0.2665</v>
      </c>
      <c r="BW25" s="1239" t="n">
        <v>0.274</v>
      </c>
      <c r="BX25" s="1239" t="n">
        <v>-0.07</v>
      </c>
      <c r="BY25" s="1239"/>
      <c r="BZ25" s="1239" t="n">
        <v>0.07</v>
      </c>
      <c r="CA25" s="1240" t="n">
        <v>0</v>
      </c>
      <c r="CB25" s="1241" t="n">
        <v>0</v>
      </c>
      <c r="CC25" s="1242" t="n">
        <v>2.458</v>
      </c>
      <c r="CD25" s="1239" t="n">
        <v>0.1925</v>
      </c>
    </row>
    <row r="26" customFormat="false" ht="12.75" hidden="false" customHeight="false" outlineLevel="0" collapsed="false">
      <c r="A26" s="1237" t="n">
        <v>37347</v>
      </c>
      <c r="B26" s="1239" t="n">
        <v>0.070661423837617</v>
      </c>
      <c r="C26" s="1284"/>
      <c r="D26" s="1274" t="n">
        <v>36646</v>
      </c>
      <c r="E26" s="1275" t="n">
        <v>26.25</v>
      </c>
      <c r="F26" s="1275" t="n">
        <v>27</v>
      </c>
      <c r="G26" s="1275" t="n">
        <v>28.25</v>
      </c>
      <c r="H26" s="1266"/>
      <c r="I26" s="1275" t="n">
        <v>21.5</v>
      </c>
      <c r="J26" s="1275" t="n">
        <v>22.5</v>
      </c>
      <c r="K26" s="1275" t="n">
        <v>24.5</v>
      </c>
      <c r="M26" s="1276" t="n">
        <v>37104</v>
      </c>
      <c r="N26" s="1277" t="n">
        <v>78.875</v>
      </c>
      <c r="O26" s="1277" t="n">
        <v>79.875</v>
      </c>
      <c r="P26" s="1277" t="n">
        <v>83.375</v>
      </c>
      <c r="Q26" s="109"/>
      <c r="R26" s="1277" t="n">
        <v>58.90625</v>
      </c>
      <c r="S26" s="1277" t="n">
        <v>59.90625</v>
      </c>
      <c r="T26" s="1277" t="n">
        <v>63.40625</v>
      </c>
      <c r="V26" s="1278" t="n">
        <v>0</v>
      </c>
      <c r="W26" s="1278" t="n">
        <v>0</v>
      </c>
      <c r="X26" s="1278" t="n">
        <v>0</v>
      </c>
      <c r="Z26" s="1277" t="n">
        <v>0.165</v>
      </c>
      <c r="AA26" s="1277" t="n">
        <v>0.175</v>
      </c>
      <c r="AB26" s="1277" t="n">
        <v>0.185</v>
      </c>
      <c r="AC26" s="109"/>
      <c r="AD26" s="1277" t="n">
        <v>0.09</v>
      </c>
      <c r="AE26" s="1277" t="n">
        <v>0.11</v>
      </c>
      <c r="AF26" s="1277" t="n">
        <v>0.13</v>
      </c>
      <c r="AG26" s="109"/>
      <c r="AH26" s="1277" t="n">
        <v>-0.35</v>
      </c>
      <c r="AI26" s="1277" t="n">
        <v>3</v>
      </c>
      <c r="AJ26" s="1277" t="n">
        <v>0.35</v>
      </c>
      <c r="AK26" s="109"/>
      <c r="AL26" s="1277" t="n">
        <v>-0.01</v>
      </c>
      <c r="AM26" s="1277" t="n">
        <v>0.16</v>
      </c>
      <c r="AN26" s="1277" t="n">
        <v>0.01</v>
      </c>
      <c r="AO26" s="109"/>
      <c r="AP26" s="197" t="n">
        <v>6</v>
      </c>
      <c r="AQ26" s="1280" t="n">
        <v>0.2</v>
      </c>
      <c r="AS26" s="1246" t="n">
        <v>1600</v>
      </c>
      <c r="AT26" s="1283" t="n">
        <v>0.915972109992445</v>
      </c>
      <c r="AU26" s="1283" t="n">
        <v>0.918733962191793</v>
      </c>
      <c r="AV26" s="1283" t="n">
        <v>0.937354837644313</v>
      </c>
      <c r="AW26" s="1283" t="n">
        <v>0.966617082782495</v>
      </c>
      <c r="AX26" s="1283" t="n">
        <v>0.999541250558854</v>
      </c>
      <c r="AY26" s="1283" t="n">
        <v>1.08283658300855</v>
      </c>
      <c r="AZ26" s="1283" t="n">
        <v>1.13232578957263</v>
      </c>
      <c r="BA26" s="1283" t="n">
        <v>1.12558709530813</v>
      </c>
      <c r="BB26" s="1283" t="n">
        <v>1.07231678512449</v>
      </c>
      <c r="BC26" s="1283" t="n">
        <v>0.992586950838506</v>
      </c>
      <c r="BD26" s="1283" t="n">
        <v>0.927389758355386</v>
      </c>
      <c r="BE26" s="1283" t="n">
        <v>0.915770392410396</v>
      </c>
      <c r="BF26" s="1246" t="s">
        <v>119</v>
      </c>
      <c r="BQ26" s="1237" t="n">
        <v>37257</v>
      </c>
      <c r="BR26" s="1238" t="n">
        <v>3.017</v>
      </c>
      <c r="BS26" s="1238" t="n">
        <v>3.022</v>
      </c>
      <c r="BT26" s="1238" t="n">
        <v>3.027</v>
      </c>
      <c r="BU26" s="1239" t="n">
        <v>0.2615</v>
      </c>
      <c r="BV26" s="1239" t="n">
        <v>0.269</v>
      </c>
      <c r="BW26" s="1239" t="n">
        <v>0.2765</v>
      </c>
      <c r="BX26" s="1239" t="n">
        <v>-0.07</v>
      </c>
      <c r="BY26" s="1239"/>
      <c r="BZ26" s="1239" t="n">
        <v>0.07</v>
      </c>
      <c r="CA26" s="1240" t="n">
        <v>0</v>
      </c>
      <c r="CB26" s="1241" t="n">
        <v>0</v>
      </c>
      <c r="CC26" s="1242" t="n">
        <v>2.453</v>
      </c>
      <c r="CD26" s="1239" t="n">
        <v>0.1925</v>
      </c>
    </row>
    <row r="27" customFormat="false" ht="12.75" hidden="false" customHeight="false" outlineLevel="0" collapsed="false">
      <c r="A27" s="1237" t="n">
        <v>37377</v>
      </c>
      <c r="B27" s="1239" t="n">
        <v>0.070734897361698</v>
      </c>
      <c r="C27" s="1284"/>
      <c r="D27" s="1274" t="n">
        <v>36647</v>
      </c>
      <c r="E27" s="1275" t="n">
        <v>34.6</v>
      </c>
      <c r="F27" s="1275" t="n">
        <v>35.35</v>
      </c>
      <c r="G27" s="1275" t="n">
        <v>36.6</v>
      </c>
      <c r="H27" s="1266"/>
      <c r="I27" s="1275" t="n">
        <v>14.5846774193548</v>
      </c>
      <c r="J27" s="1275" t="n">
        <v>15.5846774193548</v>
      </c>
      <c r="K27" s="1275" t="n">
        <v>17.5846774193548</v>
      </c>
      <c r="M27" s="1276" t="n">
        <v>37135</v>
      </c>
      <c r="N27" s="1277" t="n">
        <v>62.875</v>
      </c>
      <c r="O27" s="1277" t="n">
        <v>63.875</v>
      </c>
      <c r="P27" s="1277" t="n">
        <v>67.375</v>
      </c>
      <c r="Q27" s="109"/>
      <c r="R27" s="1277" t="n">
        <v>46.90625</v>
      </c>
      <c r="S27" s="1277" t="n">
        <v>47.90625</v>
      </c>
      <c r="T27" s="1277" t="n">
        <v>51.40625</v>
      </c>
      <c r="V27" s="1278" t="n">
        <v>0</v>
      </c>
      <c r="W27" s="1278" t="n">
        <v>0</v>
      </c>
      <c r="X27" s="1278" t="n">
        <v>0</v>
      </c>
      <c r="Z27" s="1277" t="n">
        <v>0.165</v>
      </c>
      <c r="AA27" s="1277" t="n">
        <v>0.175</v>
      </c>
      <c r="AB27" s="1277" t="n">
        <v>0.185</v>
      </c>
      <c r="AC27" s="109"/>
      <c r="AD27" s="1277" t="n">
        <v>0.09</v>
      </c>
      <c r="AE27" s="1277" t="n">
        <v>0.11</v>
      </c>
      <c r="AF27" s="1277" t="n">
        <v>0.13</v>
      </c>
      <c r="AG27" s="109"/>
      <c r="AH27" s="1277" t="n">
        <v>-0.35</v>
      </c>
      <c r="AI27" s="1277" t="n">
        <v>3</v>
      </c>
      <c r="AJ27" s="1277" t="n">
        <v>0.2</v>
      </c>
      <c r="AK27" s="109"/>
      <c r="AL27" s="1277" t="n">
        <v>-0.01</v>
      </c>
      <c r="AM27" s="1277" t="n">
        <v>0.16</v>
      </c>
      <c r="AN27" s="1277" t="n">
        <v>0.01</v>
      </c>
      <c r="AO27" s="109"/>
      <c r="AP27" s="197" t="n">
        <v>6</v>
      </c>
      <c r="AQ27" s="1280" t="n">
        <v>0.2</v>
      </c>
      <c r="AS27" s="1246" t="n">
        <v>1700</v>
      </c>
      <c r="AT27" s="1283" t="n">
        <v>0.97627121441201</v>
      </c>
      <c r="AU27" s="1283" t="n">
        <v>0.959395936613221</v>
      </c>
      <c r="AV27" s="1283" t="n">
        <v>0.947693310118331</v>
      </c>
      <c r="AW27" s="1283" t="n">
        <v>0.95517782736495</v>
      </c>
      <c r="AX27" s="1283" t="n">
        <v>0.992741650214916</v>
      </c>
      <c r="AY27" s="1283" t="n">
        <v>1.06485887734182</v>
      </c>
      <c r="AZ27" s="1283" t="n">
        <v>1.12885904586148</v>
      </c>
      <c r="BA27" s="1283" t="n">
        <v>1.12504603795237</v>
      </c>
      <c r="BB27" s="1283" t="n">
        <v>1.06853640725082</v>
      </c>
      <c r="BC27" s="1283" t="n">
        <v>0.992586950838506</v>
      </c>
      <c r="BD27" s="1283" t="n">
        <v>1.05510111178522</v>
      </c>
      <c r="BE27" s="1283" t="n">
        <v>1.07988998236662</v>
      </c>
      <c r="BF27" s="1246" t="s">
        <v>119</v>
      </c>
      <c r="BQ27" s="1237" t="n">
        <v>37288</v>
      </c>
      <c r="BR27" s="1238" t="n">
        <v>2.897</v>
      </c>
      <c r="BS27" s="1238" t="n">
        <v>2.902</v>
      </c>
      <c r="BT27" s="1238" t="n">
        <v>2.907</v>
      </c>
      <c r="BU27" s="1239" t="n">
        <v>0.2565</v>
      </c>
      <c r="BV27" s="1239" t="n">
        <v>0.264</v>
      </c>
      <c r="BW27" s="1239" t="n">
        <v>0.2715</v>
      </c>
      <c r="BX27" s="1239" t="n">
        <v>-0.07</v>
      </c>
      <c r="BY27" s="1239"/>
      <c r="BZ27" s="1239" t="n">
        <v>0.07</v>
      </c>
      <c r="CA27" s="1240" t="n">
        <v>0</v>
      </c>
      <c r="CB27" s="1241" t="n">
        <v>0</v>
      </c>
      <c r="CC27" s="1242" t="n">
        <v>2.455</v>
      </c>
      <c r="CD27" s="1239" t="n">
        <v>0.1925</v>
      </c>
    </row>
    <row r="28" customFormat="false" ht="12.75" hidden="false" customHeight="false" outlineLevel="0" collapsed="false">
      <c r="A28" s="1237" t="n">
        <v>37408</v>
      </c>
      <c r="B28" s="1239" t="n">
        <v>0.070810820005124</v>
      </c>
      <c r="C28" s="1284"/>
      <c r="D28" s="1274" t="n">
        <v>36648</v>
      </c>
      <c r="E28" s="1275" t="n">
        <v>34.6</v>
      </c>
      <c r="F28" s="1275" t="n">
        <v>35.35</v>
      </c>
      <c r="G28" s="1275" t="n">
        <v>36.6</v>
      </c>
      <c r="H28" s="1266"/>
      <c r="I28" s="1275" t="n">
        <v>14.5846774193548</v>
      </c>
      <c r="J28" s="1275" t="n">
        <v>15.5846774193548</v>
      </c>
      <c r="K28" s="1275" t="n">
        <v>17.5846774193548</v>
      </c>
      <c r="M28" s="1276" t="n">
        <v>37165</v>
      </c>
      <c r="N28" s="1277" t="n">
        <v>40.25</v>
      </c>
      <c r="O28" s="1277" t="n">
        <v>41.25</v>
      </c>
      <c r="P28" s="1277" t="n">
        <v>44.75</v>
      </c>
      <c r="Q28" s="109"/>
      <c r="R28" s="1277" t="n">
        <v>29.9375</v>
      </c>
      <c r="S28" s="1277" t="n">
        <v>30.9375</v>
      </c>
      <c r="T28" s="1277" t="n">
        <v>34.4375</v>
      </c>
      <c r="V28" s="1278" t="n">
        <v>0</v>
      </c>
      <c r="W28" s="1278" t="n">
        <v>0</v>
      </c>
      <c r="X28" s="1278" t="n">
        <v>0</v>
      </c>
      <c r="Z28" s="1277" t="n">
        <v>0.165</v>
      </c>
      <c r="AA28" s="1277" t="n">
        <v>0.175</v>
      </c>
      <c r="AB28" s="1277" t="n">
        <v>0.185</v>
      </c>
      <c r="AC28" s="109"/>
      <c r="AD28" s="1277" t="n">
        <v>0.09</v>
      </c>
      <c r="AE28" s="1277" t="n">
        <v>0.11</v>
      </c>
      <c r="AF28" s="1277" t="n">
        <v>0.13</v>
      </c>
      <c r="AG28" s="109"/>
      <c r="AH28" s="1277" t="n">
        <v>-0.1</v>
      </c>
      <c r="AI28" s="1277" t="n">
        <v>0.6</v>
      </c>
      <c r="AJ28" s="1277" t="n">
        <v>0.1</v>
      </c>
      <c r="AK28" s="109"/>
      <c r="AL28" s="1277" t="n">
        <v>-0.01</v>
      </c>
      <c r="AM28" s="1277" t="n">
        <v>0.16</v>
      </c>
      <c r="AN28" s="1277" t="n">
        <v>0.01</v>
      </c>
      <c r="AO28" s="109"/>
      <c r="AP28" s="197" t="n">
        <v>7</v>
      </c>
      <c r="AQ28" s="1280" t="n">
        <v>0.2</v>
      </c>
      <c r="AS28" s="1246" t="n">
        <v>1800</v>
      </c>
      <c r="AT28" s="1283" t="n">
        <v>1.1682482024575</v>
      </c>
      <c r="AU28" s="1283" t="n">
        <v>1.10798270599348</v>
      </c>
      <c r="AV28" s="1283" t="n">
        <v>1.00087348517006</v>
      </c>
      <c r="AW28" s="1283" t="n">
        <v>0.963708231030593</v>
      </c>
      <c r="AX28" s="1283" t="n">
        <v>0.986061947188981</v>
      </c>
      <c r="AY28" s="1283" t="n">
        <v>1.02316388187728</v>
      </c>
      <c r="AZ28" s="1283" t="n">
        <v>1.10213361296924</v>
      </c>
      <c r="BA28" s="1283" t="n">
        <v>1.10258531548397</v>
      </c>
      <c r="BB28" s="1283" t="n">
        <v>1.02800025541861</v>
      </c>
      <c r="BC28" s="1283" t="n">
        <v>1.00771891454448</v>
      </c>
      <c r="BD28" s="1283" t="n">
        <v>1.1435697907873</v>
      </c>
      <c r="BE28" s="1283" t="n">
        <v>1.16194977734474</v>
      </c>
      <c r="BF28" s="1246" t="s">
        <v>119</v>
      </c>
      <c r="BQ28" s="1237" t="n">
        <v>37316</v>
      </c>
      <c r="BR28" s="1238" t="n">
        <v>2.759</v>
      </c>
      <c r="BS28" s="1238" t="n">
        <v>2.764</v>
      </c>
      <c r="BT28" s="1238" t="n">
        <v>2.769</v>
      </c>
      <c r="BU28" s="1239" t="n">
        <v>0.234</v>
      </c>
      <c r="BV28" s="1239" t="n">
        <v>0.2415</v>
      </c>
      <c r="BW28" s="1239" t="n">
        <v>0.249</v>
      </c>
      <c r="BX28" s="1239" t="n">
        <v>-0.07</v>
      </c>
      <c r="BY28" s="1239"/>
      <c r="BZ28" s="1239" t="n">
        <v>0.07</v>
      </c>
      <c r="CA28" s="1240" t="n">
        <v>0</v>
      </c>
      <c r="CB28" s="1241" t="n">
        <v>0</v>
      </c>
      <c r="CC28" s="1242" t="n">
        <v>2.461</v>
      </c>
      <c r="CD28" s="1239" t="n">
        <v>0.1925</v>
      </c>
    </row>
    <row r="29" customFormat="false" ht="12.75" hidden="false" customHeight="false" outlineLevel="0" collapsed="false">
      <c r="A29" s="1237" t="n">
        <v>37438</v>
      </c>
      <c r="B29" s="1239" t="n">
        <v>0.0708759100038</v>
      </c>
      <c r="C29" s="1284"/>
      <c r="D29" s="1274" t="n">
        <v>36649</v>
      </c>
      <c r="E29" s="1275" t="n">
        <v>34.6</v>
      </c>
      <c r="F29" s="1275" t="n">
        <v>35.35</v>
      </c>
      <c r="G29" s="1275" t="n">
        <v>36.6</v>
      </c>
      <c r="H29" s="1266"/>
      <c r="I29" s="1275" t="n">
        <v>14.5846774193548</v>
      </c>
      <c r="J29" s="1275" t="n">
        <v>15.5846774193548</v>
      </c>
      <c r="K29" s="1275" t="n">
        <v>17.5846774193548</v>
      </c>
      <c r="M29" s="1276" t="n">
        <v>37196</v>
      </c>
      <c r="N29" s="1277" t="n">
        <v>32.5</v>
      </c>
      <c r="O29" s="1277" t="n">
        <v>33.5</v>
      </c>
      <c r="P29" s="1277" t="n">
        <v>37</v>
      </c>
      <c r="Q29" s="109"/>
      <c r="R29" s="1277" t="n">
        <v>24.125</v>
      </c>
      <c r="S29" s="1277" t="n">
        <v>25.125</v>
      </c>
      <c r="T29" s="1277" t="n">
        <v>28.625</v>
      </c>
      <c r="V29" s="1278" t="n">
        <v>0</v>
      </c>
      <c r="W29" s="1278" t="n">
        <v>0</v>
      </c>
      <c r="X29" s="1278" t="n">
        <v>0</v>
      </c>
      <c r="Z29" s="1277" t="n">
        <v>0.165</v>
      </c>
      <c r="AA29" s="1277" t="n">
        <v>0.175</v>
      </c>
      <c r="AB29" s="1277" t="n">
        <v>0.185</v>
      </c>
      <c r="AC29" s="109"/>
      <c r="AD29" s="1277" t="n">
        <v>0.09</v>
      </c>
      <c r="AE29" s="1277" t="n">
        <v>0.11</v>
      </c>
      <c r="AF29" s="1277" t="n">
        <v>0.13</v>
      </c>
      <c r="AG29" s="109"/>
      <c r="AH29" s="1277" t="n">
        <v>-0.1</v>
      </c>
      <c r="AI29" s="1277" t="n">
        <v>0.6</v>
      </c>
      <c r="AJ29" s="1277" t="n">
        <v>0.1</v>
      </c>
      <c r="AK29" s="109"/>
      <c r="AL29" s="1277" t="n">
        <v>-0.01</v>
      </c>
      <c r="AM29" s="1277" t="n">
        <v>0.16</v>
      </c>
      <c r="AN29" s="1277" t="n">
        <v>0.01</v>
      </c>
      <c r="AO29" s="109"/>
      <c r="AP29" s="197" t="n">
        <v>7</v>
      </c>
      <c r="AQ29" s="1280" t="n">
        <v>0.2</v>
      </c>
      <c r="AS29" s="1246" t="n">
        <v>1900</v>
      </c>
      <c r="AT29" s="1283" t="n">
        <v>1.14609119656941</v>
      </c>
      <c r="AU29" s="1283" t="n">
        <v>1.13662755361482</v>
      </c>
      <c r="AV29" s="1283" t="n">
        <v>1.12920660427059</v>
      </c>
      <c r="AW29" s="1283" t="n">
        <v>1.0073694302075</v>
      </c>
      <c r="AX29" s="1283" t="n">
        <v>0.985420376357468</v>
      </c>
      <c r="AY29" s="1283" t="n">
        <v>1.00044271825098</v>
      </c>
      <c r="AZ29" s="1283" t="n">
        <v>1.06457091396162</v>
      </c>
      <c r="BA29" s="1283" t="n">
        <v>1.04639722261045</v>
      </c>
      <c r="BB29" s="1283" t="n">
        <v>1.03197933781418</v>
      </c>
      <c r="BC29" s="1283" t="n">
        <v>1.11046432583413</v>
      </c>
      <c r="BD29" s="1283" t="n">
        <v>1.11421612770827</v>
      </c>
      <c r="BE29" s="1283" t="n">
        <v>1.13572448204245</v>
      </c>
      <c r="BF29" s="1246" t="s">
        <v>119</v>
      </c>
      <c r="BQ29" s="1237" t="n">
        <v>37347</v>
      </c>
      <c r="BR29" s="1238" t="n">
        <v>2.663</v>
      </c>
      <c r="BS29" s="1238" t="n">
        <v>2.668</v>
      </c>
      <c r="BT29" s="1238" t="n">
        <v>2.673</v>
      </c>
      <c r="BU29" s="1239" t="n">
        <v>0.2055</v>
      </c>
      <c r="BV29" s="1239" t="n">
        <v>0.213</v>
      </c>
      <c r="BW29" s="1239" t="n">
        <v>0.2205</v>
      </c>
      <c r="BX29" s="1239" t="n">
        <v>-0.07</v>
      </c>
      <c r="BY29" s="1239"/>
      <c r="BZ29" s="1239" t="n">
        <v>0.07</v>
      </c>
      <c r="CA29" s="1240" t="n">
        <v>0</v>
      </c>
      <c r="CB29" s="1241" t="n">
        <v>0</v>
      </c>
      <c r="CC29" s="1242" t="n">
        <v>2.472</v>
      </c>
      <c r="CD29" s="1239" t="n">
        <v>0.195</v>
      </c>
    </row>
    <row r="30" customFormat="false" ht="12.75" hidden="false" customHeight="false" outlineLevel="0" collapsed="false">
      <c r="A30" s="1237" t="n">
        <v>37469</v>
      </c>
      <c r="B30" s="1239" t="n">
        <v>0.070929350291028</v>
      </c>
      <c r="C30" s="1284"/>
      <c r="D30" s="1274" t="n">
        <v>36650</v>
      </c>
      <c r="E30" s="1275" t="n">
        <v>34.6</v>
      </c>
      <c r="F30" s="1275" t="n">
        <v>35.35</v>
      </c>
      <c r="G30" s="1275" t="n">
        <v>36.6</v>
      </c>
      <c r="H30" s="1266"/>
      <c r="I30" s="1275" t="n">
        <v>14.5846774193548</v>
      </c>
      <c r="J30" s="1275" t="n">
        <v>15.5846774193548</v>
      </c>
      <c r="K30" s="1275" t="n">
        <v>17.5846774193548</v>
      </c>
      <c r="M30" s="1276" t="n">
        <v>37226</v>
      </c>
      <c r="N30" s="1277" t="n">
        <v>34.5</v>
      </c>
      <c r="O30" s="1277" t="n">
        <v>35.5</v>
      </c>
      <c r="P30" s="1277" t="n">
        <v>39</v>
      </c>
      <c r="Q30" s="109"/>
      <c r="R30" s="1277" t="n">
        <v>25.625</v>
      </c>
      <c r="S30" s="1277" t="n">
        <v>26.625</v>
      </c>
      <c r="T30" s="1277" t="n">
        <v>30.125</v>
      </c>
      <c r="V30" s="1278" t="n">
        <v>0</v>
      </c>
      <c r="W30" s="1278" t="n">
        <v>0</v>
      </c>
      <c r="X30" s="1278" t="n">
        <v>0</v>
      </c>
      <c r="Z30" s="1277" t="n">
        <v>0.165</v>
      </c>
      <c r="AA30" s="1277" t="n">
        <v>0.175</v>
      </c>
      <c r="AB30" s="1277" t="n">
        <v>0.185</v>
      </c>
      <c r="AC30" s="109"/>
      <c r="AD30" s="1277" t="n">
        <v>0.09</v>
      </c>
      <c r="AE30" s="1277" t="n">
        <v>0.11</v>
      </c>
      <c r="AF30" s="1277" t="n">
        <v>0.13</v>
      </c>
      <c r="AG30" s="109"/>
      <c r="AH30" s="1277" t="n">
        <v>-0.25</v>
      </c>
      <c r="AI30" s="1277" t="n">
        <v>0.6</v>
      </c>
      <c r="AJ30" s="1277" t="n">
        <v>0.25</v>
      </c>
      <c r="AK30" s="109"/>
      <c r="AL30" s="1277" t="n">
        <v>-0.01</v>
      </c>
      <c r="AM30" s="1277" t="n">
        <v>0.16</v>
      </c>
      <c r="AN30" s="1277" t="n">
        <v>0.01</v>
      </c>
      <c r="AO30" s="109"/>
      <c r="AP30" s="197" t="n">
        <v>7</v>
      </c>
      <c r="AQ30" s="1280" t="n">
        <v>0.2</v>
      </c>
      <c r="AS30" s="1246" t="n">
        <v>2000</v>
      </c>
      <c r="AT30" s="1283" t="n">
        <v>1.07506156046884</v>
      </c>
      <c r="AU30" s="1283" t="n">
        <v>1.0672234228548</v>
      </c>
      <c r="AV30" s="1283" t="n">
        <v>1.07710633419375</v>
      </c>
      <c r="AW30" s="1283" t="n">
        <v>1.05216801641624</v>
      </c>
      <c r="AX30" s="1283" t="n">
        <v>1.01900912660598</v>
      </c>
      <c r="AY30" s="1283" t="n">
        <v>0.992498335780684</v>
      </c>
      <c r="AZ30" s="1283" t="n">
        <v>1.03380960272169</v>
      </c>
      <c r="BA30" s="1283" t="n">
        <v>1.01091986355203</v>
      </c>
      <c r="BB30" s="1283" t="n">
        <v>1.06765145708624</v>
      </c>
      <c r="BC30" s="1283" t="n">
        <v>1.08948123487926</v>
      </c>
      <c r="BD30" s="1283" t="n">
        <v>1.06500002800532</v>
      </c>
      <c r="BE30" s="1283" t="n">
        <v>1.08398006082623</v>
      </c>
      <c r="BF30" s="1246" t="s">
        <v>119</v>
      </c>
      <c r="BQ30" s="1237" t="n">
        <v>37377</v>
      </c>
      <c r="BR30" s="1238" t="n">
        <v>2.636</v>
      </c>
      <c r="BS30" s="1238" t="n">
        <v>2.641</v>
      </c>
      <c r="BT30" s="1238" t="n">
        <v>2.646</v>
      </c>
      <c r="BU30" s="1239" t="n">
        <v>0.2025</v>
      </c>
      <c r="BV30" s="1239" t="n">
        <v>0.21</v>
      </c>
      <c r="BW30" s="1239" t="n">
        <v>0.2175</v>
      </c>
      <c r="BX30" s="1239" t="n">
        <v>-0.07</v>
      </c>
      <c r="BY30" s="1239"/>
      <c r="BZ30" s="1239" t="n">
        <v>0.07</v>
      </c>
      <c r="CA30" s="1240" t="n">
        <v>0</v>
      </c>
      <c r="CB30" s="1241" t="n">
        <v>0</v>
      </c>
      <c r="CC30" s="1242" t="n">
        <v>2.504</v>
      </c>
      <c r="CD30" s="1239" t="n">
        <v>0.1975</v>
      </c>
    </row>
    <row r="31" customFormat="false" ht="12.75" hidden="false" customHeight="false" outlineLevel="0" collapsed="false">
      <c r="A31" s="1237" t="n">
        <v>37500</v>
      </c>
      <c r="B31" s="1239" t="n">
        <v>0.070982790579199</v>
      </c>
      <c r="C31" s="1284"/>
      <c r="D31" s="1274" t="n">
        <v>36651</v>
      </c>
      <c r="E31" s="1275" t="n">
        <v>34.6</v>
      </c>
      <c r="F31" s="1275" t="n">
        <v>35.35</v>
      </c>
      <c r="G31" s="1275" t="n">
        <v>36.6</v>
      </c>
      <c r="H31" s="1266"/>
      <c r="I31" s="1275" t="n">
        <v>14.5846774193548</v>
      </c>
      <c r="J31" s="1275" t="n">
        <v>15.5846774193548</v>
      </c>
      <c r="K31" s="1275" t="n">
        <v>17.5846774193548</v>
      </c>
      <c r="M31" s="1276" t="n">
        <v>37257</v>
      </c>
      <c r="N31" s="1277" t="n">
        <v>32.3256408423175</v>
      </c>
      <c r="O31" s="1277" t="n">
        <v>33.5756408423175</v>
      </c>
      <c r="P31" s="1277" t="n">
        <v>38.0756408423175</v>
      </c>
      <c r="Q31" s="109"/>
      <c r="R31" s="1277" t="n">
        <v>23.9317306317381</v>
      </c>
      <c r="S31" s="1277" t="n">
        <v>25.1817306317381</v>
      </c>
      <c r="T31" s="1277" t="n">
        <v>29.6817306317381</v>
      </c>
      <c r="V31" s="1278" t="n">
        <v>0</v>
      </c>
      <c r="W31" s="1278" t="n">
        <v>0</v>
      </c>
      <c r="X31" s="1278" t="n">
        <v>0</v>
      </c>
      <c r="Z31" s="1277" t="n">
        <v>0.16</v>
      </c>
      <c r="AA31" s="1277" t="n">
        <v>0.17</v>
      </c>
      <c r="AB31" s="1277" t="n">
        <v>0.18</v>
      </c>
      <c r="AC31" s="109"/>
      <c r="AD31" s="1277" t="n">
        <v>0.09</v>
      </c>
      <c r="AE31" s="1277" t="n">
        <v>0.11</v>
      </c>
      <c r="AF31" s="1277" t="n">
        <v>0.13</v>
      </c>
      <c r="AG31" s="109"/>
      <c r="AH31" s="1277" t="n">
        <v>-0.25</v>
      </c>
      <c r="AI31" s="1277" t="n">
        <v>0.65</v>
      </c>
      <c r="AJ31" s="1277" t="n">
        <v>0.25</v>
      </c>
      <c r="AK31" s="109"/>
      <c r="AL31" s="1277" t="n">
        <v>-0.01</v>
      </c>
      <c r="AM31" s="1277" t="n">
        <v>0.16</v>
      </c>
      <c r="AN31" s="1277" t="n">
        <v>0.01</v>
      </c>
      <c r="AO31" s="109"/>
      <c r="AP31" s="197" t="n">
        <v>8</v>
      </c>
      <c r="AQ31" s="1280" t="n">
        <v>0.2</v>
      </c>
      <c r="AS31" s="1246" t="n">
        <v>2100</v>
      </c>
      <c r="AT31" s="1283" t="n">
        <v>0.982924366181791</v>
      </c>
      <c r="AU31" s="1283" t="n">
        <v>1.00090314992571</v>
      </c>
      <c r="AV31" s="1283" t="n">
        <v>1.00007490398669</v>
      </c>
      <c r="AW31" s="1283" t="n">
        <v>1.03453766182416</v>
      </c>
      <c r="AX31" s="1283" t="n">
        <v>1.05016049756372</v>
      </c>
      <c r="AY31" s="1283" t="n">
        <v>1.01871527295225</v>
      </c>
      <c r="AZ31" s="1283" t="n">
        <v>1.03380960272169</v>
      </c>
      <c r="BA31" s="1283" t="n">
        <v>1.00116579063969</v>
      </c>
      <c r="BB31" s="1283" t="n">
        <v>1.0128872176404</v>
      </c>
      <c r="BC31" s="1283" t="n">
        <v>1.00771891454448</v>
      </c>
      <c r="BD31" s="1283" t="n">
        <v>1.00495527069187</v>
      </c>
      <c r="BE31" s="1283" t="n">
        <v>1.02894076316412</v>
      </c>
      <c r="BF31" s="1246" t="s">
        <v>119</v>
      </c>
      <c r="BQ31" s="1237" t="n">
        <v>37408</v>
      </c>
      <c r="BR31" s="1238" t="n">
        <v>2.643</v>
      </c>
      <c r="BS31" s="1238" t="n">
        <v>2.648</v>
      </c>
      <c r="BT31" s="1238" t="n">
        <v>2.653</v>
      </c>
      <c r="BU31" s="1239" t="n">
        <v>0.2015</v>
      </c>
      <c r="BV31" s="1239" t="n">
        <v>0.209</v>
      </c>
      <c r="BW31" s="1239" t="n">
        <v>0.2165</v>
      </c>
      <c r="BX31" s="1239" t="n">
        <v>-0.07</v>
      </c>
      <c r="BY31" s="1239"/>
      <c r="BZ31" s="1239" t="n">
        <v>0.07</v>
      </c>
      <c r="CA31" s="1240" t="n">
        <v>0</v>
      </c>
      <c r="CB31" s="1241" t="n">
        <v>0</v>
      </c>
      <c r="CC31" s="1242" t="n">
        <v>2.645</v>
      </c>
      <c r="CD31" s="1239" t="n">
        <v>0.2</v>
      </c>
    </row>
    <row r="32" customFormat="false" ht="12.75" hidden="false" customHeight="false" outlineLevel="0" collapsed="false">
      <c r="A32" s="1237" t="n">
        <v>37530</v>
      </c>
      <c r="B32" s="1239" t="n">
        <v>0.071027926633867</v>
      </c>
      <c r="C32" s="1284"/>
      <c r="D32" s="1274" t="n">
        <v>36652</v>
      </c>
      <c r="E32" s="1275" t="n">
        <v>34.6</v>
      </c>
      <c r="F32" s="1275" t="n">
        <v>35.35</v>
      </c>
      <c r="G32" s="1275" t="n">
        <v>36.6</v>
      </c>
      <c r="H32" s="1266"/>
      <c r="I32" s="1275" t="n">
        <v>14.5846774193548</v>
      </c>
      <c r="J32" s="1275" t="n">
        <v>15.5846774193548</v>
      </c>
      <c r="K32" s="1275" t="n">
        <v>17.5846774193548</v>
      </c>
      <c r="M32" s="1276" t="n">
        <v>37288</v>
      </c>
      <c r="N32" s="1277" t="n">
        <v>31.8256408423175</v>
      </c>
      <c r="O32" s="1277" t="n">
        <v>33.0756408423175</v>
      </c>
      <c r="P32" s="1277" t="n">
        <v>37.5756408423175</v>
      </c>
      <c r="Q32" s="109"/>
      <c r="R32" s="1277" t="n">
        <v>23.5567306317381</v>
      </c>
      <c r="S32" s="1277" t="n">
        <v>24.8067306317381</v>
      </c>
      <c r="T32" s="1277" t="n">
        <v>29.3067306317381</v>
      </c>
      <c r="V32" s="1278" t="n">
        <v>0</v>
      </c>
      <c r="W32" s="1278" t="n">
        <v>0</v>
      </c>
      <c r="X32" s="1278" t="n">
        <v>0</v>
      </c>
      <c r="Z32" s="1277" t="n">
        <v>0.16</v>
      </c>
      <c r="AA32" s="1277" t="n">
        <v>0.17</v>
      </c>
      <c r="AB32" s="1277" t="n">
        <v>0.18</v>
      </c>
      <c r="AC32" s="109"/>
      <c r="AD32" s="1277" t="n">
        <v>0.09</v>
      </c>
      <c r="AE32" s="1277" t="n">
        <v>0.11</v>
      </c>
      <c r="AF32" s="1277" t="n">
        <v>0.13</v>
      </c>
      <c r="AG32" s="109"/>
      <c r="AH32" s="1277" t="n">
        <v>-0.25</v>
      </c>
      <c r="AI32" s="1277" t="n">
        <v>0.65</v>
      </c>
      <c r="AJ32" s="1277" t="n">
        <v>0.25</v>
      </c>
      <c r="AK32" s="109"/>
      <c r="AL32" s="1277" t="n">
        <v>-0.01</v>
      </c>
      <c r="AM32" s="1277" t="n">
        <v>0.16</v>
      </c>
      <c r="AN32" s="1277" t="n">
        <v>0.01</v>
      </c>
      <c r="AO32" s="109"/>
      <c r="AP32" s="197" t="n">
        <v>8</v>
      </c>
      <c r="AQ32" s="1280" t="n">
        <v>0.2</v>
      </c>
      <c r="AS32" s="1246" t="n">
        <v>2200</v>
      </c>
      <c r="AT32" s="1283" t="n">
        <v>0.866397012451633</v>
      </c>
      <c r="AU32" s="1283" t="n">
        <v>0.908195139469472</v>
      </c>
      <c r="AV32" s="1283" t="n">
        <v>0.888419401267293</v>
      </c>
      <c r="AW32" s="1283" t="n">
        <v>0.958673934301328</v>
      </c>
      <c r="AX32" s="1283" t="n">
        <v>0.976120404929735</v>
      </c>
      <c r="AY32" s="1283" t="n">
        <v>0.961787066522565</v>
      </c>
      <c r="AZ32" s="1283" t="n">
        <v>0.886869249076418</v>
      </c>
      <c r="BA32" s="1283" t="n">
        <v>0.923571463809023</v>
      </c>
      <c r="BB32" s="1283" t="n">
        <v>0.918933889416813</v>
      </c>
      <c r="BC32" s="1283" t="n">
        <v>0.926251383418353</v>
      </c>
      <c r="BD32" s="1283" t="n">
        <v>0.920491445085843</v>
      </c>
      <c r="BE32" s="1283" t="n">
        <v>0.927818343310996</v>
      </c>
      <c r="BF32" s="1246" t="s">
        <v>119</v>
      </c>
      <c r="BQ32" s="1237" t="n">
        <v>37438</v>
      </c>
      <c r="BR32" s="1238" t="n">
        <v>2.651</v>
      </c>
      <c r="BS32" s="1238" t="n">
        <v>2.656</v>
      </c>
      <c r="BT32" s="1238" t="n">
        <v>2.661</v>
      </c>
      <c r="BU32" s="1239" t="n">
        <v>0.2005</v>
      </c>
      <c r="BV32" s="1239" t="n">
        <v>0.208</v>
      </c>
      <c r="BW32" s="1239" t="n">
        <v>0.2155</v>
      </c>
      <c r="BX32" s="1239" t="n">
        <v>-0.07</v>
      </c>
      <c r="BY32" s="1239"/>
      <c r="BZ32" s="1239" t="n">
        <v>0.07</v>
      </c>
      <c r="CA32" s="1240" t="n">
        <v>0</v>
      </c>
      <c r="CB32" s="1241" t="n">
        <v>0</v>
      </c>
      <c r="CC32" s="1242" t="n">
        <v>2.79</v>
      </c>
      <c r="CD32" s="1239" t="n">
        <v>0.205</v>
      </c>
    </row>
    <row r="33" customFormat="false" ht="12.75" hidden="false" customHeight="false" outlineLevel="0" collapsed="false">
      <c r="A33" s="1237" t="n">
        <v>37561</v>
      </c>
      <c r="B33" s="1239" t="n">
        <v>0.071065113761529</v>
      </c>
      <c r="C33" s="1284"/>
      <c r="D33" s="1274" t="n">
        <v>36653</v>
      </c>
      <c r="E33" s="1275" t="n">
        <v>25.7625</v>
      </c>
      <c r="F33" s="1275" t="n">
        <v>26.5125</v>
      </c>
      <c r="G33" s="1275" t="n">
        <v>27.7625</v>
      </c>
      <c r="H33" s="1266"/>
      <c r="I33" s="1275" t="n">
        <v>14.5846774193548</v>
      </c>
      <c r="J33" s="1275" t="n">
        <v>15.5846774193548</v>
      </c>
      <c r="K33" s="1275" t="n">
        <v>17.5846774193548</v>
      </c>
      <c r="M33" s="1276" t="n">
        <v>37316</v>
      </c>
      <c r="N33" s="1277" t="n">
        <v>31.0756408423175</v>
      </c>
      <c r="O33" s="1277" t="n">
        <v>32.3256408423175</v>
      </c>
      <c r="P33" s="1277" t="n">
        <v>36.8256408423175</v>
      </c>
      <c r="Q33" s="109"/>
      <c r="R33" s="1277" t="n">
        <v>22.9942306317381</v>
      </c>
      <c r="S33" s="1277" t="n">
        <v>24.2442306317381</v>
      </c>
      <c r="T33" s="1277" t="n">
        <v>28.7442306317381</v>
      </c>
      <c r="V33" s="1278" t="n">
        <v>0</v>
      </c>
      <c r="W33" s="1278" t="n">
        <v>0</v>
      </c>
      <c r="X33" s="1278" t="n">
        <v>0</v>
      </c>
      <c r="Z33" s="1277" t="n">
        <v>0.16</v>
      </c>
      <c r="AA33" s="1277" t="n">
        <v>0.17</v>
      </c>
      <c r="AB33" s="1277" t="n">
        <v>0.18</v>
      </c>
      <c r="AC33" s="109"/>
      <c r="AD33" s="1277" t="n">
        <v>0.09</v>
      </c>
      <c r="AE33" s="1277" t="n">
        <v>0.11</v>
      </c>
      <c r="AF33" s="1277" t="n">
        <v>0.13</v>
      </c>
      <c r="AG33" s="109"/>
      <c r="AH33" s="1277" t="n">
        <v>-0.1</v>
      </c>
      <c r="AI33" s="1277" t="n">
        <v>0.65</v>
      </c>
      <c r="AJ33" s="1277" t="n">
        <v>0.1</v>
      </c>
      <c r="AK33" s="109"/>
      <c r="AL33" s="1277" t="n">
        <v>-0.01</v>
      </c>
      <c r="AM33" s="1277" t="n">
        <v>0.16</v>
      </c>
      <c r="AN33" s="1277" t="n">
        <v>0.01</v>
      </c>
      <c r="AO33" s="109"/>
      <c r="AP33" s="197" t="n">
        <v>8</v>
      </c>
      <c r="AQ33" s="1280" t="n">
        <v>0.2</v>
      </c>
      <c r="AS33" s="1246" t="n">
        <v>2300</v>
      </c>
      <c r="AT33" s="1283" t="n">
        <v>1.14336388457569</v>
      </c>
      <c r="AU33" s="1283" t="n">
        <v>1.17193525694572</v>
      </c>
      <c r="AV33" s="1283" t="n">
        <v>1.17821392563006</v>
      </c>
      <c r="AW33" s="1283" t="n">
        <v>1.15833803344531</v>
      </c>
      <c r="AX33" s="1283" t="n">
        <v>1.17057411190663</v>
      </c>
      <c r="AY33" s="1283" t="n">
        <v>1.18639826904775</v>
      </c>
      <c r="AZ33" s="1283" t="n">
        <v>1.21517829004039</v>
      </c>
      <c r="BA33" s="1283" t="n">
        <v>1.17842241121107</v>
      </c>
      <c r="BB33" s="1283" t="n">
        <v>1.18187179310007</v>
      </c>
      <c r="BC33" s="1283" t="n">
        <v>1.15693395393849</v>
      </c>
      <c r="BD33" s="1283" t="n">
        <v>1.13821555126693</v>
      </c>
      <c r="BE33" s="1283" t="n">
        <v>1.17875664829923</v>
      </c>
      <c r="BF33" s="1246" t="s">
        <v>174</v>
      </c>
      <c r="BQ33" s="1237" t="n">
        <v>37469</v>
      </c>
      <c r="BR33" s="1238" t="n">
        <v>2.66</v>
      </c>
      <c r="BS33" s="1238" t="n">
        <v>2.665</v>
      </c>
      <c r="BT33" s="1238" t="n">
        <v>2.67</v>
      </c>
      <c r="BU33" s="1239" t="n">
        <v>0.1995</v>
      </c>
      <c r="BV33" s="1239" t="n">
        <v>0.207</v>
      </c>
      <c r="BW33" s="1239" t="n">
        <v>0.2145</v>
      </c>
      <c r="BX33" s="1239" t="n">
        <v>-0.07</v>
      </c>
      <c r="BY33" s="1239"/>
      <c r="BZ33" s="1239" t="n">
        <v>0.07</v>
      </c>
      <c r="CA33" s="1240" t="n">
        <v>0</v>
      </c>
      <c r="CB33" s="1241" t="n">
        <v>0</v>
      </c>
      <c r="CC33" s="1242" t="n">
        <v>2.824</v>
      </c>
      <c r="CD33" s="1239" t="n">
        <v>0.21</v>
      </c>
    </row>
    <row r="34" customFormat="false" ht="12.75" hidden="false" customHeight="false" outlineLevel="0" collapsed="false">
      <c r="A34" s="1237" t="n">
        <v>37591</v>
      </c>
      <c r="B34" s="1239" t="n">
        <v>0.071101101304862</v>
      </c>
      <c r="C34" s="1284"/>
      <c r="D34" s="1274" t="n">
        <v>36654</v>
      </c>
      <c r="E34" s="1275" t="n">
        <v>34.6</v>
      </c>
      <c r="F34" s="1275" t="n">
        <v>35.35</v>
      </c>
      <c r="G34" s="1275" t="n">
        <v>36.6</v>
      </c>
      <c r="H34" s="1266"/>
      <c r="I34" s="1275" t="n">
        <v>14.5846774193548</v>
      </c>
      <c r="J34" s="1275" t="n">
        <v>15.5846774193548</v>
      </c>
      <c r="K34" s="1275" t="n">
        <v>17.5846774193548</v>
      </c>
      <c r="M34" s="1276" t="n">
        <v>37347</v>
      </c>
      <c r="N34" s="1277" t="n">
        <v>30.6816266681606</v>
      </c>
      <c r="O34" s="1277" t="n">
        <v>31.9316266681606</v>
      </c>
      <c r="P34" s="1277" t="n">
        <v>36.4316266681606</v>
      </c>
      <c r="Q34" s="109"/>
      <c r="R34" s="1277" t="n">
        <v>22.6987200011205</v>
      </c>
      <c r="S34" s="1277" t="n">
        <v>23.9487200011205</v>
      </c>
      <c r="T34" s="1277" t="n">
        <v>28.4487200011205</v>
      </c>
      <c r="V34" s="1278" t="n">
        <v>0</v>
      </c>
      <c r="W34" s="1278" t="n">
        <v>0</v>
      </c>
      <c r="X34" s="1278" t="n">
        <v>0</v>
      </c>
      <c r="Z34" s="1277" t="n">
        <v>0.16</v>
      </c>
      <c r="AA34" s="1277" t="n">
        <v>0.17</v>
      </c>
      <c r="AB34" s="1277" t="n">
        <v>0.18</v>
      </c>
      <c r="AC34" s="109"/>
      <c r="AD34" s="1277" t="n">
        <v>0.09</v>
      </c>
      <c r="AE34" s="1277" t="n">
        <v>0.11</v>
      </c>
      <c r="AF34" s="1277" t="n">
        <v>0.13</v>
      </c>
      <c r="AG34" s="109"/>
      <c r="AH34" s="1277" t="n">
        <v>-0.1</v>
      </c>
      <c r="AI34" s="1277" t="n">
        <v>0.65</v>
      </c>
      <c r="AJ34" s="1277" t="n">
        <v>0.1</v>
      </c>
      <c r="AK34" s="109"/>
      <c r="AL34" s="1277" t="n">
        <v>-0.01</v>
      </c>
      <c r="AM34" s="1277" t="n">
        <v>0.16</v>
      </c>
      <c r="AN34" s="1277" t="n">
        <v>0.01</v>
      </c>
      <c r="AO34" s="109"/>
      <c r="AP34" s="197" t="n">
        <v>9</v>
      </c>
      <c r="AQ34" s="1280" t="n">
        <v>0.25</v>
      </c>
      <c r="AS34" s="1246" t="n">
        <v>2400</v>
      </c>
      <c r="AT34" s="1283" t="n">
        <v>1.01976030790195</v>
      </c>
      <c r="AU34" s="1283" t="n">
        <v>1.01100669849193</v>
      </c>
      <c r="AV34" s="1283" t="n">
        <v>1.0180506943576</v>
      </c>
      <c r="AW34" s="1283" t="n">
        <v>1.04430060898984</v>
      </c>
      <c r="AX34" s="1283" t="n">
        <v>1.06452574666713</v>
      </c>
      <c r="AY34" s="1283" t="n">
        <v>1.06646678540974</v>
      </c>
      <c r="AZ34" s="1283" t="n">
        <v>1.0719473857413</v>
      </c>
      <c r="BA34" s="1283" t="n">
        <v>1.06852681047557</v>
      </c>
      <c r="BB34" s="1283" t="n">
        <v>1.04639797676607</v>
      </c>
      <c r="BC34" s="1283" t="n">
        <v>1.0400238726906</v>
      </c>
      <c r="BD34" s="1283" t="n">
        <v>0.991653761720896</v>
      </c>
      <c r="BE34" s="1283" t="n">
        <v>1.03855211303897</v>
      </c>
      <c r="BF34" s="1246" t="s">
        <v>174</v>
      </c>
      <c r="BQ34" s="1237" t="n">
        <v>37500</v>
      </c>
      <c r="BR34" s="1238" t="n">
        <v>2.667</v>
      </c>
      <c r="BS34" s="1238" t="n">
        <v>2.672</v>
      </c>
      <c r="BT34" s="1238" t="n">
        <v>2.677</v>
      </c>
      <c r="BU34" s="1239" t="n">
        <v>0.1985</v>
      </c>
      <c r="BV34" s="1239" t="n">
        <v>0.206</v>
      </c>
      <c r="BW34" s="1239" t="n">
        <v>0.2135</v>
      </c>
      <c r="BX34" s="1239" t="n">
        <v>-0.07</v>
      </c>
      <c r="BY34" s="1239"/>
      <c r="BZ34" s="1239" t="n">
        <v>0.07</v>
      </c>
      <c r="CA34" s="1240" t="n">
        <v>0</v>
      </c>
      <c r="CB34" s="1241" t="n">
        <v>0</v>
      </c>
      <c r="CC34" s="1242" t="n">
        <v>2.699</v>
      </c>
      <c r="CD34" s="1239" t="n">
        <v>0.205</v>
      </c>
    </row>
    <row r="35" customFormat="false" ht="12.75" hidden="false" customHeight="false" outlineLevel="0" collapsed="false">
      <c r="A35" s="1237" t="n">
        <v>37622</v>
      </c>
      <c r="B35" s="1239" t="n">
        <v>0.071139488690327</v>
      </c>
      <c r="C35" s="1284"/>
      <c r="D35" s="1274" t="n">
        <v>36655</v>
      </c>
      <c r="E35" s="1275" t="n">
        <v>34.6</v>
      </c>
      <c r="F35" s="1275" t="n">
        <v>35.35</v>
      </c>
      <c r="G35" s="1275" t="n">
        <v>36.6</v>
      </c>
      <c r="H35" s="1266"/>
      <c r="I35" s="1275" t="n">
        <v>14.5846774193548</v>
      </c>
      <c r="J35" s="1275" t="n">
        <v>15.5846774193548</v>
      </c>
      <c r="K35" s="1275" t="n">
        <v>17.5846774193548</v>
      </c>
      <c r="M35" s="1276" t="n">
        <v>37377</v>
      </c>
      <c r="N35" s="1277" t="n">
        <v>30.6816266681606</v>
      </c>
      <c r="O35" s="1277" t="n">
        <v>31.9316266681606</v>
      </c>
      <c r="P35" s="1277" t="n">
        <v>36.4316266681606</v>
      </c>
      <c r="Q35" s="109"/>
      <c r="R35" s="1277" t="n">
        <v>22.6987200011205</v>
      </c>
      <c r="S35" s="1277" t="n">
        <v>23.9487200011205</v>
      </c>
      <c r="T35" s="1277" t="n">
        <v>28.4487200011205</v>
      </c>
      <c r="V35" s="1278" t="n">
        <v>0</v>
      </c>
      <c r="W35" s="1278" t="n">
        <v>0</v>
      </c>
      <c r="X35" s="1278" t="n">
        <v>0</v>
      </c>
      <c r="Z35" s="1277" t="n">
        <v>0.16</v>
      </c>
      <c r="AA35" s="1277" t="n">
        <v>0.17</v>
      </c>
      <c r="AB35" s="1277" t="n">
        <v>0.18</v>
      </c>
      <c r="AC35" s="109"/>
      <c r="AD35" s="1277" t="n">
        <v>0.09</v>
      </c>
      <c r="AE35" s="1277" t="n">
        <v>0.11</v>
      </c>
      <c r="AF35" s="1277" t="n">
        <v>0.13</v>
      </c>
      <c r="AG35" s="109"/>
      <c r="AH35" s="1277" t="n">
        <v>-0.1</v>
      </c>
      <c r="AI35" s="1277" t="n">
        <v>0.65</v>
      </c>
      <c r="AJ35" s="1277" t="n">
        <v>0.1</v>
      </c>
      <c r="AK35" s="109"/>
      <c r="AL35" s="1277" t="n">
        <v>-0.01</v>
      </c>
      <c r="AM35" s="1277" t="n">
        <v>0.16</v>
      </c>
      <c r="AN35" s="1277" t="n">
        <v>0.01</v>
      </c>
      <c r="AO35" s="109"/>
      <c r="AP35" s="197" t="n">
        <v>9</v>
      </c>
      <c r="AQ35" s="1280" t="n">
        <v>0.25</v>
      </c>
      <c r="BQ35" s="1237" t="n">
        <v>37530</v>
      </c>
      <c r="BR35" s="1238" t="n">
        <v>2.694</v>
      </c>
      <c r="BS35" s="1238" t="n">
        <v>2.699</v>
      </c>
      <c r="BT35" s="1238" t="n">
        <v>2.704</v>
      </c>
      <c r="BU35" s="1239" t="n">
        <v>0.1995</v>
      </c>
      <c r="BV35" s="1239" t="n">
        <v>0.207</v>
      </c>
      <c r="BW35" s="1239" t="n">
        <v>0.2145</v>
      </c>
      <c r="BX35" s="1239" t="n">
        <v>-0.07</v>
      </c>
      <c r="BY35" s="1239"/>
      <c r="BZ35" s="1239" t="n">
        <v>0.07</v>
      </c>
      <c r="CA35" s="1240" t="n">
        <v>0</v>
      </c>
      <c r="CB35" s="1241" t="n">
        <v>0</v>
      </c>
      <c r="CC35" s="1242" t="n">
        <v>2.592</v>
      </c>
      <c r="CD35" s="1239" t="n">
        <v>0.1975</v>
      </c>
    </row>
    <row r="36" customFormat="false" ht="12.75" hidden="false" customHeight="false" outlineLevel="0" collapsed="false">
      <c r="A36" s="1237" t="n">
        <v>37653</v>
      </c>
      <c r="B36" s="1239" t="n">
        <v>0.071179333531111</v>
      </c>
      <c r="C36" s="1284"/>
      <c r="D36" s="1274" t="n">
        <v>36656</v>
      </c>
      <c r="E36" s="1275" t="n">
        <v>34.6</v>
      </c>
      <c r="F36" s="1275" t="n">
        <v>35.35</v>
      </c>
      <c r="G36" s="1275" t="n">
        <v>36.6</v>
      </c>
      <c r="H36" s="1266"/>
      <c r="I36" s="1275" t="n">
        <v>14.5846774193548</v>
      </c>
      <c r="J36" s="1275" t="n">
        <v>15.5846774193548</v>
      </c>
      <c r="K36" s="1275" t="n">
        <v>17.5846774193548</v>
      </c>
      <c r="M36" s="1276" t="n">
        <v>37408</v>
      </c>
      <c r="N36" s="1277" t="n">
        <v>35.9316266681606</v>
      </c>
      <c r="O36" s="1277" t="n">
        <v>37.1816266681606</v>
      </c>
      <c r="P36" s="1277" t="n">
        <v>41.6816266681606</v>
      </c>
      <c r="Q36" s="109"/>
      <c r="R36" s="1277" t="n">
        <v>26.6362200011205</v>
      </c>
      <c r="S36" s="1277" t="n">
        <v>27.8862200011205</v>
      </c>
      <c r="T36" s="1277" t="n">
        <v>32.3862200011205</v>
      </c>
      <c r="V36" s="1278" t="n">
        <v>0</v>
      </c>
      <c r="W36" s="1278" t="n">
        <v>0</v>
      </c>
      <c r="X36" s="1278" t="n">
        <v>0</v>
      </c>
      <c r="Z36" s="1277" t="n">
        <v>0.16</v>
      </c>
      <c r="AA36" s="1277" t="n">
        <v>0.17</v>
      </c>
      <c r="AB36" s="1277" t="n">
        <v>0.18</v>
      </c>
      <c r="AC36" s="109"/>
      <c r="AD36" s="1277" t="n">
        <v>0.09</v>
      </c>
      <c r="AE36" s="1277" t="n">
        <v>0.11</v>
      </c>
      <c r="AF36" s="1277" t="n">
        <v>0.13</v>
      </c>
      <c r="AG36" s="109"/>
      <c r="AH36" s="1277" t="n">
        <v>-0.35</v>
      </c>
      <c r="AI36" s="1277" t="n">
        <v>0.65</v>
      </c>
      <c r="AJ36" s="1277" t="n">
        <v>0.2</v>
      </c>
      <c r="AK36" s="109"/>
      <c r="AL36" s="1277" t="n">
        <v>-0.01</v>
      </c>
      <c r="AM36" s="1277" t="n">
        <v>0.16</v>
      </c>
      <c r="AN36" s="1277" t="n">
        <v>0.01</v>
      </c>
      <c r="AO36" s="109"/>
      <c r="AP36" s="197" t="n">
        <v>9</v>
      </c>
      <c r="AQ36" s="1280" t="n">
        <v>0.25</v>
      </c>
      <c r="AS36" s="197" t="s">
        <v>1105</v>
      </c>
      <c r="AT36" s="109"/>
      <c r="AU36" s="197"/>
      <c r="AV36" s="197" t="s">
        <v>1106</v>
      </c>
      <c r="AW36" s="197"/>
      <c r="BQ36" s="1237" t="n">
        <v>37561</v>
      </c>
      <c r="BR36" s="1238" t="n">
        <v>2.827</v>
      </c>
      <c r="BS36" s="1238" t="n">
        <v>2.832</v>
      </c>
      <c r="BT36" s="1238" t="n">
        <v>2.837</v>
      </c>
      <c r="BU36" s="1239" t="n">
        <v>0.2</v>
      </c>
      <c r="BV36" s="1239" t="n">
        <v>0.2075</v>
      </c>
      <c r="BW36" s="1239" t="n">
        <v>0.215</v>
      </c>
      <c r="BX36" s="1239" t="n">
        <v>-0.07</v>
      </c>
      <c r="BY36" s="1239"/>
      <c r="BZ36" s="1239" t="n">
        <v>0.07</v>
      </c>
      <c r="CA36" s="1240" t="n">
        <v>0</v>
      </c>
      <c r="CB36" s="1241" t="n">
        <v>0</v>
      </c>
      <c r="CC36" s="1242" t="n">
        <v>2.489</v>
      </c>
      <c r="CD36" s="1239" t="n">
        <v>0.18</v>
      </c>
    </row>
    <row r="37" customFormat="false" ht="12.75" hidden="false" customHeight="false" outlineLevel="0" collapsed="false">
      <c r="A37" s="1237" t="n">
        <v>37681</v>
      </c>
      <c r="B37" s="1239" t="n">
        <v>0.071215322420012</v>
      </c>
      <c r="C37" s="1284"/>
      <c r="D37" s="1274" t="n">
        <v>36657</v>
      </c>
      <c r="E37" s="1275" t="n">
        <v>34.6</v>
      </c>
      <c r="F37" s="1275" t="n">
        <v>35.35</v>
      </c>
      <c r="G37" s="1275" t="n">
        <v>36.6</v>
      </c>
      <c r="H37" s="1266"/>
      <c r="I37" s="1275" t="n">
        <v>14.5846774193548</v>
      </c>
      <c r="J37" s="1275" t="n">
        <v>15.5846774193548</v>
      </c>
      <c r="K37" s="1275" t="n">
        <v>17.5846774193548</v>
      </c>
      <c r="M37" s="1276" t="n">
        <v>37438</v>
      </c>
      <c r="N37" s="1277" t="n">
        <v>59.0117512979746</v>
      </c>
      <c r="O37" s="1277" t="n">
        <v>60.2617512979746</v>
      </c>
      <c r="P37" s="1277" t="n">
        <v>64.7617512979746</v>
      </c>
      <c r="Q37" s="109"/>
      <c r="R37" s="1277" t="n">
        <v>43.946313473481</v>
      </c>
      <c r="S37" s="1277" t="n">
        <v>45.196313473481</v>
      </c>
      <c r="T37" s="1277" t="n">
        <v>49.696313473481</v>
      </c>
      <c r="V37" s="1278" t="n">
        <v>0</v>
      </c>
      <c r="W37" s="1278" t="n">
        <v>0</v>
      </c>
      <c r="X37" s="1278" t="n">
        <v>0</v>
      </c>
      <c r="Z37" s="1277" t="n">
        <v>0.16</v>
      </c>
      <c r="AA37" s="1277" t="n">
        <v>0.17</v>
      </c>
      <c r="AB37" s="1277" t="n">
        <v>0.18</v>
      </c>
      <c r="AC37" s="109"/>
      <c r="AD37" s="1277" t="n">
        <v>0.09</v>
      </c>
      <c r="AE37" s="1277" t="n">
        <v>0.11</v>
      </c>
      <c r="AF37" s="1277" t="n">
        <v>0.13</v>
      </c>
      <c r="AG37" s="109"/>
      <c r="AH37" s="1277" t="n">
        <v>-0.35</v>
      </c>
      <c r="AI37" s="1277" t="n">
        <v>3</v>
      </c>
      <c r="AJ37" s="1277" t="n">
        <v>0.35</v>
      </c>
      <c r="AK37" s="109"/>
      <c r="AL37" s="1277" t="n">
        <v>-0.01</v>
      </c>
      <c r="AM37" s="1277" t="n">
        <v>0.16</v>
      </c>
      <c r="AN37" s="1277" t="n">
        <v>0.01</v>
      </c>
      <c r="AO37" s="109"/>
      <c r="AP37" s="197" t="n">
        <v>10</v>
      </c>
      <c r="AQ37" s="1280" t="n">
        <v>0.25</v>
      </c>
      <c r="AS37" s="1288" t="n">
        <v>-5</v>
      </c>
      <c r="AT37" s="1289" t="n">
        <v>0.015</v>
      </c>
      <c r="AU37" s="197"/>
      <c r="AV37" s="1280" t="n">
        <v>1</v>
      </c>
      <c r="AW37" s="197"/>
      <c r="BQ37" s="1237" t="n">
        <v>37591</v>
      </c>
      <c r="BR37" s="1238" t="n">
        <v>2.95</v>
      </c>
      <c r="BS37" s="1238" t="n">
        <v>2.955</v>
      </c>
      <c r="BT37" s="1238" t="n">
        <v>2.96</v>
      </c>
      <c r="BU37" s="1239" t="n">
        <v>0.2025</v>
      </c>
      <c r="BV37" s="1239" t="n">
        <v>0.21</v>
      </c>
      <c r="BW37" s="1239" t="n">
        <v>0.2175</v>
      </c>
      <c r="BX37" s="1239" t="n">
        <v>-0.07</v>
      </c>
      <c r="BY37" s="1239"/>
      <c r="BZ37" s="1239" t="n">
        <v>0.07</v>
      </c>
      <c r="CA37" s="1240" t="n">
        <v>0</v>
      </c>
      <c r="CB37" s="1241" t="n">
        <v>0</v>
      </c>
      <c r="CC37" s="1242" t="n">
        <v>2.465</v>
      </c>
      <c r="CD37" s="1239" t="n">
        <v>0.178</v>
      </c>
    </row>
    <row r="38" customFormat="false" ht="12.75" hidden="false" customHeight="false" outlineLevel="0" collapsed="false">
      <c r="A38" s="1237" t="n">
        <v>37712</v>
      </c>
      <c r="B38" s="1239" t="n">
        <v>0.071244092686768</v>
      </c>
      <c r="C38" s="1284"/>
      <c r="D38" s="1274" t="n">
        <v>36658</v>
      </c>
      <c r="E38" s="1275" t="n">
        <v>34.6</v>
      </c>
      <c r="F38" s="1275" t="n">
        <v>35.35</v>
      </c>
      <c r="G38" s="1275" t="n">
        <v>36.6</v>
      </c>
      <c r="H38" s="1266"/>
      <c r="I38" s="1275" t="n">
        <v>14.5846774193548</v>
      </c>
      <c r="J38" s="1275" t="n">
        <v>15.5846774193548</v>
      </c>
      <c r="K38" s="1275" t="n">
        <v>17.5846774193548</v>
      </c>
      <c r="M38" s="1276" t="n">
        <v>37469</v>
      </c>
      <c r="N38" s="1277" t="n">
        <v>79.6367512979746</v>
      </c>
      <c r="O38" s="1277" t="n">
        <v>80.8867512979746</v>
      </c>
      <c r="P38" s="1277" t="n">
        <v>85.3867512979746</v>
      </c>
      <c r="Q38" s="109"/>
      <c r="R38" s="1277" t="n">
        <v>59.415063473481</v>
      </c>
      <c r="S38" s="1277" t="n">
        <v>60.665063473481</v>
      </c>
      <c r="T38" s="1277" t="n">
        <v>65.165063473481</v>
      </c>
      <c r="V38" s="1278" t="n">
        <v>0</v>
      </c>
      <c r="W38" s="1278" t="n">
        <v>0</v>
      </c>
      <c r="X38" s="1278" t="n">
        <v>0</v>
      </c>
      <c r="Z38" s="1277" t="n">
        <v>0.16</v>
      </c>
      <c r="AA38" s="1277" t="n">
        <v>0.17</v>
      </c>
      <c r="AB38" s="1277" t="n">
        <v>0.18</v>
      </c>
      <c r="AC38" s="109"/>
      <c r="AD38" s="1277" t="n">
        <v>0.09</v>
      </c>
      <c r="AE38" s="1277" t="n">
        <v>0.11</v>
      </c>
      <c r="AF38" s="1277" t="n">
        <v>0.13</v>
      </c>
      <c r="AG38" s="109"/>
      <c r="AH38" s="1277" t="n">
        <v>-0.35</v>
      </c>
      <c r="AI38" s="1277" t="n">
        <v>3</v>
      </c>
      <c r="AJ38" s="1277" t="n">
        <v>0.35</v>
      </c>
      <c r="AK38" s="109"/>
      <c r="AL38" s="1277" t="n">
        <v>-0.01</v>
      </c>
      <c r="AM38" s="1277" t="n">
        <v>0.16</v>
      </c>
      <c r="AN38" s="1277" t="n">
        <v>0.01</v>
      </c>
      <c r="AO38" s="109"/>
      <c r="AP38" s="197" t="n">
        <v>10</v>
      </c>
      <c r="AQ38" s="1280" t="n">
        <v>0.25</v>
      </c>
      <c r="AS38" s="1288" t="n">
        <v>-4.5</v>
      </c>
      <c r="AT38" s="1289" t="n">
        <v>0.015</v>
      </c>
      <c r="AU38" s="197"/>
      <c r="AV38" s="1280" t="n">
        <v>2</v>
      </c>
      <c r="AW38" s="197"/>
      <c r="BQ38" s="1237" t="n">
        <v>37622</v>
      </c>
      <c r="BR38" s="1238" t="n">
        <v>2.98</v>
      </c>
      <c r="BS38" s="1238" t="n">
        <v>2.985</v>
      </c>
      <c r="BT38" s="1238" t="n">
        <v>2.99</v>
      </c>
      <c r="BU38" s="1239" t="n">
        <v>0.2055</v>
      </c>
      <c r="BV38" s="1239" t="n">
        <v>0.213</v>
      </c>
      <c r="BW38" s="1239" t="n">
        <v>0.2205</v>
      </c>
      <c r="BX38" s="1239" t="n">
        <v>-0.07</v>
      </c>
      <c r="BY38" s="1239"/>
      <c r="BZ38" s="1239" t="n">
        <v>0.07</v>
      </c>
      <c r="CA38" s="1240" t="n">
        <v>0</v>
      </c>
      <c r="CB38" s="1241" t="n">
        <v>0</v>
      </c>
      <c r="CC38" s="1242" t="n">
        <v>2.472</v>
      </c>
      <c r="CD38" s="1239" t="n">
        <v>0.177</v>
      </c>
    </row>
    <row r="39" customFormat="false" ht="12.75" hidden="false" customHeight="false" outlineLevel="0" collapsed="false">
      <c r="A39" s="1237" t="n">
        <v>37742</v>
      </c>
      <c r="B39" s="1239" t="n">
        <v>0.071257560858981</v>
      </c>
      <c r="C39" s="1284"/>
      <c r="D39" s="1274" t="n">
        <v>36659</v>
      </c>
      <c r="E39" s="1275" t="n">
        <v>34.6</v>
      </c>
      <c r="F39" s="1275" t="n">
        <v>35.35</v>
      </c>
      <c r="G39" s="1275" t="n">
        <v>36.6</v>
      </c>
      <c r="H39" s="1266"/>
      <c r="I39" s="1275" t="n">
        <v>14.5846774193548</v>
      </c>
      <c r="J39" s="1275" t="n">
        <v>15.5846774193548</v>
      </c>
      <c r="K39" s="1275" t="n">
        <v>17.5846774193548</v>
      </c>
      <c r="M39" s="1276" t="n">
        <v>37500</v>
      </c>
      <c r="N39" s="1277" t="n">
        <v>63.6367512979746</v>
      </c>
      <c r="O39" s="1277" t="n">
        <v>64.8867512979746</v>
      </c>
      <c r="P39" s="1277" t="n">
        <v>69.3867512979746</v>
      </c>
      <c r="Q39" s="109"/>
      <c r="R39" s="1277" t="n">
        <v>47.415063473481</v>
      </c>
      <c r="S39" s="1277" t="n">
        <v>48.665063473481</v>
      </c>
      <c r="T39" s="1277" t="n">
        <v>53.165063473481</v>
      </c>
      <c r="V39" s="1278" t="n">
        <v>0</v>
      </c>
      <c r="W39" s="1278" t="n">
        <v>0</v>
      </c>
      <c r="X39" s="1278" t="n">
        <v>0</v>
      </c>
      <c r="Y39" s="1288"/>
      <c r="Z39" s="1277" t="n">
        <v>0.16</v>
      </c>
      <c r="AA39" s="1277" t="n">
        <v>0.17</v>
      </c>
      <c r="AB39" s="1277" t="n">
        <v>0.18</v>
      </c>
      <c r="AC39" s="109"/>
      <c r="AD39" s="1277" t="n">
        <v>0.09</v>
      </c>
      <c r="AE39" s="1277" t="n">
        <v>0.11</v>
      </c>
      <c r="AF39" s="1277" t="n">
        <v>0.13</v>
      </c>
      <c r="AG39" s="109"/>
      <c r="AH39" s="1277" t="n">
        <v>-0.35</v>
      </c>
      <c r="AI39" s="1277" t="n">
        <v>3</v>
      </c>
      <c r="AJ39" s="1277" t="n">
        <v>0.2</v>
      </c>
      <c r="AK39" s="109"/>
      <c r="AL39" s="1277" t="n">
        <v>-0.01</v>
      </c>
      <c r="AM39" s="1277" t="n">
        <v>0.16</v>
      </c>
      <c r="AN39" s="1277" t="n">
        <v>0.01</v>
      </c>
      <c r="AO39" s="109"/>
      <c r="AP39" s="197" t="n">
        <v>10</v>
      </c>
      <c r="AQ39" s="1280" t="n">
        <v>0.25</v>
      </c>
      <c r="AR39" s="1288"/>
      <c r="AS39" s="1288" t="n">
        <v>-4</v>
      </c>
      <c r="AT39" s="1289" t="n">
        <v>0.0125</v>
      </c>
      <c r="AU39" s="197"/>
      <c r="AV39" s="1280" t="n">
        <v>3</v>
      </c>
      <c r="AW39" s="197"/>
      <c r="AX39" s="1288"/>
      <c r="AY39" s="1288"/>
      <c r="AZ39" s="1288"/>
      <c r="BA39" s="1288"/>
      <c r="BB39" s="1288"/>
      <c r="BC39" s="1288"/>
      <c r="BD39" s="1288"/>
      <c r="BE39" s="1288"/>
      <c r="BF39" s="1288"/>
      <c r="BG39" s="1288"/>
      <c r="BH39" s="1288"/>
      <c r="BI39" s="1288"/>
      <c r="BJ39" s="1288"/>
      <c r="BK39" s="1288"/>
      <c r="BL39" s="1288"/>
      <c r="BM39" s="1288"/>
      <c r="BN39" s="1288"/>
      <c r="BO39" s="1288"/>
      <c r="BP39" s="1288"/>
      <c r="BQ39" s="1237" t="n">
        <v>37653</v>
      </c>
      <c r="BR39" s="1238" t="n">
        <v>2.867</v>
      </c>
      <c r="BS39" s="1238" t="n">
        <v>2.872</v>
      </c>
      <c r="BT39" s="1238" t="n">
        <v>2.877</v>
      </c>
      <c r="BU39" s="1239" t="n">
        <v>0.2025</v>
      </c>
      <c r="BV39" s="1239" t="n">
        <v>0.21</v>
      </c>
      <c r="BW39" s="1239" t="n">
        <v>0.2175</v>
      </c>
      <c r="BX39" s="1239" t="n">
        <v>-0.07</v>
      </c>
      <c r="BY39" s="1239"/>
      <c r="BZ39" s="1239" t="n">
        <v>0.07</v>
      </c>
      <c r="CA39" s="1240" t="n">
        <v>0</v>
      </c>
      <c r="CB39" s="1241" t="n">
        <v>0</v>
      </c>
      <c r="CC39" s="1242" t="n">
        <v>2.478</v>
      </c>
      <c r="CD39" s="1239" t="n">
        <v>0.176</v>
      </c>
    </row>
    <row r="40" customFormat="false" ht="12.75" hidden="false" customHeight="false" outlineLevel="0" collapsed="false">
      <c r="A40" s="1237" t="n">
        <v>37773</v>
      </c>
      <c r="B40" s="1239" t="n">
        <v>0.071271477970331</v>
      </c>
      <c r="C40" s="1284"/>
      <c r="D40" s="1274" t="n">
        <v>36677</v>
      </c>
      <c r="E40" s="1275" t="n">
        <v>34.6</v>
      </c>
      <c r="F40" s="1275" t="n">
        <v>35.35</v>
      </c>
      <c r="G40" s="1275" t="n">
        <v>36.6</v>
      </c>
      <c r="H40" s="1266"/>
      <c r="I40" s="1275" t="n">
        <v>14.5846774193548</v>
      </c>
      <c r="J40" s="1275" t="n">
        <v>15.5846774193548</v>
      </c>
      <c r="K40" s="1275" t="n">
        <v>17.5846774193548</v>
      </c>
      <c r="M40" s="1276" t="n">
        <v>37530</v>
      </c>
      <c r="N40" s="1277" t="n">
        <v>38.7527757516389</v>
      </c>
      <c r="O40" s="1277" t="n">
        <v>40.0027757516389</v>
      </c>
      <c r="P40" s="1277" t="n">
        <v>44.5027757516389</v>
      </c>
      <c r="Q40" s="109"/>
      <c r="R40" s="1277" t="n">
        <v>28.7520818137292</v>
      </c>
      <c r="S40" s="1277" t="n">
        <v>30.0020818137292</v>
      </c>
      <c r="T40" s="1277" t="n">
        <v>34.5020818137292</v>
      </c>
      <c r="V40" s="1278" t="n">
        <v>0</v>
      </c>
      <c r="W40" s="1278" t="n">
        <v>0</v>
      </c>
      <c r="X40" s="1278" t="n">
        <v>0</v>
      </c>
      <c r="Y40" s="1288"/>
      <c r="Z40" s="1277" t="n">
        <v>0.16</v>
      </c>
      <c r="AA40" s="1277" t="n">
        <v>0.17</v>
      </c>
      <c r="AB40" s="1277" t="n">
        <v>0.18</v>
      </c>
      <c r="AC40" s="109"/>
      <c r="AD40" s="1277" t="n">
        <v>0.09</v>
      </c>
      <c r="AE40" s="1277" t="n">
        <v>0.11</v>
      </c>
      <c r="AF40" s="1277" t="n">
        <v>0.13</v>
      </c>
      <c r="AG40" s="109"/>
      <c r="AH40" s="1277" t="n">
        <v>-0.1</v>
      </c>
      <c r="AI40" s="1277" t="n">
        <v>0.6</v>
      </c>
      <c r="AJ40" s="1277" t="n">
        <v>0.1</v>
      </c>
      <c r="AK40" s="109"/>
      <c r="AL40" s="1277" t="n">
        <v>-0.01</v>
      </c>
      <c r="AM40" s="1277" t="n">
        <v>0.16</v>
      </c>
      <c r="AN40" s="1277" t="n">
        <v>0.01</v>
      </c>
      <c r="AO40" s="109"/>
      <c r="AP40" s="197" t="n">
        <v>11</v>
      </c>
      <c r="AQ40" s="1280" t="n">
        <v>0.25</v>
      </c>
      <c r="AR40" s="1288"/>
      <c r="AS40" s="1288" t="n">
        <v>-3.5</v>
      </c>
      <c r="AT40" s="1289" t="n">
        <v>0.0125</v>
      </c>
      <c r="AU40" s="197"/>
      <c r="AV40" s="1280" t="n">
        <v>4</v>
      </c>
      <c r="AW40" s="197"/>
      <c r="AX40" s="1288"/>
      <c r="AY40" s="1288"/>
      <c r="AZ40" s="1288"/>
      <c r="BA40" s="1288"/>
      <c r="BB40" s="1288"/>
      <c r="BC40" s="1288"/>
      <c r="BD40" s="1288"/>
      <c r="BE40" s="1288"/>
      <c r="BF40" s="1288"/>
      <c r="BG40" s="1288"/>
      <c r="BH40" s="1288"/>
      <c r="BI40" s="1288"/>
      <c r="BJ40" s="1288"/>
      <c r="BK40" s="1288"/>
      <c r="BL40" s="1288"/>
      <c r="BM40" s="1288"/>
      <c r="BN40" s="1288"/>
      <c r="BO40" s="1288"/>
      <c r="BP40" s="1288"/>
      <c r="BQ40" s="1237" t="n">
        <v>37681</v>
      </c>
      <c r="BR40" s="1238" t="n">
        <v>2.752</v>
      </c>
      <c r="BS40" s="1238" t="n">
        <v>2.757</v>
      </c>
      <c r="BT40" s="1238" t="n">
        <v>2.762</v>
      </c>
      <c r="BU40" s="1239" t="n">
        <v>0.1925</v>
      </c>
      <c r="BV40" s="1239" t="n">
        <v>0.2</v>
      </c>
      <c r="BW40" s="1239" t="n">
        <v>0.2075</v>
      </c>
      <c r="BX40" s="1239" t="n">
        <v>-0.07</v>
      </c>
      <c r="BY40" s="1239"/>
      <c r="BZ40" s="1239" t="n">
        <v>0.07</v>
      </c>
      <c r="CA40" s="1240" t="n">
        <v>0</v>
      </c>
      <c r="CB40" s="1241" t="n">
        <v>0</v>
      </c>
      <c r="CC40" s="1242" t="n">
        <v>2.483</v>
      </c>
      <c r="CD40" s="1239" t="n">
        <v>0.175</v>
      </c>
    </row>
    <row r="41" customFormat="false" ht="12.75" hidden="false" customHeight="false" outlineLevel="0" collapsed="false">
      <c r="A41" s="1237" t="n">
        <v>37803</v>
      </c>
      <c r="B41" s="1239" t="n">
        <v>0.0712843337617</v>
      </c>
      <c r="C41" s="1284"/>
      <c r="D41" s="1274" t="n">
        <v>36678</v>
      </c>
      <c r="E41" s="1275" t="n">
        <v>38.875</v>
      </c>
      <c r="F41" s="1275" t="n">
        <v>39.625</v>
      </c>
      <c r="G41" s="1275" t="n">
        <v>40.875</v>
      </c>
      <c r="H41" s="1266"/>
      <c r="I41" s="1275" t="n">
        <v>15.1416666666667</v>
      </c>
      <c r="J41" s="1275" t="n">
        <v>16.1416666666667</v>
      </c>
      <c r="K41" s="1275" t="n">
        <v>18.1416666666667</v>
      </c>
      <c r="M41" s="1276" t="n">
        <v>37561</v>
      </c>
      <c r="N41" s="1277" t="n">
        <v>31.0027757516389</v>
      </c>
      <c r="O41" s="1277" t="n">
        <v>32.2527757516389</v>
      </c>
      <c r="P41" s="1277" t="n">
        <v>36.7527757516389</v>
      </c>
      <c r="Q41" s="109"/>
      <c r="R41" s="1277" t="n">
        <v>22.9395818137292</v>
      </c>
      <c r="S41" s="1277" t="n">
        <v>24.1895818137292</v>
      </c>
      <c r="T41" s="1277" t="n">
        <v>28.6895818137292</v>
      </c>
      <c r="V41" s="1278" t="n">
        <v>0</v>
      </c>
      <c r="W41" s="1278" t="n">
        <v>0</v>
      </c>
      <c r="X41" s="1278" t="n">
        <v>0</v>
      </c>
      <c r="Y41" s="1288"/>
      <c r="Z41" s="1277" t="n">
        <v>0.16</v>
      </c>
      <c r="AA41" s="1277" t="n">
        <v>0.17</v>
      </c>
      <c r="AB41" s="1277" t="n">
        <v>0.18</v>
      </c>
      <c r="AC41" s="109"/>
      <c r="AD41" s="1277" t="n">
        <v>0.09</v>
      </c>
      <c r="AE41" s="1277" t="n">
        <v>0.11</v>
      </c>
      <c r="AF41" s="1277" t="n">
        <v>0.13</v>
      </c>
      <c r="AG41" s="109"/>
      <c r="AH41" s="1277" t="n">
        <v>-0.1</v>
      </c>
      <c r="AI41" s="1277" t="n">
        <v>0.6</v>
      </c>
      <c r="AJ41" s="1277" t="n">
        <v>0.1</v>
      </c>
      <c r="AK41" s="109"/>
      <c r="AL41" s="1277" t="n">
        <v>-0.01</v>
      </c>
      <c r="AM41" s="1277" t="n">
        <v>0.16</v>
      </c>
      <c r="AN41" s="1277" t="n">
        <v>0.01</v>
      </c>
      <c r="AO41" s="109"/>
      <c r="AP41" s="197" t="n">
        <v>11</v>
      </c>
      <c r="AQ41" s="1280" t="n">
        <v>0.25</v>
      </c>
      <c r="AR41" s="1288"/>
      <c r="AS41" s="1288" t="n">
        <v>-3</v>
      </c>
      <c r="AT41" s="1289" t="n">
        <v>0.01</v>
      </c>
      <c r="AU41" s="197"/>
      <c r="AV41" s="1280" t="n">
        <v>10</v>
      </c>
      <c r="AW41" s="197"/>
      <c r="AX41" s="1288"/>
      <c r="AY41" s="1288"/>
      <c r="AZ41" s="1288"/>
      <c r="BA41" s="1288"/>
      <c r="BB41" s="1288"/>
      <c r="BC41" s="1288"/>
      <c r="BD41" s="1288"/>
      <c r="BE41" s="1288"/>
      <c r="BF41" s="1288"/>
      <c r="BG41" s="1288"/>
      <c r="BH41" s="1288"/>
      <c r="BI41" s="1288"/>
      <c r="BJ41" s="1288"/>
      <c r="BK41" s="1288"/>
      <c r="BL41" s="1288"/>
      <c r="BM41" s="1288"/>
      <c r="BN41" s="1288"/>
      <c r="BO41" s="1288"/>
      <c r="BP41" s="1288"/>
      <c r="BQ41" s="1237" t="n">
        <v>37712</v>
      </c>
      <c r="BR41" s="1238" t="n">
        <v>2.652</v>
      </c>
      <c r="BS41" s="1238" t="n">
        <v>2.657</v>
      </c>
      <c r="BT41" s="1238" t="n">
        <v>2.662</v>
      </c>
      <c r="BU41" s="1239" t="n">
        <v>0.1905</v>
      </c>
      <c r="BV41" s="1239" t="n">
        <v>0.198</v>
      </c>
      <c r="BW41" s="1239" t="n">
        <v>0.2055</v>
      </c>
      <c r="BX41" s="1239" t="n">
        <v>-0.07</v>
      </c>
      <c r="BY41" s="1239"/>
      <c r="BZ41" s="1239" t="n">
        <v>0.07</v>
      </c>
      <c r="CA41" s="1240" t="n">
        <v>0</v>
      </c>
      <c r="CB41" s="1241" t="n">
        <v>0</v>
      </c>
      <c r="CC41" s="1242" t="n">
        <v>2.486</v>
      </c>
      <c r="CD41" s="1239" t="n">
        <v>0.174</v>
      </c>
    </row>
    <row r="42" customFormat="false" ht="12.75" hidden="false" customHeight="false" outlineLevel="0" collapsed="false">
      <c r="A42" s="1237" t="n">
        <v>37834</v>
      </c>
      <c r="B42" s="1239" t="n">
        <v>0.071296737441124</v>
      </c>
      <c r="C42" s="1284"/>
      <c r="D42" s="1274" t="n">
        <v>36708</v>
      </c>
      <c r="E42" s="1275" t="n">
        <v>56.575</v>
      </c>
      <c r="F42" s="1275" t="n">
        <v>57.325</v>
      </c>
      <c r="G42" s="1275" t="n">
        <v>58.575</v>
      </c>
      <c r="H42" s="1266"/>
      <c r="I42" s="1275" t="n">
        <v>22.583064516129</v>
      </c>
      <c r="J42" s="1275" t="n">
        <v>23.583064516129</v>
      </c>
      <c r="K42" s="1275" t="n">
        <v>25.583064516129</v>
      </c>
      <c r="M42" s="1276" t="n">
        <v>37591</v>
      </c>
      <c r="N42" s="1277" t="n">
        <v>33.0027757516389</v>
      </c>
      <c r="O42" s="1277" t="n">
        <v>34.2527757516389</v>
      </c>
      <c r="P42" s="1277" t="n">
        <v>38.7527757516389</v>
      </c>
      <c r="Q42" s="109"/>
      <c r="R42" s="1277" t="n">
        <v>24.4395818137292</v>
      </c>
      <c r="S42" s="1277" t="n">
        <v>25.6895818137292</v>
      </c>
      <c r="T42" s="1277" t="n">
        <v>30.1895818137292</v>
      </c>
      <c r="V42" s="1278" t="n">
        <v>0</v>
      </c>
      <c r="W42" s="1278" t="n">
        <v>0</v>
      </c>
      <c r="X42" s="1278" t="n">
        <v>0</v>
      </c>
      <c r="Y42" s="1288"/>
      <c r="Z42" s="1277" t="n">
        <v>0.16</v>
      </c>
      <c r="AA42" s="1277" t="n">
        <v>0.17</v>
      </c>
      <c r="AB42" s="1277" t="n">
        <v>0.18</v>
      </c>
      <c r="AC42" s="109"/>
      <c r="AD42" s="1277" t="n">
        <v>0.09</v>
      </c>
      <c r="AE42" s="1277" t="n">
        <v>0.11</v>
      </c>
      <c r="AF42" s="1277" t="n">
        <v>0.13</v>
      </c>
      <c r="AG42" s="109"/>
      <c r="AH42" s="1277" t="n">
        <v>-0.25</v>
      </c>
      <c r="AI42" s="1277" t="n">
        <v>0.6</v>
      </c>
      <c r="AJ42" s="1277" t="n">
        <v>0.25</v>
      </c>
      <c r="AK42" s="109"/>
      <c r="AL42" s="1277" t="n">
        <v>-0.01</v>
      </c>
      <c r="AM42" s="1277" t="n">
        <v>0.16</v>
      </c>
      <c r="AN42" s="1277" t="n">
        <v>0.01</v>
      </c>
      <c r="AO42" s="109"/>
      <c r="AP42" s="197" t="n">
        <v>11</v>
      </c>
      <c r="AQ42" s="1280" t="n">
        <v>0.25</v>
      </c>
      <c r="AR42" s="1288"/>
      <c r="AS42" s="1288" t="n">
        <v>-2.5</v>
      </c>
      <c r="AT42" s="1289" t="n">
        <v>0.005</v>
      </c>
      <c r="AU42" s="197"/>
      <c r="AV42" s="1280" t="n">
        <v>0</v>
      </c>
      <c r="AW42" s="197"/>
      <c r="AX42" s="1288"/>
      <c r="AY42" s="1288"/>
      <c r="AZ42" s="1288"/>
      <c r="BA42" s="1288"/>
      <c r="BB42" s="1288"/>
      <c r="BC42" s="1288"/>
      <c r="BD42" s="1288"/>
      <c r="BE42" s="1288"/>
      <c r="BF42" s="1288"/>
      <c r="BG42" s="1288"/>
      <c r="BH42" s="1288"/>
      <c r="BI42" s="1288"/>
      <c r="BJ42" s="1288"/>
      <c r="BK42" s="1288"/>
      <c r="BL42" s="1288"/>
      <c r="BM42" s="1288"/>
      <c r="BN42" s="1288"/>
      <c r="BO42" s="1288"/>
      <c r="BP42" s="1288"/>
      <c r="BQ42" s="1237" t="n">
        <v>37742</v>
      </c>
      <c r="BR42" s="1238" t="n">
        <v>2.666</v>
      </c>
      <c r="BS42" s="1238" t="n">
        <v>2.671</v>
      </c>
      <c r="BT42" s="1238" t="n">
        <v>2.676</v>
      </c>
      <c r="BU42" s="1239" t="n">
        <v>0.1895</v>
      </c>
      <c r="BV42" s="1239" t="n">
        <v>0.197</v>
      </c>
      <c r="BW42" s="1239" t="n">
        <v>0.2045</v>
      </c>
      <c r="BX42" s="1239" t="n">
        <v>-0.07</v>
      </c>
      <c r="BY42" s="1239"/>
      <c r="BZ42" s="1239" t="n">
        <v>0.07</v>
      </c>
      <c r="CA42" s="1243" t="n">
        <v>0</v>
      </c>
      <c r="CB42" s="1241" t="n">
        <v>0</v>
      </c>
      <c r="CC42" s="1242" t="n">
        <v>2.519</v>
      </c>
      <c r="CD42" s="1239" t="n">
        <v>0.173</v>
      </c>
    </row>
    <row r="43" customFormat="false" ht="12.75" hidden="false" customHeight="false" outlineLevel="0" collapsed="false">
      <c r="A43" s="1237" t="n">
        <v>37865</v>
      </c>
      <c r="B43" s="1239" t="n">
        <v>0.071309141120599</v>
      </c>
      <c r="C43" s="1284"/>
      <c r="D43" s="1274" t="n">
        <v>36739</v>
      </c>
      <c r="E43" s="1275" t="n">
        <v>77.125</v>
      </c>
      <c r="F43" s="1275" t="n">
        <v>77.875</v>
      </c>
      <c r="G43" s="1275" t="n">
        <v>79.125</v>
      </c>
      <c r="H43" s="1266"/>
      <c r="I43" s="1275" t="n">
        <v>20.4112903225806</v>
      </c>
      <c r="J43" s="1275" t="n">
        <v>21.4112903225806</v>
      </c>
      <c r="K43" s="1275" t="n">
        <v>23.4112903225806</v>
      </c>
      <c r="M43" s="1276" t="n">
        <v>37622</v>
      </c>
      <c r="N43" s="1277" t="n">
        <v>30.8175513919057</v>
      </c>
      <c r="O43" s="1277" t="n">
        <v>32.3175513919057</v>
      </c>
      <c r="P43" s="1277" t="n">
        <v>36.8175513919057</v>
      </c>
      <c r="Q43" s="109"/>
      <c r="R43" s="1277" t="n">
        <v>22.7381635439293</v>
      </c>
      <c r="S43" s="1277" t="n">
        <v>24.2381635439293</v>
      </c>
      <c r="T43" s="1277" t="n">
        <v>28.7381635439293</v>
      </c>
      <c r="V43" s="1278" t="n">
        <v>0</v>
      </c>
      <c r="W43" s="1278" t="n">
        <v>0</v>
      </c>
      <c r="X43" s="1278" t="n">
        <v>0</v>
      </c>
      <c r="Y43" s="1288"/>
      <c r="Z43" s="1277" t="n">
        <v>0.155</v>
      </c>
      <c r="AA43" s="1277" t="n">
        <v>0.165</v>
      </c>
      <c r="AB43" s="1277" t="n">
        <v>0.175</v>
      </c>
      <c r="AC43" s="109"/>
      <c r="AD43" s="1277" t="n">
        <v>0.09</v>
      </c>
      <c r="AE43" s="1277" t="n">
        <v>0.11</v>
      </c>
      <c r="AF43" s="1277" t="n">
        <v>0.13</v>
      </c>
      <c r="AG43" s="109"/>
      <c r="AH43" s="1277" t="n">
        <v>-0.25</v>
      </c>
      <c r="AI43" s="1277" t="n">
        <v>0.65</v>
      </c>
      <c r="AJ43" s="1277" t="n">
        <v>0.25</v>
      </c>
      <c r="AK43" s="109"/>
      <c r="AL43" s="1277" t="n">
        <v>-0.01</v>
      </c>
      <c r="AM43" s="1277" t="n">
        <v>0.16</v>
      </c>
      <c r="AN43" s="1277" t="n">
        <v>0.01</v>
      </c>
      <c r="AO43" s="109"/>
      <c r="AP43" s="197" t="n">
        <v>12</v>
      </c>
      <c r="AQ43" s="1280" t="n">
        <v>0.25</v>
      </c>
      <c r="AR43" s="1288"/>
      <c r="AS43" s="1288" t="n">
        <v>-2</v>
      </c>
      <c r="AT43" s="1289" t="n">
        <v>0.0025</v>
      </c>
      <c r="AU43" s="197"/>
      <c r="AV43" s="1280" t="n">
        <v>0</v>
      </c>
      <c r="AW43" s="197"/>
      <c r="AX43" s="1288"/>
      <c r="AY43" s="1288"/>
      <c r="AZ43" s="1288"/>
      <c r="BA43" s="1288"/>
      <c r="BB43" s="1288"/>
      <c r="BC43" s="1288"/>
      <c r="BD43" s="1288"/>
      <c r="BE43" s="1288"/>
      <c r="BF43" s="1288"/>
      <c r="BG43" s="1288"/>
      <c r="BH43" s="1288"/>
      <c r="BI43" s="1288"/>
      <c r="BJ43" s="1288"/>
      <c r="BK43" s="1288"/>
      <c r="BL43" s="1288"/>
      <c r="BM43" s="1288"/>
      <c r="BN43" s="1288"/>
      <c r="BO43" s="1288"/>
      <c r="BP43" s="1288"/>
      <c r="BQ43" s="1237" t="n">
        <v>37773</v>
      </c>
      <c r="BR43" s="1238" t="n">
        <v>2.673</v>
      </c>
      <c r="BS43" s="1238" t="n">
        <v>2.678</v>
      </c>
      <c r="BT43" s="1238" t="n">
        <v>2.683</v>
      </c>
      <c r="BU43" s="1239" t="n">
        <v>0.1895</v>
      </c>
      <c r="BV43" s="1239" t="n">
        <v>0.197</v>
      </c>
      <c r="BW43" s="1239" t="n">
        <v>0.2045</v>
      </c>
      <c r="BX43" s="1239" t="n">
        <v>-0.07</v>
      </c>
      <c r="BY43" s="1239"/>
      <c r="BZ43" s="1239" t="n">
        <v>0.07</v>
      </c>
      <c r="CA43" s="1243" t="n">
        <v>0</v>
      </c>
      <c r="CB43" s="1241" t="n">
        <v>0</v>
      </c>
      <c r="CC43" s="1242" t="n">
        <v>2.66</v>
      </c>
      <c r="CD43" s="1239" t="n">
        <v>0.173</v>
      </c>
    </row>
    <row r="44" customFormat="false" ht="12.75" hidden="false" customHeight="false" outlineLevel="0" collapsed="false">
      <c r="A44" s="1237" t="n">
        <v>37895</v>
      </c>
      <c r="B44" s="1239" t="n">
        <v>0.071320271636541</v>
      </c>
      <c r="C44" s="1284"/>
      <c r="D44" s="1274" t="n">
        <v>36770</v>
      </c>
      <c r="E44" s="1275" t="n">
        <v>61.125</v>
      </c>
      <c r="F44" s="1275" t="n">
        <v>61.875</v>
      </c>
      <c r="G44" s="1275" t="n">
        <v>63.125</v>
      </c>
      <c r="H44" s="1266"/>
      <c r="I44" s="1275" t="n">
        <v>22.1979166666667</v>
      </c>
      <c r="J44" s="1275" t="n">
        <v>23.1979166666667</v>
      </c>
      <c r="K44" s="1275" t="n">
        <v>25.1979166666667</v>
      </c>
      <c r="M44" s="1276" t="n">
        <v>37653</v>
      </c>
      <c r="N44" s="1277" t="n">
        <v>30.3175513919057</v>
      </c>
      <c r="O44" s="1277" t="n">
        <v>31.8175513919057</v>
      </c>
      <c r="P44" s="1277" t="n">
        <v>36.3175513919057</v>
      </c>
      <c r="Q44" s="109"/>
      <c r="R44" s="1277" t="n">
        <v>22.3631635439293</v>
      </c>
      <c r="S44" s="1277" t="n">
        <v>23.8631635439293</v>
      </c>
      <c r="T44" s="1277" t="n">
        <v>28.3631635439293</v>
      </c>
      <c r="V44" s="1278" t="n">
        <v>0</v>
      </c>
      <c r="W44" s="1278" t="n">
        <v>0</v>
      </c>
      <c r="X44" s="1278" t="n">
        <v>0</v>
      </c>
      <c r="Y44" s="1288"/>
      <c r="Z44" s="1277" t="n">
        <v>0.155</v>
      </c>
      <c r="AA44" s="1277" t="n">
        <v>0.165</v>
      </c>
      <c r="AB44" s="1277" t="n">
        <v>0.175</v>
      </c>
      <c r="AC44" s="109"/>
      <c r="AD44" s="1277" t="n">
        <v>0.09</v>
      </c>
      <c r="AE44" s="1277" t="n">
        <v>0.11</v>
      </c>
      <c r="AF44" s="1277" t="n">
        <v>0.13</v>
      </c>
      <c r="AG44" s="109"/>
      <c r="AH44" s="1277" t="n">
        <v>-0.25</v>
      </c>
      <c r="AI44" s="1277" t="n">
        <v>0.65</v>
      </c>
      <c r="AJ44" s="1277" t="n">
        <v>0.25</v>
      </c>
      <c r="AK44" s="109"/>
      <c r="AL44" s="1277" t="n">
        <v>-0.01</v>
      </c>
      <c r="AM44" s="1277" t="n">
        <v>0.16</v>
      </c>
      <c r="AN44" s="1277" t="n">
        <v>0.01</v>
      </c>
      <c r="AO44" s="109"/>
      <c r="AP44" s="197" t="n">
        <v>12</v>
      </c>
      <c r="AQ44" s="1280" t="n">
        <v>0.25</v>
      </c>
      <c r="AR44" s="1288"/>
      <c r="AS44" s="1288" t="n">
        <v>-1.5</v>
      </c>
      <c r="AT44" s="1289" t="n">
        <v>0</v>
      </c>
      <c r="AU44" s="197"/>
      <c r="AV44" s="1280" t="n">
        <v>0</v>
      </c>
      <c r="AW44" s="197"/>
      <c r="AX44" s="1288"/>
      <c r="AY44" s="1288"/>
      <c r="AZ44" s="1288"/>
      <c r="BA44" s="1288"/>
      <c r="BB44" s="1288"/>
      <c r="BC44" s="1288"/>
      <c r="BD44" s="1288"/>
      <c r="BE44" s="1288"/>
      <c r="BF44" s="1288"/>
      <c r="BG44" s="1288"/>
      <c r="BH44" s="1288"/>
      <c r="BI44" s="1288"/>
      <c r="BJ44" s="1288"/>
      <c r="BK44" s="1288"/>
      <c r="BL44" s="1288"/>
      <c r="BM44" s="1288"/>
      <c r="BN44" s="1288"/>
      <c r="BO44" s="1288"/>
      <c r="BP44" s="1288"/>
      <c r="BQ44" s="1237" t="n">
        <v>37803</v>
      </c>
      <c r="BR44" s="1238" t="n">
        <v>2.681</v>
      </c>
      <c r="BS44" s="1238" t="n">
        <v>2.686</v>
      </c>
      <c r="BT44" s="1238" t="n">
        <v>2.691</v>
      </c>
      <c r="BU44" s="1239" t="n">
        <v>0.1895</v>
      </c>
      <c r="BV44" s="1239" t="n">
        <v>0.197</v>
      </c>
      <c r="BW44" s="1239" t="n">
        <v>0.2045</v>
      </c>
      <c r="BX44" s="1239" t="n">
        <v>-0.07</v>
      </c>
      <c r="BY44" s="1239"/>
      <c r="BZ44" s="1239" t="n">
        <v>0.07</v>
      </c>
      <c r="CA44" s="1243" t="n">
        <v>0</v>
      </c>
      <c r="CB44" s="1241" t="n">
        <v>0</v>
      </c>
      <c r="CC44" s="1242" t="n">
        <v>2.805</v>
      </c>
      <c r="CD44" s="1239" t="n">
        <v>0.174</v>
      </c>
    </row>
    <row r="45" customFormat="false" ht="12.75" hidden="false" customHeight="false" outlineLevel="0" collapsed="false">
      <c r="A45" s="1237" t="n">
        <v>37926</v>
      </c>
      <c r="B45" s="1239" t="n">
        <v>0.071330675892117</v>
      </c>
      <c r="C45" s="1284"/>
      <c r="D45" s="1274" t="n">
        <v>36800</v>
      </c>
      <c r="E45" s="1275" t="n">
        <v>42.375</v>
      </c>
      <c r="F45" s="1275" t="n">
        <v>43.125</v>
      </c>
      <c r="G45" s="1275" t="n">
        <v>44.375</v>
      </c>
      <c r="H45" s="1266"/>
      <c r="I45" s="1275" t="n">
        <v>21.3004032258065</v>
      </c>
      <c r="J45" s="1275" t="n">
        <v>22.3004032258065</v>
      </c>
      <c r="K45" s="1275" t="n">
        <v>24.3004032258065</v>
      </c>
      <c r="M45" s="1276" t="n">
        <v>37681</v>
      </c>
      <c r="N45" s="1277" t="n">
        <v>29.5675513919057</v>
      </c>
      <c r="O45" s="1277" t="n">
        <v>31.0675513919057</v>
      </c>
      <c r="P45" s="1277" t="n">
        <v>35.5675513919057</v>
      </c>
      <c r="Q45" s="109"/>
      <c r="R45" s="1277" t="n">
        <v>21.8006635439293</v>
      </c>
      <c r="S45" s="1277" t="n">
        <v>23.3006635439293</v>
      </c>
      <c r="T45" s="1277" t="n">
        <v>27.8006635439293</v>
      </c>
      <c r="V45" s="1278" t="n">
        <v>0</v>
      </c>
      <c r="W45" s="1278" t="n">
        <v>0</v>
      </c>
      <c r="X45" s="1278" t="n">
        <v>0</v>
      </c>
      <c r="Y45" s="1288"/>
      <c r="Z45" s="1277" t="n">
        <v>0.155</v>
      </c>
      <c r="AA45" s="1277" t="n">
        <v>0.165</v>
      </c>
      <c r="AB45" s="1277" t="n">
        <v>0.175</v>
      </c>
      <c r="AC45" s="109"/>
      <c r="AD45" s="1277" t="n">
        <v>0.09</v>
      </c>
      <c r="AE45" s="1277" t="n">
        <v>0.11</v>
      </c>
      <c r="AF45" s="1277" t="n">
        <v>0.13</v>
      </c>
      <c r="AG45" s="109"/>
      <c r="AH45" s="1277" t="n">
        <v>-0.1</v>
      </c>
      <c r="AI45" s="1277" t="n">
        <v>0.65</v>
      </c>
      <c r="AJ45" s="1277" t="n">
        <v>0.1</v>
      </c>
      <c r="AK45" s="109"/>
      <c r="AL45" s="1277" t="n">
        <v>-0.01</v>
      </c>
      <c r="AM45" s="1277" t="n">
        <v>0.16</v>
      </c>
      <c r="AN45" s="1277" t="n">
        <v>0.01</v>
      </c>
      <c r="AO45" s="109"/>
      <c r="AP45" s="197" t="n">
        <v>12</v>
      </c>
      <c r="AQ45" s="1280" t="n">
        <v>0.25</v>
      </c>
      <c r="AR45" s="1288"/>
      <c r="AS45" s="1288" t="n">
        <v>-1</v>
      </c>
      <c r="AT45" s="1289" t="n">
        <v>0</v>
      </c>
      <c r="AU45" s="197"/>
      <c r="AV45" s="1280" t="n">
        <v>0</v>
      </c>
      <c r="AW45" s="197"/>
      <c r="AX45" s="1288"/>
      <c r="AY45" s="1288"/>
      <c r="AZ45" s="1288"/>
      <c r="BA45" s="1288"/>
      <c r="BB45" s="1288"/>
      <c r="BC45" s="1288"/>
      <c r="BD45" s="1288"/>
      <c r="BE45" s="1288"/>
      <c r="BF45" s="1288"/>
      <c r="BG45" s="1288"/>
      <c r="BH45" s="1288"/>
      <c r="BI45" s="1288"/>
      <c r="BJ45" s="1288"/>
      <c r="BK45" s="1288"/>
      <c r="BL45" s="1288"/>
      <c r="BM45" s="1288"/>
      <c r="BN45" s="1288"/>
      <c r="BO45" s="1288"/>
      <c r="BP45" s="1288"/>
      <c r="BQ45" s="1237" t="n">
        <v>37834</v>
      </c>
      <c r="BR45" s="1238" t="n">
        <v>2.69</v>
      </c>
      <c r="BS45" s="1238" t="n">
        <v>2.695</v>
      </c>
      <c r="BT45" s="1238" t="n">
        <v>2.7</v>
      </c>
      <c r="BU45" s="1239" t="n">
        <v>0.1895</v>
      </c>
      <c r="BV45" s="1239" t="n">
        <v>0.197</v>
      </c>
      <c r="BW45" s="1239" t="n">
        <v>0.2045</v>
      </c>
      <c r="BX45" s="1239" t="n">
        <v>-0.07</v>
      </c>
      <c r="BY45" s="1239"/>
      <c r="BZ45" s="1239" t="n">
        <v>0.07</v>
      </c>
      <c r="CA45" s="1243" t="n">
        <v>0</v>
      </c>
      <c r="CB45" s="1241" t="n">
        <v>0</v>
      </c>
      <c r="CC45" s="1242" t="n">
        <v>2.844</v>
      </c>
      <c r="CD45" s="1239" t="n">
        <v>0.174</v>
      </c>
    </row>
    <row r="46" customFormat="false" ht="12.75" hidden="false" customHeight="false" outlineLevel="0" collapsed="false">
      <c r="A46" s="1237" t="n">
        <v>37956</v>
      </c>
      <c r="B46" s="1239" t="n">
        <v>0.07134074452658</v>
      </c>
      <c r="C46" s="1290"/>
      <c r="D46" s="1274" t="n">
        <v>36831</v>
      </c>
      <c r="E46" s="1275" t="n">
        <v>34.625</v>
      </c>
      <c r="F46" s="1275" t="n">
        <v>35.375</v>
      </c>
      <c r="G46" s="1275" t="n">
        <v>36.625</v>
      </c>
      <c r="H46" s="1266"/>
      <c r="I46" s="1275" t="n">
        <v>23.15625</v>
      </c>
      <c r="J46" s="1275" t="n">
        <v>24.15625</v>
      </c>
      <c r="K46" s="1275" t="n">
        <v>26.15625</v>
      </c>
      <c r="M46" s="1276" t="n">
        <v>37712</v>
      </c>
      <c r="N46" s="1277" t="n">
        <v>29.2775430669893</v>
      </c>
      <c r="O46" s="1277" t="n">
        <v>30.7775430669893</v>
      </c>
      <c r="P46" s="1277" t="n">
        <v>35.2775430669893</v>
      </c>
      <c r="Q46" s="109"/>
      <c r="R46" s="1277" t="n">
        <v>21.583157300242</v>
      </c>
      <c r="S46" s="1277" t="n">
        <v>23.083157300242</v>
      </c>
      <c r="T46" s="1277" t="n">
        <v>27.583157300242</v>
      </c>
      <c r="V46" s="1278" t="n">
        <v>0</v>
      </c>
      <c r="W46" s="1278" t="n">
        <v>0</v>
      </c>
      <c r="X46" s="1278" t="n">
        <v>0</v>
      </c>
      <c r="Y46" s="1288"/>
      <c r="Z46" s="1277" t="n">
        <v>0.155</v>
      </c>
      <c r="AA46" s="1277" t="n">
        <v>0.165</v>
      </c>
      <c r="AB46" s="1277" t="n">
        <v>0.175</v>
      </c>
      <c r="AC46" s="109"/>
      <c r="AD46" s="1277" t="n">
        <v>0.09</v>
      </c>
      <c r="AE46" s="1277" t="n">
        <v>0.11</v>
      </c>
      <c r="AF46" s="1277" t="n">
        <v>0.13</v>
      </c>
      <c r="AG46" s="109"/>
      <c r="AH46" s="1277" t="n">
        <v>-0.1</v>
      </c>
      <c r="AI46" s="1277" t="n">
        <v>0.65</v>
      </c>
      <c r="AJ46" s="1277" t="n">
        <v>0.1</v>
      </c>
      <c r="AK46" s="109"/>
      <c r="AL46" s="1277" t="n">
        <v>-0.01</v>
      </c>
      <c r="AM46" s="1277" t="n">
        <v>0.16</v>
      </c>
      <c r="AN46" s="1277" t="n">
        <v>0.01</v>
      </c>
      <c r="AO46" s="109"/>
      <c r="AP46" s="197" t="n">
        <v>13</v>
      </c>
      <c r="AQ46" s="1280" t="n">
        <v>0.35</v>
      </c>
      <c r="AR46" s="1288"/>
      <c r="AS46" s="1288" t="n">
        <v>-0.5</v>
      </c>
      <c r="AT46" s="1289" t="n">
        <v>0</v>
      </c>
      <c r="AU46" s="197"/>
      <c r="AV46" s="1280" t="n">
        <v>0</v>
      </c>
      <c r="AW46" s="197"/>
      <c r="AX46" s="1288"/>
      <c r="AY46" s="1288"/>
      <c r="AZ46" s="1288"/>
      <c r="BA46" s="1288"/>
      <c r="BB46" s="1288"/>
      <c r="BC46" s="1288"/>
      <c r="BD46" s="1288"/>
      <c r="BE46" s="1288"/>
      <c r="BF46" s="1288"/>
      <c r="BG46" s="1288"/>
      <c r="BH46" s="1288"/>
      <c r="BI46" s="1288"/>
      <c r="BJ46" s="1288"/>
      <c r="BK46" s="1288"/>
      <c r="BL46" s="1288"/>
      <c r="BM46" s="1288"/>
      <c r="BN46" s="1288"/>
      <c r="BO46" s="1288"/>
      <c r="BP46" s="1288"/>
      <c r="BQ46" s="1237" t="n">
        <v>37865</v>
      </c>
      <c r="BR46" s="1238" t="n">
        <v>2.697</v>
      </c>
      <c r="BS46" s="1238" t="n">
        <v>2.702</v>
      </c>
      <c r="BT46" s="1238" t="n">
        <v>2.707</v>
      </c>
      <c r="BU46" s="1239" t="n">
        <v>0.1895</v>
      </c>
      <c r="BV46" s="1239" t="n">
        <v>0.197</v>
      </c>
      <c r="BW46" s="1239" t="n">
        <v>0.2045</v>
      </c>
      <c r="BX46" s="1239" t="n">
        <v>-0.07</v>
      </c>
      <c r="BY46" s="1239"/>
      <c r="BZ46" s="1239" t="n">
        <v>0.07</v>
      </c>
      <c r="CA46" s="1243" t="n">
        <v>0</v>
      </c>
      <c r="CB46" s="1241" t="n">
        <v>0</v>
      </c>
      <c r="CC46" s="1242" t="n">
        <v>2.719</v>
      </c>
      <c r="CD46" s="1239" t="n">
        <v>0.1725</v>
      </c>
    </row>
    <row r="47" customFormat="false" ht="12.75" hidden="false" customHeight="false" outlineLevel="0" collapsed="false">
      <c r="A47" s="1237" t="n">
        <v>37987</v>
      </c>
      <c r="B47" s="1239" t="n">
        <v>0.07135558691435</v>
      </c>
      <c r="C47" s="1290"/>
      <c r="D47" s="1274" t="n">
        <v>36861</v>
      </c>
      <c r="E47" s="1275" t="n">
        <v>34.625</v>
      </c>
      <c r="F47" s="1275" t="n">
        <v>35.375</v>
      </c>
      <c r="G47" s="1275" t="n">
        <v>36.625</v>
      </c>
      <c r="H47" s="1266"/>
      <c r="I47" s="1275" t="n">
        <v>23.0604838709677</v>
      </c>
      <c r="J47" s="1275" t="n">
        <v>24.0604838709677</v>
      </c>
      <c r="K47" s="1275" t="n">
        <v>26.0604838709677</v>
      </c>
      <c r="M47" s="1276" t="n">
        <v>37742</v>
      </c>
      <c r="N47" s="1277" t="n">
        <v>29.2775430669893</v>
      </c>
      <c r="O47" s="1277" t="n">
        <v>30.7775430669893</v>
      </c>
      <c r="P47" s="1277" t="n">
        <v>35.2775430669893</v>
      </c>
      <c r="Q47" s="109"/>
      <c r="R47" s="1277" t="n">
        <v>21.583157300242</v>
      </c>
      <c r="S47" s="1277" t="n">
        <v>23.083157300242</v>
      </c>
      <c r="T47" s="1277" t="n">
        <v>27.583157300242</v>
      </c>
      <c r="V47" s="1278" t="n">
        <v>0</v>
      </c>
      <c r="W47" s="1278" t="n">
        <v>0</v>
      </c>
      <c r="X47" s="1278" t="n">
        <v>0</v>
      </c>
      <c r="Y47" s="1288"/>
      <c r="Z47" s="1277" t="n">
        <v>0.155</v>
      </c>
      <c r="AA47" s="1277" t="n">
        <v>0.165</v>
      </c>
      <c r="AB47" s="1277" t="n">
        <v>0.175</v>
      </c>
      <c r="AC47" s="109"/>
      <c r="AD47" s="1277" t="n">
        <v>0.09</v>
      </c>
      <c r="AE47" s="1277" t="n">
        <v>0.11</v>
      </c>
      <c r="AF47" s="1277" t="n">
        <v>0.13</v>
      </c>
      <c r="AG47" s="109"/>
      <c r="AH47" s="1277" t="n">
        <v>-0.1</v>
      </c>
      <c r="AI47" s="1277" t="n">
        <v>0.65</v>
      </c>
      <c r="AJ47" s="1277" t="n">
        <v>0.1</v>
      </c>
      <c r="AK47" s="109"/>
      <c r="AL47" s="1277" t="n">
        <v>-0.01</v>
      </c>
      <c r="AM47" s="1277" t="n">
        <v>0.16</v>
      </c>
      <c r="AN47" s="1277" t="n">
        <v>0.01</v>
      </c>
      <c r="AO47" s="109"/>
      <c r="AP47" s="197" t="n">
        <v>13</v>
      </c>
      <c r="AQ47" s="1280" t="n">
        <v>0.35</v>
      </c>
      <c r="AR47" s="1288"/>
      <c r="AS47" s="1288" t="n">
        <v>0</v>
      </c>
      <c r="AT47" s="1289" t="n">
        <v>0</v>
      </c>
      <c r="AU47" s="197"/>
      <c r="AV47" s="1280" t="n">
        <v>0</v>
      </c>
      <c r="AW47" s="197"/>
      <c r="AX47" s="1288"/>
      <c r="AY47" s="1288"/>
      <c r="AZ47" s="1288"/>
      <c r="BA47" s="1288"/>
      <c r="BB47" s="1288"/>
      <c r="BC47" s="1288"/>
      <c r="BD47" s="1288"/>
      <c r="BE47" s="1288"/>
      <c r="BF47" s="1288"/>
      <c r="BG47" s="1288"/>
      <c r="BH47" s="1288"/>
      <c r="BI47" s="1288"/>
      <c r="BJ47" s="1288"/>
      <c r="BK47" s="1288"/>
      <c r="BL47" s="1288"/>
      <c r="BM47" s="1288"/>
      <c r="BN47" s="1288"/>
      <c r="BO47" s="1288"/>
      <c r="BP47" s="1288"/>
      <c r="BQ47" s="1237" t="n">
        <v>37895</v>
      </c>
      <c r="BR47" s="1238" t="n">
        <v>2.724</v>
      </c>
      <c r="BS47" s="1238" t="n">
        <v>2.729</v>
      </c>
      <c r="BT47" s="1238" t="n">
        <v>2.734</v>
      </c>
      <c r="BU47" s="1239" t="n">
        <v>0.1895</v>
      </c>
      <c r="BV47" s="1239" t="n">
        <v>0.197</v>
      </c>
      <c r="BW47" s="1239" t="n">
        <v>0.2045</v>
      </c>
      <c r="BX47" s="1239" t="n">
        <v>-0.07</v>
      </c>
      <c r="BY47" s="1239"/>
      <c r="BZ47" s="1239" t="n">
        <v>0.07</v>
      </c>
      <c r="CA47" s="1243" t="n">
        <v>0</v>
      </c>
      <c r="CB47" s="1241" t="n">
        <v>0</v>
      </c>
      <c r="CC47" s="1242" t="n">
        <v>2.612</v>
      </c>
      <c r="CD47" s="1239" t="n">
        <v>0.1685</v>
      </c>
    </row>
    <row r="48" customFormat="false" ht="12.75" hidden="false" customHeight="false" outlineLevel="0" collapsed="false">
      <c r="A48" s="1237" t="n">
        <v>38018</v>
      </c>
      <c r="B48" s="1239" t="n">
        <v>0.071375163309823</v>
      </c>
      <c r="C48" s="1290"/>
      <c r="D48" s="1274" t="n">
        <v>36892</v>
      </c>
      <c r="E48" s="1275" t="n">
        <v>34</v>
      </c>
      <c r="F48" s="1275" t="n">
        <v>35</v>
      </c>
      <c r="G48" s="1275" t="n">
        <v>38.5</v>
      </c>
      <c r="H48" s="1266"/>
      <c r="I48" s="1275" t="n">
        <v>18.0564516129032</v>
      </c>
      <c r="J48" s="1275" t="n">
        <v>19.3064516129032</v>
      </c>
      <c r="K48" s="1275" t="n">
        <v>21.8064516129032</v>
      </c>
      <c r="M48" s="1276" t="n">
        <v>37773</v>
      </c>
      <c r="N48" s="1277" t="n">
        <v>34.5275430669893</v>
      </c>
      <c r="O48" s="1277" t="n">
        <v>36.0275430669893</v>
      </c>
      <c r="P48" s="1277" t="n">
        <v>40.5275430669893</v>
      </c>
      <c r="Q48" s="109"/>
      <c r="R48" s="1277" t="n">
        <v>25.520657300242</v>
      </c>
      <c r="S48" s="1277" t="n">
        <v>27.020657300242</v>
      </c>
      <c r="T48" s="1277" t="n">
        <v>31.520657300242</v>
      </c>
      <c r="V48" s="1278" t="n">
        <v>0</v>
      </c>
      <c r="W48" s="1278" t="n">
        <v>0</v>
      </c>
      <c r="X48" s="1278" t="n">
        <v>0</v>
      </c>
      <c r="Y48" s="1288"/>
      <c r="Z48" s="1277" t="n">
        <v>0.155</v>
      </c>
      <c r="AA48" s="1277" t="n">
        <v>0.165</v>
      </c>
      <c r="AB48" s="1277" t="n">
        <v>0.175</v>
      </c>
      <c r="AC48" s="109"/>
      <c r="AD48" s="1277" t="n">
        <v>0.09</v>
      </c>
      <c r="AE48" s="1277" t="n">
        <v>0.11</v>
      </c>
      <c r="AF48" s="1277" t="n">
        <v>0.13</v>
      </c>
      <c r="AG48" s="109"/>
      <c r="AH48" s="1277" t="n">
        <v>-0.35</v>
      </c>
      <c r="AI48" s="1277" t="n">
        <v>0.65</v>
      </c>
      <c r="AJ48" s="1277" t="n">
        <v>0.2</v>
      </c>
      <c r="AK48" s="109"/>
      <c r="AL48" s="1277" t="n">
        <v>-0.01</v>
      </c>
      <c r="AM48" s="1277" t="n">
        <v>0.16</v>
      </c>
      <c r="AN48" s="1277" t="n">
        <v>0.01</v>
      </c>
      <c r="AO48" s="109"/>
      <c r="AP48" s="197" t="n">
        <v>13</v>
      </c>
      <c r="AQ48" s="1280" t="n">
        <v>0.35</v>
      </c>
      <c r="AR48" s="1288"/>
      <c r="AS48" s="1288" t="n">
        <v>1</v>
      </c>
      <c r="AT48" s="1289" t="n">
        <v>0</v>
      </c>
      <c r="AU48" s="197"/>
      <c r="AV48" s="1280" t="n">
        <v>0</v>
      </c>
      <c r="AW48" s="197"/>
      <c r="AX48" s="1288"/>
      <c r="AY48" s="1288"/>
      <c r="AZ48" s="1288"/>
      <c r="BA48" s="1288"/>
      <c r="BB48" s="1288"/>
      <c r="BC48" s="1288"/>
      <c r="BD48" s="1288"/>
      <c r="BE48" s="1288"/>
      <c r="BF48" s="1288"/>
      <c r="BG48" s="1288"/>
      <c r="BH48" s="1288"/>
      <c r="BI48" s="1288"/>
      <c r="BJ48" s="1288"/>
      <c r="BK48" s="1288"/>
      <c r="BL48" s="1288"/>
      <c r="BM48" s="1288"/>
      <c r="BN48" s="1288"/>
      <c r="BO48" s="1288"/>
      <c r="BP48" s="1288"/>
      <c r="BQ48" s="1237" t="n">
        <v>37926</v>
      </c>
      <c r="BR48" s="1238" t="n">
        <v>2.857</v>
      </c>
      <c r="BS48" s="1238" t="n">
        <v>2.862</v>
      </c>
      <c r="BT48" s="1238" t="n">
        <v>2.867</v>
      </c>
      <c r="BU48" s="1239" t="n">
        <v>0.1895</v>
      </c>
      <c r="BV48" s="1239" t="n">
        <v>0.197</v>
      </c>
      <c r="BW48" s="1239" t="n">
        <v>0.2045</v>
      </c>
      <c r="BX48" s="1239" t="n">
        <v>-0.07</v>
      </c>
      <c r="BY48" s="1239"/>
      <c r="BZ48" s="1239" t="n">
        <v>0.07</v>
      </c>
      <c r="CA48" s="1243" t="n">
        <v>0</v>
      </c>
      <c r="CB48" s="1241" t="n">
        <v>0</v>
      </c>
      <c r="CC48" s="1242" t="n">
        <v>2.509</v>
      </c>
      <c r="CD48" s="1239" t="n">
        <v>0.166</v>
      </c>
    </row>
    <row r="49" customFormat="false" ht="12.75" hidden="false" customHeight="false" outlineLevel="0" collapsed="false">
      <c r="A49" s="1237" t="n">
        <v>38047</v>
      </c>
      <c r="B49" s="1239" t="n">
        <v>0.071393476712154</v>
      </c>
      <c r="C49" s="1290"/>
      <c r="D49" s="1274" t="n">
        <v>36923</v>
      </c>
      <c r="E49" s="1275" t="n">
        <v>33.5</v>
      </c>
      <c r="F49" s="1275" t="n">
        <v>34.5</v>
      </c>
      <c r="G49" s="1275" t="n">
        <v>38</v>
      </c>
      <c r="H49" s="1266"/>
      <c r="I49" s="1275" t="n">
        <v>18.3571428571429</v>
      </c>
      <c r="J49" s="1275" t="n">
        <v>19.6071428571429</v>
      </c>
      <c r="K49" s="1275" t="n">
        <v>22.1071428571429</v>
      </c>
      <c r="M49" s="1276" t="n">
        <v>37803</v>
      </c>
      <c r="N49" s="1277" t="n">
        <v>59.4803290073095</v>
      </c>
      <c r="O49" s="1277" t="n">
        <v>60.9803290073095</v>
      </c>
      <c r="P49" s="1277" t="n">
        <v>65.4803290073095</v>
      </c>
      <c r="Q49" s="109"/>
      <c r="R49" s="1277" t="n">
        <v>44.2352467554821</v>
      </c>
      <c r="S49" s="1277" t="n">
        <v>45.7352467554821</v>
      </c>
      <c r="T49" s="1277" t="n">
        <v>50.2352467554821</v>
      </c>
      <c r="V49" s="1278" t="n">
        <v>0</v>
      </c>
      <c r="W49" s="1278" t="n">
        <v>0</v>
      </c>
      <c r="X49" s="1278" t="n">
        <v>0</v>
      </c>
      <c r="Y49" s="1288"/>
      <c r="Z49" s="1277" t="n">
        <v>0.155</v>
      </c>
      <c r="AA49" s="1277" t="n">
        <v>0.165</v>
      </c>
      <c r="AB49" s="1277" t="n">
        <v>0.175</v>
      </c>
      <c r="AC49" s="109"/>
      <c r="AD49" s="1277" t="n">
        <v>0.09</v>
      </c>
      <c r="AE49" s="1277" t="n">
        <v>0.11</v>
      </c>
      <c r="AF49" s="1277" t="n">
        <v>0.13</v>
      </c>
      <c r="AG49" s="109"/>
      <c r="AH49" s="1277" t="n">
        <v>-0.35</v>
      </c>
      <c r="AI49" s="1277" t="n">
        <v>3</v>
      </c>
      <c r="AJ49" s="1277" t="n">
        <v>0.35</v>
      </c>
      <c r="AK49" s="109"/>
      <c r="AL49" s="1277" t="n">
        <v>-0.01</v>
      </c>
      <c r="AM49" s="1277" t="n">
        <v>0.16</v>
      </c>
      <c r="AN49" s="1277" t="n">
        <v>0.01</v>
      </c>
      <c r="AO49" s="109"/>
      <c r="AP49" s="197" t="n">
        <v>14</v>
      </c>
      <c r="AQ49" s="1280" t="n">
        <v>0.35</v>
      </c>
      <c r="AR49" s="1288"/>
      <c r="AS49" s="1288" t="n">
        <v>2</v>
      </c>
      <c r="AT49" s="1289" t="n">
        <v>0</v>
      </c>
      <c r="AU49" s="197"/>
      <c r="AV49" s="1280" t="n">
        <v>0</v>
      </c>
      <c r="AW49" s="197"/>
      <c r="AX49" s="1288"/>
      <c r="AY49" s="1288"/>
      <c r="AZ49" s="1288"/>
      <c r="BA49" s="1288"/>
      <c r="BB49" s="1288"/>
      <c r="BC49" s="1288"/>
      <c r="BD49" s="1288"/>
      <c r="BE49" s="1288"/>
      <c r="BF49" s="1288"/>
      <c r="BG49" s="1288"/>
      <c r="BH49" s="1288"/>
      <c r="BI49" s="1288"/>
      <c r="BJ49" s="1288"/>
      <c r="BK49" s="1288"/>
      <c r="BL49" s="1288"/>
      <c r="BM49" s="1288"/>
      <c r="BN49" s="1288"/>
      <c r="BO49" s="1288"/>
      <c r="BP49" s="1288"/>
      <c r="BQ49" s="1237" t="n">
        <v>37956</v>
      </c>
      <c r="BR49" s="1238" t="n">
        <v>2.98</v>
      </c>
      <c r="BS49" s="1238" t="n">
        <v>2.985</v>
      </c>
      <c r="BT49" s="1238" t="n">
        <v>2.99</v>
      </c>
      <c r="BU49" s="1239" t="n">
        <v>0.1895</v>
      </c>
      <c r="BV49" s="1239" t="n">
        <v>0.197</v>
      </c>
      <c r="BW49" s="1239" t="n">
        <v>0.2045</v>
      </c>
      <c r="BX49" s="1239" t="n">
        <v>-0.07</v>
      </c>
      <c r="BY49" s="1239"/>
      <c r="BZ49" s="1239" t="n">
        <v>0.07</v>
      </c>
      <c r="CA49" s="1243" t="n">
        <v>0</v>
      </c>
      <c r="CB49" s="1241" t="n">
        <v>0</v>
      </c>
      <c r="CC49" s="1242" t="n">
        <v>2.485</v>
      </c>
      <c r="CD49" s="1239" t="n">
        <v>0.1635</v>
      </c>
    </row>
    <row r="50" customFormat="false" ht="12.75" hidden="false" customHeight="false" outlineLevel="0" collapsed="false">
      <c r="A50" s="1237" t="n">
        <v>38078</v>
      </c>
      <c r="B50" s="1239" t="n">
        <v>0.071412258931977</v>
      </c>
      <c r="C50" s="1290"/>
      <c r="D50" s="1274" t="n">
        <v>36951</v>
      </c>
      <c r="E50" s="1275" t="n">
        <v>32.75</v>
      </c>
      <c r="F50" s="1275" t="n">
        <v>33.75</v>
      </c>
      <c r="G50" s="1275" t="n">
        <v>37.25</v>
      </c>
      <c r="H50" s="1266"/>
      <c r="I50" s="1275" t="n">
        <v>18.6370967741935</v>
      </c>
      <c r="J50" s="1275" t="n">
        <v>19.8870967741935</v>
      </c>
      <c r="K50" s="1275" t="n">
        <v>22.3870967741935</v>
      </c>
      <c r="M50" s="1276" t="n">
        <v>37834</v>
      </c>
      <c r="N50" s="1277" t="n">
        <v>80.1053290073095</v>
      </c>
      <c r="O50" s="1277" t="n">
        <v>81.6053290073095</v>
      </c>
      <c r="P50" s="1277" t="n">
        <v>86.1053290073095</v>
      </c>
      <c r="Q50" s="109"/>
      <c r="R50" s="1277" t="n">
        <v>59.7039967554821</v>
      </c>
      <c r="S50" s="1277" t="n">
        <v>61.2039967554821</v>
      </c>
      <c r="T50" s="1277" t="n">
        <v>65.7039967554821</v>
      </c>
      <c r="V50" s="1278" t="n">
        <v>0</v>
      </c>
      <c r="W50" s="1278" t="n">
        <v>0</v>
      </c>
      <c r="X50" s="1278" t="n">
        <v>0</v>
      </c>
      <c r="Y50" s="1288"/>
      <c r="Z50" s="1277" t="n">
        <v>0.155</v>
      </c>
      <c r="AA50" s="1277" t="n">
        <v>0.165</v>
      </c>
      <c r="AB50" s="1277" t="n">
        <v>0.175</v>
      </c>
      <c r="AC50" s="109"/>
      <c r="AD50" s="1277" t="n">
        <v>0.09</v>
      </c>
      <c r="AE50" s="1277" t="n">
        <v>0.11</v>
      </c>
      <c r="AF50" s="1277" t="n">
        <v>0.13</v>
      </c>
      <c r="AG50" s="109"/>
      <c r="AH50" s="1277" t="n">
        <v>-0.35</v>
      </c>
      <c r="AI50" s="1277" t="n">
        <v>3</v>
      </c>
      <c r="AJ50" s="1277" t="n">
        <v>0.35</v>
      </c>
      <c r="AK50" s="109"/>
      <c r="AL50" s="1277" t="n">
        <v>-0.01</v>
      </c>
      <c r="AM50" s="1277" t="n">
        <v>0.16</v>
      </c>
      <c r="AN50" s="1277" t="n">
        <v>0.01</v>
      </c>
      <c r="AO50" s="109"/>
      <c r="AP50" s="197" t="n">
        <v>14</v>
      </c>
      <c r="AQ50" s="1280" t="n">
        <v>0.35</v>
      </c>
      <c r="AR50" s="1288"/>
      <c r="AS50" s="1288" t="n">
        <v>3</v>
      </c>
      <c r="AT50" s="1289" t="n">
        <v>0.01</v>
      </c>
      <c r="AU50" s="197"/>
      <c r="AV50" s="1280" t="n">
        <v>0</v>
      </c>
      <c r="AW50" s="197"/>
      <c r="AX50" s="1288"/>
      <c r="AY50" s="1288"/>
      <c r="AZ50" s="1288"/>
      <c r="BA50" s="1288"/>
      <c r="BB50" s="1288"/>
      <c r="BC50" s="1288"/>
      <c r="BD50" s="1288"/>
      <c r="BE50" s="1288"/>
      <c r="BF50" s="1288"/>
      <c r="BG50" s="1288"/>
      <c r="BH50" s="1288"/>
      <c r="BI50" s="1288"/>
      <c r="BJ50" s="1288"/>
      <c r="BK50" s="1288"/>
      <c r="BL50" s="1288"/>
      <c r="BM50" s="1288"/>
      <c r="BN50" s="1288"/>
      <c r="BO50" s="1288"/>
      <c r="BP50" s="1288"/>
      <c r="BQ50" s="1237" t="n">
        <v>37987</v>
      </c>
      <c r="BR50" s="1238" t="n">
        <v>3.0095</v>
      </c>
      <c r="BS50" s="1238" t="n">
        <v>3.0145</v>
      </c>
      <c r="BT50" s="1238" t="n">
        <v>3.0195</v>
      </c>
      <c r="BU50" s="1239" t="n">
        <v>0.1905</v>
      </c>
      <c r="BV50" s="1239" t="n">
        <v>0.198</v>
      </c>
      <c r="BW50" s="1239" t="n">
        <v>0.2055</v>
      </c>
      <c r="BX50" s="1239" t="n">
        <v>-0.07</v>
      </c>
      <c r="BY50" s="1239"/>
      <c r="BZ50" s="1239" t="n">
        <v>0.07</v>
      </c>
      <c r="CA50" s="1243" t="n">
        <v>0</v>
      </c>
      <c r="CB50" s="1241" t="n">
        <v>0</v>
      </c>
      <c r="CC50" s="1242" t="n">
        <v>2.492</v>
      </c>
      <c r="CD50" s="1239" t="n">
        <v>0.1635</v>
      </c>
    </row>
    <row r="51" customFormat="false" ht="12.75" hidden="false" customHeight="false" outlineLevel="0" collapsed="false">
      <c r="A51" s="1237" t="n">
        <v>38108</v>
      </c>
      <c r="B51" s="1239" t="n">
        <v>0.071429615479373</v>
      </c>
      <c r="C51" s="1290"/>
      <c r="D51" s="1274" t="n">
        <v>36982</v>
      </c>
      <c r="E51" s="1275" t="n">
        <v>32.25</v>
      </c>
      <c r="F51" s="1275" t="n">
        <v>33.25</v>
      </c>
      <c r="G51" s="1275" t="n">
        <v>36.75</v>
      </c>
      <c r="H51" s="1266"/>
      <c r="I51" s="1275" t="n">
        <v>16.4375</v>
      </c>
      <c r="J51" s="1275" t="n">
        <v>17.6875</v>
      </c>
      <c r="K51" s="1275" t="n">
        <v>20.1875</v>
      </c>
      <c r="M51" s="1276" t="n">
        <v>37865</v>
      </c>
      <c r="N51" s="1277" t="n">
        <v>64.1053290073095</v>
      </c>
      <c r="O51" s="1277" t="n">
        <v>65.6053290073095</v>
      </c>
      <c r="P51" s="1277" t="n">
        <v>70.1053290073095</v>
      </c>
      <c r="Q51" s="109"/>
      <c r="R51" s="1277" t="n">
        <v>47.7039967554821</v>
      </c>
      <c r="S51" s="1277" t="n">
        <v>49.2039967554821</v>
      </c>
      <c r="T51" s="1277" t="n">
        <v>53.7039967554821</v>
      </c>
      <c r="V51" s="1278" t="n">
        <v>0</v>
      </c>
      <c r="W51" s="1278" t="n">
        <v>0</v>
      </c>
      <c r="X51" s="1278" t="n">
        <v>0</v>
      </c>
      <c r="Y51" s="1288"/>
      <c r="Z51" s="1277" t="n">
        <v>0.155</v>
      </c>
      <c r="AA51" s="1277" t="n">
        <v>0.165</v>
      </c>
      <c r="AB51" s="1277" t="n">
        <v>0.175</v>
      </c>
      <c r="AC51" s="109"/>
      <c r="AD51" s="1277" t="n">
        <v>0.09</v>
      </c>
      <c r="AE51" s="1277" t="n">
        <v>0.11</v>
      </c>
      <c r="AF51" s="1277" t="n">
        <v>0.13</v>
      </c>
      <c r="AG51" s="109"/>
      <c r="AH51" s="1277" t="n">
        <v>-0.35</v>
      </c>
      <c r="AI51" s="1277" t="n">
        <v>3</v>
      </c>
      <c r="AJ51" s="1277" t="n">
        <v>0.2</v>
      </c>
      <c r="AK51" s="109"/>
      <c r="AL51" s="1277" t="n">
        <v>-0.01</v>
      </c>
      <c r="AM51" s="1277" t="n">
        <v>0.16</v>
      </c>
      <c r="AN51" s="1277" t="n">
        <v>0.01</v>
      </c>
      <c r="AO51" s="109"/>
      <c r="AP51" s="197" t="n">
        <v>14</v>
      </c>
      <c r="AQ51" s="1280" t="n">
        <v>0.35</v>
      </c>
      <c r="AR51" s="1288"/>
      <c r="AS51" s="1288" t="n">
        <v>4</v>
      </c>
      <c r="AT51" s="1289" t="n">
        <v>0.015</v>
      </c>
      <c r="AU51" s="197"/>
      <c r="AV51" s="1280" t="n">
        <v>0</v>
      </c>
      <c r="AW51" s="197"/>
      <c r="AX51" s="1288"/>
      <c r="AY51" s="1288"/>
      <c r="AZ51" s="1288"/>
      <c r="BA51" s="1288"/>
      <c r="BB51" s="1288"/>
      <c r="BC51" s="1288"/>
      <c r="BD51" s="1288"/>
      <c r="BE51" s="1288"/>
      <c r="BF51" s="1288"/>
      <c r="BG51" s="1288"/>
      <c r="BH51" s="1288"/>
      <c r="BI51" s="1288"/>
      <c r="BJ51" s="1288"/>
      <c r="BK51" s="1288"/>
      <c r="BL51" s="1288"/>
      <c r="BM51" s="1288"/>
      <c r="BN51" s="1288"/>
      <c r="BO51" s="1288"/>
      <c r="BP51" s="1288"/>
      <c r="BQ51" s="1237" t="n">
        <v>38018</v>
      </c>
      <c r="BR51" s="1238" t="n">
        <v>2.9005</v>
      </c>
      <c r="BS51" s="1238" t="n">
        <v>2.9055</v>
      </c>
      <c r="BT51" s="1238" t="n">
        <v>2.9105</v>
      </c>
      <c r="BU51" s="1239" t="n">
        <v>0.1895</v>
      </c>
      <c r="BV51" s="1239" t="n">
        <v>0.197</v>
      </c>
      <c r="BW51" s="1239" t="n">
        <v>0.2045</v>
      </c>
      <c r="BX51" s="1239" t="n">
        <v>-0.07</v>
      </c>
      <c r="BY51" s="1239"/>
      <c r="BZ51" s="1239" t="n">
        <v>0.07</v>
      </c>
      <c r="CA51" s="1243" t="n">
        <v>0</v>
      </c>
      <c r="CB51" s="1241" t="n">
        <v>0</v>
      </c>
      <c r="CC51" s="1242" t="n">
        <v>2.498</v>
      </c>
      <c r="CD51" s="1239" t="n">
        <v>0.1635</v>
      </c>
    </row>
    <row r="52" customFormat="false" ht="12.75" hidden="false" customHeight="false" outlineLevel="0" collapsed="false">
      <c r="A52" s="1237" t="n">
        <v>38139</v>
      </c>
      <c r="B52" s="1239" t="n">
        <v>0.071447550578454</v>
      </c>
      <c r="C52" s="1290"/>
      <c r="D52" s="1274" t="n">
        <v>37012</v>
      </c>
      <c r="E52" s="1275" t="n">
        <v>32.25</v>
      </c>
      <c r="F52" s="1275" t="n">
        <v>33.25</v>
      </c>
      <c r="G52" s="1275" t="n">
        <v>36.75</v>
      </c>
      <c r="H52" s="1266"/>
      <c r="I52" s="1275" t="n">
        <v>16.4959677419355</v>
      </c>
      <c r="J52" s="1275" t="n">
        <v>17.7459677419355</v>
      </c>
      <c r="K52" s="1275" t="n">
        <v>20.2459677419355</v>
      </c>
      <c r="M52" s="1276" t="n">
        <v>37895</v>
      </c>
      <c r="N52" s="1277" t="n">
        <v>37.4472436130058</v>
      </c>
      <c r="O52" s="1277" t="n">
        <v>38.9472436130058</v>
      </c>
      <c r="P52" s="1277" t="n">
        <v>43.4472436130058</v>
      </c>
      <c r="Q52" s="109"/>
      <c r="R52" s="1277" t="n">
        <v>27.7104327097543</v>
      </c>
      <c r="S52" s="1277" t="n">
        <v>29.2104327097543</v>
      </c>
      <c r="T52" s="1277" t="n">
        <v>33.7104327097543</v>
      </c>
      <c r="V52" s="1278" t="n">
        <v>0</v>
      </c>
      <c r="W52" s="1278" t="n">
        <v>0</v>
      </c>
      <c r="X52" s="1278" t="n">
        <v>0</v>
      </c>
      <c r="Y52" s="1288"/>
      <c r="Z52" s="1277" t="n">
        <v>0.155</v>
      </c>
      <c r="AA52" s="1277" t="n">
        <v>0.165</v>
      </c>
      <c r="AB52" s="1277" t="n">
        <v>0.175</v>
      </c>
      <c r="AC52" s="109"/>
      <c r="AD52" s="1277" t="n">
        <v>0.09</v>
      </c>
      <c r="AE52" s="1277" t="n">
        <v>0.11</v>
      </c>
      <c r="AF52" s="1277" t="n">
        <v>0.13</v>
      </c>
      <c r="AG52" s="109"/>
      <c r="AH52" s="1277" t="n">
        <v>-0.1</v>
      </c>
      <c r="AI52" s="1277" t="n">
        <v>0.6</v>
      </c>
      <c r="AJ52" s="1277" t="n">
        <v>0.1</v>
      </c>
      <c r="AK52" s="109"/>
      <c r="AL52" s="1277" t="n">
        <v>-0.01</v>
      </c>
      <c r="AM52" s="1277" t="n">
        <v>0.16</v>
      </c>
      <c r="AN52" s="1277" t="n">
        <v>0.01</v>
      </c>
      <c r="AO52" s="109"/>
      <c r="AP52" s="197" t="n">
        <v>15</v>
      </c>
      <c r="AQ52" s="1280" t="n">
        <v>0.35</v>
      </c>
      <c r="AR52" s="1288"/>
      <c r="AS52" s="1288" t="n">
        <v>5</v>
      </c>
      <c r="AT52" s="1289" t="n">
        <v>0.0175</v>
      </c>
      <c r="AU52" s="197"/>
      <c r="AV52" s="1280" t="n">
        <v>0</v>
      </c>
      <c r="AW52" s="197"/>
      <c r="AX52" s="1288"/>
      <c r="AY52" s="1288"/>
      <c r="AZ52" s="1288"/>
      <c r="BA52" s="1288"/>
      <c r="BB52" s="1288"/>
      <c r="BC52" s="1288"/>
      <c r="BD52" s="1288"/>
      <c r="BE52" s="1288"/>
      <c r="BF52" s="1288"/>
      <c r="BG52" s="1288"/>
      <c r="BH52" s="1288"/>
      <c r="BI52" s="1288"/>
      <c r="BJ52" s="1288"/>
      <c r="BK52" s="1288"/>
      <c r="BL52" s="1288"/>
      <c r="BM52" s="1288"/>
      <c r="BN52" s="1288"/>
      <c r="BO52" s="1288"/>
      <c r="BP52" s="1288"/>
      <c r="BQ52" s="1237" t="n">
        <v>38047</v>
      </c>
      <c r="BR52" s="1238" t="n">
        <v>2.7885</v>
      </c>
      <c r="BS52" s="1238" t="n">
        <v>2.7935</v>
      </c>
      <c r="BT52" s="1238" t="n">
        <v>2.7985</v>
      </c>
      <c r="BU52" s="1239" t="n">
        <v>0.1875</v>
      </c>
      <c r="BV52" s="1239" t="n">
        <v>0.195</v>
      </c>
      <c r="BW52" s="1239" t="n">
        <v>0.2025</v>
      </c>
      <c r="BX52" s="1239" t="n">
        <v>-0.07</v>
      </c>
      <c r="BY52" s="1239"/>
      <c r="BZ52" s="1239" t="n">
        <v>0.07</v>
      </c>
      <c r="CA52" s="1243" t="n">
        <v>0</v>
      </c>
      <c r="CB52" s="1241" t="n">
        <v>0</v>
      </c>
      <c r="CC52" s="1242" t="n">
        <v>2.503</v>
      </c>
      <c r="CD52" s="1239" t="n">
        <v>0.1635</v>
      </c>
    </row>
    <row r="53" customFormat="false" ht="12.75" hidden="false" customHeight="false" outlineLevel="0" collapsed="false">
      <c r="A53" s="1237" t="n">
        <v>38169</v>
      </c>
      <c r="B53" s="1239" t="n">
        <v>0.071464907126053</v>
      </c>
      <c r="C53" s="1290"/>
      <c r="D53" s="1274" t="n">
        <v>37043</v>
      </c>
      <c r="E53" s="1275" t="n">
        <v>37.5</v>
      </c>
      <c r="F53" s="1275" t="n">
        <v>38.5</v>
      </c>
      <c r="G53" s="1275" t="n">
        <v>42</v>
      </c>
      <c r="H53" s="1266"/>
      <c r="I53" s="1275" t="n">
        <v>15.75</v>
      </c>
      <c r="J53" s="1275" t="n">
        <v>17</v>
      </c>
      <c r="K53" s="1275" t="n">
        <v>19.5</v>
      </c>
      <c r="M53" s="1276" t="n">
        <v>37926</v>
      </c>
      <c r="N53" s="1277" t="n">
        <v>29.6972436130058</v>
      </c>
      <c r="O53" s="1277" t="n">
        <v>31.1972436130058</v>
      </c>
      <c r="P53" s="1277" t="n">
        <v>35.6972436130058</v>
      </c>
      <c r="Q53" s="109"/>
      <c r="R53" s="1277" t="n">
        <v>21.8979327097543</v>
      </c>
      <c r="S53" s="1277" t="n">
        <v>23.3979327097543</v>
      </c>
      <c r="T53" s="1277" t="n">
        <v>27.8979327097543</v>
      </c>
      <c r="V53" s="1278" t="n">
        <v>0</v>
      </c>
      <c r="W53" s="1278" t="n">
        <v>0</v>
      </c>
      <c r="X53" s="1278" t="n">
        <v>0</v>
      </c>
      <c r="Y53" s="1288"/>
      <c r="Z53" s="1277" t="n">
        <v>0.155</v>
      </c>
      <c r="AA53" s="1277" t="n">
        <v>0.165</v>
      </c>
      <c r="AB53" s="1277" t="n">
        <v>0.175</v>
      </c>
      <c r="AC53" s="109"/>
      <c r="AD53" s="1277" t="n">
        <v>0.09</v>
      </c>
      <c r="AE53" s="1277" t="n">
        <v>0.11</v>
      </c>
      <c r="AF53" s="1277" t="n">
        <v>0.13</v>
      </c>
      <c r="AG53" s="109"/>
      <c r="AH53" s="1277" t="n">
        <v>-0.1</v>
      </c>
      <c r="AI53" s="1277" t="n">
        <v>0.6</v>
      </c>
      <c r="AJ53" s="1277" t="n">
        <v>0.1</v>
      </c>
      <c r="AK53" s="109"/>
      <c r="AL53" s="1277" t="n">
        <v>-0.01</v>
      </c>
      <c r="AM53" s="1277" t="n">
        <v>0.16</v>
      </c>
      <c r="AN53" s="1277" t="n">
        <v>0.01</v>
      </c>
      <c r="AO53" s="109"/>
      <c r="AP53" s="197" t="n">
        <v>15</v>
      </c>
      <c r="AQ53" s="1280" t="n">
        <v>0.35</v>
      </c>
      <c r="AR53" s="1288"/>
      <c r="AS53" s="1288" t="n">
        <v>6</v>
      </c>
      <c r="AT53" s="1289" t="n">
        <v>0.025</v>
      </c>
      <c r="AU53" s="197"/>
      <c r="AV53" s="1280" t="n">
        <v>0</v>
      </c>
      <c r="AW53" s="197"/>
      <c r="AX53" s="1288"/>
      <c r="AY53" s="1288"/>
      <c r="AZ53" s="1288"/>
      <c r="BA53" s="1288"/>
      <c r="BB53" s="1288"/>
      <c r="BC53" s="1288"/>
      <c r="BD53" s="1288"/>
      <c r="BE53" s="1288"/>
      <c r="BF53" s="1288"/>
      <c r="BG53" s="1288"/>
      <c r="BH53" s="1288"/>
      <c r="BI53" s="1288"/>
      <c r="BJ53" s="1288"/>
      <c r="BK53" s="1288"/>
      <c r="BL53" s="1288"/>
      <c r="BM53" s="1288"/>
      <c r="BN53" s="1288"/>
      <c r="BO53" s="1288"/>
      <c r="BP53" s="1288"/>
      <c r="BQ53" s="1237" t="n">
        <v>38078</v>
      </c>
      <c r="BR53" s="1238" t="n">
        <v>2.6915</v>
      </c>
      <c r="BS53" s="1238" t="n">
        <v>2.6965</v>
      </c>
      <c r="BT53" s="1238" t="n">
        <v>2.7015</v>
      </c>
      <c r="BU53" s="1239" t="n">
        <v>0.1835</v>
      </c>
      <c r="BV53" s="1239" t="n">
        <v>0.191</v>
      </c>
      <c r="BW53" s="1239" t="n">
        <v>0.1985</v>
      </c>
      <c r="BX53" s="1239" t="n">
        <v>-0.07</v>
      </c>
      <c r="BY53" s="1239"/>
      <c r="BZ53" s="1239" t="n">
        <v>0.07</v>
      </c>
      <c r="CA53" s="1243" t="n">
        <v>0</v>
      </c>
      <c r="CB53" s="1241" t="n">
        <v>0</v>
      </c>
      <c r="CC53" s="1242" t="n">
        <v>2.506</v>
      </c>
      <c r="CD53" s="1239" t="n">
        <v>0.163</v>
      </c>
    </row>
    <row r="54" customFormat="false" ht="12.75" hidden="false" customHeight="false" outlineLevel="0" collapsed="false">
      <c r="A54" s="1237" t="n">
        <v>38200</v>
      </c>
      <c r="B54" s="1239" t="n">
        <v>0.071482842225343</v>
      </c>
      <c r="C54" s="1290"/>
      <c r="D54" s="1274" t="n">
        <v>37073</v>
      </c>
      <c r="E54" s="1275" t="n">
        <v>58.25</v>
      </c>
      <c r="F54" s="1275" t="n">
        <v>59.25</v>
      </c>
      <c r="G54" s="1275" t="n">
        <v>62.75</v>
      </c>
      <c r="H54" s="1266"/>
      <c r="I54" s="1275" t="n">
        <v>21.7741935483871</v>
      </c>
      <c r="J54" s="1275" t="n">
        <v>23.0241935483871</v>
      </c>
      <c r="K54" s="1275" t="n">
        <v>25.5241935483871</v>
      </c>
      <c r="M54" s="1276" t="n">
        <v>37956</v>
      </c>
      <c r="N54" s="1277" t="n">
        <v>31.6972436130058</v>
      </c>
      <c r="O54" s="1277" t="n">
        <v>33.1972436130058</v>
      </c>
      <c r="P54" s="1277" t="n">
        <v>37.6972436130058</v>
      </c>
      <c r="Q54" s="109"/>
      <c r="R54" s="1277" t="n">
        <v>23.3979327097543</v>
      </c>
      <c r="S54" s="1277" t="n">
        <v>24.8979327097543</v>
      </c>
      <c r="T54" s="1277" t="n">
        <v>29.3979327097543</v>
      </c>
      <c r="V54" s="1278" t="n">
        <v>0</v>
      </c>
      <c r="W54" s="1278" t="n">
        <v>0</v>
      </c>
      <c r="X54" s="1278" t="n">
        <v>0</v>
      </c>
      <c r="Y54" s="1288"/>
      <c r="Z54" s="1277" t="n">
        <v>0.155</v>
      </c>
      <c r="AA54" s="1277" t="n">
        <v>0.165</v>
      </c>
      <c r="AB54" s="1277" t="n">
        <v>0.175</v>
      </c>
      <c r="AC54" s="109"/>
      <c r="AD54" s="1277" t="n">
        <v>0.09</v>
      </c>
      <c r="AE54" s="1277" t="n">
        <v>0.11</v>
      </c>
      <c r="AF54" s="1277" t="n">
        <v>0.13</v>
      </c>
      <c r="AG54" s="109"/>
      <c r="AH54" s="1277" t="n">
        <v>-0.25</v>
      </c>
      <c r="AI54" s="1277" t="n">
        <v>0.6</v>
      </c>
      <c r="AJ54" s="1277" t="n">
        <v>0.25</v>
      </c>
      <c r="AK54" s="109"/>
      <c r="AL54" s="1277" t="n">
        <v>-0.01</v>
      </c>
      <c r="AM54" s="1277" t="n">
        <v>0.16</v>
      </c>
      <c r="AN54" s="1277" t="n">
        <v>0.01</v>
      </c>
      <c r="AO54" s="109"/>
      <c r="AP54" s="197" t="n">
        <v>15</v>
      </c>
      <c r="AQ54" s="1280" t="n">
        <v>0.35</v>
      </c>
      <c r="AR54" s="1288"/>
      <c r="AS54" s="1288" t="n">
        <v>7</v>
      </c>
      <c r="AT54" s="1289" t="n">
        <v>0.035</v>
      </c>
      <c r="AU54" s="197"/>
      <c r="AV54" s="1280" t="n">
        <v>0</v>
      </c>
      <c r="AW54" s="197"/>
      <c r="AX54" s="1288"/>
      <c r="AY54" s="1288"/>
      <c r="AZ54" s="1288"/>
      <c r="BA54" s="1288"/>
      <c r="BB54" s="1288"/>
      <c r="BC54" s="1288"/>
      <c r="BD54" s="1288"/>
      <c r="BE54" s="1288"/>
      <c r="BF54" s="1288"/>
      <c r="BG54" s="1288"/>
      <c r="BH54" s="1288"/>
      <c r="BI54" s="1288"/>
      <c r="BJ54" s="1288"/>
      <c r="BK54" s="1288"/>
      <c r="BL54" s="1288"/>
      <c r="BM54" s="1288"/>
      <c r="BN54" s="1288"/>
      <c r="BO54" s="1288"/>
      <c r="BP54" s="1288"/>
      <c r="BQ54" s="1237" t="n">
        <v>38108</v>
      </c>
      <c r="BR54" s="1238" t="n">
        <v>2.7065</v>
      </c>
      <c r="BS54" s="1238" t="n">
        <v>2.7115</v>
      </c>
      <c r="BT54" s="1238" t="n">
        <v>2.7165</v>
      </c>
      <c r="BU54" s="1239" t="n">
        <v>0.1835</v>
      </c>
      <c r="BV54" s="1239" t="n">
        <v>0.191</v>
      </c>
      <c r="BW54" s="1239" t="n">
        <v>0.1985</v>
      </c>
      <c r="BX54" s="1239" t="n">
        <v>-0.07</v>
      </c>
      <c r="BY54" s="1239"/>
      <c r="BZ54" s="1239" t="n">
        <v>0.07</v>
      </c>
      <c r="CA54" s="1243" t="n">
        <v>0</v>
      </c>
      <c r="CB54" s="1241" t="n">
        <v>0</v>
      </c>
      <c r="CC54" s="1242" t="n">
        <v>2.539</v>
      </c>
      <c r="CD54" s="1239" t="n">
        <v>0.163</v>
      </c>
    </row>
    <row r="55" customFormat="false" ht="12.75" hidden="false" customHeight="false" outlineLevel="0" collapsed="false">
      <c r="A55" s="1237" t="n">
        <v>38231</v>
      </c>
      <c r="B55" s="1239" t="n">
        <v>0.07150077732474</v>
      </c>
      <c r="C55" s="1290"/>
      <c r="D55" s="1274" t="n">
        <v>37104</v>
      </c>
      <c r="E55" s="1275" t="n">
        <v>78.875</v>
      </c>
      <c r="F55" s="1275" t="n">
        <v>79.875</v>
      </c>
      <c r="G55" s="1275" t="n">
        <v>83.375</v>
      </c>
      <c r="H55" s="1266"/>
      <c r="I55" s="1275" t="n">
        <v>19.7741935483871</v>
      </c>
      <c r="J55" s="1275" t="n">
        <v>21.0241935483871</v>
      </c>
      <c r="K55" s="1275" t="n">
        <v>23.5241935483871</v>
      </c>
      <c r="M55" s="1276" t="n">
        <v>37987</v>
      </c>
      <c r="N55" s="1277" t="n">
        <v>29.6156342417872</v>
      </c>
      <c r="O55" s="1277" t="n">
        <v>31.3656342417872</v>
      </c>
      <c r="P55" s="1277" t="n">
        <v>35.8656342417872</v>
      </c>
      <c r="Q55" s="109"/>
      <c r="R55" s="1277" t="n">
        <v>21.7742256813404</v>
      </c>
      <c r="S55" s="1277" t="n">
        <v>23.5242256813404</v>
      </c>
      <c r="T55" s="1277" t="n">
        <v>28.0242256813404</v>
      </c>
      <c r="V55" s="1278" t="n">
        <v>0</v>
      </c>
      <c r="W55" s="1278" t="n">
        <v>0</v>
      </c>
      <c r="X55" s="1278" t="n">
        <v>0</v>
      </c>
      <c r="Y55" s="1288"/>
      <c r="Z55" s="1277" t="n">
        <v>0.15</v>
      </c>
      <c r="AA55" s="1277" t="n">
        <v>0.16</v>
      </c>
      <c r="AB55" s="1277" t="n">
        <v>0.17</v>
      </c>
      <c r="AC55" s="109"/>
      <c r="AD55" s="1277" t="n">
        <v>0.09</v>
      </c>
      <c r="AE55" s="1277" t="n">
        <v>0.11</v>
      </c>
      <c r="AF55" s="1277" t="n">
        <v>0.13</v>
      </c>
      <c r="AG55" s="109"/>
      <c r="AH55" s="1277" t="n">
        <v>-0.25</v>
      </c>
      <c r="AI55" s="1277" t="n">
        <v>0.65</v>
      </c>
      <c r="AJ55" s="1277" t="n">
        <v>0.25</v>
      </c>
      <c r="AK55" s="109"/>
      <c r="AL55" s="1277" t="n">
        <v>-0.01</v>
      </c>
      <c r="AM55" s="1277" t="n">
        <v>0.16</v>
      </c>
      <c r="AN55" s="1277" t="n">
        <v>0.01</v>
      </c>
      <c r="AO55" s="109"/>
      <c r="AP55" s="197" t="n">
        <v>16</v>
      </c>
      <c r="AQ55" s="1280" t="n">
        <v>0.35</v>
      </c>
      <c r="AR55" s="1288"/>
      <c r="AS55" s="1288" t="n">
        <v>8</v>
      </c>
      <c r="AT55" s="1289" t="n">
        <v>0.04</v>
      </c>
      <c r="AU55" s="197"/>
      <c r="AV55" s="1280" t="n">
        <v>0</v>
      </c>
      <c r="AW55" s="197"/>
      <c r="AX55" s="1288"/>
      <c r="AY55" s="1288"/>
      <c r="AZ55" s="1288"/>
      <c r="BA55" s="1288"/>
      <c r="BB55" s="1288"/>
      <c r="BC55" s="1288"/>
      <c r="BD55" s="1288"/>
      <c r="BE55" s="1288"/>
      <c r="BF55" s="1288"/>
      <c r="BG55" s="1288"/>
      <c r="BH55" s="1288"/>
      <c r="BI55" s="1288"/>
      <c r="BJ55" s="1288"/>
      <c r="BK55" s="1288"/>
      <c r="BL55" s="1288"/>
      <c r="BM55" s="1288"/>
      <c r="BN55" s="1288"/>
      <c r="BO55" s="1288"/>
      <c r="BP55" s="1288"/>
      <c r="BQ55" s="1237" t="n">
        <v>38139</v>
      </c>
      <c r="BR55" s="1238" t="n">
        <v>2.7145</v>
      </c>
      <c r="BS55" s="1238" t="n">
        <v>2.7195</v>
      </c>
      <c r="BT55" s="1238" t="n">
        <v>2.7245</v>
      </c>
      <c r="BU55" s="1239" t="n">
        <v>0.1835</v>
      </c>
      <c r="BV55" s="1239" t="n">
        <v>0.191</v>
      </c>
      <c r="BW55" s="1239" t="n">
        <v>0.1985</v>
      </c>
      <c r="BX55" s="1239" t="n">
        <v>-0.07</v>
      </c>
      <c r="BY55" s="1239"/>
      <c r="BZ55" s="1239" t="n">
        <v>0.07</v>
      </c>
      <c r="CA55" s="1243" t="n">
        <v>0</v>
      </c>
      <c r="CB55" s="1241" t="n">
        <v>0</v>
      </c>
      <c r="CC55" s="1242" t="n">
        <v>2.68</v>
      </c>
      <c r="CD55" s="1239" t="n">
        <v>0.163</v>
      </c>
    </row>
    <row r="56" customFormat="false" ht="12.75" hidden="false" customHeight="false" outlineLevel="0" collapsed="false">
      <c r="A56" s="1237" t="n">
        <v>38261</v>
      </c>
      <c r="B56" s="1239" t="n">
        <v>0.071518133872644</v>
      </c>
      <c r="C56" s="1290"/>
      <c r="D56" s="1274" t="n">
        <v>37135</v>
      </c>
      <c r="E56" s="1275" t="n">
        <v>62.875</v>
      </c>
      <c r="F56" s="1275" t="n">
        <v>63.875</v>
      </c>
      <c r="G56" s="1275" t="n">
        <v>67.375</v>
      </c>
      <c r="H56" s="1266"/>
      <c r="I56" s="1275" t="n">
        <v>20.1875</v>
      </c>
      <c r="J56" s="1275" t="n">
        <v>21.4375</v>
      </c>
      <c r="K56" s="1275" t="n">
        <v>23.9375</v>
      </c>
      <c r="M56" s="1276" t="n">
        <v>38018</v>
      </c>
      <c r="N56" s="1277" t="n">
        <v>29.1156342417872</v>
      </c>
      <c r="O56" s="1277" t="n">
        <v>30.8656342417872</v>
      </c>
      <c r="P56" s="1277" t="n">
        <v>35.3656342417872</v>
      </c>
      <c r="Q56" s="109"/>
      <c r="R56" s="1277" t="n">
        <v>21.3992256813404</v>
      </c>
      <c r="S56" s="1277" t="n">
        <v>23.1492256813404</v>
      </c>
      <c r="T56" s="1277" t="n">
        <v>27.6492256813404</v>
      </c>
      <c r="V56" s="1278" t="n">
        <v>0</v>
      </c>
      <c r="W56" s="1278" t="n">
        <v>0</v>
      </c>
      <c r="X56" s="1278" t="n">
        <v>0</v>
      </c>
      <c r="Y56" s="1288"/>
      <c r="Z56" s="1277" t="n">
        <v>0.15</v>
      </c>
      <c r="AA56" s="1277" t="n">
        <v>0.16</v>
      </c>
      <c r="AB56" s="1277" t="n">
        <v>0.17</v>
      </c>
      <c r="AC56" s="109"/>
      <c r="AD56" s="1277" t="n">
        <v>0.09</v>
      </c>
      <c r="AE56" s="1277" t="n">
        <v>0.11</v>
      </c>
      <c r="AF56" s="1277" t="n">
        <v>0.13</v>
      </c>
      <c r="AG56" s="109"/>
      <c r="AH56" s="1277" t="n">
        <v>-0.25</v>
      </c>
      <c r="AI56" s="1277" t="n">
        <v>0.65</v>
      </c>
      <c r="AJ56" s="1277" t="n">
        <v>0.25</v>
      </c>
      <c r="AK56" s="109"/>
      <c r="AL56" s="1277" t="n">
        <v>-0.01</v>
      </c>
      <c r="AM56" s="1277" t="n">
        <v>0.16</v>
      </c>
      <c r="AN56" s="1277" t="n">
        <v>0.01</v>
      </c>
      <c r="AO56" s="109"/>
      <c r="AP56" s="197" t="n">
        <v>16</v>
      </c>
      <c r="AQ56" s="1280" t="n">
        <v>0.35</v>
      </c>
      <c r="AR56" s="1288"/>
      <c r="AS56" s="1288" t="n">
        <v>9</v>
      </c>
      <c r="AT56" s="1289" t="n">
        <v>0.055</v>
      </c>
      <c r="AU56" s="197"/>
      <c r="AV56" s="1280" t="n">
        <v>0</v>
      </c>
      <c r="AW56" s="197"/>
      <c r="AX56" s="1288"/>
      <c r="AY56" s="1288"/>
      <c r="AZ56" s="1288"/>
      <c r="BA56" s="1288"/>
      <c r="BB56" s="1288"/>
      <c r="BC56" s="1288"/>
      <c r="BD56" s="1288"/>
      <c r="BE56" s="1288"/>
      <c r="BF56" s="1288"/>
      <c r="BG56" s="1288"/>
      <c r="BH56" s="1288"/>
      <c r="BI56" s="1288"/>
      <c r="BJ56" s="1288"/>
      <c r="BK56" s="1288"/>
      <c r="BL56" s="1288"/>
      <c r="BM56" s="1288"/>
      <c r="BN56" s="1288"/>
      <c r="BO56" s="1288"/>
      <c r="BP56" s="1288"/>
      <c r="BQ56" s="1237" t="n">
        <v>38169</v>
      </c>
      <c r="BR56" s="1238" t="n">
        <v>2.7225</v>
      </c>
      <c r="BS56" s="1238" t="n">
        <v>2.7275</v>
      </c>
      <c r="BT56" s="1238" t="n">
        <v>2.7325</v>
      </c>
      <c r="BU56" s="1239" t="n">
        <v>0.1825</v>
      </c>
      <c r="BV56" s="1239" t="n">
        <v>0.19</v>
      </c>
      <c r="BW56" s="1239" t="n">
        <v>0.1975</v>
      </c>
      <c r="BX56" s="1239" t="n">
        <v>-0.07</v>
      </c>
      <c r="BY56" s="1239"/>
      <c r="BZ56" s="1239" t="n">
        <v>0.07</v>
      </c>
      <c r="CA56" s="1243" t="n">
        <v>0</v>
      </c>
      <c r="CB56" s="1241" t="n">
        <v>0</v>
      </c>
      <c r="CC56" s="1242" t="n">
        <v>2.825</v>
      </c>
      <c r="CD56" s="1239" t="n">
        <v>0.1635</v>
      </c>
    </row>
    <row r="57" customFormat="false" ht="12.75" hidden="false" customHeight="false" outlineLevel="0" collapsed="false">
      <c r="A57" s="1237" t="n">
        <v>38292</v>
      </c>
      <c r="B57" s="1239" t="n">
        <v>0.07153606897225</v>
      </c>
      <c r="C57" s="1290"/>
      <c r="D57" s="1274" t="n">
        <v>37165</v>
      </c>
      <c r="E57" s="1275" t="n">
        <v>40.25</v>
      </c>
      <c r="F57" s="1275" t="n">
        <v>41.25</v>
      </c>
      <c r="G57" s="1275" t="n">
        <v>44.75</v>
      </c>
      <c r="H57" s="1266"/>
      <c r="I57" s="1275" t="n">
        <v>19.7016129032258</v>
      </c>
      <c r="J57" s="1275" t="n">
        <v>20.9516129032258</v>
      </c>
      <c r="K57" s="1275" t="n">
        <v>23.4516129032258</v>
      </c>
      <c r="M57" s="1276" t="n">
        <v>38047</v>
      </c>
      <c r="N57" s="1277" t="n">
        <v>28.3656342417872</v>
      </c>
      <c r="O57" s="1277" t="n">
        <v>30.1156342417872</v>
      </c>
      <c r="P57" s="1277" t="n">
        <v>34.6156342417872</v>
      </c>
      <c r="Q57" s="109"/>
      <c r="R57" s="1277" t="n">
        <v>20.8367256813404</v>
      </c>
      <c r="S57" s="1277" t="n">
        <v>22.5867256813404</v>
      </c>
      <c r="T57" s="1277" t="n">
        <v>27.0867256813404</v>
      </c>
      <c r="V57" s="1278" t="n">
        <v>0</v>
      </c>
      <c r="W57" s="1278" t="n">
        <v>0</v>
      </c>
      <c r="X57" s="1278" t="n">
        <v>0</v>
      </c>
      <c r="Y57" s="1288"/>
      <c r="Z57" s="1277" t="n">
        <v>0.15</v>
      </c>
      <c r="AA57" s="1277" t="n">
        <v>0.16</v>
      </c>
      <c r="AB57" s="1277" t="n">
        <v>0.17</v>
      </c>
      <c r="AC57" s="109"/>
      <c r="AD57" s="1277" t="n">
        <v>0.09</v>
      </c>
      <c r="AE57" s="1277" t="n">
        <v>0.11</v>
      </c>
      <c r="AF57" s="1277" t="n">
        <v>0.13</v>
      </c>
      <c r="AG57" s="109"/>
      <c r="AH57" s="1277" t="n">
        <v>-0.1</v>
      </c>
      <c r="AI57" s="1277" t="n">
        <v>0.65</v>
      </c>
      <c r="AJ57" s="1277" t="n">
        <v>0.1</v>
      </c>
      <c r="AK57" s="109"/>
      <c r="AL57" s="1277" t="n">
        <v>-0.01</v>
      </c>
      <c r="AM57" s="1277" t="n">
        <v>0.16</v>
      </c>
      <c r="AN57" s="1277" t="n">
        <v>0.01</v>
      </c>
      <c r="AO57" s="109"/>
      <c r="AP57" s="197" t="n">
        <v>16</v>
      </c>
      <c r="AQ57" s="1280" t="n">
        <v>0.35</v>
      </c>
      <c r="AR57" s="1288"/>
      <c r="AS57" s="1288" t="n">
        <v>10</v>
      </c>
      <c r="AT57" s="1289" t="n">
        <v>0.07</v>
      </c>
      <c r="AU57" s="197"/>
      <c r="AV57" s="197"/>
      <c r="AW57" s="197"/>
      <c r="AX57" s="1288"/>
      <c r="AY57" s="1288"/>
      <c r="AZ57" s="1288"/>
      <c r="BA57" s="1288"/>
      <c r="BB57" s="1288"/>
      <c r="BC57" s="1288"/>
      <c r="BD57" s="1288"/>
      <c r="BE57" s="1288"/>
      <c r="BF57" s="1288"/>
      <c r="BG57" s="1288"/>
      <c r="BH57" s="1288"/>
      <c r="BI57" s="1288"/>
      <c r="BJ57" s="1288"/>
      <c r="BK57" s="1288"/>
      <c r="BL57" s="1288"/>
      <c r="BM57" s="1288"/>
      <c r="BN57" s="1288"/>
      <c r="BO57" s="1288"/>
      <c r="BP57" s="1288"/>
      <c r="BQ57" s="1237" t="n">
        <v>38200</v>
      </c>
      <c r="BR57" s="1238" t="n">
        <v>2.7315</v>
      </c>
      <c r="BS57" s="1238" t="n">
        <v>2.7365</v>
      </c>
      <c r="BT57" s="1238" t="n">
        <v>2.7415</v>
      </c>
      <c r="BU57" s="1239" t="n">
        <v>0.1825</v>
      </c>
      <c r="BV57" s="1239" t="n">
        <v>0.19</v>
      </c>
      <c r="BW57" s="1239" t="n">
        <v>0.1975</v>
      </c>
      <c r="BX57" s="1239" t="n">
        <v>-0.07</v>
      </c>
      <c r="BY57" s="1239"/>
      <c r="BZ57" s="1239" t="n">
        <v>0.07</v>
      </c>
      <c r="CA57" s="1243" t="n">
        <v>0</v>
      </c>
      <c r="CB57" s="1241" t="n">
        <v>0</v>
      </c>
      <c r="CC57" s="1242" t="n">
        <v>2.874</v>
      </c>
      <c r="CD57" s="1239" t="n">
        <v>0.1635</v>
      </c>
    </row>
    <row r="58" customFormat="false" ht="12.75" hidden="false" customHeight="false" outlineLevel="0" collapsed="false">
      <c r="A58" s="1237" t="n">
        <v>38322</v>
      </c>
      <c r="B58" s="1239" t="n">
        <v>0.071553425520356</v>
      </c>
      <c r="C58" s="1290"/>
      <c r="D58" s="1274" t="n">
        <v>37196</v>
      </c>
      <c r="E58" s="1275" t="n">
        <v>32.5</v>
      </c>
      <c r="F58" s="1275" t="n">
        <v>33.5</v>
      </c>
      <c r="G58" s="1275" t="n">
        <v>37</v>
      </c>
      <c r="H58" s="1266"/>
      <c r="I58" s="1275" t="n">
        <v>21.0416666666667</v>
      </c>
      <c r="J58" s="1275" t="n">
        <v>22.2916666666667</v>
      </c>
      <c r="K58" s="1275" t="n">
        <v>24.7916666666667</v>
      </c>
      <c r="M58" s="1276" t="n">
        <v>38078</v>
      </c>
      <c r="N58" s="1277" t="n">
        <v>28.1487747630142</v>
      </c>
      <c r="O58" s="1277" t="n">
        <v>29.8987747630142</v>
      </c>
      <c r="P58" s="1277" t="n">
        <v>34.3987747630142</v>
      </c>
      <c r="Q58" s="109"/>
      <c r="R58" s="1277" t="n">
        <v>20.6740810722607</v>
      </c>
      <c r="S58" s="1277" t="n">
        <v>22.4240810722607</v>
      </c>
      <c r="T58" s="1277" t="n">
        <v>26.9240810722607</v>
      </c>
      <c r="V58" s="1278" t="n">
        <v>0</v>
      </c>
      <c r="W58" s="1278" t="n">
        <v>0</v>
      </c>
      <c r="X58" s="1278" t="n">
        <v>0</v>
      </c>
      <c r="Y58" s="1288"/>
      <c r="Z58" s="1277" t="n">
        <v>0.15</v>
      </c>
      <c r="AA58" s="1277" t="n">
        <v>0.16</v>
      </c>
      <c r="AB58" s="1277" t="n">
        <v>0.17</v>
      </c>
      <c r="AC58" s="109"/>
      <c r="AD58" s="1277" t="n">
        <v>0.09</v>
      </c>
      <c r="AE58" s="1277" t="n">
        <v>0.11</v>
      </c>
      <c r="AF58" s="1277" t="n">
        <v>0.13</v>
      </c>
      <c r="AG58" s="109"/>
      <c r="AH58" s="1277" t="n">
        <v>-0.1</v>
      </c>
      <c r="AI58" s="1277" t="n">
        <v>0.65</v>
      </c>
      <c r="AJ58" s="1277" t="n">
        <v>0.1</v>
      </c>
      <c r="AK58" s="109"/>
      <c r="AL58" s="1277" t="n">
        <v>-0.01</v>
      </c>
      <c r="AM58" s="1277" t="n">
        <v>0.16</v>
      </c>
      <c r="AN58" s="1277" t="n">
        <v>0.01</v>
      </c>
      <c r="AO58" s="109"/>
      <c r="AP58" s="197" t="n">
        <v>17</v>
      </c>
      <c r="AQ58" s="1280" t="n">
        <v>0.35</v>
      </c>
      <c r="AR58" s="1288"/>
      <c r="AS58" s="1288"/>
      <c r="AT58" s="1288"/>
      <c r="AU58" s="1288"/>
      <c r="AV58" s="1288"/>
      <c r="AW58" s="1288"/>
      <c r="AX58" s="1288"/>
      <c r="AY58" s="1288"/>
      <c r="AZ58" s="1288"/>
      <c r="BA58" s="1288"/>
      <c r="BB58" s="1288"/>
      <c r="BC58" s="1288"/>
      <c r="BD58" s="1288"/>
      <c r="BE58" s="1288"/>
      <c r="BF58" s="1288"/>
      <c r="BG58" s="1288"/>
      <c r="BH58" s="1288"/>
      <c r="BI58" s="1288"/>
      <c r="BJ58" s="1288"/>
      <c r="BK58" s="1288"/>
      <c r="BL58" s="1288"/>
      <c r="BM58" s="1288"/>
      <c r="BN58" s="1288"/>
      <c r="BO58" s="1288"/>
      <c r="BP58" s="1288"/>
      <c r="BQ58" s="1237" t="n">
        <v>38231</v>
      </c>
      <c r="BR58" s="1238" t="n">
        <v>2.7375</v>
      </c>
      <c r="BS58" s="1238" t="n">
        <v>2.7425</v>
      </c>
      <c r="BT58" s="1238" t="n">
        <v>2.7475</v>
      </c>
      <c r="BU58" s="1239" t="n">
        <v>0.1825</v>
      </c>
      <c r="BV58" s="1239" t="n">
        <v>0.19</v>
      </c>
      <c r="BW58" s="1239" t="n">
        <v>0.1975</v>
      </c>
      <c r="BX58" s="1239" t="n">
        <v>-0.07</v>
      </c>
      <c r="BY58" s="1239"/>
      <c r="BZ58" s="1239" t="n">
        <v>0.07</v>
      </c>
      <c r="CA58" s="1243" t="n">
        <v>0</v>
      </c>
      <c r="CB58" s="1241" t="n">
        <v>0</v>
      </c>
      <c r="CC58" s="1242" t="n">
        <v>2.749</v>
      </c>
      <c r="CD58" s="1239" t="n">
        <v>0.162</v>
      </c>
    </row>
    <row r="59" customFormat="false" ht="12.75" hidden="false" customHeight="false" outlineLevel="0" collapsed="false">
      <c r="A59" s="1237" t="n">
        <v>38353</v>
      </c>
      <c r="B59" s="1239" t="n">
        <v>0.071571360620171</v>
      </c>
      <c r="C59" s="1290"/>
      <c r="D59" s="1274" t="n">
        <v>37226</v>
      </c>
      <c r="E59" s="1275" t="n">
        <v>34.5</v>
      </c>
      <c r="F59" s="1275" t="n">
        <v>35.5</v>
      </c>
      <c r="G59" s="1275" t="n">
        <v>39</v>
      </c>
      <c r="H59" s="1266"/>
      <c r="I59" s="1275" t="n">
        <v>20.3467741935484</v>
      </c>
      <c r="J59" s="1275" t="n">
        <v>21.5967741935484</v>
      </c>
      <c r="K59" s="1275" t="n">
        <v>24.0967741935484</v>
      </c>
      <c r="M59" s="1276" t="n">
        <v>38108</v>
      </c>
      <c r="N59" s="1277" t="n">
        <v>28.1487747630142</v>
      </c>
      <c r="O59" s="1277" t="n">
        <v>29.8987747630142</v>
      </c>
      <c r="P59" s="1277" t="n">
        <v>34.3987747630142</v>
      </c>
      <c r="Q59" s="109"/>
      <c r="R59" s="1277" t="n">
        <v>20.6740810722607</v>
      </c>
      <c r="S59" s="1277" t="n">
        <v>22.4240810722607</v>
      </c>
      <c r="T59" s="1277" t="n">
        <v>26.9240810722607</v>
      </c>
      <c r="V59" s="1278" t="n">
        <v>0</v>
      </c>
      <c r="W59" s="1278" t="n">
        <v>0</v>
      </c>
      <c r="X59" s="1278" t="n">
        <v>0</v>
      </c>
      <c r="Y59" s="1288"/>
      <c r="Z59" s="1277" t="n">
        <v>0.15</v>
      </c>
      <c r="AA59" s="1277" t="n">
        <v>0.16</v>
      </c>
      <c r="AB59" s="1277" t="n">
        <v>0.17</v>
      </c>
      <c r="AC59" s="109"/>
      <c r="AD59" s="1277" t="n">
        <v>0.09</v>
      </c>
      <c r="AE59" s="1277" t="n">
        <v>0.11</v>
      </c>
      <c r="AF59" s="1277" t="n">
        <v>0.13</v>
      </c>
      <c r="AG59" s="109"/>
      <c r="AH59" s="1277" t="n">
        <v>-0.1</v>
      </c>
      <c r="AI59" s="1277" t="n">
        <v>0.65</v>
      </c>
      <c r="AJ59" s="1277" t="n">
        <v>0.1</v>
      </c>
      <c r="AK59" s="109"/>
      <c r="AL59" s="1277" t="n">
        <v>-0.01</v>
      </c>
      <c r="AM59" s="1277" t="n">
        <v>0.16</v>
      </c>
      <c r="AN59" s="1277" t="n">
        <v>0.01</v>
      </c>
      <c r="AO59" s="109"/>
      <c r="AP59" s="197" t="n">
        <v>17</v>
      </c>
      <c r="AQ59" s="1280" t="n">
        <v>0.35</v>
      </c>
      <c r="AR59" s="1288"/>
      <c r="AS59" s="1288"/>
      <c r="AT59" s="1288"/>
      <c r="AU59" s="1288"/>
      <c r="AV59" s="1288"/>
      <c r="AW59" s="1288"/>
      <c r="AX59" s="1288"/>
      <c r="AY59" s="1288"/>
      <c r="AZ59" s="1288"/>
      <c r="BA59" s="1288"/>
      <c r="BB59" s="1288"/>
      <c r="BC59" s="1288"/>
      <c r="BD59" s="1288"/>
      <c r="BE59" s="1288"/>
      <c r="BF59" s="1288"/>
      <c r="BG59" s="1288"/>
      <c r="BH59" s="1288"/>
      <c r="BI59" s="1288"/>
      <c r="BJ59" s="1288"/>
      <c r="BK59" s="1288"/>
      <c r="BL59" s="1288"/>
      <c r="BM59" s="1288"/>
      <c r="BN59" s="1288"/>
      <c r="BO59" s="1288"/>
      <c r="BP59" s="1288"/>
      <c r="BQ59" s="1237" t="n">
        <v>38261</v>
      </c>
      <c r="BR59" s="1238" t="n">
        <v>2.7635</v>
      </c>
      <c r="BS59" s="1238" t="n">
        <v>2.7685</v>
      </c>
      <c r="BT59" s="1238" t="n">
        <v>2.7735</v>
      </c>
      <c r="BU59" s="1239" t="n">
        <v>0.1825</v>
      </c>
      <c r="BV59" s="1239" t="n">
        <v>0.19</v>
      </c>
      <c r="BW59" s="1239" t="n">
        <v>0.1975</v>
      </c>
      <c r="BX59" s="1239" t="n">
        <v>-0.07</v>
      </c>
      <c r="BY59" s="1239"/>
      <c r="BZ59" s="1239" t="n">
        <v>0.07</v>
      </c>
      <c r="CA59" s="1243" t="n">
        <v>0</v>
      </c>
      <c r="CB59" s="1241" t="n">
        <v>0</v>
      </c>
      <c r="CC59" s="1242" t="n">
        <v>2.642</v>
      </c>
      <c r="CD59" s="1239" t="n">
        <v>0.1595</v>
      </c>
    </row>
    <row r="60" customFormat="false" ht="12.75" hidden="false" customHeight="false" outlineLevel="0" collapsed="false">
      <c r="A60" s="1237" t="n">
        <v>38384</v>
      </c>
      <c r="B60" s="1239" t="n">
        <v>0.071589295720092</v>
      </c>
      <c r="C60" s="1290"/>
      <c r="D60" s="1274" t="n">
        <v>37257</v>
      </c>
      <c r="E60" s="1275" t="n">
        <v>32.3256408423175</v>
      </c>
      <c r="F60" s="1275" t="n">
        <v>33.5756408423175</v>
      </c>
      <c r="G60" s="1275" t="n">
        <v>38.0756408423175</v>
      </c>
      <c r="H60" s="1266"/>
      <c r="I60" s="1275" t="n">
        <v>18.1881191510522</v>
      </c>
      <c r="J60" s="1275" t="n">
        <v>19.4381191510522</v>
      </c>
      <c r="K60" s="1275" t="n">
        <v>22.4381191510522</v>
      </c>
      <c r="M60" s="1276" t="n">
        <v>38139</v>
      </c>
      <c r="N60" s="1277" t="n">
        <v>33.3987747630142</v>
      </c>
      <c r="O60" s="1277" t="n">
        <v>35.1487747630142</v>
      </c>
      <c r="P60" s="1277" t="n">
        <v>39.6487747630142</v>
      </c>
      <c r="Q60" s="109"/>
      <c r="R60" s="1277" t="n">
        <v>24.6115810722607</v>
      </c>
      <c r="S60" s="1277" t="n">
        <v>26.3615810722607</v>
      </c>
      <c r="T60" s="1277" t="n">
        <v>30.8615810722607</v>
      </c>
      <c r="V60" s="1278" t="n">
        <v>0</v>
      </c>
      <c r="W60" s="1278" t="n">
        <v>0</v>
      </c>
      <c r="X60" s="1278" t="n">
        <v>0</v>
      </c>
      <c r="Y60" s="1288"/>
      <c r="Z60" s="1277" t="n">
        <v>0.15</v>
      </c>
      <c r="AA60" s="1277" t="n">
        <v>0.16</v>
      </c>
      <c r="AB60" s="1277" t="n">
        <v>0.17</v>
      </c>
      <c r="AC60" s="109"/>
      <c r="AD60" s="1277" t="n">
        <v>0.09</v>
      </c>
      <c r="AE60" s="1277" t="n">
        <v>0.11</v>
      </c>
      <c r="AF60" s="1277" t="n">
        <v>0.13</v>
      </c>
      <c r="AG60" s="109"/>
      <c r="AH60" s="1277" t="n">
        <v>-0.35</v>
      </c>
      <c r="AI60" s="1277" t="n">
        <v>0.65</v>
      </c>
      <c r="AJ60" s="1277" t="n">
        <v>0.2</v>
      </c>
      <c r="AK60" s="109"/>
      <c r="AL60" s="1277" t="n">
        <v>-0.01</v>
      </c>
      <c r="AM60" s="1277" t="n">
        <v>0.16</v>
      </c>
      <c r="AN60" s="1277" t="n">
        <v>0.01</v>
      </c>
      <c r="AO60" s="109"/>
      <c r="AP60" s="197" t="n">
        <v>17</v>
      </c>
      <c r="AQ60" s="1280" t="n">
        <v>0.35</v>
      </c>
      <c r="AR60" s="1288"/>
      <c r="AS60" s="1288"/>
      <c r="AT60" s="1288"/>
      <c r="AU60" s="1288"/>
      <c r="AV60" s="1288"/>
      <c r="AW60" s="1288"/>
      <c r="AX60" s="1288"/>
      <c r="AY60" s="1288"/>
      <c r="AZ60" s="1288"/>
      <c r="BA60" s="1288"/>
      <c r="BB60" s="1288"/>
      <c r="BC60" s="1288"/>
      <c r="BD60" s="1288"/>
      <c r="BE60" s="1288"/>
      <c r="BF60" s="1288"/>
      <c r="BG60" s="1288"/>
      <c r="BH60" s="1288"/>
      <c r="BI60" s="1288"/>
      <c r="BJ60" s="1288"/>
      <c r="BK60" s="1288"/>
      <c r="BL60" s="1288"/>
      <c r="BM60" s="1288"/>
      <c r="BN60" s="1288"/>
      <c r="BO60" s="1288"/>
      <c r="BP60" s="1288"/>
      <c r="BQ60" s="1237" t="n">
        <v>38292</v>
      </c>
      <c r="BR60" s="1238" t="n">
        <v>2.8915</v>
      </c>
      <c r="BS60" s="1238" t="n">
        <v>2.8965</v>
      </c>
      <c r="BT60" s="1238" t="n">
        <v>2.9015</v>
      </c>
      <c r="BU60" s="1239" t="n">
        <v>0.1825</v>
      </c>
      <c r="BV60" s="1239" t="n">
        <v>0.19</v>
      </c>
      <c r="BW60" s="1239" t="n">
        <v>0.1975</v>
      </c>
      <c r="BX60" s="1239" t="n">
        <v>-0.07</v>
      </c>
      <c r="BY60" s="1239"/>
      <c r="BZ60" s="1239" t="n">
        <v>0.07</v>
      </c>
      <c r="CA60" s="1243" t="n">
        <v>0</v>
      </c>
      <c r="CB60" s="1241" t="n">
        <v>0</v>
      </c>
      <c r="CC60" s="1242" t="n">
        <v>2.539</v>
      </c>
      <c r="CD60" s="1239" t="n">
        <v>0.157</v>
      </c>
    </row>
    <row r="61" customFormat="false" ht="12.75" hidden="false" customHeight="false" outlineLevel="0" collapsed="false">
      <c r="A61" s="1237" t="n">
        <v>38412</v>
      </c>
      <c r="B61" s="1239" t="n">
        <v>0.071605495165273</v>
      </c>
      <c r="C61" s="1290"/>
      <c r="D61" s="1274" t="n">
        <v>37288</v>
      </c>
      <c r="E61" s="1275" t="n">
        <v>31.8256408423175</v>
      </c>
      <c r="F61" s="1275" t="n">
        <v>33.0756408423175</v>
      </c>
      <c r="G61" s="1275" t="n">
        <v>37.5756408423175</v>
      </c>
      <c r="H61" s="1266"/>
      <c r="I61" s="1275" t="n">
        <v>19.1571428571429</v>
      </c>
      <c r="J61" s="1275" t="n">
        <v>20.4071428571429</v>
      </c>
      <c r="K61" s="1275" t="n">
        <v>23.4071428571429</v>
      </c>
      <c r="M61" s="1276" t="n">
        <v>38169</v>
      </c>
      <c r="N61" s="1277" t="n">
        <v>59.708599050712</v>
      </c>
      <c r="O61" s="1277" t="n">
        <v>61.458599050712</v>
      </c>
      <c r="P61" s="1277" t="n">
        <v>65.958599050712</v>
      </c>
      <c r="Q61" s="109"/>
      <c r="R61" s="1277" t="n">
        <v>44.343949288034</v>
      </c>
      <c r="S61" s="1277" t="n">
        <v>46.093949288034</v>
      </c>
      <c r="T61" s="1277" t="n">
        <v>50.593949288034</v>
      </c>
      <c r="V61" s="1278" t="n">
        <v>0</v>
      </c>
      <c r="W61" s="1278" t="n">
        <v>0</v>
      </c>
      <c r="X61" s="1278" t="n">
        <v>0</v>
      </c>
      <c r="Y61" s="1288"/>
      <c r="Z61" s="1277" t="n">
        <v>0.15</v>
      </c>
      <c r="AA61" s="1277" t="n">
        <v>0.16</v>
      </c>
      <c r="AB61" s="1277" t="n">
        <v>0.17</v>
      </c>
      <c r="AC61" s="109"/>
      <c r="AD61" s="1277" t="n">
        <v>0.09</v>
      </c>
      <c r="AE61" s="1277" t="n">
        <v>0.11</v>
      </c>
      <c r="AF61" s="1277" t="n">
        <v>0.13</v>
      </c>
      <c r="AG61" s="109"/>
      <c r="AH61" s="1277" t="n">
        <v>-0.35</v>
      </c>
      <c r="AI61" s="1277" t="n">
        <v>3</v>
      </c>
      <c r="AJ61" s="1277" t="n">
        <v>0.35</v>
      </c>
      <c r="AK61" s="109"/>
      <c r="AL61" s="1277" t="n">
        <v>-0.01</v>
      </c>
      <c r="AM61" s="1277" t="n">
        <v>0.16</v>
      </c>
      <c r="AN61" s="1277" t="n">
        <v>0.01</v>
      </c>
      <c r="AO61" s="109"/>
      <c r="AP61" s="197" t="n">
        <v>18</v>
      </c>
      <c r="AQ61" s="1280" t="n">
        <v>0.35</v>
      </c>
      <c r="AR61" s="1288"/>
      <c r="AS61" s="1288"/>
      <c r="AT61" s="1288"/>
      <c r="AU61" s="1288"/>
      <c r="AV61" s="1288"/>
      <c r="AW61" s="1288"/>
      <c r="AX61" s="1288"/>
      <c r="AY61" s="1288"/>
      <c r="AZ61" s="1288"/>
      <c r="BA61" s="1288"/>
      <c r="BB61" s="1288"/>
      <c r="BC61" s="1288"/>
      <c r="BD61" s="1288"/>
      <c r="BE61" s="1288"/>
      <c r="BF61" s="1288"/>
      <c r="BG61" s="1288"/>
      <c r="BH61" s="1288"/>
      <c r="BI61" s="1288"/>
      <c r="BJ61" s="1288"/>
      <c r="BK61" s="1288"/>
      <c r="BL61" s="1288"/>
      <c r="BM61" s="1288"/>
      <c r="BN61" s="1288"/>
      <c r="BO61" s="1288"/>
      <c r="BP61" s="1288"/>
      <c r="BQ61" s="1237" t="n">
        <v>38322</v>
      </c>
      <c r="BR61" s="1238" t="n">
        <v>3.0115</v>
      </c>
      <c r="BS61" s="1238" t="n">
        <v>3.0165</v>
      </c>
      <c r="BT61" s="1238" t="n">
        <v>3.0215</v>
      </c>
      <c r="BU61" s="1239" t="n">
        <v>0.1835</v>
      </c>
      <c r="BV61" s="1239" t="n">
        <v>0.191</v>
      </c>
      <c r="BW61" s="1239" t="n">
        <v>0.1985</v>
      </c>
      <c r="BX61" s="1239" t="n">
        <v>-0.07</v>
      </c>
      <c r="BY61" s="1239"/>
      <c r="BZ61" s="1239" t="n">
        <v>0.07</v>
      </c>
      <c r="CA61" s="1243" t="n">
        <v>0</v>
      </c>
      <c r="CB61" s="1241" t="n">
        <v>0</v>
      </c>
      <c r="CC61" s="1242" t="n">
        <v>2.515</v>
      </c>
      <c r="CD61" s="1239" t="n">
        <v>0.155</v>
      </c>
    </row>
    <row r="62" customFormat="false" ht="12.75" hidden="false" customHeight="false" outlineLevel="0" collapsed="false">
      <c r="A62" s="1237" t="n">
        <v>38443</v>
      </c>
      <c r="B62" s="1239" t="n">
        <v>0.071623430265396</v>
      </c>
      <c r="C62" s="1290"/>
      <c r="D62" s="1274" t="n">
        <v>37316</v>
      </c>
      <c r="E62" s="1275" t="n">
        <v>31.5756408423175</v>
      </c>
      <c r="F62" s="1275" t="n">
        <v>32.8256408423175</v>
      </c>
      <c r="G62" s="1275" t="n">
        <v>37.3256408423175</v>
      </c>
      <c r="H62" s="1266"/>
      <c r="I62" s="1275" t="n">
        <v>19.4370967741936</v>
      </c>
      <c r="J62" s="1275" t="n">
        <v>20.6870967741936</v>
      </c>
      <c r="K62" s="1275" t="n">
        <v>23.6870967741936</v>
      </c>
      <c r="M62" s="1276" t="n">
        <v>38200</v>
      </c>
      <c r="N62" s="1277" t="n">
        <v>80.333599050712</v>
      </c>
      <c r="O62" s="1277" t="n">
        <v>82.083599050712</v>
      </c>
      <c r="P62" s="1277" t="n">
        <v>86.583599050712</v>
      </c>
      <c r="Q62" s="109"/>
      <c r="R62" s="1277" t="n">
        <v>59.812699288034</v>
      </c>
      <c r="S62" s="1277" t="n">
        <v>61.562699288034</v>
      </c>
      <c r="T62" s="1277" t="n">
        <v>66.062699288034</v>
      </c>
      <c r="V62" s="1278" t="n">
        <v>0</v>
      </c>
      <c r="W62" s="1278" t="n">
        <v>0</v>
      </c>
      <c r="X62" s="1278" t="n">
        <v>0</v>
      </c>
      <c r="Y62" s="1288"/>
      <c r="Z62" s="1277" t="n">
        <v>0.15</v>
      </c>
      <c r="AA62" s="1277" t="n">
        <v>0.16</v>
      </c>
      <c r="AB62" s="1277" t="n">
        <v>0.17</v>
      </c>
      <c r="AC62" s="109"/>
      <c r="AD62" s="1277" t="n">
        <v>0.09</v>
      </c>
      <c r="AE62" s="1277" t="n">
        <v>0.11</v>
      </c>
      <c r="AF62" s="1277" t="n">
        <v>0.13</v>
      </c>
      <c r="AG62" s="109"/>
      <c r="AH62" s="1277" t="n">
        <v>-0.35</v>
      </c>
      <c r="AI62" s="1277" t="n">
        <v>3</v>
      </c>
      <c r="AJ62" s="1277" t="n">
        <v>0.35</v>
      </c>
      <c r="AK62" s="109"/>
      <c r="AL62" s="1277" t="n">
        <v>-0.01</v>
      </c>
      <c r="AM62" s="1277" t="n">
        <v>0.16</v>
      </c>
      <c r="AN62" s="1277" t="n">
        <v>0.01</v>
      </c>
      <c r="AO62" s="109"/>
      <c r="AP62" s="197" t="n">
        <v>18</v>
      </c>
      <c r="AQ62" s="1280" t="n">
        <v>0.35</v>
      </c>
      <c r="AR62" s="1288"/>
      <c r="AS62" s="1288"/>
      <c r="AT62" s="1288"/>
      <c r="AU62" s="1288"/>
      <c r="AV62" s="1288"/>
      <c r="AW62" s="1288"/>
      <c r="AX62" s="1288"/>
      <c r="AY62" s="1288"/>
      <c r="AZ62" s="1288"/>
      <c r="BA62" s="1288"/>
      <c r="BB62" s="1288"/>
      <c r="BC62" s="1288"/>
      <c r="BD62" s="1288"/>
      <c r="BE62" s="1288"/>
      <c r="BF62" s="1288"/>
      <c r="BG62" s="1288"/>
      <c r="BH62" s="1288"/>
      <c r="BI62" s="1288"/>
      <c r="BJ62" s="1288"/>
      <c r="BK62" s="1288"/>
      <c r="BL62" s="1288"/>
      <c r="BM62" s="1288"/>
      <c r="BN62" s="1288"/>
      <c r="BO62" s="1288"/>
      <c r="BP62" s="1288"/>
      <c r="BQ62" s="1237" t="n">
        <v>38353</v>
      </c>
      <c r="BR62" s="1238" t="n">
        <v>3.049</v>
      </c>
      <c r="BS62" s="1238" t="n">
        <v>3.054</v>
      </c>
      <c r="BT62" s="1238" t="n">
        <v>3.059</v>
      </c>
      <c r="BU62" s="1239" t="n">
        <v>0.1855</v>
      </c>
      <c r="BV62" s="1239" t="n">
        <v>0.193</v>
      </c>
      <c r="BW62" s="1239" t="n">
        <v>0.2005</v>
      </c>
      <c r="BX62" s="1239" t="n">
        <v>-0.07</v>
      </c>
      <c r="BY62" s="1239"/>
      <c r="BZ62" s="1239" t="n">
        <v>0.07</v>
      </c>
      <c r="CA62" s="1243" t="n">
        <v>0</v>
      </c>
      <c r="CB62" s="1241" t="n">
        <v>0</v>
      </c>
      <c r="CC62" s="1242" t="n">
        <v>2.522</v>
      </c>
      <c r="CD62" s="1239" t="n">
        <v>0.1547</v>
      </c>
    </row>
    <row r="63" customFormat="false" ht="12.75" hidden="false" customHeight="false" outlineLevel="0" collapsed="false">
      <c r="A63" s="1237" t="n">
        <v>38473</v>
      </c>
      <c r="B63" s="1239" t="n">
        <v>0.071643364850128</v>
      </c>
      <c r="C63" s="1290"/>
      <c r="D63" s="1274" t="n">
        <v>37347</v>
      </c>
      <c r="E63" s="1275" t="n">
        <v>31.4316266681606</v>
      </c>
      <c r="F63" s="1275" t="n">
        <v>32.6816266681606</v>
      </c>
      <c r="G63" s="1275" t="n">
        <v>37.1816266681606</v>
      </c>
      <c r="H63" s="1266"/>
      <c r="I63" s="1275" t="n">
        <v>17.2375</v>
      </c>
      <c r="J63" s="1275" t="n">
        <v>18.4875</v>
      </c>
      <c r="K63" s="1275" t="n">
        <v>21.4875</v>
      </c>
      <c r="M63" s="1276" t="n">
        <v>38231</v>
      </c>
      <c r="N63" s="1277" t="n">
        <v>64.333599050712</v>
      </c>
      <c r="O63" s="1277" t="n">
        <v>66.083599050712</v>
      </c>
      <c r="P63" s="1277" t="n">
        <v>70.583599050712</v>
      </c>
      <c r="Q63" s="109"/>
      <c r="R63" s="1277" t="n">
        <v>47.812699288034</v>
      </c>
      <c r="S63" s="1277" t="n">
        <v>49.562699288034</v>
      </c>
      <c r="T63" s="1277" t="n">
        <v>54.062699288034</v>
      </c>
      <c r="V63" s="1278" t="n">
        <v>0</v>
      </c>
      <c r="W63" s="1278" t="n">
        <v>0</v>
      </c>
      <c r="X63" s="1278" t="n">
        <v>0</v>
      </c>
      <c r="Y63" s="1288"/>
      <c r="Z63" s="1277" t="n">
        <v>0.15</v>
      </c>
      <c r="AA63" s="1277" t="n">
        <v>0.16</v>
      </c>
      <c r="AB63" s="1277" t="n">
        <v>0.17</v>
      </c>
      <c r="AC63" s="109"/>
      <c r="AD63" s="1277" t="n">
        <v>0.09</v>
      </c>
      <c r="AE63" s="1277" t="n">
        <v>0.11</v>
      </c>
      <c r="AF63" s="1277" t="n">
        <v>0.13</v>
      </c>
      <c r="AG63" s="109"/>
      <c r="AH63" s="1277" t="n">
        <v>-0.35</v>
      </c>
      <c r="AI63" s="1277" t="n">
        <v>3</v>
      </c>
      <c r="AJ63" s="1277" t="n">
        <v>0.2</v>
      </c>
      <c r="AK63" s="109"/>
      <c r="AL63" s="1277" t="n">
        <v>-0.01</v>
      </c>
      <c r="AM63" s="1277" t="n">
        <v>0.16</v>
      </c>
      <c r="AN63" s="1277" t="n">
        <v>0.01</v>
      </c>
      <c r="AO63" s="109"/>
      <c r="AP63" s="197" t="n">
        <v>18</v>
      </c>
      <c r="AQ63" s="1280" t="n">
        <v>0.35</v>
      </c>
      <c r="AR63" s="1288"/>
      <c r="AS63" s="1288"/>
      <c r="AT63" s="1288"/>
      <c r="AU63" s="1288"/>
      <c r="AV63" s="1288"/>
      <c r="AW63" s="1288"/>
      <c r="AX63" s="1288"/>
      <c r="AY63" s="1288"/>
      <c r="AZ63" s="1288"/>
      <c r="BA63" s="1288"/>
      <c r="BB63" s="1288"/>
      <c r="BC63" s="1288"/>
      <c r="BD63" s="1288"/>
      <c r="BE63" s="1288"/>
      <c r="BF63" s="1288"/>
      <c r="BG63" s="1288"/>
      <c r="BH63" s="1288"/>
      <c r="BI63" s="1288"/>
      <c r="BJ63" s="1288"/>
      <c r="BK63" s="1288"/>
      <c r="BL63" s="1288"/>
      <c r="BM63" s="1288"/>
      <c r="BN63" s="1288"/>
      <c r="BO63" s="1288"/>
      <c r="BP63" s="1288"/>
      <c r="BQ63" s="1237" t="n">
        <v>38384</v>
      </c>
      <c r="BR63" s="1238" t="n">
        <v>2.944</v>
      </c>
      <c r="BS63" s="1238" t="n">
        <v>2.949</v>
      </c>
      <c r="BT63" s="1238" t="n">
        <v>2.954</v>
      </c>
      <c r="BU63" s="1239" t="n">
        <v>0.1845</v>
      </c>
      <c r="BV63" s="1239" t="n">
        <v>0.192</v>
      </c>
      <c r="BW63" s="1239" t="n">
        <v>0.1995</v>
      </c>
      <c r="BX63" s="1239" t="n">
        <v>-0.07</v>
      </c>
      <c r="BY63" s="1239"/>
      <c r="BZ63" s="1239" t="n">
        <v>0.07</v>
      </c>
      <c r="CA63" s="1243" t="n">
        <v>0</v>
      </c>
      <c r="CB63" s="1241" t="n">
        <v>0</v>
      </c>
      <c r="CC63" s="1242" t="n">
        <v>2.528</v>
      </c>
      <c r="CD63" s="1239" t="n">
        <v>0.1544</v>
      </c>
    </row>
    <row r="64" customFormat="false" ht="12.75" hidden="false" customHeight="false" outlineLevel="0" collapsed="false">
      <c r="A64" s="1237" t="n">
        <v>38504</v>
      </c>
      <c r="B64" s="1239" t="n">
        <v>0.071666001075206</v>
      </c>
      <c r="C64" s="1290"/>
      <c r="D64" s="1274" t="n">
        <v>37377</v>
      </c>
      <c r="E64" s="1275" t="n">
        <v>30.6816266681606</v>
      </c>
      <c r="F64" s="1275" t="n">
        <v>31.9316266681606</v>
      </c>
      <c r="G64" s="1275" t="n">
        <v>36.4316266681606</v>
      </c>
      <c r="H64" s="1266"/>
      <c r="I64" s="1275" t="n">
        <v>17.2959677419355</v>
      </c>
      <c r="J64" s="1275" t="n">
        <v>18.5459677419355</v>
      </c>
      <c r="K64" s="1275" t="n">
        <v>21.5459677419355</v>
      </c>
      <c r="M64" s="1276" t="n">
        <v>38261</v>
      </c>
      <c r="N64" s="1277" t="n">
        <v>36.3853558363529</v>
      </c>
      <c r="O64" s="1277" t="n">
        <v>38.1353558363529</v>
      </c>
      <c r="P64" s="1277" t="n">
        <v>42.6353558363529</v>
      </c>
      <c r="Q64" s="109"/>
      <c r="R64" s="1277" t="n">
        <v>26.8515168772647</v>
      </c>
      <c r="S64" s="1277" t="n">
        <v>28.6015168772647</v>
      </c>
      <c r="T64" s="1277" t="n">
        <v>33.1015168772647</v>
      </c>
      <c r="V64" s="1278" t="n">
        <v>0</v>
      </c>
      <c r="W64" s="1278" t="n">
        <v>0</v>
      </c>
      <c r="X64" s="1278" t="n">
        <v>0</v>
      </c>
      <c r="Y64" s="1288"/>
      <c r="Z64" s="1277" t="n">
        <v>0.15</v>
      </c>
      <c r="AA64" s="1277" t="n">
        <v>0.16</v>
      </c>
      <c r="AB64" s="1277" t="n">
        <v>0.17</v>
      </c>
      <c r="AC64" s="109"/>
      <c r="AD64" s="1277" t="n">
        <v>0.09</v>
      </c>
      <c r="AE64" s="1277" t="n">
        <v>0.11</v>
      </c>
      <c r="AF64" s="1277" t="n">
        <v>0.13</v>
      </c>
      <c r="AG64" s="109"/>
      <c r="AH64" s="1277" t="n">
        <v>-0.1</v>
      </c>
      <c r="AI64" s="1277" t="n">
        <v>0.6</v>
      </c>
      <c r="AJ64" s="1277" t="n">
        <v>0.1</v>
      </c>
      <c r="AK64" s="109"/>
      <c r="AL64" s="1277" t="n">
        <v>-0.01</v>
      </c>
      <c r="AM64" s="1277" t="n">
        <v>0.16</v>
      </c>
      <c r="AN64" s="1277" t="n">
        <v>0.01</v>
      </c>
      <c r="AO64" s="109"/>
      <c r="AP64" s="197" t="n">
        <v>19</v>
      </c>
      <c r="AQ64" s="1280" t="n">
        <v>0.35</v>
      </c>
      <c r="AR64" s="1288"/>
      <c r="AS64" s="1288"/>
      <c r="AT64" s="1288"/>
      <c r="AU64" s="1288"/>
      <c r="AV64" s="1288"/>
      <c r="AW64" s="1288"/>
      <c r="AX64" s="1288"/>
      <c r="AY64" s="1288"/>
      <c r="AZ64" s="1288"/>
      <c r="BA64" s="1288"/>
      <c r="BB64" s="1288"/>
      <c r="BC64" s="1288"/>
      <c r="BD64" s="1288"/>
      <c r="BE64" s="1288"/>
      <c r="BF64" s="1288"/>
      <c r="BG64" s="1288"/>
      <c r="BH64" s="1288"/>
      <c r="BI64" s="1288"/>
      <c r="BJ64" s="1288"/>
      <c r="BK64" s="1288"/>
      <c r="BL64" s="1288"/>
      <c r="BM64" s="1288"/>
      <c r="BN64" s="1288"/>
      <c r="BO64" s="1288"/>
      <c r="BP64" s="1288"/>
      <c r="BQ64" s="1237" t="n">
        <v>38412</v>
      </c>
      <c r="BR64" s="1238" t="n">
        <v>2.835</v>
      </c>
      <c r="BS64" s="1238" t="n">
        <v>2.84</v>
      </c>
      <c r="BT64" s="1238" t="n">
        <v>2.845</v>
      </c>
      <c r="BU64" s="1239" t="n">
        <v>0.1825</v>
      </c>
      <c r="BV64" s="1239" t="n">
        <v>0.19</v>
      </c>
      <c r="BW64" s="1239" t="n">
        <v>0.1975</v>
      </c>
      <c r="BX64" s="1239" t="n">
        <v>-0.07</v>
      </c>
      <c r="BY64" s="1239"/>
      <c r="BZ64" s="1239" t="n">
        <v>0.07</v>
      </c>
      <c r="CA64" s="1243" t="n">
        <v>0</v>
      </c>
      <c r="CB64" s="1241" t="n">
        <v>0</v>
      </c>
      <c r="CC64" s="1242" t="n">
        <v>2.533</v>
      </c>
      <c r="CD64" s="1239" t="n">
        <v>0.1541</v>
      </c>
    </row>
    <row r="65" customFormat="false" ht="12.75" hidden="false" customHeight="false" outlineLevel="0" collapsed="false">
      <c r="A65" s="1237" t="n">
        <v>38534</v>
      </c>
      <c r="B65" s="1239" t="n">
        <v>0.071687907099636</v>
      </c>
      <c r="C65" s="1290"/>
      <c r="D65" s="1274" t="n">
        <v>37408</v>
      </c>
      <c r="E65" s="1275" t="n">
        <v>35.9316266681606</v>
      </c>
      <c r="F65" s="1275" t="n">
        <v>37.1816266681606</v>
      </c>
      <c r="G65" s="1275" t="n">
        <v>41.6816266681606</v>
      </c>
      <c r="H65" s="1266"/>
      <c r="I65" s="1275" t="n">
        <v>16.55</v>
      </c>
      <c r="J65" s="1275" t="n">
        <v>17.8</v>
      </c>
      <c r="K65" s="1275" t="n">
        <v>20.8</v>
      </c>
      <c r="M65" s="1276" t="n">
        <v>38292</v>
      </c>
      <c r="N65" s="1277" t="n">
        <v>28.6353558363529</v>
      </c>
      <c r="O65" s="1277" t="n">
        <v>30.3853558363529</v>
      </c>
      <c r="P65" s="1277" t="n">
        <v>34.8853558363529</v>
      </c>
      <c r="Q65" s="109"/>
      <c r="R65" s="1277" t="n">
        <v>21.0390168772647</v>
      </c>
      <c r="S65" s="1277" t="n">
        <v>22.7890168772647</v>
      </c>
      <c r="T65" s="1277" t="n">
        <v>27.2890168772647</v>
      </c>
      <c r="V65" s="1278" t="n">
        <v>0</v>
      </c>
      <c r="W65" s="1278" t="n">
        <v>0</v>
      </c>
      <c r="X65" s="1278" t="n">
        <v>0</v>
      </c>
      <c r="Y65" s="1288"/>
      <c r="Z65" s="1277" t="n">
        <v>0.15</v>
      </c>
      <c r="AA65" s="1277" t="n">
        <v>0.16</v>
      </c>
      <c r="AB65" s="1277" t="n">
        <v>0.17</v>
      </c>
      <c r="AC65" s="109"/>
      <c r="AD65" s="1277" t="n">
        <v>0.09</v>
      </c>
      <c r="AE65" s="1277" t="n">
        <v>0.11</v>
      </c>
      <c r="AF65" s="1277" t="n">
        <v>0.13</v>
      </c>
      <c r="AG65" s="109"/>
      <c r="AH65" s="1277" t="n">
        <v>-0.1</v>
      </c>
      <c r="AI65" s="1277" t="n">
        <v>0.6</v>
      </c>
      <c r="AJ65" s="1277" t="n">
        <v>0.1</v>
      </c>
      <c r="AK65" s="109"/>
      <c r="AL65" s="1277" t="n">
        <v>-0.01</v>
      </c>
      <c r="AM65" s="1277" t="n">
        <v>0.16</v>
      </c>
      <c r="AN65" s="1277" t="n">
        <v>0.01</v>
      </c>
      <c r="AO65" s="109"/>
      <c r="AP65" s="197" t="n">
        <v>19</v>
      </c>
      <c r="AQ65" s="1280" t="n">
        <v>0.35</v>
      </c>
      <c r="AR65" s="1288"/>
      <c r="AS65" s="1288"/>
      <c r="AT65" s="1288"/>
      <c r="AU65" s="1288"/>
      <c r="AV65" s="1288"/>
      <c r="AW65" s="1288"/>
      <c r="AX65" s="1288"/>
      <c r="AY65" s="1288"/>
      <c r="AZ65" s="1288"/>
      <c r="BA65" s="1288"/>
      <c r="BB65" s="1288"/>
      <c r="BC65" s="1288"/>
      <c r="BD65" s="1288"/>
      <c r="BE65" s="1288"/>
      <c r="BF65" s="1288"/>
      <c r="BG65" s="1288"/>
      <c r="BH65" s="1288"/>
      <c r="BI65" s="1288"/>
      <c r="BJ65" s="1288"/>
      <c r="BK65" s="1288"/>
      <c r="BL65" s="1288"/>
      <c r="BM65" s="1288"/>
      <c r="BN65" s="1288"/>
      <c r="BO65" s="1288"/>
      <c r="BP65" s="1288"/>
      <c r="BQ65" s="1237" t="n">
        <v>38443</v>
      </c>
      <c r="BR65" s="1238" t="n">
        <v>2.741</v>
      </c>
      <c r="BS65" s="1238" t="n">
        <v>2.746</v>
      </c>
      <c r="BT65" s="1238" t="n">
        <v>2.751</v>
      </c>
      <c r="BU65" s="1239" t="n">
        <v>0.1795</v>
      </c>
      <c r="BV65" s="1239" t="n">
        <v>0.187</v>
      </c>
      <c r="BW65" s="1239" t="n">
        <v>0.1945</v>
      </c>
      <c r="BX65" s="1239" t="n">
        <v>-0.07</v>
      </c>
      <c r="BY65" s="1239"/>
      <c r="BZ65" s="1239" t="n">
        <v>0.07</v>
      </c>
      <c r="CA65" s="1243" t="n">
        <v>0</v>
      </c>
      <c r="CB65" s="1241" t="n">
        <v>0</v>
      </c>
      <c r="CC65" s="1242" t="n">
        <v>2.536</v>
      </c>
      <c r="CD65" s="1239" t="n">
        <v>0.1538</v>
      </c>
    </row>
    <row r="66" customFormat="false" ht="12.75" hidden="false" customHeight="false" outlineLevel="0" collapsed="false">
      <c r="A66" s="1237" t="n">
        <v>38565</v>
      </c>
      <c r="B66" s="1239" t="n">
        <v>0.071710543325046</v>
      </c>
      <c r="C66" s="1290"/>
      <c r="D66" s="1274" t="n">
        <v>37438</v>
      </c>
      <c r="E66" s="1275" t="n">
        <v>59.0117512979746</v>
      </c>
      <c r="F66" s="1275" t="n">
        <v>60.2617512979746</v>
      </c>
      <c r="G66" s="1275" t="n">
        <v>64.7617512979746</v>
      </c>
      <c r="H66" s="1266"/>
      <c r="I66" s="1275" t="n">
        <v>22.5741935483871</v>
      </c>
      <c r="J66" s="1275" t="n">
        <v>23.8241935483871</v>
      </c>
      <c r="K66" s="1275" t="n">
        <v>26.8241935483871</v>
      </c>
      <c r="M66" s="1276" t="n">
        <v>38322</v>
      </c>
      <c r="N66" s="1277" t="n">
        <v>30.6353558363529</v>
      </c>
      <c r="O66" s="1277" t="n">
        <v>32.3853558363529</v>
      </c>
      <c r="P66" s="1277" t="n">
        <v>36.8853558363529</v>
      </c>
      <c r="Q66" s="109"/>
      <c r="R66" s="1277" t="n">
        <v>22.5390168772647</v>
      </c>
      <c r="S66" s="1277" t="n">
        <v>24.2890168772647</v>
      </c>
      <c r="T66" s="1277" t="n">
        <v>28.7890168772647</v>
      </c>
      <c r="V66" s="1278" t="n">
        <v>0</v>
      </c>
      <c r="W66" s="1278" t="n">
        <v>0</v>
      </c>
      <c r="X66" s="1278" t="n">
        <v>0</v>
      </c>
      <c r="Y66" s="1288"/>
      <c r="Z66" s="1277" t="n">
        <v>0.15</v>
      </c>
      <c r="AA66" s="1277" t="n">
        <v>0.16</v>
      </c>
      <c r="AB66" s="1277" t="n">
        <v>0.17</v>
      </c>
      <c r="AC66" s="109"/>
      <c r="AD66" s="1277" t="n">
        <v>0.09</v>
      </c>
      <c r="AE66" s="1277" t="n">
        <v>0.11</v>
      </c>
      <c r="AF66" s="1277" t="n">
        <v>0.13</v>
      </c>
      <c r="AG66" s="109"/>
      <c r="AH66" s="1277" t="n">
        <v>-0.25</v>
      </c>
      <c r="AI66" s="1277" t="n">
        <v>0.6</v>
      </c>
      <c r="AJ66" s="1277" t="n">
        <v>0.25</v>
      </c>
      <c r="AK66" s="109"/>
      <c r="AL66" s="1277" t="n">
        <v>-0.01</v>
      </c>
      <c r="AM66" s="1277" t="n">
        <v>0.16</v>
      </c>
      <c r="AN66" s="1277" t="n">
        <v>0.01</v>
      </c>
      <c r="AO66" s="109"/>
      <c r="AP66" s="197" t="n">
        <v>19</v>
      </c>
      <c r="AQ66" s="1280" t="n">
        <v>0.35</v>
      </c>
      <c r="AR66" s="1288"/>
      <c r="AS66" s="1288"/>
      <c r="AT66" s="1288"/>
      <c r="AU66" s="1288"/>
      <c r="AV66" s="1288"/>
      <c r="AW66" s="1288"/>
      <c r="AX66" s="1288"/>
      <c r="AY66" s="1288"/>
      <c r="AZ66" s="1288"/>
      <c r="BA66" s="1288"/>
      <c r="BB66" s="1288"/>
      <c r="BC66" s="1288"/>
      <c r="BD66" s="1288"/>
      <c r="BE66" s="1288"/>
      <c r="BF66" s="1288"/>
      <c r="BG66" s="1288"/>
      <c r="BH66" s="1288"/>
      <c r="BI66" s="1288"/>
      <c r="BJ66" s="1288"/>
      <c r="BK66" s="1288"/>
      <c r="BL66" s="1288"/>
      <c r="BM66" s="1288"/>
      <c r="BN66" s="1288"/>
      <c r="BO66" s="1288"/>
      <c r="BP66" s="1288"/>
      <c r="BQ66" s="1237" t="n">
        <v>38473</v>
      </c>
      <c r="BR66" s="1238" t="n">
        <v>2.757</v>
      </c>
      <c r="BS66" s="1238" t="n">
        <v>2.762</v>
      </c>
      <c r="BT66" s="1238" t="n">
        <v>2.767</v>
      </c>
      <c r="BU66" s="1239" t="n">
        <v>0.1785</v>
      </c>
      <c r="BV66" s="1239" t="n">
        <v>0.186</v>
      </c>
      <c r="BW66" s="1239" t="n">
        <v>0.1935</v>
      </c>
      <c r="BX66" s="1239" t="n">
        <v>-0.07</v>
      </c>
      <c r="BY66" s="1239"/>
      <c r="BZ66" s="1239" t="n">
        <v>0.07</v>
      </c>
      <c r="CA66" s="1243" t="n">
        <v>0</v>
      </c>
      <c r="CB66" s="1241" t="n">
        <v>0</v>
      </c>
      <c r="CC66" s="1242" t="n">
        <v>2.569</v>
      </c>
      <c r="CD66" s="1239" t="n">
        <v>0.1535</v>
      </c>
    </row>
    <row r="67" customFormat="false" ht="12.75" hidden="false" customHeight="false" outlineLevel="0" collapsed="false">
      <c r="A67" s="1237" t="n">
        <v>38596</v>
      </c>
      <c r="B67" s="1239" t="n">
        <v>0.071733179550626</v>
      </c>
      <c r="C67" s="1290"/>
      <c r="D67" s="1274" t="n">
        <v>37469</v>
      </c>
      <c r="E67" s="1275" t="n">
        <v>79.6367512979746</v>
      </c>
      <c r="F67" s="1275" t="n">
        <v>80.8867512979746</v>
      </c>
      <c r="G67" s="1275" t="n">
        <v>85.3867512979746</v>
      </c>
      <c r="H67" s="1266"/>
      <c r="I67" s="1275" t="n">
        <v>20.5741935483871</v>
      </c>
      <c r="J67" s="1275" t="n">
        <v>21.8241935483871</v>
      </c>
      <c r="K67" s="1275" t="n">
        <v>24.8241935483871</v>
      </c>
      <c r="M67" s="1276" t="n">
        <v>38353</v>
      </c>
      <c r="N67" s="1277" t="n">
        <v>28.6899769768314</v>
      </c>
      <c r="O67" s="1277" t="n">
        <v>30.6899769768314</v>
      </c>
      <c r="P67" s="1277" t="n">
        <v>35.1899769768314</v>
      </c>
      <c r="Q67" s="109"/>
      <c r="R67" s="1277" t="n">
        <v>21.0174827326235</v>
      </c>
      <c r="S67" s="1277" t="n">
        <v>23.0174827326235</v>
      </c>
      <c r="T67" s="1277" t="n">
        <v>27.5174827326235</v>
      </c>
      <c r="V67" s="1278" t="n">
        <v>0</v>
      </c>
      <c r="W67" s="1278" t="n">
        <v>0</v>
      </c>
      <c r="X67" s="1278" t="n">
        <v>0</v>
      </c>
      <c r="Y67" s="1288"/>
      <c r="Z67" s="1277" t="n">
        <v>0.145</v>
      </c>
      <c r="AA67" s="1277" t="n">
        <v>0.155</v>
      </c>
      <c r="AB67" s="1277" t="n">
        <v>0.165</v>
      </c>
      <c r="AC67" s="109"/>
      <c r="AD67" s="1277" t="n">
        <v>0.09</v>
      </c>
      <c r="AE67" s="1277" t="n">
        <v>0.11</v>
      </c>
      <c r="AF67" s="1277" t="n">
        <v>0.13</v>
      </c>
      <c r="AG67" s="109"/>
      <c r="AH67" s="1277" t="n">
        <v>-0.25</v>
      </c>
      <c r="AI67" s="1277" t="n">
        <v>0.65</v>
      </c>
      <c r="AJ67" s="1277" t="n">
        <v>0.25</v>
      </c>
      <c r="AK67" s="109"/>
      <c r="AL67" s="1277" t="n">
        <v>-0.01</v>
      </c>
      <c r="AM67" s="1277" t="n">
        <v>0.16</v>
      </c>
      <c r="AN67" s="1277" t="n">
        <v>0.01</v>
      </c>
      <c r="AO67" s="109"/>
      <c r="AP67" s="197" t="n">
        <v>20</v>
      </c>
      <c r="AQ67" s="1280" t="n">
        <v>0.35</v>
      </c>
      <c r="AR67" s="1288"/>
      <c r="AS67" s="1288"/>
      <c r="AT67" s="1288"/>
      <c r="AU67" s="1288"/>
      <c r="AV67" s="1288"/>
      <c r="AW67" s="1288"/>
      <c r="AX67" s="1288"/>
      <c r="AY67" s="1288"/>
      <c r="AZ67" s="1288"/>
      <c r="BA67" s="1288"/>
      <c r="BB67" s="1288"/>
      <c r="BC67" s="1288"/>
      <c r="BD67" s="1288"/>
      <c r="BE67" s="1288"/>
      <c r="BF67" s="1288"/>
      <c r="BG67" s="1288"/>
      <c r="BH67" s="1288"/>
      <c r="BI67" s="1288"/>
      <c r="BJ67" s="1288"/>
      <c r="BK67" s="1288"/>
      <c r="BL67" s="1288"/>
      <c r="BM67" s="1288"/>
      <c r="BN67" s="1288"/>
      <c r="BO67" s="1288"/>
      <c r="BP67" s="1288"/>
      <c r="BQ67" s="1237" t="n">
        <v>38504</v>
      </c>
      <c r="BR67" s="1238" t="n">
        <v>2.766</v>
      </c>
      <c r="BS67" s="1238" t="n">
        <v>2.771</v>
      </c>
      <c r="BT67" s="1238" t="n">
        <v>2.776</v>
      </c>
      <c r="BU67" s="1239" t="n">
        <v>0.178</v>
      </c>
      <c r="BV67" s="1239" t="n">
        <v>0.1855</v>
      </c>
      <c r="BW67" s="1239" t="n">
        <v>0.193</v>
      </c>
      <c r="BX67" s="1239" t="n">
        <v>-0.07</v>
      </c>
      <c r="BY67" s="1239"/>
      <c r="BZ67" s="1239" t="n">
        <v>0.07</v>
      </c>
      <c r="CA67" s="1243" t="n">
        <v>0</v>
      </c>
      <c r="CB67" s="1241" t="n">
        <v>0</v>
      </c>
      <c r="CC67" s="1242" t="n">
        <v>2.71</v>
      </c>
      <c r="CD67" s="1239" t="n">
        <v>0.1535</v>
      </c>
    </row>
    <row r="68" customFormat="false" ht="12.75" hidden="false" customHeight="false" outlineLevel="0" collapsed="false">
      <c r="A68" s="1237" t="n">
        <v>38626</v>
      </c>
      <c r="B68" s="1239" t="n">
        <v>0.071755085575543</v>
      </c>
      <c r="C68" s="1290"/>
      <c r="D68" s="1274" t="n">
        <v>37500</v>
      </c>
      <c r="E68" s="1275" t="n">
        <v>63.6367512979746</v>
      </c>
      <c r="F68" s="1275" t="n">
        <v>64.8867512979746</v>
      </c>
      <c r="G68" s="1275" t="n">
        <v>69.3867512979746</v>
      </c>
      <c r="H68" s="1266"/>
      <c r="I68" s="1275" t="n">
        <v>20.9875</v>
      </c>
      <c r="J68" s="1275" t="n">
        <v>22.2375</v>
      </c>
      <c r="K68" s="1275" t="n">
        <v>25.2375</v>
      </c>
      <c r="M68" s="1276" t="n">
        <v>38384</v>
      </c>
      <c r="N68" s="1277" t="n">
        <v>28.1899769768314</v>
      </c>
      <c r="O68" s="1277" t="n">
        <v>30.1899769768314</v>
      </c>
      <c r="P68" s="1277" t="n">
        <v>34.6899769768314</v>
      </c>
      <c r="Q68" s="109"/>
      <c r="R68" s="1277" t="n">
        <v>20.6424827326235</v>
      </c>
      <c r="S68" s="1277" t="n">
        <v>22.6424827326235</v>
      </c>
      <c r="T68" s="1277" t="n">
        <v>27.1424827326235</v>
      </c>
      <c r="V68" s="1278" t="n">
        <v>0</v>
      </c>
      <c r="W68" s="1278" t="n">
        <v>0</v>
      </c>
      <c r="X68" s="1278" t="n">
        <v>0</v>
      </c>
      <c r="Y68" s="1288"/>
      <c r="Z68" s="1277" t="n">
        <v>0.145</v>
      </c>
      <c r="AA68" s="1277" t="n">
        <v>0.155</v>
      </c>
      <c r="AB68" s="1277" t="n">
        <v>0.165</v>
      </c>
      <c r="AC68" s="109"/>
      <c r="AD68" s="1277" t="n">
        <v>0.09</v>
      </c>
      <c r="AE68" s="1277" t="n">
        <v>0.11</v>
      </c>
      <c r="AF68" s="1277" t="n">
        <v>0.13</v>
      </c>
      <c r="AG68" s="109"/>
      <c r="AH68" s="1277" t="n">
        <v>-0.25</v>
      </c>
      <c r="AI68" s="1277" t="n">
        <v>0.65</v>
      </c>
      <c r="AJ68" s="1277" t="n">
        <v>0.25</v>
      </c>
      <c r="AK68" s="109"/>
      <c r="AL68" s="1277" t="n">
        <v>-0.01</v>
      </c>
      <c r="AM68" s="1277" t="n">
        <v>0.16</v>
      </c>
      <c r="AN68" s="1277" t="n">
        <v>0.01</v>
      </c>
      <c r="AO68" s="109"/>
      <c r="AP68" s="197" t="n">
        <v>20</v>
      </c>
      <c r="AQ68" s="1280" t="n">
        <v>0.35</v>
      </c>
      <c r="AR68" s="1288"/>
      <c r="AS68" s="1288"/>
      <c r="AT68" s="1288"/>
      <c r="AU68" s="1288"/>
      <c r="AV68" s="1288"/>
      <c r="AW68" s="1288"/>
      <c r="AX68" s="1288"/>
      <c r="AY68" s="1288"/>
      <c r="AZ68" s="1288"/>
      <c r="BA68" s="1288"/>
      <c r="BB68" s="1288"/>
      <c r="BC68" s="1288"/>
      <c r="BD68" s="1288"/>
      <c r="BE68" s="1288"/>
      <c r="BF68" s="1288"/>
      <c r="BG68" s="1288"/>
      <c r="BH68" s="1288"/>
      <c r="BI68" s="1288"/>
      <c r="BJ68" s="1288"/>
      <c r="BK68" s="1288"/>
      <c r="BL68" s="1288"/>
      <c r="BM68" s="1288"/>
      <c r="BN68" s="1288"/>
      <c r="BO68" s="1288"/>
      <c r="BP68" s="1288"/>
      <c r="BQ68" s="1237" t="n">
        <v>38534</v>
      </c>
      <c r="BR68" s="1238" t="n">
        <v>2.774</v>
      </c>
      <c r="BS68" s="1238" t="n">
        <v>2.779</v>
      </c>
      <c r="BT68" s="1238" t="n">
        <v>2.784</v>
      </c>
      <c r="BU68" s="1239" t="n">
        <v>0.1775</v>
      </c>
      <c r="BV68" s="1239" t="n">
        <v>0.185</v>
      </c>
      <c r="BW68" s="1239" t="n">
        <v>0.1925</v>
      </c>
      <c r="BX68" s="1239" t="n">
        <v>-0.07</v>
      </c>
      <c r="BY68" s="1239"/>
      <c r="BZ68" s="1239" t="n">
        <v>0.07</v>
      </c>
      <c r="CA68" s="1243" t="n">
        <v>0</v>
      </c>
      <c r="CB68" s="1241" t="n">
        <v>0</v>
      </c>
      <c r="CC68" s="1242" t="n">
        <v>2.855</v>
      </c>
      <c r="CD68" s="1239" t="n">
        <v>0.1535</v>
      </c>
    </row>
    <row r="69" customFormat="false" ht="12.75" hidden="false" customHeight="false" outlineLevel="0" collapsed="false">
      <c r="A69" s="1237" t="n">
        <v>38657</v>
      </c>
      <c r="B69" s="1239" t="n">
        <v>0.071777721801456</v>
      </c>
      <c r="C69" s="1290"/>
      <c r="D69" s="1274" t="n">
        <v>37530</v>
      </c>
      <c r="E69" s="1275" t="n">
        <v>38.7527757516389</v>
      </c>
      <c r="F69" s="1275" t="n">
        <v>40.0027757516389</v>
      </c>
      <c r="G69" s="1275" t="n">
        <v>44.5027757516389</v>
      </c>
      <c r="H69" s="1266"/>
      <c r="I69" s="1275" t="n">
        <v>20.5016129032258</v>
      </c>
      <c r="J69" s="1275" t="n">
        <v>21.7516129032258</v>
      </c>
      <c r="K69" s="1275" t="n">
        <v>24.7516129032258</v>
      </c>
      <c r="M69" s="1276" t="n">
        <v>38412</v>
      </c>
      <c r="N69" s="1277" t="n">
        <v>27.4399769768314</v>
      </c>
      <c r="O69" s="1277" t="n">
        <v>29.4399769768314</v>
      </c>
      <c r="P69" s="1277" t="n">
        <v>33.9399769768314</v>
      </c>
      <c r="Q69" s="109"/>
      <c r="R69" s="1277" t="n">
        <v>20.0799827326235</v>
      </c>
      <c r="S69" s="1277" t="n">
        <v>22.0799827326235</v>
      </c>
      <c r="T69" s="1277" t="n">
        <v>26.5799827326235</v>
      </c>
      <c r="V69" s="1278" t="n">
        <v>0</v>
      </c>
      <c r="W69" s="1278" t="n">
        <v>0</v>
      </c>
      <c r="X69" s="1278" t="n">
        <v>0</v>
      </c>
      <c r="Y69" s="1288"/>
      <c r="Z69" s="1277" t="n">
        <v>0.145</v>
      </c>
      <c r="AA69" s="1277" t="n">
        <v>0.155</v>
      </c>
      <c r="AB69" s="1277" t="n">
        <v>0.165</v>
      </c>
      <c r="AC69" s="109"/>
      <c r="AD69" s="1277" t="n">
        <v>0.09</v>
      </c>
      <c r="AE69" s="1277" t="n">
        <v>0.11</v>
      </c>
      <c r="AF69" s="1277" t="n">
        <v>0.13</v>
      </c>
      <c r="AG69" s="109"/>
      <c r="AH69" s="1277" t="n">
        <v>-0.1</v>
      </c>
      <c r="AI69" s="1277" t="n">
        <v>0.65</v>
      </c>
      <c r="AJ69" s="1277" t="n">
        <v>0.1</v>
      </c>
      <c r="AK69" s="109"/>
      <c r="AL69" s="1277" t="n">
        <v>-0.01</v>
      </c>
      <c r="AM69" s="1277" t="n">
        <v>0.16</v>
      </c>
      <c r="AN69" s="1277" t="n">
        <v>0.01</v>
      </c>
      <c r="AO69" s="109"/>
      <c r="AP69" s="197" t="n">
        <v>20</v>
      </c>
      <c r="AQ69" s="1280" t="n">
        <v>0.35</v>
      </c>
      <c r="AR69" s="1288"/>
      <c r="AS69" s="1288"/>
      <c r="AT69" s="1288"/>
      <c r="AU69" s="1288"/>
      <c r="AV69" s="1288"/>
      <c r="AW69" s="1288"/>
      <c r="AX69" s="1288"/>
      <c r="AY69" s="1288"/>
      <c r="AZ69" s="1288"/>
      <c r="BA69" s="1288"/>
      <c r="BB69" s="1288"/>
      <c r="BC69" s="1288"/>
      <c r="BD69" s="1288"/>
      <c r="BE69" s="1288"/>
      <c r="BF69" s="1288"/>
      <c r="BG69" s="1288"/>
      <c r="BH69" s="1288"/>
      <c r="BI69" s="1288"/>
      <c r="BJ69" s="1288"/>
      <c r="BK69" s="1288"/>
      <c r="BL69" s="1288"/>
      <c r="BM69" s="1288"/>
      <c r="BN69" s="1288"/>
      <c r="BO69" s="1288"/>
      <c r="BP69" s="1288"/>
      <c r="BQ69" s="1237" t="n">
        <v>38565</v>
      </c>
      <c r="BR69" s="1238" t="n">
        <v>2.783</v>
      </c>
      <c r="BS69" s="1238" t="n">
        <v>2.788</v>
      </c>
      <c r="BT69" s="1238" t="n">
        <v>2.793</v>
      </c>
      <c r="BU69" s="1239" t="n">
        <v>0.1775</v>
      </c>
      <c r="BV69" s="1239" t="n">
        <v>0.185</v>
      </c>
      <c r="BW69" s="1239" t="n">
        <v>0.1925</v>
      </c>
      <c r="BX69" s="1239" t="n">
        <v>-0.07</v>
      </c>
      <c r="BY69" s="1239"/>
      <c r="BZ69" s="1239" t="n">
        <v>0.07</v>
      </c>
      <c r="CA69" s="1243" t="n">
        <v>0</v>
      </c>
      <c r="CB69" s="1241" t="n">
        <v>0</v>
      </c>
      <c r="CC69" s="1242" t="n">
        <v>2.9165</v>
      </c>
      <c r="CD69" s="1239" t="n">
        <v>0.1535</v>
      </c>
    </row>
    <row r="70" customFormat="false" ht="12.75" hidden="false" customHeight="false" outlineLevel="0" collapsed="false">
      <c r="A70" s="1237" t="n">
        <v>38687</v>
      </c>
      <c r="B70" s="1239" t="n">
        <v>0.071799627826694</v>
      </c>
      <c r="C70" s="1290"/>
      <c r="D70" s="1274" t="n">
        <v>37561</v>
      </c>
      <c r="E70" s="1275" t="n">
        <v>31.0027757516389</v>
      </c>
      <c r="F70" s="1275" t="n">
        <v>32.2527757516389</v>
      </c>
      <c r="G70" s="1275" t="n">
        <v>36.7527757516389</v>
      </c>
      <c r="H70" s="1266"/>
      <c r="I70" s="1275" t="n">
        <v>21.8416666666667</v>
      </c>
      <c r="J70" s="1275" t="n">
        <v>23.0916666666667</v>
      </c>
      <c r="K70" s="1275" t="n">
        <v>26.0916666666667</v>
      </c>
      <c r="M70" s="1276" t="n">
        <v>38443</v>
      </c>
      <c r="N70" s="1277" t="n">
        <v>27.2705291175163</v>
      </c>
      <c r="O70" s="1277" t="n">
        <v>29.2705291175163</v>
      </c>
      <c r="P70" s="1277" t="n">
        <v>33.7705291175163</v>
      </c>
      <c r="Q70" s="109"/>
      <c r="R70" s="1277" t="n">
        <v>19.9528968381372</v>
      </c>
      <c r="S70" s="1277" t="n">
        <v>21.9528968381372</v>
      </c>
      <c r="T70" s="1277" t="n">
        <v>26.4528968381372</v>
      </c>
      <c r="V70" s="1278" t="n">
        <v>0</v>
      </c>
      <c r="W70" s="1278" t="n">
        <v>0</v>
      </c>
      <c r="X70" s="1278" t="n">
        <v>0</v>
      </c>
      <c r="Y70" s="1288"/>
      <c r="Z70" s="1277" t="n">
        <v>0.145</v>
      </c>
      <c r="AA70" s="1277" t="n">
        <v>0.155</v>
      </c>
      <c r="AB70" s="1277" t="n">
        <v>0.165</v>
      </c>
      <c r="AC70" s="109"/>
      <c r="AD70" s="1277" t="n">
        <v>0.09</v>
      </c>
      <c r="AE70" s="1277" t="n">
        <v>0.11</v>
      </c>
      <c r="AF70" s="1277" t="n">
        <v>0.13</v>
      </c>
      <c r="AG70" s="109"/>
      <c r="AH70" s="1277" t="n">
        <v>-0.1</v>
      </c>
      <c r="AI70" s="1277" t="n">
        <v>0.65</v>
      </c>
      <c r="AJ70" s="1277" t="n">
        <v>0.1</v>
      </c>
      <c r="AK70" s="109"/>
      <c r="AL70" s="1277" t="n">
        <v>-0.01</v>
      </c>
      <c r="AM70" s="1277" t="n">
        <v>0.16</v>
      </c>
      <c r="AN70" s="1277" t="n">
        <v>0.01</v>
      </c>
      <c r="AO70" s="109"/>
      <c r="AP70" s="197" t="n">
        <v>21</v>
      </c>
      <c r="AQ70" s="1280" t="n">
        <v>0.35</v>
      </c>
      <c r="AR70" s="1288"/>
      <c r="AS70" s="1288"/>
      <c r="AT70" s="1288"/>
      <c r="AU70" s="1288"/>
      <c r="AV70" s="1288"/>
      <c r="AW70" s="1288"/>
      <c r="AX70" s="1288"/>
      <c r="AY70" s="1288"/>
      <c r="AZ70" s="1288"/>
      <c r="BA70" s="1288"/>
      <c r="BB70" s="1288"/>
      <c r="BC70" s="1288"/>
      <c r="BD70" s="1288"/>
      <c r="BE70" s="1288"/>
      <c r="BF70" s="1288"/>
      <c r="BG70" s="1288"/>
      <c r="BH70" s="1288"/>
      <c r="BI70" s="1288"/>
      <c r="BJ70" s="1288"/>
      <c r="BK70" s="1288"/>
      <c r="BL70" s="1288"/>
      <c r="BM70" s="1288"/>
      <c r="BN70" s="1288"/>
      <c r="BO70" s="1288"/>
      <c r="BP70" s="1288"/>
      <c r="BQ70" s="1237" t="n">
        <v>38596</v>
      </c>
      <c r="BR70" s="1238" t="n">
        <v>2.788</v>
      </c>
      <c r="BS70" s="1238" t="n">
        <v>2.793</v>
      </c>
      <c r="BT70" s="1238" t="n">
        <v>2.798</v>
      </c>
      <c r="BU70" s="1239" t="n">
        <v>0.1775</v>
      </c>
      <c r="BV70" s="1239" t="n">
        <v>0.185</v>
      </c>
      <c r="BW70" s="1239" t="n">
        <v>0.1925</v>
      </c>
      <c r="BX70" s="1239" t="n">
        <v>-0.07</v>
      </c>
      <c r="BY70" s="1239"/>
      <c r="BZ70" s="1239" t="n">
        <v>0.07</v>
      </c>
      <c r="CA70" s="1243" t="n">
        <v>0</v>
      </c>
      <c r="CB70" s="1241" t="n">
        <v>0</v>
      </c>
      <c r="CC70" s="1242" t="n">
        <v>2.7915</v>
      </c>
      <c r="CD70" s="1239" t="n">
        <v>0.1535</v>
      </c>
    </row>
    <row r="71" customFormat="false" ht="12.75" hidden="false" customHeight="false" outlineLevel="0" collapsed="false">
      <c r="A71" s="1237" t="n">
        <v>38718</v>
      </c>
      <c r="B71" s="1239" t="n">
        <v>0.071822264052941</v>
      </c>
      <c r="C71" s="1290"/>
      <c r="D71" s="1274" t="n">
        <v>37591</v>
      </c>
      <c r="E71" s="1275" t="n">
        <v>33.0027757516389</v>
      </c>
      <c r="F71" s="1275" t="n">
        <v>34.2527757516389</v>
      </c>
      <c r="G71" s="1275" t="n">
        <v>38.7527757516389</v>
      </c>
      <c r="H71" s="1266"/>
      <c r="I71" s="1275" t="n">
        <v>21.1467741935484</v>
      </c>
      <c r="J71" s="1275" t="n">
        <v>22.3967741935484</v>
      </c>
      <c r="K71" s="1275" t="n">
        <v>25.3967741935484</v>
      </c>
      <c r="M71" s="1276" t="n">
        <v>38473</v>
      </c>
      <c r="N71" s="1277" t="n">
        <v>27.2705291175163</v>
      </c>
      <c r="O71" s="1277" t="n">
        <v>29.2705291175163</v>
      </c>
      <c r="P71" s="1277" t="n">
        <v>33.7705291175163</v>
      </c>
      <c r="Q71" s="109"/>
      <c r="R71" s="1277" t="n">
        <v>19.9528968381372</v>
      </c>
      <c r="S71" s="1277" t="n">
        <v>21.9528968381372</v>
      </c>
      <c r="T71" s="1277" t="n">
        <v>26.4528968381372</v>
      </c>
      <c r="V71" s="1278" t="n">
        <v>0</v>
      </c>
      <c r="W71" s="1278" t="n">
        <v>0</v>
      </c>
      <c r="X71" s="1278" t="n">
        <v>0</v>
      </c>
      <c r="Y71" s="1288"/>
      <c r="Z71" s="1277" t="n">
        <v>0.145</v>
      </c>
      <c r="AA71" s="1277" t="n">
        <v>0.155</v>
      </c>
      <c r="AB71" s="1277" t="n">
        <v>0.165</v>
      </c>
      <c r="AC71" s="109"/>
      <c r="AD71" s="1277" t="n">
        <v>0.09</v>
      </c>
      <c r="AE71" s="1277" t="n">
        <v>0.11</v>
      </c>
      <c r="AF71" s="1277" t="n">
        <v>0.13</v>
      </c>
      <c r="AG71" s="109"/>
      <c r="AH71" s="1277" t="n">
        <v>-0.1</v>
      </c>
      <c r="AI71" s="1277" t="n">
        <v>0.65</v>
      </c>
      <c r="AJ71" s="1277" t="n">
        <v>0.1</v>
      </c>
      <c r="AK71" s="109"/>
      <c r="AL71" s="1277" t="n">
        <v>-0.01</v>
      </c>
      <c r="AM71" s="1277" t="n">
        <v>0.16</v>
      </c>
      <c r="AN71" s="1277" t="n">
        <v>0.01</v>
      </c>
      <c r="AO71" s="109"/>
      <c r="AP71" s="197" t="n">
        <v>21</v>
      </c>
      <c r="AQ71" s="1280" t="n">
        <v>0.35</v>
      </c>
      <c r="AR71" s="1288"/>
      <c r="AS71" s="1288"/>
      <c r="AT71" s="1288"/>
      <c r="AU71" s="1288"/>
      <c r="AV71" s="1288"/>
      <c r="AW71" s="1288"/>
      <c r="AX71" s="1288"/>
      <c r="AY71" s="1288"/>
      <c r="AZ71" s="1288"/>
      <c r="BA71" s="1288"/>
      <c r="BB71" s="1288"/>
      <c r="BC71" s="1288"/>
      <c r="BD71" s="1288"/>
      <c r="BE71" s="1288"/>
      <c r="BF71" s="1288"/>
      <c r="BG71" s="1288"/>
      <c r="BH71" s="1288"/>
      <c r="BI71" s="1288"/>
      <c r="BJ71" s="1288"/>
      <c r="BK71" s="1288"/>
      <c r="BL71" s="1288"/>
      <c r="BM71" s="1288"/>
      <c r="BN71" s="1288"/>
      <c r="BO71" s="1288"/>
      <c r="BP71" s="1288"/>
      <c r="BQ71" s="1237" t="n">
        <v>38626</v>
      </c>
      <c r="BR71" s="1238" t="n">
        <v>2.813</v>
      </c>
      <c r="BS71" s="1238" t="n">
        <v>2.818</v>
      </c>
      <c r="BT71" s="1238" t="n">
        <v>2.823</v>
      </c>
      <c r="BU71" s="1239" t="n">
        <v>0.177</v>
      </c>
      <c r="BV71" s="1239" t="n">
        <v>0.1845</v>
      </c>
      <c r="BW71" s="1239" t="n">
        <v>0.192</v>
      </c>
      <c r="BX71" s="1239" t="n">
        <v>-0.07</v>
      </c>
      <c r="BY71" s="1239"/>
      <c r="BZ71" s="1239" t="n">
        <v>0.07</v>
      </c>
      <c r="CA71" s="1243" t="n">
        <v>0</v>
      </c>
      <c r="CB71" s="1241" t="n">
        <v>0</v>
      </c>
      <c r="CC71" s="1242" t="n">
        <v>2.6845</v>
      </c>
      <c r="CD71" s="1239" t="n">
        <v>0.1515</v>
      </c>
    </row>
    <row r="72" customFormat="false" ht="12.75" hidden="false" customHeight="false" outlineLevel="0" collapsed="false">
      <c r="A72" s="1237" t="n">
        <v>38749</v>
      </c>
      <c r="B72" s="1239" t="n">
        <v>0.071844900279356</v>
      </c>
      <c r="C72" s="1290"/>
      <c r="D72" s="1274" t="n">
        <v>37622</v>
      </c>
      <c r="E72" s="1275" t="n">
        <v>30.8175513919057</v>
      </c>
      <c r="F72" s="1275" t="n">
        <v>32.3175513919057</v>
      </c>
      <c r="G72" s="1275" t="n">
        <v>36.8175513919057</v>
      </c>
      <c r="H72" s="1266"/>
      <c r="I72" s="1275" t="n">
        <v>18.9881191510522</v>
      </c>
      <c r="J72" s="1275" t="n">
        <v>20.2381191510522</v>
      </c>
      <c r="K72" s="1275" t="n">
        <v>23.2381191510522</v>
      </c>
      <c r="M72" s="1276" t="n">
        <v>38504</v>
      </c>
      <c r="N72" s="1277" t="n">
        <v>32.5205291175163</v>
      </c>
      <c r="O72" s="1277" t="n">
        <v>34.5205291175163</v>
      </c>
      <c r="P72" s="1277" t="n">
        <v>39.0205291175163</v>
      </c>
      <c r="Q72" s="109"/>
      <c r="R72" s="1277" t="n">
        <v>23.8903968381372</v>
      </c>
      <c r="S72" s="1277" t="n">
        <v>25.8903968381372</v>
      </c>
      <c r="T72" s="1277" t="n">
        <v>30.3903968381372</v>
      </c>
      <c r="V72" s="1278" t="n">
        <v>0</v>
      </c>
      <c r="W72" s="1278" t="n">
        <v>0</v>
      </c>
      <c r="X72" s="1278" t="n">
        <v>0</v>
      </c>
      <c r="Y72" s="1288"/>
      <c r="Z72" s="1277" t="n">
        <v>0.145</v>
      </c>
      <c r="AA72" s="1277" t="n">
        <v>0.155</v>
      </c>
      <c r="AB72" s="1277" t="n">
        <v>0.165</v>
      </c>
      <c r="AC72" s="109"/>
      <c r="AD72" s="1277" t="n">
        <v>0.09</v>
      </c>
      <c r="AE72" s="1277" t="n">
        <v>0.11</v>
      </c>
      <c r="AF72" s="1277" t="n">
        <v>0.13</v>
      </c>
      <c r="AG72" s="109"/>
      <c r="AH72" s="1277" t="n">
        <v>-0.35</v>
      </c>
      <c r="AI72" s="1277" t="n">
        <v>0.65</v>
      </c>
      <c r="AJ72" s="1277" t="n">
        <v>0.2</v>
      </c>
      <c r="AK72" s="109"/>
      <c r="AL72" s="1277" t="n">
        <v>-0.01</v>
      </c>
      <c r="AM72" s="1277" t="n">
        <v>0.16</v>
      </c>
      <c r="AN72" s="1277" t="n">
        <v>0.01</v>
      </c>
      <c r="AO72" s="109"/>
      <c r="AP72" s="197" t="n">
        <v>21</v>
      </c>
      <c r="AQ72" s="1280" t="n">
        <v>0.35</v>
      </c>
      <c r="AR72" s="1288"/>
      <c r="AS72" s="1288"/>
      <c r="AT72" s="1288"/>
      <c r="AU72" s="1288"/>
      <c r="AV72" s="1288"/>
      <c r="AW72" s="1288"/>
      <c r="AX72" s="1288"/>
      <c r="AY72" s="1288"/>
      <c r="AZ72" s="1288"/>
      <c r="BA72" s="1288"/>
      <c r="BB72" s="1288"/>
      <c r="BC72" s="1288"/>
      <c r="BD72" s="1288"/>
      <c r="BE72" s="1288"/>
      <c r="BF72" s="1288"/>
      <c r="BG72" s="1288"/>
      <c r="BH72" s="1288"/>
      <c r="BI72" s="1288"/>
      <c r="BJ72" s="1288"/>
      <c r="BK72" s="1288"/>
      <c r="BL72" s="1288"/>
      <c r="BM72" s="1288"/>
      <c r="BN72" s="1288"/>
      <c r="BO72" s="1288"/>
      <c r="BP72" s="1288"/>
      <c r="BQ72" s="1237" t="n">
        <v>38657</v>
      </c>
      <c r="BR72" s="1238" t="n">
        <v>2.936</v>
      </c>
      <c r="BS72" s="1238" t="n">
        <v>2.941</v>
      </c>
      <c r="BT72" s="1238" t="n">
        <v>2.946</v>
      </c>
      <c r="BU72" s="1239" t="n">
        <v>0.1765</v>
      </c>
      <c r="BV72" s="1239" t="n">
        <v>0.184</v>
      </c>
      <c r="BW72" s="1239" t="n">
        <v>0.1915</v>
      </c>
      <c r="BX72" s="1239" t="n">
        <v>-0.07</v>
      </c>
      <c r="BY72" s="1239"/>
      <c r="BZ72" s="1239" t="n">
        <v>0.07</v>
      </c>
      <c r="CA72" s="1243" t="n">
        <v>0</v>
      </c>
      <c r="CB72" s="1241" t="n">
        <v>0</v>
      </c>
      <c r="CC72" s="1242" t="n">
        <v>2.5815</v>
      </c>
      <c r="CD72" s="1239" t="n">
        <v>0.1495</v>
      </c>
    </row>
    <row r="73" customFormat="false" ht="12.75" hidden="false" customHeight="false" outlineLevel="0" collapsed="false">
      <c r="A73" s="1237" t="n">
        <v>38777</v>
      </c>
      <c r="B73" s="1239" t="n">
        <v>0.071865345903361</v>
      </c>
      <c r="C73" s="1290"/>
      <c r="D73" s="1274" t="n">
        <v>37653</v>
      </c>
      <c r="E73" s="1275" t="n">
        <v>30.3175513919057</v>
      </c>
      <c r="F73" s="1275" t="n">
        <v>31.8175513919057</v>
      </c>
      <c r="G73" s="1275" t="n">
        <v>36.3175513919057</v>
      </c>
      <c r="H73" s="1266"/>
      <c r="I73" s="1275" t="n">
        <v>19.9571428571429</v>
      </c>
      <c r="J73" s="1275" t="n">
        <v>21.2071428571429</v>
      </c>
      <c r="K73" s="1275" t="n">
        <v>24.2071428571429</v>
      </c>
      <c r="M73" s="1276" t="n">
        <v>38534</v>
      </c>
      <c r="N73" s="1277" t="n">
        <v>59.5716207105738</v>
      </c>
      <c r="O73" s="1277" t="n">
        <v>61.5716207105738</v>
      </c>
      <c r="P73" s="1277" t="n">
        <v>66.0716207105738</v>
      </c>
      <c r="Q73" s="109"/>
      <c r="R73" s="1277" t="n">
        <v>44.1787155329303</v>
      </c>
      <c r="S73" s="1277" t="n">
        <v>46.1787155329303</v>
      </c>
      <c r="T73" s="1277" t="n">
        <v>50.6787155329303</v>
      </c>
      <c r="V73" s="1278" t="n">
        <v>0</v>
      </c>
      <c r="W73" s="1278" t="n">
        <v>0</v>
      </c>
      <c r="X73" s="1278" t="n">
        <v>0</v>
      </c>
      <c r="Y73" s="1288"/>
      <c r="Z73" s="1277" t="n">
        <v>0.145</v>
      </c>
      <c r="AA73" s="1277" t="n">
        <v>0.155</v>
      </c>
      <c r="AB73" s="1277" t="n">
        <v>0.165</v>
      </c>
      <c r="AC73" s="109"/>
      <c r="AD73" s="1277" t="n">
        <v>0.09</v>
      </c>
      <c r="AE73" s="1277" t="n">
        <v>0.11</v>
      </c>
      <c r="AF73" s="1277" t="n">
        <v>0.13</v>
      </c>
      <c r="AG73" s="109"/>
      <c r="AH73" s="1277" t="n">
        <v>-0.35</v>
      </c>
      <c r="AI73" s="1277" t="n">
        <v>3</v>
      </c>
      <c r="AJ73" s="1277" t="n">
        <v>0.35</v>
      </c>
      <c r="AK73" s="109"/>
      <c r="AL73" s="1277" t="n">
        <v>-0.01</v>
      </c>
      <c r="AM73" s="1277" t="n">
        <v>0.16</v>
      </c>
      <c r="AN73" s="1277" t="n">
        <v>0.01</v>
      </c>
      <c r="AO73" s="109"/>
      <c r="AP73" s="197" t="n">
        <v>22</v>
      </c>
      <c r="AQ73" s="1280" t="n">
        <v>0.35</v>
      </c>
      <c r="AR73" s="1288"/>
      <c r="AS73" s="1288"/>
      <c r="AT73" s="1288"/>
      <c r="AU73" s="1288"/>
      <c r="AV73" s="1288"/>
      <c r="AW73" s="1288"/>
      <c r="AX73" s="1288"/>
      <c r="AY73" s="1288"/>
      <c r="AZ73" s="1288"/>
      <c r="BA73" s="1288"/>
      <c r="BB73" s="1288"/>
      <c r="BC73" s="1288"/>
      <c r="BD73" s="1288"/>
      <c r="BE73" s="1288"/>
      <c r="BF73" s="1288"/>
      <c r="BG73" s="1288"/>
      <c r="BH73" s="1288"/>
      <c r="BI73" s="1288"/>
      <c r="BJ73" s="1288"/>
      <c r="BK73" s="1288"/>
      <c r="BL73" s="1288"/>
      <c r="BM73" s="1288"/>
      <c r="BN73" s="1288"/>
      <c r="BO73" s="1288"/>
      <c r="BP73" s="1288"/>
      <c r="BQ73" s="1237" t="n">
        <v>38687</v>
      </c>
      <c r="BR73" s="1238" t="n">
        <v>3.053</v>
      </c>
      <c r="BS73" s="1238" t="n">
        <v>3.058</v>
      </c>
      <c r="BT73" s="1238" t="n">
        <v>3.063</v>
      </c>
      <c r="BU73" s="1239" t="n">
        <v>0.1775</v>
      </c>
      <c r="BV73" s="1239" t="n">
        <v>0.185</v>
      </c>
      <c r="BW73" s="1239" t="n">
        <v>0.1925</v>
      </c>
      <c r="BX73" s="1239" t="n">
        <v>-0.07</v>
      </c>
      <c r="BY73" s="1239"/>
      <c r="BZ73" s="1239" t="n">
        <v>0.07</v>
      </c>
      <c r="CA73" s="1243" t="n">
        <v>0</v>
      </c>
      <c r="CB73" s="1241" t="n">
        <v>0</v>
      </c>
      <c r="CC73" s="1242" t="n">
        <v>2.5575</v>
      </c>
      <c r="CD73" s="1239" t="n">
        <v>0.1485</v>
      </c>
    </row>
    <row r="74" customFormat="false" ht="12.75" hidden="false" customHeight="false" outlineLevel="0" collapsed="false">
      <c r="A74" s="1237" t="n">
        <v>38808</v>
      </c>
      <c r="B74" s="1239" t="n">
        <v>0.071887982130098</v>
      </c>
      <c r="C74" s="1290"/>
      <c r="D74" s="1274" t="n">
        <v>37681</v>
      </c>
      <c r="E74" s="1275" t="n">
        <v>30.0675513919057</v>
      </c>
      <c r="F74" s="1275" t="n">
        <v>31.5675513919057</v>
      </c>
      <c r="G74" s="1275" t="n">
        <v>36.0675513919057</v>
      </c>
      <c r="H74" s="1266"/>
      <c r="I74" s="1275" t="n">
        <v>20.2370967741936</v>
      </c>
      <c r="J74" s="1275" t="n">
        <v>21.4870967741936</v>
      </c>
      <c r="K74" s="1275" t="n">
        <v>24.4870967741936</v>
      </c>
      <c r="M74" s="1276" t="n">
        <v>38565</v>
      </c>
      <c r="N74" s="1277" t="n">
        <v>80.1966207105738</v>
      </c>
      <c r="O74" s="1277" t="n">
        <v>82.1966207105738</v>
      </c>
      <c r="P74" s="1277" t="n">
        <v>86.6966207105738</v>
      </c>
      <c r="Q74" s="109"/>
      <c r="R74" s="1277" t="n">
        <v>59.6474655329303</v>
      </c>
      <c r="S74" s="1277" t="n">
        <v>61.6474655329303</v>
      </c>
      <c r="T74" s="1277" t="n">
        <v>66.1474655329303</v>
      </c>
      <c r="V74" s="1278" t="n">
        <v>0</v>
      </c>
      <c r="W74" s="1278" t="n">
        <v>0</v>
      </c>
      <c r="X74" s="1278" t="n">
        <v>0</v>
      </c>
      <c r="Y74" s="1288"/>
      <c r="Z74" s="1277" t="n">
        <v>0.145</v>
      </c>
      <c r="AA74" s="1277" t="n">
        <v>0.155</v>
      </c>
      <c r="AB74" s="1277" t="n">
        <v>0.165</v>
      </c>
      <c r="AC74" s="109"/>
      <c r="AD74" s="1277" t="n">
        <v>0.09</v>
      </c>
      <c r="AE74" s="1277" t="n">
        <v>0.11</v>
      </c>
      <c r="AF74" s="1277" t="n">
        <v>0.13</v>
      </c>
      <c r="AG74" s="109"/>
      <c r="AH74" s="1277" t="n">
        <v>-0.35</v>
      </c>
      <c r="AI74" s="1277" t="n">
        <v>3</v>
      </c>
      <c r="AJ74" s="1277" t="n">
        <v>0.35</v>
      </c>
      <c r="AK74" s="109"/>
      <c r="AL74" s="1277" t="n">
        <v>-0.01</v>
      </c>
      <c r="AM74" s="1277" t="n">
        <v>0.16</v>
      </c>
      <c r="AN74" s="1277" t="n">
        <v>0.01</v>
      </c>
      <c r="AO74" s="109"/>
      <c r="AP74" s="197" t="n">
        <v>22</v>
      </c>
      <c r="AQ74" s="1280" t="n">
        <v>0.35</v>
      </c>
      <c r="AR74" s="1288"/>
      <c r="AS74" s="1288"/>
      <c r="AT74" s="1288"/>
      <c r="AU74" s="1288"/>
      <c r="AV74" s="1288"/>
      <c r="AW74" s="1288"/>
      <c r="AX74" s="1288"/>
      <c r="AY74" s="1288"/>
      <c r="AZ74" s="1288"/>
      <c r="BA74" s="1288"/>
      <c r="BB74" s="1288"/>
      <c r="BC74" s="1288"/>
      <c r="BD74" s="1288"/>
      <c r="BE74" s="1288"/>
      <c r="BF74" s="1288"/>
      <c r="BG74" s="1288"/>
      <c r="BH74" s="1288"/>
      <c r="BI74" s="1288"/>
      <c r="BJ74" s="1288"/>
      <c r="BK74" s="1288"/>
      <c r="BL74" s="1288"/>
      <c r="BM74" s="1288"/>
      <c r="BN74" s="1288"/>
      <c r="BO74" s="1288"/>
      <c r="BP74" s="1288"/>
      <c r="BQ74" s="1237" t="n">
        <v>38718</v>
      </c>
      <c r="BR74" s="1238" t="n">
        <v>3.096</v>
      </c>
      <c r="BS74" s="1238" t="n">
        <v>3.101</v>
      </c>
      <c r="BT74" s="1238" t="n">
        <v>3.106</v>
      </c>
      <c r="BU74" s="1239" t="n">
        <v>0.152</v>
      </c>
      <c r="BV74" s="1239" t="n">
        <v>0.1595</v>
      </c>
      <c r="BW74" s="1239" t="n">
        <v>0.167</v>
      </c>
      <c r="BX74" s="1239" t="n">
        <v>-0.07</v>
      </c>
      <c r="BY74" s="1239"/>
      <c r="BZ74" s="1239" t="n">
        <v>0.07</v>
      </c>
      <c r="CA74" s="1243" t="n">
        <v>0</v>
      </c>
      <c r="CB74" s="1241" t="n">
        <v>0</v>
      </c>
      <c r="CC74" s="1242" t="n">
        <v>2.5645</v>
      </c>
      <c r="CD74" s="1239" t="n">
        <v>0.1482</v>
      </c>
    </row>
    <row r="75" customFormat="false" ht="12.75" hidden="false" customHeight="false" outlineLevel="0" collapsed="false">
      <c r="A75" s="1237" t="n">
        <v>38838</v>
      </c>
      <c r="B75" s="1239" t="n">
        <v>0.071909888156135</v>
      </c>
      <c r="C75" s="1290"/>
      <c r="D75" s="1274" t="n">
        <v>37712</v>
      </c>
      <c r="E75" s="1275" t="n">
        <v>30.0275430669893</v>
      </c>
      <c r="F75" s="1275" t="n">
        <v>31.5275430669893</v>
      </c>
      <c r="G75" s="1275" t="n">
        <v>36.0275430669893</v>
      </c>
      <c r="H75" s="1266"/>
      <c r="I75" s="1275" t="n">
        <v>18.0375</v>
      </c>
      <c r="J75" s="1275" t="n">
        <v>19.2875</v>
      </c>
      <c r="K75" s="1275" t="n">
        <v>22.2875</v>
      </c>
      <c r="M75" s="1276" t="n">
        <v>38596</v>
      </c>
      <c r="N75" s="1277" t="n">
        <v>64.1966207105738</v>
      </c>
      <c r="O75" s="1277" t="n">
        <v>66.1966207105738</v>
      </c>
      <c r="P75" s="1277" t="n">
        <v>70.6966207105738</v>
      </c>
      <c r="Q75" s="109"/>
      <c r="R75" s="1277" t="n">
        <v>47.6474655329303</v>
      </c>
      <c r="S75" s="1277" t="n">
        <v>49.6474655329303</v>
      </c>
      <c r="T75" s="1277" t="n">
        <v>54.1474655329303</v>
      </c>
      <c r="V75" s="1278" t="n">
        <v>0</v>
      </c>
      <c r="W75" s="1278" t="n">
        <v>0</v>
      </c>
      <c r="X75" s="1278" t="n">
        <v>0</v>
      </c>
      <c r="Y75" s="1288"/>
      <c r="Z75" s="1277" t="n">
        <v>0.145</v>
      </c>
      <c r="AA75" s="1277" t="n">
        <v>0.155</v>
      </c>
      <c r="AB75" s="1277" t="n">
        <v>0.165</v>
      </c>
      <c r="AC75" s="109"/>
      <c r="AD75" s="1277" t="n">
        <v>0.09</v>
      </c>
      <c r="AE75" s="1277" t="n">
        <v>0.11</v>
      </c>
      <c r="AF75" s="1277" t="n">
        <v>0.13</v>
      </c>
      <c r="AG75" s="109"/>
      <c r="AH75" s="1277" t="n">
        <v>-0.35</v>
      </c>
      <c r="AI75" s="1277" t="n">
        <v>3</v>
      </c>
      <c r="AJ75" s="1277" t="n">
        <v>0.2</v>
      </c>
      <c r="AK75" s="109"/>
      <c r="AL75" s="1277" t="n">
        <v>-0.01</v>
      </c>
      <c r="AM75" s="1277" t="n">
        <v>0.16</v>
      </c>
      <c r="AN75" s="1277" t="n">
        <v>0.01</v>
      </c>
      <c r="AO75" s="109"/>
      <c r="AP75" s="197" t="n">
        <v>22</v>
      </c>
      <c r="AQ75" s="1280" t="n">
        <v>0.35</v>
      </c>
      <c r="AR75" s="1288"/>
      <c r="AS75" s="1288"/>
      <c r="AT75" s="1288"/>
      <c r="AU75" s="1288"/>
      <c r="AV75" s="1288"/>
      <c r="AW75" s="1288"/>
      <c r="AX75" s="1288"/>
      <c r="AY75" s="1288"/>
      <c r="AZ75" s="1288"/>
      <c r="BA75" s="1288"/>
      <c r="BB75" s="1288"/>
      <c r="BC75" s="1288"/>
      <c r="BD75" s="1288"/>
      <c r="BE75" s="1288"/>
      <c r="BF75" s="1288"/>
      <c r="BG75" s="1288"/>
      <c r="BH75" s="1288"/>
      <c r="BI75" s="1288"/>
      <c r="BJ75" s="1288"/>
      <c r="BK75" s="1288"/>
      <c r="BL75" s="1288"/>
      <c r="BM75" s="1288"/>
      <c r="BN75" s="1288"/>
      <c r="BO75" s="1288"/>
      <c r="BP75" s="1288"/>
      <c r="BQ75" s="1237" t="n">
        <v>38749</v>
      </c>
      <c r="BR75" s="1238" t="n">
        <v>2.995</v>
      </c>
      <c r="BS75" s="1238" t="n">
        <v>3</v>
      </c>
      <c r="BT75" s="1238" t="n">
        <v>3.005</v>
      </c>
      <c r="BU75" s="1239" t="n">
        <v>0.152</v>
      </c>
      <c r="BV75" s="1239" t="n">
        <v>0.1595</v>
      </c>
      <c r="BW75" s="1239" t="n">
        <v>0.167</v>
      </c>
      <c r="BX75" s="1239" t="n">
        <v>-0.07</v>
      </c>
      <c r="BY75" s="1239"/>
      <c r="BZ75" s="1239" t="n">
        <v>0.07</v>
      </c>
      <c r="CA75" s="1243" t="n">
        <v>0</v>
      </c>
      <c r="CB75" s="1241" t="n">
        <v>0</v>
      </c>
      <c r="CC75" s="1242" t="n">
        <v>2.5705</v>
      </c>
      <c r="CD75" s="1239" t="n">
        <v>0.1479</v>
      </c>
    </row>
    <row r="76" customFormat="false" ht="12.75" hidden="false" customHeight="false" outlineLevel="0" collapsed="false">
      <c r="A76" s="1237" t="n">
        <v>38869</v>
      </c>
      <c r="B76" s="1239" t="n">
        <v>0.071932524383206</v>
      </c>
      <c r="C76" s="1290"/>
      <c r="D76" s="1274" t="n">
        <v>37742</v>
      </c>
      <c r="E76" s="1275" t="n">
        <v>29.2775430669893</v>
      </c>
      <c r="F76" s="1275" t="n">
        <v>30.7775430669893</v>
      </c>
      <c r="G76" s="1275" t="n">
        <v>35.2775430669893</v>
      </c>
      <c r="H76" s="1266"/>
      <c r="I76" s="1275" t="n">
        <v>18.0959677419355</v>
      </c>
      <c r="J76" s="1275" t="n">
        <v>19.3459677419355</v>
      </c>
      <c r="K76" s="1275" t="n">
        <v>22.3459677419355</v>
      </c>
      <c r="M76" s="1276" t="n">
        <v>38626</v>
      </c>
      <c r="N76" s="1277" t="n">
        <v>35.5601762356803</v>
      </c>
      <c r="O76" s="1277" t="n">
        <v>37.5601762356803</v>
      </c>
      <c r="P76" s="1277" t="n">
        <v>42.0601762356803</v>
      </c>
      <c r="Q76" s="109"/>
      <c r="R76" s="1277" t="n">
        <v>26.1701321767602</v>
      </c>
      <c r="S76" s="1277" t="n">
        <v>28.1701321767602</v>
      </c>
      <c r="T76" s="1277" t="n">
        <v>32.6701321767602</v>
      </c>
      <c r="V76" s="1278" t="n">
        <v>0</v>
      </c>
      <c r="W76" s="1278" t="n">
        <v>0</v>
      </c>
      <c r="X76" s="1278" t="n">
        <v>0</v>
      </c>
      <c r="Y76" s="1288"/>
      <c r="Z76" s="1277" t="n">
        <v>0.145</v>
      </c>
      <c r="AA76" s="1277" t="n">
        <v>0.155</v>
      </c>
      <c r="AB76" s="1277" t="n">
        <v>0.165</v>
      </c>
      <c r="AC76" s="109"/>
      <c r="AD76" s="1277" t="n">
        <v>0.09</v>
      </c>
      <c r="AE76" s="1277" t="n">
        <v>0.11</v>
      </c>
      <c r="AF76" s="1277" t="n">
        <v>0.13</v>
      </c>
      <c r="AG76" s="109"/>
      <c r="AH76" s="1277" t="n">
        <v>-0.1</v>
      </c>
      <c r="AI76" s="1277" t="n">
        <v>0.6</v>
      </c>
      <c r="AJ76" s="1277" t="n">
        <v>0.1</v>
      </c>
      <c r="AK76" s="109"/>
      <c r="AL76" s="1277" t="n">
        <v>-0.01</v>
      </c>
      <c r="AM76" s="1277" t="n">
        <v>0.16</v>
      </c>
      <c r="AN76" s="1277" t="n">
        <v>0.01</v>
      </c>
      <c r="AO76" s="109"/>
      <c r="AP76" s="197" t="n">
        <v>23</v>
      </c>
      <c r="AQ76" s="1280" t="n">
        <v>0.35</v>
      </c>
      <c r="AR76" s="1288"/>
      <c r="AS76" s="1288"/>
      <c r="AT76" s="1288"/>
      <c r="AU76" s="1288"/>
      <c r="AV76" s="1288"/>
      <c r="AW76" s="1288"/>
      <c r="AX76" s="1288"/>
      <c r="AY76" s="1288"/>
      <c r="AZ76" s="1288"/>
      <c r="BA76" s="1288"/>
      <c r="BB76" s="1288"/>
      <c r="BC76" s="1288"/>
      <c r="BD76" s="1288"/>
      <c r="BE76" s="1288"/>
      <c r="BF76" s="1288"/>
      <c r="BG76" s="1288"/>
      <c r="BH76" s="1288"/>
      <c r="BI76" s="1288"/>
      <c r="BJ76" s="1288"/>
      <c r="BK76" s="1288"/>
      <c r="BL76" s="1288"/>
      <c r="BM76" s="1288"/>
      <c r="BN76" s="1288"/>
      <c r="BO76" s="1288"/>
      <c r="BP76" s="1288"/>
      <c r="BQ76" s="1237" t="n">
        <v>38777</v>
      </c>
      <c r="BR76" s="1238" t="n">
        <v>2.889</v>
      </c>
      <c r="BS76" s="1238" t="n">
        <v>2.894</v>
      </c>
      <c r="BT76" s="1238" t="n">
        <v>2.899</v>
      </c>
      <c r="BU76" s="1239" t="n">
        <v>0.151</v>
      </c>
      <c r="BV76" s="1239" t="n">
        <v>0.1585</v>
      </c>
      <c r="BW76" s="1239" t="n">
        <v>0.166</v>
      </c>
      <c r="BX76" s="1239" t="n">
        <v>-0.07</v>
      </c>
      <c r="BY76" s="1239"/>
      <c r="BZ76" s="1239" t="n">
        <v>0.07</v>
      </c>
      <c r="CA76" s="1243" t="n">
        <v>0</v>
      </c>
      <c r="CB76" s="1241" t="n">
        <v>0</v>
      </c>
      <c r="CC76" s="1242" t="n">
        <v>2.5755</v>
      </c>
      <c r="CD76" s="1239" t="n">
        <v>0.1476</v>
      </c>
    </row>
    <row r="77" customFormat="false" ht="12.75" hidden="false" customHeight="false" outlineLevel="0" collapsed="false">
      <c r="A77" s="1237" t="n">
        <v>38899</v>
      </c>
      <c r="B77" s="1239" t="n">
        <v>0.071954430409564</v>
      </c>
      <c r="C77" s="1290"/>
      <c r="D77" s="1274" t="n">
        <v>37773</v>
      </c>
      <c r="E77" s="1275" t="n">
        <v>34.5275430669893</v>
      </c>
      <c r="F77" s="1275" t="n">
        <v>36.0275430669893</v>
      </c>
      <c r="G77" s="1275" t="n">
        <v>40.5275430669893</v>
      </c>
      <c r="H77" s="1266"/>
      <c r="I77" s="1275" t="n">
        <v>17.35</v>
      </c>
      <c r="J77" s="1275" t="n">
        <v>18.6</v>
      </c>
      <c r="K77" s="1275" t="n">
        <v>21.6</v>
      </c>
      <c r="M77" s="1276" t="n">
        <v>38657</v>
      </c>
      <c r="N77" s="1277" t="n">
        <v>27.8101762356803</v>
      </c>
      <c r="O77" s="1277" t="n">
        <v>29.8101762356803</v>
      </c>
      <c r="P77" s="1277" t="n">
        <v>34.3101762356803</v>
      </c>
      <c r="Q77" s="109"/>
      <c r="R77" s="1277" t="n">
        <v>20.3576321767602</v>
      </c>
      <c r="S77" s="1277" t="n">
        <v>22.3576321767602</v>
      </c>
      <c r="T77" s="1277" t="n">
        <v>26.8576321767602</v>
      </c>
      <c r="V77" s="1278" t="n">
        <v>0</v>
      </c>
      <c r="W77" s="1278" t="n">
        <v>0</v>
      </c>
      <c r="X77" s="1278" t="n">
        <v>0</v>
      </c>
      <c r="Y77" s="1288"/>
      <c r="Z77" s="1277" t="n">
        <v>0.145</v>
      </c>
      <c r="AA77" s="1277" t="n">
        <v>0.155</v>
      </c>
      <c r="AB77" s="1277" t="n">
        <v>0.165</v>
      </c>
      <c r="AC77" s="109"/>
      <c r="AD77" s="1277" t="n">
        <v>0.09</v>
      </c>
      <c r="AE77" s="1277" t="n">
        <v>0.11</v>
      </c>
      <c r="AF77" s="1277" t="n">
        <v>0.13</v>
      </c>
      <c r="AG77" s="109"/>
      <c r="AH77" s="1277" t="n">
        <v>-0.1</v>
      </c>
      <c r="AI77" s="1277" t="n">
        <v>0.6</v>
      </c>
      <c r="AJ77" s="1277" t="n">
        <v>0.1</v>
      </c>
      <c r="AK77" s="109"/>
      <c r="AL77" s="1277" t="n">
        <v>-0.01</v>
      </c>
      <c r="AM77" s="1277" t="n">
        <v>0.16</v>
      </c>
      <c r="AN77" s="1277" t="n">
        <v>0.01</v>
      </c>
      <c r="AO77" s="109"/>
      <c r="AP77" s="197" t="n">
        <v>23</v>
      </c>
      <c r="AQ77" s="1280" t="n">
        <v>0.35</v>
      </c>
      <c r="AR77" s="1288"/>
      <c r="AS77" s="1288"/>
      <c r="AT77" s="1288"/>
      <c r="AU77" s="1288"/>
      <c r="AV77" s="1288"/>
      <c r="AW77" s="1288"/>
      <c r="AX77" s="1288"/>
      <c r="AY77" s="1288"/>
      <c r="AZ77" s="1288"/>
      <c r="BA77" s="1288"/>
      <c r="BB77" s="1288"/>
      <c r="BC77" s="1288"/>
      <c r="BD77" s="1288"/>
      <c r="BE77" s="1288"/>
      <c r="BF77" s="1288"/>
      <c r="BG77" s="1288"/>
      <c r="BH77" s="1288"/>
      <c r="BI77" s="1288"/>
      <c r="BJ77" s="1288"/>
      <c r="BK77" s="1288"/>
      <c r="BL77" s="1288"/>
      <c r="BM77" s="1288"/>
      <c r="BN77" s="1288"/>
      <c r="BO77" s="1288"/>
      <c r="BP77" s="1288"/>
      <c r="BQ77" s="1237" t="n">
        <v>38808</v>
      </c>
      <c r="BR77" s="1238" t="n">
        <v>2.798</v>
      </c>
      <c r="BS77" s="1238" t="n">
        <v>2.803</v>
      </c>
      <c r="BT77" s="1238" t="n">
        <v>2.808</v>
      </c>
      <c r="BU77" s="1239" t="n">
        <v>0.15</v>
      </c>
      <c r="BV77" s="1239" t="n">
        <v>0.1575</v>
      </c>
      <c r="BW77" s="1239" t="n">
        <v>0.165</v>
      </c>
      <c r="BX77" s="1239" t="n">
        <v>-0.07</v>
      </c>
      <c r="BY77" s="1239"/>
      <c r="BZ77" s="1239" t="n">
        <v>0.07</v>
      </c>
      <c r="CA77" s="1243" t="n">
        <v>0</v>
      </c>
      <c r="CB77" s="1241" t="n">
        <v>0</v>
      </c>
      <c r="CC77" s="1242" t="n">
        <v>2.5785</v>
      </c>
      <c r="CD77" s="1239" t="n">
        <v>0.1473</v>
      </c>
    </row>
    <row r="78" customFormat="false" ht="12.75" hidden="false" customHeight="false" outlineLevel="0" collapsed="false">
      <c r="A78" s="1237" t="n">
        <v>38930</v>
      </c>
      <c r="B78" s="1239" t="n">
        <v>0.071977066636968</v>
      </c>
      <c r="C78" s="1290"/>
      <c r="D78" s="1274" t="n">
        <v>37803</v>
      </c>
      <c r="E78" s="1275" t="n">
        <v>59.4803290073095</v>
      </c>
      <c r="F78" s="1275" t="n">
        <v>60.9803290073095</v>
      </c>
      <c r="G78" s="1275" t="n">
        <v>65.4803290073095</v>
      </c>
      <c r="H78" s="1266"/>
      <c r="I78" s="1275" t="n">
        <v>23.3741935483871</v>
      </c>
      <c r="J78" s="1275" t="n">
        <v>24.6241935483871</v>
      </c>
      <c r="K78" s="1275" t="n">
        <v>27.6241935483871</v>
      </c>
      <c r="M78" s="1276" t="n">
        <v>38687</v>
      </c>
      <c r="N78" s="1277" t="n">
        <v>29.8101762356803</v>
      </c>
      <c r="O78" s="1277" t="n">
        <v>31.8101762356803</v>
      </c>
      <c r="P78" s="1277" t="n">
        <v>36.3101762356803</v>
      </c>
      <c r="Q78" s="109"/>
      <c r="R78" s="1277" t="n">
        <v>21.8576321767602</v>
      </c>
      <c r="S78" s="1277" t="n">
        <v>23.8576321767602</v>
      </c>
      <c r="T78" s="1277" t="n">
        <v>28.3576321767602</v>
      </c>
      <c r="V78" s="1278" t="n">
        <v>0</v>
      </c>
      <c r="W78" s="1278" t="n">
        <v>0</v>
      </c>
      <c r="X78" s="1278" t="n">
        <v>0</v>
      </c>
      <c r="Y78" s="1288"/>
      <c r="Z78" s="1277" t="n">
        <v>0.145</v>
      </c>
      <c r="AA78" s="1277" t="n">
        <v>0.155</v>
      </c>
      <c r="AB78" s="1277" t="n">
        <v>0.165</v>
      </c>
      <c r="AC78" s="109"/>
      <c r="AD78" s="1277" t="n">
        <v>0.09</v>
      </c>
      <c r="AE78" s="1277" t="n">
        <v>0.11</v>
      </c>
      <c r="AF78" s="1277" t="n">
        <v>0.13</v>
      </c>
      <c r="AG78" s="109"/>
      <c r="AH78" s="1277" t="n">
        <v>-0.25</v>
      </c>
      <c r="AI78" s="1277" t="n">
        <v>0.6</v>
      </c>
      <c r="AJ78" s="1277" t="n">
        <v>0.25</v>
      </c>
      <c r="AK78" s="109"/>
      <c r="AL78" s="1277" t="n">
        <v>-0.01</v>
      </c>
      <c r="AM78" s="1277" t="n">
        <v>0.16</v>
      </c>
      <c r="AN78" s="1277" t="n">
        <v>0.01</v>
      </c>
      <c r="AO78" s="109"/>
      <c r="AP78" s="197" t="n">
        <v>23</v>
      </c>
      <c r="AQ78" s="1280" t="n">
        <v>0.35</v>
      </c>
      <c r="AR78" s="1288"/>
      <c r="AS78" s="1288"/>
      <c r="AT78" s="1288"/>
      <c r="AU78" s="1288"/>
      <c r="AV78" s="1288"/>
      <c r="AW78" s="1288"/>
      <c r="AX78" s="1288"/>
      <c r="AY78" s="1288"/>
      <c r="AZ78" s="1288"/>
      <c r="BA78" s="1288"/>
      <c r="BB78" s="1288"/>
      <c r="BC78" s="1288"/>
      <c r="BD78" s="1288"/>
      <c r="BE78" s="1288"/>
      <c r="BF78" s="1288"/>
      <c r="BG78" s="1288"/>
      <c r="BH78" s="1288"/>
      <c r="BI78" s="1288"/>
      <c r="BJ78" s="1288"/>
      <c r="BK78" s="1288"/>
      <c r="BL78" s="1288"/>
      <c r="BM78" s="1288"/>
      <c r="BN78" s="1288"/>
      <c r="BO78" s="1288"/>
      <c r="BP78" s="1288"/>
      <c r="BQ78" s="1237" t="n">
        <v>38838</v>
      </c>
      <c r="BR78" s="1238" t="n">
        <v>2.815</v>
      </c>
      <c r="BS78" s="1238" t="n">
        <v>2.82</v>
      </c>
      <c r="BT78" s="1238" t="n">
        <v>2.825</v>
      </c>
      <c r="BU78" s="1239" t="n">
        <v>0.15</v>
      </c>
      <c r="BV78" s="1239" t="n">
        <v>0.1575</v>
      </c>
      <c r="BW78" s="1239" t="n">
        <v>0.165</v>
      </c>
      <c r="BX78" s="1239" t="n">
        <v>-0.07</v>
      </c>
      <c r="BY78" s="1239"/>
      <c r="BZ78" s="1239" t="n">
        <v>0.07</v>
      </c>
      <c r="CA78" s="1243" t="n">
        <v>0</v>
      </c>
      <c r="CB78" s="1241" t="n">
        <v>0</v>
      </c>
      <c r="CC78" s="1242" t="n">
        <v>2.6115</v>
      </c>
      <c r="CD78" s="1239" t="n">
        <v>0.147</v>
      </c>
    </row>
    <row r="79" customFormat="false" ht="12.75" hidden="false" customHeight="false" outlineLevel="0" collapsed="false">
      <c r="A79" s="1237" t="n">
        <v>38961</v>
      </c>
      <c r="B79" s="1239" t="n">
        <v>0.071999702864542</v>
      </c>
      <c r="C79" s="1290"/>
      <c r="D79" s="1274" t="n">
        <v>37834</v>
      </c>
      <c r="E79" s="1275" t="n">
        <v>80.1053290073095</v>
      </c>
      <c r="F79" s="1275" t="n">
        <v>81.6053290073095</v>
      </c>
      <c r="G79" s="1275" t="n">
        <v>86.1053290073095</v>
      </c>
      <c r="H79" s="1266"/>
      <c r="I79" s="1275" t="n">
        <v>21.3741935483871</v>
      </c>
      <c r="J79" s="1275" t="n">
        <v>22.6241935483871</v>
      </c>
      <c r="K79" s="1275" t="n">
        <v>25.6241935483871</v>
      </c>
      <c r="M79" s="1276" t="n">
        <v>38718</v>
      </c>
      <c r="N79" s="1277" t="n">
        <v>27.4131717037178</v>
      </c>
      <c r="O79" s="1277" t="n">
        <v>30.4131717037178</v>
      </c>
      <c r="P79" s="1277" t="n">
        <v>34.9131717037178</v>
      </c>
      <c r="Q79" s="109"/>
      <c r="R79" s="1277" t="n">
        <v>19.8098787777883</v>
      </c>
      <c r="S79" s="1277" t="n">
        <v>22.8098787777883</v>
      </c>
      <c r="T79" s="1277" t="n">
        <v>27.3098787777883</v>
      </c>
      <c r="V79" s="1278" t="n">
        <v>0</v>
      </c>
      <c r="W79" s="1278" t="n">
        <v>0</v>
      </c>
      <c r="X79" s="1278" t="n">
        <v>0</v>
      </c>
      <c r="Y79" s="1288"/>
      <c r="Z79" s="1277" t="n">
        <v>0.14</v>
      </c>
      <c r="AA79" s="1277" t="n">
        <v>0.15</v>
      </c>
      <c r="AB79" s="1277" t="n">
        <v>0.16</v>
      </c>
      <c r="AC79" s="109"/>
      <c r="AD79" s="1277" t="n">
        <v>0.09</v>
      </c>
      <c r="AE79" s="1277" t="n">
        <v>0.11</v>
      </c>
      <c r="AF79" s="1277" t="n">
        <v>0.13</v>
      </c>
      <c r="AG79" s="109"/>
      <c r="AH79" s="1277" t="n">
        <v>-0.25</v>
      </c>
      <c r="AI79" s="1277" t="n">
        <v>0.65</v>
      </c>
      <c r="AJ79" s="1277" t="n">
        <v>0.25</v>
      </c>
      <c r="AK79" s="109"/>
      <c r="AL79" s="1277" t="n">
        <v>-0.01</v>
      </c>
      <c r="AM79" s="1277" t="n">
        <v>0.16</v>
      </c>
      <c r="AN79" s="1277" t="n">
        <v>0.01</v>
      </c>
      <c r="AO79" s="109"/>
      <c r="AP79" s="197" t="n">
        <v>24</v>
      </c>
      <c r="AQ79" s="1280" t="n">
        <v>0.35</v>
      </c>
      <c r="AR79" s="1288"/>
      <c r="AS79" s="1288"/>
      <c r="AT79" s="1288"/>
      <c r="AU79" s="1288"/>
      <c r="AV79" s="1288"/>
      <c r="AW79" s="1288"/>
      <c r="AX79" s="1288"/>
      <c r="AY79" s="1288"/>
      <c r="AZ79" s="1288"/>
      <c r="BA79" s="1288"/>
      <c r="BB79" s="1288"/>
      <c r="BC79" s="1288"/>
      <c r="BD79" s="1288"/>
      <c r="BE79" s="1288"/>
      <c r="BF79" s="1288"/>
      <c r="BG79" s="1288"/>
      <c r="BH79" s="1288"/>
      <c r="BI79" s="1288"/>
      <c r="BJ79" s="1288"/>
      <c r="BK79" s="1288"/>
      <c r="BL79" s="1288"/>
      <c r="BM79" s="1288"/>
      <c r="BN79" s="1288"/>
      <c r="BO79" s="1288"/>
      <c r="BP79" s="1288"/>
      <c r="BQ79" s="1237" t="n">
        <v>38869</v>
      </c>
      <c r="BR79" s="1238" t="n">
        <v>2.825</v>
      </c>
      <c r="BS79" s="1238" t="n">
        <v>2.83</v>
      </c>
      <c r="BT79" s="1238" t="n">
        <v>2.835</v>
      </c>
      <c r="BU79" s="1239" t="n">
        <v>0.15</v>
      </c>
      <c r="BV79" s="1239" t="n">
        <v>0.1575</v>
      </c>
      <c r="BW79" s="1239" t="n">
        <v>0.165</v>
      </c>
      <c r="BX79" s="1239" t="n">
        <v>-0.07</v>
      </c>
      <c r="BY79" s="1239"/>
      <c r="BZ79" s="1239" t="n">
        <v>0.07</v>
      </c>
      <c r="CA79" s="1243" t="n">
        <v>0</v>
      </c>
      <c r="CB79" s="1241" t="n">
        <v>0</v>
      </c>
      <c r="CC79" s="1242" t="n">
        <v>2.7525</v>
      </c>
      <c r="CD79" s="1239" t="n">
        <v>0.147</v>
      </c>
    </row>
    <row r="80" customFormat="false" ht="12.75" hidden="false" customHeight="false" outlineLevel="0" collapsed="false">
      <c r="A80" s="1237" t="n">
        <v>38991</v>
      </c>
      <c r="B80" s="1239" t="n">
        <v>0.072021608891387</v>
      </c>
      <c r="C80" s="1290"/>
      <c r="D80" s="1274" t="n">
        <v>37865</v>
      </c>
      <c r="E80" s="1275" t="n">
        <v>64.1053290073095</v>
      </c>
      <c r="F80" s="1275" t="n">
        <v>65.6053290073095</v>
      </c>
      <c r="G80" s="1275" t="n">
        <v>70.1053290073095</v>
      </c>
      <c r="H80" s="1266"/>
      <c r="I80" s="1275" t="n">
        <v>21.7875</v>
      </c>
      <c r="J80" s="1275" t="n">
        <v>23.0375</v>
      </c>
      <c r="K80" s="1275" t="n">
        <v>26.0375</v>
      </c>
      <c r="M80" s="1276" t="n">
        <v>38749</v>
      </c>
      <c r="N80" s="1277" t="n">
        <v>26.9131717037178</v>
      </c>
      <c r="O80" s="1277" t="n">
        <v>29.9131717037178</v>
      </c>
      <c r="P80" s="1277" t="n">
        <v>34.4131717037178</v>
      </c>
      <c r="Q80" s="109"/>
      <c r="R80" s="1277" t="n">
        <v>19.4348787777883</v>
      </c>
      <c r="S80" s="1277" t="n">
        <v>22.4348787777883</v>
      </c>
      <c r="T80" s="1277" t="n">
        <v>26.9348787777883</v>
      </c>
      <c r="V80" s="1278" t="n">
        <v>0</v>
      </c>
      <c r="W80" s="1278" t="n">
        <v>0</v>
      </c>
      <c r="X80" s="1278" t="n">
        <v>0</v>
      </c>
      <c r="Y80" s="1288"/>
      <c r="Z80" s="1277" t="n">
        <v>0.14</v>
      </c>
      <c r="AA80" s="1277" t="n">
        <v>0.15</v>
      </c>
      <c r="AB80" s="1277" t="n">
        <v>0.16</v>
      </c>
      <c r="AC80" s="109"/>
      <c r="AD80" s="1277" t="n">
        <v>0.09</v>
      </c>
      <c r="AE80" s="1277" t="n">
        <v>0.11</v>
      </c>
      <c r="AF80" s="1277" t="n">
        <v>0.13</v>
      </c>
      <c r="AG80" s="109"/>
      <c r="AH80" s="1277" t="n">
        <v>-0.25</v>
      </c>
      <c r="AI80" s="1277" t="n">
        <v>0.65</v>
      </c>
      <c r="AJ80" s="1277" t="n">
        <v>0.25</v>
      </c>
      <c r="AK80" s="109"/>
      <c r="AL80" s="1277" t="n">
        <v>-0.01</v>
      </c>
      <c r="AM80" s="1277" t="n">
        <v>0.16</v>
      </c>
      <c r="AN80" s="1277" t="n">
        <v>0.01</v>
      </c>
      <c r="AO80" s="109"/>
      <c r="AP80" s="197" t="n">
        <v>24</v>
      </c>
      <c r="AQ80" s="1280" t="n">
        <v>0.35</v>
      </c>
      <c r="AR80" s="1288"/>
      <c r="AS80" s="1288"/>
      <c r="AT80" s="1288"/>
      <c r="AU80" s="1288"/>
      <c r="AV80" s="1288"/>
      <c r="AW80" s="1288"/>
      <c r="AX80" s="1288"/>
      <c r="AY80" s="1288"/>
      <c r="AZ80" s="1288"/>
      <c r="BA80" s="1288"/>
      <c r="BB80" s="1288"/>
      <c r="BC80" s="1288"/>
      <c r="BD80" s="1288"/>
      <c r="BE80" s="1288"/>
      <c r="BF80" s="1288"/>
      <c r="BG80" s="1288"/>
      <c r="BH80" s="1288"/>
      <c r="BI80" s="1288"/>
      <c r="BJ80" s="1288"/>
      <c r="BK80" s="1288"/>
      <c r="BL80" s="1288"/>
      <c r="BM80" s="1288"/>
      <c r="BN80" s="1288"/>
      <c r="BO80" s="1288"/>
      <c r="BP80" s="1288"/>
      <c r="BQ80" s="1237" t="n">
        <v>38899</v>
      </c>
      <c r="BR80" s="1238" t="n">
        <v>2.833</v>
      </c>
      <c r="BS80" s="1238" t="n">
        <v>2.838</v>
      </c>
      <c r="BT80" s="1238" t="n">
        <v>2.843</v>
      </c>
      <c r="BU80" s="1239" t="n">
        <v>0.15</v>
      </c>
      <c r="BV80" s="1239" t="n">
        <v>0.1575</v>
      </c>
      <c r="BW80" s="1239" t="n">
        <v>0.165</v>
      </c>
      <c r="BX80" s="1239" t="n">
        <v>-0.07</v>
      </c>
      <c r="BY80" s="1239"/>
      <c r="BZ80" s="1239" t="n">
        <v>0.07</v>
      </c>
      <c r="CA80" s="1243" t="n">
        <v>0</v>
      </c>
      <c r="CB80" s="1241" t="n">
        <v>0</v>
      </c>
      <c r="CC80" s="1242" t="n">
        <v>2.8975</v>
      </c>
      <c r="CD80" s="1239" t="n">
        <v>0.147</v>
      </c>
    </row>
    <row r="81" customFormat="false" ht="12.75" hidden="false" customHeight="false" outlineLevel="0" collapsed="false">
      <c r="A81" s="1237" t="n">
        <v>39022</v>
      </c>
      <c r="B81" s="1239" t="n">
        <v>0.072044245119292</v>
      </c>
      <c r="C81" s="1290"/>
      <c r="D81" s="1274" t="n">
        <v>37895</v>
      </c>
      <c r="E81" s="1275" t="n">
        <v>37.4472436130058</v>
      </c>
      <c r="F81" s="1275" t="n">
        <v>38.9472436130058</v>
      </c>
      <c r="G81" s="1275" t="n">
        <v>43.4472436130058</v>
      </c>
      <c r="H81" s="1266"/>
      <c r="I81" s="1275" t="n">
        <v>21.3016129032258</v>
      </c>
      <c r="J81" s="1275" t="n">
        <v>22.5516129032258</v>
      </c>
      <c r="K81" s="1275" t="n">
        <v>25.5516129032258</v>
      </c>
      <c r="M81" s="1276" t="n">
        <v>38777</v>
      </c>
      <c r="N81" s="1277" t="n">
        <v>26.1631717037178</v>
      </c>
      <c r="O81" s="1277" t="n">
        <v>29.1631717037178</v>
      </c>
      <c r="P81" s="1277" t="n">
        <v>33.6631717037178</v>
      </c>
      <c r="Q81" s="109"/>
      <c r="R81" s="1277" t="n">
        <v>18.8723787777883</v>
      </c>
      <c r="S81" s="1277" t="n">
        <v>21.8723787777883</v>
      </c>
      <c r="T81" s="1277" t="n">
        <v>26.3723787777883</v>
      </c>
      <c r="V81" s="1278" t="n">
        <v>0</v>
      </c>
      <c r="W81" s="1278" t="n">
        <v>0</v>
      </c>
      <c r="X81" s="1278" t="n">
        <v>0</v>
      </c>
      <c r="Y81" s="1288"/>
      <c r="Z81" s="1277" t="n">
        <v>0.14</v>
      </c>
      <c r="AA81" s="1277" t="n">
        <v>0.15</v>
      </c>
      <c r="AB81" s="1277" t="n">
        <v>0.16</v>
      </c>
      <c r="AC81" s="109"/>
      <c r="AD81" s="1277" t="n">
        <v>0.09</v>
      </c>
      <c r="AE81" s="1277" t="n">
        <v>0.11</v>
      </c>
      <c r="AF81" s="1277" t="n">
        <v>0.13</v>
      </c>
      <c r="AG81" s="109"/>
      <c r="AH81" s="1277" t="n">
        <v>-0.1</v>
      </c>
      <c r="AI81" s="1277" t="n">
        <v>0.65</v>
      </c>
      <c r="AJ81" s="1277" t="n">
        <v>0.1</v>
      </c>
      <c r="AK81" s="109"/>
      <c r="AL81" s="1277" t="n">
        <v>-0.01</v>
      </c>
      <c r="AM81" s="1277" t="n">
        <v>0.16</v>
      </c>
      <c r="AN81" s="1277" t="n">
        <v>0.01</v>
      </c>
      <c r="AO81" s="109"/>
      <c r="AP81" s="197" t="n">
        <v>24</v>
      </c>
      <c r="AQ81" s="1280" t="n">
        <v>0.35</v>
      </c>
      <c r="AR81" s="1288"/>
      <c r="AS81" s="1288"/>
      <c r="AT81" s="1288"/>
      <c r="AU81" s="1288"/>
      <c r="AV81" s="1288"/>
      <c r="AW81" s="1288"/>
      <c r="AX81" s="1288"/>
      <c r="AY81" s="1288"/>
      <c r="AZ81" s="1288"/>
      <c r="BA81" s="1288"/>
      <c r="BB81" s="1288"/>
      <c r="BC81" s="1288"/>
      <c r="BD81" s="1288"/>
      <c r="BE81" s="1288"/>
      <c r="BF81" s="1288"/>
      <c r="BG81" s="1288"/>
      <c r="BH81" s="1288"/>
      <c r="BI81" s="1288"/>
      <c r="BJ81" s="1288"/>
      <c r="BK81" s="1288"/>
      <c r="BL81" s="1288"/>
      <c r="BM81" s="1288"/>
      <c r="BN81" s="1288"/>
      <c r="BO81" s="1288"/>
      <c r="BP81" s="1288"/>
      <c r="BQ81" s="1237" t="n">
        <v>38930</v>
      </c>
      <c r="BR81" s="1238" t="n">
        <v>2.842</v>
      </c>
      <c r="BS81" s="1238" t="n">
        <v>2.847</v>
      </c>
      <c r="BT81" s="1238" t="n">
        <v>2.852</v>
      </c>
      <c r="BU81" s="1239" t="n">
        <v>0.15</v>
      </c>
      <c r="BV81" s="1239" t="n">
        <v>0.1575</v>
      </c>
      <c r="BW81" s="1239" t="n">
        <v>0.165</v>
      </c>
      <c r="BX81" s="1239" t="n">
        <v>-0.07</v>
      </c>
      <c r="BY81" s="1239"/>
      <c r="BZ81" s="1239" t="n">
        <v>0.07</v>
      </c>
      <c r="CA81" s="1243" t="n">
        <v>0</v>
      </c>
      <c r="CB81" s="1241" t="n">
        <v>0</v>
      </c>
      <c r="CC81" s="1242" t="n">
        <v>2.9665</v>
      </c>
      <c r="CD81" s="1239" t="n">
        <v>0.1775</v>
      </c>
    </row>
    <row r="82" customFormat="false" ht="12.75" hidden="false" customHeight="false" outlineLevel="0" collapsed="false">
      <c r="A82" s="1237" t="n">
        <v>39052</v>
      </c>
      <c r="B82" s="1239" t="n">
        <v>0.07206615114646</v>
      </c>
      <c r="C82" s="1290"/>
      <c r="D82" s="1274" t="n">
        <v>37926</v>
      </c>
      <c r="E82" s="1275" t="n">
        <v>29.6972436130058</v>
      </c>
      <c r="F82" s="1275" t="n">
        <v>31.1972436130058</v>
      </c>
      <c r="G82" s="1275" t="n">
        <v>35.6972436130058</v>
      </c>
      <c r="H82" s="1266"/>
      <c r="I82" s="1275" t="n">
        <v>22.6416666666667</v>
      </c>
      <c r="J82" s="1275" t="n">
        <v>23.8916666666667</v>
      </c>
      <c r="K82" s="1275" t="n">
        <v>26.8916666666667</v>
      </c>
      <c r="M82" s="1276" t="n">
        <v>38808</v>
      </c>
      <c r="N82" s="1277" t="n">
        <v>25.9981944951172</v>
      </c>
      <c r="O82" s="1277" t="n">
        <v>28.9981944951172</v>
      </c>
      <c r="P82" s="1277" t="n">
        <v>33.4981944951172</v>
      </c>
      <c r="Q82" s="109"/>
      <c r="R82" s="1277" t="n">
        <v>18.7486458713379</v>
      </c>
      <c r="S82" s="1277" t="n">
        <v>21.7486458713379</v>
      </c>
      <c r="T82" s="1277" t="n">
        <v>26.2486458713379</v>
      </c>
      <c r="V82" s="1278" t="n">
        <v>0</v>
      </c>
      <c r="W82" s="1278" t="n">
        <v>0</v>
      </c>
      <c r="X82" s="1278" t="n">
        <v>0</v>
      </c>
      <c r="Y82" s="1288"/>
      <c r="Z82" s="1277" t="n">
        <v>0.14</v>
      </c>
      <c r="AA82" s="1277" t="n">
        <v>0.15</v>
      </c>
      <c r="AB82" s="1277" t="n">
        <v>0.16</v>
      </c>
      <c r="AC82" s="109"/>
      <c r="AD82" s="1277" t="n">
        <v>0.09</v>
      </c>
      <c r="AE82" s="1277" t="n">
        <v>0.11</v>
      </c>
      <c r="AF82" s="1277" t="n">
        <v>0.13</v>
      </c>
      <c r="AG82" s="109"/>
      <c r="AH82" s="1277" t="n">
        <v>-0.1</v>
      </c>
      <c r="AI82" s="1277" t="n">
        <v>0.65</v>
      </c>
      <c r="AJ82" s="1277" t="n">
        <v>0.1</v>
      </c>
      <c r="AK82" s="109"/>
      <c r="AL82" s="1277" t="n">
        <v>-0.01</v>
      </c>
      <c r="AM82" s="1277" t="n">
        <v>0.16</v>
      </c>
      <c r="AN82" s="1277" t="n">
        <v>0.01</v>
      </c>
      <c r="AO82" s="109"/>
      <c r="AP82" s="197" t="n">
        <v>25</v>
      </c>
      <c r="AQ82" s="1280" t="n">
        <v>0.35</v>
      </c>
      <c r="AR82" s="1288"/>
      <c r="AS82" s="1288"/>
      <c r="AT82" s="1288"/>
      <c r="AU82" s="1288"/>
      <c r="AV82" s="1288"/>
      <c r="AW82" s="1288"/>
      <c r="AX82" s="1288"/>
      <c r="AY82" s="1288"/>
      <c r="AZ82" s="1288"/>
      <c r="BA82" s="1288"/>
      <c r="BB82" s="1288"/>
      <c r="BC82" s="1288"/>
      <c r="BD82" s="1288"/>
      <c r="BE82" s="1288"/>
      <c r="BF82" s="1288"/>
      <c r="BG82" s="1288"/>
      <c r="BH82" s="1288"/>
      <c r="BI82" s="1288"/>
      <c r="BJ82" s="1288"/>
      <c r="BK82" s="1288"/>
      <c r="BL82" s="1288"/>
      <c r="BM82" s="1288"/>
      <c r="BN82" s="1288"/>
      <c r="BO82" s="1288"/>
      <c r="BP82" s="1288"/>
      <c r="BQ82" s="1237" t="n">
        <v>38961</v>
      </c>
      <c r="BR82" s="1238" t="n">
        <v>2.846</v>
      </c>
      <c r="BS82" s="1238" t="n">
        <v>2.851</v>
      </c>
      <c r="BT82" s="1238" t="n">
        <v>2.856</v>
      </c>
      <c r="BU82" s="1239" t="n">
        <v>0.15</v>
      </c>
      <c r="BV82" s="1239" t="n">
        <v>0.1575</v>
      </c>
      <c r="BW82" s="1239" t="n">
        <v>0.165</v>
      </c>
      <c r="BX82" s="1239" t="n">
        <v>-0.07</v>
      </c>
      <c r="BY82" s="1239"/>
      <c r="BZ82" s="1239" t="n">
        <v>0.07</v>
      </c>
      <c r="CA82" s="1243" t="n">
        <v>0</v>
      </c>
      <c r="CB82" s="1241" t="n">
        <v>0</v>
      </c>
      <c r="CC82" s="1242" t="n">
        <v>2.8415</v>
      </c>
      <c r="CD82" s="1239" t="n">
        <v>0.1775</v>
      </c>
    </row>
    <row r="83" customFormat="false" ht="12.75" hidden="false" customHeight="false" outlineLevel="0" collapsed="false">
      <c r="A83" s="1237" t="n">
        <v>39083</v>
      </c>
      <c r="B83" s="1239" t="n">
        <v>0.072088787374699</v>
      </c>
      <c r="C83" s="1290"/>
      <c r="D83" s="1274" t="n">
        <v>37956</v>
      </c>
      <c r="E83" s="1275" t="n">
        <v>31.6972436130058</v>
      </c>
      <c r="F83" s="1275" t="n">
        <v>33.1972436130058</v>
      </c>
      <c r="G83" s="1275" t="n">
        <v>37.6972436130058</v>
      </c>
      <c r="H83" s="1266"/>
      <c r="I83" s="1275" t="n">
        <v>21.9467741935484</v>
      </c>
      <c r="J83" s="1275" t="n">
        <v>23.1967741935484</v>
      </c>
      <c r="K83" s="1275" t="n">
        <v>26.1967741935484</v>
      </c>
      <c r="M83" s="1276" t="n">
        <v>38838</v>
      </c>
      <c r="N83" s="1277" t="n">
        <v>25.9981944951172</v>
      </c>
      <c r="O83" s="1277" t="n">
        <v>28.9981944951172</v>
      </c>
      <c r="P83" s="1277" t="n">
        <v>33.4981944951172</v>
      </c>
      <c r="Q83" s="109"/>
      <c r="R83" s="1277" t="n">
        <v>18.7486458713379</v>
      </c>
      <c r="S83" s="1277" t="n">
        <v>21.7486458713379</v>
      </c>
      <c r="T83" s="1277" t="n">
        <v>26.2486458713379</v>
      </c>
      <c r="V83" s="1278" t="n">
        <v>0</v>
      </c>
      <c r="W83" s="1278" t="n">
        <v>0</v>
      </c>
      <c r="X83" s="1278" t="n">
        <v>0</v>
      </c>
      <c r="Y83" s="1288"/>
      <c r="Z83" s="1277" t="n">
        <v>0.14</v>
      </c>
      <c r="AA83" s="1277" t="n">
        <v>0.15</v>
      </c>
      <c r="AB83" s="1277" t="n">
        <v>0.16</v>
      </c>
      <c r="AC83" s="109"/>
      <c r="AD83" s="1277" t="n">
        <v>0.09</v>
      </c>
      <c r="AE83" s="1277" t="n">
        <v>0.11</v>
      </c>
      <c r="AF83" s="1277" t="n">
        <v>0.13</v>
      </c>
      <c r="AG83" s="109"/>
      <c r="AH83" s="1277" t="n">
        <v>-0.1</v>
      </c>
      <c r="AI83" s="1277" t="n">
        <v>0.65</v>
      </c>
      <c r="AJ83" s="1277" t="n">
        <v>0.1</v>
      </c>
      <c r="AK83" s="109"/>
      <c r="AL83" s="1277" t="n">
        <v>-0.01</v>
      </c>
      <c r="AM83" s="1277" t="n">
        <v>0.16</v>
      </c>
      <c r="AN83" s="1277" t="n">
        <v>0.01</v>
      </c>
      <c r="AO83" s="109"/>
      <c r="AP83" s="197" t="n">
        <v>25</v>
      </c>
      <c r="AQ83" s="1280" t="n">
        <v>0.35</v>
      </c>
      <c r="AR83" s="1288"/>
      <c r="AS83" s="1288"/>
      <c r="AT83" s="1288"/>
      <c r="AU83" s="1288"/>
      <c r="AV83" s="1288"/>
      <c r="AW83" s="1288"/>
      <c r="AX83" s="1288"/>
      <c r="AY83" s="1288"/>
      <c r="AZ83" s="1288"/>
      <c r="BA83" s="1288"/>
      <c r="BB83" s="1288"/>
      <c r="BC83" s="1288"/>
      <c r="BD83" s="1288"/>
      <c r="BE83" s="1288"/>
      <c r="BF83" s="1288"/>
      <c r="BG83" s="1288"/>
      <c r="BH83" s="1288"/>
      <c r="BI83" s="1288"/>
      <c r="BJ83" s="1288"/>
      <c r="BK83" s="1288"/>
      <c r="BL83" s="1288"/>
      <c r="BM83" s="1288"/>
      <c r="BN83" s="1288"/>
      <c r="BO83" s="1288"/>
      <c r="BP83" s="1288"/>
      <c r="BQ83" s="1237" t="n">
        <v>38991</v>
      </c>
      <c r="BR83" s="1238" t="n">
        <v>2.87</v>
      </c>
      <c r="BS83" s="1238" t="n">
        <v>2.875</v>
      </c>
      <c r="BT83" s="1238" t="n">
        <v>2.88</v>
      </c>
      <c r="BU83" s="1239" t="n">
        <v>0.15</v>
      </c>
      <c r="BV83" s="1239" t="n">
        <v>0.1575</v>
      </c>
      <c r="BW83" s="1239" t="n">
        <v>0.165</v>
      </c>
      <c r="BX83" s="1239" t="n">
        <v>-0.07</v>
      </c>
      <c r="BY83" s="1239"/>
      <c r="BZ83" s="1239" t="n">
        <v>0.07</v>
      </c>
      <c r="CA83" s="1243" t="n">
        <v>0</v>
      </c>
      <c r="CB83" s="1241" t="n">
        <v>0</v>
      </c>
      <c r="CC83" s="1242" t="n">
        <v>2.7345</v>
      </c>
      <c r="CD83" s="1239" t="n">
        <v>0.1775</v>
      </c>
    </row>
    <row r="84" customFormat="false" ht="12.75" hidden="false" customHeight="false" outlineLevel="0" collapsed="false">
      <c r="A84" s="1237" t="n">
        <v>39114</v>
      </c>
      <c r="B84" s="1239" t="n">
        <v>0.072111423603108</v>
      </c>
      <c r="C84" s="1290"/>
      <c r="D84" s="1274" t="n">
        <v>37987</v>
      </c>
      <c r="E84" s="1275" t="n">
        <v>29.6156342417872</v>
      </c>
      <c r="F84" s="1275" t="n">
        <v>31.3656342417872</v>
      </c>
      <c r="G84" s="1275" t="n">
        <v>35.8656342417872</v>
      </c>
      <c r="H84" s="1266"/>
      <c r="I84" s="1275" t="n">
        <v>19.7881191510522</v>
      </c>
      <c r="J84" s="1275" t="n">
        <v>21.0381191510522</v>
      </c>
      <c r="K84" s="1275" t="n">
        <v>24.0381191510522</v>
      </c>
      <c r="M84" s="1276" t="n">
        <v>38869</v>
      </c>
      <c r="N84" s="1277" t="n">
        <v>31.2481944951172</v>
      </c>
      <c r="O84" s="1277" t="n">
        <v>34.2481944951172</v>
      </c>
      <c r="P84" s="1277" t="n">
        <v>38.7481944951172</v>
      </c>
      <c r="Q84" s="109"/>
      <c r="R84" s="1277" t="n">
        <v>22.6861458713379</v>
      </c>
      <c r="S84" s="1277" t="n">
        <v>25.6861458713379</v>
      </c>
      <c r="T84" s="1277" t="n">
        <v>30.1861458713379</v>
      </c>
      <c r="V84" s="1278" t="n">
        <v>0</v>
      </c>
      <c r="W84" s="1278" t="n">
        <v>0</v>
      </c>
      <c r="X84" s="1278" t="n">
        <v>0</v>
      </c>
      <c r="Y84" s="1288"/>
      <c r="Z84" s="1277" t="n">
        <v>0.14</v>
      </c>
      <c r="AA84" s="1277" t="n">
        <v>0.15</v>
      </c>
      <c r="AB84" s="1277" t="n">
        <v>0.16</v>
      </c>
      <c r="AC84" s="109"/>
      <c r="AD84" s="1277" t="n">
        <v>0.09</v>
      </c>
      <c r="AE84" s="1277" t="n">
        <v>0.11</v>
      </c>
      <c r="AF84" s="1277" t="n">
        <v>0.13</v>
      </c>
      <c r="AG84" s="109"/>
      <c r="AH84" s="1277" t="n">
        <v>-0.35</v>
      </c>
      <c r="AI84" s="1277" t="n">
        <v>0.65</v>
      </c>
      <c r="AJ84" s="1277" t="n">
        <v>0.2</v>
      </c>
      <c r="AK84" s="109"/>
      <c r="AL84" s="1277" t="n">
        <v>-0.01</v>
      </c>
      <c r="AM84" s="1277" t="n">
        <v>0.16</v>
      </c>
      <c r="AN84" s="1277" t="n">
        <v>0.01</v>
      </c>
      <c r="AO84" s="109"/>
      <c r="AP84" s="197" t="n">
        <v>25</v>
      </c>
      <c r="AQ84" s="1280" t="n">
        <v>0.35</v>
      </c>
      <c r="AR84" s="1288"/>
      <c r="AS84" s="1288"/>
      <c r="AT84" s="1288"/>
      <c r="AU84" s="1288"/>
      <c r="AV84" s="1288"/>
      <c r="AW84" s="1288"/>
      <c r="AX84" s="1288"/>
      <c r="AY84" s="1288"/>
      <c r="AZ84" s="1288"/>
      <c r="BA84" s="1288"/>
      <c r="BB84" s="1288"/>
      <c r="BC84" s="1288"/>
      <c r="BD84" s="1288"/>
      <c r="BE84" s="1288"/>
      <c r="BF84" s="1288"/>
      <c r="BG84" s="1288"/>
      <c r="BH84" s="1288"/>
      <c r="BI84" s="1288"/>
      <c r="BJ84" s="1288"/>
      <c r="BK84" s="1288"/>
      <c r="BL84" s="1288"/>
      <c r="BM84" s="1288"/>
      <c r="BN84" s="1288"/>
      <c r="BO84" s="1288"/>
      <c r="BP84" s="1288"/>
      <c r="BQ84" s="1237" t="n">
        <v>39022</v>
      </c>
      <c r="BR84" s="1238" t="n">
        <v>2.988</v>
      </c>
      <c r="BS84" s="1238" t="n">
        <v>2.993</v>
      </c>
      <c r="BT84" s="1238" t="n">
        <v>2.998</v>
      </c>
      <c r="BU84" s="1239" t="n">
        <v>0.15</v>
      </c>
      <c r="BV84" s="1239" t="n">
        <v>0.1575</v>
      </c>
      <c r="BW84" s="1239" t="n">
        <v>0.165</v>
      </c>
      <c r="BX84" s="1239" t="n">
        <v>-0.07</v>
      </c>
      <c r="BY84" s="1239"/>
      <c r="BZ84" s="1239" t="n">
        <v>0.07</v>
      </c>
      <c r="CA84" s="1243" t="n">
        <v>0</v>
      </c>
      <c r="CB84" s="1241" t="n">
        <v>0</v>
      </c>
      <c r="CC84" s="1242" t="n">
        <v>2.6315</v>
      </c>
      <c r="CD84" s="1239" t="n">
        <v>0.1775</v>
      </c>
    </row>
    <row r="85" customFormat="false" ht="12.75" hidden="false" customHeight="false" outlineLevel="0" collapsed="false">
      <c r="A85" s="1237" t="n">
        <v>39142</v>
      </c>
      <c r="B85" s="1239" t="n">
        <v>0.072131869228912</v>
      </c>
      <c r="C85" s="1290"/>
      <c r="D85" s="1274" t="n">
        <v>38018</v>
      </c>
      <c r="E85" s="1275" t="n">
        <v>29.1156342417872</v>
      </c>
      <c r="F85" s="1275" t="n">
        <v>30.8656342417872</v>
      </c>
      <c r="G85" s="1275" t="n">
        <v>35.3656342417872</v>
      </c>
      <c r="H85" s="1266"/>
      <c r="I85" s="1275" t="n">
        <v>20.7571428571429</v>
      </c>
      <c r="J85" s="1275" t="n">
        <v>22.0071428571429</v>
      </c>
      <c r="K85" s="1275" t="n">
        <v>25.0071428571429</v>
      </c>
      <c r="M85" s="1276" t="n">
        <v>38899</v>
      </c>
      <c r="N85" s="1277" t="n">
        <v>57.9910481364264</v>
      </c>
      <c r="O85" s="1277" t="n">
        <v>60.9910481364264</v>
      </c>
      <c r="P85" s="1277" t="n">
        <v>65.4910481364264</v>
      </c>
      <c r="Q85" s="109"/>
      <c r="R85" s="1277" t="n">
        <v>42.7432861023198</v>
      </c>
      <c r="S85" s="1277" t="n">
        <v>45.7432861023198</v>
      </c>
      <c r="T85" s="1277" t="n">
        <v>50.2432861023198</v>
      </c>
      <c r="V85" s="1278" t="n">
        <v>0</v>
      </c>
      <c r="W85" s="1278" t="n">
        <v>0</v>
      </c>
      <c r="X85" s="1278" t="n">
        <v>0</v>
      </c>
      <c r="Y85" s="1288"/>
      <c r="Z85" s="1277" t="n">
        <v>0.14</v>
      </c>
      <c r="AA85" s="1277" t="n">
        <v>0.15</v>
      </c>
      <c r="AB85" s="1277" t="n">
        <v>0.16</v>
      </c>
      <c r="AC85" s="109"/>
      <c r="AD85" s="1277" t="n">
        <v>0.09</v>
      </c>
      <c r="AE85" s="1277" t="n">
        <v>0.11</v>
      </c>
      <c r="AF85" s="1277" t="n">
        <v>0.13</v>
      </c>
      <c r="AG85" s="109"/>
      <c r="AH85" s="1277" t="n">
        <v>-0.35</v>
      </c>
      <c r="AI85" s="1277" t="n">
        <v>3</v>
      </c>
      <c r="AJ85" s="1277" t="n">
        <v>0.35</v>
      </c>
      <c r="AK85" s="109"/>
      <c r="AL85" s="1277" t="n">
        <v>-0.01</v>
      </c>
      <c r="AM85" s="1277" t="n">
        <v>0.16</v>
      </c>
      <c r="AN85" s="1277" t="n">
        <v>0.01</v>
      </c>
      <c r="AO85" s="109"/>
      <c r="AP85" s="197" t="n">
        <v>26</v>
      </c>
      <c r="AQ85" s="1280" t="n">
        <v>0.35</v>
      </c>
      <c r="AR85" s="1288"/>
      <c r="AS85" s="1288"/>
      <c r="AT85" s="1288"/>
      <c r="AU85" s="1288"/>
      <c r="AV85" s="1288"/>
      <c r="AW85" s="1288"/>
      <c r="AX85" s="1288"/>
      <c r="AY85" s="1288"/>
      <c r="AZ85" s="1288"/>
      <c r="BA85" s="1288"/>
      <c r="BB85" s="1288"/>
      <c r="BC85" s="1288"/>
      <c r="BD85" s="1288"/>
      <c r="BE85" s="1288"/>
      <c r="BF85" s="1288"/>
      <c r="BG85" s="1288"/>
      <c r="BH85" s="1288"/>
      <c r="BI85" s="1288"/>
      <c r="BJ85" s="1288"/>
      <c r="BK85" s="1288"/>
      <c r="BL85" s="1288"/>
      <c r="BM85" s="1288"/>
      <c r="BN85" s="1288"/>
      <c r="BO85" s="1288"/>
      <c r="BP85" s="1288"/>
      <c r="BQ85" s="1237" t="n">
        <v>39052</v>
      </c>
      <c r="BR85" s="1238" t="n">
        <v>3.102</v>
      </c>
      <c r="BS85" s="1238" t="n">
        <v>3.107</v>
      </c>
      <c r="BT85" s="1238" t="n">
        <v>3.112</v>
      </c>
      <c r="BU85" s="1239" t="n">
        <v>0.15</v>
      </c>
      <c r="BV85" s="1239" t="n">
        <v>0.1575</v>
      </c>
      <c r="BW85" s="1239" t="n">
        <v>0.165</v>
      </c>
      <c r="BX85" s="1239" t="n">
        <v>-0.07</v>
      </c>
      <c r="BY85" s="1239"/>
      <c r="BZ85" s="1239" t="n">
        <v>0.07</v>
      </c>
      <c r="CA85" s="1243" t="n">
        <v>0</v>
      </c>
      <c r="CB85" s="1241" t="n">
        <v>0</v>
      </c>
      <c r="CC85" s="1242" t="n">
        <v>2.6075</v>
      </c>
      <c r="CD85" s="1239" t="n">
        <v>0.1775</v>
      </c>
    </row>
    <row r="86" customFormat="false" ht="12.75" hidden="false" customHeight="false" outlineLevel="0" collapsed="false">
      <c r="A86" s="1237" t="n">
        <v>39173</v>
      </c>
      <c r="B86" s="1239" t="n">
        <v>0.072154505457643</v>
      </c>
      <c r="C86" s="1290"/>
      <c r="D86" s="1274" t="n">
        <v>38047</v>
      </c>
      <c r="E86" s="1275" t="n">
        <v>28.8656342417872</v>
      </c>
      <c r="F86" s="1275" t="n">
        <v>30.6156342417872</v>
      </c>
      <c r="G86" s="1275" t="n">
        <v>35.1156342417872</v>
      </c>
      <c r="H86" s="1266"/>
      <c r="I86" s="1275" t="n">
        <v>21.0370967741936</v>
      </c>
      <c r="J86" s="1275" t="n">
        <v>22.2870967741936</v>
      </c>
      <c r="K86" s="1275" t="n">
        <v>25.2870967741936</v>
      </c>
      <c r="M86" s="1276" t="n">
        <v>38930</v>
      </c>
      <c r="N86" s="1277" t="n">
        <v>78.6160481364264</v>
      </c>
      <c r="O86" s="1277" t="n">
        <v>81.6160481364264</v>
      </c>
      <c r="P86" s="1277" t="n">
        <v>86.1160481364264</v>
      </c>
      <c r="Q86" s="109"/>
      <c r="R86" s="1277" t="n">
        <v>58.2120361023198</v>
      </c>
      <c r="S86" s="1277" t="n">
        <v>61.2120361023198</v>
      </c>
      <c r="T86" s="1277" t="n">
        <v>65.7120361023198</v>
      </c>
      <c r="V86" s="1278" t="n">
        <v>0</v>
      </c>
      <c r="W86" s="1278" t="n">
        <v>0</v>
      </c>
      <c r="X86" s="1278" t="n">
        <v>0</v>
      </c>
      <c r="Y86" s="1288"/>
      <c r="Z86" s="1277" t="n">
        <v>0.14</v>
      </c>
      <c r="AA86" s="1277" t="n">
        <v>0.15</v>
      </c>
      <c r="AB86" s="1277" t="n">
        <v>0.16</v>
      </c>
      <c r="AC86" s="109"/>
      <c r="AD86" s="1277" t="n">
        <v>0.09</v>
      </c>
      <c r="AE86" s="1277" t="n">
        <v>0.11</v>
      </c>
      <c r="AF86" s="1277" t="n">
        <v>0.13</v>
      </c>
      <c r="AG86" s="109"/>
      <c r="AH86" s="1277" t="n">
        <v>-0.35</v>
      </c>
      <c r="AI86" s="1277" t="n">
        <v>3</v>
      </c>
      <c r="AJ86" s="1277" t="n">
        <v>0.35</v>
      </c>
      <c r="AK86" s="109"/>
      <c r="AL86" s="1277" t="n">
        <v>-0.01</v>
      </c>
      <c r="AM86" s="1277" t="n">
        <v>0.16</v>
      </c>
      <c r="AN86" s="1277" t="n">
        <v>0.01</v>
      </c>
      <c r="AO86" s="109"/>
      <c r="AP86" s="197" t="n">
        <v>26</v>
      </c>
      <c r="AQ86" s="1280" t="n">
        <v>0.35</v>
      </c>
      <c r="AR86" s="1288"/>
      <c r="AS86" s="1288"/>
      <c r="AT86" s="1288"/>
      <c r="AU86" s="1288"/>
      <c r="AV86" s="1288"/>
      <c r="AW86" s="1288"/>
      <c r="AX86" s="1288"/>
      <c r="AY86" s="1288"/>
      <c r="AZ86" s="1288"/>
      <c r="BA86" s="1288"/>
      <c r="BB86" s="1288"/>
      <c r="BC86" s="1288"/>
      <c r="BD86" s="1288"/>
      <c r="BE86" s="1288"/>
      <c r="BF86" s="1288"/>
      <c r="BG86" s="1288"/>
      <c r="BH86" s="1288"/>
      <c r="BI86" s="1288"/>
      <c r="BJ86" s="1288"/>
      <c r="BK86" s="1288"/>
      <c r="BL86" s="1288"/>
      <c r="BM86" s="1288"/>
      <c r="BN86" s="1288"/>
      <c r="BO86" s="1288"/>
      <c r="BP86" s="1288"/>
      <c r="BQ86" s="1237" t="n">
        <v>39083</v>
      </c>
      <c r="BR86" s="1238" t="n">
        <v>3.148</v>
      </c>
      <c r="BS86" s="1238" t="n">
        <v>3.153</v>
      </c>
      <c r="BT86" s="1238" t="n">
        <v>3.158</v>
      </c>
      <c r="BU86" s="1239" t="n">
        <v>0.15</v>
      </c>
      <c r="BV86" s="1239" t="n">
        <v>0.1575</v>
      </c>
      <c r="BW86" s="1239" t="n">
        <v>0.165</v>
      </c>
      <c r="BX86" s="1239" t="n">
        <v>-0.07</v>
      </c>
      <c r="BY86" s="1239"/>
      <c r="BZ86" s="1239" t="n">
        <v>0.07</v>
      </c>
      <c r="CA86" s="1243" t="n">
        <v>0</v>
      </c>
      <c r="CB86" s="1241" t="n">
        <v>0</v>
      </c>
      <c r="CC86" s="1242" t="n">
        <v>2.6145</v>
      </c>
      <c r="CD86" s="1239" t="n">
        <v>0.1775</v>
      </c>
    </row>
    <row r="87" customFormat="false" ht="12.75" hidden="false" customHeight="false" outlineLevel="0" collapsed="false">
      <c r="A87" s="1237" t="n">
        <v>39203</v>
      </c>
      <c r="B87" s="1239" t="n">
        <v>0.072174277207544</v>
      </c>
      <c r="C87" s="1290"/>
      <c r="D87" s="1274" t="n">
        <v>38078</v>
      </c>
      <c r="E87" s="1275" t="n">
        <v>28.8987747630142</v>
      </c>
      <c r="F87" s="1275" t="n">
        <v>30.6487747630142</v>
      </c>
      <c r="G87" s="1275" t="n">
        <v>35.1487747630142</v>
      </c>
      <c r="H87" s="1266"/>
      <c r="I87" s="1275" t="n">
        <v>18.8375</v>
      </c>
      <c r="J87" s="1275" t="n">
        <v>20.0875</v>
      </c>
      <c r="K87" s="1275" t="n">
        <v>23.0875</v>
      </c>
      <c r="M87" s="1276" t="n">
        <v>38961</v>
      </c>
      <c r="N87" s="1277" t="n">
        <v>62.6160481364264</v>
      </c>
      <c r="O87" s="1277" t="n">
        <v>65.6160481364264</v>
      </c>
      <c r="P87" s="1277" t="n">
        <v>70.1160481364264</v>
      </c>
      <c r="Q87" s="109"/>
      <c r="R87" s="1277" t="n">
        <v>46.2120361023198</v>
      </c>
      <c r="S87" s="1277" t="n">
        <v>49.2120361023198</v>
      </c>
      <c r="T87" s="1277" t="n">
        <v>53.7120361023198</v>
      </c>
      <c r="V87" s="1278" t="n">
        <v>0</v>
      </c>
      <c r="W87" s="1278" t="n">
        <v>0</v>
      </c>
      <c r="X87" s="1278" t="n">
        <v>0</v>
      </c>
      <c r="Y87" s="1288"/>
      <c r="Z87" s="1277" t="n">
        <v>0.14</v>
      </c>
      <c r="AA87" s="1277" t="n">
        <v>0.15</v>
      </c>
      <c r="AB87" s="1277" t="n">
        <v>0.16</v>
      </c>
      <c r="AC87" s="109"/>
      <c r="AD87" s="1277" t="n">
        <v>0.09</v>
      </c>
      <c r="AE87" s="1277" t="n">
        <v>0.11</v>
      </c>
      <c r="AF87" s="1277" t="n">
        <v>0.13</v>
      </c>
      <c r="AG87" s="109"/>
      <c r="AH87" s="1277" t="n">
        <v>-0.35</v>
      </c>
      <c r="AI87" s="1277" t="n">
        <v>3</v>
      </c>
      <c r="AJ87" s="1277" t="n">
        <v>0.2</v>
      </c>
      <c r="AK87" s="109"/>
      <c r="AL87" s="1277" t="n">
        <v>-0.01</v>
      </c>
      <c r="AM87" s="1277" t="n">
        <v>0.16</v>
      </c>
      <c r="AN87" s="1277" t="n">
        <v>0.01</v>
      </c>
      <c r="AO87" s="109"/>
      <c r="AP87" s="197" t="n">
        <v>26</v>
      </c>
      <c r="AQ87" s="1280" t="n">
        <v>0.35</v>
      </c>
      <c r="AR87" s="1288"/>
      <c r="AS87" s="1288"/>
      <c r="AT87" s="1288"/>
      <c r="AU87" s="1288"/>
      <c r="AV87" s="1288"/>
      <c r="AW87" s="1288"/>
      <c r="AX87" s="1288"/>
      <c r="AY87" s="1288"/>
      <c r="AZ87" s="1288"/>
      <c r="BA87" s="1288"/>
      <c r="BB87" s="1288"/>
      <c r="BC87" s="1288"/>
      <c r="BD87" s="1288"/>
      <c r="BE87" s="1288"/>
      <c r="BF87" s="1288"/>
      <c r="BG87" s="1288"/>
      <c r="BH87" s="1288"/>
      <c r="BI87" s="1288"/>
      <c r="BJ87" s="1288"/>
      <c r="BK87" s="1288"/>
      <c r="BL87" s="1288"/>
      <c r="BM87" s="1288"/>
      <c r="BN87" s="1288"/>
      <c r="BO87" s="1288"/>
      <c r="BP87" s="1288"/>
      <c r="BQ87" s="1237" t="n">
        <v>39114</v>
      </c>
      <c r="BR87" s="1238" t="n">
        <v>3.051</v>
      </c>
      <c r="BS87" s="1238" t="n">
        <v>3.056</v>
      </c>
      <c r="BT87" s="1238" t="n">
        <v>3.061</v>
      </c>
      <c r="BU87" s="1239" t="n">
        <v>0.15</v>
      </c>
      <c r="BV87" s="1239" t="n">
        <v>0.1575</v>
      </c>
      <c r="BW87" s="1239" t="n">
        <v>0.165</v>
      </c>
      <c r="BX87" s="1239" t="n">
        <v>-0.07</v>
      </c>
      <c r="BY87" s="1239"/>
      <c r="BZ87" s="1239" t="n">
        <v>0.07</v>
      </c>
      <c r="CA87" s="1243" t="n">
        <v>0</v>
      </c>
      <c r="CB87" s="1241" t="n">
        <v>0</v>
      </c>
      <c r="CC87" s="1242" t="n">
        <v>2.6205</v>
      </c>
      <c r="CD87" s="1239" t="n">
        <v>0.1775</v>
      </c>
    </row>
    <row r="88" customFormat="false" ht="12.75" hidden="false" customHeight="false" outlineLevel="0" collapsed="false">
      <c r="A88" s="1237" t="n">
        <v>39234</v>
      </c>
      <c r="B88" s="1239" t="n">
        <v>0.07219250259523</v>
      </c>
      <c r="C88" s="1290"/>
      <c r="D88" s="1274" t="n">
        <v>38108</v>
      </c>
      <c r="E88" s="1275" t="n">
        <v>28.1487747630142</v>
      </c>
      <c r="F88" s="1275" t="n">
        <v>29.8987747630142</v>
      </c>
      <c r="G88" s="1275" t="n">
        <v>34.3987747630142</v>
      </c>
      <c r="H88" s="1266"/>
      <c r="I88" s="1275" t="n">
        <v>18.8959677419355</v>
      </c>
      <c r="J88" s="1275" t="n">
        <v>20.1459677419355</v>
      </c>
      <c r="K88" s="1275" t="n">
        <v>23.1459677419355</v>
      </c>
      <c r="M88" s="1276" t="n">
        <v>38991</v>
      </c>
      <c r="N88" s="1277" t="n">
        <v>34.3189606401761</v>
      </c>
      <c r="O88" s="1277" t="n">
        <v>37.3189606401761</v>
      </c>
      <c r="P88" s="1277" t="n">
        <v>41.8189606401761</v>
      </c>
      <c r="Q88" s="109"/>
      <c r="R88" s="1277" t="n">
        <v>24.9892204801321</v>
      </c>
      <c r="S88" s="1277" t="n">
        <v>27.9892204801321</v>
      </c>
      <c r="T88" s="1277" t="n">
        <v>32.4892204801321</v>
      </c>
      <c r="V88" s="1278" t="n">
        <v>0</v>
      </c>
      <c r="W88" s="1278" t="n">
        <v>0</v>
      </c>
      <c r="X88" s="1278" t="n">
        <v>0</v>
      </c>
      <c r="Y88" s="1288"/>
      <c r="Z88" s="1277" t="n">
        <v>0.14</v>
      </c>
      <c r="AA88" s="1277" t="n">
        <v>0.15</v>
      </c>
      <c r="AB88" s="1277" t="n">
        <v>0.16</v>
      </c>
      <c r="AC88" s="109"/>
      <c r="AD88" s="1277" t="n">
        <v>0.09</v>
      </c>
      <c r="AE88" s="1277" t="n">
        <v>0.11</v>
      </c>
      <c r="AF88" s="1277" t="n">
        <v>0.13</v>
      </c>
      <c r="AG88" s="109"/>
      <c r="AH88" s="1277" t="n">
        <v>-0.1</v>
      </c>
      <c r="AI88" s="1277" t="n">
        <v>0.6</v>
      </c>
      <c r="AJ88" s="1277" t="n">
        <v>0.1</v>
      </c>
      <c r="AK88" s="109"/>
      <c r="AL88" s="1277" t="n">
        <v>-0.01</v>
      </c>
      <c r="AM88" s="1277" t="n">
        <v>0.16</v>
      </c>
      <c r="AN88" s="1277" t="n">
        <v>0.01</v>
      </c>
      <c r="AO88" s="109"/>
      <c r="AP88" s="197" t="n">
        <v>27</v>
      </c>
      <c r="AQ88" s="1280" t="n">
        <v>0.35</v>
      </c>
      <c r="AR88" s="1288"/>
      <c r="AS88" s="1288"/>
      <c r="AT88" s="1288"/>
      <c r="AU88" s="1288"/>
      <c r="AV88" s="1288"/>
      <c r="AW88" s="1288"/>
      <c r="AX88" s="1288"/>
      <c r="AY88" s="1288"/>
      <c r="AZ88" s="1288"/>
      <c r="BA88" s="1288"/>
      <c r="BB88" s="1288"/>
      <c r="BC88" s="1288"/>
      <c r="BD88" s="1288"/>
      <c r="BE88" s="1288"/>
      <c r="BF88" s="1288"/>
      <c r="BG88" s="1288"/>
      <c r="BH88" s="1288"/>
      <c r="BI88" s="1288"/>
      <c r="BJ88" s="1288"/>
      <c r="BK88" s="1288"/>
      <c r="BL88" s="1288"/>
      <c r="BM88" s="1288"/>
      <c r="BN88" s="1288"/>
      <c r="BO88" s="1288"/>
      <c r="BP88" s="1288"/>
      <c r="BQ88" s="1237" t="n">
        <v>39142</v>
      </c>
      <c r="BR88" s="1238" t="n">
        <v>2.948</v>
      </c>
      <c r="BS88" s="1238" t="n">
        <v>2.953</v>
      </c>
      <c r="BT88" s="1238" t="n">
        <v>2.958</v>
      </c>
      <c r="BU88" s="1239" t="n">
        <v>0.15</v>
      </c>
      <c r="BV88" s="1239" t="n">
        <v>0.1575</v>
      </c>
      <c r="BW88" s="1239" t="n">
        <v>0.165</v>
      </c>
      <c r="BX88" s="1239" t="n">
        <v>-0.07</v>
      </c>
      <c r="BY88" s="1239"/>
      <c r="BZ88" s="1239" t="n">
        <v>0.07</v>
      </c>
      <c r="CA88" s="1243" t="n">
        <v>0</v>
      </c>
      <c r="CB88" s="1241" t="n">
        <v>0</v>
      </c>
      <c r="CC88" s="1242" t="n">
        <v>2.6255</v>
      </c>
      <c r="CD88" s="1239" t="n">
        <v>0.1775</v>
      </c>
    </row>
    <row r="89" customFormat="false" ht="12.75" hidden="false" customHeight="false" outlineLevel="0" collapsed="false">
      <c r="A89" s="1237" t="n">
        <v>39264</v>
      </c>
      <c r="B89" s="1239" t="n">
        <v>0.072210140067289</v>
      </c>
      <c r="C89" s="1290"/>
      <c r="D89" s="1274" t="n">
        <v>38139</v>
      </c>
      <c r="E89" s="1275" t="n">
        <v>33.3987747630142</v>
      </c>
      <c r="F89" s="1275" t="n">
        <v>35.1487747630142</v>
      </c>
      <c r="G89" s="1275" t="n">
        <v>39.6487747630142</v>
      </c>
      <c r="H89" s="1266"/>
      <c r="I89" s="1275" t="n">
        <v>18.15</v>
      </c>
      <c r="J89" s="1275" t="n">
        <v>19.4</v>
      </c>
      <c r="K89" s="1275" t="n">
        <v>22.4</v>
      </c>
      <c r="M89" s="1276" t="n">
        <v>39022</v>
      </c>
      <c r="N89" s="1277" t="n">
        <v>26.5689606401761</v>
      </c>
      <c r="O89" s="1277" t="n">
        <v>29.5689606401761</v>
      </c>
      <c r="P89" s="1277" t="n">
        <v>34.0689606401761</v>
      </c>
      <c r="Q89" s="109"/>
      <c r="R89" s="1277" t="n">
        <v>19.1767204801321</v>
      </c>
      <c r="S89" s="1277" t="n">
        <v>22.1767204801321</v>
      </c>
      <c r="T89" s="1277" t="n">
        <v>26.6767204801321</v>
      </c>
      <c r="V89" s="1278" t="n">
        <v>0</v>
      </c>
      <c r="W89" s="1278" t="n">
        <v>0</v>
      </c>
      <c r="X89" s="1278" t="n">
        <v>0</v>
      </c>
      <c r="Y89" s="1288"/>
      <c r="Z89" s="1277" t="n">
        <v>0.14</v>
      </c>
      <c r="AA89" s="1277" t="n">
        <v>0.15</v>
      </c>
      <c r="AB89" s="1277" t="n">
        <v>0.16</v>
      </c>
      <c r="AC89" s="109"/>
      <c r="AD89" s="1277" t="n">
        <v>0.09</v>
      </c>
      <c r="AE89" s="1277" t="n">
        <v>0.11</v>
      </c>
      <c r="AF89" s="1277" t="n">
        <v>0.13</v>
      </c>
      <c r="AG89" s="109"/>
      <c r="AH89" s="1277" t="n">
        <v>-0.1</v>
      </c>
      <c r="AI89" s="1277" t="n">
        <v>0.6</v>
      </c>
      <c r="AJ89" s="1277" t="n">
        <v>0.1</v>
      </c>
      <c r="AK89" s="109"/>
      <c r="AL89" s="1277" t="n">
        <v>-0.01</v>
      </c>
      <c r="AM89" s="1277" t="n">
        <v>0.16</v>
      </c>
      <c r="AN89" s="1277" t="n">
        <v>0.01</v>
      </c>
      <c r="AO89" s="109"/>
      <c r="AP89" s="197" t="n">
        <v>27</v>
      </c>
      <c r="AQ89" s="1280" t="n">
        <v>0.35</v>
      </c>
      <c r="AR89" s="1288"/>
      <c r="AS89" s="1288"/>
      <c r="AT89" s="1288"/>
      <c r="AU89" s="1288"/>
      <c r="AV89" s="1288"/>
      <c r="AW89" s="1288"/>
      <c r="AX89" s="1288"/>
      <c r="AY89" s="1288"/>
      <c r="AZ89" s="1288"/>
      <c r="BA89" s="1288"/>
      <c r="BB89" s="1288"/>
      <c r="BC89" s="1288"/>
      <c r="BD89" s="1288"/>
      <c r="BE89" s="1288"/>
      <c r="BF89" s="1288"/>
      <c r="BG89" s="1288"/>
      <c r="BH89" s="1288"/>
      <c r="BI89" s="1288"/>
      <c r="BJ89" s="1288"/>
      <c r="BK89" s="1288"/>
      <c r="BL89" s="1288"/>
      <c r="BM89" s="1288"/>
      <c r="BN89" s="1288"/>
      <c r="BO89" s="1288"/>
      <c r="BP89" s="1288"/>
      <c r="BQ89" s="1237" t="n">
        <v>39173</v>
      </c>
      <c r="BR89" s="1238" t="n">
        <v>2.86</v>
      </c>
      <c r="BS89" s="1238" t="n">
        <v>2.865</v>
      </c>
      <c r="BT89" s="1238" t="n">
        <v>2.87</v>
      </c>
      <c r="BU89" s="1239" t="n">
        <v>0.15</v>
      </c>
      <c r="BV89" s="1239" t="n">
        <v>0.1575</v>
      </c>
      <c r="BW89" s="1239" t="n">
        <v>0.165</v>
      </c>
      <c r="BX89" s="1239" t="n">
        <v>-0.07</v>
      </c>
      <c r="BY89" s="1239"/>
      <c r="BZ89" s="1239" t="n">
        <v>0.07</v>
      </c>
      <c r="CA89" s="1243" t="n">
        <v>0</v>
      </c>
      <c r="CB89" s="1241" t="n">
        <v>0</v>
      </c>
      <c r="CC89" s="1242" t="n">
        <v>2.6285</v>
      </c>
      <c r="CD89" s="1239" t="n">
        <v>0.1775</v>
      </c>
    </row>
    <row r="90" customFormat="false" ht="12.75" hidden="false" customHeight="false" outlineLevel="0" collapsed="false">
      <c r="A90" s="1237" t="n">
        <v>39295</v>
      </c>
      <c r="B90" s="1239" t="n">
        <v>0.072228365455191</v>
      </c>
      <c r="C90" s="1290"/>
      <c r="D90" s="1274" t="n">
        <v>38169</v>
      </c>
      <c r="E90" s="1275" t="n">
        <v>59.708599050712</v>
      </c>
      <c r="F90" s="1275" t="n">
        <v>61.458599050712</v>
      </c>
      <c r="G90" s="1275" t="n">
        <v>65.958599050712</v>
      </c>
      <c r="H90" s="1266"/>
      <c r="I90" s="1275" t="n">
        <v>24.1741935483871</v>
      </c>
      <c r="J90" s="1275" t="n">
        <v>25.4241935483871</v>
      </c>
      <c r="K90" s="1275" t="n">
        <v>28.4241935483871</v>
      </c>
      <c r="M90" s="1276" t="n">
        <v>39052</v>
      </c>
      <c r="N90" s="1277" t="n">
        <v>28.5689606401761</v>
      </c>
      <c r="O90" s="1277" t="n">
        <v>31.5689606401761</v>
      </c>
      <c r="P90" s="1277" t="n">
        <v>36.0689606401761</v>
      </c>
      <c r="Q90" s="109"/>
      <c r="R90" s="1277" t="n">
        <v>20.6767204801321</v>
      </c>
      <c r="S90" s="1277" t="n">
        <v>23.6767204801321</v>
      </c>
      <c r="T90" s="1277" t="n">
        <v>28.1767204801321</v>
      </c>
      <c r="V90" s="1278" t="n">
        <v>0</v>
      </c>
      <c r="W90" s="1278" t="n">
        <v>0</v>
      </c>
      <c r="X90" s="1278" t="n">
        <v>0</v>
      </c>
      <c r="Y90" s="1288"/>
      <c r="Z90" s="1277" t="n">
        <v>0.14</v>
      </c>
      <c r="AA90" s="1277" t="n">
        <v>0.15</v>
      </c>
      <c r="AB90" s="1277" t="n">
        <v>0.16</v>
      </c>
      <c r="AC90" s="109"/>
      <c r="AD90" s="1277" t="n">
        <v>0.09</v>
      </c>
      <c r="AE90" s="1277" t="n">
        <v>0.11</v>
      </c>
      <c r="AF90" s="1277" t="n">
        <v>0.13</v>
      </c>
      <c r="AG90" s="109"/>
      <c r="AH90" s="1277" t="n">
        <v>-0.25</v>
      </c>
      <c r="AI90" s="1277" t="n">
        <v>0.6</v>
      </c>
      <c r="AJ90" s="1277" t="n">
        <v>0.25</v>
      </c>
      <c r="AK90" s="109"/>
      <c r="AL90" s="1277" t="n">
        <v>-0.01</v>
      </c>
      <c r="AM90" s="1277" t="n">
        <v>0.16</v>
      </c>
      <c r="AN90" s="1277" t="n">
        <v>0.01</v>
      </c>
      <c r="AO90" s="109"/>
      <c r="AP90" s="197" t="n">
        <v>27</v>
      </c>
      <c r="AQ90" s="1280" t="n">
        <v>0.35</v>
      </c>
      <c r="AR90" s="1288"/>
      <c r="AS90" s="1288"/>
      <c r="AT90" s="1288"/>
      <c r="AU90" s="1288"/>
      <c r="AV90" s="1288"/>
      <c r="AW90" s="1288"/>
      <c r="AX90" s="1288"/>
      <c r="AY90" s="1288"/>
      <c r="AZ90" s="1288"/>
      <c r="BA90" s="1288"/>
      <c r="BB90" s="1288"/>
      <c r="BC90" s="1288"/>
      <c r="BD90" s="1288"/>
      <c r="BE90" s="1288"/>
      <c r="BF90" s="1288"/>
      <c r="BG90" s="1288"/>
      <c r="BH90" s="1288"/>
      <c r="BI90" s="1288"/>
      <c r="BJ90" s="1288"/>
      <c r="BK90" s="1288"/>
      <c r="BL90" s="1288"/>
      <c r="BM90" s="1288"/>
      <c r="BN90" s="1288"/>
      <c r="BO90" s="1288"/>
      <c r="BP90" s="1288"/>
      <c r="BQ90" s="1237" t="n">
        <v>39203</v>
      </c>
      <c r="BR90" s="1238" t="n">
        <v>2.878</v>
      </c>
      <c r="BS90" s="1238" t="n">
        <v>2.883</v>
      </c>
      <c r="BT90" s="1238" t="n">
        <v>2.888</v>
      </c>
      <c r="BU90" s="1239" t="n">
        <v>0.15</v>
      </c>
      <c r="BV90" s="1239" t="n">
        <v>0.1575</v>
      </c>
      <c r="BW90" s="1239" t="n">
        <v>0.165</v>
      </c>
      <c r="BX90" s="1239" t="n">
        <v>-0.07</v>
      </c>
      <c r="BY90" s="1239"/>
      <c r="BZ90" s="1239" t="n">
        <v>0.07</v>
      </c>
      <c r="CA90" s="1243" t="n">
        <v>0</v>
      </c>
      <c r="CB90" s="1241" t="n">
        <v>0</v>
      </c>
      <c r="CC90" s="1242" t="n">
        <v>2.6615</v>
      </c>
      <c r="CD90" s="1239" t="n">
        <v>0.1775</v>
      </c>
    </row>
    <row r="91" customFormat="false" ht="12.75" hidden="false" customHeight="false" outlineLevel="0" collapsed="false">
      <c r="A91" s="1237" t="n">
        <v>39326</v>
      </c>
      <c r="B91" s="1239" t="n">
        <v>0.072246590843203</v>
      </c>
      <c r="C91" s="1290"/>
      <c r="D91" s="1274" t="n">
        <v>38200</v>
      </c>
      <c r="E91" s="1275" t="n">
        <v>80.333599050712</v>
      </c>
      <c r="F91" s="1275" t="n">
        <v>82.083599050712</v>
      </c>
      <c r="G91" s="1275" t="n">
        <v>86.583599050712</v>
      </c>
      <c r="H91" s="1266"/>
      <c r="I91" s="1275" t="n">
        <v>22.1741935483871</v>
      </c>
      <c r="J91" s="1275" t="n">
        <v>23.4241935483871</v>
      </c>
      <c r="K91" s="1275" t="n">
        <v>26.4241935483871</v>
      </c>
      <c r="M91" s="1276" t="n">
        <v>39083</v>
      </c>
      <c r="N91" s="1277" t="n">
        <v>27.2206220528391</v>
      </c>
      <c r="O91" s="1277" t="n">
        <v>30.2206220528391</v>
      </c>
      <c r="P91" s="1277" t="n">
        <v>35.2206220528391</v>
      </c>
      <c r="Q91" s="109"/>
      <c r="R91" s="1277" t="n">
        <v>19.6654665396293</v>
      </c>
      <c r="S91" s="1277" t="n">
        <v>22.6654665396293</v>
      </c>
      <c r="T91" s="1277" t="n">
        <v>27.6654665396293</v>
      </c>
      <c r="V91" s="1278" t="n">
        <v>0</v>
      </c>
      <c r="W91" s="1278" t="n">
        <v>0</v>
      </c>
      <c r="X91" s="1278" t="n">
        <v>0</v>
      </c>
      <c r="Y91" s="1288"/>
      <c r="Z91" s="1277" t="n">
        <v>0.135</v>
      </c>
      <c r="AA91" s="1277" t="n">
        <v>0.145</v>
      </c>
      <c r="AB91" s="1277" t="n">
        <v>0.155</v>
      </c>
      <c r="AC91" s="109"/>
      <c r="AD91" s="1277" t="n">
        <v>0.09</v>
      </c>
      <c r="AE91" s="1277" t="n">
        <v>0.11</v>
      </c>
      <c r="AF91" s="1277" t="n">
        <v>0.13</v>
      </c>
      <c r="AG91" s="109"/>
      <c r="AH91" s="1277" t="n">
        <v>-0.25</v>
      </c>
      <c r="AI91" s="1277" t="n">
        <v>0.65</v>
      </c>
      <c r="AJ91" s="1277" t="n">
        <v>0.25</v>
      </c>
      <c r="AK91" s="109"/>
      <c r="AL91" s="1277" t="n">
        <v>-0.01</v>
      </c>
      <c r="AM91" s="1277" t="n">
        <v>0.16</v>
      </c>
      <c r="AN91" s="1277" t="n">
        <v>0.01</v>
      </c>
      <c r="AO91" s="109"/>
      <c r="AP91" s="197" t="n">
        <v>28</v>
      </c>
      <c r="AQ91" s="1280" t="n">
        <v>0.35</v>
      </c>
      <c r="AR91" s="1288"/>
      <c r="AS91" s="1288"/>
      <c r="AT91" s="1288"/>
      <c r="AU91" s="1288"/>
      <c r="AV91" s="1288"/>
      <c r="AW91" s="1288"/>
      <c r="AX91" s="1288"/>
      <c r="AY91" s="1288"/>
      <c r="AZ91" s="1288"/>
      <c r="BA91" s="1288"/>
      <c r="BB91" s="1288"/>
      <c r="BC91" s="1288"/>
      <c r="BD91" s="1288"/>
      <c r="BE91" s="1288"/>
      <c r="BF91" s="1288"/>
      <c r="BG91" s="1288"/>
      <c r="BH91" s="1288"/>
      <c r="BI91" s="1288"/>
      <c r="BJ91" s="1288"/>
      <c r="BK91" s="1288"/>
      <c r="BL91" s="1288"/>
      <c r="BM91" s="1288"/>
      <c r="BN91" s="1288"/>
      <c r="BO91" s="1288"/>
      <c r="BP91" s="1288"/>
      <c r="BQ91" s="1237" t="n">
        <v>39234</v>
      </c>
      <c r="BR91" s="1238" t="n">
        <v>2.889</v>
      </c>
      <c r="BS91" s="1238" t="n">
        <v>2.894</v>
      </c>
      <c r="BT91" s="1238" t="n">
        <v>2.899</v>
      </c>
      <c r="BU91" s="1239" t="n">
        <v>0.15</v>
      </c>
      <c r="BV91" s="1239" t="n">
        <v>0.1575</v>
      </c>
      <c r="BW91" s="1239" t="n">
        <v>0.165</v>
      </c>
      <c r="BX91" s="1239" t="n">
        <v>-0.07</v>
      </c>
      <c r="BY91" s="1239"/>
      <c r="BZ91" s="1239" t="n">
        <v>0.07</v>
      </c>
      <c r="CA91" s="1243" t="n">
        <v>0</v>
      </c>
      <c r="CB91" s="1241" t="n">
        <v>0</v>
      </c>
      <c r="CC91" s="1242" t="n">
        <v>2.8025</v>
      </c>
      <c r="CD91" s="1239" t="n">
        <v>0.1775</v>
      </c>
    </row>
    <row r="92" customFormat="false" ht="12.75" hidden="false" customHeight="false" outlineLevel="0" collapsed="false">
      <c r="A92" s="1237" t="n">
        <v>39356</v>
      </c>
      <c r="B92" s="1239" t="n">
        <v>0.072264228315577</v>
      </c>
      <c r="C92" s="1290"/>
      <c r="D92" s="1274" t="n">
        <v>38231</v>
      </c>
      <c r="E92" s="1275" t="n">
        <v>64.333599050712</v>
      </c>
      <c r="F92" s="1275" t="n">
        <v>66.083599050712</v>
      </c>
      <c r="G92" s="1275" t="n">
        <v>70.583599050712</v>
      </c>
      <c r="H92" s="1266"/>
      <c r="I92" s="1275" t="n">
        <v>22.5875</v>
      </c>
      <c r="J92" s="1275" t="n">
        <v>23.8375</v>
      </c>
      <c r="K92" s="1275" t="n">
        <v>26.8375</v>
      </c>
      <c r="M92" s="1276" t="n">
        <v>39114</v>
      </c>
      <c r="N92" s="1277" t="n">
        <v>26.7206220528391</v>
      </c>
      <c r="O92" s="1277" t="n">
        <v>29.7206220528391</v>
      </c>
      <c r="P92" s="1277" t="n">
        <v>34.7206220528391</v>
      </c>
      <c r="Q92" s="109"/>
      <c r="R92" s="1277" t="n">
        <v>19.2904665396293</v>
      </c>
      <c r="S92" s="1277" t="n">
        <v>22.2904665396293</v>
      </c>
      <c r="T92" s="1277" t="n">
        <v>27.2904665396293</v>
      </c>
      <c r="V92" s="1278" t="n">
        <v>0</v>
      </c>
      <c r="W92" s="1278" t="n">
        <v>0</v>
      </c>
      <c r="X92" s="1278" t="n">
        <v>0</v>
      </c>
      <c r="Y92" s="1288"/>
      <c r="Z92" s="1277" t="n">
        <v>0.135</v>
      </c>
      <c r="AA92" s="1277" t="n">
        <v>0.145</v>
      </c>
      <c r="AB92" s="1277" t="n">
        <v>0.155</v>
      </c>
      <c r="AC92" s="109"/>
      <c r="AD92" s="1277" t="n">
        <v>0.09</v>
      </c>
      <c r="AE92" s="1277" t="n">
        <v>0.11</v>
      </c>
      <c r="AF92" s="1277" t="n">
        <v>0.13</v>
      </c>
      <c r="AG92" s="109"/>
      <c r="AH92" s="1277" t="n">
        <v>-0.25</v>
      </c>
      <c r="AI92" s="1277" t="n">
        <v>0.65</v>
      </c>
      <c r="AJ92" s="1277" t="n">
        <v>0.25</v>
      </c>
      <c r="AK92" s="109"/>
      <c r="AL92" s="1277" t="n">
        <v>-0.01</v>
      </c>
      <c r="AM92" s="1277" t="n">
        <v>0.16</v>
      </c>
      <c r="AN92" s="1277" t="n">
        <v>0.01</v>
      </c>
      <c r="AO92" s="109"/>
      <c r="AP92" s="197" t="n">
        <v>28</v>
      </c>
      <c r="AQ92" s="1280" t="n">
        <v>0.35</v>
      </c>
      <c r="AR92" s="1288"/>
      <c r="AS92" s="1288"/>
      <c r="AT92" s="1288"/>
      <c r="AU92" s="1288"/>
      <c r="AV92" s="1288"/>
      <c r="AW92" s="1288"/>
      <c r="AX92" s="1288"/>
      <c r="AY92" s="1288"/>
      <c r="AZ92" s="1288"/>
      <c r="BA92" s="1288"/>
      <c r="BB92" s="1288"/>
      <c r="BC92" s="1288"/>
      <c r="BD92" s="1288"/>
      <c r="BE92" s="1288"/>
      <c r="BF92" s="1288"/>
      <c r="BG92" s="1288"/>
      <c r="BH92" s="1288"/>
      <c r="BI92" s="1288"/>
      <c r="BJ92" s="1288"/>
      <c r="BK92" s="1288"/>
      <c r="BL92" s="1288"/>
      <c r="BM92" s="1288"/>
      <c r="BN92" s="1288"/>
      <c r="BO92" s="1288"/>
      <c r="BP92" s="1288"/>
      <c r="BQ92" s="1237" t="n">
        <v>39264</v>
      </c>
      <c r="BR92" s="1238" t="n">
        <v>2.897</v>
      </c>
      <c r="BS92" s="1238" t="n">
        <v>2.902</v>
      </c>
      <c r="BT92" s="1238" t="n">
        <v>2.907</v>
      </c>
      <c r="BU92" s="1239" t="n">
        <v>0.15</v>
      </c>
      <c r="BV92" s="1239" t="n">
        <v>0.1575</v>
      </c>
      <c r="BW92" s="1239" t="n">
        <v>0.165</v>
      </c>
      <c r="BX92" s="1239" t="n">
        <v>-0.07</v>
      </c>
      <c r="BY92" s="1239"/>
      <c r="BZ92" s="1239" t="n">
        <v>0.07</v>
      </c>
      <c r="CA92" s="1243" t="n">
        <v>0</v>
      </c>
      <c r="CB92" s="1241" t="n">
        <v>0</v>
      </c>
      <c r="CC92" s="1242" t="n">
        <v>2.9475</v>
      </c>
      <c r="CD92" s="1239" t="n">
        <v>0.1775</v>
      </c>
    </row>
    <row r="93" customFormat="false" ht="12.75" hidden="false" customHeight="false" outlineLevel="0" collapsed="false">
      <c r="A93" s="1237" t="n">
        <v>39387</v>
      </c>
      <c r="B93" s="1239" t="n">
        <v>0.072282453703805</v>
      </c>
      <c r="C93" s="1290"/>
      <c r="D93" s="1274" t="n">
        <v>38261</v>
      </c>
      <c r="E93" s="1275" t="n">
        <v>36.3853558363529</v>
      </c>
      <c r="F93" s="1275" t="n">
        <v>38.1353558363529</v>
      </c>
      <c r="G93" s="1275" t="n">
        <v>42.6353558363529</v>
      </c>
      <c r="H93" s="1266"/>
      <c r="I93" s="1275" t="n">
        <v>22.1016129032258</v>
      </c>
      <c r="J93" s="1275" t="n">
        <v>23.3516129032258</v>
      </c>
      <c r="K93" s="1275" t="n">
        <v>26.3516129032258</v>
      </c>
      <c r="M93" s="1276" t="n">
        <v>39142</v>
      </c>
      <c r="N93" s="1277" t="n">
        <v>25.9706220528391</v>
      </c>
      <c r="O93" s="1277" t="n">
        <v>28.9706220528391</v>
      </c>
      <c r="P93" s="1277" t="n">
        <v>33.9706220528391</v>
      </c>
      <c r="Q93" s="109"/>
      <c r="R93" s="1277" t="n">
        <v>18.7279665396293</v>
      </c>
      <c r="S93" s="1277" t="n">
        <v>21.7279665396293</v>
      </c>
      <c r="T93" s="1277" t="n">
        <v>26.7279665396293</v>
      </c>
      <c r="V93" s="1278" t="n">
        <v>0</v>
      </c>
      <c r="W93" s="1278" t="n">
        <v>0</v>
      </c>
      <c r="X93" s="1278" t="n">
        <v>0</v>
      </c>
      <c r="Y93" s="1288"/>
      <c r="Z93" s="1277" t="n">
        <v>0.135</v>
      </c>
      <c r="AA93" s="1277" t="n">
        <v>0.145</v>
      </c>
      <c r="AB93" s="1277" t="n">
        <v>0.155</v>
      </c>
      <c r="AC93" s="109"/>
      <c r="AD93" s="1277" t="n">
        <v>0.09</v>
      </c>
      <c r="AE93" s="1277" t="n">
        <v>0.11</v>
      </c>
      <c r="AF93" s="1277" t="n">
        <v>0.13</v>
      </c>
      <c r="AG93" s="109"/>
      <c r="AH93" s="1277" t="n">
        <v>-0.1</v>
      </c>
      <c r="AI93" s="1277" t="n">
        <v>0.65</v>
      </c>
      <c r="AJ93" s="1277" t="n">
        <v>0.1</v>
      </c>
      <c r="AK93" s="109"/>
      <c r="AL93" s="1277" t="n">
        <v>-0.01</v>
      </c>
      <c r="AM93" s="1277" t="n">
        <v>0.16</v>
      </c>
      <c r="AN93" s="1277" t="n">
        <v>0.01</v>
      </c>
      <c r="AO93" s="109"/>
      <c r="AP93" s="197" t="n">
        <v>28</v>
      </c>
      <c r="AQ93" s="1280" t="n">
        <v>0.35</v>
      </c>
      <c r="AR93" s="1288"/>
      <c r="AS93" s="1288"/>
      <c r="AT93" s="1288"/>
      <c r="AU93" s="1288"/>
      <c r="AV93" s="1288"/>
      <c r="AW93" s="1288"/>
      <c r="AX93" s="1288"/>
      <c r="AY93" s="1288"/>
      <c r="AZ93" s="1288"/>
      <c r="BA93" s="1288"/>
      <c r="BB93" s="1288"/>
      <c r="BC93" s="1288"/>
      <c r="BD93" s="1288"/>
      <c r="BE93" s="1288"/>
      <c r="BF93" s="1288"/>
      <c r="BG93" s="1288"/>
      <c r="BH93" s="1288"/>
      <c r="BI93" s="1288"/>
      <c r="BJ93" s="1288"/>
      <c r="BK93" s="1288"/>
      <c r="BL93" s="1288"/>
      <c r="BM93" s="1288"/>
      <c r="BN93" s="1288"/>
      <c r="BO93" s="1288"/>
      <c r="BP93" s="1288"/>
      <c r="BQ93" s="1237" t="n">
        <v>39295</v>
      </c>
      <c r="BR93" s="1238" t="n">
        <v>2.906</v>
      </c>
      <c r="BS93" s="1238" t="n">
        <v>2.911</v>
      </c>
      <c r="BT93" s="1238" t="n">
        <v>2.916</v>
      </c>
      <c r="BU93" s="1239" t="n">
        <v>0.15</v>
      </c>
      <c r="BV93" s="1239" t="n">
        <v>0.1575</v>
      </c>
      <c r="BW93" s="1239" t="n">
        <v>0.165</v>
      </c>
      <c r="BX93" s="1239" t="n">
        <v>-0.07</v>
      </c>
      <c r="BY93" s="1239"/>
      <c r="BZ93" s="1239" t="n">
        <v>0.07</v>
      </c>
      <c r="CA93" s="1243" t="n">
        <v>0</v>
      </c>
      <c r="CB93" s="1241" t="n">
        <v>0</v>
      </c>
      <c r="CC93" s="1242" t="n">
        <v>3.024</v>
      </c>
      <c r="CD93" s="1239" t="n">
        <v>0.1675</v>
      </c>
    </row>
    <row r="94" customFormat="false" ht="12.75" hidden="false" customHeight="false" outlineLevel="0" collapsed="false">
      <c r="A94" s="1237" t="n">
        <v>39417</v>
      </c>
      <c r="B94" s="1239" t="n">
        <v>0.072300091176387</v>
      </c>
      <c r="C94" s="1290"/>
      <c r="D94" s="1274" t="n">
        <v>38292</v>
      </c>
      <c r="E94" s="1275" t="n">
        <v>28.6353558363529</v>
      </c>
      <c r="F94" s="1275" t="n">
        <v>30.3853558363529</v>
      </c>
      <c r="G94" s="1275" t="n">
        <v>34.8853558363529</v>
      </c>
      <c r="H94" s="1266"/>
      <c r="I94" s="1275" t="n">
        <v>23.4416666666667</v>
      </c>
      <c r="J94" s="1275" t="n">
        <v>24.6916666666667</v>
      </c>
      <c r="K94" s="1275" t="n">
        <v>27.6916666666667</v>
      </c>
      <c r="M94" s="1276" t="n">
        <v>39173</v>
      </c>
      <c r="N94" s="1277" t="n">
        <v>25.8049339844257</v>
      </c>
      <c r="O94" s="1277" t="n">
        <v>28.8049339844257</v>
      </c>
      <c r="P94" s="1277" t="n">
        <v>33.8049339844257</v>
      </c>
      <c r="Q94" s="109"/>
      <c r="R94" s="1277" t="n">
        <v>18.6037004883193</v>
      </c>
      <c r="S94" s="1277" t="n">
        <v>21.6037004883193</v>
      </c>
      <c r="T94" s="1277" t="n">
        <v>26.6037004883193</v>
      </c>
      <c r="V94" s="1278" t="n">
        <v>0</v>
      </c>
      <c r="W94" s="1278" t="n">
        <v>0</v>
      </c>
      <c r="X94" s="1278" t="n">
        <v>0</v>
      </c>
      <c r="Y94" s="1288"/>
      <c r="Z94" s="1277" t="n">
        <v>0.135</v>
      </c>
      <c r="AA94" s="1277" t="n">
        <v>0.145</v>
      </c>
      <c r="AB94" s="1277" t="n">
        <v>0.155</v>
      </c>
      <c r="AC94" s="109"/>
      <c r="AD94" s="1277" t="n">
        <v>0.09</v>
      </c>
      <c r="AE94" s="1277" t="n">
        <v>0.11</v>
      </c>
      <c r="AF94" s="1277" t="n">
        <v>0.13</v>
      </c>
      <c r="AG94" s="109"/>
      <c r="AH94" s="1277" t="n">
        <v>-0.1</v>
      </c>
      <c r="AI94" s="1277" t="n">
        <v>0.65</v>
      </c>
      <c r="AJ94" s="1277" t="n">
        <v>0.1</v>
      </c>
      <c r="AK94" s="109"/>
      <c r="AL94" s="1277" t="n">
        <v>-0.01</v>
      </c>
      <c r="AM94" s="1277" t="n">
        <v>0.16</v>
      </c>
      <c r="AN94" s="1277" t="n">
        <v>0.01</v>
      </c>
      <c r="AO94" s="109"/>
      <c r="AP94" s="197" t="n">
        <v>29</v>
      </c>
      <c r="AQ94" s="1280" t="n">
        <v>0.35</v>
      </c>
      <c r="AR94" s="1288"/>
      <c r="AS94" s="1288"/>
      <c r="AT94" s="1288"/>
      <c r="AU94" s="1288"/>
      <c r="AV94" s="1288"/>
      <c r="AW94" s="1288"/>
      <c r="AX94" s="1288"/>
      <c r="AY94" s="1288"/>
      <c r="AZ94" s="1288"/>
      <c r="BA94" s="1288"/>
      <c r="BB94" s="1288"/>
      <c r="BC94" s="1288"/>
      <c r="BD94" s="1288"/>
      <c r="BE94" s="1288"/>
      <c r="BF94" s="1288"/>
      <c r="BG94" s="1288"/>
      <c r="BH94" s="1288"/>
      <c r="BI94" s="1288"/>
      <c r="BJ94" s="1288"/>
      <c r="BK94" s="1288"/>
      <c r="BL94" s="1288"/>
      <c r="BM94" s="1288"/>
      <c r="BN94" s="1288"/>
      <c r="BO94" s="1288"/>
      <c r="BP94" s="1288"/>
      <c r="BQ94" s="1237" t="n">
        <v>39326</v>
      </c>
      <c r="BR94" s="1238" t="n">
        <v>2.909</v>
      </c>
      <c r="BS94" s="1238" t="n">
        <v>2.914</v>
      </c>
      <c r="BT94" s="1238" t="n">
        <v>2.919</v>
      </c>
      <c r="BU94" s="1239" t="n">
        <v>0.15</v>
      </c>
      <c r="BV94" s="1239" t="n">
        <v>0.1575</v>
      </c>
      <c r="BW94" s="1239" t="n">
        <v>0.165</v>
      </c>
      <c r="BX94" s="1239" t="n">
        <v>-0.07</v>
      </c>
      <c r="BY94" s="1239"/>
      <c r="BZ94" s="1239" t="n">
        <v>0.07</v>
      </c>
      <c r="CA94" s="1243" t="n">
        <v>0</v>
      </c>
      <c r="CB94" s="1241" t="n">
        <v>0</v>
      </c>
      <c r="CC94" s="1242" t="n">
        <v>2.899</v>
      </c>
      <c r="CD94" s="1239" t="n">
        <v>0.1675</v>
      </c>
    </row>
    <row r="95" customFormat="false" ht="12.75" hidden="false" customHeight="false" outlineLevel="0" collapsed="false">
      <c r="A95" s="1237" t="n">
        <v>39448</v>
      </c>
      <c r="B95" s="1239" t="n">
        <v>0.072318316564831</v>
      </c>
      <c r="C95" s="1290"/>
      <c r="D95" s="1274" t="n">
        <v>38322</v>
      </c>
      <c r="E95" s="1275" t="n">
        <v>30.6353558363529</v>
      </c>
      <c r="F95" s="1275" t="n">
        <v>32.3853558363529</v>
      </c>
      <c r="G95" s="1275" t="n">
        <v>36.8853558363529</v>
      </c>
      <c r="H95" s="1266"/>
      <c r="I95" s="1275" t="n">
        <v>22.7467741935484</v>
      </c>
      <c r="J95" s="1275" t="n">
        <v>23.9967741935484</v>
      </c>
      <c r="K95" s="1275" t="n">
        <v>26.9967741935484</v>
      </c>
      <c r="M95" s="1276" t="n">
        <v>39203</v>
      </c>
      <c r="N95" s="1277" t="n">
        <v>25.8049339844257</v>
      </c>
      <c r="O95" s="1277" t="n">
        <v>28.8049339844257</v>
      </c>
      <c r="P95" s="1277" t="n">
        <v>33.8049339844257</v>
      </c>
      <c r="Q95" s="109"/>
      <c r="R95" s="1277" t="n">
        <v>18.6037004883193</v>
      </c>
      <c r="S95" s="1277" t="n">
        <v>21.6037004883193</v>
      </c>
      <c r="T95" s="1277" t="n">
        <v>26.6037004883193</v>
      </c>
      <c r="V95" s="1278" t="n">
        <v>0</v>
      </c>
      <c r="W95" s="1278" t="n">
        <v>0</v>
      </c>
      <c r="X95" s="1278" t="n">
        <v>0</v>
      </c>
      <c r="Y95" s="1288"/>
      <c r="Z95" s="1277" t="n">
        <v>0.135</v>
      </c>
      <c r="AA95" s="1277" t="n">
        <v>0.145</v>
      </c>
      <c r="AB95" s="1277" t="n">
        <v>0.155</v>
      </c>
      <c r="AC95" s="109"/>
      <c r="AD95" s="1277" t="n">
        <v>0.09</v>
      </c>
      <c r="AE95" s="1277" t="n">
        <v>0.11</v>
      </c>
      <c r="AF95" s="1277" t="n">
        <v>0.13</v>
      </c>
      <c r="AG95" s="109"/>
      <c r="AH95" s="1277" t="n">
        <v>-0.1</v>
      </c>
      <c r="AI95" s="1277" t="n">
        <v>0.65</v>
      </c>
      <c r="AJ95" s="1277" t="n">
        <v>0.1</v>
      </c>
      <c r="AK95" s="109"/>
      <c r="AL95" s="1277" t="n">
        <v>-0.01</v>
      </c>
      <c r="AM95" s="1277" t="n">
        <v>0.16</v>
      </c>
      <c r="AN95" s="1277" t="n">
        <v>0.01</v>
      </c>
      <c r="AO95" s="109"/>
      <c r="AP95" s="197" t="n">
        <v>29</v>
      </c>
      <c r="AQ95" s="1280" t="n">
        <v>0.35</v>
      </c>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37" t="n">
        <v>39356</v>
      </c>
      <c r="BR95" s="1238" t="n">
        <v>2.932</v>
      </c>
      <c r="BS95" s="1238" t="n">
        <v>2.937</v>
      </c>
      <c r="BT95" s="1238" t="n">
        <v>2.942</v>
      </c>
      <c r="BU95" s="1239" t="n">
        <v>0.15</v>
      </c>
      <c r="BV95" s="1239" t="n">
        <v>0.1575</v>
      </c>
      <c r="BW95" s="1239" t="n">
        <v>0.165</v>
      </c>
      <c r="BX95" s="1239" t="n">
        <v>-0.07</v>
      </c>
      <c r="BY95" s="1239"/>
      <c r="BZ95" s="1239" t="n">
        <v>0.07</v>
      </c>
      <c r="CA95" s="1243" t="n">
        <v>0</v>
      </c>
      <c r="CB95" s="1241" t="n">
        <v>0</v>
      </c>
      <c r="CC95" s="1242" t="n">
        <v>2.792</v>
      </c>
      <c r="CD95" s="1239" t="n">
        <v>0.1675</v>
      </c>
    </row>
    <row r="96" customFormat="false" ht="12.75" hidden="false" customHeight="false" outlineLevel="0" collapsed="false">
      <c r="A96" s="1237" t="n">
        <v>39479</v>
      </c>
      <c r="B96" s="1239" t="n">
        <v>0.072336541953385</v>
      </c>
      <c r="C96" s="1290"/>
      <c r="D96" s="1274" t="n">
        <v>38353</v>
      </c>
      <c r="E96" s="1275" t="n">
        <v>28.6899769768314</v>
      </c>
      <c r="F96" s="1275" t="n">
        <v>30.6899769768314</v>
      </c>
      <c r="G96" s="1275" t="n">
        <v>35.1899769768314</v>
      </c>
      <c r="H96" s="1266"/>
      <c r="I96" s="1275" t="n">
        <v>20.4881191510522</v>
      </c>
      <c r="J96" s="1275" t="n">
        <v>21.7381191510522</v>
      </c>
      <c r="K96" s="1275" t="n">
        <v>24.7381191510522</v>
      </c>
      <c r="M96" s="1276" t="n">
        <v>39234</v>
      </c>
      <c r="N96" s="1277" t="n">
        <v>31.0549339844257</v>
      </c>
      <c r="O96" s="1277" t="n">
        <v>34.0549339844257</v>
      </c>
      <c r="P96" s="1277" t="n">
        <v>39.0549339844257</v>
      </c>
      <c r="Q96" s="109"/>
      <c r="R96" s="1277" t="n">
        <v>22.5412004883193</v>
      </c>
      <c r="S96" s="1277" t="n">
        <v>25.5412004883193</v>
      </c>
      <c r="T96" s="1277" t="n">
        <v>30.5412004883193</v>
      </c>
      <c r="V96" s="1278" t="n">
        <v>0</v>
      </c>
      <c r="W96" s="1278" t="n">
        <v>0</v>
      </c>
      <c r="X96" s="1278" t="n">
        <v>0</v>
      </c>
      <c r="Y96" s="1288"/>
      <c r="Z96" s="1277" t="n">
        <v>0.135</v>
      </c>
      <c r="AA96" s="1277" t="n">
        <v>0.145</v>
      </c>
      <c r="AB96" s="1277" t="n">
        <v>0.155</v>
      </c>
      <c r="AC96" s="109"/>
      <c r="AD96" s="1277" t="n">
        <v>0.09</v>
      </c>
      <c r="AE96" s="1277" t="n">
        <v>0.11</v>
      </c>
      <c r="AF96" s="1277" t="n">
        <v>0.13</v>
      </c>
      <c r="AG96" s="109"/>
      <c r="AH96" s="1277" t="n">
        <v>-0.35</v>
      </c>
      <c r="AI96" s="1277" t="n">
        <v>0.65</v>
      </c>
      <c r="AJ96" s="1277" t="n">
        <v>0.2</v>
      </c>
      <c r="AK96" s="109"/>
      <c r="AL96" s="1277" t="n">
        <v>-0.01</v>
      </c>
      <c r="AM96" s="1277" t="n">
        <v>0.16</v>
      </c>
      <c r="AN96" s="1277" t="n">
        <v>0.01</v>
      </c>
      <c r="AO96" s="109"/>
      <c r="AP96" s="197" t="n">
        <v>29</v>
      </c>
      <c r="AQ96" s="1280" t="n">
        <v>0.35</v>
      </c>
      <c r="AR96" s="1288"/>
      <c r="AS96" s="1288"/>
      <c r="AT96" s="1288"/>
      <c r="AU96" s="1288"/>
      <c r="AV96" s="1288"/>
      <c r="AW96" s="1288"/>
      <c r="AX96" s="1288"/>
      <c r="AY96" s="1288"/>
      <c r="AZ96" s="1288"/>
      <c r="BA96" s="1288"/>
      <c r="BB96" s="1288"/>
      <c r="BC96" s="1288"/>
      <c r="BD96" s="1288"/>
      <c r="BE96" s="1288"/>
      <c r="BF96" s="1288"/>
      <c r="BG96" s="1288"/>
      <c r="BH96" s="1288"/>
      <c r="BI96" s="1288"/>
      <c r="BJ96" s="1288"/>
      <c r="BK96" s="1288"/>
      <c r="BL96" s="1288"/>
      <c r="BM96" s="1288"/>
      <c r="BN96" s="1288"/>
      <c r="BO96" s="1288"/>
      <c r="BP96" s="1288"/>
      <c r="BQ96" s="1237" t="n">
        <v>39387</v>
      </c>
      <c r="BR96" s="1238" t="n">
        <v>3.045</v>
      </c>
      <c r="BS96" s="1238" t="n">
        <v>3.05</v>
      </c>
      <c r="BT96" s="1238" t="n">
        <v>3.055</v>
      </c>
      <c r="BU96" s="1239" t="n">
        <v>0.15</v>
      </c>
      <c r="BV96" s="1239" t="n">
        <v>0.1575</v>
      </c>
      <c r="BW96" s="1239" t="n">
        <v>0.165</v>
      </c>
      <c r="BX96" s="1239" t="n">
        <v>-0.07</v>
      </c>
      <c r="BY96" s="1239"/>
      <c r="BZ96" s="1239" t="n">
        <v>0.07</v>
      </c>
      <c r="CA96" s="1243" t="n">
        <v>0</v>
      </c>
      <c r="CB96" s="1241" t="n">
        <v>0</v>
      </c>
      <c r="CC96" s="1242" t="n">
        <v>2.689</v>
      </c>
      <c r="CD96" s="1239" t="n">
        <v>0.1675</v>
      </c>
    </row>
    <row r="97" customFormat="false" ht="12.75" hidden="false" customHeight="false" outlineLevel="0" collapsed="false">
      <c r="A97" s="1237" t="n">
        <v>39508</v>
      </c>
      <c r="B97" s="1239" t="n">
        <v>0.072353591510517</v>
      </c>
      <c r="C97" s="1290"/>
      <c r="D97" s="1274" t="n">
        <v>38384</v>
      </c>
      <c r="E97" s="1275" t="n">
        <v>28.1899769768314</v>
      </c>
      <c r="F97" s="1275" t="n">
        <v>30.1899769768314</v>
      </c>
      <c r="G97" s="1275" t="n">
        <v>34.6899769768314</v>
      </c>
      <c r="H97" s="1266"/>
      <c r="I97" s="1275" t="n">
        <v>21.4571428571429</v>
      </c>
      <c r="J97" s="1275" t="n">
        <v>22.7071428571429</v>
      </c>
      <c r="K97" s="1275" t="n">
        <v>25.7071428571429</v>
      </c>
      <c r="M97" s="1276" t="n">
        <v>39264</v>
      </c>
      <c r="N97" s="1277" t="n">
        <v>57.5700452962185</v>
      </c>
      <c r="O97" s="1277" t="n">
        <v>60.5700452962185</v>
      </c>
      <c r="P97" s="1277" t="n">
        <v>65.5700452962185</v>
      </c>
      <c r="Q97" s="109"/>
      <c r="R97" s="1277" t="n">
        <v>42.4275339721639</v>
      </c>
      <c r="S97" s="1277" t="n">
        <v>45.4275339721639</v>
      </c>
      <c r="T97" s="1277" t="n">
        <v>50.4275339721639</v>
      </c>
      <c r="V97" s="1278" t="n">
        <v>0</v>
      </c>
      <c r="W97" s="1278" t="n">
        <v>0</v>
      </c>
      <c r="X97" s="1278" t="n">
        <v>0</v>
      </c>
      <c r="Y97" s="1288"/>
      <c r="Z97" s="1277" t="n">
        <v>0.135</v>
      </c>
      <c r="AA97" s="1277" t="n">
        <v>0.145</v>
      </c>
      <c r="AB97" s="1277" t="n">
        <v>0.155</v>
      </c>
      <c r="AC97" s="109"/>
      <c r="AD97" s="1277" t="n">
        <v>0.09</v>
      </c>
      <c r="AE97" s="1277" t="n">
        <v>0.11</v>
      </c>
      <c r="AF97" s="1277" t="n">
        <v>0.13</v>
      </c>
      <c r="AG97" s="109"/>
      <c r="AH97" s="1277" t="n">
        <v>-0.35</v>
      </c>
      <c r="AI97" s="1277" t="n">
        <v>3</v>
      </c>
      <c r="AJ97" s="1277" t="n">
        <v>0.35</v>
      </c>
      <c r="AK97" s="109"/>
      <c r="AL97" s="1277" t="n">
        <v>-0.01</v>
      </c>
      <c r="AM97" s="1277" t="n">
        <v>0.16</v>
      </c>
      <c r="AN97" s="1277" t="n">
        <v>0.01</v>
      </c>
      <c r="AO97" s="109"/>
      <c r="AP97" s="197" t="n">
        <v>30</v>
      </c>
      <c r="AQ97" s="1280" t="n">
        <v>0.35</v>
      </c>
      <c r="AR97" s="1288"/>
      <c r="AS97" s="1288"/>
      <c r="AT97" s="1288"/>
      <c r="AU97" s="1288"/>
      <c r="AV97" s="1288"/>
      <c r="AW97" s="1288"/>
      <c r="AX97" s="1288"/>
      <c r="AY97" s="1288"/>
      <c r="AZ97" s="1288"/>
      <c r="BA97" s="1288"/>
      <c r="BB97" s="1288"/>
      <c r="BC97" s="1288"/>
      <c r="BD97" s="1288"/>
      <c r="BE97" s="1288"/>
      <c r="BF97" s="1288"/>
      <c r="BG97" s="1288"/>
      <c r="BH97" s="1288"/>
      <c r="BI97" s="1288"/>
      <c r="BJ97" s="1288"/>
      <c r="BK97" s="1288"/>
      <c r="BL97" s="1288"/>
      <c r="BM97" s="1288"/>
      <c r="BN97" s="1288"/>
      <c r="BO97" s="1288"/>
      <c r="BP97" s="1288"/>
      <c r="BQ97" s="1237" t="n">
        <v>39417</v>
      </c>
      <c r="BR97" s="1238" t="n">
        <v>3.156</v>
      </c>
      <c r="BS97" s="1238" t="n">
        <v>3.161</v>
      </c>
      <c r="BT97" s="1238" t="n">
        <v>3.166</v>
      </c>
      <c r="BU97" s="1239" t="n">
        <v>0.15</v>
      </c>
      <c r="BV97" s="1239" t="n">
        <v>0.1575</v>
      </c>
      <c r="BW97" s="1239" t="n">
        <v>0.165</v>
      </c>
      <c r="BX97" s="1239" t="n">
        <v>-0.07</v>
      </c>
      <c r="BY97" s="1239"/>
      <c r="BZ97" s="1239" t="n">
        <v>0.07</v>
      </c>
      <c r="CA97" s="1243" t="n">
        <v>0</v>
      </c>
      <c r="CB97" s="1241" t="n">
        <v>0</v>
      </c>
      <c r="CC97" s="1242" t="n">
        <v>2.665</v>
      </c>
      <c r="CD97" s="1239" t="n">
        <v>0.1675</v>
      </c>
    </row>
    <row r="98" customFormat="false" ht="12.75" hidden="false" customHeight="false" outlineLevel="0" collapsed="false">
      <c r="A98" s="1237" t="n">
        <v>39539</v>
      </c>
      <c r="B98" s="1239" t="n">
        <v>0.072371816899283</v>
      </c>
      <c r="C98" s="1290"/>
      <c r="D98" s="1274" t="n">
        <v>38412</v>
      </c>
      <c r="E98" s="1275" t="n">
        <v>27.9399769768314</v>
      </c>
      <c r="F98" s="1275" t="n">
        <v>29.9399769768314</v>
      </c>
      <c r="G98" s="1275" t="n">
        <v>34.4399769768314</v>
      </c>
      <c r="H98" s="1266"/>
      <c r="I98" s="1275" t="n">
        <v>21.7370967741936</v>
      </c>
      <c r="J98" s="1275" t="n">
        <v>22.9870967741936</v>
      </c>
      <c r="K98" s="1275" t="n">
        <v>25.9870967741936</v>
      </c>
      <c r="M98" s="1276" t="n">
        <v>39295</v>
      </c>
      <c r="N98" s="1277" t="n">
        <v>78.1950452962185</v>
      </c>
      <c r="O98" s="1277" t="n">
        <v>81.1950452962185</v>
      </c>
      <c r="P98" s="1277" t="n">
        <v>86.1950452962185</v>
      </c>
      <c r="Q98" s="109"/>
      <c r="R98" s="1277" t="n">
        <v>57.8962839721639</v>
      </c>
      <c r="S98" s="1277" t="n">
        <v>60.8962839721639</v>
      </c>
      <c r="T98" s="1277" t="n">
        <v>65.8962839721639</v>
      </c>
      <c r="V98" s="1278" t="n">
        <v>0</v>
      </c>
      <c r="W98" s="1278" t="n">
        <v>0</v>
      </c>
      <c r="X98" s="1278" t="n">
        <v>0</v>
      </c>
      <c r="Y98" s="1288"/>
      <c r="Z98" s="1277" t="n">
        <v>0.135</v>
      </c>
      <c r="AA98" s="1277" t="n">
        <v>0.145</v>
      </c>
      <c r="AB98" s="1277" t="n">
        <v>0.155</v>
      </c>
      <c r="AC98" s="109"/>
      <c r="AD98" s="1277" t="n">
        <v>0.09</v>
      </c>
      <c r="AE98" s="1277" t="n">
        <v>0.11</v>
      </c>
      <c r="AF98" s="1277" t="n">
        <v>0.13</v>
      </c>
      <c r="AG98" s="109"/>
      <c r="AH98" s="1277" t="n">
        <v>-0.35</v>
      </c>
      <c r="AI98" s="1277" t="n">
        <v>3</v>
      </c>
      <c r="AJ98" s="1277" t="n">
        <v>0.35</v>
      </c>
      <c r="AK98" s="109"/>
      <c r="AL98" s="1277" t="n">
        <v>-0.01</v>
      </c>
      <c r="AM98" s="1277" t="n">
        <v>0.16</v>
      </c>
      <c r="AN98" s="1277" t="n">
        <v>0.01</v>
      </c>
      <c r="AO98" s="109"/>
      <c r="AP98" s="197" t="n">
        <v>30</v>
      </c>
      <c r="AQ98" s="1280" t="n">
        <v>0.35</v>
      </c>
      <c r="AR98" s="1288"/>
      <c r="AS98" s="1288"/>
      <c r="AT98" s="1288"/>
      <c r="AU98" s="1288"/>
      <c r="AV98" s="1288"/>
      <c r="AW98" s="1288"/>
      <c r="AX98" s="1288"/>
      <c r="AY98" s="1288"/>
      <c r="AZ98" s="1288"/>
      <c r="BA98" s="1288"/>
      <c r="BB98" s="1288"/>
      <c r="BC98" s="1288"/>
      <c r="BD98" s="1288"/>
      <c r="BE98" s="1288"/>
      <c r="BF98" s="1288"/>
      <c r="BG98" s="1288"/>
      <c r="BH98" s="1288"/>
      <c r="BI98" s="1288"/>
      <c r="BJ98" s="1288"/>
      <c r="BK98" s="1288"/>
      <c r="BL98" s="1288"/>
      <c r="BM98" s="1288"/>
      <c r="BN98" s="1288"/>
      <c r="BO98" s="1288"/>
      <c r="BP98" s="1288"/>
      <c r="BQ98" s="1237" t="n">
        <v>39448</v>
      </c>
      <c r="BR98" s="1238" t="n">
        <v>3.205</v>
      </c>
      <c r="BS98" s="1238" t="n">
        <v>3.21</v>
      </c>
      <c r="BT98" s="1238" t="n">
        <v>3.215</v>
      </c>
      <c r="BU98" s="1239" t="n">
        <v>0.15</v>
      </c>
      <c r="BV98" s="1239" t="n">
        <v>0.1575</v>
      </c>
      <c r="BW98" s="1239" t="n">
        <v>0.165</v>
      </c>
      <c r="BX98" s="1239" t="n">
        <v>-0.07</v>
      </c>
      <c r="BY98" s="1239"/>
      <c r="BZ98" s="1239" t="n">
        <v>0.07</v>
      </c>
      <c r="CA98" s="1243" t="n">
        <v>0</v>
      </c>
      <c r="CB98" s="1241" t="n">
        <v>0</v>
      </c>
      <c r="CC98" s="1242" t="n">
        <v>2.672</v>
      </c>
      <c r="CD98" s="1239" t="n">
        <v>0.1675</v>
      </c>
    </row>
    <row r="99" customFormat="false" ht="12.75" hidden="false" customHeight="false" outlineLevel="0" collapsed="false">
      <c r="A99" s="1237" t="n">
        <v>39569</v>
      </c>
      <c r="B99" s="1239" t="n">
        <v>0.072389454372387</v>
      </c>
      <c r="C99" s="1290"/>
      <c r="D99" s="1274" t="n">
        <v>38443</v>
      </c>
      <c r="E99" s="1275" t="n">
        <v>28.0205291175163</v>
      </c>
      <c r="F99" s="1275" t="n">
        <v>30.0205291175163</v>
      </c>
      <c r="G99" s="1275" t="n">
        <v>34.5205291175163</v>
      </c>
      <c r="H99" s="1266"/>
      <c r="I99" s="1275" t="n">
        <v>19.5375</v>
      </c>
      <c r="J99" s="1275" t="n">
        <v>20.7875</v>
      </c>
      <c r="K99" s="1275" t="n">
        <v>23.7875</v>
      </c>
      <c r="M99" s="1276" t="n">
        <v>39326</v>
      </c>
      <c r="N99" s="1277" t="n">
        <v>62.1950452962185</v>
      </c>
      <c r="O99" s="1277" t="n">
        <v>65.1950452962185</v>
      </c>
      <c r="P99" s="1277" t="n">
        <v>70.1950452962185</v>
      </c>
      <c r="Q99" s="109"/>
      <c r="R99" s="1277" t="n">
        <v>45.8962839721639</v>
      </c>
      <c r="S99" s="1277" t="n">
        <v>48.8962839721639</v>
      </c>
      <c r="T99" s="1277" t="n">
        <v>53.8962839721639</v>
      </c>
      <c r="V99" s="1278" t="n">
        <v>0</v>
      </c>
      <c r="W99" s="1278" t="n">
        <v>0</v>
      </c>
      <c r="X99" s="1278" t="n">
        <v>0</v>
      </c>
      <c r="Y99" s="1288"/>
      <c r="Z99" s="1277" t="n">
        <v>0.135</v>
      </c>
      <c r="AA99" s="1277" t="n">
        <v>0.145</v>
      </c>
      <c r="AB99" s="1277" t="n">
        <v>0.155</v>
      </c>
      <c r="AC99" s="109"/>
      <c r="AD99" s="1277" t="n">
        <v>0.09</v>
      </c>
      <c r="AE99" s="1277" t="n">
        <v>0.11</v>
      </c>
      <c r="AF99" s="1277" t="n">
        <v>0.13</v>
      </c>
      <c r="AG99" s="109"/>
      <c r="AH99" s="1277" t="n">
        <v>-0.35</v>
      </c>
      <c r="AI99" s="1277" t="n">
        <v>3</v>
      </c>
      <c r="AJ99" s="1277" t="n">
        <v>0.2</v>
      </c>
      <c r="AK99" s="109"/>
      <c r="AL99" s="1277" t="n">
        <v>-0.01</v>
      </c>
      <c r="AM99" s="1277" t="n">
        <v>0.16</v>
      </c>
      <c r="AN99" s="1277" t="n">
        <v>0.01</v>
      </c>
      <c r="AO99" s="109"/>
      <c r="AP99" s="197" t="n">
        <v>30</v>
      </c>
      <c r="AQ99" s="1280" t="n">
        <v>0.35</v>
      </c>
      <c r="AR99" s="1288"/>
      <c r="AS99" s="1288"/>
      <c r="AT99" s="1288"/>
      <c r="AU99" s="1288"/>
      <c r="AV99" s="1288"/>
      <c r="AW99" s="1288"/>
      <c r="AX99" s="1288"/>
      <c r="AY99" s="1288"/>
      <c r="AZ99" s="1288"/>
      <c r="BA99" s="1288"/>
      <c r="BB99" s="1288"/>
      <c r="BC99" s="1288"/>
      <c r="BD99" s="1288"/>
      <c r="BE99" s="1288"/>
      <c r="BF99" s="1288"/>
      <c r="BG99" s="1288"/>
      <c r="BH99" s="1288"/>
      <c r="BI99" s="1288"/>
      <c r="BJ99" s="1288"/>
      <c r="BK99" s="1288"/>
      <c r="BL99" s="1288"/>
      <c r="BM99" s="1288"/>
      <c r="BN99" s="1288"/>
      <c r="BO99" s="1288"/>
      <c r="BP99" s="1288"/>
      <c r="BQ99" s="1237" t="n">
        <v>39479</v>
      </c>
      <c r="BR99" s="1238" t="n">
        <v>3.112</v>
      </c>
      <c r="BS99" s="1238" t="n">
        <v>3.117</v>
      </c>
      <c r="BT99" s="1238" t="n">
        <v>3.122</v>
      </c>
      <c r="BU99" s="1239" t="n">
        <v>0.15</v>
      </c>
      <c r="BV99" s="1239" t="n">
        <v>0.1575</v>
      </c>
      <c r="BW99" s="1239" t="n">
        <v>0.165</v>
      </c>
      <c r="BX99" s="1239" t="n">
        <v>-0.07</v>
      </c>
      <c r="BY99" s="1239"/>
      <c r="BZ99" s="1239" t="n">
        <v>0.07</v>
      </c>
      <c r="CA99" s="1243" t="n">
        <v>0</v>
      </c>
      <c r="CB99" s="1241" t="n">
        <v>0</v>
      </c>
      <c r="CC99" s="1242" t="n">
        <v>2.678</v>
      </c>
      <c r="CD99" s="1239" t="n">
        <v>0.1675</v>
      </c>
    </row>
    <row r="100" customFormat="false" ht="12.75" hidden="false" customHeight="false" outlineLevel="0" collapsed="false">
      <c r="A100" s="1237" t="n">
        <v>39600</v>
      </c>
      <c r="B100" s="1239" t="n">
        <v>0.072407679761368</v>
      </c>
      <c r="C100" s="1290"/>
      <c r="D100" s="1274" t="n">
        <v>38473</v>
      </c>
      <c r="E100" s="1275" t="n">
        <v>27.2705291175163</v>
      </c>
      <c r="F100" s="1275" t="n">
        <v>29.2705291175163</v>
      </c>
      <c r="G100" s="1275" t="n">
        <v>33.7705291175163</v>
      </c>
      <c r="H100" s="1266"/>
      <c r="I100" s="1275" t="n">
        <v>19.5959677419355</v>
      </c>
      <c r="J100" s="1275" t="n">
        <v>20.8459677419355</v>
      </c>
      <c r="K100" s="1275" t="n">
        <v>23.8459677419355</v>
      </c>
      <c r="M100" s="1276" t="n">
        <v>39356</v>
      </c>
      <c r="N100" s="1277" t="n">
        <v>34.1398343322297</v>
      </c>
      <c r="O100" s="1277" t="n">
        <v>37.1398343322297</v>
      </c>
      <c r="P100" s="1277" t="n">
        <v>42.1398343322297</v>
      </c>
      <c r="Q100" s="109"/>
      <c r="R100" s="1277" t="n">
        <v>24.8548757491723</v>
      </c>
      <c r="S100" s="1277" t="n">
        <v>27.8548757491723</v>
      </c>
      <c r="T100" s="1277" t="n">
        <v>32.8548757491723</v>
      </c>
      <c r="V100" s="1278" t="n">
        <v>0</v>
      </c>
      <c r="W100" s="1278" t="n">
        <v>0</v>
      </c>
      <c r="X100" s="1278" t="n">
        <v>0</v>
      </c>
      <c r="Y100" s="1288"/>
      <c r="Z100" s="1277" t="n">
        <v>0.135</v>
      </c>
      <c r="AA100" s="1277" t="n">
        <v>0.145</v>
      </c>
      <c r="AB100" s="1277" t="n">
        <v>0.155</v>
      </c>
      <c r="AC100" s="109"/>
      <c r="AD100" s="1277" t="n">
        <v>0.09</v>
      </c>
      <c r="AE100" s="1277" t="n">
        <v>0.11</v>
      </c>
      <c r="AF100" s="1277" t="n">
        <v>0.13</v>
      </c>
      <c r="AG100" s="109"/>
      <c r="AH100" s="1277" t="n">
        <v>-0.1</v>
      </c>
      <c r="AI100" s="1277" t="n">
        <v>0.6</v>
      </c>
      <c r="AJ100" s="1277" t="n">
        <v>0.1</v>
      </c>
      <c r="AK100" s="109"/>
      <c r="AL100" s="1277" t="n">
        <v>-0.01</v>
      </c>
      <c r="AM100" s="1277" t="n">
        <v>0.16</v>
      </c>
      <c r="AN100" s="1277" t="n">
        <v>0.01</v>
      </c>
      <c r="AO100" s="109"/>
      <c r="AP100" s="197" t="n">
        <v>31</v>
      </c>
      <c r="AQ100" s="1280" t="n">
        <v>0.35</v>
      </c>
      <c r="AR100" s="1288"/>
      <c r="AS100" s="1288"/>
      <c r="AT100" s="1288"/>
      <c r="AU100" s="1288"/>
      <c r="AV100" s="1288"/>
      <c r="AW100" s="1288"/>
      <c r="AX100" s="1288"/>
      <c r="AY100" s="1288"/>
      <c r="AZ100" s="1288"/>
      <c r="BA100" s="1288"/>
      <c r="BB100" s="1288"/>
      <c r="BC100" s="1288"/>
      <c r="BD100" s="1288"/>
      <c r="BE100" s="1288"/>
      <c r="BF100" s="1288"/>
      <c r="BG100" s="1288"/>
      <c r="BH100" s="1288"/>
      <c r="BI100" s="1288"/>
      <c r="BJ100" s="1288"/>
      <c r="BK100" s="1288"/>
      <c r="BL100" s="1288"/>
      <c r="BM100" s="1288"/>
      <c r="BN100" s="1288"/>
      <c r="BO100" s="1288"/>
      <c r="BP100" s="1288"/>
      <c r="BQ100" s="1237" t="n">
        <v>39508</v>
      </c>
      <c r="BR100" s="1238" t="n">
        <v>3.012</v>
      </c>
      <c r="BS100" s="1238" t="n">
        <v>3.017</v>
      </c>
      <c r="BT100" s="1238" t="n">
        <v>3.022</v>
      </c>
      <c r="BU100" s="1239" t="n">
        <v>0.15</v>
      </c>
      <c r="BV100" s="1239" t="n">
        <v>0.1575</v>
      </c>
      <c r="BW100" s="1239" t="n">
        <v>0.165</v>
      </c>
      <c r="BX100" s="1239" t="n">
        <v>-0.07</v>
      </c>
      <c r="BY100" s="1239"/>
      <c r="BZ100" s="1239" t="n">
        <v>0.07</v>
      </c>
      <c r="CA100" s="1243" t="n">
        <v>0</v>
      </c>
      <c r="CB100" s="1241" t="n">
        <v>0</v>
      </c>
      <c r="CC100" s="1242" t="n">
        <v>2.683</v>
      </c>
      <c r="CD100" s="1239" t="n">
        <v>0.1675</v>
      </c>
    </row>
    <row r="101" customFormat="false" ht="12.75" hidden="false" customHeight="false" outlineLevel="0" collapsed="false">
      <c r="A101" s="1237" t="n">
        <v>39630</v>
      </c>
      <c r="B101" s="1239" t="n">
        <v>0.072425317234681</v>
      </c>
      <c r="C101" s="1290"/>
      <c r="D101" s="1274" t="n">
        <v>38504</v>
      </c>
      <c r="E101" s="1275" t="n">
        <v>32.5205291175163</v>
      </c>
      <c r="F101" s="1275" t="n">
        <v>34.5205291175163</v>
      </c>
      <c r="G101" s="1275" t="n">
        <v>39.0205291175163</v>
      </c>
      <c r="H101" s="1266"/>
      <c r="I101" s="1275" t="n">
        <v>18.85</v>
      </c>
      <c r="J101" s="1275" t="n">
        <v>20.1</v>
      </c>
      <c r="K101" s="1275" t="n">
        <v>23.1</v>
      </c>
      <c r="M101" s="1276" t="n">
        <v>39387</v>
      </c>
      <c r="N101" s="1277" t="n">
        <v>26.3898343322298</v>
      </c>
      <c r="O101" s="1277" t="n">
        <v>29.3898343322298</v>
      </c>
      <c r="P101" s="1277" t="n">
        <v>34.3898343322298</v>
      </c>
      <c r="Q101" s="109"/>
      <c r="R101" s="1277" t="n">
        <v>19.0423757491723</v>
      </c>
      <c r="S101" s="1277" t="n">
        <v>22.0423757491723</v>
      </c>
      <c r="T101" s="1277" t="n">
        <v>27.0423757491723</v>
      </c>
      <c r="V101" s="1278" t="n">
        <v>0</v>
      </c>
      <c r="W101" s="1278" t="n">
        <v>0</v>
      </c>
      <c r="X101" s="1278" t="n">
        <v>0</v>
      </c>
      <c r="Y101" s="1288"/>
      <c r="Z101" s="1277" t="n">
        <v>0.135</v>
      </c>
      <c r="AA101" s="1277" t="n">
        <v>0.145</v>
      </c>
      <c r="AB101" s="1277" t="n">
        <v>0.155</v>
      </c>
      <c r="AC101" s="109"/>
      <c r="AD101" s="1277" t="n">
        <v>0.09</v>
      </c>
      <c r="AE101" s="1277" t="n">
        <v>0.11</v>
      </c>
      <c r="AF101" s="1277" t="n">
        <v>0.13</v>
      </c>
      <c r="AG101" s="109"/>
      <c r="AH101" s="1277" t="n">
        <v>-0.1</v>
      </c>
      <c r="AI101" s="1277" t="n">
        <v>0.6</v>
      </c>
      <c r="AJ101" s="1277" t="n">
        <v>0.1</v>
      </c>
      <c r="AK101" s="109"/>
      <c r="AL101" s="1277" t="n">
        <v>-0.01</v>
      </c>
      <c r="AM101" s="1277" t="n">
        <v>0.16</v>
      </c>
      <c r="AN101" s="1277" t="n">
        <v>0.01</v>
      </c>
      <c r="AO101" s="109"/>
      <c r="AP101" s="197" t="n">
        <v>31</v>
      </c>
      <c r="AQ101" s="1280" t="n">
        <v>0.35</v>
      </c>
      <c r="AR101" s="1288"/>
      <c r="AS101" s="1288"/>
      <c r="AT101" s="1288"/>
      <c r="AU101" s="1288"/>
      <c r="AV101" s="1288"/>
      <c r="AW101" s="1288"/>
      <c r="AX101" s="1288"/>
      <c r="AY101" s="1288"/>
      <c r="AZ101" s="1288"/>
      <c r="BA101" s="1288"/>
      <c r="BB101" s="1288"/>
      <c r="BC101" s="1288"/>
      <c r="BD101" s="1288"/>
      <c r="BE101" s="1288"/>
      <c r="BF101" s="1288"/>
      <c r="BG101" s="1288"/>
      <c r="BH101" s="1288"/>
      <c r="BI101" s="1288"/>
      <c r="BJ101" s="1288"/>
      <c r="BK101" s="1288"/>
      <c r="BL101" s="1288"/>
      <c r="BM101" s="1288"/>
      <c r="BN101" s="1288"/>
      <c r="BO101" s="1288"/>
      <c r="BP101" s="1288"/>
      <c r="BQ101" s="1237" t="n">
        <v>39539</v>
      </c>
      <c r="BR101" s="1238" t="n">
        <v>2.927</v>
      </c>
      <c r="BS101" s="1238" t="n">
        <v>2.932</v>
      </c>
      <c r="BT101" s="1238" t="n">
        <v>2.937</v>
      </c>
      <c r="BU101" s="1239" t="n">
        <v>0.15</v>
      </c>
      <c r="BV101" s="1239" t="n">
        <v>0.1575</v>
      </c>
      <c r="BW101" s="1239" t="n">
        <v>0.165</v>
      </c>
      <c r="BX101" s="1239" t="n">
        <v>-0.07</v>
      </c>
      <c r="BY101" s="1239"/>
      <c r="BZ101" s="1239" t="n">
        <v>0.07</v>
      </c>
      <c r="CA101" s="1243" t="n">
        <v>0</v>
      </c>
      <c r="CB101" s="1241" t="n">
        <v>0</v>
      </c>
      <c r="CC101" s="1242" t="n">
        <v>2.686</v>
      </c>
      <c r="CD101" s="1239" t="n">
        <v>0.1675</v>
      </c>
    </row>
    <row r="102" customFormat="false" ht="12.75" hidden="false" customHeight="false" outlineLevel="0" collapsed="false">
      <c r="A102" s="1237" t="n">
        <v>39661</v>
      </c>
      <c r="B102" s="1239" t="n">
        <v>0.072443542623878</v>
      </c>
      <c r="C102" s="1290"/>
      <c r="D102" s="1274" t="n">
        <v>38534</v>
      </c>
      <c r="E102" s="1275" t="n">
        <v>59.5716207105738</v>
      </c>
      <c r="F102" s="1275" t="n">
        <v>61.5716207105738</v>
      </c>
      <c r="G102" s="1275" t="n">
        <v>66.0716207105738</v>
      </c>
      <c r="H102" s="1266"/>
      <c r="I102" s="1275" t="n">
        <v>24.8741935483871</v>
      </c>
      <c r="J102" s="1275" t="n">
        <v>26.1241935483871</v>
      </c>
      <c r="K102" s="1275" t="n">
        <v>29.1241935483871</v>
      </c>
      <c r="M102" s="1276" t="n">
        <v>39417</v>
      </c>
      <c r="N102" s="1277" t="n">
        <v>28.3898343322297</v>
      </c>
      <c r="O102" s="1277" t="n">
        <v>31.3898343322297</v>
      </c>
      <c r="P102" s="1277" t="n">
        <v>36.3898343322297</v>
      </c>
      <c r="Q102" s="109"/>
      <c r="R102" s="1277" t="n">
        <v>20.5423757491723</v>
      </c>
      <c r="S102" s="1277" t="n">
        <v>23.5423757491723</v>
      </c>
      <c r="T102" s="1277" t="n">
        <v>28.5423757491723</v>
      </c>
      <c r="V102" s="1278" t="n">
        <v>0</v>
      </c>
      <c r="W102" s="1278" t="n">
        <v>0</v>
      </c>
      <c r="X102" s="1278" t="n">
        <v>0</v>
      </c>
      <c r="Y102" s="1288"/>
      <c r="Z102" s="1277" t="n">
        <v>0.135</v>
      </c>
      <c r="AA102" s="1277" t="n">
        <v>0.145</v>
      </c>
      <c r="AB102" s="1277" t="n">
        <v>0.155</v>
      </c>
      <c r="AC102" s="109"/>
      <c r="AD102" s="1277" t="n">
        <v>0.09</v>
      </c>
      <c r="AE102" s="1277" t="n">
        <v>0.11</v>
      </c>
      <c r="AF102" s="1277" t="n">
        <v>0.13</v>
      </c>
      <c r="AG102" s="109"/>
      <c r="AH102" s="1277" t="n">
        <v>-0.25</v>
      </c>
      <c r="AI102" s="1277" t="n">
        <v>0.6</v>
      </c>
      <c r="AJ102" s="1277" t="n">
        <v>0.25</v>
      </c>
      <c r="AK102" s="109"/>
      <c r="AL102" s="1277" t="n">
        <v>-0.01</v>
      </c>
      <c r="AM102" s="1277" t="n">
        <v>0.16</v>
      </c>
      <c r="AN102" s="1277" t="n">
        <v>0.01</v>
      </c>
      <c r="AO102" s="109"/>
      <c r="AP102" s="197" t="n">
        <v>31</v>
      </c>
      <c r="AQ102" s="1280" t="n">
        <v>0.35</v>
      </c>
      <c r="AR102" s="1288"/>
      <c r="AS102" s="1288"/>
      <c r="AT102" s="1288"/>
      <c r="AU102" s="1288"/>
      <c r="AV102" s="1288"/>
      <c r="AW102" s="1288"/>
      <c r="AX102" s="1288"/>
      <c r="AY102" s="1288"/>
      <c r="AZ102" s="1288"/>
      <c r="BA102" s="1288"/>
      <c r="BB102" s="1288"/>
      <c r="BC102" s="1288"/>
      <c r="BD102" s="1288"/>
      <c r="BE102" s="1288"/>
      <c r="BF102" s="1288"/>
      <c r="BG102" s="1288"/>
      <c r="BH102" s="1288"/>
      <c r="BI102" s="1288"/>
      <c r="BJ102" s="1288"/>
      <c r="BK102" s="1288"/>
      <c r="BL102" s="1288"/>
      <c r="BM102" s="1288"/>
      <c r="BN102" s="1288"/>
      <c r="BO102" s="1288"/>
      <c r="BP102" s="1288"/>
      <c r="BQ102" s="1237" t="n">
        <v>39569</v>
      </c>
      <c r="BR102" s="1238" t="n">
        <v>2.946</v>
      </c>
      <c r="BS102" s="1238" t="n">
        <v>2.951</v>
      </c>
      <c r="BT102" s="1238" t="n">
        <v>2.956</v>
      </c>
      <c r="BU102" s="1239" t="n">
        <v>0.15</v>
      </c>
      <c r="BV102" s="1239" t="n">
        <v>0.1575</v>
      </c>
      <c r="BW102" s="1239" t="n">
        <v>0.165</v>
      </c>
      <c r="BX102" s="1239" t="n">
        <v>-0.07</v>
      </c>
      <c r="BY102" s="1239"/>
      <c r="BZ102" s="1239" t="n">
        <v>0.07</v>
      </c>
      <c r="CA102" s="1243" t="n">
        <v>0</v>
      </c>
      <c r="CB102" s="1241" t="n">
        <v>0</v>
      </c>
      <c r="CC102" s="1242" t="n">
        <v>2.719</v>
      </c>
      <c r="CD102" s="1239" t="n">
        <v>0.1675</v>
      </c>
    </row>
    <row r="103" customFormat="false" ht="12.75" hidden="false" customHeight="false" outlineLevel="0" collapsed="false">
      <c r="A103" s="1237" t="n">
        <v>39692</v>
      </c>
      <c r="B103" s="1239" t="n">
        <v>0.072461768013185</v>
      </c>
      <c r="C103" s="1290"/>
      <c r="D103" s="1274" t="n">
        <v>38565</v>
      </c>
      <c r="E103" s="1275" t="n">
        <v>80.1966207105738</v>
      </c>
      <c r="F103" s="1275" t="n">
        <v>82.1966207105738</v>
      </c>
      <c r="G103" s="1275" t="n">
        <v>86.6966207105738</v>
      </c>
      <c r="H103" s="1266"/>
      <c r="I103" s="1275" t="n">
        <v>22.8741935483871</v>
      </c>
      <c r="J103" s="1275" t="n">
        <v>24.1241935483871</v>
      </c>
      <c r="K103" s="1275" t="n">
        <v>27.1241935483871</v>
      </c>
      <c r="M103" s="1276" t="n">
        <v>39448</v>
      </c>
      <c r="N103" s="1277" t="n">
        <v>26.8141704115083</v>
      </c>
      <c r="O103" s="1277" t="n">
        <v>30.0641704115083</v>
      </c>
      <c r="P103" s="1277" t="n">
        <v>35.0641704115083</v>
      </c>
      <c r="Q103" s="109"/>
      <c r="R103" s="1277" t="n">
        <v>19.2981278086313</v>
      </c>
      <c r="S103" s="1277" t="n">
        <v>22.5481278086313</v>
      </c>
      <c r="T103" s="1277" t="n">
        <v>27.5481278086313</v>
      </c>
      <c r="V103" s="1278" t="n">
        <v>0</v>
      </c>
      <c r="W103" s="1278" t="n">
        <v>0</v>
      </c>
      <c r="X103" s="1278" t="n">
        <v>0</v>
      </c>
      <c r="Y103" s="1288"/>
      <c r="Z103" s="1277" t="n">
        <v>0.13</v>
      </c>
      <c r="AA103" s="1277" t="n">
        <v>0.14</v>
      </c>
      <c r="AB103" s="1277" t="n">
        <v>0.15</v>
      </c>
      <c r="AC103" s="109"/>
      <c r="AD103" s="1277" t="n">
        <v>0.09</v>
      </c>
      <c r="AE103" s="1277" t="n">
        <v>0.11</v>
      </c>
      <c r="AF103" s="1277" t="n">
        <v>0.13</v>
      </c>
      <c r="AG103" s="109"/>
      <c r="AH103" s="1277" t="n">
        <v>-0.25</v>
      </c>
      <c r="AI103" s="1277" t="n">
        <v>0.65</v>
      </c>
      <c r="AJ103" s="1277" t="n">
        <v>0.25</v>
      </c>
      <c r="AK103" s="109"/>
      <c r="AL103" s="1277" t="n">
        <v>-0.01</v>
      </c>
      <c r="AM103" s="1277" t="n">
        <v>0.16</v>
      </c>
      <c r="AN103" s="1277" t="n">
        <v>0.01</v>
      </c>
      <c r="AO103" s="109"/>
      <c r="AP103" s="197" t="n">
        <v>32</v>
      </c>
      <c r="AQ103" s="1280" t="n">
        <v>0.35</v>
      </c>
      <c r="AR103" s="1288"/>
      <c r="AS103" s="1288"/>
      <c r="AT103" s="1288"/>
      <c r="AU103" s="1288"/>
      <c r="AV103" s="1288"/>
      <c r="AW103" s="1288"/>
      <c r="AX103" s="1288"/>
      <c r="AY103" s="1288"/>
      <c r="AZ103" s="1288"/>
      <c r="BA103" s="1288"/>
      <c r="BB103" s="1288"/>
      <c r="BC103" s="1288"/>
      <c r="BD103" s="1288"/>
      <c r="BE103" s="1288"/>
      <c r="BF103" s="1288"/>
      <c r="BG103" s="1288"/>
      <c r="BH103" s="1288"/>
      <c r="BI103" s="1288"/>
      <c r="BJ103" s="1288"/>
      <c r="BK103" s="1288"/>
      <c r="BL103" s="1288"/>
      <c r="BM103" s="1288"/>
      <c r="BN103" s="1288"/>
      <c r="BO103" s="1288"/>
      <c r="BP103" s="1288"/>
      <c r="BQ103" s="1237" t="n">
        <v>39600</v>
      </c>
      <c r="BR103" s="1238" t="n">
        <v>2.958</v>
      </c>
      <c r="BS103" s="1238" t="n">
        <v>2.963</v>
      </c>
      <c r="BT103" s="1238" t="n">
        <v>2.968</v>
      </c>
      <c r="BU103" s="1239" t="n">
        <v>0.15</v>
      </c>
      <c r="BV103" s="1239" t="n">
        <v>0.1575</v>
      </c>
      <c r="BW103" s="1239" t="n">
        <v>0.165</v>
      </c>
      <c r="BX103" s="1239" t="n">
        <v>-0.07</v>
      </c>
      <c r="BY103" s="1239"/>
      <c r="BZ103" s="1239" t="n">
        <v>0.07</v>
      </c>
      <c r="CA103" s="1243" t="n">
        <v>0</v>
      </c>
      <c r="CB103" s="1241" t="n">
        <v>0</v>
      </c>
      <c r="CC103" s="1242" t="n">
        <v>2.86</v>
      </c>
      <c r="CD103" s="1239" t="n">
        <v>0.1675</v>
      </c>
    </row>
    <row r="104" customFormat="false" ht="12.75" hidden="false" customHeight="false" outlineLevel="0" collapsed="false">
      <c r="A104" s="1237" t="n">
        <v>39722</v>
      </c>
      <c r="B104" s="1239" t="n">
        <v>0.072479405486813</v>
      </c>
      <c r="C104" s="1290"/>
      <c r="D104" s="1274" t="n">
        <v>38596</v>
      </c>
      <c r="E104" s="1275" t="n">
        <v>64.1966207105738</v>
      </c>
      <c r="F104" s="1275" t="n">
        <v>66.1966207105738</v>
      </c>
      <c r="G104" s="1275" t="n">
        <v>70.6966207105738</v>
      </c>
      <c r="H104" s="1266"/>
      <c r="I104" s="1275" t="n">
        <v>23.2875</v>
      </c>
      <c r="J104" s="1275" t="n">
        <v>24.5375</v>
      </c>
      <c r="K104" s="1275" t="n">
        <v>27.5375</v>
      </c>
      <c r="M104" s="1276" t="n">
        <v>39479</v>
      </c>
      <c r="N104" s="1277" t="n">
        <v>26.3141704115083</v>
      </c>
      <c r="O104" s="1277" t="n">
        <v>29.5641704115083</v>
      </c>
      <c r="P104" s="1277" t="n">
        <v>34.5641704115083</v>
      </c>
      <c r="Q104" s="109"/>
      <c r="R104" s="1277" t="n">
        <v>18.9231278086313</v>
      </c>
      <c r="S104" s="1277" t="n">
        <v>22.1731278086313</v>
      </c>
      <c r="T104" s="1277" t="n">
        <v>27.1731278086313</v>
      </c>
      <c r="V104" s="1278" t="n">
        <v>0</v>
      </c>
      <c r="W104" s="1278" t="n">
        <v>0</v>
      </c>
      <c r="X104" s="1278" t="n">
        <v>0</v>
      </c>
      <c r="Y104" s="1288"/>
      <c r="Z104" s="1277" t="n">
        <v>0.13</v>
      </c>
      <c r="AA104" s="1277" t="n">
        <v>0.14</v>
      </c>
      <c r="AB104" s="1277" t="n">
        <v>0.15</v>
      </c>
      <c r="AC104" s="109"/>
      <c r="AD104" s="1277" t="n">
        <v>0.09</v>
      </c>
      <c r="AE104" s="1277" t="n">
        <v>0.11</v>
      </c>
      <c r="AF104" s="1277" t="n">
        <v>0.13</v>
      </c>
      <c r="AG104" s="109"/>
      <c r="AH104" s="1277" t="n">
        <v>-0.25</v>
      </c>
      <c r="AI104" s="1277" t="n">
        <v>0.65</v>
      </c>
      <c r="AJ104" s="1277" t="n">
        <v>0.25</v>
      </c>
      <c r="AK104" s="109"/>
      <c r="AL104" s="1277" t="n">
        <v>-0.01</v>
      </c>
      <c r="AM104" s="1277" t="n">
        <v>0.16</v>
      </c>
      <c r="AN104" s="1277" t="n">
        <v>0.01</v>
      </c>
      <c r="AO104" s="109"/>
      <c r="AP104" s="197" t="n">
        <v>32</v>
      </c>
      <c r="AQ104" s="1280" t="n">
        <v>0.35</v>
      </c>
      <c r="AR104" s="1288"/>
      <c r="AS104" s="1288"/>
      <c r="AT104" s="1288"/>
      <c r="AU104" s="1288"/>
      <c r="AV104" s="1288"/>
      <c r="AW104" s="1288"/>
      <c r="AX104" s="1288"/>
      <c r="AY104" s="1288"/>
      <c r="AZ104" s="1288"/>
      <c r="BA104" s="1288"/>
      <c r="BB104" s="1288"/>
      <c r="BC104" s="1288"/>
      <c r="BD104" s="1288"/>
      <c r="BE104" s="1288"/>
      <c r="BF104" s="1288"/>
      <c r="BG104" s="1288"/>
      <c r="BH104" s="1288"/>
      <c r="BI104" s="1288"/>
      <c r="BJ104" s="1288"/>
      <c r="BK104" s="1288"/>
      <c r="BL104" s="1288"/>
      <c r="BM104" s="1288"/>
      <c r="BN104" s="1288"/>
      <c r="BO104" s="1288"/>
      <c r="BP104" s="1288"/>
      <c r="BQ104" s="1237" t="n">
        <v>39630</v>
      </c>
      <c r="BR104" s="1238" t="n">
        <v>2.966</v>
      </c>
      <c r="BS104" s="1238" t="n">
        <v>2.971</v>
      </c>
      <c r="BT104" s="1238" t="n">
        <v>2.976</v>
      </c>
      <c r="BU104" s="1239" t="n">
        <v>0.15</v>
      </c>
      <c r="BV104" s="1239" t="n">
        <v>0.1575</v>
      </c>
      <c r="BW104" s="1239" t="n">
        <v>0.165</v>
      </c>
      <c r="BX104" s="1239" t="n">
        <v>-0.07</v>
      </c>
      <c r="BY104" s="1239"/>
      <c r="BZ104" s="1239" t="n">
        <v>0.07</v>
      </c>
      <c r="CA104" s="1243" t="n">
        <v>0</v>
      </c>
      <c r="CB104" s="1241" t="n">
        <v>0</v>
      </c>
      <c r="CC104" s="1242" t="n">
        <v>3.005</v>
      </c>
      <c r="CD104" s="1239" t="n">
        <v>0.1675</v>
      </c>
    </row>
    <row r="105" customFormat="false" ht="12.75" hidden="false" customHeight="false" outlineLevel="0" collapsed="false">
      <c r="A105" s="1237" t="n">
        <v>39753</v>
      </c>
      <c r="B105" s="1239" t="n">
        <v>0.072497630876335</v>
      </c>
      <c r="C105" s="1290"/>
      <c r="D105" s="1274" t="n">
        <v>38626</v>
      </c>
      <c r="E105" s="1275" t="n">
        <v>35.5601762356803</v>
      </c>
      <c r="F105" s="1275" t="n">
        <v>37.5601762356803</v>
      </c>
      <c r="G105" s="1275" t="n">
        <v>42.0601762356803</v>
      </c>
      <c r="H105" s="1266"/>
      <c r="I105" s="1275" t="n">
        <v>22.8016129032258</v>
      </c>
      <c r="J105" s="1275" t="n">
        <v>24.0516129032258</v>
      </c>
      <c r="K105" s="1275" t="n">
        <v>27.0516129032258</v>
      </c>
      <c r="M105" s="1276" t="n">
        <v>39508</v>
      </c>
      <c r="N105" s="1277" t="n">
        <v>25.5641704115083</v>
      </c>
      <c r="O105" s="1277" t="n">
        <v>28.8141704115083</v>
      </c>
      <c r="P105" s="1277" t="n">
        <v>33.8141704115083</v>
      </c>
      <c r="Q105" s="109"/>
      <c r="R105" s="1277" t="n">
        <v>18.3606278086313</v>
      </c>
      <c r="S105" s="1277" t="n">
        <v>21.6106278086313</v>
      </c>
      <c r="T105" s="1277" t="n">
        <v>26.6106278086313</v>
      </c>
      <c r="V105" s="1278" t="n">
        <v>0</v>
      </c>
      <c r="W105" s="1278" t="n">
        <v>0</v>
      </c>
      <c r="X105" s="1278" t="n">
        <v>0</v>
      </c>
      <c r="Y105" s="1288"/>
      <c r="Z105" s="1277" t="n">
        <v>0.13</v>
      </c>
      <c r="AA105" s="1277" t="n">
        <v>0.14</v>
      </c>
      <c r="AB105" s="1277" t="n">
        <v>0.15</v>
      </c>
      <c r="AC105" s="109"/>
      <c r="AD105" s="1277" t="n">
        <v>0.09</v>
      </c>
      <c r="AE105" s="1277" t="n">
        <v>0.11</v>
      </c>
      <c r="AF105" s="1277" t="n">
        <v>0.13</v>
      </c>
      <c r="AG105" s="109"/>
      <c r="AH105" s="1277" t="n">
        <v>-0.1</v>
      </c>
      <c r="AI105" s="1277" t="n">
        <v>0.65</v>
      </c>
      <c r="AJ105" s="1277" t="n">
        <v>0.1</v>
      </c>
      <c r="AK105" s="109"/>
      <c r="AL105" s="1277" t="n">
        <v>-0.01</v>
      </c>
      <c r="AM105" s="1277" t="n">
        <v>0.16</v>
      </c>
      <c r="AN105" s="1277" t="n">
        <v>0.01</v>
      </c>
      <c r="AO105" s="109"/>
      <c r="AP105" s="197" t="n">
        <v>32</v>
      </c>
      <c r="AQ105" s="1280" t="n">
        <v>0.35</v>
      </c>
      <c r="AR105" s="1288"/>
      <c r="AS105" s="1288"/>
      <c r="AT105" s="1288"/>
      <c r="AU105" s="1288"/>
      <c r="AV105" s="1288"/>
      <c r="AW105" s="1288"/>
      <c r="AX105" s="1288"/>
      <c r="AY105" s="1288"/>
      <c r="AZ105" s="1288"/>
      <c r="BA105" s="1288"/>
      <c r="BB105" s="1288"/>
      <c r="BC105" s="1288"/>
      <c r="BD105" s="1288"/>
      <c r="BE105" s="1288"/>
      <c r="BF105" s="1288"/>
      <c r="BG105" s="1288"/>
      <c r="BH105" s="1288"/>
      <c r="BI105" s="1288"/>
      <c r="BJ105" s="1288"/>
      <c r="BK105" s="1288"/>
      <c r="BL105" s="1288"/>
      <c r="BM105" s="1288"/>
      <c r="BN105" s="1288"/>
      <c r="BO105" s="1288"/>
      <c r="BP105" s="1288"/>
      <c r="BQ105" s="1237" t="n">
        <v>39661</v>
      </c>
      <c r="BR105" s="1238" t="n">
        <v>2.975</v>
      </c>
      <c r="BS105" s="1238" t="n">
        <v>2.98</v>
      </c>
      <c r="BT105" s="1238" t="n">
        <v>2.985</v>
      </c>
      <c r="BU105" s="1239" t="n">
        <v>0.15</v>
      </c>
      <c r="BV105" s="1239" t="n">
        <v>0.1575</v>
      </c>
      <c r="BW105" s="1239" t="n">
        <v>0.165</v>
      </c>
      <c r="BX105" s="1239" t="n">
        <v>-0.07</v>
      </c>
      <c r="BY105" s="1239"/>
      <c r="BZ105" s="1239" t="n">
        <v>0.07</v>
      </c>
      <c r="CA105" s="1243" t="n">
        <v>0</v>
      </c>
      <c r="CB105" s="1241" t="n">
        <v>0</v>
      </c>
      <c r="CC105" s="1242" t="n">
        <v>3.089</v>
      </c>
      <c r="CD105" s="1239" t="n">
        <v>0.1665</v>
      </c>
    </row>
    <row r="106" customFormat="false" ht="12.75" hidden="false" customHeight="false" outlineLevel="0" collapsed="false">
      <c r="A106" s="1237" t="n">
        <v>39783</v>
      </c>
      <c r="B106" s="1239" t="n">
        <v>0.072515268350172</v>
      </c>
      <c r="C106" s="1290"/>
      <c r="D106" s="1274" t="n">
        <v>38657</v>
      </c>
      <c r="E106" s="1275" t="n">
        <v>27.8101762356803</v>
      </c>
      <c r="F106" s="1275" t="n">
        <v>29.8101762356803</v>
      </c>
      <c r="G106" s="1275" t="n">
        <v>34.3101762356803</v>
      </c>
      <c r="H106" s="1266"/>
      <c r="I106" s="1275" t="n">
        <v>24.1416666666667</v>
      </c>
      <c r="J106" s="1275" t="n">
        <v>25.3916666666667</v>
      </c>
      <c r="K106" s="1275" t="n">
        <v>28.3916666666667</v>
      </c>
      <c r="M106" s="1276" t="n">
        <v>39539</v>
      </c>
      <c r="N106" s="1277" t="n">
        <v>25.3997356067288</v>
      </c>
      <c r="O106" s="1277" t="n">
        <v>28.6497356067288</v>
      </c>
      <c r="P106" s="1277" t="n">
        <v>33.6497356067288</v>
      </c>
      <c r="Q106" s="109"/>
      <c r="R106" s="1277" t="n">
        <v>18.2373017050466</v>
      </c>
      <c r="S106" s="1277" t="n">
        <v>21.4873017050466</v>
      </c>
      <c r="T106" s="1277" t="n">
        <v>26.4873017050466</v>
      </c>
      <c r="V106" s="1278" t="n">
        <v>0</v>
      </c>
      <c r="W106" s="1278" t="n">
        <v>0</v>
      </c>
      <c r="X106" s="1278" t="n">
        <v>0</v>
      </c>
      <c r="Y106" s="1288"/>
      <c r="Z106" s="1277" t="n">
        <v>0.13</v>
      </c>
      <c r="AA106" s="1277" t="n">
        <v>0.14</v>
      </c>
      <c r="AB106" s="1277" t="n">
        <v>0.15</v>
      </c>
      <c r="AC106" s="109"/>
      <c r="AD106" s="1277" t="n">
        <v>0.09</v>
      </c>
      <c r="AE106" s="1277" t="n">
        <v>0.11</v>
      </c>
      <c r="AF106" s="1277" t="n">
        <v>0.13</v>
      </c>
      <c r="AG106" s="109"/>
      <c r="AH106" s="1277" t="n">
        <v>-0.1</v>
      </c>
      <c r="AI106" s="1277" t="n">
        <v>0.65</v>
      </c>
      <c r="AJ106" s="1277" t="n">
        <v>0.1</v>
      </c>
      <c r="AK106" s="109"/>
      <c r="AL106" s="1277" t="n">
        <v>-0.01</v>
      </c>
      <c r="AM106" s="1277" t="n">
        <v>0.16</v>
      </c>
      <c r="AN106" s="1277" t="n">
        <v>0.01</v>
      </c>
      <c r="AO106" s="109"/>
      <c r="AP106" s="197" t="n">
        <v>33</v>
      </c>
      <c r="AQ106" s="1280" t="n">
        <v>0.35</v>
      </c>
      <c r="AR106" s="1288"/>
      <c r="AS106" s="1288"/>
      <c r="AT106" s="1288"/>
      <c r="AU106" s="1288"/>
      <c r="AV106" s="1288"/>
      <c r="AW106" s="1288"/>
      <c r="AX106" s="1288"/>
      <c r="AY106" s="1288"/>
      <c r="AZ106" s="1288"/>
      <c r="BA106" s="1288"/>
      <c r="BB106" s="1288"/>
      <c r="BC106" s="1288"/>
      <c r="BD106" s="1288"/>
      <c r="BE106" s="1288"/>
      <c r="BF106" s="1288"/>
      <c r="BG106" s="1288"/>
      <c r="BH106" s="1288"/>
      <c r="BI106" s="1288"/>
      <c r="BJ106" s="1288"/>
      <c r="BK106" s="1288"/>
      <c r="BL106" s="1288"/>
      <c r="BM106" s="1288"/>
      <c r="BN106" s="1288"/>
      <c r="BO106" s="1288"/>
      <c r="BP106" s="1288"/>
      <c r="BQ106" s="1237" t="n">
        <v>39692</v>
      </c>
      <c r="BR106" s="1238" t="n">
        <v>2.977</v>
      </c>
      <c r="BS106" s="1238" t="n">
        <v>2.982</v>
      </c>
      <c r="BT106" s="1238" t="n">
        <v>2.987</v>
      </c>
      <c r="BU106" s="1239" t="n">
        <v>0.15</v>
      </c>
      <c r="BV106" s="1239" t="n">
        <v>0.1575</v>
      </c>
      <c r="BW106" s="1239" t="n">
        <v>0.165</v>
      </c>
      <c r="BX106" s="1239" t="n">
        <v>-0.07</v>
      </c>
      <c r="BY106" s="1239"/>
      <c r="BZ106" s="1239" t="n">
        <v>0.07</v>
      </c>
      <c r="CA106" s="1243" t="n">
        <v>0</v>
      </c>
      <c r="CB106" s="1241" t="n">
        <v>0</v>
      </c>
      <c r="CC106" s="1242" t="n">
        <v>2.964</v>
      </c>
      <c r="CD106" s="1239" t="n">
        <v>0.1665</v>
      </c>
    </row>
    <row r="107" customFormat="false" ht="12.75" hidden="false" customHeight="false" outlineLevel="0" collapsed="false">
      <c r="A107" s="1237" t="n">
        <v>39814</v>
      </c>
      <c r="B107" s="1239" t="n">
        <v>0.072533493739911</v>
      </c>
      <c r="C107" s="1290"/>
      <c r="D107" s="1274" t="n">
        <v>38687</v>
      </c>
      <c r="E107" s="1275" t="n">
        <v>29.8101762356803</v>
      </c>
      <c r="F107" s="1275" t="n">
        <v>31.8101762356803</v>
      </c>
      <c r="G107" s="1275" t="n">
        <v>36.3101762356803</v>
      </c>
      <c r="H107" s="1266"/>
      <c r="I107" s="1275" t="n">
        <v>23.4467741935484</v>
      </c>
      <c r="J107" s="1275" t="n">
        <v>24.6967741935484</v>
      </c>
      <c r="K107" s="1275" t="n">
        <v>27.6967741935484</v>
      </c>
      <c r="M107" s="1276" t="n">
        <v>39569</v>
      </c>
      <c r="N107" s="1277" t="n">
        <v>25.3997356067288</v>
      </c>
      <c r="O107" s="1277" t="n">
        <v>28.6497356067288</v>
      </c>
      <c r="P107" s="1277" t="n">
        <v>33.6497356067288</v>
      </c>
      <c r="Q107" s="109"/>
      <c r="R107" s="1277" t="n">
        <v>18.2373017050466</v>
      </c>
      <c r="S107" s="1277" t="n">
        <v>21.4873017050466</v>
      </c>
      <c r="T107" s="1277" t="n">
        <v>26.4873017050466</v>
      </c>
      <c r="V107" s="1278" t="n">
        <v>0</v>
      </c>
      <c r="W107" s="1278" t="n">
        <v>0</v>
      </c>
      <c r="X107" s="1278" t="n">
        <v>0</v>
      </c>
      <c r="Y107" s="1288"/>
      <c r="Z107" s="1277" t="n">
        <v>0.13</v>
      </c>
      <c r="AA107" s="1277" t="n">
        <v>0.14</v>
      </c>
      <c r="AB107" s="1277" t="n">
        <v>0.15</v>
      </c>
      <c r="AC107" s="109"/>
      <c r="AD107" s="1277" t="n">
        <v>0.09</v>
      </c>
      <c r="AE107" s="1277" t="n">
        <v>0.11</v>
      </c>
      <c r="AF107" s="1277" t="n">
        <v>0.13</v>
      </c>
      <c r="AG107" s="109"/>
      <c r="AH107" s="1277" t="n">
        <v>-0.1</v>
      </c>
      <c r="AI107" s="1277" t="n">
        <v>0.65</v>
      </c>
      <c r="AJ107" s="1277" t="n">
        <v>0.1</v>
      </c>
      <c r="AK107" s="109"/>
      <c r="AL107" s="1277" t="n">
        <v>-0.01</v>
      </c>
      <c r="AM107" s="1277" t="n">
        <v>0.16</v>
      </c>
      <c r="AN107" s="1277" t="n">
        <v>0.01</v>
      </c>
      <c r="AO107" s="109"/>
      <c r="AP107" s="197" t="n">
        <v>33</v>
      </c>
      <c r="AQ107" s="1280" t="n">
        <v>0.35</v>
      </c>
      <c r="AR107" s="1288"/>
      <c r="AS107" s="1288"/>
      <c r="AT107" s="1288"/>
      <c r="AU107" s="1288"/>
      <c r="AV107" s="1288"/>
      <c r="AW107" s="1288"/>
      <c r="AX107" s="1288"/>
      <c r="AY107" s="1288"/>
      <c r="AZ107" s="1288"/>
      <c r="BA107" s="1288"/>
      <c r="BB107" s="1288"/>
      <c r="BC107" s="1288"/>
      <c r="BD107" s="1288"/>
      <c r="BE107" s="1288"/>
      <c r="BF107" s="1288"/>
      <c r="BG107" s="1288"/>
      <c r="BH107" s="1288"/>
      <c r="BI107" s="1288"/>
      <c r="BJ107" s="1288"/>
      <c r="BK107" s="1288"/>
      <c r="BL107" s="1288"/>
      <c r="BM107" s="1288"/>
      <c r="BN107" s="1288"/>
      <c r="BO107" s="1288"/>
      <c r="BP107" s="1288"/>
      <c r="BQ107" s="1237" t="n">
        <v>39722</v>
      </c>
      <c r="BR107" s="1238" t="n">
        <v>2.999</v>
      </c>
      <c r="BS107" s="1238" t="n">
        <v>3.004</v>
      </c>
      <c r="BT107" s="1238" t="n">
        <v>3.009</v>
      </c>
      <c r="BU107" s="1239" t="n">
        <v>0.15</v>
      </c>
      <c r="BV107" s="1239" t="n">
        <v>0.1575</v>
      </c>
      <c r="BW107" s="1239" t="n">
        <v>0.165</v>
      </c>
      <c r="BX107" s="1239" t="n">
        <v>-0.07</v>
      </c>
      <c r="BY107" s="1239"/>
      <c r="BZ107" s="1239" t="n">
        <v>0.07</v>
      </c>
      <c r="CA107" s="1243" t="n">
        <v>0</v>
      </c>
      <c r="CB107" s="1241" t="n">
        <v>0</v>
      </c>
      <c r="CC107" s="1242" t="n">
        <v>2.857</v>
      </c>
      <c r="CD107" s="1239" t="n">
        <v>0.1665</v>
      </c>
    </row>
    <row r="108" customFormat="false" ht="12.75" hidden="false" customHeight="false" outlineLevel="0" collapsed="false">
      <c r="A108" s="1237" t="n">
        <v>39845</v>
      </c>
      <c r="B108" s="1239" t="n">
        <v>0.072551719129759</v>
      </c>
      <c r="C108" s="1290"/>
      <c r="D108" s="1274" t="n">
        <v>38718</v>
      </c>
      <c r="E108" s="1275" t="n">
        <v>27.4131717037178</v>
      </c>
      <c r="F108" s="1275" t="n">
        <v>30.4131717037178</v>
      </c>
      <c r="G108" s="1275" t="n">
        <v>34.9131717037178</v>
      </c>
      <c r="H108" s="1266"/>
      <c r="I108" s="1275" t="n">
        <v>21.1881191510522</v>
      </c>
      <c r="J108" s="1275" t="n">
        <v>22.4381191510522</v>
      </c>
      <c r="K108" s="1275" t="n">
        <v>25.4381191510522</v>
      </c>
      <c r="M108" s="1276" t="n">
        <v>39600</v>
      </c>
      <c r="N108" s="1277" t="n">
        <v>30.6497356067288</v>
      </c>
      <c r="O108" s="1277" t="n">
        <v>33.8997356067288</v>
      </c>
      <c r="P108" s="1277" t="n">
        <v>38.8997356067288</v>
      </c>
      <c r="Q108" s="109"/>
      <c r="R108" s="1277" t="n">
        <v>22.1748017050466</v>
      </c>
      <c r="S108" s="1277" t="n">
        <v>25.4248017050466</v>
      </c>
      <c r="T108" s="1277" t="n">
        <v>30.4248017050466</v>
      </c>
      <c r="V108" s="1278" t="n">
        <v>0</v>
      </c>
      <c r="W108" s="1278" t="n">
        <v>0</v>
      </c>
      <c r="X108" s="1278" t="n">
        <v>0</v>
      </c>
      <c r="Y108" s="1288"/>
      <c r="Z108" s="1277" t="n">
        <v>0.13</v>
      </c>
      <c r="AA108" s="1277" t="n">
        <v>0.14</v>
      </c>
      <c r="AB108" s="1277" t="n">
        <v>0.15</v>
      </c>
      <c r="AC108" s="109"/>
      <c r="AD108" s="1277" t="n">
        <v>0.09</v>
      </c>
      <c r="AE108" s="1277" t="n">
        <v>0.11</v>
      </c>
      <c r="AF108" s="1277" t="n">
        <v>0.13</v>
      </c>
      <c r="AG108" s="109"/>
      <c r="AH108" s="1277" t="n">
        <v>-0.35</v>
      </c>
      <c r="AI108" s="1277" t="n">
        <v>0.65</v>
      </c>
      <c r="AJ108" s="1277" t="n">
        <v>0.2</v>
      </c>
      <c r="AK108" s="109"/>
      <c r="AL108" s="1277" t="n">
        <v>-0.01</v>
      </c>
      <c r="AM108" s="1277" t="n">
        <v>0.16</v>
      </c>
      <c r="AN108" s="1277" t="n">
        <v>0.01</v>
      </c>
      <c r="AO108" s="109"/>
      <c r="AP108" s="197" t="n">
        <v>33</v>
      </c>
      <c r="AQ108" s="1280" t="n">
        <v>0.35</v>
      </c>
      <c r="AR108" s="1288"/>
      <c r="AS108" s="1288"/>
      <c r="AT108" s="1288"/>
      <c r="AU108" s="1288"/>
      <c r="AV108" s="1288"/>
      <c r="AW108" s="1288"/>
      <c r="AX108" s="1288"/>
      <c r="AY108" s="1288"/>
      <c r="AZ108" s="1288"/>
      <c r="BA108" s="1288"/>
      <c r="BB108" s="1288"/>
      <c r="BC108" s="1288"/>
      <c r="BD108" s="1288"/>
      <c r="BE108" s="1288"/>
      <c r="BF108" s="1288"/>
      <c r="BG108" s="1288"/>
      <c r="BH108" s="1288"/>
      <c r="BI108" s="1288"/>
      <c r="BJ108" s="1288"/>
      <c r="BK108" s="1288"/>
      <c r="BL108" s="1288"/>
      <c r="BM108" s="1288"/>
      <c r="BN108" s="1288"/>
      <c r="BO108" s="1288"/>
      <c r="BP108" s="1288"/>
      <c r="BQ108" s="1237" t="n">
        <v>39753</v>
      </c>
      <c r="BR108" s="1238" t="n">
        <v>3.107</v>
      </c>
      <c r="BS108" s="1238" t="n">
        <v>3.112</v>
      </c>
      <c r="BT108" s="1238" t="n">
        <v>3.117</v>
      </c>
      <c r="BU108" s="1239" t="n">
        <v>0.15</v>
      </c>
      <c r="BV108" s="1239" t="n">
        <v>0.1575</v>
      </c>
      <c r="BW108" s="1239" t="n">
        <v>0.165</v>
      </c>
      <c r="BX108" s="1239" t="n">
        <v>-0.07</v>
      </c>
      <c r="BY108" s="1239"/>
      <c r="BZ108" s="1239" t="n">
        <v>0.07</v>
      </c>
      <c r="CA108" s="1243" t="n">
        <v>0</v>
      </c>
      <c r="CB108" s="1241" t="n">
        <v>0</v>
      </c>
      <c r="CC108" s="1242" t="n">
        <v>2.754</v>
      </c>
      <c r="CD108" s="1239" t="n">
        <v>0.1665</v>
      </c>
    </row>
    <row r="109" customFormat="false" ht="12.75" hidden="false" customHeight="false" outlineLevel="0" collapsed="false">
      <c r="A109" s="1237" t="n">
        <v>39873</v>
      </c>
      <c r="B109" s="1239" t="n">
        <v>0.072568180772297</v>
      </c>
      <c r="C109" s="1290"/>
      <c r="D109" s="1274" t="n">
        <v>38749</v>
      </c>
      <c r="E109" s="1275" t="n">
        <v>26.9131717037178</v>
      </c>
      <c r="F109" s="1275" t="n">
        <v>29.9131717037178</v>
      </c>
      <c r="G109" s="1275" t="n">
        <v>34.4131717037178</v>
      </c>
      <c r="H109" s="1266"/>
      <c r="I109" s="1275" t="n">
        <v>22.1571428571429</v>
      </c>
      <c r="J109" s="1275" t="n">
        <v>23.4071428571429</v>
      </c>
      <c r="K109" s="1275" t="n">
        <v>26.4071428571429</v>
      </c>
      <c r="M109" s="1276" t="n">
        <v>39630</v>
      </c>
      <c r="N109" s="1277" t="n">
        <v>56.9861868247667</v>
      </c>
      <c r="O109" s="1277" t="n">
        <v>60.2361868247667</v>
      </c>
      <c r="P109" s="1277" t="n">
        <v>65.2361868247667</v>
      </c>
      <c r="Q109" s="109"/>
      <c r="R109" s="1277" t="n">
        <v>41.927140118575</v>
      </c>
      <c r="S109" s="1277" t="n">
        <v>45.177140118575</v>
      </c>
      <c r="T109" s="1277" t="n">
        <v>50.177140118575</v>
      </c>
      <c r="V109" s="1278" t="n">
        <v>0</v>
      </c>
      <c r="W109" s="1278" t="n">
        <v>0</v>
      </c>
      <c r="X109" s="1278" t="n">
        <v>0</v>
      </c>
      <c r="Y109" s="1288"/>
      <c r="Z109" s="1277" t="n">
        <v>0.13</v>
      </c>
      <c r="AA109" s="1277" t="n">
        <v>0.14</v>
      </c>
      <c r="AB109" s="1277" t="n">
        <v>0.15</v>
      </c>
      <c r="AC109" s="109"/>
      <c r="AD109" s="1277" t="n">
        <v>0.09</v>
      </c>
      <c r="AE109" s="1277" t="n">
        <v>0.11</v>
      </c>
      <c r="AF109" s="1277" t="n">
        <v>0.13</v>
      </c>
      <c r="AG109" s="109"/>
      <c r="AH109" s="1277" t="n">
        <v>-0.35</v>
      </c>
      <c r="AI109" s="1277" t="n">
        <v>3</v>
      </c>
      <c r="AJ109" s="1277" t="n">
        <v>0.35</v>
      </c>
      <c r="AK109" s="109"/>
      <c r="AL109" s="1277" t="n">
        <v>-0.01</v>
      </c>
      <c r="AM109" s="1277" t="n">
        <v>0.16</v>
      </c>
      <c r="AN109" s="1277" t="n">
        <v>0.01</v>
      </c>
      <c r="AO109" s="109"/>
      <c r="AP109" s="197" t="n">
        <v>34</v>
      </c>
      <c r="AQ109" s="1280" t="n">
        <v>0.35</v>
      </c>
      <c r="AR109" s="1288"/>
      <c r="AS109" s="1288"/>
      <c r="AT109" s="1288"/>
      <c r="AU109" s="1288"/>
      <c r="AV109" s="1288"/>
      <c r="AW109" s="1288"/>
      <c r="AX109" s="1288"/>
      <c r="AY109" s="1288"/>
      <c r="AZ109" s="1288"/>
      <c r="BA109" s="1288"/>
      <c r="BB109" s="1288"/>
      <c r="BC109" s="1288"/>
      <c r="BD109" s="1288"/>
      <c r="BE109" s="1288"/>
      <c r="BF109" s="1288"/>
      <c r="BG109" s="1288"/>
      <c r="BH109" s="1288"/>
      <c r="BI109" s="1288"/>
      <c r="BJ109" s="1288"/>
      <c r="BK109" s="1288"/>
      <c r="BL109" s="1288"/>
      <c r="BM109" s="1288"/>
      <c r="BN109" s="1288"/>
      <c r="BO109" s="1288"/>
      <c r="BP109" s="1288"/>
      <c r="BQ109" s="1237" t="n">
        <v>39783</v>
      </c>
      <c r="BR109" s="1238" t="n">
        <v>3.215</v>
      </c>
      <c r="BS109" s="1238" t="n">
        <v>3.22</v>
      </c>
      <c r="BT109" s="1238" t="n">
        <v>3.225</v>
      </c>
      <c r="BU109" s="1239" t="n">
        <v>0.15</v>
      </c>
      <c r="BV109" s="1239" t="n">
        <v>0.1575</v>
      </c>
      <c r="BW109" s="1239" t="n">
        <v>0.165</v>
      </c>
      <c r="BX109" s="1239" t="n">
        <v>-0.07</v>
      </c>
      <c r="BY109" s="1239"/>
      <c r="BZ109" s="1239" t="n">
        <v>0.07</v>
      </c>
      <c r="CA109" s="1243" t="n">
        <v>0</v>
      </c>
      <c r="CB109" s="1241" t="n">
        <v>0</v>
      </c>
      <c r="CC109" s="1242" t="n">
        <v>2.73</v>
      </c>
      <c r="CD109" s="1239" t="n">
        <v>0.1665</v>
      </c>
    </row>
    <row r="110" customFormat="false" ht="12.75" hidden="false" customHeight="false" outlineLevel="0" collapsed="false">
      <c r="A110" s="1237" t="n">
        <v>39904</v>
      </c>
      <c r="B110" s="1239" t="n">
        <v>0.072586406162355</v>
      </c>
      <c r="C110" s="1290"/>
      <c r="D110" s="1274" t="n">
        <v>38777</v>
      </c>
      <c r="E110" s="1275" t="n">
        <v>26.6631717037178</v>
      </c>
      <c r="F110" s="1275" t="n">
        <v>29.6631717037178</v>
      </c>
      <c r="G110" s="1275" t="n">
        <v>34.1631717037178</v>
      </c>
      <c r="H110" s="1266"/>
      <c r="I110" s="1275" t="n">
        <v>22.4370967741936</v>
      </c>
      <c r="J110" s="1275" t="n">
        <v>23.6870967741936</v>
      </c>
      <c r="K110" s="1275" t="n">
        <v>26.6870967741936</v>
      </c>
      <c r="M110" s="1276" t="n">
        <v>39661</v>
      </c>
      <c r="N110" s="1277" t="n">
        <v>77.6111868247667</v>
      </c>
      <c r="O110" s="1277" t="n">
        <v>80.8611868247667</v>
      </c>
      <c r="P110" s="1277" t="n">
        <v>85.8611868247667</v>
      </c>
      <c r="Q110" s="109"/>
      <c r="R110" s="1277" t="n">
        <v>57.395890118575</v>
      </c>
      <c r="S110" s="1277" t="n">
        <v>60.645890118575</v>
      </c>
      <c r="T110" s="1277" t="n">
        <v>65.645890118575</v>
      </c>
      <c r="V110" s="1278" t="n">
        <v>0</v>
      </c>
      <c r="W110" s="1278" t="n">
        <v>0</v>
      </c>
      <c r="X110" s="1278" t="n">
        <v>0</v>
      </c>
      <c r="Y110" s="1288"/>
      <c r="Z110" s="1277" t="n">
        <v>0.13</v>
      </c>
      <c r="AA110" s="1277" t="n">
        <v>0.14</v>
      </c>
      <c r="AB110" s="1277" t="n">
        <v>0.15</v>
      </c>
      <c r="AC110" s="109"/>
      <c r="AD110" s="1277" t="n">
        <v>0.09</v>
      </c>
      <c r="AE110" s="1277" t="n">
        <v>0.11</v>
      </c>
      <c r="AF110" s="1277" t="n">
        <v>0.13</v>
      </c>
      <c r="AG110" s="109"/>
      <c r="AH110" s="1277" t="n">
        <v>-0.35</v>
      </c>
      <c r="AI110" s="1277" t="n">
        <v>3</v>
      </c>
      <c r="AJ110" s="1277" t="n">
        <v>0.35</v>
      </c>
      <c r="AK110" s="109"/>
      <c r="AL110" s="1277" t="n">
        <v>-0.01</v>
      </c>
      <c r="AM110" s="1277" t="n">
        <v>0.16</v>
      </c>
      <c r="AN110" s="1277" t="n">
        <v>0.01</v>
      </c>
      <c r="AO110" s="109"/>
      <c r="AP110" s="197" t="n">
        <v>34</v>
      </c>
      <c r="AQ110" s="1280" t="n">
        <v>0.35</v>
      </c>
      <c r="AR110" s="1288"/>
      <c r="AS110" s="1288"/>
      <c r="AT110" s="1288"/>
      <c r="AU110" s="1288"/>
      <c r="AV110" s="1288"/>
      <c r="AW110" s="1288"/>
      <c r="AX110" s="1288"/>
      <c r="AY110" s="1288"/>
      <c r="AZ110" s="1288"/>
      <c r="BA110" s="1288"/>
      <c r="BB110" s="1288"/>
      <c r="BC110" s="1288"/>
      <c r="BD110" s="1288"/>
      <c r="BE110" s="1288"/>
      <c r="BF110" s="1288"/>
      <c r="BG110" s="1288"/>
      <c r="BH110" s="1288"/>
      <c r="BI110" s="1288"/>
      <c r="BJ110" s="1288"/>
      <c r="BK110" s="1288"/>
      <c r="BL110" s="1288"/>
      <c r="BM110" s="1288"/>
      <c r="BN110" s="1288"/>
      <c r="BO110" s="1288"/>
      <c r="BP110" s="1288"/>
      <c r="BQ110" s="1237" t="n">
        <v>39814</v>
      </c>
      <c r="BR110" s="1238" t="n">
        <v>3.2645</v>
      </c>
      <c r="BS110" s="1238" t="n">
        <v>3.2695</v>
      </c>
      <c r="BT110" s="1238" t="n">
        <v>3.2745</v>
      </c>
      <c r="BU110" s="1239" t="n">
        <v>0.15</v>
      </c>
      <c r="BV110" s="1239" t="n">
        <v>0.1575</v>
      </c>
      <c r="BW110" s="1239" t="n">
        <v>0.165</v>
      </c>
      <c r="BX110" s="1239" t="n">
        <v>-0.07</v>
      </c>
      <c r="BY110" s="1239"/>
      <c r="BZ110" s="1239" t="n">
        <v>0.07</v>
      </c>
      <c r="CA110" s="1243" t="n">
        <v>0</v>
      </c>
      <c r="CB110" s="1241" t="n">
        <v>0</v>
      </c>
      <c r="CC110" s="1242" t="n">
        <v>2.737</v>
      </c>
      <c r="CD110" s="1239" t="n">
        <v>0.1665</v>
      </c>
    </row>
    <row r="111" customFormat="false" ht="12.75" hidden="false" customHeight="false" outlineLevel="0" collapsed="false">
      <c r="A111" s="1237" t="n">
        <v>39934</v>
      </c>
      <c r="B111" s="1239" t="n">
        <v>0.072604043636708</v>
      </c>
      <c r="C111" s="1290"/>
      <c r="D111" s="1274" t="n">
        <v>38808</v>
      </c>
      <c r="E111" s="1275" t="n">
        <v>26.7481944951172</v>
      </c>
      <c r="F111" s="1275" t="n">
        <v>29.7481944951172</v>
      </c>
      <c r="G111" s="1275" t="n">
        <v>34.2481944951172</v>
      </c>
      <c r="H111" s="1266"/>
      <c r="I111" s="1275" t="n">
        <v>20.2375</v>
      </c>
      <c r="J111" s="1275" t="n">
        <v>21.4875</v>
      </c>
      <c r="K111" s="1275" t="n">
        <v>24.4875</v>
      </c>
      <c r="M111" s="1276" t="n">
        <v>39692</v>
      </c>
      <c r="N111" s="1277" t="n">
        <v>61.6111868247667</v>
      </c>
      <c r="O111" s="1277" t="n">
        <v>64.8611868247667</v>
      </c>
      <c r="P111" s="1277" t="n">
        <v>69.8611868247667</v>
      </c>
      <c r="Q111" s="109"/>
      <c r="R111" s="1277" t="n">
        <v>45.395890118575</v>
      </c>
      <c r="S111" s="1277" t="n">
        <v>48.645890118575</v>
      </c>
      <c r="T111" s="1277" t="n">
        <v>53.645890118575</v>
      </c>
      <c r="V111" s="1278" t="n">
        <v>0</v>
      </c>
      <c r="W111" s="1278" t="n">
        <v>0</v>
      </c>
      <c r="X111" s="1278" t="n">
        <v>0</v>
      </c>
      <c r="Y111" s="1288"/>
      <c r="Z111" s="1277" t="n">
        <v>0.13</v>
      </c>
      <c r="AA111" s="1277" t="n">
        <v>0.14</v>
      </c>
      <c r="AB111" s="1277" t="n">
        <v>0.15</v>
      </c>
      <c r="AC111" s="109"/>
      <c r="AD111" s="1277" t="n">
        <v>0.09</v>
      </c>
      <c r="AE111" s="1277" t="n">
        <v>0.11</v>
      </c>
      <c r="AF111" s="1277" t="n">
        <v>0.13</v>
      </c>
      <c r="AG111" s="109"/>
      <c r="AH111" s="1277" t="n">
        <v>-0.35</v>
      </c>
      <c r="AI111" s="1277" t="n">
        <v>3</v>
      </c>
      <c r="AJ111" s="1277" t="n">
        <v>0.2</v>
      </c>
      <c r="AK111" s="109"/>
      <c r="AL111" s="1277" t="n">
        <v>-0.01</v>
      </c>
      <c r="AM111" s="1277" t="n">
        <v>0.16</v>
      </c>
      <c r="AN111" s="1277" t="n">
        <v>0.01</v>
      </c>
      <c r="AO111" s="109"/>
      <c r="AP111" s="197" t="n">
        <v>34</v>
      </c>
      <c r="AQ111" s="1280" t="n">
        <v>0.35</v>
      </c>
      <c r="AR111" s="1288"/>
      <c r="AS111" s="1288"/>
      <c r="AT111" s="1288"/>
      <c r="AU111" s="1288"/>
      <c r="AV111" s="1288"/>
      <c r="AW111" s="1288"/>
      <c r="AX111" s="1288"/>
      <c r="AY111" s="1288"/>
      <c r="AZ111" s="1288"/>
      <c r="BA111" s="1288"/>
      <c r="BB111" s="1288"/>
      <c r="BC111" s="1288"/>
      <c r="BD111" s="1288"/>
      <c r="BE111" s="1288"/>
      <c r="BF111" s="1288"/>
      <c r="BG111" s="1288"/>
      <c r="BH111" s="1288"/>
      <c r="BI111" s="1288"/>
      <c r="BJ111" s="1288"/>
      <c r="BK111" s="1288"/>
      <c r="BL111" s="1288"/>
      <c r="BM111" s="1288"/>
      <c r="BN111" s="1288"/>
      <c r="BO111" s="1288"/>
      <c r="BP111" s="1288"/>
      <c r="BQ111" s="1237" t="n">
        <v>39845</v>
      </c>
      <c r="BR111" s="1238" t="n">
        <v>3.1755</v>
      </c>
      <c r="BS111" s="1238" t="n">
        <v>3.1805</v>
      </c>
      <c r="BT111" s="1238" t="n">
        <v>3.1855</v>
      </c>
      <c r="BU111" s="1239" t="n">
        <v>0.15</v>
      </c>
      <c r="BV111" s="1239" t="n">
        <v>0.1575</v>
      </c>
      <c r="BW111" s="1239" t="n">
        <v>0.165</v>
      </c>
      <c r="BX111" s="1239" t="n">
        <v>-0.07</v>
      </c>
      <c r="BY111" s="1239"/>
      <c r="BZ111" s="1239" t="n">
        <v>0.07</v>
      </c>
      <c r="CA111" s="1243" t="n">
        <v>0</v>
      </c>
      <c r="CB111" s="1241" t="n">
        <v>0</v>
      </c>
      <c r="CC111" s="1242" t="n">
        <v>2.743</v>
      </c>
      <c r="CD111" s="1239" t="n">
        <v>0.1665</v>
      </c>
    </row>
    <row r="112" customFormat="false" ht="12.75" hidden="false" customHeight="false" outlineLevel="0" collapsed="false">
      <c r="A112" s="1237" t="n">
        <v>39965</v>
      </c>
      <c r="B112" s="1239" t="n">
        <v>0.072622269026981</v>
      </c>
      <c r="C112" s="1290"/>
      <c r="D112" s="1274" t="n">
        <v>38838</v>
      </c>
      <c r="E112" s="1275" t="n">
        <v>25.9981944951172</v>
      </c>
      <c r="F112" s="1275" t="n">
        <v>28.9981944951172</v>
      </c>
      <c r="G112" s="1275" t="n">
        <v>33.4981944951172</v>
      </c>
      <c r="H112" s="1266"/>
      <c r="I112" s="1275" t="n">
        <v>20.2959677419355</v>
      </c>
      <c r="J112" s="1275" t="n">
        <v>21.5459677419355</v>
      </c>
      <c r="K112" s="1275" t="n">
        <v>24.5459677419355</v>
      </c>
      <c r="M112" s="1276" t="n">
        <v>39722</v>
      </c>
      <c r="N112" s="1277" t="n">
        <v>33.7497203644129</v>
      </c>
      <c r="O112" s="1277" t="n">
        <v>36.9997203644129</v>
      </c>
      <c r="P112" s="1277" t="n">
        <v>41.9997203644129</v>
      </c>
      <c r="Q112" s="109"/>
      <c r="R112" s="1277" t="n">
        <v>24.4997902733097</v>
      </c>
      <c r="S112" s="1277" t="n">
        <v>27.7497902733097</v>
      </c>
      <c r="T112" s="1277" t="n">
        <v>32.7497902733097</v>
      </c>
      <c r="V112" s="1278" t="n">
        <v>0</v>
      </c>
      <c r="W112" s="1278" t="n">
        <v>0</v>
      </c>
      <c r="X112" s="1278" t="n">
        <v>0</v>
      </c>
      <c r="Y112" s="1288"/>
      <c r="Z112" s="1277" t="n">
        <v>0.13</v>
      </c>
      <c r="AA112" s="1277" t="n">
        <v>0.14</v>
      </c>
      <c r="AB112" s="1277" t="n">
        <v>0.15</v>
      </c>
      <c r="AC112" s="109"/>
      <c r="AD112" s="1277" t="n">
        <v>0.09</v>
      </c>
      <c r="AE112" s="1277" t="n">
        <v>0.11</v>
      </c>
      <c r="AF112" s="1277" t="n">
        <v>0.13</v>
      </c>
      <c r="AG112" s="109"/>
      <c r="AH112" s="1277" t="n">
        <v>-0.1</v>
      </c>
      <c r="AI112" s="1277" t="n">
        <v>0.6</v>
      </c>
      <c r="AJ112" s="1277" t="n">
        <v>0.1</v>
      </c>
      <c r="AK112" s="109"/>
      <c r="AL112" s="1277" t="n">
        <v>-0.01</v>
      </c>
      <c r="AM112" s="1277" t="n">
        <v>0.16</v>
      </c>
      <c r="AN112" s="1277" t="n">
        <v>0.01</v>
      </c>
      <c r="AO112" s="109"/>
      <c r="AP112" s="197" t="n">
        <v>35</v>
      </c>
      <c r="AQ112" s="1280" t="n">
        <v>0.35</v>
      </c>
      <c r="AR112" s="1288"/>
      <c r="AS112" s="1288"/>
      <c r="AT112" s="1288"/>
      <c r="AU112" s="1288"/>
      <c r="AV112" s="1288"/>
      <c r="AW112" s="1288"/>
      <c r="AX112" s="1288"/>
      <c r="AY112" s="1288"/>
      <c r="AZ112" s="1288"/>
      <c r="BA112" s="1288"/>
      <c r="BB112" s="1288"/>
      <c r="BC112" s="1288"/>
      <c r="BD112" s="1288"/>
      <c r="BE112" s="1288"/>
      <c r="BF112" s="1288"/>
      <c r="BG112" s="1288"/>
      <c r="BH112" s="1288"/>
      <c r="BI112" s="1288"/>
      <c r="BJ112" s="1288"/>
      <c r="BK112" s="1288"/>
      <c r="BL112" s="1288"/>
      <c r="BM112" s="1288"/>
      <c r="BN112" s="1288"/>
      <c r="BO112" s="1288"/>
      <c r="BP112" s="1288"/>
      <c r="BQ112" s="1237" t="n">
        <v>39873</v>
      </c>
      <c r="BR112" s="1238" t="n">
        <v>3.0785</v>
      </c>
      <c r="BS112" s="1238" t="n">
        <v>3.0835</v>
      </c>
      <c r="BT112" s="1238" t="n">
        <v>3.0885</v>
      </c>
      <c r="BU112" s="1239" t="n">
        <v>0.15</v>
      </c>
      <c r="BV112" s="1239" t="n">
        <v>0.1575</v>
      </c>
      <c r="BW112" s="1239" t="n">
        <v>0.165</v>
      </c>
      <c r="BX112" s="1239" t="n">
        <v>-0.07</v>
      </c>
      <c r="BY112" s="1239"/>
      <c r="BZ112" s="1239" t="n">
        <v>0.07</v>
      </c>
      <c r="CA112" s="1243" t="n">
        <v>0</v>
      </c>
      <c r="CB112" s="1241" t="n">
        <v>0</v>
      </c>
      <c r="CC112" s="1242" t="n">
        <v>2.748</v>
      </c>
      <c r="CD112" s="1239" t="n">
        <v>0.1665</v>
      </c>
    </row>
    <row r="113" customFormat="false" ht="12.75" hidden="false" customHeight="false" outlineLevel="0" collapsed="false">
      <c r="A113" s="1237" t="n">
        <v>39995</v>
      </c>
      <c r="B113" s="1239" t="n">
        <v>0.072639906501544</v>
      </c>
      <c r="C113" s="1290"/>
      <c r="D113" s="1274" t="n">
        <v>38869</v>
      </c>
      <c r="E113" s="1275" t="n">
        <v>31.2481944951172</v>
      </c>
      <c r="F113" s="1275" t="n">
        <v>34.2481944951172</v>
      </c>
      <c r="G113" s="1275" t="n">
        <v>38.7481944951172</v>
      </c>
      <c r="H113" s="1266"/>
      <c r="I113" s="1275" t="n">
        <v>19.55</v>
      </c>
      <c r="J113" s="1275" t="n">
        <v>20.8</v>
      </c>
      <c r="K113" s="1275" t="n">
        <v>23.8</v>
      </c>
      <c r="M113" s="1276" t="n">
        <v>39753</v>
      </c>
      <c r="N113" s="1277" t="n">
        <v>25.9997203644129</v>
      </c>
      <c r="O113" s="1277" t="n">
        <v>29.2497203644129</v>
      </c>
      <c r="P113" s="1277" t="n">
        <v>34.2497203644129</v>
      </c>
      <c r="Q113" s="109"/>
      <c r="R113" s="1277" t="n">
        <v>18.6872902733097</v>
      </c>
      <c r="S113" s="1277" t="n">
        <v>21.9372902733097</v>
      </c>
      <c r="T113" s="1277" t="n">
        <v>26.9372902733097</v>
      </c>
      <c r="V113" s="1278" t="n">
        <v>0</v>
      </c>
      <c r="W113" s="1278" t="n">
        <v>0</v>
      </c>
      <c r="X113" s="1278" t="n">
        <v>0</v>
      </c>
      <c r="Y113" s="1288"/>
      <c r="Z113" s="1277" t="n">
        <v>0.13</v>
      </c>
      <c r="AA113" s="1277" t="n">
        <v>0.14</v>
      </c>
      <c r="AB113" s="1277" t="n">
        <v>0.15</v>
      </c>
      <c r="AC113" s="109"/>
      <c r="AD113" s="1277" t="n">
        <v>0.09</v>
      </c>
      <c r="AE113" s="1277" t="n">
        <v>0.11</v>
      </c>
      <c r="AF113" s="1277" t="n">
        <v>0.13</v>
      </c>
      <c r="AG113" s="109"/>
      <c r="AH113" s="1277" t="n">
        <v>-0.1</v>
      </c>
      <c r="AI113" s="1277" t="n">
        <v>0.6</v>
      </c>
      <c r="AJ113" s="1277" t="n">
        <v>0.1</v>
      </c>
      <c r="AK113" s="109"/>
      <c r="AL113" s="1277" t="n">
        <v>-0.01</v>
      </c>
      <c r="AM113" s="1277" t="n">
        <v>0.16</v>
      </c>
      <c r="AN113" s="1277" t="n">
        <v>0.01</v>
      </c>
      <c r="AO113" s="109"/>
      <c r="AP113" s="197" t="n">
        <v>35</v>
      </c>
      <c r="AQ113" s="1280" t="n">
        <v>0.35</v>
      </c>
      <c r="AR113" s="1288"/>
      <c r="AS113" s="1288"/>
      <c r="AT113" s="1288"/>
      <c r="AU113" s="1288"/>
      <c r="AV113" s="1288"/>
      <c r="AW113" s="1288"/>
      <c r="AX113" s="1288"/>
      <c r="AY113" s="1288"/>
      <c r="AZ113" s="1288"/>
      <c r="BA113" s="1288"/>
      <c r="BB113" s="1288"/>
      <c r="BC113" s="1288"/>
      <c r="BD113" s="1288"/>
      <c r="BE113" s="1288"/>
      <c r="BF113" s="1288"/>
      <c r="BG113" s="1288"/>
      <c r="BH113" s="1288"/>
      <c r="BI113" s="1288"/>
      <c r="BJ113" s="1288"/>
      <c r="BK113" s="1288"/>
      <c r="BL113" s="1288"/>
      <c r="BM113" s="1288"/>
      <c r="BN113" s="1288"/>
      <c r="BO113" s="1288"/>
      <c r="BP113" s="1288"/>
      <c r="BQ113" s="1237" t="n">
        <v>39904</v>
      </c>
      <c r="BR113" s="1238" t="n">
        <v>2.9965</v>
      </c>
      <c r="BS113" s="1238" t="n">
        <v>3.0015</v>
      </c>
      <c r="BT113" s="1238" t="n">
        <v>3.0065</v>
      </c>
      <c r="BU113" s="1239" t="n">
        <v>0.15</v>
      </c>
      <c r="BV113" s="1239" t="n">
        <v>0.1575</v>
      </c>
      <c r="BW113" s="1239" t="n">
        <v>0.165</v>
      </c>
      <c r="BX113" s="1239" t="n">
        <v>-0.07</v>
      </c>
      <c r="BY113" s="1239"/>
      <c r="BZ113" s="1239" t="n">
        <v>0.07</v>
      </c>
      <c r="CA113" s="1243" t="n">
        <v>0</v>
      </c>
      <c r="CB113" s="1241" t="n">
        <v>0</v>
      </c>
      <c r="CC113" s="1242" t="n">
        <v>2.751</v>
      </c>
      <c r="CD113" s="1239" t="n">
        <v>0.1665</v>
      </c>
    </row>
    <row r="114" customFormat="false" ht="12.75" hidden="false" customHeight="false" outlineLevel="0" collapsed="false">
      <c r="A114" s="1237" t="n">
        <v>40026</v>
      </c>
      <c r="B114" s="1239" t="n">
        <v>0.072658131892033</v>
      </c>
      <c r="C114" s="1290"/>
      <c r="D114" s="1274" t="n">
        <v>38899</v>
      </c>
      <c r="E114" s="1275" t="n">
        <v>57.9910481364264</v>
      </c>
      <c r="F114" s="1275" t="n">
        <v>60.9910481364264</v>
      </c>
      <c r="G114" s="1275" t="n">
        <v>65.4910481364264</v>
      </c>
      <c r="H114" s="1266"/>
      <c r="I114" s="1275" t="n">
        <v>25.5741935483871</v>
      </c>
      <c r="J114" s="1275" t="n">
        <v>26.8241935483871</v>
      </c>
      <c r="K114" s="1275" t="n">
        <v>29.8241935483871</v>
      </c>
      <c r="M114" s="1276" t="n">
        <v>39783</v>
      </c>
      <c r="N114" s="1277" t="n">
        <v>27.9997203644129</v>
      </c>
      <c r="O114" s="1277" t="n">
        <v>31.2497203644129</v>
      </c>
      <c r="P114" s="1277" t="n">
        <v>36.2497203644129</v>
      </c>
      <c r="Q114" s="109"/>
      <c r="R114" s="1277" t="n">
        <v>20.1872902733097</v>
      </c>
      <c r="S114" s="1277" t="n">
        <v>23.4372902733097</v>
      </c>
      <c r="T114" s="1277" t="n">
        <v>28.4372902733097</v>
      </c>
      <c r="V114" s="1278" t="n">
        <v>0</v>
      </c>
      <c r="W114" s="1278" t="n">
        <v>0</v>
      </c>
      <c r="X114" s="1278" t="n">
        <v>0</v>
      </c>
      <c r="Y114" s="1288"/>
      <c r="Z114" s="1277" t="n">
        <v>0.13</v>
      </c>
      <c r="AA114" s="1277" t="n">
        <v>0.14</v>
      </c>
      <c r="AB114" s="1277" t="n">
        <v>0.15</v>
      </c>
      <c r="AC114" s="109"/>
      <c r="AD114" s="1277" t="n">
        <v>0.09</v>
      </c>
      <c r="AE114" s="1277" t="n">
        <v>0.11</v>
      </c>
      <c r="AF114" s="1277" t="n">
        <v>0.13</v>
      </c>
      <c r="AG114" s="109"/>
      <c r="AH114" s="1277" t="n">
        <v>-0.25</v>
      </c>
      <c r="AI114" s="1277" t="n">
        <v>0.6</v>
      </c>
      <c r="AJ114" s="1277" t="n">
        <v>0.25</v>
      </c>
      <c r="AK114" s="109"/>
      <c r="AL114" s="1277" t="n">
        <v>-0.01</v>
      </c>
      <c r="AM114" s="1277" t="n">
        <v>0.16</v>
      </c>
      <c r="AN114" s="1277" t="n">
        <v>0.01</v>
      </c>
      <c r="AO114" s="109"/>
      <c r="AP114" s="197" t="n">
        <v>35</v>
      </c>
      <c r="AQ114" s="1280" t="n">
        <v>0.35</v>
      </c>
      <c r="AR114" s="1288"/>
      <c r="AS114" s="1288"/>
      <c r="AT114" s="1288"/>
      <c r="AU114" s="1288"/>
      <c r="AV114" s="1288"/>
      <c r="AW114" s="1288"/>
      <c r="AX114" s="1288"/>
      <c r="AY114" s="1288"/>
      <c r="AZ114" s="1288"/>
      <c r="BA114" s="1288"/>
      <c r="BB114" s="1288"/>
      <c r="BC114" s="1288"/>
      <c r="BD114" s="1288"/>
      <c r="BE114" s="1288"/>
      <c r="BF114" s="1288"/>
      <c r="BG114" s="1288"/>
      <c r="BH114" s="1288"/>
      <c r="BI114" s="1288"/>
      <c r="BJ114" s="1288"/>
      <c r="BK114" s="1288"/>
      <c r="BL114" s="1288"/>
      <c r="BM114" s="1288"/>
      <c r="BN114" s="1288"/>
      <c r="BO114" s="1288"/>
      <c r="BP114" s="1288"/>
      <c r="BQ114" s="1237" t="n">
        <v>39934</v>
      </c>
      <c r="BR114" s="1238" t="n">
        <v>3.0165</v>
      </c>
      <c r="BS114" s="1238" t="n">
        <v>3.0215</v>
      </c>
      <c r="BT114" s="1238" t="n">
        <v>3.0265</v>
      </c>
      <c r="BU114" s="1239" t="n">
        <v>0.15</v>
      </c>
      <c r="BV114" s="1239" t="n">
        <v>0.1575</v>
      </c>
      <c r="BW114" s="1239" t="n">
        <v>0.165</v>
      </c>
      <c r="BX114" s="1239" t="n">
        <v>-0.07</v>
      </c>
      <c r="BY114" s="1239"/>
      <c r="BZ114" s="1239" t="n">
        <v>0.07</v>
      </c>
      <c r="CA114" s="1243" t="n">
        <v>0</v>
      </c>
      <c r="CB114" s="1241" t="n">
        <v>0</v>
      </c>
      <c r="CC114" s="1242" t="n">
        <v>2.784</v>
      </c>
      <c r="CD114" s="1239" t="n">
        <v>0.1665</v>
      </c>
    </row>
    <row r="115" customFormat="false" ht="12.75" hidden="false" customHeight="false" outlineLevel="0" collapsed="false">
      <c r="A115" s="1237" t="n">
        <v>40057</v>
      </c>
      <c r="B115" s="1239" t="n">
        <v>0.072676357282631</v>
      </c>
      <c r="C115" s="1290"/>
      <c r="D115" s="1274" t="n">
        <v>38930</v>
      </c>
      <c r="E115" s="1275" t="n">
        <v>78.6160481364264</v>
      </c>
      <c r="F115" s="1275" t="n">
        <v>81.6160481364264</v>
      </c>
      <c r="G115" s="1275" t="n">
        <v>86.1160481364264</v>
      </c>
      <c r="H115" s="1266"/>
      <c r="I115" s="1275" t="n">
        <v>23.5741935483871</v>
      </c>
      <c r="J115" s="1275" t="n">
        <v>24.8241935483871</v>
      </c>
      <c r="K115" s="1275" t="n">
        <v>27.8241935483871</v>
      </c>
      <c r="M115" s="1276" t="n">
        <v>39814</v>
      </c>
      <c r="N115" s="1277" t="n">
        <v>26.6817571765863</v>
      </c>
      <c r="O115" s="1277" t="n">
        <v>29.9317571765863</v>
      </c>
      <c r="P115" s="1277" t="n">
        <v>34.9317571765863</v>
      </c>
      <c r="Q115" s="109"/>
      <c r="R115" s="1277" t="n">
        <v>19.1988178824397</v>
      </c>
      <c r="S115" s="1277" t="n">
        <v>22.4488178824397</v>
      </c>
      <c r="T115" s="1277" t="n">
        <v>27.4488178824397</v>
      </c>
      <c r="V115" s="1278" t="n">
        <v>0</v>
      </c>
      <c r="W115" s="1278" t="n">
        <v>0</v>
      </c>
      <c r="X115" s="1278" t="n">
        <v>0</v>
      </c>
      <c r="Y115" s="1288"/>
      <c r="Z115" s="1277" t="n">
        <v>0.125</v>
      </c>
      <c r="AA115" s="1277" t="n">
        <v>0.135</v>
      </c>
      <c r="AB115" s="1277" t="n">
        <v>0.145</v>
      </c>
      <c r="AC115" s="109"/>
      <c r="AD115" s="1277" t="n">
        <v>0.09</v>
      </c>
      <c r="AE115" s="1277" t="n">
        <v>0.11</v>
      </c>
      <c r="AF115" s="1277" t="n">
        <v>0.13</v>
      </c>
      <c r="AG115" s="109"/>
      <c r="AH115" s="1277" t="n">
        <v>-0.25</v>
      </c>
      <c r="AI115" s="1277" t="n">
        <v>0.65</v>
      </c>
      <c r="AJ115" s="1277" t="n">
        <v>0.25</v>
      </c>
      <c r="AK115" s="109"/>
      <c r="AL115" s="1277" t="n">
        <v>-0.01</v>
      </c>
      <c r="AM115" s="1277" t="n">
        <v>0.16</v>
      </c>
      <c r="AN115" s="1277" t="n">
        <v>0.01</v>
      </c>
      <c r="AO115" s="109"/>
      <c r="AP115" s="197" t="n">
        <v>36</v>
      </c>
      <c r="AQ115" s="1280" t="n">
        <v>0.35</v>
      </c>
      <c r="AR115" s="1288"/>
      <c r="AS115" s="1288"/>
      <c r="AT115" s="1288"/>
      <c r="AU115" s="1288"/>
      <c r="AV115" s="1288"/>
      <c r="AW115" s="1288"/>
      <c r="AX115" s="1288"/>
      <c r="AY115" s="1288"/>
      <c r="AZ115" s="1288"/>
      <c r="BA115" s="1288"/>
      <c r="BB115" s="1288"/>
      <c r="BC115" s="1288"/>
      <c r="BD115" s="1288"/>
      <c r="BE115" s="1288"/>
      <c r="BF115" s="1288"/>
      <c r="BG115" s="1288"/>
      <c r="BH115" s="1288"/>
      <c r="BI115" s="1288"/>
      <c r="BJ115" s="1288"/>
      <c r="BK115" s="1288"/>
      <c r="BL115" s="1288"/>
      <c r="BM115" s="1288"/>
      <c r="BN115" s="1288"/>
      <c r="BO115" s="1288"/>
      <c r="BP115" s="1288"/>
      <c r="BQ115" s="1237" t="n">
        <v>39965</v>
      </c>
      <c r="BR115" s="1238" t="n">
        <v>3.0295</v>
      </c>
      <c r="BS115" s="1238" t="n">
        <v>3.0345</v>
      </c>
      <c r="BT115" s="1238" t="n">
        <v>3.0395</v>
      </c>
      <c r="BU115" s="1239" t="n">
        <v>0.15</v>
      </c>
      <c r="BV115" s="1239" t="n">
        <v>0.1575</v>
      </c>
      <c r="BW115" s="1239" t="n">
        <v>0.165</v>
      </c>
      <c r="BX115" s="1239" t="n">
        <v>-0.07</v>
      </c>
      <c r="BY115" s="1239"/>
      <c r="BZ115" s="1239" t="n">
        <v>0.07</v>
      </c>
      <c r="CA115" s="1243" t="n">
        <v>0</v>
      </c>
      <c r="CB115" s="1241" t="n">
        <v>0</v>
      </c>
      <c r="CC115" s="1242" t="n">
        <v>2.925</v>
      </c>
      <c r="CD115" s="1239" t="n">
        <v>0.1665</v>
      </c>
    </row>
    <row r="116" customFormat="false" ht="12.75" hidden="false" customHeight="false" outlineLevel="0" collapsed="false">
      <c r="A116" s="1237" t="n">
        <v>40087</v>
      </c>
      <c r="B116" s="1239" t="n">
        <v>0.072693994757509</v>
      </c>
      <c r="C116" s="1290"/>
      <c r="D116" s="1274" t="n">
        <v>38961</v>
      </c>
      <c r="E116" s="1275" t="n">
        <v>62.6160481364264</v>
      </c>
      <c r="F116" s="1275" t="n">
        <v>65.6160481364264</v>
      </c>
      <c r="G116" s="1275" t="n">
        <v>70.1160481364264</v>
      </c>
      <c r="H116" s="1266"/>
      <c r="I116" s="1275" t="n">
        <v>23.9875</v>
      </c>
      <c r="J116" s="1275" t="n">
        <v>25.2375</v>
      </c>
      <c r="K116" s="1275" t="n">
        <v>28.2375</v>
      </c>
      <c r="M116" s="1276" t="n">
        <v>39845</v>
      </c>
      <c r="N116" s="1277" t="n">
        <v>26.1817571765863</v>
      </c>
      <c r="O116" s="1277" t="n">
        <v>29.4317571765863</v>
      </c>
      <c r="P116" s="1277" t="n">
        <v>34.4317571765863</v>
      </c>
      <c r="Q116" s="109"/>
      <c r="R116" s="1277" t="n">
        <v>18.8238178824397</v>
      </c>
      <c r="S116" s="1277" t="n">
        <v>22.0738178824397</v>
      </c>
      <c r="T116" s="1277" t="n">
        <v>27.0738178824397</v>
      </c>
      <c r="V116" s="1278" t="n">
        <v>0</v>
      </c>
      <c r="W116" s="1278" t="n">
        <v>0</v>
      </c>
      <c r="X116" s="1278" t="n">
        <v>0</v>
      </c>
      <c r="Y116" s="1288"/>
      <c r="Z116" s="1277" t="n">
        <v>0.125</v>
      </c>
      <c r="AA116" s="1277" t="n">
        <v>0.135</v>
      </c>
      <c r="AB116" s="1277" t="n">
        <v>0.145</v>
      </c>
      <c r="AC116" s="109"/>
      <c r="AD116" s="1277" t="n">
        <v>0.09</v>
      </c>
      <c r="AE116" s="1277" t="n">
        <v>0.11</v>
      </c>
      <c r="AF116" s="1277" t="n">
        <v>0.13</v>
      </c>
      <c r="AG116" s="109"/>
      <c r="AH116" s="1277" t="n">
        <v>-0.25</v>
      </c>
      <c r="AI116" s="1277" t="n">
        <v>0.65</v>
      </c>
      <c r="AJ116" s="1277" t="n">
        <v>0.25</v>
      </c>
      <c r="AK116" s="109"/>
      <c r="AL116" s="1277" t="n">
        <v>-0.01</v>
      </c>
      <c r="AM116" s="1277" t="n">
        <v>0.16</v>
      </c>
      <c r="AN116" s="1277" t="n">
        <v>0.01</v>
      </c>
      <c r="AO116" s="109"/>
      <c r="AP116" s="197" t="n">
        <v>36</v>
      </c>
      <c r="AQ116" s="1280" t="n">
        <v>0.35</v>
      </c>
      <c r="AR116" s="1288"/>
      <c r="AS116" s="1288"/>
      <c r="AT116" s="1288"/>
      <c r="AU116" s="1288"/>
      <c r="AV116" s="1288"/>
      <c r="AW116" s="1288"/>
      <c r="AX116" s="1288"/>
      <c r="AY116" s="1288"/>
      <c r="AZ116" s="1288"/>
      <c r="BA116" s="1288"/>
      <c r="BB116" s="1288"/>
      <c r="BC116" s="1288"/>
      <c r="BD116" s="1288"/>
      <c r="BE116" s="1288"/>
      <c r="BF116" s="1288"/>
      <c r="BG116" s="1288"/>
      <c r="BH116" s="1288"/>
      <c r="BI116" s="1288"/>
      <c r="BJ116" s="1288"/>
      <c r="BK116" s="1288"/>
      <c r="BL116" s="1288"/>
      <c r="BM116" s="1288"/>
      <c r="BN116" s="1288"/>
      <c r="BO116" s="1288"/>
      <c r="BP116" s="1288"/>
      <c r="BQ116" s="1237" t="n">
        <v>39995</v>
      </c>
      <c r="BR116" s="1238" t="n">
        <v>3.0375</v>
      </c>
      <c r="BS116" s="1238" t="n">
        <v>3.0425</v>
      </c>
      <c r="BT116" s="1238" t="n">
        <v>3.0475</v>
      </c>
      <c r="BU116" s="1239" t="n">
        <v>0.15</v>
      </c>
      <c r="BV116" s="1239" t="n">
        <v>0.1575</v>
      </c>
      <c r="BW116" s="1239" t="n">
        <v>0.165</v>
      </c>
      <c r="BX116" s="1239" t="n">
        <v>-0.07</v>
      </c>
      <c r="BY116" s="1239"/>
      <c r="BZ116" s="1239" t="n">
        <v>0.07</v>
      </c>
      <c r="CA116" s="1243" t="n">
        <v>0</v>
      </c>
      <c r="CB116" s="1241" t="n">
        <v>0</v>
      </c>
      <c r="CC116" s="1242" t="n">
        <v>3.07</v>
      </c>
      <c r="CD116" s="1239" t="n">
        <v>0.1665</v>
      </c>
    </row>
    <row r="117" customFormat="false" ht="12.75" hidden="false" customHeight="false" outlineLevel="0" collapsed="false">
      <c r="A117" s="1237" t="n">
        <v>40118</v>
      </c>
      <c r="B117" s="1239" t="n">
        <v>0.072712220148324</v>
      </c>
      <c r="C117" s="1290"/>
      <c r="D117" s="1274" t="n">
        <v>38991</v>
      </c>
      <c r="E117" s="1275" t="n">
        <v>34.3189606401761</v>
      </c>
      <c r="F117" s="1275" t="n">
        <v>37.3189606401761</v>
      </c>
      <c r="G117" s="1275" t="n">
        <v>41.8189606401761</v>
      </c>
      <c r="H117" s="1266"/>
      <c r="I117" s="1275" t="n">
        <v>23.5016129032258</v>
      </c>
      <c r="J117" s="1275" t="n">
        <v>24.7516129032258</v>
      </c>
      <c r="K117" s="1275" t="n">
        <v>27.7516129032258</v>
      </c>
      <c r="M117" s="1276" t="n">
        <v>39873</v>
      </c>
      <c r="N117" s="1277" t="n">
        <v>25.4317571765863</v>
      </c>
      <c r="O117" s="1277" t="n">
        <v>28.6817571765863</v>
      </c>
      <c r="P117" s="1277" t="n">
        <v>33.6817571765863</v>
      </c>
      <c r="Q117" s="109"/>
      <c r="R117" s="1277" t="n">
        <v>18.2613178824397</v>
      </c>
      <c r="S117" s="1277" t="n">
        <v>21.5113178824397</v>
      </c>
      <c r="T117" s="1277" t="n">
        <v>26.5113178824397</v>
      </c>
      <c r="V117" s="1278" t="n">
        <v>0</v>
      </c>
      <c r="W117" s="1278" t="n">
        <v>0</v>
      </c>
      <c r="X117" s="1278" t="n">
        <v>0</v>
      </c>
      <c r="Y117" s="1288"/>
      <c r="Z117" s="1277" t="n">
        <v>0.125</v>
      </c>
      <c r="AA117" s="1277" t="n">
        <v>0.135</v>
      </c>
      <c r="AB117" s="1277" t="n">
        <v>0.145</v>
      </c>
      <c r="AC117" s="109"/>
      <c r="AD117" s="1277" t="n">
        <v>0.09</v>
      </c>
      <c r="AE117" s="1277" t="n">
        <v>0.11</v>
      </c>
      <c r="AF117" s="1277" t="n">
        <v>0.13</v>
      </c>
      <c r="AG117" s="109"/>
      <c r="AH117" s="1277" t="n">
        <v>-0.1</v>
      </c>
      <c r="AI117" s="1277" t="n">
        <v>0.65</v>
      </c>
      <c r="AJ117" s="1277" t="n">
        <v>0.1</v>
      </c>
      <c r="AK117" s="109"/>
      <c r="AL117" s="1277" t="n">
        <v>-0.01</v>
      </c>
      <c r="AM117" s="1277" t="n">
        <v>0.16</v>
      </c>
      <c r="AN117" s="1277" t="n">
        <v>0.01</v>
      </c>
      <c r="AO117" s="109"/>
      <c r="AP117" s="197" t="n">
        <v>36</v>
      </c>
      <c r="AQ117" s="1280" t="n">
        <v>0.35</v>
      </c>
      <c r="AR117" s="1288"/>
      <c r="AS117" s="1288"/>
      <c r="AT117" s="1288"/>
      <c r="AU117" s="1288"/>
      <c r="AV117" s="1288"/>
      <c r="AW117" s="1288"/>
      <c r="AX117" s="1288"/>
      <c r="AY117" s="1288"/>
      <c r="AZ117" s="1288"/>
      <c r="BA117" s="1288"/>
      <c r="BB117" s="1288"/>
      <c r="BC117" s="1288"/>
      <c r="BD117" s="1288"/>
      <c r="BE117" s="1288"/>
      <c r="BF117" s="1288"/>
      <c r="BG117" s="1288"/>
      <c r="BH117" s="1288"/>
      <c r="BI117" s="1288"/>
      <c r="BJ117" s="1288"/>
      <c r="BK117" s="1288"/>
      <c r="BL117" s="1288"/>
      <c r="BM117" s="1288"/>
      <c r="BN117" s="1288"/>
      <c r="BO117" s="1288"/>
      <c r="BP117" s="1288"/>
      <c r="BQ117" s="1237" t="n">
        <v>40026</v>
      </c>
      <c r="BR117" s="1238" t="n">
        <v>3.0465</v>
      </c>
      <c r="BS117" s="1238" t="n">
        <v>3.0515</v>
      </c>
      <c r="BT117" s="1238" t="n">
        <v>3.0565</v>
      </c>
      <c r="BU117" s="1239" t="n">
        <v>0.15</v>
      </c>
      <c r="BV117" s="1239" t="n">
        <v>0.1575</v>
      </c>
      <c r="BW117" s="1239" t="n">
        <v>0.165</v>
      </c>
      <c r="BX117" s="1239" t="n">
        <v>-0.07</v>
      </c>
      <c r="BY117" s="1239"/>
      <c r="BZ117" s="1239" t="n">
        <v>0.07</v>
      </c>
      <c r="CA117" s="1243" t="n">
        <v>0</v>
      </c>
      <c r="CB117" s="1241" t="n">
        <v>0</v>
      </c>
      <c r="CC117" s="1242" t="n">
        <v>3.159</v>
      </c>
      <c r="CD117" s="1239" t="n">
        <v>0.1655</v>
      </c>
    </row>
    <row r="118" customFormat="false" ht="12.75" hidden="false" customHeight="false" outlineLevel="0" collapsed="false">
      <c r="A118" s="1237" t="n">
        <v>40148</v>
      </c>
      <c r="B118" s="1239" t="n">
        <v>0.072729857623409</v>
      </c>
      <c r="C118" s="1218"/>
      <c r="D118" s="1274" t="n">
        <v>39022</v>
      </c>
      <c r="E118" s="1275" t="n">
        <v>26.5689606401761</v>
      </c>
      <c r="F118" s="1275" t="n">
        <v>29.5689606401761</v>
      </c>
      <c r="G118" s="1275" t="n">
        <v>34.0689606401761</v>
      </c>
      <c r="H118" s="1266"/>
      <c r="I118" s="1275" t="n">
        <v>24.8416666666667</v>
      </c>
      <c r="J118" s="1275" t="n">
        <v>26.0916666666667</v>
      </c>
      <c r="K118" s="1275" t="n">
        <v>29.0916666666667</v>
      </c>
      <c r="M118" s="1276" t="n">
        <v>39904</v>
      </c>
      <c r="N118" s="1277" t="n">
        <v>25.2796495163083</v>
      </c>
      <c r="O118" s="1277" t="n">
        <v>28.5296495163083</v>
      </c>
      <c r="P118" s="1277" t="n">
        <v>33.5296495163083</v>
      </c>
      <c r="Q118" s="109"/>
      <c r="R118" s="1277" t="n">
        <v>18.1472371372312</v>
      </c>
      <c r="S118" s="1277" t="n">
        <v>21.3972371372312</v>
      </c>
      <c r="T118" s="1277" t="n">
        <v>26.3972371372312</v>
      </c>
      <c r="V118" s="1278" t="n">
        <v>0</v>
      </c>
      <c r="W118" s="1278" t="n">
        <v>0</v>
      </c>
      <c r="X118" s="1278" t="n">
        <v>0</v>
      </c>
      <c r="Y118" s="1288"/>
      <c r="Z118" s="1277" t="n">
        <v>0.125</v>
      </c>
      <c r="AA118" s="1277" t="n">
        <v>0.135</v>
      </c>
      <c r="AB118" s="1277" t="n">
        <v>0.145</v>
      </c>
      <c r="AC118" s="109"/>
      <c r="AD118" s="1277" t="n">
        <v>0.09</v>
      </c>
      <c r="AE118" s="1277" t="n">
        <v>0.11</v>
      </c>
      <c r="AF118" s="1277" t="n">
        <v>0.13</v>
      </c>
      <c r="AG118" s="109"/>
      <c r="AH118" s="1277" t="n">
        <v>-0.1</v>
      </c>
      <c r="AI118" s="1277" t="n">
        <v>0.65</v>
      </c>
      <c r="AJ118" s="1277" t="n">
        <v>0.1</v>
      </c>
      <c r="AK118" s="109"/>
      <c r="AL118" s="1277" t="n">
        <v>-0.01</v>
      </c>
      <c r="AM118" s="1277" t="n">
        <v>0.16</v>
      </c>
      <c r="AN118" s="1277" t="n">
        <v>0.01</v>
      </c>
      <c r="AO118" s="109"/>
      <c r="AP118" s="197" t="n">
        <v>37</v>
      </c>
      <c r="AQ118" s="1280" t="n">
        <v>0.35</v>
      </c>
      <c r="AR118" s="1288"/>
      <c r="AS118" s="1288"/>
      <c r="AT118" s="1288"/>
      <c r="AU118" s="1288"/>
      <c r="AV118" s="1288"/>
      <c r="AW118" s="1288"/>
      <c r="AX118" s="1288"/>
      <c r="AY118" s="1288"/>
      <c r="AZ118" s="1288"/>
      <c r="BA118" s="1288"/>
      <c r="BB118" s="1288"/>
      <c r="BC118" s="1288"/>
      <c r="BD118" s="1288"/>
      <c r="BE118" s="1288"/>
      <c r="BF118" s="1288"/>
      <c r="BG118" s="1288"/>
      <c r="BH118" s="1288"/>
      <c r="BI118" s="1288"/>
      <c r="BJ118" s="1288"/>
      <c r="BK118" s="1288"/>
      <c r="BL118" s="1288"/>
      <c r="BM118" s="1288"/>
      <c r="BN118" s="1288"/>
      <c r="BO118" s="1288"/>
      <c r="BP118" s="1288"/>
      <c r="BQ118" s="1237" t="n">
        <v>40057</v>
      </c>
      <c r="BR118" s="1238" t="n">
        <v>3.0475</v>
      </c>
      <c r="BS118" s="1238" t="n">
        <v>3.0525</v>
      </c>
      <c r="BT118" s="1238" t="n">
        <v>3.0575</v>
      </c>
      <c r="BU118" s="1239" t="n">
        <v>0.15</v>
      </c>
      <c r="BV118" s="1239" t="n">
        <v>0.1575</v>
      </c>
      <c r="BW118" s="1239" t="n">
        <v>0.165</v>
      </c>
      <c r="BX118" s="1239" t="n">
        <v>-0.07</v>
      </c>
      <c r="BY118" s="1239"/>
      <c r="BZ118" s="1239" t="n">
        <v>0.07</v>
      </c>
      <c r="CA118" s="1243" t="n">
        <v>0</v>
      </c>
      <c r="CB118" s="1241" t="n">
        <v>0</v>
      </c>
      <c r="CC118" s="1242" t="n">
        <v>3.034</v>
      </c>
      <c r="CD118" s="1239" t="n">
        <v>0.1655</v>
      </c>
    </row>
    <row r="119" customFormat="false" ht="12.75" hidden="false" customHeight="false" outlineLevel="0" collapsed="false">
      <c r="A119" s="1237" t="n">
        <v>40179</v>
      </c>
      <c r="B119" s="1239" t="n">
        <v>0.07274808301444</v>
      </c>
      <c r="C119" s="1218"/>
      <c r="D119" s="1274" t="n">
        <v>39052</v>
      </c>
      <c r="E119" s="1275" t="n">
        <v>28.5689606401761</v>
      </c>
      <c r="F119" s="1275" t="n">
        <v>31.5689606401761</v>
      </c>
      <c r="G119" s="1275" t="n">
        <v>36.0689606401761</v>
      </c>
      <c r="H119" s="1266"/>
      <c r="I119" s="1275" t="n">
        <v>24.1467741935484</v>
      </c>
      <c r="J119" s="1275" t="n">
        <v>25.3967741935484</v>
      </c>
      <c r="K119" s="1275" t="n">
        <v>28.3967741935484</v>
      </c>
      <c r="M119" s="1276" t="n">
        <v>39934</v>
      </c>
      <c r="N119" s="1277" t="n">
        <v>25.2796495163083</v>
      </c>
      <c r="O119" s="1277" t="n">
        <v>28.5296495163083</v>
      </c>
      <c r="P119" s="1277" t="n">
        <v>33.5296495163083</v>
      </c>
      <c r="Q119" s="109"/>
      <c r="R119" s="1277" t="n">
        <v>18.1472371372312</v>
      </c>
      <c r="S119" s="1277" t="n">
        <v>21.3972371372312</v>
      </c>
      <c r="T119" s="1277" t="n">
        <v>26.3972371372312</v>
      </c>
      <c r="V119" s="1278" t="n">
        <v>0</v>
      </c>
      <c r="W119" s="1278" t="n">
        <v>0</v>
      </c>
      <c r="X119" s="1278" t="n">
        <v>0</v>
      </c>
      <c r="Y119" s="1288"/>
      <c r="Z119" s="1277" t="n">
        <v>0.125</v>
      </c>
      <c r="AA119" s="1277" t="n">
        <v>0.135</v>
      </c>
      <c r="AB119" s="1277" t="n">
        <v>0.145</v>
      </c>
      <c r="AC119" s="109"/>
      <c r="AD119" s="1277" t="n">
        <v>0.09</v>
      </c>
      <c r="AE119" s="1277" t="n">
        <v>0.11</v>
      </c>
      <c r="AF119" s="1277" t="n">
        <v>0.13</v>
      </c>
      <c r="AG119" s="109"/>
      <c r="AH119" s="1277" t="n">
        <v>-0.1</v>
      </c>
      <c r="AI119" s="1277" t="n">
        <v>0.65</v>
      </c>
      <c r="AJ119" s="1277" t="n">
        <v>0.1</v>
      </c>
      <c r="AK119" s="109"/>
      <c r="AL119" s="1277" t="n">
        <v>-0.01</v>
      </c>
      <c r="AM119" s="1277" t="n">
        <v>0.16</v>
      </c>
      <c r="AN119" s="1277" t="n">
        <v>0.01</v>
      </c>
      <c r="AO119" s="109"/>
      <c r="AP119" s="197" t="n">
        <v>37</v>
      </c>
      <c r="AQ119" s="1280" t="n">
        <v>0.35</v>
      </c>
      <c r="AR119" s="1288"/>
      <c r="AS119" s="1288"/>
      <c r="AT119" s="1288"/>
      <c r="AU119" s="1288"/>
      <c r="AV119" s="1288"/>
      <c r="AW119" s="1288"/>
      <c r="AX119" s="1288"/>
      <c r="AY119" s="1288"/>
      <c r="AZ119" s="1288"/>
      <c r="BA119" s="1288"/>
      <c r="BB119" s="1288"/>
      <c r="BC119" s="1288"/>
      <c r="BD119" s="1288"/>
      <c r="BE119" s="1288"/>
      <c r="BF119" s="1288"/>
      <c r="BG119" s="1288"/>
      <c r="BH119" s="1288"/>
      <c r="BI119" s="1288"/>
      <c r="BJ119" s="1288"/>
      <c r="BK119" s="1288"/>
      <c r="BL119" s="1288"/>
      <c r="BM119" s="1288"/>
      <c r="BN119" s="1288"/>
      <c r="BO119" s="1288"/>
      <c r="BP119" s="1288"/>
      <c r="BQ119" s="1237" t="n">
        <v>40087</v>
      </c>
      <c r="BR119" s="1238" t="n">
        <v>3.0685</v>
      </c>
      <c r="BS119" s="1238" t="n">
        <v>3.0735</v>
      </c>
      <c r="BT119" s="1238" t="n">
        <v>3.0785</v>
      </c>
      <c r="BU119" s="1239" t="n">
        <v>0.15</v>
      </c>
      <c r="BV119" s="1239" t="n">
        <v>0.1575</v>
      </c>
      <c r="BW119" s="1239" t="n">
        <v>0.165</v>
      </c>
      <c r="BX119" s="1239" t="n">
        <v>-0.07</v>
      </c>
      <c r="BY119" s="1239"/>
      <c r="BZ119" s="1239" t="n">
        <v>0.07</v>
      </c>
      <c r="CA119" s="1243" t="n">
        <v>0</v>
      </c>
      <c r="CB119" s="1241" t="n">
        <v>0</v>
      </c>
      <c r="CC119" s="1242" t="n">
        <v>2.927</v>
      </c>
      <c r="CD119" s="1239" t="n">
        <v>0.1655</v>
      </c>
    </row>
    <row r="120" customFormat="false" ht="12.75" hidden="false" customHeight="false" outlineLevel="0" collapsed="false">
      <c r="A120" s="1237" t="n">
        <v>40210</v>
      </c>
      <c r="B120" s="1239" t="n">
        <v>0.07276630840558</v>
      </c>
      <c r="C120" s="1218"/>
      <c r="D120" s="1274" t="n">
        <v>39083</v>
      </c>
      <c r="E120" s="1275" t="n">
        <v>27.2206220528391</v>
      </c>
      <c r="F120" s="1275" t="n">
        <v>30.2206220528391</v>
      </c>
      <c r="G120" s="1275" t="n">
        <v>35.2206220528391</v>
      </c>
      <c r="H120" s="1266"/>
      <c r="I120" s="1275" t="n">
        <v>21.5381191510522</v>
      </c>
      <c r="J120" s="1275" t="n">
        <v>23.0381191510522</v>
      </c>
      <c r="K120" s="1275" t="n">
        <v>27.0381191510522</v>
      </c>
      <c r="M120" s="1276" t="n">
        <v>39965</v>
      </c>
      <c r="N120" s="1277" t="n">
        <v>30.5296495163083</v>
      </c>
      <c r="O120" s="1277" t="n">
        <v>33.7796495163083</v>
      </c>
      <c r="P120" s="1277" t="n">
        <v>38.7796495163083</v>
      </c>
      <c r="Q120" s="109"/>
      <c r="R120" s="1277" t="n">
        <v>22.0847371372312</v>
      </c>
      <c r="S120" s="1277" t="n">
        <v>25.3347371372312</v>
      </c>
      <c r="T120" s="1277" t="n">
        <v>30.3347371372312</v>
      </c>
      <c r="V120" s="1278" t="n">
        <v>0</v>
      </c>
      <c r="W120" s="1278" t="n">
        <v>0</v>
      </c>
      <c r="X120" s="1278" t="n">
        <v>0</v>
      </c>
      <c r="Y120" s="1288"/>
      <c r="Z120" s="1277" t="n">
        <v>0.125</v>
      </c>
      <c r="AA120" s="1277" t="n">
        <v>0.135</v>
      </c>
      <c r="AB120" s="1277" t="n">
        <v>0.145</v>
      </c>
      <c r="AC120" s="109"/>
      <c r="AD120" s="1277" t="n">
        <v>0.09</v>
      </c>
      <c r="AE120" s="1277" t="n">
        <v>0.11</v>
      </c>
      <c r="AF120" s="1277" t="n">
        <v>0.13</v>
      </c>
      <c r="AG120" s="109"/>
      <c r="AH120" s="1277" t="n">
        <v>-0.35</v>
      </c>
      <c r="AI120" s="1277" t="n">
        <v>0.65</v>
      </c>
      <c r="AJ120" s="1277" t="n">
        <v>0.2</v>
      </c>
      <c r="AK120" s="109"/>
      <c r="AL120" s="1277" t="n">
        <v>-0.01</v>
      </c>
      <c r="AM120" s="1277" t="n">
        <v>0.16</v>
      </c>
      <c r="AN120" s="1277" t="n">
        <v>0.01</v>
      </c>
      <c r="AO120" s="109"/>
      <c r="AP120" s="197" t="n">
        <v>37</v>
      </c>
      <c r="AQ120" s="1280" t="n">
        <v>0.35</v>
      </c>
      <c r="AR120" s="1288"/>
      <c r="AS120" s="1288"/>
      <c r="AT120" s="1288"/>
      <c r="AU120" s="1288"/>
      <c r="AV120" s="1288"/>
      <c r="AW120" s="1288"/>
      <c r="AX120" s="1288"/>
      <c r="AY120" s="1288"/>
      <c r="AZ120" s="1288"/>
      <c r="BA120" s="1288"/>
      <c r="BB120" s="1288"/>
      <c r="BC120" s="1288"/>
      <c r="BD120" s="1288"/>
      <c r="BE120" s="1288"/>
      <c r="BF120" s="1288"/>
      <c r="BG120" s="1288"/>
      <c r="BH120" s="1288"/>
      <c r="BI120" s="1288"/>
      <c r="BJ120" s="1288"/>
      <c r="BK120" s="1288"/>
      <c r="BL120" s="1288"/>
      <c r="BM120" s="1288"/>
      <c r="BN120" s="1288"/>
      <c r="BO120" s="1288"/>
      <c r="BP120" s="1288"/>
      <c r="BQ120" s="1237" t="n">
        <v>40118</v>
      </c>
      <c r="BR120" s="1238" t="n">
        <v>3.1715</v>
      </c>
      <c r="BS120" s="1238" t="n">
        <v>3.1765</v>
      </c>
      <c r="BT120" s="1238" t="n">
        <v>3.1815</v>
      </c>
      <c r="BU120" s="1239" t="n">
        <v>0.15</v>
      </c>
      <c r="BV120" s="1239" t="n">
        <v>0.1575</v>
      </c>
      <c r="BW120" s="1239" t="n">
        <v>0.165</v>
      </c>
      <c r="BX120" s="1239" t="n">
        <v>-0.07</v>
      </c>
      <c r="BY120" s="1239"/>
      <c r="BZ120" s="1239" t="n">
        <v>0.07</v>
      </c>
      <c r="CA120" s="1243" t="n">
        <v>0</v>
      </c>
      <c r="CB120" s="1241" t="n">
        <v>0</v>
      </c>
      <c r="CC120" s="1242" t="n">
        <v>2.824</v>
      </c>
      <c r="CD120" s="1239" t="n">
        <v>0.1655</v>
      </c>
    </row>
    <row r="121" customFormat="false" ht="12.75" hidden="false" customHeight="false" outlineLevel="0" collapsed="false">
      <c r="A121" s="1237" t="n">
        <v>40238</v>
      </c>
      <c r="B121" s="1239" t="n">
        <v>0.072782770049284</v>
      </c>
      <c r="C121" s="1218"/>
      <c r="D121" s="1274" t="n">
        <v>39114</v>
      </c>
      <c r="E121" s="1275" t="n">
        <v>26.7206220528391</v>
      </c>
      <c r="F121" s="1275" t="n">
        <v>29.7206220528391</v>
      </c>
      <c r="G121" s="1275" t="n">
        <v>34.7206220528391</v>
      </c>
      <c r="H121" s="1266"/>
      <c r="I121" s="1275" t="n">
        <v>22.5071428571429</v>
      </c>
      <c r="J121" s="1275" t="n">
        <v>24.0071428571429</v>
      </c>
      <c r="K121" s="1275" t="n">
        <v>28.0071428571429</v>
      </c>
      <c r="M121" s="1276" t="n">
        <v>39995</v>
      </c>
      <c r="N121" s="1277" t="n">
        <v>56.7541917256438</v>
      </c>
      <c r="O121" s="1277" t="n">
        <v>60.0041917256438</v>
      </c>
      <c r="P121" s="1277" t="n">
        <v>65.0041917256438</v>
      </c>
      <c r="Q121" s="109"/>
      <c r="R121" s="1277" t="n">
        <v>41.7531437942328</v>
      </c>
      <c r="S121" s="1277" t="n">
        <v>45.0031437942328</v>
      </c>
      <c r="T121" s="1277" t="n">
        <v>50.0031437942328</v>
      </c>
      <c r="V121" s="1278" t="n">
        <v>0</v>
      </c>
      <c r="W121" s="1278" t="n">
        <v>0</v>
      </c>
      <c r="X121" s="1278" t="n">
        <v>0</v>
      </c>
      <c r="Y121" s="1288"/>
      <c r="Z121" s="1277" t="n">
        <v>0.125</v>
      </c>
      <c r="AA121" s="1277" t="n">
        <v>0.135</v>
      </c>
      <c r="AB121" s="1277" t="n">
        <v>0.145</v>
      </c>
      <c r="AC121" s="109"/>
      <c r="AD121" s="1277" t="n">
        <v>0.09</v>
      </c>
      <c r="AE121" s="1277" t="n">
        <v>0.11</v>
      </c>
      <c r="AF121" s="1277" t="n">
        <v>0.13</v>
      </c>
      <c r="AG121" s="109"/>
      <c r="AH121" s="1277" t="n">
        <v>-0.35</v>
      </c>
      <c r="AI121" s="1277" t="n">
        <v>3</v>
      </c>
      <c r="AJ121" s="1277" t="n">
        <v>0.35</v>
      </c>
      <c r="AK121" s="109"/>
      <c r="AL121" s="1277" t="n">
        <v>-0.01</v>
      </c>
      <c r="AM121" s="1277" t="n">
        <v>0.16</v>
      </c>
      <c r="AN121" s="1277" t="n">
        <v>0.01</v>
      </c>
      <c r="AO121" s="109"/>
      <c r="AP121" s="197" t="n">
        <v>38</v>
      </c>
      <c r="AQ121" s="1280" t="n">
        <v>0.35</v>
      </c>
      <c r="AR121" s="1288"/>
      <c r="AS121" s="1288"/>
      <c r="AT121" s="1288"/>
      <c r="AU121" s="1288"/>
      <c r="AV121" s="1288"/>
      <c r="AW121" s="1288"/>
      <c r="AX121" s="1288"/>
      <c r="AY121" s="1288"/>
      <c r="AZ121" s="1288"/>
      <c r="BA121" s="1288"/>
      <c r="BB121" s="1288"/>
      <c r="BC121" s="1288"/>
      <c r="BD121" s="1288"/>
      <c r="BE121" s="1288"/>
      <c r="BF121" s="1288"/>
      <c r="BG121" s="1288"/>
      <c r="BH121" s="1288"/>
      <c r="BI121" s="1288"/>
      <c r="BJ121" s="1288"/>
      <c r="BK121" s="1288"/>
      <c r="BL121" s="1288"/>
      <c r="BM121" s="1288"/>
      <c r="BN121" s="1288"/>
      <c r="BO121" s="1288"/>
      <c r="BP121" s="1288"/>
      <c r="BQ121" s="1237" t="n">
        <v>40148</v>
      </c>
      <c r="BR121" s="1238" t="n">
        <v>3.2765</v>
      </c>
      <c r="BS121" s="1238" t="n">
        <v>3.2815</v>
      </c>
      <c r="BT121" s="1238" t="n">
        <v>3.2865</v>
      </c>
      <c r="BU121" s="1239" t="n">
        <v>0.1475</v>
      </c>
      <c r="BV121" s="1239" t="n">
        <v>0.155</v>
      </c>
      <c r="BW121" s="1239" t="n">
        <v>0.1625</v>
      </c>
      <c r="BX121" s="1239" t="n">
        <v>-0.07</v>
      </c>
      <c r="BY121" s="1239"/>
      <c r="BZ121" s="1239" t="n">
        <v>0.07</v>
      </c>
      <c r="CA121" s="1243" t="n">
        <v>0</v>
      </c>
      <c r="CB121" s="1241" t="n">
        <v>0</v>
      </c>
      <c r="CC121" s="1242" t="n">
        <v>2.8</v>
      </c>
      <c r="CD121" s="1239" t="n">
        <v>0.1655</v>
      </c>
    </row>
    <row r="122" customFormat="false" ht="12.75" hidden="false" customHeight="false" outlineLevel="0" collapsed="false">
      <c r="A122" s="1237" t="n">
        <v>40269</v>
      </c>
      <c r="B122" s="1239" t="n">
        <v>0.072800995440633</v>
      </c>
      <c r="C122" s="1218"/>
      <c r="D122" s="1274" t="n">
        <v>39142</v>
      </c>
      <c r="E122" s="1275" t="n">
        <v>26.4706220528391</v>
      </c>
      <c r="F122" s="1275" t="n">
        <v>29.4706220528391</v>
      </c>
      <c r="G122" s="1275" t="n">
        <v>34.4706220528391</v>
      </c>
      <c r="H122" s="1266"/>
      <c r="I122" s="1275" t="n">
        <v>22.7870967741936</v>
      </c>
      <c r="J122" s="1275" t="n">
        <v>24.2870967741936</v>
      </c>
      <c r="K122" s="1275" t="n">
        <v>28.2870967741936</v>
      </c>
      <c r="M122" s="1276" t="n">
        <v>40026</v>
      </c>
      <c r="N122" s="1277" t="n">
        <v>77.3791917256438</v>
      </c>
      <c r="O122" s="1277" t="n">
        <v>80.6291917256438</v>
      </c>
      <c r="P122" s="1277" t="n">
        <v>85.6291917256438</v>
      </c>
      <c r="Q122" s="109"/>
      <c r="R122" s="1277" t="n">
        <v>57.2218937942328</v>
      </c>
      <c r="S122" s="1277" t="n">
        <v>60.4718937942328</v>
      </c>
      <c r="T122" s="1277" t="n">
        <v>65.4718937942328</v>
      </c>
      <c r="V122" s="1278" t="n">
        <v>0</v>
      </c>
      <c r="W122" s="1278" t="n">
        <v>0</v>
      </c>
      <c r="X122" s="1278" t="n">
        <v>0</v>
      </c>
      <c r="Y122" s="1288"/>
      <c r="Z122" s="1277" t="n">
        <v>0.125</v>
      </c>
      <c r="AA122" s="1277" t="n">
        <v>0.135</v>
      </c>
      <c r="AB122" s="1277" t="n">
        <v>0.145</v>
      </c>
      <c r="AC122" s="109"/>
      <c r="AD122" s="1277" t="n">
        <v>0.09</v>
      </c>
      <c r="AE122" s="1277" t="n">
        <v>0.11</v>
      </c>
      <c r="AF122" s="1277" t="n">
        <v>0.13</v>
      </c>
      <c r="AG122" s="109"/>
      <c r="AH122" s="1277" t="n">
        <v>-0.35</v>
      </c>
      <c r="AI122" s="1277" t="n">
        <v>3</v>
      </c>
      <c r="AJ122" s="1277" t="n">
        <v>0.35</v>
      </c>
      <c r="AK122" s="109"/>
      <c r="AL122" s="1277" t="n">
        <v>-0.01</v>
      </c>
      <c r="AM122" s="1277" t="n">
        <v>0.16</v>
      </c>
      <c r="AN122" s="1277" t="n">
        <v>0.01</v>
      </c>
      <c r="AO122" s="109"/>
      <c r="AP122" s="197" t="n">
        <v>38</v>
      </c>
      <c r="AQ122" s="1280" t="n">
        <v>0.35</v>
      </c>
      <c r="AR122" s="1288"/>
      <c r="AS122" s="1288"/>
      <c r="AT122" s="1288"/>
      <c r="AU122" s="1288"/>
      <c r="AV122" s="1288"/>
      <c r="AW122" s="1288"/>
      <c r="AX122" s="1288"/>
      <c r="AY122" s="1288"/>
      <c r="AZ122" s="1288"/>
      <c r="BA122" s="1288"/>
      <c r="BB122" s="1288"/>
      <c r="BC122" s="1288"/>
      <c r="BD122" s="1288"/>
      <c r="BE122" s="1288"/>
      <c r="BF122" s="1288"/>
      <c r="BG122" s="1288"/>
      <c r="BH122" s="1288"/>
      <c r="BI122" s="1288"/>
      <c r="BJ122" s="1288"/>
      <c r="BK122" s="1288"/>
      <c r="BL122" s="1288"/>
      <c r="BM122" s="1288"/>
      <c r="BN122" s="1288"/>
      <c r="BO122" s="1288"/>
      <c r="BP122" s="1288"/>
      <c r="BQ122" s="1237" t="n">
        <v>40179</v>
      </c>
      <c r="BR122" s="1238" t="n">
        <v>3.3265</v>
      </c>
      <c r="BS122" s="1238" t="n">
        <v>3.3315</v>
      </c>
      <c r="BT122" s="1238" t="n">
        <v>3.3365</v>
      </c>
      <c r="BU122" s="1239" t="n">
        <v>0.1425</v>
      </c>
      <c r="BV122" s="1239" t="n">
        <v>0.15</v>
      </c>
      <c r="BW122" s="1239" t="n">
        <v>0.1575</v>
      </c>
      <c r="BX122" s="1239" t="n">
        <v>-0.07</v>
      </c>
      <c r="BY122" s="1239"/>
      <c r="BZ122" s="1239" t="n">
        <v>0.07</v>
      </c>
      <c r="CA122" s="1243" t="n">
        <v>0</v>
      </c>
      <c r="CB122" s="1241" t="n">
        <v>0</v>
      </c>
      <c r="CC122" s="1242" t="n">
        <v>2.807</v>
      </c>
      <c r="CD122" s="1239" t="n">
        <v>0.1655</v>
      </c>
    </row>
    <row r="123" customFormat="false" ht="12.75" hidden="false" customHeight="false" outlineLevel="0" collapsed="false">
      <c r="A123" s="1237" t="n">
        <v>40299</v>
      </c>
      <c r="B123" s="1239" t="n">
        <v>0.072809194381225</v>
      </c>
      <c r="C123" s="1218"/>
      <c r="D123" s="1274" t="n">
        <v>39173</v>
      </c>
      <c r="E123" s="1275" t="n">
        <v>26.5549339844257</v>
      </c>
      <c r="F123" s="1275" t="n">
        <v>29.5549339844257</v>
      </c>
      <c r="G123" s="1275" t="n">
        <v>34.5549339844257</v>
      </c>
      <c r="H123" s="1266"/>
      <c r="I123" s="1275" t="n">
        <v>20.5875</v>
      </c>
      <c r="J123" s="1275" t="n">
        <v>22.0875</v>
      </c>
      <c r="K123" s="1275" t="n">
        <v>26.0875</v>
      </c>
      <c r="M123" s="1276" t="n">
        <v>40057</v>
      </c>
      <c r="N123" s="1277" t="n">
        <v>61.3791917256438</v>
      </c>
      <c r="O123" s="1277" t="n">
        <v>64.6291917256438</v>
      </c>
      <c r="P123" s="1277" t="n">
        <v>69.6291917256438</v>
      </c>
      <c r="Q123" s="109"/>
      <c r="R123" s="1277" t="n">
        <v>45.2218937942328</v>
      </c>
      <c r="S123" s="1277" t="n">
        <v>48.4718937942328</v>
      </c>
      <c r="T123" s="1277" t="n">
        <v>53.4718937942328</v>
      </c>
      <c r="V123" s="1278" t="n">
        <v>0</v>
      </c>
      <c r="W123" s="1278" t="n">
        <v>0</v>
      </c>
      <c r="X123" s="1278" t="n">
        <v>0</v>
      </c>
      <c r="Y123" s="1288"/>
      <c r="Z123" s="1277" t="n">
        <v>0.125</v>
      </c>
      <c r="AA123" s="1277" t="n">
        <v>0.135</v>
      </c>
      <c r="AB123" s="1277" t="n">
        <v>0.145</v>
      </c>
      <c r="AC123" s="109"/>
      <c r="AD123" s="1277" t="n">
        <v>0.09</v>
      </c>
      <c r="AE123" s="1277" t="n">
        <v>0.11</v>
      </c>
      <c r="AF123" s="1277" t="n">
        <v>0.13</v>
      </c>
      <c r="AG123" s="109"/>
      <c r="AH123" s="1277" t="n">
        <v>-0.35</v>
      </c>
      <c r="AI123" s="1277" t="n">
        <v>3</v>
      </c>
      <c r="AJ123" s="1277" t="n">
        <v>0.2</v>
      </c>
      <c r="AK123" s="109"/>
      <c r="AL123" s="1277" t="n">
        <v>-0.01</v>
      </c>
      <c r="AM123" s="1277" t="n">
        <v>0.16</v>
      </c>
      <c r="AN123" s="1277" t="n">
        <v>0.01</v>
      </c>
      <c r="AO123" s="109"/>
      <c r="AP123" s="197" t="n">
        <v>38</v>
      </c>
      <c r="AQ123" s="1280" t="n">
        <v>0.35</v>
      </c>
      <c r="AR123" s="1288"/>
      <c r="AS123" s="1288"/>
      <c r="AT123" s="1288"/>
      <c r="AU123" s="1288"/>
      <c r="AV123" s="1288"/>
      <c r="AW123" s="1288"/>
      <c r="AX123" s="1288"/>
      <c r="AY123" s="1288"/>
      <c r="AZ123" s="1288"/>
      <c r="BA123" s="1288"/>
      <c r="BB123" s="1288"/>
      <c r="BC123" s="1288"/>
      <c r="BD123" s="1288"/>
      <c r="BE123" s="1288"/>
      <c r="BF123" s="1288"/>
      <c r="BG123" s="1288"/>
      <c r="BH123" s="1288"/>
      <c r="BI123" s="1288"/>
      <c r="BJ123" s="1288"/>
      <c r="BK123" s="1288"/>
      <c r="BL123" s="1288"/>
      <c r="BM123" s="1288"/>
      <c r="BN123" s="1288"/>
      <c r="BO123" s="1288"/>
      <c r="BP123" s="1288"/>
      <c r="BQ123" s="1237" t="n">
        <v>40210</v>
      </c>
      <c r="BR123" s="1238" t="n">
        <v>3.2415</v>
      </c>
      <c r="BS123" s="1238" t="n">
        <v>3.2465</v>
      </c>
      <c r="BT123" s="1238" t="n">
        <v>3.2515</v>
      </c>
      <c r="BU123" s="1239" t="n">
        <v>0.1425</v>
      </c>
      <c r="BV123" s="1239" t="n">
        <v>0.15</v>
      </c>
      <c r="BW123" s="1239" t="n">
        <v>0.1575</v>
      </c>
      <c r="BX123" s="1239" t="n">
        <v>-0.07</v>
      </c>
      <c r="BY123" s="1239"/>
      <c r="BZ123" s="1239" t="n">
        <v>0.07</v>
      </c>
      <c r="CA123" s="1243" t="n">
        <v>0</v>
      </c>
      <c r="CB123" s="1241" t="n">
        <v>0</v>
      </c>
      <c r="CC123" s="1242" t="n">
        <v>2.813</v>
      </c>
      <c r="CD123" s="1239" t="n">
        <v>0.1655</v>
      </c>
    </row>
    <row r="124" customFormat="false" ht="12.75" hidden="false" customHeight="false" outlineLevel="0" collapsed="false">
      <c r="A124" s="1237" t="n">
        <v>40330</v>
      </c>
      <c r="B124" s="1239" t="n">
        <v>0.072810208326507</v>
      </c>
      <c r="C124" s="1218"/>
      <c r="D124" s="1274" t="n">
        <v>39203</v>
      </c>
      <c r="E124" s="1275" t="n">
        <v>25.8049339844257</v>
      </c>
      <c r="F124" s="1275" t="n">
        <v>28.8049339844257</v>
      </c>
      <c r="G124" s="1275" t="n">
        <v>33.8049339844257</v>
      </c>
      <c r="H124" s="1266"/>
      <c r="I124" s="1275" t="n">
        <v>20.6459677419355</v>
      </c>
      <c r="J124" s="1275" t="n">
        <v>22.1459677419355</v>
      </c>
      <c r="K124" s="1275" t="n">
        <v>26.1459677419355</v>
      </c>
      <c r="M124" s="1276" t="n">
        <v>40087</v>
      </c>
      <c r="N124" s="1277" t="n">
        <v>33.6645541294267</v>
      </c>
      <c r="O124" s="1277" t="n">
        <v>36.9145541294267</v>
      </c>
      <c r="P124" s="1277" t="n">
        <v>41.9145541294267</v>
      </c>
      <c r="Q124" s="109"/>
      <c r="R124" s="1277" t="n">
        <v>24.43591559707</v>
      </c>
      <c r="S124" s="1277" t="n">
        <v>27.68591559707</v>
      </c>
      <c r="T124" s="1277" t="n">
        <v>32.68591559707</v>
      </c>
      <c r="V124" s="1278" t="n">
        <v>0</v>
      </c>
      <c r="W124" s="1278" t="n">
        <v>0</v>
      </c>
      <c r="X124" s="1278" t="n">
        <v>0</v>
      </c>
      <c r="Y124" s="1288"/>
      <c r="Z124" s="1277" t="n">
        <v>0.125</v>
      </c>
      <c r="AA124" s="1277" t="n">
        <v>0.135</v>
      </c>
      <c r="AB124" s="1277" t="n">
        <v>0.145</v>
      </c>
      <c r="AC124" s="109"/>
      <c r="AD124" s="1277" t="n">
        <v>0.09</v>
      </c>
      <c r="AE124" s="1277" t="n">
        <v>0.11</v>
      </c>
      <c r="AF124" s="1277" t="n">
        <v>0.13</v>
      </c>
      <c r="AG124" s="109"/>
      <c r="AH124" s="1277" t="n">
        <v>-0.1</v>
      </c>
      <c r="AI124" s="1277" t="n">
        <v>0.6</v>
      </c>
      <c r="AJ124" s="1277" t="n">
        <v>0.1</v>
      </c>
      <c r="AK124" s="109"/>
      <c r="AL124" s="1277" t="n">
        <v>-0.01</v>
      </c>
      <c r="AM124" s="1277" t="n">
        <v>0.16</v>
      </c>
      <c r="AN124" s="1277" t="n">
        <v>0.01</v>
      </c>
      <c r="AO124" s="109"/>
      <c r="AP124" s="197" t="n">
        <v>39</v>
      </c>
      <c r="AQ124" s="1280" t="n">
        <v>0.35</v>
      </c>
      <c r="AR124" s="1288"/>
      <c r="AS124" s="1288"/>
      <c r="AT124" s="1288"/>
      <c r="AU124" s="1288"/>
      <c r="AV124" s="1288"/>
      <c r="AW124" s="1288"/>
      <c r="AX124" s="1288"/>
      <c r="AY124" s="1288"/>
      <c r="AZ124" s="1288"/>
      <c r="BA124" s="1288"/>
      <c r="BB124" s="1288"/>
      <c r="BC124" s="1288"/>
      <c r="BD124" s="1288"/>
      <c r="BE124" s="1288"/>
      <c r="BF124" s="1288"/>
      <c r="BG124" s="1288"/>
      <c r="BH124" s="1288"/>
      <c r="BI124" s="1288"/>
      <c r="BJ124" s="1288"/>
      <c r="BK124" s="1288"/>
      <c r="BL124" s="1288"/>
      <c r="BM124" s="1288"/>
      <c r="BN124" s="1288"/>
      <c r="BO124" s="1288"/>
      <c r="BP124" s="1288"/>
      <c r="BQ124" s="1237" t="n">
        <v>40238</v>
      </c>
      <c r="BR124" s="1238" t="n">
        <v>3.1475</v>
      </c>
      <c r="BS124" s="1238" t="n">
        <v>3.1525</v>
      </c>
      <c r="BT124" s="1238" t="n">
        <v>3.1575</v>
      </c>
      <c r="BU124" s="1239" t="n">
        <v>0.1425</v>
      </c>
      <c r="BV124" s="1239" t="n">
        <v>0.15</v>
      </c>
      <c r="BW124" s="1239" t="n">
        <v>0.1575</v>
      </c>
      <c r="BX124" s="1239" t="n">
        <v>-0.07</v>
      </c>
      <c r="BY124" s="1239"/>
      <c r="BZ124" s="1239" t="n">
        <v>0.07</v>
      </c>
      <c r="CA124" s="1243" t="n">
        <v>0</v>
      </c>
      <c r="CB124" s="1241" t="n">
        <v>0</v>
      </c>
      <c r="CC124" s="1242" t="n">
        <v>2.818</v>
      </c>
      <c r="CD124" s="1239" t="n">
        <v>0.1655</v>
      </c>
    </row>
    <row r="125" customFormat="false" ht="12.75" hidden="false" customHeight="false" outlineLevel="0" collapsed="false">
      <c r="A125" s="1237" t="n">
        <v>40360</v>
      </c>
      <c r="B125" s="1239" t="n">
        <v>0.072811189563877</v>
      </c>
      <c r="C125" s="1218"/>
      <c r="D125" s="1274" t="n">
        <v>39234</v>
      </c>
      <c r="E125" s="1275" t="n">
        <v>31.0549339844257</v>
      </c>
      <c r="F125" s="1275" t="n">
        <v>34.0549339844257</v>
      </c>
      <c r="G125" s="1275" t="n">
        <v>39.0549339844257</v>
      </c>
      <c r="H125" s="1266"/>
      <c r="I125" s="1275" t="n">
        <v>19.9</v>
      </c>
      <c r="J125" s="1275" t="n">
        <v>21.4</v>
      </c>
      <c r="K125" s="1275" t="n">
        <v>25.4</v>
      </c>
      <c r="M125" s="1276" t="n">
        <v>40118</v>
      </c>
      <c r="N125" s="1277" t="n">
        <v>25.9145541294267</v>
      </c>
      <c r="O125" s="1277" t="n">
        <v>29.1645541294267</v>
      </c>
      <c r="P125" s="1277" t="n">
        <v>34.1645541294267</v>
      </c>
      <c r="Q125" s="109"/>
      <c r="R125" s="1277" t="n">
        <v>18.62341559707</v>
      </c>
      <c r="S125" s="1277" t="n">
        <v>21.87341559707</v>
      </c>
      <c r="T125" s="1277" t="n">
        <v>26.87341559707</v>
      </c>
      <c r="V125" s="1278" t="n">
        <v>0</v>
      </c>
      <c r="W125" s="1278" t="n">
        <v>0</v>
      </c>
      <c r="X125" s="1278" t="n">
        <v>0</v>
      </c>
      <c r="Y125" s="1288"/>
      <c r="Z125" s="1277" t="n">
        <v>0.125</v>
      </c>
      <c r="AA125" s="1277" t="n">
        <v>0.135</v>
      </c>
      <c r="AB125" s="1277" t="n">
        <v>0.145</v>
      </c>
      <c r="AC125" s="109"/>
      <c r="AD125" s="1277" t="n">
        <v>0.09</v>
      </c>
      <c r="AE125" s="1277" t="n">
        <v>0.11</v>
      </c>
      <c r="AF125" s="1277" t="n">
        <v>0.13</v>
      </c>
      <c r="AG125" s="109"/>
      <c r="AH125" s="1277" t="n">
        <v>-0.1</v>
      </c>
      <c r="AI125" s="1277" t="n">
        <v>0.6</v>
      </c>
      <c r="AJ125" s="1277" t="n">
        <v>0.1</v>
      </c>
      <c r="AK125" s="109"/>
      <c r="AL125" s="1277" t="n">
        <v>-0.01</v>
      </c>
      <c r="AM125" s="1277" t="n">
        <v>0.16</v>
      </c>
      <c r="AN125" s="1277" t="n">
        <v>0.01</v>
      </c>
      <c r="AO125" s="109"/>
      <c r="AP125" s="197" t="n">
        <v>39</v>
      </c>
      <c r="AQ125" s="1280" t="n">
        <v>0.35</v>
      </c>
      <c r="AR125" s="1288"/>
      <c r="AS125" s="1288"/>
      <c r="AT125" s="1288"/>
      <c r="AU125" s="1288"/>
      <c r="AV125" s="1288"/>
      <c r="AW125" s="1288"/>
      <c r="AX125" s="1288"/>
      <c r="AY125" s="1288"/>
      <c r="AZ125" s="1288"/>
      <c r="BA125" s="1288"/>
      <c r="BB125" s="1288"/>
      <c r="BC125" s="1288"/>
      <c r="BD125" s="1288"/>
      <c r="BE125" s="1288"/>
      <c r="BF125" s="1288"/>
      <c r="BG125" s="1288"/>
      <c r="BH125" s="1288"/>
      <c r="BI125" s="1288"/>
      <c r="BJ125" s="1288"/>
      <c r="BK125" s="1288"/>
      <c r="BL125" s="1288"/>
      <c r="BM125" s="1288"/>
      <c r="BN125" s="1288"/>
      <c r="BO125" s="1288"/>
      <c r="BP125" s="1288"/>
      <c r="BQ125" s="1237" t="n">
        <v>40269</v>
      </c>
      <c r="BR125" s="1238" t="n">
        <v>3.0685</v>
      </c>
      <c r="BS125" s="1238" t="n">
        <v>3.0735</v>
      </c>
      <c r="BT125" s="1238" t="n">
        <v>3.0785</v>
      </c>
      <c r="BU125" s="1239" t="n">
        <v>0.1425</v>
      </c>
      <c r="BV125" s="1239" t="n">
        <v>0.15</v>
      </c>
      <c r="BW125" s="1239" t="n">
        <v>0.1575</v>
      </c>
      <c r="BX125" s="1239" t="n">
        <v>-0.07</v>
      </c>
      <c r="BY125" s="1239"/>
      <c r="BZ125" s="1239" t="n">
        <v>0.07</v>
      </c>
      <c r="CA125" s="1243" t="n">
        <v>0</v>
      </c>
      <c r="CB125" s="1241" t="n">
        <v>0</v>
      </c>
      <c r="CC125" s="1242" t="n">
        <v>2.821</v>
      </c>
      <c r="CD125" s="1239" t="n">
        <v>0.1655</v>
      </c>
    </row>
    <row r="126" customFormat="false" ht="12.75" hidden="false" customHeight="false" outlineLevel="0" collapsed="false">
      <c r="A126" s="1237" t="n">
        <v>40391</v>
      </c>
      <c r="B126" s="1239" t="n">
        <v>0.07281220350916</v>
      </c>
      <c r="C126" s="1218"/>
      <c r="D126" s="1274" t="n">
        <v>39264</v>
      </c>
      <c r="E126" s="1275" t="n">
        <v>57.5700452962185</v>
      </c>
      <c r="F126" s="1275" t="n">
        <v>60.5700452962185</v>
      </c>
      <c r="G126" s="1275" t="n">
        <v>65.5700452962185</v>
      </c>
      <c r="H126" s="1266"/>
      <c r="I126" s="1275" t="n">
        <v>25.9241935483871</v>
      </c>
      <c r="J126" s="1275" t="n">
        <v>27.4241935483871</v>
      </c>
      <c r="K126" s="1275" t="n">
        <v>31.4241935483871</v>
      </c>
      <c r="M126" s="1276" t="n">
        <v>40148</v>
      </c>
      <c r="N126" s="1277" t="n">
        <v>27.9145541294267</v>
      </c>
      <c r="O126" s="1277" t="n">
        <v>31.1645541294267</v>
      </c>
      <c r="P126" s="1277" t="n">
        <v>36.1645541294267</v>
      </c>
      <c r="Q126" s="109"/>
      <c r="R126" s="1277" t="n">
        <v>20.12341559707</v>
      </c>
      <c r="S126" s="1277" t="n">
        <v>23.37341559707</v>
      </c>
      <c r="T126" s="1277" t="n">
        <v>28.37341559707</v>
      </c>
      <c r="V126" s="1278" t="n">
        <v>0</v>
      </c>
      <c r="W126" s="1278" t="n">
        <v>0</v>
      </c>
      <c r="X126" s="1278" t="n">
        <v>0</v>
      </c>
      <c r="Y126" s="1288"/>
      <c r="Z126" s="1277" t="n">
        <v>0.125</v>
      </c>
      <c r="AA126" s="1277" t="n">
        <v>0.135</v>
      </c>
      <c r="AB126" s="1277" t="n">
        <v>0.145</v>
      </c>
      <c r="AC126" s="109"/>
      <c r="AD126" s="1277" t="n">
        <v>0.09</v>
      </c>
      <c r="AE126" s="1277" t="n">
        <v>0.11</v>
      </c>
      <c r="AF126" s="1277" t="n">
        <v>0.13</v>
      </c>
      <c r="AG126" s="109"/>
      <c r="AH126" s="1277" t="n">
        <v>-0.25</v>
      </c>
      <c r="AI126" s="1277" t="n">
        <v>0.6</v>
      </c>
      <c r="AJ126" s="1277" t="n">
        <v>0.25</v>
      </c>
      <c r="AK126" s="109"/>
      <c r="AL126" s="1277" t="n">
        <v>-0.01</v>
      </c>
      <c r="AM126" s="1277" t="n">
        <v>0.16</v>
      </c>
      <c r="AN126" s="1277" t="n">
        <v>0.01</v>
      </c>
      <c r="AO126" s="109"/>
      <c r="AP126" s="197" t="n">
        <v>39</v>
      </c>
      <c r="AQ126" s="1280" t="n">
        <v>0.35</v>
      </c>
      <c r="AR126" s="1288"/>
      <c r="AS126" s="1288"/>
      <c r="AT126" s="1288"/>
      <c r="AU126" s="1288"/>
      <c r="AV126" s="1288"/>
      <c r="AW126" s="1288"/>
      <c r="AX126" s="1288"/>
      <c r="AY126" s="1288"/>
      <c r="AZ126" s="1288"/>
      <c r="BA126" s="1288"/>
      <c r="BB126" s="1288"/>
      <c r="BC126" s="1288"/>
      <c r="BD126" s="1288"/>
      <c r="BE126" s="1288"/>
      <c r="BF126" s="1288"/>
      <c r="BG126" s="1288"/>
      <c r="BH126" s="1288"/>
      <c r="BI126" s="1288"/>
      <c r="BJ126" s="1288"/>
      <c r="BK126" s="1288"/>
      <c r="BL126" s="1288"/>
      <c r="BM126" s="1288"/>
      <c r="BN126" s="1288"/>
      <c r="BO126" s="1288"/>
      <c r="BP126" s="1288"/>
      <c r="BQ126" s="1237" t="n">
        <v>40299</v>
      </c>
      <c r="BR126" s="1238" t="n">
        <v>3.0895</v>
      </c>
      <c r="BS126" s="1238" t="n">
        <v>3.0945</v>
      </c>
      <c r="BT126" s="1238" t="n">
        <v>3.0995</v>
      </c>
      <c r="BU126" s="1239" t="n">
        <v>0.1425</v>
      </c>
      <c r="BV126" s="1239" t="n">
        <v>0.15</v>
      </c>
      <c r="BW126" s="1239" t="n">
        <v>0.1575</v>
      </c>
      <c r="BX126" s="1239" t="n">
        <v>-0.07</v>
      </c>
      <c r="BY126" s="1239"/>
      <c r="BZ126" s="1239" t="n">
        <v>0.07</v>
      </c>
      <c r="CA126" s="1243" t="n">
        <v>0</v>
      </c>
      <c r="CB126" s="1241" t="n">
        <v>0</v>
      </c>
      <c r="CC126" s="1242" t="n">
        <v>2.854</v>
      </c>
      <c r="CD126" s="1239" t="n">
        <v>0.1655</v>
      </c>
    </row>
    <row r="127" customFormat="false" ht="12.75" hidden="false" customHeight="false" outlineLevel="0" collapsed="false">
      <c r="A127" s="1237" t="n">
        <v>40422</v>
      </c>
      <c r="B127" s="1239" t="n">
        <v>0.072813217454443</v>
      </c>
      <c r="C127" s="1218"/>
      <c r="D127" s="1274" t="n">
        <v>39295</v>
      </c>
      <c r="E127" s="1275" t="n">
        <v>78.1950452962185</v>
      </c>
      <c r="F127" s="1275" t="n">
        <v>81.1950452962185</v>
      </c>
      <c r="G127" s="1275" t="n">
        <v>86.1950452962185</v>
      </c>
      <c r="H127" s="1266"/>
      <c r="I127" s="1275" t="n">
        <v>23.9241935483871</v>
      </c>
      <c r="J127" s="1275" t="n">
        <v>25.4241935483871</v>
      </c>
      <c r="K127" s="1275" t="n">
        <v>29.4241935483871</v>
      </c>
      <c r="M127" s="1276" t="n">
        <v>40179</v>
      </c>
      <c r="N127" s="1277" t="n">
        <v>26.1335995638992</v>
      </c>
      <c r="O127" s="1277" t="n">
        <v>29.8835995638992</v>
      </c>
      <c r="P127" s="1277" t="n">
        <v>34.8835995638992</v>
      </c>
      <c r="Q127" s="109"/>
      <c r="R127" s="1277" t="n">
        <v>18.6626996729244</v>
      </c>
      <c r="S127" s="1277" t="n">
        <v>22.4126996729244</v>
      </c>
      <c r="T127" s="1277" t="n">
        <v>27.4126996729244</v>
      </c>
      <c r="V127" s="1278" t="n">
        <v>0</v>
      </c>
      <c r="W127" s="1278" t="n">
        <v>0</v>
      </c>
      <c r="X127" s="1278" t="n">
        <v>0</v>
      </c>
      <c r="Y127" s="1288"/>
      <c r="Z127" s="1277" t="n">
        <v>0.12</v>
      </c>
      <c r="AA127" s="1277" t="n">
        <v>0.13</v>
      </c>
      <c r="AB127" s="1277" t="n">
        <v>0.14</v>
      </c>
      <c r="AC127" s="109"/>
      <c r="AD127" s="1277" t="n">
        <v>0.09</v>
      </c>
      <c r="AE127" s="1277" t="n">
        <v>0.11</v>
      </c>
      <c r="AF127" s="1277" t="n">
        <v>0.13</v>
      </c>
      <c r="AG127" s="109"/>
      <c r="AH127" s="1277" t="n">
        <v>-0.25</v>
      </c>
      <c r="AI127" s="1277" t="n">
        <v>0.65</v>
      </c>
      <c r="AJ127" s="1277" t="n">
        <v>0.25</v>
      </c>
      <c r="AK127" s="109"/>
      <c r="AL127" s="1277" t="n">
        <v>-0.01</v>
      </c>
      <c r="AM127" s="1277" t="n">
        <v>0.16</v>
      </c>
      <c r="AN127" s="1277" t="n">
        <v>0.01</v>
      </c>
      <c r="AO127" s="109"/>
      <c r="AP127" s="197" t="n">
        <v>40</v>
      </c>
      <c r="AQ127" s="1280" t="n">
        <v>0.35</v>
      </c>
      <c r="AR127" s="1288"/>
      <c r="AS127" s="1288"/>
      <c r="AT127" s="1288"/>
      <c r="AU127" s="1288"/>
      <c r="AV127" s="1288"/>
      <c r="AW127" s="1288"/>
      <c r="AX127" s="1288"/>
      <c r="AY127" s="1288"/>
      <c r="AZ127" s="1288"/>
      <c r="BA127" s="1288"/>
      <c r="BB127" s="1288"/>
      <c r="BC127" s="1288"/>
      <c r="BD127" s="1288"/>
      <c r="BE127" s="1288"/>
      <c r="BF127" s="1288"/>
      <c r="BG127" s="1288"/>
      <c r="BH127" s="1288"/>
      <c r="BI127" s="1288"/>
      <c r="BJ127" s="1288"/>
      <c r="BK127" s="1288"/>
      <c r="BL127" s="1288"/>
      <c r="BM127" s="1288"/>
      <c r="BN127" s="1288"/>
      <c r="BO127" s="1288"/>
      <c r="BP127" s="1288"/>
      <c r="BQ127" s="1237" t="n">
        <v>40330</v>
      </c>
      <c r="BR127" s="1238" t="n">
        <v>3.1035</v>
      </c>
      <c r="BS127" s="1238" t="n">
        <v>3.1085</v>
      </c>
      <c r="BT127" s="1238" t="n">
        <v>3.1135</v>
      </c>
      <c r="BU127" s="1239" t="n">
        <v>0.1425</v>
      </c>
      <c r="BV127" s="1239" t="n">
        <v>0.15</v>
      </c>
      <c r="BW127" s="1239" t="n">
        <v>0.1575</v>
      </c>
      <c r="BX127" s="1239" t="n">
        <v>-0.07</v>
      </c>
      <c r="BY127" s="1239"/>
      <c r="BZ127" s="1239" t="n">
        <v>0.07</v>
      </c>
      <c r="CA127" s="1243" t="n">
        <v>0</v>
      </c>
      <c r="CB127" s="1241" t="n">
        <v>0</v>
      </c>
      <c r="CC127" s="1242" t="n">
        <v>2.995</v>
      </c>
      <c r="CD127" s="1239" t="n">
        <v>0.1655</v>
      </c>
    </row>
    <row r="128" customFormat="false" ht="12.75" hidden="false" customHeight="false" outlineLevel="0" collapsed="false">
      <c r="A128" s="1237" t="n">
        <v>40452</v>
      </c>
      <c r="B128" s="1239" t="n">
        <v>0.072814198691813</v>
      </c>
      <c r="C128" s="1218"/>
      <c r="D128" s="1274" t="n">
        <v>39326</v>
      </c>
      <c r="E128" s="1275" t="n">
        <v>62.1950452962185</v>
      </c>
      <c r="F128" s="1275" t="n">
        <v>65.1950452962185</v>
      </c>
      <c r="G128" s="1275" t="n">
        <v>70.1950452962185</v>
      </c>
      <c r="H128" s="1266"/>
      <c r="I128" s="1275" t="n">
        <v>24.3375</v>
      </c>
      <c r="J128" s="1275" t="n">
        <v>25.8375</v>
      </c>
      <c r="K128" s="1275" t="n">
        <v>29.8375</v>
      </c>
      <c r="M128" s="1276" t="n">
        <v>40210</v>
      </c>
      <c r="N128" s="1277" t="n">
        <v>25.6335995638992</v>
      </c>
      <c r="O128" s="1277" t="n">
        <v>29.3835995638992</v>
      </c>
      <c r="P128" s="1277" t="n">
        <v>34.3835995638992</v>
      </c>
      <c r="Q128" s="109"/>
      <c r="R128" s="1277" t="n">
        <v>18.2876996729244</v>
      </c>
      <c r="S128" s="1277" t="n">
        <v>22.0376996729244</v>
      </c>
      <c r="T128" s="1277" t="n">
        <v>27.0376996729244</v>
      </c>
      <c r="V128" s="1278" t="n">
        <v>0</v>
      </c>
      <c r="W128" s="1278" t="n">
        <v>0</v>
      </c>
      <c r="X128" s="1278" t="n">
        <v>0</v>
      </c>
      <c r="Y128" s="1288"/>
      <c r="Z128" s="1277" t="n">
        <v>0.12</v>
      </c>
      <c r="AA128" s="1277" t="n">
        <v>0.13</v>
      </c>
      <c r="AB128" s="1277" t="n">
        <v>0.14</v>
      </c>
      <c r="AC128" s="109"/>
      <c r="AD128" s="1277" t="n">
        <v>0.09</v>
      </c>
      <c r="AE128" s="1277" t="n">
        <v>0.11</v>
      </c>
      <c r="AF128" s="1277" t="n">
        <v>0.13</v>
      </c>
      <c r="AG128" s="109"/>
      <c r="AH128" s="1277" t="n">
        <v>-0.25</v>
      </c>
      <c r="AI128" s="1277" t="n">
        <v>0.65</v>
      </c>
      <c r="AJ128" s="1277" t="n">
        <v>0.25</v>
      </c>
      <c r="AK128" s="109"/>
      <c r="AL128" s="1277" t="n">
        <v>-0.01</v>
      </c>
      <c r="AM128" s="1277" t="n">
        <v>0.16</v>
      </c>
      <c r="AN128" s="1277" t="n">
        <v>0.01</v>
      </c>
      <c r="AO128" s="109"/>
      <c r="AP128" s="197" t="n">
        <v>40</v>
      </c>
      <c r="AQ128" s="1280" t="n">
        <v>0.35</v>
      </c>
      <c r="AR128" s="1288"/>
      <c r="AS128" s="1288"/>
      <c r="AT128" s="1288"/>
      <c r="AU128" s="1288"/>
      <c r="AV128" s="1288"/>
      <c r="AW128" s="1288"/>
      <c r="AX128" s="1288"/>
      <c r="AY128" s="1288"/>
      <c r="AZ128" s="1288"/>
      <c r="BA128" s="1288"/>
      <c r="BB128" s="1288"/>
      <c r="BC128" s="1288"/>
      <c r="BD128" s="1288"/>
      <c r="BE128" s="1288"/>
      <c r="BF128" s="1288"/>
      <c r="BG128" s="1288"/>
      <c r="BH128" s="1288"/>
      <c r="BI128" s="1288"/>
      <c r="BJ128" s="1288"/>
      <c r="BK128" s="1288"/>
      <c r="BL128" s="1288"/>
      <c r="BM128" s="1288"/>
      <c r="BN128" s="1288"/>
      <c r="BO128" s="1288"/>
      <c r="BP128" s="1288"/>
      <c r="BQ128" s="1237" t="n">
        <v>40360</v>
      </c>
      <c r="BR128" s="1238" t="n">
        <v>3.1115</v>
      </c>
      <c r="BS128" s="1238" t="n">
        <v>3.1165</v>
      </c>
      <c r="BT128" s="1238" t="n">
        <v>3.1215</v>
      </c>
      <c r="BU128" s="1239" t="n">
        <v>0.1425</v>
      </c>
      <c r="BV128" s="1239" t="n">
        <v>0.15</v>
      </c>
      <c r="BW128" s="1239" t="n">
        <v>0.1575</v>
      </c>
      <c r="BX128" s="1239" t="n">
        <v>-0.07</v>
      </c>
      <c r="BY128" s="1239"/>
      <c r="BZ128" s="1239" t="n">
        <v>0.07</v>
      </c>
      <c r="CA128" s="1243" t="n">
        <v>0</v>
      </c>
      <c r="CB128" s="1241" t="n">
        <v>0</v>
      </c>
      <c r="CC128" s="1242" t="n">
        <v>3.14</v>
      </c>
      <c r="CD128" s="1239" t="n">
        <v>0.1655</v>
      </c>
    </row>
    <row r="129" customFormat="false" ht="12.75" hidden="false" customHeight="false" outlineLevel="0" collapsed="false">
      <c r="A129" s="1237" t="n">
        <v>40483</v>
      </c>
      <c r="B129" s="1239" t="n">
        <v>0.072815212637098</v>
      </c>
      <c r="C129" s="1218"/>
      <c r="D129" s="1274" t="n">
        <v>39356</v>
      </c>
      <c r="E129" s="1275" t="n">
        <v>34.1398343322297</v>
      </c>
      <c r="F129" s="1275" t="n">
        <v>37.1398343322297</v>
      </c>
      <c r="G129" s="1275" t="n">
        <v>42.1398343322297</v>
      </c>
      <c r="H129" s="1266"/>
      <c r="I129" s="1275" t="n">
        <v>23.8516129032258</v>
      </c>
      <c r="J129" s="1275" t="n">
        <v>25.3516129032258</v>
      </c>
      <c r="K129" s="1275" t="n">
        <v>29.3516129032258</v>
      </c>
      <c r="M129" s="1276" t="n">
        <v>40238</v>
      </c>
      <c r="N129" s="1277" t="n">
        <v>24.8835995638992</v>
      </c>
      <c r="O129" s="1277" t="n">
        <v>28.6335995638992</v>
      </c>
      <c r="P129" s="1277" t="n">
        <v>33.6335995638992</v>
      </c>
      <c r="Q129" s="109"/>
      <c r="R129" s="1277" t="n">
        <v>17.7251996729244</v>
      </c>
      <c r="S129" s="1277" t="n">
        <v>21.4751996729244</v>
      </c>
      <c r="T129" s="1277" t="n">
        <v>26.4751996729244</v>
      </c>
      <c r="V129" s="1278" t="n">
        <v>0</v>
      </c>
      <c r="W129" s="1278" t="n">
        <v>0</v>
      </c>
      <c r="X129" s="1278" t="n">
        <v>0</v>
      </c>
      <c r="Y129" s="1288"/>
      <c r="Z129" s="1277" t="n">
        <v>0.12</v>
      </c>
      <c r="AA129" s="1277" t="n">
        <v>0.13</v>
      </c>
      <c r="AB129" s="1277" t="n">
        <v>0.14</v>
      </c>
      <c r="AC129" s="109"/>
      <c r="AD129" s="1277" t="n">
        <v>0.09</v>
      </c>
      <c r="AE129" s="1277" t="n">
        <v>0.11</v>
      </c>
      <c r="AF129" s="1277" t="n">
        <v>0.13</v>
      </c>
      <c r="AG129" s="109"/>
      <c r="AH129" s="1277" t="n">
        <v>-0.1</v>
      </c>
      <c r="AI129" s="1277" t="n">
        <v>0.65</v>
      </c>
      <c r="AJ129" s="1277" t="n">
        <v>0.1</v>
      </c>
      <c r="AK129" s="109"/>
      <c r="AL129" s="1277" t="n">
        <v>-0.01</v>
      </c>
      <c r="AM129" s="1277" t="n">
        <v>0.16</v>
      </c>
      <c r="AN129" s="1277" t="n">
        <v>0.01</v>
      </c>
      <c r="AO129" s="109"/>
      <c r="AP129" s="197" t="n">
        <v>40</v>
      </c>
      <c r="AQ129" s="1280" t="n">
        <v>0.35</v>
      </c>
      <c r="AR129" s="1288"/>
      <c r="AS129" s="1288"/>
      <c r="AT129" s="1288"/>
      <c r="AU129" s="1288"/>
      <c r="AV129" s="1288"/>
      <c r="AW129" s="1288"/>
      <c r="AX129" s="1288"/>
      <c r="AY129" s="1288"/>
      <c r="AZ129" s="1288"/>
      <c r="BA129" s="1288"/>
      <c r="BB129" s="1288"/>
      <c r="BC129" s="1288"/>
      <c r="BD129" s="1288"/>
      <c r="BE129" s="1288"/>
      <c r="BF129" s="1288"/>
      <c r="BG129" s="1288"/>
      <c r="BH129" s="1288"/>
      <c r="BI129" s="1288"/>
      <c r="BJ129" s="1288"/>
      <c r="BK129" s="1288"/>
      <c r="BL129" s="1288"/>
      <c r="BM129" s="1288"/>
      <c r="BN129" s="1288"/>
      <c r="BO129" s="1288"/>
      <c r="BP129" s="1288"/>
      <c r="BQ129" s="1237" t="n">
        <v>40391</v>
      </c>
      <c r="BR129" s="1238" t="n">
        <v>3.1205</v>
      </c>
      <c r="BS129" s="1238" t="n">
        <v>3.1255</v>
      </c>
      <c r="BT129" s="1238" t="n">
        <v>3.1305</v>
      </c>
      <c r="BU129" s="1239" t="n">
        <v>0.1425</v>
      </c>
      <c r="BV129" s="1239" t="n">
        <v>0.15</v>
      </c>
      <c r="BW129" s="1239" t="n">
        <v>0.1575</v>
      </c>
      <c r="BX129" s="1239" t="n">
        <v>-0.07</v>
      </c>
      <c r="BY129" s="1239"/>
      <c r="BZ129" s="1239" t="n">
        <v>0.07</v>
      </c>
      <c r="CA129" s="1243" t="n">
        <v>0</v>
      </c>
      <c r="CB129" s="1241" t="n">
        <v>0</v>
      </c>
      <c r="CC129" s="1242" t="n">
        <v>3.234</v>
      </c>
      <c r="CD129" s="1239" t="n">
        <v>0.1645</v>
      </c>
    </row>
    <row r="130" customFormat="false" ht="12.75" hidden="false" customHeight="false" outlineLevel="0" collapsed="false">
      <c r="A130" s="1237" t="n">
        <v>40513</v>
      </c>
      <c r="B130" s="1239" t="n">
        <v>0.072816193874469</v>
      </c>
      <c r="C130" s="1218"/>
      <c r="D130" s="1274" t="n">
        <v>39387</v>
      </c>
      <c r="E130" s="1275" t="n">
        <v>26.3898343322298</v>
      </c>
      <c r="F130" s="1275" t="n">
        <v>29.3898343322298</v>
      </c>
      <c r="G130" s="1275" t="n">
        <v>34.3898343322298</v>
      </c>
      <c r="H130" s="1266"/>
      <c r="I130" s="1275" t="n">
        <v>25.1916666666667</v>
      </c>
      <c r="J130" s="1275" t="n">
        <v>26.6916666666667</v>
      </c>
      <c r="K130" s="1275" t="n">
        <v>30.6916666666667</v>
      </c>
      <c r="M130" s="1276" t="n">
        <v>40269</v>
      </c>
      <c r="N130" s="1277" t="n">
        <v>24.7386375375953</v>
      </c>
      <c r="O130" s="1277" t="n">
        <v>28.4886375375953</v>
      </c>
      <c r="P130" s="1277" t="n">
        <v>33.4886375375953</v>
      </c>
      <c r="Q130" s="109"/>
      <c r="R130" s="1277" t="n">
        <v>17.6164781531965</v>
      </c>
      <c r="S130" s="1277" t="n">
        <v>21.3664781531965</v>
      </c>
      <c r="T130" s="1277" t="n">
        <v>26.3664781531965</v>
      </c>
      <c r="V130" s="1278" t="n">
        <v>0</v>
      </c>
      <c r="W130" s="1278" t="n">
        <v>0</v>
      </c>
      <c r="X130" s="1278" t="n">
        <v>0</v>
      </c>
      <c r="Y130" s="1288"/>
      <c r="Z130" s="1277" t="n">
        <v>0.12</v>
      </c>
      <c r="AA130" s="1277" t="n">
        <v>0.13</v>
      </c>
      <c r="AB130" s="1277" t="n">
        <v>0.14</v>
      </c>
      <c r="AC130" s="109"/>
      <c r="AD130" s="1277" t="n">
        <v>0.09</v>
      </c>
      <c r="AE130" s="1277" t="n">
        <v>0.11</v>
      </c>
      <c r="AF130" s="1277" t="n">
        <v>0.13</v>
      </c>
      <c r="AG130" s="109"/>
      <c r="AH130" s="1277" t="n">
        <v>-0.1</v>
      </c>
      <c r="AI130" s="1277" t="n">
        <v>0.65</v>
      </c>
      <c r="AJ130" s="1277" t="n">
        <v>0.1</v>
      </c>
      <c r="AK130" s="109"/>
      <c r="AL130" s="1277" t="n">
        <v>-0.01</v>
      </c>
      <c r="AM130" s="1277" t="n">
        <v>0.16</v>
      </c>
      <c r="AN130" s="1277" t="n">
        <v>0.01</v>
      </c>
      <c r="AO130" s="109"/>
      <c r="AP130" s="197" t="n">
        <v>41</v>
      </c>
      <c r="AQ130" s="1280" t="n">
        <v>0.35</v>
      </c>
      <c r="AR130" s="1288"/>
      <c r="AS130" s="1288"/>
      <c r="AT130" s="1288"/>
      <c r="AU130" s="1288"/>
      <c r="AV130" s="1288"/>
      <c r="AW130" s="1288"/>
      <c r="AX130" s="1288"/>
      <c r="AY130" s="1288"/>
      <c r="AZ130" s="1288"/>
      <c r="BA130" s="1288"/>
      <c r="BB130" s="1288"/>
      <c r="BC130" s="1288"/>
      <c r="BD130" s="1288"/>
      <c r="BE130" s="1288"/>
      <c r="BF130" s="1288"/>
      <c r="BG130" s="1288"/>
      <c r="BH130" s="1288"/>
      <c r="BI130" s="1288"/>
      <c r="BJ130" s="1288"/>
      <c r="BK130" s="1288"/>
      <c r="BL130" s="1288"/>
      <c r="BM130" s="1288"/>
      <c r="BN130" s="1288"/>
      <c r="BO130" s="1288"/>
      <c r="BP130" s="1288"/>
      <c r="BQ130" s="1237" t="n">
        <v>40422</v>
      </c>
      <c r="BR130" s="1238" t="n">
        <v>3.1205</v>
      </c>
      <c r="BS130" s="1238" t="n">
        <v>3.1255</v>
      </c>
      <c r="BT130" s="1238" t="n">
        <v>3.1305</v>
      </c>
      <c r="BU130" s="1239" t="n">
        <v>0.1425</v>
      </c>
      <c r="BV130" s="1239" t="n">
        <v>0.15</v>
      </c>
      <c r="BW130" s="1239" t="n">
        <v>0.1575</v>
      </c>
      <c r="BX130" s="1239" t="n">
        <v>-0.07</v>
      </c>
      <c r="BY130" s="1239"/>
      <c r="BZ130" s="1239" t="n">
        <v>0.07</v>
      </c>
      <c r="CA130" s="1243" t="n">
        <v>0</v>
      </c>
      <c r="CB130" s="1241" t="n">
        <v>0</v>
      </c>
      <c r="CC130" s="1242" t="n">
        <v>3.109</v>
      </c>
      <c r="CD130" s="1239" t="n">
        <v>0.1645</v>
      </c>
    </row>
    <row r="131" customFormat="false" ht="12.75" hidden="false" customHeight="false" outlineLevel="0" collapsed="false">
      <c r="A131" s="1237" t="n">
        <v>40544</v>
      </c>
      <c r="B131" s="1239" t="n">
        <v>0.072817207819753</v>
      </c>
      <c r="C131" s="1218"/>
      <c r="D131" s="1274" t="n">
        <v>39417</v>
      </c>
      <c r="E131" s="1275" t="n">
        <v>28.3898343322297</v>
      </c>
      <c r="F131" s="1275" t="n">
        <v>31.3898343322297</v>
      </c>
      <c r="G131" s="1275" t="n">
        <v>36.3898343322297</v>
      </c>
      <c r="H131" s="1266"/>
      <c r="I131" s="1275" t="n">
        <v>24.4967741935484</v>
      </c>
      <c r="J131" s="1275" t="n">
        <v>25.9967741935484</v>
      </c>
      <c r="K131" s="1275" t="n">
        <v>29.9967741935484</v>
      </c>
      <c r="M131" s="1276" t="n">
        <v>40299</v>
      </c>
      <c r="N131" s="1277" t="n">
        <v>24.7386375375953</v>
      </c>
      <c r="O131" s="1277" t="n">
        <v>28.4886375375953</v>
      </c>
      <c r="P131" s="1277" t="n">
        <v>33.4886375375953</v>
      </c>
      <c r="Q131" s="109"/>
      <c r="R131" s="1277" t="n">
        <v>17.6164781531965</v>
      </c>
      <c r="S131" s="1277" t="n">
        <v>21.3664781531965</v>
      </c>
      <c r="T131" s="1277" t="n">
        <v>26.3664781531965</v>
      </c>
      <c r="V131" s="1278" t="n">
        <v>0</v>
      </c>
      <c r="W131" s="1278" t="n">
        <v>0</v>
      </c>
      <c r="X131" s="1278" t="n">
        <v>0</v>
      </c>
      <c r="Y131" s="1288"/>
      <c r="Z131" s="1277" t="n">
        <v>0.12</v>
      </c>
      <c r="AA131" s="1277" t="n">
        <v>0.13</v>
      </c>
      <c r="AB131" s="1277" t="n">
        <v>0.14</v>
      </c>
      <c r="AC131" s="109"/>
      <c r="AD131" s="1277" t="n">
        <v>0.09</v>
      </c>
      <c r="AE131" s="1277" t="n">
        <v>0.11</v>
      </c>
      <c r="AF131" s="1277" t="n">
        <v>0.13</v>
      </c>
      <c r="AG131" s="109"/>
      <c r="AH131" s="1277" t="n">
        <v>-0.1</v>
      </c>
      <c r="AI131" s="1277" t="n">
        <v>0.65</v>
      </c>
      <c r="AJ131" s="1277" t="n">
        <v>0.1</v>
      </c>
      <c r="AK131" s="109"/>
      <c r="AL131" s="1277" t="n">
        <v>-0.01</v>
      </c>
      <c r="AM131" s="1277" t="n">
        <v>0.16</v>
      </c>
      <c r="AN131" s="1277" t="n">
        <v>0.01</v>
      </c>
      <c r="AO131" s="109"/>
      <c r="AP131" s="197" t="n">
        <v>41</v>
      </c>
      <c r="AQ131" s="1280" t="n">
        <v>0.35</v>
      </c>
      <c r="AR131" s="1288"/>
      <c r="AS131" s="1288"/>
      <c r="AT131" s="1288"/>
      <c r="AU131" s="1288"/>
      <c r="AV131" s="1288"/>
      <c r="AW131" s="1288"/>
      <c r="AX131" s="1288"/>
      <c r="AY131" s="1288"/>
      <c r="AZ131" s="1288"/>
      <c r="BA131" s="1288"/>
      <c r="BB131" s="1288"/>
      <c r="BC131" s="1288"/>
      <c r="BD131" s="1288"/>
      <c r="BE131" s="1288"/>
      <c r="BF131" s="1288"/>
      <c r="BG131" s="1288"/>
      <c r="BH131" s="1288"/>
      <c r="BI131" s="1288"/>
      <c r="BJ131" s="1288"/>
      <c r="BK131" s="1288"/>
      <c r="BL131" s="1288"/>
      <c r="BM131" s="1288"/>
      <c r="BN131" s="1288"/>
      <c r="BO131" s="1288"/>
      <c r="BP131" s="1288"/>
      <c r="BQ131" s="1237" t="n">
        <v>40452</v>
      </c>
      <c r="BR131" s="1238" t="n">
        <v>3.1405</v>
      </c>
      <c r="BS131" s="1238" t="n">
        <v>3.1455</v>
      </c>
      <c r="BT131" s="1238" t="n">
        <v>3.1505</v>
      </c>
      <c r="BU131" s="1239" t="n">
        <v>0.1425</v>
      </c>
      <c r="BV131" s="1239" t="n">
        <v>0.15</v>
      </c>
      <c r="BW131" s="1239" t="n">
        <v>0.1575</v>
      </c>
      <c r="BX131" s="1239" t="n">
        <v>-0.07</v>
      </c>
      <c r="BY131" s="1239"/>
      <c r="BZ131" s="1239" t="n">
        <v>0.07</v>
      </c>
      <c r="CA131" s="1243" t="n">
        <v>0</v>
      </c>
      <c r="CB131" s="1241" t="n">
        <v>0</v>
      </c>
      <c r="CC131" s="1242" t="n">
        <v>3.002</v>
      </c>
      <c r="CD131" s="1239" t="n">
        <v>0.1645</v>
      </c>
    </row>
    <row r="132" customFormat="false" ht="12.75" hidden="false" customHeight="false" outlineLevel="0" collapsed="false">
      <c r="A132" s="1237" t="n">
        <v>40575</v>
      </c>
      <c r="B132" s="1239" t="n">
        <v>0.072818221765038</v>
      </c>
      <c r="C132" s="1218"/>
      <c r="D132" s="1274" t="n">
        <v>39448</v>
      </c>
      <c r="E132" s="1275" t="n">
        <v>26.8141704115083</v>
      </c>
      <c r="F132" s="1275" t="n">
        <v>30.0641704115083</v>
      </c>
      <c r="G132" s="1275" t="n">
        <v>35.0641704115083</v>
      </c>
      <c r="H132" s="1266"/>
      <c r="I132" s="1275" t="n">
        <v>22.1381191510522</v>
      </c>
      <c r="J132" s="1275" t="n">
        <v>23.6381191510522</v>
      </c>
      <c r="K132" s="1275" t="n">
        <v>27.6381191510522</v>
      </c>
      <c r="M132" s="1276" t="n">
        <v>40330</v>
      </c>
      <c r="N132" s="1277" t="n">
        <v>29.9886375375953</v>
      </c>
      <c r="O132" s="1277" t="n">
        <v>33.7386375375953</v>
      </c>
      <c r="P132" s="1277" t="n">
        <v>38.7386375375953</v>
      </c>
      <c r="Q132" s="109"/>
      <c r="R132" s="1277" t="n">
        <v>21.5539781531965</v>
      </c>
      <c r="S132" s="1277" t="n">
        <v>25.3039781531965</v>
      </c>
      <c r="T132" s="1277" t="n">
        <v>30.3039781531965</v>
      </c>
      <c r="V132" s="1278" t="n">
        <v>0</v>
      </c>
      <c r="W132" s="1278" t="n">
        <v>0</v>
      </c>
      <c r="X132" s="1278" t="n">
        <v>0</v>
      </c>
      <c r="Y132" s="1288"/>
      <c r="Z132" s="1277" t="n">
        <v>0.12</v>
      </c>
      <c r="AA132" s="1277" t="n">
        <v>0.13</v>
      </c>
      <c r="AB132" s="1277" t="n">
        <v>0.14</v>
      </c>
      <c r="AC132" s="109"/>
      <c r="AD132" s="1277" t="n">
        <v>0.09</v>
      </c>
      <c r="AE132" s="1277" t="n">
        <v>0.11</v>
      </c>
      <c r="AF132" s="1277" t="n">
        <v>0.13</v>
      </c>
      <c r="AG132" s="109"/>
      <c r="AH132" s="1277" t="n">
        <v>-0.35</v>
      </c>
      <c r="AI132" s="1277" t="n">
        <v>0.65</v>
      </c>
      <c r="AJ132" s="1277" t="n">
        <v>0.2</v>
      </c>
      <c r="AK132" s="109"/>
      <c r="AL132" s="1277" t="n">
        <v>-0.01</v>
      </c>
      <c r="AM132" s="1277" t="n">
        <v>0.16</v>
      </c>
      <c r="AN132" s="1277" t="n">
        <v>0.01</v>
      </c>
      <c r="AO132" s="109"/>
      <c r="AP132" s="197" t="n">
        <v>41</v>
      </c>
      <c r="AQ132" s="1280" t="n">
        <v>0.35</v>
      </c>
      <c r="AR132" s="1288"/>
      <c r="AS132" s="1288"/>
      <c r="AT132" s="1288"/>
      <c r="AU132" s="1288"/>
      <c r="AV132" s="1288"/>
      <c r="AW132" s="1288"/>
      <c r="AX132" s="1288"/>
      <c r="AY132" s="1288"/>
      <c r="AZ132" s="1288"/>
      <c r="BA132" s="1288"/>
      <c r="BB132" s="1288"/>
      <c r="BC132" s="1288"/>
      <c r="BD132" s="1288"/>
      <c r="BE132" s="1288"/>
      <c r="BF132" s="1288"/>
      <c r="BG132" s="1288"/>
      <c r="BH132" s="1288"/>
      <c r="BI132" s="1288"/>
      <c r="BJ132" s="1288"/>
      <c r="BK132" s="1288"/>
      <c r="BL132" s="1288"/>
      <c r="BM132" s="1288"/>
      <c r="BN132" s="1288"/>
      <c r="BO132" s="1288"/>
      <c r="BP132" s="1288"/>
      <c r="BQ132" s="1237" t="n">
        <v>40483</v>
      </c>
      <c r="BR132" s="1238" t="n">
        <v>3.2385</v>
      </c>
      <c r="BS132" s="1238" t="n">
        <v>3.2435</v>
      </c>
      <c r="BT132" s="1238" t="n">
        <v>3.2485</v>
      </c>
      <c r="BU132" s="1239" t="n">
        <v>0.1425</v>
      </c>
      <c r="BV132" s="1239" t="n">
        <v>0.15</v>
      </c>
      <c r="BW132" s="1239" t="n">
        <v>0.1575</v>
      </c>
      <c r="BX132" s="1239" t="n">
        <v>-0.07</v>
      </c>
      <c r="BY132" s="1239"/>
      <c r="BZ132" s="1239" t="n">
        <v>0.07</v>
      </c>
      <c r="CA132" s="1243" t="n">
        <v>0</v>
      </c>
      <c r="CB132" s="1241" t="n">
        <v>0</v>
      </c>
      <c r="CC132" s="1242" t="n">
        <v>2.899</v>
      </c>
      <c r="CD132" s="1239" t="n">
        <v>0.1645</v>
      </c>
    </row>
    <row r="133" customFormat="false" ht="12.75" hidden="false" customHeight="false" outlineLevel="0" collapsed="false">
      <c r="A133" s="1237" t="n">
        <v>40603</v>
      </c>
      <c r="B133" s="1239" t="n">
        <v>0.072819137586586</v>
      </c>
      <c r="C133" s="1218"/>
      <c r="D133" s="1274" t="n">
        <v>39479</v>
      </c>
      <c r="E133" s="1275" t="n">
        <v>26.3141704115083</v>
      </c>
      <c r="F133" s="1275" t="n">
        <v>29.5641704115083</v>
      </c>
      <c r="G133" s="1275" t="n">
        <v>34.5641704115083</v>
      </c>
      <c r="H133" s="1266"/>
      <c r="I133" s="1275" t="n">
        <v>23.1071428571429</v>
      </c>
      <c r="J133" s="1275" t="n">
        <v>24.6071428571429</v>
      </c>
      <c r="K133" s="1275" t="n">
        <v>28.6071428571429</v>
      </c>
      <c r="M133" s="1276" t="n">
        <v>40360</v>
      </c>
      <c r="N133" s="1277" t="n">
        <v>56.1817663604603</v>
      </c>
      <c r="O133" s="1277" t="n">
        <v>59.9317663604603</v>
      </c>
      <c r="P133" s="1277" t="n">
        <v>64.9317663604603</v>
      </c>
      <c r="Q133" s="109"/>
      <c r="R133" s="1277" t="n">
        <v>41.1988247703452</v>
      </c>
      <c r="S133" s="1277" t="n">
        <v>44.9488247703452</v>
      </c>
      <c r="T133" s="1277" t="n">
        <v>49.9488247703452</v>
      </c>
      <c r="V133" s="1278" t="n">
        <v>0</v>
      </c>
      <c r="W133" s="1278" t="n">
        <v>0</v>
      </c>
      <c r="X133" s="1278" t="n">
        <v>0</v>
      </c>
      <c r="Y133" s="1288"/>
      <c r="Z133" s="1277" t="n">
        <v>0.12</v>
      </c>
      <c r="AA133" s="1277" t="n">
        <v>0.13</v>
      </c>
      <c r="AB133" s="1277" t="n">
        <v>0.14</v>
      </c>
      <c r="AC133" s="109"/>
      <c r="AD133" s="1277" t="n">
        <v>0.09</v>
      </c>
      <c r="AE133" s="1277" t="n">
        <v>0.11</v>
      </c>
      <c r="AF133" s="1277" t="n">
        <v>0.13</v>
      </c>
      <c r="AG133" s="109"/>
      <c r="AH133" s="1277" t="n">
        <v>-0.35</v>
      </c>
      <c r="AI133" s="1277" t="n">
        <v>3</v>
      </c>
      <c r="AJ133" s="1277" t="n">
        <v>0.35</v>
      </c>
      <c r="AK133" s="109"/>
      <c r="AL133" s="1277" t="n">
        <v>-0.01</v>
      </c>
      <c r="AM133" s="1277" t="n">
        <v>0.16</v>
      </c>
      <c r="AN133" s="1277" t="n">
        <v>0.01</v>
      </c>
      <c r="AO133" s="109"/>
      <c r="AP133" s="197" t="n">
        <v>42</v>
      </c>
      <c r="AQ133" s="1280" t="n">
        <v>0.35</v>
      </c>
      <c r="AR133" s="1288"/>
      <c r="AS133" s="1288"/>
      <c r="AT133" s="1288"/>
      <c r="AU133" s="1288"/>
      <c r="AV133" s="1288"/>
      <c r="AW133" s="1288"/>
      <c r="AX133" s="1288"/>
      <c r="AY133" s="1288"/>
      <c r="AZ133" s="1288"/>
      <c r="BA133" s="1288"/>
      <c r="BB133" s="1288"/>
      <c r="BC133" s="1288"/>
      <c r="BD133" s="1288"/>
      <c r="BE133" s="1288"/>
      <c r="BF133" s="1288"/>
      <c r="BG133" s="1288"/>
      <c r="BH133" s="1288"/>
      <c r="BI133" s="1288"/>
      <c r="BJ133" s="1288"/>
      <c r="BK133" s="1288"/>
      <c r="BL133" s="1288"/>
      <c r="BM133" s="1288"/>
      <c r="BN133" s="1288"/>
      <c r="BO133" s="1288"/>
      <c r="BP133" s="1288"/>
      <c r="BQ133" s="1237" t="n">
        <v>40513</v>
      </c>
      <c r="BR133" s="1238" t="n">
        <v>3.3405</v>
      </c>
      <c r="BS133" s="1238" t="n">
        <v>3.3455</v>
      </c>
      <c r="BT133" s="1238" t="n">
        <v>3.3505</v>
      </c>
      <c r="BU133" s="1239" t="n">
        <v>0.1425</v>
      </c>
      <c r="BV133" s="1239" t="n">
        <v>0.15</v>
      </c>
      <c r="BW133" s="1239" t="n">
        <v>0.1575</v>
      </c>
      <c r="BX133" s="1239" t="n">
        <v>-0.07</v>
      </c>
      <c r="BY133" s="1239"/>
      <c r="BZ133" s="1239" t="n">
        <v>0.07</v>
      </c>
      <c r="CA133" s="1243" t="n">
        <v>0</v>
      </c>
      <c r="CB133" s="1241" t="n">
        <v>0</v>
      </c>
      <c r="CC133" s="1242" t="n">
        <v>2.875</v>
      </c>
      <c r="CD133" s="1239" t="n">
        <v>0.1645</v>
      </c>
    </row>
    <row r="134" customFormat="false" ht="12.75" hidden="false" customHeight="false" outlineLevel="0" collapsed="false">
      <c r="A134" s="1237" t="n">
        <v>40634</v>
      </c>
      <c r="B134" s="1239" t="n">
        <v>0.072820151531871</v>
      </c>
      <c r="C134" s="1218"/>
      <c r="D134" s="1274" t="n">
        <v>39508</v>
      </c>
      <c r="E134" s="1275" t="n">
        <v>26.0641704115083</v>
      </c>
      <c r="F134" s="1275" t="n">
        <v>29.3141704115083</v>
      </c>
      <c r="G134" s="1275" t="n">
        <v>34.3141704115083</v>
      </c>
      <c r="H134" s="1266"/>
      <c r="I134" s="1275" t="n">
        <v>23.3870967741936</v>
      </c>
      <c r="J134" s="1275" t="n">
        <v>24.8870967741936</v>
      </c>
      <c r="K134" s="1275" t="n">
        <v>28.8870967741936</v>
      </c>
      <c r="M134" s="1276" t="n">
        <v>40391</v>
      </c>
      <c r="N134" s="1277" t="n">
        <v>76.8067663604603</v>
      </c>
      <c r="O134" s="1277" t="n">
        <v>80.5567663604603</v>
      </c>
      <c r="P134" s="1277" t="n">
        <v>85.5567663604603</v>
      </c>
      <c r="Q134" s="109"/>
      <c r="R134" s="1277" t="n">
        <v>56.6675747703452</v>
      </c>
      <c r="S134" s="1277" t="n">
        <v>60.4175747703452</v>
      </c>
      <c r="T134" s="1277" t="n">
        <v>65.4175747703452</v>
      </c>
      <c r="V134" s="1278" t="n">
        <v>0</v>
      </c>
      <c r="W134" s="1278" t="n">
        <v>0</v>
      </c>
      <c r="X134" s="1278" t="n">
        <v>0</v>
      </c>
      <c r="Y134" s="1288"/>
      <c r="Z134" s="1277" t="n">
        <v>0.12</v>
      </c>
      <c r="AA134" s="1277" t="n">
        <v>0.13</v>
      </c>
      <c r="AB134" s="1277" t="n">
        <v>0.14</v>
      </c>
      <c r="AC134" s="109"/>
      <c r="AD134" s="1277" t="n">
        <v>0.09</v>
      </c>
      <c r="AE134" s="1277" t="n">
        <v>0.11</v>
      </c>
      <c r="AF134" s="1277" t="n">
        <v>0.13</v>
      </c>
      <c r="AG134" s="109"/>
      <c r="AH134" s="1277" t="n">
        <v>-0.35</v>
      </c>
      <c r="AI134" s="1277" t="n">
        <v>3</v>
      </c>
      <c r="AJ134" s="1277" t="n">
        <v>0.35</v>
      </c>
      <c r="AK134" s="109"/>
      <c r="AL134" s="1277" t="n">
        <v>-0.01</v>
      </c>
      <c r="AM134" s="1277" t="n">
        <v>0.16</v>
      </c>
      <c r="AN134" s="1277" t="n">
        <v>0.01</v>
      </c>
      <c r="AO134" s="109"/>
      <c r="AP134" s="197" t="n">
        <v>42</v>
      </c>
      <c r="AQ134" s="1280" t="n">
        <v>0.35</v>
      </c>
      <c r="AR134" s="1288"/>
      <c r="AS134" s="1288"/>
      <c r="AT134" s="1288"/>
      <c r="AU134" s="1288"/>
      <c r="AV134" s="1288"/>
      <c r="AW134" s="1288"/>
      <c r="AX134" s="1288"/>
      <c r="AY134" s="1288"/>
      <c r="AZ134" s="1288"/>
      <c r="BA134" s="1288"/>
      <c r="BB134" s="1288"/>
      <c r="BC134" s="1288"/>
      <c r="BD134" s="1288"/>
      <c r="BE134" s="1288"/>
      <c r="BF134" s="1288"/>
      <c r="BG134" s="1288"/>
      <c r="BH134" s="1288"/>
      <c r="BI134" s="1288"/>
      <c r="BJ134" s="1288"/>
      <c r="BK134" s="1288"/>
      <c r="BL134" s="1288"/>
      <c r="BM134" s="1288"/>
      <c r="BN134" s="1288"/>
      <c r="BO134" s="1288"/>
      <c r="BP134" s="1288"/>
      <c r="BQ134" s="1237" t="n">
        <v>40544</v>
      </c>
      <c r="BR134" s="1238" t="n">
        <v>3.391</v>
      </c>
      <c r="BS134" s="1238" t="n">
        <v>3.396</v>
      </c>
      <c r="BT134" s="1238" t="n">
        <v>3.401</v>
      </c>
      <c r="BU134" s="1239" t="n">
        <v>0.1485</v>
      </c>
      <c r="BV134" s="1239" t="n">
        <v>0.15</v>
      </c>
      <c r="BW134" s="1239" t="n">
        <v>0.1635</v>
      </c>
      <c r="BX134" s="1239" t="n">
        <v>-0.07</v>
      </c>
      <c r="BY134" s="1239"/>
      <c r="BZ134" s="1239" t="n">
        <v>0.07</v>
      </c>
      <c r="CA134" s="1243" t="n">
        <v>0</v>
      </c>
      <c r="CB134" s="1241" t="n">
        <v>0</v>
      </c>
      <c r="CC134" s="1242" t="n">
        <v>2.882</v>
      </c>
      <c r="CD134" s="1239" t="n">
        <v>0.1645</v>
      </c>
    </row>
    <row r="135" customFormat="false" ht="12.75" hidden="false" customHeight="false" outlineLevel="0" collapsed="false">
      <c r="A135" s="1237" t="n">
        <v>40664</v>
      </c>
      <c r="B135" s="1239" t="n">
        <v>0.072821132769244</v>
      </c>
      <c r="C135" s="1218"/>
      <c r="D135" s="1274" t="n">
        <v>39539</v>
      </c>
      <c r="E135" s="1275" t="n">
        <v>26.1497356067288</v>
      </c>
      <c r="F135" s="1275" t="n">
        <v>29.3997356067288</v>
      </c>
      <c r="G135" s="1275" t="n">
        <v>34.3997356067288</v>
      </c>
      <c r="H135" s="1266"/>
      <c r="I135" s="1275" t="n">
        <v>21.1875</v>
      </c>
      <c r="J135" s="1275" t="n">
        <v>22.6875</v>
      </c>
      <c r="K135" s="1275" t="n">
        <v>26.6875</v>
      </c>
      <c r="M135" s="1276" t="n">
        <v>40422</v>
      </c>
      <c r="N135" s="1277" t="n">
        <v>60.8067663604603</v>
      </c>
      <c r="O135" s="1277" t="n">
        <v>64.5567663604603</v>
      </c>
      <c r="P135" s="1277" t="n">
        <v>69.5567663604603</v>
      </c>
      <c r="Q135" s="109"/>
      <c r="R135" s="1277" t="n">
        <v>44.6675747703452</v>
      </c>
      <c r="S135" s="1277" t="n">
        <v>48.4175747703452</v>
      </c>
      <c r="T135" s="1277" t="n">
        <v>53.4175747703452</v>
      </c>
      <c r="V135" s="1278" t="n">
        <v>0</v>
      </c>
      <c r="W135" s="1278" t="n">
        <v>0</v>
      </c>
      <c r="X135" s="1278" t="n">
        <v>0</v>
      </c>
      <c r="Y135" s="1288"/>
      <c r="Z135" s="1277" t="n">
        <v>0.12</v>
      </c>
      <c r="AA135" s="1277" t="n">
        <v>0.13</v>
      </c>
      <c r="AB135" s="1277" t="n">
        <v>0.14</v>
      </c>
      <c r="AC135" s="109"/>
      <c r="AD135" s="1277" t="n">
        <v>0.09</v>
      </c>
      <c r="AE135" s="1277" t="n">
        <v>0.11</v>
      </c>
      <c r="AF135" s="1277" t="n">
        <v>0.13</v>
      </c>
      <c r="AG135" s="109"/>
      <c r="AH135" s="1277" t="n">
        <v>-0.35</v>
      </c>
      <c r="AI135" s="1277" t="n">
        <v>3</v>
      </c>
      <c r="AJ135" s="1277" t="n">
        <v>0.2</v>
      </c>
      <c r="AK135" s="109"/>
      <c r="AL135" s="1277" t="n">
        <v>-0.01</v>
      </c>
      <c r="AM135" s="1277" t="n">
        <v>0.16</v>
      </c>
      <c r="AN135" s="1277" t="n">
        <v>0.01</v>
      </c>
      <c r="AO135" s="109"/>
      <c r="AP135" s="197" t="n">
        <v>42</v>
      </c>
      <c r="AQ135" s="1280" t="n">
        <v>0.35</v>
      </c>
      <c r="AR135" s="1288"/>
      <c r="AS135" s="1288"/>
      <c r="AT135" s="1288"/>
      <c r="AU135" s="1288"/>
      <c r="AV135" s="1288"/>
      <c r="AW135" s="1288"/>
      <c r="AX135" s="1288"/>
      <c r="AY135" s="1288"/>
      <c r="AZ135" s="1288"/>
      <c r="BA135" s="1288"/>
      <c r="BB135" s="1288"/>
      <c r="BC135" s="1288"/>
      <c r="BD135" s="1288"/>
      <c r="BE135" s="1288"/>
      <c r="BF135" s="1288"/>
      <c r="BG135" s="1288"/>
      <c r="BH135" s="1288"/>
      <c r="BI135" s="1288"/>
      <c r="BJ135" s="1288"/>
      <c r="BK135" s="1288"/>
      <c r="BL135" s="1288"/>
      <c r="BM135" s="1288"/>
      <c r="BN135" s="1288"/>
      <c r="BO135" s="1288"/>
      <c r="BP135" s="1288"/>
      <c r="BQ135" s="1237" t="n">
        <v>40575</v>
      </c>
      <c r="BR135" s="1238" t="n">
        <v>3.31</v>
      </c>
      <c r="BS135" s="1238" t="n">
        <v>3.315</v>
      </c>
      <c r="BT135" s="1238" t="n">
        <v>3.32</v>
      </c>
      <c r="BU135" s="1239" t="n">
        <v>0.1485</v>
      </c>
      <c r="BV135" s="1239" t="n">
        <v>0.15</v>
      </c>
      <c r="BW135" s="1239" t="n">
        <v>0.1635</v>
      </c>
      <c r="BX135" s="1239" t="n">
        <v>-0.07</v>
      </c>
      <c r="BY135" s="1239"/>
      <c r="BZ135" s="1239" t="n">
        <v>0.07</v>
      </c>
      <c r="CA135" s="1243" t="n">
        <v>0</v>
      </c>
      <c r="CB135" s="1241" t="n">
        <v>0</v>
      </c>
      <c r="CC135" s="1242" t="n">
        <v>2.888</v>
      </c>
      <c r="CD135" s="1239" t="n">
        <v>0.1645</v>
      </c>
    </row>
    <row r="136" customFormat="false" ht="12.75" hidden="false" customHeight="false" outlineLevel="0" collapsed="false">
      <c r="A136" s="1237" t="n">
        <v>40695</v>
      </c>
      <c r="B136" s="1239" t="n">
        <v>0.07282214671453</v>
      </c>
      <c r="C136" s="1218"/>
      <c r="D136" s="1274" t="n">
        <v>39569</v>
      </c>
      <c r="E136" s="1275" t="n">
        <v>25.3997356067288</v>
      </c>
      <c r="F136" s="1275" t="n">
        <v>28.6497356067288</v>
      </c>
      <c r="G136" s="1275" t="n">
        <v>33.6497356067288</v>
      </c>
      <c r="H136" s="1266"/>
      <c r="I136" s="1275" t="n">
        <v>21.2459677419355</v>
      </c>
      <c r="J136" s="1275" t="n">
        <v>22.7459677419355</v>
      </c>
      <c r="K136" s="1275" t="n">
        <v>26.7459677419355</v>
      </c>
      <c r="M136" s="1276" t="n">
        <v>40452</v>
      </c>
      <c r="N136" s="1277" t="n">
        <v>33.1414771819984</v>
      </c>
      <c r="O136" s="1277" t="n">
        <v>36.8914771819984</v>
      </c>
      <c r="P136" s="1277" t="n">
        <v>41.8914771819984</v>
      </c>
      <c r="Q136" s="109"/>
      <c r="R136" s="1277" t="n">
        <v>23.9186078864988</v>
      </c>
      <c r="S136" s="1277" t="n">
        <v>27.6686078864988</v>
      </c>
      <c r="T136" s="1277" t="n">
        <v>32.6686078864988</v>
      </c>
      <c r="V136" s="1278" t="n">
        <v>0</v>
      </c>
      <c r="W136" s="1278" t="n">
        <v>0</v>
      </c>
      <c r="X136" s="1278" t="n">
        <v>0</v>
      </c>
      <c r="Y136" s="1288"/>
      <c r="Z136" s="1277" t="n">
        <v>0.12</v>
      </c>
      <c r="AA136" s="1277" t="n">
        <v>0.13</v>
      </c>
      <c r="AB136" s="1277" t="n">
        <v>0.14</v>
      </c>
      <c r="AC136" s="109"/>
      <c r="AD136" s="1277" t="n">
        <v>0.09</v>
      </c>
      <c r="AE136" s="1277" t="n">
        <v>0.11</v>
      </c>
      <c r="AF136" s="1277" t="n">
        <v>0.13</v>
      </c>
      <c r="AG136" s="109"/>
      <c r="AH136" s="1277" t="n">
        <v>-0.1</v>
      </c>
      <c r="AI136" s="1277" t="n">
        <v>0.6</v>
      </c>
      <c r="AJ136" s="1277" t="n">
        <v>0.1</v>
      </c>
      <c r="AK136" s="109"/>
      <c r="AL136" s="1277" t="n">
        <v>-0.01</v>
      </c>
      <c r="AM136" s="1277" t="n">
        <v>0.16</v>
      </c>
      <c r="AN136" s="1277" t="n">
        <v>0.01</v>
      </c>
      <c r="AO136" s="109"/>
      <c r="AP136" s="197" t="n">
        <v>43</v>
      </c>
      <c r="AQ136" s="1280" t="n">
        <v>0.35</v>
      </c>
      <c r="AR136" s="1288"/>
      <c r="AS136" s="1288"/>
      <c r="AT136" s="1288"/>
      <c r="AU136" s="1288"/>
      <c r="AV136" s="1288"/>
      <c r="AW136" s="1288"/>
      <c r="AX136" s="1288"/>
      <c r="AY136" s="1288"/>
      <c r="AZ136" s="1288"/>
      <c r="BA136" s="1288"/>
      <c r="BB136" s="1288"/>
      <c r="BC136" s="1288"/>
      <c r="BD136" s="1288"/>
      <c r="BE136" s="1288"/>
      <c r="BF136" s="1288"/>
      <c r="BG136" s="1288"/>
      <c r="BH136" s="1288"/>
      <c r="BI136" s="1288"/>
      <c r="BJ136" s="1288"/>
      <c r="BK136" s="1288"/>
      <c r="BL136" s="1288"/>
      <c r="BM136" s="1288"/>
      <c r="BN136" s="1288"/>
      <c r="BO136" s="1288"/>
      <c r="BP136" s="1288"/>
      <c r="BQ136" s="1237" t="n">
        <v>40603</v>
      </c>
      <c r="BR136" s="1238" t="n">
        <v>3.219</v>
      </c>
      <c r="BS136" s="1238" t="n">
        <v>3.224</v>
      </c>
      <c r="BT136" s="1238" t="n">
        <v>3.229</v>
      </c>
      <c r="BU136" s="1239" t="n">
        <v>0.1485</v>
      </c>
      <c r="BV136" s="1239" t="n">
        <v>0.15</v>
      </c>
      <c r="BW136" s="1239" t="n">
        <v>0.1635</v>
      </c>
      <c r="BX136" s="1239" t="n">
        <v>-0.07</v>
      </c>
      <c r="BY136" s="1239"/>
      <c r="BZ136" s="1239" t="n">
        <v>0.07</v>
      </c>
      <c r="CA136" s="1243" t="n">
        <v>0</v>
      </c>
      <c r="CB136" s="1241" t="n">
        <v>0</v>
      </c>
      <c r="CC136" s="1242" t="n">
        <v>2.893</v>
      </c>
      <c r="CD136" s="1239" t="n">
        <v>0.1645</v>
      </c>
    </row>
    <row r="137" customFormat="false" ht="12.75" hidden="false" customHeight="false" outlineLevel="0" collapsed="false">
      <c r="A137" s="1237" t="n">
        <v>40725</v>
      </c>
      <c r="B137" s="1239" t="n">
        <v>0.072823127951904</v>
      </c>
      <c r="C137" s="1218"/>
      <c r="D137" s="1274" t="n">
        <v>39600</v>
      </c>
      <c r="E137" s="1275" t="n">
        <v>30.6497356067288</v>
      </c>
      <c r="F137" s="1275" t="n">
        <v>33.8997356067288</v>
      </c>
      <c r="G137" s="1275" t="n">
        <v>38.8997356067288</v>
      </c>
      <c r="H137" s="1266"/>
      <c r="I137" s="1275" t="n">
        <v>20.5</v>
      </c>
      <c r="J137" s="1275" t="n">
        <v>22</v>
      </c>
      <c r="K137" s="1275" t="n">
        <v>26</v>
      </c>
      <c r="M137" s="1276" t="n">
        <v>40483</v>
      </c>
      <c r="N137" s="1277" t="n">
        <v>25.3914771819984</v>
      </c>
      <c r="O137" s="1277" t="n">
        <v>29.1414771819984</v>
      </c>
      <c r="P137" s="1277" t="n">
        <v>34.1414771819984</v>
      </c>
      <c r="Q137" s="109"/>
      <c r="R137" s="1277" t="n">
        <v>18.1061078864988</v>
      </c>
      <c r="S137" s="1277" t="n">
        <v>21.8561078864988</v>
      </c>
      <c r="T137" s="1277" t="n">
        <v>26.8561078864988</v>
      </c>
      <c r="V137" s="1278" t="n">
        <v>0</v>
      </c>
      <c r="W137" s="1278" t="n">
        <v>0</v>
      </c>
      <c r="X137" s="1278" t="n">
        <v>0</v>
      </c>
      <c r="Y137" s="1288"/>
      <c r="Z137" s="1277" t="n">
        <v>0.12</v>
      </c>
      <c r="AA137" s="1277" t="n">
        <v>0.13</v>
      </c>
      <c r="AB137" s="1277" t="n">
        <v>0.14</v>
      </c>
      <c r="AC137" s="109"/>
      <c r="AD137" s="1277" t="n">
        <v>0.09</v>
      </c>
      <c r="AE137" s="1277" t="n">
        <v>0.11</v>
      </c>
      <c r="AF137" s="1277" t="n">
        <v>0.13</v>
      </c>
      <c r="AG137" s="109"/>
      <c r="AH137" s="1277" t="n">
        <v>-0.1</v>
      </c>
      <c r="AI137" s="1277" t="n">
        <v>0.6</v>
      </c>
      <c r="AJ137" s="1277" t="n">
        <v>0.1</v>
      </c>
      <c r="AK137" s="109"/>
      <c r="AL137" s="1277" t="n">
        <v>-0.01</v>
      </c>
      <c r="AM137" s="1277" t="n">
        <v>0.16</v>
      </c>
      <c r="AN137" s="1277" t="n">
        <v>0.01</v>
      </c>
      <c r="AO137" s="109"/>
      <c r="AP137" s="197" t="n">
        <v>43</v>
      </c>
      <c r="AQ137" s="1280" t="n">
        <v>0.35</v>
      </c>
      <c r="AR137" s="1288"/>
      <c r="AS137" s="1288"/>
      <c r="AT137" s="1288"/>
      <c r="AU137" s="1288"/>
      <c r="AV137" s="1288"/>
      <c r="AW137" s="1288"/>
      <c r="AX137" s="1288"/>
      <c r="AY137" s="1288"/>
      <c r="AZ137" s="1288"/>
      <c r="BA137" s="1288"/>
      <c r="BB137" s="1288"/>
      <c r="BC137" s="1288"/>
      <c r="BD137" s="1288"/>
      <c r="BE137" s="1288"/>
      <c r="BF137" s="1288"/>
      <c r="BG137" s="1288"/>
      <c r="BH137" s="1288"/>
      <c r="BI137" s="1288"/>
      <c r="BJ137" s="1288"/>
      <c r="BK137" s="1288"/>
      <c r="BL137" s="1288"/>
      <c r="BM137" s="1288"/>
      <c r="BN137" s="1288"/>
      <c r="BO137" s="1288"/>
      <c r="BP137" s="1288"/>
      <c r="BQ137" s="1237" t="n">
        <v>40634</v>
      </c>
      <c r="BR137" s="1238" t="n">
        <v>3.143</v>
      </c>
      <c r="BS137" s="1238" t="n">
        <v>3.148</v>
      </c>
      <c r="BT137" s="1238" t="n">
        <v>3.153</v>
      </c>
      <c r="BU137" s="1239" t="n">
        <v>0.1485</v>
      </c>
      <c r="BV137" s="1239" t="n">
        <v>0.15</v>
      </c>
      <c r="BW137" s="1239" t="n">
        <v>0.1635</v>
      </c>
      <c r="BX137" s="1239" t="n">
        <v>-0.07</v>
      </c>
      <c r="BY137" s="1239"/>
      <c r="BZ137" s="1239" t="n">
        <v>0.07</v>
      </c>
      <c r="CA137" s="1243" t="n">
        <v>0</v>
      </c>
      <c r="CB137" s="1241" t="n">
        <v>0</v>
      </c>
      <c r="CC137" s="1242" t="n">
        <v>2.896</v>
      </c>
      <c r="CD137" s="1239" t="n">
        <v>0.1645</v>
      </c>
    </row>
    <row r="138" customFormat="false" ht="12.75" hidden="false" customHeight="false" outlineLevel="0" collapsed="false">
      <c r="A138" s="1237" t="n">
        <v>40756</v>
      </c>
      <c r="B138" s="1239" t="n">
        <v>0.072824141897191</v>
      </c>
      <c r="C138" s="1218"/>
      <c r="D138" s="1274" t="n">
        <v>39630</v>
      </c>
      <c r="E138" s="1275" t="n">
        <v>56.9861868247667</v>
      </c>
      <c r="F138" s="1275" t="n">
        <v>60.2361868247667</v>
      </c>
      <c r="G138" s="1275" t="n">
        <v>65.2361868247667</v>
      </c>
      <c r="H138" s="1266"/>
      <c r="I138" s="1275" t="n">
        <v>26.5241935483871</v>
      </c>
      <c r="J138" s="1275" t="n">
        <v>28.0241935483871</v>
      </c>
      <c r="K138" s="1275" t="n">
        <v>32.0241935483871</v>
      </c>
      <c r="M138" s="1276" t="n">
        <v>40513</v>
      </c>
      <c r="N138" s="1277" t="n">
        <v>27.3914771819984</v>
      </c>
      <c r="O138" s="1277" t="n">
        <v>31.1414771819984</v>
      </c>
      <c r="P138" s="1277" t="n">
        <v>36.1414771819984</v>
      </c>
      <c r="Q138" s="109"/>
      <c r="R138" s="1277" t="n">
        <v>19.6061078864988</v>
      </c>
      <c r="S138" s="1277" t="n">
        <v>23.3561078864988</v>
      </c>
      <c r="T138" s="1277" t="n">
        <v>28.3561078864988</v>
      </c>
      <c r="V138" s="1278" t="n">
        <v>0</v>
      </c>
      <c r="W138" s="1278" t="n">
        <v>0</v>
      </c>
      <c r="X138" s="1278" t="n">
        <v>0</v>
      </c>
      <c r="Y138" s="1288"/>
      <c r="Z138" s="1277" t="n">
        <v>0.12</v>
      </c>
      <c r="AA138" s="1277" t="n">
        <v>0.13</v>
      </c>
      <c r="AB138" s="1277" t="n">
        <v>0.14</v>
      </c>
      <c r="AC138" s="109"/>
      <c r="AD138" s="1277" t="n">
        <v>0.09</v>
      </c>
      <c r="AE138" s="1277" t="n">
        <v>0.11</v>
      </c>
      <c r="AF138" s="1277" t="n">
        <v>0.13</v>
      </c>
      <c r="AG138" s="109"/>
      <c r="AH138" s="1277" t="n">
        <v>-0.25</v>
      </c>
      <c r="AI138" s="1277" t="n">
        <v>0.6</v>
      </c>
      <c r="AJ138" s="1277" t="n">
        <v>0.25</v>
      </c>
      <c r="AK138" s="109"/>
      <c r="AL138" s="1277" t="n">
        <v>-0.01</v>
      </c>
      <c r="AM138" s="1277" t="n">
        <v>0.16</v>
      </c>
      <c r="AN138" s="1277" t="n">
        <v>0.01</v>
      </c>
      <c r="AO138" s="109"/>
      <c r="AP138" s="197" t="n">
        <v>43</v>
      </c>
      <c r="AQ138" s="1280" t="n">
        <v>0.35</v>
      </c>
      <c r="AR138" s="1288"/>
      <c r="AS138" s="1288"/>
      <c r="AT138" s="1288"/>
      <c r="AU138" s="1288"/>
      <c r="AV138" s="1288"/>
      <c r="AW138" s="1288"/>
      <c r="AX138" s="1288"/>
      <c r="AY138" s="1288"/>
      <c r="AZ138" s="1288"/>
      <c r="BA138" s="1288"/>
      <c r="BB138" s="1288"/>
      <c r="BC138" s="1288"/>
      <c r="BD138" s="1288"/>
      <c r="BE138" s="1288"/>
      <c r="BF138" s="1288"/>
      <c r="BG138" s="1288"/>
      <c r="BH138" s="1288"/>
      <c r="BI138" s="1288"/>
      <c r="BJ138" s="1288"/>
      <c r="BK138" s="1288"/>
      <c r="BL138" s="1288"/>
      <c r="BM138" s="1288"/>
      <c r="BN138" s="1288"/>
      <c r="BO138" s="1288"/>
      <c r="BP138" s="1288"/>
      <c r="BQ138" s="1237" t="n">
        <v>40664</v>
      </c>
      <c r="BR138" s="1238" t="n">
        <v>3.165</v>
      </c>
      <c r="BS138" s="1238" t="n">
        <v>3.17</v>
      </c>
      <c r="BT138" s="1238" t="n">
        <v>3.175</v>
      </c>
      <c r="BU138" s="1239" t="n">
        <v>0.1485</v>
      </c>
      <c r="BV138" s="1239" t="n">
        <v>0.15</v>
      </c>
      <c r="BW138" s="1239" t="n">
        <v>0.1635</v>
      </c>
      <c r="BX138" s="1239" t="n">
        <v>-0.07</v>
      </c>
      <c r="BY138" s="1239"/>
      <c r="BZ138" s="1239" t="n">
        <v>0.07</v>
      </c>
      <c r="CA138" s="1243" t="n">
        <v>0</v>
      </c>
      <c r="CB138" s="1241" t="n">
        <v>0</v>
      </c>
      <c r="CC138" s="1242" t="n">
        <v>2.929</v>
      </c>
      <c r="CD138" s="1239" t="n">
        <v>0.1645</v>
      </c>
    </row>
    <row r="139" customFormat="false" ht="12.75" hidden="false" customHeight="false" outlineLevel="0" collapsed="false">
      <c r="A139" s="1237" t="n">
        <v>40787</v>
      </c>
      <c r="B139" s="1239" t="n">
        <v>0.072825155842478</v>
      </c>
      <c r="C139" s="1218"/>
      <c r="D139" s="1274" t="n">
        <v>39661</v>
      </c>
      <c r="E139" s="1275" t="n">
        <v>77.6111868247667</v>
      </c>
      <c r="F139" s="1275" t="n">
        <v>80.8611868247667</v>
      </c>
      <c r="G139" s="1275" t="n">
        <v>85.8611868247667</v>
      </c>
      <c r="H139" s="1266"/>
      <c r="I139" s="1275" t="n">
        <v>24.5241935483871</v>
      </c>
      <c r="J139" s="1275" t="n">
        <v>26.0241935483871</v>
      </c>
      <c r="K139" s="1275" t="n">
        <v>30.0241935483871</v>
      </c>
      <c r="M139" s="1276" t="n">
        <v>40544</v>
      </c>
      <c r="N139" s="1277" t="n">
        <v>26.1215399607601</v>
      </c>
      <c r="O139" s="1277" t="n">
        <v>29.8715399607601</v>
      </c>
      <c r="P139" s="1277" t="n">
        <v>34.8715399607601</v>
      </c>
      <c r="Q139" s="109"/>
      <c r="R139" s="1277" t="n">
        <v>18.6536549705701</v>
      </c>
      <c r="S139" s="1277" t="n">
        <v>22.4036549705701</v>
      </c>
      <c r="T139" s="1277" t="n">
        <v>27.4036549705701</v>
      </c>
      <c r="V139" s="1278" t="n">
        <v>0</v>
      </c>
      <c r="W139" s="1278" t="n">
        <v>0</v>
      </c>
      <c r="X139" s="1278" t="n">
        <v>0</v>
      </c>
      <c r="Y139" s="1288"/>
      <c r="Z139" s="1277" t="n">
        <v>0.115</v>
      </c>
      <c r="AA139" s="1277" t="n">
        <v>0.125</v>
      </c>
      <c r="AB139" s="1277" t="n">
        <v>0.135</v>
      </c>
      <c r="AC139" s="109"/>
      <c r="AD139" s="1277" t="n">
        <v>0.09</v>
      </c>
      <c r="AE139" s="1277" t="n">
        <v>0.11</v>
      </c>
      <c r="AF139" s="1277" t="n">
        <v>0.13</v>
      </c>
      <c r="AG139" s="109"/>
      <c r="AH139" s="1277" t="n">
        <v>-0.25</v>
      </c>
      <c r="AI139" s="1277" t="n">
        <v>0.65</v>
      </c>
      <c r="AJ139" s="1277" t="n">
        <v>0.25</v>
      </c>
      <c r="AK139" s="109"/>
      <c r="AL139" s="1277" t="n">
        <v>-0.01</v>
      </c>
      <c r="AM139" s="1277" t="n">
        <v>0.16</v>
      </c>
      <c r="AN139" s="1277" t="n">
        <v>0.01</v>
      </c>
      <c r="AO139" s="109"/>
      <c r="AP139" s="197" t="n">
        <v>44</v>
      </c>
      <c r="AQ139" s="1280" t="n">
        <v>0.35</v>
      </c>
      <c r="AR139" s="1288"/>
      <c r="AS139" s="1288"/>
      <c r="AT139" s="1288"/>
      <c r="AU139" s="1288"/>
      <c r="AV139" s="1288"/>
      <c r="AW139" s="1288"/>
      <c r="AX139" s="1288"/>
      <c r="AY139" s="1288"/>
      <c r="AZ139" s="1288"/>
      <c r="BA139" s="1288"/>
      <c r="BB139" s="1288"/>
      <c r="BC139" s="1288"/>
      <c r="BD139" s="1288"/>
      <c r="BE139" s="1288"/>
      <c r="BF139" s="1288"/>
      <c r="BG139" s="1288"/>
      <c r="BH139" s="1288"/>
      <c r="BI139" s="1288"/>
      <c r="BJ139" s="1288"/>
      <c r="BK139" s="1288"/>
      <c r="BL139" s="1288"/>
      <c r="BM139" s="1288"/>
      <c r="BN139" s="1288"/>
      <c r="BO139" s="1288"/>
      <c r="BP139" s="1288"/>
      <c r="BQ139" s="1237" t="n">
        <v>40695</v>
      </c>
      <c r="BR139" s="1238" t="n">
        <v>3.18</v>
      </c>
      <c r="BS139" s="1238" t="n">
        <v>3.185</v>
      </c>
      <c r="BT139" s="1238" t="n">
        <v>3.19</v>
      </c>
      <c r="BU139" s="1239" t="n">
        <v>0.1485</v>
      </c>
      <c r="BV139" s="1239" t="n">
        <v>0.15</v>
      </c>
      <c r="BW139" s="1239" t="n">
        <v>0.1635</v>
      </c>
      <c r="BX139" s="1239" t="n">
        <v>-0.07</v>
      </c>
      <c r="BY139" s="1239"/>
      <c r="BZ139" s="1239" t="n">
        <v>0.07</v>
      </c>
      <c r="CA139" s="1243" t="n">
        <v>0</v>
      </c>
      <c r="CB139" s="1241" t="n">
        <v>0</v>
      </c>
      <c r="CC139" s="1242" t="n">
        <v>3.07</v>
      </c>
      <c r="CD139" s="1239" t="n">
        <v>0.1645</v>
      </c>
    </row>
    <row r="140" customFormat="false" ht="12.75" hidden="false" customHeight="false" outlineLevel="0" collapsed="false">
      <c r="A140" s="1237" t="n">
        <v>40817</v>
      </c>
      <c r="B140" s="1239" t="n">
        <v>0.072826137079852</v>
      </c>
      <c r="C140" s="1218"/>
      <c r="D140" s="1274" t="n">
        <v>39692</v>
      </c>
      <c r="E140" s="1275" t="n">
        <v>61.6111868247667</v>
      </c>
      <c r="F140" s="1275" t="n">
        <v>64.8611868247667</v>
      </c>
      <c r="G140" s="1275" t="n">
        <v>69.8611868247667</v>
      </c>
      <c r="H140" s="1266"/>
      <c r="I140" s="1275" t="n">
        <v>24.9375</v>
      </c>
      <c r="J140" s="1275" t="n">
        <v>26.4375</v>
      </c>
      <c r="K140" s="1275" t="n">
        <v>30.4375</v>
      </c>
      <c r="M140" s="1276" t="n">
        <v>40575</v>
      </c>
      <c r="N140" s="1277" t="n">
        <v>25.6215399607601</v>
      </c>
      <c r="O140" s="1277" t="n">
        <v>29.3715399607601</v>
      </c>
      <c r="P140" s="1277" t="n">
        <v>34.3715399607601</v>
      </c>
      <c r="Q140" s="109"/>
      <c r="R140" s="1277" t="n">
        <v>18.2786549705701</v>
      </c>
      <c r="S140" s="1277" t="n">
        <v>22.0286549705701</v>
      </c>
      <c r="T140" s="1277" t="n">
        <v>27.0286549705701</v>
      </c>
      <c r="V140" s="1278" t="n">
        <v>0</v>
      </c>
      <c r="W140" s="1278" t="n">
        <v>0</v>
      </c>
      <c r="X140" s="1278" t="n">
        <v>0</v>
      </c>
      <c r="Y140" s="1288"/>
      <c r="Z140" s="1277" t="n">
        <v>0.115</v>
      </c>
      <c r="AA140" s="1277" t="n">
        <v>0.125</v>
      </c>
      <c r="AB140" s="1277" t="n">
        <v>0.135</v>
      </c>
      <c r="AC140" s="109"/>
      <c r="AD140" s="1277" t="n">
        <v>0.09</v>
      </c>
      <c r="AE140" s="1277" t="n">
        <v>0.11</v>
      </c>
      <c r="AF140" s="1277" t="n">
        <v>0.13</v>
      </c>
      <c r="AG140" s="109"/>
      <c r="AH140" s="1277" t="n">
        <v>-0.25</v>
      </c>
      <c r="AI140" s="1277" t="n">
        <v>0.65</v>
      </c>
      <c r="AJ140" s="1277" t="n">
        <v>0.25</v>
      </c>
      <c r="AK140" s="109"/>
      <c r="AL140" s="1277" t="n">
        <v>-0.01</v>
      </c>
      <c r="AM140" s="1277" t="n">
        <v>0.16</v>
      </c>
      <c r="AN140" s="1277" t="n">
        <v>0.01</v>
      </c>
      <c r="AO140" s="109"/>
      <c r="AP140" s="197" t="n">
        <v>44</v>
      </c>
      <c r="AQ140" s="1280" t="n">
        <v>0.35</v>
      </c>
      <c r="AR140" s="1288"/>
      <c r="AS140" s="1288"/>
      <c r="AT140" s="1288"/>
      <c r="AU140" s="1288"/>
      <c r="AV140" s="1288"/>
      <c r="AW140" s="1288"/>
      <c r="AX140" s="1288"/>
      <c r="AY140" s="1288"/>
      <c r="AZ140" s="1288"/>
      <c r="BA140" s="1288"/>
      <c r="BB140" s="1288"/>
      <c r="BC140" s="1288"/>
      <c r="BD140" s="1288"/>
      <c r="BE140" s="1288"/>
      <c r="BF140" s="1288"/>
      <c r="BG140" s="1288"/>
      <c r="BH140" s="1288"/>
      <c r="BI140" s="1288"/>
      <c r="BJ140" s="1288"/>
      <c r="BK140" s="1288"/>
      <c r="BL140" s="1288"/>
      <c r="BM140" s="1288"/>
      <c r="BN140" s="1288"/>
      <c r="BO140" s="1288"/>
      <c r="BP140" s="1288"/>
      <c r="BQ140" s="1237" t="n">
        <v>40725</v>
      </c>
      <c r="BR140" s="1238" t="n">
        <v>3.188</v>
      </c>
      <c r="BS140" s="1238" t="n">
        <v>3.193</v>
      </c>
      <c r="BT140" s="1238" t="n">
        <v>3.198</v>
      </c>
      <c r="BU140" s="1239" t="n">
        <v>0.1485</v>
      </c>
      <c r="BV140" s="1239" t="n">
        <v>0.15</v>
      </c>
      <c r="BW140" s="1239" t="n">
        <v>0.1635</v>
      </c>
      <c r="BX140" s="1239" t="n">
        <v>-0.07</v>
      </c>
      <c r="BY140" s="1239"/>
      <c r="BZ140" s="1239" t="n">
        <v>0.07</v>
      </c>
      <c r="CA140" s="1243" t="n">
        <v>0</v>
      </c>
      <c r="CB140" s="1241" t="n">
        <v>0</v>
      </c>
      <c r="CC140" s="1242" t="n">
        <v>3.215</v>
      </c>
      <c r="CD140" s="1239" t="n">
        <v>0.1645</v>
      </c>
    </row>
    <row r="141" customFormat="false" ht="12.75" hidden="false" customHeight="false" outlineLevel="0" collapsed="false">
      <c r="A141" s="1237" t="n">
        <v>40848</v>
      </c>
      <c r="B141" s="1239" t="n">
        <v>0.07282715102514</v>
      </c>
      <c r="C141" s="1218"/>
      <c r="D141" s="1274" t="n">
        <v>39722</v>
      </c>
      <c r="E141" s="1275" t="n">
        <v>33.7497203644129</v>
      </c>
      <c r="F141" s="1275" t="n">
        <v>36.9997203644129</v>
      </c>
      <c r="G141" s="1275" t="n">
        <v>41.9997203644129</v>
      </c>
      <c r="H141" s="1266"/>
      <c r="I141" s="1275" t="n">
        <v>24.4516129032258</v>
      </c>
      <c r="J141" s="1275" t="n">
        <v>25.9516129032258</v>
      </c>
      <c r="K141" s="1275" t="n">
        <v>29.9516129032258</v>
      </c>
      <c r="M141" s="1276" t="n">
        <v>40603</v>
      </c>
      <c r="N141" s="1277" t="n">
        <v>24.8715399607601</v>
      </c>
      <c r="O141" s="1277" t="n">
        <v>28.6215399607601</v>
      </c>
      <c r="P141" s="1277" t="n">
        <v>33.6215399607601</v>
      </c>
      <c r="Q141" s="109"/>
      <c r="R141" s="1277" t="n">
        <v>17.7161549705701</v>
      </c>
      <c r="S141" s="1277" t="n">
        <v>21.4661549705701</v>
      </c>
      <c r="T141" s="1277" t="n">
        <v>26.4661549705701</v>
      </c>
      <c r="V141" s="1278" t="n">
        <v>0</v>
      </c>
      <c r="W141" s="1278" t="n">
        <v>0</v>
      </c>
      <c r="X141" s="1278" t="n">
        <v>0</v>
      </c>
      <c r="Y141" s="1288"/>
      <c r="Z141" s="1277" t="n">
        <v>0.115</v>
      </c>
      <c r="AA141" s="1277" t="n">
        <v>0.125</v>
      </c>
      <c r="AB141" s="1277" t="n">
        <v>0.135</v>
      </c>
      <c r="AC141" s="109"/>
      <c r="AD141" s="1277" t="n">
        <v>0.09</v>
      </c>
      <c r="AE141" s="1277" t="n">
        <v>0.11</v>
      </c>
      <c r="AF141" s="1277" t="n">
        <v>0.13</v>
      </c>
      <c r="AG141" s="109"/>
      <c r="AH141" s="1277" t="n">
        <v>-0.1</v>
      </c>
      <c r="AI141" s="1277" t="n">
        <v>0.65</v>
      </c>
      <c r="AJ141" s="1277" t="n">
        <v>0.1</v>
      </c>
      <c r="AK141" s="109"/>
      <c r="AL141" s="1277" t="n">
        <v>-0.01</v>
      </c>
      <c r="AM141" s="1277" t="n">
        <v>0.16</v>
      </c>
      <c r="AN141" s="1277" t="n">
        <v>0.01</v>
      </c>
      <c r="AO141" s="109"/>
      <c r="AP141" s="197" t="n">
        <v>44</v>
      </c>
      <c r="AQ141" s="1280" t="n">
        <v>0.35</v>
      </c>
      <c r="AR141" s="1288"/>
      <c r="AS141" s="1288"/>
      <c r="AT141" s="1288"/>
      <c r="AU141" s="1288"/>
      <c r="AV141" s="1288"/>
      <c r="AW141" s="1288"/>
      <c r="AX141" s="1288"/>
      <c r="AY141" s="1288"/>
      <c r="AZ141" s="1288"/>
      <c r="BA141" s="1288"/>
      <c r="BB141" s="1288"/>
      <c r="BC141" s="1288"/>
      <c r="BD141" s="1288"/>
      <c r="BE141" s="1288"/>
      <c r="BF141" s="1288"/>
      <c r="BG141" s="1288"/>
      <c r="BH141" s="1288"/>
      <c r="BI141" s="1288"/>
      <c r="BJ141" s="1288"/>
      <c r="BK141" s="1288"/>
      <c r="BL141" s="1288"/>
      <c r="BM141" s="1288"/>
      <c r="BN141" s="1288"/>
      <c r="BO141" s="1288"/>
      <c r="BP141" s="1288"/>
      <c r="BQ141" s="1237" t="n">
        <v>40756</v>
      </c>
      <c r="BR141" s="1238" t="n">
        <v>3.197</v>
      </c>
      <c r="BS141" s="1238" t="n">
        <v>3.202</v>
      </c>
      <c r="BT141" s="1238" t="n">
        <v>3.207</v>
      </c>
      <c r="BU141" s="1239" t="n">
        <v>0.1485</v>
      </c>
      <c r="BV141" s="1239" t="n">
        <v>0.15</v>
      </c>
      <c r="BW141" s="1239" t="n">
        <v>0.1635</v>
      </c>
      <c r="BX141" s="1239" t="n">
        <v>-0.07</v>
      </c>
      <c r="BY141" s="1239"/>
      <c r="BZ141" s="1239" t="n">
        <v>0.07</v>
      </c>
      <c r="CA141" s="1243" t="n">
        <v>0</v>
      </c>
      <c r="CB141" s="1241" t="n">
        <v>0</v>
      </c>
      <c r="CC141" s="1242" t="n">
        <v>3.314</v>
      </c>
      <c r="CD141" s="1239" t="n">
        <v>0.1635</v>
      </c>
    </row>
    <row r="142" customFormat="false" ht="12.75" hidden="false" customHeight="false" outlineLevel="0" collapsed="false">
      <c r="A142" s="1237" t="n">
        <v>40878</v>
      </c>
      <c r="B142" s="1239" t="n">
        <v>0.072828132262515</v>
      </c>
      <c r="C142" s="1218"/>
      <c r="D142" s="1274" t="n">
        <v>39753</v>
      </c>
      <c r="E142" s="1275" t="n">
        <v>25.9997203644129</v>
      </c>
      <c r="F142" s="1275" t="n">
        <v>29.2497203644129</v>
      </c>
      <c r="G142" s="1275" t="n">
        <v>34.2497203644129</v>
      </c>
      <c r="H142" s="1266"/>
      <c r="I142" s="1275" t="n">
        <v>25.7916666666667</v>
      </c>
      <c r="J142" s="1275" t="n">
        <v>27.2916666666667</v>
      </c>
      <c r="K142" s="1275" t="n">
        <v>31.2916666666667</v>
      </c>
      <c r="M142" s="1276" t="n">
        <v>40634</v>
      </c>
      <c r="N142" s="1277" t="n">
        <v>24.735687691877</v>
      </c>
      <c r="O142" s="1277" t="n">
        <v>28.485687691877</v>
      </c>
      <c r="P142" s="1277" t="n">
        <v>33.485687691877</v>
      </c>
      <c r="Q142" s="109"/>
      <c r="R142" s="1277" t="n">
        <v>17.6142657689078</v>
      </c>
      <c r="S142" s="1277" t="n">
        <v>21.3642657689078</v>
      </c>
      <c r="T142" s="1277" t="n">
        <v>26.3642657689078</v>
      </c>
      <c r="V142" s="1278" t="n">
        <v>0</v>
      </c>
      <c r="W142" s="1278" t="n">
        <v>0</v>
      </c>
      <c r="X142" s="1278" t="n">
        <v>0</v>
      </c>
      <c r="Y142" s="1288"/>
      <c r="Z142" s="1277" t="n">
        <v>0.115</v>
      </c>
      <c r="AA142" s="1277" t="n">
        <v>0.125</v>
      </c>
      <c r="AB142" s="1277" t="n">
        <v>0.135</v>
      </c>
      <c r="AC142" s="109"/>
      <c r="AD142" s="1277" t="n">
        <v>0.09</v>
      </c>
      <c r="AE142" s="1277" t="n">
        <v>0.11</v>
      </c>
      <c r="AF142" s="1277" t="n">
        <v>0.13</v>
      </c>
      <c r="AG142" s="109"/>
      <c r="AH142" s="1277" t="n">
        <v>-0.1</v>
      </c>
      <c r="AI142" s="1277" t="n">
        <v>0.65</v>
      </c>
      <c r="AJ142" s="1277" t="n">
        <v>0.1</v>
      </c>
      <c r="AK142" s="109"/>
      <c r="AL142" s="1277" t="n">
        <v>-0.01</v>
      </c>
      <c r="AM142" s="1277" t="n">
        <v>0.16</v>
      </c>
      <c r="AN142" s="1277" t="n">
        <v>0.01</v>
      </c>
      <c r="AO142" s="109"/>
      <c r="AP142" s="197" t="n">
        <v>45</v>
      </c>
      <c r="AQ142" s="1280" t="n">
        <v>0.35</v>
      </c>
      <c r="AR142" s="1288"/>
      <c r="AS142" s="1288"/>
      <c r="AT142" s="1288"/>
      <c r="AU142" s="1288"/>
      <c r="AV142" s="1288"/>
      <c r="AW142" s="1288"/>
      <c r="AX142" s="1288"/>
      <c r="AY142" s="1288"/>
      <c r="AZ142" s="1288"/>
      <c r="BA142" s="1288"/>
      <c r="BB142" s="1288"/>
      <c r="BC142" s="1288"/>
      <c r="BD142" s="1288"/>
      <c r="BE142" s="1288"/>
      <c r="BF142" s="1288"/>
      <c r="BG142" s="1288"/>
      <c r="BH142" s="1288"/>
      <c r="BI142" s="1288"/>
      <c r="BJ142" s="1288"/>
      <c r="BK142" s="1288"/>
      <c r="BL142" s="1288"/>
      <c r="BM142" s="1288"/>
      <c r="BN142" s="1288"/>
      <c r="BO142" s="1288"/>
      <c r="BP142" s="1288"/>
      <c r="BQ142" s="1237" t="n">
        <v>40787</v>
      </c>
      <c r="BR142" s="1238" t="n">
        <v>3.196</v>
      </c>
      <c r="BS142" s="1238" t="n">
        <v>3.201</v>
      </c>
      <c r="BT142" s="1238" t="n">
        <v>3.206</v>
      </c>
      <c r="BU142" s="1239" t="n">
        <v>0.1485</v>
      </c>
      <c r="BV142" s="1239" t="n">
        <v>0.15</v>
      </c>
      <c r="BW142" s="1239" t="n">
        <v>0.1635</v>
      </c>
      <c r="BX142" s="1239" t="n">
        <v>-0.07</v>
      </c>
      <c r="BY142" s="1239"/>
      <c r="BZ142" s="1239" t="n">
        <v>0.07</v>
      </c>
      <c r="CA142" s="1243" t="n">
        <v>0</v>
      </c>
      <c r="CB142" s="1241" t="n">
        <v>0</v>
      </c>
      <c r="CC142" s="1242" t="n">
        <v>3.189</v>
      </c>
      <c r="CD142" s="1239" t="n">
        <v>0.1635</v>
      </c>
    </row>
    <row r="143" customFormat="false" ht="12.75" hidden="false" customHeight="false" outlineLevel="0" collapsed="false">
      <c r="A143" s="1237" t="n">
        <v>40909</v>
      </c>
      <c r="B143" s="1239" t="n">
        <v>0.072829146207804</v>
      </c>
      <c r="C143" s="1218"/>
      <c r="D143" s="1274" t="n">
        <v>39783</v>
      </c>
      <c r="E143" s="1275" t="n">
        <v>27.9997203644129</v>
      </c>
      <c r="F143" s="1275" t="n">
        <v>31.2497203644129</v>
      </c>
      <c r="G143" s="1275" t="n">
        <v>36.2497203644129</v>
      </c>
      <c r="H143" s="1266"/>
      <c r="I143" s="1275" t="n">
        <v>25.0967741935484</v>
      </c>
      <c r="J143" s="1275" t="n">
        <v>26.5967741935484</v>
      </c>
      <c r="K143" s="1275" t="n">
        <v>30.5967741935484</v>
      </c>
      <c r="M143" s="1276" t="n">
        <v>40664</v>
      </c>
      <c r="N143" s="1277" t="n">
        <v>24.735687691877</v>
      </c>
      <c r="O143" s="1277" t="n">
        <v>28.485687691877</v>
      </c>
      <c r="P143" s="1277" t="n">
        <v>33.485687691877</v>
      </c>
      <c r="Q143" s="109"/>
      <c r="R143" s="1277" t="n">
        <v>17.6142657689078</v>
      </c>
      <c r="S143" s="1277" t="n">
        <v>21.3642657689078</v>
      </c>
      <c r="T143" s="1277" t="n">
        <v>26.3642657689078</v>
      </c>
      <c r="V143" s="1278" t="n">
        <v>0</v>
      </c>
      <c r="W143" s="1278" t="n">
        <v>0</v>
      </c>
      <c r="X143" s="1278" t="n">
        <v>0</v>
      </c>
      <c r="Y143" s="1288"/>
      <c r="Z143" s="1277" t="n">
        <v>0.115</v>
      </c>
      <c r="AA143" s="1277" t="n">
        <v>0.125</v>
      </c>
      <c r="AB143" s="1277" t="n">
        <v>0.135</v>
      </c>
      <c r="AC143" s="109"/>
      <c r="AD143" s="1277" t="n">
        <v>0.09</v>
      </c>
      <c r="AE143" s="1277" t="n">
        <v>0.11</v>
      </c>
      <c r="AF143" s="1277" t="n">
        <v>0.13</v>
      </c>
      <c r="AG143" s="109"/>
      <c r="AH143" s="1277" t="n">
        <v>-0.1</v>
      </c>
      <c r="AI143" s="1277" t="n">
        <v>0.65</v>
      </c>
      <c r="AJ143" s="1277" t="n">
        <v>0.1</v>
      </c>
      <c r="AK143" s="109"/>
      <c r="AL143" s="1277" t="n">
        <v>-0.01</v>
      </c>
      <c r="AM143" s="1277" t="n">
        <v>0.16</v>
      </c>
      <c r="AN143" s="1277" t="n">
        <v>0.01</v>
      </c>
      <c r="AO143" s="109"/>
      <c r="AP143" s="197" t="n">
        <v>45</v>
      </c>
      <c r="AQ143" s="1280" t="n">
        <v>0.35</v>
      </c>
      <c r="AR143" s="1288"/>
      <c r="AS143" s="1288"/>
      <c r="AT143" s="1288"/>
      <c r="AU143" s="1288"/>
      <c r="AV143" s="1288"/>
      <c r="AW143" s="1288"/>
      <c r="AX143" s="1288"/>
      <c r="AY143" s="1288"/>
      <c r="AZ143" s="1288"/>
      <c r="BA143" s="1288"/>
      <c r="BB143" s="1288"/>
      <c r="BC143" s="1288"/>
      <c r="BD143" s="1288"/>
      <c r="BE143" s="1288"/>
      <c r="BF143" s="1288"/>
      <c r="BG143" s="1288"/>
      <c r="BH143" s="1288"/>
      <c r="BI143" s="1288"/>
      <c r="BJ143" s="1288"/>
      <c r="BK143" s="1288"/>
      <c r="BL143" s="1288"/>
      <c r="BM143" s="1288"/>
      <c r="BN143" s="1288"/>
      <c r="BO143" s="1288"/>
      <c r="BP143" s="1288"/>
      <c r="BQ143" s="1237" t="n">
        <v>40817</v>
      </c>
      <c r="BR143" s="1238" t="n">
        <v>3.215</v>
      </c>
      <c r="BS143" s="1238" t="n">
        <v>3.22</v>
      </c>
      <c r="BT143" s="1238" t="n">
        <v>3.225</v>
      </c>
      <c r="BU143" s="1239" t="n">
        <v>0.1485</v>
      </c>
      <c r="BV143" s="1239" t="n">
        <v>0.15</v>
      </c>
      <c r="BW143" s="1239" t="n">
        <v>0.1635</v>
      </c>
      <c r="BX143" s="1239" t="n">
        <v>-0.07</v>
      </c>
      <c r="BY143" s="1239"/>
      <c r="BZ143" s="1239" t="n">
        <v>0.07</v>
      </c>
      <c r="CA143" s="1243" t="n">
        <v>0</v>
      </c>
      <c r="CB143" s="1241" t="n">
        <v>0</v>
      </c>
      <c r="CC143" s="1242" t="n">
        <v>3.082</v>
      </c>
      <c r="CD143" s="1239" t="n">
        <v>0.1635</v>
      </c>
    </row>
    <row r="144" customFormat="false" ht="12.75" hidden="false" customHeight="false" outlineLevel="0" collapsed="false">
      <c r="A144" s="1237" t="n">
        <v>40940</v>
      </c>
      <c r="B144" s="1239" t="n">
        <v>0.072830160153093</v>
      </c>
      <c r="C144" s="1218"/>
      <c r="D144" s="1274" t="n">
        <v>39814</v>
      </c>
      <c r="E144" s="1275" t="n">
        <v>26.6817571765863</v>
      </c>
      <c r="F144" s="1275" t="n">
        <v>29.9317571765863</v>
      </c>
      <c r="G144" s="1275" t="n">
        <v>34.9317571765863</v>
      </c>
      <c r="H144" s="1266"/>
      <c r="I144" s="1275" t="n">
        <v>22.4381191510522</v>
      </c>
      <c r="J144" s="1275" t="n">
        <v>24.1881191510522</v>
      </c>
      <c r="K144" s="1275" t="n">
        <v>29.1881191510522</v>
      </c>
      <c r="M144" s="1276" t="n">
        <v>40695</v>
      </c>
      <c r="N144" s="1277" t="n">
        <v>29.985687691877</v>
      </c>
      <c r="O144" s="1277" t="n">
        <v>33.735687691877</v>
      </c>
      <c r="P144" s="1277" t="n">
        <v>38.735687691877</v>
      </c>
      <c r="Q144" s="109"/>
      <c r="R144" s="1277" t="n">
        <v>21.5517657689078</v>
      </c>
      <c r="S144" s="1277" t="n">
        <v>25.3017657689078</v>
      </c>
      <c r="T144" s="1277" t="n">
        <v>30.3017657689078</v>
      </c>
      <c r="V144" s="1278" t="n">
        <v>0</v>
      </c>
      <c r="W144" s="1278" t="n">
        <v>0</v>
      </c>
      <c r="X144" s="1278" t="n">
        <v>0</v>
      </c>
      <c r="Y144" s="1288"/>
      <c r="Z144" s="1277" t="n">
        <v>0.115</v>
      </c>
      <c r="AA144" s="1277" t="n">
        <v>0.125</v>
      </c>
      <c r="AB144" s="1277" t="n">
        <v>0.135</v>
      </c>
      <c r="AC144" s="109"/>
      <c r="AD144" s="1277" t="n">
        <v>0.09</v>
      </c>
      <c r="AE144" s="1277" t="n">
        <v>0.11</v>
      </c>
      <c r="AF144" s="1277" t="n">
        <v>0.13</v>
      </c>
      <c r="AG144" s="109"/>
      <c r="AH144" s="1277" t="n">
        <v>-0.35</v>
      </c>
      <c r="AI144" s="1277" t="n">
        <v>0.65</v>
      </c>
      <c r="AJ144" s="1277" t="n">
        <v>0.2</v>
      </c>
      <c r="AK144" s="109"/>
      <c r="AL144" s="1277" t="n">
        <v>-0.01</v>
      </c>
      <c r="AM144" s="1277" t="n">
        <v>0.16</v>
      </c>
      <c r="AN144" s="1277" t="n">
        <v>0.01</v>
      </c>
      <c r="AO144" s="109"/>
      <c r="AP144" s="197" t="n">
        <v>45</v>
      </c>
      <c r="AQ144" s="1280" t="n">
        <v>0.35</v>
      </c>
      <c r="AR144" s="1288"/>
      <c r="AS144" s="1288"/>
      <c r="AT144" s="1288"/>
      <c r="AU144" s="1288"/>
      <c r="AV144" s="1288"/>
      <c r="AW144" s="1288"/>
      <c r="AX144" s="1288"/>
      <c r="AY144" s="1288"/>
      <c r="AZ144" s="1288"/>
      <c r="BA144" s="1288"/>
      <c r="BB144" s="1288"/>
      <c r="BC144" s="1288"/>
      <c r="BD144" s="1288"/>
      <c r="BE144" s="1288"/>
      <c r="BF144" s="1288"/>
      <c r="BG144" s="1288"/>
      <c r="BH144" s="1288"/>
      <c r="BI144" s="1288"/>
      <c r="BJ144" s="1288"/>
      <c r="BK144" s="1288"/>
      <c r="BL144" s="1288"/>
      <c r="BM144" s="1288"/>
      <c r="BN144" s="1288"/>
      <c r="BO144" s="1288"/>
      <c r="BP144" s="1288"/>
      <c r="BQ144" s="1237" t="n">
        <v>40848</v>
      </c>
      <c r="BR144" s="1238" t="n">
        <v>3.308</v>
      </c>
      <c r="BS144" s="1238" t="n">
        <v>3.313</v>
      </c>
      <c r="BT144" s="1238" t="n">
        <v>3.318</v>
      </c>
      <c r="BU144" s="1239" t="n">
        <v>0.1485</v>
      </c>
      <c r="BV144" s="1239" t="n">
        <v>0.15</v>
      </c>
      <c r="BW144" s="1239" t="n">
        <v>0.1635</v>
      </c>
      <c r="BX144" s="1239" t="n">
        <v>-0.07</v>
      </c>
      <c r="BY144" s="1239"/>
      <c r="BZ144" s="1239" t="n">
        <v>0.07</v>
      </c>
      <c r="CA144" s="1243" t="n">
        <v>0</v>
      </c>
      <c r="CB144" s="1241" t="n">
        <v>0</v>
      </c>
      <c r="CC144" s="1242" t="n">
        <v>2.979</v>
      </c>
      <c r="CD144" s="1239" t="n">
        <v>0.1635</v>
      </c>
    </row>
    <row r="145" customFormat="false" ht="12.75" hidden="false" customHeight="false" outlineLevel="0" collapsed="false">
      <c r="A145" s="1237" t="n">
        <v>40969</v>
      </c>
      <c r="B145" s="1239" t="n">
        <v>0.072831108682557</v>
      </c>
      <c r="C145" s="1218"/>
      <c r="D145" s="1274" t="n">
        <v>39845</v>
      </c>
      <c r="E145" s="1275" t="n">
        <v>26.1817571765863</v>
      </c>
      <c r="F145" s="1275" t="n">
        <v>29.4317571765863</v>
      </c>
      <c r="G145" s="1275" t="n">
        <v>34.4317571765863</v>
      </c>
      <c r="H145" s="1266"/>
      <c r="I145" s="1275" t="n">
        <v>23.4071428571429</v>
      </c>
      <c r="J145" s="1275" t="n">
        <v>25.1571428571429</v>
      </c>
      <c r="K145" s="1275" t="n">
        <v>30.1571428571429</v>
      </c>
      <c r="M145" s="1276" t="n">
        <v>40725</v>
      </c>
      <c r="N145" s="1277" t="n">
        <v>56.196485364033</v>
      </c>
      <c r="O145" s="1277" t="n">
        <v>59.946485364033</v>
      </c>
      <c r="P145" s="1277" t="n">
        <v>64.946485364033</v>
      </c>
      <c r="Q145" s="109"/>
      <c r="R145" s="1277" t="n">
        <v>41.2098640230247</v>
      </c>
      <c r="S145" s="1277" t="n">
        <v>44.9598640230247</v>
      </c>
      <c r="T145" s="1277" t="n">
        <v>49.9598640230247</v>
      </c>
      <c r="V145" s="1278" t="n">
        <v>0</v>
      </c>
      <c r="W145" s="1278" t="n">
        <v>0</v>
      </c>
      <c r="X145" s="1278" t="n">
        <v>0</v>
      </c>
      <c r="Y145" s="1288"/>
      <c r="Z145" s="1277" t="n">
        <v>0.115</v>
      </c>
      <c r="AA145" s="1277" t="n">
        <v>0.125</v>
      </c>
      <c r="AB145" s="1277" t="n">
        <v>0.135</v>
      </c>
      <c r="AC145" s="109"/>
      <c r="AD145" s="1277" t="n">
        <v>0.09</v>
      </c>
      <c r="AE145" s="1277" t="n">
        <v>0.11</v>
      </c>
      <c r="AF145" s="1277" t="n">
        <v>0.13</v>
      </c>
      <c r="AG145" s="109"/>
      <c r="AH145" s="1277" t="n">
        <v>-0.35</v>
      </c>
      <c r="AI145" s="1277" t="n">
        <v>3</v>
      </c>
      <c r="AJ145" s="1277" t="n">
        <v>0.35</v>
      </c>
      <c r="AK145" s="109"/>
      <c r="AL145" s="1277" t="n">
        <v>-0.01</v>
      </c>
      <c r="AM145" s="1277" t="n">
        <v>0.16</v>
      </c>
      <c r="AN145" s="1277" t="n">
        <v>0.01</v>
      </c>
      <c r="AO145" s="109"/>
      <c r="AP145" s="197" t="n">
        <v>46</v>
      </c>
      <c r="AQ145" s="1280" t="n">
        <v>0.35</v>
      </c>
      <c r="AR145" s="1288"/>
      <c r="AS145" s="1288"/>
      <c r="AT145" s="1288"/>
      <c r="AU145" s="1288"/>
      <c r="AV145" s="1288"/>
      <c r="AW145" s="1288"/>
      <c r="AX145" s="1288"/>
      <c r="AY145" s="1288"/>
      <c r="AZ145" s="1288"/>
      <c r="BA145" s="1288"/>
      <c r="BB145" s="1288"/>
      <c r="BC145" s="1288"/>
      <c r="BD145" s="1288"/>
      <c r="BE145" s="1288"/>
      <c r="BF145" s="1288"/>
      <c r="BG145" s="1288"/>
      <c r="BH145" s="1288"/>
      <c r="BI145" s="1288"/>
      <c r="BJ145" s="1288"/>
      <c r="BK145" s="1288"/>
      <c r="BL145" s="1288"/>
      <c r="BM145" s="1288"/>
      <c r="BN145" s="1288"/>
      <c r="BO145" s="1288"/>
      <c r="BP145" s="1288"/>
      <c r="BQ145" s="1237" t="n">
        <v>40878</v>
      </c>
      <c r="BR145" s="1238" t="n">
        <v>3.407</v>
      </c>
      <c r="BS145" s="1238" t="n">
        <v>3.412</v>
      </c>
      <c r="BT145" s="1238" t="n">
        <v>3.417</v>
      </c>
      <c r="BU145" s="1239" t="n">
        <v>0.1485</v>
      </c>
      <c r="BV145" s="1239" t="n">
        <v>0.15</v>
      </c>
      <c r="BW145" s="1239" t="n">
        <v>0.1635</v>
      </c>
      <c r="BX145" s="1239" t="n">
        <v>-0.07</v>
      </c>
      <c r="BY145" s="1239"/>
      <c r="BZ145" s="1239" t="n">
        <v>0.07</v>
      </c>
      <c r="CA145" s="1243" t="n">
        <v>0</v>
      </c>
      <c r="CB145" s="1241" t="n">
        <v>0</v>
      </c>
      <c r="CC145" s="1242" t="n">
        <v>2.955</v>
      </c>
      <c r="CD145" s="1239" t="n">
        <v>0.1635</v>
      </c>
    </row>
    <row r="146" customFormat="false" ht="12.75" hidden="false" customHeight="false" outlineLevel="0" collapsed="false">
      <c r="A146" s="1237" t="n">
        <v>41000</v>
      </c>
      <c r="B146" s="1239" t="n">
        <v>0.072832122627846</v>
      </c>
      <c r="C146" s="1218"/>
      <c r="D146" s="1274" t="n">
        <v>39873</v>
      </c>
      <c r="E146" s="1275" t="n">
        <v>25.9317571765863</v>
      </c>
      <c r="F146" s="1275" t="n">
        <v>29.1817571765863</v>
      </c>
      <c r="G146" s="1275" t="n">
        <v>34.1817571765863</v>
      </c>
      <c r="H146" s="1266"/>
      <c r="I146" s="1275" t="n">
        <v>23.6870967741936</v>
      </c>
      <c r="J146" s="1275" t="n">
        <v>25.4370967741936</v>
      </c>
      <c r="K146" s="1275" t="n">
        <v>30.4370967741936</v>
      </c>
      <c r="M146" s="1276" t="n">
        <v>40756</v>
      </c>
      <c r="N146" s="1277" t="n">
        <v>76.821485364033</v>
      </c>
      <c r="O146" s="1277" t="n">
        <v>80.571485364033</v>
      </c>
      <c r="P146" s="1277" t="n">
        <v>85.571485364033</v>
      </c>
      <c r="Q146" s="109"/>
      <c r="R146" s="1277" t="n">
        <v>56.6786140230247</v>
      </c>
      <c r="S146" s="1277" t="n">
        <v>60.4286140230247</v>
      </c>
      <c r="T146" s="1277" t="n">
        <v>65.4286140230247</v>
      </c>
      <c r="V146" s="1278" t="n">
        <v>0</v>
      </c>
      <c r="W146" s="1278" t="n">
        <v>0</v>
      </c>
      <c r="X146" s="1278" t="n">
        <v>0</v>
      </c>
      <c r="Y146" s="1288"/>
      <c r="Z146" s="1277" t="n">
        <v>0.115</v>
      </c>
      <c r="AA146" s="1277" t="n">
        <v>0.125</v>
      </c>
      <c r="AB146" s="1277" t="n">
        <v>0.135</v>
      </c>
      <c r="AC146" s="109"/>
      <c r="AD146" s="1277" t="n">
        <v>0.09</v>
      </c>
      <c r="AE146" s="1277" t="n">
        <v>0.11</v>
      </c>
      <c r="AF146" s="1277" t="n">
        <v>0.13</v>
      </c>
      <c r="AG146" s="109"/>
      <c r="AH146" s="1277" t="n">
        <v>-0.35</v>
      </c>
      <c r="AI146" s="1277" t="n">
        <v>3</v>
      </c>
      <c r="AJ146" s="1277" t="n">
        <v>0.35</v>
      </c>
      <c r="AK146" s="109"/>
      <c r="AL146" s="1277" t="n">
        <v>-0.01</v>
      </c>
      <c r="AM146" s="1277" t="n">
        <v>0.16</v>
      </c>
      <c r="AN146" s="1277" t="n">
        <v>0.01</v>
      </c>
      <c r="AO146" s="109"/>
      <c r="AP146" s="197" t="n">
        <v>46</v>
      </c>
      <c r="AQ146" s="1280" t="n">
        <v>0.35</v>
      </c>
      <c r="AR146" s="1288"/>
      <c r="AS146" s="1288"/>
      <c r="AT146" s="1288"/>
      <c r="AU146" s="1288"/>
      <c r="AV146" s="1288"/>
      <c r="AW146" s="1288"/>
      <c r="AX146" s="1288"/>
      <c r="AY146" s="1288"/>
      <c r="AZ146" s="1288"/>
      <c r="BA146" s="1288"/>
      <c r="BB146" s="1288"/>
      <c r="BC146" s="1288"/>
      <c r="BD146" s="1288"/>
      <c r="BE146" s="1288"/>
      <c r="BF146" s="1288"/>
      <c r="BG146" s="1288"/>
      <c r="BH146" s="1288"/>
      <c r="BI146" s="1288"/>
      <c r="BJ146" s="1288"/>
      <c r="BK146" s="1288"/>
      <c r="BL146" s="1288"/>
      <c r="BM146" s="1288"/>
      <c r="BN146" s="1288"/>
      <c r="BO146" s="1288"/>
      <c r="BP146" s="1288"/>
      <c r="BQ146" s="1237" t="n">
        <v>40909</v>
      </c>
      <c r="BR146" s="1238" t="n">
        <v>3.458</v>
      </c>
      <c r="BS146" s="1238" t="n">
        <v>3.463</v>
      </c>
      <c r="BT146" s="1238" t="n">
        <v>3.468</v>
      </c>
      <c r="BU146" s="1239" t="n">
        <v>0.1475</v>
      </c>
      <c r="BV146" s="1239" t="n">
        <v>0.15</v>
      </c>
      <c r="BW146" s="1239" t="n">
        <v>0.1625</v>
      </c>
      <c r="BX146" s="1239" t="n">
        <v>-0.07</v>
      </c>
      <c r="BY146" s="1239"/>
      <c r="BZ146" s="1239" t="n">
        <v>0.07</v>
      </c>
      <c r="CA146" s="1243" t="n">
        <v>0</v>
      </c>
      <c r="CB146" s="1241" t="n">
        <v>0</v>
      </c>
      <c r="CC146" s="1242" t="n">
        <v>2.962</v>
      </c>
      <c r="CD146" s="1239" t="n">
        <v>0.1635</v>
      </c>
    </row>
    <row r="147" customFormat="false" ht="12.75" hidden="false" customHeight="false" outlineLevel="0" collapsed="false">
      <c r="A147" s="1237" t="n">
        <v>41030</v>
      </c>
      <c r="B147" s="1239" t="n">
        <v>0.072833103865223</v>
      </c>
      <c r="C147" s="1218"/>
      <c r="D147" s="1274" t="n">
        <v>39904</v>
      </c>
      <c r="E147" s="1275" t="n">
        <v>26.0296495163083</v>
      </c>
      <c r="F147" s="1275" t="n">
        <v>29.2796495163083</v>
      </c>
      <c r="G147" s="1275" t="n">
        <v>34.2796495163083</v>
      </c>
      <c r="H147" s="1266"/>
      <c r="I147" s="1275" t="n">
        <v>21.4875</v>
      </c>
      <c r="J147" s="1275" t="n">
        <v>23.2375</v>
      </c>
      <c r="K147" s="1275" t="n">
        <v>28.2375</v>
      </c>
      <c r="M147" s="1276" t="n">
        <v>40787</v>
      </c>
      <c r="N147" s="1277" t="n">
        <v>60.821485364033</v>
      </c>
      <c r="O147" s="1277" t="n">
        <v>64.571485364033</v>
      </c>
      <c r="P147" s="1277" t="n">
        <v>69.571485364033</v>
      </c>
      <c r="Q147" s="109"/>
      <c r="R147" s="1277" t="n">
        <v>44.6786140230247</v>
      </c>
      <c r="S147" s="1277" t="n">
        <v>48.4286140230247</v>
      </c>
      <c r="T147" s="1277" t="n">
        <v>53.4286140230247</v>
      </c>
      <c r="V147" s="1278" t="n">
        <v>0</v>
      </c>
      <c r="W147" s="1278" t="n">
        <v>0</v>
      </c>
      <c r="X147" s="1278" t="n">
        <v>0</v>
      </c>
      <c r="Y147" s="1288"/>
      <c r="Z147" s="1277" t="n">
        <v>0.115</v>
      </c>
      <c r="AA147" s="1277" t="n">
        <v>0.125</v>
      </c>
      <c r="AB147" s="1277" t="n">
        <v>0.135</v>
      </c>
      <c r="AC147" s="109"/>
      <c r="AD147" s="1277" t="n">
        <v>0.09</v>
      </c>
      <c r="AE147" s="1277" t="n">
        <v>0.11</v>
      </c>
      <c r="AF147" s="1277" t="n">
        <v>0.13</v>
      </c>
      <c r="AG147" s="109"/>
      <c r="AH147" s="1277" t="n">
        <v>-0.35</v>
      </c>
      <c r="AI147" s="1277" t="n">
        <v>3</v>
      </c>
      <c r="AJ147" s="1277" t="n">
        <v>0.2</v>
      </c>
      <c r="AK147" s="109"/>
      <c r="AL147" s="1277" t="n">
        <v>-0.01</v>
      </c>
      <c r="AM147" s="1277" t="n">
        <v>0.16</v>
      </c>
      <c r="AN147" s="1277" t="n">
        <v>0.01</v>
      </c>
      <c r="AO147" s="109"/>
      <c r="AP147" s="197" t="n">
        <v>46</v>
      </c>
      <c r="AQ147" s="1280" t="n">
        <v>0.35</v>
      </c>
      <c r="AR147" s="1288"/>
      <c r="AS147" s="1288"/>
      <c r="AT147" s="1288"/>
      <c r="AU147" s="1288"/>
      <c r="AV147" s="1288"/>
      <c r="AW147" s="1288"/>
      <c r="AX147" s="1288"/>
      <c r="AY147" s="1288"/>
      <c r="AZ147" s="1288"/>
      <c r="BA147" s="1288"/>
      <c r="BB147" s="1288"/>
      <c r="BC147" s="1288"/>
      <c r="BD147" s="1288"/>
      <c r="BE147" s="1288"/>
      <c r="BF147" s="1288"/>
      <c r="BG147" s="1288"/>
      <c r="BH147" s="1288"/>
      <c r="BI147" s="1288"/>
      <c r="BJ147" s="1288"/>
      <c r="BK147" s="1288"/>
      <c r="BL147" s="1288"/>
      <c r="BM147" s="1288"/>
      <c r="BN147" s="1288"/>
      <c r="BO147" s="1288"/>
      <c r="BP147" s="1288"/>
      <c r="BQ147" s="1237" t="n">
        <v>40940</v>
      </c>
      <c r="BR147" s="1238" t="n">
        <v>3.381</v>
      </c>
      <c r="BS147" s="1238" t="n">
        <v>3.386</v>
      </c>
      <c r="BT147" s="1238" t="n">
        <v>3.391</v>
      </c>
      <c r="BU147" s="1239" t="n">
        <v>0.1475</v>
      </c>
      <c r="BV147" s="1239" t="n">
        <v>0.15</v>
      </c>
      <c r="BW147" s="1239" t="n">
        <v>0.1625</v>
      </c>
      <c r="BX147" s="1239" t="n">
        <v>-0.07</v>
      </c>
      <c r="BY147" s="1239"/>
      <c r="BZ147" s="1239" t="n">
        <v>0.07</v>
      </c>
      <c r="CA147" s="1243" t="n">
        <v>0</v>
      </c>
      <c r="CB147" s="1241" t="n">
        <v>0</v>
      </c>
      <c r="CC147" s="1242" t="n">
        <v>2.968</v>
      </c>
      <c r="CD147" s="1239" t="n">
        <v>0.1635</v>
      </c>
    </row>
    <row r="148" customFormat="false" ht="12.75" hidden="false" customHeight="false" outlineLevel="0" collapsed="false">
      <c r="A148" s="1237" t="n">
        <v>41061</v>
      </c>
      <c r="B148" s="1239" t="n">
        <v>0.072834117810513</v>
      </c>
      <c r="C148" s="1218"/>
      <c r="D148" s="1274" t="n">
        <v>39934</v>
      </c>
      <c r="E148" s="1275" t="n">
        <v>25.2796495163083</v>
      </c>
      <c r="F148" s="1275" t="n">
        <v>28.5296495163083</v>
      </c>
      <c r="G148" s="1275" t="n">
        <v>33.5296495163083</v>
      </c>
      <c r="H148" s="1266"/>
      <c r="I148" s="1275" t="n">
        <v>21.5459677419355</v>
      </c>
      <c r="J148" s="1275" t="n">
        <v>23.2959677419355</v>
      </c>
      <c r="K148" s="1275" t="n">
        <v>28.2959677419355</v>
      </c>
      <c r="M148" s="1276" t="n">
        <v>40817</v>
      </c>
      <c r="N148" s="1277" t="n">
        <v>33.1574125746995</v>
      </c>
      <c r="O148" s="1277" t="n">
        <v>36.9074125746995</v>
      </c>
      <c r="P148" s="1277" t="n">
        <v>41.9074125746995</v>
      </c>
      <c r="Q148" s="109"/>
      <c r="R148" s="1277" t="n">
        <v>23.9305594310246</v>
      </c>
      <c r="S148" s="1277" t="n">
        <v>27.6805594310246</v>
      </c>
      <c r="T148" s="1277" t="n">
        <v>32.6805594310246</v>
      </c>
      <c r="V148" s="1278" t="n">
        <v>0</v>
      </c>
      <c r="W148" s="1278" t="n">
        <v>0</v>
      </c>
      <c r="X148" s="1278" t="n">
        <v>0</v>
      </c>
      <c r="Y148" s="1288"/>
      <c r="Z148" s="1277" t="n">
        <v>0.115</v>
      </c>
      <c r="AA148" s="1277" t="n">
        <v>0.125</v>
      </c>
      <c r="AB148" s="1277" t="n">
        <v>0.135</v>
      </c>
      <c r="AC148" s="109"/>
      <c r="AD148" s="1277" t="n">
        <v>0.09</v>
      </c>
      <c r="AE148" s="1277" t="n">
        <v>0.11</v>
      </c>
      <c r="AF148" s="1277" t="n">
        <v>0.13</v>
      </c>
      <c r="AG148" s="109"/>
      <c r="AH148" s="1277" t="n">
        <v>-0.1</v>
      </c>
      <c r="AI148" s="1277" t="n">
        <v>0.6</v>
      </c>
      <c r="AJ148" s="1277" t="n">
        <v>0.1</v>
      </c>
      <c r="AK148" s="109"/>
      <c r="AL148" s="1277" t="n">
        <v>-0.01</v>
      </c>
      <c r="AM148" s="1277" t="n">
        <v>0.16</v>
      </c>
      <c r="AN148" s="1277" t="n">
        <v>0.01</v>
      </c>
      <c r="AO148" s="109"/>
      <c r="AP148" s="197" t="n">
        <v>47</v>
      </c>
      <c r="AQ148" s="1280" t="n">
        <v>0.35</v>
      </c>
      <c r="AR148" s="1288"/>
      <c r="AS148" s="1288"/>
      <c r="AT148" s="1288"/>
      <c r="AU148" s="1288"/>
      <c r="AV148" s="1288"/>
      <c r="AW148" s="1288"/>
      <c r="AX148" s="1288"/>
      <c r="AY148" s="1288"/>
      <c r="AZ148" s="1288"/>
      <c r="BA148" s="1288"/>
      <c r="BB148" s="1288"/>
      <c r="BC148" s="1288"/>
      <c r="BD148" s="1288"/>
      <c r="BE148" s="1288"/>
      <c r="BF148" s="1288"/>
      <c r="BG148" s="1288"/>
      <c r="BH148" s="1288"/>
      <c r="BI148" s="1288"/>
      <c r="BJ148" s="1288"/>
      <c r="BK148" s="1288"/>
      <c r="BL148" s="1288"/>
      <c r="BM148" s="1288"/>
      <c r="BN148" s="1288"/>
      <c r="BO148" s="1288"/>
      <c r="BP148" s="1288"/>
      <c r="BQ148" s="1237" t="n">
        <v>40969</v>
      </c>
      <c r="BR148" s="1238" t="n">
        <v>3.293</v>
      </c>
      <c r="BS148" s="1238" t="n">
        <v>3.298</v>
      </c>
      <c r="BT148" s="1238" t="n">
        <v>3.303</v>
      </c>
      <c r="BU148" s="1239" t="n">
        <v>0.1475</v>
      </c>
      <c r="BV148" s="1239" t="n">
        <v>0.15</v>
      </c>
      <c r="BW148" s="1239" t="n">
        <v>0.1625</v>
      </c>
      <c r="BX148" s="1239" t="n">
        <v>-0.07</v>
      </c>
      <c r="BY148" s="1239"/>
      <c r="BZ148" s="1239" t="n">
        <v>0.07</v>
      </c>
      <c r="CA148" s="1243" t="n">
        <v>0</v>
      </c>
      <c r="CB148" s="1241" t="n">
        <v>0</v>
      </c>
      <c r="CC148" s="1242" t="n">
        <v>2.973</v>
      </c>
      <c r="CD148" s="1239" t="n">
        <v>0.1635</v>
      </c>
    </row>
    <row r="149" customFormat="false" ht="12.75" hidden="false" customHeight="false" outlineLevel="0" collapsed="false">
      <c r="A149" s="1237" t="n">
        <v>41091</v>
      </c>
      <c r="B149" s="1239" t="n">
        <v>0.072835099047891</v>
      </c>
      <c r="C149" s="1218"/>
      <c r="D149" s="1274" t="n">
        <v>39965</v>
      </c>
      <c r="E149" s="1275" t="n">
        <v>30.5296495163083</v>
      </c>
      <c r="F149" s="1275" t="n">
        <v>33.7796495163083</v>
      </c>
      <c r="G149" s="1275" t="n">
        <v>38.7796495163083</v>
      </c>
      <c r="H149" s="1266"/>
      <c r="I149" s="1275" t="n">
        <v>20.8</v>
      </c>
      <c r="J149" s="1275" t="n">
        <v>22.55</v>
      </c>
      <c r="K149" s="1275" t="n">
        <v>27.55</v>
      </c>
      <c r="M149" s="1276" t="n">
        <v>40848</v>
      </c>
      <c r="N149" s="1277" t="n">
        <v>25.4074125746995</v>
      </c>
      <c r="O149" s="1277" t="n">
        <v>29.1574125746995</v>
      </c>
      <c r="P149" s="1277" t="n">
        <v>34.1574125746995</v>
      </c>
      <c r="Q149" s="109"/>
      <c r="R149" s="1277" t="n">
        <v>18.1180594310246</v>
      </c>
      <c r="S149" s="1277" t="n">
        <v>21.8680594310246</v>
      </c>
      <c r="T149" s="1277" t="n">
        <v>26.8680594310246</v>
      </c>
      <c r="V149" s="1278" t="n">
        <v>0</v>
      </c>
      <c r="W149" s="1278" t="n">
        <v>0</v>
      </c>
      <c r="X149" s="1278" t="n">
        <v>0</v>
      </c>
      <c r="Y149" s="1288"/>
      <c r="Z149" s="1277" t="n">
        <v>0.115</v>
      </c>
      <c r="AA149" s="1277" t="n">
        <v>0.125</v>
      </c>
      <c r="AB149" s="1277" t="n">
        <v>0.135</v>
      </c>
      <c r="AC149" s="109"/>
      <c r="AD149" s="1277" t="n">
        <v>0.09</v>
      </c>
      <c r="AE149" s="1277" t="n">
        <v>0.11</v>
      </c>
      <c r="AF149" s="1277" t="n">
        <v>0.13</v>
      </c>
      <c r="AG149" s="109"/>
      <c r="AH149" s="1277" t="n">
        <v>-0.1</v>
      </c>
      <c r="AI149" s="1277" t="n">
        <v>0.6</v>
      </c>
      <c r="AJ149" s="1277" t="n">
        <v>0.1</v>
      </c>
      <c r="AK149" s="109"/>
      <c r="AL149" s="1277" t="n">
        <v>-0.01</v>
      </c>
      <c r="AM149" s="1277" t="n">
        <v>0.16</v>
      </c>
      <c r="AN149" s="1277" t="n">
        <v>0.01</v>
      </c>
      <c r="AO149" s="109"/>
      <c r="AP149" s="197" t="n">
        <v>47</v>
      </c>
      <c r="AQ149" s="1280" t="n">
        <v>0.35</v>
      </c>
      <c r="AR149" s="1288"/>
      <c r="AS149" s="1288"/>
      <c r="AT149" s="1288"/>
      <c r="AU149" s="1288"/>
      <c r="AV149" s="1288"/>
      <c r="AW149" s="1288"/>
      <c r="AX149" s="1288"/>
      <c r="AY149" s="1288"/>
      <c r="AZ149" s="1288"/>
      <c r="BA149" s="1288"/>
      <c r="BB149" s="1288"/>
      <c r="BC149" s="1288"/>
      <c r="BD149" s="1288"/>
      <c r="BE149" s="1288"/>
      <c r="BF149" s="1288"/>
      <c r="BG149" s="1288"/>
      <c r="BH149" s="1288"/>
      <c r="BI149" s="1288"/>
      <c r="BJ149" s="1288"/>
      <c r="BK149" s="1288"/>
      <c r="BL149" s="1288"/>
      <c r="BM149" s="1288"/>
      <c r="BN149" s="1288"/>
      <c r="BO149" s="1288"/>
      <c r="BP149" s="1288"/>
      <c r="BQ149" s="1237" t="n">
        <v>41000</v>
      </c>
      <c r="BR149" s="1238" t="n">
        <v>3.22</v>
      </c>
      <c r="BS149" s="1238" t="n">
        <v>3.225</v>
      </c>
      <c r="BT149" s="1238" t="n">
        <v>3.23</v>
      </c>
      <c r="BU149" s="1239" t="n">
        <v>0.1475</v>
      </c>
      <c r="BV149" s="1239" t="n">
        <v>0.15</v>
      </c>
      <c r="BW149" s="1239" t="n">
        <v>0.1625</v>
      </c>
      <c r="BX149" s="1239" t="n">
        <v>-0.07</v>
      </c>
      <c r="BY149" s="1239"/>
      <c r="BZ149" s="1239" t="n">
        <v>0.07</v>
      </c>
      <c r="CA149" s="1243" t="n">
        <v>0</v>
      </c>
      <c r="CB149" s="1241" t="n">
        <v>0</v>
      </c>
      <c r="CC149" s="1242" t="n">
        <v>2.976</v>
      </c>
      <c r="CD149" s="1239" t="n">
        <v>0.1635</v>
      </c>
    </row>
    <row r="150" customFormat="false" ht="12.75" hidden="false" customHeight="false" outlineLevel="0" collapsed="false">
      <c r="A150" s="1237" t="n">
        <v>41122</v>
      </c>
      <c r="B150" s="1239" t="n">
        <v>0.072836112993181</v>
      </c>
      <c r="C150" s="1218"/>
      <c r="D150" s="1274" t="n">
        <v>39995</v>
      </c>
      <c r="E150" s="1275" t="n">
        <v>56.7541917256438</v>
      </c>
      <c r="F150" s="1275" t="n">
        <v>60.0041917256438</v>
      </c>
      <c r="G150" s="1275" t="n">
        <v>65.0041917256438</v>
      </c>
      <c r="H150" s="1266"/>
      <c r="I150" s="1275" t="n">
        <v>26.8241935483871</v>
      </c>
      <c r="J150" s="1275" t="n">
        <v>28.5741935483871</v>
      </c>
      <c r="K150" s="1275" t="n">
        <v>33.5741935483871</v>
      </c>
      <c r="M150" s="1276" t="n">
        <v>40878</v>
      </c>
      <c r="N150" s="1277" t="n">
        <v>27.4074125746995</v>
      </c>
      <c r="O150" s="1277" t="n">
        <v>31.1574125746995</v>
      </c>
      <c r="P150" s="1277" t="n">
        <v>36.1574125746995</v>
      </c>
      <c r="Q150" s="109"/>
      <c r="R150" s="1277" t="n">
        <v>19.6180594310246</v>
      </c>
      <c r="S150" s="1277" t="n">
        <v>23.3680594310246</v>
      </c>
      <c r="T150" s="1277" t="n">
        <v>28.3680594310246</v>
      </c>
      <c r="V150" s="1278" t="n">
        <v>0</v>
      </c>
      <c r="W150" s="1278" t="n">
        <v>0</v>
      </c>
      <c r="X150" s="1278" t="n">
        <v>0</v>
      </c>
      <c r="Y150" s="1288"/>
      <c r="Z150" s="1277" t="n">
        <v>0.115</v>
      </c>
      <c r="AA150" s="1277" t="n">
        <v>0.125</v>
      </c>
      <c r="AB150" s="1277" t="n">
        <v>0.135</v>
      </c>
      <c r="AC150" s="109"/>
      <c r="AD150" s="1277" t="n">
        <v>0.09</v>
      </c>
      <c r="AE150" s="1277" t="n">
        <v>0.11</v>
      </c>
      <c r="AF150" s="1277" t="n">
        <v>0.13</v>
      </c>
      <c r="AG150" s="109"/>
      <c r="AH150" s="1277" t="n">
        <v>-0.25</v>
      </c>
      <c r="AI150" s="1277" t="n">
        <v>0.6</v>
      </c>
      <c r="AJ150" s="1277" t="n">
        <v>0.25</v>
      </c>
      <c r="AK150" s="109"/>
      <c r="AL150" s="1277" t="n">
        <v>-0.01</v>
      </c>
      <c r="AM150" s="1277" t="n">
        <v>0.16</v>
      </c>
      <c r="AN150" s="1277" t="n">
        <v>0.01</v>
      </c>
      <c r="AO150" s="109"/>
      <c r="AP150" s="197" t="n">
        <v>47</v>
      </c>
      <c r="AQ150" s="1280" t="n">
        <v>0.35</v>
      </c>
      <c r="AR150" s="1288"/>
      <c r="AS150" s="1288"/>
      <c r="AT150" s="1288"/>
      <c r="AU150" s="1288"/>
      <c r="AV150" s="1288"/>
      <c r="AW150" s="1288"/>
      <c r="AX150" s="1288"/>
      <c r="AY150" s="1288"/>
      <c r="AZ150" s="1288"/>
      <c r="BA150" s="1288"/>
      <c r="BB150" s="1288"/>
      <c r="BC150" s="1288"/>
      <c r="BD150" s="1288"/>
      <c r="BE150" s="1288"/>
      <c r="BF150" s="1288"/>
      <c r="BG150" s="1288"/>
      <c r="BH150" s="1288"/>
      <c r="BI150" s="1288"/>
      <c r="BJ150" s="1288"/>
      <c r="BK150" s="1288"/>
      <c r="BL150" s="1288"/>
      <c r="BM150" s="1288"/>
      <c r="BN150" s="1288"/>
      <c r="BO150" s="1288"/>
      <c r="BP150" s="1288"/>
      <c r="BQ150" s="1237" t="n">
        <v>41030</v>
      </c>
      <c r="BR150" s="1238" t="n">
        <v>3.243</v>
      </c>
      <c r="BS150" s="1238" t="n">
        <v>3.248</v>
      </c>
      <c r="BT150" s="1238" t="n">
        <v>3.253</v>
      </c>
      <c r="BU150" s="1239" t="n">
        <v>0.1475</v>
      </c>
      <c r="BV150" s="1239" t="n">
        <v>0.15</v>
      </c>
      <c r="BW150" s="1239" t="n">
        <v>0.1625</v>
      </c>
      <c r="BX150" s="1239" t="n">
        <v>-0.07</v>
      </c>
      <c r="BY150" s="1239"/>
      <c r="BZ150" s="1239" t="n">
        <v>0.07</v>
      </c>
      <c r="CA150" s="1243" t="n">
        <v>0</v>
      </c>
      <c r="CB150" s="1241" t="n">
        <v>0</v>
      </c>
      <c r="CC150" s="1242" t="n">
        <v>3.009</v>
      </c>
      <c r="CD150" s="1239" t="n">
        <v>0.1635</v>
      </c>
    </row>
    <row r="151" customFormat="false" ht="12.75" hidden="false" customHeight="false" outlineLevel="0" collapsed="false">
      <c r="A151" s="1237" t="n">
        <v>41153</v>
      </c>
      <c r="B151" s="1239" t="n">
        <v>0.072837126938472</v>
      </c>
      <c r="C151" s="1218"/>
      <c r="D151" s="1274" t="n">
        <v>40026</v>
      </c>
      <c r="E151" s="1275" t="n">
        <v>77.3791917256438</v>
      </c>
      <c r="F151" s="1275" t="n">
        <v>80.6291917256438</v>
      </c>
      <c r="G151" s="1275" t="n">
        <v>85.6291917256438</v>
      </c>
      <c r="H151" s="1266"/>
      <c r="I151" s="1275" t="n">
        <v>24.8241935483871</v>
      </c>
      <c r="J151" s="1275" t="n">
        <v>26.5741935483871</v>
      </c>
      <c r="K151" s="1275" t="n">
        <v>31.5741935483871</v>
      </c>
      <c r="M151" s="1276" t="n">
        <v>40909</v>
      </c>
      <c r="N151" s="1277" t="n">
        <v>26.1455783671688</v>
      </c>
      <c r="O151" s="1277" t="n">
        <v>29.8955783671688</v>
      </c>
      <c r="P151" s="1277" t="n">
        <v>34.8955783671688</v>
      </c>
      <c r="Q151" s="109"/>
      <c r="R151" s="1277" t="n">
        <v>18.6716837753766</v>
      </c>
      <c r="S151" s="1277" t="n">
        <v>22.4216837753766</v>
      </c>
      <c r="T151" s="1277" t="n">
        <v>27.4216837753766</v>
      </c>
      <c r="V151" s="1278" t="n">
        <v>0</v>
      </c>
      <c r="W151" s="1278" t="n">
        <v>0</v>
      </c>
      <c r="X151" s="1278" t="n">
        <v>0</v>
      </c>
      <c r="Y151" s="1288"/>
      <c r="Z151" s="1277" t="n">
        <v>0.11</v>
      </c>
      <c r="AA151" s="1277" t="n">
        <v>0.12</v>
      </c>
      <c r="AB151" s="1277" t="n">
        <v>0.13</v>
      </c>
      <c r="AC151" s="109"/>
      <c r="AD151" s="1277" t="n">
        <v>0.09</v>
      </c>
      <c r="AE151" s="1277" t="n">
        <v>0.11</v>
      </c>
      <c r="AF151" s="1277" t="n">
        <v>0.13</v>
      </c>
      <c r="AG151" s="109"/>
      <c r="AH151" s="1277" t="n">
        <v>-0.25</v>
      </c>
      <c r="AI151" s="1277" t="n">
        <v>0.65</v>
      </c>
      <c r="AJ151" s="1277" t="n">
        <v>0.25</v>
      </c>
      <c r="AK151" s="109"/>
      <c r="AL151" s="1277" t="n">
        <v>-0.01</v>
      </c>
      <c r="AM151" s="1277" t="n">
        <v>0.16</v>
      </c>
      <c r="AN151" s="1277" t="n">
        <v>0.01</v>
      </c>
      <c r="AO151" s="109"/>
      <c r="AP151" s="197" t="n">
        <v>48</v>
      </c>
      <c r="AQ151" s="1280" t="n">
        <v>0.35</v>
      </c>
      <c r="AR151" s="1288"/>
      <c r="AS151" s="1288"/>
      <c r="AT151" s="1288"/>
      <c r="AU151" s="1288"/>
      <c r="AV151" s="1288"/>
      <c r="AW151" s="1288"/>
      <c r="AX151" s="1288"/>
      <c r="AY151" s="1288"/>
      <c r="AZ151" s="1288"/>
      <c r="BA151" s="1288"/>
      <c r="BB151" s="1288"/>
      <c r="BC151" s="1288"/>
      <c r="BD151" s="1288"/>
      <c r="BE151" s="1288"/>
      <c r="BF151" s="1288"/>
      <c r="BG151" s="1288"/>
      <c r="BH151" s="1288"/>
      <c r="BI151" s="1288"/>
      <c r="BJ151" s="1288"/>
      <c r="BK151" s="1288"/>
      <c r="BL151" s="1288"/>
      <c r="BM151" s="1288"/>
      <c r="BN151" s="1288"/>
      <c r="BO151" s="1288"/>
      <c r="BP151" s="1288"/>
      <c r="BQ151" s="1237" t="n">
        <v>41061</v>
      </c>
      <c r="BR151" s="1238" t="n">
        <v>3.259</v>
      </c>
      <c r="BS151" s="1238" t="n">
        <v>3.264</v>
      </c>
      <c r="BT151" s="1238" t="n">
        <v>3.269</v>
      </c>
      <c r="BU151" s="1239" t="n">
        <v>0.1475</v>
      </c>
      <c r="BV151" s="1239" t="n">
        <v>0.15</v>
      </c>
      <c r="BW151" s="1239" t="n">
        <v>0.1625</v>
      </c>
      <c r="BX151" s="1239" t="n">
        <v>-0.07</v>
      </c>
      <c r="BY151" s="1239"/>
      <c r="BZ151" s="1239" t="n">
        <v>0.07</v>
      </c>
      <c r="CA151" s="1243" t="n">
        <v>0</v>
      </c>
      <c r="CB151" s="1241" t="n">
        <v>0</v>
      </c>
      <c r="CC151" s="1242" t="n">
        <v>3.15</v>
      </c>
      <c r="CD151" s="1239" t="n">
        <v>0.1635</v>
      </c>
    </row>
    <row r="152" customFormat="false" ht="12.75" hidden="false" customHeight="false" outlineLevel="0" collapsed="false">
      <c r="A152" s="1237" t="n">
        <v>41183</v>
      </c>
      <c r="B152" s="1239" t="n">
        <v>0.072838108175851</v>
      </c>
      <c r="C152" s="1218"/>
      <c r="D152" s="1274" t="n">
        <v>40057</v>
      </c>
      <c r="E152" s="1275" t="n">
        <v>61.3791917256438</v>
      </c>
      <c r="F152" s="1275" t="n">
        <v>64.6291917256438</v>
      </c>
      <c r="G152" s="1275" t="n">
        <v>69.6291917256438</v>
      </c>
      <c r="H152" s="1266"/>
      <c r="I152" s="1275" t="n">
        <v>25.2375</v>
      </c>
      <c r="J152" s="1275" t="n">
        <v>26.9875</v>
      </c>
      <c r="K152" s="1275" t="n">
        <v>31.9875</v>
      </c>
      <c r="M152" s="1276" t="n">
        <v>40940</v>
      </c>
      <c r="N152" s="1277" t="n">
        <v>25.6455783671688</v>
      </c>
      <c r="O152" s="1277" t="n">
        <v>29.3955783671688</v>
      </c>
      <c r="P152" s="1277" t="n">
        <v>34.3955783671688</v>
      </c>
      <c r="Q152" s="109"/>
      <c r="R152" s="1277" t="n">
        <v>18.2966837753766</v>
      </c>
      <c r="S152" s="1277" t="n">
        <v>22.0466837753766</v>
      </c>
      <c r="T152" s="1277" t="n">
        <v>27.0466837753766</v>
      </c>
      <c r="V152" s="1278" t="n">
        <v>0</v>
      </c>
      <c r="W152" s="1278" t="n">
        <v>0</v>
      </c>
      <c r="X152" s="1278" t="n">
        <v>0</v>
      </c>
      <c r="Y152" s="1288"/>
      <c r="Z152" s="1277" t="n">
        <v>0.11</v>
      </c>
      <c r="AA152" s="1277" t="n">
        <v>0.12</v>
      </c>
      <c r="AB152" s="1277" t="n">
        <v>0.13</v>
      </c>
      <c r="AC152" s="109"/>
      <c r="AD152" s="1277" t="n">
        <v>0.09</v>
      </c>
      <c r="AE152" s="1277" t="n">
        <v>0.11</v>
      </c>
      <c r="AF152" s="1277" t="n">
        <v>0.13</v>
      </c>
      <c r="AG152" s="109"/>
      <c r="AH152" s="1277" t="n">
        <v>-0.25</v>
      </c>
      <c r="AI152" s="1277" t="n">
        <v>0.65</v>
      </c>
      <c r="AJ152" s="1277" t="n">
        <v>0.25</v>
      </c>
      <c r="AK152" s="109"/>
      <c r="AL152" s="1277" t="n">
        <v>-0.01</v>
      </c>
      <c r="AM152" s="1277" t="n">
        <v>0.16</v>
      </c>
      <c r="AN152" s="1277" t="n">
        <v>0.01</v>
      </c>
      <c r="AO152" s="109"/>
      <c r="AP152" s="197" t="n">
        <v>48</v>
      </c>
      <c r="AQ152" s="1280" t="n">
        <v>0.35</v>
      </c>
      <c r="AR152" s="1288"/>
      <c r="AS152" s="1288"/>
      <c r="AT152" s="1288"/>
      <c r="AU152" s="1288"/>
      <c r="AV152" s="1288"/>
      <c r="AW152" s="1288"/>
      <c r="AX152" s="1288"/>
      <c r="AY152" s="1288"/>
      <c r="AZ152" s="1288"/>
      <c r="BA152" s="1288"/>
      <c r="BB152" s="1288"/>
      <c r="BC152" s="1288"/>
      <c r="BD152" s="1288"/>
      <c r="BE152" s="1288"/>
      <c r="BF152" s="1288"/>
      <c r="BG152" s="1288"/>
      <c r="BH152" s="1288"/>
      <c r="BI152" s="1288"/>
      <c r="BJ152" s="1288"/>
      <c r="BK152" s="1288"/>
      <c r="BL152" s="1288"/>
      <c r="BM152" s="1288"/>
      <c r="BN152" s="1288"/>
      <c r="BO152" s="1288"/>
      <c r="BP152" s="1288"/>
      <c r="BQ152" s="1237" t="n">
        <v>41091</v>
      </c>
      <c r="BR152" s="1238" t="n">
        <v>3.267</v>
      </c>
      <c r="BS152" s="1238" t="n">
        <v>3.272</v>
      </c>
      <c r="BT152" s="1238" t="n">
        <v>3.277</v>
      </c>
      <c r="BU152" s="1239" t="n">
        <v>0.1475</v>
      </c>
      <c r="BV152" s="1239" t="n">
        <v>0.15</v>
      </c>
      <c r="BW152" s="1239" t="n">
        <v>0.1625</v>
      </c>
      <c r="BX152" s="1239" t="n">
        <v>-0.07</v>
      </c>
      <c r="BY152" s="1239"/>
      <c r="BZ152" s="1239" t="n">
        <v>0.07</v>
      </c>
      <c r="CA152" s="1243" t="n">
        <v>0</v>
      </c>
      <c r="CB152" s="1241" t="n">
        <v>0</v>
      </c>
      <c r="CC152" s="1242" t="n">
        <v>3.295</v>
      </c>
      <c r="CD152" s="1239" t="n">
        <v>0.1635</v>
      </c>
    </row>
    <row r="153" customFormat="false" ht="12.75" hidden="false" customHeight="false" outlineLevel="0" collapsed="false">
      <c r="A153" s="1237" t="n">
        <v>41214</v>
      </c>
      <c r="B153" s="1239" t="n">
        <v>0.072839122121143</v>
      </c>
      <c r="C153" s="1218"/>
      <c r="D153" s="1274" t="n">
        <v>40087</v>
      </c>
      <c r="E153" s="1275" t="n">
        <v>33.6645541294267</v>
      </c>
      <c r="F153" s="1275" t="n">
        <v>36.9145541294267</v>
      </c>
      <c r="G153" s="1275" t="n">
        <v>41.9145541294267</v>
      </c>
      <c r="H153" s="1266"/>
      <c r="I153" s="1275" t="n">
        <v>24.7516129032258</v>
      </c>
      <c r="J153" s="1275" t="n">
        <v>26.5016129032258</v>
      </c>
      <c r="K153" s="1275" t="n">
        <v>31.5016129032258</v>
      </c>
      <c r="M153" s="1276" t="n">
        <v>40969</v>
      </c>
      <c r="N153" s="1277" t="n">
        <v>24.8955783671688</v>
      </c>
      <c r="O153" s="1277" t="n">
        <v>28.6455783671688</v>
      </c>
      <c r="P153" s="1277" t="n">
        <v>33.6455783671688</v>
      </c>
      <c r="Q153" s="109"/>
      <c r="R153" s="1277" t="n">
        <v>17.7341837753766</v>
      </c>
      <c r="S153" s="1277" t="n">
        <v>21.4841837753766</v>
      </c>
      <c r="T153" s="1277" t="n">
        <v>26.4841837753766</v>
      </c>
      <c r="V153" s="1278" t="n">
        <v>0</v>
      </c>
      <c r="W153" s="1278" t="n">
        <v>0</v>
      </c>
      <c r="X153" s="1278" t="n">
        <v>0</v>
      </c>
      <c r="Y153" s="1288"/>
      <c r="Z153" s="1277" t="n">
        <v>0.11</v>
      </c>
      <c r="AA153" s="1277" t="n">
        <v>0.12</v>
      </c>
      <c r="AB153" s="1277" t="n">
        <v>0.13</v>
      </c>
      <c r="AC153" s="109"/>
      <c r="AD153" s="1277" t="n">
        <v>0.09</v>
      </c>
      <c r="AE153" s="1277" t="n">
        <v>0.11</v>
      </c>
      <c r="AF153" s="1277" t="n">
        <v>0.13</v>
      </c>
      <c r="AG153" s="109"/>
      <c r="AH153" s="1277" t="n">
        <v>-0.1</v>
      </c>
      <c r="AI153" s="1277" t="n">
        <v>0.65</v>
      </c>
      <c r="AJ153" s="1277" t="n">
        <v>0.1</v>
      </c>
      <c r="AK153" s="109"/>
      <c r="AL153" s="1277" t="n">
        <v>-0.01</v>
      </c>
      <c r="AM153" s="1277" t="n">
        <v>0.16</v>
      </c>
      <c r="AN153" s="1277" t="n">
        <v>0.01</v>
      </c>
      <c r="AO153" s="109"/>
      <c r="AP153" s="197" t="n">
        <v>48</v>
      </c>
      <c r="AQ153" s="1280" t="n">
        <v>0.35</v>
      </c>
      <c r="AR153" s="1288"/>
      <c r="AS153" s="1288"/>
      <c r="AT153" s="1288"/>
      <c r="AU153" s="1288"/>
      <c r="AV153" s="1288"/>
      <c r="AW153" s="1288"/>
      <c r="AX153" s="1288"/>
      <c r="AY153" s="1288"/>
      <c r="AZ153" s="1288"/>
      <c r="BA153" s="1288"/>
      <c r="BB153" s="1288"/>
      <c r="BC153" s="1288"/>
      <c r="BD153" s="1288"/>
      <c r="BE153" s="1288"/>
      <c r="BF153" s="1288"/>
      <c r="BG153" s="1288"/>
      <c r="BH153" s="1288"/>
      <c r="BI153" s="1288"/>
      <c r="BJ153" s="1288"/>
      <c r="BK153" s="1288"/>
      <c r="BL153" s="1288"/>
      <c r="BM153" s="1288"/>
      <c r="BN153" s="1288"/>
      <c r="BO153" s="1288"/>
      <c r="BP153" s="1288"/>
      <c r="BQ153" s="1237" t="n">
        <v>41122</v>
      </c>
      <c r="BR153" s="1238" t="n">
        <v>3.276</v>
      </c>
      <c r="BS153" s="1238" t="n">
        <v>3.281</v>
      </c>
      <c r="BT153" s="1238" t="n">
        <v>3.286</v>
      </c>
      <c r="BU153" s="1239" t="n">
        <v>0.1475</v>
      </c>
      <c r="BV153" s="1239" t="n">
        <v>0.15</v>
      </c>
      <c r="BW153" s="1239" t="n">
        <v>0.1625</v>
      </c>
      <c r="BX153" s="1239" t="n">
        <v>-0.07</v>
      </c>
      <c r="BY153" s="1239"/>
      <c r="BZ153" s="1239" t="n">
        <v>0.07</v>
      </c>
      <c r="CA153" s="1243" t="n">
        <v>0</v>
      </c>
      <c r="CB153" s="1241" t="n">
        <v>0</v>
      </c>
      <c r="CC153" s="1242" t="n">
        <v>3.399</v>
      </c>
      <c r="CD153" s="1239" t="n">
        <v>0.1625</v>
      </c>
    </row>
    <row r="154" customFormat="false" ht="12.75" hidden="false" customHeight="false" outlineLevel="0" collapsed="false">
      <c r="A154" s="1237" t="n">
        <v>41244</v>
      </c>
      <c r="B154" s="1239" t="n">
        <v>0.072840103358522</v>
      </c>
      <c r="C154" s="1218"/>
      <c r="D154" s="1274" t="n">
        <v>40118</v>
      </c>
      <c r="E154" s="1275" t="n">
        <v>25.9145541294267</v>
      </c>
      <c r="F154" s="1275" t="n">
        <v>29.1645541294267</v>
      </c>
      <c r="G154" s="1275" t="n">
        <v>34.1645541294267</v>
      </c>
      <c r="H154" s="1266"/>
      <c r="I154" s="1275" t="n">
        <v>26.0916666666667</v>
      </c>
      <c r="J154" s="1275" t="n">
        <v>27.8416666666667</v>
      </c>
      <c r="K154" s="1275" t="n">
        <v>32.8416666666667</v>
      </c>
      <c r="M154" s="1276" t="n">
        <v>41000</v>
      </c>
      <c r="N154" s="1277" t="n">
        <v>24.7707999791533</v>
      </c>
      <c r="O154" s="1277" t="n">
        <v>28.5207999791533</v>
      </c>
      <c r="P154" s="1277" t="n">
        <v>33.5207999791533</v>
      </c>
      <c r="Q154" s="109"/>
      <c r="R154" s="1277" t="n">
        <v>17.640599984365</v>
      </c>
      <c r="S154" s="1277" t="n">
        <v>21.390599984365</v>
      </c>
      <c r="T154" s="1277" t="n">
        <v>26.390599984365</v>
      </c>
      <c r="V154" s="1278" t="n">
        <v>0</v>
      </c>
      <c r="W154" s="1278" t="n">
        <v>0</v>
      </c>
      <c r="X154" s="1278" t="n">
        <v>0</v>
      </c>
      <c r="Y154" s="1288"/>
      <c r="Z154" s="1277" t="n">
        <v>0.11</v>
      </c>
      <c r="AA154" s="1277" t="n">
        <v>0.12</v>
      </c>
      <c r="AB154" s="1277" t="n">
        <v>0.13</v>
      </c>
      <c r="AC154" s="109"/>
      <c r="AD154" s="1277" t="n">
        <v>0.09</v>
      </c>
      <c r="AE154" s="1277" t="n">
        <v>0.11</v>
      </c>
      <c r="AF154" s="1277" t="n">
        <v>0.13</v>
      </c>
      <c r="AG154" s="109"/>
      <c r="AH154" s="1277" t="n">
        <v>-0.1</v>
      </c>
      <c r="AI154" s="1277" t="n">
        <v>0.65</v>
      </c>
      <c r="AJ154" s="1277" t="n">
        <v>0.1</v>
      </c>
      <c r="AK154" s="109"/>
      <c r="AL154" s="1277" t="n">
        <v>-0.01</v>
      </c>
      <c r="AM154" s="1277" t="n">
        <v>0.16</v>
      </c>
      <c r="AN154" s="1277" t="n">
        <v>0.01</v>
      </c>
      <c r="AO154" s="109"/>
      <c r="AP154" s="197" t="n">
        <v>49</v>
      </c>
      <c r="AQ154" s="1280" t="n">
        <v>0.35</v>
      </c>
      <c r="AR154" s="1288"/>
      <c r="AS154" s="1288"/>
      <c r="AT154" s="1288"/>
      <c r="AU154" s="1288"/>
      <c r="AV154" s="1288"/>
      <c r="AW154" s="1288"/>
      <c r="AX154" s="1288"/>
      <c r="AY154" s="1288"/>
      <c r="AZ154" s="1288"/>
      <c r="BA154" s="1288"/>
      <c r="BB154" s="1288"/>
      <c r="BC154" s="1288"/>
      <c r="BD154" s="1288"/>
      <c r="BE154" s="1288"/>
      <c r="BF154" s="1288"/>
      <c r="BG154" s="1288"/>
      <c r="BH154" s="1288"/>
      <c r="BI154" s="1288"/>
      <c r="BJ154" s="1288"/>
      <c r="BK154" s="1288"/>
      <c r="BL154" s="1288"/>
      <c r="BM154" s="1288"/>
      <c r="BN154" s="1288"/>
      <c r="BO154" s="1288"/>
      <c r="BP154" s="1288"/>
      <c r="BQ154" s="1237" t="n">
        <v>41153</v>
      </c>
      <c r="BR154" s="1238" t="n">
        <v>3.274</v>
      </c>
      <c r="BS154" s="1238" t="n">
        <v>3.279</v>
      </c>
      <c r="BT154" s="1238" t="n">
        <v>3.284</v>
      </c>
      <c r="BU154" s="1239" t="n">
        <v>0.1475</v>
      </c>
      <c r="BV154" s="1239" t="n">
        <v>0.15</v>
      </c>
      <c r="BW154" s="1239" t="n">
        <v>0.1625</v>
      </c>
      <c r="BX154" s="1239" t="n">
        <v>-0.07</v>
      </c>
      <c r="BY154" s="1239"/>
      <c r="BZ154" s="1239" t="n">
        <v>0.07</v>
      </c>
      <c r="CA154" s="1243" t="n">
        <v>0</v>
      </c>
      <c r="CB154" s="1241" t="n">
        <v>0</v>
      </c>
      <c r="CC154" s="1242" t="n">
        <v>3.274</v>
      </c>
      <c r="CD154" s="1239" t="n">
        <v>0.1625</v>
      </c>
    </row>
    <row r="155" customFormat="false" ht="12.75" hidden="false" customHeight="false" outlineLevel="0" collapsed="false">
      <c r="A155" s="1237" t="n">
        <v>41275</v>
      </c>
      <c r="B155" s="1239" t="n">
        <v>0.072841117303814</v>
      </c>
      <c r="C155" s="1218"/>
      <c r="D155" s="1274" t="n">
        <v>40148</v>
      </c>
      <c r="E155" s="1275" t="n">
        <v>27.9145541294267</v>
      </c>
      <c r="F155" s="1275" t="n">
        <v>31.1645541294267</v>
      </c>
      <c r="G155" s="1275" t="n">
        <v>36.1645541294267</v>
      </c>
      <c r="H155" s="1266"/>
      <c r="I155" s="1275" t="n">
        <v>25.3967741935484</v>
      </c>
      <c r="J155" s="1275" t="n">
        <v>27.1467741935484</v>
      </c>
      <c r="K155" s="1275" t="n">
        <v>32.1467741935484</v>
      </c>
      <c r="M155" s="1276" t="n">
        <v>41030</v>
      </c>
      <c r="N155" s="1277" t="n">
        <v>24.7707999791533</v>
      </c>
      <c r="O155" s="1277" t="n">
        <v>28.5207999791533</v>
      </c>
      <c r="P155" s="1277" t="n">
        <v>33.5207999791533</v>
      </c>
      <c r="Q155" s="109"/>
      <c r="R155" s="1277" t="n">
        <v>17.640599984365</v>
      </c>
      <c r="S155" s="1277" t="n">
        <v>21.390599984365</v>
      </c>
      <c r="T155" s="1277" t="n">
        <v>26.390599984365</v>
      </c>
      <c r="V155" s="1278" t="n">
        <v>0</v>
      </c>
      <c r="W155" s="1278" t="n">
        <v>0</v>
      </c>
      <c r="X155" s="1278" t="n">
        <v>0</v>
      </c>
      <c r="Y155" s="1288"/>
      <c r="Z155" s="1277" t="n">
        <v>0.11</v>
      </c>
      <c r="AA155" s="1277" t="n">
        <v>0.12</v>
      </c>
      <c r="AB155" s="1277" t="n">
        <v>0.13</v>
      </c>
      <c r="AC155" s="109"/>
      <c r="AD155" s="1277" t="n">
        <v>0.09</v>
      </c>
      <c r="AE155" s="1277" t="n">
        <v>0.11</v>
      </c>
      <c r="AF155" s="1277" t="n">
        <v>0.13</v>
      </c>
      <c r="AG155" s="109"/>
      <c r="AH155" s="1277" t="n">
        <v>-0.1</v>
      </c>
      <c r="AI155" s="1277" t="n">
        <v>0.65</v>
      </c>
      <c r="AJ155" s="1277" t="n">
        <v>0.1</v>
      </c>
      <c r="AK155" s="109"/>
      <c r="AL155" s="1277" t="n">
        <v>-0.01</v>
      </c>
      <c r="AM155" s="1277" t="n">
        <v>0.16</v>
      </c>
      <c r="AN155" s="1277" t="n">
        <v>0.01</v>
      </c>
      <c r="AO155" s="109"/>
      <c r="AP155" s="197" t="n">
        <v>49</v>
      </c>
      <c r="AQ155" s="1280" t="n">
        <v>0.35</v>
      </c>
      <c r="AR155" s="1288"/>
      <c r="AS155" s="1288"/>
      <c r="AT155" s="1288"/>
      <c r="AU155" s="1288"/>
      <c r="AV155" s="1288"/>
      <c r="AW155" s="1288"/>
      <c r="AX155" s="1288"/>
      <c r="AY155" s="1288"/>
      <c r="AZ155" s="1288"/>
      <c r="BA155" s="1288"/>
      <c r="BB155" s="1288"/>
      <c r="BC155" s="1288"/>
      <c r="BD155" s="1288"/>
      <c r="BE155" s="1288"/>
      <c r="BF155" s="1288"/>
      <c r="BG155" s="1288"/>
      <c r="BH155" s="1288"/>
      <c r="BI155" s="1288"/>
      <c r="BJ155" s="1288"/>
      <c r="BK155" s="1288"/>
      <c r="BL155" s="1288"/>
      <c r="BM155" s="1288"/>
      <c r="BN155" s="1288"/>
      <c r="BO155" s="1288"/>
      <c r="BP155" s="1288"/>
      <c r="BQ155" s="1237" t="n">
        <v>41183</v>
      </c>
      <c r="BR155" s="1238" t="n">
        <v>3.292</v>
      </c>
      <c r="BS155" s="1238" t="n">
        <v>3.297</v>
      </c>
      <c r="BT155" s="1238" t="n">
        <v>3.302</v>
      </c>
      <c r="BU155" s="1239" t="n">
        <v>0.1475</v>
      </c>
      <c r="BV155" s="1239" t="n">
        <v>0.15</v>
      </c>
      <c r="BW155" s="1239" t="n">
        <v>0.1625</v>
      </c>
      <c r="BX155" s="1239" t="n">
        <v>-0.07</v>
      </c>
      <c r="BY155" s="1239"/>
      <c r="BZ155" s="1239" t="n">
        <v>0.07</v>
      </c>
      <c r="CA155" s="1243" t="n">
        <v>0</v>
      </c>
      <c r="CB155" s="1241" t="n">
        <v>0</v>
      </c>
      <c r="CC155" s="1242" t="n">
        <v>3.167</v>
      </c>
      <c r="CD155" s="1239" t="n">
        <v>0.1625</v>
      </c>
    </row>
    <row r="156" customFormat="false" ht="12.75" hidden="false" customHeight="false" outlineLevel="0" collapsed="false">
      <c r="A156" s="1237" t="n">
        <v>41306</v>
      </c>
      <c r="B156" s="1239" t="n">
        <v>0.072842131249107</v>
      </c>
      <c r="C156" s="1218"/>
      <c r="D156" s="1274" t="n">
        <v>40179</v>
      </c>
      <c r="E156" s="1275" t="n">
        <v>26.1335995638992</v>
      </c>
      <c r="F156" s="1275" t="n">
        <v>29.8835995638992</v>
      </c>
      <c r="G156" s="1275" t="n">
        <v>34.8835995638992</v>
      </c>
      <c r="H156" s="1266"/>
      <c r="I156" s="1275" t="n">
        <v>22.9881191510522</v>
      </c>
      <c r="J156" s="1275" t="n">
        <v>24.7381191510522</v>
      </c>
      <c r="K156" s="1275" t="n">
        <v>29.7381191510522</v>
      </c>
      <c r="M156" s="1276" t="n">
        <v>41061</v>
      </c>
      <c r="N156" s="1277" t="n">
        <v>30.0207999791533</v>
      </c>
      <c r="O156" s="1277" t="n">
        <v>33.7707999791533</v>
      </c>
      <c r="P156" s="1277" t="n">
        <v>38.7707999791533</v>
      </c>
      <c r="Q156" s="109"/>
      <c r="R156" s="1277" t="n">
        <v>21.578099984365</v>
      </c>
      <c r="S156" s="1277" t="n">
        <v>25.328099984365</v>
      </c>
      <c r="T156" s="1277" t="n">
        <v>30.328099984365</v>
      </c>
      <c r="V156" s="1278" t="n">
        <v>0</v>
      </c>
      <c r="W156" s="1278" t="n">
        <v>0</v>
      </c>
      <c r="X156" s="1278" t="n">
        <v>0</v>
      </c>
      <c r="Y156" s="1288"/>
      <c r="Z156" s="1277" t="n">
        <v>0.11</v>
      </c>
      <c r="AA156" s="1277" t="n">
        <v>0.12</v>
      </c>
      <c r="AB156" s="1277" t="n">
        <v>0.13</v>
      </c>
      <c r="AC156" s="109"/>
      <c r="AD156" s="1277" t="n">
        <v>0.09</v>
      </c>
      <c r="AE156" s="1277" t="n">
        <v>0.11</v>
      </c>
      <c r="AF156" s="1277" t="n">
        <v>0.13</v>
      </c>
      <c r="AG156" s="109"/>
      <c r="AH156" s="1277" t="n">
        <v>-0.35</v>
      </c>
      <c r="AI156" s="1277" t="n">
        <v>0.65</v>
      </c>
      <c r="AJ156" s="1277" t="n">
        <v>0.2</v>
      </c>
      <c r="AK156" s="109"/>
      <c r="AL156" s="1277" t="n">
        <v>-0.01</v>
      </c>
      <c r="AM156" s="1277" t="n">
        <v>0.16</v>
      </c>
      <c r="AN156" s="1277" t="n">
        <v>0.01</v>
      </c>
      <c r="AO156" s="109"/>
      <c r="AP156" s="197" t="n">
        <v>49</v>
      </c>
      <c r="AQ156" s="1280" t="n">
        <v>0.35</v>
      </c>
      <c r="AR156" s="1288"/>
      <c r="AS156" s="1288"/>
      <c r="AT156" s="1288"/>
      <c r="AU156" s="1288"/>
      <c r="AV156" s="1288"/>
      <c r="AW156" s="1288"/>
      <c r="AX156" s="1288"/>
      <c r="AY156" s="1288"/>
      <c r="AZ156" s="1288"/>
      <c r="BA156" s="1288"/>
      <c r="BB156" s="1288"/>
      <c r="BC156" s="1288"/>
      <c r="BD156" s="1288"/>
      <c r="BE156" s="1288"/>
      <c r="BF156" s="1288"/>
      <c r="BG156" s="1288"/>
      <c r="BH156" s="1288"/>
      <c r="BI156" s="1288"/>
      <c r="BJ156" s="1288"/>
      <c r="BK156" s="1288"/>
      <c r="BL156" s="1288"/>
      <c r="BM156" s="1288"/>
      <c r="BN156" s="1288"/>
      <c r="BO156" s="1288"/>
      <c r="BP156" s="1288"/>
      <c r="BQ156" s="1237" t="n">
        <v>41214</v>
      </c>
      <c r="BR156" s="1238" t="n">
        <v>3.38</v>
      </c>
      <c r="BS156" s="1238" t="n">
        <v>3.385</v>
      </c>
      <c r="BT156" s="1238" t="n">
        <v>3.39</v>
      </c>
      <c r="BU156" s="1239" t="n">
        <v>0.1475</v>
      </c>
      <c r="BV156" s="1239" t="n">
        <v>0.15</v>
      </c>
      <c r="BW156" s="1239" t="n">
        <v>0.1625</v>
      </c>
      <c r="BX156" s="1239" t="n">
        <v>-0.07</v>
      </c>
      <c r="BY156" s="1239"/>
      <c r="BZ156" s="1239" t="n">
        <v>0.07</v>
      </c>
      <c r="CA156" s="1243" t="n">
        <v>0</v>
      </c>
      <c r="CB156" s="1241" t="n">
        <v>0</v>
      </c>
      <c r="CC156" s="1242" t="n">
        <v>3.064</v>
      </c>
      <c r="CD156" s="1239" t="n">
        <v>0.1625</v>
      </c>
    </row>
    <row r="157" customFormat="false" ht="12.75" hidden="false" customHeight="false" outlineLevel="0" collapsed="false">
      <c r="A157" s="1237" t="n">
        <v>41334</v>
      </c>
      <c r="B157" s="1239" t="n">
        <v>0.072843047070662</v>
      </c>
      <c r="C157" s="1218"/>
      <c r="D157" s="1274" t="n">
        <v>40210</v>
      </c>
      <c r="E157" s="1275" t="n">
        <v>25.6335995638992</v>
      </c>
      <c r="F157" s="1275" t="n">
        <v>29.3835995638992</v>
      </c>
      <c r="G157" s="1275" t="n">
        <v>34.3835995638992</v>
      </c>
      <c r="H157" s="1266"/>
      <c r="I157" s="1275" t="n">
        <v>23.9571428571429</v>
      </c>
      <c r="J157" s="1275" t="n">
        <v>25.7071428571429</v>
      </c>
      <c r="K157" s="1275" t="n">
        <v>30.7071428571429</v>
      </c>
      <c r="M157" s="1276" t="n">
        <v>41091</v>
      </c>
      <c r="N157" s="1277" t="n">
        <v>56.2983487363617</v>
      </c>
      <c r="O157" s="1277" t="n">
        <v>60.0483487363617</v>
      </c>
      <c r="P157" s="1277" t="n">
        <v>65.0483487363618</v>
      </c>
      <c r="Q157" s="109"/>
      <c r="R157" s="1277" t="n">
        <v>41.2862615522713</v>
      </c>
      <c r="S157" s="1277" t="n">
        <v>45.0362615522713</v>
      </c>
      <c r="T157" s="1277" t="n">
        <v>50.0362615522713</v>
      </c>
      <c r="V157" s="1278" t="n">
        <v>0</v>
      </c>
      <c r="W157" s="1278" t="n">
        <v>0</v>
      </c>
      <c r="X157" s="1278" t="n">
        <v>0</v>
      </c>
      <c r="Y157" s="1288"/>
      <c r="Z157" s="1277" t="n">
        <v>0.11</v>
      </c>
      <c r="AA157" s="1277" t="n">
        <v>0.12</v>
      </c>
      <c r="AB157" s="1277" t="n">
        <v>0.13</v>
      </c>
      <c r="AC157" s="109"/>
      <c r="AD157" s="1277" t="n">
        <v>0.09</v>
      </c>
      <c r="AE157" s="1277" t="n">
        <v>0.11</v>
      </c>
      <c r="AF157" s="1277" t="n">
        <v>0.13</v>
      </c>
      <c r="AG157" s="109"/>
      <c r="AH157" s="1277" t="n">
        <v>-0.35</v>
      </c>
      <c r="AI157" s="1277" t="n">
        <v>3</v>
      </c>
      <c r="AJ157" s="1277" t="n">
        <v>0.35</v>
      </c>
      <c r="AK157" s="109"/>
      <c r="AL157" s="1277" t="n">
        <v>-0.01</v>
      </c>
      <c r="AM157" s="1277" t="n">
        <v>0.16</v>
      </c>
      <c r="AN157" s="1277" t="n">
        <v>0.01</v>
      </c>
      <c r="AO157" s="109"/>
      <c r="AP157" s="197" t="n">
        <v>50</v>
      </c>
      <c r="AQ157" s="1280" t="n">
        <v>0.35</v>
      </c>
      <c r="AR157" s="1288"/>
      <c r="AS157" s="1288"/>
      <c r="AT157" s="1288"/>
      <c r="AU157" s="1288"/>
      <c r="AV157" s="1288"/>
      <c r="AW157" s="1288"/>
      <c r="AX157" s="1288"/>
      <c r="AY157" s="1288"/>
      <c r="AZ157" s="1288"/>
      <c r="BA157" s="1288"/>
      <c r="BB157" s="1288"/>
      <c r="BC157" s="1288"/>
      <c r="BD157" s="1288"/>
      <c r="BE157" s="1288"/>
      <c r="BF157" s="1288"/>
      <c r="BG157" s="1288"/>
      <c r="BH157" s="1288"/>
      <c r="BI157" s="1288"/>
      <c r="BJ157" s="1288"/>
      <c r="BK157" s="1288"/>
      <c r="BL157" s="1288"/>
      <c r="BM157" s="1288"/>
      <c r="BN157" s="1288"/>
      <c r="BO157" s="1288"/>
      <c r="BP157" s="1288"/>
      <c r="BQ157" s="1237" t="n">
        <v>41244</v>
      </c>
      <c r="BR157" s="1238" t="n">
        <v>3.476</v>
      </c>
      <c r="BS157" s="1238" t="n">
        <v>3.481</v>
      </c>
      <c r="BT157" s="1238" t="n">
        <v>3.486</v>
      </c>
      <c r="BU157" s="1239" t="n">
        <v>0.1475</v>
      </c>
      <c r="BV157" s="1239" t="n">
        <v>0.15</v>
      </c>
      <c r="BW157" s="1239" t="n">
        <v>0.1625</v>
      </c>
      <c r="BX157" s="1239" t="n">
        <v>-0.07</v>
      </c>
      <c r="BY157" s="1239"/>
      <c r="BZ157" s="1239" t="n">
        <v>0.07</v>
      </c>
      <c r="CA157" s="1243" t="n">
        <v>0</v>
      </c>
      <c r="CB157" s="1241" t="n">
        <v>0</v>
      </c>
      <c r="CC157" s="1242" t="n">
        <v>3.04</v>
      </c>
      <c r="CD157" s="1239" t="n">
        <v>0.1625</v>
      </c>
    </row>
    <row r="158" customFormat="false" ht="12.75" hidden="false" customHeight="false" outlineLevel="0" collapsed="false">
      <c r="A158" s="1237" t="n">
        <v>41365</v>
      </c>
      <c r="B158" s="1239" t="n">
        <v>0.072844061015956</v>
      </c>
      <c r="C158" s="1218"/>
      <c r="D158" s="1274" t="n">
        <v>40238</v>
      </c>
      <c r="E158" s="1275" t="n">
        <v>25.3835995638992</v>
      </c>
      <c r="F158" s="1275" t="n">
        <v>29.1335995638992</v>
      </c>
      <c r="G158" s="1275" t="n">
        <v>34.1335995638992</v>
      </c>
      <c r="H158" s="1266"/>
      <c r="I158" s="1275" t="n">
        <v>24.2370967741936</v>
      </c>
      <c r="J158" s="1275" t="n">
        <v>25.9870967741936</v>
      </c>
      <c r="K158" s="1275" t="n">
        <v>30.9870967741936</v>
      </c>
      <c r="M158" s="1276" t="n">
        <v>41122</v>
      </c>
      <c r="N158" s="1277" t="n">
        <v>76.9233487363618</v>
      </c>
      <c r="O158" s="1277" t="n">
        <v>80.6733487363618</v>
      </c>
      <c r="P158" s="1277" t="n">
        <v>85.6733487363618</v>
      </c>
      <c r="Q158" s="109"/>
      <c r="R158" s="1277" t="n">
        <v>56.7550115522713</v>
      </c>
      <c r="S158" s="1277" t="n">
        <v>60.5050115522713</v>
      </c>
      <c r="T158" s="1277" t="n">
        <v>65.5050115522713</v>
      </c>
      <c r="V158" s="1278" t="n">
        <v>0</v>
      </c>
      <c r="W158" s="1278" t="n">
        <v>0</v>
      </c>
      <c r="X158" s="1278" t="n">
        <v>0</v>
      </c>
      <c r="Y158" s="1288"/>
      <c r="Z158" s="1277" t="n">
        <v>0.11</v>
      </c>
      <c r="AA158" s="1277" t="n">
        <v>0.12</v>
      </c>
      <c r="AB158" s="1277" t="n">
        <v>0.13</v>
      </c>
      <c r="AC158" s="109"/>
      <c r="AD158" s="1277" t="n">
        <v>0.09</v>
      </c>
      <c r="AE158" s="1277" t="n">
        <v>0.11</v>
      </c>
      <c r="AF158" s="1277" t="n">
        <v>0.13</v>
      </c>
      <c r="AG158" s="109"/>
      <c r="AH158" s="1277" t="n">
        <v>-0.35</v>
      </c>
      <c r="AI158" s="1277" t="n">
        <v>3</v>
      </c>
      <c r="AJ158" s="1277" t="n">
        <v>0.35</v>
      </c>
      <c r="AK158" s="109"/>
      <c r="AL158" s="1277" t="n">
        <v>-0.01</v>
      </c>
      <c r="AM158" s="1277" t="n">
        <v>0.16</v>
      </c>
      <c r="AN158" s="1277" t="n">
        <v>0.01</v>
      </c>
      <c r="AO158" s="109"/>
      <c r="AP158" s="197" t="n">
        <v>50</v>
      </c>
      <c r="AQ158" s="1280" t="n">
        <v>0.35</v>
      </c>
      <c r="AR158" s="1288"/>
      <c r="AS158" s="1288"/>
      <c r="AT158" s="1288"/>
      <c r="AU158" s="1288"/>
      <c r="AV158" s="1288"/>
      <c r="AW158" s="1288"/>
      <c r="AX158" s="1288"/>
      <c r="AY158" s="1288"/>
      <c r="AZ158" s="1288"/>
      <c r="BA158" s="1288"/>
      <c r="BB158" s="1288"/>
      <c r="BC158" s="1288"/>
      <c r="BD158" s="1288"/>
      <c r="BE158" s="1288"/>
      <c r="BF158" s="1288"/>
      <c r="BG158" s="1288"/>
      <c r="BH158" s="1288"/>
      <c r="BI158" s="1288"/>
      <c r="BJ158" s="1288"/>
      <c r="BK158" s="1288"/>
      <c r="BL158" s="1288"/>
      <c r="BM158" s="1288"/>
      <c r="BN158" s="1288"/>
      <c r="BO158" s="1288"/>
      <c r="BP158" s="1288"/>
      <c r="BQ158" s="1237" t="n">
        <v>41275</v>
      </c>
      <c r="BR158" s="1238" t="n">
        <v>3.5275</v>
      </c>
      <c r="BS158" s="1238" t="n">
        <v>3.5325</v>
      </c>
      <c r="BT158" s="1238" t="n">
        <v>3.5375</v>
      </c>
      <c r="BU158" s="1239" t="n">
        <v>0.1465</v>
      </c>
      <c r="BV158" s="1239" t="n">
        <v>0.15</v>
      </c>
      <c r="BW158" s="1239" t="n">
        <v>0.1615</v>
      </c>
      <c r="BX158" s="1239" t="n">
        <v>-0.07</v>
      </c>
      <c r="BY158" s="1239"/>
      <c r="BZ158" s="1239" t="n">
        <v>0.07</v>
      </c>
      <c r="CA158" s="1243" t="n">
        <v>0</v>
      </c>
      <c r="CB158" s="1241" t="n">
        <v>0</v>
      </c>
      <c r="CC158" s="1242" t="n">
        <v>3.047</v>
      </c>
      <c r="CD158" s="1239" t="n">
        <v>0.1625</v>
      </c>
    </row>
    <row r="159" customFormat="false" ht="12.75" hidden="false" customHeight="false" outlineLevel="0" collapsed="false">
      <c r="A159" s="1237" t="n">
        <v>41395</v>
      </c>
      <c r="B159" s="1239" t="n">
        <v>0.072845042253337</v>
      </c>
      <c r="C159" s="1218"/>
      <c r="D159" s="1274" t="n">
        <v>40269</v>
      </c>
      <c r="E159" s="1275" t="n">
        <v>25.4886375375953</v>
      </c>
      <c r="F159" s="1275" t="n">
        <v>29.2386375375953</v>
      </c>
      <c r="G159" s="1275" t="n">
        <v>34.2386375375953</v>
      </c>
      <c r="H159" s="1266"/>
      <c r="I159" s="1275" t="n">
        <v>22.0375</v>
      </c>
      <c r="J159" s="1275" t="n">
        <v>23.7875</v>
      </c>
      <c r="K159" s="1275" t="n">
        <v>28.7875</v>
      </c>
      <c r="M159" s="1276" t="n">
        <v>41153</v>
      </c>
      <c r="N159" s="1277" t="n">
        <v>60.9233487363617</v>
      </c>
      <c r="O159" s="1277" t="n">
        <v>64.6733487363618</v>
      </c>
      <c r="P159" s="1277" t="n">
        <v>69.6733487363618</v>
      </c>
      <c r="Q159" s="109"/>
      <c r="R159" s="1277" t="n">
        <v>44.7550115522713</v>
      </c>
      <c r="S159" s="1277" t="n">
        <v>48.5050115522713</v>
      </c>
      <c r="T159" s="1277" t="n">
        <v>53.5050115522713</v>
      </c>
      <c r="V159" s="1278" t="n">
        <v>0</v>
      </c>
      <c r="W159" s="1278" t="n">
        <v>0</v>
      </c>
      <c r="X159" s="1278" t="n">
        <v>0</v>
      </c>
      <c r="Y159" s="1288"/>
      <c r="Z159" s="1277" t="n">
        <v>0.11</v>
      </c>
      <c r="AA159" s="1277" t="n">
        <v>0.12</v>
      </c>
      <c r="AB159" s="1277" t="n">
        <v>0.13</v>
      </c>
      <c r="AC159" s="109"/>
      <c r="AD159" s="1277" t="n">
        <v>0.09</v>
      </c>
      <c r="AE159" s="1277" t="n">
        <v>0.11</v>
      </c>
      <c r="AF159" s="1277" t="n">
        <v>0.13</v>
      </c>
      <c r="AG159" s="109"/>
      <c r="AH159" s="1277" t="n">
        <v>-0.35</v>
      </c>
      <c r="AI159" s="1277" t="n">
        <v>3</v>
      </c>
      <c r="AJ159" s="1277" t="n">
        <v>0.2</v>
      </c>
      <c r="AK159" s="109"/>
      <c r="AL159" s="1277" t="n">
        <v>-0.01</v>
      </c>
      <c r="AM159" s="1277" t="n">
        <v>0.16</v>
      </c>
      <c r="AN159" s="1277" t="n">
        <v>0.01</v>
      </c>
      <c r="AO159" s="109"/>
      <c r="AP159" s="197" t="n">
        <v>50</v>
      </c>
      <c r="AQ159" s="1280" t="n">
        <v>0.35</v>
      </c>
      <c r="AR159" s="1288"/>
      <c r="AS159" s="1288"/>
      <c r="AT159" s="1288"/>
      <c r="AU159" s="1288"/>
      <c r="AV159" s="1288"/>
      <c r="AW159" s="1288"/>
      <c r="AX159" s="1288"/>
      <c r="AY159" s="1288"/>
      <c r="AZ159" s="1288"/>
      <c r="BA159" s="1288"/>
      <c r="BB159" s="1288"/>
      <c r="BC159" s="1288"/>
      <c r="BD159" s="1288"/>
      <c r="BE159" s="1288"/>
      <c r="BF159" s="1288"/>
      <c r="BG159" s="1288"/>
      <c r="BH159" s="1288"/>
      <c r="BI159" s="1288"/>
      <c r="BJ159" s="1288"/>
      <c r="BK159" s="1288"/>
      <c r="BL159" s="1288"/>
      <c r="BM159" s="1288"/>
      <c r="BN159" s="1288"/>
      <c r="BO159" s="1288"/>
      <c r="BP159" s="1288"/>
      <c r="BQ159" s="1237" t="n">
        <v>41306</v>
      </c>
      <c r="BR159" s="1238" t="n">
        <v>3.4545</v>
      </c>
      <c r="BS159" s="1238" t="n">
        <v>3.4595</v>
      </c>
      <c r="BT159" s="1238" t="n">
        <v>3.4645</v>
      </c>
      <c r="BU159" s="1239" t="n">
        <v>0.1465</v>
      </c>
      <c r="BV159" s="1239" t="n">
        <v>0.15</v>
      </c>
      <c r="BW159" s="1239" t="n">
        <v>0.1615</v>
      </c>
      <c r="BX159" s="1239" t="n">
        <v>-0.07</v>
      </c>
      <c r="BY159" s="1239"/>
      <c r="BZ159" s="1239" t="n">
        <v>0.07</v>
      </c>
      <c r="CA159" s="1243" t="n">
        <v>0</v>
      </c>
      <c r="CB159" s="1241" t="n">
        <v>0</v>
      </c>
      <c r="CC159" s="1242" t="n">
        <v>3.053</v>
      </c>
      <c r="CD159" s="1239" t="n">
        <v>0.1625</v>
      </c>
    </row>
    <row r="160" customFormat="false" ht="12.75" hidden="false" customHeight="false" outlineLevel="0" collapsed="false">
      <c r="A160" s="1237" t="n">
        <v>41426</v>
      </c>
      <c r="B160" s="1239" t="n">
        <v>0.07284605619863</v>
      </c>
      <c r="C160" s="1218"/>
      <c r="D160" s="1274" t="n">
        <v>40299</v>
      </c>
      <c r="E160" s="1275" t="n">
        <v>24.7386375375953</v>
      </c>
      <c r="F160" s="1275" t="n">
        <v>28.4886375375953</v>
      </c>
      <c r="G160" s="1275" t="n">
        <v>33.4886375375953</v>
      </c>
      <c r="H160" s="1266"/>
      <c r="I160" s="1275" t="n">
        <v>22.0959677419355</v>
      </c>
      <c r="J160" s="1275" t="n">
        <v>23.8459677419355</v>
      </c>
      <c r="K160" s="1275" t="n">
        <v>28.8459677419355</v>
      </c>
      <c r="M160" s="1276" t="n">
        <v>41183</v>
      </c>
      <c r="N160" s="1277" t="n">
        <v>33.2123603075302</v>
      </c>
      <c r="O160" s="1277" t="n">
        <v>36.9623603075302</v>
      </c>
      <c r="P160" s="1277" t="n">
        <v>41.9623603075302</v>
      </c>
      <c r="Q160" s="109"/>
      <c r="R160" s="1277" t="n">
        <v>23.9717702306476</v>
      </c>
      <c r="S160" s="1277" t="n">
        <v>27.7217702306476</v>
      </c>
      <c r="T160" s="1277" t="n">
        <v>32.7217702306476</v>
      </c>
      <c r="V160" s="1278" t="n">
        <v>0</v>
      </c>
      <c r="W160" s="1278" t="n">
        <v>0</v>
      </c>
      <c r="X160" s="1278" t="n">
        <v>0</v>
      </c>
      <c r="Y160" s="1288"/>
      <c r="Z160" s="1277" t="n">
        <v>0.11</v>
      </c>
      <c r="AA160" s="1277" t="n">
        <v>0.12</v>
      </c>
      <c r="AB160" s="1277" t="n">
        <v>0.13</v>
      </c>
      <c r="AC160" s="109"/>
      <c r="AD160" s="1277" t="n">
        <v>0.09</v>
      </c>
      <c r="AE160" s="1277" t="n">
        <v>0.11</v>
      </c>
      <c r="AF160" s="1277" t="n">
        <v>0.13</v>
      </c>
      <c r="AG160" s="109"/>
      <c r="AH160" s="1277" t="n">
        <v>-0.1</v>
      </c>
      <c r="AI160" s="1277" t="n">
        <v>0.6</v>
      </c>
      <c r="AJ160" s="1277" t="n">
        <v>0.1</v>
      </c>
      <c r="AK160" s="109"/>
      <c r="AL160" s="1277" t="n">
        <v>-0.01</v>
      </c>
      <c r="AM160" s="1277" t="n">
        <v>0.16</v>
      </c>
      <c r="AN160" s="1277" t="n">
        <v>0.01</v>
      </c>
      <c r="AO160" s="109"/>
      <c r="AP160" s="197" t="n">
        <v>51</v>
      </c>
      <c r="AQ160" s="1280" t="n">
        <v>0.35</v>
      </c>
      <c r="AR160" s="1288"/>
      <c r="AS160" s="1288"/>
      <c r="AT160" s="1288"/>
      <c r="AU160" s="1288"/>
      <c r="AV160" s="1288"/>
      <c r="AW160" s="1288"/>
      <c r="AX160" s="1288"/>
      <c r="AY160" s="1288"/>
      <c r="AZ160" s="1288"/>
      <c r="BA160" s="1288"/>
      <c r="BB160" s="1288"/>
      <c r="BC160" s="1288"/>
      <c r="BD160" s="1288"/>
      <c r="BE160" s="1288"/>
      <c r="BF160" s="1288"/>
      <c r="BG160" s="1288"/>
      <c r="BH160" s="1288"/>
      <c r="BI160" s="1288"/>
      <c r="BJ160" s="1288"/>
      <c r="BK160" s="1288"/>
      <c r="BL160" s="1288"/>
      <c r="BM160" s="1288"/>
      <c r="BN160" s="1288"/>
      <c r="BO160" s="1288"/>
      <c r="BP160" s="1288"/>
      <c r="BQ160" s="1237" t="n">
        <v>41334</v>
      </c>
      <c r="BR160" s="1238" t="n">
        <v>3.3695</v>
      </c>
      <c r="BS160" s="1238" t="n">
        <v>3.3745</v>
      </c>
      <c r="BT160" s="1238" t="n">
        <v>3.3795</v>
      </c>
      <c r="BU160" s="1239" t="n">
        <v>0.1465</v>
      </c>
      <c r="BV160" s="1239" t="n">
        <v>0.15</v>
      </c>
      <c r="BW160" s="1239" t="n">
        <v>0.1615</v>
      </c>
      <c r="BX160" s="1239" t="n">
        <v>-0.07</v>
      </c>
      <c r="BY160" s="1239"/>
      <c r="BZ160" s="1239" t="n">
        <v>0.07</v>
      </c>
      <c r="CA160" s="1243" t="n">
        <v>0</v>
      </c>
      <c r="CB160" s="1241" t="n">
        <v>0</v>
      </c>
      <c r="CC160" s="1242" t="n">
        <v>3.058</v>
      </c>
      <c r="CD160" s="1239" t="n">
        <v>0.1625</v>
      </c>
    </row>
    <row r="161" customFormat="false" ht="12.75" hidden="false" customHeight="false" outlineLevel="0" collapsed="false">
      <c r="A161" s="1237" t="n">
        <v>41456</v>
      </c>
      <c r="B161" s="1239" t="n">
        <v>0.072847037436012</v>
      </c>
      <c r="C161" s="1218"/>
      <c r="D161" s="1274" t="n">
        <v>40330</v>
      </c>
      <c r="E161" s="1275" t="n">
        <v>29.9886375375953</v>
      </c>
      <c r="F161" s="1275" t="n">
        <v>33.7386375375953</v>
      </c>
      <c r="G161" s="1275" t="n">
        <v>38.7386375375953</v>
      </c>
      <c r="H161" s="1266"/>
      <c r="I161" s="1275" t="n">
        <v>21.35</v>
      </c>
      <c r="J161" s="1275" t="n">
        <v>23.1</v>
      </c>
      <c r="K161" s="1275" t="n">
        <v>28.1</v>
      </c>
      <c r="M161" s="1276" t="n">
        <v>41214</v>
      </c>
      <c r="N161" s="1277" t="n">
        <v>25.4623603075302</v>
      </c>
      <c r="O161" s="1277" t="n">
        <v>29.2123603075302</v>
      </c>
      <c r="P161" s="1277" t="n">
        <v>34.2123603075302</v>
      </c>
      <c r="Q161" s="109"/>
      <c r="R161" s="1277" t="n">
        <v>18.1592702306476</v>
      </c>
      <c r="S161" s="1277" t="n">
        <v>21.9092702306476</v>
      </c>
      <c r="T161" s="1277" t="n">
        <v>26.9092702306476</v>
      </c>
      <c r="V161" s="1278" t="n">
        <v>0</v>
      </c>
      <c r="W161" s="1278" t="n">
        <v>0</v>
      </c>
      <c r="X161" s="1278" t="n">
        <v>0</v>
      </c>
      <c r="Y161" s="1288"/>
      <c r="Z161" s="1277" t="n">
        <v>0.11</v>
      </c>
      <c r="AA161" s="1277" t="n">
        <v>0.12</v>
      </c>
      <c r="AB161" s="1277" t="n">
        <v>0.13</v>
      </c>
      <c r="AC161" s="109"/>
      <c r="AD161" s="1277" t="n">
        <v>0.09</v>
      </c>
      <c r="AE161" s="1277" t="n">
        <v>0.11</v>
      </c>
      <c r="AF161" s="1277" t="n">
        <v>0.13</v>
      </c>
      <c r="AG161" s="109"/>
      <c r="AH161" s="1277" t="n">
        <v>-0.1</v>
      </c>
      <c r="AI161" s="1277" t="n">
        <v>0.6</v>
      </c>
      <c r="AJ161" s="1277" t="n">
        <v>0.1</v>
      </c>
      <c r="AK161" s="109"/>
      <c r="AL161" s="1277" t="n">
        <v>-0.01</v>
      </c>
      <c r="AM161" s="1277" t="n">
        <v>0.16</v>
      </c>
      <c r="AN161" s="1277" t="n">
        <v>0.01</v>
      </c>
      <c r="AO161" s="109"/>
      <c r="AP161" s="197" t="n">
        <v>51</v>
      </c>
      <c r="AQ161" s="1280" t="n">
        <v>0.35</v>
      </c>
      <c r="AR161" s="1288"/>
      <c r="AS161" s="1288"/>
      <c r="AT161" s="1288"/>
      <c r="AU161" s="1288"/>
      <c r="AV161" s="1288"/>
      <c r="AW161" s="1288"/>
      <c r="AX161" s="1288"/>
      <c r="AY161" s="1288"/>
      <c r="AZ161" s="1288"/>
      <c r="BA161" s="1288"/>
      <c r="BB161" s="1288"/>
      <c r="BC161" s="1288"/>
      <c r="BD161" s="1288"/>
      <c r="BE161" s="1288"/>
      <c r="BF161" s="1288"/>
      <c r="BG161" s="1288"/>
      <c r="BH161" s="1288"/>
      <c r="BI161" s="1288"/>
      <c r="BJ161" s="1288"/>
      <c r="BK161" s="1288"/>
      <c r="BL161" s="1288"/>
      <c r="BM161" s="1288"/>
      <c r="BN161" s="1288"/>
      <c r="BO161" s="1288"/>
      <c r="BP161" s="1288"/>
      <c r="BQ161" s="1237" t="n">
        <v>41365</v>
      </c>
      <c r="BR161" s="1238" t="n">
        <v>3.2995</v>
      </c>
      <c r="BS161" s="1238" t="n">
        <v>3.3045</v>
      </c>
      <c r="BT161" s="1238" t="n">
        <v>3.3095</v>
      </c>
      <c r="BU161" s="1239" t="n">
        <v>0.1465</v>
      </c>
      <c r="BV161" s="1239" t="n">
        <v>0.15</v>
      </c>
      <c r="BW161" s="1239" t="n">
        <v>0.1615</v>
      </c>
      <c r="BX161" s="1239" t="n">
        <v>-0.07</v>
      </c>
      <c r="BY161" s="1239"/>
      <c r="BZ161" s="1239" t="n">
        <v>0.07</v>
      </c>
      <c r="CA161" s="1243" t="n">
        <v>0</v>
      </c>
      <c r="CB161" s="1241" t="n">
        <v>0</v>
      </c>
      <c r="CC161" s="1242" t="n">
        <v>3.061</v>
      </c>
      <c r="CD161" s="1239" t="n">
        <v>0.1625</v>
      </c>
    </row>
    <row r="162" customFormat="false" ht="12.75" hidden="false" customHeight="false" outlineLevel="0" collapsed="false">
      <c r="A162" s="1237" t="n">
        <v>41487</v>
      </c>
      <c r="B162" s="1239" t="n">
        <v>0.072848051381307</v>
      </c>
      <c r="C162" s="1218"/>
      <c r="D162" s="1274" t="n">
        <v>40360</v>
      </c>
      <c r="E162" s="1275" t="n">
        <v>56.1817663604603</v>
      </c>
      <c r="F162" s="1275" t="n">
        <v>59.9317663604603</v>
      </c>
      <c r="G162" s="1275" t="n">
        <v>64.9317663604603</v>
      </c>
      <c r="H162" s="1266"/>
      <c r="I162" s="1275" t="n">
        <v>27.3741935483871</v>
      </c>
      <c r="J162" s="1275" t="n">
        <v>29.1241935483871</v>
      </c>
      <c r="K162" s="1275" t="n">
        <v>34.1241935483871</v>
      </c>
      <c r="M162" s="1276" t="n">
        <v>41244</v>
      </c>
      <c r="N162" s="1277" t="n">
        <v>27.4623603075302</v>
      </c>
      <c r="O162" s="1277" t="n">
        <v>31.2123603075302</v>
      </c>
      <c r="P162" s="1277" t="n">
        <v>36.2123603075302</v>
      </c>
      <c r="Q162" s="109"/>
      <c r="R162" s="1277" t="n">
        <v>19.6592702306476</v>
      </c>
      <c r="S162" s="1277" t="n">
        <v>23.4092702306476</v>
      </c>
      <c r="T162" s="1277" t="n">
        <v>28.4092702306476</v>
      </c>
      <c r="V162" s="1278" t="n">
        <v>0</v>
      </c>
      <c r="W162" s="1278" t="n">
        <v>0</v>
      </c>
      <c r="X162" s="1278" t="n">
        <v>0</v>
      </c>
      <c r="Y162" s="1288"/>
      <c r="Z162" s="1277" t="n">
        <v>0.11</v>
      </c>
      <c r="AA162" s="1277" t="n">
        <v>0.12</v>
      </c>
      <c r="AB162" s="1277" t="n">
        <v>0.13</v>
      </c>
      <c r="AC162" s="109"/>
      <c r="AD162" s="1277" t="n">
        <v>0.09</v>
      </c>
      <c r="AE162" s="1277" t="n">
        <v>0.11</v>
      </c>
      <c r="AF162" s="1277" t="n">
        <v>0.13</v>
      </c>
      <c r="AG162" s="109"/>
      <c r="AH162" s="1277" t="n">
        <v>-0.25</v>
      </c>
      <c r="AI162" s="1277" t="n">
        <v>0.6</v>
      </c>
      <c r="AJ162" s="1277" t="n">
        <v>0.25</v>
      </c>
      <c r="AK162" s="109"/>
      <c r="AL162" s="1277" t="n">
        <v>-0.01</v>
      </c>
      <c r="AM162" s="1277" t="n">
        <v>0.16</v>
      </c>
      <c r="AN162" s="1277" t="n">
        <v>0.01</v>
      </c>
      <c r="AO162" s="109"/>
      <c r="AP162" s="197" t="n">
        <v>51</v>
      </c>
      <c r="AQ162" s="1280" t="n">
        <v>0.35</v>
      </c>
      <c r="AR162" s="1288"/>
      <c r="AS162" s="1288"/>
      <c r="AT162" s="1288"/>
      <c r="AU162" s="1288"/>
      <c r="AV162" s="1288"/>
      <c r="AW162" s="1288"/>
      <c r="AX162" s="1288"/>
      <c r="AY162" s="1288"/>
      <c r="AZ162" s="1288"/>
      <c r="BA162" s="1288"/>
      <c r="BB162" s="1288"/>
      <c r="BC162" s="1288"/>
      <c r="BD162" s="1288"/>
      <c r="BE162" s="1288"/>
      <c r="BF162" s="1288"/>
      <c r="BG162" s="1288"/>
      <c r="BH162" s="1288"/>
      <c r="BI162" s="1288"/>
      <c r="BJ162" s="1288"/>
      <c r="BK162" s="1288"/>
      <c r="BL162" s="1288"/>
      <c r="BM162" s="1288"/>
      <c r="BN162" s="1288"/>
      <c r="BO162" s="1288"/>
      <c r="BP162" s="1288"/>
      <c r="BQ162" s="1237" t="n">
        <v>41395</v>
      </c>
      <c r="BR162" s="1238" t="n">
        <v>3.3235</v>
      </c>
      <c r="BS162" s="1238" t="n">
        <v>3.3285</v>
      </c>
      <c r="BT162" s="1238" t="n">
        <v>3.3335</v>
      </c>
      <c r="BU162" s="1239" t="n">
        <v>0.1465</v>
      </c>
      <c r="BV162" s="1239" t="n">
        <v>0.15</v>
      </c>
      <c r="BW162" s="1239" t="n">
        <v>0.1615</v>
      </c>
      <c r="BX162" s="1239" t="n">
        <v>-0.07</v>
      </c>
      <c r="BY162" s="1239"/>
      <c r="BZ162" s="1239" t="n">
        <v>0.07</v>
      </c>
      <c r="CA162" s="1243" t="n">
        <v>0</v>
      </c>
      <c r="CB162" s="1241" t="n">
        <v>0</v>
      </c>
      <c r="CC162" s="1242" t="n">
        <v>3.094</v>
      </c>
      <c r="CD162" s="1239" t="n">
        <v>0.1625</v>
      </c>
    </row>
    <row r="163" customFormat="false" ht="12.75" hidden="false" customHeight="false" outlineLevel="0" collapsed="false">
      <c r="A163" s="1237" t="n">
        <v>41518</v>
      </c>
      <c r="B163" s="1239" t="n">
        <v>0.072849065326602</v>
      </c>
      <c r="C163" s="1218"/>
      <c r="D163" s="1274" t="n">
        <v>40391</v>
      </c>
      <c r="E163" s="1275" t="n">
        <v>76.8067663604603</v>
      </c>
      <c r="F163" s="1275" t="n">
        <v>80.5567663604603</v>
      </c>
      <c r="G163" s="1275" t="n">
        <v>85.5567663604603</v>
      </c>
      <c r="H163" s="1266"/>
      <c r="I163" s="1275" t="n">
        <v>25.3741935483871</v>
      </c>
      <c r="J163" s="1275" t="n">
        <v>27.1241935483871</v>
      </c>
      <c r="K163" s="1275" t="n">
        <v>32.1241935483871</v>
      </c>
      <c r="M163" s="1276" t="n">
        <v>41275</v>
      </c>
      <c r="N163" s="1277" t="n">
        <v>26.2177743862646</v>
      </c>
      <c r="O163" s="1277" t="n">
        <v>29.9677743862646</v>
      </c>
      <c r="P163" s="1277" t="n">
        <v>34.9677743862646</v>
      </c>
      <c r="Q163" s="109"/>
      <c r="R163" s="1277" t="n">
        <v>18.7258307896984</v>
      </c>
      <c r="S163" s="1277" t="n">
        <v>22.4758307896984</v>
      </c>
      <c r="T163" s="1277" t="n">
        <v>27.4758307896984</v>
      </c>
      <c r="V163" s="1278" t="n">
        <v>0</v>
      </c>
      <c r="W163" s="1278" t="n">
        <v>0</v>
      </c>
      <c r="X163" s="1278" t="n">
        <v>0</v>
      </c>
      <c r="Y163" s="1288"/>
      <c r="Z163" s="1277" t="n">
        <v>0.105</v>
      </c>
      <c r="AA163" s="1277" t="n">
        <v>0.115</v>
      </c>
      <c r="AB163" s="1277" t="n">
        <v>0.125</v>
      </c>
      <c r="AC163" s="109"/>
      <c r="AD163" s="1277" t="n">
        <v>0.09</v>
      </c>
      <c r="AE163" s="1277" t="n">
        <v>0.11</v>
      </c>
      <c r="AF163" s="1277" t="n">
        <v>0.13</v>
      </c>
      <c r="AG163" s="109"/>
      <c r="AH163" s="1277" t="n">
        <v>-0.25</v>
      </c>
      <c r="AI163" s="1277" t="n">
        <v>0.65</v>
      </c>
      <c r="AJ163" s="1277" t="n">
        <v>0.25</v>
      </c>
      <c r="AK163" s="109"/>
      <c r="AL163" s="1277" t="n">
        <v>-0.01</v>
      </c>
      <c r="AM163" s="1277" t="n">
        <v>0.16</v>
      </c>
      <c r="AN163" s="1277" t="n">
        <v>0.01</v>
      </c>
      <c r="AO163" s="109"/>
      <c r="AP163" s="197" t="n">
        <v>52</v>
      </c>
      <c r="AQ163" s="1280" t="n">
        <v>0.35</v>
      </c>
      <c r="AR163" s="1288"/>
      <c r="AS163" s="1288"/>
      <c r="AT163" s="1288"/>
      <c r="AU163" s="1288"/>
      <c r="AV163" s="1288"/>
      <c r="AW163" s="1288"/>
      <c r="AX163" s="1288"/>
      <c r="AY163" s="1288"/>
      <c r="AZ163" s="1288"/>
      <c r="BA163" s="1288"/>
      <c r="BB163" s="1288"/>
      <c r="BC163" s="1288"/>
      <c r="BD163" s="1288"/>
      <c r="BE163" s="1288"/>
      <c r="BF163" s="1288"/>
      <c r="BG163" s="1288"/>
      <c r="BH163" s="1288"/>
      <c r="BI163" s="1288"/>
      <c r="BJ163" s="1288"/>
      <c r="BK163" s="1288"/>
      <c r="BL163" s="1288"/>
      <c r="BM163" s="1288"/>
      <c r="BN163" s="1288"/>
      <c r="BO163" s="1288"/>
      <c r="BP163" s="1288"/>
      <c r="BQ163" s="1237" t="n">
        <v>41426</v>
      </c>
      <c r="BR163" s="1238" t="n">
        <v>3.3405</v>
      </c>
      <c r="BS163" s="1238" t="n">
        <v>3.3455</v>
      </c>
      <c r="BT163" s="1238" t="n">
        <v>3.3505</v>
      </c>
      <c r="BU163" s="1239" t="n">
        <v>0.1465</v>
      </c>
      <c r="BV163" s="1239" t="n">
        <v>0.15</v>
      </c>
      <c r="BW163" s="1239" t="n">
        <v>0.1615</v>
      </c>
      <c r="BX163" s="1239" t="n">
        <v>-0.07</v>
      </c>
      <c r="BY163" s="1239"/>
      <c r="BZ163" s="1239" t="n">
        <v>0.07</v>
      </c>
      <c r="CA163" s="1243" t="n">
        <v>0</v>
      </c>
      <c r="CB163" s="1241" t="n">
        <v>0</v>
      </c>
      <c r="CC163" s="1242" t="n">
        <v>3.235</v>
      </c>
      <c r="CD163" s="1239" t="n">
        <v>0.1625</v>
      </c>
    </row>
    <row r="164" customFormat="false" ht="12.75" hidden="false" customHeight="false" outlineLevel="0" collapsed="false">
      <c r="A164" s="1237" t="n">
        <v>41548</v>
      </c>
      <c r="B164" s="1239" t="n">
        <v>0.072850046563984</v>
      </c>
      <c r="C164" s="1218"/>
      <c r="D164" s="1274" t="n">
        <v>40422</v>
      </c>
      <c r="E164" s="1275" t="n">
        <v>60.8067663604603</v>
      </c>
      <c r="F164" s="1275" t="n">
        <v>64.5567663604603</v>
      </c>
      <c r="G164" s="1275" t="n">
        <v>69.5567663604603</v>
      </c>
      <c r="H164" s="1266"/>
      <c r="I164" s="1275" t="n">
        <v>25.7875</v>
      </c>
      <c r="J164" s="1275" t="n">
        <v>27.5375</v>
      </c>
      <c r="K164" s="1275" t="n">
        <v>32.5375</v>
      </c>
      <c r="M164" s="1276" t="n">
        <v>41306</v>
      </c>
      <c r="N164" s="1277" t="n">
        <v>25.7177743862646</v>
      </c>
      <c r="O164" s="1277" t="n">
        <v>29.4677743862646</v>
      </c>
      <c r="P164" s="1277" t="n">
        <v>34.4677743862646</v>
      </c>
      <c r="Q164" s="109"/>
      <c r="R164" s="1277" t="n">
        <v>18.3508307896984</v>
      </c>
      <c r="S164" s="1277" t="n">
        <v>22.1008307896984</v>
      </c>
      <c r="T164" s="1277" t="n">
        <v>27.1008307896984</v>
      </c>
      <c r="V164" s="1278" t="n">
        <v>0</v>
      </c>
      <c r="W164" s="1278" t="n">
        <v>0</v>
      </c>
      <c r="X164" s="1278" t="n">
        <v>0</v>
      </c>
      <c r="Y164" s="1288"/>
      <c r="Z164" s="1277" t="n">
        <v>0.105</v>
      </c>
      <c r="AA164" s="1277" t="n">
        <v>0.115</v>
      </c>
      <c r="AB164" s="1277" t="n">
        <v>0.125</v>
      </c>
      <c r="AC164" s="109"/>
      <c r="AD164" s="1277" t="n">
        <v>0.09</v>
      </c>
      <c r="AE164" s="1277" t="n">
        <v>0.11</v>
      </c>
      <c r="AF164" s="1277" t="n">
        <v>0.13</v>
      </c>
      <c r="AG164" s="109"/>
      <c r="AH164" s="1277" t="n">
        <v>-0.25</v>
      </c>
      <c r="AI164" s="1277" t="n">
        <v>0.65</v>
      </c>
      <c r="AJ164" s="1277" t="n">
        <v>0.25</v>
      </c>
      <c r="AK164" s="109"/>
      <c r="AL164" s="1277" t="n">
        <v>-0.01</v>
      </c>
      <c r="AM164" s="1277" t="n">
        <v>0.16</v>
      </c>
      <c r="AN164" s="1277" t="n">
        <v>0.01</v>
      </c>
      <c r="AO164" s="109"/>
      <c r="AP164" s="197" t="n">
        <v>52</v>
      </c>
      <c r="AQ164" s="1280" t="n">
        <v>0.35</v>
      </c>
      <c r="AR164" s="1288"/>
      <c r="AS164" s="1288"/>
      <c r="AT164" s="1288"/>
      <c r="AU164" s="1288"/>
      <c r="AV164" s="1288"/>
      <c r="AW164" s="1288"/>
      <c r="AX164" s="1288"/>
      <c r="AY164" s="1288"/>
      <c r="AZ164" s="1288"/>
      <c r="BA164" s="1288"/>
      <c r="BB164" s="1288"/>
      <c r="BC164" s="1288"/>
      <c r="BD164" s="1288"/>
      <c r="BE164" s="1288"/>
      <c r="BF164" s="1288"/>
      <c r="BG164" s="1288"/>
      <c r="BH164" s="1288"/>
      <c r="BI164" s="1288"/>
      <c r="BJ164" s="1288"/>
      <c r="BK164" s="1288"/>
      <c r="BL164" s="1288"/>
      <c r="BM164" s="1288"/>
      <c r="BN164" s="1288"/>
      <c r="BO164" s="1288"/>
      <c r="BP164" s="1288"/>
      <c r="BQ164" s="1237" t="n">
        <v>41456</v>
      </c>
      <c r="BR164" s="1238" t="n">
        <v>3.3485</v>
      </c>
      <c r="BS164" s="1238" t="n">
        <v>3.3535</v>
      </c>
      <c r="BT164" s="1238" t="n">
        <v>3.3585</v>
      </c>
      <c r="BU164" s="1239" t="n">
        <v>0.1465</v>
      </c>
      <c r="BV164" s="1239" t="n">
        <v>0.15</v>
      </c>
      <c r="BW164" s="1239" t="n">
        <v>0.1615</v>
      </c>
      <c r="BX164" s="1239" t="n">
        <v>-0.07</v>
      </c>
      <c r="BY164" s="1239"/>
      <c r="BZ164" s="1239" t="n">
        <v>0.07</v>
      </c>
      <c r="CA164" s="1243" t="n">
        <v>0</v>
      </c>
      <c r="CB164" s="1241" t="n">
        <v>0</v>
      </c>
      <c r="CC164" s="1242" t="n">
        <v>3.38</v>
      </c>
      <c r="CD164" s="1239" t="n">
        <v>0.1625</v>
      </c>
    </row>
    <row r="165" customFormat="false" ht="12.75" hidden="false" customHeight="false" outlineLevel="0" collapsed="false">
      <c r="A165" s="1237" t="n">
        <v>41579</v>
      </c>
      <c r="B165" s="1239" t="n">
        <v>0.07285106050928</v>
      </c>
      <c r="C165" s="1218"/>
      <c r="D165" s="1274" t="n">
        <v>40452</v>
      </c>
      <c r="E165" s="1275" t="n">
        <v>33.1414771819984</v>
      </c>
      <c r="F165" s="1275" t="n">
        <v>36.8914771819984</v>
      </c>
      <c r="G165" s="1275" t="n">
        <v>41.8914771819984</v>
      </c>
      <c r="H165" s="1266"/>
      <c r="I165" s="1275" t="n">
        <v>25.3016129032258</v>
      </c>
      <c r="J165" s="1275" t="n">
        <v>27.0516129032258</v>
      </c>
      <c r="K165" s="1275" t="n">
        <v>32.0516129032258</v>
      </c>
      <c r="M165" s="1276" t="n">
        <v>41334</v>
      </c>
      <c r="N165" s="1277" t="n">
        <v>24.9677743862646</v>
      </c>
      <c r="O165" s="1277" t="n">
        <v>28.7177743862646</v>
      </c>
      <c r="P165" s="1277" t="n">
        <v>33.7177743862646</v>
      </c>
      <c r="Q165" s="109"/>
      <c r="R165" s="1277" t="n">
        <v>17.7883307896984</v>
      </c>
      <c r="S165" s="1277" t="n">
        <v>21.5383307896984</v>
      </c>
      <c r="T165" s="1277" t="n">
        <v>26.5383307896984</v>
      </c>
      <c r="V165" s="1278" t="n">
        <v>0</v>
      </c>
      <c r="W165" s="1278" t="n">
        <v>0</v>
      </c>
      <c r="X165" s="1278" t="n">
        <v>0</v>
      </c>
      <c r="Y165" s="1288"/>
      <c r="Z165" s="1277" t="n">
        <v>0.105</v>
      </c>
      <c r="AA165" s="1277" t="n">
        <v>0.115</v>
      </c>
      <c r="AB165" s="1277" t="n">
        <v>0.125</v>
      </c>
      <c r="AC165" s="109"/>
      <c r="AD165" s="1277" t="n">
        <v>0.09</v>
      </c>
      <c r="AE165" s="1277" t="n">
        <v>0.11</v>
      </c>
      <c r="AF165" s="1277" t="n">
        <v>0.13</v>
      </c>
      <c r="AG165" s="109"/>
      <c r="AH165" s="1277" t="n">
        <v>-0.1</v>
      </c>
      <c r="AI165" s="1277" t="n">
        <v>0.65</v>
      </c>
      <c r="AJ165" s="1277" t="n">
        <v>0.1</v>
      </c>
      <c r="AK165" s="109"/>
      <c r="AL165" s="1277" t="n">
        <v>-0.01</v>
      </c>
      <c r="AM165" s="1277" t="n">
        <v>0.16</v>
      </c>
      <c r="AN165" s="1277" t="n">
        <v>0.01</v>
      </c>
      <c r="AO165" s="109"/>
      <c r="AP165" s="197" t="n">
        <v>52</v>
      </c>
      <c r="AQ165" s="1280" t="n">
        <v>0.35</v>
      </c>
      <c r="AR165" s="1288"/>
      <c r="AS165" s="1288"/>
      <c r="AT165" s="1288"/>
      <c r="AU165" s="1288"/>
      <c r="AV165" s="1288"/>
      <c r="AW165" s="1288"/>
      <c r="AX165" s="1288"/>
      <c r="AY165" s="1288"/>
      <c r="AZ165" s="1288"/>
      <c r="BA165" s="1288"/>
      <c r="BB165" s="1288"/>
      <c r="BC165" s="1288"/>
      <c r="BD165" s="1288"/>
      <c r="BE165" s="1288"/>
      <c r="BF165" s="1288"/>
      <c r="BG165" s="1288"/>
      <c r="BH165" s="1288"/>
      <c r="BI165" s="1288"/>
      <c r="BJ165" s="1288"/>
      <c r="BK165" s="1288"/>
      <c r="BL165" s="1288"/>
      <c r="BM165" s="1288"/>
      <c r="BN165" s="1288"/>
      <c r="BO165" s="1288"/>
      <c r="BP165" s="1288"/>
      <c r="BQ165" s="1237" t="n">
        <v>41487</v>
      </c>
      <c r="BR165" s="1238" t="n">
        <v>3.3575</v>
      </c>
      <c r="BS165" s="1238" t="n">
        <v>3.3625</v>
      </c>
      <c r="BT165" s="1238" t="n">
        <v>3.3675</v>
      </c>
      <c r="BU165" s="1239" t="n">
        <v>0.1465</v>
      </c>
      <c r="BV165" s="1239" t="n">
        <v>0.15</v>
      </c>
      <c r="BW165" s="1239" t="n">
        <v>0.1615</v>
      </c>
      <c r="BX165" s="1239" t="n">
        <v>-0.07</v>
      </c>
      <c r="BY165" s="1239"/>
      <c r="BZ165" s="1239" t="n">
        <v>0.07</v>
      </c>
      <c r="CA165" s="1243" t="n">
        <v>0</v>
      </c>
      <c r="CB165" s="1241" t="n">
        <v>0</v>
      </c>
      <c r="CC165" s="1242" t="n">
        <v>3.489</v>
      </c>
      <c r="CD165" s="1239" t="n">
        <v>0.1615</v>
      </c>
    </row>
    <row r="166" customFormat="false" ht="12.75" hidden="false" customHeight="false" outlineLevel="0" collapsed="false">
      <c r="A166" s="1237" t="n">
        <v>41609</v>
      </c>
      <c r="B166" s="1239" t="n">
        <v>0.072852041746663</v>
      </c>
      <c r="C166" s="1218"/>
      <c r="D166" s="1274" t="n">
        <v>40483</v>
      </c>
      <c r="E166" s="1275" t="n">
        <v>25.3914771819984</v>
      </c>
      <c r="F166" s="1275" t="n">
        <v>29.1414771819984</v>
      </c>
      <c r="G166" s="1275" t="n">
        <v>34.1414771819984</v>
      </c>
      <c r="H166" s="1266"/>
      <c r="I166" s="1275" t="n">
        <v>26.6416666666667</v>
      </c>
      <c r="J166" s="1275" t="n">
        <v>28.3916666666667</v>
      </c>
      <c r="K166" s="1275" t="n">
        <v>33.3916666666667</v>
      </c>
      <c r="M166" s="1276" t="n">
        <v>41365</v>
      </c>
      <c r="N166" s="1277" t="n">
        <v>24.8469242451426</v>
      </c>
      <c r="O166" s="1277" t="n">
        <v>28.5969242451426</v>
      </c>
      <c r="P166" s="1277" t="n">
        <v>33.5969242451426</v>
      </c>
      <c r="Q166" s="109"/>
      <c r="R166" s="1277" t="n">
        <v>17.697693183857</v>
      </c>
      <c r="S166" s="1277" t="n">
        <v>21.447693183857</v>
      </c>
      <c r="T166" s="1277" t="n">
        <v>26.447693183857</v>
      </c>
      <c r="V166" s="1278" t="n">
        <v>0</v>
      </c>
      <c r="W166" s="1278" t="n">
        <v>0</v>
      </c>
      <c r="X166" s="1278" t="n">
        <v>0</v>
      </c>
      <c r="Y166" s="1288"/>
      <c r="Z166" s="1277" t="n">
        <v>0.105</v>
      </c>
      <c r="AA166" s="1277" t="n">
        <v>0.115</v>
      </c>
      <c r="AB166" s="1277" t="n">
        <v>0.125</v>
      </c>
      <c r="AC166" s="109"/>
      <c r="AD166" s="1277" t="n">
        <v>0.09</v>
      </c>
      <c r="AE166" s="1277" t="n">
        <v>0.11</v>
      </c>
      <c r="AF166" s="1277" t="n">
        <v>0.13</v>
      </c>
      <c r="AG166" s="109"/>
      <c r="AH166" s="1277" t="n">
        <v>-0.1</v>
      </c>
      <c r="AI166" s="1277" t="n">
        <v>0.65</v>
      </c>
      <c r="AJ166" s="1277" t="n">
        <v>0.1</v>
      </c>
      <c r="AK166" s="109"/>
      <c r="AL166" s="1277" t="n">
        <v>-0.01</v>
      </c>
      <c r="AM166" s="1277" t="n">
        <v>0.16</v>
      </c>
      <c r="AN166" s="1277" t="n">
        <v>0.01</v>
      </c>
      <c r="AO166" s="109"/>
      <c r="AP166" s="197" t="n">
        <v>53</v>
      </c>
      <c r="AQ166" s="1280" t="n">
        <v>0.35</v>
      </c>
      <c r="AR166" s="1288"/>
      <c r="AS166" s="1288"/>
      <c r="AT166" s="1288"/>
      <c r="AU166" s="1288"/>
      <c r="AV166" s="1288"/>
      <c r="AW166" s="1288"/>
      <c r="AX166" s="1288"/>
      <c r="AY166" s="1288"/>
      <c r="AZ166" s="1288"/>
      <c r="BA166" s="1288"/>
      <c r="BB166" s="1288"/>
      <c r="BC166" s="1288"/>
      <c r="BD166" s="1288"/>
      <c r="BE166" s="1288"/>
      <c r="BF166" s="1288"/>
      <c r="BG166" s="1288"/>
      <c r="BH166" s="1288"/>
      <c r="BI166" s="1288"/>
      <c r="BJ166" s="1288"/>
      <c r="BK166" s="1288"/>
      <c r="BL166" s="1288"/>
      <c r="BM166" s="1288"/>
      <c r="BN166" s="1288"/>
      <c r="BO166" s="1288"/>
      <c r="BP166" s="1288"/>
      <c r="BQ166" s="1237" t="n">
        <v>41518</v>
      </c>
      <c r="BR166" s="1238" t="n">
        <v>3.3545</v>
      </c>
      <c r="BS166" s="1238" t="n">
        <v>3.3595</v>
      </c>
      <c r="BT166" s="1238" t="n">
        <v>3.3645</v>
      </c>
      <c r="BU166" s="1239" t="n">
        <v>0.1465</v>
      </c>
      <c r="BV166" s="1239" t="n">
        <v>0.15</v>
      </c>
      <c r="BW166" s="1239" t="n">
        <v>0.1615</v>
      </c>
      <c r="BX166" s="1239" t="n">
        <v>-0.07</v>
      </c>
      <c r="BY166" s="1239"/>
      <c r="BZ166" s="1239" t="n">
        <v>0.07</v>
      </c>
      <c r="CA166" s="1243" t="n">
        <v>0</v>
      </c>
      <c r="CB166" s="1241" t="n">
        <v>0</v>
      </c>
      <c r="CC166" s="1242" t="n">
        <v>3.364</v>
      </c>
      <c r="CD166" s="1239" t="n">
        <v>0.1615</v>
      </c>
    </row>
    <row r="167" customFormat="false" ht="12.75" hidden="false" customHeight="false" outlineLevel="0" collapsed="false">
      <c r="A167" s="1237" t="n">
        <v>41640</v>
      </c>
      <c r="B167" s="1239" t="n">
        <v>0.072853055691959</v>
      </c>
      <c r="C167" s="1218"/>
      <c r="D167" s="1274" t="n">
        <v>40513</v>
      </c>
      <c r="E167" s="1275" t="n">
        <v>27.3914771819984</v>
      </c>
      <c r="F167" s="1275" t="n">
        <v>31.1414771819984</v>
      </c>
      <c r="G167" s="1275" t="n">
        <v>36.1414771819984</v>
      </c>
      <c r="H167" s="1266"/>
      <c r="I167" s="1275" t="n">
        <v>25.9467741935484</v>
      </c>
      <c r="J167" s="1275" t="n">
        <v>27.6967741935484</v>
      </c>
      <c r="K167" s="1275" t="n">
        <v>32.6967741935484</v>
      </c>
      <c r="M167" s="1276" t="n">
        <v>41395</v>
      </c>
      <c r="N167" s="1277" t="n">
        <v>24.8469242451426</v>
      </c>
      <c r="O167" s="1277" t="n">
        <v>28.5969242451426</v>
      </c>
      <c r="P167" s="1277" t="n">
        <v>33.5969242451426</v>
      </c>
      <c r="Q167" s="109"/>
      <c r="R167" s="1277" t="n">
        <v>17.697693183857</v>
      </c>
      <c r="S167" s="1277" t="n">
        <v>21.447693183857</v>
      </c>
      <c r="T167" s="1277" t="n">
        <v>26.447693183857</v>
      </c>
      <c r="V167" s="1278" t="n">
        <v>0</v>
      </c>
      <c r="W167" s="1278" t="n">
        <v>0</v>
      </c>
      <c r="X167" s="1278" t="n">
        <v>0</v>
      </c>
      <c r="Y167" s="1288"/>
      <c r="Z167" s="1277" t="n">
        <v>0.105</v>
      </c>
      <c r="AA167" s="1277" t="n">
        <v>0.115</v>
      </c>
      <c r="AB167" s="1277" t="n">
        <v>0.125</v>
      </c>
      <c r="AC167" s="109"/>
      <c r="AD167" s="1277" t="n">
        <v>0.09</v>
      </c>
      <c r="AE167" s="1277" t="n">
        <v>0.11</v>
      </c>
      <c r="AF167" s="1277" t="n">
        <v>0.13</v>
      </c>
      <c r="AG167" s="109"/>
      <c r="AH167" s="1277" t="n">
        <v>-0.1</v>
      </c>
      <c r="AI167" s="1277" t="n">
        <v>0.65</v>
      </c>
      <c r="AJ167" s="1277" t="n">
        <v>0.1</v>
      </c>
      <c r="AK167" s="109"/>
      <c r="AL167" s="1277" t="n">
        <v>-0.01</v>
      </c>
      <c r="AM167" s="1277" t="n">
        <v>0.16</v>
      </c>
      <c r="AN167" s="1277" t="n">
        <v>0.01</v>
      </c>
      <c r="AO167" s="109"/>
      <c r="AP167" s="197" t="n">
        <v>53</v>
      </c>
      <c r="AQ167" s="1280" t="n">
        <v>0.35</v>
      </c>
      <c r="AR167" s="1288"/>
      <c r="AS167" s="1288"/>
      <c r="AT167" s="1288"/>
      <c r="AU167" s="1288"/>
      <c r="AV167" s="1288"/>
      <c r="AW167" s="1288"/>
      <c r="AX167" s="1288"/>
      <c r="AY167" s="1288"/>
      <c r="AZ167" s="1288"/>
      <c r="BA167" s="1288"/>
      <c r="BB167" s="1288"/>
      <c r="BC167" s="1288"/>
      <c r="BD167" s="1288"/>
      <c r="BE167" s="1288"/>
      <c r="BF167" s="1288"/>
      <c r="BG167" s="1288"/>
      <c r="BH167" s="1288"/>
      <c r="BI167" s="1288"/>
      <c r="BJ167" s="1288"/>
      <c r="BK167" s="1288"/>
      <c r="BL167" s="1288"/>
      <c r="BM167" s="1288"/>
      <c r="BN167" s="1288"/>
      <c r="BO167" s="1288"/>
      <c r="BP167" s="1288"/>
      <c r="BQ167" s="1237" t="n">
        <v>41548</v>
      </c>
      <c r="BR167" s="1238" t="n">
        <v>3.3715</v>
      </c>
      <c r="BS167" s="1238" t="n">
        <v>3.3765</v>
      </c>
      <c r="BT167" s="1238" t="n">
        <v>3.3815</v>
      </c>
      <c r="BU167" s="1239" t="n">
        <v>0.1465</v>
      </c>
      <c r="BV167" s="1239" t="n">
        <v>0.15</v>
      </c>
      <c r="BW167" s="1239" t="n">
        <v>0.1615</v>
      </c>
      <c r="BX167" s="1239" t="n">
        <v>-0.07</v>
      </c>
      <c r="BY167" s="1239"/>
      <c r="BZ167" s="1239" t="n">
        <v>0.07</v>
      </c>
      <c r="CA167" s="1243" t="n">
        <v>0</v>
      </c>
      <c r="CB167" s="1241" t="n">
        <v>0</v>
      </c>
      <c r="CC167" s="1242" t="n">
        <v>3.257</v>
      </c>
      <c r="CD167" s="1239" t="n">
        <v>0.1615</v>
      </c>
    </row>
    <row r="168" customFormat="false" ht="12.75" hidden="false" customHeight="false" outlineLevel="0" collapsed="false">
      <c r="A168" s="1237" t="n">
        <v>41671</v>
      </c>
      <c r="B168" s="1239" t="n">
        <v>0.072854069637256</v>
      </c>
      <c r="C168" s="1218"/>
      <c r="D168" s="1274" t="n">
        <v>40544</v>
      </c>
      <c r="E168" s="1275" t="n">
        <v>26.1215399607601</v>
      </c>
      <c r="F168" s="1275" t="n">
        <v>29.8715399607601</v>
      </c>
      <c r="G168" s="1275" t="n">
        <v>34.8715399607601</v>
      </c>
      <c r="H168" s="1266"/>
      <c r="I168" s="1275" t="n">
        <v>23.2881191510522</v>
      </c>
      <c r="J168" s="1275" t="n">
        <v>25.2881191510522</v>
      </c>
      <c r="K168" s="1275" t="n">
        <v>30.2881191510522</v>
      </c>
      <c r="M168" s="1276" t="n">
        <v>41426</v>
      </c>
      <c r="N168" s="1277" t="n">
        <v>30.0969242451426</v>
      </c>
      <c r="O168" s="1277" t="n">
        <v>33.8469242451426</v>
      </c>
      <c r="P168" s="1277" t="n">
        <v>38.8469242451426</v>
      </c>
      <c r="Q168" s="109"/>
      <c r="R168" s="1277" t="n">
        <v>21.635193183857</v>
      </c>
      <c r="S168" s="1277" t="n">
        <v>25.385193183857</v>
      </c>
      <c r="T168" s="1277" t="n">
        <v>30.385193183857</v>
      </c>
      <c r="V168" s="1278" t="n">
        <v>0</v>
      </c>
      <c r="W168" s="1278" t="n">
        <v>0</v>
      </c>
      <c r="X168" s="1278" t="n">
        <v>0</v>
      </c>
      <c r="Y168" s="1288"/>
      <c r="Z168" s="1277" t="n">
        <v>0.105</v>
      </c>
      <c r="AA168" s="1277" t="n">
        <v>0.115</v>
      </c>
      <c r="AB168" s="1277" t="n">
        <v>0.125</v>
      </c>
      <c r="AC168" s="109"/>
      <c r="AD168" s="1277" t="n">
        <v>0.09</v>
      </c>
      <c r="AE168" s="1277" t="n">
        <v>0.11</v>
      </c>
      <c r="AF168" s="1277" t="n">
        <v>0.13</v>
      </c>
      <c r="AG168" s="109"/>
      <c r="AH168" s="1277" t="n">
        <v>-0.35</v>
      </c>
      <c r="AI168" s="1277" t="n">
        <v>0.65</v>
      </c>
      <c r="AJ168" s="1277" t="n">
        <v>0.2</v>
      </c>
      <c r="AK168" s="109"/>
      <c r="AL168" s="1277" t="n">
        <v>-0.01</v>
      </c>
      <c r="AM168" s="1277" t="n">
        <v>0.16</v>
      </c>
      <c r="AN168" s="1277" t="n">
        <v>0.01</v>
      </c>
      <c r="AO168" s="109"/>
      <c r="AP168" s="197" t="n">
        <v>53</v>
      </c>
      <c r="AQ168" s="1280" t="n">
        <v>0.35</v>
      </c>
      <c r="AR168" s="1288"/>
      <c r="AS168" s="1288"/>
      <c r="AT168" s="1288"/>
      <c r="AU168" s="1288"/>
      <c r="AV168" s="1288"/>
      <c r="AW168" s="1288"/>
      <c r="AX168" s="1288"/>
      <c r="AY168" s="1288"/>
      <c r="AZ168" s="1288"/>
      <c r="BA168" s="1288"/>
      <c r="BB168" s="1288"/>
      <c r="BC168" s="1288"/>
      <c r="BD168" s="1288"/>
      <c r="BE168" s="1288"/>
      <c r="BF168" s="1288"/>
      <c r="BG168" s="1288"/>
      <c r="BH168" s="1288"/>
      <c r="BI168" s="1288"/>
      <c r="BJ168" s="1288"/>
      <c r="BK168" s="1288"/>
      <c r="BL168" s="1288"/>
      <c r="BM168" s="1288"/>
      <c r="BN168" s="1288"/>
      <c r="BO168" s="1288"/>
      <c r="BP168" s="1288"/>
      <c r="BQ168" s="1237" t="n">
        <v>41579</v>
      </c>
      <c r="BR168" s="1238" t="n">
        <v>3.4545</v>
      </c>
      <c r="BS168" s="1238" t="n">
        <v>3.4595</v>
      </c>
      <c r="BT168" s="1238" t="n">
        <v>3.4645</v>
      </c>
      <c r="BU168" s="1239" t="n">
        <v>0.1465</v>
      </c>
      <c r="BV168" s="1239" t="n">
        <v>0.15</v>
      </c>
      <c r="BW168" s="1239" t="n">
        <v>0.1615</v>
      </c>
      <c r="BX168" s="1239" t="n">
        <v>-0.07</v>
      </c>
      <c r="BY168" s="1239"/>
      <c r="BZ168" s="1239" t="n">
        <v>0.07</v>
      </c>
      <c r="CA168" s="1243" t="n">
        <v>0</v>
      </c>
      <c r="CB168" s="1241" t="n">
        <v>0</v>
      </c>
      <c r="CC168" s="1242" t="n">
        <v>3.154</v>
      </c>
      <c r="CD168" s="1239" t="n">
        <v>0.1615</v>
      </c>
    </row>
    <row r="169" customFormat="false" ht="12.75" hidden="false" customHeight="false" outlineLevel="0" collapsed="false">
      <c r="A169" s="1237" t="n">
        <v>41699</v>
      </c>
      <c r="B169" s="1239" t="n">
        <v>0.072854985458814</v>
      </c>
      <c r="C169" s="1218"/>
      <c r="D169" s="1274" t="n">
        <v>40575</v>
      </c>
      <c r="E169" s="1275" t="n">
        <v>25.6215399607601</v>
      </c>
      <c r="F169" s="1275" t="n">
        <v>29.3715399607601</v>
      </c>
      <c r="G169" s="1275" t="n">
        <v>34.3715399607601</v>
      </c>
      <c r="H169" s="1266"/>
      <c r="I169" s="1275" t="n">
        <v>24.2571428571429</v>
      </c>
      <c r="J169" s="1275" t="n">
        <v>26.2571428571429</v>
      </c>
      <c r="K169" s="1275" t="n">
        <v>31.2571428571429</v>
      </c>
      <c r="M169" s="1276" t="n">
        <v>41456</v>
      </c>
      <c r="N169" s="1277" t="n">
        <v>56.472637473874</v>
      </c>
      <c r="O169" s="1277" t="n">
        <v>60.222637473874</v>
      </c>
      <c r="P169" s="1277" t="n">
        <v>65.222637473874</v>
      </c>
      <c r="Q169" s="109"/>
      <c r="R169" s="1277" t="n">
        <v>41.4169781054055</v>
      </c>
      <c r="S169" s="1277" t="n">
        <v>45.1669781054055</v>
      </c>
      <c r="T169" s="1277" t="n">
        <v>50.1669781054055</v>
      </c>
      <c r="V169" s="1278" t="n">
        <v>0</v>
      </c>
      <c r="W169" s="1278" t="n">
        <v>0</v>
      </c>
      <c r="X169" s="1278" t="n">
        <v>0</v>
      </c>
      <c r="Y169" s="1288"/>
      <c r="Z169" s="1277" t="n">
        <v>0.105</v>
      </c>
      <c r="AA169" s="1277" t="n">
        <v>0.115</v>
      </c>
      <c r="AB169" s="1277" t="n">
        <v>0.125</v>
      </c>
      <c r="AC169" s="109"/>
      <c r="AD169" s="1277" t="n">
        <v>0.09</v>
      </c>
      <c r="AE169" s="1277" t="n">
        <v>0.11</v>
      </c>
      <c r="AF169" s="1277" t="n">
        <v>0.13</v>
      </c>
      <c r="AG169" s="109"/>
      <c r="AH169" s="1277" t="n">
        <v>-0.35</v>
      </c>
      <c r="AI169" s="1277" t="n">
        <v>3</v>
      </c>
      <c r="AJ169" s="1277" t="n">
        <v>0.35</v>
      </c>
      <c r="AK169" s="109"/>
      <c r="AL169" s="1277" t="n">
        <v>-0.01</v>
      </c>
      <c r="AM169" s="1277" t="n">
        <v>0.16</v>
      </c>
      <c r="AN169" s="1277" t="n">
        <v>0.01</v>
      </c>
      <c r="AO169" s="109"/>
      <c r="AP169" s="197" t="n">
        <v>54</v>
      </c>
      <c r="AQ169" s="1280" t="n">
        <v>0.35</v>
      </c>
      <c r="AR169" s="1288"/>
      <c r="AS169" s="1288"/>
      <c r="AT169" s="1288"/>
      <c r="AU169" s="1288"/>
      <c r="AV169" s="1288"/>
      <c r="AW169" s="1288"/>
      <c r="AX169" s="1288"/>
      <c r="AY169" s="1288"/>
      <c r="AZ169" s="1288"/>
      <c r="BA169" s="1288"/>
      <c r="BB169" s="1288"/>
      <c r="BC169" s="1288"/>
      <c r="BD169" s="1288"/>
      <c r="BE169" s="1288"/>
      <c r="BF169" s="1288"/>
      <c r="BG169" s="1288"/>
      <c r="BH169" s="1288"/>
      <c r="BI169" s="1288"/>
      <c r="BJ169" s="1288"/>
      <c r="BK169" s="1288"/>
      <c r="BL169" s="1288"/>
      <c r="BM169" s="1288"/>
      <c r="BN169" s="1288"/>
      <c r="BO169" s="1288"/>
      <c r="BP169" s="1288"/>
      <c r="BQ169" s="1237" t="n">
        <v>41609</v>
      </c>
      <c r="BR169" s="1238" t="n">
        <v>3.5475</v>
      </c>
      <c r="BS169" s="1238" t="n">
        <v>3.5525</v>
      </c>
      <c r="BT169" s="1238" t="n">
        <v>3.5575</v>
      </c>
      <c r="BU169" s="1239" t="n">
        <v>0.1465</v>
      </c>
      <c r="BV169" s="1239" t="n">
        <v>0.15</v>
      </c>
      <c r="BW169" s="1239" t="n">
        <v>0.1615</v>
      </c>
      <c r="BX169" s="1239" t="n">
        <v>-0.07</v>
      </c>
      <c r="BY169" s="1239"/>
      <c r="BZ169" s="1239" t="n">
        <v>0.07</v>
      </c>
      <c r="CA169" s="1243" t="n">
        <v>0</v>
      </c>
      <c r="CB169" s="1241" t="n">
        <v>0</v>
      </c>
      <c r="CC169" s="1242" t="n">
        <v>3.13</v>
      </c>
      <c r="CD169" s="1239" t="n">
        <v>0.1615</v>
      </c>
    </row>
    <row r="170" customFormat="false" ht="12.75" hidden="false" customHeight="false" outlineLevel="0" collapsed="false">
      <c r="A170" s="1237" t="n">
        <v>41730</v>
      </c>
      <c r="B170" s="1239" t="n">
        <v>0.072855999404112</v>
      </c>
      <c r="C170" s="1218"/>
      <c r="D170" s="1274" t="n">
        <v>40603</v>
      </c>
      <c r="E170" s="1275" t="n">
        <v>25.3715399607601</v>
      </c>
      <c r="F170" s="1275" t="n">
        <v>29.1215399607601</v>
      </c>
      <c r="G170" s="1275" t="n">
        <v>34.1215399607601</v>
      </c>
      <c r="H170" s="1266"/>
      <c r="I170" s="1275" t="n">
        <v>24.5370967741936</v>
      </c>
      <c r="J170" s="1275" t="n">
        <v>26.5370967741936</v>
      </c>
      <c r="K170" s="1275" t="n">
        <v>31.5370967741936</v>
      </c>
      <c r="M170" s="1276" t="n">
        <v>41487</v>
      </c>
      <c r="N170" s="1277" t="n">
        <v>77.097637473874</v>
      </c>
      <c r="O170" s="1277" t="n">
        <v>80.847637473874</v>
      </c>
      <c r="P170" s="1277" t="n">
        <v>85.847637473874</v>
      </c>
      <c r="Q170" s="109"/>
      <c r="R170" s="1277" t="n">
        <v>56.8857281054055</v>
      </c>
      <c r="S170" s="1277" t="n">
        <v>60.6357281054055</v>
      </c>
      <c r="T170" s="1277" t="n">
        <v>65.6357281054055</v>
      </c>
      <c r="V170" s="1278" t="n">
        <v>0</v>
      </c>
      <c r="W170" s="1278" t="n">
        <v>0</v>
      </c>
      <c r="X170" s="1278" t="n">
        <v>0</v>
      </c>
      <c r="Y170" s="1288"/>
      <c r="Z170" s="1277" t="n">
        <v>0.105</v>
      </c>
      <c r="AA170" s="1277" t="n">
        <v>0.115</v>
      </c>
      <c r="AB170" s="1277" t="n">
        <v>0.125</v>
      </c>
      <c r="AC170" s="109"/>
      <c r="AD170" s="1277" t="n">
        <v>0.09</v>
      </c>
      <c r="AE170" s="1277" t="n">
        <v>0.11</v>
      </c>
      <c r="AF170" s="1277" t="n">
        <v>0.13</v>
      </c>
      <c r="AG170" s="109"/>
      <c r="AH170" s="1277" t="n">
        <v>-0.35</v>
      </c>
      <c r="AI170" s="1277" t="n">
        <v>3</v>
      </c>
      <c r="AJ170" s="1277" t="n">
        <v>0.35</v>
      </c>
      <c r="AK170" s="109"/>
      <c r="AL170" s="1277" t="n">
        <v>-0.01</v>
      </c>
      <c r="AM170" s="1277" t="n">
        <v>0.16</v>
      </c>
      <c r="AN170" s="1277" t="n">
        <v>0.01</v>
      </c>
      <c r="AO170" s="109"/>
      <c r="AP170" s="197" t="n">
        <v>54</v>
      </c>
      <c r="AQ170" s="1280" t="n">
        <v>0.35</v>
      </c>
      <c r="AR170" s="1288"/>
      <c r="AS170" s="1288"/>
      <c r="AT170" s="1288"/>
      <c r="AU170" s="1288"/>
      <c r="AV170" s="1288"/>
      <c r="AW170" s="1288"/>
      <c r="AX170" s="1288"/>
      <c r="AY170" s="1288"/>
      <c r="AZ170" s="1288"/>
      <c r="BA170" s="1288"/>
      <c r="BB170" s="1288"/>
      <c r="BC170" s="1288"/>
      <c r="BD170" s="1288"/>
      <c r="BE170" s="1288"/>
      <c r="BF170" s="1288"/>
      <c r="BG170" s="1288"/>
      <c r="BH170" s="1288"/>
      <c r="BI170" s="1288"/>
      <c r="BJ170" s="1288"/>
      <c r="BK170" s="1288"/>
      <c r="BL170" s="1288"/>
      <c r="BM170" s="1288"/>
      <c r="BN170" s="1288"/>
      <c r="BO170" s="1288"/>
      <c r="BP170" s="1288"/>
      <c r="BQ170" s="1237" t="n">
        <v>41640</v>
      </c>
      <c r="BR170" s="1238" t="n">
        <v>3.5995</v>
      </c>
      <c r="BS170" s="1238" t="n">
        <v>3.6045</v>
      </c>
      <c r="BT170" s="1238" t="n">
        <v>3.6095</v>
      </c>
      <c r="BU170" s="1239" t="n">
        <v>0.1455</v>
      </c>
      <c r="BV170" s="1239" t="n">
        <v>0.15</v>
      </c>
      <c r="BW170" s="1239" t="n">
        <v>0.1605</v>
      </c>
      <c r="BX170" s="1239" t="n">
        <v>-0.07</v>
      </c>
      <c r="BY170" s="1239"/>
      <c r="BZ170" s="1239" t="n">
        <v>0.07</v>
      </c>
      <c r="CA170" s="1243" t="n">
        <v>0</v>
      </c>
      <c r="CB170" s="1241" t="n">
        <v>0</v>
      </c>
      <c r="CC170" s="1242" t="n">
        <v>3.137</v>
      </c>
      <c r="CD170" s="1239" t="n">
        <v>0.1615</v>
      </c>
    </row>
    <row r="171" customFormat="false" ht="12.75" hidden="false" customHeight="false" outlineLevel="0" collapsed="false">
      <c r="A171" s="1237" t="n">
        <v>41760</v>
      </c>
      <c r="B171" s="1239" t="n">
        <v>0.072856980641497</v>
      </c>
      <c r="C171" s="1218"/>
      <c r="D171" s="1274" t="n">
        <v>40634</v>
      </c>
      <c r="E171" s="1275" t="n">
        <v>25.485687691877</v>
      </c>
      <c r="F171" s="1275" t="n">
        <v>29.235687691877</v>
      </c>
      <c r="G171" s="1275" t="n">
        <v>34.235687691877</v>
      </c>
      <c r="H171" s="1266"/>
      <c r="I171" s="1275" t="n">
        <v>22.3375</v>
      </c>
      <c r="J171" s="1275" t="n">
        <v>24.3375</v>
      </c>
      <c r="K171" s="1275" t="n">
        <v>29.3375</v>
      </c>
      <c r="M171" s="1276" t="n">
        <v>41518</v>
      </c>
      <c r="N171" s="1277" t="n">
        <v>61.097637473874</v>
      </c>
      <c r="O171" s="1277" t="n">
        <v>64.847637473874</v>
      </c>
      <c r="P171" s="1277" t="n">
        <v>69.847637473874</v>
      </c>
      <c r="Q171" s="109"/>
      <c r="R171" s="1277" t="n">
        <v>44.8857281054055</v>
      </c>
      <c r="S171" s="1277" t="n">
        <v>48.6357281054055</v>
      </c>
      <c r="T171" s="1277" t="n">
        <v>53.6357281054055</v>
      </c>
      <c r="V171" s="1278" t="n">
        <v>0</v>
      </c>
      <c r="W171" s="1278" t="n">
        <v>0</v>
      </c>
      <c r="X171" s="1278" t="n">
        <v>0</v>
      </c>
      <c r="Y171" s="1288"/>
      <c r="Z171" s="1277" t="n">
        <v>0.105</v>
      </c>
      <c r="AA171" s="1277" t="n">
        <v>0.115</v>
      </c>
      <c r="AB171" s="1277" t="n">
        <v>0.125</v>
      </c>
      <c r="AC171" s="109"/>
      <c r="AD171" s="1277" t="n">
        <v>0.09</v>
      </c>
      <c r="AE171" s="1277" t="n">
        <v>0.11</v>
      </c>
      <c r="AF171" s="1277" t="n">
        <v>0.13</v>
      </c>
      <c r="AG171" s="109"/>
      <c r="AH171" s="1277" t="n">
        <v>-0.35</v>
      </c>
      <c r="AI171" s="1277" t="n">
        <v>3</v>
      </c>
      <c r="AJ171" s="1277" t="n">
        <v>0.2</v>
      </c>
      <c r="AK171" s="109"/>
      <c r="AL171" s="1277" t="n">
        <v>-0.01</v>
      </c>
      <c r="AM171" s="1277" t="n">
        <v>0.16</v>
      </c>
      <c r="AN171" s="1277" t="n">
        <v>0.01</v>
      </c>
      <c r="AO171" s="109"/>
      <c r="AP171" s="197" t="n">
        <v>54</v>
      </c>
      <c r="AQ171" s="1280" t="n">
        <v>0.35</v>
      </c>
      <c r="AR171" s="1288"/>
      <c r="AS171" s="1288"/>
      <c r="AT171" s="1288"/>
      <c r="AU171" s="1288"/>
      <c r="AV171" s="1288"/>
      <c r="AW171" s="1288"/>
      <c r="AX171" s="1288"/>
      <c r="AY171" s="1288"/>
      <c r="AZ171" s="1288"/>
      <c r="BA171" s="1288"/>
      <c r="BB171" s="1288"/>
      <c r="BC171" s="1288"/>
      <c r="BD171" s="1288"/>
      <c r="BE171" s="1288"/>
      <c r="BF171" s="1288"/>
      <c r="BG171" s="1288"/>
      <c r="BH171" s="1288"/>
      <c r="BI171" s="1288"/>
      <c r="BJ171" s="1288"/>
      <c r="BK171" s="1288"/>
      <c r="BL171" s="1288"/>
      <c r="BM171" s="1288"/>
      <c r="BN171" s="1288"/>
      <c r="BO171" s="1288"/>
      <c r="BP171" s="1288"/>
      <c r="BQ171" s="1237" t="n">
        <v>41671</v>
      </c>
      <c r="BR171" s="1238" t="n">
        <v>3.5305</v>
      </c>
      <c r="BS171" s="1238" t="n">
        <v>3.5355</v>
      </c>
      <c r="BT171" s="1238" t="n">
        <v>3.5405</v>
      </c>
      <c r="BU171" s="1239" t="n">
        <v>0.1455</v>
      </c>
      <c r="BV171" s="1239" t="n">
        <v>0.15</v>
      </c>
      <c r="BW171" s="1239" t="n">
        <v>0.1605</v>
      </c>
      <c r="BX171" s="1239" t="n">
        <v>-0.07</v>
      </c>
      <c r="BY171" s="1239"/>
      <c r="BZ171" s="1239" t="n">
        <v>0.07</v>
      </c>
      <c r="CA171" s="1243" t="n">
        <v>0</v>
      </c>
      <c r="CB171" s="1241" t="n">
        <v>0</v>
      </c>
      <c r="CC171" s="1242" t="n">
        <v>3.143</v>
      </c>
      <c r="CD171" s="1239" t="n">
        <v>0.1615</v>
      </c>
    </row>
    <row r="172" customFormat="false" ht="12.75" hidden="false" customHeight="false" outlineLevel="0" collapsed="false">
      <c r="A172" s="1237" t="n">
        <v>41791</v>
      </c>
      <c r="B172" s="1239" t="n">
        <v>0.072857994586795</v>
      </c>
      <c r="C172" s="1218"/>
      <c r="D172" s="1274" t="n">
        <v>40664</v>
      </c>
      <c r="E172" s="1275" t="n">
        <v>24.735687691877</v>
      </c>
      <c r="F172" s="1275" t="n">
        <v>28.485687691877</v>
      </c>
      <c r="G172" s="1275" t="n">
        <v>33.485687691877</v>
      </c>
      <c r="H172" s="1266"/>
      <c r="I172" s="1275" t="n">
        <v>22.3959677419355</v>
      </c>
      <c r="J172" s="1275" t="n">
        <v>24.3959677419355</v>
      </c>
      <c r="K172" s="1275" t="n">
        <v>29.3959677419355</v>
      </c>
      <c r="M172" s="1276" t="n">
        <v>41548</v>
      </c>
      <c r="N172" s="1277" t="n">
        <v>33.2903849877892</v>
      </c>
      <c r="O172" s="1277" t="n">
        <v>37.0403849877892</v>
      </c>
      <c r="P172" s="1277" t="n">
        <v>42.0403849877892</v>
      </c>
      <c r="Q172" s="109"/>
      <c r="R172" s="1277" t="n">
        <v>24.0302887408419</v>
      </c>
      <c r="S172" s="1277" t="n">
        <v>27.7802887408419</v>
      </c>
      <c r="T172" s="1277" t="n">
        <v>32.7802887408419</v>
      </c>
      <c r="V172" s="1278" t="n">
        <v>0</v>
      </c>
      <c r="W172" s="1278" t="n">
        <v>0</v>
      </c>
      <c r="X172" s="1278" t="n">
        <v>0</v>
      </c>
      <c r="Y172" s="1288"/>
      <c r="Z172" s="1277" t="n">
        <v>0.105</v>
      </c>
      <c r="AA172" s="1277" t="n">
        <v>0.115</v>
      </c>
      <c r="AB172" s="1277" t="n">
        <v>0.125</v>
      </c>
      <c r="AC172" s="109"/>
      <c r="AD172" s="1277" t="n">
        <v>0.09</v>
      </c>
      <c r="AE172" s="1277" t="n">
        <v>0.11</v>
      </c>
      <c r="AF172" s="1277" t="n">
        <v>0.13</v>
      </c>
      <c r="AG172" s="109"/>
      <c r="AH172" s="1277" t="n">
        <v>-0.1</v>
      </c>
      <c r="AI172" s="1277" t="n">
        <v>0.6</v>
      </c>
      <c r="AJ172" s="1277" t="n">
        <v>0.1</v>
      </c>
      <c r="AK172" s="109"/>
      <c r="AL172" s="1277" t="n">
        <v>-0.01</v>
      </c>
      <c r="AM172" s="1277" t="n">
        <v>0.16</v>
      </c>
      <c r="AN172" s="1277" t="n">
        <v>0.01</v>
      </c>
      <c r="AO172" s="109"/>
      <c r="AP172" s="197" t="n">
        <v>55</v>
      </c>
      <c r="AQ172" s="1280" t="n">
        <v>0.35</v>
      </c>
      <c r="AR172" s="1288"/>
      <c r="AS172" s="1288"/>
      <c r="AT172" s="1288"/>
      <c r="AU172" s="1288"/>
      <c r="AV172" s="1288"/>
      <c r="AW172" s="1288"/>
      <c r="AX172" s="1288"/>
      <c r="AY172" s="1288"/>
      <c r="AZ172" s="1288"/>
      <c r="BA172" s="1288"/>
      <c r="BB172" s="1288"/>
      <c r="BC172" s="1288"/>
      <c r="BD172" s="1288"/>
      <c r="BE172" s="1288"/>
      <c r="BF172" s="1288"/>
      <c r="BG172" s="1288"/>
      <c r="BH172" s="1288"/>
      <c r="BI172" s="1288"/>
      <c r="BJ172" s="1288"/>
      <c r="BK172" s="1288"/>
      <c r="BL172" s="1288"/>
      <c r="BM172" s="1288"/>
      <c r="BN172" s="1288"/>
      <c r="BO172" s="1288"/>
      <c r="BP172" s="1288"/>
      <c r="BQ172" s="1237" t="n">
        <v>41699</v>
      </c>
      <c r="BR172" s="1238" t="n">
        <v>3.4485</v>
      </c>
      <c r="BS172" s="1238" t="n">
        <v>3.4535</v>
      </c>
      <c r="BT172" s="1238" t="n">
        <v>3.4585</v>
      </c>
      <c r="BU172" s="1239" t="n">
        <v>0.1455</v>
      </c>
      <c r="BV172" s="1239" t="n">
        <v>0.15</v>
      </c>
      <c r="BW172" s="1239" t="n">
        <v>0.1605</v>
      </c>
      <c r="BX172" s="1239" t="n">
        <v>-0.07</v>
      </c>
      <c r="BY172" s="1239"/>
      <c r="BZ172" s="1239" t="n">
        <v>0.07</v>
      </c>
      <c r="CA172" s="1243" t="n">
        <v>0</v>
      </c>
      <c r="CB172" s="1241" t="n">
        <v>0</v>
      </c>
      <c r="CC172" s="1242" t="n">
        <v>3.148</v>
      </c>
      <c r="CD172" s="1239" t="n">
        <v>0.1615</v>
      </c>
    </row>
    <row r="173" customFormat="false" ht="12.75" hidden="false" customHeight="false" outlineLevel="0" collapsed="false">
      <c r="A173" s="1237" t="n">
        <v>41821</v>
      </c>
      <c r="B173" s="1239" t="n">
        <v>0.07285897582418</v>
      </c>
      <c r="C173" s="1218"/>
      <c r="D173" s="1274" t="n">
        <v>40695</v>
      </c>
      <c r="E173" s="1275" t="n">
        <v>29.985687691877</v>
      </c>
      <c r="F173" s="1275" t="n">
        <v>33.735687691877</v>
      </c>
      <c r="G173" s="1275" t="n">
        <v>38.735687691877</v>
      </c>
      <c r="H173" s="1266"/>
      <c r="I173" s="1275" t="n">
        <v>21.65</v>
      </c>
      <c r="J173" s="1275" t="n">
        <v>23.65</v>
      </c>
      <c r="K173" s="1275" t="n">
        <v>28.65</v>
      </c>
      <c r="M173" s="1276" t="n">
        <v>41579</v>
      </c>
      <c r="N173" s="1277" t="n">
        <v>25.5403849877892</v>
      </c>
      <c r="O173" s="1277" t="n">
        <v>29.2903849877892</v>
      </c>
      <c r="P173" s="1277" t="n">
        <v>34.2903849877892</v>
      </c>
      <c r="Q173" s="109"/>
      <c r="R173" s="1277" t="n">
        <v>18.2177887408419</v>
      </c>
      <c r="S173" s="1277" t="n">
        <v>21.9677887408419</v>
      </c>
      <c r="T173" s="1277" t="n">
        <v>26.9677887408419</v>
      </c>
      <c r="V173" s="1278" t="n">
        <v>0</v>
      </c>
      <c r="W173" s="1278" t="n">
        <v>0</v>
      </c>
      <c r="X173" s="1278" t="n">
        <v>0</v>
      </c>
      <c r="Y173" s="1288"/>
      <c r="Z173" s="1277" t="n">
        <v>0.105</v>
      </c>
      <c r="AA173" s="1277" t="n">
        <v>0.115</v>
      </c>
      <c r="AB173" s="1277" t="n">
        <v>0.125</v>
      </c>
      <c r="AC173" s="109"/>
      <c r="AD173" s="1277" t="n">
        <v>0.09</v>
      </c>
      <c r="AE173" s="1277" t="n">
        <v>0.11</v>
      </c>
      <c r="AF173" s="1277" t="n">
        <v>0.13</v>
      </c>
      <c r="AG173" s="109"/>
      <c r="AH173" s="1277" t="n">
        <v>-0.1</v>
      </c>
      <c r="AI173" s="1277" t="n">
        <v>0.6</v>
      </c>
      <c r="AJ173" s="1277" t="n">
        <v>0.1</v>
      </c>
      <c r="AK173" s="109"/>
      <c r="AL173" s="1277" t="n">
        <v>-0.01</v>
      </c>
      <c r="AM173" s="1277" t="n">
        <v>0.16</v>
      </c>
      <c r="AN173" s="1277" t="n">
        <v>0.01</v>
      </c>
      <c r="AO173" s="109"/>
      <c r="AP173" s="197" t="n">
        <v>55</v>
      </c>
      <c r="AQ173" s="1280" t="n">
        <v>0.35</v>
      </c>
      <c r="AR173" s="1288"/>
      <c r="AS173" s="1288"/>
      <c r="AT173" s="1288"/>
      <c r="AU173" s="1288"/>
      <c r="AV173" s="1288"/>
      <c r="AW173" s="1288"/>
      <c r="AX173" s="1288"/>
      <c r="AY173" s="1288"/>
      <c r="AZ173" s="1288"/>
      <c r="BA173" s="1288"/>
      <c r="BB173" s="1288"/>
      <c r="BC173" s="1288"/>
      <c r="BD173" s="1288"/>
      <c r="BE173" s="1288"/>
      <c r="BF173" s="1288"/>
      <c r="BG173" s="1288"/>
      <c r="BH173" s="1288"/>
      <c r="BI173" s="1288"/>
      <c r="BJ173" s="1288"/>
      <c r="BK173" s="1288"/>
      <c r="BL173" s="1288"/>
      <c r="BM173" s="1288"/>
      <c r="BN173" s="1288"/>
      <c r="BO173" s="1288"/>
      <c r="BP173" s="1288"/>
      <c r="BQ173" s="1237" t="n">
        <v>41730</v>
      </c>
      <c r="BR173" s="1238" t="n">
        <v>3.3815</v>
      </c>
      <c r="BS173" s="1238" t="n">
        <v>3.3865</v>
      </c>
      <c r="BT173" s="1238" t="n">
        <v>3.3915</v>
      </c>
      <c r="BU173" s="1239" t="n">
        <v>0.1455</v>
      </c>
      <c r="BV173" s="1239" t="n">
        <v>0.15</v>
      </c>
      <c r="BW173" s="1239" t="n">
        <v>0.1605</v>
      </c>
      <c r="BX173" s="1239" t="n">
        <v>-0.07</v>
      </c>
      <c r="BY173" s="1239"/>
      <c r="BZ173" s="1239" t="n">
        <v>0.07</v>
      </c>
      <c r="CA173" s="1243" t="n">
        <v>0</v>
      </c>
      <c r="CB173" s="1241" t="n">
        <v>0</v>
      </c>
      <c r="CC173" s="1242" t="n">
        <v>3.151</v>
      </c>
      <c r="CD173" s="1239" t="n">
        <v>0.1615</v>
      </c>
    </row>
    <row r="174" customFormat="false" ht="12.75" hidden="false" customHeight="false" outlineLevel="0" collapsed="false">
      <c r="A174" s="1237" t="n">
        <v>41852</v>
      </c>
      <c r="B174" s="1239" t="n">
        <v>0.072859989769479</v>
      </c>
      <c r="C174" s="1218"/>
      <c r="D174" s="1274" t="n">
        <v>40725</v>
      </c>
      <c r="E174" s="1275" t="n">
        <v>56.196485364033</v>
      </c>
      <c r="F174" s="1275" t="n">
        <v>59.946485364033</v>
      </c>
      <c r="G174" s="1275" t="n">
        <v>64.946485364033</v>
      </c>
      <c r="H174" s="1266"/>
      <c r="I174" s="1275" t="n">
        <v>27.6741935483871</v>
      </c>
      <c r="J174" s="1275" t="n">
        <v>29.6741935483871</v>
      </c>
      <c r="K174" s="1275" t="n">
        <v>34.6741935483871</v>
      </c>
      <c r="M174" s="1276" t="n">
        <v>41609</v>
      </c>
      <c r="N174" s="1277" t="n">
        <v>27.5403849877892</v>
      </c>
      <c r="O174" s="1277" t="n">
        <v>31.2903849877892</v>
      </c>
      <c r="P174" s="1277" t="n">
        <v>36.2903849877892</v>
      </c>
      <c r="Q174" s="109"/>
      <c r="R174" s="1277" t="n">
        <v>19.7177887408419</v>
      </c>
      <c r="S174" s="1277" t="n">
        <v>23.4677887408419</v>
      </c>
      <c r="T174" s="1277" t="n">
        <v>28.4677887408419</v>
      </c>
      <c r="V174" s="1278" t="n">
        <v>0</v>
      </c>
      <c r="W174" s="1278" t="n">
        <v>0</v>
      </c>
      <c r="X174" s="1278" t="n">
        <v>0</v>
      </c>
      <c r="Y174" s="1288"/>
      <c r="Z174" s="1277" t="n">
        <v>0.105</v>
      </c>
      <c r="AA174" s="1277" t="n">
        <v>0.115</v>
      </c>
      <c r="AB174" s="1277" t="n">
        <v>0.125</v>
      </c>
      <c r="AC174" s="109"/>
      <c r="AD174" s="1277" t="n">
        <v>0.09</v>
      </c>
      <c r="AE174" s="1277" t="n">
        <v>0.11</v>
      </c>
      <c r="AF174" s="1277" t="n">
        <v>0.13</v>
      </c>
      <c r="AG174" s="109"/>
      <c r="AH174" s="1277" t="n">
        <v>-0.25</v>
      </c>
      <c r="AI174" s="1277" t="n">
        <v>0.6</v>
      </c>
      <c r="AJ174" s="1277" t="n">
        <v>0.25</v>
      </c>
      <c r="AK174" s="109"/>
      <c r="AL174" s="1277" t="n">
        <v>-0.01</v>
      </c>
      <c r="AM174" s="1277" t="n">
        <v>0.16</v>
      </c>
      <c r="AN174" s="1277" t="n">
        <v>0.01</v>
      </c>
      <c r="AO174" s="109"/>
      <c r="AP174" s="197" t="n">
        <v>55</v>
      </c>
      <c r="AQ174" s="1280" t="n">
        <v>0.35</v>
      </c>
      <c r="AR174" s="1288"/>
      <c r="AS174" s="1288"/>
      <c r="AT174" s="1288"/>
      <c r="AU174" s="1288"/>
      <c r="AV174" s="1288"/>
      <c r="AW174" s="1288"/>
      <c r="AX174" s="1288"/>
      <c r="AY174" s="1288"/>
      <c r="AZ174" s="1288"/>
      <c r="BA174" s="1288"/>
      <c r="BB174" s="1288"/>
      <c r="BC174" s="1288"/>
      <c r="BD174" s="1288"/>
      <c r="BE174" s="1288"/>
      <c r="BF174" s="1288"/>
      <c r="BG174" s="1288"/>
      <c r="BH174" s="1288"/>
      <c r="BI174" s="1288"/>
      <c r="BJ174" s="1288"/>
      <c r="BK174" s="1288"/>
      <c r="BL174" s="1288"/>
      <c r="BM174" s="1288"/>
      <c r="BN174" s="1288"/>
      <c r="BO174" s="1288"/>
      <c r="BP174" s="1288"/>
      <c r="BQ174" s="1237" t="n">
        <v>41760</v>
      </c>
      <c r="BR174" s="1238" t="n">
        <v>3.4065</v>
      </c>
      <c r="BS174" s="1238" t="n">
        <v>3.4115</v>
      </c>
      <c r="BT174" s="1238" t="n">
        <v>3.4165</v>
      </c>
      <c r="BU174" s="1239" t="n">
        <v>0.1455</v>
      </c>
      <c r="BV174" s="1239" t="n">
        <v>0.15</v>
      </c>
      <c r="BW174" s="1239" t="n">
        <v>0.1605</v>
      </c>
      <c r="BX174" s="1239" t="n">
        <v>-0.07</v>
      </c>
      <c r="BY174" s="1239"/>
      <c r="BZ174" s="1239" t="n">
        <v>0.07</v>
      </c>
      <c r="CA174" s="1243" t="n">
        <v>0</v>
      </c>
      <c r="CB174" s="1241" t="n">
        <v>0</v>
      </c>
      <c r="CC174" s="1242" t="n">
        <v>3.184</v>
      </c>
      <c r="CD174" s="1239" t="n">
        <v>0.1615</v>
      </c>
    </row>
    <row r="175" customFormat="false" ht="12.75" hidden="false" customHeight="false" outlineLevel="0" collapsed="false">
      <c r="A175" s="1237" t="n">
        <v>41883</v>
      </c>
      <c r="B175" s="1239" t="n">
        <v>0.072861003714778</v>
      </c>
      <c r="C175" s="1218"/>
      <c r="D175" s="1274" t="n">
        <v>40756</v>
      </c>
      <c r="E175" s="1275" t="n">
        <v>76.821485364033</v>
      </c>
      <c r="F175" s="1275" t="n">
        <v>80.571485364033</v>
      </c>
      <c r="G175" s="1275" t="n">
        <v>85.571485364033</v>
      </c>
      <c r="H175" s="1266"/>
      <c r="I175" s="1275" t="n">
        <v>25.6741935483871</v>
      </c>
      <c r="J175" s="1275" t="n">
        <v>27.6741935483871</v>
      </c>
      <c r="K175" s="1275" t="n">
        <v>32.6741935483871</v>
      </c>
      <c r="M175" s="1276" t="n">
        <v>41640</v>
      </c>
      <c r="N175" s="1277" t="n">
        <v>26.2896966628909</v>
      </c>
      <c r="O175" s="1277" t="n">
        <v>30.0396966628909</v>
      </c>
      <c r="P175" s="1277" t="n">
        <v>35.0396966628909</v>
      </c>
      <c r="Q175" s="109"/>
      <c r="R175" s="1277" t="n">
        <v>18.7797724971682</v>
      </c>
      <c r="S175" s="1277" t="n">
        <v>22.5297724971682</v>
      </c>
      <c r="T175" s="1277" t="n">
        <v>27.5297724971682</v>
      </c>
      <c r="V175" s="1278" t="n">
        <v>0</v>
      </c>
      <c r="W175" s="1278" t="n">
        <v>0</v>
      </c>
      <c r="X175" s="1278" t="n">
        <v>0</v>
      </c>
      <c r="Y175" s="1288"/>
      <c r="Z175" s="1277" t="n">
        <v>0.0999999999999999</v>
      </c>
      <c r="AA175" s="1277" t="n">
        <v>0.11</v>
      </c>
      <c r="AB175" s="1277" t="n">
        <v>0.12</v>
      </c>
      <c r="AC175" s="109"/>
      <c r="AD175" s="1277" t="n">
        <v>0.09</v>
      </c>
      <c r="AE175" s="1277" t="n">
        <v>0.11</v>
      </c>
      <c r="AF175" s="1277" t="n">
        <v>0.13</v>
      </c>
      <c r="AG175" s="109"/>
      <c r="AH175" s="1277" t="n">
        <v>-0.25</v>
      </c>
      <c r="AI175" s="1277" t="n">
        <v>0.65</v>
      </c>
      <c r="AJ175" s="1277" t="n">
        <v>0.25</v>
      </c>
      <c r="AK175" s="109"/>
      <c r="AL175" s="1277" t="n">
        <v>-0.01</v>
      </c>
      <c r="AM175" s="1277" t="n">
        <v>0.16</v>
      </c>
      <c r="AN175" s="1277" t="n">
        <v>0.01</v>
      </c>
      <c r="AO175" s="109"/>
      <c r="AP175" s="197" t="n">
        <v>56</v>
      </c>
      <c r="AQ175" s="1280" t="n">
        <v>0.35</v>
      </c>
      <c r="AR175" s="1288"/>
      <c r="AS175" s="1288"/>
      <c r="AT175" s="1288"/>
      <c r="AU175" s="1288"/>
      <c r="AV175" s="1288"/>
      <c r="AW175" s="1288"/>
      <c r="AX175" s="1288"/>
      <c r="AY175" s="1288"/>
      <c r="AZ175" s="1288"/>
      <c r="BA175" s="1288"/>
      <c r="BB175" s="1288"/>
      <c r="BC175" s="1288"/>
      <c r="BD175" s="1288"/>
      <c r="BE175" s="1288"/>
      <c r="BF175" s="1288"/>
      <c r="BG175" s="1288"/>
      <c r="BH175" s="1288"/>
      <c r="BI175" s="1288"/>
      <c r="BJ175" s="1288"/>
      <c r="BK175" s="1288"/>
      <c r="BL175" s="1288"/>
      <c r="BM175" s="1288"/>
      <c r="BN175" s="1288"/>
      <c r="BO175" s="1288"/>
      <c r="BP175" s="1288"/>
      <c r="BQ175" s="1237" t="n">
        <v>41791</v>
      </c>
      <c r="BR175" s="1238" t="n">
        <v>3.4245</v>
      </c>
      <c r="BS175" s="1238" t="n">
        <v>3.4295</v>
      </c>
      <c r="BT175" s="1238" t="n">
        <v>3.4345</v>
      </c>
      <c r="BU175" s="1239" t="n">
        <v>0.1455</v>
      </c>
      <c r="BV175" s="1239" t="n">
        <v>0.15</v>
      </c>
      <c r="BW175" s="1239" t="n">
        <v>0.1605</v>
      </c>
      <c r="BX175" s="1239" t="n">
        <v>-0.07</v>
      </c>
      <c r="BY175" s="1239"/>
      <c r="BZ175" s="1239" t="n">
        <v>0.07</v>
      </c>
      <c r="CA175" s="1243" t="n">
        <v>0</v>
      </c>
      <c r="CB175" s="1241" t="n">
        <v>0</v>
      </c>
      <c r="CC175" s="1242" t="n">
        <v>3.325</v>
      </c>
      <c r="CD175" s="1239" t="n">
        <v>0.1615</v>
      </c>
    </row>
    <row r="176" customFormat="false" ht="12.75" hidden="false" customHeight="false" outlineLevel="0" collapsed="false">
      <c r="A176" s="1237" t="n">
        <v>41913</v>
      </c>
      <c r="B176" s="1239" t="n">
        <v>0.072861984952165</v>
      </c>
      <c r="C176" s="1218"/>
      <c r="D176" s="1274" t="n">
        <v>40787</v>
      </c>
      <c r="E176" s="1275" t="n">
        <v>60.821485364033</v>
      </c>
      <c r="F176" s="1275" t="n">
        <v>64.571485364033</v>
      </c>
      <c r="G176" s="1275" t="n">
        <v>69.571485364033</v>
      </c>
      <c r="H176" s="1266"/>
      <c r="I176" s="1275" t="n">
        <v>26.0875</v>
      </c>
      <c r="J176" s="1275" t="n">
        <v>28.0875</v>
      </c>
      <c r="K176" s="1275" t="n">
        <v>33.0875</v>
      </c>
      <c r="M176" s="1276" t="n">
        <v>41671</v>
      </c>
      <c r="N176" s="1277" t="n">
        <v>25.7896966628909</v>
      </c>
      <c r="O176" s="1277" t="n">
        <v>29.5396966628909</v>
      </c>
      <c r="P176" s="1277" t="n">
        <v>34.5396966628909</v>
      </c>
      <c r="Q176" s="109"/>
      <c r="R176" s="1277" t="n">
        <v>18.4047724971682</v>
      </c>
      <c r="S176" s="1277" t="n">
        <v>22.1547724971682</v>
      </c>
      <c r="T176" s="1277" t="n">
        <v>27.1547724971682</v>
      </c>
      <c r="V176" s="1278" t="n">
        <v>0</v>
      </c>
      <c r="W176" s="1278" t="n">
        <v>0</v>
      </c>
      <c r="X176" s="1278" t="n">
        <v>0</v>
      </c>
      <c r="Y176" s="1288"/>
      <c r="Z176" s="1277" t="n">
        <v>0.0999999999999999</v>
      </c>
      <c r="AA176" s="1277" t="n">
        <v>0.11</v>
      </c>
      <c r="AB176" s="1277" t="n">
        <v>0.12</v>
      </c>
      <c r="AC176" s="109"/>
      <c r="AD176" s="1277" t="n">
        <v>0.09</v>
      </c>
      <c r="AE176" s="1277" t="n">
        <v>0.11</v>
      </c>
      <c r="AF176" s="1277" t="n">
        <v>0.13</v>
      </c>
      <c r="AG176" s="109"/>
      <c r="AH176" s="1277" t="n">
        <v>-0.25</v>
      </c>
      <c r="AI176" s="1277" t="n">
        <v>0.65</v>
      </c>
      <c r="AJ176" s="1277" t="n">
        <v>0.25</v>
      </c>
      <c r="AK176" s="109"/>
      <c r="AL176" s="1277" t="n">
        <v>-0.01</v>
      </c>
      <c r="AM176" s="1277" t="n">
        <v>0.16</v>
      </c>
      <c r="AN176" s="1277" t="n">
        <v>0.01</v>
      </c>
      <c r="AO176" s="109"/>
      <c r="AP176" s="197" t="n">
        <v>56</v>
      </c>
      <c r="AQ176" s="1280" t="n">
        <v>0.35</v>
      </c>
      <c r="AR176" s="1288"/>
      <c r="AS176" s="1288"/>
      <c r="AT176" s="1288"/>
      <c r="AU176" s="1288"/>
      <c r="AV176" s="1288"/>
      <c r="AW176" s="1288"/>
      <c r="AX176" s="1288"/>
      <c r="AY176" s="1288"/>
      <c r="AZ176" s="1288"/>
      <c r="BA176" s="1288"/>
      <c r="BB176" s="1288"/>
      <c r="BC176" s="1288"/>
      <c r="BD176" s="1288"/>
      <c r="BE176" s="1288"/>
      <c r="BF176" s="1288"/>
      <c r="BG176" s="1288"/>
      <c r="BH176" s="1288"/>
      <c r="BI176" s="1288"/>
      <c r="BJ176" s="1288"/>
      <c r="BK176" s="1288"/>
      <c r="BL176" s="1288"/>
      <c r="BM176" s="1288"/>
      <c r="BN176" s="1288"/>
      <c r="BO176" s="1288"/>
      <c r="BP176" s="1288"/>
      <c r="BQ176" s="1237" t="n">
        <v>41821</v>
      </c>
      <c r="BR176" s="1238" t="n">
        <v>3.4325</v>
      </c>
      <c r="BS176" s="1238" t="n">
        <v>3.4375</v>
      </c>
      <c r="BT176" s="1238" t="n">
        <v>3.4425</v>
      </c>
      <c r="BU176" s="1239" t="n">
        <v>0.1455</v>
      </c>
      <c r="BV176" s="1239" t="n">
        <v>0.15</v>
      </c>
      <c r="BW176" s="1239" t="n">
        <v>0.1605</v>
      </c>
      <c r="BX176" s="1239" t="n">
        <v>-0.07</v>
      </c>
      <c r="BY176" s="1239"/>
      <c r="BZ176" s="1239" t="n">
        <v>0.07</v>
      </c>
      <c r="CA176" s="1243" t="n">
        <v>0</v>
      </c>
      <c r="CB176" s="1241" t="n">
        <v>0</v>
      </c>
      <c r="CC176" s="1242" t="n">
        <v>3.47</v>
      </c>
      <c r="CD176" s="1239" t="n">
        <v>0.1615</v>
      </c>
    </row>
    <row r="177" customFormat="false" ht="12.75" hidden="false" customHeight="false" outlineLevel="0" collapsed="false">
      <c r="A177" s="1237" t="n">
        <v>41944</v>
      </c>
      <c r="B177" s="1239" t="n">
        <v>0.072862998897464</v>
      </c>
      <c r="C177" s="1218"/>
      <c r="D177" s="1274" t="n">
        <v>40817</v>
      </c>
      <c r="E177" s="1275" t="n">
        <v>33.1574125746995</v>
      </c>
      <c r="F177" s="1275" t="n">
        <v>36.9074125746995</v>
      </c>
      <c r="G177" s="1275" t="n">
        <v>41.9074125746995</v>
      </c>
      <c r="H177" s="1266"/>
      <c r="I177" s="1275" t="n">
        <v>25.6016129032258</v>
      </c>
      <c r="J177" s="1275" t="n">
        <v>27.6016129032258</v>
      </c>
      <c r="K177" s="1275" t="n">
        <v>32.6016129032258</v>
      </c>
      <c r="M177" s="1276" t="n">
        <v>41699</v>
      </c>
      <c r="N177" s="1277" t="n">
        <v>25.0396966628909</v>
      </c>
      <c r="O177" s="1277" t="n">
        <v>28.7896966628909</v>
      </c>
      <c r="P177" s="1277" t="n">
        <v>33.7896966628909</v>
      </c>
      <c r="Q177" s="109"/>
      <c r="R177" s="1277" t="n">
        <v>17.8422724971682</v>
      </c>
      <c r="S177" s="1277" t="n">
        <v>21.5922724971682</v>
      </c>
      <c r="T177" s="1277" t="n">
        <v>26.5922724971682</v>
      </c>
      <c r="V177" s="1278" t="n">
        <v>0</v>
      </c>
      <c r="W177" s="1278" t="n">
        <v>0</v>
      </c>
      <c r="X177" s="1278" t="n">
        <v>0</v>
      </c>
      <c r="Y177" s="1288"/>
      <c r="Z177" s="1277" t="n">
        <v>0.0999999999999999</v>
      </c>
      <c r="AA177" s="1277" t="n">
        <v>0.11</v>
      </c>
      <c r="AB177" s="1277" t="n">
        <v>0.12</v>
      </c>
      <c r="AC177" s="109"/>
      <c r="AD177" s="1277" t="n">
        <v>0.09</v>
      </c>
      <c r="AE177" s="1277" t="n">
        <v>0.11</v>
      </c>
      <c r="AF177" s="1277" t="n">
        <v>0.13</v>
      </c>
      <c r="AG177" s="109"/>
      <c r="AH177" s="1277" t="n">
        <v>-0.1</v>
      </c>
      <c r="AI177" s="1277" t="n">
        <v>0.65</v>
      </c>
      <c r="AJ177" s="1277" t="n">
        <v>0.1</v>
      </c>
      <c r="AK177" s="109"/>
      <c r="AL177" s="1277" t="n">
        <v>-0.01</v>
      </c>
      <c r="AM177" s="1277" t="n">
        <v>0.16</v>
      </c>
      <c r="AN177" s="1277" t="n">
        <v>0.01</v>
      </c>
      <c r="AO177" s="109"/>
      <c r="AP177" s="197" t="n">
        <v>56</v>
      </c>
      <c r="AQ177" s="1280" t="n">
        <v>0.35</v>
      </c>
      <c r="AR177" s="1288"/>
      <c r="AS177" s="1288"/>
      <c r="AT177" s="1288"/>
      <c r="AU177" s="1288"/>
      <c r="AV177" s="1288"/>
      <c r="AW177" s="1288"/>
      <c r="AX177" s="1288"/>
      <c r="AY177" s="1288"/>
      <c r="AZ177" s="1288"/>
      <c r="BA177" s="1288"/>
      <c r="BB177" s="1288"/>
      <c r="BC177" s="1288"/>
      <c r="BD177" s="1288"/>
      <c r="BE177" s="1288"/>
      <c r="BF177" s="1288"/>
      <c r="BG177" s="1288"/>
      <c r="BH177" s="1288"/>
      <c r="BI177" s="1288"/>
      <c r="BJ177" s="1288"/>
      <c r="BK177" s="1288"/>
      <c r="BL177" s="1288"/>
      <c r="BM177" s="1288"/>
      <c r="BN177" s="1288"/>
      <c r="BO177" s="1288"/>
      <c r="BP177" s="1288"/>
      <c r="BQ177" s="1237" t="n">
        <v>41852</v>
      </c>
      <c r="BR177" s="1238" t="n">
        <v>3.4415</v>
      </c>
      <c r="BS177" s="1238" t="n">
        <v>3.4465</v>
      </c>
      <c r="BT177" s="1238" t="n">
        <v>3.4515</v>
      </c>
      <c r="BU177" s="1239" t="n">
        <v>0.1455</v>
      </c>
      <c r="BV177" s="1239" t="n">
        <v>0.15</v>
      </c>
      <c r="BW177" s="1239" t="n">
        <v>0.1605</v>
      </c>
      <c r="BX177" s="1239" t="n">
        <v>-0.07</v>
      </c>
      <c r="BY177" s="1239"/>
      <c r="BZ177" s="1239" t="n">
        <v>0.07</v>
      </c>
      <c r="CA177" s="1243" t="n">
        <v>0</v>
      </c>
      <c r="CB177" s="1241" t="n">
        <v>0</v>
      </c>
      <c r="CC177" s="1242" t="n">
        <v>3.584</v>
      </c>
      <c r="CD177" s="1239" t="n">
        <v>0.1605</v>
      </c>
    </row>
    <row r="178" customFormat="false" ht="12.75" hidden="false" customHeight="false" outlineLevel="0" collapsed="false">
      <c r="A178" s="1237" t="n">
        <v>41974</v>
      </c>
      <c r="B178" s="1239" t="n">
        <v>0.072863980134851</v>
      </c>
      <c r="C178" s="1218"/>
      <c r="D178" s="1274" t="n">
        <v>40848</v>
      </c>
      <c r="E178" s="1275" t="n">
        <v>25.4074125746995</v>
      </c>
      <c r="F178" s="1275" t="n">
        <v>29.1574125746995</v>
      </c>
      <c r="G178" s="1275" t="n">
        <v>34.1574125746995</v>
      </c>
      <c r="H178" s="1266"/>
      <c r="I178" s="1275" t="n">
        <v>26.9416666666667</v>
      </c>
      <c r="J178" s="1275" t="n">
        <v>28.9416666666667</v>
      </c>
      <c r="K178" s="1275" t="n">
        <v>33.9416666666667</v>
      </c>
      <c r="M178" s="1276" t="n">
        <v>41730</v>
      </c>
      <c r="N178" s="1277" t="n">
        <v>24.9244695471577</v>
      </c>
      <c r="O178" s="1277" t="n">
        <v>28.6744695471577</v>
      </c>
      <c r="P178" s="1277" t="n">
        <v>33.6744695471577</v>
      </c>
      <c r="Q178" s="109"/>
      <c r="R178" s="1277" t="n">
        <v>17.7558521603682</v>
      </c>
      <c r="S178" s="1277" t="n">
        <v>21.5058521603682</v>
      </c>
      <c r="T178" s="1277" t="n">
        <v>26.5058521603682</v>
      </c>
      <c r="V178" s="1278" t="n">
        <v>0</v>
      </c>
      <c r="W178" s="1278" t="n">
        <v>0</v>
      </c>
      <c r="X178" s="1278" t="n">
        <v>0</v>
      </c>
      <c r="Y178" s="1288"/>
      <c r="Z178" s="1277" t="n">
        <v>0.0999999999999999</v>
      </c>
      <c r="AA178" s="1277" t="n">
        <v>0.11</v>
      </c>
      <c r="AB178" s="1277" t="n">
        <v>0.12</v>
      </c>
      <c r="AC178" s="109"/>
      <c r="AD178" s="1277" t="n">
        <v>0.09</v>
      </c>
      <c r="AE178" s="1277" t="n">
        <v>0.11</v>
      </c>
      <c r="AF178" s="1277" t="n">
        <v>0.13</v>
      </c>
      <c r="AG178" s="109"/>
      <c r="AH178" s="1277" t="n">
        <v>-0.1</v>
      </c>
      <c r="AI178" s="1277" t="n">
        <v>0.65</v>
      </c>
      <c r="AJ178" s="1277" t="n">
        <v>0.1</v>
      </c>
      <c r="AK178" s="109"/>
      <c r="AL178" s="1277" t="n">
        <v>-0.01</v>
      </c>
      <c r="AM178" s="1277" t="n">
        <v>0.16</v>
      </c>
      <c r="AN178" s="1277" t="n">
        <v>0.01</v>
      </c>
      <c r="AO178" s="109"/>
      <c r="AP178" s="197" t="n">
        <v>57</v>
      </c>
      <c r="AQ178" s="1280" t="n">
        <v>0.35</v>
      </c>
      <c r="AR178" s="1288"/>
      <c r="AS178" s="1288"/>
      <c r="AT178" s="1288"/>
      <c r="AU178" s="1288"/>
      <c r="AV178" s="1288"/>
      <c r="AW178" s="1288"/>
      <c r="AX178" s="1288"/>
      <c r="AY178" s="1288"/>
      <c r="AZ178" s="1288"/>
      <c r="BA178" s="1288"/>
      <c r="BB178" s="1288"/>
      <c r="BC178" s="1288"/>
      <c r="BD178" s="1288"/>
      <c r="BE178" s="1288"/>
      <c r="BF178" s="1288"/>
      <c r="BG178" s="1288"/>
      <c r="BH178" s="1288"/>
      <c r="BI178" s="1288"/>
      <c r="BJ178" s="1288"/>
      <c r="BK178" s="1288"/>
      <c r="BL178" s="1288"/>
      <c r="BM178" s="1288"/>
      <c r="BN178" s="1288"/>
      <c r="BO178" s="1288"/>
      <c r="BP178" s="1288"/>
      <c r="BQ178" s="1237" t="n">
        <v>41883</v>
      </c>
      <c r="BR178" s="1238" t="n">
        <v>3.4375</v>
      </c>
      <c r="BS178" s="1238" t="n">
        <v>3.4425</v>
      </c>
      <c r="BT178" s="1238" t="n">
        <v>3.4475</v>
      </c>
      <c r="BU178" s="1239" t="n">
        <v>0.1455</v>
      </c>
      <c r="BV178" s="1239" t="n">
        <v>0.15</v>
      </c>
      <c r="BW178" s="1239" t="n">
        <v>0.1605</v>
      </c>
      <c r="BX178" s="1239" t="n">
        <v>-0.07</v>
      </c>
      <c r="BY178" s="1239"/>
      <c r="BZ178" s="1239" t="n">
        <v>0.07</v>
      </c>
      <c r="CA178" s="1243" t="n">
        <v>0</v>
      </c>
      <c r="CB178" s="1241" t="n">
        <v>0</v>
      </c>
      <c r="CC178" s="1242" t="n">
        <v>3.459</v>
      </c>
      <c r="CD178" s="1239" t="n">
        <v>0.1605</v>
      </c>
    </row>
    <row r="179" customFormat="false" ht="12.75" hidden="false" customHeight="false" outlineLevel="0" collapsed="false">
      <c r="A179" s="1237" t="n">
        <v>42005</v>
      </c>
      <c r="B179" s="1239" t="n">
        <v>0.072864994080151</v>
      </c>
      <c r="C179" s="1218"/>
      <c r="D179" s="1274" t="n">
        <v>40878</v>
      </c>
      <c r="E179" s="1275" t="n">
        <v>27.4074125746995</v>
      </c>
      <c r="F179" s="1275" t="n">
        <v>31.1574125746995</v>
      </c>
      <c r="G179" s="1275" t="n">
        <v>36.1574125746995</v>
      </c>
      <c r="H179" s="1266"/>
      <c r="I179" s="1275" t="n">
        <v>26.2467741935484</v>
      </c>
      <c r="J179" s="1275" t="n">
        <v>28.2467741935484</v>
      </c>
      <c r="K179" s="1275" t="n">
        <v>33.2467741935484</v>
      </c>
      <c r="M179" s="1276" t="n">
        <v>41760</v>
      </c>
      <c r="N179" s="1277" t="n">
        <v>24.9244695471577</v>
      </c>
      <c r="O179" s="1277" t="n">
        <v>28.6744695471577</v>
      </c>
      <c r="P179" s="1277" t="n">
        <v>33.6744695471577</v>
      </c>
      <c r="Q179" s="109"/>
      <c r="R179" s="1277" t="n">
        <v>17.7558521603682</v>
      </c>
      <c r="S179" s="1277" t="n">
        <v>21.5058521603682</v>
      </c>
      <c r="T179" s="1277" t="n">
        <v>26.5058521603682</v>
      </c>
      <c r="V179" s="1278" t="n">
        <v>0</v>
      </c>
      <c r="W179" s="1278" t="n">
        <v>0</v>
      </c>
      <c r="X179" s="1278" t="n">
        <v>0</v>
      </c>
      <c r="Y179" s="1288"/>
      <c r="Z179" s="1277" t="n">
        <v>0.0999999999999999</v>
      </c>
      <c r="AA179" s="1277" t="n">
        <v>0.11</v>
      </c>
      <c r="AB179" s="1277" t="n">
        <v>0.12</v>
      </c>
      <c r="AC179" s="109"/>
      <c r="AD179" s="1277" t="n">
        <v>0.09</v>
      </c>
      <c r="AE179" s="1277" t="n">
        <v>0.11</v>
      </c>
      <c r="AF179" s="1277" t="n">
        <v>0.13</v>
      </c>
      <c r="AG179" s="109"/>
      <c r="AH179" s="1277" t="n">
        <v>-0.1</v>
      </c>
      <c r="AI179" s="1277" t="n">
        <v>0.65</v>
      </c>
      <c r="AJ179" s="1277" t="n">
        <v>0.1</v>
      </c>
      <c r="AK179" s="109"/>
      <c r="AL179" s="1277" t="n">
        <v>-0.01</v>
      </c>
      <c r="AM179" s="1277" t="n">
        <v>0.16</v>
      </c>
      <c r="AN179" s="1277" t="n">
        <v>0.01</v>
      </c>
      <c r="AO179" s="109"/>
      <c r="AP179" s="197" t="n">
        <v>57</v>
      </c>
      <c r="AQ179" s="1280" t="n">
        <v>0.35</v>
      </c>
      <c r="AR179" s="1288"/>
      <c r="AS179" s="1288"/>
      <c r="AT179" s="1288"/>
      <c r="AU179" s="1288"/>
      <c r="AV179" s="1288"/>
      <c r="AW179" s="1288"/>
      <c r="AX179" s="1288"/>
      <c r="AY179" s="1288"/>
      <c r="AZ179" s="1288"/>
      <c r="BA179" s="1288"/>
      <c r="BB179" s="1288"/>
      <c r="BC179" s="1288"/>
      <c r="BD179" s="1288"/>
      <c r="BE179" s="1288"/>
      <c r="BF179" s="1288"/>
      <c r="BG179" s="1288"/>
      <c r="BH179" s="1288"/>
      <c r="BI179" s="1288"/>
      <c r="BJ179" s="1288"/>
      <c r="BK179" s="1288"/>
      <c r="BL179" s="1288"/>
      <c r="BM179" s="1288"/>
      <c r="BN179" s="1288"/>
      <c r="BO179" s="1288"/>
      <c r="BP179" s="1288"/>
      <c r="BQ179" s="1237" t="n">
        <v>41913</v>
      </c>
      <c r="BR179" s="1238" t="n">
        <v>3.4535</v>
      </c>
      <c r="BS179" s="1238" t="n">
        <v>3.4585</v>
      </c>
      <c r="BT179" s="1238" t="n">
        <v>3.4635</v>
      </c>
      <c r="BU179" s="1239" t="n">
        <v>0.1455</v>
      </c>
      <c r="BV179" s="1239" t="n">
        <v>0.15</v>
      </c>
      <c r="BW179" s="1239" t="n">
        <v>0.1605</v>
      </c>
      <c r="BX179" s="1239" t="n">
        <v>-0.07</v>
      </c>
      <c r="BY179" s="1239"/>
      <c r="BZ179" s="1239" t="n">
        <v>0.07</v>
      </c>
      <c r="CA179" s="1243" t="n">
        <v>0</v>
      </c>
      <c r="CB179" s="1241" t="n">
        <v>0</v>
      </c>
      <c r="CC179" s="1242" t="n">
        <v>3.352</v>
      </c>
      <c r="CD179" s="1239" t="n">
        <v>0.1605</v>
      </c>
    </row>
    <row r="180" customFormat="false" ht="12.75" hidden="false" customHeight="false" outlineLevel="0" collapsed="false">
      <c r="A180" s="1237" t="n">
        <v>42036</v>
      </c>
      <c r="B180" s="1239" t="n">
        <v>0.072866008025452</v>
      </c>
      <c r="C180" s="1218"/>
      <c r="D180" s="1274" t="n">
        <v>40909</v>
      </c>
      <c r="E180" s="1275" t="n">
        <v>26.1455783671688</v>
      </c>
      <c r="F180" s="1275" t="n">
        <v>29.8955783671688</v>
      </c>
      <c r="G180" s="1275" t="n">
        <v>34.8955783671688</v>
      </c>
      <c r="H180" s="1266"/>
      <c r="I180" s="1275" t="n">
        <v>23.8381191510522</v>
      </c>
      <c r="J180" s="1275" t="n">
        <v>25.8381191510522</v>
      </c>
      <c r="K180" s="1275" t="n">
        <v>30.8381191510522</v>
      </c>
      <c r="M180" s="1276" t="n">
        <v>41791</v>
      </c>
      <c r="N180" s="1277" t="n">
        <v>30.1744695471577</v>
      </c>
      <c r="O180" s="1277" t="n">
        <v>33.9244695471577</v>
      </c>
      <c r="P180" s="1277" t="n">
        <v>38.9244695471577</v>
      </c>
      <c r="Q180" s="109"/>
      <c r="R180" s="1277" t="n">
        <v>21.6933521603682</v>
      </c>
      <c r="S180" s="1277" t="n">
        <v>25.4433521603682</v>
      </c>
      <c r="T180" s="1277" t="n">
        <v>30.4433521603682</v>
      </c>
      <c r="V180" s="1278" t="n">
        <v>0</v>
      </c>
      <c r="W180" s="1278" t="n">
        <v>0</v>
      </c>
      <c r="X180" s="1278" t="n">
        <v>0</v>
      </c>
      <c r="Y180" s="1288"/>
      <c r="Z180" s="1277" t="n">
        <v>0.0999999999999999</v>
      </c>
      <c r="AA180" s="1277" t="n">
        <v>0.11</v>
      </c>
      <c r="AB180" s="1277" t="n">
        <v>0.12</v>
      </c>
      <c r="AC180" s="109"/>
      <c r="AD180" s="1277" t="n">
        <v>0.09</v>
      </c>
      <c r="AE180" s="1277" t="n">
        <v>0.11</v>
      </c>
      <c r="AF180" s="1277" t="n">
        <v>0.13</v>
      </c>
      <c r="AG180" s="109"/>
      <c r="AH180" s="1277" t="n">
        <v>-0.35</v>
      </c>
      <c r="AI180" s="1277" t="n">
        <v>0.65</v>
      </c>
      <c r="AJ180" s="1277" t="n">
        <v>0.2</v>
      </c>
      <c r="AK180" s="109"/>
      <c r="AL180" s="1277" t="n">
        <v>-0.01</v>
      </c>
      <c r="AM180" s="1277" t="n">
        <v>0.16</v>
      </c>
      <c r="AN180" s="1277" t="n">
        <v>0.01</v>
      </c>
      <c r="AO180" s="109"/>
      <c r="AP180" s="197" t="n">
        <v>57</v>
      </c>
      <c r="AQ180" s="1280" t="n">
        <v>0.35</v>
      </c>
      <c r="AR180" s="1288"/>
      <c r="AS180" s="1288"/>
      <c r="AT180" s="1288"/>
      <c r="AU180" s="1288"/>
      <c r="AV180" s="1288"/>
      <c r="AW180" s="1288"/>
      <c r="AX180" s="1288"/>
      <c r="AY180" s="1288"/>
      <c r="AZ180" s="1288"/>
      <c r="BA180" s="1288"/>
      <c r="BB180" s="1288"/>
      <c r="BC180" s="1288"/>
      <c r="BD180" s="1288"/>
      <c r="BE180" s="1288"/>
      <c r="BF180" s="1288"/>
      <c r="BG180" s="1288"/>
      <c r="BH180" s="1288"/>
      <c r="BI180" s="1288"/>
      <c r="BJ180" s="1288"/>
      <c r="BK180" s="1288"/>
      <c r="BL180" s="1288"/>
      <c r="BM180" s="1288"/>
      <c r="BN180" s="1288"/>
      <c r="BO180" s="1288"/>
      <c r="BP180" s="1288"/>
      <c r="BQ180" s="1237" t="n">
        <v>41944</v>
      </c>
      <c r="BR180" s="1238" t="n">
        <v>3.5315</v>
      </c>
      <c r="BS180" s="1238" t="n">
        <v>3.5365</v>
      </c>
      <c r="BT180" s="1238" t="n">
        <v>3.5415</v>
      </c>
      <c r="BU180" s="1239" t="n">
        <v>0.1455</v>
      </c>
      <c r="BV180" s="1239" t="n">
        <v>0.15</v>
      </c>
      <c r="BW180" s="1239" t="n">
        <v>0.1605</v>
      </c>
      <c r="BX180" s="1239" t="n">
        <v>-0.07</v>
      </c>
      <c r="BY180" s="1239"/>
      <c r="BZ180" s="1239" t="n">
        <v>0.07</v>
      </c>
      <c r="CA180" s="1243" t="n">
        <v>0</v>
      </c>
      <c r="CB180" s="1241" t="n">
        <v>0</v>
      </c>
      <c r="CC180" s="1242" t="n">
        <v>3.249</v>
      </c>
      <c r="CD180" s="1239" t="n">
        <v>0.1605</v>
      </c>
    </row>
    <row r="181" customFormat="false" ht="12.75" hidden="false" customHeight="false" outlineLevel="0" collapsed="false">
      <c r="A181" s="1237" t="n">
        <v>42064</v>
      </c>
      <c r="B181" s="1239" t="n">
        <v>0.072866923847015</v>
      </c>
      <c r="C181" s="1218"/>
      <c r="D181" s="1274" t="n">
        <v>40940</v>
      </c>
      <c r="E181" s="1275" t="n">
        <v>25.6455783671688</v>
      </c>
      <c r="F181" s="1275" t="n">
        <v>29.3955783671688</v>
      </c>
      <c r="G181" s="1275" t="n">
        <v>34.3955783671688</v>
      </c>
      <c r="H181" s="1266"/>
      <c r="I181" s="1275" t="n">
        <v>24.8071428571429</v>
      </c>
      <c r="J181" s="1275" t="n">
        <v>26.8071428571429</v>
      </c>
      <c r="K181" s="1275" t="n">
        <v>31.8071428571429</v>
      </c>
      <c r="M181" s="1276" t="n">
        <v>41821</v>
      </c>
      <c r="N181" s="1277" t="n">
        <v>56.6473330664846</v>
      </c>
      <c r="O181" s="1277" t="n">
        <v>60.3973330664846</v>
      </c>
      <c r="P181" s="1277" t="n">
        <v>65.3973330664846</v>
      </c>
      <c r="Q181" s="109"/>
      <c r="R181" s="1277" t="n">
        <v>41.5479997998635</v>
      </c>
      <c r="S181" s="1277" t="n">
        <v>45.2979997998635</v>
      </c>
      <c r="T181" s="1277" t="n">
        <v>50.2979997998635</v>
      </c>
      <c r="V181" s="1278" t="n">
        <v>0</v>
      </c>
      <c r="W181" s="1278" t="n">
        <v>0</v>
      </c>
      <c r="X181" s="1278" t="n">
        <v>0</v>
      </c>
      <c r="Y181" s="1288"/>
      <c r="Z181" s="1277" t="n">
        <v>0.0999999999999999</v>
      </c>
      <c r="AA181" s="1277" t="n">
        <v>0.11</v>
      </c>
      <c r="AB181" s="1277" t="n">
        <v>0.12</v>
      </c>
      <c r="AC181" s="109"/>
      <c r="AD181" s="1277" t="n">
        <v>0.09</v>
      </c>
      <c r="AE181" s="1277" t="n">
        <v>0.11</v>
      </c>
      <c r="AF181" s="1277" t="n">
        <v>0.13</v>
      </c>
      <c r="AG181" s="109"/>
      <c r="AH181" s="1277" t="n">
        <v>-0.35</v>
      </c>
      <c r="AI181" s="1277" t="n">
        <v>0.65</v>
      </c>
      <c r="AJ181" s="1277" t="n">
        <v>0.35</v>
      </c>
      <c r="AK181" s="109"/>
      <c r="AL181" s="1277" t="n">
        <v>-0.01</v>
      </c>
      <c r="AM181" s="1277" t="n">
        <v>0.16</v>
      </c>
      <c r="AN181" s="1277" t="n">
        <v>0.01</v>
      </c>
      <c r="AO181" s="109"/>
      <c r="AP181" s="197" t="n">
        <v>58</v>
      </c>
      <c r="AQ181" s="1280" t="n">
        <v>0.35</v>
      </c>
      <c r="AR181" s="1288"/>
      <c r="AS181" s="1288"/>
      <c r="AT181" s="1288"/>
      <c r="AU181" s="1288"/>
      <c r="AV181" s="1288"/>
      <c r="AW181" s="1288"/>
      <c r="AX181" s="1288"/>
      <c r="AY181" s="1288"/>
      <c r="AZ181" s="1288"/>
      <c r="BA181" s="1288"/>
      <c r="BB181" s="1288"/>
      <c r="BC181" s="1288"/>
      <c r="BD181" s="1288"/>
      <c r="BE181" s="1288"/>
      <c r="BF181" s="1288"/>
      <c r="BG181" s="1288"/>
      <c r="BH181" s="1288"/>
      <c r="BI181" s="1288"/>
      <c r="BJ181" s="1288"/>
      <c r="BK181" s="1288"/>
      <c r="BL181" s="1288"/>
      <c r="BM181" s="1288"/>
      <c r="BN181" s="1288"/>
      <c r="BO181" s="1288"/>
      <c r="BP181" s="1288"/>
      <c r="BQ181" s="1237" t="n">
        <v>41974</v>
      </c>
      <c r="BR181" s="1238" t="n">
        <v>3.6215</v>
      </c>
      <c r="BS181" s="1238" t="n">
        <v>3.6265</v>
      </c>
      <c r="BT181" s="1238" t="n">
        <v>3.6315</v>
      </c>
      <c r="BU181" s="1239" t="n">
        <v>0.1455</v>
      </c>
      <c r="BV181" s="1239" t="n">
        <v>0.15</v>
      </c>
      <c r="BW181" s="1239" t="n">
        <v>0.1605</v>
      </c>
      <c r="BX181" s="1239" t="n">
        <v>-0.07</v>
      </c>
      <c r="BY181" s="1239"/>
      <c r="BZ181" s="1239" t="n">
        <v>0.07</v>
      </c>
      <c r="CA181" s="1243" t="n">
        <v>0</v>
      </c>
      <c r="CB181" s="1241" t="n">
        <v>0</v>
      </c>
      <c r="CC181" s="1242" t="n">
        <v>3.225</v>
      </c>
      <c r="CD181" s="1239" t="n">
        <v>0.1605</v>
      </c>
    </row>
    <row r="182" customFormat="false" ht="12.75" hidden="false" customHeight="false" outlineLevel="0" collapsed="false">
      <c r="A182" s="1237" t="n">
        <v>42095</v>
      </c>
      <c r="B182" s="1239" t="n">
        <v>0.072867937792316</v>
      </c>
      <c r="C182" s="1218"/>
      <c r="D182" s="1274" t="n">
        <v>40969</v>
      </c>
      <c r="E182" s="1275" t="n">
        <v>25.3955783671688</v>
      </c>
      <c r="F182" s="1275" t="n">
        <v>29.1455783671688</v>
      </c>
      <c r="G182" s="1275" t="n">
        <v>34.1455783671688</v>
      </c>
      <c r="H182" s="1266"/>
      <c r="I182" s="1275" t="n">
        <v>25.0870967741936</v>
      </c>
      <c r="J182" s="1275" t="n">
        <v>27.0870967741936</v>
      </c>
      <c r="K182" s="1275" t="n">
        <v>32.0870967741936</v>
      </c>
      <c r="M182" s="1276" t="n">
        <v>41852</v>
      </c>
      <c r="N182" s="1277" t="n">
        <v>77.2723330664846</v>
      </c>
      <c r="O182" s="1277" t="n">
        <v>81.0223330664846</v>
      </c>
      <c r="P182" s="1277" t="n">
        <v>86.0223330664846</v>
      </c>
      <c r="Q182" s="109"/>
      <c r="R182" s="1277" t="n">
        <v>57.0167497998635</v>
      </c>
      <c r="S182" s="1277" t="n">
        <v>60.7667497998635</v>
      </c>
      <c r="T182" s="1277" t="n">
        <v>65.7667497998635</v>
      </c>
      <c r="V182" s="1278" t="n">
        <v>0</v>
      </c>
      <c r="W182" s="1278" t="n">
        <v>0</v>
      </c>
      <c r="X182" s="1278" t="n">
        <v>0</v>
      </c>
      <c r="Y182" s="1288"/>
      <c r="Z182" s="1277" t="n">
        <v>0.0999999999999999</v>
      </c>
      <c r="AA182" s="1277" t="n">
        <v>0.11</v>
      </c>
      <c r="AB182" s="1277" t="n">
        <v>0.12</v>
      </c>
      <c r="AC182" s="109"/>
      <c r="AD182" s="1277" t="n">
        <v>0.09</v>
      </c>
      <c r="AE182" s="1277" t="n">
        <v>0.11</v>
      </c>
      <c r="AF182" s="1277" t="n">
        <v>0.13</v>
      </c>
      <c r="AG182" s="109"/>
      <c r="AH182" s="1277" t="n">
        <v>-0.35</v>
      </c>
      <c r="AI182" s="1277" t="n">
        <v>3</v>
      </c>
      <c r="AJ182" s="1277" t="n">
        <v>0.35</v>
      </c>
      <c r="AK182" s="109"/>
      <c r="AL182" s="1277" t="n">
        <v>-0.01</v>
      </c>
      <c r="AM182" s="1277" t="n">
        <v>0.16</v>
      </c>
      <c r="AN182" s="1277" t="n">
        <v>0.01</v>
      </c>
      <c r="AO182" s="109"/>
      <c r="AP182" s="197" t="n">
        <v>58</v>
      </c>
      <c r="AQ182" s="1280" t="n">
        <v>0.35</v>
      </c>
      <c r="AR182" s="1288"/>
      <c r="AS182" s="1288"/>
      <c r="AT182" s="1288"/>
      <c r="AU182" s="1288"/>
      <c r="AV182" s="1288"/>
      <c r="AW182" s="1288"/>
      <c r="AX182" s="1288"/>
      <c r="AY182" s="1288"/>
      <c r="AZ182" s="1288"/>
      <c r="BA182" s="1288"/>
      <c r="BB182" s="1288"/>
      <c r="BC182" s="1288"/>
      <c r="BD182" s="1288"/>
      <c r="BE182" s="1288"/>
      <c r="BF182" s="1288"/>
      <c r="BG182" s="1288"/>
      <c r="BH182" s="1288"/>
      <c r="BI182" s="1288"/>
      <c r="BJ182" s="1288"/>
      <c r="BK182" s="1288"/>
      <c r="BL182" s="1288"/>
      <c r="BM182" s="1288"/>
      <c r="BN182" s="1288"/>
      <c r="BO182" s="1288"/>
      <c r="BP182" s="1288"/>
      <c r="BQ182" s="1237" t="n">
        <v>42005</v>
      </c>
      <c r="BR182" s="1238" t="n">
        <v>3.6715</v>
      </c>
      <c r="BS182" s="1238" t="n">
        <v>3.6765</v>
      </c>
      <c r="BT182" s="1238" t="n">
        <v>3.6815</v>
      </c>
      <c r="BU182" s="1239" t="n">
        <v>0.1445</v>
      </c>
      <c r="BV182" s="1239" t="n">
        <v>0.15</v>
      </c>
      <c r="BW182" s="1239" t="n">
        <v>0.1595</v>
      </c>
      <c r="BX182" s="1239" t="n">
        <v>-0.07</v>
      </c>
      <c r="BY182" s="1239"/>
      <c r="BZ182" s="1239" t="n">
        <v>0.07</v>
      </c>
      <c r="CA182" s="1243" t="n">
        <v>0</v>
      </c>
      <c r="CB182" s="1241" t="n">
        <v>0</v>
      </c>
      <c r="CC182" s="1242" t="n">
        <v>3.232</v>
      </c>
      <c r="CD182" s="1239" t="n">
        <v>0.1605</v>
      </c>
    </row>
    <row r="183" customFormat="false" ht="12.75" hidden="false" customHeight="false" outlineLevel="0" collapsed="false">
      <c r="A183" s="1237" t="n">
        <v>42125</v>
      </c>
      <c r="B183" s="1239" t="n">
        <v>0.072868919029704</v>
      </c>
      <c r="C183" s="1218"/>
      <c r="D183" s="1274" t="n">
        <v>41000</v>
      </c>
      <c r="E183" s="1275" t="n">
        <v>25.5207999791533</v>
      </c>
      <c r="F183" s="1275" t="n">
        <v>29.2707999791533</v>
      </c>
      <c r="G183" s="1275" t="n">
        <v>34.2707999791533</v>
      </c>
      <c r="H183" s="1266"/>
      <c r="I183" s="1275" t="n">
        <v>22.8875</v>
      </c>
      <c r="J183" s="1275" t="n">
        <v>24.8875</v>
      </c>
      <c r="K183" s="1275" t="n">
        <v>29.8875</v>
      </c>
      <c r="M183" s="1276" t="n">
        <v>41883</v>
      </c>
      <c r="N183" s="1277" t="n">
        <v>61.2723330664846</v>
      </c>
      <c r="O183" s="1277" t="n">
        <v>65.0223330664846</v>
      </c>
      <c r="P183" s="1277" t="n">
        <v>70.0223330664846</v>
      </c>
      <c r="Q183" s="109"/>
      <c r="R183" s="1277" t="n">
        <v>45.0167497998635</v>
      </c>
      <c r="S183" s="1277" t="n">
        <v>48.7667497998635</v>
      </c>
      <c r="T183" s="1277" t="n">
        <v>53.7667497998635</v>
      </c>
      <c r="V183" s="1278" t="n">
        <v>0</v>
      </c>
      <c r="W183" s="1278" t="n">
        <v>0</v>
      </c>
      <c r="X183" s="1278" t="n">
        <v>0</v>
      </c>
      <c r="Y183" s="1288"/>
      <c r="Z183" s="1277" t="n">
        <v>0.0999999999999999</v>
      </c>
      <c r="AA183" s="1277" t="n">
        <v>0.11</v>
      </c>
      <c r="AB183" s="1277" t="n">
        <v>0.12</v>
      </c>
      <c r="AC183" s="109"/>
      <c r="AD183" s="1277" t="n">
        <v>0.09</v>
      </c>
      <c r="AE183" s="1277" t="n">
        <v>0.11</v>
      </c>
      <c r="AF183" s="1277" t="n">
        <v>0.13</v>
      </c>
      <c r="AG183" s="109"/>
      <c r="AH183" s="1277" t="n">
        <v>-0.35</v>
      </c>
      <c r="AI183" s="1277" t="n">
        <v>3</v>
      </c>
      <c r="AJ183" s="1277" t="n">
        <v>0.2</v>
      </c>
      <c r="AK183" s="109"/>
      <c r="AL183" s="1277" t="n">
        <v>-0.01</v>
      </c>
      <c r="AM183" s="1277" t="n">
        <v>0.16</v>
      </c>
      <c r="AN183" s="1277" t="n">
        <v>0.01</v>
      </c>
      <c r="AO183" s="109"/>
      <c r="AP183" s="197" t="n">
        <v>58</v>
      </c>
      <c r="AQ183" s="1280" t="n">
        <v>0.35</v>
      </c>
      <c r="AR183" s="1288"/>
      <c r="AS183" s="1288"/>
      <c r="AT183" s="1288"/>
      <c r="AU183" s="1288"/>
      <c r="AV183" s="1288"/>
      <c r="AW183" s="1288"/>
      <c r="AX183" s="1288"/>
      <c r="AY183" s="1288"/>
      <c r="AZ183" s="1288"/>
      <c r="BA183" s="1288"/>
      <c r="BB183" s="1288"/>
      <c r="BC183" s="1288"/>
      <c r="BD183" s="1288"/>
      <c r="BE183" s="1288"/>
      <c r="BF183" s="1288"/>
      <c r="BG183" s="1288"/>
      <c r="BH183" s="1288"/>
      <c r="BI183" s="1288"/>
      <c r="BJ183" s="1288"/>
      <c r="BK183" s="1288"/>
      <c r="BL183" s="1288"/>
      <c r="BM183" s="1288"/>
      <c r="BN183" s="1288"/>
      <c r="BO183" s="1288"/>
      <c r="BP183" s="1288"/>
      <c r="BQ183" s="1237" t="n">
        <v>42036</v>
      </c>
      <c r="BR183" s="1238" t="n">
        <v>3.6065</v>
      </c>
      <c r="BS183" s="1238" t="n">
        <v>3.6115</v>
      </c>
      <c r="BT183" s="1238" t="n">
        <v>3.6165</v>
      </c>
      <c r="BU183" s="1239" t="n">
        <v>0.1445</v>
      </c>
      <c r="BV183" s="1239" t="n">
        <v>0.15</v>
      </c>
      <c r="BW183" s="1239" t="n">
        <v>0.1595</v>
      </c>
      <c r="BX183" s="1239" t="n">
        <v>-0.07</v>
      </c>
      <c r="BY183" s="1239"/>
      <c r="BZ183" s="1239" t="n">
        <v>0.07</v>
      </c>
      <c r="CA183" s="1243" t="n">
        <v>0</v>
      </c>
      <c r="CB183" s="1241" t="n">
        <v>0</v>
      </c>
      <c r="CC183" s="1242" t="n">
        <v>3.238</v>
      </c>
      <c r="CD183" s="1239" t="n">
        <v>0.1605</v>
      </c>
    </row>
    <row r="184" customFormat="false" ht="12.75" hidden="false" customHeight="false" outlineLevel="0" collapsed="false">
      <c r="A184" s="1237" t="n">
        <v>42156</v>
      </c>
      <c r="B184" s="1239" t="n">
        <v>0.072869932975006</v>
      </c>
      <c r="C184" s="1218"/>
      <c r="D184" s="1274" t="n">
        <v>41030</v>
      </c>
      <c r="E184" s="1275" t="n">
        <v>24.7707999791533</v>
      </c>
      <c r="F184" s="1275" t="n">
        <v>28.5207999791533</v>
      </c>
      <c r="G184" s="1275" t="n">
        <v>33.5207999791533</v>
      </c>
      <c r="H184" s="1266"/>
      <c r="I184" s="1275" t="n">
        <v>22.9459677419355</v>
      </c>
      <c r="J184" s="1275" t="n">
        <v>24.9459677419355</v>
      </c>
      <c r="K184" s="1275" t="n">
        <v>29.9459677419355</v>
      </c>
      <c r="M184" s="1276" t="n">
        <v>41913</v>
      </c>
      <c r="N184" s="1277" t="n">
        <v>33.3668389633743</v>
      </c>
      <c r="O184" s="1277" t="n">
        <v>37.1168389633743</v>
      </c>
      <c r="P184" s="1277" t="n">
        <v>42.1168389633743</v>
      </c>
      <c r="Q184" s="109"/>
      <c r="R184" s="1277" t="n">
        <v>24.0876292225307</v>
      </c>
      <c r="S184" s="1277" t="n">
        <v>27.8376292225307</v>
      </c>
      <c r="T184" s="1277" t="n">
        <v>32.8376292225307</v>
      </c>
      <c r="V184" s="1278" t="n">
        <v>0</v>
      </c>
      <c r="W184" s="1278" t="n">
        <v>0</v>
      </c>
      <c r="X184" s="1278" t="n">
        <v>0</v>
      </c>
      <c r="Y184" s="1288"/>
      <c r="Z184" s="1277" t="n">
        <v>0.0999999999999999</v>
      </c>
      <c r="AA184" s="1277" t="n">
        <v>0.11</v>
      </c>
      <c r="AB184" s="1277" t="n">
        <v>0.12</v>
      </c>
      <c r="AC184" s="109"/>
      <c r="AD184" s="1277" t="n">
        <v>0.09</v>
      </c>
      <c r="AE184" s="1277" t="n">
        <v>0.11</v>
      </c>
      <c r="AF184" s="1277" t="n">
        <v>0.13</v>
      </c>
      <c r="AG184" s="109"/>
      <c r="AH184" s="1277" t="n">
        <v>-0.1</v>
      </c>
      <c r="AI184" s="1277" t="n">
        <v>3</v>
      </c>
      <c r="AJ184" s="1277" t="n">
        <v>0.1</v>
      </c>
      <c r="AK184" s="109"/>
      <c r="AL184" s="1277" t="n">
        <v>-0.01</v>
      </c>
      <c r="AM184" s="1277" t="n">
        <v>0.16</v>
      </c>
      <c r="AN184" s="1277" t="n">
        <v>0.01</v>
      </c>
      <c r="AO184" s="109"/>
      <c r="AP184" s="197" t="n">
        <v>59</v>
      </c>
      <c r="AQ184" s="1280" t="n">
        <v>0.35</v>
      </c>
      <c r="AR184" s="1288"/>
      <c r="AS184" s="1288"/>
      <c r="AT184" s="1288"/>
      <c r="AU184" s="1288"/>
      <c r="AV184" s="1288"/>
      <c r="AW184" s="1288"/>
      <c r="AX184" s="1288"/>
      <c r="AY184" s="1288"/>
      <c r="AZ184" s="1288"/>
      <c r="BA184" s="1288"/>
      <c r="BB184" s="1288"/>
      <c r="BC184" s="1288"/>
      <c r="BD184" s="1288"/>
      <c r="BE184" s="1288"/>
      <c r="BF184" s="1288"/>
      <c r="BG184" s="1288"/>
      <c r="BH184" s="1288"/>
      <c r="BI184" s="1288"/>
      <c r="BJ184" s="1288"/>
      <c r="BK184" s="1288"/>
      <c r="BL184" s="1288"/>
      <c r="BM184" s="1288"/>
      <c r="BN184" s="1288"/>
      <c r="BO184" s="1288"/>
      <c r="BP184" s="1288"/>
      <c r="BQ184" s="1237" t="n">
        <v>42064</v>
      </c>
      <c r="BR184" s="1238" t="n">
        <v>3.5275</v>
      </c>
      <c r="BS184" s="1238" t="n">
        <v>3.5325</v>
      </c>
      <c r="BT184" s="1238" t="n">
        <v>3.5375</v>
      </c>
      <c r="BU184" s="1239" t="n">
        <v>0.1445</v>
      </c>
      <c r="BV184" s="1239" t="n">
        <v>0.15</v>
      </c>
      <c r="BW184" s="1239" t="n">
        <v>0.1595</v>
      </c>
      <c r="BX184" s="1239" t="n">
        <v>-0.07</v>
      </c>
      <c r="BY184" s="1239"/>
      <c r="BZ184" s="1239" t="n">
        <v>0.07</v>
      </c>
      <c r="CA184" s="1243" t="n">
        <v>0</v>
      </c>
      <c r="CB184" s="1241" t="n">
        <v>0</v>
      </c>
      <c r="CC184" s="1242" t="n">
        <v>3.243</v>
      </c>
      <c r="CD184" s="1239" t="n">
        <v>0.1605</v>
      </c>
    </row>
    <row r="185" customFormat="false" ht="12.75" hidden="false" customHeight="false" outlineLevel="0" collapsed="false">
      <c r="A185" s="1237" t="n">
        <v>42186</v>
      </c>
      <c r="B185" s="1239" t="n">
        <v>0.072870914212396</v>
      </c>
      <c r="C185" s="1218"/>
      <c r="D185" s="1274" t="n">
        <v>41061</v>
      </c>
      <c r="E185" s="1275" t="n">
        <v>30.0207999791533</v>
      </c>
      <c r="F185" s="1275" t="n">
        <v>33.7707999791533</v>
      </c>
      <c r="G185" s="1275" t="n">
        <v>38.7707999791533</v>
      </c>
      <c r="H185" s="1266"/>
      <c r="I185" s="1275" t="n">
        <v>22.2</v>
      </c>
      <c r="J185" s="1275" t="n">
        <v>24.2</v>
      </c>
      <c r="K185" s="1275" t="n">
        <v>29.2</v>
      </c>
      <c r="M185" s="1276" t="n">
        <v>41944</v>
      </c>
      <c r="N185" s="1277" t="n">
        <v>25.6168389633743</v>
      </c>
      <c r="O185" s="1277" t="n">
        <v>29.3668389633743</v>
      </c>
      <c r="P185" s="1277" t="n">
        <v>34.3668389633743</v>
      </c>
      <c r="Q185" s="109"/>
      <c r="R185" s="1277" t="n">
        <v>18.2751292225307</v>
      </c>
      <c r="S185" s="1277" t="n">
        <v>22.0251292225307</v>
      </c>
      <c r="T185" s="1277" t="n">
        <v>27.0251292225307</v>
      </c>
      <c r="V185" s="1278" t="n">
        <v>0</v>
      </c>
      <c r="W185" s="1278" t="n">
        <v>0</v>
      </c>
      <c r="X185" s="1278" t="n">
        <v>0</v>
      </c>
      <c r="Y185" s="1288"/>
      <c r="Z185" s="1277" t="n">
        <v>0.0999999999999999</v>
      </c>
      <c r="AA185" s="1277" t="n">
        <v>0.11</v>
      </c>
      <c r="AB185" s="1277" t="n">
        <v>0.12</v>
      </c>
      <c r="AC185" s="109"/>
      <c r="AD185" s="1277" t="n">
        <v>0.09</v>
      </c>
      <c r="AE185" s="1277" t="n">
        <v>0.11</v>
      </c>
      <c r="AF185" s="1277" t="n">
        <v>0.13</v>
      </c>
      <c r="AG185" s="109"/>
      <c r="AH185" s="1277" t="n">
        <v>-0.1</v>
      </c>
      <c r="AI185" s="1277" t="n">
        <v>0.6</v>
      </c>
      <c r="AJ185" s="1277" t="n">
        <v>0.1</v>
      </c>
      <c r="AK185" s="109"/>
      <c r="AL185" s="1277" t="n">
        <v>-0.01</v>
      </c>
      <c r="AM185" s="1277" t="n">
        <v>0.16</v>
      </c>
      <c r="AN185" s="1277" t="n">
        <v>0.01</v>
      </c>
      <c r="AO185" s="109"/>
      <c r="AP185" s="197" t="n">
        <v>59</v>
      </c>
      <c r="AQ185" s="1280" t="n">
        <v>0.35</v>
      </c>
      <c r="AR185" s="1288"/>
      <c r="AS185" s="1288"/>
      <c r="AT185" s="1288"/>
      <c r="AU185" s="1288"/>
      <c r="AV185" s="1288"/>
      <c r="AW185" s="1288"/>
      <c r="AX185" s="1288"/>
      <c r="AY185" s="1288"/>
      <c r="AZ185" s="1288"/>
      <c r="BA185" s="1288"/>
      <c r="BB185" s="1288"/>
      <c r="BC185" s="1288"/>
      <c r="BD185" s="1288"/>
      <c r="BE185" s="1288"/>
      <c r="BF185" s="1288"/>
      <c r="BG185" s="1288"/>
      <c r="BH185" s="1288"/>
      <c r="BI185" s="1288"/>
      <c r="BJ185" s="1288"/>
      <c r="BK185" s="1288"/>
      <c r="BL185" s="1288"/>
      <c r="BM185" s="1288"/>
      <c r="BN185" s="1288"/>
      <c r="BO185" s="1288"/>
      <c r="BP185" s="1288"/>
      <c r="BQ185" s="1237" t="n">
        <v>42095</v>
      </c>
      <c r="BR185" s="1238" t="n">
        <v>3.4635</v>
      </c>
      <c r="BS185" s="1238" t="n">
        <v>3.4685</v>
      </c>
      <c r="BT185" s="1238" t="n">
        <v>3.4735</v>
      </c>
      <c r="BU185" s="1239" t="n">
        <v>0.1445</v>
      </c>
      <c r="BV185" s="1239" t="n">
        <v>0.15</v>
      </c>
      <c r="BW185" s="1239" t="n">
        <v>0.1595</v>
      </c>
      <c r="BX185" s="1239" t="n">
        <v>-0.07</v>
      </c>
      <c r="BY185" s="1239"/>
      <c r="BZ185" s="1239" t="n">
        <v>0.07</v>
      </c>
      <c r="CA185" s="1243" t="n">
        <v>0</v>
      </c>
      <c r="CB185" s="1241" t="n">
        <v>0</v>
      </c>
      <c r="CC185" s="1242" t="n">
        <v>3.246</v>
      </c>
      <c r="CD185" s="1239" t="n">
        <v>0.1605</v>
      </c>
    </row>
    <row r="186" customFormat="false" ht="12.75" hidden="false" customHeight="false" outlineLevel="0" collapsed="false">
      <c r="A186" s="1237" t="n">
        <v>42217</v>
      </c>
      <c r="B186" s="1239" t="n">
        <v>0.072871928157698</v>
      </c>
      <c r="C186" s="1218"/>
      <c r="D186" s="1274" t="n">
        <v>41091</v>
      </c>
      <c r="E186" s="1275" t="n">
        <v>56.2983487363617</v>
      </c>
      <c r="F186" s="1275" t="n">
        <v>60.0483487363617</v>
      </c>
      <c r="G186" s="1275" t="n">
        <v>65.0483487363618</v>
      </c>
      <c r="H186" s="1266"/>
      <c r="I186" s="1275" t="n">
        <v>28.2241935483871</v>
      </c>
      <c r="J186" s="1275" t="n">
        <v>30.2241935483871</v>
      </c>
      <c r="K186" s="1275" t="n">
        <v>35.2241935483871</v>
      </c>
      <c r="M186" s="1276" t="n">
        <v>41974</v>
      </c>
      <c r="N186" s="1277" t="n">
        <v>27.6168389633743</v>
      </c>
      <c r="O186" s="1277" t="n">
        <v>31.3668389633743</v>
      </c>
      <c r="P186" s="1277" t="n">
        <v>36.3668389633743</v>
      </c>
      <c r="Q186" s="109"/>
      <c r="R186" s="1277" t="n">
        <v>19.7751292225307</v>
      </c>
      <c r="S186" s="1277" t="n">
        <v>23.5251292225307</v>
      </c>
      <c r="T186" s="1277" t="n">
        <v>28.5251292225307</v>
      </c>
      <c r="V186" s="1278" t="n">
        <v>0</v>
      </c>
      <c r="W186" s="1278" t="n">
        <v>0</v>
      </c>
      <c r="X186" s="1278" t="n">
        <v>0</v>
      </c>
      <c r="Y186" s="1288"/>
      <c r="Z186" s="1277" t="n">
        <v>0.0999999999999999</v>
      </c>
      <c r="AA186" s="1277" t="n">
        <v>0.11</v>
      </c>
      <c r="AB186" s="1277" t="n">
        <v>0.12</v>
      </c>
      <c r="AC186" s="109"/>
      <c r="AD186" s="1277" t="n">
        <v>0.09</v>
      </c>
      <c r="AE186" s="1277" t="n">
        <v>0.11</v>
      </c>
      <c r="AF186" s="1277" t="n">
        <v>0.13</v>
      </c>
      <c r="AG186" s="109"/>
      <c r="AH186" s="1277" t="n">
        <v>-0.25</v>
      </c>
      <c r="AI186" s="1277" t="n">
        <v>0.6</v>
      </c>
      <c r="AJ186" s="1277" t="n">
        <v>0.25</v>
      </c>
      <c r="AK186" s="109"/>
      <c r="AL186" s="1277" t="n">
        <v>-0.01</v>
      </c>
      <c r="AM186" s="1277" t="n">
        <v>0.16</v>
      </c>
      <c r="AN186" s="1277" t="n">
        <v>0.01</v>
      </c>
      <c r="AO186" s="109"/>
      <c r="AP186" s="197" t="n">
        <v>59</v>
      </c>
      <c r="AQ186" s="1280" t="n">
        <v>0.35</v>
      </c>
      <c r="AR186" s="1288"/>
      <c r="AS186" s="1288"/>
      <c r="AT186" s="1288"/>
      <c r="AU186" s="1288"/>
      <c r="AV186" s="1288"/>
      <c r="AW186" s="1288"/>
      <c r="AX186" s="1288"/>
      <c r="AY186" s="1288"/>
      <c r="AZ186" s="1288"/>
      <c r="BA186" s="1288"/>
      <c r="BB186" s="1288"/>
      <c r="BC186" s="1288"/>
      <c r="BD186" s="1288"/>
      <c r="BE186" s="1288"/>
      <c r="BF186" s="1288"/>
      <c r="BG186" s="1288"/>
      <c r="BH186" s="1288"/>
      <c r="BI186" s="1288"/>
      <c r="BJ186" s="1288"/>
      <c r="BK186" s="1288"/>
      <c r="BL186" s="1288"/>
      <c r="BM186" s="1288"/>
      <c r="BN186" s="1288"/>
      <c r="BO186" s="1288"/>
      <c r="BP186" s="1288"/>
      <c r="BQ186" s="1237" t="n">
        <v>42125</v>
      </c>
      <c r="BR186" s="1238" t="n">
        <v>3.4895</v>
      </c>
      <c r="BS186" s="1238" t="n">
        <v>3.4945</v>
      </c>
      <c r="BT186" s="1238" t="n">
        <v>3.4995</v>
      </c>
      <c r="BU186" s="1239" t="n">
        <v>0.1445</v>
      </c>
      <c r="BV186" s="1239" t="n">
        <v>0.15</v>
      </c>
      <c r="BW186" s="1239" t="n">
        <v>0.1595</v>
      </c>
      <c r="BX186" s="1239" t="n">
        <v>-0.07</v>
      </c>
      <c r="BY186" s="1239"/>
      <c r="BZ186" s="1239" t="n">
        <v>0.07</v>
      </c>
      <c r="CA186" s="1243" t="n">
        <v>0</v>
      </c>
      <c r="CB186" s="1241" t="n">
        <v>0</v>
      </c>
      <c r="CC186" s="1242" t="n">
        <v>3.279</v>
      </c>
      <c r="CD186" s="1239" t="n">
        <v>0.1605</v>
      </c>
    </row>
    <row r="187" customFormat="false" ht="12.75" hidden="false" customHeight="false" outlineLevel="0" collapsed="false">
      <c r="A187" s="1237" t="n">
        <v>42248</v>
      </c>
      <c r="B187" s="1239" t="n">
        <v>0.072872942103002</v>
      </c>
      <c r="C187" s="1218"/>
      <c r="D187" s="1274" t="n">
        <v>41122</v>
      </c>
      <c r="E187" s="1275" t="n">
        <v>76.9233487363618</v>
      </c>
      <c r="F187" s="1275" t="n">
        <v>80.6733487363618</v>
      </c>
      <c r="G187" s="1275" t="n">
        <v>85.6733487363618</v>
      </c>
      <c r="H187" s="1266"/>
      <c r="I187" s="1275" t="n">
        <v>26.2241935483871</v>
      </c>
      <c r="J187" s="1275" t="n">
        <v>28.2241935483871</v>
      </c>
      <c r="K187" s="1275" t="n">
        <v>33.2241935483871</v>
      </c>
      <c r="M187" s="1276" t="n">
        <v>42005</v>
      </c>
      <c r="N187" s="1277" t="n">
        <v>25.1116189395171</v>
      </c>
      <c r="O187" s="1277" t="n">
        <v>30.1116189395171</v>
      </c>
      <c r="P187" s="1277" t="n">
        <v>35.1116189395171</v>
      </c>
      <c r="Q187" s="109"/>
      <c r="R187" s="1277" t="n">
        <v>17.5837142046379</v>
      </c>
      <c r="S187" s="1277" t="n">
        <v>22.5837142046379</v>
      </c>
      <c r="T187" s="1277" t="n">
        <v>27.5837142046379</v>
      </c>
      <c r="V187" s="1278" t="n">
        <v>0</v>
      </c>
      <c r="W187" s="1278" t="n">
        <v>0</v>
      </c>
      <c r="X187" s="1278" t="n">
        <v>0</v>
      </c>
      <c r="Y187" s="1288"/>
      <c r="Z187" s="1277" t="n">
        <v>0.0949999999999999</v>
      </c>
      <c r="AA187" s="1277" t="n">
        <v>0.105</v>
      </c>
      <c r="AB187" s="1277" t="n">
        <v>0.115</v>
      </c>
      <c r="AC187" s="109"/>
      <c r="AD187" s="1277" t="n">
        <v>0.09</v>
      </c>
      <c r="AE187" s="1277" t="n">
        <v>0.11</v>
      </c>
      <c r="AF187" s="1277" t="n">
        <v>0.13</v>
      </c>
      <c r="AG187" s="109"/>
      <c r="AH187" s="1277" t="n">
        <v>-0.25</v>
      </c>
      <c r="AI187" s="1277" t="n">
        <v>0.6</v>
      </c>
      <c r="AJ187" s="1277" t="n">
        <v>0.25</v>
      </c>
      <c r="AK187" s="109"/>
      <c r="AL187" s="1277" t="n">
        <v>-0.01</v>
      </c>
      <c r="AM187" s="1277" t="n">
        <v>0.16</v>
      </c>
      <c r="AN187" s="1277" t="n">
        <v>0.01</v>
      </c>
      <c r="AO187" s="109"/>
      <c r="AP187" s="197" t="n">
        <v>60</v>
      </c>
      <c r="AQ187" s="1280" t="n">
        <v>0.35</v>
      </c>
      <c r="AR187" s="1288"/>
      <c r="AS187" s="1288"/>
      <c r="AT187" s="1288"/>
      <c r="AU187" s="1288"/>
      <c r="AV187" s="1288"/>
      <c r="AW187" s="1288"/>
      <c r="AX187" s="1288"/>
      <c r="AY187" s="1288"/>
      <c r="AZ187" s="1288"/>
      <c r="BA187" s="1288"/>
      <c r="BB187" s="1288"/>
      <c r="BC187" s="1288"/>
      <c r="BD187" s="1288"/>
      <c r="BE187" s="1288"/>
      <c r="BF187" s="1288"/>
      <c r="BG187" s="1288"/>
      <c r="BH187" s="1288"/>
      <c r="BI187" s="1288"/>
      <c r="BJ187" s="1288"/>
      <c r="BK187" s="1288"/>
      <c r="BL187" s="1288"/>
      <c r="BM187" s="1288"/>
      <c r="BN187" s="1288"/>
      <c r="BO187" s="1288"/>
      <c r="BP187" s="1288"/>
      <c r="BQ187" s="1237" t="n">
        <v>42156</v>
      </c>
      <c r="BR187" s="1238" t="n">
        <v>3.5085</v>
      </c>
      <c r="BS187" s="1238" t="n">
        <v>3.5135</v>
      </c>
      <c r="BT187" s="1238" t="n">
        <v>3.5185</v>
      </c>
      <c r="BU187" s="1239" t="n">
        <v>0.1445</v>
      </c>
      <c r="BV187" s="1239" t="n">
        <v>0.15</v>
      </c>
      <c r="BW187" s="1239" t="n">
        <v>0.1595</v>
      </c>
      <c r="BX187" s="1239" t="n">
        <v>-0.07</v>
      </c>
      <c r="BY187" s="1239"/>
      <c r="BZ187" s="1239" t="n">
        <v>0.07</v>
      </c>
      <c r="CA187" s="1243" t="n">
        <v>0</v>
      </c>
      <c r="CB187" s="1241" t="n">
        <v>0</v>
      </c>
      <c r="CC187" s="1242" t="n">
        <v>3.42</v>
      </c>
      <c r="CD187" s="1239" t="n">
        <v>0.1605</v>
      </c>
    </row>
    <row r="188" customFormat="false" ht="12.75" hidden="false" customHeight="false" outlineLevel="0" collapsed="false">
      <c r="A188" s="1237" t="n">
        <v>42278</v>
      </c>
      <c r="B188" s="1239" t="n">
        <v>0.072873923340392</v>
      </c>
      <c r="C188" s="1218"/>
      <c r="D188" s="1274" t="n">
        <v>41153</v>
      </c>
      <c r="E188" s="1275" t="n">
        <v>60.9233487363617</v>
      </c>
      <c r="F188" s="1275" t="n">
        <v>64.6733487363618</v>
      </c>
      <c r="G188" s="1275" t="n">
        <v>69.6733487363618</v>
      </c>
      <c r="H188" s="1266"/>
      <c r="I188" s="1275" t="n">
        <v>26.6375</v>
      </c>
      <c r="J188" s="1275" t="n">
        <v>28.6375</v>
      </c>
      <c r="K188" s="1275" t="n">
        <v>33.6375</v>
      </c>
      <c r="M188" s="1276" t="n">
        <v>42036</v>
      </c>
      <c r="N188" s="1277" t="n">
        <v>24.6116189395171</v>
      </c>
      <c r="O188" s="1277" t="n">
        <v>29.6116189395171</v>
      </c>
      <c r="P188" s="1277" t="n">
        <v>34.6116189395171</v>
      </c>
      <c r="Q188" s="109"/>
      <c r="R188" s="1277" t="n">
        <v>17.2087142046379</v>
      </c>
      <c r="S188" s="1277" t="n">
        <v>22.2087142046379</v>
      </c>
      <c r="T188" s="1277" t="n">
        <v>27.2087142046379</v>
      </c>
      <c r="V188" s="1278" t="n">
        <v>0</v>
      </c>
      <c r="W188" s="1278" t="n">
        <v>0</v>
      </c>
      <c r="X188" s="1278" t="n">
        <v>0</v>
      </c>
      <c r="Y188" s="1288"/>
      <c r="Z188" s="1277" t="n">
        <v>0.0949999999999999</v>
      </c>
      <c r="AA188" s="1277" t="n">
        <v>0.105</v>
      </c>
      <c r="AB188" s="1277" t="n">
        <v>0.115</v>
      </c>
      <c r="AC188" s="109"/>
      <c r="AD188" s="1277" t="n">
        <v>0.09</v>
      </c>
      <c r="AE188" s="1277" t="n">
        <v>0.11</v>
      </c>
      <c r="AF188" s="1277" t="n">
        <v>0.13</v>
      </c>
      <c r="AG188" s="109"/>
      <c r="AH188" s="1277" t="n">
        <v>-0.25</v>
      </c>
      <c r="AI188" s="1277" t="n">
        <v>0.65</v>
      </c>
      <c r="AJ188" s="1277" t="n">
        <v>0.25</v>
      </c>
      <c r="AK188" s="109"/>
      <c r="AL188" s="1277" t="n">
        <v>-0.01</v>
      </c>
      <c r="AM188" s="1277" t="n">
        <v>0.16</v>
      </c>
      <c r="AN188" s="1277" t="n">
        <v>0.01</v>
      </c>
      <c r="AO188" s="109"/>
      <c r="AP188" s="197" t="n">
        <v>60</v>
      </c>
      <c r="AQ188" s="1280" t="n">
        <v>0.35</v>
      </c>
      <c r="AR188" s="1288"/>
      <c r="AS188" s="1288"/>
      <c r="AT188" s="1288"/>
      <c r="AU188" s="1288"/>
      <c r="AV188" s="1288"/>
      <c r="AW188" s="1288"/>
      <c r="AX188" s="1288"/>
      <c r="AY188" s="1288"/>
      <c r="AZ188" s="1288"/>
      <c r="BA188" s="1288"/>
      <c r="BB188" s="1288"/>
      <c r="BC188" s="1288"/>
      <c r="BD188" s="1288"/>
      <c r="BE188" s="1288"/>
      <c r="BF188" s="1288"/>
      <c r="BG188" s="1288"/>
      <c r="BH188" s="1288"/>
      <c r="BI188" s="1288"/>
      <c r="BJ188" s="1288"/>
      <c r="BK188" s="1288"/>
      <c r="BL188" s="1288"/>
      <c r="BM188" s="1288"/>
      <c r="BN188" s="1288"/>
      <c r="BO188" s="1288"/>
      <c r="BP188" s="1288"/>
      <c r="BQ188" s="1237" t="n">
        <v>42186</v>
      </c>
      <c r="BR188" s="1238" t="n">
        <v>3.5165</v>
      </c>
      <c r="BS188" s="1238" t="n">
        <v>3.5215</v>
      </c>
      <c r="BT188" s="1238" t="n">
        <v>3.5265</v>
      </c>
      <c r="BU188" s="1239" t="n">
        <v>0.1445</v>
      </c>
      <c r="BV188" s="1239" t="n">
        <v>0.15</v>
      </c>
      <c r="BW188" s="1239" t="n">
        <v>0.1595</v>
      </c>
      <c r="BX188" s="1239" t="n">
        <v>-0.07</v>
      </c>
      <c r="BY188" s="1239"/>
      <c r="BZ188" s="1239" t="n">
        <v>0.07</v>
      </c>
      <c r="CA188" s="1243" t="n">
        <v>0</v>
      </c>
      <c r="CB188" s="1241" t="n">
        <v>0</v>
      </c>
      <c r="CC188" s="1242" t="n">
        <v>3.565</v>
      </c>
      <c r="CD188" s="1239" t="n">
        <v>0.1605</v>
      </c>
    </row>
    <row r="189" customFormat="false" ht="12.75" hidden="false" customHeight="false" outlineLevel="0" collapsed="false">
      <c r="A189" s="1237" t="n">
        <v>42309</v>
      </c>
      <c r="B189" s="1239" t="n">
        <v>0.072874937285695</v>
      </c>
      <c r="C189" s="1218"/>
      <c r="D189" s="1274" t="n">
        <v>41183</v>
      </c>
      <c r="E189" s="1275" t="n">
        <v>33.2123603075302</v>
      </c>
      <c r="F189" s="1275" t="n">
        <v>36.9623603075302</v>
      </c>
      <c r="G189" s="1275" t="n">
        <v>41.9623603075302</v>
      </c>
      <c r="H189" s="1266"/>
      <c r="I189" s="1275" t="n">
        <v>26.1516129032258</v>
      </c>
      <c r="J189" s="1275" t="n">
        <v>28.1516129032258</v>
      </c>
      <c r="K189" s="1275" t="n">
        <v>33.1516129032258</v>
      </c>
      <c r="M189" s="1276" t="n">
        <v>42064</v>
      </c>
      <c r="N189" s="1277" t="n">
        <v>23.8616189395171</v>
      </c>
      <c r="O189" s="1277" t="n">
        <v>28.8616189395171</v>
      </c>
      <c r="P189" s="1277" t="n">
        <v>33.8616189395171</v>
      </c>
      <c r="Q189" s="109"/>
      <c r="R189" s="1277" t="n">
        <v>16.6462142046379</v>
      </c>
      <c r="S189" s="1277" t="n">
        <v>21.6462142046379</v>
      </c>
      <c r="T189" s="1277" t="n">
        <v>26.6462142046379</v>
      </c>
      <c r="V189" s="1278" t="n">
        <v>0</v>
      </c>
      <c r="W189" s="1278" t="n">
        <v>0</v>
      </c>
      <c r="X189" s="1278" t="n">
        <v>0</v>
      </c>
      <c r="Y189" s="1288"/>
      <c r="Z189" s="1277" t="n">
        <v>0.0949999999999999</v>
      </c>
      <c r="AA189" s="1277" t="n">
        <v>0.105</v>
      </c>
      <c r="AB189" s="1277" t="n">
        <v>0.115</v>
      </c>
      <c r="AC189" s="109"/>
      <c r="AD189" s="1277" t="n">
        <v>0.09</v>
      </c>
      <c r="AE189" s="1277" t="n">
        <v>0.11</v>
      </c>
      <c r="AF189" s="1277" t="n">
        <v>0.13</v>
      </c>
      <c r="AG189" s="109"/>
      <c r="AH189" s="1277" t="n">
        <v>-0.1</v>
      </c>
      <c r="AI189" s="1277" t="n">
        <v>0.65</v>
      </c>
      <c r="AJ189" s="1277" t="n">
        <v>0.1</v>
      </c>
      <c r="AK189" s="109"/>
      <c r="AL189" s="1277" t="n">
        <v>-0.01</v>
      </c>
      <c r="AM189" s="1277" t="n">
        <v>0.16</v>
      </c>
      <c r="AN189" s="1277" t="n">
        <v>0.01</v>
      </c>
      <c r="AO189" s="109"/>
      <c r="AP189" s="197" t="n">
        <v>60</v>
      </c>
      <c r="AQ189" s="1280" t="n">
        <v>0.35</v>
      </c>
      <c r="AR189" s="1288"/>
      <c r="AS189" s="1288"/>
      <c r="AT189" s="1288"/>
      <c r="AU189" s="1288"/>
      <c r="AV189" s="1288"/>
      <c r="AW189" s="1288"/>
      <c r="AX189" s="1288"/>
      <c r="AY189" s="1288"/>
      <c r="AZ189" s="1288"/>
      <c r="BA189" s="1288"/>
      <c r="BB189" s="1288"/>
      <c r="BC189" s="1288"/>
      <c r="BD189" s="1288"/>
      <c r="BE189" s="1288"/>
      <c r="BF189" s="1288"/>
      <c r="BG189" s="1288"/>
      <c r="BH189" s="1288"/>
      <c r="BI189" s="1288"/>
      <c r="BJ189" s="1288"/>
      <c r="BK189" s="1288"/>
      <c r="BL189" s="1288"/>
      <c r="BM189" s="1288"/>
      <c r="BN189" s="1288"/>
      <c r="BO189" s="1288"/>
      <c r="BP189" s="1288"/>
      <c r="BQ189" s="1237" t="n">
        <v>42217</v>
      </c>
      <c r="BR189" s="1238" t="n">
        <v>3.5255</v>
      </c>
      <c r="BS189" s="1238" t="n">
        <v>3.5305</v>
      </c>
      <c r="BT189" s="1238" t="n">
        <v>3.5355</v>
      </c>
      <c r="BU189" s="1239" t="n">
        <v>0.1445</v>
      </c>
      <c r="BV189" s="1239" t="n">
        <v>0.15</v>
      </c>
      <c r="BW189" s="1239" t="n">
        <v>0.1595</v>
      </c>
      <c r="BX189" s="1239" t="n">
        <v>-0.07</v>
      </c>
      <c r="BY189" s="1239"/>
      <c r="BZ189" s="1239" t="n">
        <v>0.07</v>
      </c>
      <c r="CA189" s="1243" t="n">
        <v>0</v>
      </c>
      <c r="CB189" s="1241" t="n">
        <v>0</v>
      </c>
      <c r="CC189" s="1242" t="n">
        <v>3.684</v>
      </c>
      <c r="CD189" s="1239" t="n">
        <v>0.1595</v>
      </c>
    </row>
    <row r="190" customFormat="false" ht="12.75" hidden="false" customHeight="false" outlineLevel="0" collapsed="false">
      <c r="A190" s="1237" t="n">
        <v>42339</v>
      </c>
      <c r="B190" s="1239" t="n">
        <v>0.072875918523086</v>
      </c>
      <c r="C190" s="1218"/>
      <c r="D190" s="1274" t="n">
        <v>41214</v>
      </c>
      <c r="E190" s="1275" t="n">
        <v>25.4623603075302</v>
      </c>
      <c r="F190" s="1275" t="n">
        <v>29.2123603075302</v>
      </c>
      <c r="G190" s="1275" t="n">
        <v>34.2123603075302</v>
      </c>
      <c r="H190" s="1266"/>
      <c r="I190" s="1275" t="n">
        <v>27.4916666666667</v>
      </c>
      <c r="J190" s="1275" t="n">
        <v>29.4916666666667</v>
      </c>
      <c r="K190" s="1275" t="n">
        <v>34.4916666666667</v>
      </c>
      <c r="M190" s="1276" t="n">
        <v>42095</v>
      </c>
      <c r="N190" s="1277" t="n">
        <v>23.7520148491727</v>
      </c>
      <c r="O190" s="1277" t="n">
        <v>28.7520148491727</v>
      </c>
      <c r="P190" s="1277" t="n">
        <v>33.7520148491727</v>
      </c>
      <c r="Q190" s="109"/>
      <c r="R190" s="1277" t="n">
        <v>16.5640111368795</v>
      </c>
      <c r="S190" s="1277" t="n">
        <v>21.5640111368795</v>
      </c>
      <c r="T190" s="1277" t="n">
        <v>26.5640111368795</v>
      </c>
      <c r="V190" s="1278" t="n">
        <v>0</v>
      </c>
      <c r="W190" s="1278" t="n">
        <v>0</v>
      </c>
      <c r="X190" s="1278" t="n">
        <v>0</v>
      </c>
      <c r="Y190" s="1288"/>
      <c r="Z190" s="1277" t="n">
        <v>0.0949999999999999</v>
      </c>
      <c r="AA190" s="1277" t="n">
        <v>0.105</v>
      </c>
      <c r="AB190" s="1277" t="n">
        <v>0.115</v>
      </c>
      <c r="AC190" s="109"/>
      <c r="AD190" s="1277" t="n">
        <v>0.09</v>
      </c>
      <c r="AE190" s="1277" t="n">
        <v>0.11</v>
      </c>
      <c r="AF190" s="1277" t="n">
        <v>0.13</v>
      </c>
      <c r="AG190" s="109"/>
      <c r="AH190" s="1277" t="n">
        <v>-0.1</v>
      </c>
      <c r="AI190" s="1277" t="n">
        <v>0.65</v>
      </c>
      <c r="AJ190" s="1277" t="n">
        <v>0.1</v>
      </c>
      <c r="AK190" s="109"/>
      <c r="AL190" s="1277" t="n">
        <v>-0.01</v>
      </c>
      <c r="AM190" s="1277" t="n">
        <v>0.16</v>
      </c>
      <c r="AN190" s="1277" t="n">
        <v>0.01</v>
      </c>
      <c r="AO190" s="109"/>
      <c r="AP190" s="197" t="n">
        <v>61</v>
      </c>
      <c r="AQ190" s="1280" t="n">
        <v>0.35</v>
      </c>
      <c r="AR190" s="1288"/>
      <c r="AS190" s="1288"/>
      <c r="AT190" s="1288"/>
      <c r="AU190" s="1288"/>
      <c r="AV190" s="1288"/>
      <c r="AW190" s="1288"/>
      <c r="AX190" s="1288"/>
      <c r="AY190" s="1288"/>
      <c r="AZ190" s="1288"/>
      <c r="BA190" s="1288"/>
      <c r="BB190" s="1288"/>
      <c r="BC190" s="1288"/>
      <c r="BD190" s="1288"/>
      <c r="BE190" s="1288"/>
      <c r="BF190" s="1288"/>
      <c r="BG190" s="1288"/>
      <c r="BH190" s="1288"/>
      <c r="BI190" s="1288"/>
      <c r="BJ190" s="1288"/>
      <c r="BK190" s="1288"/>
      <c r="BL190" s="1288"/>
      <c r="BM190" s="1288"/>
      <c r="BN190" s="1288"/>
      <c r="BO190" s="1288"/>
      <c r="BP190" s="1288"/>
      <c r="BQ190" s="1237" t="n">
        <v>42248</v>
      </c>
      <c r="BR190" s="1238" t="n">
        <v>3.5205</v>
      </c>
      <c r="BS190" s="1238" t="n">
        <v>3.5255</v>
      </c>
      <c r="BT190" s="1238" t="n">
        <v>3.5305</v>
      </c>
      <c r="BU190" s="1239" t="n">
        <v>0.1445</v>
      </c>
      <c r="BV190" s="1239" t="n">
        <v>0.15</v>
      </c>
      <c r="BW190" s="1239" t="n">
        <v>0.1595</v>
      </c>
      <c r="BX190" s="1239" t="n">
        <v>-0.07</v>
      </c>
      <c r="BY190" s="1239"/>
      <c r="BZ190" s="1239" t="n">
        <v>0.07</v>
      </c>
      <c r="CA190" s="1243" t="n">
        <v>0</v>
      </c>
      <c r="CB190" s="1241" t="n">
        <v>0</v>
      </c>
      <c r="CC190" s="1242" t="n">
        <v>3.559</v>
      </c>
      <c r="CD190" s="1239" t="n">
        <v>0.1595</v>
      </c>
    </row>
    <row r="191" customFormat="false" ht="12.75" hidden="false" customHeight="false" outlineLevel="0" collapsed="false">
      <c r="A191" s="1237" t="n">
        <v>42370</v>
      </c>
      <c r="B191" s="1239" t="n">
        <v>0.072876932468391</v>
      </c>
      <c r="C191" s="1218"/>
      <c r="D191" s="1274" t="n">
        <v>41244</v>
      </c>
      <c r="E191" s="1275" t="n">
        <v>27.4623603075302</v>
      </c>
      <c r="F191" s="1275" t="n">
        <v>31.2123603075302</v>
      </c>
      <c r="G191" s="1275" t="n">
        <v>36.2123603075302</v>
      </c>
      <c r="H191" s="1266"/>
      <c r="I191" s="1275" t="n">
        <v>26.7967741935484</v>
      </c>
      <c r="J191" s="1275" t="n">
        <v>28.7967741935484</v>
      </c>
      <c r="K191" s="1275" t="n">
        <v>33.7967741935484</v>
      </c>
      <c r="M191" s="1276" t="n">
        <v>42125</v>
      </c>
      <c r="N191" s="1277" t="n">
        <v>23.7520148491727</v>
      </c>
      <c r="O191" s="1277" t="n">
        <v>28.7520148491727</v>
      </c>
      <c r="P191" s="1277" t="n">
        <v>33.7520148491727</v>
      </c>
      <c r="Q191" s="109"/>
      <c r="R191" s="1277" t="n">
        <v>16.5640111368795</v>
      </c>
      <c r="S191" s="1277" t="n">
        <v>21.5640111368795</v>
      </c>
      <c r="T191" s="1277" t="n">
        <v>26.5640111368795</v>
      </c>
      <c r="V191" s="1278" t="n">
        <v>0</v>
      </c>
      <c r="W191" s="1278" t="n">
        <v>0</v>
      </c>
      <c r="X191" s="1278" t="n">
        <v>0</v>
      </c>
      <c r="Y191" s="1288"/>
      <c r="Z191" s="1277" t="n">
        <v>0.0949999999999999</v>
      </c>
      <c r="AA191" s="1277" t="n">
        <v>0.105</v>
      </c>
      <c r="AB191" s="1277" t="n">
        <v>0.115</v>
      </c>
      <c r="AC191" s="109"/>
      <c r="AD191" s="1277" t="n">
        <v>0.09</v>
      </c>
      <c r="AE191" s="1277" t="n">
        <v>0.11</v>
      </c>
      <c r="AF191" s="1277" t="n">
        <v>0.13</v>
      </c>
      <c r="AG191" s="109"/>
      <c r="AH191" s="1277" t="n">
        <v>-0.1</v>
      </c>
      <c r="AI191" s="1277" t="n">
        <v>0.65</v>
      </c>
      <c r="AJ191" s="1277" t="n">
        <v>0.1</v>
      </c>
      <c r="AK191" s="109"/>
      <c r="AL191" s="1277" t="n">
        <v>-0.01</v>
      </c>
      <c r="AM191" s="1277" t="n">
        <v>0.16</v>
      </c>
      <c r="AN191" s="1277" t="n">
        <v>0.01</v>
      </c>
      <c r="AO191" s="109"/>
      <c r="AP191" s="197" t="n">
        <v>61</v>
      </c>
      <c r="AQ191" s="1280" t="n">
        <v>0.35</v>
      </c>
      <c r="AR191" s="1288"/>
      <c r="AS191" s="1288"/>
      <c r="AT191" s="1288"/>
      <c r="AU191" s="1288"/>
      <c r="AV191" s="1288"/>
      <c r="AW191" s="1288"/>
      <c r="AX191" s="1288"/>
      <c r="AY191" s="1288"/>
      <c r="AZ191" s="1288"/>
      <c r="BA191" s="1288"/>
      <c r="BB191" s="1288"/>
      <c r="BC191" s="1288"/>
      <c r="BD191" s="1288"/>
      <c r="BE191" s="1288"/>
      <c r="BF191" s="1288"/>
      <c r="BG191" s="1288"/>
      <c r="BH191" s="1288"/>
      <c r="BI191" s="1288"/>
      <c r="BJ191" s="1288"/>
      <c r="BK191" s="1288"/>
      <c r="BL191" s="1288"/>
      <c r="BM191" s="1288"/>
      <c r="BN191" s="1288"/>
      <c r="BO191" s="1288"/>
      <c r="BP191" s="1288"/>
      <c r="BQ191" s="1237" t="n">
        <v>42278</v>
      </c>
      <c r="BR191" s="1238" t="n">
        <v>3.5355</v>
      </c>
      <c r="BS191" s="1238" t="n">
        <v>3.5405</v>
      </c>
      <c r="BT191" s="1238" t="n">
        <v>3.5455</v>
      </c>
      <c r="BU191" s="1239" t="n">
        <v>0.1445</v>
      </c>
      <c r="BV191" s="1239" t="n">
        <v>0.15</v>
      </c>
      <c r="BW191" s="1239" t="n">
        <v>0.1595</v>
      </c>
      <c r="BX191" s="1239" t="n">
        <v>-0.07</v>
      </c>
      <c r="BY191" s="1239"/>
      <c r="BZ191" s="1239" t="n">
        <v>0.07</v>
      </c>
      <c r="CA191" s="1243" t="n">
        <v>0</v>
      </c>
      <c r="CB191" s="1241" t="n">
        <v>0</v>
      </c>
      <c r="CC191" s="1242" t="n">
        <v>3.452</v>
      </c>
      <c r="CD191" s="1239" t="n">
        <v>0.1595</v>
      </c>
    </row>
    <row r="192" customFormat="false" ht="12.75" hidden="false" customHeight="false" outlineLevel="0" collapsed="false">
      <c r="A192" s="1237" t="n">
        <v>42401</v>
      </c>
      <c r="B192" s="1239" t="n">
        <v>0.072877946413695</v>
      </c>
      <c r="C192" s="1218"/>
      <c r="D192" s="1274" t="n">
        <v>41275</v>
      </c>
      <c r="E192" s="1275" t="n">
        <v>26.2177743862646</v>
      </c>
      <c r="F192" s="1275" t="n">
        <v>29.9677743862646</v>
      </c>
      <c r="G192" s="1275" t="n">
        <v>34.9677743862646</v>
      </c>
      <c r="H192" s="1266"/>
      <c r="I192" s="1275" t="n">
        <v>24.3381191510522</v>
      </c>
      <c r="J192" s="1275" t="n">
        <v>26.3381191510522</v>
      </c>
      <c r="K192" s="1275" t="n">
        <v>31.3381191510522</v>
      </c>
      <c r="M192" s="1276" t="n">
        <v>42156</v>
      </c>
      <c r="N192" s="1277" t="n">
        <v>29.0020148491727</v>
      </c>
      <c r="O192" s="1277" t="n">
        <v>34.0020148491727</v>
      </c>
      <c r="P192" s="1277" t="n">
        <v>39.0020148491727</v>
      </c>
      <c r="Q192" s="109"/>
      <c r="R192" s="1277" t="n">
        <v>20.5015111368795</v>
      </c>
      <c r="S192" s="1277" t="n">
        <v>25.5015111368795</v>
      </c>
      <c r="T192" s="1277" t="n">
        <v>30.5015111368795</v>
      </c>
      <c r="V192" s="1278" t="n">
        <v>0</v>
      </c>
      <c r="W192" s="1278" t="n">
        <v>0</v>
      </c>
      <c r="X192" s="1278" t="n">
        <v>0</v>
      </c>
      <c r="Y192" s="1288"/>
      <c r="Z192" s="1277" t="n">
        <v>0.0949999999999999</v>
      </c>
      <c r="AA192" s="1277" t="n">
        <v>0.105</v>
      </c>
      <c r="AB192" s="1277" t="n">
        <v>0.115</v>
      </c>
      <c r="AC192" s="109"/>
      <c r="AD192" s="1277" t="n">
        <v>0.09</v>
      </c>
      <c r="AE192" s="1277" t="n">
        <v>0.11</v>
      </c>
      <c r="AF192" s="1277" t="n">
        <v>0.13</v>
      </c>
      <c r="AG192" s="109"/>
      <c r="AH192" s="1277" t="n">
        <v>-0.35</v>
      </c>
      <c r="AI192" s="1277" t="n">
        <v>0.65</v>
      </c>
      <c r="AJ192" s="1277" t="n">
        <v>0.2</v>
      </c>
      <c r="AK192" s="109"/>
      <c r="AL192" s="1277" t="n">
        <v>-0.01</v>
      </c>
      <c r="AM192" s="1277" t="n">
        <v>0.16</v>
      </c>
      <c r="AN192" s="1277" t="n">
        <v>0.01</v>
      </c>
      <c r="AO192" s="109"/>
      <c r="AP192" s="197" t="n">
        <v>61</v>
      </c>
      <c r="AQ192" s="1280" t="n">
        <v>0.35</v>
      </c>
      <c r="AR192" s="1288"/>
      <c r="AS192" s="1288"/>
      <c r="AT192" s="1288"/>
      <c r="AU192" s="1288"/>
      <c r="AV192" s="1288"/>
      <c r="AW192" s="1288"/>
      <c r="AX192" s="1288"/>
      <c r="AY192" s="1288"/>
      <c r="AZ192" s="1288"/>
      <c r="BA192" s="1288"/>
      <c r="BB192" s="1288"/>
      <c r="BC192" s="1288"/>
      <c r="BD192" s="1288"/>
      <c r="BE192" s="1288"/>
      <c r="BF192" s="1288"/>
      <c r="BG192" s="1288"/>
      <c r="BH192" s="1288"/>
      <c r="BI192" s="1288"/>
      <c r="BJ192" s="1288"/>
      <c r="BK192" s="1288"/>
      <c r="BL192" s="1288"/>
      <c r="BM192" s="1288"/>
      <c r="BN192" s="1288"/>
      <c r="BO192" s="1288"/>
      <c r="BP192" s="1288"/>
      <c r="BQ192" s="1237" t="n">
        <v>42309</v>
      </c>
      <c r="BR192" s="1238" t="n">
        <v>3.6085</v>
      </c>
      <c r="BS192" s="1238" t="n">
        <v>3.6135</v>
      </c>
      <c r="BT192" s="1238" t="n">
        <v>3.6185</v>
      </c>
      <c r="BU192" s="1239" t="n">
        <v>0.1445</v>
      </c>
      <c r="BV192" s="1239" t="n">
        <v>0.15</v>
      </c>
      <c r="BW192" s="1239" t="n">
        <v>0.1595</v>
      </c>
      <c r="BX192" s="1239" t="n">
        <v>-0.07</v>
      </c>
      <c r="BY192" s="1239"/>
      <c r="BZ192" s="1239" t="n">
        <v>0.07</v>
      </c>
      <c r="CA192" s="1243" t="n">
        <v>0</v>
      </c>
      <c r="CB192" s="1241" t="n">
        <v>0</v>
      </c>
      <c r="CC192" s="1242" t="n">
        <v>3.349</v>
      </c>
      <c r="CD192" s="1239" t="n">
        <v>0.1595</v>
      </c>
    </row>
    <row r="193" customFormat="false" ht="12.75" hidden="false" customHeight="false" outlineLevel="0" collapsed="false">
      <c r="A193" s="1237" t="n">
        <v>42430</v>
      </c>
      <c r="B193" s="1239" t="n">
        <v>0.072878894943174</v>
      </c>
      <c r="C193" s="1218"/>
      <c r="D193" s="1274" t="n">
        <v>41306</v>
      </c>
      <c r="E193" s="1275" t="n">
        <v>25.7177743862646</v>
      </c>
      <c r="F193" s="1275" t="n">
        <v>29.4677743862646</v>
      </c>
      <c r="G193" s="1275" t="n">
        <v>34.4677743862646</v>
      </c>
      <c r="H193" s="1266"/>
      <c r="I193" s="1275" t="n">
        <v>25.3071428571429</v>
      </c>
      <c r="J193" s="1275" t="n">
        <v>27.3071428571429</v>
      </c>
      <c r="K193" s="1275" t="n">
        <v>32.3071428571429</v>
      </c>
      <c r="M193" s="1276" t="n">
        <v>42186</v>
      </c>
      <c r="N193" s="1277" t="n">
        <v>55.5720286590953</v>
      </c>
      <c r="O193" s="1277" t="n">
        <v>60.5720286590953</v>
      </c>
      <c r="P193" s="1277" t="n">
        <v>65.5720286590953</v>
      </c>
      <c r="Q193" s="109"/>
      <c r="R193" s="1277" t="n">
        <v>40.4290214943215</v>
      </c>
      <c r="S193" s="1277" t="n">
        <v>45.4290214943215</v>
      </c>
      <c r="T193" s="1277" t="n">
        <v>50.4290214943215</v>
      </c>
      <c r="V193" s="1278" t="n">
        <v>0</v>
      </c>
      <c r="W193" s="1278" t="n">
        <v>0</v>
      </c>
      <c r="X193" s="1278" t="n">
        <v>0</v>
      </c>
      <c r="Y193" s="1288"/>
      <c r="Z193" s="1277" t="n">
        <v>0.0949999999999999</v>
      </c>
      <c r="AA193" s="1277" t="n">
        <v>0.105</v>
      </c>
      <c r="AB193" s="1277" t="n">
        <v>0.115</v>
      </c>
      <c r="AC193" s="109"/>
      <c r="AD193" s="1277" t="n">
        <v>0.09</v>
      </c>
      <c r="AE193" s="1277" t="n">
        <v>0.11</v>
      </c>
      <c r="AF193" s="1277" t="n">
        <v>0.13</v>
      </c>
      <c r="AG193" s="109"/>
      <c r="AH193" s="1277" t="n">
        <v>-0.35</v>
      </c>
      <c r="AI193" s="1277" t="n">
        <v>0.65</v>
      </c>
      <c r="AJ193" s="1277" t="n">
        <v>0.35</v>
      </c>
      <c r="AK193" s="109"/>
      <c r="AL193" s="1277" t="n">
        <v>-0.01</v>
      </c>
      <c r="AM193" s="1277" t="n">
        <v>0.16</v>
      </c>
      <c r="AN193" s="1277" t="n">
        <v>0.01</v>
      </c>
      <c r="AO193" s="109"/>
      <c r="AP193" s="197" t="n">
        <v>62</v>
      </c>
      <c r="AQ193" s="1280" t="n">
        <v>0.35</v>
      </c>
      <c r="AR193" s="1288"/>
      <c r="AS193" s="1288"/>
      <c r="AT193" s="1288"/>
      <c r="AU193" s="1288"/>
      <c r="AV193" s="1288"/>
      <c r="AW193" s="1288"/>
      <c r="AX193" s="1288"/>
      <c r="AY193" s="1288"/>
      <c r="AZ193" s="1288"/>
      <c r="BA193" s="1288"/>
      <c r="BB193" s="1288"/>
      <c r="BC193" s="1288"/>
      <c r="BD193" s="1288"/>
      <c r="BE193" s="1288"/>
      <c r="BF193" s="1288"/>
      <c r="BG193" s="1288"/>
      <c r="BH193" s="1288"/>
      <c r="BI193" s="1288"/>
      <c r="BJ193" s="1288"/>
      <c r="BK193" s="1288"/>
      <c r="BL193" s="1288"/>
      <c r="BM193" s="1288"/>
      <c r="BN193" s="1288"/>
      <c r="BO193" s="1288"/>
      <c r="BP193" s="1288"/>
      <c r="BQ193" s="1237" t="n">
        <v>42339</v>
      </c>
      <c r="BR193" s="1238" t="n">
        <v>3.6955</v>
      </c>
      <c r="BS193" s="1238" t="n">
        <v>3.7005</v>
      </c>
      <c r="BT193" s="1238" t="n">
        <v>3.7055</v>
      </c>
      <c r="BU193" s="1239" t="n">
        <v>0.1445</v>
      </c>
      <c r="BV193" s="1239" t="n">
        <v>0.15</v>
      </c>
      <c r="BW193" s="1239" t="n">
        <v>0.1595</v>
      </c>
      <c r="BX193" s="1239" t="n">
        <v>-0.07</v>
      </c>
      <c r="BY193" s="1239"/>
      <c r="BZ193" s="1239" t="n">
        <v>0.07</v>
      </c>
      <c r="CA193" s="1243" t="n">
        <v>0</v>
      </c>
      <c r="CB193" s="1241" t="n">
        <v>0</v>
      </c>
      <c r="CC193" s="1242" t="n">
        <v>3.325</v>
      </c>
      <c r="CD193" s="1239" t="n">
        <v>0.1595</v>
      </c>
    </row>
    <row r="194" customFormat="false" ht="12.75" hidden="false" customHeight="false" outlineLevel="0" collapsed="false">
      <c r="A194" s="1237" t="n">
        <v>42461</v>
      </c>
      <c r="B194" s="1239" t="n">
        <v>0.07287990888848</v>
      </c>
      <c r="C194" s="1218"/>
      <c r="D194" s="1274" t="n">
        <v>41334</v>
      </c>
      <c r="E194" s="1275" t="n">
        <v>25.4677743862646</v>
      </c>
      <c r="F194" s="1275" t="n">
        <v>29.2177743862646</v>
      </c>
      <c r="G194" s="1275" t="n">
        <v>34.2177743862646</v>
      </c>
      <c r="H194" s="1266"/>
      <c r="I194" s="1275" t="n">
        <v>25.5870967741936</v>
      </c>
      <c r="J194" s="1275" t="n">
        <v>27.5870967741936</v>
      </c>
      <c r="K194" s="1275" t="n">
        <v>32.5870967741936</v>
      </c>
      <c r="M194" s="1276" t="n">
        <v>42217</v>
      </c>
      <c r="N194" s="1277" t="n">
        <v>76.1970286590953</v>
      </c>
      <c r="O194" s="1277" t="n">
        <v>81.1970286590953</v>
      </c>
      <c r="P194" s="1277" t="n">
        <v>86.1970286590953</v>
      </c>
      <c r="Q194" s="109"/>
      <c r="R194" s="1277" t="n">
        <v>55.8977714943215</v>
      </c>
      <c r="S194" s="1277" t="n">
        <v>60.8977714943215</v>
      </c>
      <c r="T194" s="1277" t="n">
        <v>65.8977714943215</v>
      </c>
      <c r="V194" s="1278" t="n">
        <v>0</v>
      </c>
      <c r="W194" s="1278" t="n">
        <v>0</v>
      </c>
      <c r="X194" s="1278" t="n">
        <v>0</v>
      </c>
      <c r="Y194" s="1288"/>
      <c r="Z194" s="1277" t="n">
        <v>0.0949999999999999</v>
      </c>
      <c r="AA194" s="1277" t="n">
        <v>0.105</v>
      </c>
      <c r="AB194" s="1277" t="n">
        <v>0.115</v>
      </c>
      <c r="AC194" s="109"/>
      <c r="AD194" s="1277" t="n">
        <v>0.09</v>
      </c>
      <c r="AE194" s="1277" t="n">
        <v>0.11</v>
      </c>
      <c r="AF194" s="1277" t="n">
        <v>0.13</v>
      </c>
      <c r="AG194" s="109"/>
      <c r="AH194" s="1277" t="n">
        <v>-0.35</v>
      </c>
      <c r="AI194" s="1277" t="n">
        <v>3</v>
      </c>
      <c r="AJ194" s="1277" t="n">
        <v>0.35</v>
      </c>
      <c r="AK194" s="109"/>
      <c r="AL194" s="1277" t="n">
        <v>-0.01</v>
      </c>
      <c r="AM194" s="1277" t="n">
        <v>0.16</v>
      </c>
      <c r="AN194" s="1277" t="n">
        <v>0.01</v>
      </c>
      <c r="AO194" s="109"/>
      <c r="AP194" s="197" t="n">
        <v>62</v>
      </c>
      <c r="AQ194" s="1280" t="n">
        <v>0.35</v>
      </c>
      <c r="AR194" s="1288"/>
      <c r="AS194" s="1288"/>
      <c r="AT194" s="1288"/>
      <c r="AU194" s="1288"/>
      <c r="AV194" s="1288"/>
      <c r="AW194" s="1288"/>
      <c r="AX194" s="1288"/>
      <c r="AY194" s="1288"/>
      <c r="AZ194" s="1288"/>
      <c r="BA194" s="1288"/>
      <c r="BB194" s="1288"/>
      <c r="BC194" s="1288"/>
      <c r="BD194" s="1288"/>
      <c r="BE194" s="1288"/>
      <c r="BF194" s="1288"/>
      <c r="BG194" s="1288"/>
      <c r="BH194" s="1288"/>
      <c r="BI194" s="1288"/>
      <c r="BJ194" s="1288"/>
      <c r="BK194" s="1288"/>
      <c r="BL194" s="1288"/>
      <c r="BM194" s="1288"/>
      <c r="BN194" s="1288"/>
      <c r="BO194" s="1288"/>
      <c r="BP194" s="1288"/>
      <c r="BQ194" s="1237" t="n">
        <v>42370</v>
      </c>
      <c r="BR194" s="1238" t="n">
        <v>3.7435</v>
      </c>
      <c r="BS194" s="1238" t="n">
        <v>3.7485</v>
      </c>
      <c r="BT194" s="1238" t="n">
        <v>3.7535</v>
      </c>
      <c r="BU194" s="1239" t="n">
        <v>0.1435</v>
      </c>
      <c r="BV194" s="1239" t="n">
        <v>0.15</v>
      </c>
      <c r="BW194" s="1239" t="n">
        <v>0.1585</v>
      </c>
      <c r="BX194" s="1239" t="n">
        <v>-0.07</v>
      </c>
      <c r="BY194" s="1239"/>
      <c r="BZ194" s="1239" t="n">
        <v>0.07</v>
      </c>
      <c r="CA194" s="1243" t="n">
        <v>0</v>
      </c>
      <c r="CB194" s="1241" t="n">
        <v>0</v>
      </c>
      <c r="CC194" s="1242" t="n">
        <v>3.332</v>
      </c>
      <c r="CD194" s="1239" t="n">
        <v>0.1595</v>
      </c>
    </row>
    <row r="195" customFormat="false" ht="12.75" hidden="false" customHeight="false" outlineLevel="0" collapsed="false">
      <c r="A195" s="1237" t="n">
        <v>42491</v>
      </c>
      <c r="B195" s="1239" t="n">
        <v>0.072880890125872</v>
      </c>
      <c r="C195" s="1218"/>
      <c r="D195" s="1274" t="n">
        <v>41365</v>
      </c>
      <c r="E195" s="1275" t="n">
        <v>25.5969242451426</v>
      </c>
      <c r="F195" s="1275" t="n">
        <v>29.3469242451426</v>
      </c>
      <c r="G195" s="1275" t="n">
        <v>34.3469242451426</v>
      </c>
      <c r="H195" s="1266"/>
      <c r="I195" s="1275" t="n">
        <v>23.3875</v>
      </c>
      <c r="J195" s="1275" t="n">
        <v>25.3875</v>
      </c>
      <c r="K195" s="1275" t="n">
        <v>30.3875</v>
      </c>
      <c r="M195" s="1276" t="n">
        <v>42248</v>
      </c>
      <c r="N195" s="1277" t="n">
        <v>60.1970286590953</v>
      </c>
      <c r="O195" s="1277" t="n">
        <v>65.1970286590953</v>
      </c>
      <c r="P195" s="1277" t="n">
        <v>70.1970286590953</v>
      </c>
      <c r="Q195" s="109"/>
      <c r="R195" s="1277" t="n">
        <v>43.8977714943215</v>
      </c>
      <c r="S195" s="1277" t="n">
        <v>48.8977714943215</v>
      </c>
      <c r="T195" s="1277" t="n">
        <v>53.8977714943215</v>
      </c>
      <c r="V195" s="1278" t="n">
        <v>0</v>
      </c>
      <c r="W195" s="1278" t="n">
        <v>0</v>
      </c>
      <c r="X195" s="1278" t="n">
        <v>0</v>
      </c>
      <c r="Y195" s="1288"/>
      <c r="Z195" s="1277" t="n">
        <v>0.0949999999999999</v>
      </c>
      <c r="AA195" s="1277" t="n">
        <v>0.105</v>
      </c>
      <c r="AB195" s="1277" t="n">
        <v>0.115</v>
      </c>
      <c r="AC195" s="109"/>
      <c r="AD195" s="1277" t="n">
        <v>0.09</v>
      </c>
      <c r="AE195" s="1277" t="n">
        <v>0.11</v>
      </c>
      <c r="AF195" s="1277" t="n">
        <v>0.13</v>
      </c>
      <c r="AG195" s="109"/>
      <c r="AH195" s="1277" t="n">
        <v>-0.35</v>
      </c>
      <c r="AI195" s="1277" t="n">
        <v>3</v>
      </c>
      <c r="AJ195" s="1277" t="n">
        <v>0.2</v>
      </c>
      <c r="AK195" s="109"/>
      <c r="AL195" s="1277" t="n">
        <v>-0.01</v>
      </c>
      <c r="AM195" s="1277" t="n">
        <v>0.16</v>
      </c>
      <c r="AN195" s="1277" t="n">
        <v>0.01</v>
      </c>
      <c r="AO195" s="109"/>
      <c r="AP195" s="197" t="n">
        <v>62</v>
      </c>
      <c r="AQ195" s="1280" t="n">
        <v>0.35</v>
      </c>
      <c r="AR195" s="1288"/>
      <c r="AS195" s="1288"/>
      <c r="AT195" s="1288"/>
      <c r="AU195" s="1288"/>
      <c r="AV195" s="1288"/>
      <c r="AW195" s="1288"/>
      <c r="AX195" s="1288"/>
      <c r="AY195" s="1288"/>
      <c r="AZ195" s="1288"/>
      <c r="BA195" s="1288"/>
      <c r="BB195" s="1288"/>
      <c r="BC195" s="1288"/>
      <c r="BD195" s="1288"/>
      <c r="BE195" s="1288"/>
      <c r="BF195" s="1288"/>
      <c r="BG195" s="1288"/>
      <c r="BH195" s="1288"/>
      <c r="BI195" s="1288"/>
      <c r="BJ195" s="1288"/>
      <c r="BK195" s="1288"/>
      <c r="BL195" s="1288"/>
      <c r="BM195" s="1288"/>
      <c r="BN195" s="1288"/>
      <c r="BO195" s="1288"/>
      <c r="BP195" s="1288"/>
      <c r="BQ195" s="1237" t="n">
        <v>42401</v>
      </c>
      <c r="BR195" s="1238" t="n">
        <v>3.6825</v>
      </c>
      <c r="BS195" s="1238" t="n">
        <v>3.6875</v>
      </c>
      <c r="BT195" s="1238" t="n">
        <v>3.6925</v>
      </c>
      <c r="BU195" s="1239" t="n">
        <v>0.1435</v>
      </c>
      <c r="BV195" s="1239" t="n">
        <v>0.15</v>
      </c>
      <c r="BW195" s="1239" t="n">
        <v>0.1585</v>
      </c>
      <c r="BX195" s="1239" t="n">
        <v>-0.07</v>
      </c>
      <c r="BY195" s="1239"/>
      <c r="BZ195" s="1239" t="n">
        <v>0.07</v>
      </c>
      <c r="CA195" s="1243" t="n">
        <v>0</v>
      </c>
      <c r="CB195" s="1241" t="n">
        <v>0</v>
      </c>
      <c r="CC195" s="1242" t="n">
        <v>3.338</v>
      </c>
      <c r="CD195" s="1239" t="n">
        <v>0.1595</v>
      </c>
    </row>
    <row r="196" customFormat="false" ht="12.75" hidden="false" customHeight="false" outlineLevel="0" collapsed="false">
      <c r="A196" s="1237" t="n">
        <v>42522</v>
      </c>
      <c r="B196" s="1239" t="n">
        <v>0.072881904071178</v>
      </c>
      <c r="C196" s="1218"/>
      <c r="D196" s="1274" t="n">
        <v>41395</v>
      </c>
      <c r="E196" s="1275" t="n">
        <v>24.8469242451426</v>
      </c>
      <c r="F196" s="1275" t="n">
        <v>28.5969242451426</v>
      </c>
      <c r="G196" s="1275" t="n">
        <v>33.5969242451426</v>
      </c>
      <c r="H196" s="1266"/>
      <c r="I196" s="1275" t="n">
        <v>23.4459677419355</v>
      </c>
      <c r="J196" s="1275" t="n">
        <v>25.4459677419355</v>
      </c>
      <c r="K196" s="1275" t="n">
        <v>30.4459677419355</v>
      </c>
      <c r="M196" s="1276" t="n">
        <v>42278</v>
      </c>
      <c r="N196" s="1277" t="n">
        <v>32.1932929389594</v>
      </c>
      <c r="O196" s="1277" t="n">
        <v>37.1932929389594</v>
      </c>
      <c r="P196" s="1277" t="n">
        <v>42.1932929389594</v>
      </c>
      <c r="Q196" s="109"/>
      <c r="R196" s="1277" t="n">
        <v>22.8949697042195</v>
      </c>
      <c r="S196" s="1277" t="n">
        <v>27.8949697042195</v>
      </c>
      <c r="T196" s="1277" t="n">
        <v>32.8949697042195</v>
      </c>
      <c r="V196" s="1278" t="n">
        <v>0</v>
      </c>
      <c r="W196" s="1278" t="n">
        <v>0</v>
      </c>
      <c r="X196" s="1278" t="n">
        <v>0</v>
      </c>
      <c r="Y196" s="1288"/>
      <c r="Z196" s="1277" t="n">
        <v>0.0949999999999999</v>
      </c>
      <c r="AA196" s="1277" t="n">
        <v>0.105</v>
      </c>
      <c r="AB196" s="1277" t="n">
        <v>0.115</v>
      </c>
      <c r="AC196" s="109"/>
      <c r="AD196" s="1277" t="n">
        <v>0.09</v>
      </c>
      <c r="AE196" s="1277" t="n">
        <v>0.11</v>
      </c>
      <c r="AF196" s="1277" t="n">
        <v>0.13</v>
      </c>
      <c r="AG196" s="109"/>
      <c r="AH196" s="1277" t="n">
        <v>-0.1</v>
      </c>
      <c r="AI196" s="1277" t="n">
        <v>3</v>
      </c>
      <c r="AJ196" s="1277" t="n">
        <v>0.1</v>
      </c>
      <c r="AK196" s="109"/>
      <c r="AL196" s="1277" t="n">
        <v>-0.01</v>
      </c>
      <c r="AM196" s="1277" t="n">
        <v>0.16</v>
      </c>
      <c r="AN196" s="1277" t="n">
        <v>0.01</v>
      </c>
      <c r="AO196" s="109"/>
      <c r="AP196" s="197" t="n">
        <v>63</v>
      </c>
      <c r="AQ196" s="1280" t="n">
        <v>0.35</v>
      </c>
      <c r="AR196" s="1288"/>
      <c r="AS196" s="1288"/>
      <c r="AT196" s="1288"/>
      <c r="AU196" s="1288"/>
      <c r="AV196" s="1288"/>
      <c r="AW196" s="1288"/>
      <c r="AX196" s="1288"/>
      <c r="AY196" s="1288"/>
      <c r="AZ196" s="1288"/>
      <c r="BA196" s="1288"/>
      <c r="BB196" s="1288"/>
      <c r="BC196" s="1288"/>
      <c r="BD196" s="1288"/>
      <c r="BE196" s="1288"/>
      <c r="BF196" s="1288"/>
      <c r="BG196" s="1288"/>
      <c r="BH196" s="1288"/>
      <c r="BI196" s="1288"/>
      <c r="BJ196" s="1288"/>
      <c r="BK196" s="1288"/>
      <c r="BL196" s="1288"/>
      <c r="BM196" s="1288"/>
      <c r="BN196" s="1288"/>
      <c r="BO196" s="1288"/>
      <c r="BP196" s="1288"/>
      <c r="BQ196" s="1237" t="n">
        <v>42430</v>
      </c>
      <c r="BR196" s="1238" t="n">
        <v>3.6065</v>
      </c>
      <c r="BS196" s="1238" t="n">
        <v>3.6115</v>
      </c>
      <c r="BT196" s="1238" t="n">
        <v>3.6165</v>
      </c>
      <c r="BU196" s="1239" t="n">
        <v>0.1435</v>
      </c>
      <c r="BV196" s="1239" t="n">
        <v>0.15</v>
      </c>
      <c r="BW196" s="1239" t="n">
        <v>0.1585</v>
      </c>
      <c r="BX196" s="1239" t="n">
        <v>-0.07</v>
      </c>
      <c r="BY196" s="1239"/>
      <c r="BZ196" s="1239" t="n">
        <v>0.07</v>
      </c>
      <c r="CA196" s="1243" t="n">
        <v>0</v>
      </c>
      <c r="CB196" s="1241" t="n">
        <v>0</v>
      </c>
      <c r="CC196" s="1242" t="n">
        <v>3.343</v>
      </c>
      <c r="CD196" s="1239" t="n">
        <v>0.1595</v>
      </c>
    </row>
    <row r="197" customFormat="false" ht="12.75" hidden="false" customHeight="false" outlineLevel="0" collapsed="false">
      <c r="A197" s="1237" t="n">
        <v>42552</v>
      </c>
      <c r="B197" s="1239" t="n">
        <v>0.072882885308571</v>
      </c>
      <c r="C197" s="1218"/>
      <c r="D197" s="1274" t="n">
        <v>41426</v>
      </c>
      <c r="E197" s="1275" t="n">
        <v>30.0969242451426</v>
      </c>
      <c r="F197" s="1275" t="n">
        <v>33.8469242451426</v>
      </c>
      <c r="G197" s="1275" t="n">
        <v>38.8469242451426</v>
      </c>
      <c r="H197" s="1266"/>
      <c r="I197" s="1275" t="n">
        <v>22.7</v>
      </c>
      <c r="J197" s="1275" t="n">
        <v>24.7</v>
      </c>
      <c r="K197" s="1275" t="n">
        <v>29.7</v>
      </c>
      <c r="M197" s="1276" t="n">
        <v>42309</v>
      </c>
      <c r="N197" s="1277" t="n">
        <v>24.4432929389594</v>
      </c>
      <c r="O197" s="1277" t="n">
        <v>29.4432929389594</v>
      </c>
      <c r="P197" s="1277" t="n">
        <v>34.4432929389594</v>
      </c>
      <c r="Q197" s="109"/>
      <c r="R197" s="1277" t="n">
        <v>17.0824697042195</v>
      </c>
      <c r="S197" s="1277" t="n">
        <v>22.0824697042195</v>
      </c>
      <c r="T197" s="1277" t="n">
        <v>27.0824697042195</v>
      </c>
      <c r="V197" s="1278" t="n">
        <v>0</v>
      </c>
      <c r="W197" s="1278" t="n">
        <v>0</v>
      </c>
      <c r="X197" s="1278" t="n">
        <v>0</v>
      </c>
      <c r="Y197" s="1288"/>
      <c r="Z197" s="1277" t="n">
        <v>0.0949999999999999</v>
      </c>
      <c r="AA197" s="1277" t="n">
        <v>0.105</v>
      </c>
      <c r="AB197" s="1277" t="n">
        <v>0.115</v>
      </c>
      <c r="AC197" s="109"/>
      <c r="AD197" s="1277" t="n">
        <v>0.09</v>
      </c>
      <c r="AE197" s="1277" t="n">
        <v>0.11</v>
      </c>
      <c r="AF197" s="1277" t="n">
        <v>0.13</v>
      </c>
      <c r="AG197" s="109"/>
      <c r="AH197" s="1277" t="n">
        <v>-0.1</v>
      </c>
      <c r="AI197" s="1277" t="n">
        <v>0.6</v>
      </c>
      <c r="AJ197" s="1277" t="n">
        <v>0.1</v>
      </c>
      <c r="AK197" s="109"/>
      <c r="AL197" s="1277" t="n">
        <v>-0.01</v>
      </c>
      <c r="AM197" s="1277" t="n">
        <v>0.16</v>
      </c>
      <c r="AN197" s="1277" t="n">
        <v>0.01</v>
      </c>
      <c r="AO197" s="109"/>
      <c r="AP197" s="197" t="n">
        <v>63</v>
      </c>
      <c r="AQ197" s="1280" t="n">
        <v>0.35</v>
      </c>
      <c r="AR197" s="1288"/>
      <c r="AS197" s="1288"/>
      <c r="AT197" s="1288"/>
      <c r="AU197" s="1288"/>
      <c r="AV197" s="1288"/>
      <c r="AW197" s="1288"/>
      <c r="AX197" s="1288"/>
      <c r="AY197" s="1288"/>
      <c r="AZ197" s="1288"/>
      <c r="BA197" s="1288"/>
      <c r="BB197" s="1288"/>
      <c r="BC197" s="1288"/>
      <c r="BD197" s="1288"/>
      <c r="BE197" s="1288"/>
      <c r="BF197" s="1288"/>
      <c r="BG197" s="1288"/>
      <c r="BH197" s="1288"/>
      <c r="BI197" s="1288"/>
      <c r="BJ197" s="1288"/>
      <c r="BK197" s="1288"/>
      <c r="BL197" s="1288"/>
      <c r="BM197" s="1288"/>
      <c r="BN197" s="1288"/>
      <c r="BO197" s="1288"/>
      <c r="BP197" s="1288"/>
      <c r="BQ197" s="1237" t="n">
        <v>42461</v>
      </c>
      <c r="BR197" s="1238" t="n">
        <v>3.5455</v>
      </c>
      <c r="BS197" s="1238" t="n">
        <v>3.5505</v>
      </c>
      <c r="BT197" s="1238" t="n">
        <v>3.5555</v>
      </c>
      <c r="BU197" s="1239" t="n">
        <v>0.1435</v>
      </c>
      <c r="BV197" s="1239" t="n">
        <v>0.15</v>
      </c>
      <c r="BW197" s="1239" t="n">
        <v>0.1585</v>
      </c>
      <c r="BX197" s="1239" t="n">
        <v>-0.07</v>
      </c>
      <c r="BY197" s="1239"/>
      <c r="BZ197" s="1239" t="n">
        <v>0.07</v>
      </c>
      <c r="CA197" s="1243" t="n">
        <v>0</v>
      </c>
      <c r="CB197" s="1241" t="n">
        <v>0</v>
      </c>
      <c r="CC197" s="1242" t="n">
        <v>3.346</v>
      </c>
      <c r="CD197" s="1239" t="n">
        <v>0.1595</v>
      </c>
    </row>
    <row r="198" customFormat="false" ht="12.75" hidden="false" customHeight="false" outlineLevel="0" collapsed="false">
      <c r="A198" s="1237" t="n">
        <v>42583</v>
      </c>
      <c r="B198" s="1239" t="n">
        <v>0.072883899253878</v>
      </c>
      <c r="C198" s="1218"/>
      <c r="D198" s="1274" t="n">
        <v>41456</v>
      </c>
      <c r="E198" s="1275" t="n">
        <v>56.472637473874</v>
      </c>
      <c r="F198" s="1275" t="n">
        <v>60.222637473874</v>
      </c>
      <c r="G198" s="1275" t="n">
        <v>65.222637473874</v>
      </c>
      <c r="H198" s="1266"/>
      <c r="I198" s="1275" t="n">
        <v>28.7241935483871</v>
      </c>
      <c r="J198" s="1275" t="n">
        <v>30.7241935483871</v>
      </c>
      <c r="K198" s="1275" t="n">
        <v>35.7241935483871</v>
      </c>
      <c r="M198" s="1276" t="n">
        <v>42339</v>
      </c>
      <c r="N198" s="1277" t="n">
        <v>26.4432929389594</v>
      </c>
      <c r="O198" s="1277" t="n">
        <v>31.4432929389594</v>
      </c>
      <c r="P198" s="1277" t="n">
        <v>36.4432929389594</v>
      </c>
      <c r="Q198" s="109"/>
      <c r="R198" s="1277" t="n">
        <v>18.5824697042195</v>
      </c>
      <c r="S198" s="1277" t="n">
        <v>23.5824697042195</v>
      </c>
      <c r="T198" s="1277" t="n">
        <v>28.5824697042195</v>
      </c>
      <c r="V198" s="1278" t="n">
        <v>0</v>
      </c>
      <c r="W198" s="1278" t="n">
        <v>0</v>
      </c>
      <c r="X198" s="1278" t="n">
        <v>0</v>
      </c>
      <c r="Y198" s="1288"/>
      <c r="Z198" s="1277" t="n">
        <v>0.0949999999999999</v>
      </c>
      <c r="AA198" s="1277" t="n">
        <v>0.105</v>
      </c>
      <c r="AB198" s="1277" t="n">
        <v>0.115</v>
      </c>
      <c r="AC198" s="109"/>
      <c r="AD198" s="1277" t="n">
        <v>0.09</v>
      </c>
      <c r="AE198" s="1277" t="n">
        <v>0.11</v>
      </c>
      <c r="AF198" s="1277" t="n">
        <v>0.13</v>
      </c>
      <c r="AG198" s="109"/>
      <c r="AH198" s="1277" t="n">
        <v>-0.25</v>
      </c>
      <c r="AI198" s="1277" t="n">
        <v>0.6</v>
      </c>
      <c r="AJ198" s="1277" t="n">
        <v>0.25</v>
      </c>
      <c r="AK198" s="109"/>
      <c r="AL198" s="1277" t="n">
        <v>-0.01</v>
      </c>
      <c r="AM198" s="1277" t="n">
        <v>0.16</v>
      </c>
      <c r="AN198" s="1277" t="n">
        <v>0.01</v>
      </c>
      <c r="AO198" s="109"/>
      <c r="AP198" s="197" t="n">
        <v>63</v>
      </c>
      <c r="AQ198" s="1280" t="n">
        <v>0.35</v>
      </c>
      <c r="AR198" s="1288"/>
      <c r="AS198" s="1288"/>
      <c r="AT198" s="1288"/>
      <c r="AU198" s="1288"/>
      <c r="AV198" s="1288"/>
      <c r="AW198" s="1288"/>
      <c r="AX198" s="1288"/>
      <c r="AY198" s="1288"/>
      <c r="AZ198" s="1288"/>
      <c r="BA198" s="1288"/>
      <c r="BB198" s="1288"/>
      <c r="BC198" s="1288"/>
      <c r="BD198" s="1288"/>
      <c r="BE198" s="1288"/>
      <c r="BF198" s="1288"/>
      <c r="BG198" s="1288"/>
      <c r="BH198" s="1288"/>
      <c r="BI198" s="1288"/>
      <c r="BJ198" s="1288"/>
      <c r="BK198" s="1288"/>
      <c r="BL198" s="1288"/>
      <c r="BM198" s="1288"/>
      <c r="BN198" s="1288"/>
      <c r="BO198" s="1288"/>
      <c r="BP198" s="1288"/>
      <c r="BQ198" s="1237" t="n">
        <v>42491</v>
      </c>
      <c r="BR198" s="1238" t="n">
        <v>3.5725</v>
      </c>
      <c r="BS198" s="1238" t="n">
        <v>3.5775</v>
      </c>
      <c r="BT198" s="1238" t="n">
        <v>3.5825</v>
      </c>
      <c r="BU198" s="1239" t="n">
        <v>0.1435</v>
      </c>
      <c r="BV198" s="1239" t="n">
        <v>0.15</v>
      </c>
      <c r="BW198" s="1239" t="n">
        <v>0.1585</v>
      </c>
      <c r="BX198" s="1239" t="n">
        <v>-0.07</v>
      </c>
      <c r="BY198" s="1239"/>
      <c r="BZ198" s="1239" t="n">
        <v>0.07</v>
      </c>
      <c r="CA198" s="1243" t="n">
        <v>0</v>
      </c>
      <c r="CB198" s="1241" t="n">
        <v>0</v>
      </c>
      <c r="CC198" s="1242" t="n">
        <v>3.379</v>
      </c>
      <c r="CD198" s="1239" t="n">
        <v>0.1595</v>
      </c>
    </row>
    <row r="199" customFormat="false" ht="12.75" hidden="false" customHeight="false" outlineLevel="0" collapsed="false">
      <c r="A199" s="1237" t="n">
        <v>42614</v>
      </c>
      <c r="B199" s="1239" t="n">
        <v>0.072884913199185</v>
      </c>
      <c r="C199" s="1218"/>
      <c r="D199" s="1274" t="n">
        <v>41487</v>
      </c>
      <c r="E199" s="1275" t="n">
        <v>77.097637473874</v>
      </c>
      <c r="F199" s="1275" t="n">
        <v>80.847637473874</v>
      </c>
      <c r="G199" s="1275" t="n">
        <v>85.847637473874</v>
      </c>
      <c r="H199" s="1266"/>
      <c r="I199" s="1275" t="n">
        <v>26.7241935483871</v>
      </c>
      <c r="J199" s="1275" t="n">
        <v>28.7241935483871</v>
      </c>
      <c r="K199" s="1275" t="n">
        <v>33.7241935483871</v>
      </c>
      <c r="M199" s="1276" t="n">
        <v>42370</v>
      </c>
      <c r="N199" s="1277" t="n">
        <v>25.1835412161434</v>
      </c>
      <c r="O199" s="1277" t="n">
        <v>30.1835412161434</v>
      </c>
      <c r="P199" s="1277" t="n">
        <v>35.1835412161434</v>
      </c>
      <c r="Q199" s="109"/>
      <c r="R199" s="1277" t="n">
        <v>17.6376559121076</v>
      </c>
      <c r="S199" s="1277" t="n">
        <v>22.6376559121076</v>
      </c>
      <c r="T199" s="1277" t="n">
        <v>27.6376559121076</v>
      </c>
      <c r="V199" s="1278" t="n">
        <v>0</v>
      </c>
      <c r="W199" s="1278" t="n">
        <v>0</v>
      </c>
      <c r="X199" s="1278" t="n">
        <v>0</v>
      </c>
      <c r="Y199" s="1288"/>
      <c r="Z199" s="1277" t="n">
        <v>0.09</v>
      </c>
      <c r="AA199" s="1277" t="n">
        <v>0.1</v>
      </c>
      <c r="AB199" s="1277" t="n">
        <v>0.11</v>
      </c>
      <c r="AC199" s="109"/>
      <c r="AD199" s="1277" t="n">
        <v>0.09</v>
      </c>
      <c r="AE199" s="1277" t="n">
        <v>0.11</v>
      </c>
      <c r="AF199" s="1277" t="n">
        <v>0.13</v>
      </c>
      <c r="AG199" s="109"/>
      <c r="AH199" s="1277" t="n">
        <v>-0.25</v>
      </c>
      <c r="AI199" s="1277" t="n">
        <v>0.6</v>
      </c>
      <c r="AJ199" s="1277" t="n">
        <v>0.25</v>
      </c>
      <c r="AK199" s="109"/>
      <c r="AL199" s="1277" t="n">
        <v>-0.01</v>
      </c>
      <c r="AM199" s="1277" t="n">
        <v>0.16</v>
      </c>
      <c r="AN199" s="1277" t="n">
        <v>0.01</v>
      </c>
      <c r="AO199" s="109"/>
      <c r="AP199" s="197" t="n">
        <v>64</v>
      </c>
      <c r="AQ199" s="1280" t="n">
        <v>0.35</v>
      </c>
      <c r="AR199" s="1288"/>
      <c r="AS199" s="1288"/>
      <c r="AT199" s="1288"/>
      <c r="AU199" s="1288"/>
      <c r="AV199" s="1288"/>
      <c r="AW199" s="1288"/>
      <c r="AX199" s="1288"/>
      <c r="AY199" s="1288"/>
      <c r="AZ199" s="1288"/>
      <c r="BA199" s="1288"/>
      <c r="BB199" s="1288"/>
      <c r="BC199" s="1288"/>
      <c r="BD199" s="1288"/>
      <c r="BE199" s="1288"/>
      <c r="BF199" s="1288"/>
      <c r="BG199" s="1288"/>
      <c r="BH199" s="1288"/>
      <c r="BI199" s="1288"/>
      <c r="BJ199" s="1288"/>
      <c r="BK199" s="1288"/>
      <c r="BL199" s="1288"/>
      <c r="BM199" s="1288"/>
      <c r="BN199" s="1288"/>
      <c r="BO199" s="1288"/>
      <c r="BP199" s="1288"/>
      <c r="BQ199" s="1237" t="n">
        <v>42522</v>
      </c>
      <c r="BR199" s="1238" t="n">
        <v>3.5925</v>
      </c>
      <c r="BS199" s="1238" t="n">
        <v>3.5975</v>
      </c>
      <c r="BT199" s="1238" t="n">
        <v>3.6025</v>
      </c>
      <c r="BU199" s="1239" t="n">
        <v>0.1435</v>
      </c>
      <c r="BV199" s="1239" t="n">
        <v>0.15</v>
      </c>
      <c r="BW199" s="1239" t="n">
        <v>0.1585</v>
      </c>
      <c r="BX199" s="1239" t="n">
        <v>-0.07</v>
      </c>
      <c r="BY199" s="1239"/>
      <c r="BZ199" s="1239" t="n">
        <v>0.07</v>
      </c>
      <c r="CA199" s="1243" t="n">
        <v>0</v>
      </c>
      <c r="CB199" s="1241" t="n">
        <v>0</v>
      </c>
      <c r="CC199" s="1242" t="n">
        <v>3.52</v>
      </c>
      <c r="CD199" s="1239" t="n">
        <v>0.1595</v>
      </c>
    </row>
    <row r="200" customFormat="false" ht="12.75" hidden="false" customHeight="false" outlineLevel="0" collapsed="false">
      <c r="A200" s="1237" t="n">
        <v>42644</v>
      </c>
      <c r="B200" s="1239" t="n">
        <v>0.072885894436579</v>
      </c>
      <c r="C200" s="1218"/>
      <c r="D200" s="1274" t="n">
        <v>41518</v>
      </c>
      <c r="E200" s="1275" t="n">
        <v>61.097637473874</v>
      </c>
      <c r="F200" s="1275" t="n">
        <v>64.847637473874</v>
      </c>
      <c r="G200" s="1275" t="n">
        <v>69.847637473874</v>
      </c>
      <c r="H200" s="1266"/>
      <c r="I200" s="1275" t="n">
        <v>27.1375</v>
      </c>
      <c r="J200" s="1275" t="n">
        <v>29.1375</v>
      </c>
      <c r="K200" s="1275" t="n">
        <v>34.1375</v>
      </c>
      <c r="M200" s="1276" t="n">
        <v>42401</v>
      </c>
      <c r="N200" s="1277" t="n">
        <v>24.6835412161434</v>
      </c>
      <c r="O200" s="1277" t="n">
        <v>29.6835412161434</v>
      </c>
      <c r="P200" s="1277" t="n">
        <v>34.6835412161434</v>
      </c>
      <c r="Q200" s="109"/>
      <c r="R200" s="1277" t="n">
        <v>17.2626559121076</v>
      </c>
      <c r="S200" s="1277" t="n">
        <v>22.2626559121076</v>
      </c>
      <c r="T200" s="1277" t="n">
        <v>27.2626559121076</v>
      </c>
      <c r="V200" s="1278" t="n">
        <v>0</v>
      </c>
      <c r="W200" s="1278" t="n">
        <v>0</v>
      </c>
      <c r="X200" s="1278" t="n">
        <v>0</v>
      </c>
      <c r="Y200" s="1288"/>
      <c r="Z200" s="1277" t="n">
        <v>0.09</v>
      </c>
      <c r="AA200" s="1277" t="n">
        <v>0.1</v>
      </c>
      <c r="AB200" s="1277" t="n">
        <v>0.11</v>
      </c>
      <c r="AC200" s="109"/>
      <c r="AD200" s="1277" t="n">
        <v>0.09</v>
      </c>
      <c r="AE200" s="1277" t="n">
        <v>0.11</v>
      </c>
      <c r="AF200" s="1277" t="n">
        <v>0.13</v>
      </c>
      <c r="AG200" s="109"/>
      <c r="AH200" s="1277" t="n">
        <v>-0.25</v>
      </c>
      <c r="AI200" s="1277" t="n">
        <v>0.65</v>
      </c>
      <c r="AJ200" s="1277" t="n">
        <v>0.25</v>
      </c>
      <c r="AK200" s="109"/>
      <c r="AL200" s="1277" t="n">
        <v>-0.01</v>
      </c>
      <c r="AM200" s="1277" t="n">
        <v>0.16</v>
      </c>
      <c r="AN200" s="1277" t="n">
        <v>0.01</v>
      </c>
      <c r="AO200" s="109"/>
      <c r="AP200" s="197" t="n">
        <v>64</v>
      </c>
      <c r="AQ200" s="1280" t="n">
        <v>0.35</v>
      </c>
      <c r="AR200" s="1288"/>
      <c r="AS200" s="1288"/>
      <c r="AT200" s="1288"/>
      <c r="AU200" s="1288"/>
      <c r="AV200" s="1288"/>
      <c r="AW200" s="1288"/>
      <c r="AX200" s="1288"/>
      <c r="AY200" s="1288"/>
      <c r="AZ200" s="1288"/>
      <c r="BA200" s="1288"/>
      <c r="BB200" s="1288"/>
      <c r="BC200" s="1288"/>
      <c r="BD200" s="1288"/>
      <c r="BE200" s="1288"/>
      <c r="BF200" s="1288"/>
      <c r="BG200" s="1288"/>
      <c r="BH200" s="1288"/>
      <c r="BI200" s="1288"/>
      <c r="BJ200" s="1288"/>
      <c r="BK200" s="1288"/>
      <c r="BL200" s="1288"/>
      <c r="BM200" s="1288"/>
      <c r="BN200" s="1288"/>
      <c r="BO200" s="1288"/>
      <c r="BP200" s="1288"/>
      <c r="BQ200" s="1237" t="n">
        <v>42552</v>
      </c>
      <c r="BR200" s="1238" t="n">
        <v>3.6005</v>
      </c>
      <c r="BS200" s="1238" t="n">
        <v>3.6055</v>
      </c>
      <c r="BT200" s="1238" t="n">
        <v>3.6105</v>
      </c>
      <c r="BU200" s="1239" t="n">
        <v>0.1435</v>
      </c>
      <c r="BV200" s="1239" t="n">
        <v>0.15</v>
      </c>
      <c r="BW200" s="1239" t="n">
        <v>0.1585</v>
      </c>
      <c r="BX200" s="1239" t="n">
        <v>-0.07</v>
      </c>
      <c r="BY200" s="1239"/>
      <c r="BZ200" s="1239" t="n">
        <v>0.07</v>
      </c>
      <c r="CA200" s="1243" t="n">
        <v>0</v>
      </c>
      <c r="CB200" s="1241" t="n">
        <v>0</v>
      </c>
      <c r="CC200" s="1242" t="n">
        <v>3.665</v>
      </c>
      <c r="CD200" s="1239" t="n">
        <v>0.1595</v>
      </c>
    </row>
    <row r="201" customFormat="false" ht="12.75" hidden="false" customHeight="false" outlineLevel="0" collapsed="false">
      <c r="A201" s="1237" t="n">
        <v>42675</v>
      </c>
      <c r="B201" s="1239" t="n">
        <v>0.072886908381887</v>
      </c>
      <c r="C201" s="1218"/>
      <c r="D201" s="1274" t="n">
        <v>41548</v>
      </c>
      <c r="E201" s="1275" t="n">
        <v>33.2903849877892</v>
      </c>
      <c r="F201" s="1275" t="n">
        <v>37.0403849877892</v>
      </c>
      <c r="G201" s="1275" t="n">
        <v>42.0403849877892</v>
      </c>
      <c r="H201" s="1266"/>
      <c r="I201" s="1275" t="n">
        <v>26.6516129032258</v>
      </c>
      <c r="J201" s="1275" t="n">
        <v>28.6516129032258</v>
      </c>
      <c r="K201" s="1275" t="n">
        <v>33.6516129032258</v>
      </c>
      <c r="M201" s="1276" t="n">
        <v>42430</v>
      </c>
      <c r="N201" s="1277" t="n">
        <v>23.9335412161434</v>
      </c>
      <c r="O201" s="1277" t="n">
        <v>28.9335412161434</v>
      </c>
      <c r="P201" s="1277" t="n">
        <v>33.9335412161434</v>
      </c>
      <c r="Q201" s="109"/>
      <c r="R201" s="1277" t="n">
        <v>16.7001559121076</v>
      </c>
      <c r="S201" s="1277" t="n">
        <v>21.7001559121076</v>
      </c>
      <c r="T201" s="1277" t="n">
        <v>26.7001559121076</v>
      </c>
      <c r="V201" s="1278" t="n">
        <v>0</v>
      </c>
      <c r="W201" s="1278" t="n">
        <v>0</v>
      </c>
      <c r="X201" s="1278" t="n">
        <v>0</v>
      </c>
      <c r="Y201" s="1288"/>
      <c r="Z201" s="1277" t="n">
        <v>0.09</v>
      </c>
      <c r="AA201" s="1277" t="n">
        <v>0.1</v>
      </c>
      <c r="AB201" s="1277" t="n">
        <v>0.11</v>
      </c>
      <c r="AC201" s="109"/>
      <c r="AD201" s="1277" t="n">
        <v>0.09</v>
      </c>
      <c r="AE201" s="1277" t="n">
        <v>0.11</v>
      </c>
      <c r="AF201" s="1277" t="n">
        <v>0.13</v>
      </c>
      <c r="AG201" s="109"/>
      <c r="AH201" s="1277" t="n">
        <v>-0.1</v>
      </c>
      <c r="AI201" s="1277" t="n">
        <v>0.65</v>
      </c>
      <c r="AJ201" s="1277" t="n">
        <v>0.1</v>
      </c>
      <c r="AK201" s="109"/>
      <c r="AL201" s="1277" t="n">
        <v>-0.01</v>
      </c>
      <c r="AM201" s="1277" t="n">
        <v>0.16</v>
      </c>
      <c r="AN201" s="1277" t="n">
        <v>0.01</v>
      </c>
      <c r="AO201" s="109"/>
      <c r="AP201" s="197" t="n">
        <v>64</v>
      </c>
      <c r="AQ201" s="1280" t="n">
        <v>0.35</v>
      </c>
      <c r="AR201" s="1288"/>
      <c r="AS201" s="1288"/>
      <c r="AT201" s="1288"/>
      <c r="AU201" s="1288"/>
      <c r="AV201" s="1288"/>
      <c r="AW201" s="1288"/>
      <c r="AX201" s="1288"/>
      <c r="AY201" s="1288"/>
      <c r="AZ201" s="1288"/>
      <c r="BA201" s="1288"/>
      <c r="BB201" s="1288"/>
      <c r="BC201" s="1288"/>
      <c r="BD201" s="1288"/>
      <c r="BE201" s="1288"/>
      <c r="BF201" s="1288"/>
      <c r="BG201" s="1288"/>
      <c r="BH201" s="1288"/>
      <c r="BI201" s="1288"/>
      <c r="BJ201" s="1288"/>
      <c r="BK201" s="1288"/>
      <c r="BL201" s="1288"/>
      <c r="BM201" s="1288"/>
      <c r="BN201" s="1288"/>
      <c r="BO201" s="1288"/>
      <c r="BP201" s="1288"/>
      <c r="BQ201" s="1237" t="n">
        <v>42583</v>
      </c>
      <c r="BR201" s="1238" t="n">
        <v>3.6095</v>
      </c>
      <c r="BS201" s="1238" t="n">
        <v>3.6145</v>
      </c>
      <c r="BT201" s="1238" t="n">
        <v>3.6195</v>
      </c>
      <c r="BU201" s="1239" t="n">
        <v>0.1435</v>
      </c>
      <c r="BV201" s="1239" t="n">
        <v>0.15</v>
      </c>
      <c r="BW201" s="1239" t="n">
        <v>0.1585</v>
      </c>
      <c r="BX201" s="1239" t="n">
        <v>-0.07</v>
      </c>
      <c r="BY201" s="1239"/>
      <c r="BZ201" s="1239" t="n">
        <v>0.07</v>
      </c>
      <c r="CA201" s="1243" t="n">
        <v>0</v>
      </c>
      <c r="CB201" s="1241" t="n">
        <v>0</v>
      </c>
      <c r="CC201" s="1242" t="n">
        <v>3.789</v>
      </c>
      <c r="CD201" s="1239" t="n">
        <v>0.1585</v>
      </c>
    </row>
    <row r="202" customFormat="false" ht="12.75" hidden="false" customHeight="false" outlineLevel="0" collapsed="false">
      <c r="A202" s="1237" t="n">
        <v>42705</v>
      </c>
      <c r="B202" s="1239" t="n">
        <v>0.072887889619282</v>
      </c>
      <c r="C202" s="1218"/>
      <c r="D202" s="1274" t="n">
        <v>41579</v>
      </c>
      <c r="E202" s="1275" t="n">
        <v>25.5403849877892</v>
      </c>
      <c r="F202" s="1275" t="n">
        <v>29.2903849877892</v>
      </c>
      <c r="G202" s="1275" t="n">
        <v>34.2903849877892</v>
      </c>
      <c r="H202" s="1266"/>
      <c r="I202" s="1275" t="n">
        <v>27.9916666666667</v>
      </c>
      <c r="J202" s="1275" t="n">
        <v>29.9916666666667</v>
      </c>
      <c r="K202" s="1275" t="n">
        <v>34.9916666666667</v>
      </c>
      <c r="M202" s="1276" t="n">
        <v>42461</v>
      </c>
      <c r="N202" s="1277" t="n">
        <v>23.8295601511877</v>
      </c>
      <c r="O202" s="1277" t="n">
        <v>28.8295601511877</v>
      </c>
      <c r="P202" s="1277" t="n">
        <v>33.8295601511878</v>
      </c>
      <c r="Q202" s="109"/>
      <c r="R202" s="1277" t="n">
        <v>16.6221701133908</v>
      </c>
      <c r="S202" s="1277" t="n">
        <v>21.6221701133908</v>
      </c>
      <c r="T202" s="1277" t="n">
        <v>26.6221701133908</v>
      </c>
      <c r="V202" s="1278" t="n">
        <v>0</v>
      </c>
      <c r="W202" s="1278" t="n">
        <v>0</v>
      </c>
      <c r="X202" s="1278" t="n">
        <v>0</v>
      </c>
      <c r="Y202" s="1288"/>
      <c r="Z202" s="1277" t="n">
        <v>0.09</v>
      </c>
      <c r="AA202" s="1277" t="n">
        <v>0.1</v>
      </c>
      <c r="AB202" s="1277" t="n">
        <v>0.11</v>
      </c>
      <c r="AC202" s="109"/>
      <c r="AD202" s="1277" t="n">
        <v>0.09</v>
      </c>
      <c r="AE202" s="1277" t="n">
        <v>0.11</v>
      </c>
      <c r="AF202" s="1277" t="n">
        <v>0.13</v>
      </c>
      <c r="AG202" s="109"/>
      <c r="AH202" s="1277" t="n">
        <v>-0.1</v>
      </c>
      <c r="AI202" s="1277" t="n">
        <v>0.65</v>
      </c>
      <c r="AJ202" s="1277" t="n">
        <v>0.1</v>
      </c>
      <c r="AK202" s="109"/>
      <c r="AL202" s="1277" t="n">
        <v>-0.01</v>
      </c>
      <c r="AM202" s="1277" t="n">
        <v>0.16</v>
      </c>
      <c r="AN202" s="1277" t="n">
        <v>0.01</v>
      </c>
      <c r="AO202" s="109"/>
      <c r="AP202" s="197" t="n">
        <v>65</v>
      </c>
      <c r="AQ202" s="1280" t="n">
        <v>0.35</v>
      </c>
      <c r="AR202" s="1288"/>
      <c r="AS202" s="1288"/>
      <c r="AT202" s="1288"/>
      <c r="AU202" s="1288"/>
      <c r="AV202" s="1288"/>
      <c r="AW202" s="1288"/>
      <c r="AX202" s="1288"/>
      <c r="AY202" s="1288"/>
      <c r="AZ202" s="1288"/>
      <c r="BA202" s="1288"/>
      <c r="BB202" s="1288"/>
      <c r="BC202" s="1288"/>
      <c r="BD202" s="1288"/>
      <c r="BE202" s="1288"/>
      <c r="BF202" s="1288"/>
      <c r="BG202" s="1288"/>
      <c r="BH202" s="1288"/>
      <c r="BI202" s="1288"/>
      <c r="BJ202" s="1288"/>
      <c r="BK202" s="1288"/>
      <c r="BL202" s="1288"/>
      <c r="BM202" s="1288"/>
      <c r="BN202" s="1288"/>
      <c r="BO202" s="1288"/>
      <c r="BP202" s="1288"/>
      <c r="BQ202" s="1237" t="n">
        <v>42614</v>
      </c>
      <c r="BR202" s="1238" t="n">
        <v>3.6035</v>
      </c>
      <c r="BS202" s="1238" t="n">
        <v>3.6085</v>
      </c>
      <c r="BT202" s="1238" t="n">
        <v>3.6135</v>
      </c>
      <c r="BU202" s="1239" t="n">
        <v>0.1435</v>
      </c>
      <c r="BV202" s="1239" t="n">
        <v>0.15</v>
      </c>
      <c r="BW202" s="1239" t="n">
        <v>0.1585</v>
      </c>
      <c r="BX202" s="1239" t="n">
        <v>-0.07</v>
      </c>
      <c r="BY202" s="1239"/>
      <c r="BZ202" s="1239" t="n">
        <v>0.07</v>
      </c>
      <c r="CA202" s="1243" t="n">
        <v>0</v>
      </c>
      <c r="CB202" s="1241" t="n">
        <v>0</v>
      </c>
      <c r="CC202" s="1242" t="n">
        <v>3.664</v>
      </c>
      <c r="CD202" s="1239" t="n">
        <v>0.1585</v>
      </c>
    </row>
    <row r="203" customFormat="false" ht="12.75" hidden="false" customHeight="false" outlineLevel="0" collapsed="false">
      <c r="A203" s="1237" t="n">
        <v>42736</v>
      </c>
      <c r="B203" s="1239" t="n">
        <v>0.07288890356459</v>
      </c>
      <c r="C203" s="1218"/>
      <c r="D203" s="1274" t="n">
        <v>41609</v>
      </c>
      <c r="E203" s="1275" t="n">
        <v>27.5403849877892</v>
      </c>
      <c r="F203" s="1275" t="n">
        <v>31.2903849877892</v>
      </c>
      <c r="G203" s="1275" t="n">
        <v>36.2903849877892</v>
      </c>
      <c r="H203" s="1266"/>
      <c r="I203" s="1275" t="n">
        <v>27.2967741935484</v>
      </c>
      <c r="J203" s="1275" t="n">
        <v>29.2967741935484</v>
      </c>
      <c r="K203" s="1275" t="n">
        <v>34.2967741935484</v>
      </c>
      <c r="M203" s="1276" t="n">
        <v>42491</v>
      </c>
      <c r="N203" s="1277" t="n">
        <v>23.8295601511877</v>
      </c>
      <c r="O203" s="1277" t="n">
        <v>28.8295601511877</v>
      </c>
      <c r="P203" s="1277" t="n">
        <v>33.8295601511878</v>
      </c>
      <c r="Q203" s="109"/>
      <c r="R203" s="1277" t="n">
        <v>16.6221701133908</v>
      </c>
      <c r="S203" s="1277" t="n">
        <v>21.6221701133908</v>
      </c>
      <c r="T203" s="1277" t="n">
        <v>26.6221701133908</v>
      </c>
      <c r="V203" s="1278" t="n">
        <v>0</v>
      </c>
      <c r="W203" s="1278" t="n">
        <v>0</v>
      </c>
      <c r="X203" s="1278" t="n">
        <v>0</v>
      </c>
      <c r="Y203" s="1288"/>
      <c r="Z203" s="1277" t="n">
        <v>0.09</v>
      </c>
      <c r="AA203" s="1277" t="n">
        <v>0.1</v>
      </c>
      <c r="AB203" s="1277" t="n">
        <v>0.11</v>
      </c>
      <c r="AC203" s="109"/>
      <c r="AD203" s="1277" t="n">
        <v>0.09</v>
      </c>
      <c r="AE203" s="1277" t="n">
        <v>0.11</v>
      </c>
      <c r="AF203" s="1277" t="n">
        <v>0.13</v>
      </c>
      <c r="AG203" s="109"/>
      <c r="AH203" s="1277" t="n">
        <v>-0.1</v>
      </c>
      <c r="AI203" s="1277" t="n">
        <v>0.65</v>
      </c>
      <c r="AJ203" s="1277" t="n">
        <v>0.1</v>
      </c>
      <c r="AK203" s="109"/>
      <c r="AL203" s="1277" t="n">
        <v>-0.01</v>
      </c>
      <c r="AM203" s="1277" t="n">
        <v>0.16</v>
      </c>
      <c r="AN203" s="1277" t="n">
        <v>0.01</v>
      </c>
      <c r="AO203" s="109"/>
      <c r="AP203" s="197" t="n">
        <v>65</v>
      </c>
      <c r="AQ203" s="1280" t="n">
        <v>0.35</v>
      </c>
      <c r="AR203" s="1288"/>
      <c r="AS203" s="1288"/>
      <c r="AT203" s="1288"/>
      <c r="AU203" s="1288"/>
      <c r="AV203" s="1288"/>
      <c r="AW203" s="1288"/>
      <c r="AX203" s="1288"/>
      <c r="AY203" s="1288"/>
      <c r="AZ203" s="1288"/>
      <c r="BA203" s="1288"/>
      <c r="BB203" s="1288"/>
      <c r="BC203" s="1288"/>
      <c r="BD203" s="1288"/>
      <c r="BE203" s="1288"/>
      <c r="BF203" s="1288"/>
      <c r="BG203" s="1288"/>
      <c r="BH203" s="1288"/>
      <c r="BI203" s="1288"/>
      <c r="BJ203" s="1288"/>
      <c r="BK203" s="1288"/>
      <c r="BL203" s="1288"/>
      <c r="BM203" s="1288"/>
      <c r="BN203" s="1288"/>
      <c r="BO203" s="1288"/>
      <c r="BP203" s="1288"/>
      <c r="BQ203" s="1237" t="n">
        <v>42644</v>
      </c>
      <c r="BR203" s="1238" t="n">
        <v>3.6175</v>
      </c>
      <c r="BS203" s="1238" t="n">
        <v>3.6225</v>
      </c>
      <c r="BT203" s="1238" t="n">
        <v>3.6275</v>
      </c>
      <c r="BU203" s="1239" t="n">
        <v>0.1435</v>
      </c>
      <c r="BV203" s="1239" t="n">
        <v>0.15</v>
      </c>
      <c r="BW203" s="1239" t="n">
        <v>0.1585</v>
      </c>
      <c r="BX203" s="1239" t="n">
        <v>-0.07</v>
      </c>
      <c r="BY203" s="1239"/>
      <c r="BZ203" s="1239" t="n">
        <v>0.07</v>
      </c>
      <c r="CA203" s="1243" t="n">
        <v>0</v>
      </c>
      <c r="CB203" s="1241" t="n">
        <v>0</v>
      </c>
      <c r="CC203" s="1242" t="n">
        <v>3.557</v>
      </c>
      <c r="CD203" s="1239" t="n">
        <v>0.1585</v>
      </c>
    </row>
    <row r="204" customFormat="false" ht="12.75" hidden="false" customHeight="false" outlineLevel="0" collapsed="false">
      <c r="A204" s="1237" t="n">
        <v>42767</v>
      </c>
      <c r="B204" s="1239" t="n">
        <v>0.072889917509899</v>
      </c>
      <c r="C204" s="1218"/>
      <c r="D204" s="1274" t="n">
        <v>41640</v>
      </c>
      <c r="E204" s="1275" t="n">
        <v>26.2896966628909</v>
      </c>
      <c r="F204" s="1275" t="n">
        <v>30.0396966628909</v>
      </c>
      <c r="G204" s="1275" t="n">
        <v>35.0396966628909</v>
      </c>
      <c r="H204" s="1266"/>
      <c r="I204" s="1275" t="n">
        <v>24.8381191510522</v>
      </c>
      <c r="J204" s="1275" t="n">
        <v>26.8381191510522</v>
      </c>
      <c r="K204" s="1275" t="n">
        <v>31.8381191510522</v>
      </c>
      <c r="M204" s="1276" t="n">
        <v>42522</v>
      </c>
      <c r="N204" s="1277" t="n">
        <v>29.0795601511878</v>
      </c>
      <c r="O204" s="1277" t="n">
        <v>34.0795601511878</v>
      </c>
      <c r="P204" s="1277" t="n">
        <v>39.0795601511878</v>
      </c>
      <c r="Q204" s="109"/>
      <c r="R204" s="1277" t="n">
        <v>20.5596701133908</v>
      </c>
      <c r="S204" s="1277" t="n">
        <v>25.5596701133908</v>
      </c>
      <c r="T204" s="1277" t="n">
        <v>30.5596701133908</v>
      </c>
      <c r="V204" s="1278" t="n">
        <v>0</v>
      </c>
      <c r="W204" s="1278" t="n">
        <v>0</v>
      </c>
      <c r="X204" s="1278" t="n">
        <v>0</v>
      </c>
      <c r="Y204" s="1288"/>
      <c r="Z204" s="1277" t="n">
        <v>0.09</v>
      </c>
      <c r="AA204" s="1277" t="n">
        <v>0.1</v>
      </c>
      <c r="AB204" s="1277" t="n">
        <v>0.11</v>
      </c>
      <c r="AC204" s="109"/>
      <c r="AD204" s="1277" t="n">
        <v>0.09</v>
      </c>
      <c r="AE204" s="1277" t="n">
        <v>0.11</v>
      </c>
      <c r="AF204" s="1277" t="n">
        <v>0.13</v>
      </c>
      <c r="AG204" s="109"/>
      <c r="AH204" s="1277" t="n">
        <v>-0.35</v>
      </c>
      <c r="AI204" s="1277" t="n">
        <v>0.65</v>
      </c>
      <c r="AJ204" s="1277" t="n">
        <v>0.2</v>
      </c>
      <c r="AK204" s="109"/>
      <c r="AL204" s="1277" t="n">
        <v>-0.01</v>
      </c>
      <c r="AM204" s="1277" t="n">
        <v>0.16</v>
      </c>
      <c r="AN204" s="1277" t="n">
        <v>0.01</v>
      </c>
      <c r="AO204" s="109"/>
      <c r="AP204" s="197" t="n">
        <v>65</v>
      </c>
      <c r="AQ204" s="1280" t="n">
        <v>0.35</v>
      </c>
      <c r="AR204" s="1288"/>
      <c r="AS204" s="1288"/>
      <c r="AT204" s="1288"/>
      <c r="AU204" s="1288"/>
      <c r="AV204" s="1288"/>
      <c r="AW204" s="1288"/>
      <c r="AX204" s="1288"/>
      <c r="AY204" s="1288"/>
      <c r="AZ204" s="1288"/>
      <c r="BA204" s="1288"/>
      <c r="BB204" s="1288"/>
      <c r="BC204" s="1288"/>
      <c r="BD204" s="1288"/>
      <c r="BE204" s="1288"/>
      <c r="BF204" s="1288"/>
      <c r="BG204" s="1288"/>
      <c r="BH204" s="1288"/>
      <c r="BI204" s="1288"/>
      <c r="BJ204" s="1288"/>
      <c r="BK204" s="1288"/>
      <c r="BL204" s="1288"/>
      <c r="BM204" s="1288"/>
      <c r="BN204" s="1288"/>
      <c r="BO204" s="1288"/>
      <c r="BP204" s="1288"/>
      <c r="BQ204" s="1237" t="n">
        <v>42675</v>
      </c>
      <c r="BR204" s="1238" t="n">
        <v>3.6855</v>
      </c>
      <c r="BS204" s="1238" t="n">
        <v>3.6905</v>
      </c>
      <c r="BT204" s="1238" t="n">
        <v>3.6955</v>
      </c>
      <c r="BU204" s="1239" t="n">
        <v>0.1435</v>
      </c>
      <c r="BV204" s="1239" t="n">
        <v>0.15</v>
      </c>
      <c r="BW204" s="1239" t="n">
        <v>0.1585</v>
      </c>
      <c r="BX204" s="1239" t="n">
        <v>-0.07</v>
      </c>
      <c r="BY204" s="1239"/>
      <c r="BZ204" s="1239" t="n">
        <v>0.07</v>
      </c>
      <c r="CA204" s="1243" t="n">
        <v>0</v>
      </c>
      <c r="CB204" s="1241" t="n">
        <v>0</v>
      </c>
      <c r="CC204" s="1242" t="n">
        <v>3.454</v>
      </c>
      <c r="CD204" s="1239" t="n">
        <v>0.1585</v>
      </c>
    </row>
    <row r="205" customFormat="false" ht="12.75" hidden="false" customHeight="false" outlineLevel="0" collapsed="false">
      <c r="A205" s="1237" t="n">
        <v>42795</v>
      </c>
      <c r="B205" s="1239" t="n">
        <v>0.072890833331468</v>
      </c>
      <c r="C205" s="1218"/>
      <c r="D205" s="1274" t="n">
        <v>41671</v>
      </c>
      <c r="E205" s="1275" t="n">
        <v>25.7896966628909</v>
      </c>
      <c r="F205" s="1275" t="n">
        <v>29.5396966628909</v>
      </c>
      <c r="G205" s="1275" t="n">
        <v>34.5396966628909</v>
      </c>
      <c r="H205" s="1266"/>
      <c r="I205" s="1275" t="n">
        <v>25.8071428571429</v>
      </c>
      <c r="J205" s="1275" t="n">
        <v>27.8071428571429</v>
      </c>
      <c r="K205" s="1275" t="n">
        <v>32.8071428571429</v>
      </c>
      <c r="M205" s="1276" t="n">
        <v>42552</v>
      </c>
      <c r="N205" s="1277" t="n">
        <v>55.7467242517059</v>
      </c>
      <c r="O205" s="1277" t="n">
        <v>60.7467242517059</v>
      </c>
      <c r="P205" s="1277" t="n">
        <v>65.7467242517059</v>
      </c>
      <c r="Q205" s="109"/>
      <c r="R205" s="1277" t="n">
        <v>40.5600431887794</v>
      </c>
      <c r="S205" s="1277" t="n">
        <v>45.5600431887794</v>
      </c>
      <c r="T205" s="1277" t="n">
        <v>50.5600431887794</v>
      </c>
      <c r="V205" s="1278" t="n">
        <v>0</v>
      </c>
      <c r="W205" s="1278" t="n">
        <v>0</v>
      </c>
      <c r="X205" s="1278" t="n">
        <v>0</v>
      </c>
      <c r="Y205" s="1288"/>
      <c r="Z205" s="1277" t="n">
        <v>0.09</v>
      </c>
      <c r="AA205" s="1277" t="n">
        <v>0.1</v>
      </c>
      <c r="AB205" s="1277" t="n">
        <v>0.11</v>
      </c>
      <c r="AC205" s="109"/>
      <c r="AD205" s="1277" t="n">
        <v>0.09</v>
      </c>
      <c r="AE205" s="1277" t="n">
        <v>0.11</v>
      </c>
      <c r="AF205" s="1277" t="n">
        <v>0.13</v>
      </c>
      <c r="AG205" s="109"/>
      <c r="AH205" s="1277" t="n">
        <v>-0.35</v>
      </c>
      <c r="AI205" s="1277" t="n">
        <v>0.65</v>
      </c>
      <c r="AJ205" s="1277" t="n">
        <v>0.35</v>
      </c>
      <c r="AK205" s="109"/>
      <c r="AL205" s="1277" t="n">
        <v>-0.01</v>
      </c>
      <c r="AM205" s="1277" t="n">
        <v>0.16</v>
      </c>
      <c r="AN205" s="1277" t="n">
        <v>0.01</v>
      </c>
      <c r="AO205" s="109"/>
      <c r="AP205" s="197" t="n">
        <v>66</v>
      </c>
      <c r="AQ205" s="1280" t="n">
        <v>0.35</v>
      </c>
      <c r="AR205" s="1288"/>
      <c r="AS205" s="1288"/>
      <c r="AT205" s="1288"/>
      <c r="AU205" s="1288"/>
      <c r="AV205" s="1288"/>
      <c r="AW205" s="1288"/>
      <c r="AX205" s="1288"/>
      <c r="AY205" s="1288"/>
      <c r="AZ205" s="1288"/>
      <c r="BA205" s="1288"/>
      <c r="BB205" s="1288"/>
      <c r="BC205" s="1288"/>
      <c r="BD205" s="1288"/>
      <c r="BE205" s="1288"/>
      <c r="BF205" s="1288"/>
      <c r="BG205" s="1288"/>
      <c r="BH205" s="1288"/>
      <c r="BI205" s="1288"/>
      <c r="BJ205" s="1288"/>
      <c r="BK205" s="1288"/>
      <c r="BL205" s="1288"/>
      <c r="BM205" s="1288"/>
      <c r="BN205" s="1288"/>
      <c r="BO205" s="1288"/>
      <c r="BP205" s="1288"/>
      <c r="BQ205" s="1237" t="n">
        <v>42705</v>
      </c>
      <c r="BR205" s="1238" t="n">
        <v>3.7695</v>
      </c>
      <c r="BS205" s="1238" t="n">
        <v>3.7745</v>
      </c>
      <c r="BT205" s="1238" t="n">
        <v>3.7795</v>
      </c>
      <c r="BU205" s="1239" t="n">
        <v>0.1435</v>
      </c>
      <c r="BV205" s="1239" t="n">
        <v>0.15</v>
      </c>
      <c r="BW205" s="1239" t="n">
        <v>0.1585</v>
      </c>
      <c r="BX205" s="1239" t="n">
        <v>-0.07</v>
      </c>
      <c r="BY205" s="1239"/>
      <c r="BZ205" s="1239" t="n">
        <v>0.07</v>
      </c>
      <c r="CA205" s="1243" t="n">
        <v>0</v>
      </c>
      <c r="CB205" s="1241" t="n">
        <v>0</v>
      </c>
      <c r="CC205" s="1242" t="n">
        <v>3.43</v>
      </c>
      <c r="CD205" s="1239" t="n">
        <v>0.1585</v>
      </c>
    </row>
    <row r="206" customFormat="false" ht="12.75" hidden="false" customHeight="false" outlineLevel="0" collapsed="false">
      <c r="A206" s="1237" t="n">
        <v>42826</v>
      </c>
      <c r="B206" s="1239" t="n">
        <v>0.072891847276777</v>
      </c>
      <c r="C206" s="1218"/>
      <c r="D206" s="1274" t="n">
        <v>41699</v>
      </c>
      <c r="E206" s="1275" t="n">
        <v>25.5396966628909</v>
      </c>
      <c r="F206" s="1275" t="n">
        <v>29.2896966628909</v>
      </c>
      <c r="G206" s="1275" t="n">
        <v>34.2896966628909</v>
      </c>
      <c r="H206" s="1266"/>
      <c r="I206" s="1275" t="n">
        <v>26.0870967741936</v>
      </c>
      <c r="J206" s="1275" t="n">
        <v>28.0870967741936</v>
      </c>
      <c r="K206" s="1275" t="n">
        <v>33.0870967741936</v>
      </c>
      <c r="M206" s="1276" t="n">
        <v>42583</v>
      </c>
      <c r="N206" s="1277" t="n">
        <v>76.3717242517059</v>
      </c>
      <c r="O206" s="1277" t="n">
        <v>81.3717242517059</v>
      </c>
      <c r="P206" s="1277" t="n">
        <v>86.3717242517059</v>
      </c>
      <c r="Q206" s="109"/>
      <c r="R206" s="1277" t="n">
        <v>56.0287931887794</v>
      </c>
      <c r="S206" s="1277" t="n">
        <v>61.0287931887794</v>
      </c>
      <c r="T206" s="1277" t="n">
        <v>66.0287931887794</v>
      </c>
      <c r="V206" s="1278" t="n">
        <v>0</v>
      </c>
      <c r="W206" s="1278" t="n">
        <v>0</v>
      </c>
      <c r="X206" s="1278" t="n">
        <v>0</v>
      </c>
      <c r="Y206" s="1288"/>
      <c r="Z206" s="1277" t="n">
        <v>0.09</v>
      </c>
      <c r="AA206" s="1277" t="n">
        <v>0.1</v>
      </c>
      <c r="AB206" s="1277" t="n">
        <v>0.11</v>
      </c>
      <c r="AC206" s="109"/>
      <c r="AD206" s="1277" t="n">
        <v>0.09</v>
      </c>
      <c r="AE206" s="1277" t="n">
        <v>0.11</v>
      </c>
      <c r="AF206" s="1277" t="n">
        <v>0.13</v>
      </c>
      <c r="AG206" s="109"/>
      <c r="AH206" s="1277" t="n">
        <v>-0.35</v>
      </c>
      <c r="AI206" s="1277" t="n">
        <v>3</v>
      </c>
      <c r="AJ206" s="1277" t="n">
        <v>0.35</v>
      </c>
      <c r="AK206" s="109"/>
      <c r="AL206" s="1277" t="n">
        <v>-0.01</v>
      </c>
      <c r="AM206" s="1277" t="n">
        <v>0.16</v>
      </c>
      <c r="AN206" s="1277" t="n">
        <v>0.01</v>
      </c>
      <c r="AO206" s="109"/>
      <c r="AP206" s="197" t="n">
        <v>66</v>
      </c>
      <c r="AQ206" s="1280" t="n">
        <v>0.35</v>
      </c>
      <c r="AR206" s="1288"/>
      <c r="AS206" s="1288"/>
      <c r="AT206" s="1288"/>
      <c r="AU206" s="1288"/>
      <c r="AV206" s="1288"/>
      <c r="AW206" s="1288"/>
      <c r="AX206" s="1288"/>
      <c r="AY206" s="1288"/>
      <c r="AZ206" s="1288"/>
      <c r="BA206" s="1288"/>
      <c r="BB206" s="1288"/>
      <c r="BC206" s="1288"/>
      <c r="BD206" s="1288"/>
      <c r="BE206" s="1288"/>
      <c r="BF206" s="1288"/>
      <c r="BG206" s="1288"/>
      <c r="BH206" s="1288"/>
      <c r="BI206" s="1288"/>
      <c r="BJ206" s="1288"/>
      <c r="BK206" s="1288"/>
      <c r="BL206" s="1288"/>
      <c r="BM206" s="1288"/>
      <c r="BN206" s="1288"/>
      <c r="BO206" s="1288"/>
      <c r="BP206" s="1288"/>
      <c r="BQ206" s="1237" t="n">
        <v>42736</v>
      </c>
      <c r="BR206" s="1238" t="n">
        <v>3.8155</v>
      </c>
      <c r="BS206" s="1238" t="n">
        <v>3.8205</v>
      </c>
      <c r="BT206" s="1238" t="n">
        <v>3.8255</v>
      </c>
      <c r="BU206" s="1239" t="n">
        <v>0.1435</v>
      </c>
      <c r="BV206" s="1239" t="n">
        <v>0.15</v>
      </c>
      <c r="BW206" s="1239" t="n">
        <v>0.1585</v>
      </c>
      <c r="BX206" s="1239" t="n">
        <v>-0.07</v>
      </c>
      <c r="BY206" s="1239"/>
      <c r="BZ206" s="1239" t="n">
        <v>0.07</v>
      </c>
      <c r="CA206" s="1243" t="n">
        <v>0</v>
      </c>
      <c r="CB206" s="1241" t="n">
        <v>0</v>
      </c>
      <c r="CC206" s="1242" t="n">
        <v>3.437</v>
      </c>
      <c r="CD206" s="1239" t="n">
        <v>0.1585</v>
      </c>
    </row>
    <row r="207" customFormat="false" ht="12.75" hidden="false" customHeight="false" outlineLevel="0" collapsed="false">
      <c r="A207" s="1237" t="n">
        <v>42856</v>
      </c>
      <c r="B207" s="1239" t="n">
        <v>0.072892828514174</v>
      </c>
      <c r="C207" s="1218"/>
      <c r="D207" s="1274" t="n">
        <v>41730</v>
      </c>
      <c r="E207" s="1275" t="n">
        <v>25.6744695471577</v>
      </c>
      <c r="F207" s="1275" t="n">
        <v>29.4244695471577</v>
      </c>
      <c r="G207" s="1275" t="n">
        <v>34.4244695471577</v>
      </c>
      <c r="H207" s="1266"/>
      <c r="I207" s="1275" t="n">
        <v>23.8875</v>
      </c>
      <c r="J207" s="1275" t="n">
        <v>25.8875</v>
      </c>
      <c r="K207" s="1275" t="n">
        <v>30.8875</v>
      </c>
      <c r="M207" s="1276" t="n">
        <v>42614</v>
      </c>
      <c r="N207" s="1277" t="n">
        <v>60.3717242517059</v>
      </c>
      <c r="O207" s="1277" t="n">
        <v>65.3717242517059</v>
      </c>
      <c r="P207" s="1277" t="n">
        <v>70.3717242517059</v>
      </c>
      <c r="Q207" s="109"/>
      <c r="R207" s="1277" t="n">
        <v>44.0287931887794</v>
      </c>
      <c r="S207" s="1277" t="n">
        <v>49.0287931887794</v>
      </c>
      <c r="T207" s="1277" t="n">
        <v>54.0287931887794</v>
      </c>
      <c r="V207" s="1278" t="n">
        <v>0</v>
      </c>
      <c r="W207" s="1278" t="n">
        <v>0</v>
      </c>
      <c r="X207" s="1278" t="n">
        <v>0</v>
      </c>
      <c r="Y207" s="1288"/>
      <c r="Z207" s="1277" t="n">
        <v>0.09</v>
      </c>
      <c r="AA207" s="1277" t="n">
        <v>0.1</v>
      </c>
      <c r="AB207" s="1277" t="n">
        <v>0.11</v>
      </c>
      <c r="AC207" s="109"/>
      <c r="AD207" s="1277" t="n">
        <v>0.09</v>
      </c>
      <c r="AE207" s="1277" t="n">
        <v>0.11</v>
      </c>
      <c r="AF207" s="1277" t="n">
        <v>0.13</v>
      </c>
      <c r="AG207" s="109"/>
      <c r="AH207" s="1277" t="n">
        <v>-0.35</v>
      </c>
      <c r="AI207" s="1277" t="n">
        <v>3</v>
      </c>
      <c r="AJ207" s="1277" t="n">
        <v>0.2</v>
      </c>
      <c r="AK207" s="109"/>
      <c r="AL207" s="1277" t="n">
        <v>-0.01</v>
      </c>
      <c r="AM207" s="1277" t="n">
        <v>0.16</v>
      </c>
      <c r="AN207" s="1277" t="n">
        <v>0.01</v>
      </c>
      <c r="AO207" s="109"/>
      <c r="AP207" s="197" t="n">
        <v>66</v>
      </c>
      <c r="AQ207" s="1280" t="n">
        <v>0.35</v>
      </c>
      <c r="AR207" s="1288"/>
      <c r="AS207" s="1288"/>
      <c r="AT207" s="1288"/>
      <c r="AU207" s="1288"/>
      <c r="AV207" s="1288"/>
      <c r="AW207" s="1288"/>
      <c r="AX207" s="1288"/>
      <c r="AY207" s="1288"/>
      <c r="AZ207" s="1288"/>
      <c r="BA207" s="1288"/>
      <c r="BB207" s="1288"/>
      <c r="BC207" s="1288"/>
      <c r="BD207" s="1288"/>
      <c r="BE207" s="1288"/>
      <c r="BF207" s="1288"/>
      <c r="BG207" s="1288"/>
      <c r="BH207" s="1288"/>
      <c r="BI207" s="1288"/>
      <c r="BJ207" s="1288"/>
      <c r="BK207" s="1288"/>
      <c r="BL207" s="1288"/>
      <c r="BM207" s="1288"/>
      <c r="BN207" s="1288"/>
      <c r="BO207" s="1288"/>
      <c r="BP207" s="1288"/>
      <c r="BQ207" s="1237" t="n">
        <v>42767</v>
      </c>
      <c r="BR207" s="1238" t="n">
        <v>3.7585</v>
      </c>
      <c r="BS207" s="1238" t="n">
        <v>3.7635</v>
      </c>
      <c r="BT207" s="1238" t="n">
        <v>3.7685</v>
      </c>
      <c r="BU207" s="1239" t="n">
        <v>0.1435</v>
      </c>
      <c r="BV207" s="1239" t="n">
        <v>0.15</v>
      </c>
      <c r="BW207" s="1239" t="n">
        <v>0.1585</v>
      </c>
      <c r="BX207" s="1239" t="n">
        <v>-0.07</v>
      </c>
      <c r="BY207" s="1239"/>
      <c r="BZ207" s="1239" t="n">
        <v>0.07</v>
      </c>
      <c r="CA207" s="1243" t="n">
        <v>0</v>
      </c>
      <c r="CB207" s="1241" t="n">
        <v>0</v>
      </c>
      <c r="CC207" s="1242" t="n">
        <v>3.443</v>
      </c>
      <c r="CD207" s="1239" t="n">
        <v>0.1585</v>
      </c>
    </row>
    <row r="208" customFormat="false" ht="12.75" hidden="false" customHeight="false" outlineLevel="0" collapsed="false">
      <c r="A208" s="1237" t="n">
        <v>42887</v>
      </c>
      <c r="B208" s="1239" t="n">
        <v>0.072893842459484</v>
      </c>
      <c r="C208" s="1218"/>
      <c r="D208" s="1274" t="n">
        <v>41760</v>
      </c>
      <c r="E208" s="1275" t="n">
        <v>24.9244695471577</v>
      </c>
      <c r="F208" s="1275" t="n">
        <v>28.6744695471577</v>
      </c>
      <c r="G208" s="1275" t="n">
        <v>33.6744695471577</v>
      </c>
      <c r="H208" s="1266"/>
      <c r="I208" s="1275" t="n">
        <v>23.9459677419355</v>
      </c>
      <c r="J208" s="1275" t="n">
        <v>25.9459677419355</v>
      </c>
      <c r="K208" s="1275" t="n">
        <v>30.9459677419355</v>
      </c>
      <c r="M208" s="1276" t="n">
        <v>42644</v>
      </c>
      <c r="N208" s="1277" t="n">
        <v>32.2697469145445</v>
      </c>
      <c r="O208" s="1277" t="n">
        <v>37.2697469145445</v>
      </c>
      <c r="P208" s="1277" t="n">
        <v>42.2697469145445</v>
      </c>
      <c r="Q208" s="109"/>
      <c r="R208" s="1277" t="n">
        <v>22.9523101859084</v>
      </c>
      <c r="S208" s="1277" t="n">
        <v>27.9523101859084</v>
      </c>
      <c r="T208" s="1277" t="n">
        <v>32.9523101859084</v>
      </c>
      <c r="V208" s="1278" t="n">
        <v>0</v>
      </c>
      <c r="W208" s="1278" t="n">
        <v>0</v>
      </c>
      <c r="X208" s="1278" t="n">
        <v>0</v>
      </c>
      <c r="Y208" s="1288"/>
      <c r="Z208" s="1277" t="n">
        <v>0.09</v>
      </c>
      <c r="AA208" s="1277" t="n">
        <v>0.1</v>
      </c>
      <c r="AB208" s="1277" t="n">
        <v>0.11</v>
      </c>
      <c r="AC208" s="109"/>
      <c r="AD208" s="1277" t="n">
        <v>0.09</v>
      </c>
      <c r="AE208" s="1277" t="n">
        <v>0.11</v>
      </c>
      <c r="AF208" s="1277" t="n">
        <v>0.13</v>
      </c>
      <c r="AG208" s="109"/>
      <c r="AH208" s="1277" t="n">
        <v>-0.1</v>
      </c>
      <c r="AI208" s="1277" t="n">
        <v>3</v>
      </c>
      <c r="AJ208" s="1277" t="n">
        <v>0.1</v>
      </c>
      <c r="AK208" s="109"/>
      <c r="AL208" s="1277" t="n">
        <v>-0.01</v>
      </c>
      <c r="AM208" s="1277" t="n">
        <v>0.16</v>
      </c>
      <c r="AN208" s="1277" t="n">
        <v>0.01</v>
      </c>
      <c r="AO208" s="109"/>
      <c r="AP208" s="197" t="n">
        <v>67</v>
      </c>
      <c r="AQ208" s="1280" t="n">
        <v>0.35</v>
      </c>
      <c r="AR208" s="1288"/>
      <c r="AS208" s="1288"/>
      <c r="AT208" s="1288"/>
      <c r="AU208" s="1288"/>
      <c r="AV208" s="1288"/>
      <c r="AW208" s="1288"/>
      <c r="AX208" s="1288"/>
      <c r="AY208" s="1288"/>
      <c r="AZ208" s="1288"/>
      <c r="BA208" s="1288"/>
      <c r="BB208" s="1288"/>
      <c r="BC208" s="1288"/>
      <c r="BD208" s="1288"/>
      <c r="BE208" s="1288"/>
      <c r="BF208" s="1288"/>
      <c r="BG208" s="1288"/>
      <c r="BH208" s="1288"/>
      <c r="BI208" s="1288"/>
      <c r="BJ208" s="1288"/>
      <c r="BK208" s="1288"/>
      <c r="BL208" s="1288"/>
      <c r="BM208" s="1288"/>
      <c r="BN208" s="1288"/>
      <c r="BO208" s="1288"/>
      <c r="BP208" s="1288"/>
      <c r="BQ208" s="1237" t="n">
        <v>42795</v>
      </c>
      <c r="BR208" s="1238" t="n">
        <v>3.6855</v>
      </c>
      <c r="BS208" s="1238" t="n">
        <v>3.6905</v>
      </c>
      <c r="BT208" s="1238" t="n">
        <v>3.6955</v>
      </c>
      <c r="BU208" s="1239" t="n">
        <v>0.1435</v>
      </c>
      <c r="BV208" s="1239" t="n">
        <v>0.15</v>
      </c>
      <c r="BW208" s="1239" t="n">
        <v>0.1585</v>
      </c>
      <c r="BX208" s="1239" t="n">
        <v>-0.07</v>
      </c>
      <c r="BY208" s="1239"/>
      <c r="BZ208" s="1239" t="n">
        <v>0.07</v>
      </c>
      <c r="CA208" s="1243" t="n">
        <v>0</v>
      </c>
      <c r="CB208" s="1241" t="n">
        <v>0</v>
      </c>
      <c r="CC208" s="1242" t="n">
        <v>3.448</v>
      </c>
      <c r="CD208" s="1239" t="n">
        <v>0.1585</v>
      </c>
    </row>
    <row r="209" customFormat="false" ht="12.75" hidden="false" customHeight="false" outlineLevel="0" collapsed="false">
      <c r="A209" s="1237" t="n">
        <v>42917</v>
      </c>
      <c r="B209" s="1239" t="n">
        <v>0.072894823696881</v>
      </c>
      <c r="C209" s="1218"/>
      <c r="D209" s="1274" t="n">
        <v>41791</v>
      </c>
      <c r="E209" s="1275" t="n">
        <v>30.1744695471577</v>
      </c>
      <c r="F209" s="1275" t="n">
        <v>33.9244695471577</v>
      </c>
      <c r="G209" s="1275" t="n">
        <v>38.9244695471577</v>
      </c>
      <c r="H209" s="1266"/>
      <c r="I209" s="1275" t="n">
        <v>23.2</v>
      </c>
      <c r="J209" s="1275" t="n">
        <v>25.2</v>
      </c>
      <c r="K209" s="1275" t="n">
        <v>30.2</v>
      </c>
      <c r="M209" s="1276" t="n">
        <v>42675</v>
      </c>
      <c r="N209" s="1277" t="n">
        <v>24.5197469145445</v>
      </c>
      <c r="O209" s="1277" t="n">
        <v>29.5197469145445</v>
      </c>
      <c r="P209" s="1277" t="n">
        <v>34.5197469145445</v>
      </c>
      <c r="Q209" s="109"/>
      <c r="R209" s="1277" t="n">
        <v>17.1398101859084</v>
      </c>
      <c r="S209" s="1277" t="n">
        <v>22.1398101859084</v>
      </c>
      <c r="T209" s="1277" t="n">
        <v>27.1398101859084</v>
      </c>
      <c r="V209" s="1278" t="n">
        <v>0</v>
      </c>
      <c r="W209" s="1278" t="n">
        <v>0</v>
      </c>
      <c r="X209" s="1278" t="n">
        <v>0</v>
      </c>
      <c r="Y209" s="1288"/>
      <c r="Z209" s="1277" t="n">
        <v>0.09</v>
      </c>
      <c r="AA209" s="1277" t="n">
        <v>0.1</v>
      </c>
      <c r="AB209" s="1277" t="n">
        <v>0.11</v>
      </c>
      <c r="AC209" s="109"/>
      <c r="AD209" s="1277" t="n">
        <v>0.09</v>
      </c>
      <c r="AE209" s="1277" t="n">
        <v>0.11</v>
      </c>
      <c r="AF209" s="1277" t="n">
        <v>0.13</v>
      </c>
      <c r="AG209" s="109"/>
      <c r="AH209" s="1277" t="n">
        <v>-0.1</v>
      </c>
      <c r="AI209" s="1277" t="n">
        <v>0.6</v>
      </c>
      <c r="AJ209" s="1277" t="n">
        <v>0.1</v>
      </c>
      <c r="AK209" s="109"/>
      <c r="AL209" s="1277" t="n">
        <v>-0.01</v>
      </c>
      <c r="AM209" s="1277" t="n">
        <v>0.16</v>
      </c>
      <c r="AN209" s="1277" t="n">
        <v>0.01</v>
      </c>
      <c r="AO209" s="109"/>
      <c r="AP209" s="197" t="n">
        <v>67</v>
      </c>
      <c r="AQ209" s="1280" t="n">
        <v>0.35</v>
      </c>
      <c r="AR209" s="1288"/>
      <c r="AS209" s="1288"/>
      <c r="AT209" s="1288"/>
      <c r="AU209" s="1288"/>
      <c r="AV209" s="1288"/>
      <c r="AW209" s="1288"/>
      <c r="AX209" s="1288"/>
      <c r="AY209" s="1288"/>
      <c r="AZ209" s="1288"/>
      <c r="BA209" s="1288"/>
      <c r="BB209" s="1288"/>
      <c r="BC209" s="1288"/>
      <c r="BD209" s="1288"/>
      <c r="BE209" s="1288"/>
      <c r="BF209" s="1288"/>
      <c r="BG209" s="1288"/>
      <c r="BH209" s="1288"/>
      <c r="BI209" s="1288"/>
      <c r="BJ209" s="1288"/>
      <c r="BK209" s="1288"/>
      <c r="BL209" s="1288"/>
      <c r="BM209" s="1288"/>
      <c r="BN209" s="1288"/>
      <c r="BO209" s="1288"/>
      <c r="BP209" s="1288"/>
      <c r="BQ209" s="1237" t="n">
        <v>42826</v>
      </c>
      <c r="BR209" s="1238" t="n">
        <v>3.6275</v>
      </c>
      <c r="BS209" s="1238" t="n">
        <v>3.6325</v>
      </c>
      <c r="BT209" s="1238" t="n">
        <v>3.6375</v>
      </c>
      <c r="BU209" s="1239" t="n">
        <v>0.1435</v>
      </c>
      <c r="BV209" s="1239" t="n">
        <v>0.15</v>
      </c>
      <c r="BW209" s="1239" t="n">
        <v>0.1585</v>
      </c>
      <c r="BX209" s="1239" t="n">
        <v>-0.07</v>
      </c>
      <c r="BY209" s="1239"/>
      <c r="BZ209" s="1239" t="n">
        <v>0.07</v>
      </c>
      <c r="CA209" s="1243" t="n">
        <v>0</v>
      </c>
      <c r="CB209" s="1241" t="n">
        <v>0</v>
      </c>
      <c r="CC209" s="1242" t="n">
        <v>3.451</v>
      </c>
      <c r="CD209" s="1239" t="n">
        <v>0.1585</v>
      </c>
    </row>
    <row r="210" customFormat="false" ht="12.75" hidden="false" customHeight="false" outlineLevel="0" collapsed="false">
      <c r="A210" s="1237" t="n">
        <v>42948</v>
      </c>
      <c r="B210" s="1239" t="n">
        <v>0.072895837642192</v>
      </c>
      <c r="C210" s="1218"/>
      <c r="D210" s="1274" t="n">
        <v>41821</v>
      </c>
      <c r="E210" s="1275" t="n">
        <v>56.6473330664846</v>
      </c>
      <c r="F210" s="1275" t="n">
        <v>60.3973330664846</v>
      </c>
      <c r="G210" s="1275" t="n">
        <v>65.3973330664846</v>
      </c>
      <c r="H210" s="1266"/>
      <c r="I210" s="1275" t="n">
        <v>29.2241935483871</v>
      </c>
      <c r="J210" s="1275" t="n">
        <v>31.2241935483871</v>
      </c>
      <c r="K210" s="1275" t="n">
        <v>36.2241935483871</v>
      </c>
      <c r="M210" s="1276" t="n">
        <v>42705</v>
      </c>
      <c r="N210" s="1277" t="n">
        <v>26.5197469145445</v>
      </c>
      <c r="O210" s="1277" t="n">
        <v>31.5197469145445</v>
      </c>
      <c r="P210" s="1277" t="n">
        <v>36.5197469145445</v>
      </c>
      <c r="Q210" s="109"/>
      <c r="R210" s="1277" t="n">
        <v>18.6398101859084</v>
      </c>
      <c r="S210" s="1277" t="n">
        <v>23.6398101859084</v>
      </c>
      <c r="T210" s="1277" t="n">
        <v>28.6398101859084</v>
      </c>
      <c r="V210" s="1278" t="n">
        <v>0</v>
      </c>
      <c r="W210" s="1278" t="n">
        <v>0</v>
      </c>
      <c r="X210" s="1278" t="n">
        <v>0</v>
      </c>
      <c r="Y210" s="1288"/>
      <c r="Z210" s="1277" t="n">
        <v>0.09</v>
      </c>
      <c r="AA210" s="1277" t="n">
        <v>0.1</v>
      </c>
      <c r="AB210" s="1277" t="n">
        <v>0.11</v>
      </c>
      <c r="AC210" s="109"/>
      <c r="AD210" s="1277" t="n">
        <v>0.09</v>
      </c>
      <c r="AE210" s="1277" t="n">
        <v>0.11</v>
      </c>
      <c r="AF210" s="1277" t="n">
        <v>0.13</v>
      </c>
      <c r="AG210" s="109"/>
      <c r="AH210" s="1277" t="n">
        <v>-0.25</v>
      </c>
      <c r="AI210" s="1277" t="n">
        <v>0.6</v>
      </c>
      <c r="AJ210" s="1277" t="n">
        <v>0.25</v>
      </c>
      <c r="AK210" s="109"/>
      <c r="AL210" s="1277" t="n">
        <v>-0.01</v>
      </c>
      <c r="AM210" s="1277" t="n">
        <v>0.16</v>
      </c>
      <c r="AN210" s="1277" t="n">
        <v>0.01</v>
      </c>
      <c r="AO210" s="109"/>
      <c r="AP210" s="197" t="n">
        <v>67</v>
      </c>
      <c r="AQ210" s="1280" t="n">
        <v>0.35</v>
      </c>
      <c r="AR210" s="1288"/>
      <c r="AS210" s="1288"/>
      <c r="AT210" s="1288"/>
      <c r="AU210" s="1288"/>
      <c r="AV210" s="1288"/>
      <c r="AW210" s="1288"/>
      <c r="AX210" s="1288"/>
      <c r="AY210" s="1288"/>
      <c r="AZ210" s="1288"/>
      <c r="BA210" s="1288"/>
      <c r="BB210" s="1288"/>
      <c r="BC210" s="1288"/>
      <c r="BD210" s="1288"/>
      <c r="BE210" s="1288"/>
      <c r="BF210" s="1288"/>
      <c r="BG210" s="1288"/>
      <c r="BH210" s="1288"/>
      <c r="BI210" s="1288"/>
      <c r="BJ210" s="1288"/>
      <c r="BK210" s="1288"/>
      <c r="BL210" s="1288"/>
      <c r="BM210" s="1288"/>
      <c r="BN210" s="1288"/>
      <c r="BO210" s="1288"/>
      <c r="BP210" s="1288"/>
      <c r="BQ210" s="1237" t="n">
        <v>42856</v>
      </c>
      <c r="BR210" s="1238" t="n">
        <v>3.6555</v>
      </c>
      <c r="BS210" s="1238" t="n">
        <v>3.6605</v>
      </c>
      <c r="BT210" s="1238" t="n">
        <v>3.6655</v>
      </c>
      <c r="BU210" s="1239" t="n">
        <v>0.1435</v>
      </c>
      <c r="BV210" s="1239" t="n">
        <v>0.15</v>
      </c>
      <c r="BW210" s="1239" t="n">
        <v>0.1585</v>
      </c>
      <c r="BX210" s="1239" t="n">
        <v>-0.07</v>
      </c>
      <c r="BY210" s="1239"/>
      <c r="BZ210" s="1239" t="n">
        <v>0.07</v>
      </c>
      <c r="CA210" s="1243" t="n">
        <v>0</v>
      </c>
      <c r="CB210" s="1241" t="n">
        <v>0</v>
      </c>
      <c r="CC210" s="1242" t="n">
        <v>3.484</v>
      </c>
      <c r="CD210" s="1239" t="n">
        <v>0.1585</v>
      </c>
    </row>
    <row r="211" customFormat="false" ht="12.75" hidden="false" customHeight="false" outlineLevel="0" collapsed="false">
      <c r="A211" s="1237" t="n">
        <v>42979</v>
      </c>
      <c r="B211" s="1239" t="n">
        <v>0.072896851587503</v>
      </c>
      <c r="C211" s="1218"/>
      <c r="D211" s="1274" t="n">
        <v>41852</v>
      </c>
      <c r="E211" s="1275" t="n">
        <v>77.2723330664846</v>
      </c>
      <c r="F211" s="1275" t="n">
        <v>81.0223330664846</v>
      </c>
      <c r="G211" s="1275" t="n">
        <v>86.0223330664846</v>
      </c>
      <c r="H211" s="1266"/>
      <c r="I211" s="1275" t="n">
        <v>27.2241935483871</v>
      </c>
      <c r="J211" s="1275" t="n">
        <v>29.2241935483871</v>
      </c>
      <c r="K211" s="1275" t="n">
        <v>34.2241935483871</v>
      </c>
      <c r="M211" s="1276" t="n">
        <v>42736</v>
      </c>
      <c r="N211" s="1277" t="n">
        <v>25.2554634927697</v>
      </c>
      <c r="O211" s="1277" t="n">
        <v>30.2554634927697</v>
      </c>
      <c r="P211" s="1277" t="n">
        <v>35.2554634927697</v>
      </c>
      <c r="Q211" s="109"/>
      <c r="R211" s="1277" t="n">
        <v>17.6915976195773</v>
      </c>
      <c r="S211" s="1277" t="n">
        <v>22.6915976195773</v>
      </c>
      <c r="T211" s="1277" t="n">
        <v>27.6915976195773</v>
      </c>
      <c r="V211" s="1278" t="n">
        <v>0</v>
      </c>
      <c r="W211" s="1278" t="n">
        <v>0</v>
      </c>
      <c r="X211" s="1278" t="n">
        <v>0</v>
      </c>
      <c r="Y211" s="1288"/>
      <c r="Z211" s="1277" t="n">
        <v>0.09</v>
      </c>
      <c r="AA211" s="1277" t="n">
        <v>0.1</v>
      </c>
      <c r="AB211" s="1277" t="n">
        <v>0.11</v>
      </c>
      <c r="AC211" s="109"/>
      <c r="AD211" s="1277" t="n">
        <v>0.09</v>
      </c>
      <c r="AE211" s="1277" t="n">
        <v>0.11</v>
      </c>
      <c r="AF211" s="1277" t="n">
        <v>0.13</v>
      </c>
      <c r="AG211" s="109"/>
      <c r="AH211" s="1277" t="n">
        <v>-0.25</v>
      </c>
      <c r="AI211" s="1277" t="n">
        <v>0.6</v>
      </c>
      <c r="AJ211" s="1277" t="n">
        <v>0.25</v>
      </c>
      <c r="AK211" s="109"/>
      <c r="AL211" s="1277" t="n">
        <v>-0.01</v>
      </c>
      <c r="AM211" s="1277" t="n">
        <v>0.16</v>
      </c>
      <c r="AN211" s="1277" t="n">
        <v>0.01</v>
      </c>
      <c r="AO211" s="109"/>
      <c r="AP211" s="197" t="n">
        <v>68</v>
      </c>
      <c r="AQ211" s="1280" t="n">
        <v>0.35</v>
      </c>
      <c r="AR211" s="1288"/>
      <c r="AS211" s="1288"/>
      <c r="AT211" s="1288"/>
      <c r="AU211" s="1288"/>
      <c r="AV211" s="1288"/>
      <c r="AW211" s="1288"/>
      <c r="AX211" s="1288"/>
      <c r="AY211" s="1288"/>
      <c r="AZ211" s="1288"/>
      <c r="BA211" s="1288"/>
      <c r="BB211" s="1288"/>
      <c r="BC211" s="1288"/>
      <c r="BD211" s="1288"/>
      <c r="BE211" s="1288"/>
      <c r="BF211" s="1288"/>
      <c r="BG211" s="1288"/>
      <c r="BH211" s="1288"/>
      <c r="BI211" s="1288"/>
      <c r="BJ211" s="1288"/>
      <c r="BK211" s="1288"/>
      <c r="BL211" s="1288"/>
      <c r="BM211" s="1288"/>
      <c r="BN211" s="1288"/>
      <c r="BO211" s="1288"/>
      <c r="BP211" s="1288"/>
      <c r="BQ211" s="1237" t="n">
        <v>42887</v>
      </c>
      <c r="BR211" s="1238" t="n">
        <v>3.6765</v>
      </c>
      <c r="BS211" s="1238" t="n">
        <v>3.6815</v>
      </c>
      <c r="BT211" s="1238" t="n">
        <v>3.6865</v>
      </c>
      <c r="BU211" s="1239" t="n">
        <v>0.1435</v>
      </c>
      <c r="BV211" s="1239" t="n">
        <v>0.15</v>
      </c>
      <c r="BW211" s="1239" t="n">
        <v>0.1585</v>
      </c>
      <c r="BX211" s="1239" t="n">
        <v>-0.07</v>
      </c>
      <c r="BY211" s="1239"/>
      <c r="BZ211" s="1239" t="n">
        <v>0.07</v>
      </c>
      <c r="CA211" s="1243" t="n">
        <v>0</v>
      </c>
      <c r="CB211" s="1241" t="n">
        <v>0</v>
      </c>
      <c r="CC211" s="1242" t="n">
        <v>3.625</v>
      </c>
      <c r="CD211" s="1239" t="n">
        <v>0.1585</v>
      </c>
    </row>
    <row r="212" customFormat="false" ht="12.75" hidden="false" customHeight="false" outlineLevel="0" collapsed="false">
      <c r="A212" s="1237" t="n">
        <v>43009</v>
      </c>
      <c r="B212" s="1239" t="n">
        <v>0.0728978328249</v>
      </c>
      <c r="C212" s="1218"/>
      <c r="D212" s="1274" t="n">
        <v>41883</v>
      </c>
      <c r="E212" s="1275" t="n">
        <v>61.2723330664846</v>
      </c>
      <c r="F212" s="1275" t="n">
        <v>65.0223330664846</v>
      </c>
      <c r="G212" s="1275" t="n">
        <v>70.0223330664846</v>
      </c>
      <c r="H212" s="1266"/>
      <c r="I212" s="1275" t="n">
        <v>27.6375</v>
      </c>
      <c r="J212" s="1275" t="n">
        <v>29.6375</v>
      </c>
      <c r="K212" s="1275" t="n">
        <v>34.6375</v>
      </c>
      <c r="M212" s="1276" t="n">
        <v>42767</v>
      </c>
      <c r="N212" s="1277" t="n">
        <v>24.7554634927697</v>
      </c>
      <c r="O212" s="1277" t="n">
        <v>29.7554634927697</v>
      </c>
      <c r="P212" s="1277" t="n">
        <v>34.7554634927697</v>
      </c>
      <c r="Q212" s="109"/>
      <c r="R212" s="1277" t="n">
        <v>17.3165976195773</v>
      </c>
      <c r="S212" s="1277" t="n">
        <v>22.3165976195773</v>
      </c>
      <c r="T212" s="1277" t="n">
        <v>27.3165976195773</v>
      </c>
      <c r="V212" s="1278" t="n">
        <v>0</v>
      </c>
      <c r="W212" s="1278" t="n">
        <v>0</v>
      </c>
      <c r="X212" s="1278" t="n">
        <v>0</v>
      </c>
      <c r="Y212" s="1288"/>
      <c r="Z212" s="1277" t="n">
        <v>0.09</v>
      </c>
      <c r="AA212" s="1277" t="n">
        <v>0.1</v>
      </c>
      <c r="AB212" s="1277" t="n">
        <v>0.11</v>
      </c>
      <c r="AC212" s="109"/>
      <c r="AD212" s="1277" t="n">
        <v>0.09</v>
      </c>
      <c r="AE212" s="1277" t="n">
        <v>0.11</v>
      </c>
      <c r="AF212" s="1277" t="n">
        <v>0.13</v>
      </c>
      <c r="AG212" s="109"/>
      <c r="AH212" s="1277" t="n">
        <v>-0.25</v>
      </c>
      <c r="AI212" s="1277" t="n">
        <v>0.65</v>
      </c>
      <c r="AJ212" s="1277" t="n">
        <v>0.25</v>
      </c>
      <c r="AK212" s="109"/>
      <c r="AL212" s="1277" t="n">
        <v>-0.01</v>
      </c>
      <c r="AM212" s="1277" t="n">
        <v>0.16</v>
      </c>
      <c r="AN212" s="1277" t="n">
        <v>0.01</v>
      </c>
      <c r="AO212" s="109"/>
      <c r="AP212" s="197" t="n">
        <v>68</v>
      </c>
      <c r="AQ212" s="1280" t="n">
        <v>0.35</v>
      </c>
      <c r="AR212" s="1288"/>
      <c r="AS212" s="1288"/>
      <c r="AT212" s="1288"/>
      <c r="AU212" s="1288"/>
      <c r="AV212" s="1288"/>
      <c r="AW212" s="1288"/>
      <c r="AX212" s="1288"/>
      <c r="AY212" s="1288"/>
      <c r="AZ212" s="1288"/>
      <c r="BA212" s="1288"/>
      <c r="BB212" s="1288"/>
      <c r="BC212" s="1288"/>
      <c r="BD212" s="1288"/>
      <c r="BE212" s="1288"/>
      <c r="BF212" s="1288"/>
      <c r="BG212" s="1288"/>
      <c r="BH212" s="1288"/>
      <c r="BI212" s="1288"/>
      <c r="BJ212" s="1288"/>
      <c r="BK212" s="1288"/>
      <c r="BL212" s="1288"/>
      <c r="BM212" s="1288"/>
      <c r="BN212" s="1288"/>
      <c r="BO212" s="1288"/>
      <c r="BP212" s="1288"/>
      <c r="BQ212" s="1237" t="n">
        <v>42917</v>
      </c>
      <c r="BR212" s="1238" t="n">
        <v>3.6845</v>
      </c>
      <c r="BS212" s="1238" t="n">
        <v>3.6895</v>
      </c>
      <c r="BT212" s="1238" t="n">
        <v>3.6945</v>
      </c>
      <c r="BU212" s="1239" t="n">
        <v>0.1435</v>
      </c>
      <c r="BV212" s="1239" t="n">
        <v>0.15</v>
      </c>
      <c r="BW212" s="1239" t="n">
        <v>0.1585</v>
      </c>
      <c r="BX212" s="1239" t="n">
        <v>-0.07</v>
      </c>
      <c r="BY212" s="1239"/>
      <c r="BZ212" s="1239" t="n">
        <v>0.07</v>
      </c>
      <c r="CA212" s="1243" t="n">
        <v>0</v>
      </c>
      <c r="CB212" s="1241" t="n">
        <v>0</v>
      </c>
      <c r="CC212" s="1242" t="n">
        <v>3.77</v>
      </c>
      <c r="CD212" s="1239" t="n">
        <v>0.1585</v>
      </c>
    </row>
    <row r="213" customFormat="false" ht="12.75" hidden="false" customHeight="false" outlineLevel="0" collapsed="false">
      <c r="A213" s="1237" t="n">
        <v>43040</v>
      </c>
      <c r="B213" s="1239" t="n">
        <v>0.072898846770212</v>
      </c>
      <c r="C213" s="1218"/>
      <c r="D213" s="1274" t="n">
        <v>41913</v>
      </c>
      <c r="E213" s="1275" t="n">
        <v>33.3668389633743</v>
      </c>
      <c r="F213" s="1275" t="n">
        <v>37.1168389633743</v>
      </c>
      <c r="G213" s="1275" t="n">
        <v>42.1168389633743</v>
      </c>
      <c r="H213" s="1266"/>
      <c r="I213" s="1275" t="n">
        <v>27.1516129032258</v>
      </c>
      <c r="J213" s="1275" t="n">
        <v>29.1516129032258</v>
      </c>
      <c r="K213" s="1275" t="n">
        <v>34.1516129032258</v>
      </c>
      <c r="M213" s="1276" t="n">
        <v>42795</v>
      </c>
      <c r="N213" s="1277" t="n">
        <v>24.0054634927697</v>
      </c>
      <c r="O213" s="1277" t="n">
        <v>29.0054634927697</v>
      </c>
      <c r="P213" s="1277" t="n">
        <v>34.0054634927697</v>
      </c>
      <c r="Q213" s="109"/>
      <c r="R213" s="1277" t="n">
        <v>16.7540976195773</v>
      </c>
      <c r="S213" s="1277" t="n">
        <v>21.7540976195773</v>
      </c>
      <c r="T213" s="1277" t="n">
        <v>26.7540976195773</v>
      </c>
      <c r="V213" s="1278" t="n">
        <v>0</v>
      </c>
      <c r="W213" s="1278" t="n">
        <v>0</v>
      </c>
      <c r="X213" s="1278" t="n">
        <v>0</v>
      </c>
      <c r="Y213" s="1288"/>
      <c r="Z213" s="1277" t="n">
        <v>0.09</v>
      </c>
      <c r="AA213" s="1277" t="n">
        <v>0.1</v>
      </c>
      <c r="AB213" s="1277" t="n">
        <v>0.11</v>
      </c>
      <c r="AC213" s="109"/>
      <c r="AD213" s="1277" t="n">
        <v>0.09</v>
      </c>
      <c r="AE213" s="1277" t="n">
        <v>0.11</v>
      </c>
      <c r="AF213" s="1277" t="n">
        <v>0.13</v>
      </c>
      <c r="AG213" s="109"/>
      <c r="AH213" s="1277" t="n">
        <v>-0.1</v>
      </c>
      <c r="AI213" s="1277" t="n">
        <v>0.65</v>
      </c>
      <c r="AJ213" s="1277" t="n">
        <v>0.1</v>
      </c>
      <c r="AK213" s="109"/>
      <c r="AL213" s="1277" t="n">
        <v>-0.01</v>
      </c>
      <c r="AM213" s="1277" t="n">
        <v>0.16</v>
      </c>
      <c r="AN213" s="1277" t="n">
        <v>0.01</v>
      </c>
      <c r="AO213" s="109"/>
      <c r="AP213" s="197" t="n">
        <v>68</v>
      </c>
      <c r="AQ213" s="1280" t="n">
        <v>0.35</v>
      </c>
      <c r="AR213" s="1288"/>
      <c r="AS213" s="1288"/>
      <c r="AT213" s="1288"/>
      <c r="AU213" s="1288"/>
      <c r="AV213" s="1288"/>
      <c r="AW213" s="1288"/>
      <c r="AX213" s="1288"/>
      <c r="AY213" s="1288"/>
      <c r="AZ213" s="1288"/>
      <c r="BA213" s="1288"/>
      <c r="BB213" s="1288"/>
      <c r="BC213" s="1288"/>
      <c r="BD213" s="1288"/>
      <c r="BE213" s="1288"/>
      <c r="BF213" s="1288"/>
      <c r="BG213" s="1288"/>
      <c r="BH213" s="1288"/>
      <c r="BI213" s="1288"/>
      <c r="BJ213" s="1288"/>
      <c r="BK213" s="1288"/>
      <c r="BL213" s="1288"/>
      <c r="BM213" s="1288"/>
      <c r="BN213" s="1288"/>
      <c r="BO213" s="1288"/>
      <c r="BP213" s="1288"/>
      <c r="BQ213" s="1237" t="n">
        <v>42948</v>
      </c>
      <c r="BR213" s="1238" t="n">
        <v>3.6935</v>
      </c>
      <c r="BS213" s="1238" t="n">
        <v>3.6985</v>
      </c>
      <c r="BT213" s="1238" t="n">
        <v>3.7035</v>
      </c>
      <c r="BU213" s="1239" t="n">
        <v>0.1435</v>
      </c>
      <c r="BV213" s="1239" t="n">
        <v>0.15</v>
      </c>
      <c r="BW213" s="1239" t="n">
        <v>0.1585</v>
      </c>
      <c r="BX213" s="1239" t="n">
        <v>-0.07</v>
      </c>
      <c r="BY213" s="1239"/>
      <c r="BZ213" s="1239" t="n">
        <v>0.07</v>
      </c>
      <c r="CA213" s="1243" t="n">
        <v>0</v>
      </c>
      <c r="CB213" s="1241" t="n">
        <v>0</v>
      </c>
      <c r="CC213" s="1242" t="n">
        <v>3.899</v>
      </c>
      <c r="CD213" s="1239" t="n">
        <v>0.1585</v>
      </c>
    </row>
    <row r="214" customFormat="false" ht="12.75" hidden="false" customHeight="false" outlineLevel="0" collapsed="false">
      <c r="A214" s="1237" t="n">
        <v>43070</v>
      </c>
      <c r="B214" s="1239" t="n">
        <v>0.072899828007611</v>
      </c>
      <c r="C214" s="1218"/>
      <c r="D214" s="1274" t="n">
        <v>41944</v>
      </c>
      <c r="E214" s="1275" t="n">
        <v>25.6168389633743</v>
      </c>
      <c r="F214" s="1275" t="n">
        <v>29.3668389633743</v>
      </c>
      <c r="G214" s="1275" t="n">
        <v>34.3668389633743</v>
      </c>
      <c r="H214" s="1266"/>
      <c r="I214" s="1275" t="n">
        <v>28.4916666666667</v>
      </c>
      <c r="J214" s="1275" t="n">
        <v>30.4916666666667</v>
      </c>
      <c r="K214" s="1275" t="n">
        <v>35.4916666666667</v>
      </c>
      <c r="M214" s="1276" t="n">
        <v>42826</v>
      </c>
      <c r="N214" s="1277" t="n">
        <v>23.9071054532028</v>
      </c>
      <c r="O214" s="1277" t="n">
        <v>28.9071054532028</v>
      </c>
      <c r="P214" s="1277" t="n">
        <v>33.9071054532028</v>
      </c>
      <c r="Q214" s="109"/>
      <c r="R214" s="1277" t="n">
        <v>16.6803290899021</v>
      </c>
      <c r="S214" s="1277" t="n">
        <v>21.6803290899021</v>
      </c>
      <c r="T214" s="1277" t="n">
        <v>26.6803290899021</v>
      </c>
      <c r="V214" s="1278" t="n">
        <v>0</v>
      </c>
      <c r="W214" s="1278" t="n">
        <v>0</v>
      </c>
      <c r="X214" s="1278" t="n">
        <v>0</v>
      </c>
      <c r="Y214" s="1288"/>
      <c r="Z214" s="1277" t="n">
        <v>0.09</v>
      </c>
      <c r="AA214" s="1277" t="n">
        <v>0.1</v>
      </c>
      <c r="AB214" s="1277" t="n">
        <v>0.11</v>
      </c>
      <c r="AC214" s="109"/>
      <c r="AD214" s="1277" t="n">
        <v>0.09</v>
      </c>
      <c r="AE214" s="1277" t="n">
        <v>0.11</v>
      </c>
      <c r="AF214" s="1277" t="n">
        <v>0.13</v>
      </c>
      <c r="AG214" s="109"/>
      <c r="AH214" s="1277" t="n">
        <v>-0.1</v>
      </c>
      <c r="AI214" s="1277" t="n">
        <v>0.65</v>
      </c>
      <c r="AJ214" s="1277" t="n">
        <v>0.1</v>
      </c>
      <c r="AK214" s="109"/>
      <c r="AL214" s="1277" t="n">
        <v>-0.01</v>
      </c>
      <c r="AM214" s="1277" t="n">
        <v>0.16</v>
      </c>
      <c r="AN214" s="1277" t="n">
        <v>0.01</v>
      </c>
      <c r="AO214" s="109"/>
      <c r="AP214" s="197" t="n">
        <v>69</v>
      </c>
      <c r="AQ214" s="1280" t="n">
        <v>0.35</v>
      </c>
      <c r="AR214" s="1288"/>
      <c r="AS214" s="1288"/>
      <c r="AT214" s="1288"/>
      <c r="AU214" s="1288"/>
      <c r="AV214" s="1288"/>
      <c r="AW214" s="1288"/>
      <c r="AX214" s="1288"/>
      <c r="AY214" s="1288"/>
      <c r="AZ214" s="1288"/>
      <c r="BA214" s="1288"/>
      <c r="BB214" s="1288"/>
      <c r="BC214" s="1288"/>
      <c r="BD214" s="1288"/>
      <c r="BE214" s="1288"/>
      <c r="BF214" s="1288"/>
      <c r="BG214" s="1288"/>
      <c r="BH214" s="1288"/>
      <c r="BI214" s="1288"/>
      <c r="BJ214" s="1288"/>
      <c r="BK214" s="1288"/>
      <c r="BL214" s="1288"/>
      <c r="BM214" s="1288"/>
      <c r="BN214" s="1288"/>
      <c r="BO214" s="1288"/>
      <c r="BP214" s="1288"/>
      <c r="BQ214" s="1237" t="n">
        <v>42979</v>
      </c>
      <c r="BR214" s="1238" t="n">
        <v>3.6865</v>
      </c>
      <c r="BS214" s="1238" t="n">
        <v>3.6915</v>
      </c>
      <c r="BT214" s="1238" t="n">
        <v>3.6965</v>
      </c>
      <c r="BU214" s="1239" t="n">
        <v>0.1435</v>
      </c>
      <c r="BV214" s="1239" t="n">
        <v>0.15</v>
      </c>
      <c r="BW214" s="1239" t="n">
        <v>0.1585</v>
      </c>
      <c r="BX214" s="1239" t="n">
        <v>-0.07</v>
      </c>
      <c r="BY214" s="1239"/>
      <c r="BZ214" s="1239" t="n">
        <v>0.07</v>
      </c>
      <c r="CA214" s="1243" t="n">
        <v>0</v>
      </c>
      <c r="CB214" s="1241" t="n">
        <v>0</v>
      </c>
      <c r="CC214" s="1242" t="n">
        <v>3.774</v>
      </c>
      <c r="CD214" s="1239" t="n">
        <v>0.1585</v>
      </c>
    </row>
    <row r="215" customFormat="false" ht="12.75" hidden="false" customHeight="false" outlineLevel="0" collapsed="false">
      <c r="A215" s="1237" t="n">
        <v>43101</v>
      </c>
      <c r="B215" s="1239" t="n">
        <v>0.072900841952923</v>
      </c>
      <c r="C215" s="1218"/>
      <c r="D215" s="1274" t="n">
        <v>41974</v>
      </c>
      <c r="E215" s="1275" t="n">
        <v>27.6168389633743</v>
      </c>
      <c r="F215" s="1275" t="n">
        <v>31.3668389633743</v>
      </c>
      <c r="G215" s="1275" t="n">
        <v>36.3668389633743</v>
      </c>
      <c r="H215" s="1266"/>
      <c r="I215" s="1275" t="n">
        <v>27.7967741935484</v>
      </c>
      <c r="J215" s="1275" t="n">
        <v>29.7967741935484</v>
      </c>
      <c r="K215" s="1275" t="n">
        <v>34.7967741935484</v>
      </c>
      <c r="M215" s="1276" t="n">
        <v>42856</v>
      </c>
      <c r="N215" s="1277" t="n">
        <v>23.9071054532028</v>
      </c>
      <c r="O215" s="1277" t="n">
        <v>28.9071054532028</v>
      </c>
      <c r="P215" s="1277" t="n">
        <v>33.9071054532028</v>
      </c>
      <c r="Q215" s="109"/>
      <c r="R215" s="1277" t="n">
        <v>16.6803290899021</v>
      </c>
      <c r="S215" s="1277" t="n">
        <v>21.6803290899021</v>
      </c>
      <c r="T215" s="1277" t="n">
        <v>26.6803290899021</v>
      </c>
      <c r="V215" s="1278" t="n">
        <v>0</v>
      </c>
      <c r="W215" s="1278" t="n">
        <v>0</v>
      </c>
      <c r="X215" s="1278" t="n">
        <v>0</v>
      </c>
      <c r="Y215" s="1288"/>
      <c r="Z215" s="1277" t="n">
        <v>0.09</v>
      </c>
      <c r="AA215" s="1277" t="n">
        <v>0.1</v>
      </c>
      <c r="AB215" s="1277" t="n">
        <v>0.11</v>
      </c>
      <c r="AC215" s="109"/>
      <c r="AD215" s="1277" t="n">
        <v>0.09</v>
      </c>
      <c r="AE215" s="1277" t="n">
        <v>0.11</v>
      </c>
      <c r="AF215" s="1277" t="n">
        <v>0.13</v>
      </c>
      <c r="AG215" s="109"/>
      <c r="AH215" s="1277" t="n">
        <v>-0.1</v>
      </c>
      <c r="AI215" s="1277" t="n">
        <v>0.65</v>
      </c>
      <c r="AJ215" s="1277" t="n">
        <v>0.1</v>
      </c>
      <c r="AK215" s="109"/>
      <c r="AL215" s="1277" t="n">
        <v>-0.01</v>
      </c>
      <c r="AM215" s="1277" t="n">
        <v>0.16</v>
      </c>
      <c r="AN215" s="1277" t="n">
        <v>0.01</v>
      </c>
      <c r="AO215" s="109"/>
      <c r="AP215" s="197" t="n">
        <v>69</v>
      </c>
      <c r="AQ215" s="1280" t="n">
        <v>0.35</v>
      </c>
      <c r="AR215" s="1288"/>
      <c r="AS215" s="1288"/>
      <c r="AT215" s="1288"/>
      <c r="AU215" s="1288"/>
      <c r="AV215" s="1288"/>
      <c r="AW215" s="1288"/>
      <c r="AX215" s="1288"/>
      <c r="AY215" s="1288"/>
      <c r="AZ215" s="1288"/>
      <c r="BA215" s="1288"/>
      <c r="BB215" s="1288"/>
      <c r="BC215" s="1288"/>
      <c r="BD215" s="1288"/>
      <c r="BE215" s="1288"/>
      <c r="BF215" s="1288"/>
      <c r="BG215" s="1288"/>
      <c r="BH215" s="1288"/>
      <c r="BI215" s="1288"/>
      <c r="BJ215" s="1288"/>
      <c r="BK215" s="1288"/>
      <c r="BL215" s="1288"/>
      <c r="BM215" s="1288"/>
      <c r="BN215" s="1288"/>
      <c r="BO215" s="1288"/>
      <c r="BP215" s="1288"/>
      <c r="BQ215" s="1237" t="n">
        <v>43009</v>
      </c>
      <c r="BR215" s="1238" t="n">
        <v>3.6995</v>
      </c>
      <c r="BS215" s="1238" t="n">
        <v>3.7045</v>
      </c>
      <c r="BT215" s="1238" t="n">
        <v>3.7095</v>
      </c>
      <c r="BU215" s="1239" t="n">
        <v>0.1435</v>
      </c>
      <c r="BV215" s="1239" t="n">
        <v>0.15</v>
      </c>
      <c r="BW215" s="1239" t="n">
        <v>0.1585</v>
      </c>
      <c r="BX215" s="1239" t="n">
        <v>-0.07</v>
      </c>
      <c r="BY215" s="1239"/>
      <c r="BZ215" s="1239" t="n">
        <v>0.07</v>
      </c>
      <c r="CA215" s="1243" t="n">
        <v>0</v>
      </c>
      <c r="CB215" s="1241" t="n">
        <v>0</v>
      </c>
      <c r="CC215" s="1242" t="n">
        <v>3.667</v>
      </c>
      <c r="CD215" s="1239" t="n">
        <v>0.1585</v>
      </c>
    </row>
    <row r="216" customFormat="false" ht="12.75" hidden="false" customHeight="false" outlineLevel="0" collapsed="false">
      <c r="A216" s="1237" t="n">
        <v>43132</v>
      </c>
      <c r="B216" s="1239" t="n">
        <v>0.072901855898236</v>
      </c>
      <c r="C216" s="1218"/>
      <c r="D216" s="1274" t="n">
        <v>42005</v>
      </c>
      <c r="E216" s="1275" t="n">
        <v>25.1116189395171</v>
      </c>
      <c r="F216" s="1275" t="n">
        <v>30.1116189395171</v>
      </c>
      <c r="G216" s="1275" t="n">
        <v>35.1116189395171</v>
      </c>
      <c r="H216" s="1266"/>
      <c r="I216" s="1275" t="n">
        <v>22.3381191510522</v>
      </c>
      <c r="J216" s="1275" t="n">
        <v>27.3381191510522</v>
      </c>
      <c r="K216" s="1275" t="n">
        <v>32.3381191510522</v>
      </c>
      <c r="M216" s="1276" t="n">
        <v>42887</v>
      </c>
      <c r="N216" s="1277" t="n">
        <v>29.1571054532028</v>
      </c>
      <c r="O216" s="1277" t="n">
        <v>34.1571054532028</v>
      </c>
      <c r="P216" s="1277" t="n">
        <v>39.1571054532028</v>
      </c>
      <c r="Q216" s="109"/>
      <c r="R216" s="1277" t="n">
        <v>20.6178290899021</v>
      </c>
      <c r="S216" s="1277" t="n">
        <v>25.6178290899021</v>
      </c>
      <c r="T216" s="1277" t="n">
        <v>30.6178290899021</v>
      </c>
      <c r="V216" s="1278" t="n">
        <v>0</v>
      </c>
      <c r="W216" s="1278" t="n">
        <v>0</v>
      </c>
      <c r="X216" s="1278" t="n">
        <v>0</v>
      </c>
      <c r="Y216" s="1288"/>
      <c r="Z216" s="1277" t="n">
        <v>0.09</v>
      </c>
      <c r="AA216" s="1277" t="n">
        <v>0.1</v>
      </c>
      <c r="AB216" s="1277" t="n">
        <v>0.11</v>
      </c>
      <c r="AC216" s="109"/>
      <c r="AD216" s="1277" t="n">
        <v>0.09</v>
      </c>
      <c r="AE216" s="1277" t="n">
        <v>0.11</v>
      </c>
      <c r="AF216" s="1277" t="n">
        <v>0.13</v>
      </c>
      <c r="AG216" s="109"/>
      <c r="AH216" s="1277" t="n">
        <v>-0.35</v>
      </c>
      <c r="AI216" s="1277" t="n">
        <v>0.65</v>
      </c>
      <c r="AJ216" s="1277" t="n">
        <v>0.2</v>
      </c>
      <c r="AK216" s="109"/>
      <c r="AL216" s="1277" t="n">
        <v>-0.01</v>
      </c>
      <c r="AM216" s="1277" t="n">
        <v>0.16</v>
      </c>
      <c r="AN216" s="1277" t="n">
        <v>0.01</v>
      </c>
      <c r="AO216" s="109"/>
      <c r="AP216" s="197" t="n">
        <v>69</v>
      </c>
      <c r="AQ216" s="1280" t="n">
        <v>0.35</v>
      </c>
      <c r="AR216" s="1288"/>
      <c r="AS216" s="1288"/>
      <c r="AT216" s="1288"/>
      <c r="AU216" s="1288"/>
      <c r="AV216" s="1288"/>
      <c r="AW216" s="1288"/>
      <c r="AX216" s="1288"/>
      <c r="AY216" s="1288"/>
      <c r="AZ216" s="1288"/>
      <c r="BA216" s="1288"/>
      <c r="BB216" s="1288"/>
      <c r="BC216" s="1288"/>
      <c r="BD216" s="1288"/>
      <c r="BE216" s="1288"/>
      <c r="BF216" s="1288"/>
      <c r="BG216" s="1288"/>
      <c r="BH216" s="1288"/>
      <c r="BI216" s="1288"/>
      <c r="BJ216" s="1288"/>
      <c r="BK216" s="1288"/>
      <c r="BL216" s="1288"/>
      <c r="BM216" s="1288"/>
      <c r="BN216" s="1288"/>
      <c r="BO216" s="1288"/>
      <c r="BP216" s="1288"/>
      <c r="BQ216" s="1237" t="n">
        <v>43040</v>
      </c>
      <c r="BR216" s="1238" t="n">
        <v>3.7625</v>
      </c>
      <c r="BS216" s="1238" t="n">
        <v>3.7675</v>
      </c>
      <c r="BT216" s="1238" t="n">
        <v>3.7725</v>
      </c>
      <c r="BU216" s="1239" t="n">
        <v>0.1435</v>
      </c>
      <c r="BV216" s="1239" t="n">
        <v>0.15</v>
      </c>
      <c r="BW216" s="1239" t="n">
        <v>0.1585</v>
      </c>
      <c r="BX216" s="1239" t="n">
        <v>-0.07</v>
      </c>
      <c r="BY216" s="1239"/>
      <c r="BZ216" s="1239" t="n">
        <v>0.07</v>
      </c>
      <c r="CA216" s="1243" t="n">
        <v>0</v>
      </c>
      <c r="CB216" s="1241" t="n">
        <v>0</v>
      </c>
      <c r="CC216" s="1242" t="n">
        <v>3.564</v>
      </c>
      <c r="CD216" s="1239" t="n">
        <v>0.1585</v>
      </c>
    </row>
    <row r="217" customFormat="false" ht="12.75" hidden="false" customHeight="false" outlineLevel="0" collapsed="false">
      <c r="A217" s="1237" t="n">
        <v>43160</v>
      </c>
      <c r="B217" s="1239" t="n">
        <v>0.072902771719809</v>
      </c>
      <c r="C217" s="1218"/>
      <c r="D217" s="1274" t="n">
        <v>42036</v>
      </c>
      <c r="E217" s="1275" t="n">
        <v>24.6116189395171</v>
      </c>
      <c r="F217" s="1275" t="n">
        <v>29.6116189395171</v>
      </c>
      <c r="G217" s="1275" t="n">
        <v>34.6116189395171</v>
      </c>
      <c r="H217" s="1266"/>
      <c r="I217" s="1275" t="n">
        <v>23.3071428571429</v>
      </c>
      <c r="J217" s="1275" t="n">
        <v>28.3071428571429</v>
      </c>
      <c r="K217" s="1275" t="n">
        <v>33.3071428571429</v>
      </c>
      <c r="M217" s="1276" t="n">
        <v>42917</v>
      </c>
      <c r="N217" s="1277" t="n">
        <v>55.9214198443165</v>
      </c>
      <c r="O217" s="1277" t="n">
        <v>60.9214198443165</v>
      </c>
      <c r="P217" s="1277" t="n">
        <v>65.9214198443166</v>
      </c>
      <c r="Q217" s="109"/>
      <c r="R217" s="1277" t="n">
        <v>40.6910648832374</v>
      </c>
      <c r="S217" s="1277" t="n">
        <v>45.6910648832374</v>
      </c>
      <c r="T217" s="1277" t="n">
        <v>50.6910648832374</v>
      </c>
      <c r="V217" s="1278" t="n">
        <v>0</v>
      </c>
      <c r="W217" s="1278" t="n">
        <v>0</v>
      </c>
      <c r="X217" s="1278" t="n">
        <v>0</v>
      </c>
      <c r="Y217" s="1288"/>
      <c r="Z217" s="1277" t="n">
        <v>0.09</v>
      </c>
      <c r="AA217" s="1277" t="n">
        <v>0.1</v>
      </c>
      <c r="AB217" s="1277" t="n">
        <v>0.11</v>
      </c>
      <c r="AC217" s="109"/>
      <c r="AD217" s="1277" t="n">
        <v>0.09</v>
      </c>
      <c r="AE217" s="1277" t="n">
        <v>0.11</v>
      </c>
      <c r="AF217" s="1277" t="n">
        <v>0.13</v>
      </c>
      <c r="AG217" s="109"/>
      <c r="AH217" s="1277" t="n">
        <v>-0.35</v>
      </c>
      <c r="AI217" s="1277" t="n">
        <v>0.65</v>
      </c>
      <c r="AJ217" s="1277" t="n">
        <v>0.35</v>
      </c>
      <c r="AK217" s="109"/>
      <c r="AL217" s="1277" t="n">
        <v>-0.01</v>
      </c>
      <c r="AM217" s="1277" t="n">
        <v>0.16</v>
      </c>
      <c r="AN217" s="1277" t="n">
        <v>0.01</v>
      </c>
      <c r="AO217" s="109"/>
      <c r="AP217" s="197" t="n">
        <v>70</v>
      </c>
      <c r="AQ217" s="1280" t="n">
        <v>0.35</v>
      </c>
      <c r="AR217" s="1288"/>
      <c r="AS217" s="1288"/>
      <c r="AT217" s="1288"/>
      <c r="AU217" s="1288"/>
      <c r="AV217" s="1288"/>
      <c r="AW217" s="1288"/>
      <c r="AX217" s="1288"/>
      <c r="AY217" s="1288"/>
      <c r="AZ217" s="1288"/>
      <c r="BA217" s="1288"/>
      <c r="BB217" s="1288"/>
      <c r="BC217" s="1288"/>
      <c r="BD217" s="1288"/>
      <c r="BE217" s="1288"/>
      <c r="BF217" s="1288"/>
      <c r="BG217" s="1288"/>
      <c r="BH217" s="1288"/>
      <c r="BI217" s="1288"/>
      <c r="BJ217" s="1288"/>
      <c r="BK217" s="1288"/>
      <c r="BL217" s="1288"/>
      <c r="BM217" s="1288"/>
      <c r="BN217" s="1288"/>
      <c r="BO217" s="1288"/>
      <c r="BP217" s="1288"/>
      <c r="BQ217" s="1237" t="n">
        <v>43070</v>
      </c>
      <c r="BR217" s="1238" t="n">
        <v>3.8435</v>
      </c>
      <c r="BS217" s="1238" t="n">
        <v>3.8485</v>
      </c>
      <c r="BT217" s="1238" t="n">
        <v>3.8535</v>
      </c>
      <c r="BU217" s="1239" t="n">
        <v>0.1435</v>
      </c>
      <c r="BV217" s="1239" t="n">
        <v>0.15</v>
      </c>
      <c r="BW217" s="1239" t="n">
        <v>0.1585</v>
      </c>
      <c r="BX217" s="1239" t="n">
        <v>-0.07</v>
      </c>
      <c r="BY217" s="1239"/>
      <c r="BZ217" s="1239" t="n">
        <v>0.07</v>
      </c>
      <c r="CA217" s="1243" t="n">
        <v>0</v>
      </c>
      <c r="CB217" s="1241" t="n">
        <v>0</v>
      </c>
      <c r="CC217" s="1242" t="n">
        <v>3.54</v>
      </c>
      <c r="CD217" s="1239" t="n">
        <v>0.1585</v>
      </c>
    </row>
    <row r="218" customFormat="false" ht="12.75" hidden="false" customHeight="false" outlineLevel="0" collapsed="false">
      <c r="A218" s="1237" t="n">
        <v>43191</v>
      </c>
      <c r="B218" s="1239" t="n">
        <v>0.072903785665122</v>
      </c>
      <c r="C218" s="1218"/>
      <c r="D218" s="1274" t="n">
        <v>42064</v>
      </c>
      <c r="E218" s="1275" t="n">
        <v>24.3616189395171</v>
      </c>
      <c r="F218" s="1275" t="n">
        <v>29.3616189395171</v>
      </c>
      <c r="G218" s="1275" t="n">
        <v>34.3616189395171</v>
      </c>
      <c r="H218" s="1266"/>
      <c r="I218" s="1275" t="n">
        <v>23.5870967741936</v>
      </c>
      <c r="J218" s="1275" t="n">
        <v>28.5870967741936</v>
      </c>
      <c r="K218" s="1275" t="n">
        <v>33.5870967741936</v>
      </c>
      <c r="M218" s="1276" t="n">
        <v>42948</v>
      </c>
      <c r="N218" s="1277" t="n">
        <v>76.5464198443166</v>
      </c>
      <c r="O218" s="1277" t="n">
        <v>81.5464198443166</v>
      </c>
      <c r="P218" s="1277" t="n">
        <v>86.5464198443166</v>
      </c>
      <c r="Q218" s="109"/>
      <c r="R218" s="1277" t="n">
        <v>56.1598148832374</v>
      </c>
      <c r="S218" s="1277" t="n">
        <v>61.1598148832374</v>
      </c>
      <c r="T218" s="1277" t="n">
        <v>66.1598148832374</v>
      </c>
      <c r="V218" s="1278" t="n">
        <v>0</v>
      </c>
      <c r="W218" s="1278" t="n">
        <v>0</v>
      </c>
      <c r="X218" s="1278" t="n">
        <v>0</v>
      </c>
      <c r="Y218" s="1288"/>
      <c r="Z218" s="1277" t="n">
        <v>0.09</v>
      </c>
      <c r="AA218" s="1277" t="n">
        <v>0.1</v>
      </c>
      <c r="AB218" s="1277" t="n">
        <v>0.11</v>
      </c>
      <c r="AC218" s="109"/>
      <c r="AD218" s="1277" t="n">
        <v>0.09</v>
      </c>
      <c r="AE218" s="1277" t="n">
        <v>0.11</v>
      </c>
      <c r="AF218" s="1277" t="n">
        <v>0.13</v>
      </c>
      <c r="AG218" s="109"/>
      <c r="AH218" s="1277" t="n">
        <v>-0.35</v>
      </c>
      <c r="AI218" s="1277" t="n">
        <v>3</v>
      </c>
      <c r="AJ218" s="1277" t="n">
        <v>0.35</v>
      </c>
      <c r="AK218" s="109"/>
      <c r="AL218" s="1277" t="n">
        <v>-0.01</v>
      </c>
      <c r="AM218" s="1277" t="n">
        <v>0.16</v>
      </c>
      <c r="AN218" s="1277" t="n">
        <v>0.01</v>
      </c>
      <c r="AO218" s="109"/>
      <c r="AP218" s="197" t="n">
        <v>70</v>
      </c>
      <c r="AQ218" s="1280" t="n">
        <v>0.35</v>
      </c>
      <c r="AR218" s="1288"/>
      <c r="AS218" s="1288"/>
      <c r="AT218" s="1288"/>
      <c r="AU218" s="1288"/>
      <c r="AV218" s="1288"/>
      <c r="AW218" s="1288"/>
      <c r="AX218" s="1288"/>
      <c r="AY218" s="1288"/>
      <c r="AZ218" s="1288"/>
      <c r="BA218" s="1288"/>
      <c r="BB218" s="1288"/>
      <c r="BC218" s="1288"/>
      <c r="BD218" s="1288"/>
      <c r="BE218" s="1288"/>
      <c r="BF218" s="1288"/>
      <c r="BG218" s="1288"/>
      <c r="BH218" s="1288"/>
      <c r="BI218" s="1288"/>
      <c r="BJ218" s="1288"/>
      <c r="BK218" s="1288"/>
      <c r="BL218" s="1288"/>
      <c r="BM218" s="1288"/>
      <c r="BN218" s="1288"/>
      <c r="BO218" s="1288"/>
      <c r="BP218" s="1288"/>
      <c r="BQ218" s="1237" t="n">
        <v>43101</v>
      </c>
      <c r="BR218" s="1238" t="n">
        <v>3.8875</v>
      </c>
      <c r="BS218" s="1238" t="n">
        <v>3.8925</v>
      </c>
      <c r="BT218" s="1238" t="n">
        <v>3.8975</v>
      </c>
      <c r="BU218" s="1244" t="n">
        <f aca="false">BU217</f>
        <v>0.1435</v>
      </c>
      <c r="BV218" s="1244" t="n">
        <f aca="false">BV217</f>
        <v>0.15</v>
      </c>
      <c r="BW218" s="1244" t="n">
        <f aca="false">BW217</f>
        <v>0.1585</v>
      </c>
      <c r="BX218" s="1239" t="n">
        <v>-0.07</v>
      </c>
      <c r="BY218" s="1239"/>
      <c r="BZ218" s="1239" t="n">
        <v>0.07</v>
      </c>
      <c r="CA218" s="1243" t="n">
        <v>0</v>
      </c>
      <c r="CB218" s="1241" t="n">
        <v>0</v>
      </c>
      <c r="CC218" s="1242" t="n">
        <v>3.547</v>
      </c>
      <c r="CD218" s="1239" t="n">
        <v>0.1585</v>
      </c>
    </row>
    <row r="219" customFormat="false" ht="12.75" hidden="false" customHeight="false" outlineLevel="0" collapsed="false">
      <c r="A219" s="1237" t="n">
        <v>43221</v>
      </c>
      <c r="B219" s="1239" t="n">
        <v>0.072904766902523</v>
      </c>
      <c r="C219" s="1218"/>
      <c r="D219" s="1274" t="n">
        <v>42095</v>
      </c>
      <c r="E219" s="1275" t="n">
        <v>24.5020148491727</v>
      </c>
      <c r="F219" s="1275" t="n">
        <v>29.5020148491727</v>
      </c>
      <c r="G219" s="1275" t="n">
        <v>34.5020148491727</v>
      </c>
      <c r="H219" s="1266"/>
      <c r="I219" s="1275" t="n">
        <v>21.3875</v>
      </c>
      <c r="J219" s="1275" t="n">
        <v>26.3875</v>
      </c>
      <c r="K219" s="1275" t="n">
        <v>31.3875</v>
      </c>
      <c r="M219" s="1276" t="n">
        <v>42979</v>
      </c>
      <c r="N219" s="1277" t="n">
        <v>60.5464198443165</v>
      </c>
      <c r="O219" s="1277" t="n">
        <v>65.5464198443166</v>
      </c>
      <c r="P219" s="1277" t="n">
        <v>70.5464198443166</v>
      </c>
      <c r="Q219" s="109"/>
      <c r="R219" s="1277" t="n">
        <v>44.1598148832374</v>
      </c>
      <c r="S219" s="1277" t="n">
        <v>49.1598148832374</v>
      </c>
      <c r="T219" s="1277" t="n">
        <v>54.1598148832374</v>
      </c>
      <c r="V219" s="1278" t="n">
        <v>0</v>
      </c>
      <c r="W219" s="1278" t="n">
        <v>0</v>
      </c>
      <c r="X219" s="1278" t="n">
        <v>0</v>
      </c>
      <c r="Y219" s="1288"/>
      <c r="Z219" s="1277" t="n">
        <v>0.09</v>
      </c>
      <c r="AA219" s="1277" t="n">
        <v>0.1</v>
      </c>
      <c r="AB219" s="1277" t="n">
        <v>0.11</v>
      </c>
      <c r="AC219" s="109"/>
      <c r="AD219" s="1277" t="n">
        <v>0.09</v>
      </c>
      <c r="AE219" s="1277" t="n">
        <v>0.11</v>
      </c>
      <c r="AF219" s="1277" t="n">
        <v>0.13</v>
      </c>
      <c r="AG219" s="109"/>
      <c r="AH219" s="1277" t="n">
        <v>-0.35</v>
      </c>
      <c r="AI219" s="1277" t="n">
        <v>3</v>
      </c>
      <c r="AJ219" s="1277" t="n">
        <v>0.2</v>
      </c>
      <c r="AK219" s="109"/>
      <c r="AL219" s="1277" t="n">
        <v>-0.01</v>
      </c>
      <c r="AM219" s="1277" t="n">
        <v>0.16</v>
      </c>
      <c r="AN219" s="1277" t="n">
        <v>0.01</v>
      </c>
      <c r="AO219" s="109"/>
      <c r="AP219" s="197" t="n">
        <v>70</v>
      </c>
      <c r="AQ219" s="1280" t="n">
        <v>0.35</v>
      </c>
      <c r="AR219" s="1288"/>
      <c r="AS219" s="1288"/>
      <c r="AT219" s="1288"/>
      <c r="AU219" s="1288"/>
      <c r="AV219" s="1288"/>
      <c r="AW219" s="1288"/>
      <c r="AX219" s="1288"/>
      <c r="AY219" s="1288"/>
      <c r="AZ219" s="1288"/>
      <c r="BA219" s="1288"/>
      <c r="BB219" s="1288"/>
      <c r="BC219" s="1288"/>
      <c r="BD219" s="1288"/>
      <c r="BE219" s="1288"/>
      <c r="BF219" s="1288"/>
      <c r="BG219" s="1288"/>
      <c r="BH219" s="1288"/>
      <c r="BI219" s="1288"/>
      <c r="BJ219" s="1288"/>
      <c r="BK219" s="1288"/>
      <c r="BL219" s="1288"/>
      <c r="BM219" s="1288"/>
      <c r="BN219" s="1288"/>
      <c r="BO219" s="1288"/>
      <c r="BP219" s="1288"/>
      <c r="BQ219" s="1237" t="n">
        <v>43132</v>
      </c>
      <c r="BR219" s="1238" t="n">
        <v>3.8345</v>
      </c>
      <c r="BS219" s="1238" t="n">
        <v>3.8395</v>
      </c>
      <c r="BT219" s="1238" t="n">
        <v>3.8445</v>
      </c>
      <c r="BU219" s="1244" t="n">
        <f aca="false">BU218</f>
        <v>0.1435</v>
      </c>
      <c r="BV219" s="1244" t="n">
        <f aca="false">BV218</f>
        <v>0.15</v>
      </c>
      <c r="BW219" s="1244" t="n">
        <f aca="false">BW218</f>
        <v>0.1585</v>
      </c>
      <c r="BX219" s="1239" t="n">
        <v>-0.07</v>
      </c>
      <c r="BY219" s="1239"/>
      <c r="BZ219" s="1239" t="n">
        <v>0.07</v>
      </c>
      <c r="CA219" s="1243" t="n">
        <v>0</v>
      </c>
      <c r="CB219" s="1241" t="n">
        <v>0</v>
      </c>
      <c r="CC219" s="1242" t="n">
        <v>3.553</v>
      </c>
      <c r="CD219" s="1239" t="n">
        <v>0.1585</v>
      </c>
    </row>
    <row r="220" customFormat="false" ht="12.75" hidden="false" customHeight="false" outlineLevel="0" collapsed="false">
      <c r="A220" s="1237" t="n">
        <v>43252</v>
      </c>
      <c r="B220" s="1239" t="n">
        <v>0.072905780847837</v>
      </c>
      <c r="C220" s="1218"/>
      <c r="D220" s="1274" t="n">
        <v>42125</v>
      </c>
      <c r="E220" s="1275" t="n">
        <v>23.7520148491727</v>
      </c>
      <c r="F220" s="1275" t="n">
        <v>28.7520148491727</v>
      </c>
      <c r="G220" s="1275" t="n">
        <v>33.7520148491727</v>
      </c>
      <c r="H220" s="1266"/>
      <c r="I220" s="1275" t="n">
        <v>21.4459677419355</v>
      </c>
      <c r="J220" s="1275" t="n">
        <v>26.4459677419355</v>
      </c>
      <c r="K220" s="1275" t="n">
        <v>31.4459677419355</v>
      </c>
      <c r="M220" s="1276" t="n">
        <v>43009</v>
      </c>
      <c r="N220" s="1277" t="n">
        <v>32.3462008901296</v>
      </c>
      <c r="O220" s="1277" t="n">
        <v>37.3462008901296</v>
      </c>
      <c r="P220" s="1277" t="n">
        <v>42.3462008901296</v>
      </c>
      <c r="Q220" s="109"/>
      <c r="R220" s="1277" t="n">
        <v>23.0096506675972</v>
      </c>
      <c r="S220" s="1277" t="n">
        <v>28.0096506675972</v>
      </c>
      <c r="T220" s="1277" t="n">
        <v>33.0096506675972</v>
      </c>
      <c r="V220" s="1278" t="n">
        <v>0</v>
      </c>
      <c r="W220" s="1278" t="n">
        <v>0</v>
      </c>
      <c r="X220" s="1278" t="n">
        <v>0</v>
      </c>
      <c r="Y220" s="1288"/>
      <c r="Z220" s="1277" t="n">
        <v>0.09</v>
      </c>
      <c r="AA220" s="1277" t="n">
        <v>0.1</v>
      </c>
      <c r="AB220" s="1277" t="n">
        <v>0.11</v>
      </c>
      <c r="AC220" s="109"/>
      <c r="AD220" s="1277" t="n">
        <v>0.09</v>
      </c>
      <c r="AE220" s="1277" t="n">
        <v>0.11</v>
      </c>
      <c r="AF220" s="1277" t="n">
        <v>0.13</v>
      </c>
      <c r="AG220" s="109"/>
      <c r="AH220" s="1277" t="n">
        <v>-0.1</v>
      </c>
      <c r="AI220" s="1277" t="n">
        <v>3</v>
      </c>
      <c r="AJ220" s="1277" t="n">
        <v>0.1</v>
      </c>
      <c r="AK220" s="109"/>
      <c r="AL220" s="1277" t="n">
        <v>-0.01</v>
      </c>
      <c r="AM220" s="1277" t="n">
        <v>0.16</v>
      </c>
      <c r="AN220" s="1277" t="n">
        <v>0.01</v>
      </c>
      <c r="AO220" s="109"/>
      <c r="AP220" s="197" t="n">
        <v>71</v>
      </c>
      <c r="AQ220" s="1280" t="n">
        <v>0.35</v>
      </c>
      <c r="AR220" s="1288"/>
      <c r="AS220" s="1288"/>
      <c r="AT220" s="1288"/>
      <c r="AU220" s="1288"/>
      <c r="AV220" s="1288"/>
      <c r="AW220" s="1288"/>
      <c r="AX220" s="1288"/>
      <c r="AY220" s="1288"/>
      <c r="AZ220" s="1288"/>
      <c r="BA220" s="1288"/>
      <c r="BB220" s="1288"/>
      <c r="BC220" s="1288"/>
      <c r="BD220" s="1288"/>
      <c r="BE220" s="1288"/>
      <c r="BF220" s="1288"/>
      <c r="BG220" s="1288"/>
      <c r="BH220" s="1288"/>
      <c r="BI220" s="1288"/>
      <c r="BJ220" s="1288"/>
      <c r="BK220" s="1288"/>
      <c r="BL220" s="1288"/>
      <c r="BM220" s="1288"/>
      <c r="BN220" s="1288"/>
      <c r="BO220" s="1288"/>
      <c r="BP220" s="1288"/>
      <c r="BQ220" s="1237" t="n">
        <v>43160</v>
      </c>
      <c r="BR220" s="1238" t="n">
        <v>3.7645</v>
      </c>
      <c r="BS220" s="1238" t="n">
        <v>3.7695</v>
      </c>
      <c r="BT220" s="1238" t="n">
        <v>3.7745</v>
      </c>
      <c r="BU220" s="1244" t="n">
        <f aca="false">BU219</f>
        <v>0.1435</v>
      </c>
      <c r="BV220" s="1244" t="n">
        <f aca="false">BV219</f>
        <v>0.15</v>
      </c>
      <c r="BW220" s="1244" t="n">
        <f aca="false">BW219</f>
        <v>0.1585</v>
      </c>
      <c r="BX220" s="1239" t="n">
        <v>-0.07</v>
      </c>
      <c r="BY220" s="1239"/>
      <c r="BZ220" s="1239" t="n">
        <v>0.07</v>
      </c>
      <c r="CA220" s="1243" t="n">
        <v>0</v>
      </c>
      <c r="CB220" s="1241" t="n">
        <v>0</v>
      </c>
      <c r="CC220" s="1242" t="n">
        <v>3.558</v>
      </c>
      <c r="CD220" s="1239" t="n">
        <v>0.1585</v>
      </c>
    </row>
    <row r="221" customFormat="false" ht="12.75" hidden="false" customHeight="false" outlineLevel="0" collapsed="false">
      <c r="A221" s="1237" t="n">
        <v>43282</v>
      </c>
      <c r="B221" s="1239" t="n">
        <v>0.072906762085238</v>
      </c>
      <c r="C221" s="1218"/>
      <c r="D221" s="1274" t="n">
        <v>42156</v>
      </c>
      <c r="E221" s="1275" t="n">
        <v>29.0020148491727</v>
      </c>
      <c r="F221" s="1275" t="n">
        <v>34.0020148491727</v>
      </c>
      <c r="G221" s="1275" t="n">
        <v>39.0020148491727</v>
      </c>
      <c r="H221" s="1266"/>
      <c r="I221" s="1275" t="n">
        <v>20.7</v>
      </c>
      <c r="J221" s="1275" t="n">
        <v>25.7</v>
      </c>
      <c r="K221" s="1275" t="n">
        <v>30.7</v>
      </c>
      <c r="M221" s="1276" t="n">
        <v>43040</v>
      </c>
      <c r="N221" s="1277" t="n">
        <v>24.5962008901296</v>
      </c>
      <c r="O221" s="1277" t="n">
        <v>29.5962008901296</v>
      </c>
      <c r="P221" s="1277" t="n">
        <v>34.5962008901296</v>
      </c>
      <c r="Q221" s="109"/>
      <c r="R221" s="1277" t="n">
        <v>17.1971506675972</v>
      </c>
      <c r="S221" s="1277" t="n">
        <v>22.1971506675972</v>
      </c>
      <c r="T221" s="1277" t="n">
        <v>27.1971506675972</v>
      </c>
      <c r="V221" s="1278" t="n">
        <v>0</v>
      </c>
      <c r="W221" s="1278" t="n">
        <v>0</v>
      </c>
      <c r="X221" s="1278" t="n">
        <v>0</v>
      </c>
      <c r="Y221" s="1288"/>
      <c r="Z221" s="1277" t="n">
        <v>0.09</v>
      </c>
      <c r="AA221" s="1277" t="n">
        <v>0.1</v>
      </c>
      <c r="AB221" s="1277" t="n">
        <v>0.11</v>
      </c>
      <c r="AC221" s="109"/>
      <c r="AD221" s="1277" t="n">
        <v>0.09</v>
      </c>
      <c r="AE221" s="1277" t="n">
        <v>0.11</v>
      </c>
      <c r="AF221" s="1277" t="n">
        <v>0.13</v>
      </c>
      <c r="AG221" s="109"/>
      <c r="AH221" s="1277" t="n">
        <v>-0.1</v>
      </c>
      <c r="AI221" s="1277" t="n">
        <v>0.6</v>
      </c>
      <c r="AJ221" s="1277" t="n">
        <v>0.1</v>
      </c>
      <c r="AK221" s="109"/>
      <c r="AL221" s="1277" t="n">
        <v>-0.01</v>
      </c>
      <c r="AM221" s="1277" t="n">
        <v>0.16</v>
      </c>
      <c r="AN221" s="1277" t="n">
        <v>0.01</v>
      </c>
      <c r="AO221" s="109"/>
      <c r="AP221" s="197" t="n">
        <v>71</v>
      </c>
      <c r="AQ221" s="1280" t="n">
        <v>0.35</v>
      </c>
      <c r="AR221" s="1288"/>
      <c r="AS221" s="1288"/>
      <c r="AT221" s="1288"/>
      <c r="AU221" s="1288"/>
      <c r="AV221" s="1288"/>
      <c r="AW221" s="1288"/>
      <c r="AX221" s="1288"/>
      <c r="AY221" s="1288"/>
      <c r="AZ221" s="1288"/>
      <c r="BA221" s="1288"/>
      <c r="BB221" s="1288"/>
      <c r="BC221" s="1288"/>
      <c r="BD221" s="1288"/>
      <c r="BE221" s="1288"/>
      <c r="BF221" s="1288"/>
      <c r="BG221" s="1288"/>
      <c r="BH221" s="1288"/>
      <c r="BI221" s="1288"/>
      <c r="BJ221" s="1288"/>
      <c r="BK221" s="1288"/>
      <c r="BL221" s="1288"/>
      <c r="BM221" s="1288"/>
      <c r="BN221" s="1288"/>
      <c r="BO221" s="1288"/>
      <c r="BP221" s="1288"/>
      <c r="BQ221" s="1237" t="n">
        <v>43191</v>
      </c>
      <c r="BR221" s="1238" t="n">
        <v>3.7095</v>
      </c>
      <c r="BS221" s="1238" t="n">
        <v>3.7145</v>
      </c>
      <c r="BT221" s="1238" t="n">
        <v>3.7195</v>
      </c>
      <c r="BU221" s="1244" t="n">
        <f aca="false">BU220</f>
        <v>0.1435</v>
      </c>
      <c r="BV221" s="1244" t="n">
        <f aca="false">BV220</f>
        <v>0.15</v>
      </c>
      <c r="BW221" s="1244" t="n">
        <f aca="false">BW220</f>
        <v>0.1585</v>
      </c>
      <c r="BX221" s="1239" t="n">
        <v>-0.07</v>
      </c>
      <c r="BY221" s="1239"/>
      <c r="BZ221" s="1239" t="n">
        <v>0.07</v>
      </c>
      <c r="CA221" s="1243" t="n">
        <v>0</v>
      </c>
      <c r="CB221" s="1241" t="n">
        <v>0</v>
      </c>
      <c r="CC221" s="1242" t="n">
        <v>3.561</v>
      </c>
      <c r="CD221" s="1239" t="n">
        <v>0.1585</v>
      </c>
    </row>
    <row r="222" customFormat="false" ht="12.75" hidden="false" customHeight="false" outlineLevel="0" collapsed="false">
      <c r="A222" s="1237" t="n">
        <v>43313</v>
      </c>
      <c r="B222" s="1239" t="n">
        <v>0.072907776030553</v>
      </c>
      <c r="C222" s="1218"/>
      <c r="D222" s="1274" t="n">
        <v>42186</v>
      </c>
      <c r="E222" s="1275" t="n">
        <v>55.5720286590953</v>
      </c>
      <c r="F222" s="1275" t="n">
        <v>60.5720286590953</v>
      </c>
      <c r="G222" s="1275" t="n">
        <v>65.5720286590953</v>
      </c>
      <c r="H222" s="1266"/>
      <c r="I222" s="1275" t="n">
        <v>26.7241935483871</v>
      </c>
      <c r="J222" s="1275" t="n">
        <v>31.7241935483871</v>
      </c>
      <c r="K222" s="1275" t="n">
        <v>36.7241935483871</v>
      </c>
      <c r="M222" s="1276" t="n">
        <v>43070</v>
      </c>
      <c r="N222" s="1277" t="n">
        <v>26.5962008901296</v>
      </c>
      <c r="O222" s="1277" t="n">
        <v>31.5962008901296</v>
      </c>
      <c r="P222" s="1277" t="n">
        <v>36.5962008901296</v>
      </c>
      <c r="Q222" s="109"/>
      <c r="R222" s="1277" t="n">
        <v>18.6971506675972</v>
      </c>
      <c r="S222" s="1277" t="n">
        <v>23.6971506675972</v>
      </c>
      <c r="T222" s="1277" t="n">
        <v>28.6971506675972</v>
      </c>
      <c r="V222" s="1278" t="n">
        <v>0</v>
      </c>
      <c r="W222" s="1278" t="n">
        <v>0</v>
      </c>
      <c r="X222" s="1278" t="n">
        <v>0</v>
      </c>
      <c r="Y222" s="1288"/>
      <c r="Z222" s="1277" t="n">
        <v>0.09</v>
      </c>
      <c r="AA222" s="1277" t="n">
        <v>0.1</v>
      </c>
      <c r="AB222" s="1277" t="n">
        <v>0.11</v>
      </c>
      <c r="AC222" s="109"/>
      <c r="AD222" s="1277" t="n">
        <v>0.09</v>
      </c>
      <c r="AE222" s="1277" t="n">
        <v>0.11</v>
      </c>
      <c r="AF222" s="1277" t="n">
        <v>0.13</v>
      </c>
      <c r="AG222" s="109"/>
      <c r="AH222" s="1277" t="n">
        <v>-0.25</v>
      </c>
      <c r="AI222" s="1277" t="n">
        <v>0.6</v>
      </c>
      <c r="AJ222" s="1277" t="n">
        <v>0.25</v>
      </c>
      <c r="AK222" s="109"/>
      <c r="AL222" s="1277" t="n">
        <v>-0.01</v>
      </c>
      <c r="AM222" s="1277" t="n">
        <v>0.16</v>
      </c>
      <c r="AN222" s="1277" t="n">
        <v>0.01</v>
      </c>
      <c r="AO222" s="109"/>
      <c r="AP222" s="197" t="n">
        <v>71</v>
      </c>
      <c r="AQ222" s="1280" t="n">
        <v>0.35</v>
      </c>
      <c r="AR222" s="1288"/>
      <c r="AS222" s="1288"/>
      <c r="AT222" s="1288"/>
      <c r="AU222" s="1288"/>
      <c r="AV222" s="1288"/>
      <c r="AW222" s="1288"/>
      <c r="AX222" s="1288"/>
      <c r="AY222" s="1288"/>
      <c r="AZ222" s="1288"/>
      <c r="BA222" s="1288"/>
      <c r="BB222" s="1288"/>
      <c r="BC222" s="1288"/>
      <c r="BD222" s="1288"/>
      <c r="BE222" s="1288"/>
      <c r="BF222" s="1288"/>
      <c r="BG222" s="1288"/>
      <c r="BH222" s="1288"/>
      <c r="BI222" s="1288"/>
      <c r="BJ222" s="1288"/>
      <c r="BK222" s="1288"/>
      <c r="BL222" s="1288"/>
      <c r="BM222" s="1288"/>
      <c r="BN222" s="1288"/>
      <c r="BO222" s="1288"/>
      <c r="BP222" s="1288"/>
      <c r="BQ222" s="1237" t="n">
        <v>43221</v>
      </c>
      <c r="BR222" s="1238" t="n">
        <v>3.7385</v>
      </c>
      <c r="BS222" s="1238" t="n">
        <v>3.7435</v>
      </c>
      <c r="BT222" s="1238" t="n">
        <v>3.7485</v>
      </c>
      <c r="BU222" s="1244" t="n">
        <f aca="false">BU221</f>
        <v>0.1435</v>
      </c>
      <c r="BV222" s="1244" t="n">
        <f aca="false">BV221</f>
        <v>0.15</v>
      </c>
      <c r="BW222" s="1244" t="n">
        <f aca="false">BW221</f>
        <v>0.1585</v>
      </c>
      <c r="BX222" s="1239" t="n">
        <v>-0.07</v>
      </c>
      <c r="BY222" s="1239"/>
      <c r="BZ222" s="1239" t="n">
        <v>0.07</v>
      </c>
      <c r="CA222" s="1243" t="n">
        <v>0</v>
      </c>
      <c r="CB222" s="1241" t="n">
        <v>0</v>
      </c>
      <c r="CC222" s="1242" t="n">
        <v>3.594</v>
      </c>
      <c r="CD222" s="1239" t="n">
        <v>0.1585</v>
      </c>
    </row>
    <row r="223" customFormat="false" ht="12.75" hidden="false" customHeight="false" outlineLevel="0" collapsed="false">
      <c r="A223" s="1237" t="n">
        <v>43344</v>
      </c>
      <c r="B223" s="1239" t="n">
        <v>0.072908789975867</v>
      </c>
      <c r="C223" s="1218"/>
      <c r="D223" s="1274" t="n">
        <v>42217</v>
      </c>
      <c r="E223" s="1275" t="n">
        <v>76.1970286590953</v>
      </c>
      <c r="F223" s="1275" t="n">
        <v>81.1970286590953</v>
      </c>
      <c r="G223" s="1275" t="n">
        <v>86.1970286590953</v>
      </c>
      <c r="H223" s="1266"/>
      <c r="I223" s="1275" t="n">
        <v>24.7241935483871</v>
      </c>
      <c r="J223" s="1275" t="n">
        <v>29.7241935483871</v>
      </c>
      <c r="K223" s="1275" t="n">
        <v>34.7241935483871</v>
      </c>
      <c r="M223" s="1276" t="n">
        <v>43101</v>
      </c>
      <c r="N223" s="1277" t="n">
        <v>25.327385769396</v>
      </c>
      <c r="O223" s="1277" t="n">
        <v>30.327385769396</v>
      </c>
      <c r="P223" s="1277" t="n">
        <v>35.327385769396</v>
      </c>
      <c r="Q223" s="109"/>
      <c r="R223" s="1277" t="n">
        <v>17.745539327047</v>
      </c>
      <c r="S223" s="1277" t="n">
        <v>22.745539327047</v>
      </c>
      <c r="T223" s="1277" t="n">
        <v>27.745539327047</v>
      </c>
      <c r="V223" s="1278" t="n">
        <v>0</v>
      </c>
      <c r="W223" s="1278" t="n">
        <v>0</v>
      </c>
      <c r="X223" s="1278" t="n">
        <v>0</v>
      </c>
      <c r="Y223" s="1288"/>
      <c r="Z223" s="1277" t="n">
        <v>0.09</v>
      </c>
      <c r="AA223" s="1277" t="n">
        <v>0.1</v>
      </c>
      <c r="AB223" s="1277" t="n">
        <v>0.11</v>
      </c>
      <c r="AC223" s="109"/>
      <c r="AD223" s="1277" t="n">
        <v>0.09</v>
      </c>
      <c r="AE223" s="1277" t="n">
        <v>0.11</v>
      </c>
      <c r="AF223" s="1277" t="n">
        <v>0.13</v>
      </c>
      <c r="AG223" s="109"/>
      <c r="AH223" s="1277" t="n">
        <v>-0.25</v>
      </c>
      <c r="AI223" s="1277" t="n">
        <v>0.6</v>
      </c>
      <c r="AJ223" s="1277" t="n">
        <v>0.25</v>
      </c>
      <c r="AK223" s="109"/>
      <c r="AL223" s="1277" t="n">
        <v>-0.01</v>
      </c>
      <c r="AM223" s="1277" t="n">
        <v>0.16</v>
      </c>
      <c r="AN223" s="1277" t="n">
        <v>0.01</v>
      </c>
      <c r="AO223" s="109"/>
      <c r="AP223" s="197" t="n">
        <v>72</v>
      </c>
      <c r="AQ223" s="1280" t="n">
        <v>0.35</v>
      </c>
      <c r="AR223" s="1288"/>
      <c r="AS223" s="1288"/>
      <c r="AT223" s="1288"/>
      <c r="AU223" s="1288"/>
      <c r="AV223" s="1288"/>
      <c r="AW223" s="1288"/>
      <c r="AX223" s="1288"/>
      <c r="AY223" s="1288"/>
      <c r="AZ223" s="1288"/>
      <c r="BA223" s="1288"/>
      <c r="BB223" s="1288"/>
      <c r="BC223" s="1288"/>
      <c r="BD223" s="1288"/>
      <c r="BE223" s="1288"/>
      <c r="BF223" s="1288"/>
      <c r="BG223" s="1288"/>
      <c r="BH223" s="1288"/>
      <c r="BI223" s="1288"/>
      <c r="BJ223" s="1288"/>
      <c r="BK223" s="1288"/>
      <c r="BL223" s="1288"/>
      <c r="BM223" s="1288"/>
      <c r="BN223" s="1288"/>
      <c r="BO223" s="1288"/>
      <c r="BP223" s="1288"/>
      <c r="BQ223" s="1237" t="n">
        <v>43252</v>
      </c>
      <c r="BR223" s="1238" t="n">
        <v>3.7605</v>
      </c>
      <c r="BS223" s="1238" t="n">
        <v>3.7655</v>
      </c>
      <c r="BT223" s="1238" t="n">
        <v>3.7705</v>
      </c>
      <c r="BU223" s="1244" t="n">
        <f aca="false">BU222</f>
        <v>0.1435</v>
      </c>
      <c r="BV223" s="1244" t="n">
        <f aca="false">BV222</f>
        <v>0.15</v>
      </c>
      <c r="BW223" s="1244" t="n">
        <f aca="false">BW222</f>
        <v>0.1585</v>
      </c>
      <c r="BX223" s="1239" t="n">
        <v>-0.07</v>
      </c>
      <c r="BY223" s="1239"/>
      <c r="BZ223" s="1239" t="n">
        <v>0.07</v>
      </c>
      <c r="CA223" s="1243" t="n">
        <v>0</v>
      </c>
      <c r="CB223" s="1241" t="n">
        <v>0</v>
      </c>
      <c r="CC223" s="1242" t="n">
        <v>3.735</v>
      </c>
      <c r="CD223" s="1239" t="n">
        <v>0.1585</v>
      </c>
    </row>
    <row r="224" customFormat="false" ht="12.75" hidden="false" customHeight="false" outlineLevel="0" collapsed="false">
      <c r="A224" s="1237" t="n">
        <v>43374</v>
      </c>
      <c r="B224" s="1239" t="n">
        <v>0.072909771213269</v>
      </c>
      <c r="C224" s="1218"/>
      <c r="D224" s="1274" t="n">
        <v>42248</v>
      </c>
      <c r="E224" s="1275" t="n">
        <v>60.1970286590953</v>
      </c>
      <c r="F224" s="1275" t="n">
        <v>65.1970286590953</v>
      </c>
      <c r="G224" s="1275" t="n">
        <v>70.1970286590953</v>
      </c>
      <c r="H224" s="1266"/>
      <c r="I224" s="1275" t="n">
        <v>25.1375</v>
      </c>
      <c r="J224" s="1275" t="n">
        <v>30.1375</v>
      </c>
      <c r="K224" s="1275" t="n">
        <v>35.1375</v>
      </c>
      <c r="M224" s="1276" t="n">
        <v>43132</v>
      </c>
      <c r="N224" s="1277" t="n">
        <v>24.827385769396</v>
      </c>
      <c r="O224" s="1277" t="n">
        <v>29.827385769396</v>
      </c>
      <c r="P224" s="1277" t="n">
        <v>34.827385769396</v>
      </c>
      <c r="Q224" s="109"/>
      <c r="R224" s="1277" t="n">
        <v>17.370539327047</v>
      </c>
      <c r="S224" s="1277" t="n">
        <v>22.370539327047</v>
      </c>
      <c r="T224" s="1277" t="n">
        <v>27.370539327047</v>
      </c>
      <c r="V224" s="1278" t="n">
        <v>0</v>
      </c>
      <c r="W224" s="1278" t="n">
        <v>0</v>
      </c>
      <c r="X224" s="1278" t="n">
        <v>0</v>
      </c>
      <c r="Y224" s="1288"/>
      <c r="Z224" s="1277" t="n">
        <v>0.09</v>
      </c>
      <c r="AA224" s="1277" t="n">
        <v>0.1</v>
      </c>
      <c r="AB224" s="1277" t="n">
        <v>0.11</v>
      </c>
      <c r="AC224" s="109"/>
      <c r="AD224" s="1277" t="n">
        <v>0.09</v>
      </c>
      <c r="AE224" s="1277" t="n">
        <v>0.11</v>
      </c>
      <c r="AF224" s="1277" t="n">
        <v>0.13</v>
      </c>
      <c r="AG224" s="109"/>
      <c r="AH224" s="1277" t="n">
        <v>-0.25</v>
      </c>
      <c r="AI224" s="1277" t="n">
        <v>0.65</v>
      </c>
      <c r="AJ224" s="1277" t="n">
        <v>0.25</v>
      </c>
      <c r="AK224" s="109"/>
      <c r="AL224" s="1277" t="n">
        <v>-0.01</v>
      </c>
      <c r="AM224" s="1277" t="n">
        <v>0.16</v>
      </c>
      <c r="AN224" s="1277" t="n">
        <v>0.01</v>
      </c>
      <c r="AO224" s="109"/>
      <c r="AP224" s="197" t="n">
        <v>72</v>
      </c>
      <c r="AQ224" s="1280" t="n">
        <v>0.35</v>
      </c>
      <c r="AR224" s="1288"/>
      <c r="AS224" s="1288"/>
      <c r="AT224" s="1288"/>
      <c r="AU224" s="1288"/>
      <c r="AV224" s="1288"/>
      <c r="AW224" s="1288"/>
      <c r="AX224" s="1288"/>
      <c r="AY224" s="1288"/>
      <c r="AZ224" s="1288"/>
      <c r="BA224" s="1288"/>
      <c r="BB224" s="1288"/>
      <c r="BC224" s="1288"/>
      <c r="BD224" s="1288"/>
      <c r="BE224" s="1288"/>
      <c r="BF224" s="1288"/>
      <c r="BG224" s="1288"/>
      <c r="BH224" s="1288"/>
      <c r="BI224" s="1288"/>
      <c r="BJ224" s="1288"/>
      <c r="BK224" s="1288"/>
      <c r="BL224" s="1288"/>
      <c r="BM224" s="1288"/>
      <c r="BN224" s="1288"/>
      <c r="BO224" s="1288"/>
      <c r="BP224" s="1288"/>
      <c r="BQ224" s="1237" t="n">
        <v>43282</v>
      </c>
      <c r="BR224" s="1238" t="n">
        <v>3.7685</v>
      </c>
      <c r="BS224" s="1238" t="n">
        <v>3.7735</v>
      </c>
      <c r="BT224" s="1238" t="n">
        <v>3.7785</v>
      </c>
      <c r="BU224" s="1244" t="n">
        <f aca="false">BU223</f>
        <v>0.1435</v>
      </c>
      <c r="BV224" s="1244" t="n">
        <f aca="false">BV223</f>
        <v>0.15</v>
      </c>
      <c r="BW224" s="1244" t="n">
        <f aca="false">BW223</f>
        <v>0.1585</v>
      </c>
      <c r="BX224" s="1239" t="n">
        <v>-0.07</v>
      </c>
      <c r="BY224" s="1239"/>
      <c r="BZ224" s="1239" t="n">
        <v>0.07</v>
      </c>
      <c r="CA224" s="1243" t="n">
        <v>0</v>
      </c>
      <c r="CB224" s="1241" t="n">
        <v>0</v>
      </c>
      <c r="CC224" s="1242" t="n">
        <v>3.88</v>
      </c>
      <c r="CD224" s="1239" t="n">
        <v>0.1585</v>
      </c>
    </row>
    <row r="225" customFormat="false" ht="12.75" hidden="false" customHeight="false" outlineLevel="0" collapsed="false">
      <c r="A225" s="1237" t="n">
        <v>43405</v>
      </c>
      <c r="B225" s="1239" t="n">
        <v>0.072910785158585</v>
      </c>
      <c r="C225" s="1218"/>
      <c r="D225" s="1274" t="n">
        <v>42278</v>
      </c>
      <c r="E225" s="1275" t="n">
        <v>32.1932929389594</v>
      </c>
      <c r="F225" s="1275" t="n">
        <v>37.1932929389594</v>
      </c>
      <c r="G225" s="1275" t="n">
        <v>42.1932929389594</v>
      </c>
      <c r="H225" s="1266"/>
      <c r="I225" s="1275" t="n">
        <v>24.6516129032258</v>
      </c>
      <c r="J225" s="1275" t="n">
        <v>29.6516129032258</v>
      </c>
      <c r="K225" s="1275" t="n">
        <v>34.6516129032258</v>
      </c>
      <c r="M225" s="1276" t="n">
        <v>43160</v>
      </c>
      <c r="N225" s="1277" t="n">
        <v>24.077385769396</v>
      </c>
      <c r="O225" s="1277" t="n">
        <v>29.077385769396</v>
      </c>
      <c r="P225" s="1277" t="n">
        <v>34.077385769396</v>
      </c>
      <c r="Q225" s="109"/>
      <c r="R225" s="1277" t="n">
        <v>16.808039327047</v>
      </c>
      <c r="S225" s="1277" t="n">
        <v>21.808039327047</v>
      </c>
      <c r="T225" s="1277" t="n">
        <v>26.808039327047</v>
      </c>
      <c r="V225" s="1278" t="n">
        <v>0</v>
      </c>
      <c r="W225" s="1278" t="n">
        <v>0</v>
      </c>
      <c r="X225" s="1278" t="n">
        <v>0</v>
      </c>
      <c r="Y225" s="1288"/>
      <c r="Z225" s="1277" t="n">
        <v>0.09</v>
      </c>
      <c r="AA225" s="1277" t="n">
        <v>0.1</v>
      </c>
      <c r="AB225" s="1277" t="n">
        <v>0.11</v>
      </c>
      <c r="AC225" s="109"/>
      <c r="AD225" s="1277" t="n">
        <v>0.09</v>
      </c>
      <c r="AE225" s="1277" t="n">
        <v>0.11</v>
      </c>
      <c r="AF225" s="1277" t="n">
        <v>0.13</v>
      </c>
      <c r="AG225" s="109"/>
      <c r="AH225" s="1277" t="n">
        <v>-0.1</v>
      </c>
      <c r="AI225" s="1277" t="n">
        <v>0.65</v>
      </c>
      <c r="AJ225" s="1277" t="n">
        <v>0.1</v>
      </c>
      <c r="AK225" s="109"/>
      <c r="AL225" s="1277" t="n">
        <v>-0.01</v>
      </c>
      <c r="AM225" s="1277" t="n">
        <v>0.16</v>
      </c>
      <c r="AN225" s="1277" t="n">
        <v>0.01</v>
      </c>
      <c r="AO225" s="109"/>
      <c r="AP225" s="197" t="n">
        <v>72</v>
      </c>
      <c r="AQ225" s="1280" t="n">
        <v>0.35</v>
      </c>
      <c r="AR225" s="1288"/>
      <c r="AS225" s="1288"/>
      <c r="AT225" s="1288"/>
      <c r="AU225" s="1288"/>
      <c r="AV225" s="1288"/>
      <c r="AW225" s="1288"/>
      <c r="AX225" s="1288"/>
      <c r="AY225" s="1288"/>
      <c r="AZ225" s="1288"/>
      <c r="BA225" s="1288"/>
      <c r="BB225" s="1288"/>
      <c r="BC225" s="1288"/>
      <c r="BD225" s="1288"/>
      <c r="BE225" s="1288"/>
      <c r="BF225" s="1288"/>
      <c r="BG225" s="1288"/>
      <c r="BH225" s="1288"/>
      <c r="BI225" s="1288"/>
      <c r="BJ225" s="1288"/>
      <c r="BK225" s="1288"/>
      <c r="BL225" s="1288"/>
      <c r="BM225" s="1288"/>
      <c r="BN225" s="1288"/>
      <c r="BO225" s="1288"/>
      <c r="BP225" s="1288"/>
      <c r="BQ225" s="1237" t="n">
        <v>43313</v>
      </c>
      <c r="BR225" s="1238" t="n">
        <v>3.7775</v>
      </c>
      <c r="BS225" s="1238" t="n">
        <v>3.7825</v>
      </c>
      <c r="BT225" s="1238" t="n">
        <v>3.7875</v>
      </c>
      <c r="BU225" s="1244" t="n">
        <f aca="false">BU224</f>
        <v>0.1435</v>
      </c>
      <c r="BV225" s="1244" t="n">
        <f aca="false">BV224</f>
        <v>0.15</v>
      </c>
      <c r="BW225" s="1244" t="n">
        <f aca="false">BW224</f>
        <v>0.1585</v>
      </c>
      <c r="BX225" s="1239" t="n">
        <v>-0.07</v>
      </c>
      <c r="BY225" s="1239"/>
      <c r="BZ225" s="1239" t="n">
        <v>0.07</v>
      </c>
      <c r="CA225" s="1243" t="n">
        <v>0</v>
      </c>
      <c r="CB225" s="1241" t="n">
        <v>0</v>
      </c>
      <c r="CC225" s="1242" t="n">
        <v>4.014</v>
      </c>
      <c r="CD225" s="1239" t="n">
        <v>0.1585</v>
      </c>
    </row>
    <row r="226" customFormat="false" ht="12.75" hidden="false" customHeight="false" outlineLevel="0" collapsed="false">
      <c r="A226" s="1237" t="n">
        <v>43435</v>
      </c>
      <c r="B226" s="1239" t="n">
        <v>0.072911766395987</v>
      </c>
      <c r="C226" s="1218"/>
      <c r="D226" s="1274" t="n">
        <v>42309</v>
      </c>
      <c r="E226" s="1275" t="n">
        <v>24.4432929389594</v>
      </c>
      <c r="F226" s="1275" t="n">
        <v>29.4432929389594</v>
      </c>
      <c r="G226" s="1275" t="n">
        <v>34.4432929389594</v>
      </c>
      <c r="H226" s="1266"/>
      <c r="I226" s="1275" t="n">
        <v>25.9916666666667</v>
      </c>
      <c r="J226" s="1275" t="n">
        <v>30.9916666666667</v>
      </c>
      <c r="K226" s="1275" t="n">
        <v>35.9916666666667</v>
      </c>
      <c r="M226" s="1276" t="n">
        <v>43191</v>
      </c>
      <c r="N226" s="1277" t="n">
        <v>23.9846507552178</v>
      </c>
      <c r="O226" s="1277" t="n">
        <v>28.9846507552178</v>
      </c>
      <c r="P226" s="1277" t="n">
        <v>33.9846507552178</v>
      </c>
      <c r="Q226" s="109"/>
      <c r="R226" s="1277" t="n">
        <v>16.7384880664134</v>
      </c>
      <c r="S226" s="1277" t="n">
        <v>21.7384880664134</v>
      </c>
      <c r="T226" s="1277" t="n">
        <v>26.7384880664134</v>
      </c>
      <c r="V226" s="1278" t="n">
        <v>0</v>
      </c>
      <c r="W226" s="1278" t="n">
        <v>0</v>
      </c>
      <c r="X226" s="1278" t="n">
        <v>0</v>
      </c>
      <c r="Y226" s="1288"/>
      <c r="Z226" s="1277" t="n">
        <v>0.09</v>
      </c>
      <c r="AA226" s="1277" t="n">
        <v>0.1</v>
      </c>
      <c r="AB226" s="1277" t="n">
        <v>0.11</v>
      </c>
      <c r="AC226" s="109"/>
      <c r="AD226" s="1277" t="n">
        <v>0.09</v>
      </c>
      <c r="AE226" s="1277" t="n">
        <v>0.11</v>
      </c>
      <c r="AF226" s="1277" t="n">
        <v>0.13</v>
      </c>
      <c r="AG226" s="109"/>
      <c r="AH226" s="1277" t="n">
        <v>-0.1</v>
      </c>
      <c r="AI226" s="1277" t="n">
        <v>0.65</v>
      </c>
      <c r="AJ226" s="1277" t="n">
        <v>0.1</v>
      </c>
      <c r="AK226" s="109"/>
      <c r="AL226" s="1277" t="n">
        <v>-0.01</v>
      </c>
      <c r="AM226" s="1277" t="n">
        <v>0.16</v>
      </c>
      <c r="AN226" s="1277" t="n">
        <v>0.01</v>
      </c>
      <c r="AO226" s="109"/>
      <c r="AP226" s="197" t="n">
        <v>73</v>
      </c>
      <c r="AQ226" s="1280" t="n">
        <v>0.35</v>
      </c>
      <c r="AR226" s="1288"/>
      <c r="AS226" s="1288"/>
      <c r="AT226" s="1288"/>
      <c r="AU226" s="1288"/>
      <c r="AV226" s="1288"/>
      <c r="AW226" s="1288"/>
      <c r="AX226" s="1288"/>
      <c r="AY226" s="1288"/>
      <c r="AZ226" s="1288"/>
      <c r="BA226" s="1288"/>
      <c r="BB226" s="1288"/>
      <c r="BC226" s="1288"/>
      <c r="BD226" s="1288"/>
      <c r="BE226" s="1288"/>
      <c r="BF226" s="1288"/>
      <c r="BG226" s="1288"/>
      <c r="BH226" s="1288"/>
      <c r="BI226" s="1288"/>
      <c r="BJ226" s="1288"/>
      <c r="BK226" s="1288"/>
      <c r="BL226" s="1288"/>
      <c r="BM226" s="1288"/>
      <c r="BN226" s="1288"/>
      <c r="BO226" s="1288"/>
      <c r="BP226" s="1288"/>
      <c r="BQ226" s="1237" t="n">
        <v>43344</v>
      </c>
      <c r="BR226" s="1238" t="n">
        <v>3.7695</v>
      </c>
      <c r="BS226" s="1238" t="n">
        <v>3.7745</v>
      </c>
      <c r="BT226" s="1238" t="n">
        <v>3.7795</v>
      </c>
      <c r="BU226" s="1244" t="n">
        <f aca="false">BU225</f>
        <v>0.1435</v>
      </c>
      <c r="BV226" s="1244" t="n">
        <f aca="false">BV225</f>
        <v>0.15</v>
      </c>
      <c r="BW226" s="1244" t="n">
        <f aca="false">BW225</f>
        <v>0.1585</v>
      </c>
      <c r="BX226" s="1239" t="n">
        <v>-0.07</v>
      </c>
      <c r="BY226" s="1239"/>
      <c r="BZ226" s="1239" t="n">
        <v>0.07</v>
      </c>
      <c r="CA226" s="1243" t="n">
        <v>0</v>
      </c>
      <c r="CB226" s="1241" t="n">
        <v>0</v>
      </c>
      <c r="CC226" s="1242" t="n">
        <v>3.889</v>
      </c>
      <c r="CD226" s="1239" t="n">
        <v>0.1585</v>
      </c>
    </row>
    <row r="227" customFormat="false" ht="12.75" hidden="false" customHeight="false" outlineLevel="0" collapsed="false">
      <c r="A227" s="1237" t="n">
        <v>43466</v>
      </c>
      <c r="B227" s="1239" t="n">
        <v>0.072912780341304</v>
      </c>
      <c r="C227" s="1218"/>
      <c r="D227" s="1274" t="n">
        <v>42339</v>
      </c>
      <c r="E227" s="1275" t="n">
        <v>26.4432929389594</v>
      </c>
      <c r="F227" s="1275" t="n">
        <v>31.4432929389594</v>
      </c>
      <c r="G227" s="1275" t="n">
        <v>36.4432929389594</v>
      </c>
      <c r="H227" s="1266"/>
      <c r="I227" s="1275" t="n">
        <v>25.2967741935484</v>
      </c>
      <c r="J227" s="1275" t="n">
        <v>30.2967741935484</v>
      </c>
      <c r="K227" s="1275" t="n">
        <v>35.2967741935484</v>
      </c>
      <c r="M227" s="1276" t="n">
        <v>43221</v>
      </c>
      <c r="N227" s="1277" t="n">
        <v>23.9846507552178</v>
      </c>
      <c r="O227" s="1277" t="n">
        <v>28.9846507552178</v>
      </c>
      <c r="P227" s="1277" t="n">
        <v>33.9846507552178</v>
      </c>
      <c r="Q227" s="109"/>
      <c r="R227" s="1277" t="n">
        <v>16.7384880664134</v>
      </c>
      <c r="S227" s="1277" t="n">
        <v>21.7384880664134</v>
      </c>
      <c r="T227" s="1277" t="n">
        <v>26.7384880664134</v>
      </c>
      <c r="V227" s="1278" t="n">
        <v>0</v>
      </c>
      <c r="W227" s="1278" t="n">
        <v>0</v>
      </c>
      <c r="X227" s="1278" t="n">
        <v>0</v>
      </c>
      <c r="Y227" s="1288"/>
      <c r="Z227" s="1277" t="n">
        <v>0.09</v>
      </c>
      <c r="AA227" s="1277" t="n">
        <v>0.1</v>
      </c>
      <c r="AB227" s="1277" t="n">
        <v>0.11</v>
      </c>
      <c r="AC227" s="109"/>
      <c r="AD227" s="1277" t="n">
        <v>0.09</v>
      </c>
      <c r="AE227" s="1277" t="n">
        <v>0.11</v>
      </c>
      <c r="AF227" s="1277" t="n">
        <v>0.13</v>
      </c>
      <c r="AG227" s="109"/>
      <c r="AH227" s="1277" t="n">
        <v>-0.1</v>
      </c>
      <c r="AI227" s="1277" t="n">
        <v>0.65</v>
      </c>
      <c r="AJ227" s="1277" t="n">
        <v>0.1</v>
      </c>
      <c r="AK227" s="109"/>
      <c r="AL227" s="1277" t="n">
        <v>-0.01</v>
      </c>
      <c r="AM227" s="1277" t="n">
        <v>0.16</v>
      </c>
      <c r="AN227" s="1277" t="n">
        <v>0.01</v>
      </c>
      <c r="AO227" s="109"/>
      <c r="AP227" s="197" t="n">
        <v>73</v>
      </c>
      <c r="AQ227" s="1280" t="n">
        <v>0.35</v>
      </c>
      <c r="AR227" s="1288"/>
      <c r="AS227" s="1288"/>
      <c r="AT227" s="1288"/>
      <c r="AU227" s="1288"/>
      <c r="AV227" s="1288"/>
      <c r="AW227" s="1288"/>
      <c r="AX227" s="1288"/>
      <c r="AY227" s="1288"/>
      <c r="AZ227" s="1288"/>
      <c r="BA227" s="1288"/>
      <c r="BB227" s="1288"/>
      <c r="BC227" s="1288"/>
      <c r="BD227" s="1288"/>
      <c r="BE227" s="1288"/>
      <c r="BF227" s="1288"/>
      <c r="BG227" s="1288"/>
      <c r="BH227" s="1288"/>
      <c r="BI227" s="1288"/>
      <c r="BJ227" s="1288"/>
      <c r="BK227" s="1288"/>
      <c r="BL227" s="1288"/>
      <c r="BM227" s="1288"/>
      <c r="BN227" s="1288"/>
      <c r="BO227" s="1288"/>
      <c r="BP227" s="1288"/>
      <c r="BQ227" s="1237" t="n">
        <v>43374</v>
      </c>
      <c r="BR227" s="1238" t="n">
        <v>3.7815</v>
      </c>
      <c r="BS227" s="1238" t="n">
        <v>3.7865</v>
      </c>
      <c r="BT227" s="1238" t="n">
        <v>3.7915</v>
      </c>
      <c r="BU227" s="1244" t="n">
        <f aca="false">BU226</f>
        <v>0.1435</v>
      </c>
      <c r="BV227" s="1244" t="n">
        <f aca="false">BV226</f>
        <v>0.15</v>
      </c>
      <c r="BW227" s="1244" t="n">
        <f aca="false">BW226</f>
        <v>0.1585</v>
      </c>
      <c r="BX227" s="1239" t="n">
        <v>-0.07</v>
      </c>
      <c r="BY227" s="1239"/>
      <c r="BZ227" s="1239" t="n">
        <v>0.07</v>
      </c>
      <c r="CA227" s="1243" t="n">
        <v>0</v>
      </c>
      <c r="CB227" s="1241" t="n">
        <v>0</v>
      </c>
      <c r="CC227" s="1242" t="n">
        <v>3.782</v>
      </c>
      <c r="CD227" s="1239" t="n">
        <v>0.1585</v>
      </c>
    </row>
    <row r="228" customFormat="false" ht="12.75" hidden="false" customHeight="false" outlineLevel="0" collapsed="false">
      <c r="A228" s="1237" t="n">
        <v>43497</v>
      </c>
      <c r="B228" s="1239" t="n">
        <v>0.072913794286621</v>
      </c>
      <c r="C228" s="1218"/>
      <c r="D228" s="1274" t="n">
        <v>42370</v>
      </c>
      <c r="E228" s="1275" t="n">
        <v>25.1835412161434</v>
      </c>
      <c r="F228" s="1275" t="n">
        <v>30.1835412161434</v>
      </c>
      <c r="G228" s="1275" t="n">
        <v>35.1835412161434</v>
      </c>
      <c r="H228" s="1266"/>
      <c r="I228" s="1275" t="n">
        <v>22.8381191510522</v>
      </c>
      <c r="J228" s="1275" t="n">
        <v>27.8381191510522</v>
      </c>
      <c r="K228" s="1275" t="n">
        <v>32.8381191510522</v>
      </c>
      <c r="M228" s="1276" t="n">
        <v>43252</v>
      </c>
      <c r="N228" s="1277" t="n">
        <v>29.2346507552178</v>
      </c>
      <c r="O228" s="1277" t="n">
        <v>34.2346507552178</v>
      </c>
      <c r="P228" s="1277" t="n">
        <v>39.2346507552178</v>
      </c>
      <c r="Q228" s="109"/>
      <c r="R228" s="1277" t="n">
        <v>20.6759880664134</v>
      </c>
      <c r="S228" s="1277" t="n">
        <v>25.6759880664134</v>
      </c>
      <c r="T228" s="1277" t="n">
        <v>30.6759880664134</v>
      </c>
      <c r="V228" s="1278" t="n">
        <v>0</v>
      </c>
      <c r="W228" s="1278" t="n">
        <v>0</v>
      </c>
      <c r="X228" s="1278" t="n">
        <v>0</v>
      </c>
      <c r="Y228" s="1288"/>
      <c r="Z228" s="1277" t="n">
        <v>0.09</v>
      </c>
      <c r="AA228" s="1277" t="n">
        <v>0.1</v>
      </c>
      <c r="AB228" s="1277" t="n">
        <v>0.11</v>
      </c>
      <c r="AC228" s="109"/>
      <c r="AD228" s="1277" t="n">
        <v>0.09</v>
      </c>
      <c r="AE228" s="1277" t="n">
        <v>0.11</v>
      </c>
      <c r="AF228" s="1277" t="n">
        <v>0.13</v>
      </c>
      <c r="AG228" s="109"/>
      <c r="AH228" s="1277" t="n">
        <v>-0.35</v>
      </c>
      <c r="AI228" s="1277" t="n">
        <v>0.65</v>
      </c>
      <c r="AJ228" s="1277" t="n">
        <v>0.2</v>
      </c>
      <c r="AK228" s="109"/>
      <c r="AL228" s="1277" t="n">
        <v>-0.01</v>
      </c>
      <c r="AM228" s="1277" t="n">
        <v>0.16</v>
      </c>
      <c r="AN228" s="1277" t="n">
        <v>0.01</v>
      </c>
      <c r="AO228" s="109"/>
      <c r="AP228" s="197" t="n">
        <v>73</v>
      </c>
      <c r="AQ228" s="1280" t="n">
        <v>0.35</v>
      </c>
      <c r="AR228" s="1288"/>
      <c r="AS228" s="1288"/>
      <c r="AT228" s="1288"/>
      <c r="AU228" s="1288"/>
      <c r="AV228" s="1288"/>
      <c r="AW228" s="1288"/>
      <c r="AX228" s="1288"/>
      <c r="AY228" s="1288"/>
      <c r="AZ228" s="1288"/>
      <c r="BA228" s="1288"/>
      <c r="BB228" s="1288"/>
      <c r="BC228" s="1288"/>
      <c r="BD228" s="1288"/>
      <c r="BE228" s="1288"/>
      <c r="BF228" s="1288"/>
      <c r="BG228" s="1288"/>
      <c r="BH228" s="1288"/>
      <c r="BI228" s="1288"/>
      <c r="BJ228" s="1288"/>
      <c r="BK228" s="1288"/>
      <c r="BL228" s="1288"/>
      <c r="BM228" s="1288"/>
      <c r="BN228" s="1288"/>
      <c r="BO228" s="1288"/>
      <c r="BP228" s="1288"/>
      <c r="BQ228" s="1237" t="n">
        <v>43405</v>
      </c>
      <c r="BR228" s="1238" t="n">
        <v>3.8395</v>
      </c>
      <c r="BS228" s="1238" t="n">
        <v>3.8445</v>
      </c>
      <c r="BT228" s="1238" t="n">
        <v>3.8495</v>
      </c>
      <c r="BU228" s="1244" t="n">
        <f aca="false">BU227</f>
        <v>0.1435</v>
      </c>
      <c r="BV228" s="1244" t="n">
        <f aca="false">BV227</f>
        <v>0.15</v>
      </c>
      <c r="BW228" s="1244" t="n">
        <f aca="false">BW227</f>
        <v>0.1585</v>
      </c>
      <c r="BX228" s="1239" t="n">
        <v>-0.07</v>
      </c>
      <c r="BY228" s="1239"/>
      <c r="BZ228" s="1239" t="n">
        <v>0.07</v>
      </c>
      <c r="CA228" s="1243" t="n">
        <v>0</v>
      </c>
      <c r="CB228" s="1241" t="n">
        <v>0</v>
      </c>
      <c r="CC228" s="1242" t="n">
        <v>3.679</v>
      </c>
      <c r="CD228" s="1239" t="n">
        <v>0.1585</v>
      </c>
    </row>
    <row r="229" customFormat="false" ht="12.75" hidden="false" customHeight="false" outlineLevel="0" collapsed="false">
      <c r="A229" s="1237" t="n">
        <v>43525</v>
      </c>
      <c r="B229" s="1239" t="n">
        <v>0.072914710108197</v>
      </c>
      <c r="C229" s="1218"/>
      <c r="D229" s="1274" t="n">
        <v>42401</v>
      </c>
      <c r="E229" s="1275" t="n">
        <v>24.6835412161434</v>
      </c>
      <c r="F229" s="1275" t="n">
        <v>29.6835412161434</v>
      </c>
      <c r="G229" s="1275" t="n">
        <v>34.6835412161434</v>
      </c>
      <c r="H229" s="1266"/>
      <c r="I229" s="1275" t="n">
        <v>23.8071428571429</v>
      </c>
      <c r="J229" s="1275" t="n">
        <v>28.8071428571429</v>
      </c>
      <c r="K229" s="1275" t="n">
        <v>33.8071428571429</v>
      </c>
      <c r="M229" s="1276" t="n">
        <v>43282</v>
      </c>
      <c r="N229" s="1277" t="n">
        <v>56.0961154369272</v>
      </c>
      <c r="O229" s="1277" t="n">
        <v>61.0961154369272</v>
      </c>
      <c r="P229" s="1277" t="n">
        <v>66.0961154369272</v>
      </c>
      <c r="Q229" s="109"/>
      <c r="R229" s="1277" t="n">
        <v>40.8220865776954</v>
      </c>
      <c r="S229" s="1277" t="n">
        <v>45.8220865776954</v>
      </c>
      <c r="T229" s="1277" t="n">
        <v>50.8220865776954</v>
      </c>
      <c r="V229" s="1278" t="n">
        <v>0</v>
      </c>
      <c r="W229" s="1278" t="n">
        <v>0</v>
      </c>
      <c r="X229" s="1278" t="n">
        <v>0</v>
      </c>
      <c r="Y229" s="1288"/>
      <c r="Z229" s="1277" t="n">
        <v>0.09</v>
      </c>
      <c r="AA229" s="1277" t="n">
        <v>0.1</v>
      </c>
      <c r="AB229" s="1277" t="n">
        <v>0.11</v>
      </c>
      <c r="AC229" s="109"/>
      <c r="AD229" s="1277" t="n">
        <v>0.09</v>
      </c>
      <c r="AE229" s="1277" t="n">
        <v>0.11</v>
      </c>
      <c r="AF229" s="1277" t="n">
        <v>0.13</v>
      </c>
      <c r="AG229" s="109"/>
      <c r="AH229" s="1277" t="n">
        <v>-0.35</v>
      </c>
      <c r="AI229" s="1277" t="n">
        <v>0.65</v>
      </c>
      <c r="AJ229" s="1277" t="n">
        <v>0.35</v>
      </c>
      <c r="AK229" s="109"/>
      <c r="AL229" s="1277" t="n">
        <v>-0.01</v>
      </c>
      <c r="AM229" s="1277" t="n">
        <v>0.16</v>
      </c>
      <c r="AN229" s="1277" t="n">
        <v>0.01</v>
      </c>
      <c r="AO229" s="109"/>
      <c r="AP229" s="197" t="n">
        <v>74</v>
      </c>
      <c r="AQ229" s="1280" t="n">
        <v>0.35</v>
      </c>
      <c r="AR229" s="1288"/>
      <c r="AS229" s="1288"/>
      <c r="AT229" s="1288"/>
      <c r="AU229" s="1288"/>
      <c r="AV229" s="1288"/>
      <c r="AW229" s="1288"/>
      <c r="AX229" s="1288"/>
      <c r="AY229" s="1288"/>
      <c r="AZ229" s="1288"/>
      <c r="BA229" s="1288"/>
      <c r="BB229" s="1288"/>
      <c r="BC229" s="1288"/>
      <c r="BD229" s="1288"/>
      <c r="BE229" s="1288"/>
      <c r="BF229" s="1288"/>
      <c r="BG229" s="1288"/>
      <c r="BH229" s="1288"/>
      <c r="BI229" s="1288"/>
      <c r="BJ229" s="1288"/>
      <c r="BK229" s="1288"/>
      <c r="BL229" s="1288"/>
      <c r="BM229" s="1288"/>
      <c r="BN229" s="1288"/>
      <c r="BO229" s="1288"/>
      <c r="BP229" s="1288"/>
      <c r="BQ229" s="1237" t="n">
        <v>43435</v>
      </c>
      <c r="BR229" s="1238" t="n">
        <v>3.9175</v>
      </c>
      <c r="BS229" s="1238" t="n">
        <v>3.9225</v>
      </c>
      <c r="BT229" s="1238" t="n">
        <v>3.9275</v>
      </c>
      <c r="BU229" s="1244" t="n">
        <f aca="false">BU228</f>
        <v>0.1435</v>
      </c>
      <c r="BV229" s="1244" t="n">
        <f aca="false">BV228</f>
        <v>0.15</v>
      </c>
      <c r="BW229" s="1244" t="n">
        <f aca="false">BW228</f>
        <v>0.1585</v>
      </c>
      <c r="BX229" s="1239" t="n">
        <v>-0.07</v>
      </c>
      <c r="BY229" s="1239"/>
      <c r="BZ229" s="1239" t="n">
        <v>0.07</v>
      </c>
      <c r="CA229" s="1243" t="n">
        <v>0</v>
      </c>
      <c r="CB229" s="1241" t="n">
        <v>0</v>
      </c>
      <c r="CC229" s="1242" t="n">
        <v>3.655</v>
      </c>
      <c r="CD229" s="1239" t="n">
        <v>0.1585</v>
      </c>
    </row>
    <row r="230" customFormat="false" ht="12.75" hidden="false" customHeight="false" outlineLevel="0" collapsed="false">
      <c r="A230" s="1237" t="n">
        <v>43556</v>
      </c>
      <c r="B230" s="1239" t="n">
        <v>0.072915724053515</v>
      </c>
      <c r="C230" s="1218"/>
      <c r="D230" s="1274" t="n">
        <v>42430</v>
      </c>
      <c r="E230" s="1275" t="n">
        <v>24.4335412161434</v>
      </c>
      <c r="F230" s="1275" t="n">
        <v>29.4335412161434</v>
      </c>
      <c r="G230" s="1275" t="n">
        <v>34.4335412161434</v>
      </c>
      <c r="H230" s="1266"/>
      <c r="I230" s="1275" t="n">
        <v>24.0870967741936</v>
      </c>
      <c r="J230" s="1275" t="n">
        <v>29.0870967741936</v>
      </c>
      <c r="K230" s="1275" t="n">
        <v>34.0870967741936</v>
      </c>
      <c r="M230" s="1276" t="n">
        <v>43313</v>
      </c>
      <c r="N230" s="1277" t="n">
        <v>76.7211154369272</v>
      </c>
      <c r="O230" s="1277" t="n">
        <v>81.7211154369272</v>
      </c>
      <c r="P230" s="1277" t="n">
        <v>86.7211154369272</v>
      </c>
      <c r="Q230" s="109"/>
      <c r="R230" s="1277" t="n">
        <v>56.2908365776954</v>
      </c>
      <c r="S230" s="1277" t="n">
        <v>61.2908365776954</v>
      </c>
      <c r="T230" s="1277" t="n">
        <v>66.2908365776954</v>
      </c>
      <c r="V230" s="1278" t="n">
        <v>0</v>
      </c>
      <c r="W230" s="1278" t="n">
        <v>0</v>
      </c>
      <c r="X230" s="1278" t="n">
        <v>0</v>
      </c>
      <c r="Y230" s="1288"/>
      <c r="Z230" s="1277" t="n">
        <v>0.09</v>
      </c>
      <c r="AA230" s="1277" t="n">
        <v>0.1</v>
      </c>
      <c r="AB230" s="1277" t="n">
        <v>0.11</v>
      </c>
      <c r="AC230" s="109"/>
      <c r="AD230" s="1277" t="n">
        <v>0.09</v>
      </c>
      <c r="AE230" s="1277" t="n">
        <v>0.11</v>
      </c>
      <c r="AF230" s="1277" t="n">
        <v>0.13</v>
      </c>
      <c r="AG230" s="109"/>
      <c r="AH230" s="1277" t="n">
        <v>-0.35</v>
      </c>
      <c r="AI230" s="1277" t="n">
        <v>3</v>
      </c>
      <c r="AJ230" s="1277" t="n">
        <v>0.35</v>
      </c>
      <c r="AK230" s="109"/>
      <c r="AL230" s="1277" t="n">
        <v>-0.01</v>
      </c>
      <c r="AM230" s="1277" t="n">
        <v>0.16</v>
      </c>
      <c r="AN230" s="1277" t="n">
        <v>0.01</v>
      </c>
      <c r="AO230" s="109"/>
      <c r="AP230" s="197" t="n">
        <v>74</v>
      </c>
      <c r="AQ230" s="1280" t="n">
        <v>0.35</v>
      </c>
      <c r="AR230" s="1288"/>
      <c r="AS230" s="1288"/>
      <c r="AT230" s="1288"/>
      <c r="AU230" s="1288"/>
      <c r="AV230" s="1288"/>
      <c r="AW230" s="1288"/>
      <c r="AX230" s="1288"/>
      <c r="AY230" s="1288"/>
      <c r="AZ230" s="1288"/>
      <c r="BA230" s="1288"/>
      <c r="BB230" s="1288"/>
      <c r="BC230" s="1288"/>
      <c r="BD230" s="1288"/>
      <c r="BE230" s="1288"/>
      <c r="BF230" s="1288"/>
      <c r="BG230" s="1288"/>
      <c r="BH230" s="1288"/>
      <c r="BI230" s="1288"/>
      <c r="BJ230" s="1288"/>
      <c r="BK230" s="1288"/>
      <c r="BL230" s="1288"/>
      <c r="BM230" s="1288"/>
      <c r="BN230" s="1288"/>
      <c r="BO230" s="1288"/>
      <c r="BP230" s="1288"/>
      <c r="BQ230" s="1237" t="n">
        <v>43466</v>
      </c>
      <c r="BR230" s="1238" t="n">
        <v>3.9595</v>
      </c>
      <c r="BS230" s="1238" t="n">
        <v>3.9645</v>
      </c>
      <c r="BT230" s="1238" t="n">
        <v>3.9695</v>
      </c>
      <c r="BU230" s="1244" t="n">
        <f aca="false">BU229</f>
        <v>0.1435</v>
      </c>
      <c r="BV230" s="1244" t="n">
        <f aca="false">BV229</f>
        <v>0.15</v>
      </c>
      <c r="BW230" s="1244" t="n">
        <f aca="false">BW229</f>
        <v>0.1585</v>
      </c>
      <c r="BX230" s="1239" t="n">
        <v>-0.07</v>
      </c>
      <c r="BY230" s="1239"/>
      <c r="BZ230" s="1239" t="n">
        <v>0.07</v>
      </c>
      <c r="CA230" s="1243" t="n">
        <v>0</v>
      </c>
      <c r="CB230" s="1241" t="n">
        <v>0</v>
      </c>
      <c r="CC230" s="1242" t="n">
        <v>3.662</v>
      </c>
      <c r="CD230" s="1239" t="n">
        <v>0.1585</v>
      </c>
    </row>
    <row r="231" customFormat="false" ht="12.75" hidden="false" customHeight="false" outlineLevel="0" collapsed="false">
      <c r="A231" s="1237" t="n">
        <v>43586</v>
      </c>
      <c r="B231" s="1239" t="n">
        <v>0.072916705290919</v>
      </c>
      <c r="C231" s="1218"/>
      <c r="D231" s="1274" t="n">
        <v>42461</v>
      </c>
      <c r="E231" s="1275" t="n">
        <v>24.5795601511877</v>
      </c>
      <c r="F231" s="1275" t="n">
        <v>29.5795601511877</v>
      </c>
      <c r="G231" s="1275" t="n">
        <v>34.5795601511878</v>
      </c>
      <c r="H231" s="1266"/>
      <c r="I231" s="1275" t="n">
        <v>21.8875</v>
      </c>
      <c r="J231" s="1275" t="n">
        <v>26.8875</v>
      </c>
      <c r="K231" s="1275" t="n">
        <v>31.8875</v>
      </c>
      <c r="M231" s="1276" t="n">
        <v>43344</v>
      </c>
      <c r="N231" s="1277" t="n">
        <v>60.7211154369272</v>
      </c>
      <c r="O231" s="1277" t="n">
        <v>65.7211154369272</v>
      </c>
      <c r="P231" s="1277" t="n">
        <v>70.7211154369272</v>
      </c>
      <c r="Q231" s="109"/>
      <c r="R231" s="1277" t="n">
        <v>44.2908365776954</v>
      </c>
      <c r="S231" s="1277" t="n">
        <v>49.2908365776954</v>
      </c>
      <c r="T231" s="1277" t="n">
        <v>54.2908365776954</v>
      </c>
      <c r="V231" s="1278" t="n">
        <v>0</v>
      </c>
      <c r="W231" s="1278" t="n">
        <v>0</v>
      </c>
      <c r="X231" s="1278" t="n">
        <v>0</v>
      </c>
      <c r="Y231" s="1288"/>
      <c r="Z231" s="1277" t="n">
        <v>0.09</v>
      </c>
      <c r="AA231" s="1277" t="n">
        <v>0.1</v>
      </c>
      <c r="AB231" s="1277" t="n">
        <v>0.11</v>
      </c>
      <c r="AC231" s="109"/>
      <c r="AD231" s="1277" t="n">
        <v>0.09</v>
      </c>
      <c r="AE231" s="1277" t="n">
        <v>0.11</v>
      </c>
      <c r="AF231" s="1277" t="n">
        <v>0.13</v>
      </c>
      <c r="AG231" s="109"/>
      <c r="AH231" s="1277" t="n">
        <v>-0.35</v>
      </c>
      <c r="AI231" s="1277" t="n">
        <v>3</v>
      </c>
      <c r="AJ231" s="1277" t="n">
        <v>0.2</v>
      </c>
      <c r="AK231" s="109"/>
      <c r="AL231" s="1277" t="n">
        <v>-0.01</v>
      </c>
      <c r="AM231" s="1277" t="n">
        <v>0.16</v>
      </c>
      <c r="AN231" s="1277" t="n">
        <v>0.01</v>
      </c>
      <c r="AO231" s="109"/>
      <c r="AP231" s="197" t="n">
        <v>74</v>
      </c>
      <c r="AQ231" s="1280" t="n">
        <v>0.35</v>
      </c>
      <c r="AR231" s="1288"/>
      <c r="AS231" s="1288"/>
      <c r="AT231" s="1288"/>
      <c r="AU231" s="1288"/>
      <c r="AV231" s="1288"/>
      <c r="AW231" s="1288"/>
      <c r="AX231" s="1288"/>
      <c r="AY231" s="1288"/>
      <c r="AZ231" s="1288"/>
      <c r="BA231" s="1288"/>
      <c r="BB231" s="1288"/>
      <c r="BC231" s="1288"/>
      <c r="BD231" s="1288"/>
      <c r="BE231" s="1288"/>
      <c r="BF231" s="1288"/>
      <c r="BG231" s="1288"/>
      <c r="BH231" s="1288"/>
      <c r="BI231" s="1288"/>
      <c r="BJ231" s="1288"/>
      <c r="BK231" s="1288"/>
      <c r="BL231" s="1288"/>
      <c r="BM231" s="1288"/>
      <c r="BN231" s="1288"/>
      <c r="BO231" s="1288"/>
      <c r="BP231" s="1288"/>
      <c r="BQ231" s="1237" t="n">
        <v>43497</v>
      </c>
      <c r="BR231" s="1238" t="n">
        <v>3.9105</v>
      </c>
      <c r="BS231" s="1238" t="n">
        <v>3.9155</v>
      </c>
      <c r="BT231" s="1238" t="n">
        <v>3.9205</v>
      </c>
      <c r="BU231" s="1244" t="n">
        <f aca="false">BU230</f>
        <v>0.1435</v>
      </c>
      <c r="BV231" s="1244" t="n">
        <f aca="false">BV230</f>
        <v>0.15</v>
      </c>
      <c r="BW231" s="1244" t="n">
        <f aca="false">BW230</f>
        <v>0.1585</v>
      </c>
      <c r="BX231" s="1239" t="n">
        <v>-0.07</v>
      </c>
      <c r="BY231" s="1239"/>
      <c r="BZ231" s="1239" t="n">
        <v>0.07</v>
      </c>
      <c r="CA231" s="1243" t="n">
        <v>0</v>
      </c>
      <c r="CB231" s="1241" t="n">
        <v>0</v>
      </c>
      <c r="CC231" s="1242" t="n">
        <v>3.668</v>
      </c>
      <c r="CD231" s="1239" t="n">
        <v>0.1585</v>
      </c>
    </row>
    <row r="232" customFormat="false" ht="12.75" hidden="false" customHeight="false" outlineLevel="0" collapsed="false">
      <c r="A232" s="1237" t="n">
        <v>43617</v>
      </c>
      <c r="B232" s="1239" t="n">
        <v>0.072917719236237</v>
      </c>
      <c r="C232" s="1218"/>
      <c r="D232" s="1274" t="n">
        <v>42491</v>
      </c>
      <c r="E232" s="1275" t="n">
        <v>23.8295601511877</v>
      </c>
      <c r="F232" s="1275" t="n">
        <v>28.8295601511877</v>
      </c>
      <c r="G232" s="1275" t="n">
        <v>33.8295601511878</v>
      </c>
      <c r="H232" s="1266"/>
      <c r="I232" s="1275" t="n">
        <v>21.9459677419355</v>
      </c>
      <c r="J232" s="1275" t="n">
        <v>26.9459677419355</v>
      </c>
      <c r="K232" s="1275" t="n">
        <v>31.9459677419355</v>
      </c>
      <c r="M232" s="1276" t="n">
        <v>43374</v>
      </c>
      <c r="N232" s="1277" t="n">
        <v>32.4226548657147</v>
      </c>
      <c r="O232" s="1277" t="n">
        <v>37.4226548657147</v>
      </c>
      <c r="P232" s="1277" t="n">
        <v>42.4226548657147</v>
      </c>
      <c r="Q232" s="109"/>
      <c r="R232" s="1277" t="n">
        <v>23.066991149286</v>
      </c>
      <c r="S232" s="1277" t="n">
        <v>28.066991149286</v>
      </c>
      <c r="T232" s="1277" t="n">
        <v>33.066991149286</v>
      </c>
      <c r="V232" s="1278" t="n">
        <v>0</v>
      </c>
      <c r="W232" s="1278" t="n">
        <v>0</v>
      </c>
      <c r="X232" s="1278" t="n">
        <v>0</v>
      </c>
      <c r="Y232" s="1288"/>
      <c r="Z232" s="1277" t="n">
        <v>0.09</v>
      </c>
      <c r="AA232" s="1277" t="n">
        <v>0.1</v>
      </c>
      <c r="AB232" s="1277" t="n">
        <v>0.11</v>
      </c>
      <c r="AC232" s="109"/>
      <c r="AD232" s="1277" t="n">
        <v>0.09</v>
      </c>
      <c r="AE232" s="1277" t="n">
        <v>0.11</v>
      </c>
      <c r="AF232" s="1277" t="n">
        <v>0.13</v>
      </c>
      <c r="AG232" s="109"/>
      <c r="AH232" s="1277" t="n">
        <v>-0.1</v>
      </c>
      <c r="AI232" s="1277" t="n">
        <v>3</v>
      </c>
      <c r="AJ232" s="1277" t="n">
        <v>0.1</v>
      </c>
      <c r="AK232" s="109"/>
      <c r="AL232" s="1277" t="n">
        <v>-0.01</v>
      </c>
      <c r="AM232" s="1277" t="n">
        <v>0.16</v>
      </c>
      <c r="AN232" s="1277" t="n">
        <v>0.01</v>
      </c>
      <c r="AO232" s="109"/>
      <c r="AP232" s="197" t="n">
        <v>75</v>
      </c>
      <c r="AQ232" s="1280" t="n">
        <v>0.35</v>
      </c>
      <c r="AR232" s="1288"/>
      <c r="AS232" s="1288"/>
      <c r="AT232" s="1288"/>
      <c r="AU232" s="1288"/>
      <c r="AV232" s="1288"/>
      <c r="AW232" s="1288"/>
      <c r="AX232" s="1288"/>
      <c r="AY232" s="1288"/>
      <c r="AZ232" s="1288"/>
      <c r="BA232" s="1288"/>
      <c r="BB232" s="1288"/>
      <c r="BC232" s="1288"/>
      <c r="BD232" s="1288"/>
      <c r="BE232" s="1288"/>
      <c r="BF232" s="1288"/>
      <c r="BG232" s="1288"/>
      <c r="BH232" s="1288"/>
      <c r="BI232" s="1288"/>
      <c r="BJ232" s="1288"/>
      <c r="BK232" s="1288"/>
      <c r="BL232" s="1288"/>
      <c r="BM232" s="1288"/>
      <c r="BN232" s="1288"/>
      <c r="BO232" s="1288"/>
      <c r="BP232" s="1288"/>
      <c r="BQ232" s="1237" t="n">
        <v>43525</v>
      </c>
      <c r="BR232" s="1238" t="n">
        <v>3.8435</v>
      </c>
      <c r="BS232" s="1238" t="n">
        <v>3.8485</v>
      </c>
      <c r="BT232" s="1238" t="n">
        <v>3.8535</v>
      </c>
      <c r="BU232" s="1244" t="n">
        <f aca="false">BU231</f>
        <v>0.1435</v>
      </c>
      <c r="BV232" s="1244" t="n">
        <f aca="false">BV231</f>
        <v>0.15</v>
      </c>
      <c r="BW232" s="1244" t="n">
        <f aca="false">BW231</f>
        <v>0.1585</v>
      </c>
      <c r="BX232" s="1239" t="n">
        <v>-0.07</v>
      </c>
      <c r="BY232" s="1239"/>
      <c r="BZ232" s="1239" t="n">
        <v>0.07</v>
      </c>
      <c r="CA232" s="1243" t="n">
        <v>0</v>
      </c>
      <c r="CB232" s="1241" t="n">
        <v>0</v>
      </c>
      <c r="CC232" s="1242" t="n">
        <v>3.673</v>
      </c>
      <c r="CD232" s="1239" t="n">
        <v>0.1585</v>
      </c>
    </row>
    <row r="233" customFormat="false" ht="12.75" hidden="false" customHeight="false" outlineLevel="0" collapsed="false">
      <c r="A233" s="1237" t="n">
        <v>43647</v>
      </c>
      <c r="B233" s="1239" t="n">
        <v>0.072918700473641</v>
      </c>
      <c r="C233" s="1218"/>
      <c r="D233" s="1274" t="n">
        <v>42522</v>
      </c>
      <c r="E233" s="1275" t="n">
        <v>29.0795601511878</v>
      </c>
      <c r="F233" s="1275" t="n">
        <v>34.0795601511878</v>
      </c>
      <c r="G233" s="1275" t="n">
        <v>39.0795601511878</v>
      </c>
      <c r="H233" s="1266"/>
      <c r="I233" s="1275" t="n">
        <v>21.2</v>
      </c>
      <c r="J233" s="1275" t="n">
        <v>26.2</v>
      </c>
      <c r="K233" s="1275" t="n">
        <v>31.2</v>
      </c>
      <c r="M233" s="1276" t="n">
        <v>43405</v>
      </c>
      <c r="N233" s="1277" t="n">
        <v>24.6726548657147</v>
      </c>
      <c r="O233" s="1277" t="n">
        <v>29.6726548657147</v>
      </c>
      <c r="P233" s="1277" t="n">
        <v>34.6726548657147</v>
      </c>
      <c r="Q233" s="109"/>
      <c r="R233" s="1277" t="n">
        <v>17.254491149286</v>
      </c>
      <c r="S233" s="1277" t="n">
        <v>22.254491149286</v>
      </c>
      <c r="T233" s="1277" t="n">
        <v>27.254491149286</v>
      </c>
      <c r="V233" s="1278" t="n">
        <v>0</v>
      </c>
      <c r="W233" s="1278" t="n">
        <v>0</v>
      </c>
      <c r="X233" s="1278" t="n">
        <v>0</v>
      </c>
      <c r="Y233" s="1288"/>
      <c r="Z233" s="1277" t="n">
        <v>0.09</v>
      </c>
      <c r="AA233" s="1277" t="n">
        <v>0.1</v>
      </c>
      <c r="AB233" s="1277" t="n">
        <v>0.11</v>
      </c>
      <c r="AC233" s="109"/>
      <c r="AD233" s="1277" t="n">
        <v>0.09</v>
      </c>
      <c r="AE233" s="1277" t="n">
        <v>0.11</v>
      </c>
      <c r="AF233" s="1277" t="n">
        <v>0.13</v>
      </c>
      <c r="AG233" s="109"/>
      <c r="AH233" s="1277" t="n">
        <v>-0.1</v>
      </c>
      <c r="AI233" s="1277" t="n">
        <v>0.6</v>
      </c>
      <c r="AJ233" s="1277" t="n">
        <v>0.1</v>
      </c>
      <c r="AK233" s="109"/>
      <c r="AL233" s="1277" t="n">
        <v>-0.01</v>
      </c>
      <c r="AM233" s="1277" t="n">
        <v>0.16</v>
      </c>
      <c r="AN233" s="1277" t="n">
        <v>0.01</v>
      </c>
      <c r="AO233" s="109"/>
      <c r="AP233" s="197" t="n">
        <v>75</v>
      </c>
      <c r="AQ233" s="1280" t="n">
        <v>0.35</v>
      </c>
      <c r="AR233" s="1288"/>
      <c r="AS233" s="1288"/>
      <c r="AT233" s="1288"/>
      <c r="AU233" s="1288"/>
      <c r="AV233" s="1288"/>
      <c r="AW233" s="1288"/>
      <c r="AX233" s="1288"/>
      <c r="AY233" s="1288"/>
      <c r="AZ233" s="1288"/>
      <c r="BA233" s="1288"/>
      <c r="BB233" s="1288"/>
      <c r="BC233" s="1288"/>
      <c r="BD233" s="1288"/>
      <c r="BE233" s="1288"/>
      <c r="BF233" s="1288"/>
      <c r="BG233" s="1288"/>
      <c r="BH233" s="1288"/>
      <c r="BI233" s="1288"/>
      <c r="BJ233" s="1288"/>
      <c r="BK233" s="1288"/>
      <c r="BL233" s="1288"/>
      <c r="BM233" s="1288"/>
      <c r="BN233" s="1288"/>
      <c r="BO233" s="1288"/>
      <c r="BP233" s="1288"/>
      <c r="BQ233" s="1237" t="n">
        <v>43556</v>
      </c>
      <c r="BR233" s="1238" t="n">
        <v>3.7915</v>
      </c>
      <c r="BS233" s="1238" t="n">
        <v>3.7965</v>
      </c>
      <c r="BT233" s="1238" t="n">
        <v>3.8015</v>
      </c>
      <c r="BU233" s="1244" t="n">
        <f aca="false">BU232</f>
        <v>0.1435</v>
      </c>
      <c r="BV233" s="1244" t="n">
        <f aca="false">BV232</f>
        <v>0.15</v>
      </c>
      <c r="BW233" s="1244" t="n">
        <f aca="false">BW232</f>
        <v>0.1585</v>
      </c>
      <c r="BX233" s="1239" t="n">
        <v>-0.07</v>
      </c>
      <c r="BY233" s="1239"/>
      <c r="BZ233" s="1239" t="n">
        <v>0.07</v>
      </c>
      <c r="CA233" s="1243" t="n">
        <v>0</v>
      </c>
      <c r="CB233" s="1241" t="n">
        <v>0</v>
      </c>
      <c r="CC233" s="1242" t="n">
        <v>3.676</v>
      </c>
      <c r="CD233" s="1239" t="n">
        <v>0.1585</v>
      </c>
    </row>
    <row r="234" customFormat="false" ht="12.75" hidden="false" customHeight="false" outlineLevel="0" collapsed="false">
      <c r="A234" s="1237" t="n">
        <v>43678</v>
      </c>
      <c r="B234" s="1239" t="n">
        <v>0.07291971441896</v>
      </c>
      <c r="C234" s="1218"/>
      <c r="D234" s="1274" t="n">
        <v>42552</v>
      </c>
      <c r="E234" s="1275" t="n">
        <v>55.7467242517059</v>
      </c>
      <c r="F234" s="1275" t="n">
        <v>60.7467242517059</v>
      </c>
      <c r="G234" s="1275" t="n">
        <v>65.7467242517059</v>
      </c>
      <c r="H234" s="1266"/>
      <c r="I234" s="1275" t="n">
        <v>27.2241935483871</v>
      </c>
      <c r="J234" s="1275" t="n">
        <v>32.2241935483871</v>
      </c>
      <c r="K234" s="1275" t="n">
        <v>37.2241935483871</v>
      </c>
      <c r="M234" s="1276" t="n">
        <v>43435</v>
      </c>
      <c r="N234" s="1277" t="n">
        <v>26.6726548657147</v>
      </c>
      <c r="O234" s="1277" t="n">
        <v>31.6726548657147</v>
      </c>
      <c r="P234" s="1277" t="n">
        <v>36.6726548657147</v>
      </c>
      <c r="Q234" s="109"/>
      <c r="R234" s="1277" t="n">
        <v>18.754491149286</v>
      </c>
      <c r="S234" s="1277" t="n">
        <v>23.754491149286</v>
      </c>
      <c r="T234" s="1277" t="n">
        <v>28.754491149286</v>
      </c>
      <c r="V234" s="1278" t="n">
        <v>0</v>
      </c>
      <c r="W234" s="1278" t="n">
        <v>0</v>
      </c>
      <c r="X234" s="1278" t="n">
        <v>0</v>
      </c>
      <c r="Y234" s="1288"/>
      <c r="Z234" s="1277" t="n">
        <v>0.09</v>
      </c>
      <c r="AA234" s="1277" t="n">
        <v>0.1</v>
      </c>
      <c r="AB234" s="1277" t="n">
        <v>0.11</v>
      </c>
      <c r="AC234" s="109"/>
      <c r="AD234" s="1277" t="n">
        <v>0.09</v>
      </c>
      <c r="AE234" s="1277" t="n">
        <v>0.11</v>
      </c>
      <c r="AF234" s="1277" t="n">
        <v>0.13</v>
      </c>
      <c r="AG234" s="109"/>
      <c r="AH234" s="1277" t="n">
        <v>-0.25</v>
      </c>
      <c r="AI234" s="1277" t="n">
        <v>0.6</v>
      </c>
      <c r="AJ234" s="1277" t="n">
        <v>0.25</v>
      </c>
      <c r="AK234" s="109"/>
      <c r="AL234" s="1277" t="n">
        <v>-0.01</v>
      </c>
      <c r="AM234" s="1277" t="n">
        <v>0.16</v>
      </c>
      <c r="AN234" s="1277" t="n">
        <v>0.01</v>
      </c>
      <c r="AO234" s="109"/>
      <c r="AP234" s="197" t="n">
        <v>75</v>
      </c>
      <c r="AQ234" s="1280" t="n">
        <v>0.35</v>
      </c>
      <c r="AR234" s="1288"/>
      <c r="AS234" s="1288"/>
      <c r="AT234" s="1288"/>
      <c r="AU234" s="1288"/>
      <c r="AV234" s="1288"/>
      <c r="AW234" s="1288"/>
      <c r="AX234" s="1288"/>
      <c r="AY234" s="1288"/>
      <c r="AZ234" s="1288"/>
      <c r="BA234" s="1288"/>
      <c r="BB234" s="1288"/>
      <c r="BC234" s="1288"/>
      <c r="BD234" s="1288"/>
      <c r="BE234" s="1288"/>
      <c r="BF234" s="1288"/>
      <c r="BG234" s="1288"/>
      <c r="BH234" s="1288"/>
      <c r="BI234" s="1288"/>
      <c r="BJ234" s="1288"/>
      <c r="BK234" s="1288"/>
      <c r="BL234" s="1288"/>
      <c r="BM234" s="1288"/>
      <c r="BN234" s="1288"/>
      <c r="BO234" s="1288"/>
      <c r="BP234" s="1288"/>
      <c r="BQ234" s="1237" t="n">
        <v>43586</v>
      </c>
      <c r="BR234" s="1238" t="n">
        <v>3.8215</v>
      </c>
      <c r="BS234" s="1238" t="n">
        <v>3.8265</v>
      </c>
      <c r="BT234" s="1238" t="n">
        <v>3.8315</v>
      </c>
      <c r="BU234" s="1244" t="n">
        <f aca="false">BU233</f>
        <v>0.1435</v>
      </c>
      <c r="BV234" s="1244" t="n">
        <f aca="false">BV233</f>
        <v>0.15</v>
      </c>
      <c r="BW234" s="1244" t="n">
        <f aca="false">BW233</f>
        <v>0.1585</v>
      </c>
      <c r="BX234" s="1239" t="n">
        <v>-0.07</v>
      </c>
      <c r="BY234" s="1239"/>
      <c r="BZ234" s="1239" t="n">
        <v>0.07</v>
      </c>
      <c r="CA234" s="1243" t="n">
        <v>0</v>
      </c>
      <c r="CB234" s="1241" t="n">
        <v>0</v>
      </c>
      <c r="CC234" s="1242" t="n">
        <v>3.709</v>
      </c>
      <c r="CD234" s="1239" t="n">
        <v>0.1585</v>
      </c>
    </row>
    <row r="235" customFormat="false" ht="12.75" hidden="false" customHeight="false" outlineLevel="0" collapsed="false">
      <c r="A235" s="1237" t="n">
        <v>43709</v>
      </c>
      <c r="B235" s="1239" t="n">
        <v>0.072920728364279</v>
      </c>
      <c r="C235" s="1218"/>
      <c r="D235" s="1274" t="n">
        <v>42583</v>
      </c>
      <c r="E235" s="1275" t="n">
        <v>76.3717242517059</v>
      </c>
      <c r="F235" s="1275" t="n">
        <v>81.3717242517059</v>
      </c>
      <c r="G235" s="1275" t="n">
        <v>86.3717242517059</v>
      </c>
      <c r="H235" s="1266"/>
      <c r="I235" s="1275" t="n">
        <v>25.2241935483871</v>
      </c>
      <c r="J235" s="1275" t="n">
        <v>30.2241935483871</v>
      </c>
      <c r="K235" s="1275" t="n">
        <v>35.2241935483871</v>
      </c>
      <c r="M235" s="1276" t="n">
        <v>43466</v>
      </c>
      <c r="N235" s="1277" t="n">
        <v>25.3993080460222</v>
      </c>
      <c r="O235" s="1277" t="n">
        <v>30.3993080460222</v>
      </c>
      <c r="P235" s="1277" t="n">
        <v>35.3993080460222</v>
      </c>
      <c r="Q235" s="109"/>
      <c r="R235" s="1277" t="n">
        <v>17.7994810345167</v>
      </c>
      <c r="S235" s="1277" t="n">
        <v>22.7994810345167</v>
      </c>
      <c r="T235" s="1277" t="n">
        <v>27.7994810345167</v>
      </c>
      <c r="V235" s="1278" t="n">
        <v>0</v>
      </c>
      <c r="W235" s="1278" t="n">
        <v>0</v>
      </c>
      <c r="X235" s="1278" t="n">
        <v>0</v>
      </c>
      <c r="Y235" s="1288"/>
      <c r="Z235" s="1277" t="n">
        <v>0.09</v>
      </c>
      <c r="AA235" s="1277" t="n">
        <v>0.1</v>
      </c>
      <c r="AB235" s="1277" t="n">
        <v>0.11</v>
      </c>
      <c r="AC235" s="109"/>
      <c r="AD235" s="1277" t="n">
        <v>0.09</v>
      </c>
      <c r="AE235" s="1277" t="n">
        <v>0.11</v>
      </c>
      <c r="AF235" s="1277" t="n">
        <v>0.13</v>
      </c>
      <c r="AG235" s="109"/>
      <c r="AH235" s="1277" t="n">
        <v>-0.25</v>
      </c>
      <c r="AI235" s="1277" t="n">
        <v>0.6</v>
      </c>
      <c r="AJ235" s="1277" t="n">
        <v>0.25</v>
      </c>
      <c r="AK235" s="109"/>
      <c r="AL235" s="1277" t="n">
        <v>-0.01</v>
      </c>
      <c r="AM235" s="1277" t="n">
        <v>0.16</v>
      </c>
      <c r="AN235" s="1277" t="n">
        <v>0.01</v>
      </c>
      <c r="AO235" s="109"/>
      <c r="AP235" s="197" t="n">
        <v>76</v>
      </c>
      <c r="AQ235" s="1280" t="n">
        <v>0.35</v>
      </c>
      <c r="AR235" s="1288"/>
      <c r="AS235" s="1288"/>
      <c r="AT235" s="1288"/>
      <c r="AU235" s="1288"/>
      <c r="AV235" s="1288"/>
      <c r="AW235" s="1288"/>
      <c r="AX235" s="1288"/>
      <c r="AY235" s="1288"/>
      <c r="AZ235" s="1288"/>
      <c r="BA235" s="1288"/>
      <c r="BB235" s="1288"/>
      <c r="BC235" s="1288"/>
      <c r="BD235" s="1288"/>
      <c r="BE235" s="1288"/>
      <c r="BF235" s="1288"/>
      <c r="BG235" s="1288"/>
      <c r="BH235" s="1288"/>
      <c r="BI235" s="1288"/>
      <c r="BJ235" s="1288"/>
      <c r="BK235" s="1288"/>
      <c r="BL235" s="1288"/>
      <c r="BM235" s="1288"/>
      <c r="BN235" s="1288"/>
      <c r="BO235" s="1288"/>
      <c r="BP235" s="1288"/>
      <c r="BQ235" s="1237" t="n">
        <v>43617</v>
      </c>
      <c r="BR235" s="1238" t="n">
        <v>3.8445</v>
      </c>
      <c r="BS235" s="1238" t="n">
        <v>3.8495</v>
      </c>
      <c r="BT235" s="1238" t="n">
        <v>3.8545</v>
      </c>
      <c r="BU235" s="1244" t="n">
        <f aca="false">BU234</f>
        <v>0.1435</v>
      </c>
      <c r="BV235" s="1244" t="n">
        <f aca="false">BV234</f>
        <v>0.15</v>
      </c>
      <c r="BW235" s="1244" t="n">
        <f aca="false">BW234</f>
        <v>0.1585</v>
      </c>
      <c r="BX235" s="1239" t="n">
        <v>-0.07</v>
      </c>
      <c r="BY235" s="1239"/>
      <c r="BZ235" s="1239" t="n">
        <v>0.07</v>
      </c>
      <c r="CA235" s="1243" t="n">
        <v>0</v>
      </c>
      <c r="CB235" s="1241" t="n">
        <v>0</v>
      </c>
      <c r="CC235" s="1242" t="n">
        <v>3.85</v>
      </c>
      <c r="CD235" s="1239" t="n">
        <v>0.1585</v>
      </c>
    </row>
    <row r="236" customFormat="false" ht="12.75" hidden="false" customHeight="false" outlineLevel="0" collapsed="false">
      <c r="A236" s="1237" t="n">
        <v>43739</v>
      </c>
      <c r="B236" s="1239" t="n">
        <v>0.072921709601685</v>
      </c>
      <c r="C236" s="1218"/>
      <c r="D236" s="1274" t="n">
        <v>42614</v>
      </c>
      <c r="E236" s="1275" t="n">
        <v>60.3717242517059</v>
      </c>
      <c r="F236" s="1275" t="n">
        <v>65.3717242517059</v>
      </c>
      <c r="G236" s="1275" t="n">
        <v>70.3717242517059</v>
      </c>
      <c r="H236" s="1266"/>
      <c r="I236" s="1275" t="n">
        <v>25.6375</v>
      </c>
      <c r="J236" s="1275" t="n">
        <v>30.6375</v>
      </c>
      <c r="K236" s="1275" t="n">
        <v>35.6375</v>
      </c>
      <c r="M236" s="1276" t="n">
        <v>43497</v>
      </c>
      <c r="N236" s="1277" t="n">
        <v>24.8993080460222</v>
      </c>
      <c r="O236" s="1277" t="n">
        <v>29.8993080460222</v>
      </c>
      <c r="P236" s="1277" t="n">
        <v>34.8993080460222</v>
      </c>
      <c r="Q236" s="109"/>
      <c r="R236" s="1277" t="n">
        <v>17.4244810345167</v>
      </c>
      <c r="S236" s="1277" t="n">
        <v>22.4244810345167</v>
      </c>
      <c r="T236" s="1277" t="n">
        <v>27.4244810345167</v>
      </c>
      <c r="V236" s="1278" t="n">
        <v>0</v>
      </c>
      <c r="W236" s="1278" t="n">
        <v>0</v>
      </c>
      <c r="X236" s="1278" t="n">
        <v>0</v>
      </c>
      <c r="Y236" s="1288"/>
      <c r="Z236" s="1277" t="n">
        <v>0.09</v>
      </c>
      <c r="AA236" s="1277" t="n">
        <v>0.1</v>
      </c>
      <c r="AB236" s="1277" t="n">
        <v>0.11</v>
      </c>
      <c r="AC236" s="109"/>
      <c r="AD236" s="1277" t="n">
        <v>0.09</v>
      </c>
      <c r="AE236" s="1277" t="n">
        <v>0.11</v>
      </c>
      <c r="AF236" s="1277" t="n">
        <v>0.13</v>
      </c>
      <c r="AG236" s="109"/>
      <c r="AH236" s="1277" t="n">
        <v>-0.25</v>
      </c>
      <c r="AI236" s="1277" t="n">
        <v>0.65</v>
      </c>
      <c r="AJ236" s="1277" t="n">
        <v>0.25</v>
      </c>
      <c r="AK236" s="109"/>
      <c r="AL236" s="1277" t="n">
        <v>-0.01</v>
      </c>
      <c r="AM236" s="1277" t="n">
        <v>0.16</v>
      </c>
      <c r="AN236" s="1277" t="n">
        <v>0.01</v>
      </c>
      <c r="AO236" s="109"/>
      <c r="AP236" s="197" t="n">
        <v>76</v>
      </c>
      <c r="AQ236" s="1280" t="n">
        <v>0.35</v>
      </c>
      <c r="AR236" s="1288"/>
      <c r="AS236" s="1288"/>
      <c r="AT236" s="1288"/>
      <c r="AU236" s="1288"/>
      <c r="AV236" s="1288"/>
      <c r="AW236" s="1288"/>
      <c r="AX236" s="1288"/>
      <c r="AY236" s="1288"/>
      <c r="AZ236" s="1288"/>
      <c r="BA236" s="1288"/>
      <c r="BB236" s="1288"/>
      <c r="BC236" s="1288"/>
      <c r="BD236" s="1288"/>
      <c r="BE236" s="1288"/>
      <c r="BF236" s="1288"/>
      <c r="BG236" s="1288"/>
      <c r="BH236" s="1288"/>
      <c r="BI236" s="1288"/>
      <c r="BJ236" s="1288"/>
      <c r="BK236" s="1288"/>
      <c r="BL236" s="1288"/>
      <c r="BM236" s="1288"/>
      <c r="BN236" s="1288"/>
      <c r="BO236" s="1288"/>
      <c r="BP236" s="1288"/>
      <c r="BQ236" s="1237" t="n">
        <v>43647</v>
      </c>
      <c r="BR236" s="1238" t="n">
        <v>3.8525</v>
      </c>
      <c r="BS236" s="1238" t="n">
        <v>3.8575</v>
      </c>
      <c r="BT236" s="1238" t="n">
        <v>3.8625</v>
      </c>
      <c r="BU236" s="1244" t="n">
        <f aca="false">BU235</f>
        <v>0.1435</v>
      </c>
      <c r="BV236" s="1244" t="n">
        <f aca="false">BV235</f>
        <v>0.15</v>
      </c>
      <c r="BW236" s="1244" t="n">
        <f aca="false">BW235</f>
        <v>0.1585</v>
      </c>
      <c r="BX236" s="1239" t="n">
        <v>-0.07</v>
      </c>
      <c r="BY236" s="1239"/>
      <c r="BZ236" s="1239" t="n">
        <v>0.07</v>
      </c>
      <c r="CA236" s="1243" t="n">
        <v>0</v>
      </c>
      <c r="CB236" s="1241" t="n">
        <v>0</v>
      </c>
      <c r="CC236" s="1242" t="n">
        <v>3.995</v>
      </c>
      <c r="CD236" s="1239" t="n">
        <v>0.1585</v>
      </c>
    </row>
    <row r="237" customFormat="false" ht="12.75" hidden="false" customHeight="false" outlineLevel="0" collapsed="false">
      <c r="A237" s="1237" t="n">
        <v>43770</v>
      </c>
      <c r="B237" s="1239" t="n">
        <v>0.072922723547005</v>
      </c>
      <c r="C237" s="1218"/>
      <c r="D237" s="1274" t="n">
        <v>42644</v>
      </c>
      <c r="E237" s="1275" t="n">
        <v>32.2697469145445</v>
      </c>
      <c r="F237" s="1275" t="n">
        <v>37.2697469145445</v>
      </c>
      <c r="G237" s="1275" t="n">
        <v>42.2697469145445</v>
      </c>
      <c r="H237" s="1266"/>
      <c r="I237" s="1275" t="n">
        <v>25.1516129032258</v>
      </c>
      <c r="J237" s="1275" t="n">
        <v>30.1516129032258</v>
      </c>
      <c r="K237" s="1275" t="n">
        <v>35.1516129032258</v>
      </c>
      <c r="M237" s="1276" t="n">
        <v>43525</v>
      </c>
      <c r="N237" s="1277" t="n">
        <v>24.1493080460222</v>
      </c>
      <c r="O237" s="1277" t="n">
        <v>29.1493080460222</v>
      </c>
      <c r="P237" s="1277" t="n">
        <v>34.1493080460222</v>
      </c>
      <c r="Q237" s="109"/>
      <c r="R237" s="1277" t="n">
        <v>16.8619810345167</v>
      </c>
      <c r="S237" s="1277" t="n">
        <v>21.8619810345167</v>
      </c>
      <c r="T237" s="1277" t="n">
        <v>26.8619810345167</v>
      </c>
      <c r="V237" s="1278" t="n">
        <v>0</v>
      </c>
      <c r="W237" s="1278" t="n">
        <v>0</v>
      </c>
      <c r="X237" s="1278" t="n">
        <v>0</v>
      </c>
      <c r="Y237" s="1288"/>
      <c r="Z237" s="1277" t="n">
        <v>0.09</v>
      </c>
      <c r="AA237" s="1277" t="n">
        <v>0.1</v>
      </c>
      <c r="AB237" s="1277" t="n">
        <v>0.11</v>
      </c>
      <c r="AC237" s="109"/>
      <c r="AD237" s="1277" t="n">
        <v>0.09</v>
      </c>
      <c r="AE237" s="1277" t="n">
        <v>0.11</v>
      </c>
      <c r="AF237" s="1277" t="n">
        <v>0.13</v>
      </c>
      <c r="AG237" s="109"/>
      <c r="AH237" s="1277" t="n">
        <v>-0.1</v>
      </c>
      <c r="AI237" s="1277" t="n">
        <v>0.65</v>
      </c>
      <c r="AJ237" s="1277" t="n">
        <v>0.1</v>
      </c>
      <c r="AK237" s="109"/>
      <c r="AL237" s="1277" t="n">
        <v>-0.01</v>
      </c>
      <c r="AM237" s="1277" t="n">
        <v>0.16</v>
      </c>
      <c r="AN237" s="1277" t="n">
        <v>0.01</v>
      </c>
      <c r="AO237" s="109"/>
      <c r="AP237" s="197" t="n">
        <v>76</v>
      </c>
      <c r="AQ237" s="1280" t="n">
        <v>0.35</v>
      </c>
      <c r="AR237" s="1288"/>
      <c r="AS237" s="1288"/>
      <c r="AT237" s="1288"/>
      <c r="AU237" s="1288"/>
      <c r="AV237" s="1288"/>
      <c r="AW237" s="1288"/>
      <c r="AX237" s="1288"/>
      <c r="AY237" s="1288"/>
      <c r="AZ237" s="1288"/>
      <c r="BA237" s="1288"/>
      <c r="BB237" s="1288"/>
      <c r="BC237" s="1288"/>
      <c r="BD237" s="1288"/>
      <c r="BE237" s="1288"/>
      <c r="BF237" s="1288"/>
      <c r="BG237" s="1288"/>
      <c r="BH237" s="1288"/>
      <c r="BI237" s="1288"/>
      <c r="BJ237" s="1288"/>
      <c r="BK237" s="1288"/>
      <c r="BL237" s="1288"/>
      <c r="BM237" s="1288"/>
      <c r="BN237" s="1288"/>
      <c r="BO237" s="1288"/>
      <c r="BP237" s="1288"/>
      <c r="BQ237" s="1237" t="n">
        <v>43678</v>
      </c>
      <c r="BR237" s="1238" t="n">
        <v>3.8615</v>
      </c>
      <c r="BS237" s="1238" t="n">
        <v>3.8665</v>
      </c>
      <c r="BT237" s="1238" t="n">
        <v>3.8715</v>
      </c>
      <c r="BU237" s="1244" t="n">
        <f aca="false">BU236</f>
        <v>0.1435</v>
      </c>
      <c r="BV237" s="1244" t="n">
        <f aca="false">BV236</f>
        <v>0.15</v>
      </c>
      <c r="BW237" s="1244" t="n">
        <f aca="false">BW236</f>
        <v>0.1585</v>
      </c>
      <c r="BX237" s="1239" t="n">
        <v>-0.07</v>
      </c>
      <c r="BY237" s="1239"/>
      <c r="BZ237" s="1239" t="n">
        <v>0.07</v>
      </c>
      <c r="CA237" s="1243" t="n">
        <v>0</v>
      </c>
      <c r="CB237" s="1241" t="n">
        <v>0</v>
      </c>
      <c r="CC237" s="1242" t="n">
        <v>4.134</v>
      </c>
      <c r="CD237" s="1239" t="n">
        <v>0.1585</v>
      </c>
    </row>
    <row r="238" customFormat="false" ht="12.75" hidden="false" customHeight="false" outlineLevel="0" collapsed="false">
      <c r="A238" s="1237" t="n">
        <v>43800</v>
      </c>
      <c r="B238" s="1239" t="n">
        <v>0.072923704784411</v>
      </c>
      <c r="C238" s="1218"/>
      <c r="D238" s="1274" t="n">
        <v>42675</v>
      </c>
      <c r="E238" s="1275" t="n">
        <v>24.5197469145445</v>
      </c>
      <c r="F238" s="1275" t="n">
        <v>29.5197469145445</v>
      </c>
      <c r="G238" s="1275" t="n">
        <v>34.5197469145445</v>
      </c>
      <c r="H238" s="1266"/>
      <c r="I238" s="1275" t="n">
        <v>26.4916666666667</v>
      </c>
      <c r="J238" s="1275" t="n">
        <v>31.4916666666667</v>
      </c>
      <c r="K238" s="1275" t="n">
        <v>36.4916666666667</v>
      </c>
      <c r="M238" s="1276" t="n">
        <v>43556</v>
      </c>
      <c r="N238" s="1277" t="n">
        <v>24.0621960572329</v>
      </c>
      <c r="O238" s="1277" t="n">
        <v>29.0621960572329</v>
      </c>
      <c r="P238" s="1277" t="n">
        <v>34.0621960572329</v>
      </c>
      <c r="Q238" s="109"/>
      <c r="R238" s="1277" t="n">
        <v>16.7966470429247</v>
      </c>
      <c r="S238" s="1277" t="n">
        <v>21.7966470429247</v>
      </c>
      <c r="T238" s="1277" t="n">
        <v>26.7966470429247</v>
      </c>
      <c r="V238" s="1278" t="n">
        <v>0</v>
      </c>
      <c r="W238" s="1278" t="n">
        <v>0</v>
      </c>
      <c r="X238" s="1278" t="n">
        <v>0</v>
      </c>
      <c r="Y238" s="1288"/>
      <c r="Z238" s="1277" t="n">
        <v>0.09</v>
      </c>
      <c r="AA238" s="1277" t="n">
        <v>0.1</v>
      </c>
      <c r="AB238" s="1277" t="n">
        <v>0.11</v>
      </c>
      <c r="AC238" s="109"/>
      <c r="AD238" s="1277" t="n">
        <v>0.09</v>
      </c>
      <c r="AE238" s="1277" t="n">
        <v>0.11</v>
      </c>
      <c r="AF238" s="1277" t="n">
        <v>0.13</v>
      </c>
      <c r="AG238" s="109"/>
      <c r="AH238" s="1277" t="n">
        <v>-0.1</v>
      </c>
      <c r="AI238" s="1277" t="n">
        <v>0.65</v>
      </c>
      <c r="AJ238" s="1277" t="n">
        <v>0.1</v>
      </c>
      <c r="AK238" s="109"/>
      <c r="AL238" s="1277" t="n">
        <v>-0.01</v>
      </c>
      <c r="AM238" s="1277" t="n">
        <v>0.16</v>
      </c>
      <c r="AN238" s="1277" t="n">
        <v>0.01</v>
      </c>
      <c r="AO238" s="109"/>
      <c r="AP238" s="197" t="n">
        <v>77</v>
      </c>
      <c r="AQ238" s="1280" t="n">
        <v>0.35</v>
      </c>
      <c r="AR238" s="1288"/>
      <c r="AS238" s="1288"/>
      <c r="AT238" s="1288"/>
      <c r="AU238" s="1288"/>
      <c r="AV238" s="1288"/>
      <c r="AW238" s="1288"/>
      <c r="AX238" s="1288"/>
      <c r="AY238" s="1288"/>
      <c r="AZ238" s="1288"/>
      <c r="BA238" s="1288"/>
      <c r="BB238" s="1288"/>
      <c r="BC238" s="1288"/>
      <c r="BD238" s="1288"/>
      <c r="BE238" s="1288"/>
      <c r="BF238" s="1288"/>
      <c r="BG238" s="1288"/>
      <c r="BH238" s="1288"/>
      <c r="BI238" s="1288"/>
      <c r="BJ238" s="1288"/>
      <c r="BK238" s="1288"/>
      <c r="BL238" s="1288"/>
      <c r="BM238" s="1288"/>
      <c r="BN238" s="1288"/>
      <c r="BO238" s="1288"/>
      <c r="BP238" s="1288"/>
      <c r="BQ238" s="1237" t="n">
        <v>43709</v>
      </c>
      <c r="BR238" s="1238" t="n">
        <v>3.8525</v>
      </c>
      <c r="BS238" s="1238" t="n">
        <v>3.8575</v>
      </c>
      <c r="BT238" s="1238" t="n">
        <v>3.8625</v>
      </c>
      <c r="BU238" s="1244" t="n">
        <f aca="false">BU237</f>
        <v>0.1435</v>
      </c>
      <c r="BV238" s="1244" t="n">
        <f aca="false">BV237</f>
        <v>0.15</v>
      </c>
      <c r="BW238" s="1244" t="n">
        <f aca="false">BW237</f>
        <v>0.1585</v>
      </c>
      <c r="BX238" s="1239" t="n">
        <v>-0.07</v>
      </c>
      <c r="BY238" s="1239"/>
      <c r="BZ238" s="1239" t="n">
        <v>0.07</v>
      </c>
      <c r="CA238" s="1243" t="n">
        <v>0</v>
      </c>
      <c r="CB238" s="1241" t="n">
        <v>0</v>
      </c>
      <c r="CC238" s="1242" t="n">
        <v>4.009</v>
      </c>
      <c r="CD238" s="1239" t="n">
        <v>0.1585</v>
      </c>
    </row>
    <row r="239" customFormat="false" ht="12.75" hidden="false" customHeight="false" outlineLevel="0" collapsed="false">
      <c r="A239" s="1237" t="n">
        <v>43831</v>
      </c>
      <c r="B239" s="1239" t="n">
        <v>0.072924718729731</v>
      </c>
      <c r="C239" s="1218"/>
      <c r="D239" s="1274" t="n">
        <v>42705</v>
      </c>
      <c r="E239" s="1275" t="n">
        <v>26.5197469145445</v>
      </c>
      <c r="F239" s="1275" t="n">
        <v>31.5197469145445</v>
      </c>
      <c r="G239" s="1275" t="n">
        <v>36.5197469145445</v>
      </c>
      <c r="H239" s="1266"/>
      <c r="I239" s="1275" t="n">
        <v>25.7967741935484</v>
      </c>
      <c r="J239" s="1275" t="n">
        <v>30.7967741935484</v>
      </c>
      <c r="K239" s="1275" t="n">
        <v>35.7967741935484</v>
      </c>
      <c r="M239" s="1276" t="n">
        <v>43586</v>
      </c>
      <c r="N239" s="1277" t="n">
        <v>24.0621960572329</v>
      </c>
      <c r="O239" s="1277" t="n">
        <v>29.0621960572329</v>
      </c>
      <c r="P239" s="1277" t="n">
        <v>34.0621960572329</v>
      </c>
      <c r="Q239" s="109"/>
      <c r="R239" s="1277" t="n">
        <v>16.7966470429247</v>
      </c>
      <c r="S239" s="1277" t="n">
        <v>21.7966470429247</v>
      </c>
      <c r="T239" s="1277" t="n">
        <v>26.7966470429247</v>
      </c>
      <c r="V239" s="1278" t="n">
        <v>0</v>
      </c>
      <c r="W239" s="1278" t="n">
        <v>0</v>
      </c>
      <c r="X239" s="1278" t="n">
        <v>0</v>
      </c>
      <c r="Y239" s="1288"/>
      <c r="Z239" s="1277" t="n">
        <v>0.09</v>
      </c>
      <c r="AA239" s="1277" t="n">
        <v>0.1</v>
      </c>
      <c r="AB239" s="1277" t="n">
        <v>0.11</v>
      </c>
      <c r="AC239" s="109"/>
      <c r="AD239" s="1277" t="n">
        <v>0.09</v>
      </c>
      <c r="AE239" s="1277" t="n">
        <v>0.11</v>
      </c>
      <c r="AF239" s="1277" t="n">
        <v>0.13</v>
      </c>
      <c r="AG239" s="109"/>
      <c r="AH239" s="1277" t="n">
        <v>-0.1</v>
      </c>
      <c r="AI239" s="1277" t="n">
        <v>0.65</v>
      </c>
      <c r="AJ239" s="1277" t="n">
        <v>0.1</v>
      </c>
      <c r="AK239" s="109"/>
      <c r="AL239" s="1277" t="n">
        <v>-0.01</v>
      </c>
      <c r="AM239" s="1277" t="n">
        <v>0.16</v>
      </c>
      <c r="AN239" s="1277" t="n">
        <v>0.01</v>
      </c>
      <c r="AO239" s="109"/>
      <c r="AP239" s="197" t="n">
        <v>77</v>
      </c>
      <c r="AQ239" s="1280" t="n">
        <v>0.35</v>
      </c>
      <c r="AR239" s="1288"/>
      <c r="AS239" s="1288"/>
      <c r="AT239" s="1288"/>
      <c r="AU239" s="1288"/>
      <c r="AV239" s="1288"/>
      <c r="AW239" s="1288"/>
      <c r="AX239" s="1288"/>
      <c r="AY239" s="1288"/>
      <c r="AZ239" s="1288"/>
      <c r="BA239" s="1288"/>
      <c r="BB239" s="1288"/>
      <c r="BC239" s="1288"/>
      <c r="BD239" s="1288"/>
      <c r="BE239" s="1288"/>
      <c r="BF239" s="1288"/>
      <c r="BG239" s="1288"/>
      <c r="BH239" s="1288"/>
      <c r="BI239" s="1288"/>
      <c r="BJ239" s="1288"/>
      <c r="BK239" s="1288"/>
      <c r="BL239" s="1288"/>
      <c r="BM239" s="1288"/>
      <c r="BN239" s="1288"/>
      <c r="BO239" s="1288"/>
      <c r="BP239" s="1288"/>
      <c r="BQ239" s="1237" t="n">
        <v>43739</v>
      </c>
      <c r="BR239" s="1238" t="n">
        <v>3.8635</v>
      </c>
      <c r="BS239" s="1238" t="n">
        <v>3.8685</v>
      </c>
      <c r="BT239" s="1238" t="n">
        <v>3.8735</v>
      </c>
      <c r="BU239" s="1244" t="n">
        <f aca="false">BU238</f>
        <v>0.1435</v>
      </c>
      <c r="BV239" s="1244" t="n">
        <f aca="false">BV238</f>
        <v>0.15</v>
      </c>
      <c r="BW239" s="1244" t="n">
        <f aca="false">BW238</f>
        <v>0.1585</v>
      </c>
      <c r="BX239" s="1239" t="n">
        <v>-0.07</v>
      </c>
      <c r="BY239" s="1239"/>
      <c r="BZ239" s="1239" t="n">
        <v>0.07</v>
      </c>
      <c r="CA239" s="1243" t="n">
        <v>0</v>
      </c>
      <c r="CB239" s="1241" t="n">
        <v>0</v>
      </c>
      <c r="CC239" s="1242" t="n">
        <v>3.902</v>
      </c>
      <c r="CD239" s="1239" t="n">
        <v>0.1585</v>
      </c>
    </row>
    <row r="240" customFormat="false" ht="12.75" hidden="false" customHeight="false" outlineLevel="0" collapsed="false">
      <c r="A240" s="1237" t="n">
        <v>43862</v>
      </c>
      <c r="B240" s="1239" t="n">
        <v>0.072925732675052</v>
      </c>
      <c r="C240" s="1218"/>
      <c r="D240" s="1274" t="n">
        <v>42736</v>
      </c>
      <c r="E240" s="1275" t="n">
        <v>25.2554634927697</v>
      </c>
      <c r="F240" s="1275" t="n">
        <v>30.2554634927697</v>
      </c>
      <c r="G240" s="1275" t="n">
        <v>35.2554634927697</v>
      </c>
      <c r="H240" s="1266"/>
      <c r="I240" s="1275" t="n">
        <v>23.3381191510522</v>
      </c>
      <c r="J240" s="1275" t="n">
        <v>28.3381191510522</v>
      </c>
      <c r="K240" s="1275" t="n">
        <v>33.3381191510522</v>
      </c>
      <c r="M240" s="1276" t="n">
        <v>43617</v>
      </c>
      <c r="N240" s="1277" t="n">
        <v>29.3121960572329</v>
      </c>
      <c r="O240" s="1277" t="n">
        <v>34.3121960572329</v>
      </c>
      <c r="P240" s="1277" t="n">
        <v>39.3121960572329</v>
      </c>
      <c r="Q240" s="109"/>
      <c r="R240" s="1277" t="n">
        <v>20.7341470429247</v>
      </c>
      <c r="S240" s="1277" t="n">
        <v>25.7341470429247</v>
      </c>
      <c r="T240" s="1277" t="n">
        <v>30.7341470429247</v>
      </c>
      <c r="V240" s="1278" t="n">
        <v>0</v>
      </c>
      <c r="W240" s="1278" t="n">
        <v>0</v>
      </c>
      <c r="X240" s="1278" t="n">
        <v>0</v>
      </c>
      <c r="Y240" s="1288"/>
      <c r="Z240" s="1277" t="n">
        <v>0.09</v>
      </c>
      <c r="AA240" s="1277" t="n">
        <v>0.1</v>
      </c>
      <c r="AB240" s="1277" t="n">
        <v>0.11</v>
      </c>
      <c r="AC240" s="109"/>
      <c r="AD240" s="1277" t="n">
        <v>0.09</v>
      </c>
      <c r="AE240" s="1277" t="n">
        <v>0.11</v>
      </c>
      <c r="AF240" s="1277" t="n">
        <v>0.13</v>
      </c>
      <c r="AG240" s="109"/>
      <c r="AH240" s="1277" t="n">
        <v>-0.35</v>
      </c>
      <c r="AI240" s="1277" t="n">
        <v>0.65</v>
      </c>
      <c r="AJ240" s="1277" t="n">
        <v>0.2</v>
      </c>
      <c r="AK240" s="109"/>
      <c r="AL240" s="1277" t="n">
        <v>-0.01</v>
      </c>
      <c r="AM240" s="1277" t="n">
        <v>0.16</v>
      </c>
      <c r="AN240" s="1277" t="n">
        <v>0.01</v>
      </c>
      <c r="AO240" s="109"/>
      <c r="AP240" s="197" t="n">
        <v>77</v>
      </c>
      <c r="AQ240" s="1280" t="n">
        <v>0.35</v>
      </c>
      <c r="AR240" s="1288"/>
      <c r="AS240" s="1288"/>
      <c r="AT240" s="1288"/>
      <c r="AU240" s="1288"/>
      <c r="AV240" s="1288"/>
      <c r="AW240" s="1288"/>
      <c r="AX240" s="1288"/>
      <c r="AY240" s="1288"/>
      <c r="AZ240" s="1288"/>
      <c r="BA240" s="1288"/>
      <c r="BB240" s="1288"/>
      <c r="BC240" s="1288"/>
      <c r="BD240" s="1288"/>
      <c r="BE240" s="1288"/>
      <c r="BF240" s="1288"/>
      <c r="BG240" s="1288"/>
      <c r="BH240" s="1288"/>
      <c r="BI240" s="1288"/>
      <c r="BJ240" s="1288"/>
      <c r="BK240" s="1288"/>
      <c r="BL240" s="1288"/>
      <c r="BM240" s="1288"/>
      <c r="BN240" s="1288"/>
      <c r="BO240" s="1288"/>
      <c r="BP240" s="1288"/>
      <c r="BQ240" s="1237" t="n">
        <v>43770</v>
      </c>
      <c r="BR240" s="1238" t="n">
        <v>3.9165</v>
      </c>
      <c r="BS240" s="1238" t="n">
        <v>3.9215</v>
      </c>
      <c r="BT240" s="1238" t="n">
        <v>3.9265</v>
      </c>
      <c r="BU240" s="1244" t="n">
        <f aca="false">BU239</f>
        <v>0.1435</v>
      </c>
      <c r="BV240" s="1244" t="n">
        <f aca="false">BV239</f>
        <v>0.15</v>
      </c>
      <c r="BW240" s="1244" t="n">
        <f aca="false">BW239</f>
        <v>0.1585</v>
      </c>
      <c r="BX240" s="1239" t="n">
        <v>-0.07</v>
      </c>
      <c r="BY240" s="1239"/>
      <c r="BZ240" s="1239" t="n">
        <v>0.07</v>
      </c>
      <c r="CA240" s="1243" t="n">
        <v>0</v>
      </c>
      <c r="CB240" s="1241" t="n">
        <v>0</v>
      </c>
      <c r="CC240" s="1242" t="n">
        <v>3.799</v>
      </c>
      <c r="CD240" s="1239" t="n">
        <v>0.1585</v>
      </c>
    </row>
    <row r="241" customFormat="false" ht="12.75" hidden="false" customHeight="false" outlineLevel="0" collapsed="false">
      <c r="A241" s="1237" t="n">
        <v>43891</v>
      </c>
      <c r="B241" s="1239" t="n">
        <v>0.072926681204546</v>
      </c>
      <c r="C241" s="1218"/>
      <c r="D241" s="1274" t="n">
        <v>42767</v>
      </c>
      <c r="E241" s="1275" t="n">
        <v>24.7554634927697</v>
      </c>
      <c r="F241" s="1275" t="n">
        <v>29.7554634927697</v>
      </c>
      <c r="G241" s="1275" t="n">
        <v>34.7554634927697</v>
      </c>
      <c r="H241" s="1266"/>
      <c r="I241" s="1275" t="n">
        <v>24.3071428571429</v>
      </c>
      <c r="J241" s="1275" t="n">
        <v>29.3071428571429</v>
      </c>
      <c r="K241" s="1275" t="n">
        <v>34.3071428571429</v>
      </c>
      <c r="M241" s="1276" t="n">
        <v>43647</v>
      </c>
      <c r="N241" s="1277" t="n">
        <v>56.2708110295378</v>
      </c>
      <c r="O241" s="1277" t="n">
        <v>61.2708110295378</v>
      </c>
      <c r="P241" s="1277" t="n">
        <v>66.2708110295378</v>
      </c>
      <c r="Q241" s="109"/>
      <c r="R241" s="1277" t="n">
        <v>40.9531082721534</v>
      </c>
      <c r="S241" s="1277" t="n">
        <v>45.9531082721534</v>
      </c>
      <c r="T241" s="1277" t="n">
        <v>50.9531082721534</v>
      </c>
      <c r="V241" s="1278" t="n">
        <v>0</v>
      </c>
      <c r="W241" s="1278" t="n">
        <v>0</v>
      </c>
      <c r="X241" s="1278" t="n">
        <v>0</v>
      </c>
      <c r="Y241" s="1288"/>
      <c r="Z241" s="1277" t="n">
        <v>0.09</v>
      </c>
      <c r="AA241" s="1277" t="n">
        <v>0.1</v>
      </c>
      <c r="AB241" s="1277" t="n">
        <v>0.11</v>
      </c>
      <c r="AC241" s="109"/>
      <c r="AD241" s="1277" t="n">
        <v>0.09</v>
      </c>
      <c r="AE241" s="1277" t="n">
        <v>0.11</v>
      </c>
      <c r="AF241" s="1277" t="n">
        <v>0.13</v>
      </c>
      <c r="AG241" s="109"/>
      <c r="AH241" s="1277" t="n">
        <v>-0.35</v>
      </c>
      <c r="AI241" s="1277" t="n">
        <v>0.65</v>
      </c>
      <c r="AJ241" s="1277" t="n">
        <v>0.35</v>
      </c>
      <c r="AK241" s="109"/>
      <c r="AL241" s="1277" t="n">
        <v>-0.01</v>
      </c>
      <c r="AM241" s="1277" t="n">
        <v>0.16</v>
      </c>
      <c r="AN241" s="1277" t="n">
        <v>0.01</v>
      </c>
      <c r="AO241" s="109"/>
      <c r="AP241" s="197" t="n">
        <v>78</v>
      </c>
      <c r="AQ241" s="1280" t="n">
        <v>0.35</v>
      </c>
      <c r="AR241" s="1288"/>
      <c r="AS241" s="1288"/>
      <c r="AT241" s="1288"/>
      <c r="AU241" s="1288"/>
      <c r="AV241" s="1288"/>
      <c r="AW241" s="1288"/>
      <c r="AX241" s="1288"/>
      <c r="AY241" s="1288"/>
      <c r="AZ241" s="1288"/>
      <c r="BA241" s="1288"/>
      <c r="BB241" s="1288"/>
      <c r="BC241" s="1288"/>
      <c r="BD241" s="1288"/>
      <c r="BE241" s="1288"/>
      <c r="BF241" s="1288"/>
      <c r="BG241" s="1288"/>
      <c r="BH241" s="1288"/>
      <c r="BI241" s="1288"/>
      <c r="BJ241" s="1288"/>
      <c r="BK241" s="1288"/>
      <c r="BL241" s="1288"/>
      <c r="BM241" s="1288"/>
      <c r="BN241" s="1288"/>
      <c r="BO241" s="1288"/>
      <c r="BP241" s="1288"/>
      <c r="BQ241" s="1237" t="n">
        <v>43800</v>
      </c>
      <c r="BR241" s="1238" t="n">
        <v>3.9915</v>
      </c>
      <c r="BS241" s="1238" t="n">
        <v>3.9965</v>
      </c>
      <c r="BT241" s="1238" t="n">
        <v>4.0015</v>
      </c>
      <c r="BU241" s="1244" t="n">
        <f aca="false">BU240</f>
        <v>0.1435</v>
      </c>
      <c r="BV241" s="1244" t="n">
        <f aca="false">BV240</f>
        <v>0.15</v>
      </c>
      <c r="BW241" s="1244" t="n">
        <f aca="false">BW240</f>
        <v>0.1585</v>
      </c>
      <c r="BX241" s="1239" t="n">
        <v>-0.07</v>
      </c>
      <c r="BY241" s="1239"/>
      <c r="BZ241" s="1239" t="n">
        <v>0.07</v>
      </c>
      <c r="CA241" s="1243" t="n">
        <v>0</v>
      </c>
      <c r="CB241" s="1241" t="n">
        <v>0</v>
      </c>
      <c r="CC241" s="1242" t="n">
        <v>3.775</v>
      </c>
      <c r="CD241" s="1239" t="n">
        <v>0.1585</v>
      </c>
    </row>
    <row r="242" customFormat="false" ht="12.75" hidden="false" customHeight="false" outlineLevel="0" collapsed="false">
      <c r="A242" s="1237" t="n">
        <v>43922</v>
      </c>
      <c r="B242" s="1239" t="n">
        <v>0.072927695149867</v>
      </c>
      <c r="C242" s="1218"/>
      <c r="D242" s="1274" t="n">
        <v>42795</v>
      </c>
      <c r="E242" s="1275" t="n">
        <v>24.5054634927697</v>
      </c>
      <c r="F242" s="1275" t="n">
        <v>29.5054634927697</v>
      </c>
      <c r="G242" s="1275" t="n">
        <v>34.5054634927697</v>
      </c>
      <c r="H242" s="1266"/>
      <c r="I242" s="1275" t="n">
        <v>24.5870967741936</v>
      </c>
      <c r="J242" s="1275" t="n">
        <v>29.5870967741936</v>
      </c>
      <c r="K242" s="1275" t="n">
        <v>34.5870967741936</v>
      </c>
      <c r="M242" s="1276" t="n">
        <v>43678</v>
      </c>
      <c r="N242" s="1277" t="n">
        <v>76.8958110295378</v>
      </c>
      <c r="O242" s="1277" t="n">
        <v>81.8958110295378</v>
      </c>
      <c r="P242" s="1277" t="n">
        <v>86.8958110295378</v>
      </c>
      <c r="Q242" s="109"/>
      <c r="R242" s="1277" t="n">
        <v>56.4218582721534</v>
      </c>
      <c r="S242" s="1277" t="n">
        <v>61.4218582721534</v>
      </c>
      <c r="T242" s="1277" t="n">
        <v>66.4218582721534</v>
      </c>
      <c r="V242" s="1278" t="n">
        <v>0</v>
      </c>
      <c r="W242" s="1278" t="n">
        <v>0</v>
      </c>
      <c r="X242" s="1278" t="n">
        <v>0</v>
      </c>
      <c r="Y242" s="1288"/>
      <c r="Z242" s="1277" t="n">
        <v>0.09</v>
      </c>
      <c r="AA242" s="1277" t="n">
        <v>0.1</v>
      </c>
      <c r="AB242" s="1277" t="n">
        <v>0.11</v>
      </c>
      <c r="AC242" s="109"/>
      <c r="AD242" s="1277" t="n">
        <v>0.09</v>
      </c>
      <c r="AE242" s="1277" t="n">
        <v>0.11</v>
      </c>
      <c r="AF242" s="1277" t="n">
        <v>0.13</v>
      </c>
      <c r="AG242" s="109"/>
      <c r="AH242" s="1277" t="n">
        <v>-0.35</v>
      </c>
      <c r="AI242" s="1277" t="n">
        <v>3</v>
      </c>
      <c r="AJ242" s="1277" t="n">
        <v>0.35</v>
      </c>
      <c r="AK242" s="109"/>
      <c r="AL242" s="1277" t="n">
        <v>-0.01</v>
      </c>
      <c r="AM242" s="1277" t="n">
        <v>0.16</v>
      </c>
      <c r="AN242" s="1277" t="n">
        <v>0.01</v>
      </c>
      <c r="AO242" s="109"/>
      <c r="AP242" s="197" t="n">
        <v>78</v>
      </c>
      <c r="AQ242" s="1280" t="n">
        <v>0.35</v>
      </c>
      <c r="AR242" s="1288"/>
      <c r="AS242" s="1288"/>
      <c r="AT242" s="1288"/>
      <c r="AU242" s="1288"/>
      <c r="AV242" s="1288"/>
      <c r="AW242" s="1288"/>
      <c r="AX242" s="1288"/>
      <c r="AY242" s="1288"/>
      <c r="AZ242" s="1288"/>
      <c r="BA242" s="1288"/>
      <c r="BB242" s="1288"/>
      <c r="BC242" s="1288"/>
      <c r="BD242" s="1288"/>
      <c r="BE242" s="1288"/>
      <c r="BF242" s="1288"/>
      <c r="BG242" s="1288"/>
      <c r="BH242" s="1288"/>
      <c r="BI242" s="1288"/>
      <c r="BJ242" s="1288"/>
      <c r="BK242" s="1288"/>
      <c r="BL242" s="1288"/>
      <c r="BM242" s="1288"/>
      <c r="BN242" s="1288"/>
      <c r="BO242" s="1288"/>
      <c r="BP242" s="1288"/>
      <c r="BQ242" s="1237" t="n">
        <v>43831</v>
      </c>
      <c r="BR242" s="1238" t="n">
        <v>4.0315</v>
      </c>
      <c r="BS242" s="1238" t="n">
        <v>4.0365</v>
      </c>
      <c r="BT242" s="1238" t="n">
        <v>4.0415</v>
      </c>
      <c r="BU242" s="1244" t="n">
        <f aca="false">BU241</f>
        <v>0.1435</v>
      </c>
      <c r="BV242" s="1244" t="n">
        <f aca="false">BV241</f>
        <v>0.15</v>
      </c>
      <c r="BW242" s="1244" t="n">
        <f aca="false">BW241</f>
        <v>0.1585</v>
      </c>
      <c r="BX242" s="1239" t="n">
        <v>-0.07</v>
      </c>
      <c r="BY242" s="1239"/>
      <c r="BZ242" s="1239" t="n">
        <v>0.07</v>
      </c>
      <c r="CA242" s="1243" t="n">
        <v>0</v>
      </c>
      <c r="CB242" s="1241" t="n">
        <v>0</v>
      </c>
      <c r="CC242" s="1242" t="n">
        <v>3.782</v>
      </c>
      <c r="CD242" s="1239" t="n">
        <v>0.1585</v>
      </c>
    </row>
    <row r="243" customFormat="false" ht="12.75" hidden="false" customHeight="false" outlineLevel="0" collapsed="false">
      <c r="A243" s="1237" t="n">
        <v>43952</v>
      </c>
      <c r="B243" s="1239" t="n">
        <v>0.072925703754234</v>
      </c>
      <c r="C243" s="1218"/>
      <c r="D243" s="1274" t="n">
        <v>42826</v>
      </c>
      <c r="E243" s="1275" t="n">
        <v>24.6571054532028</v>
      </c>
      <c r="F243" s="1275" t="n">
        <v>29.6571054532028</v>
      </c>
      <c r="G243" s="1275" t="n">
        <v>34.6571054532028</v>
      </c>
      <c r="H243" s="1266"/>
      <c r="I243" s="1275" t="n">
        <v>22.3875</v>
      </c>
      <c r="J243" s="1275" t="n">
        <v>27.3875</v>
      </c>
      <c r="K243" s="1275" t="n">
        <v>32.3875</v>
      </c>
      <c r="M243" s="1276" t="n">
        <v>43709</v>
      </c>
      <c r="N243" s="1277" t="n">
        <v>60.8958110295378</v>
      </c>
      <c r="O243" s="1277" t="n">
        <v>65.8958110295378</v>
      </c>
      <c r="P243" s="1277" t="n">
        <v>70.8958110295378</v>
      </c>
      <c r="Q243" s="109"/>
      <c r="R243" s="1277" t="n">
        <v>44.4218582721534</v>
      </c>
      <c r="S243" s="1277" t="n">
        <v>49.4218582721534</v>
      </c>
      <c r="T243" s="1277" t="n">
        <v>54.4218582721534</v>
      </c>
      <c r="V243" s="1278" t="n">
        <v>0</v>
      </c>
      <c r="W243" s="1278" t="n">
        <v>0</v>
      </c>
      <c r="X243" s="1278" t="n">
        <v>0</v>
      </c>
      <c r="Y243" s="1288"/>
      <c r="Z243" s="1277" t="n">
        <v>0.09</v>
      </c>
      <c r="AA243" s="1277" t="n">
        <v>0.1</v>
      </c>
      <c r="AB243" s="1277" t="n">
        <v>0.11</v>
      </c>
      <c r="AC243" s="109"/>
      <c r="AD243" s="1277" t="n">
        <v>0.09</v>
      </c>
      <c r="AE243" s="1277" t="n">
        <v>0.11</v>
      </c>
      <c r="AF243" s="1277" t="n">
        <v>0.13</v>
      </c>
      <c r="AG243" s="109"/>
      <c r="AH243" s="1277" t="n">
        <v>-0.35</v>
      </c>
      <c r="AI243" s="1277" t="n">
        <v>3</v>
      </c>
      <c r="AJ243" s="1277" t="n">
        <v>0.2</v>
      </c>
      <c r="AK243" s="109"/>
      <c r="AL243" s="1277" t="n">
        <v>-0.01</v>
      </c>
      <c r="AM243" s="1277" t="n">
        <v>0.16</v>
      </c>
      <c r="AN243" s="1277" t="n">
        <v>0.01</v>
      </c>
      <c r="AO243" s="109"/>
      <c r="AP243" s="197" t="n">
        <v>78</v>
      </c>
      <c r="AQ243" s="1280" t="n">
        <v>0.35</v>
      </c>
      <c r="AR243" s="1288"/>
      <c r="AS243" s="1288"/>
      <c r="AT243" s="1288"/>
      <c r="AU243" s="1288"/>
      <c r="AV243" s="1288"/>
      <c r="AW243" s="1288"/>
      <c r="AX243" s="1288"/>
      <c r="AY243" s="1288"/>
      <c r="AZ243" s="1288"/>
      <c r="BA243" s="1288"/>
      <c r="BB243" s="1288"/>
      <c r="BC243" s="1288"/>
      <c r="BD243" s="1288"/>
      <c r="BE243" s="1288"/>
      <c r="BF243" s="1288"/>
      <c r="BG243" s="1288"/>
      <c r="BH243" s="1288"/>
      <c r="BI243" s="1288"/>
      <c r="BJ243" s="1288"/>
      <c r="BK243" s="1288"/>
      <c r="BL243" s="1288"/>
      <c r="BM243" s="1288"/>
      <c r="BN243" s="1288"/>
      <c r="BO243" s="1288"/>
      <c r="BP243" s="1288"/>
      <c r="BQ243" s="1237" t="n">
        <v>43862</v>
      </c>
      <c r="BR243" s="1238" t="n">
        <v>3.9865</v>
      </c>
      <c r="BS243" s="1238" t="n">
        <v>3.9915</v>
      </c>
      <c r="BT243" s="1238" t="n">
        <v>3.9965</v>
      </c>
      <c r="BU243" s="1244" t="n">
        <f aca="false">BU242</f>
        <v>0.1435</v>
      </c>
      <c r="BV243" s="1244" t="n">
        <f aca="false">BV242</f>
        <v>0.15</v>
      </c>
      <c r="BW243" s="1244" t="n">
        <f aca="false">BW242</f>
        <v>0.1585</v>
      </c>
      <c r="BX243" s="1239" t="n">
        <v>-0.07</v>
      </c>
      <c r="BY243" s="1239"/>
      <c r="BZ243" s="1239" t="n">
        <v>0.07</v>
      </c>
      <c r="CA243" s="1243" t="n">
        <v>0</v>
      </c>
      <c r="CB243" s="1241" t="n">
        <v>0</v>
      </c>
      <c r="CC243" s="1242" t="n">
        <v>3.788</v>
      </c>
      <c r="CD243" s="1239" t="n">
        <v>0.1585</v>
      </c>
    </row>
    <row r="244" customFormat="false" ht="12.75" hidden="false" customHeight="false" outlineLevel="0" collapsed="false">
      <c r="A244" s="1237" t="n">
        <v>43983</v>
      </c>
      <c r="B244" s="1239" t="n">
        <v>0.072921297015779</v>
      </c>
      <c r="C244" s="1218"/>
      <c r="D244" s="1274" t="n">
        <v>42856</v>
      </c>
      <c r="E244" s="1275" t="n">
        <v>23.9071054532028</v>
      </c>
      <c r="F244" s="1275" t="n">
        <v>28.9071054532028</v>
      </c>
      <c r="G244" s="1275" t="n">
        <v>33.9071054532028</v>
      </c>
      <c r="H244" s="1266"/>
      <c r="I244" s="1275" t="n">
        <v>22.4459677419355</v>
      </c>
      <c r="J244" s="1275" t="n">
        <v>27.4459677419355</v>
      </c>
      <c r="K244" s="1275" t="n">
        <v>32.4459677419355</v>
      </c>
      <c r="M244" s="1276" t="n">
        <v>43739</v>
      </c>
      <c r="N244" s="1277" t="n">
        <v>32.4991088412998</v>
      </c>
      <c r="O244" s="1277" t="n">
        <v>37.4991088412998</v>
      </c>
      <c r="P244" s="1277" t="n">
        <v>42.4991088412998</v>
      </c>
      <c r="Q244" s="109"/>
      <c r="R244" s="1277" t="n">
        <v>23.1243316309748</v>
      </c>
      <c r="S244" s="1277" t="n">
        <v>28.1243316309748</v>
      </c>
      <c r="T244" s="1277" t="n">
        <v>33.1243316309748</v>
      </c>
      <c r="V244" s="1278" t="n">
        <v>0</v>
      </c>
      <c r="W244" s="1278" t="n">
        <v>0</v>
      </c>
      <c r="X244" s="1278" t="n">
        <v>0</v>
      </c>
      <c r="Y244" s="1288"/>
      <c r="Z244" s="1277" t="n">
        <v>0.09</v>
      </c>
      <c r="AA244" s="1277" t="n">
        <v>0.1</v>
      </c>
      <c r="AB244" s="1277" t="n">
        <v>0.11</v>
      </c>
      <c r="AC244" s="109"/>
      <c r="AD244" s="1277" t="n">
        <v>0.09</v>
      </c>
      <c r="AE244" s="1277" t="n">
        <v>0.11</v>
      </c>
      <c r="AF244" s="1277" t="n">
        <v>0.13</v>
      </c>
      <c r="AG244" s="109"/>
      <c r="AH244" s="1277" t="n">
        <v>-0.1</v>
      </c>
      <c r="AI244" s="1277" t="n">
        <v>3</v>
      </c>
      <c r="AJ244" s="1277" t="n">
        <v>0.1</v>
      </c>
      <c r="AK244" s="109"/>
      <c r="AL244" s="1277" t="n">
        <v>-0.01</v>
      </c>
      <c r="AM244" s="1277" t="n">
        <v>0.16</v>
      </c>
      <c r="AN244" s="1277" t="n">
        <v>0.01</v>
      </c>
      <c r="AO244" s="109"/>
      <c r="AP244" s="197" t="n">
        <v>79</v>
      </c>
      <c r="AQ244" s="1280" t="n">
        <v>0.35</v>
      </c>
      <c r="AR244" s="1288"/>
      <c r="AS244" s="1288"/>
      <c r="AT244" s="1288"/>
      <c r="AU244" s="1288"/>
      <c r="AV244" s="1288"/>
      <c r="AW244" s="1288"/>
      <c r="AX244" s="1288"/>
      <c r="AY244" s="1288"/>
      <c r="AZ244" s="1288"/>
      <c r="BA244" s="1288"/>
      <c r="BB244" s="1288"/>
      <c r="BC244" s="1288"/>
      <c r="BD244" s="1288"/>
      <c r="BE244" s="1288"/>
      <c r="BF244" s="1288"/>
      <c r="BG244" s="1288"/>
      <c r="BH244" s="1288"/>
      <c r="BI244" s="1288"/>
      <c r="BJ244" s="1288"/>
      <c r="BK244" s="1288"/>
      <c r="BL244" s="1288"/>
      <c r="BM244" s="1288"/>
      <c r="BN244" s="1288"/>
      <c r="BO244" s="1288"/>
      <c r="BP244" s="1288"/>
      <c r="BQ244" s="1237" t="n">
        <v>43891</v>
      </c>
      <c r="BR244" s="1238" t="n">
        <v>3.9225</v>
      </c>
      <c r="BS244" s="1238" t="n">
        <v>3.9275</v>
      </c>
      <c r="BT244" s="1238" t="n">
        <v>3.9325</v>
      </c>
      <c r="BU244" s="1244" t="n">
        <f aca="false">BU243</f>
        <v>0.1435</v>
      </c>
      <c r="BV244" s="1244" t="n">
        <f aca="false">BV243</f>
        <v>0.15</v>
      </c>
      <c r="BW244" s="1244" t="n">
        <f aca="false">BW243</f>
        <v>0.1585</v>
      </c>
      <c r="BX244" s="1239" t="n">
        <v>-0.07</v>
      </c>
      <c r="BY244" s="1239"/>
      <c r="BZ244" s="1239" t="n">
        <v>0.07</v>
      </c>
      <c r="CA244" s="1243" t="n">
        <v>0</v>
      </c>
      <c r="CB244" s="1241" t="n">
        <v>0</v>
      </c>
      <c r="CC244" s="1242" t="n">
        <v>3.793</v>
      </c>
      <c r="CD244" s="1239" t="n">
        <v>0.1585</v>
      </c>
    </row>
    <row r="245" customFormat="false" ht="12.75" hidden="false" customHeight="false" outlineLevel="0" collapsed="false">
      <c r="A245" s="1237" t="n">
        <v>44013</v>
      </c>
      <c r="B245" s="1239" t="n">
        <v>0.072917032430182</v>
      </c>
      <c r="C245" s="1218"/>
      <c r="D245" s="1274" t="n">
        <v>42887</v>
      </c>
      <c r="E245" s="1275" t="n">
        <v>29.1571054532028</v>
      </c>
      <c r="F245" s="1275" t="n">
        <v>34.1571054532028</v>
      </c>
      <c r="G245" s="1275" t="n">
        <v>39.1571054532028</v>
      </c>
      <c r="H245" s="1266"/>
      <c r="I245" s="1275" t="n">
        <v>21.7</v>
      </c>
      <c r="J245" s="1275" t="n">
        <v>26.7</v>
      </c>
      <c r="K245" s="1275" t="n">
        <v>31.7</v>
      </c>
      <c r="M245" s="1276" t="n">
        <v>43770</v>
      </c>
      <c r="N245" s="1277" t="n">
        <v>24.7491088412998</v>
      </c>
      <c r="O245" s="1277" t="n">
        <v>29.7491088412998</v>
      </c>
      <c r="P245" s="1277" t="n">
        <v>34.7491088412998</v>
      </c>
      <c r="Q245" s="109"/>
      <c r="R245" s="1277" t="n">
        <v>17.3118316309748</v>
      </c>
      <c r="S245" s="1277" t="n">
        <v>22.3118316309748</v>
      </c>
      <c r="T245" s="1277" t="n">
        <v>27.3118316309748</v>
      </c>
      <c r="V245" s="1278" t="n">
        <v>0</v>
      </c>
      <c r="W245" s="1278" t="n">
        <v>0</v>
      </c>
      <c r="X245" s="1278" t="n">
        <v>0</v>
      </c>
      <c r="Y245" s="1288"/>
      <c r="Z245" s="1277" t="n">
        <v>0.09</v>
      </c>
      <c r="AA245" s="1277" t="n">
        <v>0.1</v>
      </c>
      <c r="AB245" s="1277" t="n">
        <v>0.11</v>
      </c>
      <c r="AC245" s="109"/>
      <c r="AD245" s="1277" t="n">
        <v>0.09</v>
      </c>
      <c r="AE245" s="1277" t="n">
        <v>0.11</v>
      </c>
      <c r="AF245" s="1277" t="n">
        <v>0.13</v>
      </c>
      <c r="AG245" s="109"/>
      <c r="AH245" s="1277" t="n">
        <v>-0.1</v>
      </c>
      <c r="AI245" s="1277" t="n">
        <v>0.6</v>
      </c>
      <c r="AJ245" s="1277" t="n">
        <v>0.1</v>
      </c>
      <c r="AK245" s="109"/>
      <c r="AL245" s="1277" t="n">
        <v>-0.01</v>
      </c>
      <c r="AM245" s="1277" t="n">
        <v>0.16</v>
      </c>
      <c r="AN245" s="1277" t="n">
        <v>0.01</v>
      </c>
      <c r="AO245" s="109"/>
      <c r="AP245" s="197" t="n">
        <v>79</v>
      </c>
      <c r="AQ245" s="1280" t="n">
        <v>0.35</v>
      </c>
      <c r="AR245" s="1288"/>
      <c r="AS245" s="1288"/>
      <c r="AT245" s="1288"/>
      <c r="AU245" s="1288"/>
      <c r="AV245" s="1288"/>
      <c r="AW245" s="1288"/>
      <c r="AX245" s="1288"/>
      <c r="AY245" s="1288"/>
      <c r="AZ245" s="1288"/>
      <c r="BA245" s="1288"/>
      <c r="BB245" s="1288"/>
      <c r="BC245" s="1288"/>
      <c r="BD245" s="1288"/>
      <c r="BE245" s="1288"/>
      <c r="BF245" s="1288"/>
      <c r="BG245" s="1288"/>
      <c r="BH245" s="1288"/>
      <c r="BI245" s="1288"/>
      <c r="BJ245" s="1288"/>
      <c r="BK245" s="1288"/>
      <c r="BL245" s="1288"/>
      <c r="BM245" s="1288"/>
      <c r="BN245" s="1288"/>
      <c r="BO245" s="1288"/>
      <c r="BP245" s="1288"/>
      <c r="BQ245" s="1237" t="n">
        <v>43922</v>
      </c>
      <c r="BR245" s="1238" t="n">
        <v>3.8735</v>
      </c>
      <c r="BS245" s="1238" t="n">
        <v>3.8785</v>
      </c>
      <c r="BT245" s="1238" t="n">
        <v>3.8835</v>
      </c>
      <c r="BU245" s="1244" t="n">
        <f aca="false">BU244</f>
        <v>0.1435</v>
      </c>
      <c r="BV245" s="1244" t="n">
        <f aca="false">BV244</f>
        <v>0.15</v>
      </c>
      <c r="BW245" s="1244" t="n">
        <f aca="false">BW244</f>
        <v>0.1585</v>
      </c>
      <c r="BX245" s="1239" t="n">
        <v>-0.07</v>
      </c>
      <c r="BY245" s="1239"/>
      <c r="BZ245" s="1239" t="n">
        <v>0.07</v>
      </c>
      <c r="CA245" s="1243" t="n">
        <v>0</v>
      </c>
      <c r="CB245" s="1241" t="n">
        <v>0</v>
      </c>
      <c r="CC245" s="1242" t="n">
        <v>3.796</v>
      </c>
      <c r="CD245" s="1239" t="n">
        <v>0.1585</v>
      </c>
    </row>
    <row r="246" customFormat="false" ht="12.75" hidden="false" customHeight="false" outlineLevel="0" collapsed="false">
      <c r="A246" s="1237" t="n">
        <v>44044</v>
      </c>
      <c r="B246" s="1239" t="n">
        <v>0.07291262569174</v>
      </c>
      <c r="C246" s="1218"/>
      <c r="D246" s="1274" t="n">
        <v>42917</v>
      </c>
      <c r="E246" s="1275" t="n">
        <v>55.9214198443165</v>
      </c>
      <c r="F246" s="1275" t="n">
        <v>60.9214198443165</v>
      </c>
      <c r="G246" s="1275" t="n">
        <v>65.9214198443166</v>
      </c>
      <c r="H246" s="1266"/>
      <c r="I246" s="1275" t="n">
        <v>27.7241935483871</v>
      </c>
      <c r="J246" s="1275" t="n">
        <v>32.7241935483871</v>
      </c>
      <c r="K246" s="1275" t="n">
        <v>37.7241935483871</v>
      </c>
      <c r="M246" s="1276" t="n">
        <v>43800</v>
      </c>
      <c r="N246" s="1277" t="n">
        <v>26.7491088412998</v>
      </c>
      <c r="O246" s="1277" t="n">
        <v>31.7491088412998</v>
      </c>
      <c r="P246" s="1277" t="n">
        <v>36.7491088412998</v>
      </c>
      <c r="Q246" s="109"/>
      <c r="R246" s="1277" t="n">
        <v>18.8118316309748</v>
      </c>
      <c r="S246" s="1277" t="n">
        <v>23.8118316309748</v>
      </c>
      <c r="T246" s="1277" t="n">
        <v>28.8118316309748</v>
      </c>
      <c r="V246" s="1278" t="n">
        <v>0</v>
      </c>
      <c r="W246" s="1278" t="n">
        <v>0</v>
      </c>
      <c r="X246" s="1278" t="n">
        <v>0</v>
      </c>
      <c r="Y246" s="1288"/>
      <c r="Z246" s="1277" t="n">
        <v>0.09</v>
      </c>
      <c r="AA246" s="1277" t="n">
        <v>0.1</v>
      </c>
      <c r="AB246" s="1277" t="n">
        <v>0.11</v>
      </c>
      <c r="AC246" s="109"/>
      <c r="AD246" s="1277" t="n">
        <v>0.09</v>
      </c>
      <c r="AE246" s="1277" t="n">
        <v>0.11</v>
      </c>
      <c r="AF246" s="1277" t="n">
        <v>0.13</v>
      </c>
      <c r="AG246" s="109"/>
      <c r="AH246" s="1277" t="n">
        <v>-0.25</v>
      </c>
      <c r="AI246" s="1277" t="n">
        <v>0.6</v>
      </c>
      <c r="AJ246" s="1277" t="n">
        <v>0.25</v>
      </c>
      <c r="AK246" s="109"/>
      <c r="AL246" s="1277" t="n">
        <v>-0.01</v>
      </c>
      <c r="AM246" s="1277" t="n">
        <v>0.16</v>
      </c>
      <c r="AN246" s="1277" t="n">
        <v>0.01</v>
      </c>
      <c r="AO246" s="109"/>
      <c r="AP246" s="197" t="n">
        <v>79</v>
      </c>
      <c r="AQ246" s="1280" t="n">
        <v>0.35</v>
      </c>
      <c r="AR246" s="1288"/>
      <c r="AS246" s="1288"/>
      <c r="AT246" s="1288"/>
      <c r="AU246" s="1288"/>
      <c r="AV246" s="1288"/>
      <c r="AW246" s="1288"/>
      <c r="AX246" s="1288"/>
      <c r="AY246" s="1288"/>
      <c r="AZ246" s="1288"/>
      <c r="BA246" s="1288"/>
      <c r="BB246" s="1288"/>
      <c r="BC246" s="1288"/>
      <c r="BD246" s="1288"/>
      <c r="BE246" s="1288"/>
      <c r="BF246" s="1288"/>
      <c r="BG246" s="1288"/>
      <c r="BH246" s="1288"/>
      <c r="BI246" s="1288"/>
      <c r="BJ246" s="1288"/>
      <c r="BK246" s="1288"/>
      <c r="BL246" s="1288"/>
      <c r="BM246" s="1288"/>
      <c r="BN246" s="1288"/>
      <c r="BO246" s="1288"/>
      <c r="BP246" s="1288"/>
      <c r="BQ246" s="1237" t="n">
        <v>43952</v>
      </c>
      <c r="BR246" s="1238" t="n">
        <v>3.9045</v>
      </c>
      <c r="BS246" s="1238" t="n">
        <v>3.9095</v>
      </c>
      <c r="BT246" s="1238" t="n">
        <v>3.9145</v>
      </c>
      <c r="BU246" s="1244" t="n">
        <f aca="false">BU245</f>
        <v>0.1435</v>
      </c>
      <c r="BV246" s="1244" t="n">
        <f aca="false">BV245</f>
        <v>0.15</v>
      </c>
      <c r="BW246" s="1244" t="n">
        <f aca="false">BW245</f>
        <v>0.1585</v>
      </c>
      <c r="BX246" s="1239" t="n">
        <v>-0.07</v>
      </c>
      <c r="BY246" s="1239"/>
      <c r="BZ246" s="1239" t="n">
        <v>0.07</v>
      </c>
      <c r="CA246" s="1243" t="n">
        <v>0</v>
      </c>
      <c r="CB246" s="1241" t="n">
        <v>0</v>
      </c>
      <c r="CC246" s="1242" t="n">
        <v>3.829</v>
      </c>
      <c r="CD246" s="1239" t="n">
        <v>0.1585</v>
      </c>
    </row>
    <row r="247" customFormat="false" ht="12.75" hidden="false" customHeight="false" outlineLevel="0" collapsed="false">
      <c r="A247" s="1237" t="n">
        <v>44075</v>
      </c>
      <c r="B247" s="1239" t="n">
        <v>0.072908218953304</v>
      </c>
      <c r="C247" s="1218"/>
      <c r="D247" s="1274" t="n">
        <v>42948</v>
      </c>
      <c r="E247" s="1275" t="n">
        <v>76.5464198443166</v>
      </c>
      <c r="F247" s="1275" t="n">
        <v>81.5464198443166</v>
      </c>
      <c r="G247" s="1275" t="n">
        <v>86.5464198443166</v>
      </c>
      <c r="H247" s="1266"/>
      <c r="I247" s="1275" t="n">
        <v>25.7241935483871</v>
      </c>
      <c r="J247" s="1275" t="n">
        <v>30.7241935483871</v>
      </c>
      <c r="K247" s="1275" t="n">
        <v>35.7241935483871</v>
      </c>
      <c r="M247" s="1276" t="n">
        <v>43831</v>
      </c>
      <c r="N247" s="1277" t="n">
        <v>25.4712303226485</v>
      </c>
      <c r="O247" s="1277" t="n">
        <v>30.4712303226485</v>
      </c>
      <c r="P247" s="1277" t="n">
        <v>35.4712303226485</v>
      </c>
      <c r="Q247" s="109"/>
      <c r="R247" s="1277" t="n">
        <v>17.8534227419864</v>
      </c>
      <c r="S247" s="1277" t="n">
        <v>22.8534227419864</v>
      </c>
      <c r="T247" s="1277" t="n">
        <v>27.8534227419864</v>
      </c>
      <c r="V247" s="1278" t="n">
        <v>0</v>
      </c>
      <c r="W247" s="1278" t="n">
        <v>0</v>
      </c>
      <c r="X247" s="1278" t="n">
        <v>0</v>
      </c>
      <c r="Y247" s="1288"/>
      <c r="Z247" s="1277" t="n">
        <v>0.09</v>
      </c>
      <c r="AA247" s="1277" t="n">
        <v>0.1</v>
      </c>
      <c r="AB247" s="1277" t="n">
        <v>0.11</v>
      </c>
      <c r="AC247" s="109"/>
      <c r="AD247" s="1277" t="n">
        <v>0.09</v>
      </c>
      <c r="AE247" s="1277" t="n">
        <v>0.11</v>
      </c>
      <c r="AF247" s="1277" t="n">
        <v>0.13</v>
      </c>
      <c r="AG247" s="109"/>
      <c r="AH247" s="1277" t="n">
        <v>-0.25</v>
      </c>
      <c r="AI247" s="1277" t="n">
        <v>0.6</v>
      </c>
      <c r="AJ247" s="1277" t="n">
        <v>0.25</v>
      </c>
      <c r="AK247" s="109"/>
      <c r="AL247" s="1277" t="n">
        <v>-0.01</v>
      </c>
      <c r="AM247" s="1277" t="n">
        <v>0.16</v>
      </c>
      <c r="AN247" s="1277" t="n">
        <v>0.01</v>
      </c>
      <c r="AO247" s="109"/>
      <c r="AP247" s="197" t="n">
        <v>80</v>
      </c>
      <c r="AQ247" s="1280" t="n">
        <v>0.35</v>
      </c>
      <c r="AR247" s="1288"/>
      <c r="AS247" s="1288"/>
      <c r="AT247" s="1288"/>
      <c r="AU247" s="1288"/>
      <c r="AV247" s="1288"/>
      <c r="AW247" s="1288"/>
      <c r="AX247" s="1288"/>
      <c r="AY247" s="1288"/>
      <c r="AZ247" s="1288"/>
      <c r="BA247" s="1288"/>
      <c r="BB247" s="1288"/>
      <c r="BC247" s="1288"/>
      <c r="BD247" s="1288"/>
      <c r="BE247" s="1288"/>
      <c r="BF247" s="1288"/>
      <c r="BG247" s="1288"/>
      <c r="BH247" s="1288"/>
      <c r="BI247" s="1288"/>
      <c r="BJ247" s="1288"/>
      <c r="BK247" s="1288"/>
      <c r="BL247" s="1288"/>
      <c r="BM247" s="1288"/>
      <c r="BN247" s="1288"/>
      <c r="BO247" s="1288"/>
      <c r="BP247" s="1288"/>
      <c r="BQ247" s="1237" t="n">
        <v>43983</v>
      </c>
      <c r="BR247" s="1238" t="n">
        <v>3.9285</v>
      </c>
      <c r="BS247" s="1238" t="n">
        <v>3.9335</v>
      </c>
      <c r="BT247" s="1238" t="n">
        <v>3.9385</v>
      </c>
      <c r="BU247" s="1244" t="n">
        <f aca="false">BU246</f>
        <v>0.1435</v>
      </c>
      <c r="BV247" s="1244" t="n">
        <f aca="false">BV246</f>
        <v>0.15</v>
      </c>
      <c r="BW247" s="1244" t="n">
        <f aca="false">BW246</f>
        <v>0.1585</v>
      </c>
      <c r="BX247" s="1239" t="n">
        <v>-0.07</v>
      </c>
      <c r="BY247" s="1239"/>
      <c r="BZ247" s="1239" t="n">
        <v>0.07</v>
      </c>
      <c r="CA247" s="1243" t="n">
        <v>0</v>
      </c>
      <c r="CB247" s="1241" t="n">
        <v>0</v>
      </c>
      <c r="CC247" s="1242" t="n">
        <v>3.97</v>
      </c>
      <c r="CD247" s="1239" t="n">
        <v>0.1585</v>
      </c>
    </row>
    <row r="248" customFormat="false" ht="12.75" hidden="false" customHeight="false" outlineLevel="0" collapsed="false">
      <c r="A248" s="1237" t="n">
        <v>44105</v>
      </c>
      <c r="B248" s="1239" t="n">
        <v>0.072903954367727</v>
      </c>
      <c r="C248" s="1218"/>
      <c r="D248" s="1274" t="n">
        <v>42979</v>
      </c>
      <c r="E248" s="1275" t="n">
        <v>60.5464198443165</v>
      </c>
      <c r="F248" s="1275" t="n">
        <v>65.5464198443166</v>
      </c>
      <c r="G248" s="1275" t="n">
        <v>70.5464198443166</v>
      </c>
      <c r="H248" s="1291"/>
      <c r="I248" s="1275" t="n">
        <v>26.1375</v>
      </c>
      <c r="J248" s="1275" t="n">
        <v>31.1375</v>
      </c>
      <c r="K248" s="1275" t="n">
        <v>36.1375</v>
      </c>
      <c r="M248" s="1276" t="n">
        <v>43862</v>
      </c>
      <c r="N248" s="1277" t="n">
        <v>24.9712303226485</v>
      </c>
      <c r="O248" s="1277" t="n">
        <v>29.9712303226485</v>
      </c>
      <c r="P248" s="1277" t="n">
        <v>34.9712303226485</v>
      </c>
      <c r="Q248" s="109"/>
      <c r="R248" s="1277" t="n">
        <v>17.4784227419864</v>
      </c>
      <c r="S248" s="1277" t="n">
        <v>22.4784227419864</v>
      </c>
      <c r="T248" s="1277" t="n">
        <v>27.4784227419864</v>
      </c>
      <c r="V248" s="1278" t="n">
        <v>0</v>
      </c>
      <c r="W248" s="1278" t="n">
        <v>0</v>
      </c>
      <c r="X248" s="1278" t="n">
        <v>0</v>
      </c>
      <c r="Y248" s="1288"/>
      <c r="Z248" s="1277" t="n">
        <v>0.09</v>
      </c>
      <c r="AA248" s="1277" t="n">
        <v>0.1</v>
      </c>
      <c r="AB248" s="1277" t="n">
        <v>0.11</v>
      </c>
      <c r="AC248" s="109"/>
      <c r="AD248" s="1277" t="n">
        <v>0.09</v>
      </c>
      <c r="AE248" s="1277" t="n">
        <v>0.11</v>
      </c>
      <c r="AF248" s="1277" t="n">
        <v>0.13</v>
      </c>
      <c r="AG248" s="109"/>
      <c r="AH248" s="1277" t="n">
        <v>-0.25</v>
      </c>
      <c r="AI248" s="1277" t="n">
        <v>0.65</v>
      </c>
      <c r="AJ248" s="1277" t="n">
        <v>0.25</v>
      </c>
      <c r="AK248" s="109"/>
      <c r="AL248" s="1277" t="n">
        <v>-0.01</v>
      </c>
      <c r="AM248" s="1277" t="n">
        <v>0.16</v>
      </c>
      <c r="AN248" s="1277" t="n">
        <v>0.01</v>
      </c>
      <c r="AO248" s="109"/>
      <c r="AP248" s="197" t="n">
        <v>80</v>
      </c>
      <c r="AQ248" s="1280" t="n">
        <v>0.35</v>
      </c>
      <c r="AR248" s="1288"/>
      <c r="AS248" s="1288"/>
      <c r="AT248" s="1288"/>
      <c r="AU248" s="1288"/>
      <c r="AV248" s="1288"/>
      <c r="AW248" s="1288"/>
      <c r="AX248" s="1288"/>
      <c r="AY248" s="1288"/>
      <c r="AZ248" s="1288"/>
      <c r="BA248" s="1288"/>
      <c r="BB248" s="1288"/>
      <c r="BC248" s="1288"/>
      <c r="BD248" s="1288"/>
      <c r="BE248" s="1288"/>
      <c r="BF248" s="1288"/>
      <c r="BG248" s="1288"/>
      <c r="BH248" s="1288"/>
      <c r="BI248" s="1288"/>
      <c r="BJ248" s="1288"/>
      <c r="BK248" s="1288"/>
      <c r="BL248" s="1288"/>
      <c r="BM248" s="1288"/>
      <c r="BN248" s="1288"/>
      <c r="BO248" s="1288"/>
      <c r="BP248" s="1288"/>
      <c r="BQ248" s="1237" t="n">
        <v>44013</v>
      </c>
      <c r="BR248" s="1238" t="n">
        <v>3.9365</v>
      </c>
      <c r="BS248" s="1238" t="n">
        <v>3.9415</v>
      </c>
      <c r="BT248" s="1238" t="n">
        <v>3.9465</v>
      </c>
      <c r="BU248" s="1244" t="n">
        <f aca="false">BU247</f>
        <v>0.1435</v>
      </c>
      <c r="BV248" s="1244" t="n">
        <f aca="false">BV247</f>
        <v>0.15</v>
      </c>
      <c r="BW248" s="1244" t="n">
        <f aca="false">BW247</f>
        <v>0.1585</v>
      </c>
      <c r="BX248" s="1239" t="n">
        <v>-0.07</v>
      </c>
      <c r="BY248" s="1239"/>
      <c r="BZ248" s="1239" t="n">
        <v>0.07</v>
      </c>
      <c r="CA248" s="1243" t="n">
        <v>0</v>
      </c>
      <c r="CB248" s="1241" t="n">
        <v>0</v>
      </c>
      <c r="CC248" s="1242" t="n">
        <v>4.115</v>
      </c>
      <c r="CD248" s="1239" t="n">
        <v>0.1585</v>
      </c>
    </row>
    <row r="249" customFormat="false" ht="12.75" hidden="false" customHeight="false" outlineLevel="0" collapsed="false">
      <c r="A249" s="1237" t="n">
        <v>44136</v>
      </c>
      <c r="B249" s="1239" t="n">
        <v>0.072899547629303</v>
      </c>
      <c r="C249" s="1218"/>
      <c r="D249" s="1274" t="n">
        <v>43009</v>
      </c>
      <c r="E249" s="1275" t="n">
        <v>32.3462008901296</v>
      </c>
      <c r="F249" s="1275" t="n">
        <v>37.3462008901296</v>
      </c>
      <c r="G249" s="1275" t="n">
        <v>42.3462008901296</v>
      </c>
      <c r="H249" s="1291"/>
      <c r="I249" s="1275" t="n">
        <v>25.6516129032258</v>
      </c>
      <c r="J249" s="1275" t="n">
        <v>30.6516129032258</v>
      </c>
      <c r="K249" s="1275" t="n">
        <v>35.6516129032258</v>
      </c>
      <c r="M249" s="1276" t="n">
        <v>43891</v>
      </c>
      <c r="N249" s="1277" t="n">
        <v>24.2212303226485</v>
      </c>
      <c r="O249" s="1277" t="n">
        <v>29.2212303226485</v>
      </c>
      <c r="P249" s="1277" t="n">
        <v>34.2212303226485</v>
      </c>
      <c r="Q249" s="109"/>
      <c r="R249" s="1277" t="n">
        <v>16.9159227419864</v>
      </c>
      <c r="S249" s="1277" t="n">
        <v>21.9159227419864</v>
      </c>
      <c r="T249" s="1277" t="n">
        <v>26.9159227419864</v>
      </c>
      <c r="V249" s="1278" t="n">
        <v>0</v>
      </c>
      <c r="W249" s="1278" t="n">
        <v>0</v>
      </c>
      <c r="X249" s="1278" t="n">
        <v>0</v>
      </c>
      <c r="Y249" s="1288"/>
      <c r="Z249" s="1277" t="n">
        <v>0.09</v>
      </c>
      <c r="AA249" s="1277" t="n">
        <v>0.1</v>
      </c>
      <c r="AB249" s="1277" t="n">
        <v>0.11</v>
      </c>
      <c r="AC249" s="109"/>
      <c r="AD249" s="1277" t="n">
        <v>0.09</v>
      </c>
      <c r="AE249" s="1277" t="n">
        <v>0.11</v>
      </c>
      <c r="AF249" s="1277" t="n">
        <v>0.13</v>
      </c>
      <c r="AG249" s="109"/>
      <c r="AH249" s="1277" t="n">
        <v>-0.1</v>
      </c>
      <c r="AI249" s="1277" t="n">
        <v>0.65</v>
      </c>
      <c r="AJ249" s="1277" t="n">
        <v>0.1</v>
      </c>
      <c r="AK249" s="109"/>
      <c r="AL249" s="1277" t="n">
        <v>-0.01</v>
      </c>
      <c r="AM249" s="1277" t="n">
        <v>0.16</v>
      </c>
      <c r="AN249" s="1277" t="n">
        <v>0.01</v>
      </c>
      <c r="AO249" s="109"/>
      <c r="AP249" s="197" t="n">
        <v>80</v>
      </c>
      <c r="AQ249" s="1280" t="n">
        <v>0.35</v>
      </c>
      <c r="AR249" s="1288"/>
      <c r="AS249" s="1288"/>
      <c r="AT249" s="1288"/>
      <c r="AU249" s="1288"/>
      <c r="AV249" s="1288"/>
      <c r="AW249" s="1288"/>
      <c r="AX249" s="1288"/>
      <c r="AY249" s="1288"/>
      <c r="AZ249" s="1288"/>
      <c r="BA249" s="1288"/>
      <c r="BB249" s="1288"/>
      <c r="BC249" s="1288"/>
      <c r="BD249" s="1288"/>
      <c r="BE249" s="1288"/>
      <c r="BF249" s="1288"/>
      <c r="BG249" s="1288"/>
      <c r="BH249" s="1288"/>
      <c r="BI249" s="1288"/>
      <c r="BJ249" s="1288"/>
      <c r="BK249" s="1288"/>
      <c r="BL249" s="1288"/>
      <c r="BM249" s="1288"/>
      <c r="BN249" s="1288"/>
      <c r="BO249" s="1288"/>
      <c r="BP249" s="1288"/>
      <c r="BQ249" s="1237" t="n">
        <v>44044</v>
      </c>
      <c r="BR249" s="1238" t="n">
        <v>3.9455</v>
      </c>
      <c r="BS249" s="1238" t="n">
        <v>3.9505</v>
      </c>
      <c r="BT249" s="1238" t="n">
        <v>3.9555</v>
      </c>
      <c r="BU249" s="1244" t="n">
        <f aca="false">BU248</f>
        <v>0.1435</v>
      </c>
      <c r="BV249" s="1244" t="n">
        <f aca="false">BV248</f>
        <v>0.15</v>
      </c>
      <c r="BW249" s="1244" t="n">
        <f aca="false">BW248</f>
        <v>0.1585</v>
      </c>
      <c r="BX249" s="1239" t="n">
        <v>-0.07</v>
      </c>
      <c r="BY249" s="1239"/>
      <c r="BZ249" s="1239" t="n">
        <v>0.07</v>
      </c>
      <c r="CA249" s="1243" t="n">
        <v>0</v>
      </c>
      <c r="CB249" s="1241" t="n">
        <v>0</v>
      </c>
      <c r="CC249" s="1242" t="n">
        <v>4.259</v>
      </c>
      <c r="CD249" s="1239" t="n">
        <v>0.1585</v>
      </c>
    </row>
    <row r="250" customFormat="false" ht="12.75" hidden="false" customHeight="false" outlineLevel="0" collapsed="false">
      <c r="A250" s="1237" t="n">
        <v>44166</v>
      </c>
      <c r="B250" s="1239" t="n">
        <v>0.072895283043738</v>
      </c>
      <c r="C250" s="1218"/>
      <c r="D250" s="1274" t="n">
        <v>43040</v>
      </c>
      <c r="E250" s="1275" t="n">
        <v>24.5962008901296</v>
      </c>
      <c r="F250" s="1275" t="n">
        <v>29.5962008901296</v>
      </c>
      <c r="G250" s="1275" t="n">
        <v>34.5962008901296</v>
      </c>
      <c r="H250" s="1291"/>
      <c r="I250" s="1275" t="n">
        <v>26.9916666666667</v>
      </c>
      <c r="J250" s="1275" t="n">
        <v>31.9916666666667</v>
      </c>
      <c r="K250" s="1275" t="n">
        <v>36.9916666666667</v>
      </c>
      <c r="M250" s="1276" t="n">
        <v>43922</v>
      </c>
      <c r="N250" s="1277" t="n">
        <v>24.1397413592479</v>
      </c>
      <c r="O250" s="1277" t="n">
        <v>29.1397413592479</v>
      </c>
      <c r="P250" s="1277" t="n">
        <v>34.1397413592479</v>
      </c>
      <c r="Q250" s="109"/>
      <c r="R250" s="1277" t="n">
        <v>16.854806019436</v>
      </c>
      <c r="S250" s="1277" t="n">
        <v>21.854806019436</v>
      </c>
      <c r="T250" s="1277" t="n">
        <v>26.854806019436</v>
      </c>
      <c r="V250" s="1278" t="n">
        <v>0</v>
      </c>
      <c r="W250" s="1278" t="n">
        <v>0</v>
      </c>
      <c r="X250" s="1278" t="n">
        <v>0</v>
      </c>
      <c r="Y250" s="1288"/>
      <c r="Z250" s="1277" t="n">
        <v>0.09</v>
      </c>
      <c r="AA250" s="1277" t="n">
        <v>0.1</v>
      </c>
      <c r="AB250" s="1277" t="n">
        <v>0.11</v>
      </c>
      <c r="AC250" s="109"/>
      <c r="AD250" s="1277" t="n">
        <v>0.09</v>
      </c>
      <c r="AE250" s="1277" t="n">
        <v>0.11</v>
      </c>
      <c r="AF250" s="1277" t="n">
        <v>0.13</v>
      </c>
      <c r="AG250" s="109"/>
      <c r="AH250" s="1277" t="n">
        <v>-0.1</v>
      </c>
      <c r="AI250" s="1277" t="n">
        <v>0.65</v>
      </c>
      <c r="AJ250" s="1277" t="n">
        <v>0.1</v>
      </c>
      <c r="AK250" s="109"/>
      <c r="AL250" s="1277" t="n">
        <v>-0.01</v>
      </c>
      <c r="AM250" s="1277" t="n">
        <v>0.16</v>
      </c>
      <c r="AN250" s="1277" t="n">
        <v>0.01</v>
      </c>
      <c r="AO250" s="109"/>
      <c r="AP250" s="197" t="n">
        <v>81</v>
      </c>
      <c r="AQ250" s="1280" t="n">
        <v>0.35</v>
      </c>
      <c r="AR250" s="1288"/>
      <c r="AS250" s="1288"/>
      <c r="AT250" s="1288"/>
      <c r="AU250" s="1288"/>
      <c r="AV250" s="1288"/>
      <c r="AW250" s="1288"/>
      <c r="AX250" s="1288"/>
      <c r="AY250" s="1288"/>
      <c r="AZ250" s="1288"/>
      <c r="BA250" s="1288"/>
      <c r="BB250" s="1288"/>
      <c r="BC250" s="1288"/>
      <c r="BD250" s="1288"/>
      <c r="BE250" s="1288"/>
      <c r="BF250" s="1288"/>
      <c r="BG250" s="1288"/>
      <c r="BH250" s="1288"/>
      <c r="BI250" s="1288"/>
      <c r="BJ250" s="1288"/>
      <c r="BK250" s="1288"/>
      <c r="BL250" s="1288"/>
      <c r="BM250" s="1288"/>
      <c r="BN250" s="1288"/>
      <c r="BO250" s="1288"/>
      <c r="BP250" s="1288"/>
      <c r="BQ250" s="1237" t="n">
        <v>44075</v>
      </c>
      <c r="BR250" s="1238" t="n">
        <v>3.9355</v>
      </c>
      <c r="BS250" s="1238" t="n">
        <v>3.9405</v>
      </c>
      <c r="BT250" s="1238" t="n">
        <v>3.9455</v>
      </c>
      <c r="BU250" s="1244" t="n">
        <f aca="false">BU249</f>
        <v>0.1435</v>
      </c>
      <c r="BV250" s="1244" t="n">
        <f aca="false">BV249</f>
        <v>0.15</v>
      </c>
      <c r="BW250" s="1244" t="n">
        <f aca="false">BW249</f>
        <v>0.1585</v>
      </c>
      <c r="BX250" s="1239" t="n">
        <v>-0.07</v>
      </c>
      <c r="BY250" s="1239"/>
      <c r="BZ250" s="1239" t="n">
        <v>0.07</v>
      </c>
      <c r="CA250" s="1243" t="n">
        <v>0</v>
      </c>
      <c r="CB250" s="1241" t="n">
        <v>0</v>
      </c>
      <c r="CC250" s="1242" t="n">
        <v>4.134</v>
      </c>
      <c r="CD250" s="1239" t="n">
        <v>0.1585</v>
      </c>
    </row>
    <row r="251" customFormat="false" ht="12.75" hidden="false" customHeight="false" outlineLevel="0" collapsed="false">
      <c r="A251" s="1237" t="n">
        <v>44197</v>
      </c>
      <c r="B251" s="1239" t="n">
        <v>0.072890876305327</v>
      </c>
      <c r="C251" s="1218"/>
      <c r="D251" s="1274" t="n">
        <v>43070</v>
      </c>
      <c r="E251" s="1275" t="n">
        <v>26.5962008901296</v>
      </c>
      <c r="F251" s="1275" t="n">
        <v>31.5962008901296</v>
      </c>
      <c r="G251" s="1275" t="n">
        <v>36.5962008901296</v>
      </c>
      <c r="H251" s="1291"/>
      <c r="I251" s="1275" t="n">
        <v>26.2967741935484</v>
      </c>
      <c r="J251" s="1275" t="n">
        <v>31.2967741935484</v>
      </c>
      <c r="K251" s="1275" t="n">
        <v>36.2967741935484</v>
      </c>
      <c r="M251" s="1276" t="n">
        <v>43952</v>
      </c>
      <c r="N251" s="1277" t="n">
        <v>24.1397413592479</v>
      </c>
      <c r="O251" s="1277" t="n">
        <v>29.1397413592479</v>
      </c>
      <c r="P251" s="1277" t="n">
        <v>34.1397413592479</v>
      </c>
      <c r="Q251" s="109"/>
      <c r="R251" s="1277" t="n">
        <v>16.854806019436</v>
      </c>
      <c r="S251" s="1277" t="n">
        <v>21.854806019436</v>
      </c>
      <c r="T251" s="1277" t="n">
        <v>26.854806019436</v>
      </c>
      <c r="V251" s="1278" t="n">
        <v>0</v>
      </c>
      <c r="W251" s="1278" t="n">
        <v>0</v>
      </c>
      <c r="X251" s="1278" t="n">
        <v>0</v>
      </c>
      <c r="Y251" s="1288"/>
      <c r="Z251" s="1277" t="n">
        <v>0.09</v>
      </c>
      <c r="AA251" s="1277" t="n">
        <v>0.1</v>
      </c>
      <c r="AB251" s="1277" t="n">
        <v>0.11</v>
      </c>
      <c r="AC251" s="109"/>
      <c r="AD251" s="1277" t="n">
        <v>0.09</v>
      </c>
      <c r="AE251" s="1277" t="n">
        <v>0.11</v>
      </c>
      <c r="AF251" s="1277" t="n">
        <v>0.13</v>
      </c>
      <c r="AG251" s="109"/>
      <c r="AH251" s="1277" t="n">
        <v>-0.1</v>
      </c>
      <c r="AI251" s="1277" t="n">
        <v>0.65</v>
      </c>
      <c r="AJ251" s="1277" t="n">
        <v>0.1</v>
      </c>
      <c r="AK251" s="109"/>
      <c r="AL251" s="1277" t="n">
        <v>-0.01</v>
      </c>
      <c r="AM251" s="1277" t="n">
        <v>0.16</v>
      </c>
      <c r="AN251" s="1277" t="n">
        <v>0.01</v>
      </c>
      <c r="AO251" s="109"/>
      <c r="AP251" s="197" t="n">
        <v>81</v>
      </c>
      <c r="AQ251" s="1280" t="n">
        <v>0.35</v>
      </c>
      <c r="AR251" s="1288"/>
      <c r="AS251" s="1288"/>
      <c r="AT251" s="1288"/>
      <c r="AU251" s="1288"/>
      <c r="AV251" s="1288"/>
      <c r="AW251" s="1288"/>
      <c r="AX251" s="1288"/>
      <c r="AY251" s="1288"/>
      <c r="AZ251" s="1288"/>
      <c r="BA251" s="1288"/>
      <c r="BB251" s="1288"/>
      <c r="BC251" s="1288"/>
      <c r="BD251" s="1288"/>
      <c r="BE251" s="1288"/>
      <c r="BF251" s="1288"/>
      <c r="BG251" s="1288"/>
      <c r="BH251" s="1288"/>
      <c r="BI251" s="1288"/>
      <c r="BJ251" s="1288"/>
      <c r="BK251" s="1288"/>
      <c r="BL251" s="1288"/>
      <c r="BM251" s="1288"/>
      <c r="BN251" s="1288"/>
      <c r="BO251" s="1288"/>
      <c r="BP251" s="1288"/>
      <c r="BQ251" s="1237" t="n">
        <v>44105</v>
      </c>
      <c r="BR251" s="1238" t="n">
        <v>3.9455</v>
      </c>
      <c r="BS251" s="1238" t="n">
        <v>3.9505</v>
      </c>
      <c r="BT251" s="1238" t="n">
        <v>3.9555</v>
      </c>
      <c r="BU251" s="1244" t="n">
        <f aca="false">BU250</f>
        <v>0.1435</v>
      </c>
      <c r="BV251" s="1244" t="n">
        <f aca="false">BV250</f>
        <v>0.15</v>
      </c>
      <c r="BW251" s="1244" t="n">
        <f aca="false">BW250</f>
        <v>0.1585</v>
      </c>
      <c r="BX251" s="1239" t="n">
        <v>-0.07</v>
      </c>
      <c r="BY251" s="1239"/>
      <c r="BZ251" s="1239" t="n">
        <v>0.07</v>
      </c>
      <c r="CA251" s="1243" t="n">
        <v>0</v>
      </c>
      <c r="CB251" s="1241" t="n">
        <v>0</v>
      </c>
      <c r="CC251" s="1242" t="n">
        <v>4.027</v>
      </c>
      <c r="CD251" s="1239" t="n">
        <v>0.1585</v>
      </c>
    </row>
    <row r="252" customFormat="false" ht="12.75" hidden="false" customHeight="false" outlineLevel="0" collapsed="false">
      <c r="A252" s="1237" t="n">
        <v>44228</v>
      </c>
      <c r="B252" s="1239" t="n">
        <v>0.072886469566923</v>
      </c>
      <c r="C252" s="1218"/>
      <c r="D252" s="1274" t="n">
        <v>43101</v>
      </c>
      <c r="E252" s="1275" t="n">
        <v>25.327385769396</v>
      </c>
      <c r="F252" s="1275" t="n">
        <v>30.327385769396</v>
      </c>
      <c r="G252" s="1275" t="n">
        <v>35.327385769396</v>
      </c>
      <c r="H252" s="1291"/>
      <c r="I252" s="1275" t="n">
        <v>23.8381191510522</v>
      </c>
      <c r="J252" s="1275" t="n">
        <v>28.8381191510522</v>
      </c>
      <c r="K252" s="1275" t="n">
        <v>33.8381191510522</v>
      </c>
      <c r="M252" s="1276" t="n">
        <v>43983</v>
      </c>
      <c r="N252" s="1277" t="n">
        <v>29.3897413592479</v>
      </c>
      <c r="O252" s="1277" t="n">
        <v>34.3897413592479</v>
      </c>
      <c r="P252" s="1277" t="n">
        <v>39.3897413592479</v>
      </c>
      <c r="Q252" s="109"/>
      <c r="R252" s="1277" t="n">
        <v>20.792306019436</v>
      </c>
      <c r="S252" s="1277" t="n">
        <v>25.792306019436</v>
      </c>
      <c r="T252" s="1277" t="n">
        <v>30.792306019436</v>
      </c>
      <c r="V252" s="1278" t="n">
        <v>0</v>
      </c>
      <c r="W252" s="1278" t="n">
        <v>0</v>
      </c>
      <c r="X252" s="1278" t="n">
        <v>0</v>
      </c>
      <c r="Y252" s="1288"/>
      <c r="Z252" s="1277" t="n">
        <v>0.09</v>
      </c>
      <c r="AA252" s="1277" t="n">
        <v>0.1</v>
      </c>
      <c r="AB252" s="1277" t="n">
        <v>0.11</v>
      </c>
      <c r="AC252" s="109"/>
      <c r="AD252" s="1277" t="n">
        <v>0.09</v>
      </c>
      <c r="AE252" s="1277" t="n">
        <v>0.11</v>
      </c>
      <c r="AF252" s="1277" t="n">
        <v>0.13</v>
      </c>
      <c r="AG252" s="109"/>
      <c r="AH252" s="1277" t="n">
        <v>-0.35</v>
      </c>
      <c r="AI252" s="1277" t="n">
        <v>0.65</v>
      </c>
      <c r="AJ252" s="1277" t="n">
        <v>0.2</v>
      </c>
      <c r="AK252" s="109"/>
      <c r="AL252" s="1277" t="n">
        <v>-0.01</v>
      </c>
      <c r="AM252" s="1277" t="n">
        <v>0.16</v>
      </c>
      <c r="AN252" s="1277" t="n">
        <v>0.01</v>
      </c>
      <c r="AO252" s="109"/>
      <c r="AP252" s="197" t="n">
        <v>81</v>
      </c>
      <c r="AQ252" s="1280" t="n">
        <v>0.35</v>
      </c>
      <c r="AR252" s="1288"/>
      <c r="AS252" s="1288"/>
      <c r="AT252" s="1288"/>
      <c r="AU252" s="1288"/>
      <c r="AV252" s="1288"/>
      <c r="AW252" s="1288"/>
      <c r="AX252" s="1288"/>
      <c r="AY252" s="1288"/>
      <c r="AZ252" s="1288"/>
      <c r="BA252" s="1288"/>
      <c r="BB252" s="1288"/>
      <c r="BC252" s="1288"/>
      <c r="BD252" s="1288"/>
      <c r="BE252" s="1288"/>
      <c r="BF252" s="1288"/>
      <c r="BG252" s="1288"/>
      <c r="BH252" s="1288"/>
      <c r="BI252" s="1288"/>
      <c r="BJ252" s="1288"/>
      <c r="BK252" s="1288"/>
      <c r="BL252" s="1288"/>
      <c r="BM252" s="1288"/>
      <c r="BN252" s="1288"/>
      <c r="BO252" s="1288"/>
      <c r="BP252" s="1288"/>
      <c r="BQ252" s="1237" t="n">
        <v>44136</v>
      </c>
      <c r="BR252" s="1238" t="n">
        <v>3.9935</v>
      </c>
      <c r="BS252" s="1238" t="n">
        <v>3.9985</v>
      </c>
      <c r="BT252" s="1238" t="n">
        <v>4.0035</v>
      </c>
      <c r="BU252" s="1244" t="n">
        <f aca="false">BU251</f>
        <v>0.1435</v>
      </c>
      <c r="BV252" s="1244" t="n">
        <f aca="false">BV251</f>
        <v>0.15</v>
      </c>
      <c r="BW252" s="1244" t="n">
        <f aca="false">BW251</f>
        <v>0.1585</v>
      </c>
      <c r="BX252" s="1239" t="n">
        <v>-0.07</v>
      </c>
      <c r="BY252" s="1239"/>
      <c r="BZ252" s="1239" t="n">
        <v>0.07</v>
      </c>
      <c r="CA252" s="1243" t="n">
        <v>0</v>
      </c>
      <c r="CB252" s="1241" t="n">
        <v>0</v>
      </c>
      <c r="CC252" s="1242" t="n">
        <v>3.924</v>
      </c>
      <c r="CD252" s="1239" t="n">
        <v>0.1585</v>
      </c>
    </row>
    <row r="253" customFormat="false" ht="12.75" hidden="false" customHeight="false" outlineLevel="0" collapsed="false">
      <c r="A253" s="1237" t="n">
        <v>44256</v>
      </c>
      <c r="B253" s="1239" t="n">
        <v>0.072882489287079</v>
      </c>
      <c r="C253" s="1218"/>
      <c r="D253" s="1274" t="n">
        <v>43132</v>
      </c>
      <c r="E253" s="1275" t="n">
        <v>24.827385769396</v>
      </c>
      <c r="F253" s="1275" t="n">
        <v>29.827385769396</v>
      </c>
      <c r="G253" s="1275" t="n">
        <v>34.827385769396</v>
      </c>
      <c r="H253" s="1291"/>
      <c r="I253" s="1275" t="n">
        <v>24.8071428571429</v>
      </c>
      <c r="J253" s="1275" t="n">
        <v>29.8071428571429</v>
      </c>
      <c r="K253" s="1275" t="n">
        <v>34.8071428571429</v>
      </c>
      <c r="M253" s="1276" t="n">
        <v>44013</v>
      </c>
      <c r="N253" s="1277" t="n">
        <v>56.4455066221485</v>
      </c>
      <c r="O253" s="1277" t="n">
        <v>61.4455066221485</v>
      </c>
      <c r="P253" s="1277" t="n">
        <v>66.4455066221485</v>
      </c>
      <c r="Q253" s="109"/>
      <c r="R253" s="1277" t="n">
        <v>41.0841299666114</v>
      </c>
      <c r="S253" s="1277" t="n">
        <v>46.0841299666114</v>
      </c>
      <c r="T253" s="1277" t="n">
        <v>51.0841299666114</v>
      </c>
      <c r="V253" s="1278" t="n">
        <v>0</v>
      </c>
      <c r="W253" s="1278" t="n">
        <v>0</v>
      </c>
      <c r="X253" s="1278" t="n">
        <v>0</v>
      </c>
      <c r="Y253" s="1288"/>
      <c r="Z253" s="1277" t="n">
        <v>0.09</v>
      </c>
      <c r="AA253" s="1277" t="n">
        <v>0.1</v>
      </c>
      <c r="AB253" s="1277" t="n">
        <v>0.11</v>
      </c>
      <c r="AC253" s="109"/>
      <c r="AD253" s="1277" t="n">
        <v>0.09</v>
      </c>
      <c r="AE253" s="1277" t="n">
        <v>0.11</v>
      </c>
      <c r="AF253" s="1277" t="n">
        <v>0.13</v>
      </c>
      <c r="AG253" s="109"/>
      <c r="AH253" s="1277" t="n">
        <v>-0.35</v>
      </c>
      <c r="AI253" s="1277" t="n">
        <v>0.65</v>
      </c>
      <c r="AJ253" s="1277" t="n">
        <v>0.35</v>
      </c>
      <c r="AK253" s="109"/>
      <c r="AL253" s="1277" t="n">
        <v>-0.01</v>
      </c>
      <c r="AM253" s="1277" t="n">
        <v>0.16</v>
      </c>
      <c r="AN253" s="1277" t="n">
        <v>0.01</v>
      </c>
      <c r="AO253" s="109"/>
      <c r="AP253" s="197" t="n">
        <v>82</v>
      </c>
      <c r="AQ253" s="1280" t="n">
        <v>0.35</v>
      </c>
      <c r="AR253" s="1288"/>
      <c r="AS253" s="1288"/>
      <c r="AT253" s="1288"/>
      <c r="AU253" s="1288"/>
      <c r="AV253" s="1288"/>
      <c r="AW253" s="1288"/>
      <c r="AX253" s="1288"/>
      <c r="AY253" s="1288"/>
      <c r="AZ253" s="1288"/>
      <c r="BA253" s="1288"/>
      <c r="BB253" s="1288"/>
      <c r="BC253" s="1288"/>
      <c r="BD253" s="1288"/>
      <c r="BE253" s="1288"/>
      <c r="BF253" s="1288"/>
      <c r="BG253" s="1288"/>
      <c r="BH253" s="1288"/>
      <c r="BI253" s="1288"/>
      <c r="BJ253" s="1288"/>
      <c r="BK253" s="1288"/>
      <c r="BL253" s="1288"/>
      <c r="BM253" s="1288"/>
      <c r="BN253" s="1288"/>
      <c r="BO253" s="1288"/>
      <c r="BP253" s="1288"/>
      <c r="BQ253" s="1237" t="n">
        <v>44166</v>
      </c>
      <c r="BR253" s="1238" t="n">
        <v>4.0655</v>
      </c>
      <c r="BS253" s="1238" t="n">
        <v>4.0705</v>
      </c>
      <c r="BT253" s="1238" t="n">
        <v>4.0755</v>
      </c>
      <c r="BU253" s="1244" t="n">
        <f aca="false">BU252</f>
        <v>0.1435</v>
      </c>
      <c r="BV253" s="1244" t="n">
        <f aca="false">BV252</f>
        <v>0.15</v>
      </c>
      <c r="BW253" s="1244" t="n">
        <f aca="false">BW252</f>
        <v>0.1585</v>
      </c>
      <c r="BX253" s="1239" t="n">
        <v>-0.07</v>
      </c>
      <c r="BY253" s="1239"/>
      <c r="BZ253" s="1239" t="n">
        <v>0.07</v>
      </c>
      <c r="CA253" s="1243" t="n">
        <v>0</v>
      </c>
      <c r="CB253" s="1241" t="n">
        <v>0</v>
      </c>
      <c r="CC253" s="1242" t="n">
        <v>3.9</v>
      </c>
      <c r="CD253" s="1239" t="n">
        <v>0.1585</v>
      </c>
    </row>
    <row r="254" customFormat="false" ht="12.75" hidden="false" customHeight="false" outlineLevel="0" collapsed="false">
      <c r="A254" s="1237" t="n">
        <v>44287</v>
      </c>
      <c r="B254" s="1239" t="n">
        <v>0.072878082548686</v>
      </c>
      <c r="C254" s="1218"/>
      <c r="D254" s="1274" t="n">
        <v>43160</v>
      </c>
      <c r="E254" s="1275" t="n">
        <v>24.577385769396</v>
      </c>
      <c r="F254" s="1275" t="n">
        <v>29.577385769396</v>
      </c>
      <c r="G254" s="1275" t="n">
        <v>34.577385769396</v>
      </c>
      <c r="H254" s="1291"/>
      <c r="I254" s="1275" t="n">
        <v>25.0870967741936</v>
      </c>
      <c r="J254" s="1275" t="n">
        <v>30.0870967741936</v>
      </c>
      <c r="K254" s="1275" t="n">
        <v>35.0870967741936</v>
      </c>
      <c r="M254" s="1276" t="n">
        <v>44044</v>
      </c>
      <c r="N254" s="1277" t="n">
        <v>77.0705066221485</v>
      </c>
      <c r="O254" s="1277" t="n">
        <v>82.0705066221485</v>
      </c>
      <c r="P254" s="1277" t="n">
        <v>87.0705066221485</v>
      </c>
      <c r="Q254" s="109"/>
      <c r="R254" s="1277" t="n">
        <v>56.5528799666114</v>
      </c>
      <c r="S254" s="1277" t="n">
        <v>61.5528799666114</v>
      </c>
      <c r="T254" s="1277" t="n">
        <v>66.5528799666114</v>
      </c>
      <c r="V254" s="1278" t="n">
        <v>0</v>
      </c>
      <c r="W254" s="1278" t="n">
        <v>0</v>
      </c>
      <c r="X254" s="1278" t="n">
        <v>0</v>
      </c>
      <c r="Y254" s="1288"/>
      <c r="Z254" s="1277" t="n">
        <v>0.09</v>
      </c>
      <c r="AA254" s="1277" t="n">
        <v>0.1</v>
      </c>
      <c r="AB254" s="1277" t="n">
        <v>0.11</v>
      </c>
      <c r="AC254" s="109"/>
      <c r="AD254" s="1277" t="n">
        <v>0.09</v>
      </c>
      <c r="AE254" s="1277" t="n">
        <v>0.11</v>
      </c>
      <c r="AF254" s="1277" t="n">
        <v>0.13</v>
      </c>
      <c r="AG254" s="109"/>
      <c r="AH254" s="1277" t="n">
        <v>-0.35</v>
      </c>
      <c r="AI254" s="1277" t="n">
        <v>3</v>
      </c>
      <c r="AJ254" s="1277" t="n">
        <v>0.35</v>
      </c>
      <c r="AK254" s="109"/>
      <c r="AL254" s="1277" t="n">
        <v>-0.01</v>
      </c>
      <c r="AM254" s="1277" t="n">
        <v>0.16</v>
      </c>
      <c r="AN254" s="1277" t="n">
        <v>0.01</v>
      </c>
      <c r="AO254" s="109"/>
      <c r="AP254" s="197" t="n">
        <v>82</v>
      </c>
      <c r="AQ254" s="1280" t="n">
        <v>0.35</v>
      </c>
      <c r="AR254" s="1288"/>
      <c r="AS254" s="1288"/>
      <c r="AT254" s="1288"/>
      <c r="AU254" s="1288"/>
      <c r="AV254" s="1288"/>
      <c r="AW254" s="1288"/>
      <c r="AX254" s="1288"/>
      <c r="AY254" s="1288"/>
      <c r="AZ254" s="1288"/>
      <c r="BA254" s="1288"/>
      <c r="BB254" s="1288"/>
      <c r="BC254" s="1288"/>
      <c r="BD254" s="1288"/>
      <c r="BE254" s="1288"/>
      <c r="BF254" s="1288"/>
      <c r="BG254" s="1288"/>
      <c r="BH254" s="1288"/>
      <c r="BI254" s="1288"/>
      <c r="BJ254" s="1288"/>
      <c r="BK254" s="1288"/>
      <c r="BL254" s="1288"/>
      <c r="BM254" s="1288"/>
      <c r="BN254" s="1288"/>
      <c r="BO254" s="1288"/>
      <c r="BP254" s="1288"/>
      <c r="BQ254" s="1237" t="n">
        <v>44197</v>
      </c>
      <c r="BR254" s="1238" t="n">
        <v>4.1035</v>
      </c>
      <c r="BS254" s="1238" t="n">
        <v>4.1085</v>
      </c>
      <c r="BT254" s="1238" t="n">
        <v>-0.145</v>
      </c>
      <c r="BU254" s="1244" t="n">
        <f aca="false">BU253</f>
        <v>0.1435</v>
      </c>
      <c r="BV254" s="1244" t="n">
        <f aca="false">BV253</f>
        <v>0.15</v>
      </c>
      <c r="BW254" s="1244" t="n">
        <f aca="false">BW253</f>
        <v>0.1585</v>
      </c>
      <c r="BX254" s="1239" t="n">
        <v>-0.07</v>
      </c>
      <c r="BY254" s="1239"/>
      <c r="BZ254" s="1239" t="n">
        <v>0.07</v>
      </c>
      <c r="CA254" s="1243" t="n">
        <v>0</v>
      </c>
      <c r="CB254" s="1241" t="n">
        <v>0</v>
      </c>
      <c r="CC254" s="1242" t="n">
        <v>3.907</v>
      </c>
      <c r="CD254" s="1239" t="n">
        <v>0.1585</v>
      </c>
    </row>
    <row r="255" customFormat="false" ht="12.75" hidden="false" customHeight="false" outlineLevel="0" collapsed="false">
      <c r="A255" s="1237" t="n">
        <v>44317</v>
      </c>
      <c r="B255" s="1239" t="n">
        <v>0.072873817963152</v>
      </c>
      <c r="C255" s="1218"/>
      <c r="D255" s="1274" t="n">
        <v>43191</v>
      </c>
      <c r="E255" s="1275" t="n">
        <v>24.7346507552178</v>
      </c>
      <c r="F255" s="1275" t="n">
        <v>29.7346507552178</v>
      </c>
      <c r="G255" s="1275" t="n">
        <v>34.7346507552178</v>
      </c>
      <c r="H255" s="1291"/>
      <c r="I255" s="1275" t="n">
        <v>22.8875</v>
      </c>
      <c r="J255" s="1275" t="n">
        <v>27.8875</v>
      </c>
      <c r="K255" s="1275" t="n">
        <v>32.8875</v>
      </c>
      <c r="M255" s="1276" t="n">
        <v>44075</v>
      </c>
      <c r="N255" s="1277" t="n">
        <v>61.0705066221485</v>
      </c>
      <c r="O255" s="1277" t="n">
        <v>66.0705066221485</v>
      </c>
      <c r="P255" s="1277" t="n">
        <v>71.0705066221485</v>
      </c>
      <c r="Q255" s="109"/>
      <c r="R255" s="1277" t="n">
        <v>44.5528799666114</v>
      </c>
      <c r="S255" s="1277" t="n">
        <v>49.5528799666114</v>
      </c>
      <c r="T255" s="1277" t="n">
        <v>54.5528799666114</v>
      </c>
      <c r="V255" s="1278" t="n">
        <v>0</v>
      </c>
      <c r="W255" s="1278" t="n">
        <v>0</v>
      </c>
      <c r="X255" s="1278" t="n">
        <v>0</v>
      </c>
      <c r="Y255" s="1288"/>
      <c r="Z255" s="1277" t="n">
        <v>0.09</v>
      </c>
      <c r="AA255" s="1277" t="n">
        <v>0.1</v>
      </c>
      <c r="AB255" s="1277" t="n">
        <v>0.11</v>
      </c>
      <c r="AC255" s="109"/>
      <c r="AD255" s="1277" t="n">
        <v>0.09</v>
      </c>
      <c r="AE255" s="1277" t="n">
        <v>0.11</v>
      </c>
      <c r="AF255" s="1277" t="n">
        <v>0.13</v>
      </c>
      <c r="AG255" s="109"/>
      <c r="AH255" s="1277" t="n">
        <v>-0.35</v>
      </c>
      <c r="AI255" s="1277" t="n">
        <v>3</v>
      </c>
      <c r="AJ255" s="1277" t="n">
        <v>0.2</v>
      </c>
      <c r="AK255" s="109"/>
      <c r="AL255" s="1277" t="n">
        <v>-0.01</v>
      </c>
      <c r="AM255" s="1277" t="n">
        <v>0.16</v>
      </c>
      <c r="AN255" s="1277" t="n">
        <v>0.01</v>
      </c>
      <c r="AO255" s="109"/>
      <c r="AP255" s="197" t="n">
        <v>82</v>
      </c>
      <c r="AQ255" s="1280" t="n">
        <v>0.35</v>
      </c>
      <c r="AR255" s="1288"/>
      <c r="AS255" s="1288"/>
      <c r="AT255" s="1288"/>
      <c r="AU255" s="1288"/>
      <c r="AV255" s="1288"/>
      <c r="AW255" s="1288"/>
      <c r="AX255" s="1288"/>
      <c r="AY255" s="1288"/>
      <c r="AZ255" s="1288"/>
      <c r="BA255" s="1288"/>
      <c r="BB255" s="1288"/>
      <c r="BC255" s="1288"/>
      <c r="BD255" s="1288"/>
      <c r="BE255" s="1288"/>
      <c r="BF255" s="1288"/>
      <c r="BG255" s="1288"/>
      <c r="BH255" s="1288"/>
      <c r="BI255" s="1288"/>
      <c r="BJ255" s="1288"/>
      <c r="BK255" s="1288"/>
      <c r="BL255" s="1288"/>
      <c r="BM255" s="1288"/>
      <c r="BN255" s="1288"/>
      <c r="BO255" s="1288"/>
      <c r="BP255" s="1288"/>
      <c r="BQ255" s="1237" t="n">
        <v>44228</v>
      </c>
      <c r="BR255" s="1238" t="n">
        <v>4.0625</v>
      </c>
      <c r="BS255" s="1238" t="n">
        <v>4.0675</v>
      </c>
      <c r="BT255" s="1238" t="n">
        <v>-0.139</v>
      </c>
      <c r="BU255" s="1244" t="n">
        <f aca="false">BU254</f>
        <v>0.1435</v>
      </c>
      <c r="BV255" s="1244" t="n">
        <f aca="false">BV254</f>
        <v>0.15</v>
      </c>
      <c r="BW255" s="1244" t="n">
        <f aca="false">BW254</f>
        <v>0.1585</v>
      </c>
      <c r="BX255" s="1239" t="n">
        <v>-0.07</v>
      </c>
      <c r="BY255" s="1239"/>
      <c r="BZ255" s="1239" t="n">
        <v>0.07</v>
      </c>
      <c r="CA255" s="1243" t="n">
        <v>0</v>
      </c>
      <c r="CB255" s="1241" t="n">
        <v>0</v>
      </c>
      <c r="CC255" s="1242" t="n">
        <v>3.913</v>
      </c>
      <c r="CD255" s="1239" t="n">
        <v>0.1585</v>
      </c>
    </row>
    <row r="256" customFormat="false" ht="12.75" hidden="false" customHeight="false" outlineLevel="0" collapsed="false">
      <c r="A256" s="1237" t="n">
        <v>44348</v>
      </c>
      <c r="B256" s="1239" t="n">
        <v>0.072869411224772</v>
      </c>
      <c r="C256" s="1218"/>
      <c r="D256" s="1274" t="n">
        <v>43221</v>
      </c>
      <c r="E256" s="1275" t="n">
        <v>23.9846507552178</v>
      </c>
      <c r="F256" s="1275" t="n">
        <v>28.9846507552178</v>
      </c>
      <c r="G256" s="1275" t="n">
        <v>33.9846507552178</v>
      </c>
      <c r="H256" s="1291"/>
      <c r="I256" s="1275" t="n">
        <v>22.9459677419355</v>
      </c>
      <c r="J256" s="1275" t="n">
        <v>27.9459677419355</v>
      </c>
      <c r="K256" s="1275" t="n">
        <v>32.9459677419355</v>
      </c>
      <c r="M256" s="1276" t="n">
        <v>44105</v>
      </c>
      <c r="N256" s="1277" t="n">
        <v>32.5755628168849</v>
      </c>
      <c r="O256" s="1277" t="n">
        <v>37.5755628168849</v>
      </c>
      <c r="P256" s="1277" t="n">
        <v>42.5755628168849</v>
      </c>
      <c r="Q256" s="109"/>
      <c r="R256" s="1277" t="n">
        <v>23.1816721126637</v>
      </c>
      <c r="S256" s="1277" t="n">
        <v>28.1816721126637</v>
      </c>
      <c r="T256" s="1277" t="n">
        <v>33.1816721126637</v>
      </c>
      <c r="V256" s="1278" t="n">
        <v>0</v>
      </c>
      <c r="W256" s="1278" t="n">
        <v>0</v>
      </c>
      <c r="X256" s="1278" t="n">
        <v>0</v>
      </c>
      <c r="Y256" s="1288"/>
      <c r="Z256" s="1277" t="n">
        <v>0.09</v>
      </c>
      <c r="AA256" s="1277" t="n">
        <v>0.1</v>
      </c>
      <c r="AB256" s="1277" t="n">
        <v>0.11</v>
      </c>
      <c r="AC256" s="109"/>
      <c r="AD256" s="1277" t="n">
        <v>0.09</v>
      </c>
      <c r="AE256" s="1277" t="n">
        <v>0.11</v>
      </c>
      <c r="AF256" s="1277" t="n">
        <v>0.13</v>
      </c>
      <c r="AG256" s="109"/>
      <c r="AH256" s="1277" t="n">
        <v>-0.1</v>
      </c>
      <c r="AI256" s="1277" t="n">
        <v>3</v>
      </c>
      <c r="AJ256" s="1277" t="n">
        <v>0.1</v>
      </c>
      <c r="AK256" s="109"/>
      <c r="AL256" s="1277" t="n">
        <v>-0.01</v>
      </c>
      <c r="AM256" s="1277" t="n">
        <v>0.16</v>
      </c>
      <c r="AN256" s="1277" t="n">
        <v>0.01</v>
      </c>
      <c r="AO256" s="109"/>
      <c r="AP256" s="197" t="n">
        <v>83</v>
      </c>
      <c r="AQ256" s="1280" t="n">
        <v>0.35</v>
      </c>
      <c r="AR256" s="1288"/>
      <c r="AS256" s="1288"/>
      <c r="AT256" s="1288"/>
      <c r="AU256" s="1288"/>
      <c r="AV256" s="1288"/>
      <c r="AW256" s="1288"/>
      <c r="AX256" s="1288"/>
      <c r="AY256" s="1288"/>
      <c r="AZ256" s="1288"/>
      <c r="BA256" s="1288"/>
      <c r="BB256" s="1288"/>
      <c r="BC256" s="1288"/>
      <c r="BD256" s="1288"/>
      <c r="BE256" s="1288"/>
      <c r="BF256" s="1288"/>
      <c r="BG256" s="1288"/>
      <c r="BH256" s="1288"/>
      <c r="BI256" s="1288"/>
      <c r="BJ256" s="1288"/>
      <c r="BK256" s="1288"/>
      <c r="BL256" s="1288"/>
      <c r="BM256" s="1288"/>
      <c r="BN256" s="1288"/>
      <c r="BO256" s="1288"/>
      <c r="BP256" s="1288"/>
      <c r="BQ256" s="1237" t="n">
        <v>44256</v>
      </c>
      <c r="BR256" s="1238" t="n">
        <v>4.0015</v>
      </c>
      <c r="BS256" s="1238" t="n">
        <v>4.0065</v>
      </c>
      <c r="BT256" s="1238" t="n">
        <v>-0.13</v>
      </c>
      <c r="BU256" s="1244" t="n">
        <f aca="false">BU255</f>
        <v>0.1435</v>
      </c>
      <c r="BV256" s="1244" t="n">
        <f aca="false">BV255</f>
        <v>0.15</v>
      </c>
      <c r="BW256" s="1244" t="n">
        <f aca="false">BW255</f>
        <v>0.1585</v>
      </c>
      <c r="BX256" s="1239" t="n">
        <v>-0.07</v>
      </c>
      <c r="BY256" s="1239"/>
      <c r="BZ256" s="1239" t="n">
        <v>0.07</v>
      </c>
      <c r="CA256" s="1243" t="n">
        <v>0</v>
      </c>
      <c r="CB256" s="1241" t="n">
        <v>0</v>
      </c>
      <c r="CC256" s="1242" t="n">
        <v>3.918</v>
      </c>
      <c r="CD256" s="1239" t="n">
        <v>0.1585</v>
      </c>
    </row>
    <row r="257" customFormat="false" ht="12.75" hidden="false" customHeight="false" outlineLevel="0" collapsed="false">
      <c r="A257" s="1237" t="n">
        <v>44378</v>
      </c>
      <c r="B257" s="1239" t="n">
        <v>0.07286514663925</v>
      </c>
      <c r="C257" s="1218"/>
      <c r="D257" s="1274" t="n">
        <v>43252</v>
      </c>
      <c r="E257" s="1275" t="n">
        <v>29.2346507552178</v>
      </c>
      <c r="F257" s="1275" t="n">
        <v>34.2346507552178</v>
      </c>
      <c r="G257" s="1275" t="n">
        <v>39.2346507552178</v>
      </c>
      <c r="H257" s="1291"/>
      <c r="I257" s="1275" t="n">
        <v>22.2</v>
      </c>
      <c r="J257" s="1275" t="n">
        <v>27.2</v>
      </c>
      <c r="K257" s="1275" t="n">
        <v>32.2</v>
      </c>
      <c r="M257" s="1276" t="n">
        <v>44136</v>
      </c>
      <c r="N257" s="1277" t="n">
        <v>24.8255628168849</v>
      </c>
      <c r="O257" s="1277" t="n">
        <v>29.8255628168849</v>
      </c>
      <c r="P257" s="1277" t="n">
        <v>34.8255628168849</v>
      </c>
      <c r="Q257" s="109"/>
      <c r="R257" s="1277" t="n">
        <v>17.3691721126637</v>
      </c>
      <c r="S257" s="1277" t="n">
        <v>22.3691721126637</v>
      </c>
      <c r="T257" s="1277" t="n">
        <v>27.3691721126637</v>
      </c>
      <c r="V257" s="1278" t="n">
        <v>0</v>
      </c>
      <c r="W257" s="1278" t="n">
        <v>0</v>
      </c>
      <c r="X257" s="1278" t="n">
        <v>0</v>
      </c>
      <c r="Y257" s="1288"/>
      <c r="Z257" s="1277" t="n">
        <v>0.09</v>
      </c>
      <c r="AA257" s="1277" t="n">
        <v>0.1</v>
      </c>
      <c r="AB257" s="1277" t="n">
        <v>0.11</v>
      </c>
      <c r="AC257" s="109"/>
      <c r="AD257" s="1277" t="n">
        <v>0.09</v>
      </c>
      <c r="AE257" s="1277" t="n">
        <v>0.11</v>
      </c>
      <c r="AF257" s="1277" t="n">
        <v>0.13</v>
      </c>
      <c r="AG257" s="109"/>
      <c r="AH257" s="1277" t="n">
        <v>-0.1</v>
      </c>
      <c r="AI257" s="1277" t="n">
        <v>0.6</v>
      </c>
      <c r="AJ257" s="1277" t="n">
        <v>0.1</v>
      </c>
      <c r="AK257" s="109"/>
      <c r="AL257" s="1277" t="n">
        <v>-0.01</v>
      </c>
      <c r="AM257" s="1277" t="n">
        <v>0.16</v>
      </c>
      <c r="AN257" s="1277" t="n">
        <v>0.01</v>
      </c>
      <c r="AO257" s="109"/>
      <c r="AP257" s="197" t="n">
        <v>83</v>
      </c>
      <c r="AQ257" s="1280" t="n">
        <v>0.35</v>
      </c>
      <c r="AR257" s="1288"/>
      <c r="AS257" s="1288"/>
      <c r="AT257" s="1288"/>
      <c r="AU257" s="1288"/>
      <c r="AV257" s="1288"/>
      <c r="AW257" s="1288"/>
      <c r="AX257" s="1288"/>
      <c r="AY257" s="1288"/>
      <c r="AZ257" s="1288"/>
      <c r="BA257" s="1288"/>
      <c r="BB257" s="1288"/>
      <c r="BC257" s="1288"/>
      <c r="BD257" s="1288"/>
      <c r="BE257" s="1288"/>
      <c r="BF257" s="1288"/>
      <c r="BG257" s="1288"/>
      <c r="BH257" s="1288"/>
      <c r="BI257" s="1288"/>
      <c r="BJ257" s="1288"/>
      <c r="BK257" s="1288"/>
      <c r="BL257" s="1288"/>
      <c r="BM257" s="1288"/>
      <c r="BN257" s="1288"/>
      <c r="BO257" s="1288"/>
      <c r="BP257" s="1288"/>
      <c r="BQ257" s="1237" t="n">
        <v>44287</v>
      </c>
      <c r="BR257" s="1238" t="n">
        <v>3.9555</v>
      </c>
      <c r="BS257" s="1238" t="n">
        <v>3.9605</v>
      </c>
      <c r="BT257" s="1238" t="n">
        <v>-0.126</v>
      </c>
      <c r="BU257" s="1244" t="n">
        <f aca="false">BU256</f>
        <v>0.1435</v>
      </c>
      <c r="BV257" s="1244" t="n">
        <f aca="false">BV256</f>
        <v>0.15</v>
      </c>
      <c r="BW257" s="1244" t="n">
        <f aca="false">BW256</f>
        <v>0.1585</v>
      </c>
      <c r="BX257" s="1239" t="n">
        <v>-0.07</v>
      </c>
      <c r="BY257" s="1239"/>
      <c r="BZ257" s="1239" t="n">
        <v>0.07</v>
      </c>
      <c r="CA257" s="1243" t="n">
        <v>0</v>
      </c>
      <c r="CB257" s="1241" t="n">
        <v>0</v>
      </c>
      <c r="CC257" s="1242" t="n">
        <v>3.921</v>
      </c>
      <c r="CD257" s="1239" t="n">
        <v>0.1585</v>
      </c>
    </row>
    <row r="258" customFormat="false" ht="12.75" hidden="false" customHeight="false" outlineLevel="0" collapsed="false">
      <c r="A258" s="1237" t="n">
        <v>44409</v>
      </c>
      <c r="B258" s="1239" t="n">
        <v>0.072860739900882</v>
      </c>
      <c r="C258" s="1218"/>
      <c r="D258" s="1274" t="n">
        <v>43282</v>
      </c>
      <c r="E258" s="1275" t="n">
        <v>56.0961154369272</v>
      </c>
      <c r="F258" s="1275" t="n">
        <v>61.0961154369272</v>
      </c>
      <c r="G258" s="1275" t="n">
        <v>66.0961154369272</v>
      </c>
      <c r="H258" s="1291"/>
      <c r="I258" s="1275" t="n">
        <v>28.2241935483871</v>
      </c>
      <c r="J258" s="1275" t="n">
        <v>33.2241935483871</v>
      </c>
      <c r="K258" s="1275" t="n">
        <v>38.2241935483871</v>
      </c>
      <c r="M258" s="1276" t="n">
        <v>44166</v>
      </c>
      <c r="N258" s="1277" t="n">
        <v>26.8255628168849</v>
      </c>
      <c r="O258" s="1277" t="n">
        <v>31.8255628168849</v>
      </c>
      <c r="P258" s="1277" t="n">
        <v>36.8255628168849</v>
      </c>
      <c r="Q258" s="109"/>
      <c r="R258" s="1277" t="n">
        <v>18.8691721126637</v>
      </c>
      <c r="S258" s="1277" t="n">
        <v>23.8691721126637</v>
      </c>
      <c r="T258" s="1277" t="n">
        <v>28.8691721126637</v>
      </c>
      <c r="V258" s="1278" t="n">
        <v>0</v>
      </c>
      <c r="W258" s="1278" t="n">
        <v>0</v>
      </c>
      <c r="X258" s="1278" t="n">
        <v>0</v>
      </c>
      <c r="Y258" s="1288"/>
      <c r="Z258" s="1277" t="n">
        <v>0.09</v>
      </c>
      <c r="AA258" s="1277" t="n">
        <v>0.1</v>
      </c>
      <c r="AB258" s="1277" t="n">
        <v>0.11</v>
      </c>
      <c r="AC258" s="109"/>
      <c r="AD258" s="1277" t="n">
        <v>0.09</v>
      </c>
      <c r="AE258" s="1277" t="n">
        <v>0.11</v>
      </c>
      <c r="AF258" s="1277" t="n">
        <v>0.13</v>
      </c>
      <c r="AG258" s="109"/>
      <c r="AH258" s="1277" t="n">
        <v>-0.25</v>
      </c>
      <c r="AI258" s="1277" t="n">
        <v>0.6</v>
      </c>
      <c r="AJ258" s="1277" t="n">
        <v>0.25</v>
      </c>
      <c r="AK258" s="109"/>
      <c r="AL258" s="1277" t="n">
        <v>-0.01</v>
      </c>
      <c r="AM258" s="1277" t="n">
        <v>0.16</v>
      </c>
      <c r="AN258" s="1277" t="n">
        <v>0.01</v>
      </c>
      <c r="AO258" s="109"/>
      <c r="AP258" s="197" t="n">
        <v>83</v>
      </c>
      <c r="AQ258" s="1280" t="n">
        <v>0.35</v>
      </c>
      <c r="AR258" s="1288"/>
      <c r="AS258" s="1288"/>
      <c r="AT258" s="1288"/>
      <c r="AU258" s="1288"/>
      <c r="AV258" s="1288"/>
      <c r="AW258" s="1288"/>
      <c r="AX258" s="1288"/>
      <c r="AY258" s="1288"/>
      <c r="AZ258" s="1288"/>
      <c r="BA258" s="1288"/>
      <c r="BB258" s="1288"/>
      <c r="BC258" s="1288"/>
      <c r="BD258" s="1288"/>
      <c r="BE258" s="1288"/>
      <c r="BF258" s="1288"/>
      <c r="BG258" s="1288"/>
      <c r="BH258" s="1288"/>
      <c r="BI258" s="1288"/>
      <c r="BJ258" s="1288"/>
      <c r="BK258" s="1288"/>
      <c r="BL258" s="1288"/>
      <c r="BM258" s="1288"/>
      <c r="BN258" s="1288"/>
      <c r="BO258" s="1288"/>
      <c r="BP258" s="1288"/>
      <c r="BQ258" s="1237" t="n">
        <v>44317</v>
      </c>
      <c r="BR258" s="1238" t="n">
        <v>3.9875</v>
      </c>
      <c r="BS258" s="1238" t="n">
        <v>3.9925</v>
      </c>
      <c r="BT258" s="1238" t="n">
        <v>-0.112</v>
      </c>
      <c r="BU258" s="1244" t="n">
        <f aca="false">BU257</f>
        <v>0.1435</v>
      </c>
      <c r="BV258" s="1244" t="n">
        <f aca="false">BV257</f>
        <v>0.15</v>
      </c>
      <c r="BW258" s="1244" t="n">
        <f aca="false">BW257</f>
        <v>0.1585</v>
      </c>
      <c r="BX258" s="1239" t="n">
        <v>-0.07</v>
      </c>
      <c r="BY258" s="1239"/>
      <c r="BZ258" s="1239" t="n">
        <v>0.07</v>
      </c>
      <c r="CA258" s="1243" t="n">
        <v>0</v>
      </c>
      <c r="CB258" s="1241" t="n">
        <v>0</v>
      </c>
      <c r="CC258" s="1242" t="n">
        <v>3.954</v>
      </c>
      <c r="CD258" s="1239" t="n">
        <v>0.1585</v>
      </c>
    </row>
    <row r="259" customFormat="false" ht="12.75" hidden="false" customHeight="false" outlineLevel="0" collapsed="false">
      <c r="A259" s="1237" t="n">
        <v>44440</v>
      </c>
      <c r="B259" s="1239" t="n">
        <v>0.072856333162522</v>
      </c>
      <c r="C259" s="1218"/>
      <c r="D259" s="1274" t="n">
        <v>43313</v>
      </c>
      <c r="E259" s="1275" t="n">
        <v>76.7211154369272</v>
      </c>
      <c r="F259" s="1275" t="n">
        <v>81.7211154369272</v>
      </c>
      <c r="G259" s="1275" t="n">
        <v>86.7211154369272</v>
      </c>
      <c r="H259" s="1291"/>
      <c r="I259" s="1275" t="n">
        <v>26.2241935483871</v>
      </c>
      <c r="J259" s="1275" t="n">
        <v>31.2241935483871</v>
      </c>
      <c r="K259" s="1275" t="n">
        <v>36.2241935483871</v>
      </c>
      <c r="M259" s="1276" t="n">
        <v>44197</v>
      </c>
      <c r="N259" s="1277" t="n">
        <v>25.5431525992748</v>
      </c>
      <c r="O259" s="1277" t="n">
        <v>30.5431525992748</v>
      </c>
      <c r="P259" s="1277" t="n">
        <v>35.5431525992748</v>
      </c>
      <c r="Q259" s="109"/>
      <c r="R259" s="1277" t="n">
        <v>17.9073644494561</v>
      </c>
      <c r="S259" s="1277" t="n">
        <v>22.9073644494561</v>
      </c>
      <c r="T259" s="1277" t="n">
        <v>27.9073644494561</v>
      </c>
      <c r="V259" s="1278" t="n">
        <v>0</v>
      </c>
      <c r="W259" s="1278" t="n">
        <v>0</v>
      </c>
      <c r="X259" s="1278" t="n">
        <v>0</v>
      </c>
      <c r="Y259" s="1288"/>
      <c r="Z259" s="1277" t="n">
        <v>0.09</v>
      </c>
      <c r="AA259" s="1277" t="n">
        <v>0.1</v>
      </c>
      <c r="AB259" s="1277" t="n">
        <v>0.11</v>
      </c>
      <c r="AC259" s="109"/>
      <c r="AD259" s="1277" t="n">
        <v>0.09</v>
      </c>
      <c r="AE259" s="1277" t="n">
        <v>0.11</v>
      </c>
      <c r="AF259" s="1277" t="n">
        <v>0.13</v>
      </c>
      <c r="AG259" s="109"/>
      <c r="AH259" s="1277" t="n">
        <v>-0.25</v>
      </c>
      <c r="AI259" s="1277" t="n">
        <v>0.6</v>
      </c>
      <c r="AJ259" s="1277" t="n">
        <v>0.25</v>
      </c>
      <c r="AK259" s="109"/>
      <c r="AL259" s="1277" t="n">
        <v>-0.01</v>
      </c>
      <c r="AM259" s="1277" t="n">
        <v>0.16</v>
      </c>
      <c r="AN259" s="1277" t="n">
        <v>0.01</v>
      </c>
      <c r="AO259" s="109"/>
      <c r="AP259" s="197" t="n">
        <v>84</v>
      </c>
      <c r="AQ259" s="1280" t="n">
        <v>0.35</v>
      </c>
      <c r="AR259" s="1288"/>
      <c r="AS259" s="1288"/>
      <c r="AT259" s="1288"/>
      <c r="AU259" s="1288"/>
      <c r="AV259" s="1288"/>
      <c r="AW259" s="1288"/>
      <c r="AX259" s="1288"/>
      <c r="AY259" s="1288"/>
      <c r="AZ259" s="1288"/>
      <c r="BA259" s="1288"/>
      <c r="BB259" s="1288"/>
      <c r="BC259" s="1288"/>
      <c r="BD259" s="1288"/>
      <c r="BE259" s="1288"/>
      <c r="BF259" s="1288"/>
      <c r="BG259" s="1288"/>
      <c r="BH259" s="1288"/>
      <c r="BI259" s="1288"/>
      <c r="BJ259" s="1288"/>
      <c r="BK259" s="1288"/>
      <c r="BL259" s="1288"/>
      <c r="BM259" s="1288"/>
      <c r="BN259" s="1288"/>
      <c r="BO259" s="1288"/>
      <c r="BP259" s="1288"/>
      <c r="BQ259" s="1237" t="n">
        <v>44348</v>
      </c>
      <c r="BR259" s="1238" t="n">
        <v>4.0125</v>
      </c>
      <c r="BS259" s="1238" t="n">
        <v>4.0175</v>
      </c>
      <c r="BT259" s="1238" t="n">
        <v>-0.101</v>
      </c>
      <c r="BU259" s="1244" t="n">
        <f aca="false">BU258</f>
        <v>0.1435</v>
      </c>
      <c r="BV259" s="1244" t="n">
        <f aca="false">BV258</f>
        <v>0.15</v>
      </c>
      <c r="BW259" s="1244" t="n">
        <f aca="false">BW258</f>
        <v>0.1585</v>
      </c>
      <c r="BX259" s="1239" t="n">
        <v>-0.07</v>
      </c>
      <c r="BY259" s="1239"/>
      <c r="BZ259" s="1239" t="n">
        <v>0.07</v>
      </c>
      <c r="CA259" s="1243" t="n">
        <v>0</v>
      </c>
      <c r="CB259" s="1241" t="n">
        <v>0</v>
      </c>
      <c r="CC259" s="1242" t="n">
        <v>4.095</v>
      </c>
      <c r="CD259" s="1239" t="n">
        <v>0.1585</v>
      </c>
    </row>
    <row r="260" customFormat="false" ht="12.75" hidden="false" customHeight="false" outlineLevel="0" collapsed="false">
      <c r="A260" s="1237" t="n">
        <v>44470</v>
      </c>
      <c r="B260" s="1239" t="n">
        <v>0.072852068577017</v>
      </c>
      <c r="C260" s="1218"/>
      <c r="D260" s="1274" t="n">
        <v>43344</v>
      </c>
      <c r="E260" s="1275" t="n">
        <v>60.7211154369272</v>
      </c>
      <c r="F260" s="1275" t="n">
        <v>65.7211154369272</v>
      </c>
      <c r="G260" s="1275" t="n">
        <v>70.7211154369272</v>
      </c>
      <c r="H260" s="1291"/>
      <c r="I260" s="1275" t="n">
        <v>26.6375</v>
      </c>
      <c r="J260" s="1275" t="n">
        <v>31.6375</v>
      </c>
      <c r="K260" s="1275" t="n">
        <v>36.6375</v>
      </c>
      <c r="M260" s="1276" t="n">
        <v>44228</v>
      </c>
      <c r="N260" s="1277" t="n">
        <v>25.0431525992748</v>
      </c>
      <c r="O260" s="1277" t="n">
        <v>30.0431525992748</v>
      </c>
      <c r="P260" s="1277" t="n">
        <v>35.0431525992748</v>
      </c>
      <c r="Q260" s="109"/>
      <c r="R260" s="1277" t="n">
        <v>17.5323644494561</v>
      </c>
      <c r="S260" s="1277" t="n">
        <v>22.5323644494561</v>
      </c>
      <c r="T260" s="1277" t="n">
        <v>27.5323644494561</v>
      </c>
      <c r="V260" s="1278" t="n">
        <v>0</v>
      </c>
      <c r="W260" s="1278" t="n">
        <v>0</v>
      </c>
      <c r="X260" s="1278" t="n">
        <v>0</v>
      </c>
      <c r="Y260" s="1288"/>
      <c r="Z260" s="1277" t="n">
        <v>0.09</v>
      </c>
      <c r="AA260" s="1277" t="n">
        <v>0.1</v>
      </c>
      <c r="AB260" s="1277" t="n">
        <v>0.11</v>
      </c>
      <c r="AC260" s="109"/>
      <c r="AD260" s="1277" t="n">
        <v>0.09</v>
      </c>
      <c r="AE260" s="1277" t="n">
        <v>0.11</v>
      </c>
      <c r="AF260" s="1277" t="n">
        <v>0.13</v>
      </c>
      <c r="AG260" s="109"/>
      <c r="AH260" s="1277" t="n">
        <v>-0.25</v>
      </c>
      <c r="AI260" s="1277" t="n">
        <v>0.65</v>
      </c>
      <c r="AJ260" s="1277" t="n">
        <v>0.25</v>
      </c>
      <c r="AK260" s="109"/>
      <c r="AL260" s="1277" t="n">
        <v>-0.01</v>
      </c>
      <c r="AM260" s="1277" t="n">
        <v>0.16</v>
      </c>
      <c r="AN260" s="1277" t="n">
        <v>0.01</v>
      </c>
      <c r="AO260" s="109"/>
      <c r="AP260" s="197" t="n">
        <v>84</v>
      </c>
      <c r="AQ260" s="1280" t="n">
        <v>0.35</v>
      </c>
      <c r="AR260" s="1288"/>
      <c r="AS260" s="1288"/>
      <c r="AT260" s="1288"/>
      <c r="AU260" s="1288"/>
      <c r="AV260" s="1288"/>
      <c r="AW260" s="1288"/>
      <c r="AX260" s="1288"/>
      <c r="AY260" s="1288"/>
      <c r="AZ260" s="1288"/>
      <c r="BA260" s="1288"/>
      <c r="BB260" s="1288"/>
      <c r="BC260" s="1288"/>
      <c r="BD260" s="1288"/>
      <c r="BE260" s="1288"/>
      <c r="BF260" s="1288"/>
      <c r="BG260" s="1288"/>
      <c r="BH260" s="1288"/>
      <c r="BI260" s="1288"/>
      <c r="BJ260" s="1288"/>
      <c r="BK260" s="1288"/>
      <c r="BL260" s="1288"/>
      <c r="BM260" s="1288"/>
      <c r="BN260" s="1288"/>
      <c r="BO260" s="1288"/>
      <c r="BP260" s="1288"/>
      <c r="BQ260" s="1237" t="n">
        <v>44378</v>
      </c>
      <c r="BR260" s="1238" t="n">
        <v>4.0205</v>
      </c>
      <c r="BS260" s="1238" t="n">
        <v>4.0255</v>
      </c>
      <c r="BT260" s="1238" t="n">
        <v>-0.137</v>
      </c>
      <c r="BU260" s="1244" t="n">
        <f aca="false">BU259</f>
        <v>0.1435</v>
      </c>
      <c r="BV260" s="1244" t="n">
        <f aca="false">BV259</f>
        <v>0.15</v>
      </c>
      <c r="BW260" s="1244" t="n">
        <f aca="false">BW259</f>
        <v>0.1585</v>
      </c>
      <c r="BX260" s="1239" t="n">
        <v>-0.07</v>
      </c>
      <c r="BY260" s="1239"/>
      <c r="BZ260" s="1239" t="n">
        <v>0.07</v>
      </c>
      <c r="CA260" s="1243" t="n">
        <v>0</v>
      </c>
      <c r="CB260" s="1241" t="n">
        <v>0</v>
      </c>
      <c r="CC260" s="1242" t="n">
        <v>4.24</v>
      </c>
      <c r="CD260" s="1239" t="n">
        <v>0.1585</v>
      </c>
    </row>
    <row r="261" customFormat="false" ht="12.75" hidden="false" customHeight="false" outlineLevel="0" collapsed="false">
      <c r="A261" s="1237" t="n">
        <v>44501</v>
      </c>
      <c r="B261" s="1239" t="n">
        <v>0.07284766183867</v>
      </c>
      <c r="C261" s="1218"/>
      <c r="D261" s="1274" t="n">
        <v>43374</v>
      </c>
      <c r="E261" s="1275" t="n">
        <v>32.4226548657147</v>
      </c>
      <c r="F261" s="1275" t="n">
        <v>37.4226548657147</v>
      </c>
      <c r="G261" s="1275" t="n">
        <v>42.4226548657147</v>
      </c>
      <c r="H261" s="1291"/>
      <c r="I261" s="1275" t="n">
        <v>26.1516129032258</v>
      </c>
      <c r="J261" s="1275" t="n">
        <v>31.1516129032258</v>
      </c>
      <c r="K261" s="1275" t="n">
        <v>36.1516129032258</v>
      </c>
      <c r="M261" s="1276" t="n">
        <v>44256</v>
      </c>
      <c r="N261" s="1277" t="n">
        <v>24.2931525992748</v>
      </c>
      <c r="O261" s="1277" t="n">
        <v>29.2931525992748</v>
      </c>
      <c r="P261" s="1277" t="n">
        <v>34.2931525992748</v>
      </c>
      <c r="Q261" s="109"/>
      <c r="R261" s="1277" t="n">
        <v>16.9698644494561</v>
      </c>
      <c r="S261" s="1277" t="n">
        <v>21.9698644494561</v>
      </c>
      <c r="T261" s="1277" t="n">
        <v>26.9698644494561</v>
      </c>
      <c r="V261" s="1278" t="n">
        <v>0</v>
      </c>
      <c r="W261" s="1278" t="n">
        <v>0</v>
      </c>
      <c r="X261" s="1278" t="n">
        <v>0</v>
      </c>
      <c r="Y261" s="1288"/>
      <c r="Z261" s="1277" t="n">
        <v>0.09</v>
      </c>
      <c r="AA261" s="1277" t="n">
        <v>0.1</v>
      </c>
      <c r="AB261" s="1277" t="n">
        <v>0.11</v>
      </c>
      <c r="AC261" s="109"/>
      <c r="AD261" s="1277" t="n">
        <v>0.09</v>
      </c>
      <c r="AE261" s="1277" t="n">
        <v>0.11</v>
      </c>
      <c r="AF261" s="1277" t="n">
        <v>0.13</v>
      </c>
      <c r="AG261" s="109"/>
      <c r="AH261" s="1277" t="n">
        <v>-0.1</v>
      </c>
      <c r="AI261" s="1277" t="n">
        <v>0.65</v>
      </c>
      <c r="AJ261" s="1277" t="n">
        <v>0.1</v>
      </c>
      <c r="AK261" s="109"/>
      <c r="AL261" s="1277" t="n">
        <v>-0.01</v>
      </c>
      <c r="AM261" s="1277" t="n">
        <v>0.16</v>
      </c>
      <c r="AN261" s="1277" t="n">
        <v>0.01</v>
      </c>
      <c r="AO261" s="109"/>
      <c r="AP261" s="197" t="n">
        <v>84</v>
      </c>
      <c r="AQ261" s="1280" t="n">
        <v>0.35</v>
      </c>
      <c r="AR261" s="1288"/>
      <c r="AS261" s="1288"/>
      <c r="AT261" s="1288"/>
      <c r="AU261" s="1288"/>
      <c r="AV261" s="1288"/>
      <c r="AW261" s="1288"/>
      <c r="AX261" s="1288"/>
      <c r="AY261" s="1288"/>
      <c r="AZ261" s="1288"/>
      <c r="BA261" s="1288"/>
      <c r="BB261" s="1288"/>
      <c r="BC261" s="1288"/>
      <c r="BD261" s="1288"/>
      <c r="BE261" s="1288"/>
      <c r="BF261" s="1288"/>
      <c r="BG261" s="1288"/>
      <c r="BH261" s="1288"/>
      <c r="BI261" s="1288"/>
      <c r="BJ261" s="1288"/>
      <c r="BK261" s="1288"/>
      <c r="BL261" s="1288"/>
      <c r="BM261" s="1288"/>
      <c r="BN261" s="1288"/>
      <c r="BO261" s="1288"/>
      <c r="BP261" s="1288"/>
      <c r="BQ261" s="1237" t="n">
        <v>44409</v>
      </c>
      <c r="BR261" s="1238" t="n">
        <v>4.0295</v>
      </c>
      <c r="BS261" s="1238" t="n">
        <v>4.0345</v>
      </c>
      <c r="BT261" s="1238" t="n">
        <v>-0.141</v>
      </c>
      <c r="BU261" s="1244" t="n">
        <f aca="false">BU260</f>
        <v>0.1435</v>
      </c>
      <c r="BV261" s="1244" t="n">
        <f aca="false">BV260</f>
        <v>0.15</v>
      </c>
      <c r="BW261" s="1244" t="n">
        <f aca="false">BW260</f>
        <v>0.1585</v>
      </c>
      <c r="BX261" s="1239" t="n">
        <v>-0.07</v>
      </c>
      <c r="BY261" s="1239"/>
      <c r="BZ261" s="1239" t="n">
        <v>0.07</v>
      </c>
      <c r="CA261" s="1243" t="n">
        <v>0</v>
      </c>
      <c r="CB261" s="1241" t="n">
        <v>0</v>
      </c>
      <c r="CC261" s="1242" t="n">
        <v>5.272</v>
      </c>
      <c r="CD261" s="1239" t="n">
        <v>0.1585</v>
      </c>
    </row>
    <row r="262" customFormat="false" ht="12.75" hidden="false" customHeight="false" outlineLevel="0" collapsed="false">
      <c r="A262" s="1237" t="n">
        <v>44531</v>
      </c>
      <c r="B262" s="1239" t="n">
        <v>0.072843397253177</v>
      </c>
      <c r="C262" s="1218"/>
      <c r="D262" s="1274" t="n">
        <v>43405</v>
      </c>
      <c r="E262" s="1275" t="n">
        <v>24.6726548657147</v>
      </c>
      <c r="F262" s="1275" t="n">
        <v>29.6726548657147</v>
      </c>
      <c r="G262" s="1275" t="n">
        <v>34.6726548657147</v>
      </c>
      <c r="H262" s="1291"/>
      <c r="I262" s="1275" t="n">
        <v>27.4916666666667</v>
      </c>
      <c r="J262" s="1275" t="n">
        <v>32.4916666666667</v>
      </c>
      <c r="K262" s="1275" t="n">
        <v>37.4916666666667</v>
      </c>
      <c r="M262" s="1276" t="n">
        <v>44287</v>
      </c>
      <c r="N262" s="1277" t="n">
        <v>24.217286661263</v>
      </c>
      <c r="O262" s="1277" t="n">
        <v>29.217286661263</v>
      </c>
      <c r="P262" s="1277" t="n">
        <v>34.217286661263</v>
      </c>
      <c r="Q262" s="109"/>
      <c r="R262" s="1277" t="n">
        <v>16.9129649959473</v>
      </c>
      <c r="S262" s="1277" t="n">
        <v>21.9129649959473</v>
      </c>
      <c r="T262" s="1277" t="n">
        <v>26.9129649959473</v>
      </c>
      <c r="V262" s="1278" t="n">
        <v>0</v>
      </c>
      <c r="W262" s="1278" t="n">
        <v>0</v>
      </c>
      <c r="X262" s="1278" t="n">
        <v>0</v>
      </c>
      <c r="Z262" s="1277" t="n">
        <v>0.09</v>
      </c>
      <c r="AA262" s="1277" t="n">
        <v>0.1</v>
      </c>
      <c r="AB262" s="1277" t="n">
        <v>0.11</v>
      </c>
      <c r="AC262" s="109"/>
      <c r="AD262" s="1277" t="n">
        <v>0.09</v>
      </c>
      <c r="AE262" s="1277" t="n">
        <v>0.11</v>
      </c>
      <c r="AF262" s="1277" t="n">
        <v>0.13</v>
      </c>
      <c r="AG262" s="109"/>
      <c r="AH262" s="1277" t="n">
        <v>-0.1</v>
      </c>
      <c r="AI262" s="1277" t="n">
        <v>0.65</v>
      </c>
      <c r="AJ262" s="1277" t="n">
        <v>0.1</v>
      </c>
      <c r="AK262" s="109"/>
      <c r="AL262" s="1277" t="n">
        <v>-0.01</v>
      </c>
      <c r="AM262" s="1277" t="n">
        <v>0.16</v>
      </c>
      <c r="AN262" s="1277" t="n">
        <v>0.01</v>
      </c>
      <c r="AO262" s="109"/>
      <c r="AP262" s="197" t="n">
        <v>85</v>
      </c>
      <c r="AQ262" s="1280" t="n">
        <v>0.35</v>
      </c>
      <c r="BQ262" s="1237" t="n">
        <v>44440</v>
      </c>
      <c r="BR262" s="1238" t="n">
        <v>4.0185</v>
      </c>
      <c r="BS262" s="1238" t="n">
        <v>4.0235</v>
      </c>
      <c r="BT262" s="1238" t="n">
        <v>-0.15</v>
      </c>
      <c r="BU262" s="1244" t="n">
        <f aca="false">BU261</f>
        <v>0.1435</v>
      </c>
      <c r="BV262" s="1244" t="n">
        <f aca="false">BV261</f>
        <v>0.15</v>
      </c>
      <c r="BW262" s="1244" t="n">
        <f aca="false">BW261</f>
        <v>0.1585</v>
      </c>
      <c r="BX262" s="1239" t="n">
        <v>-0.07</v>
      </c>
      <c r="BY262" s="1239"/>
      <c r="BZ262" s="1239" t="n">
        <v>0.07</v>
      </c>
      <c r="CA262" s="1243" t="n">
        <v>0</v>
      </c>
      <c r="CB262" s="1241" t="n">
        <v>0</v>
      </c>
      <c r="CC262" s="1242" t="n">
        <v>5.208</v>
      </c>
      <c r="CD262" s="1239" t="n">
        <v>0.1585</v>
      </c>
    </row>
    <row r="263" customFormat="false" ht="12.75" hidden="false" customHeight="false" outlineLevel="0" collapsed="false">
      <c r="A263" s="1237" t="n">
        <v>44562</v>
      </c>
      <c r="B263" s="1239" t="n">
        <v>0.072838990514842</v>
      </c>
      <c r="C263" s="1218"/>
      <c r="D263" s="1274" t="n">
        <v>43435</v>
      </c>
      <c r="E263" s="1275" t="n">
        <v>26.6726548657147</v>
      </c>
      <c r="F263" s="1275" t="n">
        <v>31.6726548657147</v>
      </c>
      <c r="G263" s="1275" t="n">
        <v>36.6726548657147</v>
      </c>
      <c r="H263" s="1291"/>
      <c r="I263" s="1275" t="n">
        <v>26.7967741935484</v>
      </c>
      <c r="J263" s="1275" t="n">
        <v>31.7967741935484</v>
      </c>
      <c r="K263" s="1275" t="n">
        <v>36.7967741935484</v>
      </c>
      <c r="M263" s="1276" t="n">
        <v>44317</v>
      </c>
      <c r="N263" s="1277" t="n">
        <v>24.217286661263</v>
      </c>
      <c r="O263" s="1277" t="n">
        <v>29.217286661263</v>
      </c>
      <c r="P263" s="1277" t="n">
        <v>34.217286661263</v>
      </c>
      <c r="Q263" s="109"/>
      <c r="R263" s="1277" t="n">
        <v>16.9129649959473</v>
      </c>
      <c r="S263" s="1277" t="n">
        <v>21.9129649959473</v>
      </c>
      <c r="T263" s="1277" t="n">
        <v>26.9129649959473</v>
      </c>
      <c r="V263" s="1278" t="n">
        <v>0</v>
      </c>
      <c r="W263" s="1278" t="n">
        <v>0</v>
      </c>
      <c r="X263" s="1278" t="n">
        <v>0</v>
      </c>
      <c r="Z263" s="1277" t="n">
        <v>0.09</v>
      </c>
      <c r="AA263" s="1277" t="n">
        <v>0.1</v>
      </c>
      <c r="AB263" s="1277" t="n">
        <v>0.11</v>
      </c>
      <c r="AC263" s="109"/>
      <c r="AD263" s="1277" t="n">
        <v>0.09</v>
      </c>
      <c r="AE263" s="1277" t="n">
        <v>0.11</v>
      </c>
      <c r="AF263" s="1277" t="n">
        <v>0.13</v>
      </c>
      <c r="AG263" s="109"/>
      <c r="AH263" s="1277" t="n">
        <v>-0.1</v>
      </c>
      <c r="AI263" s="1277" t="n">
        <v>0.65</v>
      </c>
      <c r="AJ263" s="1277" t="n">
        <v>0.1</v>
      </c>
      <c r="AK263" s="109"/>
      <c r="AL263" s="1277" t="n">
        <v>-0.01</v>
      </c>
      <c r="AM263" s="1277" t="n">
        <v>0.16</v>
      </c>
      <c r="AN263" s="1277" t="n">
        <v>0.01</v>
      </c>
      <c r="AO263" s="109"/>
      <c r="AP263" s="197" t="n">
        <v>85</v>
      </c>
      <c r="AQ263" s="1280" t="n">
        <v>0.35</v>
      </c>
      <c r="BQ263" s="1237" t="n">
        <v>44470</v>
      </c>
      <c r="BR263" s="1238" t="n">
        <v>4.0275</v>
      </c>
      <c r="BS263" s="1238" t="n">
        <v>4.0325</v>
      </c>
      <c r="BT263" s="1238" t="n">
        <v>-0.155</v>
      </c>
      <c r="BU263" s="1244" t="n">
        <f aca="false">BU262</f>
        <v>0.1435</v>
      </c>
      <c r="BV263" s="1244" t="n">
        <f aca="false">BV262</f>
        <v>0.15</v>
      </c>
      <c r="BW263" s="1244" t="n">
        <f aca="false">BW262</f>
        <v>0.1585</v>
      </c>
      <c r="BX263" s="1239" t="n">
        <v>-0.07</v>
      </c>
      <c r="BY263" s="1239"/>
      <c r="BZ263" s="1239" t="n">
        <v>0.07</v>
      </c>
      <c r="CA263" s="1243" t="n">
        <v>0</v>
      </c>
      <c r="CB263" s="1241" t="n">
        <v>0</v>
      </c>
      <c r="CC263" s="1242" t="n">
        <v>5.094</v>
      </c>
      <c r="CD263" s="1239" t="n">
        <v>0.1585</v>
      </c>
    </row>
    <row r="264" customFormat="false" ht="12.75" hidden="false" customHeight="false" outlineLevel="0" collapsed="false">
      <c r="A264" s="1237" t="n">
        <v>44593</v>
      </c>
      <c r="B264" s="1239" t="n">
        <v>0.072834583776513</v>
      </c>
      <c r="C264" s="1218"/>
      <c r="D264" s="1274" t="n">
        <v>43466</v>
      </c>
      <c r="E264" s="1275" t="n">
        <v>25.3993080460222</v>
      </c>
      <c r="F264" s="1275" t="n">
        <v>30.3993080460222</v>
      </c>
      <c r="G264" s="1275" t="n">
        <v>35.3993080460222</v>
      </c>
      <c r="H264" s="1291"/>
      <c r="I264" s="1275" t="n">
        <v>24.3381191510522</v>
      </c>
      <c r="J264" s="1275" t="n">
        <v>29.3381191510522</v>
      </c>
      <c r="K264" s="1275" t="n">
        <v>34.3381191510522</v>
      </c>
      <c r="M264" s="1276" t="n">
        <v>44348</v>
      </c>
      <c r="N264" s="1277" t="n">
        <v>29.467286661263</v>
      </c>
      <c r="O264" s="1277" t="n">
        <v>34.467286661263</v>
      </c>
      <c r="P264" s="1277" t="n">
        <v>39.467286661263</v>
      </c>
      <c r="Q264" s="109"/>
      <c r="R264" s="1277" t="n">
        <v>20.8504649959473</v>
      </c>
      <c r="S264" s="1277" t="n">
        <v>25.8504649959473</v>
      </c>
      <c r="T264" s="1277" t="n">
        <v>30.8504649959473</v>
      </c>
      <c r="V264" s="1278" t="n">
        <v>0</v>
      </c>
      <c r="W264" s="1278" t="n">
        <v>0</v>
      </c>
      <c r="X264" s="1278" t="n">
        <v>0</v>
      </c>
      <c r="Z264" s="1277" t="n">
        <v>0.09</v>
      </c>
      <c r="AA264" s="1277" t="n">
        <v>0.1</v>
      </c>
      <c r="AB264" s="1277" t="n">
        <v>0.11</v>
      </c>
      <c r="AC264" s="109"/>
      <c r="AD264" s="1277" t="n">
        <v>0.09</v>
      </c>
      <c r="AE264" s="1277" t="n">
        <v>0.11</v>
      </c>
      <c r="AF264" s="1277" t="n">
        <v>0.13</v>
      </c>
      <c r="AG264" s="109"/>
      <c r="AH264" s="1277" t="n">
        <v>-0.35</v>
      </c>
      <c r="AI264" s="1277" t="n">
        <v>0.65</v>
      </c>
      <c r="AJ264" s="1277" t="n">
        <v>0.2</v>
      </c>
      <c r="AK264" s="109"/>
      <c r="AL264" s="1277" t="n">
        <v>-0.01</v>
      </c>
      <c r="AM264" s="1277" t="n">
        <v>0.16</v>
      </c>
      <c r="AN264" s="1277" t="n">
        <v>0.01</v>
      </c>
      <c r="AO264" s="109"/>
      <c r="AP264" s="197" t="n">
        <v>85</v>
      </c>
      <c r="AQ264" s="1280" t="n">
        <v>0.35</v>
      </c>
      <c r="BQ264" s="1237" t="n">
        <v>44501</v>
      </c>
      <c r="BR264" s="1238" t="n">
        <v>4.0705</v>
      </c>
      <c r="BS264" s="1238" t="n">
        <v>4.0755</v>
      </c>
      <c r="BT264" s="1238" t="n">
        <v>-0.163</v>
      </c>
      <c r="BU264" s="1244" t="n">
        <f aca="false">BU263</f>
        <v>0.1435</v>
      </c>
      <c r="BV264" s="1244" t="n">
        <f aca="false">BV263</f>
        <v>0.15</v>
      </c>
      <c r="BW264" s="1244" t="n">
        <f aca="false">BW263</f>
        <v>0.1585</v>
      </c>
      <c r="BX264" s="1239" t="n">
        <v>-0.07</v>
      </c>
      <c r="BY264" s="1239"/>
      <c r="BZ264" s="1239" t="n">
        <v>0.07</v>
      </c>
      <c r="CA264" s="1243" t="n">
        <v>0</v>
      </c>
      <c r="CB264" s="1241" t="n">
        <v>0</v>
      </c>
      <c r="CC264" s="1242" t="n">
        <v>4.98</v>
      </c>
      <c r="CD264" s="1239" t="n">
        <v>0.1585</v>
      </c>
    </row>
    <row r="265" customFormat="false" ht="12.75" hidden="false" customHeight="false" outlineLevel="0" collapsed="false">
      <c r="A265" s="1237" t="n">
        <v>44621</v>
      </c>
      <c r="B265" s="1239" t="n">
        <v>0.072830603496737</v>
      </c>
      <c r="C265" s="1218"/>
      <c r="D265" s="1274" t="n">
        <v>43497</v>
      </c>
      <c r="E265" s="1275" t="n">
        <v>24.8993080460222</v>
      </c>
      <c r="F265" s="1275" t="n">
        <v>29.8993080460222</v>
      </c>
      <c r="G265" s="1275" t="n">
        <v>34.8993080460222</v>
      </c>
      <c r="H265" s="1291"/>
      <c r="I265" s="1275" t="n">
        <v>25.3071428571429</v>
      </c>
      <c r="J265" s="1275" t="n">
        <v>30.3071428571429</v>
      </c>
      <c r="K265" s="1275" t="n">
        <v>35.3071428571429</v>
      </c>
      <c r="M265" s="1276" t="n">
        <v>44378</v>
      </c>
      <c r="N265" s="1277" t="n">
        <v>56.6202022147591</v>
      </c>
      <c r="O265" s="1277" t="n">
        <v>61.6202022147591</v>
      </c>
      <c r="P265" s="1277" t="n">
        <v>66.6202022147591</v>
      </c>
      <c r="Q265" s="109"/>
      <c r="R265" s="1277" t="n">
        <v>41.2151516610694</v>
      </c>
      <c r="S265" s="1277" t="n">
        <v>46.2151516610694</v>
      </c>
      <c r="T265" s="1277" t="n">
        <v>51.2151516610694</v>
      </c>
      <c r="V265" s="1278" t="n">
        <v>0</v>
      </c>
      <c r="W265" s="1278" t="n">
        <v>0</v>
      </c>
      <c r="X265" s="1278" t="n">
        <v>0</v>
      </c>
      <c r="Z265" s="1277" t="n">
        <v>0.09</v>
      </c>
      <c r="AA265" s="1277" t="n">
        <v>0.1</v>
      </c>
      <c r="AB265" s="1277" t="n">
        <v>0.11</v>
      </c>
      <c r="AC265" s="109"/>
      <c r="AD265" s="1277" t="n">
        <v>0.09</v>
      </c>
      <c r="AE265" s="1277" t="n">
        <v>0.11</v>
      </c>
      <c r="AF265" s="1277" t="n">
        <v>0.13</v>
      </c>
      <c r="AG265" s="109"/>
      <c r="AH265" s="1277" t="n">
        <v>-0.35</v>
      </c>
      <c r="AI265" s="1277" t="n">
        <v>0.65</v>
      </c>
      <c r="AJ265" s="1277" t="n">
        <v>0.35</v>
      </c>
      <c r="AK265" s="109"/>
      <c r="AL265" s="1277" t="n">
        <v>-0.01</v>
      </c>
      <c r="AM265" s="1277" t="n">
        <v>0.16</v>
      </c>
      <c r="AN265" s="1277" t="n">
        <v>0.01</v>
      </c>
      <c r="AO265" s="109"/>
      <c r="AP265" s="197" t="n">
        <v>86</v>
      </c>
      <c r="AQ265" s="1280" t="n">
        <v>0.35</v>
      </c>
      <c r="BQ265" s="1237" t="n">
        <v>44531</v>
      </c>
      <c r="BR265" s="1238" t="n">
        <v>4.1395</v>
      </c>
      <c r="BS265" s="1238" t="n">
        <v>4.1445</v>
      </c>
      <c r="BT265" s="1238" t="n">
        <v>-0.158</v>
      </c>
      <c r="BU265" s="1244" t="n">
        <f aca="false">BU264</f>
        <v>0.1435</v>
      </c>
      <c r="BV265" s="1244" t="n">
        <f aca="false">BV264</f>
        <v>0.15</v>
      </c>
      <c r="BW265" s="1244" t="n">
        <f aca="false">BW264</f>
        <v>0.1585</v>
      </c>
      <c r="BX265" s="1239" t="n">
        <v>-0.07</v>
      </c>
      <c r="BY265" s="1239"/>
      <c r="BZ265" s="1239" t="n">
        <v>0.07</v>
      </c>
      <c r="CA265" s="1243" t="n">
        <v>0</v>
      </c>
      <c r="CB265" s="1241" t="n">
        <v>0</v>
      </c>
      <c r="CC265" s="1242" t="n">
        <v>4.946</v>
      </c>
      <c r="CD265" s="1239" t="n">
        <v>0.1585</v>
      </c>
    </row>
    <row r="266" customFormat="false" ht="12.75" hidden="false" customHeight="false" outlineLevel="0" collapsed="false">
      <c r="A266" s="1237" t="n">
        <v>44652</v>
      </c>
      <c r="B266" s="1239" t="n">
        <v>0.072826196758421</v>
      </c>
      <c r="C266" s="1218"/>
      <c r="D266" s="1274" t="n">
        <v>43525</v>
      </c>
      <c r="E266" s="1275" t="n">
        <v>24.6493080460222</v>
      </c>
      <c r="F266" s="1275" t="n">
        <v>29.6493080460222</v>
      </c>
      <c r="G266" s="1275" t="n">
        <v>34.6493080460222</v>
      </c>
      <c r="H266" s="1291"/>
      <c r="I266" s="1275" t="n">
        <v>25.5870967741936</v>
      </c>
      <c r="J266" s="1275" t="n">
        <v>30.5870967741936</v>
      </c>
      <c r="K266" s="1275" t="n">
        <v>35.5870967741936</v>
      </c>
      <c r="M266" s="1276" t="n">
        <v>44409</v>
      </c>
      <c r="N266" s="1277" t="n">
        <v>77.2452022147591</v>
      </c>
      <c r="O266" s="1277" t="n">
        <v>82.2452022147591</v>
      </c>
      <c r="P266" s="1277" t="n">
        <v>87.2452022147591</v>
      </c>
      <c r="Q266" s="109"/>
      <c r="R266" s="1277" t="n">
        <v>56.6839016610694</v>
      </c>
      <c r="S266" s="1277" t="n">
        <v>61.6839016610694</v>
      </c>
      <c r="T266" s="1277" t="n">
        <v>66.6839016610694</v>
      </c>
      <c r="V266" s="1278" t="n">
        <v>0</v>
      </c>
      <c r="W266" s="1278" t="n">
        <v>0</v>
      </c>
      <c r="X266" s="1278" t="n">
        <v>0</v>
      </c>
      <c r="Z266" s="1277" t="n">
        <v>0.09</v>
      </c>
      <c r="AA266" s="1277" t="n">
        <v>0.1</v>
      </c>
      <c r="AB266" s="1277" t="n">
        <v>0.11</v>
      </c>
      <c r="AC266" s="109"/>
      <c r="AD266" s="1277" t="n">
        <v>0.09</v>
      </c>
      <c r="AE266" s="1277" t="n">
        <v>0.11</v>
      </c>
      <c r="AF266" s="1277" t="n">
        <v>0.13</v>
      </c>
      <c r="AG266" s="109"/>
      <c r="AH266" s="1277" t="n">
        <v>-0.35</v>
      </c>
      <c r="AI266" s="1277" t="n">
        <v>3</v>
      </c>
      <c r="AJ266" s="1277" t="n">
        <v>0.35</v>
      </c>
      <c r="AK266" s="109"/>
      <c r="AL266" s="1277" t="n">
        <v>-0.01</v>
      </c>
      <c r="AM266" s="1277" t="n">
        <v>0.16</v>
      </c>
      <c r="AN266" s="1277" t="n">
        <v>0.01</v>
      </c>
      <c r="AO266" s="109"/>
      <c r="AP266" s="197" t="n">
        <v>86</v>
      </c>
      <c r="AQ266" s="1280" t="n">
        <v>0.35</v>
      </c>
      <c r="BQ266" s="1237" t="n">
        <v>44562</v>
      </c>
      <c r="BR266" s="1238" t="n">
        <v>4.1755</v>
      </c>
      <c r="BS266" s="1238" t="n">
        <v>4.1805</v>
      </c>
      <c r="BT266" s="1238" t="n">
        <v>-0.165</v>
      </c>
      <c r="BU266" s="1244" t="n">
        <f aca="false">BU265</f>
        <v>0.1435</v>
      </c>
      <c r="BV266" s="1244" t="n">
        <f aca="false">BV265</f>
        <v>0.15</v>
      </c>
      <c r="BW266" s="1244" t="n">
        <f aca="false">BW265</f>
        <v>0.1585</v>
      </c>
      <c r="BX266" s="1239" t="n">
        <v>-0.07</v>
      </c>
      <c r="BY266" s="1239"/>
      <c r="BZ266" s="1239" t="n">
        <v>0.07</v>
      </c>
      <c r="CA266" s="1243" t="n">
        <v>0</v>
      </c>
      <c r="CB266" s="1241" t="n">
        <v>0</v>
      </c>
      <c r="CC266" s="1242" t="n">
        <v>4.931</v>
      </c>
      <c r="CD266" s="1239" t="n">
        <v>0.1585</v>
      </c>
    </row>
    <row r="267" customFormat="false" ht="12.75" hidden="false" customHeight="false" outlineLevel="0" collapsed="false">
      <c r="A267" s="1237" t="n">
        <v>44682</v>
      </c>
      <c r="B267" s="1239" t="n">
        <v>0.072821932172959</v>
      </c>
      <c r="C267" s="1218"/>
      <c r="D267" s="1274" t="n">
        <v>43556</v>
      </c>
      <c r="E267" s="1275" t="n">
        <v>24.8121960572329</v>
      </c>
      <c r="F267" s="1275" t="n">
        <v>29.8121960572329</v>
      </c>
      <c r="G267" s="1275" t="n">
        <v>34.8121960572329</v>
      </c>
      <c r="H267" s="1291"/>
      <c r="I267" s="1275" t="n">
        <v>23.3875</v>
      </c>
      <c r="J267" s="1275" t="n">
        <v>28.3875</v>
      </c>
      <c r="K267" s="1275" t="n">
        <v>33.3875</v>
      </c>
      <c r="M267" s="1276" t="n">
        <v>44440</v>
      </c>
      <c r="N267" s="1277" t="n">
        <v>61.2452022147591</v>
      </c>
      <c r="O267" s="1277" t="n">
        <v>66.2452022147591</v>
      </c>
      <c r="P267" s="1277" t="n">
        <v>71.2452022147591</v>
      </c>
      <c r="Q267" s="109"/>
      <c r="R267" s="1277" t="n">
        <v>44.6839016610694</v>
      </c>
      <c r="S267" s="1277" t="n">
        <v>49.6839016610694</v>
      </c>
      <c r="T267" s="1277" t="n">
        <v>54.6839016610694</v>
      </c>
      <c r="V267" s="1278" t="n">
        <v>0</v>
      </c>
      <c r="W267" s="1278" t="n">
        <v>0</v>
      </c>
      <c r="X267" s="1278" t="n">
        <v>0</v>
      </c>
      <c r="Z267" s="1277" t="n">
        <v>0.09</v>
      </c>
      <c r="AA267" s="1277" t="n">
        <v>0.1</v>
      </c>
      <c r="AB267" s="1277" t="n">
        <v>0.11</v>
      </c>
      <c r="AC267" s="109"/>
      <c r="AD267" s="1277" t="n">
        <v>0.09</v>
      </c>
      <c r="AE267" s="1277" t="n">
        <v>0.11</v>
      </c>
      <c r="AF267" s="1277" t="n">
        <v>0.13</v>
      </c>
      <c r="AG267" s="109"/>
      <c r="AH267" s="1277" t="n">
        <v>-0.35</v>
      </c>
      <c r="AI267" s="1277" t="n">
        <v>3</v>
      </c>
      <c r="AJ267" s="1277" t="n">
        <v>0.2</v>
      </c>
      <c r="AK267" s="109"/>
      <c r="AL267" s="1277" t="n">
        <v>-0.01</v>
      </c>
      <c r="AM267" s="1277" t="n">
        <v>0.16</v>
      </c>
      <c r="AN267" s="1277" t="n">
        <v>0.01</v>
      </c>
      <c r="AO267" s="109"/>
      <c r="AP267" s="197" t="n">
        <v>86</v>
      </c>
      <c r="AQ267" s="1280" t="n">
        <v>0.35</v>
      </c>
      <c r="BQ267" s="1237" t="n">
        <v>44593</v>
      </c>
      <c r="BR267" s="1238" t="n">
        <v>4.1385</v>
      </c>
      <c r="BS267" s="1238" t="n">
        <v>4.1435</v>
      </c>
      <c r="BT267" s="1238" t="n">
        <v>-0.159</v>
      </c>
      <c r="BU267" s="1244" t="n">
        <f aca="false">BU266</f>
        <v>0.1435</v>
      </c>
      <c r="BV267" s="1244" t="n">
        <f aca="false">BV266</f>
        <v>0.15</v>
      </c>
      <c r="BW267" s="1244" t="n">
        <f aca="false">BW266</f>
        <v>0.1585</v>
      </c>
      <c r="BX267" s="1239" t="n">
        <v>-0.07</v>
      </c>
      <c r="BY267" s="1239"/>
      <c r="BZ267" s="1239" t="n">
        <v>0.07</v>
      </c>
      <c r="CA267" s="1243" t="n">
        <v>0</v>
      </c>
      <c r="CB267" s="1241" t="n">
        <v>0</v>
      </c>
      <c r="CC267" s="1242" t="n">
        <v>4.953</v>
      </c>
      <c r="CD267" s="1239" t="n">
        <v>0.1585</v>
      </c>
    </row>
    <row r="268" customFormat="false" ht="12.75" hidden="false" customHeight="false" outlineLevel="0" collapsed="false">
      <c r="A268" s="1237" t="n">
        <v>44713</v>
      </c>
      <c r="B268" s="1239" t="n">
        <v>0.072817525434655</v>
      </c>
      <c r="C268" s="1218"/>
      <c r="D268" s="1274" t="n">
        <v>43586</v>
      </c>
      <c r="E268" s="1275" t="n">
        <v>24.0621960572329</v>
      </c>
      <c r="F268" s="1275" t="n">
        <v>29.0621960572329</v>
      </c>
      <c r="G268" s="1275" t="n">
        <v>34.0621960572329</v>
      </c>
      <c r="H268" s="1291"/>
      <c r="I268" s="1275" t="n">
        <v>23.4459677419355</v>
      </c>
      <c r="J268" s="1275" t="n">
        <v>28.4459677419355</v>
      </c>
      <c r="K268" s="1275" t="n">
        <v>33.4459677419355</v>
      </c>
      <c r="M268" s="1276" t="n">
        <v>44470</v>
      </c>
      <c r="N268" s="1277" t="n">
        <v>32.65201679247</v>
      </c>
      <c r="O268" s="1277" t="n">
        <v>37.65201679247</v>
      </c>
      <c r="P268" s="1277" t="n">
        <v>42.65201679247</v>
      </c>
      <c r="Q268" s="109"/>
      <c r="R268" s="1277" t="n">
        <v>23.2390125943525</v>
      </c>
      <c r="S268" s="1277" t="n">
        <v>28.2390125943525</v>
      </c>
      <c r="T268" s="1277" t="n">
        <v>33.2390125943525</v>
      </c>
      <c r="V268" s="1278" t="n">
        <v>0</v>
      </c>
      <c r="W268" s="1278" t="n">
        <v>0</v>
      </c>
      <c r="X268" s="1278" t="n">
        <v>0</v>
      </c>
      <c r="Z268" s="1277" t="n">
        <v>0.09</v>
      </c>
      <c r="AA268" s="1277" t="n">
        <v>0.1</v>
      </c>
      <c r="AB268" s="1277" t="n">
        <v>0.11</v>
      </c>
      <c r="AC268" s="109"/>
      <c r="AD268" s="1277" t="n">
        <v>0.09</v>
      </c>
      <c r="AE268" s="1277" t="n">
        <v>0.11</v>
      </c>
      <c r="AF268" s="1277" t="n">
        <v>0.13</v>
      </c>
      <c r="AG268" s="109"/>
      <c r="AH268" s="1277" t="n">
        <v>-0.1</v>
      </c>
      <c r="AI268" s="1277" t="n">
        <v>3</v>
      </c>
      <c r="AJ268" s="1277" t="n">
        <v>0.1</v>
      </c>
      <c r="AK268" s="109"/>
      <c r="AL268" s="1277" t="n">
        <v>-0.01</v>
      </c>
      <c r="AM268" s="1277" t="n">
        <v>0.16</v>
      </c>
      <c r="AN268" s="1277" t="n">
        <v>0.01</v>
      </c>
      <c r="AO268" s="109"/>
      <c r="AP268" s="197" t="n">
        <v>87</v>
      </c>
      <c r="AQ268" s="1280" t="n">
        <v>0.35</v>
      </c>
      <c r="BQ268" s="1237" t="n">
        <v>44621</v>
      </c>
      <c r="BR268" s="1238" t="n">
        <v>4.0805</v>
      </c>
      <c r="BS268" s="1238" t="n">
        <v>4.0855</v>
      </c>
      <c r="BT268" s="1238" t="n">
        <v>-0.15</v>
      </c>
      <c r="BU268" s="1244" t="n">
        <f aca="false">BU267</f>
        <v>0.1435</v>
      </c>
      <c r="BV268" s="1244" t="n">
        <f aca="false">BV267</f>
        <v>0.15</v>
      </c>
      <c r="BW268" s="1244" t="n">
        <f aca="false">BW267</f>
        <v>0.1585</v>
      </c>
      <c r="BX268" s="1239" t="n">
        <v>-0.07</v>
      </c>
      <c r="BY268" s="1239"/>
      <c r="BZ268" s="1239" t="n">
        <v>0.07</v>
      </c>
      <c r="CA268" s="1243" t="n">
        <v>0</v>
      </c>
      <c r="CB268" s="1241" t="n">
        <v>0</v>
      </c>
      <c r="CC268" s="1242" t="n">
        <v>4.957</v>
      </c>
      <c r="CD268" s="1239" t="n">
        <v>0.1585</v>
      </c>
    </row>
    <row r="269" customFormat="false" ht="12.75" hidden="false" customHeight="false" outlineLevel="0" collapsed="false">
      <c r="A269" s="1237" t="n">
        <v>44743</v>
      </c>
      <c r="B269" s="1239" t="n">
        <v>0.072813260849205</v>
      </c>
      <c r="C269" s="1218"/>
      <c r="D269" s="1274" t="n">
        <v>43617</v>
      </c>
      <c r="E269" s="1275" t="n">
        <v>29.3121960572329</v>
      </c>
      <c r="F269" s="1275" t="n">
        <v>34.3121960572329</v>
      </c>
      <c r="G269" s="1275" t="n">
        <v>39.3121960572329</v>
      </c>
      <c r="H269" s="1291"/>
      <c r="I269" s="1275" t="n">
        <v>22.7</v>
      </c>
      <c r="J269" s="1275" t="n">
        <v>27.7</v>
      </c>
      <c r="K269" s="1275" t="n">
        <v>32.7</v>
      </c>
      <c r="M269" s="1276" t="n">
        <v>44501</v>
      </c>
      <c r="N269" s="1277" t="n">
        <v>24.90201679247</v>
      </c>
      <c r="O269" s="1277" t="n">
        <v>29.90201679247</v>
      </c>
      <c r="P269" s="1277" t="n">
        <v>34.90201679247</v>
      </c>
      <c r="Q269" s="109"/>
      <c r="R269" s="1277" t="n">
        <v>17.4265125943525</v>
      </c>
      <c r="S269" s="1277" t="n">
        <v>22.4265125943525</v>
      </c>
      <c r="T269" s="1277" t="n">
        <v>27.4265125943525</v>
      </c>
      <c r="V269" s="1278" t="n">
        <v>0</v>
      </c>
      <c r="W269" s="1278" t="n">
        <v>0</v>
      </c>
      <c r="X269" s="1278" t="n">
        <v>0</v>
      </c>
      <c r="Z269" s="1277" t="n">
        <v>0.09</v>
      </c>
      <c r="AA269" s="1277" t="n">
        <v>0.1</v>
      </c>
      <c r="AB269" s="1277" t="n">
        <v>0.11</v>
      </c>
      <c r="AC269" s="109"/>
      <c r="AD269" s="1277" t="n">
        <v>0.09</v>
      </c>
      <c r="AE269" s="1277" t="n">
        <v>0.11</v>
      </c>
      <c r="AF269" s="1277" t="n">
        <v>0.13</v>
      </c>
      <c r="AG269" s="109"/>
      <c r="AH269" s="1277" t="n">
        <v>-0.1</v>
      </c>
      <c r="AI269" s="1277" t="n">
        <v>0.6</v>
      </c>
      <c r="AJ269" s="1277" t="n">
        <v>0.1</v>
      </c>
      <c r="AK269" s="109"/>
      <c r="AL269" s="1277" t="n">
        <v>-0.01</v>
      </c>
      <c r="AM269" s="1277" t="n">
        <v>0.16</v>
      </c>
      <c r="AN269" s="1277" t="n">
        <v>0.01</v>
      </c>
      <c r="AO269" s="109"/>
      <c r="AP269" s="197" t="n">
        <v>87</v>
      </c>
      <c r="AQ269" s="1280" t="n">
        <v>0.35</v>
      </c>
      <c r="BQ269" s="1237" t="n">
        <v>44652</v>
      </c>
      <c r="BR269" s="1238" t="n">
        <v>4.0375</v>
      </c>
      <c r="BS269" s="1238" t="n">
        <v>4.0425</v>
      </c>
      <c r="BT269" s="1238" t="n">
        <v>-0.146</v>
      </c>
      <c r="BU269" s="1244" t="n">
        <f aca="false">BU268</f>
        <v>0.1435</v>
      </c>
      <c r="BV269" s="1244" t="n">
        <f aca="false">BV268</f>
        <v>0.15</v>
      </c>
      <c r="BW269" s="1244" t="n">
        <f aca="false">BW268</f>
        <v>0.1585</v>
      </c>
      <c r="BX269" s="1239" t="n">
        <v>-0.07</v>
      </c>
      <c r="BY269" s="1239"/>
      <c r="BZ269" s="1239" t="n">
        <v>0.07</v>
      </c>
      <c r="CA269" s="1243" t="n">
        <v>0</v>
      </c>
      <c r="CB269" s="1241" t="n">
        <v>0</v>
      </c>
      <c r="CC269" s="1242" t="n">
        <v>4.968</v>
      </c>
      <c r="CD269" s="1239" t="n">
        <v>0.1585</v>
      </c>
    </row>
    <row r="270" customFormat="false" ht="12.75" hidden="false" customHeight="false" outlineLevel="0" collapsed="false">
      <c r="A270" s="1237" t="n">
        <v>44774</v>
      </c>
      <c r="B270" s="1239" t="n">
        <v>0.072808854110914</v>
      </c>
      <c r="C270" s="1218"/>
      <c r="D270" s="1274" t="n">
        <v>43647</v>
      </c>
      <c r="E270" s="1275" t="n">
        <v>56.2708110295378</v>
      </c>
      <c r="F270" s="1275" t="n">
        <v>61.2708110295378</v>
      </c>
      <c r="G270" s="1275" t="n">
        <v>66.2708110295378</v>
      </c>
      <c r="H270" s="1291"/>
      <c r="I270" s="1275" t="n">
        <v>28.7241935483871</v>
      </c>
      <c r="J270" s="1275" t="n">
        <v>33.7241935483871</v>
      </c>
      <c r="K270" s="1275" t="n">
        <v>38.7241935483871</v>
      </c>
      <c r="M270" s="1276" t="n">
        <v>44531</v>
      </c>
      <c r="N270" s="1277" t="n">
        <v>26.90201679247</v>
      </c>
      <c r="O270" s="1277" t="n">
        <v>31.90201679247</v>
      </c>
      <c r="P270" s="1277" t="n">
        <v>36.90201679247</v>
      </c>
      <c r="Q270" s="109"/>
      <c r="R270" s="1277" t="n">
        <v>18.9265125943525</v>
      </c>
      <c r="S270" s="1277" t="n">
        <v>23.9265125943525</v>
      </c>
      <c r="T270" s="1277" t="n">
        <v>28.9265125943525</v>
      </c>
      <c r="V270" s="1278" t="n">
        <v>0</v>
      </c>
      <c r="W270" s="1278" t="n">
        <v>0</v>
      </c>
      <c r="X270" s="1278" t="n">
        <v>0</v>
      </c>
      <c r="Z270" s="1277" t="n">
        <v>0.09</v>
      </c>
      <c r="AA270" s="1277" t="n">
        <v>0.1</v>
      </c>
      <c r="AB270" s="1277" t="n">
        <v>0.11</v>
      </c>
      <c r="AC270" s="109"/>
      <c r="AD270" s="1277" t="n">
        <v>0.09</v>
      </c>
      <c r="AE270" s="1277" t="n">
        <v>0.11</v>
      </c>
      <c r="AF270" s="1277" t="n">
        <v>0.13</v>
      </c>
      <c r="AG270" s="109"/>
      <c r="AH270" s="1277" t="n">
        <v>-0.25</v>
      </c>
      <c r="AI270" s="1277" t="n">
        <v>0.6</v>
      </c>
      <c r="AJ270" s="1277" t="n">
        <v>0.25</v>
      </c>
      <c r="AK270" s="109"/>
      <c r="AL270" s="1277" t="n">
        <v>-0.01</v>
      </c>
      <c r="AM270" s="1277" t="n">
        <v>0.16</v>
      </c>
      <c r="AN270" s="1277" t="n">
        <v>0.01</v>
      </c>
      <c r="AO270" s="109"/>
      <c r="AP270" s="197" t="n">
        <v>87</v>
      </c>
      <c r="AQ270" s="1280" t="n">
        <v>0.35</v>
      </c>
      <c r="BQ270" s="1237" t="n">
        <v>44682</v>
      </c>
      <c r="BR270" s="1238" t="n">
        <v>4.0705</v>
      </c>
      <c r="BS270" s="1238" t="n">
        <v>4.0755</v>
      </c>
      <c r="BT270" s="1238" t="n">
        <v>-0.132</v>
      </c>
      <c r="BU270" s="1244" t="n">
        <f aca="false">BU269</f>
        <v>0.1435</v>
      </c>
      <c r="BV270" s="1244" t="n">
        <f aca="false">BV269</f>
        <v>0.15</v>
      </c>
      <c r="BW270" s="1244" t="n">
        <f aca="false">BW269</f>
        <v>0.1585</v>
      </c>
      <c r="BX270" s="1239" t="n">
        <v>-0.07</v>
      </c>
      <c r="BY270" s="1239"/>
      <c r="BZ270" s="1239" t="n">
        <v>0.07</v>
      </c>
      <c r="CA270" s="1243" t="n">
        <v>0</v>
      </c>
      <c r="CB270" s="1241" t="n">
        <v>0</v>
      </c>
      <c r="CC270" s="1242" t="n">
        <v>4.998</v>
      </c>
      <c r="CD270" s="1239" t="n">
        <v>0.1585</v>
      </c>
    </row>
    <row r="271" customFormat="false" ht="12.75" hidden="false" customHeight="false" outlineLevel="0" collapsed="false">
      <c r="A271" s="1237" t="n">
        <v>44805</v>
      </c>
      <c r="B271" s="1239" t="n">
        <v>0.072804447372628</v>
      </c>
      <c r="C271" s="1218"/>
      <c r="D271" s="1274" t="n">
        <v>43678</v>
      </c>
      <c r="E271" s="1275" t="n">
        <v>76.8958110295378</v>
      </c>
      <c r="F271" s="1275" t="n">
        <v>81.8958110295378</v>
      </c>
      <c r="G271" s="1275" t="n">
        <v>86.8958110295378</v>
      </c>
      <c r="H271" s="1291"/>
      <c r="I271" s="1275" t="n">
        <v>26.7241935483871</v>
      </c>
      <c r="J271" s="1275" t="n">
        <v>31.7241935483871</v>
      </c>
      <c r="K271" s="1275" t="n">
        <v>36.7241935483871</v>
      </c>
      <c r="M271" s="1276" t="n">
        <v>44562</v>
      </c>
      <c r="N271" s="1277" t="n">
        <v>25.6150748759011</v>
      </c>
      <c r="O271" s="1277" t="n">
        <v>30.6150748759011</v>
      </c>
      <c r="P271" s="1277" t="n">
        <v>35.6150748759011</v>
      </c>
      <c r="Q271" s="109"/>
      <c r="R271" s="1277" t="n">
        <v>17.9613061569258</v>
      </c>
      <c r="S271" s="1277" t="n">
        <v>22.9613061569258</v>
      </c>
      <c r="T271" s="1277" t="n">
        <v>27.9613061569258</v>
      </c>
      <c r="V271" s="1278" t="n">
        <v>0</v>
      </c>
      <c r="W271" s="1278" t="n">
        <v>0</v>
      </c>
      <c r="X271" s="1278" t="n">
        <v>0</v>
      </c>
      <c r="Z271" s="1292" t="n">
        <f aca="false">Z270</f>
        <v>0.09</v>
      </c>
      <c r="AA271" s="1292" t="n">
        <f aca="false">AA270</f>
        <v>0.1</v>
      </c>
      <c r="AB271" s="1292" t="n">
        <f aca="false">AB270</f>
        <v>0.11</v>
      </c>
      <c r="AC271" s="109"/>
      <c r="AD271" s="1292" t="n">
        <f aca="false">AD270</f>
        <v>0.09</v>
      </c>
      <c r="AE271" s="1292" t="n">
        <f aca="false">AE270</f>
        <v>0.11</v>
      </c>
      <c r="AF271" s="1292" t="n">
        <f aca="false">AF270</f>
        <v>0.13</v>
      </c>
      <c r="AG271" s="109"/>
      <c r="AH271" s="1277" t="n">
        <v>-0.25</v>
      </c>
      <c r="AI271" s="1277" t="n">
        <v>0.6</v>
      </c>
      <c r="AJ271" s="1277" t="n">
        <v>0.25</v>
      </c>
      <c r="AK271" s="109"/>
      <c r="AL271" s="1277" t="n">
        <v>-0.01</v>
      </c>
      <c r="AM271" s="1277" t="n">
        <v>0.16</v>
      </c>
      <c r="AN271" s="1277" t="n">
        <v>0.01</v>
      </c>
      <c r="AO271" s="109"/>
      <c r="AP271" s="197" t="n">
        <v>88</v>
      </c>
      <c r="AQ271" s="1280" t="n">
        <v>0.35</v>
      </c>
      <c r="BQ271" s="1237" t="n">
        <v>44713</v>
      </c>
      <c r="BR271" s="1238" t="n">
        <v>4.0965</v>
      </c>
      <c r="BS271" s="1238" t="n">
        <v>4.1015</v>
      </c>
      <c r="BT271" s="1238" t="n">
        <v>-0.121</v>
      </c>
      <c r="BU271" s="1244" t="n">
        <f aca="false">BU270</f>
        <v>0.1435</v>
      </c>
      <c r="BV271" s="1244" t="n">
        <f aca="false">BV270</f>
        <v>0.15</v>
      </c>
      <c r="BW271" s="1244" t="n">
        <f aca="false">BW270</f>
        <v>0.1585</v>
      </c>
      <c r="BX271" s="1239" t="n">
        <v>-0.07</v>
      </c>
      <c r="BY271" s="1239"/>
      <c r="BZ271" s="1239" t="n">
        <v>0.07</v>
      </c>
      <c r="CA271" s="1243" t="n">
        <v>0</v>
      </c>
      <c r="CB271" s="1241" t="n">
        <v>0</v>
      </c>
      <c r="CC271" s="1242" t="n">
        <v>5.116</v>
      </c>
      <c r="CD271" s="1239" t="n">
        <v>0.1585</v>
      </c>
    </row>
    <row r="272" customFormat="false" ht="12.75" hidden="false" customHeight="false" outlineLevel="0" collapsed="false">
      <c r="A272" s="1237" t="n">
        <v>44835</v>
      </c>
      <c r="B272" s="1239" t="n">
        <v>0.072800182787197</v>
      </c>
      <c r="C272" s="1218"/>
      <c r="D272" s="1274" t="n">
        <v>43709</v>
      </c>
      <c r="E272" s="1275" t="n">
        <v>60.8958110295378</v>
      </c>
      <c r="F272" s="1275" t="n">
        <v>65.8958110295378</v>
      </c>
      <c r="G272" s="1275" t="n">
        <v>70.8958110295378</v>
      </c>
      <c r="H272" s="1291"/>
      <c r="I272" s="1275" t="n">
        <v>27.1375</v>
      </c>
      <c r="J272" s="1275" t="n">
        <v>32.1375</v>
      </c>
      <c r="K272" s="1275" t="n">
        <v>37.1375</v>
      </c>
      <c r="M272" s="1276" t="n">
        <v>44593</v>
      </c>
      <c r="N272" s="1277" t="n">
        <v>25.1150748759011</v>
      </c>
      <c r="O272" s="1277" t="n">
        <v>30.1150748759011</v>
      </c>
      <c r="P272" s="1277" t="n">
        <v>35.1150748759011</v>
      </c>
      <c r="Q272" s="109"/>
      <c r="R272" s="1277" t="n">
        <v>17.5863061569258</v>
      </c>
      <c r="S272" s="1277" t="n">
        <v>22.5863061569258</v>
      </c>
      <c r="T272" s="1277" t="n">
        <v>27.5863061569258</v>
      </c>
      <c r="V272" s="1278" t="n">
        <v>0</v>
      </c>
      <c r="W272" s="1278" t="n">
        <v>0</v>
      </c>
      <c r="X272" s="1278" t="n">
        <v>0</v>
      </c>
      <c r="Z272" s="1292" t="n">
        <f aca="false">Z271</f>
        <v>0.09</v>
      </c>
      <c r="AA272" s="1292" t="n">
        <f aca="false">AA271</f>
        <v>0.1</v>
      </c>
      <c r="AB272" s="1292" t="n">
        <f aca="false">AB271</f>
        <v>0.11</v>
      </c>
      <c r="AC272" s="109"/>
      <c r="AD272" s="1292" t="n">
        <f aca="false">AD271</f>
        <v>0.09</v>
      </c>
      <c r="AE272" s="1292" t="n">
        <f aca="false">AE271</f>
        <v>0.11</v>
      </c>
      <c r="AF272" s="1292" t="n">
        <f aca="false">AF271</f>
        <v>0.13</v>
      </c>
      <c r="AG272" s="109"/>
      <c r="AH272" s="1277" t="n">
        <v>-0.25</v>
      </c>
      <c r="AI272" s="1277" t="n">
        <v>0.65</v>
      </c>
      <c r="AJ272" s="1277" t="n">
        <v>0.25</v>
      </c>
      <c r="AK272" s="109"/>
      <c r="AL272" s="1277" t="n">
        <v>-0.01</v>
      </c>
      <c r="AM272" s="1277" t="n">
        <v>0.16</v>
      </c>
      <c r="AN272" s="1277" t="n">
        <v>0.01</v>
      </c>
      <c r="AO272" s="109"/>
      <c r="AP272" s="197" t="n">
        <v>88</v>
      </c>
      <c r="AQ272" s="1280" t="n">
        <v>0.35</v>
      </c>
      <c r="BQ272" s="1237" t="n">
        <v>44743</v>
      </c>
      <c r="BR272" s="1238" t="n">
        <v>4.1045</v>
      </c>
      <c r="BS272" s="1238" t="n">
        <v>4.1095</v>
      </c>
      <c r="BT272" s="1238" t="n">
        <v>-0.157</v>
      </c>
      <c r="BU272" s="1244" t="n">
        <f aca="false">BU271</f>
        <v>0.1435</v>
      </c>
      <c r="BV272" s="1244" t="n">
        <f aca="false">BV271</f>
        <v>0.15</v>
      </c>
      <c r="BW272" s="1244" t="n">
        <f aca="false">BW271</f>
        <v>0.1585</v>
      </c>
      <c r="BX272" s="1239" t="n">
        <v>-0.07</v>
      </c>
      <c r="BY272" s="1239"/>
      <c r="BZ272" s="1239" t="n">
        <v>0.07</v>
      </c>
      <c r="CA272" s="1243" t="n">
        <v>0</v>
      </c>
      <c r="CB272" s="1241" t="n">
        <v>0</v>
      </c>
      <c r="CC272" s="1242" t="n">
        <v>5.246</v>
      </c>
      <c r="CD272" s="1239" t="n">
        <v>0.1585</v>
      </c>
    </row>
    <row r="273" customFormat="false" ht="12.75" hidden="false" customHeight="false" outlineLevel="0" collapsed="false">
      <c r="A273" s="1237" t="n">
        <v>44866</v>
      </c>
      <c r="B273" s="1239" t="n">
        <v>0.072795776048925</v>
      </c>
      <c r="C273" s="1218"/>
      <c r="D273" s="1274" t="n">
        <v>43739</v>
      </c>
      <c r="E273" s="1275" t="n">
        <v>32.4991088412998</v>
      </c>
      <c r="F273" s="1275" t="n">
        <v>37.4991088412998</v>
      </c>
      <c r="G273" s="1275" t="n">
        <v>42.4991088412998</v>
      </c>
      <c r="H273" s="1291"/>
      <c r="I273" s="1275" t="n">
        <v>26.6516129032258</v>
      </c>
      <c r="J273" s="1275" t="n">
        <v>31.6516129032258</v>
      </c>
      <c r="K273" s="1275" t="n">
        <v>36.6516129032258</v>
      </c>
      <c r="M273" s="1276" t="n">
        <v>44621</v>
      </c>
      <c r="N273" s="1277" t="n">
        <v>24.3650748759011</v>
      </c>
      <c r="O273" s="1277" t="n">
        <v>29.3650748759011</v>
      </c>
      <c r="P273" s="1277" t="n">
        <v>34.3650748759011</v>
      </c>
      <c r="Q273" s="109"/>
      <c r="R273" s="1277" t="n">
        <v>17.0238061569258</v>
      </c>
      <c r="S273" s="1277" t="n">
        <v>22.0238061569258</v>
      </c>
      <c r="T273" s="1277" t="n">
        <v>27.0238061569258</v>
      </c>
      <c r="V273" s="1278" t="n">
        <v>0</v>
      </c>
      <c r="W273" s="1278" t="n">
        <v>0</v>
      </c>
      <c r="X273" s="1278" t="n">
        <v>0</v>
      </c>
      <c r="Z273" s="1292" t="n">
        <f aca="false">Z272</f>
        <v>0.09</v>
      </c>
      <c r="AA273" s="1292" t="n">
        <f aca="false">AA272</f>
        <v>0.1</v>
      </c>
      <c r="AB273" s="1292" t="n">
        <f aca="false">AB272</f>
        <v>0.11</v>
      </c>
      <c r="AC273" s="109"/>
      <c r="AD273" s="1292" t="n">
        <f aca="false">AD272</f>
        <v>0.09</v>
      </c>
      <c r="AE273" s="1292" t="n">
        <f aca="false">AE272</f>
        <v>0.11</v>
      </c>
      <c r="AF273" s="1292" t="n">
        <f aca="false">AF272</f>
        <v>0.13</v>
      </c>
      <c r="AG273" s="109"/>
      <c r="AH273" s="1277" t="n">
        <v>-0.1</v>
      </c>
      <c r="AI273" s="1277" t="n">
        <v>0.65</v>
      </c>
      <c r="AJ273" s="1277" t="n">
        <v>0.1</v>
      </c>
      <c r="AK273" s="109"/>
      <c r="AL273" s="1277" t="n">
        <v>-0.01</v>
      </c>
      <c r="AM273" s="1277" t="n">
        <v>0.16</v>
      </c>
      <c r="AN273" s="1277" t="n">
        <v>0.01</v>
      </c>
      <c r="AO273" s="109"/>
      <c r="AP273" s="197" t="n">
        <v>88</v>
      </c>
      <c r="AQ273" s="1280" t="n">
        <v>0.35</v>
      </c>
      <c r="BQ273" s="1237" t="n">
        <v>44774</v>
      </c>
      <c r="BR273" s="1238" t="n">
        <v>4.1135</v>
      </c>
      <c r="BS273" s="1238" t="n">
        <v>4.1185</v>
      </c>
      <c r="BT273" s="1238" t="n">
        <v>-0.161</v>
      </c>
      <c r="BU273" s="1244" t="n">
        <f aca="false">BU272</f>
        <v>0.1435</v>
      </c>
      <c r="BV273" s="1244" t="n">
        <f aca="false">BV272</f>
        <v>0.15</v>
      </c>
      <c r="BW273" s="1244" t="n">
        <f aca="false">BW272</f>
        <v>0.1585</v>
      </c>
      <c r="BX273" s="1239" t="n">
        <v>-0.07</v>
      </c>
      <c r="BY273" s="1239"/>
      <c r="BZ273" s="1239" t="n">
        <v>0.07</v>
      </c>
      <c r="CA273" s="1243" t="n">
        <v>0</v>
      </c>
      <c r="CB273" s="1241" t="n">
        <v>0</v>
      </c>
      <c r="CC273" s="1242" t="n">
        <v>5.502</v>
      </c>
      <c r="CD273" s="1239" t="n">
        <v>0.1585</v>
      </c>
    </row>
    <row r="274" customFormat="false" ht="12.75" hidden="false" customHeight="false" outlineLevel="0" collapsed="false">
      <c r="A274" s="1237" t="n">
        <v>44896</v>
      </c>
      <c r="B274" s="1239" t="n">
        <v>0.072791511463506</v>
      </c>
      <c r="C274" s="1218"/>
      <c r="D274" s="1274" t="n">
        <v>43770</v>
      </c>
      <c r="E274" s="1275" t="n">
        <v>24.7491088412998</v>
      </c>
      <c r="F274" s="1275" t="n">
        <v>29.7491088412998</v>
      </c>
      <c r="G274" s="1275" t="n">
        <v>34.7491088412998</v>
      </c>
      <c r="H274" s="1291"/>
      <c r="I274" s="1275" t="n">
        <v>27.9916666666667</v>
      </c>
      <c r="J274" s="1275" t="n">
        <v>32.9916666666667</v>
      </c>
      <c r="K274" s="1275" t="n">
        <v>37.9916666666667</v>
      </c>
      <c r="M274" s="1276" t="n">
        <v>44652</v>
      </c>
      <c r="N274" s="1277" t="n">
        <v>24.294831963278</v>
      </c>
      <c r="O274" s="1277" t="n">
        <v>29.294831963278</v>
      </c>
      <c r="P274" s="1277" t="n">
        <v>34.294831963278</v>
      </c>
      <c r="Q274" s="109"/>
      <c r="R274" s="1277" t="n">
        <v>16.9711239724585</v>
      </c>
      <c r="S274" s="1277" t="n">
        <v>21.9711239724585</v>
      </c>
      <c r="T274" s="1277" t="n">
        <v>26.9711239724585</v>
      </c>
      <c r="V274" s="1278" t="n">
        <v>0</v>
      </c>
      <c r="W274" s="1278" t="n">
        <v>0</v>
      </c>
      <c r="X274" s="1278" t="n">
        <v>0</v>
      </c>
      <c r="Z274" s="1292" t="n">
        <f aca="false">Z273</f>
        <v>0.09</v>
      </c>
      <c r="AA274" s="1292" t="n">
        <f aca="false">AA273</f>
        <v>0.1</v>
      </c>
      <c r="AB274" s="1292" t="n">
        <f aca="false">AB273</f>
        <v>0.11</v>
      </c>
      <c r="AC274" s="109"/>
      <c r="AD274" s="1292" t="n">
        <f aca="false">AD273</f>
        <v>0.09</v>
      </c>
      <c r="AE274" s="1292" t="n">
        <f aca="false">AE273</f>
        <v>0.11</v>
      </c>
      <c r="AF274" s="1292" t="n">
        <f aca="false">AF273</f>
        <v>0.13</v>
      </c>
      <c r="AG274" s="109"/>
      <c r="AH274" s="1277" t="n">
        <v>-0.1</v>
      </c>
      <c r="AI274" s="1277" t="n">
        <v>0.65</v>
      </c>
      <c r="AJ274" s="1277" t="n">
        <v>0.1</v>
      </c>
      <c r="AK274" s="109"/>
      <c r="AL274" s="1277" t="n">
        <v>-0.01</v>
      </c>
      <c r="AM274" s="1277" t="n">
        <v>0.16</v>
      </c>
      <c r="AN274" s="1277" t="n">
        <v>0.01</v>
      </c>
      <c r="AO274" s="109"/>
      <c r="AP274" s="197" t="n">
        <v>89</v>
      </c>
      <c r="AQ274" s="1280" t="n">
        <v>0.35</v>
      </c>
      <c r="BQ274" s="1237" t="n">
        <v>44805</v>
      </c>
      <c r="BR274" s="1238" t="n">
        <v>4.1015</v>
      </c>
      <c r="BS274" s="1238" t="n">
        <v>4.1065</v>
      </c>
      <c r="BT274" s="1238" t="n">
        <v>-0.17</v>
      </c>
      <c r="BU274" s="1244" t="n">
        <f aca="false">BU273</f>
        <v>0.1435</v>
      </c>
      <c r="BV274" s="1244" t="n">
        <f aca="false">BV273</f>
        <v>0.15</v>
      </c>
      <c r="BW274" s="1244" t="n">
        <f aca="false">BW273</f>
        <v>0.1585</v>
      </c>
      <c r="BX274" s="1239" t="n">
        <v>-0.07</v>
      </c>
      <c r="BY274" s="1239"/>
      <c r="BZ274" s="1239" t="n">
        <v>0.07</v>
      </c>
      <c r="CA274" s="1243" t="n">
        <v>0</v>
      </c>
      <c r="CB274" s="1241" t="n">
        <v>0</v>
      </c>
      <c r="CC274" s="1242" t="n">
        <v>5.438</v>
      </c>
      <c r="CD274" s="1239" t="n">
        <v>0.1585</v>
      </c>
    </row>
    <row r="275" customFormat="false" ht="12.75" hidden="false" customHeight="false" outlineLevel="0" collapsed="false">
      <c r="A275" s="1237" t="n">
        <v>44927</v>
      </c>
      <c r="B275" s="1239" t="n">
        <v>0.072787104725246</v>
      </c>
      <c r="C275" s="1218"/>
      <c r="D275" s="1274" t="n">
        <v>43800</v>
      </c>
      <c r="E275" s="1275" t="n">
        <v>26.7491088412998</v>
      </c>
      <c r="F275" s="1275" t="n">
        <v>31.7491088412998</v>
      </c>
      <c r="G275" s="1275" t="n">
        <v>36.7491088412998</v>
      </c>
      <c r="H275" s="1291"/>
      <c r="I275" s="1275" t="n">
        <v>27.2967741935484</v>
      </c>
      <c r="J275" s="1275" t="n">
        <v>32.2967741935484</v>
      </c>
      <c r="K275" s="1275" t="n">
        <v>37.2967741935484</v>
      </c>
      <c r="M275" s="1276" t="n">
        <v>44682</v>
      </c>
      <c r="N275" s="1277" t="n">
        <v>24.294831963278</v>
      </c>
      <c r="O275" s="1277" t="n">
        <v>29.294831963278</v>
      </c>
      <c r="P275" s="1277" t="n">
        <v>34.294831963278</v>
      </c>
      <c r="Q275" s="109"/>
      <c r="R275" s="1277" t="n">
        <v>16.9711239724585</v>
      </c>
      <c r="S275" s="1277" t="n">
        <v>21.9711239724585</v>
      </c>
      <c r="T275" s="1277" t="n">
        <v>26.9711239724585</v>
      </c>
      <c r="V275" s="1278" t="n">
        <v>0</v>
      </c>
      <c r="W275" s="1278" t="n">
        <v>0</v>
      </c>
      <c r="X275" s="1278" t="n">
        <v>0</v>
      </c>
      <c r="Z275" s="1292" t="n">
        <f aca="false">Z274</f>
        <v>0.09</v>
      </c>
      <c r="AA275" s="1292" t="n">
        <f aca="false">AA274</f>
        <v>0.1</v>
      </c>
      <c r="AB275" s="1292" t="n">
        <f aca="false">AB274</f>
        <v>0.11</v>
      </c>
      <c r="AC275" s="109"/>
      <c r="AD275" s="1292" t="n">
        <f aca="false">AD274</f>
        <v>0.09</v>
      </c>
      <c r="AE275" s="1292" t="n">
        <f aca="false">AE274</f>
        <v>0.11</v>
      </c>
      <c r="AF275" s="1292" t="n">
        <f aca="false">AF274</f>
        <v>0.13</v>
      </c>
      <c r="AG275" s="109"/>
      <c r="AH275" s="1277" t="n">
        <v>-0.1</v>
      </c>
      <c r="AI275" s="1277" t="n">
        <v>0.65</v>
      </c>
      <c r="AJ275" s="1277" t="n">
        <v>0.1</v>
      </c>
      <c r="AK275" s="109"/>
      <c r="AL275" s="1277" t="n">
        <v>-0.01</v>
      </c>
      <c r="AM275" s="1277" t="n">
        <v>0.16</v>
      </c>
      <c r="AN275" s="1277" t="n">
        <v>0.01</v>
      </c>
      <c r="AO275" s="109"/>
      <c r="AP275" s="197" t="n">
        <v>89</v>
      </c>
      <c r="AQ275" s="1280" t="n">
        <v>0.35</v>
      </c>
      <c r="BQ275" s="1237" t="n">
        <v>44835</v>
      </c>
      <c r="BR275" s="1238" t="n">
        <v>4.1095</v>
      </c>
      <c r="BS275" s="1238" t="n">
        <v>4.1145</v>
      </c>
      <c r="BT275" s="1238" t="n">
        <v>-0.175</v>
      </c>
      <c r="BU275" s="1244" t="n">
        <f aca="false">BU274</f>
        <v>0.1435</v>
      </c>
      <c r="BV275" s="1244" t="n">
        <f aca="false">BV274</f>
        <v>0.15</v>
      </c>
      <c r="BW275" s="1244" t="n">
        <f aca="false">BW274</f>
        <v>0.1585</v>
      </c>
      <c r="BX275" s="1239" t="n">
        <v>-0.07</v>
      </c>
      <c r="BY275" s="1239"/>
      <c r="BZ275" s="1239" t="n">
        <v>0.07</v>
      </c>
      <c r="CA275" s="1243" t="n">
        <v>0</v>
      </c>
      <c r="CB275" s="1241" t="n">
        <v>0</v>
      </c>
      <c r="CC275" s="1242" t="n">
        <v>5.324</v>
      </c>
      <c r="CD275" s="1239" t="n">
        <v>0.1585</v>
      </c>
    </row>
    <row r="276" customFormat="false" ht="12.75" hidden="false" customHeight="false" outlineLevel="0" collapsed="false">
      <c r="A276" s="1237" t="n">
        <v>44958</v>
      </c>
      <c r="B276" s="1239" t="n">
        <v>0.072782697987</v>
      </c>
      <c r="C276" s="1218"/>
      <c r="D276" s="1274" t="n">
        <v>43831</v>
      </c>
      <c r="E276" s="1275" t="n">
        <v>25.4712303226485</v>
      </c>
      <c r="F276" s="1275" t="n">
        <v>30.4712303226485</v>
      </c>
      <c r="G276" s="1275" t="n">
        <v>35.4712303226485</v>
      </c>
      <c r="H276" s="1291"/>
      <c r="I276" s="1275" t="n">
        <v>24.8381191510522</v>
      </c>
      <c r="J276" s="1275" t="n">
        <v>29.8381191510522</v>
      </c>
      <c r="K276" s="1275" t="n">
        <v>34.8381191510522</v>
      </c>
      <c r="M276" s="1276" t="n">
        <v>44713</v>
      </c>
      <c r="N276" s="1277" t="n">
        <v>29.544831963278</v>
      </c>
      <c r="O276" s="1277" t="n">
        <v>34.544831963278</v>
      </c>
      <c r="P276" s="1277" t="n">
        <v>39.544831963278</v>
      </c>
      <c r="Q276" s="109"/>
      <c r="R276" s="1277" t="n">
        <v>20.9086239724585</v>
      </c>
      <c r="S276" s="1277" t="n">
        <v>25.9086239724585</v>
      </c>
      <c r="T276" s="1277" t="n">
        <v>30.9086239724585</v>
      </c>
      <c r="V276" s="1278" t="n">
        <v>0</v>
      </c>
      <c r="W276" s="1278" t="n">
        <v>0</v>
      </c>
      <c r="X276" s="1278" t="n">
        <v>0</v>
      </c>
      <c r="Z276" s="1292" t="n">
        <f aca="false">Z275</f>
        <v>0.09</v>
      </c>
      <c r="AA276" s="1292" t="n">
        <f aca="false">AA275</f>
        <v>0.1</v>
      </c>
      <c r="AB276" s="1292" t="n">
        <f aca="false">AB275</f>
        <v>0.11</v>
      </c>
      <c r="AC276" s="109"/>
      <c r="AD276" s="1292" t="n">
        <f aca="false">AD275</f>
        <v>0.09</v>
      </c>
      <c r="AE276" s="1292" t="n">
        <f aca="false">AE275</f>
        <v>0.11</v>
      </c>
      <c r="AF276" s="1292" t="n">
        <f aca="false">AF275</f>
        <v>0.13</v>
      </c>
      <c r="AG276" s="109"/>
      <c r="AH276" s="1277" t="n">
        <v>-0.35</v>
      </c>
      <c r="AI276" s="1277" t="n">
        <v>0.65</v>
      </c>
      <c r="AJ276" s="1277" t="n">
        <v>0.2</v>
      </c>
      <c r="AK276" s="109"/>
      <c r="AL276" s="1277" t="n">
        <v>-0.01</v>
      </c>
      <c r="AM276" s="1277" t="n">
        <v>0.16</v>
      </c>
      <c r="AN276" s="1277" t="n">
        <v>0.01</v>
      </c>
      <c r="AO276" s="109"/>
      <c r="AP276" s="197" t="n">
        <v>89</v>
      </c>
      <c r="AQ276" s="1280" t="n">
        <v>0.35</v>
      </c>
      <c r="BQ276" s="1237" t="n">
        <v>44866</v>
      </c>
      <c r="BR276" s="1238" t="n">
        <v>4.1475</v>
      </c>
      <c r="BS276" s="1238" t="n">
        <v>4.1525</v>
      </c>
      <c r="BT276" s="1238" t="n">
        <v>-0.183</v>
      </c>
      <c r="BU276" s="1244" t="n">
        <f aca="false">BU275</f>
        <v>0.1435</v>
      </c>
      <c r="BV276" s="1244" t="n">
        <f aca="false">BV275</f>
        <v>0.15</v>
      </c>
      <c r="BW276" s="1244" t="n">
        <f aca="false">BW275</f>
        <v>0.1585</v>
      </c>
      <c r="BX276" s="1239" t="n">
        <v>-0.07</v>
      </c>
      <c r="BY276" s="1239"/>
      <c r="BZ276" s="1239" t="n">
        <v>0.07</v>
      </c>
      <c r="CA276" s="1243" t="n">
        <v>0</v>
      </c>
      <c r="CB276" s="1241" t="n">
        <v>0</v>
      </c>
      <c r="CC276" s="1242" t="n">
        <v>5.21</v>
      </c>
      <c r="CD276" s="1239" t="n">
        <v>0.1585</v>
      </c>
    </row>
    <row r="277" customFormat="false" ht="12.75" hidden="false" customHeight="false" outlineLevel="0" collapsed="false">
      <c r="A277" s="1237" t="n">
        <v>44986</v>
      </c>
      <c r="B277" s="1239" t="n">
        <v>0.072778717707285</v>
      </c>
      <c r="C277" s="1218"/>
      <c r="D277" s="1274" t="n">
        <v>43862</v>
      </c>
      <c r="E277" s="1275" t="n">
        <v>24.9712303226485</v>
      </c>
      <c r="F277" s="1275" t="n">
        <v>29.9712303226485</v>
      </c>
      <c r="G277" s="1275" t="n">
        <v>34.9712303226485</v>
      </c>
      <c r="H277" s="1291"/>
      <c r="I277" s="1275" t="n">
        <v>25.8071428571429</v>
      </c>
      <c r="J277" s="1275" t="n">
        <v>30.8071428571429</v>
      </c>
      <c r="K277" s="1275" t="n">
        <v>35.8071428571429</v>
      </c>
      <c r="M277" s="1276" t="n">
        <v>44743</v>
      </c>
      <c r="N277" s="1277" t="n">
        <v>56.7948978073698</v>
      </c>
      <c r="O277" s="1277" t="n">
        <v>61.7948978073698</v>
      </c>
      <c r="P277" s="1277" t="n">
        <v>66.7948978073698</v>
      </c>
      <c r="Q277" s="109"/>
      <c r="R277" s="1277" t="n">
        <v>41.3461733555273</v>
      </c>
      <c r="S277" s="1277" t="n">
        <v>46.3461733555273</v>
      </c>
      <c r="T277" s="1277" t="n">
        <v>51.3461733555273</v>
      </c>
      <c r="V277" s="1278" t="n">
        <v>0</v>
      </c>
      <c r="W277" s="1278" t="n">
        <v>0</v>
      </c>
      <c r="X277" s="1278" t="n">
        <v>0</v>
      </c>
      <c r="Z277" s="1292" t="n">
        <f aca="false">Z276</f>
        <v>0.09</v>
      </c>
      <c r="AA277" s="1292" t="n">
        <f aca="false">AA276</f>
        <v>0.1</v>
      </c>
      <c r="AB277" s="1292" t="n">
        <f aca="false">AB276</f>
        <v>0.11</v>
      </c>
      <c r="AC277" s="109"/>
      <c r="AD277" s="1292" t="n">
        <f aca="false">AD276</f>
        <v>0.09</v>
      </c>
      <c r="AE277" s="1292" t="n">
        <f aca="false">AE276</f>
        <v>0.11</v>
      </c>
      <c r="AF277" s="1292" t="n">
        <f aca="false">AF276</f>
        <v>0.13</v>
      </c>
      <c r="AG277" s="109"/>
      <c r="AH277" s="1277" t="n">
        <v>-0.35</v>
      </c>
      <c r="AI277" s="1277" t="n">
        <v>0.65</v>
      </c>
      <c r="AJ277" s="1277" t="n">
        <v>0.35</v>
      </c>
      <c r="AK277" s="109"/>
      <c r="AL277" s="1277" t="n">
        <v>-0.01</v>
      </c>
      <c r="AM277" s="1277" t="n">
        <v>0.16</v>
      </c>
      <c r="AN277" s="1277" t="n">
        <v>0.01</v>
      </c>
      <c r="AO277" s="109"/>
      <c r="AP277" s="197" t="n">
        <v>90</v>
      </c>
      <c r="AQ277" s="1280" t="n">
        <v>0.35</v>
      </c>
      <c r="BQ277" s="1237" t="n">
        <v>44896</v>
      </c>
      <c r="BR277" s="1238" t="n">
        <v>4.2135</v>
      </c>
      <c r="BS277" s="1238" t="n">
        <v>4.2185</v>
      </c>
      <c r="BT277" s="1238" t="n">
        <v>-0.178</v>
      </c>
      <c r="BU277" s="1244" t="n">
        <f aca="false">BU276</f>
        <v>0.1435</v>
      </c>
      <c r="BV277" s="1244" t="n">
        <f aca="false">BV276</f>
        <v>0.15</v>
      </c>
      <c r="BW277" s="1244" t="n">
        <f aca="false">BW276</f>
        <v>0.1585</v>
      </c>
      <c r="BX277" s="1239" t="n">
        <v>-0.07</v>
      </c>
      <c r="BY277" s="1239"/>
      <c r="BZ277" s="1239" t="n">
        <v>0.07</v>
      </c>
      <c r="CA277" s="1243" t="n">
        <v>0</v>
      </c>
      <c r="CB277" s="1241" t="n">
        <v>0</v>
      </c>
      <c r="CC277" s="1242" t="n">
        <v>5.176</v>
      </c>
      <c r="CD277" s="1239" t="n">
        <v>0.1585</v>
      </c>
    </row>
    <row r="278" customFormat="false" ht="12.75" hidden="false" customHeight="false" outlineLevel="0" collapsed="false">
      <c r="A278" s="1237" t="n">
        <v>45017</v>
      </c>
      <c r="B278" s="1239" t="n">
        <v>0.072774310969043</v>
      </c>
      <c r="C278" s="1218"/>
      <c r="D278" s="1274" t="n">
        <v>43891</v>
      </c>
      <c r="E278" s="1275" t="n">
        <v>24.7212303226485</v>
      </c>
      <c r="F278" s="1275" t="n">
        <v>29.7212303226485</v>
      </c>
      <c r="G278" s="1275" t="n">
        <v>34.7212303226485</v>
      </c>
      <c r="H278" s="1291"/>
      <c r="I278" s="1275" t="n">
        <v>26.0870967741936</v>
      </c>
      <c r="J278" s="1275" t="n">
        <v>31.0870967741936</v>
      </c>
      <c r="K278" s="1275" t="n">
        <v>36.0870967741936</v>
      </c>
      <c r="M278" s="1276" t="n">
        <v>44774</v>
      </c>
      <c r="N278" s="1277" t="n">
        <v>77.4198978073698</v>
      </c>
      <c r="O278" s="1277" t="n">
        <v>82.4198978073698</v>
      </c>
      <c r="P278" s="1277" t="n">
        <v>87.4198978073698</v>
      </c>
      <c r="Q278" s="109"/>
      <c r="R278" s="1277" t="n">
        <v>56.8149233555273</v>
      </c>
      <c r="S278" s="1277" t="n">
        <v>61.8149233555273</v>
      </c>
      <c r="T278" s="1277" t="n">
        <v>66.8149233555273</v>
      </c>
      <c r="V278" s="1278" t="n">
        <v>0</v>
      </c>
      <c r="W278" s="1278" t="n">
        <v>0</v>
      </c>
      <c r="X278" s="1278" t="n">
        <v>0</v>
      </c>
      <c r="Z278" s="1292" t="n">
        <f aca="false">Z277</f>
        <v>0.09</v>
      </c>
      <c r="AA278" s="1292" t="n">
        <f aca="false">AA277</f>
        <v>0.1</v>
      </c>
      <c r="AB278" s="1292" t="n">
        <f aca="false">AB277</f>
        <v>0.11</v>
      </c>
      <c r="AC278" s="109"/>
      <c r="AD278" s="1292" t="n">
        <f aca="false">AD277</f>
        <v>0.09</v>
      </c>
      <c r="AE278" s="1292" t="n">
        <f aca="false">AE277</f>
        <v>0.11</v>
      </c>
      <c r="AF278" s="1292" t="n">
        <f aca="false">AF277</f>
        <v>0.13</v>
      </c>
      <c r="AG278" s="109"/>
      <c r="AH278" s="1277" t="n">
        <v>-0.35</v>
      </c>
      <c r="AI278" s="1277" t="n">
        <v>0.65</v>
      </c>
      <c r="AJ278" s="1277" t="n">
        <v>0.35</v>
      </c>
      <c r="AK278" s="109"/>
      <c r="AL278" s="1277" t="n">
        <v>-0.01</v>
      </c>
      <c r="AM278" s="1277" t="n">
        <v>0.16</v>
      </c>
      <c r="AN278" s="1277" t="n">
        <v>0.01</v>
      </c>
      <c r="AO278" s="109"/>
      <c r="AP278" s="197" t="n">
        <v>90</v>
      </c>
      <c r="AQ278" s="1280" t="n">
        <v>0.35</v>
      </c>
      <c r="BQ278" s="1237" t="n">
        <v>44927</v>
      </c>
      <c r="BR278" s="1238" t="n">
        <v>4.2475</v>
      </c>
      <c r="BS278" s="1238" t="n">
        <v>4.2525</v>
      </c>
      <c r="BT278" s="1238" t="n">
        <v>-0.185</v>
      </c>
      <c r="BU278" s="1244" t="n">
        <f aca="false">BU277</f>
        <v>0.1435</v>
      </c>
      <c r="BV278" s="1244" t="n">
        <f aca="false">BV277</f>
        <v>0.15</v>
      </c>
      <c r="BW278" s="1244" t="n">
        <f aca="false">BW277</f>
        <v>0.1585</v>
      </c>
      <c r="BX278" s="1239" t="n">
        <v>-0.07</v>
      </c>
      <c r="BY278" s="1239"/>
      <c r="BZ278" s="1239" t="n">
        <v>0.07</v>
      </c>
      <c r="CA278" s="1243" t="n">
        <v>0</v>
      </c>
      <c r="CB278" s="1241" t="n">
        <v>0</v>
      </c>
      <c r="CC278" s="1242" t="n">
        <v>5.161</v>
      </c>
      <c r="CD278" s="1239" t="n">
        <v>0.1585</v>
      </c>
    </row>
    <row r="279" customFormat="false" ht="12.75" hidden="false" customHeight="false" outlineLevel="0" collapsed="false">
      <c r="A279" s="1237" t="n">
        <v>45047</v>
      </c>
      <c r="B279" s="1239" t="n">
        <v>0.072770046383654</v>
      </c>
      <c r="C279" s="1218"/>
      <c r="D279" s="1274" t="n">
        <v>43922</v>
      </c>
      <c r="E279" s="1275" t="n">
        <v>24.8897413592479</v>
      </c>
      <c r="F279" s="1275" t="n">
        <v>29.8897413592479</v>
      </c>
      <c r="G279" s="1275" t="n">
        <v>34.8897413592479</v>
      </c>
      <c r="H279" s="1291"/>
      <c r="I279" s="1275" t="n">
        <v>23.8875</v>
      </c>
      <c r="J279" s="1275" t="n">
        <v>28.8875</v>
      </c>
      <c r="K279" s="1275" t="n">
        <v>33.8875</v>
      </c>
      <c r="M279" s="1276" t="n">
        <v>44805</v>
      </c>
      <c r="N279" s="1277" t="n">
        <v>61.4198978073698</v>
      </c>
      <c r="O279" s="1277" t="n">
        <v>66.4198978073698</v>
      </c>
      <c r="P279" s="1277" t="n">
        <v>71.4198978073698</v>
      </c>
      <c r="Q279" s="109"/>
      <c r="R279" s="1277" t="n">
        <v>44.8149233555273</v>
      </c>
      <c r="S279" s="1277" t="n">
        <v>49.8149233555273</v>
      </c>
      <c r="T279" s="1277" t="n">
        <v>54.8149233555273</v>
      </c>
      <c r="V279" s="1278" t="n">
        <v>0</v>
      </c>
      <c r="W279" s="1278" t="n">
        <v>0</v>
      </c>
      <c r="X279" s="1278" t="n">
        <v>0</v>
      </c>
      <c r="Z279" s="1292" t="n">
        <f aca="false">Z278</f>
        <v>0.09</v>
      </c>
      <c r="AA279" s="1292" t="n">
        <f aca="false">AA278</f>
        <v>0.1</v>
      </c>
      <c r="AB279" s="1292" t="n">
        <f aca="false">AB278</f>
        <v>0.11</v>
      </c>
      <c r="AC279" s="109"/>
      <c r="AD279" s="1292" t="n">
        <f aca="false">AD278</f>
        <v>0.09</v>
      </c>
      <c r="AE279" s="1292" t="n">
        <f aca="false">AE278</f>
        <v>0.11</v>
      </c>
      <c r="AF279" s="1292" t="n">
        <f aca="false">AF278</f>
        <v>0.13</v>
      </c>
      <c r="AG279" s="109"/>
      <c r="AH279" s="1277" t="n">
        <v>-0.35</v>
      </c>
      <c r="AI279" s="1277" t="n">
        <v>3</v>
      </c>
      <c r="AJ279" s="1277" t="n">
        <v>0.2</v>
      </c>
      <c r="AK279" s="109"/>
      <c r="AL279" s="1277" t="n">
        <v>-0.01</v>
      </c>
      <c r="AM279" s="1277" t="n">
        <v>0.16</v>
      </c>
      <c r="AN279" s="1277" t="n">
        <v>0.01</v>
      </c>
      <c r="AO279" s="109"/>
      <c r="AP279" s="197" t="n">
        <v>90</v>
      </c>
      <c r="AQ279" s="1280" t="n">
        <v>0.35</v>
      </c>
      <c r="BQ279" s="1237" t="n">
        <v>44958</v>
      </c>
      <c r="BR279" s="1238" t="n">
        <v>4.2145</v>
      </c>
      <c r="BS279" s="1238" t="n">
        <v>4.2195</v>
      </c>
      <c r="BT279" s="1238" t="n">
        <v>-0.179</v>
      </c>
      <c r="BU279" s="1244" t="n">
        <f aca="false">BU278</f>
        <v>0.1435</v>
      </c>
      <c r="BV279" s="1244" t="n">
        <f aca="false">BV278</f>
        <v>0.15</v>
      </c>
      <c r="BW279" s="1244" t="n">
        <f aca="false">BW278</f>
        <v>0.1585</v>
      </c>
      <c r="BX279" s="1239" t="n">
        <v>-0.07</v>
      </c>
      <c r="BY279" s="1239"/>
      <c r="BZ279" s="1239" t="n">
        <v>0.07</v>
      </c>
      <c r="CA279" s="1243" t="n">
        <v>0</v>
      </c>
      <c r="CB279" s="1241" t="n">
        <v>0</v>
      </c>
      <c r="CC279" s="1242" t="n">
        <v>5.183</v>
      </c>
      <c r="CD279" s="1239" t="n">
        <v>0.1585</v>
      </c>
    </row>
    <row r="280" customFormat="false" ht="12.75" hidden="false" customHeight="false" outlineLevel="0" collapsed="false">
      <c r="A280" s="1237" t="n">
        <v>45078</v>
      </c>
      <c r="B280" s="1239" t="n">
        <v>0.072765639645426</v>
      </c>
      <c r="C280" s="1218"/>
      <c r="D280" s="1274" t="n">
        <v>43952</v>
      </c>
      <c r="E280" s="1275" t="n">
        <v>24.1397413592479</v>
      </c>
      <c r="F280" s="1275" t="n">
        <v>29.1397413592479</v>
      </c>
      <c r="G280" s="1275" t="n">
        <v>34.1397413592479</v>
      </c>
      <c r="H280" s="1291"/>
      <c r="I280" s="1275" t="n">
        <v>23.9459677419355</v>
      </c>
      <c r="J280" s="1275" t="n">
        <v>28.9459677419355</v>
      </c>
      <c r="K280" s="1275" t="n">
        <v>33.9459677419355</v>
      </c>
      <c r="M280" s="1276" t="n">
        <v>44835</v>
      </c>
      <c r="N280" s="1277" t="n">
        <v>32.7284707680551</v>
      </c>
      <c r="O280" s="1277" t="n">
        <v>37.7284707680551</v>
      </c>
      <c r="P280" s="1277" t="n">
        <v>42.7284707680551</v>
      </c>
      <c r="Q280" s="109"/>
      <c r="R280" s="1277" t="n">
        <v>23.2963530760413</v>
      </c>
      <c r="S280" s="1277" t="n">
        <v>28.2963530760413</v>
      </c>
      <c r="T280" s="1277" t="n">
        <v>33.2963530760413</v>
      </c>
      <c r="V280" s="1278" t="n">
        <v>0</v>
      </c>
      <c r="W280" s="1278" t="n">
        <v>0</v>
      </c>
      <c r="X280" s="1278" t="n">
        <v>0</v>
      </c>
      <c r="Z280" s="1292" t="n">
        <f aca="false">Z279</f>
        <v>0.09</v>
      </c>
      <c r="AA280" s="1292" t="n">
        <f aca="false">AA279</f>
        <v>0.1</v>
      </c>
      <c r="AB280" s="1292" t="n">
        <f aca="false">AB279</f>
        <v>0.11</v>
      </c>
      <c r="AC280" s="109"/>
      <c r="AD280" s="1292" t="n">
        <f aca="false">AD279</f>
        <v>0.09</v>
      </c>
      <c r="AE280" s="1292" t="n">
        <f aca="false">AE279</f>
        <v>0.11</v>
      </c>
      <c r="AF280" s="1292" t="n">
        <f aca="false">AF279</f>
        <v>0.13</v>
      </c>
      <c r="AG280" s="109"/>
      <c r="AH280" s="1277" t="n">
        <v>-0.1</v>
      </c>
      <c r="AI280" s="1277" t="n">
        <v>3</v>
      </c>
      <c r="AJ280" s="1277" t="n">
        <v>0.1</v>
      </c>
      <c r="AK280" s="109"/>
      <c r="AL280" s="1277" t="n">
        <v>-0.01</v>
      </c>
      <c r="AM280" s="1277" t="n">
        <v>0.16</v>
      </c>
      <c r="AN280" s="1277" t="n">
        <v>0.01</v>
      </c>
      <c r="AO280" s="109"/>
      <c r="AP280" s="197" t="n">
        <v>91</v>
      </c>
      <c r="AQ280" s="1280" t="n">
        <v>0.35</v>
      </c>
      <c r="BQ280" s="1237" t="n">
        <v>44986</v>
      </c>
      <c r="BR280" s="1238" t="n">
        <v>4.1595</v>
      </c>
      <c r="BS280" s="1238" t="n">
        <v>4.1645</v>
      </c>
      <c r="BT280" s="1238" t="n">
        <v>-0.17</v>
      </c>
      <c r="BU280" s="1244" t="n">
        <f aca="false">BU279</f>
        <v>0.1435</v>
      </c>
      <c r="BV280" s="1244" t="n">
        <f aca="false">BV279</f>
        <v>0.15</v>
      </c>
      <c r="BW280" s="1244" t="n">
        <f aca="false">BW279</f>
        <v>0.1585</v>
      </c>
      <c r="BX280" s="1239" t="n">
        <v>-0.07</v>
      </c>
      <c r="BY280" s="1239"/>
      <c r="BZ280" s="1239" t="n">
        <v>0.07</v>
      </c>
      <c r="CA280" s="1243" t="n">
        <v>0</v>
      </c>
      <c r="CB280" s="1241" t="n">
        <v>0</v>
      </c>
      <c r="CC280" s="1242" t="n">
        <v>5.187</v>
      </c>
      <c r="CD280" s="1239" t="n">
        <v>0.1585</v>
      </c>
    </row>
    <row r="281" customFormat="false" ht="12.75" hidden="false" customHeight="false" outlineLevel="0" collapsed="false">
      <c r="A281" s="1237" t="n">
        <v>45108</v>
      </c>
      <c r="B281" s="1239" t="n">
        <v>0.07276137506005</v>
      </c>
      <c r="C281" s="1218"/>
      <c r="D281" s="1274" t="n">
        <v>43983</v>
      </c>
      <c r="E281" s="1275" t="n">
        <v>29.3897413592479</v>
      </c>
      <c r="F281" s="1275" t="n">
        <v>34.3897413592479</v>
      </c>
      <c r="G281" s="1275" t="n">
        <v>39.3897413592479</v>
      </c>
      <c r="H281" s="1291"/>
      <c r="I281" s="1275" t="n">
        <v>23.2</v>
      </c>
      <c r="J281" s="1275" t="n">
        <v>28.2</v>
      </c>
      <c r="K281" s="1275" t="n">
        <v>33.2</v>
      </c>
      <c r="M281" s="1276" t="n">
        <v>44866</v>
      </c>
      <c r="N281" s="1277" t="n">
        <v>24.9784707680551</v>
      </c>
      <c r="O281" s="1277" t="n">
        <v>29.9784707680551</v>
      </c>
      <c r="P281" s="1277" t="n">
        <v>34.9784707680551</v>
      </c>
      <c r="Q281" s="109"/>
      <c r="R281" s="1277" t="n">
        <v>17.4838530760413</v>
      </c>
      <c r="S281" s="1277" t="n">
        <v>22.4838530760413</v>
      </c>
      <c r="T281" s="1277" t="n">
        <v>27.4838530760413</v>
      </c>
      <c r="V281" s="1278" t="n">
        <v>0</v>
      </c>
      <c r="W281" s="1278" t="n">
        <v>0</v>
      </c>
      <c r="X281" s="1278" t="n">
        <v>0</v>
      </c>
      <c r="Z281" s="1292" t="n">
        <f aca="false">Z280</f>
        <v>0.09</v>
      </c>
      <c r="AA281" s="1292" t="n">
        <f aca="false">AA280</f>
        <v>0.1</v>
      </c>
      <c r="AB281" s="1292" t="n">
        <f aca="false">AB280</f>
        <v>0.11</v>
      </c>
      <c r="AC281" s="109"/>
      <c r="AD281" s="1292" t="n">
        <f aca="false">AD280</f>
        <v>0.09</v>
      </c>
      <c r="AE281" s="1292" t="n">
        <f aca="false">AE280</f>
        <v>0.11</v>
      </c>
      <c r="AF281" s="1292" t="n">
        <f aca="false">AF280</f>
        <v>0.13</v>
      </c>
      <c r="AG281" s="109"/>
      <c r="AH281" s="1277" t="n">
        <v>-0.1</v>
      </c>
      <c r="AI281" s="1277" t="n">
        <v>3</v>
      </c>
      <c r="AJ281" s="1277" t="n">
        <v>0.1</v>
      </c>
      <c r="AK281" s="109"/>
      <c r="AL281" s="1277" t="n">
        <v>-0.01</v>
      </c>
      <c r="AM281" s="1277" t="n">
        <v>0.16</v>
      </c>
      <c r="AN281" s="1277" t="n">
        <v>0.01</v>
      </c>
      <c r="AO281" s="109"/>
      <c r="AP281" s="197" t="n">
        <v>91</v>
      </c>
      <c r="AQ281" s="1280" t="n">
        <v>0.35</v>
      </c>
      <c r="BQ281" s="1237" t="n">
        <v>45017</v>
      </c>
      <c r="BR281" s="1238" t="n">
        <v>4.1195</v>
      </c>
      <c r="BS281" s="1238" t="n">
        <v>4.1245</v>
      </c>
      <c r="BT281" s="1238" t="n">
        <v>-0.166</v>
      </c>
      <c r="BU281" s="1244" t="n">
        <f aca="false">BU280</f>
        <v>0.1435</v>
      </c>
      <c r="BV281" s="1244" t="n">
        <f aca="false">BV280</f>
        <v>0.15</v>
      </c>
      <c r="BW281" s="1244" t="n">
        <f aca="false">BW280</f>
        <v>0.1585</v>
      </c>
      <c r="BX281" s="1239" t="n">
        <v>-0.07</v>
      </c>
      <c r="BY281" s="1239"/>
      <c r="BZ281" s="1239" t="n">
        <v>0.07</v>
      </c>
      <c r="CA281" s="1243" t="n">
        <v>0</v>
      </c>
      <c r="CB281" s="1241" t="n">
        <v>0</v>
      </c>
      <c r="CC281" s="1242" t="n">
        <v>5.198</v>
      </c>
      <c r="CD281" s="1239" t="n">
        <v>0.1585</v>
      </c>
    </row>
    <row r="282" customFormat="false" ht="12.75" hidden="false" customHeight="false" outlineLevel="0" collapsed="false">
      <c r="A282" s="1237" t="n">
        <v>45139</v>
      </c>
      <c r="B282" s="1239" t="n">
        <v>0.072756968321833</v>
      </c>
      <c r="C282" s="1218"/>
      <c r="D282" s="1274" t="n">
        <v>44013</v>
      </c>
      <c r="E282" s="1275" t="n">
        <v>56.4455066221485</v>
      </c>
      <c r="F282" s="1275" t="n">
        <v>61.4455066221485</v>
      </c>
      <c r="G282" s="1275" t="n">
        <v>66.4455066221485</v>
      </c>
      <c r="H282" s="1291"/>
      <c r="I282" s="1275" t="n">
        <v>29.2241935483871</v>
      </c>
      <c r="J282" s="1275" t="n">
        <v>34.2241935483871</v>
      </c>
      <c r="K282" s="1275" t="n">
        <v>39.2241935483871</v>
      </c>
      <c r="M282" s="1276" t="n">
        <v>44896</v>
      </c>
      <c r="N282" s="1277" t="n">
        <v>26.9784707680551</v>
      </c>
      <c r="O282" s="1277" t="n">
        <v>31.9784707680551</v>
      </c>
      <c r="P282" s="1277" t="n">
        <v>36.9784707680551</v>
      </c>
      <c r="Q282" s="109"/>
      <c r="R282" s="1277" t="n">
        <v>18.9838530760413</v>
      </c>
      <c r="S282" s="1277" t="n">
        <v>23.9838530760413</v>
      </c>
      <c r="T282" s="1277" t="n">
        <v>28.9838530760413</v>
      </c>
      <c r="V282" s="1278" t="n">
        <v>0</v>
      </c>
      <c r="W282" s="1278" t="n">
        <v>0</v>
      </c>
      <c r="X282" s="1278" t="n">
        <v>0</v>
      </c>
      <c r="Z282" s="1292" t="n">
        <f aca="false">Z281</f>
        <v>0.09</v>
      </c>
      <c r="AA282" s="1292" t="n">
        <f aca="false">AA281</f>
        <v>0.1</v>
      </c>
      <c r="AB282" s="1292" t="n">
        <f aca="false">AB281</f>
        <v>0.11</v>
      </c>
      <c r="AC282" s="109"/>
      <c r="AD282" s="1292" t="n">
        <f aca="false">AD281</f>
        <v>0.09</v>
      </c>
      <c r="AE282" s="1292" t="n">
        <f aca="false">AE281</f>
        <v>0.11</v>
      </c>
      <c r="AF282" s="1292" t="n">
        <f aca="false">AF281</f>
        <v>0.13</v>
      </c>
      <c r="AG282" s="109"/>
      <c r="AH282" s="1277" t="n">
        <v>-0.25</v>
      </c>
      <c r="AI282" s="1277" t="n">
        <v>0.6</v>
      </c>
      <c r="AJ282" s="1277" t="n">
        <v>0.25</v>
      </c>
      <c r="AK282" s="109"/>
      <c r="AL282" s="1277" t="n">
        <v>-0.01</v>
      </c>
      <c r="AM282" s="1277" t="n">
        <v>0.16</v>
      </c>
      <c r="AN282" s="1277" t="n">
        <v>0.01</v>
      </c>
      <c r="AO282" s="109"/>
      <c r="AP282" s="197" t="n">
        <v>91</v>
      </c>
      <c r="AQ282" s="1280" t="n">
        <v>0.35</v>
      </c>
      <c r="BQ282" s="1293" t="n">
        <v>45047</v>
      </c>
      <c r="BR282" s="1238" t="n">
        <v>4.1535</v>
      </c>
      <c r="BS282" s="1238" t="n">
        <v>4.1585</v>
      </c>
      <c r="BT282" s="1238" t="n">
        <v>-0.152</v>
      </c>
      <c r="BU282" s="1244" t="n">
        <f aca="false">BU281</f>
        <v>0.1435</v>
      </c>
      <c r="BV282" s="1244" t="n">
        <f aca="false">BV281</f>
        <v>0.15</v>
      </c>
      <c r="BW282" s="1244" t="n">
        <f aca="false">BW281</f>
        <v>0.1585</v>
      </c>
      <c r="BX282" s="1239" t="n">
        <v>-0.07</v>
      </c>
      <c r="BY282" s="1239"/>
      <c r="BZ282" s="1239" t="n">
        <v>0.07</v>
      </c>
      <c r="CA282" s="1243" t="n">
        <v>0</v>
      </c>
      <c r="CB282" s="1241" t="n">
        <v>0</v>
      </c>
      <c r="CC282" s="1242" t="n">
        <v>5.228</v>
      </c>
      <c r="CD282" s="1239" t="n">
        <v>0.1585</v>
      </c>
    </row>
    <row r="283" customFormat="false" ht="12.75" hidden="false" customHeight="false" outlineLevel="0" collapsed="false">
      <c r="A283" s="1237" t="n">
        <v>45170</v>
      </c>
      <c r="B283" s="1239" t="n">
        <v>0.072752561583624</v>
      </c>
      <c r="C283" s="1218"/>
      <c r="D283" s="1274" t="n">
        <v>44044</v>
      </c>
      <c r="E283" s="1275" t="n">
        <v>77.0705066221485</v>
      </c>
      <c r="F283" s="1275" t="n">
        <v>82.0705066221485</v>
      </c>
      <c r="G283" s="1275" t="n">
        <v>87.0705066221485</v>
      </c>
      <c r="H283" s="1291"/>
      <c r="I283" s="1275" t="n">
        <v>27.2241935483871</v>
      </c>
      <c r="J283" s="1275" t="n">
        <v>32.2241935483871</v>
      </c>
      <c r="K283" s="1275" t="n">
        <v>37.2241935483871</v>
      </c>
      <c r="M283" s="1276" t="n">
        <v>44927</v>
      </c>
      <c r="N283" s="1277" t="n">
        <v>25.6869971525273</v>
      </c>
      <c r="O283" s="1277" t="n">
        <v>30.6869971525273</v>
      </c>
      <c r="P283" s="1277" t="n">
        <v>35.6869971525273</v>
      </c>
      <c r="Q283" s="109"/>
      <c r="R283" s="1277" t="n">
        <v>18.0152478643955</v>
      </c>
      <c r="S283" s="1277" t="n">
        <v>23.0152478643955</v>
      </c>
      <c r="T283" s="1277" t="n">
        <v>28.0152478643955</v>
      </c>
      <c r="V283" s="1278" t="n">
        <v>0</v>
      </c>
      <c r="W283" s="1278" t="n">
        <v>0</v>
      </c>
      <c r="X283" s="1278" t="n">
        <v>0</v>
      </c>
      <c r="Z283" s="1292" t="n">
        <f aca="false">Z282</f>
        <v>0.09</v>
      </c>
      <c r="AA283" s="1292" t="n">
        <f aca="false">AA282</f>
        <v>0.1</v>
      </c>
      <c r="AB283" s="1292" t="n">
        <f aca="false">AB282</f>
        <v>0.11</v>
      </c>
      <c r="AC283" s="109"/>
      <c r="AD283" s="1292" t="n">
        <f aca="false">AD282</f>
        <v>0.09</v>
      </c>
      <c r="AE283" s="1292" t="n">
        <f aca="false">AE282</f>
        <v>0.11</v>
      </c>
      <c r="AF283" s="1292" t="n">
        <f aca="false">AF282</f>
        <v>0.13</v>
      </c>
      <c r="AG283" s="109"/>
      <c r="AH283" s="1277" t="n">
        <v>-0.25</v>
      </c>
      <c r="AI283" s="1277" t="n">
        <v>0.6</v>
      </c>
      <c r="AJ283" s="1277" t="n">
        <v>0.25</v>
      </c>
      <c r="AK283" s="109"/>
      <c r="AL283" s="1277" t="n">
        <v>-0.01</v>
      </c>
      <c r="AM283" s="1277" t="n">
        <v>0.16</v>
      </c>
      <c r="AN283" s="1277" t="n">
        <v>0.01</v>
      </c>
      <c r="AO283" s="109"/>
      <c r="AP283" s="197" t="n">
        <v>92</v>
      </c>
      <c r="AQ283" s="1280" t="n">
        <v>0.35</v>
      </c>
      <c r="BQ283" s="1293" t="n">
        <v>45078</v>
      </c>
      <c r="BR283" s="1238" t="n">
        <v>4.1805</v>
      </c>
      <c r="BS283" s="1238" t="n">
        <v>4.1855</v>
      </c>
      <c r="BT283" s="1238" t="n">
        <v>-0.141</v>
      </c>
      <c r="BU283" s="1244" t="n">
        <f aca="false">BU282</f>
        <v>0.1435</v>
      </c>
      <c r="BV283" s="1244" t="n">
        <f aca="false">BV282</f>
        <v>0.15</v>
      </c>
      <c r="BW283" s="1244" t="n">
        <f aca="false">BW282</f>
        <v>0.1585</v>
      </c>
      <c r="BX283" s="1239" t="n">
        <v>-0.07</v>
      </c>
      <c r="BY283" s="1239"/>
      <c r="BZ283" s="1239" t="n">
        <v>0.07</v>
      </c>
      <c r="CA283" s="1243" t="n">
        <v>0</v>
      </c>
      <c r="CB283" s="1241" t="n">
        <v>0</v>
      </c>
      <c r="CC283" s="1242" t="n">
        <v>5.346</v>
      </c>
      <c r="CD283" s="1239" t="n">
        <v>0.1585</v>
      </c>
    </row>
    <row r="284" customFormat="false" ht="12.75" hidden="false" customHeight="false" outlineLevel="0" collapsed="false">
      <c r="A284" s="1237" t="n">
        <v>45200</v>
      </c>
      <c r="B284" s="1239" t="n">
        <v>0.072748296998266</v>
      </c>
      <c r="C284" s="1218"/>
      <c r="D284" s="1274" t="n">
        <v>44075</v>
      </c>
      <c r="E284" s="1275" t="n">
        <v>61.0705066221485</v>
      </c>
      <c r="F284" s="1275" t="n">
        <v>66.0705066221485</v>
      </c>
      <c r="G284" s="1275" t="n">
        <v>71.0705066221485</v>
      </c>
      <c r="H284" s="1291"/>
      <c r="I284" s="1275" t="n">
        <v>27.6375</v>
      </c>
      <c r="J284" s="1275" t="n">
        <v>32.6375</v>
      </c>
      <c r="K284" s="1275" t="n">
        <v>37.6375</v>
      </c>
      <c r="M284" s="1276" t="n">
        <v>44958</v>
      </c>
      <c r="N284" s="1277" t="n">
        <v>25.1869971525273</v>
      </c>
      <c r="O284" s="1277" t="n">
        <v>30.1869971525273</v>
      </c>
      <c r="P284" s="1277" t="n">
        <v>35.1869971525273</v>
      </c>
      <c r="Q284" s="109"/>
      <c r="R284" s="1277" t="n">
        <v>17.6402478643955</v>
      </c>
      <c r="S284" s="1277" t="n">
        <v>22.6402478643955</v>
      </c>
      <c r="T284" s="1277" t="n">
        <v>27.6402478643955</v>
      </c>
      <c r="V284" s="1278" t="n">
        <v>0</v>
      </c>
      <c r="W284" s="1278" t="n">
        <v>0</v>
      </c>
      <c r="X284" s="1278" t="n">
        <v>0</v>
      </c>
      <c r="Z284" s="1292" t="n">
        <f aca="false">Z283</f>
        <v>0.09</v>
      </c>
      <c r="AA284" s="1292" t="n">
        <f aca="false">AA283</f>
        <v>0.1</v>
      </c>
      <c r="AB284" s="1292" t="n">
        <f aca="false">AB283</f>
        <v>0.11</v>
      </c>
      <c r="AC284" s="109"/>
      <c r="AD284" s="1292" t="n">
        <f aca="false">AD283</f>
        <v>0.09</v>
      </c>
      <c r="AE284" s="1292" t="n">
        <f aca="false">AE283</f>
        <v>0.11</v>
      </c>
      <c r="AF284" s="1292" t="n">
        <f aca="false">AF283</f>
        <v>0.13</v>
      </c>
      <c r="AG284" s="109"/>
      <c r="AH284" s="1277" t="n">
        <v>-0.25</v>
      </c>
      <c r="AI284" s="1277" t="n">
        <v>0.65</v>
      </c>
      <c r="AJ284" s="1277" t="n">
        <v>0.25</v>
      </c>
      <c r="AK284" s="109"/>
      <c r="AL284" s="1277" t="n">
        <v>-0.01</v>
      </c>
      <c r="AM284" s="1277" t="n">
        <v>0.16</v>
      </c>
      <c r="AN284" s="1277" t="n">
        <v>0.01</v>
      </c>
      <c r="AO284" s="109"/>
      <c r="AP284" s="197" t="n">
        <v>92</v>
      </c>
      <c r="AQ284" s="1280" t="n">
        <v>0.35</v>
      </c>
      <c r="BQ284" s="1293" t="n">
        <v>45108</v>
      </c>
      <c r="BR284" s="1238" t="n">
        <v>4.1885</v>
      </c>
      <c r="BS284" s="1238" t="n">
        <v>4.1935</v>
      </c>
      <c r="BT284" s="1238" t="n">
        <v>-0.177</v>
      </c>
      <c r="BU284" s="1244" t="n">
        <f aca="false">BU283</f>
        <v>0.1435</v>
      </c>
      <c r="BV284" s="1244" t="n">
        <f aca="false">BV283</f>
        <v>0.15</v>
      </c>
      <c r="BW284" s="1244" t="n">
        <f aca="false">BW283</f>
        <v>0.1585</v>
      </c>
      <c r="BX284" s="1244" t="n">
        <f aca="false">BX283</f>
        <v>-0.07</v>
      </c>
      <c r="BY284" s="1244"/>
      <c r="BZ284" s="1244" t="n">
        <f aca="false">BZ283</f>
        <v>0.07</v>
      </c>
      <c r="CA284" s="1243"/>
      <c r="CB284" s="1241" t="n">
        <v>0</v>
      </c>
      <c r="CC284" s="1242"/>
      <c r="CD284" s="1239"/>
    </row>
    <row r="285" customFormat="false" ht="12.75" hidden="false" customHeight="false" outlineLevel="0" collapsed="false">
      <c r="A285" s="1237" t="n">
        <v>45231</v>
      </c>
      <c r="B285" s="1239" t="n">
        <v>0.072743890260069</v>
      </c>
      <c r="C285" s="1218"/>
      <c r="D285" s="1274" t="n">
        <v>44105</v>
      </c>
      <c r="E285" s="1275" t="n">
        <v>32.5755628168849</v>
      </c>
      <c r="F285" s="1275" t="n">
        <v>37.5755628168849</v>
      </c>
      <c r="G285" s="1275" t="n">
        <v>42.5755628168849</v>
      </c>
      <c r="H285" s="1291"/>
      <c r="I285" s="1275" t="n">
        <v>27.1516129032258</v>
      </c>
      <c r="J285" s="1275" t="n">
        <v>32.1516129032258</v>
      </c>
      <c r="K285" s="1275" t="n">
        <v>37.1516129032258</v>
      </c>
      <c r="M285" s="1276" t="n">
        <v>44986</v>
      </c>
      <c r="N285" s="1277" t="n">
        <v>24.4369971525273</v>
      </c>
      <c r="O285" s="1277" t="n">
        <v>29.4369971525273</v>
      </c>
      <c r="P285" s="1277" t="n">
        <v>34.4369971525273</v>
      </c>
      <c r="Q285" s="109"/>
      <c r="R285" s="1277" t="n">
        <v>17.0777478643955</v>
      </c>
      <c r="S285" s="1277" t="n">
        <v>22.0777478643955</v>
      </c>
      <c r="T285" s="1277" t="n">
        <v>27.0777478643955</v>
      </c>
      <c r="V285" s="1278" t="n">
        <v>0</v>
      </c>
      <c r="W285" s="1278" t="n">
        <v>0</v>
      </c>
      <c r="X285" s="1278" t="n">
        <v>0</v>
      </c>
      <c r="Z285" s="1292" t="n">
        <f aca="false">Z284</f>
        <v>0.09</v>
      </c>
      <c r="AA285" s="1292" t="n">
        <f aca="false">AA284</f>
        <v>0.1</v>
      </c>
      <c r="AB285" s="1292" t="n">
        <f aca="false">AB284</f>
        <v>0.11</v>
      </c>
      <c r="AC285" s="109"/>
      <c r="AD285" s="1292" t="n">
        <f aca="false">AD284</f>
        <v>0.09</v>
      </c>
      <c r="AE285" s="1292" t="n">
        <f aca="false">AE284</f>
        <v>0.11</v>
      </c>
      <c r="AF285" s="1292" t="n">
        <f aca="false">AF284</f>
        <v>0.13</v>
      </c>
      <c r="AG285" s="109"/>
      <c r="AH285" s="1277" t="n">
        <v>-0.1</v>
      </c>
      <c r="AI285" s="1277" t="n">
        <v>0.65</v>
      </c>
      <c r="AJ285" s="1277" t="n">
        <v>0.1</v>
      </c>
      <c r="AK285" s="109"/>
      <c r="AL285" s="1277" t="n">
        <v>-0.01</v>
      </c>
      <c r="AM285" s="1277" t="n">
        <v>0.16</v>
      </c>
      <c r="AN285" s="1277" t="n">
        <v>0.01</v>
      </c>
      <c r="AO285" s="109"/>
      <c r="AP285" s="197" t="n">
        <v>92</v>
      </c>
      <c r="AQ285" s="1280" t="n">
        <v>0.35</v>
      </c>
      <c r="BQ285" s="1293" t="n">
        <v>45139</v>
      </c>
      <c r="BR285" s="1238" t="n">
        <v>4.1975</v>
      </c>
      <c r="BS285" s="1238" t="n">
        <v>4.2025</v>
      </c>
      <c r="BT285" s="1238" t="n">
        <v>-0.181</v>
      </c>
      <c r="BU285" s="1244" t="n">
        <f aca="false">BU284</f>
        <v>0.1435</v>
      </c>
      <c r="BV285" s="1244" t="n">
        <f aca="false">BV284</f>
        <v>0.15</v>
      </c>
      <c r="BW285" s="1244" t="n">
        <f aca="false">BW284</f>
        <v>0.1585</v>
      </c>
      <c r="BX285" s="1244" t="n">
        <f aca="false">BX284</f>
        <v>-0.07</v>
      </c>
      <c r="BY285" s="1244"/>
      <c r="BZ285" s="1244" t="n">
        <f aca="false">BZ284</f>
        <v>0.07</v>
      </c>
      <c r="CA285" s="1243"/>
      <c r="CB285" s="1241" t="n">
        <v>0</v>
      </c>
      <c r="CC285" s="1242"/>
      <c r="CD285" s="1239"/>
    </row>
    <row r="286" customFormat="false" ht="12.75" hidden="false" customHeight="false" outlineLevel="0" collapsed="false">
      <c r="A286" s="1237" t="n">
        <v>45261</v>
      </c>
      <c r="B286" s="1239" t="n">
        <v>0.072739625674723</v>
      </c>
      <c r="C286" s="1218"/>
      <c r="D286" s="1274" t="n">
        <v>44136</v>
      </c>
      <c r="E286" s="1275" t="n">
        <v>24.8255628168849</v>
      </c>
      <c r="F286" s="1275" t="n">
        <v>29.8255628168849</v>
      </c>
      <c r="G286" s="1275" t="n">
        <v>34.8255628168849</v>
      </c>
      <c r="H286" s="1291"/>
      <c r="I286" s="1275" t="n">
        <v>28.4916666666667</v>
      </c>
      <c r="J286" s="1275" t="n">
        <v>33.4916666666667</v>
      </c>
      <c r="K286" s="1275" t="n">
        <v>38.4916666666667</v>
      </c>
      <c r="M286" s="1276" t="n">
        <v>45017</v>
      </c>
      <c r="N286" s="1277" t="n">
        <v>24.3723772652931</v>
      </c>
      <c r="O286" s="1277" t="n">
        <v>29.3723772652931</v>
      </c>
      <c r="P286" s="1277" t="n">
        <v>34.3723772652931</v>
      </c>
      <c r="Q286" s="109"/>
      <c r="R286" s="1277" t="n">
        <v>17.0292829489698</v>
      </c>
      <c r="S286" s="1277" t="n">
        <v>22.0292829489698</v>
      </c>
      <c r="T286" s="1277" t="n">
        <v>27.0292829489698</v>
      </c>
      <c r="V286" s="1278" t="n">
        <v>0</v>
      </c>
      <c r="W286" s="1278" t="n">
        <v>0</v>
      </c>
      <c r="X286" s="1278" t="n">
        <v>0</v>
      </c>
      <c r="Z286" s="1292" t="n">
        <f aca="false">Z285</f>
        <v>0.09</v>
      </c>
      <c r="AA286" s="1292" t="n">
        <f aca="false">AA285</f>
        <v>0.1</v>
      </c>
      <c r="AB286" s="1292" t="n">
        <f aca="false">AB285</f>
        <v>0.11</v>
      </c>
      <c r="AC286" s="109"/>
      <c r="AD286" s="1292" t="n">
        <f aca="false">AD285</f>
        <v>0.09</v>
      </c>
      <c r="AE286" s="1292" t="n">
        <f aca="false">AE285</f>
        <v>0.11</v>
      </c>
      <c r="AF286" s="1292" t="n">
        <f aca="false">AF285</f>
        <v>0.13</v>
      </c>
      <c r="AG286" s="109"/>
      <c r="AH286" s="1277" t="n">
        <v>-0.1</v>
      </c>
      <c r="AI286" s="1277" t="n">
        <v>0.65</v>
      </c>
      <c r="AJ286" s="1277" t="n">
        <v>0.1</v>
      </c>
      <c r="AK286" s="109"/>
      <c r="AL286" s="1277" t="n">
        <v>-0.01</v>
      </c>
      <c r="AM286" s="1277" t="n">
        <v>0.16</v>
      </c>
      <c r="AN286" s="1277" t="n">
        <v>0.01</v>
      </c>
      <c r="AO286" s="109"/>
      <c r="AP286" s="197" t="n">
        <v>93</v>
      </c>
      <c r="AQ286" s="1280" t="n">
        <v>0.35</v>
      </c>
      <c r="BQ286" s="1293" t="n">
        <v>45170</v>
      </c>
      <c r="BR286" s="1238" t="n">
        <v>4.1845</v>
      </c>
      <c r="BS286" s="1238" t="n">
        <v>4.1895</v>
      </c>
      <c r="BT286" s="1238" t="n">
        <v>-0.19</v>
      </c>
      <c r="BU286" s="1244" t="n">
        <f aca="false">BU285</f>
        <v>0.1435</v>
      </c>
      <c r="BV286" s="1244" t="n">
        <f aca="false">BV285</f>
        <v>0.15</v>
      </c>
      <c r="BW286" s="1244" t="n">
        <f aca="false">BW285</f>
        <v>0.1585</v>
      </c>
      <c r="BX286" s="1244" t="n">
        <f aca="false">BX285</f>
        <v>-0.07</v>
      </c>
      <c r="BY286" s="1244"/>
      <c r="BZ286" s="1244" t="n">
        <f aca="false">BZ285</f>
        <v>0.07</v>
      </c>
      <c r="CA286" s="1243"/>
      <c r="CB286" s="1241" t="n">
        <v>0</v>
      </c>
      <c r="CC286" s="1242"/>
      <c r="CD286" s="1239"/>
    </row>
    <row r="287" customFormat="false" ht="12.75" hidden="false" customHeight="false" outlineLevel="0" collapsed="false">
      <c r="A287" s="1237" t="n">
        <v>45292</v>
      </c>
      <c r="B287" s="1239" t="n">
        <v>0.072735218936538</v>
      </c>
      <c r="C287" s="1218"/>
      <c r="D287" s="1274" t="n">
        <v>44166</v>
      </c>
      <c r="E287" s="1275" t="n">
        <v>26.8255628168849</v>
      </c>
      <c r="F287" s="1275" t="n">
        <v>31.8255628168849</v>
      </c>
      <c r="G287" s="1275" t="n">
        <v>36.8255628168849</v>
      </c>
      <c r="H287" s="1291"/>
      <c r="I287" s="1275" t="n">
        <v>27.7967741935484</v>
      </c>
      <c r="J287" s="1275" t="n">
        <v>32.7967741935484</v>
      </c>
      <c r="K287" s="1275" t="n">
        <v>37.7967741935484</v>
      </c>
      <c r="M287" s="1276" t="n">
        <v>45047</v>
      </c>
      <c r="N287" s="1277" t="n">
        <v>24.3723772652931</v>
      </c>
      <c r="O287" s="1277" t="n">
        <v>29.3723772652931</v>
      </c>
      <c r="P287" s="1277" t="n">
        <v>34.3723772652931</v>
      </c>
      <c r="Q287" s="109"/>
      <c r="R287" s="1277" t="n">
        <v>17.0292829489698</v>
      </c>
      <c r="S287" s="1277" t="n">
        <v>22.0292829489698</v>
      </c>
      <c r="T287" s="1277" t="n">
        <v>27.0292829489698</v>
      </c>
      <c r="V287" s="1278" t="n">
        <v>0</v>
      </c>
      <c r="W287" s="1278" t="n">
        <v>0</v>
      </c>
      <c r="X287" s="1278" t="n">
        <v>0</v>
      </c>
      <c r="Z287" s="1292" t="n">
        <f aca="false">Z286</f>
        <v>0.09</v>
      </c>
      <c r="AA287" s="1292" t="n">
        <f aca="false">AA286</f>
        <v>0.1</v>
      </c>
      <c r="AB287" s="1292" t="n">
        <f aca="false">AB286</f>
        <v>0.11</v>
      </c>
      <c r="AC287" s="109"/>
      <c r="AD287" s="1292" t="n">
        <f aca="false">AD286</f>
        <v>0.09</v>
      </c>
      <c r="AE287" s="1292" t="n">
        <f aca="false">AE286</f>
        <v>0.11</v>
      </c>
      <c r="AF287" s="1292" t="n">
        <f aca="false">AF286</f>
        <v>0.13</v>
      </c>
      <c r="AG287" s="109"/>
      <c r="AH287" s="1277" t="n">
        <v>-0.1</v>
      </c>
      <c r="AI287" s="1277" t="n">
        <v>0.65</v>
      </c>
      <c r="AJ287" s="1277" t="n">
        <v>0.1</v>
      </c>
      <c r="AK287" s="109"/>
      <c r="AL287" s="1277" t="n">
        <v>-0.01</v>
      </c>
      <c r="AM287" s="1277" t="n">
        <v>0.16</v>
      </c>
      <c r="AN287" s="1277" t="n">
        <v>0.01</v>
      </c>
      <c r="AO287" s="109"/>
      <c r="AP287" s="197" t="n">
        <v>93</v>
      </c>
      <c r="AQ287" s="1280" t="n">
        <v>0.35</v>
      </c>
      <c r="BQ287" s="1293" t="n">
        <v>45200</v>
      </c>
      <c r="BR287" s="1238" t="n">
        <v>4.1915</v>
      </c>
      <c r="BS287" s="1238" t="n">
        <v>4.1965</v>
      </c>
      <c r="BT287" s="1238" t="n">
        <v>-0.195</v>
      </c>
      <c r="BU287" s="1244" t="n">
        <f aca="false">BU286</f>
        <v>0.1435</v>
      </c>
      <c r="BV287" s="1244" t="n">
        <f aca="false">BV286</f>
        <v>0.15</v>
      </c>
      <c r="BW287" s="1244" t="n">
        <f aca="false">BW286</f>
        <v>0.1585</v>
      </c>
      <c r="BX287" s="1244" t="n">
        <f aca="false">BX286</f>
        <v>-0.07</v>
      </c>
      <c r="BY287" s="1244"/>
      <c r="BZ287" s="1244" t="n">
        <f aca="false">BZ286</f>
        <v>0.07</v>
      </c>
      <c r="CA287" s="1243"/>
      <c r="CB287" s="1241" t="n">
        <v>0</v>
      </c>
      <c r="CC287" s="1242"/>
      <c r="CD287" s="1239"/>
    </row>
    <row r="288" customFormat="false" ht="12.75" hidden="false" customHeight="false" outlineLevel="0" collapsed="false">
      <c r="A288" s="1237" t="n">
        <v>45323</v>
      </c>
      <c r="B288" s="1239" t="n">
        <v>0.07273081219836</v>
      </c>
      <c r="C288" s="1218"/>
      <c r="D288" s="1274" t="n">
        <v>44197</v>
      </c>
      <c r="E288" s="1275" t="n">
        <v>25.5431525992748</v>
      </c>
      <c r="F288" s="1275" t="n">
        <v>30.5431525992748</v>
      </c>
      <c r="G288" s="1275" t="n">
        <v>35.5431525992748</v>
      </c>
      <c r="H288" s="1291"/>
      <c r="I288" s="1275" t="n">
        <v>25.3381191510522</v>
      </c>
      <c r="J288" s="1275" t="n">
        <v>30.3381191510522</v>
      </c>
      <c r="K288" s="1275" t="n">
        <v>35.3381191510522</v>
      </c>
      <c r="M288" s="1276" t="n">
        <v>45078</v>
      </c>
      <c r="N288" s="1294" t="n">
        <f aca="false">N276+N276-N264</f>
        <v>29.6223772652931</v>
      </c>
      <c r="O288" s="1294" t="n">
        <f aca="false">O276+O276-O264</f>
        <v>34.6223772652931</v>
      </c>
      <c r="P288" s="1294" t="n">
        <f aca="false">P276+P276-P264</f>
        <v>39.6223772652931</v>
      </c>
      <c r="R288" s="1294" t="n">
        <f aca="false">R276+R276-R264</f>
        <v>20.9667829489698</v>
      </c>
      <c r="S288" s="1294" t="n">
        <f aca="false">S276+S276-S264</f>
        <v>25.9667829489698</v>
      </c>
      <c r="T288" s="1294" t="n">
        <f aca="false">T276+T276-T264</f>
        <v>30.9667829489698</v>
      </c>
      <c r="V288" s="1294" t="n">
        <f aca="false">V276+V276-V264</f>
        <v>0</v>
      </c>
      <c r="W288" s="1294" t="n">
        <f aca="false">W276+W276-W264</f>
        <v>0</v>
      </c>
      <c r="X288" s="1294" t="n">
        <f aca="false">X276+X276-X264</f>
        <v>0</v>
      </c>
      <c r="Z288" s="1292" t="n">
        <f aca="false">Z287</f>
        <v>0.09</v>
      </c>
      <c r="AA288" s="1292" t="n">
        <f aca="false">AA287</f>
        <v>0.1</v>
      </c>
      <c r="AB288" s="1292" t="n">
        <f aca="false">AB287</f>
        <v>0.11</v>
      </c>
      <c r="AC288" s="109"/>
      <c r="AD288" s="1292" t="n">
        <f aca="false">AD287</f>
        <v>0.09</v>
      </c>
      <c r="AE288" s="1292" t="n">
        <f aca="false">AE287</f>
        <v>0.11</v>
      </c>
      <c r="AF288" s="1292" t="n">
        <f aca="false">AF287</f>
        <v>0.13</v>
      </c>
      <c r="AG288" s="109"/>
      <c r="AH288" s="1292" t="n">
        <f aca="false">AH276</f>
        <v>-0.35</v>
      </c>
      <c r="AI288" s="1292" t="n">
        <f aca="false">AI276</f>
        <v>0.65</v>
      </c>
      <c r="AJ288" s="1292" t="n">
        <f aca="false">AJ276</f>
        <v>0.2</v>
      </c>
      <c r="AK288" s="1295"/>
      <c r="AL288" s="1292" t="n">
        <f aca="false">AL276</f>
        <v>-0.01</v>
      </c>
      <c r="AM288" s="1292" t="n">
        <f aca="false">AM276</f>
        <v>0.16</v>
      </c>
      <c r="AN288" s="1292" t="n">
        <f aca="false">AN276</f>
        <v>0.01</v>
      </c>
      <c r="AO288" s="109"/>
      <c r="AP288" s="1295" t="n">
        <f aca="false">AP287</f>
        <v>93</v>
      </c>
      <c r="AQ288" s="1296" t="n">
        <f aca="false">AQ287</f>
        <v>0.35</v>
      </c>
      <c r="BQ288" s="1293" t="n">
        <v>45231</v>
      </c>
      <c r="BR288" s="1238" t="n">
        <v>4.2245</v>
      </c>
      <c r="BS288" s="1238" t="n">
        <v>4.2295</v>
      </c>
      <c r="BT288" s="1238" t="n">
        <v>-0.203</v>
      </c>
      <c r="BU288" s="1244" t="n">
        <f aca="false">BU287</f>
        <v>0.1435</v>
      </c>
      <c r="BV288" s="1244" t="n">
        <f aca="false">BV287</f>
        <v>0.15</v>
      </c>
      <c r="BW288" s="1244" t="n">
        <f aca="false">BW287</f>
        <v>0.1585</v>
      </c>
      <c r="BX288" s="1244" t="n">
        <f aca="false">BX287</f>
        <v>-0.07</v>
      </c>
      <c r="BY288" s="1244"/>
      <c r="BZ288" s="1244" t="n">
        <f aca="false">BZ287</f>
        <v>0.07</v>
      </c>
      <c r="CA288" s="1243"/>
      <c r="CB288" s="1241" t="n">
        <v>0</v>
      </c>
      <c r="CC288" s="1242"/>
      <c r="CD288" s="1239"/>
    </row>
    <row r="289" customFormat="false" ht="12.75" hidden="false" customHeight="false" outlineLevel="0" collapsed="false">
      <c r="A289" s="1237"/>
      <c r="B289" s="1239" t="n">
        <v>0.072726689765877</v>
      </c>
      <c r="C289" s="1218"/>
      <c r="D289" s="1274" t="n">
        <v>44228</v>
      </c>
      <c r="E289" s="1275" t="n">
        <v>25.0431525992748</v>
      </c>
      <c r="F289" s="1275" t="n">
        <v>30.0431525992748</v>
      </c>
      <c r="G289" s="1275" t="n">
        <v>35.0431525992748</v>
      </c>
      <c r="H289" s="1291"/>
      <c r="I289" s="1275" t="n">
        <v>26.3071428571429</v>
      </c>
      <c r="J289" s="1275" t="n">
        <v>31.3071428571429</v>
      </c>
      <c r="K289" s="1275" t="n">
        <v>36.3071428571429</v>
      </c>
      <c r="M289" s="1276" t="n">
        <v>45108</v>
      </c>
      <c r="N289" s="1294" t="n">
        <f aca="false">N277+N277-N265</f>
        <v>56.9695933999804</v>
      </c>
      <c r="O289" s="1294" t="n">
        <f aca="false">O277+O277-O265</f>
        <v>61.9695933999804</v>
      </c>
      <c r="P289" s="1294" t="n">
        <f aca="false">P277+P277-P265</f>
        <v>66.9695933999804</v>
      </c>
      <c r="R289" s="1294" t="n">
        <f aca="false">R277+R277-R265</f>
        <v>41.4771950499853</v>
      </c>
      <c r="S289" s="1294" t="n">
        <f aca="false">S277+S277-S265</f>
        <v>46.4771950499853</v>
      </c>
      <c r="T289" s="1294" t="n">
        <f aca="false">T277+T277-T265</f>
        <v>51.4771950499853</v>
      </c>
      <c r="V289" s="1294" t="n">
        <f aca="false">V277+V277-V265</f>
        <v>0</v>
      </c>
      <c r="W289" s="1294" t="n">
        <f aca="false">W277+W277-W265</f>
        <v>0</v>
      </c>
      <c r="X289" s="1294" t="n">
        <f aca="false">X277+X277-X265</f>
        <v>0</v>
      </c>
      <c r="Z289" s="1292" t="n">
        <f aca="false">Z288</f>
        <v>0.09</v>
      </c>
      <c r="AA289" s="1292" t="n">
        <f aca="false">AA288</f>
        <v>0.1</v>
      </c>
      <c r="AB289" s="1292" t="n">
        <f aca="false">AB288</f>
        <v>0.11</v>
      </c>
      <c r="AC289" s="109"/>
      <c r="AD289" s="1292" t="n">
        <f aca="false">AD288</f>
        <v>0.09</v>
      </c>
      <c r="AE289" s="1292" t="n">
        <f aca="false">AE288</f>
        <v>0.11</v>
      </c>
      <c r="AF289" s="1292" t="n">
        <f aca="false">AF288</f>
        <v>0.13</v>
      </c>
      <c r="AG289" s="109"/>
      <c r="AH289" s="1292" t="n">
        <f aca="false">AH277</f>
        <v>-0.35</v>
      </c>
      <c r="AI289" s="1292" t="n">
        <f aca="false">AI277</f>
        <v>0.65</v>
      </c>
      <c r="AJ289" s="1292" t="n">
        <f aca="false">AJ277</f>
        <v>0.35</v>
      </c>
      <c r="AK289" s="1295"/>
      <c r="AL289" s="1292" t="n">
        <f aca="false">AL277</f>
        <v>-0.01</v>
      </c>
      <c r="AM289" s="1292" t="n">
        <f aca="false">AM277</f>
        <v>0.16</v>
      </c>
      <c r="AN289" s="1292" t="n">
        <f aca="false">AN277</f>
        <v>0.01</v>
      </c>
      <c r="AO289" s="109"/>
      <c r="AP289" s="1295" t="n">
        <f aca="false">AP288</f>
        <v>93</v>
      </c>
      <c r="AQ289" s="1296" t="n">
        <f aca="false">AQ288</f>
        <v>0.35</v>
      </c>
      <c r="BQ289" s="1293" t="n">
        <v>45261</v>
      </c>
      <c r="BR289" s="1238" t="n">
        <v>4.2875</v>
      </c>
      <c r="BS289" s="1238" t="n">
        <v>4.2925</v>
      </c>
      <c r="BT289" s="1238" t="n">
        <v>-0.198</v>
      </c>
      <c r="BU289" s="1244" t="n">
        <f aca="false">BU288</f>
        <v>0.1435</v>
      </c>
      <c r="BV289" s="1244" t="n">
        <f aca="false">BV288</f>
        <v>0.15</v>
      </c>
      <c r="BW289" s="1244" t="n">
        <f aca="false">BW288</f>
        <v>0.1585</v>
      </c>
      <c r="BX289" s="1244" t="n">
        <f aca="false">BX288</f>
        <v>-0.07</v>
      </c>
      <c r="BY289" s="1244"/>
      <c r="BZ289" s="1244" t="n">
        <f aca="false">BZ288</f>
        <v>0.07</v>
      </c>
      <c r="CA289" s="1243"/>
      <c r="CB289" s="1241" t="n">
        <v>0</v>
      </c>
      <c r="CC289" s="1242"/>
      <c r="CD289" s="1239"/>
    </row>
    <row r="290" customFormat="false" ht="12.75" hidden="false" customHeight="false" outlineLevel="0" collapsed="false">
      <c r="A290" s="1237"/>
      <c r="B290" s="1239" t="n">
        <v>0.072722283027712</v>
      </c>
      <c r="C290" s="1218"/>
      <c r="D290" s="1274" t="n">
        <v>44256</v>
      </c>
      <c r="E290" s="1275" t="n">
        <v>24.7931525992748</v>
      </c>
      <c r="F290" s="1275" t="n">
        <v>29.7931525992748</v>
      </c>
      <c r="G290" s="1275" t="n">
        <v>34.7931525992748</v>
      </c>
      <c r="H290" s="1291"/>
      <c r="I290" s="1275" t="n">
        <v>26.5870967741936</v>
      </c>
      <c r="J290" s="1275" t="n">
        <v>31.5870967741936</v>
      </c>
      <c r="K290" s="1275" t="n">
        <v>36.5870967741936</v>
      </c>
      <c r="M290" s="1276" t="n">
        <v>45139</v>
      </c>
      <c r="N290" s="1294" t="n">
        <f aca="false">N278+N278-N266</f>
        <v>77.5945933999804</v>
      </c>
      <c r="O290" s="1294" t="n">
        <f aca="false">O278+O278-O266</f>
        <v>82.5945933999804</v>
      </c>
      <c r="P290" s="1294" t="n">
        <f aca="false">P278+P278-P266</f>
        <v>87.5945933999804</v>
      </c>
      <c r="R290" s="1294" t="n">
        <f aca="false">R278+R278-R266</f>
        <v>56.9459450499853</v>
      </c>
      <c r="S290" s="1294" t="n">
        <f aca="false">S278+S278-S266</f>
        <v>61.9459450499853</v>
      </c>
      <c r="T290" s="1294" t="n">
        <f aca="false">T278+T278-T266</f>
        <v>66.9459450499853</v>
      </c>
      <c r="V290" s="1294" t="n">
        <f aca="false">V278+V278-V266</f>
        <v>0</v>
      </c>
      <c r="W290" s="1294" t="n">
        <f aca="false">W278+W278-W266</f>
        <v>0</v>
      </c>
      <c r="X290" s="1294" t="n">
        <f aca="false">X278+X278-X266</f>
        <v>0</v>
      </c>
      <c r="Z290" s="1292" t="n">
        <f aca="false">Z289</f>
        <v>0.09</v>
      </c>
      <c r="AA290" s="1292" t="n">
        <f aca="false">AA289</f>
        <v>0.1</v>
      </c>
      <c r="AB290" s="1292" t="n">
        <f aca="false">AB289</f>
        <v>0.11</v>
      </c>
      <c r="AC290" s="109"/>
      <c r="AD290" s="1292" t="n">
        <f aca="false">AD289</f>
        <v>0.09</v>
      </c>
      <c r="AE290" s="1292" t="n">
        <f aca="false">AE289</f>
        <v>0.11</v>
      </c>
      <c r="AF290" s="1292" t="n">
        <f aca="false">AF289</f>
        <v>0.13</v>
      </c>
      <c r="AG290" s="109"/>
      <c r="AH290" s="1292" t="n">
        <f aca="false">AH278</f>
        <v>-0.35</v>
      </c>
      <c r="AI290" s="1292" t="n">
        <f aca="false">AI278</f>
        <v>0.65</v>
      </c>
      <c r="AJ290" s="1292" t="n">
        <f aca="false">AJ278</f>
        <v>0.35</v>
      </c>
      <c r="AK290" s="1295"/>
      <c r="AL290" s="1292" t="n">
        <f aca="false">AL278</f>
        <v>-0.01</v>
      </c>
      <c r="AM290" s="1292" t="n">
        <f aca="false">AM278</f>
        <v>0.16</v>
      </c>
      <c r="AN290" s="1292" t="n">
        <f aca="false">AN278</f>
        <v>0.01</v>
      </c>
      <c r="AO290" s="109"/>
      <c r="AP290" s="1295" t="n">
        <f aca="false">AP289</f>
        <v>93</v>
      </c>
      <c r="AQ290" s="1296" t="n">
        <f aca="false">AQ289</f>
        <v>0.35</v>
      </c>
      <c r="BQ290" s="1293" t="n">
        <v>45292</v>
      </c>
      <c r="BR290" s="1238" t="n">
        <v>4.3195</v>
      </c>
      <c r="BS290" s="1238" t="n">
        <v>4.3245</v>
      </c>
      <c r="BT290" s="1238" t="n">
        <v>-0.205</v>
      </c>
      <c r="BU290" s="1244" t="n">
        <f aca="false">BU289</f>
        <v>0.1435</v>
      </c>
      <c r="BV290" s="1244" t="n">
        <f aca="false">BV289</f>
        <v>0.15</v>
      </c>
      <c r="BW290" s="1244" t="n">
        <f aca="false">BW289</f>
        <v>0.1585</v>
      </c>
      <c r="BX290" s="1244" t="n">
        <f aca="false">BX289</f>
        <v>-0.07</v>
      </c>
      <c r="BY290" s="1244"/>
      <c r="BZ290" s="1244" t="n">
        <f aca="false">BZ289</f>
        <v>0.07</v>
      </c>
      <c r="CA290" s="1243"/>
      <c r="CB290" s="1241" t="n">
        <v>0</v>
      </c>
      <c r="CC290" s="1242"/>
      <c r="CD290" s="1239"/>
    </row>
    <row r="291" customFormat="false" ht="12.75" hidden="false" customHeight="false" outlineLevel="0" collapsed="false">
      <c r="A291" s="1237"/>
      <c r="B291" s="1239" t="n">
        <v>0.072718018442396</v>
      </c>
      <c r="C291" s="1218"/>
      <c r="D291" s="1274" t="n">
        <v>44287</v>
      </c>
      <c r="E291" s="1275" t="n">
        <v>24.967286661263</v>
      </c>
      <c r="F291" s="1275" t="n">
        <v>29.967286661263</v>
      </c>
      <c r="G291" s="1275" t="n">
        <v>34.967286661263</v>
      </c>
      <c r="H291" s="1291"/>
      <c r="I291" s="1275" t="n">
        <v>24.3875</v>
      </c>
      <c r="J291" s="1275" t="n">
        <v>29.3875</v>
      </c>
      <c r="K291" s="1275" t="n">
        <v>34.3875</v>
      </c>
      <c r="M291" s="1276" t="n">
        <v>45170</v>
      </c>
      <c r="N291" s="1294" t="n">
        <f aca="false">N279+N279-N267</f>
        <v>61.5945933999804</v>
      </c>
      <c r="O291" s="1294" t="n">
        <f aca="false">O279+O279-O267</f>
        <v>66.5945933999804</v>
      </c>
      <c r="P291" s="1294" t="n">
        <f aca="false">P279+P279-P267</f>
        <v>71.5945933999804</v>
      </c>
      <c r="R291" s="1294" t="n">
        <f aca="false">R279+R279-R267</f>
        <v>44.9459450499853</v>
      </c>
      <c r="S291" s="1294" t="n">
        <f aca="false">S279+S279-S267</f>
        <v>49.9459450499853</v>
      </c>
      <c r="T291" s="1294" t="n">
        <f aca="false">T279+T279-T267</f>
        <v>54.9459450499853</v>
      </c>
      <c r="V291" s="1294" t="n">
        <f aca="false">V279+V279-V267</f>
        <v>0</v>
      </c>
      <c r="W291" s="1294" t="n">
        <f aca="false">W279+W279-W267</f>
        <v>0</v>
      </c>
      <c r="X291" s="1294" t="n">
        <f aca="false">X279+X279-X267</f>
        <v>0</v>
      </c>
      <c r="Z291" s="1292" t="n">
        <f aca="false">Z290</f>
        <v>0.09</v>
      </c>
      <c r="AA291" s="1292" t="n">
        <f aca="false">AA290</f>
        <v>0.1</v>
      </c>
      <c r="AB291" s="1292" t="n">
        <f aca="false">AB290</f>
        <v>0.11</v>
      </c>
      <c r="AC291" s="109"/>
      <c r="AD291" s="1292" t="n">
        <f aca="false">AD290</f>
        <v>0.09</v>
      </c>
      <c r="AE291" s="1292" t="n">
        <f aca="false">AE290</f>
        <v>0.11</v>
      </c>
      <c r="AF291" s="1292" t="n">
        <f aca="false">AF290</f>
        <v>0.13</v>
      </c>
      <c r="AG291" s="109"/>
      <c r="AH291" s="1292" t="n">
        <f aca="false">AH279</f>
        <v>-0.35</v>
      </c>
      <c r="AI291" s="1292" t="n">
        <f aca="false">AI279</f>
        <v>3</v>
      </c>
      <c r="AJ291" s="1292" t="n">
        <f aca="false">AJ279</f>
        <v>0.2</v>
      </c>
      <c r="AK291" s="1295"/>
      <c r="AL291" s="1292" t="n">
        <f aca="false">AL279</f>
        <v>-0.01</v>
      </c>
      <c r="AM291" s="1292" t="n">
        <f aca="false">AM279</f>
        <v>0.16</v>
      </c>
      <c r="AN291" s="1292" t="n">
        <f aca="false">AN279</f>
        <v>0.01</v>
      </c>
      <c r="AO291" s="109"/>
      <c r="AP291" s="1295" t="n">
        <f aca="false">AP290</f>
        <v>93</v>
      </c>
      <c r="AQ291" s="1296" t="n">
        <f aca="false">AQ290</f>
        <v>0.35</v>
      </c>
      <c r="BQ291" s="1293" t="n">
        <v>45323</v>
      </c>
      <c r="BR291" s="1238" t="n">
        <v>4.2905</v>
      </c>
      <c r="BS291" s="1238" t="n">
        <v>4.2955</v>
      </c>
      <c r="BT291" s="1238" t="n">
        <v>-0.199</v>
      </c>
      <c r="BU291" s="1244" t="n">
        <f aca="false">BU290</f>
        <v>0.1435</v>
      </c>
      <c r="BV291" s="1244" t="n">
        <f aca="false">BV290</f>
        <v>0.15</v>
      </c>
      <c r="BW291" s="1244" t="n">
        <f aca="false">BW290</f>
        <v>0.1585</v>
      </c>
      <c r="BX291" s="1244" t="n">
        <f aca="false">BX290</f>
        <v>-0.07</v>
      </c>
      <c r="BY291" s="1244"/>
      <c r="BZ291" s="1244" t="n">
        <f aca="false">BZ290</f>
        <v>0.07</v>
      </c>
      <c r="CA291" s="1243"/>
      <c r="CB291" s="1241" t="n">
        <v>0</v>
      </c>
      <c r="CC291" s="1242"/>
      <c r="CD291" s="1239"/>
    </row>
    <row r="292" customFormat="false" ht="12.75" hidden="false" customHeight="false" outlineLevel="0" collapsed="false">
      <c r="A292" s="1237"/>
      <c r="B292" s="1239" t="n">
        <v>0.072713611704243</v>
      </c>
      <c r="C292" s="1218"/>
      <c r="D292" s="1274" t="n">
        <v>44317</v>
      </c>
      <c r="E292" s="1275" t="n">
        <v>24.217286661263</v>
      </c>
      <c r="F292" s="1275" t="n">
        <v>29.217286661263</v>
      </c>
      <c r="G292" s="1275" t="n">
        <v>34.217286661263</v>
      </c>
      <c r="H292" s="1291"/>
      <c r="I292" s="1275" t="n">
        <v>24.4459677419355</v>
      </c>
      <c r="J292" s="1275" t="n">
        <v>29.4459677419355</v>
      </c>
      <c r="K292" s="1275" t="n">
        <v>34.4459677419355</v>
      </c>
      <c r="M292" s="1276" t="n">
        <v>45200</v>
      </c>
      <c r="N292" s="1294" t="n">
        <f aca="false">N280+N280-N268</f>
        <v>32.8049247436402</v>
      </c>
      <c r="O292" s="1294" t="n">
        <f aca="false">O280+O280-O268</f>
        <v>37.8049247436402</v>
      </c>
      <c r="P292" s="1294" t="n">
        <f aca="false">P280+P280-P268</f>
        <v>42.8049247436402</v>
      </c>
      <c r="R292" s="1294" t="n">
        <f aca="false">R280+R280-R268</f>
        <v>23.3536935577301</v>
      </c>
      <c r="S292" s="1294" t="n">
        <f aca="false">S280+S280-S268</f>
        <v>28.3536935577301</v>
      </c>
      <c r="T292" s="1294" t="n">
        <f aca="false">T280+T280-T268</f>
        <v>33.3536935577301</v>
      </c>
      <c r="V292" s="1294" t="n">
        <f aca="false">V280+V280-V268</f>
        <v>0</v>
      </c>
      <c r="W292" s="1294" t="n">
        <f aca="false">W280+W280-W268</f>
        <v>0</v>
      </c>
      <c r="X292" s="1294" t="n">
        <f aca="false">X280+X280-X268</f>
        <v>0</v>
      </c>
      <c r="Z292" s="1292" t="n">
        <f aca="false">Z291</f>
        <v>0.09</v>
      </c>
      <c r="AA292" s="1292" t="n">
        <f aca="false">AA291</f>
        <v>0.1</v>
      </c>
      <c r="AB292" s="1292" t="n">
        <f aca="false">AB291</f>
        <v>0.11</v>
      </c>
      <c r="AC292" s="109"/>
      <c r="AD292" s="1292" t="n">
        <f aca="false">AD291</f>
        <v>0.09</v>
      </c>
      <c r="AE292" s="1292" t="n">
        <f aca="false">AE291</f>
        <v>0.11</v>
      </c>
      <c r="AF292" s="1292" t="n">
        <f aca="false">AF291</f>
        <v>0.13</v>
      </c>
      <c r="AG292" s="109"/>
      <c r="AH292" s="1292" t="n">
        <f aca="false">AH280</f>
        <v>-0.1</v>
      </c>
      <c r="AI292" s="1292" t="n">
        <f aca="false">AI280</f>
        <v>3</v>
      </c>
      <c r="AJ292" s="1292" t="n">
        <f aca="false">AJ280</f>
        <v>0.1</v>
      </c>
      <c r="AK292" s="1295"/>
      <c r="AL292" s="1292" t="n">
        <f aca="false">AL280</f>
        <v>-0.01</v>
      </c>
      <c r="AM292" s="1292" t="n">
        <f aca="false">AM280</f>
        <v>0.16</v>
      </c>
      <c r="AN292" s="1292" t="n">
        <f aca="false">AN280</f>
        <v>0.01</v>
      </c>
      <c r="AO292" s="109"/>
      <c r="AP292" s="1295" t="n">
        <f aca="false">AP291</f>
        <v>93</v>
      </c>
      <c r="AQ292" s="1296" t="n">
        <f aca="false">AQ291</f>
        <v>0.35</v>
      </c>
      <c r="BQ292" s="1293" t="n">
        <v>45352</v>
      </c>
      <c r="BR292" s="1238" t="n">
        <v>4.2385</v>
      </c>
      <c r="BS292" s="1238" t="n">
        <v>4.2435</v>
      </c>
      <c r="BT292" s="1238" t="n">
        <v>-0.19</v>
      </c>
      <c r="BU292" s="1244" t="n">
        <f aca="false">BU291</f>
        <v>0.1435</v>
      </c>
      <c r="BV292" s="1244" t="n">
        <f aca="false">BV291</f>
        <v>0.15</v>
      </c>
      <c r="BW292" s="1244" t="n">
        <f aca="false">BW291</f>
        <v>0.1585</v>
      </c>
      <c r="BX292" s="1244" t="n">
        <f aca="false">BX291</f>
        <v>-0.07</v>
      </c>
      <c r="BY292" s="1244"/>
      <c r="BZ292" s="1244" t="n">
        <f aca="false">BZ291</f>
        <v>0.07</v>
      </c>
      <c r="CA292" s="1243"/>
      <c r="CB292" s="1241" t="n">
        <v>0</v>
      </c>
      <c r="CC292" s="1242"/>
      <c r="CD292" s="1239"/>
    </row>
    <row r="293" customFormat="false" ht="12.75" hidden="false" customHeight="false" outlineLevel="0" collapsed="false">
      <c r="A293" s="1237"/>
      <c r="B293" s="1239" t="n">
        <v>0.07270934711894</v>
      </c>
      <c r="C293" s="1218"/>
      <c r="D293" s="1274" t="n">
        <v>44348</v>
      </c>
      <c r="E293" s="1275" t="n">
        <v>29.467286661263</v>
      </c>
      <c r="F293" s="1275" t="n">
        <v>34.467286661263</v>
      </c>
      <c r="G293" s="1275" t="n">
        <v>39.467286661263</v>
      </c>
      <c r="H293" s="1291"/>
      <c r="I293" s="1275" t="n">
        <v>23.7</v>
      </c>
      <c r="J293" s="1275" t="n">
        <v>28.7</v>
      </c>
      <c r="K293" s="1275" t="n">
        <v>33.7</v>
      </c>
      <c r="M293" s="1276" t="n">
        <v>45231</v>
      </c>
      <c r="N293" s="1294" t="n">
        <f aca="false">N281+N281-N269</f>
        <v>25.0549247436402</v>
      </c>
      <c r="O293" s="1294" t="n">
        <f aca="false">O281+O281-O269</f>
        <v>30.0549247436402</v>
      </c>
      <c r="P293" s="1294" t="n">
        <f aca="false">P281+P281-P269</f>
        <v>35.0549247436402</v>
      </c>
      <c r="R293" s="1294" t="n">
        <f aca="false">R281+R281-R269</f>
        <v>17.5411935577301</v>
      </c>
      <c r="S293" s="1294" t="n">
        <f aca="false">S281+S281-S269</f>
        <v>22.5411935577301</v>
      </c>
      <c r="T293" s="1294" t="n">
        <f aca="false">T281+T281-T269</f>
        <v>27.5411935577301</v>
      </c>
      <c r="V293" s="1294" t="n">
        <f aca="false">V281+V281-V269</f>
        <v>0</v>
      </c>
      <c r="W293" s="1294" t="n">
        <f aca="false">W281+W281-W269</f>
        <v>0</v>
      </c>
      <c r="X293" s="1294" t="n">
        <f aca="false">X281+X281-X269</f>
        <v>0</v>
      </c>
      <c r="Z293" s="1292" t="n">
        <f aca="false">Z292</f>
        <v>0.09</v>
      </c>
      <c r="AA293" s="1292" t="n">
        <f aca="false">AA292</f>
        <v>0.1</v>
      </c>
      <c r="AB293" s="1292" t="n">
        <f aca="false">AB292</f>
        <v>0.11</v>
      </c>
      <c r="AC293" s="109"/>
      <c r="AD293" s="1292" t="n">
        <f aca="false">AD292</f>
        <v>0.09</v>
      </c>
      <c r="AE293" s="1292" t="n">
        <f aca="false">AE292</f>
        <v>0.11</v>
      </c>
      <c r="AF293" s="1292" t="n">
        <f aca="false">AF292</f>
        <v>0.13</v>
      </c>
      <c r="AG293" s="109"/>
      <c r="AH293" s="1292" t="n">
        <f aca="false">AH281</f>
        <v>-0.1</v>
      </c>
      <c r="AI293" s="1292" t="n">
        <f aca="false">AI281</f>
        <v>3</v>
      </c>
      <c r="AJ293" s="1292" t="n">
        <f aca="false">AJ281</f>
        <v>0.1</v>
      </c>
      <c r="AK293" s="1295"/>
      <c r="AL293" s="1292" t="n">
        <f aca="false">AL281</f>
        <v>-0.01</v>
      </c>
      <c r="AM293" s="1292" t="n">
        <f aca="false">AM281</f>
        <v>0.16</v>
      </c>
      <c r="AN293" s="1292" t="n">
        <f aca="false">AN281</f>
        <v>0.01</v>
      </c>
      <c r="AO293" s="109"/>
      <c r="AP293" s="1295" t="n">
        <f aca="false">AP292</f>
        <v>93</v>
      </c>
      <c r="AQ293" s="1296" t="n">
        <f aca="false">AQ292</f>
        <v>0.35</v>
      </c>
      <c r="BQ293" s="1293" t="n">
        <v>45383</v>
      </c>
      <c r="BR293" s="1238" t="n">
        <v>4.2015</v>
      </c>
      <c r="BS293" s="1238" t="n">
        <v>4.2065</v>
      </c>
      <c r="BT293" s="1238" t="n">
        <v>-0.186</v>
      </c>
      <c r="BU293" s="1244" t="n">
        <f aca="false">BU292</f>
        <v>0.1435</v>
      </c>
      <c r="BV293" s="1244" t="n">
        <f aca="false">BV292</f>
        <v>0.15</v>
      </c>
      <c r="BW293" s="1244" t="n">
        <f aca="false">BW292</f>
        <v>0.1585</v>
      </c>
      <c r="BX293" s="1244" t="n">
        <f aca="false">BX292</f>
        <v>-0.07</v>
      </c>
      <c r="BY293" s="1244"/>
      <c r="BZ293" s="1244" t="n">
        <f aca="false">BZ292</f>
        <v>0.07</v>
      </c>
      <c r="CA293" s="1243"/>
      <c r="CB293" s="1241" t="n">
        <v>0</v>
      </c>
      <c r="CC293" s="1242"/>
      <c r="CD293" s="1239"/>
    </row>
    <row r="294" customFormat="false" ht="12.75" hidden="false" customHeight="false" outlineLevel="0" collapsed="false">
      <c r="A294" s="1237"/>
      <c r="B294" s="1239" t="n">
        <v>0.072704940380799</v>
      </c>
      <c r="C294" s="1218"/>
      <c r="D294" s="1274" t="n">
        <v>44378</v>
      </c>
      <c r="E294" s="1275" t="n">
        <v>56.6202022147591</v>
      </c>
      <c r="F294" s="1275" t="n">
        <v>61.6202022147591</v>
      </c>
      <c r="G294" s="1275" t="n">
        <v>66.6202022147591</v>
      </c>
      <c r="H294" s="1291"/>
      <c r="I294" s="1275" t="n">
        <v>29.7241935483871</v>
      </c>
      <c r="J294" s="1275" t="n">
        <v>34.7241935483871</v>
      </c>
      <c r="K294" s="1275" t="n">
        <v>39.7241935483871</v>
      </c>
      <c r="M294" s="1276" t="n">
        <v>45261</v>
      </c>
      <c r="N294" s="1294" t="n">
        <f aca="false">N282+N282-N270</f>
        <v>27.0549247436402</v>
      </c>
      <c r="O294" s="1294" t="n">
        <f aca="false">O282+O282-O270</f>
        <v>32.0549247436402</v>
      </c>
      <c r="P294" s="1294" t="n">
        <f aca="false">P282+P282-P270</f>
        <v>37.0549247436402</v>
      </c>
      <c r="R294" s="1294" t="n">
        <f aca="false">R282+R282-R270</f>
        <v>19.0411935577301</v>
      </c>
      <c r="S294" s="1294" t="n">
        <f aca="false">S282+S282-S270</f>
        <v>24.0411935577301</v>
      </c>
      <c r="T294" s="1294" t="n">
        <f aca="false">T282+T282-T270</f>
        <v>29.0411935577301</v>
      </c>
      <c r="V294" s="1294" t="n">
        <f aca="false">V282+V282-V270</f>
        <v>0</v>
      </c>
      <c r="W294" s="1294" t="n">
        <f aca="false">W282+W282-W270</f>
        <v>0</v>
      </c>
      <c r="X294" s="1294" t="n">
        <f aca="false">X282+X282-X270</f>
        <v>0</v>
      </c>
      <c r="Z294" s="1292" t="n">
        <f aca="false">Z293</f>
        <v>0.09</v>
      </c>
      <c r="AA294" s="1292" t="n">
        <f aca="false">AA293</f>
        <v>0.1</v>
      </c>
      <c r="AB294" s="1292" t="n">
        <f aca="false">AB293</f>
        <v>0.11</v>
      </c>
      <c r="AC294" s="109"/>
      <c r="AD294" s="1292" t="n">
        <f aca="false">AD293</f>
        <v>0.09</v>
      </c>
      <c r="AE294" s="1292" t="n">
        <f aca="false">AE293</f>
        <v>0.11</v>
      </c>
      <c r="AF294" s="1292" t="n">
        <f aca="false">AF293</f>
        <v>0.13</v>
      </c>
      <c r="AG294" s="109"/>
      <c r="AH294" s="1292" t="n">
        <f aca="false">AH282</f>
        <v>-0.25</v>
      </c>
      <c r="AI294" s="1292" t="n">
        <f aca="false">AI282</f>
        <v>0.6</v>
      </c>
      <c r="AJ294" s="1292" t="n">
        <f aca="false">AJ282</f>
        <v>0.25</v>
      </c>
      <c r="AK294" s="1295"/>
      <c r="AL294" s="1292" t="n">
        <f aca="false">AL282</f>
        <v>-0.01</v>
      </c>
      <c r="AM294" s="1292" t="n">
        <f aca="false">AM282</f>
        <v>0.16</v>
      </c>
      <c r="AN294" s="1292" t="n">
        <f aca="false">AN282</f>
        <v>0.01</v>
      </c>
      <c r="AO294" s="109"/>
      <c r="AP294" s="1295" t="n">
        <f aca="false">AP293</f>
        <v>93</v>
      </c>
      <c r="AQ294" s="1296" t="n">
        <f aca="false">AQ293</f>
        <v>0.35</v>
      </c>
      <c r="BQ294" s="1293" t="n">
        <v>45413</v>
      </c>
      <c r="BR294" s="1238" t="n">
        <v>4.2365</v>
      </c>
      <c r="BS294" s="1238" t="n">
        <v>4.2415</v>
      </c>
      <c r="BT294" s="1238" t="n">
        <v>-0.172</v>
      </c>
      <c r="BU294" s="1244" t="n">
        <f aca="false">BU293</f>
        <v>0.1435</v>
      </c>
      <c r="BV294" s="1244" t="n">
        <f aca="false">BV293</f>
        <v>0.15</v>
      </c>
      <c r="BW294" s="1244" t="n">
        <f aca="false">BW293</f>
        <v>0.1585</v>
      </c>
      <c r="BX294" s="1244" t="n">
        <f aca="false">BX293</f>
        <v>-0.07</v>
      </c>
      <c r="BY294" s="1244"/>
      <c r="BZ294" s="1244" t="n">
        <f aca="false">BZ293</f>
        <v>0.07</v>
      </c>
      <c r="CA294" s="1243"/>
      <c r="CB294" s="1241" t="n">
        <v>0</v>
      </c>
      <c r="CC294" s="1242"/>
      <c r="CD294" s="1239"/>
    </row>
    <row r="295" customFormat="false" ht="12.75" hidden="false" customHeight="false" outlineLevel="0" collapsed="false">
      <c r="A295" s="1237"/>
      <c r="B295" s="1239" t="n">
        <v>0.072700533642665</v>
      </c>
      <c r="C295" s="1218"/>
      <c r="D295" s="1274" t="n">
        <v>44409</v>
      </c>
      <c r="E295" s="1275" t="n">
        <v>77.2452022147591</v>
      </c>
      <c r="F295" s="1275" t="n">
        <v>82.2452022147591</v>
      </c>
      <c r="G295" s="1275" t="n">
        <v>87.2452022147591</v>
      </c>
      <c r="H295" s="1291"/>
      <c r="I295" s="1275" t="n">
        <v>27.7241935483871</v>
      </c>
      <c r="J295" s="1275" t="n">
        <v>32.7241935483871</v>
      </c>
      <c r="K295" s="1275" t="n">
        <v>37.7241935483871</v>
      </c>
      <c r="M295" s="1276" t="n">
        <v>45292</v>
      </c>
      <c r="N295" s="1294" t="n">
        <f aca="false">N283+N283-N271</f>
        <v>25.7589194291536</v>
      </c>
      <c r="O295" s="1294" t="n">
        <f aca="false">O283+O283-O271</f>
        <v>30.7589194291536</v>
      </c>
      <c r="P295" s="1294" t="n">
        <f aca="false">P283+P283-P271</f>
        <v>35.7589194291536</v>
      </c>
      <c r="R295" s="1294" t="n">
        <f aca="false">R283+R283-R271</f>
        <v>18.0691895718652</v>
      </c>
      <c r="S295" s="1294" t="n">
        <f aca="false">S283+S283-S271</f>
        <v>23.0691895718652</v>
      </c>
      <c r="T295" s="1294" t="n">
        <f aca="false">T283+T283-T271</f>
        <v>28.0691895718652</v>
      </c>
      <c r="V295" s="1294" t="n">
        <f aca="false">V283+V283-V271</f>
        <v>0</v>
      </c>
      <c r="W295" s="1294" t="n">
        <f aca="false">W283+W283-W271</f>
        <v>0</v>
      </c>
      <c r="X295" s="1294" t="n">
        <f aca="false">X283+X283-X271</f>
        <v>0</v>
      </c>
      <c r="Z295" s="1292" t="n">
        <f aca="false">Z294</f>
        <v>0.09</v>
      </c>
      <c r="AA295" s="1292" t="n">
        <f aca="false">AA294</f>
        <v>0.1</v>
      </c>
      <c r="AB295" s="1292" t="n">
        <f aca="false">AB294</f>
        <v>0.11</v>
      </c>
      <c r="AC295" s="109"/>
      <c r="AD295" s="1292" t="n">
        <f aca="false">AD294</f>
        <v>0.09</v>
      </c>
      <c r="AE295" s="1292" t="n">
        <f aca="false">AE294</f>
        <v>0.11</v>
      </c>
      <c r="AF295" s="1292" t="n">
        <f aca="false">AF294</f>
        <v>0.13</v>
      </c>
      <c r="AG295" s="109"/>
      <c r="AH295" s="1292" t="n">
        <f aca="false">AH283</f>
        <v>-0.25</v>
      </c>
      <c r="AI295" s="1292" t="n">
        <f aca="false">AI283</f>
        <v>0.6</v>
      </c>
      <c r="AJ295" s="1292" t="n">
        <f aca="false">AJ283</f>
        <v>0.25</v>
      </c>
      <c r="AK295" s="1295"/>
      <c r="AL295" s="1292" t="n">
        <f aca="false">AL283</f>
        <v>-0.01</v>
      </c>
      <c r="AM295" s="1292" t="n">
        <f aca="false">AM283</f>
        <v>0.16</v>
      </c>
      <c r="AN295" s="1292" t="n">
        <f aca="false">AN283</f>
        <v>0.01</v>
      </c>
      <c r="AO295" s="109"/>
      <c r="AP295" s="1295" t="n">
        <f aca="false">AP294</f>
        <v>93</v>
      </c>
      <c r="AQ295" s="1296" t="n">
        <f aca="false">AQ294</f>
        <v>0.35</v>
      </c>
      <c r="BQ295" s="1293" t="n">
        <v>45444</v>
      </c>
      <c r="BR295" s="1238" t="n">
        <f aca="false">BR283+BR283-BR271</f>
        <v>4.2645</v>
      </c>
      <c r="BS295" s="1238"/>
      <c r="BT295" s="1238"/>
      <c r="BU295" s="1244" t="n">
        <f aca="false">BU294</f>
        <v>0.1435</v>
      </c>
      <c r="BV295" s="1244" t="n">
        <f aca="false">BV294</f>
        <v>0.15</v>
      </c>
      <c r="BW295" s="1244" t="n">
        <f aca="false">BW294</f>
        <v>0.1585</v>
      </c>
      <c r="BX295" s="1244" t="n">
        <f aca="false">BX294</f>
        <v>-0.07</v>
      </c>
      <c r="BY295" s="1244"/>
      <c r="BZ295" s="1244" t="n">
        <f aca="false">BZ294</f>
        <v>0.07</v>
      </c>
      <c r="CA295" s="1243"/>
      <c r="CB295" s="1238"/>
      <c r="CC295" s="1242"/>
      <c r="CD295" s="1239"/>
    </row>
    <row r="296" customFormat="false" ht="12.75" hidden="false" customHeight="false" outlineLevel="0" collapsed="false">
      <c r="A296" s="1237"/>
      <c r="B296" s="1239" t="n">
        <v>0.07269626905738</v>
      </c>
      <c r="C296" s="1218"/>
      <c r="D296" s="1274" t="n">
        <v>44440</v>
      </c>
      <c r="E296" s="1275" t="n">
        <v>61.2452022147591</v>
      </c>
      <c r="F296" s="1275" t="n">
        <v>66.2452022147591</v>
      </c>
      <c r="G296" s="1275" t="n">
        <v>71.2452022147591</v>
      </c>
      <c r="H296" s="1291"/>
      <c r="I296" s="1275" t="n">
        <v>28.1375</v>
      </c>
      <c r="J296" s="1275" t="n">
        <v>33.1375</v>
      </c>
      <c r="K296" s="1275" t="n">
        <v>38.1375</v>
      </c>
      <c r="M296" s="1276" t="n">
        <v>45323</v>
      </c>
      <c r="N296" s="1294" t="n">
        <f aca="false">N284+N284-N272</f>
        <v>25.2589194291536</v>
      </c>
      <c r="O296" s="1294" t="n">
        <f aca="false">O284+O284-O272</f>
        <v>30.2589194291536</v>
      </c>
      <c r="P296" s="1294" t="n">
        <f aca="false">P284+P284-P272</f>
        <v>35.2589194291536</v>
      </c>
      <c r="R296" s="1294" t="n">
        <f aca="false">R284+R284-R272</f>
        <v>17.6941895718652</v>
      </c>
      <c r="S296" s="1294" t="n">
        <f aca="false">S284+S284-S272</f>
        <v>22.6941895718652</v>
      </c>
      <c r="T296" s="1294" t="n">
        <f aca="false">T284+T284-T272</f>
        <v>27.6941895718652</v>
      </c>
      <c r="V296" s="1294" t="n">
        <f aca="false">V284+V284-V272</f>
        <v>0</v>
      </c>
      <c r="W296" s="1294" t="n">
        <f aca="false">W284+W284-W272</f>
        <v>0</v>
      </c>
      <c r="X296" s="1294" t="n">
        <f aca="false">X284+X284-X272</f>
        <v>0</v>
      </c>
      <c r="Z296" s="1292" t="n">
        <f aca="false">Z295</f>
        <v>0.09</v>
      </c>
      <c r="AA296" s="1292" t="n">
        <f aca="false">AA295</f>
        <v>0.1</v>
      </c>
      <c r="AB296" s="1292" t="n">
        <f aca="false">AB295</f>
        <v>0.11</v>
      </c>
      <c r="AC296" s="109"/>
      <c r="AD296" s="1292" t="n">
        <f aca="false">AD295</f>
        <v>0.09</v>
      </c>
      <c r="AE296" s="1292" t="n">
        <f aca="false">AE295</f>
        <v>0.11</v>
      </c>
      <c r="AF296" s="1292" t="n">
        <f aca="false">AF295</f>
        <v>0.13</v>
      </c>
      <c r="AG296" s="109"/>
      <c r="AH296" s="1292" t="n">
        <f aca="false">AH284</f>
        <v>-0.25</v>
      </c>
      <c r="AI296" s="1292" t="n">
        <f aca="false">AI284</f>
        <v>0.65</v>
      </c>
      <c r="AJ296" s="1292" t="n">
        <f aca="false">AJ284</f>
        <v>0.25</v>
      </c>
      <c r="AK296" s="1295"/>
      <c r="AL296" s="1292" t="n">
        <f aca="false">AL284</f>
        <v>-0.01</v>
      </c>
      <c r="AM296" s="1292" t="n">
        <f aca="false">AM284</f>
        <v>0.16</v>
      </c>
      <c r="AN296" s="1292" t="n">
        <f aca="false">AN284</f>
        <v>0.01</v>
      </c>
      <c r="AO296" s="109"/>
      <c r="AP296" s="1295" t="n">
        <f aca="false">AP295</f>
        <v>93</v>
      </c>
      <c r="AQ296" s="1296" t="n">
        <f aca="false">AQ295</f>
        <v>0.35</v>
      </c>
      <c r="BQ296" s="1293" t="n">
        <v>45474</v>
      </c>
      <c r="BR296" s="1238"/>
      <c r="BS296" s="1238"/>
      <c r="BT296" s="1238"/>
      <c r="BU296" s="1244" t="n">
        <f aca="false">BU295</f>
        <v>0.1435</v>
      </c>
      <c r="BV296" s="1244" t="n">
        <f aca="false">BV295</f>
        <v>0.15</v>
      </c>
      <c r="BW296" s="1244" t="n">
        <f aca="false">BW295</f>
        <v>0.1585</v>
      </c>
      <c r="BX296" s="1244" t="n">
        <f aca="false">BX295</f>
        <v>-0.07</v>
      </c>
      <c r="BY296" s="1244"/>
      <c r="BZ296" s="1244" t="n">
        <f aca="false">BZ295</f>
        <v>0.07</v>
      </c>
      <c r="CA296" s="1243"/>
      <c r="CB296" s="1238"/>
      <c r="CC296" s="1242"/>
      <c r="CD296" s="1239"/>
    </row>
    <row r="297" customFormat="false" ht="12.75" hidden="false" customHeight="false" outlineLevel="0" collapsed="false">
      <c r="A297" s="1237"/>
      <c r="B297" s="1239" t="n">
        <v>0.072691862319259</v>
      </c>
      <c r="C297" s="1218"/>
      <c r="D297" s="1274" t="n">
        <v>44470</v>
      </c>
      <c r="E297" s="1275" t="n">
        <v>32.65201679247</v>
      </c>
      <c r="F297" s="1275" t="n">
        <v>37.65201679247</v>
      </c>
      <c r="G297" s="1275" t="n">
        <v>42.65201679247</v>
      </c>
      <c r="H297" s="1291"/>
      <c r="I297" s="1275" t="n">
        <v>27.6516129032258</v>
      </c>
      <c r="J297" s="1275" t="n">
        <v>32.6516129032258</v>
      </c>
      <c r="K297" s="1275" t="n">
        <v>37.6516129032258</v>
      </c>
      <c r="M297" s="1276" t="n">
        <v>45352</v>
      </c>
      <c r="N297" s="1294" t="n">
        <f aca="false">N285+N285-N273</f>
        <v>24.5089194291536</v>
      </c>
      <c r="O297" s="1294" t="n">
        <f aca="false">O285+O285-O273</f>
        <v>29.5089194291536</v>
      </c>
      <c r="P297" s="1294" t="n">
        <f aca="false">P285+P285-P273</f>
        <v>34.5089194291536</v>
      </c>
      <c r="R297" s="1294" t="n">
        <f aca="false">R285+R285-R273</f>
        <v>17.1316895718652</v>
      </c>
      <c r="S297" s="1294" t="n">
        <f aca="false">S285+S285-S273</f>
        <v>22.1316895718652</v>
      </c>
      <c r="T297" s="1294" t="n">
        <f aca="false">T285+T285-T273</f>
        <v>27.1316895718652</v>
      </c>
      <c r="V297" s="1294" t="n">
        <f aca="false">V285+V285-V273</f>
        <v>0</v>
      </c>
      <c r="W297" s="1294" t="n">
        <f aca="false">W285+W285-W273</f>
        <v>0</v>
      </c>
      <c r="X297" s="1294" t="n">
        <f aca="false">X285+X285-X273</f>
        <v>0</v>
      </c>
      <c r="Z297" s="1292" t="n">
        <f aca="false">Z296</f>
        <v>0.09</v>
      </c>
      <c r="AA297" s="1292" t="n">
        <f aca="false">AA296</f>
        <v>0.1</v>
      </c>
      <c r="AB297" s="1292" t="n">
        <f aca="false">AB296</f>
        <v>0.11</v>
      </c>
      <c r="AC297" s="109"/>
      <c r="AD297" s="1292" t="n">
        <f aca="false">AD296</f>
        <v>0.09</v>
      </c>
      <c r="AE297" s="1292" t="n">
        <f aca="false">AE296</f>
        <v>0.11</v>
      </c>
      <c r="AF297" s="1292" t="n">
        <f aca="false">AF296</f>
        <v>0.13</v>
      </c>
      <c r="AG297" s="109"/>
      <c r="AH297" s="1292" t="n">
        <f aca="false">AH285</f>
        <v>-0.1</v>
      </c>
      <c r="AI297" s="1292" t="n">
        <f aca="false">AI285</f>
        <v>0.65</v>
      </c>
      <c r="AJ297" s="1292" t="n">
        <f aca="false">AJ285</f>
        <v>0.1</v>
      </c>
      <c r="AK297" s="1295"/>
      <c r="AL297" s="1292" t="n">
        <f aca="false">AL285</f>
        <v>-0.01</v>
      </c>
      <c r="AM297" s="1292" t="n">
        <f aca="false">AM285</f>
        <v>0.16</v>
      </c>
      <c r="AN297" s="1292" t="n">
        <f aca="false">AN285</f>
        <v>0.01</v>
      </c>
      <c r="AO297" s="109"/>
      <c r="AP297" s="1295" t="n">
        <f aca="false">AP296</f>
        <v>93</v>
      </c>
      <c r="AQ297" s="1296" t="n">
        <f aca="false">AQ296</f>
        <v>0.35</v>
      </c>
      <c r="BQ297" s="1293" t="n">
        <v>45505</v>
      </c>
      <c r="BR297" s="1238"/>
      <c r="BS297" s="1238"/>
      <c r="BT297" s="1238"/>
      <c r="BU297" s="1244" t="n">
        <f aca="false">BU296</f>
        <v>0.1435</v>
      </c>
      <c r="BV297" s="1244" t="n">
        <f aca="false">BV296</f>
        <v>0.15</v>
      </c>
      <c r="BW297" s="1244" t="n">
        <f aca="false">BW296</f>
        <v>0.1585</v>
      </c>
      <c r="BX297" s="1244" t="n">
        <f aca="false">BX296</f>
        <v>-0.07</v>
      </c>
      <c r="BY297" s="1244"/>
      <c r="BZ297" s="1244" t="n">
        <f aca="false">BZ296</f>
        <v>0.07</v>
      </c>
      <c r="CA297" s="1243"/>
      <c r="CB297" s="1238"/>
      <c r="CC297" s="1242"/>
      <c r="CD297" s="1239"/>
    </row>
    <row r="298" customFormat="false" ht="12.75" hidden="false" customHeight="false" outlineLevel="0" collapsed="false">
      <c r="A298" s="1237"/>
      <c r="B298" s="1239" t="n">
        <v>0.072687597733987</v>
      </c>
      <c r="C298" s="1218"/>
      <c r="D298" s="1274" t="n">
        <v>44501</v>
      </c>
      <c r="E298" s="1275" t="n">
        <v>24.90201679247</v>
      </c>
      <c r="F298" s="1275" t="n">
        <v>29.90201679247</v>
      </c>
      <c r="G298" s="1275" t="n">
        <v>34.90201679247</v>
      </c>
      <c r="H298" s="1291"/>
      <c r="I298" s="1275" t="n">
        <v>28.9916666666667</v>
      </c>
      <c r="J298" s="1275" t="n">
        <v>33.9916666666667</v>
      </c>
      <c r="K298" s="1275" t="n">
        <v>38.9916666666667</v>
      </c>
      <c r="M298" s="1276" t="n">
        <v>45383</v>
      </c>
      <c r="N298" s="1294" t="n">
        <f aca="false">N286+N286-N274</f>
        <v>24.4499225673081</v>
      </c>
      <c r="O298" s="1294" t="n">
        <f aca="false">O286+O286-O274</f>
        <v>29.4499225673081</v>
      </c>
      <c r="P298" s="1294" t="n">
        <f aca="false">P286+P286-P274</f>
        <v>34.4499225673081</v>
      </c>
      <c r="R298" s="1294" t="n">
        <f aca="false">R286+R286-R274</f>
        <v>17.0874419254811</v>
      </c>
      <c r="S298" s="1294" t="n">
        <f aca="false">S286+S286-S274</f>
        <v>22.0874419254811</v>
      </c>
      <c r="T298" s="1294" t="n">
        <f aca="false">T286+T286-T274</f>
        <v>27.0874419254811</v>
      </c>
      <c r="V298" s="1294" t="n">
        <f aca="false">V286+V286-V274</f>
        <v>0</v>
      </c>
      <c r="W298" s="1294" t="n">
        <f aca="false">W286+W286-W274</f>
        <v>0</v>
      </c>
      <c r="X298" s="1294" t="n">
        <f aca="false">X286+X286-X274</f>
        <v>0</v>
      </c>
      <c r="Z298" s="1292" t="n">
        <f aca="false">Z297</f>
        <v>0.09</v>
      </c>
      <c r="AA298" s="1292" t="n">
        <f aca="false">AA297</f>
        <v>0.1</v>
      </c>
      <c r="AB298" s="1292" t="n">
        <f aca="false">AB297</f>
        <v>0.11</v>
      </c>
      <c r="AC298" s="109"/>
      <c r="AD298" s="1292" t="n">
        <f aca="false">AD297</f>
        <v>0.09</v>
      </c>
      <c r="AE298" s="1292" t="n">
        <f aca="false">AE297</f>
        <v>0.11</v>
      </c>
      <c r="AF298" s="1292" t="n">
        <f aca="false">AF297</f>
        <v>0.13</v>
      </c>
      <c r="AG298" s="109"/>
      <c r="AH298" s="1292" t="n">
        <f aca="false">AH286</f>
        <v>-0.1</v>
      </c>
      <c r="AI298" s="1292" t="n">
        <f aca="false">AI286</f>
        <v>0.65</v>
      </c>
      <c r="AJ298" s="1292" t="n">
        <f aca="false">AJ286</f>
        <v>0.1</v>
      </c>
      <c r="AK298" s="1295"/>
      <c r="AL298" s="1292" t="n">
        <f aca="false">AL286</f>
        <v>-0.01</v>
      </c>
      <c r="AM298" s="1292" t="n">
        <f aca="false">AM286</f>
        <v>0.16</v>
      </c>
      <c r="AN298" s="1292" t="n">
        <f aca="false">AN286</f>
        <v>0.01</v>
      </c>
      <c r="AO298" s="109"/>
      <c r="AP298" s="1295" t="n">
        <f aca="false">AP297</f>
        <v>93</v>
      </c>
      <c r="AQ298" s="1296" t="n">
        <f aca="false">AQ297</f>
        <v>0.35</v>
      </c>
      <c r="BQ298" s="1293" t="n">
        <v>45536</v>
      </c>
      <c r="BR298" s="1238"/>
      <c r="BS298" s="1238"/>
      <c r="BT298" s="1238"/>
      <c r="BU298" s="1244" t="n">
        <f aca="false">BU297</f>
        <v>0.1435</v>
      </c>
      <c r="BV298" s="1244" t="n">
        <f aca="false">BV297</f>
        <v>0.15</v>
      </c>
      <c r="BW298" s="1244" t="n">
        <f aca="false">BW297</f>
        <v>0.1585</v>
      </c>
      <c r="BX298" s="1244" t="n">
        <f aca="false">BX297</f>
        <v>-0.07</v>
      </c>
      <c r="BY298" s="1244"/>
      <c r="BZ298" s="1244" t="n">
        <f aca="false">BZ297</f>
        <v>0.07</v>
      </c>
      <c r="CA298" s="1243"/>
      <c r="CB298" s="1238"/>
      <c r="CC298" s="1242"/>
      <c r="CD298" s="1239"/>
    </row>
    <row r="299" customFormat="false" ht="12.75" hidden="false" customHeight="false" outlineLevel="0" collapsed="false">
      <c r="A299" s="1237"/>
      <c r="B299" s="1239" t="n">
        <v>0.072683190995878</v>
      </c>
      <c r="C299" s="1218"/>
      <c r="D299" s="1274" t="n">
        <v>44531</v>
      </c>
      <c r="E299" s="1275" t="n">
        <v>26.90201679247</v>
      </c>
      <c r="F299" s="1275" t="n">
        <v>31.90201679247</v>
      </c>
      <c r="G299" s="1275" t="n">
        <v>36.90201679247</v>
      </c>
      <c r="H299" s="1291"/>
      <c r="I299" s="1275" t="n">
        <v>28.2967741935484</v>
      </c>
      <c r="J299" s="1275" t="n">
        <v>33.2967741935484</v>
      </c>
      <c r="K299" s="1275" t="n">
        <v>38.2967741935484</v>
      </c>
      <c r="M299" s="1276" t="n">
        <v>45413</v>
      </c>
      <c r="N299" s="1294" t="n">
        <f aca="false">N287+N287-N275</f>
        <v>24.4499225673081</v>
      </c>
      <c r="O299" s="1294" t="n">
        <f aca="false">O287+O287-O275</f>
        <v>29.4499225673081</v>
      </c>
      <c r="P299" s="1294" t="n">
        <f aca="false">P287+P287-P275</f>
        <v>34.4499225673081</v>
      </c>
      <c r="R299" s="1294" t="n">
        <f aca="false">R287+R287-R275</f>
        <v>17.0874419254811</v>
      </c>
      <c r="S299" s="1294" t="n">
        <f aca="false">S287+S287-S275</f>
        <v>22.0874419254811</v>
      </c>
      <c r="T299" s="1294" t="n">
        <f aca="false">T287+T287-T275</f>
        <v>27.0874419254811</v>
      </c>
      <c r="V299" s="1294" t="n">
        <f aca="false">V287+V287-V275</f>
        <v>0</v>
      </c>
      <c r="W299" s="1294" t="n">
        <f aca="false">W287+W287-W275</f>
        <v>0</v>
      </c>
      <c r="X299" s="1294" t="n">
        <f aca="false">X287+X287-X275</f>
        <v>0</v>
      </c>
      <c r="Z299" s="1292" t="n">
        <f aca="false">Z298</f>
        <v>0.09</v>
      </c>
      <c r="AA299" s="1292" t="n">
        <f aca="false">AA298</f>
        <v>0.1</v>
      </c>
      <c r="AB299" s="1292" t="n">
        <f aca="false">AB298</f>
        <v>0.11</v>
      </c>
      <c r="AC299" s="109"/>
      <c r="AD299" s="1292" t="n">
        <f aca="false">AD298</f>
        <v>0.09</v>
      </c>
      <c r="AE299" s="1292" t="n">
        <f aca="false">AE298</f>
        <v>0.11</v>
      </c>
      <c r="AF299" s="1292" t="n">
        <f aca="false">AF298</f>
        <v>0.13</v>
      </c>
      <c r="AG299" s="109"/>
      <c r="AH299" s="1292" t="n">
        <f aca="false">AH287</f>
        <v>-0.1</v>
      </c>
      <c r="AI299" s="1292" t="n">
        <f aca="false">AI287</f>
        <v>0.65</v>
      </c>
      <c r="AJ299" s="1292" t="n">
        <f aca="false">AJ287</f>
        <v>0.1</v>
      </c>
      <c r="AK299" s="1295"/>
      <c r="AL299" s="1292" t="n">
        <f aca="false">AL287</f>
        <v>-0.01</v>
      </c>
      <c r="AM299" s="1292" t="n">
        <f aca="false">AM287</f>
        <v>0.16</v>
      </c>
      <c r="AN299" s="1292" t="n">
        <f aca="false">AN287</f>
        <v>0.01</v>
      </c>
      <c r="AO299" s="109"/>
      <c r="AP299" s="1295" t="n">
        <f aca="false">AP298</f>
        <v>93</v>
      </c>
      <c r="AQ299" s="1296" t="n">
        <f aca="false">AQ298</f>
        <v>0.35</v>
      </c>
      <c r="BQ299" s="1293" t="n">
        <v>45566</v>
      </c>
      <c r="BR299" s="1238"/>
      <c r="BS299" s="1238"/>
      <c r="BT299" s="1238"/>
      <c r="BU299" s="1244" t="n">
        <f aca="false">BU298</f>
        <v>0.1435</v>
      </c>
      <c r="BV299" s="1244" t="n">
        <f aca="false">BV298</f>
        <v>0.15</v>
      </c>
      <c r="BW299" s="1244" t="n">
        <f aca="false">BW298</f>
        <v>0.1585</v>
      </c>
      <c r="BX299" s="1244" t="n">
        <f aca="false">BX298</f>
        <v>-0.07</v>
      </c>
      <c r="BY299" s="1244"/>
      <c r="BZ299" s="1244" t="n">
        <f aca="false">BZ298</f>
        <v>0.07</v>
      </c>
      <c r="CA299" s="1243"/>
      <c r="CB299" s="1238"/>
      <c r="CC299" s="1242"/>
      <c r="CD299" s="1239"/>
    </row>
    <row r="300" customFormat="false" ht="12.75" hidden="false" customHeight="false" outlineLevel="0" collapsed="false">
      <c r="A300" s="1237"/>
      <c r="B300" s="1239" t="n">
        <v>0.072678784257776</v>
      </c>
      <c r="C300" s="1218"/>
      <c r="D300" s="1274" t="n">
        <v>44562</v>
      </c>
      <c r="E300" s="1275" t="n">
        <v>25.6150748759011</v>
      </c>
      <c r="F300" s="1275" t="n">
        <v>30.6150748759011</v>
      </c>
      <c r="G300" s="1275" t="n">
        <v>35.6150748759011</v>
      </c>
      <c r="H300" s="1291"/>
      <c r="I300" s="1275" t="n">
        <v>25.8381191510522</v>
      </c>
      <c r="J300" s="1275" t="n">
        <v>30.8381191510522</v>
      </c>
      <c r="K300" s="1275" t="n">
        <v>35.8381191510522</v>
      </c>
      <c r="M300" s="1276" t="n">
        <v>45444</v>
      </c>
      <c r="N300" s="1294" t="n">
        <f aca="false">N288+N288-N276</f>
        <v>29.6999225673081</v>
      </c>
      <c r="O300" s="1294" t="n">
        <f aca="false">O288+O288-O276</f>
        <v>34.6999225673081</v>
      </c>
      <c r="P300" s="1294" t="n">
        <f aca="false">P288+P288-P276</f>
        <v>39.6999225673081</v>
      </c>
      <c r="R300" s="1294" t="n">
        <f aca="false">R288+R288-R276</f>
        <v>21.0249419254811</v>
      </c>
      <c r="S300" s="1294" t="n">
        <f aca="false">S288+S288-S276</f>
        <v>26.0249419254811</v>
      </c>
      <c r="T300" s="1294" t="n">
        <f aca="false">T288+T288-T276</f>
        <v>31.0249419254811</v>
      </c>
      <c r="V300" s="1294" t="n">
        <f aca="false">V288+V288-V276</f>
        <v>0</v>
      </c>
      <c r="W300" s="1294" t="n">
        <f aca="false">W288+W288-W276</f>
        <v>0</v>
      </c>
      <c r="X300" s="1294" t="n">
        <f aca="false">X288+X288-X276</f>
        <v>0</v>
      </c>
      <c r="Z300" s="1292" t="n">
        <f aca="false">Z299</f>
        <v>0.09</v>
      </c>
      <c r="AA300" s="1292" t="n">
        <f aca="false">AA299</f>
        <v>0.1</v>
      </c>
      <c r="AB300" s="1292" t="n">
        <f aca="false">AB299</f>
        <v>0.11</v>
      </c>
      <c r="AC300" s="109"/>
      <c r="AD300" s="1292" t="n">
        <f aca="false">AD299</f>
        <v>0.09</v>
      </c>
      <c r="AE300" s="1292" t="n">
        <f aca="false">AE299</f>
        <v>0.11</v>
      </c>
      <c r="AF300" s="1292" t="n">
        <f aca="false">AF299</f>
        <v>0.13</v>
      </c>
      <c r="AG300" s="109"/>
      <c r="AH300" s="1292" t="n">
        <f aca="false">AH288</f>
        <v>-0.35</v>
      </c>
      <c r="AI300" s="1292" t="n">
        <f aca="false">AI288</f>
        <v>0.65</v>
      </c>
      <c r="AJ300" s="1292" t="n">
        <f aca="false">AJ288</f>
        <v>0.2</v>
      </c>
      <c r="AK300" s="1295"/>
      <c r="AL300" s="1292" t="n">
        <f aca="false">AL288</f>
        <v>-0.01</v>
      </c>
      <c r="AM300" s="1292" t="n">
        <f aca="false">AM288</f>
        <v>0.16</v>
      </c>
      <c r="AN300" s="1292" t="n">
        <f aca="false">AN288</f>
        <v>0.01</v>
      </c>
      <c r="AO300" s="109"/>
      <c r="AP300" s="1295" t="n">
        <f aca="false">AP299</f>
        <v>93</v>
      </c>
      <c r="AQ300" s="1296" t="n">
        <f aca="false">AQ299</f>
        <v>0.35</v>
      </c>
      <c r="BQ300" s="1293" t="n">
        <v>45597</v>
      </c>
      <c r="BR300" s="1238"/>
      <c r="BS300" s="1238"/>
      <c r="BT300" s="1238"/>
      <c r="BU300" s="1244" t="n">
        <f aca="false">BU299</f>
        <v>0.1435</v>
      </c>
      <c r="BV300" s="1244" t="n">
        <f aca="false">BV299</f>
        <v>0.15</v>
      </c>
      <c r="BW300" s="1244" t="n">
        <f aca="false">BW299</f>
        <v>0.1585</v>
      </c>
      <c r="BX300" s="1244" t="n">
        <f aca="false">BX299</f>
        <v>-0.07</v>
      </c>
      <c r="BY300" s="1244"/>
      <c r="BZ300" s="1244" t="n">
        <f aca="false">BZ299</f>
        <v>0.07</v>
      </c>
      <c r="CA300" s="1243"/>
      <c r="CB300" s="1238"/>
      <c r="CC300" s="1242"/>
      <c r="CD300" s="1239"/>
    </row>
    <row r="301" customFormat="false" ht="12.75" hidden="false" customHeight="false" outlineLevel="0" collapsed="false">
      <c r="A301" s="1237"/>
      <c r="B301" s="1239" t="n">
        <v>0.072674803978205</v>
      </c>
      <c r="C301" s="1218"/>
      <c r="D301" s="1274" t="n">
        <v>44593</v>
      </c>
      <c r="E301" s="1275" t="n">
        <v>25.1150748759011</v>
      </c>
      <c r="F301" s="1275" t="n">
        <v>30.1150748759011</v>
      </c>
      <c r="G301" s="1275" t="n">
        <v>35.1150748759011</v>
      </c>
      <c r="H301" s="1291"/>
      <c r="I301" s="1275" t="n">
        <v>26.8071428571429</v>
      </c>
      <c r="J301" s="1275" t="n">
        <v>31.8071428571429</v>
      </c>
      <c r="K301" s="1275" t="n">
        <v>36.8071428571429</v>
      </c>
      <c r="M301" s="1276" t="n">
        <v>45474</v>
      </c>
      <c r="N301" s="1294" t="n">
        <f aca="false">N289+N289-N277</f>
        <v>57.1442889925911</v>
      </c>
      <c r="O301" s="1294" t="n">
        <f aca="false">O289+O289-O277</f>
        <v>62.1442889925911</v>
      </c>
      <c r="P301" s="1294" t="n">
        <f aca="false">P289+P289-P277</f>
        <v>67.1442889925911</v>
      </c>
      <c r="R301" s="1294" t="n">
        <f aca="false">R289+R289-R277</f>
        <v>41.6082167444433</v>
      </c>
      <c r="S301" s="1294" t="n">
        <f aca="false">S289+S289-S277</f>
        <v>46.6082167444433</v>
      </c>
      <c r="T301" s="1294" t="n">
        <f aca="false">T289+T289-T277</f>
        <v>51.6082167444433</v>
      </c>
      <c r="V301" s="1294" t="n">
        <f aca="false">V289+V289-V277</f>
        <v>0</v>
      </c>
      <c r="W301" s="1294" t="n">
        <f aca="false">W289+W289-W277</f>
        <v>0</v>
      </c>
      <c r="X301" s="1294" t="n">
        <f aca="false">X289+X289-X277</f>
        <v>0</v>
      </c>
      <c r="Z301" s="1292" t="n">
        <f aca="false">Z300</f>
        <v>0.09</v>
      </c>
      <c r="AA301" s="1292" t="n">
        <f aca="false">AA300</f>
        <v>0.1</v>
      </c>
      <c r="AB301" s="1292" t="n">
        <f aca="false">AB300</f>
        <v>0.11</v>
      </c>
      <c r="AC301" s="109"/>
      <c r="AD301" s="1292" t="n">
        <f aca="false">AD300</f>
        <v>0.09</v>
      </c>
      <c r="AE301" s="1292" t="n">
        <f aca="false">AE300</f>
        <v>0.11</v>
      </c>
      <c r="AF301" s="1292" t="n">
        <f aca="false">AF300</f>
        <v>0.13</v>
      </c>
      <c r="AG301" s="109"/>
      <c r="AH301" s="1292" t="n">
        <f aca="false">AH289</f>
        <v>-0.35</v>
      </c>
      <c r="AI301" s="1292" t="n">
        <f aca="false">AI289</f>
        <v>0.65</v>
      </c>
      <c r="AJ301" s="1292" t="n">
        <f aca="false">AJ289</f>
        <v>0.35</v>
      </c>
      <c r="AK301" s="1295"/>
      <c r="AL301" s="1292" t="n">
        <f aca="false">AL289</f>
        <v>-0.01</v>
      </c>
      <c r="AM301" s="1292" t="n">
        <f aca="false">AM289</f>
        <v>0.16</v>
      </c>
      <c r="AN301" s="1292" t="n">
        <f aca="false">AN289</f>
        <v>0.01</v>
      </c>
      <c r="AO301" s="109"/>
      <c r="AP301" s="1295" t="n">
        <f aca="false">AP300</f>
        <v>93</v>
      </c>
      <c r="AQ301" s="1296" t="n">
        <f aca="false">AQ300</f>
        <v>0.35</v>
      </c>
      <c r="BQ301" s="1293" t="n">
        <v>45627</v>
      </c>
      <c r="BR301" s="1238"/>
      <c r="BS301" s="1238"/>
      <c r="BT301" s="1238"/>
      <c r="BU301" s="1244" t="n">
        <f aca="false">BU300</f>
        <v>0.1435</v>
      </c>
      <c r="BV301" s="1244" t="n">
        <f aca="false">BV300</f>
        <v>0.15</v>
      </c>
      <c r="BW301" s="1244" t="n">
        <f aca="false">BW300</f>
        <v>0.1585</v>
      </c>
      <c r="BX301" s="1244" t="n">
        <f aca="false">BX300</f>
        <v>-0.07</v>
      </c>
      <c r="BY301" s="1244"/>
      <c r="BZ301" s="1244" t="n">
        <f aca="false">BZ300</f>
        <v>0.07</v>
      </c>
      <c r="CA301" s="1243"/>
      <c r="CB301" s="1238"/>
      <c r="CC301" s="1242"/>
      <c r="CD301" s="1239"/>
    </row>
    <row r="302" customFormat="false" ht="12.75" hidden="false" customHeight="false" outlineLevel="0" collapsed="false">
      <c r="A302" s="1237"/>
      <c r="B302" s="1239" t="n">
        <v>0.072670397240115</v>
      </c>
      <c r="C302" s="1218"/>
      <c r="D302" s="1274" t="n">
        <v>44621</v>
      </c>
      <c r="E302" s="1275" t="n">
        <v>24.8650748759011</v>
      </c>
      <c r="F302" s="1275" t="n">
        <v>29.8650748759011</v>
      </c>
      <c r="G302" s="1275" t="n">
        <v>34.8650748759011</v>
      </c>
      <c r="H302" s="1291"/>
      <c r="I302" s="1275" t="n">
        <v>27.0870967741936</v>
      </c>
      <c r="J302" s="1275" t="n">
        <v>32.0870967741936</v>
      </c>
      <c r="K302" s="1275" t="n">
        <v>37.0870967741936</v>
      </c>
      <c r="M302" s="1276" t="n">
        <v>45505</v>
      </c>
      <c r="N302" s="1294" t="n">
        <f aca="false">N290+N290-N278</f>
        <v>77.7692889925911</v>
      </c>
      <c r="O302" s="1294" t="n">
        <f aca="false">O290+O290-O278</f>
        <v>82.7692889925911</v>
      </c>
      <c r="P302" s="1294" t="n">
        <f aca="false">P290+P290-P278</f>
        <v>87.7692889925911</v>
      </c>
      <c r="R302" s="1294" t="n">
        <f aca="false">R290+R290-R278</f>
        <v>57.0769667444433</v>
      </c>
      <c r="S302" s="1294" t="n">
        <f aca="false">S290+S290-S278</f>
        <v>62.0769667444433</v>
      </c>
      <c r="T302" s="1294" t="n">
        <f aca="false">T290+T290-T278</f>
        <v>67.0769667444433</v>
      </c>
      <c r="V302" s="1294" t="n">
        <f aca="false">V290+V290-V278</f>
        <v>0</v>
      </c>
      <c r="W302" s="1294" t="n">
        <f aca="false">W290+W290-W278</f>
        <v>0</v>
      </c>
      <c r="X302" s="1294" t="n">
        <f aca="false">X290+X290-X278</f>
        <v>0</v>
      </c>
      <c r="Z302" s="1292" t="n">
        <f aca="false">Z301</f>
        <v>0.09</v>
      </c>
      <c r="AA302" s="1292" t="n">
        <f aca="false">AA301</f>
        <v>0.1</v>
      </c>
      <c r="AB302" s="1292" t="n">
        <f aca="false">AB301</f>
        <v>0.11</v>
      </c>
      <c r="AC302" s="109"/>
      <c r="AD302" s="1292" t="n">
        <f aca="false">AD301</f>
        <v>0.09</v>
      </c>
      <c r="AE302" s="1292" t="n">
        <f aca="false">AE301</f>
        <v>0.11</v>
      </c>
      <c r="AF302" s="1292" t="n">
        <f aca="false">AF301</f>
        <v>0.13</v>
      </c>
      <c r="AG302" s="109"/>
      <c r="AH302" s="1292" t="n">
        <f aca="false">AH290</f>
        <v>-0.35</v>
      </c>
      <c r="AI302" s="1292" t="n">
        <f aca="false">AI290</f>
        <v>0.65</v>
      </c>
      <c r="AJ302" s="1292" t="n">
        <f aca="false">AJ290</f>
        <v>0.35</v>
      </c>
      <c r="AK302" s="1295"/>
      <c r="AL302" s="1292" t="n">
        <f aca="false">AL290</f>
        <v>-0.01</v>
      </c>
      <c r="AM302" s="1292" t="n">
        <f aca="false">AM290</f>
        <v>0.16</v>
      </c>
      <c r="AN302" s="1292" t="n">
        <f aca="false">AN290</f>
        <v>0.01</v>
      </c>
      <c r="AO302" s="109"/>
      <c r="AP302" s="1295" t="n">
        <f aca="false">AP301</f>
        <v>93</v>
      </c>
      <c r="AQ302" s="1296" t="n">
        <f aca="false">AQ301</f>
        <v>0.35</v>
      </c>
      <c r="BQ302" s="1237"/>
      <c r="BR302" s="1238"/>
      <c r="BS302" s="1238"/>
      <c r="BT302" s="1238"/>
      <c r="BU302" s="1239"/>
      <c r="BV302" s="1239"/>
      <c r="BW302" s="1239"/>
      <c r="BY302" s="1239"/>
      <c r="CA302" s="1243"/>
      <c r="CB302" s="1238"/>
      <c r="CC302" s="1242"/>
      <c r="CD302" s="1239"/>
    </row>
    <row r="303" customFormat="false" ht="12.75" hidden="false" customHeight="false" outlineLevel="0" collapsed="false">
      <c r="A303" s="1237"/>
      <c r="B303" s="1239" t="n">
        <v>0.072666132654873</v>
      </c>
      <c r="C303" s="1218"/>
      <c r="D303" s="1274" t="n">
        <v>44652</v>
      </c>
      <c r="E303" s="1275" t="n">
        <v>25.044831963278</v>
      </c>
      <c r="F303" s="1275" t="n">
        <v>30.044831963278</v>
      </c>
      <c r="G303" s="1275" t="n">
        <v>35.044831963278</v>
      </c>
      <c r="H303" s="1291"/>
      <c r="I303" s="1275" t="n">
        <v>24.8875</v>
      </c>
      <c r="J303" s="1275" t="n">
        <v>29.8875</v>
      </c>
      <c r="K303" s="1275" t="n">
        <v>34.8875</v>
      </c>
      <c r="M303" s="1276" t="n">
        <v>45536</v>
      </c>
      <c r="N303" s="1294" t="n">
        <f aca="false">N291+N291-N279</f>
        <v>61.7692889925911</v>
      </c>
      <c r="O303" s="1294" t="n">
        <f aca="false">O291+O291-O279</f>
        <v>66.7692889925911</v>
      </c>
      <c r="P303" s="1294" t="n">
        <f aca="false">P291+P291-P279</f>
        <v>71.7692889925911</v>
      </c>
      <c r="R303" s="1294" t="n">
        <f aca="false">R291+R291-R279</f>
        <v>45.0769667444433</v>
      </c>
      <c r="S303" s="1294" t="n">
        <f aca="false">S291+S291-S279</f>
        <v>50.0769667444433</v>
      </c>
      <c r="T303" s="1294" t="n">
        <f aca="false">T291+T291-T279</f>
        <v>55.0769667444433</v>
      </c>
      <c r="V303" s="1294" t="n">
        <f aca="false">V291+V291-V279</f>
        <v>0</v>
      </c>
      <c r="W303" s="1294" t="n">
        <f aca="false">W291+W291-W279</f>
        <v>0</v>
      </c>
      <c r="X303" s="1294" t="n">
        <f aca="false">X291+X291-X279</f>
        <v>0</v>
      </c>
      <c r="Z303" s="1292" t="n">
        <f aca="false">Z302</f>
        <v>0.09</v>
      </c>
      <c r="AA303" s="1292" t="n">
        <f aca="false">AA302</f>
        <v>0.1</v>
      </c>
      <c r="AB303" s="1292" t="n">
        <f aca="false">AB302</f>
        <v>0.11</v>
      </c>
      <c r="AC303" s="109"/>
      <c r="AD303" s="1292" t="n">
        <f aca="false">AD302</f>
        <v>0.09</v>
      </c>
      <c r="AE303" s="1292" t="n">
        <f aca="false">AE302</f>
        <v>0.11</v>
      </c>
      <c r="AF303" s="1292" t="n">
        <f aca="false">AF302</f>
        <v>0.13</v>
      </c>
      <c r="AG303" s="109"/>
      <c r="AH303" s="1292" t="n">
        <f aca="false">AH291</f>
        <v>-0.35</v>
      </c>
      <c r="AI303" s="1292" t="n">
        <f aca="false">AI291</f>
        <v>3</v>
      </c>
      <c r="AJ303" s="1292" t="n">
        <f aca="false">AJ291</f>
        <v>0.2</v>
      </c>
      <c r="AK303" s="1295"/>
      <c r="AL303" s="1292" t="n">
        <f aca="false">AL291</f>
        <v>-0.01</v>
      </c>
      <c r="AM303" s="1292" t="n">
        <f aca="false">AM291</f>
        <v>0.16</v>
      </c>
      <c r="AN303" s="1292" t="n">
        <f aca="false">AN291</f>
        <v>0.01</v>
      </c>
      <c r="AO303" s="109"/>
      <c r="AP303" s="1295" t="n">
        <f aca="false">AP302</f>
        <v>93</v>
      </c>
      <c r="AQ303" s="1296" t="n">
        <f aca="false">AQ302</f>
        <v>0.35</v>
      </c>
      <c r="BQ303" s="1237"/>
      <c r="BR303" s="1238"/>
      <c r="BS303" s="1238"/>
      <c r="BT303" s="1238"/>
      <c r="BU303" s="1239"/>
      <c r="BV303" s="1239"/>
      <c r="BW303" s="1239"/>
      <c r="BY303" s="1239"/>
      <c r="CA303" s="1243"/>
      <c r="CB303" s="1238"/>
      <c r="CC303" s="1242"/>
      <c r="CD303" s="1239"/>
    </row>
    <row r="304" customFormat="false" ht="12.75" hidden="false" customHeight="false" outlineLevel="0" collapsed="false">
      <c r="A304" s="1237"/>
      <c r="B304" s="1239" t="n">
        <v>0.072661725916795</v>
      </c>
      <c r="C304" s="1218"/>
      <c r="D304" s="1274" t="n">
        <v>44682</v>
      </c>
      <c r="E304" s="1275" t="n">
        <v>24.294831963278</v>
      </c>
      <c r="F304" s="1275" t="n">
        <v>29.294831963278</v>
      </c>
      <c r="G304" s="1275" t="n">
        <v>34.294831963278</v>
      </c>
      <c r="H304" s="1291"/>
      <c r="I304" s="1275" t="n">
        <v>24.9459677419355</v>
      </c>
      <c r="J304" s="1275" t="n">
        <v>29.9459677419355</v>
      </c>
      <c r="K304" s="1275" t="n">
        <v>34.9459677419355</v>
      </c>
      <c r="M304" s="1276" t="n">
        <v>45566</v>
      </c>
      <c r="N304" s="1294" t="n">
        <f aca="false">N292+N292-N280</f>
        <v>32.8813787192253</v>
      </c>
      <c r="O304" s="1294" t="n">
        <f aca="false">O292+O292-O280</f>
        <v>37.8813787192253</v>
      </c>
      <c r="P304" s="1294" t="n">
        <f aca="false">P292+P292-P280</f>
        <v>42.8813787192253</v>
      </c>
      <c r="R304" s="1294" t="n">
        <f aca="false">R292+R292-R280</f>
        <v>23.411034039419</v>
      </c>
      <c r="S304" s="1294" t="n">
        <f aca="false">S292+S292-S280</f>
        <v>28.411034039419</v>
      </c>
      <c r="T304" s="1294" t="n">
        <f aca="false">T292+T292-T280</f>
        <v>33.411034039419</v>
      </c>
      <c r="V304" s="1294" t="n">
        <f aca="false">V292+V292-V280</f>
        <v>0</v>
      </c>
      <c r="W304" s="1294" t="n">
        <f aca="false">W292+W292-W280</f>
        <v>0</v>
      </c>
      <c r="X304" s="1294" t="n">
        <f aca="false">X292+X292-X280</f>
        <v>0</v>
      </c>
      <c r="Z304" s="1292" t="n">
        <f aca="false">Z303</f>
        <v>0.09</v>
      </c>
      <c r="AA304" s="1292" t="n">
        <f aca="false">AA303</f>
        <v>0.1</v>
      </c>
      <c r="AB304" s="1292" t="n">
        <f aca="false">AB303</f>
        <v>0.11</v>
      </c>
      <c r="AC304" s="109"/>
      <c r="AD304" s="1292" t="n">
        <f aca="false">AD303</f>
        <v>0.09</v>
      </c>
      <c r="AE304" s="1292" t="n">
        <f aca="false">AE303</f>
        <v>0.11</v>
      </c>
      <c r="AF304" s="1292" t="n">
        <f aca="false">AF303</f>
        <v>0.13</v>
      </c>
      <c r="AG304" s="109"/>
      <c r="AH304" s="1292" t="n">
        <f aca="false">AH292</f>
        <v>-0.1</v>
      </c>
      <c r="AI304" s="1292" t="n">
        <f aca="false">AI292</f>
        <v>3</v>
      </c>
      <c r="AJ304" s="1292" t="n">
        <f aca="false">AJ292</f>
        <v>0.1</v>
      </c>
      <c r="AK304" s="1295"/>
      <c r="AL304" s="1292" t="n">
        <f aca="false">AL292</f>
        <v>-0.01</v>
      </c>
      <c r="AM304" s="1292" t="n">
        <f aca="false">AM292</f>
        <v>0.16</v>
      </c>
      <c r="AN304" s="1292" t="n">
        <f aca="false">AN292</f>
        <v>0.01</v>
      </c>
      <c r="AO304" s="109"/>
      <c r="AP304" s="1295" t="n">
        <f aca="false">AP303</f>
        <v>93</v>
      </c>
      <c r="AQ304" s="1296" t="n">
        <f aca="false">AQ303</f>
        <v>0.35</v>
      </c>
      <c r="BQ304" s="1237"/>
      <c r="BR304" s="1238"/>
      <c r="BS304" s="1238"/>
      <c r="BT304" s="1238"/>
      <c r="BU304" s="1239"/>
      <c r="BV304" s="1239"/>
      <c r="BW304" s="1239"/>
      <c r="BY304" s="1239"/>
      <c r="CA304" s="1243"/>
      <c r="CB304" s="1238"/>
      <c r="CC304" s="1242"/>
      <c r="CD304" s="1239"/>
    </row>
    <row r="305" customFormat="false" ht="12.75" hidden="false" customHeight="false" outlineLevel="0" collapsed="false">
      <c r="A305" s="1237"/>
      <c r="B305" s="1239" t="n">
        <v>0.072657461331565</v>
      </c>
      <c r="C305" s="1218"/>
      <c r="D305" s="1274" t="n">
        <v>44713</v>
      </c>
      <c r="E305" s="1275" t="n">
        <v>29.544831963278</v>
      </c>
      <c r="F305" s="1275" t="n">
        <v>34.544831963278</v>
      </c>
      <c r="G305" s="1275" t="n">
        <v>39.544831963278</v>
      </c>
      <c r="H305" s="1291"/>
      <c r="I305" s="1275" t="n">
        <v>24.2</v>
      </c>
      <c r="J305" s="1275" t="n">
        <v>29.2</v>
      </c>
      <c r="K305" s="1275" t="n">
        <v>34.2</v>
      </c>
      <c r="M305" s="1276" t="n">
        <v>45597</v>
      </c>
      <c r="N305" s="1294" t="n">
        <f aca="false">N293+N293-N281</f>
        <v>25.1313787192253</v>
      </c>
      <c r="O305" s="1294" t="n">
        <f aca="false">O293+O293-O281</f>
        <v>30.1313787192253</v>
      </c>
      <c r="P305" s="1294" t="n">
        <f aca="false">P293+P293-P281</f>
        <v>35.1313787192253</v>
      </c>
      <c r="R305" s="1294" t="n">
        <f aca="false">R293+R293-R281</f>
        <v>17.598534039419</v>
      </c>
      <c r="S305" s="1294" t="n">
        <f aca="false">S293+S293-S281</f>
        <v>22.598534039419</v>
      </c>
      <c r="T305" s="1294" t="n">
        <f aca="false">T293+T293-T281</f>
        <v>27.598534039419</v>
      </c>
      <c r="V305" s="1294" t="n">
        <f aca="false">V293+V293-V281</f>
        <v>0</v>
      </c>
      <c r="W305" s="1294" t="n">
        <f aca="false">W293+W293-W281</f>
        <v>0</v>
      </c>
      <c r="X305" s="1294" t="n">
        <f aca="false">X293+X293-X281</f>
        <v>0</v>
      </c>
      <c r="Z305" s="1292" t="n">
        <f aca="false">Z304</f>
        <v>0.09</v>
      </c>
      <c r="AA305" s="1292" t="n">
        <f aca="false">AA304</f>
        <v>0.1</v>
      </c>
      <c r="AB305" s="1292" t="n">
        <f aca="false">AB304</f>
        <v>0.11</v>
      </c>
      <c r="AC305" s="109"/>
      <c r="AD305" s="1292" t="n">
        <f aca="false">AD304</f>
        <v>0.09</v>
      </c>
      <c r="AE305" s="1292" t="n">
        <f aca="false">AE304</f>
        <v>0.11</v>
      </c>
      <c r="AF305" s="1292" t="n">
        <f aca="false">AF304</f>
        <v>0.13</v>
      </c>
      <c r="AG305" s="109"/>
      <c r="AH305" s="1292" t="n">
        <f aca="false">AH293</f>
        <v>-0.1</v>
      </c>
      <c r="AI305" s="1292" t="n">
        <f aca="false">AI293</f>
        <v>3</v>
      </c>
      <c r="AJ305" s="1292" t="n">
        <f aca="false">AJ293</f>
        <v>0.1</v>
      </c>
      <c r="AK305" s="1295"/>
      <c r="AL305" s="1292" t="n">
        <f aca="false">AL293</f>
        <v>-0.01</v>
      </c>
      <c r="AM305" s="1292" t="n">
        <f aca="false">AM293</f>
        <v>0.16</v>
      </c>
      <c r="AN305" s="1292" t="n">
        <f aca="false">AN293</f>
        <v>0.01</v>
      </c>
      <c r="AO305" s="109"/>
      <c r="AP305" s="1295" t="n">
        <f aca="false">AP304</f>
        <v>93</v>
      </c>
      <c r="AQ305" s="1296" t="n">
        <f aca="false">AQ304</f>
        <v>0.35</v>
      </c>
      <c r="BQ305" s="1237"/>
      <c r="BR305" s="1238"/>
      <c r="BS305" s="1238"/>
      <c r="BT305" s="1238"/>
      <c r="BU305" s="1239"/>
      <c r="BV305" s="1239"/>
      <c r="BW305" s="1239"/>
      <c r="BY305" s="1239"/>
      <c r="CA305" s="1243"/>
      <c r="CB305" s="1238"/>
      <c r="CC305" s="1242"/>
      <c r="CD305" s="1239"/>
    </row>
    <row r="306" customFormat="false" ht="12.75" hidden="false" customHeight="false" outlineLevel="0" collapsed="false">
      <c r="A306" s="1237"/>
      <c r="B306" s="1239" t="n">
        <v>0.0726530545935</v>
      </c>
      <c r="C306" s="1218"/>
      <c r="D306" s="1274" t="n">
        <v>44743</v>
      </c>
      <c r="E306" s="1275" t="n">
        <v>56.7948978073698</v>
      </c>
      <c r="F306" s="1275" t="n">
        <v>61.7948978073698</v>
      </c>
      <c r="G306" s="1275" t="n">
        <v>66.7948978073698</v>
      </c>
      <c r="H306" s="1291"/>
      <c r="I306" s="1275" t="n">
        <v>30.2241935483871</v>
      </c>
      <c r="J306" s="1275" t="n">
        <v>35.2241935483871</v>
      </c>
      <c r="K306" s="1275" t="n">
        <v>40.2241935483871</v>
      </c>
      <c r="M306" s="1276" t="n">
        <v>45627</v>
      </c>
      <c r="N306" s="1294" t="n">
        <f aca="false">N294+N294-N282</f>
        <v>27.1313787192253</v>
      </c>
      <c r="O306" s="1294" t="n">
        <f aca="false">O294+O294-O282</f>
        <v>32.1313787192253</v>
      </c>
      <c r="P306" s="1294" t="n">
        <f aca="false">P294+P294-P282</f>
        <v>37.1313787192253</v>
      </c>
      <c r="R306" s="1294" t="n">
        <f aca="false">R294+R294-R282</f>
        <v>19.098534039419</v>
      </c>
      <c r="S306" s="1294" t="n">
        <f aca="false">S294+S294-S282</f>
        <v>24.098534039419</v>
      </c>
      <c r="T306" s="1294" t="n">
        <f aca="false">T294+T294-T282</f>
        <v>29.098534039419</v>
      </c>
      <c r="V306" s="1294" t="n">
        <f aca="false">V294+V294-V282</f>
        <v>0</v>
      </c>
      <c r="W306" s="1294" t="n">
        <f aca="false">W294+W294-W282</f>
        <v>0</v>
      </c>
      <c r="X306" s="1294" t="n">
        <f aca="false">X294+X294-X282</f>
        <v>0</v>
      </c>
      <c r="Z306" s="1292" t="n">
        <f aca="false">Z305</f>
        <v>0.09</v>
      </c>
      <c r="AA306" s="1292" t="n">
        <f aca="false">AA305</f>
        <v>0.1</v>
      </c>
      <c r="AB306" s="1292" t="n">
        <f aca="false">AB305</f>
        <v>0.11</v>
      </c>
      <c r="AC306" s="109"/>
      <c r="AD306" s="1292" t="n">
        <f aca="false">AD305</f>
        <v>0.09</v>
      </c>
      <c r="AE306" s="1292" t="n">
        <f aca="false">AE305</f>
        <v>0.11</v>
      </c>
      <c r="AF306" s="1292" t="n">
        <f aca="false">AF305</f>
        <v>0.13</v>
      </c>
      <c r="AG306" s="109"/>
      <c r="AH306" s="1292" t="n">
        <f aca="false">AH294</f>
        <v>-0.25</v>
      </c>
      <c r="AI306" s="1292" t="n">
        <f aca="false">AI294</f>
        <v>0.6</v>
      </c>
      <c r="AJ306" s="1292" t="n">
        <f aca="false">AJ294</f>
        <v>0.25</v>
      </c>
      <c r="AK306" s="1295"/>
      <c r="AL306" s="1292" t="n">
        <f aca="false">AL294</f>
        <v>-0.01</v>
      </c>
      <c r="AM306" s="1292" t="n">
        <f aca="false">AM294</f>
        <v>0.16</v>
      </c>
      <c r="AN306" s="1292" t="n">
        <f aca="false">AN294</f>
        <v>0.01</v>
      </c>
      <c r="AO306" s="109"/>
      <c r="AP306" s="1295" t="n">
        <f aca="false">AP305</f>
        <v>93</v>
      </c>
      <c r="AQ306" s="1296" t="n">
        <f aca="false">AQ305</f>
        <v>0.35</v>
      </c>
      <c r="BQ306" s="1237"/>
      <c r="BR306" s="1238"/>
      <c r="BS306" s="1238"/>
      <c r="BT306" s="1238"/>
      <c r="BU306" s="1239"/>
      <c r="BV306" s="1239"/>
      <c r="BW306" s="1239"/>
      <c r="BY306" s="1239"/>
      <c r="CA306" s="1243"/>
      <c r="CB306" s="1238"/>
      <c r="CC306" s="1242"/>
      <c r="CD306" s="1239"/>
    </row>
    <row r="307" customFormat="false" ht="12.75" hidden="false" customHeight="false" outlineLevel="0" collapsed="false">
      <c r="A307" s="1237"/>
      <c r="B307" s="1239" t="n">
        <v>0.072648647855441</v>
      </c>
      <c r="C307" s="1218"/>
      <c r="D307" s="1274" t="n">
        <v>44774</v>
      </c>
      <c r="E307" s="1275" t="n">
        <v>77.4198978073698</v>
      </c>
      <c r="F307" s="1275" t="n">
        <v>82.4198978073698</v>
      </c>
      <c r="G307" s="1275" t="n">
        <v>87.4198978073698</v>
      </c>
      <c r="H307" s="1291"/>
      <c r="I307" s="1275" t="n">
        <v>28.2241935483871</v>
      </c>
      <c r="J307" s="1275" t="n">
        <v>33.2241935483871</v>
      </c>
      <c r="K307" s="1275" t="n">
        <v>38.2241935483871</v>
      </c>
      <c r="M307" s="1262"/>
      <c r="N307" s="1278"/>
      <c r="O307" s="1278"/>
      <c r="P307" s="1278"/>
      <c r="R307" s="1278"/>
      <c r="S307" s="1278"/>
      <c r="T307" s="1278"/>
      <c r="V307" s="1278"/>
      <c r="W307" s="1278"/>
      <c r="X307" s="1278"/>
      <c r="Z307" s="109"/>
      <c r="AA307" s="109"/>
      <c r="AB307" s="109"/>
      <c r="AC307" s="109"/>
      <c r="AD307" s="109"/>
      <c r="AE307" s="109"/>
      <c r="AF307" s="109"/>
      <c r="AG307" s="109"/>
      <c r="AH307" s="109"/>
      <c r="AI307" s="109"/>
      <c r="AJ307" s="109"/>
      <c r="AK307" s="109"/>
      <c r="AL307" s="109"/>
      <c r="AM307" s="109"/>
      <c r="AN307" s="109"/>
      <c r="AO307" s="109"/>
      <c r="AP307" s="109"/>
      <c r="AQ307" s="109"/>
      <c r="BQ307" s="1237"/>
      <c r="BR307" s="1238"/>
      <c r="BS307" s="1238"/>
      <c r="BT307" s="1238"/>
      <c r="BU307" s="1239"/>
      <c r="BV307" s="1239"/>
      <c r="BW307" s="1239"/>
      <c r="BY307" s="1239"/>
      <c r="CA307" s="1243"/>
      <c r="CB307" s="1238"/>
      <c r="CC307" s="1242"/>
      <c r="CD307" s="1239"/>
    </row>
    <row r="308" customFormat="false" ht="12.75" hidden="false" customHeight="false" outlineLevel="0" collapsed="false">
      <c r="A308" s="1237"/>
      <c r="B308" s="1239" t="n">
        <v>0.07264438327023</v>
      </c>
      <c r="C308" s="1218"/>
      <c r="D308" s="1274" t="n">
        <v>44805</v>
      </c>
      <c r="E308" s="1275" t="n">
        <v>61.4198978073698</v>
      </c>
      <c r="F308" s="1275" t="n">
        <v>66.4198978073698</v>
      </c>
      <c r="G308" s="1275" t="n">
        <v>71.4198978073698</v>
      </c>
      <c r="H308" s="1291"/>
      <c r="I308" s="1275" t="n">
        <v>28.6375</v>
      </c>
      <c r="J308" s="1275" t="n">
        <v>33.6375</v>
      </c>
      <c r="K308" s="1275" t="n">
        <v>38.6375</v>
      </c>
      <c r="M308" s="1262"/>
      <c r="N308" s="1278"/>
      <c r="O308" s="1278"/>
      <c r="P308" s="1278"/>
      <c r="R308" s="1278"/>
      <c r="S308" s="1278"/>
      <c r="T308" s="1278"/>
      <c r="V308" s="1278"/>
      <c r="W308" s="1278"/>
      <c r="X308" s="1278"/>
      <c r="Z308" s="109"/>
      <c r="AA308" s="109"/>
      <c r="AB308" s="109"/>
      <c r="AC308" s="109"/>
      <c r="AD308" s="109"/>
      <c r="AE308" s="109"/>
      <c r="AF308" s="109"/>
      <c r="AG308" s="109"/>
      <c r="AH308" s="109"/>
      <c r="AI308" s="109"/>
      <c r="AJ308" s="109"/>
      <c r="AK308" s="109"/>
      <c r="AL308" s="109"/>
      <c r="AM308" s="109"/>
      <c r="AN308" s="109"/>
      <c r="AO308" s="109"/>
      <c r="AP308" s="109"/>
      <c r="AQ308" s="109"/>
      <c r="BQ308" s="1237"/>
      <c r="BR308" s="1238"/>
      <c r="BS308" s="1238"/>
      <c r="BT308" s="1238"/>
      <c r="BU308" s="1239"/>
      <c r="BV308" s="1239"/>
      <c r="BW308" s="1239"/>
      <c r="BY308" s="1239"/>
      <c r="CA308" s="1243"/>
      <c r="CB308" s="1238"/>
      <c r="CC308" s="1242"/>
      <c r="CD308" s="1239"/>
    </row>
    <row r="309" customFormat="false" ht="12.75" hidden="false" customHeight="false" outlineLevel="0" collapsed="false">
      <c r="A309" s="1237"/>
      <c r="B309" s="1239" t="n">
        <v>0.072639976532184</v>
      </c>
      <c r="C309" s="1218"/>
      <c r="D309" s="1274" t="n">
        <v>44835</v>
      </c>
      <c r="E309" s="1275" t="n">
        <v>32.7284707680551</v>
      </c>
      <c r="F309" s="1275" t="n">
        <v>37.7284707680551</v>
      </c>
      <c r="G309" s="1275" t="n">
        <v>42.7284707680551</v>
      </c>
      <c r="H309" s="1291"/>
      <c r="I309" s="1275" t="n">
        <v>28.1516129032258</v>
      </c>
      <c r="J309" s="1275" t="n">
        <v>33.1516129032258</v>
      </c>
      <c r="K309" s="1275" t="n">
        <v>38.1516129032258</v>
      </c>
      <c r="M309" s="1262"/>
      <c r="N309" s="1278"/>
      <c r="O309" s="1278"/>
      <c r="P309" s="1278"/>
      <c r="R309" s="1278"/>
      <c r="S309" s="1278"/>
      <c r="T309" s="1278"/>
      <c r="V309" s="1278"/>
      <c r="W309" s="1278"/>
      <c r="X309" s="1278"/>
      <c r="Z309" s="109"/>
      <c r="AA309" s="109"/>
      <c r="AB309" s="109"/>
      <c r="AC309" s="109"/>
      <c r="AD309" s="109"/>
      <c r="AE309" s="109"/>
      <c r="AF309" s="109"/>
      <c r="AG309" s="109"/>
      <c r="AH309" s="109"/>
      <c r="AI309" s="109"/>
      <c r="AJ309" s="109"/>
      <c r="AK309" s="109"/>
      <c r="AL309" s="109"/>
      <c r="AM309" s="109"/>
      <c r="AN309" s="109"/>
      <c r="AO309" s="109"/>
      <c r="AP309" s="109"/>
      <c r="AQ309" s="109"/>
      <c r="BQ309" s="1237"/>
      <c r="BR309" s="1238"/>
      <c r="BS309" s="1238"/>
      <c r="BT309" s="1238"/>
      <c r="BU309" s="1239"/>
      <c r="BV309" s="1239"/>
      <c r="BW309" s="1239"/>
      <c r="BY309" s="1239"/>
      <c r="CA309" s="1243"/>
      <c r="CB309" s="1238"/>
      <c r="CC309" s="1242"/>
      <c r="CD309" s="1239"/>
    </row>
    <row r="310" customFormat="false" ht="12.75" hidden="false" customHeight="false" outlineLevel="0" collapsed="false">
      <c r="A310" s="1237"/>
      <c r="B310" s="1239" t="n">
        <v>0.072635711946984</v>
      </c>
      <c r="C310" s="1218"/>
      <c r="D310" s="1274" t="n">
        <v>44866</v>
      </c>
      <c r="E310" s="1275" t="n">
        <v>24.9784707680551</v>
      </c>
      <c r="F310" s="1275" t="n">
        <v>29.9784707680551</v>
      </c>
      <c r="G310" s="1275" t="n">
        <v>34.9784707680551</v>
      </c>
      <c r="H310" s="1291"/>
      <c r="I310" s="1275" t="n">
        <v>29.4916666666667</v>
      </c>
      <c r="J310" s="1275" t="n">
        <v>34.4916666666667</v>
      </c>
      <c r="K310" s="1275" t="n">
        <v>39.4916666666667</v>
      </c>
      <c r="M310" s="1262"/>
      <c r="N310" s="1278"/>
      <c r="O310" s="1278"/>
      <c r="P310" s="1278"/>
      <c r="R310" s="1278"/>
      <c r="S310" s="1278"/>
      <c r="T310" s="1278"/>
      <c r="V310" s="1278"/>
      <c r="W310" s="1278"/>
      <c r="X310" s="1278"/>
      <c r="Z310" s="109"/>
      <c r="AA310" s="109"/>
      <c r="AB310" s="109"/>
      <c r="AC310" s="109"/>
      <c r="AD310" s="109"/>
      <c r="AE310" s="109"/>
      <c r="AF310" s="109"/>
      <c r="AG310" s="109"/>
      <c r="AH310" s="109"/>
      <c r="AI310" s="109"/>
      <c r="AJ310" s="109"/>
      <c r="AK310" s="109"/>
      <c r="AL310" s="109"/>
      <c r="AM310" s="109"/>
      <c r="AN310" s="109"/>
      <c r="AO310" s="109"/>
      <c r="AP310" s="109"/>
      <c r="AQ310" s="109"/>
      <c r="BQ310" s="1237"/>
      <c r="BR310" s="1238"/>
      <c r="BS310" s="1238"/>
      <c r="BT310" s="1238"/>
      <c r="BU310" s="1239"/>
      <c r="BV310" s="1239"/>
      <c r="BW310" s="1239"/>
      <c r="BY310" s="1239"/>
      <c r="CA310" s="1243"/>
      <c r="CB310" s="1238"/>
      <c r="CC310" s="1242"/>
      <c r="CD310" s="1239"/>
    </row>
    <row r="311" customFormat="false" ht="12.75" hidden="false" customHeight="false" outlineLevel="0" collapsed="false">
      <c r="A311" s="1237"/>
      <c r="B311" s="1239" t="n">
        <v>0.072631305208951</v>
      </c>
      <c r="C311" s="1218"/>
      <c r="D311" s="1274" t="n">
        <v>44896</v>
      </c>
      <c r="E311" s="1275" t="n">
        <v>26.9784707680551</v>
      </c>
      <c r="F311" s="1275" t="n">
        <v>31.9784707680551</v>
      </c>
      <c r="G311" s="1275" t="n">
        <v>36.9784707680551</v>
      </c>
      <c r="H311" s="1291"/>
      <c r="I311" s="1275" t="n">
        <v>28.7967741935484</v>
      </c>
      <c r="J311" s="1275" t="n">
        <v>33.7967741935484</v>
      </c>
      <c r="K311" s="1275" t="n">
        <v>38.7967741935484</v>
      </c>
      <c r="M311" s="1262"/>
      <c r="N311" s="1278"/>
      <c r="O311" s="1278"/>
      <c r="P311" s="1278"/>
      <c r="R311" s="1278"/>
      <c r="S311" s="1278"/>
      <c r="T311" s="1278"/>
      <c r="V311" s="1278"/>
      <c r="W311" s="1278"/>
      <c r="X311" s="1278"/>
      <c r="Z311" s="109"/>
      <c r="AA311" s="109"/>
      <c r="AB311" s="109"/>
      <c r="AC311" s="109"/>
      <c r="AD311" s="109"/>
      <c r="AE311" s="109"/>
      <c r="AF311" s="109"/>
      <c r="AG311" s="109"/>
      <c r="AH311" s="109"/>
      <c r="AI311" s="109"/>
      <c r="AJ311" s="109"/>
      <c r="AK311" s="109"/>
      <c r="AL311" s="109"/>
      <c r="AM311" s="109"/>
      <c r="AN311" s="109"/>
      <c r="AO311" s="109"/>
      <c r="AP311" s="109"/>
      <c r="AQ311" s="109"/>
      <c r="BQ311" s="1237"/>
      <c r="BR311" s="1238"/>
      <c r="BS311" s="1238"/>
      <c r="BT311" s="1238"/>
      <c r="BU311" s="1239"/>
      <c r="BV311" s="1239"/>
      <c r="BW311" s="1239"/>
      <c r="BY311" s="1239"/>
      <c r="CA311" s="1243"/>
      <c r="CB311" s="1238"/>
      <c r="CC311" s="1242"/>
      <c r="CD311" s="1239"/>
    </row>
    <row r="312" customFormat="false" ht="12.75" hidden="false" customHeight="false" outlineLevel="0" collapsed="false">
      <c r="A312" s="1237"/>
      <c r="B312" s="1239" t="n">
        <v>0.072626898470924</v>
      </c>
      <c r="C312" s="1218"/>
      <c r="D312" s="1274" t="n">
        <v>44927</v>
      </c>
      <c r="E312" s="1275" t="n">
        <v>25.6869971525273</v>
      </c>
      <c r="F312" s="1275" t="n">
        <v>30.6869971525273</v>
      </c>
      <c r="G312" s="1275" t="n">
        <v>35.6869971525273</v>
      </c>
      <c r="H312" s="1291"/>
      <c r="I312" s="1275" t="n">
        <v>26.3381191510522</v>
      </c>
      <c r="J312" s="1275" t="n">
        <v>31.3381191510522</v>
      </c>
      <c r="K312" s="1275" t="n">
        <v>36.3381191510522</v>
      </c>
      <c r="M312" s="1262"/>
      <c r="N312" s="1278"/>
      <c r="O312" s="1278"/>
      <c r="P312" s="1278"/>
      <c r="R312" s="1278"/>
      <c r="S312" s="1278"/>
      <c r="T312" s="1278"/>
      <c r="V312" s="1278"/>
      <c r="W312" s="1278"/>
      <c r="X312" s="1278"/>
      <c r="Z312" s="109"/>
      <c r="AA312" s="109"/>
      <c r="AB312" s="109"/>
      <c r="AC312" s="109"/>
      <c r="AD312" s="109"/>
      <c r="AE312" s="109"/>
      <c r="AF312" s="109"/>
      <c r="AG312" s="109"/>
      <c r="AH312" s="109"/>
      <c r="AI312" s="109"/>
      <c r="AJ312" s="109"/>
      <c r="AK312" s="109"/>
      <c r="AL312" s="109"/>
      <c r="AM312" s="109"/>
      <c r="AN312" s="109"/>
      <c r="AO312" s="109"/>
      <c r="AP312" s="109"/>
      <c r="AQ312" s="109"/>
      <c r="BQ312" s="1237"/>
      <c r="BR312" s="1238"/>
      <c r="BS312" s="1238"/>
      <c r="BT312" s="1238"/>
      <c r="BU312" s="1239"/>
      <c r="BV312" s="1239"/>
      <c r="BW312" s="1239"/>
      <c r="BY312" s="1239"/>
      <c r="CA312" s="1243"/>
      <c r="CB312" s="1238"/>
      <c r="CC312" s="1242"/>
      <c r="CD312" s="1239"/>
    </row>
    <row r="313" customFormat="false" ht="12.75" hidden="false" customHeight="false" outlineLevel="0" collapsed="false">
      <c r="A313" s="1237"/>
      <c r="B313" s="1239" t="n">
        <v>0.072622918191422</v>
      </c>
      <c r="C313" s="1218"/>
      <c r="D313" s="1274" t="n">
        <v>44958</v>
      </c>
      <c r="E313" s="1275" t="n">
        <v>25.1869971525273</v>
      </c>
      <c r="F313" s="1275" t="n">
        <v>30.1869971525273</v>
      </c>
      <c r="G313" s="1275" t="n">
        <v>35.1869971525273</v>
      </c>
      <c r="H313" s="1291"/>
      <c r="I313" s="1275" t="n">
        <v>27.3071428571429</v>
      </c>
      <c r="J313" s="1275" t="n">
        <v>32.3071428571429</v>
      </c>
      <c r="K313" s="1275" t="n">
        <v>37.3071428571429</v>
      </c>
      <c r="M313" s="1262"/>
      <c r="N313" s="1278"/>
      <c r="O313" s="1278"/>
      <c r="P313" s="1278"/>
      <c r="R313" s="1278"/>
      <c r="S313" s="1278"/>
      <c r="T313" s="1278"/>
      <c r="V313" s="1278"/>
      <c r="W313" s="1278"/>
      <c r="X313" s="1278"/>
      <c r="Z313" s="109"/>
      <c r="AA313" s="109"/>
      <c r="AB313" s="109"/>
      <c r="AC313" s="109"/>
      <c r="AD313" s="109"/>
      <c r="AE313" s="109"/>
      <c r="AF313" s="109"/>
      <c r="AG313" s="109"/>
      <c r="AH313" s="109"/>
      <c r="AI313" s="109"/>
      <c r="AJ313" s="109"/>
      <c r="AK313" s="109"/>
      <c r="AL313" s="109"/>
      <c r="AM313" s="109"/>
      <c r="AN313" s="109"/>
      <c r="AO313" s="109"/>
      <c r="AP313" s="109"/>
      <c r="AQ313" s="109"/>
      <c r="BQ313" s="1237"/>
      <c r="BR313" s="1238"/>
      <c r="BS313" s="1238"/>
      <c r="BT313" s="1238"/>
      <c r="BU313" s="1239"/>
      <c r="BV313" s="1239"/>
      <c r="BW313" s="1239"/>
      <c r="BY313" s="1239"/>
      <c r="CA313" s="1243"/>
      <c r="CB313" s="1238"/>
      <c r="CC313" s="1242"/>
      <c r="CD313" s="1239"/>
    </row>
    <row r="314" customFormat="false" ht="12.75" hidden="false" customHeight="false" outlineLevel="0" collapsed="false">
      <c r="A314" s="1237"/>
      <c r="B314" s="1239" t="n">
        <v>0.072618511453407</v>
      </c>
      <c r="C314" s="1218"/>
      <c r="D314" s="1274" t="n">
        <v>44986</v>
      </c>
      <c r="E314" s="1275" t="n">
        <v>24.9369971525273</v>
      </c>
      <c r="F314" s="1275" t="n">
        <v>29.9369971525273</v>
      </c>
      <c r="G314" s="1275" t="n">
        <v>34.9369971525273</v>
      </c>
      <c r="H314" s="1291"/>
      <c r="I314" s="1275" t="n">
        <v>27.5870967741936</v>
      </c>
      <c r="J314" s="1275" t="n">
        <v>32.5870967741936</v>
      </c>
      <c r="K314" s="1275" t="n">
        <v>37.5870967741936</v>
      </c>
      <c r="M314" s="1262"/>
      <c r="N314" s="1278"/>
      <c r="O314" s="1278"/>
      <c r="P314" s="1278"/>
      <c r="R314" s="1278"/>
      <c r="S314" s="1278"/>
      <c r="T314" s="1278"/>
      <c r="V314" s="1278"/>
      <c r="W314" s="1278"/>
      <c r="X314" s="1278"/>
      <c r="Z314" s="109"/>
      <c r="AA314" s="109"/>
      <c r="AB314" s="109"/>
      <c r="AC314" s="109"/>
      <c r="AD314" s="109"/>
      <c r="AE314" s="109"/>
      <c r="AF314" s="109"/>
      <c r="AG314" s="109"/>
      <c r="AH314" s="109"/>
      <c r="AI314" s="109"/>
      <c r="AJ314" s="109"/>
      <c r="AK314" s="109"/>
      <c r="AL314" s="109"/>
      <c r="AM314" s="109"/>
      <c r="AN314" s="109"/>
      <c r="AO314" s="109"/>
      <c r="AP314" s="109"/>
      <c r="AQ314" s="109"/>
      <c r="BQ314" s="1237"/>
      <c r="BR314" s="1238"/>
      <c r="BS314" s="1238"/>
      <c r="BT314" s="1238"/>
      <c r="BU314" s="1239"/>
      <c r="BV314" s="1239"/>
      <c r="BW314" s="1239"/>
      <c r="BY314" s="1239"/>
      <c r="CA314" s="1243"/>
      <c r="CB314" s="1238"/>
      <c r="CC314" s="1242"/>
      <c r="CD314" s="1239"/>
    </row>
    <row r="315" customFormat="false" ht="12.75" hidden="false" customHeight="false" outlineLevel="0" collapsed="false">
      <c r="A315" s="1237"/>
      <c r="B315" s="1239" t="n">
        <v>0.072614246868238</v>
      </c>
      <c r="C315" s="1218"/>
      <c r="D315" s="1274" t="n">
        <v>45017</v>
      </c>
      <c r="E315" s="1275" t="n">
        <v>25.1223772652931</v>
      </c>
      <c r="F315" s="1275" t="n">
        <v>30.1223772652931</v>
      </c>
      <c r="G315" s="1275" t="n">
        <v>35.1223772652931</v>
      </c>
      <c r="H315" s="1291"/>
      <c r="I315" s="1275" t="n">
        <v>25.3875</v>
      </c>
      <c r="J315" s="1275" t="n">
        <v>30.3875</v>
      </c>
      <c r="K315" s="1275" t="n">
        <v>35.3875</v>
      </c>
      <c r="M315" s="1262"/>
      <c r="N315" s="1278"/>
      <c r="O315" s="1278"/>
      <c r="P315" s="1278"/>
      <c r="R315" s="1278"/>
      <c r="S315" s="1278"/>
      <c r="T315" s="1278"/>
      <c r="V315" s="1278"/>
      <c r="W315" s="1278"/>
      <c r="X315" s="1278"/>
      <c r="Z315" s="109"/>
      <c r="AA315" s="109"/>
      <c r="AB315" s="109"/>
      <c r="AC315" s="109"/>
      <c r="AD315" s="109"/>
      <c r="AE315" s="109"/>
      <c r="AF315" s="109"/>
      <c r="AG315" s="109"/>
      <c r="AH315" s="109"/>
      <c r="AI315" s="109"/>
      <c r="AJ315" s="109"/>
      <c r="AK315" s="109"/>
      <c r="AL315" s="109"/>
      <c r="AM315" s="109"/>
      <c r="AN315" s="109"/>
      <c r="AO315" s="109"/>
      <c r="AP315" s="109"/>
      <c r="AQ315" s="109"/>
      <c r="BQ315" s="1237"/>
      <c r="BR315" s="1238"/>
      <c r="BS315" s="1238"/>
      <c r="BT315" s="1238"/>
      <c r="BU315" s="1239"/>
      <c r="BV315" s="1239"/>
      <c r="BW315" s="1239"/>
      <c r="BY315" s="1239"/>
      <c r="CA315" s="1243"/>
      <c r="CB315" s="1238"/>
      <c r="CC315" s="1242"/>
      <c r="CD315" s="1239"/>
    </row>
    <row r="316" customFormat="false" ht="12.75" hidden="false" customHeight="false" outlineLevel="0" collapsed="false">
      <c r="A316" s="1237"/>
      <c r="B316" s="1239" t="n">
        <v>0.072609840130236</v>
      </c>
      <c r="C316" s="1218"/>
      <c r="D316" s="1274" t="n">
        <v>45047</v>
      </c>
      <c r="E316" s="1275" t="n">
        <v>24.3723772652931</v>
      </c>
      <c r="F316" s="1275" t="n">
        <v>29.3723772652931</v>
      </c>
      <c r="G316" s="1275" t="n">
        <v>34.3723772652931</v>
      </c>
      <c r="H316" s="1291"/>
      <c r="I316" s="1275" t="n">
        <v>25.4459677419355</v>
      </c>
      <c r="J316" s="1275" t="n">
        <v>30.4459677419355</v>
      </c>
      <c r="K316" s="1275" t="n">
        <v>35.4459677419355</v>
      </c>
      <c r="M316" s="1262"/>
      <c r="N316" s="1278"/>
      <c r="O316" s="1278"/>
      <c r="P316" s="1278"/>
      <c r="R316" s="1278"/>
      <c r="S316" s="1278"/>
      <c r="T316" s="1278"/>
      <c r="V316" s="1278"/>
      <c r="W316" s="1278"/>
      <c r="X316" s="1278"/>
      <c r="Z316" s="109"/>
      <c r="AA316" s="109"/>
      <c r="AB316" s="109"/>
      <c r="AC316" s="109"/>
      <c r="AD316" s="109"/>
      <c r="AE316" s="109"/>
      <c r="AF316" s="109"/>
      <c r="AG316" s="109"/>
      <c r="AH316" s="109"/>
      <c r="AI316" s="109"/>
      <c r="AJ316" s="109"/>
      <c r="AK316" s="109"/>
      <c r="AL316" s="109"/>
      <c r="AM316" s="109"/>
      <c r="AN316" s="109"/>
      <c r="AO316" s="109"/>
      <c r="AP316" s="109"/>
      <c r="AQ316" s="109"/>
      <c r="BQ316" s="1237"/>
      <c r="BR316" s="1238"/>
      <c r="BS316" s="1238"/>
      <c r="BT316" s="1238"/>
      <c r="BU316" s="1239"/>
      <c r="BV316" s="1239"/>
      <c r="BW316" s="1239"/>
      <c r="BY316" s="1239"/>
      <c r="CA316" s="1243"/>
      <c r="CB316" s="1238"/>
      <c r="CC316" s="1242"/>
      <c r="CD316" s="1239"/>
    </row>
    <row r="317" customFormat="false" ht="12.75" hidden="false" customHeight="false" outlineLevel="0" collapsed="false">
      <c r="A317" s="1237"/>
      <c r="B317" s="1239" t="n">
        <v>0.072605575545079</v>
      </c>
      <c r="C317" s="1218"/>
      <c r="D317" s="1297" t="n">
        <v>45078</v>
      </c>
      <c r="E317" s="1294" t="n">
        <f aca="false">E305+E305-E293</f>
        <v>29.6223772652931</v>
      </c>
      <c r="F317" s="1294" t="n">
        <f aca="false">F305+F305-F293</f>
        <v>34.6223772652931</v>
      </c>
      <c r="G317" s="1294" t="n">
        <f aca="false">G305+G305-G293</f>
        <v>39.6223772652931</v>
      </c>
      <c r="H317" s="1298"/>
      <c r="I317" s="1294" t="n">
        <f aca="false">I305+I305-I293</f>
        <v>24.7</v>
      </c>
      <c r="J317" s="1294" t="n">
        <f aca="false">J305+J305-J293</f>
        <v>29.7</v>
      </c>
      <c r="K317" s="1294" t="n">
        <f aca="false">K305+K305-K293</f>
        <v>34.7</v>
      </c>
      <c r="Z317" s="109"/>
      <c r="AA317" s="109"/>
      <c r="AB317" s="109"/>
      <c r="AC317" s="109"/>
      <c r="AD317" s="109"/>
      <c r="AE317" s="109"/>
      <c r="AF317" s="109"/>
      <c r="AG317" s="109"/>
      <c r="AH317" s="109"/>
      <c r="AI317" s="109"/>
      <c r="AJ317" s="109"/>
      <c r="AK317" s="109"/>
      <c r="AL317" s="109"/>
      <c r="AM317" s="109"/>
      <c r="AN317" s="109"/>
      <c r="AO317" s="109"/>
      <c r="AP317" s="109"/>
      <c r="AQ317" s="109"/>
      <c r="BQ317" s="1237"/>
      <c r="BR317" s="1238"/>
      <c r="BS317" s="1238"/>
      <c r="BT317" s="1238"/>
      <c r="BU317" s="1239"/>
      <c r="BV317" s="1239"/>
      <c r="BW317" s="1239"/>
      <c r="BY317" s="1239"/>
      <c r="CA317" s="1243"/>
      <c r="CB317" s="1238"/>
      <c r="CC317" s="1242"/>
      <c r="CD317" s="1239"/>
    </row>
    <row r="318" customFormat="false" ht="12.75" hidden="false" customHeight="false" outlineLevel="0" collapsed="false">
      <c r="A318" s="1237"/>
      <c r="B318" s="1239" t="n">
        <v>0.07260116880709</v>
      </c>
      <c r="C318" s="1218"/>
      <c r="D318" s="1297" t="n">
        <v>45108</v>
      </c>
      <c r="E318" s="1294" t="n">
        <f aca="false">E306+E306-E294</f>
        <v>56.9695933999804</v>
      </c>
      <c r="F318" s="1294" t="n">
        <f aca="false">F306+F306-F294</f>
        <v>61.9695933999804</v>
      </c>
      <c r="G318" s="1294" t="n">
        <f aca="false">G306+G306-G294</f>
        <v>66.9695933999804</v>
      </c>
      <c r="H318" s="1298"/>
      <c r="I318" s="1294" t="n">
        <f aca="false">I306+I306-I294</f>
        <v>30.7241935483871</v>
      </c>
      <c r="J318" s="1294" t="n">
        <f aca="false">J306+J306-J294</f>
        <v>35.7241935483871</v>
      </c>
      <c r="K318" s="1294" t="n">
        <f aca="false">K306+K306-K294</f>
        <v>40.7241935483871</v>
      </c>
      <c r="Z318" s="109"/>
      <c r="AA318" s="109"/>
      <c r="AB318" s="109"/>
      <c r="AC318" s="109"/>
      <c r="AD318" s="109"/>
      <c r="AE318" s="109"/>
      <c r="AF318" s="109"/>
      <c r="AG318" s="109"/>
      <c r="AH318" s="109"/>
      <c r="AI318" s="109"/>
      <c r="AJ318" s="109"/>
      <c r="AK318" s="109"/>
      <c r="AL318" s="109"/>
      <c r="AM318" s="109"/>
      <c r="AN318" s="109"/>
      <c r="AO318" s="109"/>
      <c r="AP318" s="109"/>
      <c r="AQ318" s="109"/>
      <c r="BQ318" s="1237"/>
      <c r="BR318" s="1238"/>
      <c r="BS318" s="1238"/>
      <c r="BT318" s="1238"/>
      <c r="BU318" s="1239"/>
      <c r="BV318" s="1239"/>
      <c r="BW318" s="1239"/>
      <c r="BY318" s="1239"/>
      <c r="CA318" s="1243"/>
      <c r="CB318" s="1238"/>
      <c r="CC318" s="1242"/>
      <c r="CD318" s="1239"/>
    </row>
    <row r="319" customFormat="false" ht="12.75" hidden="false" customHeight="false" outlineLevel="0" collapsed="false">
      <c r="A319" s="1237"/>
      <c r="B319" s="1239" t="n">
        <v>0.072596762069107</v>
      </c>
      <c r="C319" s="1218"/>
      <c r="D319" s="1297" t="n">
        <v>45139</v>
      </c>
      <c r="E319" s="1294" t="n">
        <f aca="false">E307+E307-E295</f>
        <v>77.5945933999804</v>
      </c>
      <c r="F319" s="1294" t="n">
        <f aca="false">F307+F307-F295</f>
        <v>82.5945933999804</v>
      </c>
      <c r="G319" s="1294" t="n">
        <f aca="false">G307+G307-G295</f>
        <v>87.5945933999804</v>
      </c>
      <c r="H319" s="1298"/>
      <c r="I319" s="1294" t="n">
        <f aca="false">I307+I307-I295</f>
        <v>28.7241935483871</v>
      </c>
      <c r="J319" s="1294" t="n">
        <f aca="false">J307+J307-J295</f>
        <v>33.7241935483871</v>
      </c>
      <c r="K319" s="1294" t="n">
        <f aca="false">K307+K307-K295</f>
        <v>38.7241935483871</v>
      </c>
      <c r="Z319" s="109"/>
      <c r="AA319" s="109"/>
      <c r="AB319" s="109"/>
      <c r="AC319" s="109"/>
      <c r="AD319" s="109"/>
      <c r="AE319" s="109"/>
      <c r="AF319" s="109"/>
      <c r="AG319" s="109"/>
      <c r="AH319" s="109"/>
      <c r="AI319" s="109"/>
      <c r="AJ319" s="109"/>
      <c r="AK319" s="109"/>
      <c r="AL319" s="109"/>
      <c r="AM319" s="109"/>
      <c r="AN319" s="109"/>
      <c r="AO319" s="109"/>
      <c r="AP319" s="109"/>
      <c r="AQ319" s="109"/>
      <c r="BQ319" s="1237"/>
      <c r="BR319" s="1238"/>
      <c r="BS319" s="1238"/>
      <c r="BT319" s="1238"/>
      <c r="BU319" s="1239"/>
      <c r="BV319" s="1239"/>
      <c r="BW319" s="1239"/>
      <c r="BY319" s="1239"/>
      <c r="CA319" s="1243"/>
      <c r="CB319" s="1238"/>
      <c r="CC319" s="1242"/>
      <c r="CD319" s="1239"/>
    </row>
    <row r="320" customFormat="false" ht="12.75" hidden="false" customHeight="false" outlineLevel="0" collapsed="false">
      <c r="A320" s="1237"/>
      <c r="B320" s="1239" t="n">
        <v>0.072592497483968</v>
      </c>
      <c r="C320" s="1218"/>
      <c r="D320" s="1297" t="n">
        <v>45170</v>
      </c>
      <c r="E320" s="1294" t="n">
        <f aca="false">E308+E308-E296</f>
        <v>61.5945933999804</v>
      </c>
      <c r="F320" s="1294" t="n">
        <f aca="false">F308+F308-F296</f>
        <v>66.5945933999804</v>
      </c>
      <c r="G320" s="1294" t="n">
        <f aca="false">G308+G308-G296</f>
        <v>71.5945933999804</v>
      </c>
      <c r="H320" s="1298"/>
      <c r="I320" s="1294" t="n">
        <f aca="false">I308+I308-I296</f>
        <v>29.1375</v>
      </c>
      <c r="J320" s="1294" t="n">
        <f aca="false">J308+J308-J296</f>
        <v>34.1375</v>
      </c>
      <c r="K320" s="1294" t="n">
        <f aca="false">K308+K308-K296</f>
        <v>39.1375</v>
      </c>
      <c r="Z320" s="109"/>
      <c r="AA320" s="109"/>
      <c r="AB320" s="109"/>
      <c r="AC320" s="109"/>
      <c r="AD320" s="109"/>
      <c r="AE320" s="109"/>
      <c r="AF320" s="109"/>
      <c r="AG320" s="109"/>
      <c r="AH320" s="109"/>
      <c r="AI320" s="109"/>
      <c r="AJ320" s="109"/>
      <c r="AK320" s="109"/>
      <c r="AL320" s="109"/>
      <c r="AM320" s="109"/>
      <c r="AN320" s="109"/>
      <c r="AO320" s="109"/>
      <c r="AP320" s="109"/>
      <c r="AQ320" s="109"/>
      <c r="BQ320" s="1237"/>
      <c r="BR320" s="1238"/>
      <c r="BS320" s="1238"/>
      <c r="BT320" s="1238"/>
      <c r="BU320" s="1239"/>
      <c r="BV320" s="1239"/>
      <c r="BW320" s="1239"/>
      <c r="BY320" s="1239"/>
      <c r="CA320" s="1243"/>
      <c r="CB320" s="1238"/>
      <c r="CC320" s="1242"/>
      <c r="CD320" s="1239"/>
    </row>
    <row r="321" customFormat="false" ht="12.75" hidden="false" customHeight="false" outlineLevel="0" collapsed="false">
      <c r="A321" s="1237"/>
      <c r="B321" s="1239" t="n">
        <v>0.072588090746</v>
      </c>
      <c r="C321" s="1218"/>
      <c r="D321" s="1297" t="n">
        <v>45200</v>
      </c>
      <c r="E321" s="1294" t="n">
        <f aca="false">E309+E309-E297</f>
        <v>32.8049247436402</v>
      </c>
      <c r="F321" s="1294" t="n">
        <f aca="false">F309+F309-F297</f>
        <v>37.8049247436402</v>
      </c>
      <c r="G321" s="1294" t="n">
        <f aca="false">G309+G309-G297</f>
        <v>42.8049247436402</v>
      </c>
      <c r="H321" s="1298"/>
      <c r="I321" s="1294" t="n">
        <f aca="false">I309+I309-I297</f>
        <v>28.6516129032258</v>
      </c>
      <c r="J321" s="1294" t="n">
        <f aca="false">J309+J309-J297</f>
        <v>33.6516129032258</v>
      </c>
      <c r="K321" s="1294" t="n">
        <f aca="false">K309+K309-K297</f>
        <v>38.6516129032258</v>
      </c>
      <c r="Z321" s="109"/>
      <c r="AA321" s="109"/>
      <c r="AB321" s="109"/>
      <c r="AC321" s="109"/>
      <c r="AD321" s="109"/>
      <c r="AE321" s="109"/>
      <c r="AF321" s="109"/>
      <c r="AG321" s="109"/>
      <c r="AH321" s="109"/>
      <c r="AI321" s="109"/>
      <c r="AJ321" s="109"/>
      <c r="AK321" s="109"/>
      <c r="AL321" s="109"/>
      <c r="AM321" s="109"/>
      <c r="AN321" s="109"/>
      <c r="AO321" s="109"/>
      <c r="AP321" s="109"/>
      <c r="AQ321" s="109"/>
      <c r="BQ321" s="1237"/>
      <c r="BR321" s="1238"/>
      <c r="BS321" s="1238"/>
      <c r="BT321" s="1238"/>
      <c r="BU321" s="1239"/>
      <c r="BV321" s="1239"/>
      <c r="BW321" s="1239"/>
      <c r="BY321" s="1239"/>
      <c r="CA321" s="1243"/>
      <c r="CB321" s="1238"/>
      <c r="CC321" s="1242"/>
      <c r="CD321" s="1239"/>
    </row>
    <row r="322" customFormat="false" ht="12.75" hidden="false" customHeight="false" outlineLevel="0" collapsed="false">
      <c r="A322" s="1237"/>
      <c r="B322" s="1239" t="n">
        <v>0.072583826160871</v>
      </c>
      <c r="C322" s="1218"/>
      <c r="D322" s="1297" t="n">
        <v>45231</v>
      </c>
      <c r="E322" s="1294" t="n">
        <f aca="false">E310+E310-E298</f>
        <v>25.0549247436402</v>
      </c>
      <c r="F322" s="1294" t="n">
        <f aca="false">F310+F310-F298</f>
        <v>30.0549247436402</v>
      </c>
      <c r="G322" s="1294" t="n">
        <f aca="false">G310+G310-G298</f>
        <v>35.0549247436402</v>
      </c>
      <c r="H322" s="1298"/>
      <c r="I322" s="1294" t="n">
        <f aca="false">I310+I310-I298</f>
        <v>29.9916666666667</v>
      </c>
      <c r="J322" s="1294" t="n">
        <f aca="false">J310+J310-J298</f>
        <v>34.9916666666667</v>
      </c>
      <c r="K322" s="1294" t="n">
        <f aca="false">K310+K310-K298</f>
        <v>39.9916666666667</v>
      </c>
      <c r="Z322" s="109"/>
      <c r="AA322" s="109"/>
      <c r="AB322" s="109"/>
      <c r="AC322" s="109"/>
      <c r="AD322" s="109"/>
      <c r="AE322" s="109"/>
      <c r="AF322" s="109"/>
      <c r="AG322" s="109"/>
      <c r="AH322" s="109"/>
      <c r="AI322" s="109"/>
      <c r="AJ322" s="109"/>
      <c r="AK322" s="109"/>
      <c r="AL322" s="109"/>
      <c r="AM322" s="109"/>
      <c r="AN322" s="109"/>
      <c r="AO322" s="109"/>
      <c r="AP322" s="109"/>
      <c r="AQ322" s="109"/>
      <c r="BQ322" s="1237"/>
      <c r="BR322" s="1238"/>
      <c r="BS322" s="1238"/>
      <c r="BT322" s="1238"/>
      <c r="BU322" s="1239"/>
      <c r="BV322" s="1239"/>
      <c r="BW322" s="1239"/>
      <c r="BY322" s="1239"/>
      <c r="CA322" s="1243"/>
      <c r="CB322" s="1238"/>
      <c r="CC322" s="1242"/>
      <c r="CD322" s="1239"/>
    </row>
    <row r="323" customFormat="false" ht="12.75" hidden="false" customHeight="false" outlineLevel="0" collapsed="false">
      <c r="A323" s="1237"/>
      <c r="B323" s="1239" t="n">
        <v>0.072579419422913</v>
      </c>
      <c r="C323" s="1218"/>
      <c r="D323" s="1297" t="n">
        <v>45261</v>
      </c>
      <c r="E323" s="1294" t="n">
        <f aca="false">E311+E311-E299</f>
        <v>27.0549247436402</v>
      </c>
      <c r="F323" s="1294" t="n">
        <f aca="false">F311+F311-F299</f>
        <v>32.0549247436402</v>
      </c>
      <c r="G323" s="1294" t="n">
        <f aca="false">G311+G311-G299</f>
        <v>37.0549247436402</v>
      </c>
      <c r="H323" s="1298"/>
      <c r="I323" s="1294" t="n">
        <f aca="false">I311+I311-I299</f>
        <v>29.2967741935484</v>
      </c>
      <c r="J323" s="1294" t="n">
        <f aca="false">J311+J311-J299</f>
        <v>34.2967741935484</v>
      </c>
      <c r="K323" s="1294" t="n">
        <f aca="false">K311+K311-K299</f>
        <v>39.2967741935484</v>
      </c>
      <c r="L323" s="0"/>
      <c r="M323" s="0"/>
      <c r="N323" s="0"/>
      <c r="O323" s="0"/>
      <c r="P323" s="0"/>
      <c r="Q323" s="0"/>
      <c r="R323" s="0"/>
      <c r="S323" s="0"/>
      <c r="T323" s="0"/>
      <c r="U323" s="0"/>
      <c r="V323" s="0"/>
      <c r="W323" s="0"/>
      <c r="X323" s="0"/>
      <c r="Y323" s="0"/>
      <c r="Z323" s="109"/>
      <c r="AA323" s="109"/>
      <c r="AB323" s="109"/>
      <c r="AC323" s="109"/>
      <c r="AD323" s="109"/>
      <c r="AE323" s="109"/>
      <c r="AF323" s="109"/>
      <c r="AG323" s="109"/>
      <c r="AH323" s="109"/>
      <c r="AI323" s="109"/>
      <c r="AJ323" s="109"/>
      <c r="AK323" s="109"/>
      <c r="AL323" s="109"/>
      <c r="AM323" s="109"/>
      <c r="AN323" s="109"/>
      <c r="AO323" s="109"/>
      <c r="AP323" s="109"/>
      <c r="AQ323" s="109"/>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1237"/>
      <c r="BR323" s="1238"/>
      <c r="BS323" s="1238"/>
      <c r="BT323" s="1238"/>
      <c r="BU323" s="1239"/>
      <c r="BV323" s="1239"/>
      <c r="BW323" s="1239"/>
      <c r="BY323" s="1239"/>
      <c r="CA323" s="1243"/>
      <c r="CB323" s="1238"/>
      <c r="CC323" s="1242"/>
      <c r="CD323" s="1239"/>
    </row>
    <row r="324" customFormat="false" ht="12.75" hidden="false" customHeight="false" outlineLevel="0" collapsed="false">
      <c r="A324" s="1237"/>
      <c r="B324" s="1239" t="n">
        <v>0.072575012684962</v>
      </c>
      <c r="C324" s="1218"/>
      <c r="D324" s="1297" t="n">
        <v>45292</v>
      </c>
      <c r="E324" s="1294" t="n">
        <f aca="false">E312+E312-E300</f>
        <v>25.7589194291536</v>
      </c>
      <c r="F324" s="1294" t="n">
        <f aca="false">F312+F312-F300</f>
        <v>30.7589194291536</v>
      </c>
      <c r="G324" s="1294" t="n">
        <f aca="false">G312+G312-G300</f>
        <v>35.7589194291536</v>
      </c>
      <c r="H324" s="1298"/>
      <c r="I324" s="1294" t="n">
        <f aca="false">I312+I312-I300</f>
        <v>26.8381191510522</v>
      </c>
      <c r="J324" s="1294" t="n">
        <f aca="false">J312+J312-J300</f>
        <v>31.8381191510522</v>
      </c>
      <c r="K324" s="1294" t="n">
        <f aca="false">K312+K312-K300</f>
        <v>36.8381191510522</v>
      </c>
      <c r="L324" s="0"/>
      <c r="M324" s="0"/>
      <c r="N324" s="0"/>
      <c r="O324" s="0"/>
      <c r="P324" s="0"/>
      <c r="Q324" s="0"/>
      <c r="R324" s="0"/>
      <c r="S324" s="0"/>
      <c r="T324" s="0"/>
      <c r="U324" s="0"/>
      <c r="V324" s="0"/>
      <c r="W324" s="0"/>
      <c r="X324" s="0"/>
      <c r="Y324" s="0"/>
      <c r="Z324" s="109"/>
      <c r="AA324" s="109"/>
      <c r="AB324" s="109"/>
      <c r="AC324" s="109"/>
      <c r="AD324" s="109"/>
      <c r="AE324" s="109"/>
      <c r="AF324" s="109"/>
      <c r="AG324" s="109"/>
      <c r="AH324" s="109"/>
      <c r="AI324" s="109"/>
      <c r="AJ324" s="109"/>
      <c r="AK324" s="109"/>
      <c r="AL324" s="109"/>
      <c r="AM324" s="109"/>
      <c r="AN324" s="109"/>
      <c r="AO324" s="109"/>
      <c r="AP324" s="109"/>
      <c r="AQ324" s="109"/>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1237"/>
      <c r="BR324" s="1238"/>
      <c r="BS324" s="1238"/>
      <c r="BT324" s="1238"/>
      <c r="BU324" s="1239"/>
      <c r="BV324" s="1239"/>
      <c r="BW324" s="1239"/>
      <c r="BY324" s="1239"/>
      <c r="CA324" s="1243"/>
      <c r="CB324" s="1238"/>
      <c r="CC324" s="1242"/>
      <c r="CD324" s="1239"/>
    </row>
    <row r="325" customFormat="false" ht="12.75" hidden="false" customHeight="false" outlineLevel="0" collapsed="false">
      <c r="A325" s="1237"/>
      <c r="B325" s="1239" t="n">
        <v>0.072571032405528</v>
      </c>
      <c r="C325" s="1218"/>
      <c r="D325" s="1297" t="n">
        <v>45323</v>
      </c>
      <c r="E325" s="1294" t="n">
        <f aca="false">E313+E313-E301</f>
        <v>25.2589194291536</v>
      </c>
      <c r="F325" s="1294" t="n">
        <f aca="false">F313+F313-F301</f>
        <v>30.2589194291536</v>
      </c>
      <c r="G325" s="1294" t="n">
        <f aca="false">G313+G313-G301</f>
        <v>35.2589194291536</v>
      </c>
      <c r="H325" s="1298"/>
      <c r="I325" s="1294" t="n">
        <f aca="false">I313+I313-I301</f>
        <v>27.8071428571429</v>
      </c>
      <c r="J325" s="1294" t="n">
        <f aca="false">J313+J313-J301</f>
        <v>32.8071428571429</v>
      </c>
      <c r="K325" s="1294" t="n">
        <f aca="false">K313+K313-K301</f>
        <v>37.8071428571429</v>
      </c>
      <c r="L325" s="0"/>
      <c r="M325" s="0"/>
      <c r="N325" s="0"/>
      <c r="O325" s="0"/>
      <c r="P325" s="0"/>
      <c r="Q325" s="0"/>
      <c r="R325" s="0"/>
      <c r="S325" s="0"/>
      <c r="T325" s="0"/>
      <c r="U325" s="0"/>
      <c r="V325" s="0"/>
      <c r="W325" s="0"/>
      <c r="X325" s="0"/>
      <c r="Y325" s="0"/>
      <c r="Z325" s="109"/>
      <c r="AA325" s="109"/>
      <c r="AB325" s="109"/>
      <c r="AC325" s="109"/>
      <c r="AD325" s="109"/>
      <c r="AE325" s="109"/>
      <c r="AF325" s="109"/>
      <c r="AG325" s="109"/>
      <c r="AH325" s="109"/>
      <c r="AI325" s="109"/>
      <c r="AJ325" s="109"/>
      <c r="AK325" s="109"/>
      <c r="AL325" s="109"/>
      <c r="AM325" s="109"/>
      <c r="AN325" s="109"/>
      <c r="AO325" s="109"/>
      <c r="AP325" s="109"/>
      <c r="AQ325" s="109"/>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1237"/>
      <c r="BR325" s="1238"/>
      <c r="BS325" s="1238"/>
      <c r="BT325" s="1238"/>
      <c r="BU325" s="1239"/>
      <c r="BV325" s="1239"/>
      <c r="BW325" s="1239"/>
      <c r="BY325" s="1239"/>
      <c r="CA325" s="1243"/>
      <c r="CB325" s="1238"/>
      <c r="CC325" s="1242"/>
      <c r="CD325" s="1239"/>
    </row>
    <row r="326" customFormat="false" ht="12.75" hidden="false" customHeight="false" outlineLevel="0" collapsed="false">
      <c r="A326" s="1237"/>
      <c r="B326" s="1239" t="n">
        <v>0.072566625667589</v>
      </c>
      <c r="C326" s="1218"/>
      <c r="D326" s="1297" t="n">
        <v>45352</v>
      </c>
      <c r="E326" s="1294" t="n">
        <f aca="false">E314+E314-E302</f>
        <v>25.0089194291536</v>
      </c>
      <c r="F326" s="1294" t="n">
        <f aca="false">F314+F314-F302</f>
        <v>30.0089194291536</v>
      </c>
      <c r="G326" s="1294" t="n">
        <f aca="false">G314+G314-G302</f>
        <v>35.0089194291536</v>
      </c>
      <c r="H326" s="1298"/>
      <c r="I326" s="1294" t="n">
        <f aca="false">I314+I314-I302</f>
        <v>28.0870967741936</v>
      </c>
      <c r="J326" s="1294" t="n">
        <f aca="false">J314+J314-J302</f>
        <v>33.0870967741936</v>
      </c>
      <c r="K326" s="1294" t="n">
        <f aca="false">K314+K314-K302</f>
        <v>38.0870967741936</v>
      </c>
      <c r="L326" s="0"/>
      <c r="M326" s="0"/>
      <c r="N326" s="0"/>
      <c r="O326" s="0"/>
      <c r="P326" s="0"/>
      <c r="Q326" s="0"/>
      <c r="R326" s="0"/>
      <c r="S326" s="0"/>
      <c r="T326" s="0"/>
      <c r="U326" s="0"/>
      <c r="V326" s="0"/>
      <c r="W326" s="0"/>
      <c r="X326" s="0"/>
      <c r="Y326" s="0"/>
      <c r="Z326" s="109"/>
      <c r="AA326" s="109"/>
      <c r="AB326" s="109"/>
      <c r="AC326" s="109"/>
      <c r="AD326" s="109"/>
      <c r="AE326" s="109"/>
      <c r="AF326" s="109"/>
      <c r="AG326" s="109"/>
      <c r="AH326" s="109"/>
      <c r="AI326" s="109"/>
      <c r="AJ326" s="109"/>
      <c r="AK326" s="109"/>
      <c r="AL326" s="109"/>
      <c r="AM326" s="109"/>
      <c r="AN326" s="109"/>
      <c r="AO326" s="109"/>
      <c r="AP326" s="109"/>
      <c r="AQ326" s="109"/>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1237"/>
      <c r="BR326" s="1238"/>
      <c r="BS326" s="1238"/>
      <c r="BT326" s="1238"/>
      <c r="BU326" s="1239"/>
      <c r="BV326" s="1239"/>
      <c r="BW326" s="1239"/>
      <c r="BY326" s="1239"/>
      <c r="CA326" s="1243"/>
      <c r="CB326" s="1238"/>
      <c r="CC326" s="1242"/>
      <c r="CD326" s="1239"/>
    </row>
    <row r="327" customFormat="false" ht="12.75" hidden="false" customHeight="false" outlineLevel="0" collapsed="false">
      <c r="A327" s="1237"/>
      <c r="B327" s="1239" t="n">
        <v>0.072562361082493</v>
      </c>
      <c r="C327" s="1218"/>
      <c r="D327" s="1297" t="n">
        <v>45383</v>
      </c>
      <c r="E327" s="1294" t="n">
        <f aca="false">E315+E315-E303</f>
        <v>25.1999225673081</v>
      </c>
      <c r="F327" s="1294" t="n">
        <f aca="false">F315+F315-F303</f>
        <v>30.1999225673081</v>
      </c>
      <c r="G327" s="1294" t="n">
        <f aca="false">G315+G315-G303</f>
        <v>35.1999225673081</v>
      </c>
      <c r="H327" s="1298"/>
      <c r="I327" s="1294" t="n">
        <f aca="false">I315+I315-I303</f>
        <v>25.8875</v>
      </c>
      <c r="J327" s="1294" t="n">
        <f aca="false">J315+J315-J303</f>
        <v>30.8875</v>
      </c>
      <c r="K327" s="1294" t="n">
        <f aca="false">K315+K315-K303</f>
        <v>35.8875</v>
      </c>
      <c r="L327" s="0"/>
      <c r="M327" s="0"/>
      <c r="N327" s="0"/>
      <c r="O327" s="0"/>
      <c r="P327" s="0"/>
      <c r="Q327" s="0"/>
      <c r="R327" s="0"/>
      <c r="S327" s="0"/>
      <c r="T327" s="0"/>
      <c r="U327" s="0"/>
      <c r="V327" s="0"/>
      <c r="W327" s="0"/>
      <c r="X327" s="0"/>
      <c r="Y327" s="0"/>
      <c r="Z327" s="109"/>
      <c r="AA327" s="109"/>
      <c r="AB327" s="109"/>
      <c r="AC327" s="109"/>
      <c r="AD327" s="109"/>
      <c r="AE327" s="109"/>
      <c r="AF327" s="109"/>
      <c r="AG327" s="109"/>
      <c r="AH327" s="109"/>
      <c r="AI327" s="109"/>
      <c r="AJ327" s="109"/>
      <c r="AK327" s="109"/>
      <c r="AL327" s="109"/>
      <c r="AM327" s="109"/>
      <c r="AN327" s="109"/>
      <c r="AO327" s="109"/>
      <c r="AP327" s="109"/>
      <c r="AQ327" s="109"/>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1237"/>
      <c r="BR327" s="1238"/>
      <c r="BS327" s="1238"/>
      <c r="BT327" s="1238"/>
      <c r="BU327" s="1239"/>
      <c r="BV327" s="1239"/>
      <c r="BW327" s="1239"/>
      <c r="BY327" s="1239"/>
      <c r="CA327" s="1243"/>
      <c r="CB327" s="1238"/>
      <c r="CC327" s="1242"/>
      <c r="CD327" s="1239"/>
    </row>
    <row r="328" customFormat="false" ht="12.75" hidden="false" customHeight="false" outlineLevel="0" collapsed="false">
      <c r="A328" s="1237"/>
      <c r="B328" s="1239" t="n">
        <v>0.072557954344566</v>
      </c>
      <c r="C328" s="1218"/>
      <c r="D328" s="1297" t="n">
        <v>45413</v>
      </c>
      <c r="E328" s="1294" t="n">
        <f aca="false">E316+E316-E304</f>
        <v>24.4499225673081</v>
      </c>
      <c r="F328" s="1294" t="n">
        <f aca="false">F316+F316-F304</f>
        <v>29.4499225673081</v>
      </c>
      <c r="G328" s="1294" t="n">
        <f aca="false">G316+G316-G304</f>
        <v>34.4499225673081</v>
      </c>
      <c r="H328" s="1298"/>
      <c r="I328" s="1294" t="n">
        <f aca="false">I316+I316-I304</f>
        <v>25.9459677419355</v>
      </c>
      <c r="J328" s="1294" t="n">
        <f aca="false">J316+J316-J304</f>
        <v>30.9459677419355</v>
      </c>
      <c r="K328" s="1294" t="n">
        <f aca="false">K316+K316-K304</f>
        <v>35.9459677419355</v>
      </c>
      <c r="L328" s="0"/>
      <c r="M328" s="0"/>
      <c r="N328" s="0"/>
      <c r="O328" s="0"/>
      <c r="P328" s="0"/>
      <c r="Q328" s="0"/>
      <c r="R328" s="0"/>
      <c r="S328" s="0"/>
      <c r="T328" s="0"/>
      <c r="U328" s="0"/>
      <c r="V328" s="0"/>
      <c r="W328" s="0"/>
      <c r="X328" s="0"/>
      <c r="Y328" s="0"/>
      <c r="Z328" s="109"/>
      <c r="AA328" s="109"/>
      <c r="AB328" s="109"/>
      <c r="AC328" s="109"/>
      <c r="AD328" s="109"/>
      <c r="AE328" s="109"/>
      <c r="AF328" s="109"/>
      <c r="AG328" s="109"/>
      <c r="AH328" s="109"/>
      <c r="AI328" s="109"/>
      <c r="AJ328" s="109"/>
      <c r="AK328" s="109"/>
      <c r="AL328" s="109"/>
      <c r="AM328" s="109"/>
      <c r="AN328" s="109"/>
      <c r="AO328" s="109"/>
      <c r="AP328" s="109"/>
      <c r="AQ328" s="109"/>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1237"/>
      <c r="BR328" s="1238"/>
      <c r="BS328" s="1238"/>
      <c r="BT328" s="1238"/>
      <c r="BU328" s="1239"/>
      <c r="BV328" s="1239"/>
      <c r="BW328" s="1239"/>
      <c r="BY328" s="1239"/>
      <c r="CA328" s="1243"/>
      <c r="CB328" s="1238"/>
      <c r="CC328" s="1242"/>
      <c r="CD328" s="1239"/>
    </row>
    <row r="329" customFormat="false" ht="12.75" hidden="false" customHeight="false" outlineLevel="0" collapsed="false">
      <c r="A329" s="1237"/>
      <c r="B329" s="1239" t="n">
        <v>0.072553689759482</v>
      </c>
      <c r="C329" s="1218"/>
      <c r="D329" s="1297" t="n">
        <v>45444</v>
      </c>
      <c r="E329" s="1294" t="n">
        <f aca="false">E317+E317-E305</f>
        <v>29.6999225673081</v>
      </c>
      <c r="F329" s="1294" t="n">
        <f aca="false">F317+F317-F305</f>
        <v>34.6999225673081</v>
      </c>
      <c r="G329" s="1294" t="n">
        <f aca="false">G317+G317-G305</f>
        <v>39.6999225673081</v>
      </c>
      <c r="H329" s="1298"/>
      <c r="I329" s="1294" t="n">
        <f aca="false">I317+I317-I305</f>
        <v>25.2</v>
      </c>
      <c r="J329" s="1294" t="n">
        <f aca="false">J317+J317-J305</f>
        <v>30.2</v>
      </c>
      <c r="K329" s="1294" t="n">
        <f aca="false">K317+K317-K305</f>
        <v>35.2</v>
      </c>
      <c r="L329" s="0"/>
      <c r="M329" s="0"/>
      <c r="N329" s="0"/>
      <c r="O329" s="0"/>
      <c r="P329" s="0"/>
      <c r="Q329" s="0"/>
      <c r="R329" s="0"/>
      <c r="S329" s="0"/>
      <c r="T329" s="0"/>
      <c r="U329" s="0"/>
      <c r="V329" s="0"/>
      <c r="W329" s="0"/>
      <c r="X329" s="0"/>
      <c r="Y329" s="0"/>
      <c r="Z329" s="109"/>
      <c r="AA329" s="109"/>
      <c r="AB329" s="109"/>
      <c r="AC329" s="109"/>
      <c r="AD329" s="109"/>
      <c r="AE329" s="109"/>
      <c r="AF329" s="109"/>
      <c r="AG329" s="109"/>
      <c r="AH329" s="109"/>
      <c r="AI329" s="109"/>
      <c r="AJ329" s="109"/>
      <c r="AK329" s="109"/>
      <c r="AL329" s="109"/>
      <c r="AM329" s="109"/>
      <c r="AN329" s="109"/>
      <c r="AO329" s="109"/>
      <c r="AP329" s="109"/>
      <c r="AQ329" s="109"/>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1237"/>
      <c r="BR329" s="1238"/>
      <c r="BS329" s="1238"/>
      <c r="BT329" s="1238"/>
      <c r="BU329" s="1239"/>
      <c r="BV329" s="1239"/>
      <c r="BW329" s="1239"/>
      <c r="BY329" s="1239"/>
      <c r="CA329" s="1243"/>
      <c r="CB329" s="1238"/>
      <c r="CC329" s="1242"/>
      <c r="CD329" s="1239"/>
    </row>
    <row r="330" customFormat="false" ht="12.75" hidden="false" customHeight="false" outlineLevel="0" collapsed="false">
      <c r="A330" s="1237"/>
      <c r="B330" s="1239" t="n">
        <v>0.072549283021568</v>
      </c>
      <c r="C330" s="1218"/>
      <c r="D330" s="1297" t="n">
        <v>45474</v>
      </c>
      <c r="E330" s="1294" t="n">
        <f aca="false">E318+E318-E306</f>
        <v>57.1442889925911</v>
      </c>
      <c r="F330" s="1294" t="n">
        <f aca="false">F318+F318-F306</f>
        <v>62.1442889925911</v>
      </c>
      <c r="G330" s="1294" t="n">
        <f aca="false">G318+G318-G306</f>
        <v>67.1442889925911</v>
      </c>
      <c r="H330" s="1298"/>
      <c r="I330" s="1294" t="n">
        <f aca="false">I318+I318-I306</f>
        <v>31.2241935483871</v>
      </c>
      <c r="J330" s="1294" t="n">
        <f aca="false">J318+J318-J306</f>
        <v>36.2241935483871</v>
      </c>
      <c r="K330" s="1294" t="n">
        <f aca="false">K318+K318-K306</f>
        <v>41.2241935483871</v>
      </c>
      <c r="L330" s="0"/>
      <c r="M330" s="0"/>
      <c r="N330" s="0"/>
      <c r="O330" s="0"/>
      <c r="P330" s="0"/>
      <c r="Q330" s="0"/>
      <c r="R330" s="0"/>
      <c r="S330" s="0"/>
      <c r="T330" s="0"/>
      <c r="U330" s="0"/>
      <c r="V330" s="0"/>
      <c r="W330" s="0"/>
      <c r="X330" s="0"/>
      <c r="Y330" s="0"/>
      <c r="Z330" s="109"/>
      <c r="AA330" s="109"/>
      <c r="AB330" s="109"/>
      <c r="AC330" s="109"/>
      <c r="AD330" s="109"/>
      <c r="AE330" s="109"/>
      <c r="AF330" s="109"/>
      <c r="AG330" s="109"/>
      <c r="AH330" s="109"/>
      <c r="AI330" s="109"/>
      <c r="AJ330" s="109"/>
      <c r="AK330" s="109"/>
      <c r="AL330" s="109"/>
      <c r="AM330" s="109"/>
      <c r="AN330" s="109"/>
      <c r="AO330" s="109"/>
      <c r="AP330" s="109"/>
      <c r="AQ330" s="109"/>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1237"/>
      <c r="BR330" s="1238"/>
      <c r="BS330" s="1238"/>
      <c r="BT330" s="1238"/>
      <c r="BU330" s="1239"/>
      <c r="BV330" s="1239"/>
      <c r="BW330" s="1239"/>
      <c r="BY330" s="1239"/>
      <c r="CA330" s="1243"/>
      <c r="CB330" s="1238"/>
      <c r="CC330" s="1242"/>
      <c r="CD330" s="1239"/>
    </row>
    <row r="331" customFormat="false" ht="12.75" hidden="false" customHeight="false" outlineLevel="0" collapsed="false">
      <c r="A331" s="1237"/>
      <c r="B331" s="1239" t="n">
        <v>0.072544876283661</v>
      </c>
      <c r="C331" s="1218"/>
      <c r="D331" s="1297" t="n">
        <v>45505</v>
      </c>
      <c r="E331" s="1294" t="n">
        <f aca="false">E319+E319-E307</f>
        <v>77.7692889925911</v>
      </c>
      <c r="F331" s="1294" t="n">
        <f aca="false">F319+F319-F307</f>
        <v>82.7692889925911</v>
      </c>
      <c r="G331" s="1294" t="n">
        <f aca="false">G319+G319-G307</f>
        <v>87.7692889925911</v>
      </c>
      <c r="H331" s="1298"/>
      <c r="I331" s="1294" t="n">
        <f aca="false">I319+I319-I307</f>
        <v>29.2241935483871</v>
      </c>
      <c r="J331" s="1294" t="n">
        <f aca="false">J319+J319-J307</f>
        <v>34.2241935483871</v>
      </c>
      <c r="K331" s="1294" t="n">
        <f aca="false">K319+K319-K307</f>
        <v>39.2241935483871</v>
      </c>
      <c r="L331" s="0"/>
      <c r="M331" s="0"/>
      <c r="N331" s="0"/>
      <c r="O331" s="0"/>
      <c r="P331" s="0"/>
      <c r="Q331" s="0"/>
      <c r="R331" s="0"/>
      <c r="S331" s="0"/>
      <c r="T331" s="0"/>
      <c r="U331" s="0"/>
      <c r="V331" s="0"/>
      <c r="W331" s="0"/>
      <c r="X331" s="0"/>
      <c r="Y331" s="0"/>
      <c r="Z331" s="109"/>
      <c r="AA331" s="109"/>
      <c r="AB331" s="109"/>
      <c r="AC331" s="109"/>
      <c r="AD331" s="109"/>
      <c r="AE331" s="109"/>
      <c r="AF331" s="109"/>
      <c r="AG331" s="109"/>
      <c r="AH331" s="109"/>
      <c r="AI331" s="109"/>
      <c r="AJ331" s="109"/>
      <c r="AK331" s="109"/>
      <c r="AL331" s="109"/>
      <c r="AM331" s="109"/>
      <c r="AN331" s="109"/>
      <c r="AO331" s="109"/>
      <c r="AP331" s="109"/>
      <c r="AQ331" s="109"/>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1237"/>
      <c r="BR331" s="1238"/>
      <c r="BS331" s="1238"/>
      <c r="BT331" s="1238"/>
      <c r="BU331" s="1239"/>
      <c r="BV331" s="1239"/>
      <c r="BW331" s="1239"/>
      <c r="BY331" s="1239"/>
      <c r="CA331" s="1243"/>
      <c r="CB331" s="1238"/>
      <c r="CC331" s="1242"/>
      <c r="CD331" s="1239"/>
    </row>
    <row r="332" customFormat="false" ht="12.75" hidden="false" customHeight="false" outlineLevel="0" collapsed="false">
      <c r="A332" s="1237"/>
      <c r="B332" s="1239" t="n">
        <v>0.072540611698595</v>
      </c>
      <c r="C332" s="1218"/>
      <c r="D332" s="1297" t="n">
        <v>45536</v>
      </c>
      <c r="E332" s="1294" t="n">
        <f aca="false">E320+E320-E308</f>
        <v>61.7692889925911</v>
      </c>
      <c r="F332" s="1294" t="n">
        <f aca="false">F320+F320-F308</f>
        <v>66.7692889925911</v>
      </c>
      <c r="G332" s="1294" t="n">
        <f aca="false">G320+G320-G308</f>
        <v>71.7692889925911</v>
      </c>
      <c r="H332" s="1298"/>
      <c r="I332" s="1294" t="n">
        <f aca="false">I320+I320-I308</f>
        <v>29.6375</v>
      </c>
      <c r="J332" s="1294" t="n">
        <f aca="false">J320+J320-J308</f>
        <v>34.6375</v>
      </c>
      <c r="K332" s="1294" t="n">
        <f aca="false">K320+K320-K308</f>
        <v>39.6375</v>
      </c>
      <c r="L332" s="0"/>
      <c r="M332" s="0"/>
      <c r="N332" s="0"/>
      <c r="O332" s="0"/>
      <c r="P332" s="0"/>
      <c r="Q332" s="0"/>
      <c r="R332" s="0"/>
      <c r="S332" s="0"/>
      <c r="T332" s="0"/>
      <c r="U332" s="0"/>
      <c r="V332" s="0"/>
      <c r="W332" s="0"/>
      <c r="X332" s="0"/>
      <c r="Y332" s="0"/>
      <c r="Z332" s="109"/>
      <c r="AA332" s="109"/>
      <c r="AB332" s="109"/>
      <c r="AC332" s="109"/>
      <c r="AD332" s="109"/>
      <c r="AE332" s="109"/>
      <c r="AF332" s="109"/>
      <c r="AG332" s="109"/>
      <c r="AH332" s="109"/>
      <c r="AI332" s="109"/>
      <c r="AJ332" s="109"/>
      <c r="AK332" s="109"/>
      <c r="AL332" s="109"/>
      <c r="AM332" s="109"/>
      <c r="AN332" s="109"/>
      <c r="AO332" s="109"/>
      <c r="AP332" s="109"/>
      <c r="AQ332" s="109"/>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1237"/>
      <c r="BR332" s="1238"/>
      <c r="BS332" s="1238"/>
      <c r="BT332" s="1238"/>
      <c r="BU332" s="1239"/>
      <c r="BV332" s="1239"/>
      <c r="BW332" s="1239"/>
      <c r="BY332" s="1239"/>
      <c r="CA332" s="1243"/>
      <c r="CB332" s="1238"/>
      <c r="CC332" s="1242"/>
      <c r="CD332" s="1239"/>
    </row>
    <row r="333" customFormat="false" ht="12.75" hidden="false" customHeight="false" outlineLevel="0" collapsed="false">
      <c r="A333" s="1237"/>
      <c r="B333" s="1239" t="n">
        <v>0.0725362049607</v>
      </c>
      <c r="C333" s="1218"/>
      <c r="D333" s="1297" t="n">
        <v>45566</v>
      </c>
      <c r="E333" s="1294" t="n">
        <f aca="false">E321+E321-E309</f>
        <v>32.8813787192253</v>
      </c>
      <c r="F333" s="1294" t="n">
        <f aca="false">F321+F321-F309</f>
        <v>37.8813787192253</v>
      </c>
      <c r="G333" s="1294" t="n">
        <f aca="false">G321+G321-G309</f>
        <v>42.8813787192253</v>
      </c>
      <c r="H333" s="1298"/>
      <c r="I333" s="1294" t="n">
        <f aca="false">I321+I321-I309</f>
        <v>29.1516129032258</v>
      </c>
      <c r="J333" s="1294" t="n">
        <f aca="false">J321+J321-J309</f>
        <v>34.1516129032258</v>
      </c>
      <c r="K333" s="1294" t="n">
        <f aca="false">K321+K321-K309</f>
        <v>39.1516129032258</v>
      </c>
      <c r="L333" s="0"/>
      <c r="M333" s="0"/>
      <c r="N333" s="0"/>
      <c r="O333" s="0"/>
      <c r="P333" s="0"/>
      <c r="Q333" s="0"/>
      <c r="R333" s="0"/>
      <c r="S333" s="0"/>
      <c r="T333" s="0"/>
      <c r="U333" s="0"/>
      <c r="V333" s="0"/>
      <c r="W333" s="0"/>
      <c r="X333" s="0"/>
      <c r="Y333" s="0"/>
      <c r="Z333" s="109"/>
      <c r="AA333" s="109"/>
      <c r="AB333" s="109"/>
      <c r="AC333" s="109"/>
      <c r="AD333" s="109"/>
      <c r="AE333" s="109"/>
      <c r="AF333" s="109"/>
      <c r="AG333" s="109"/>
      <c r="AH333" s="109"/>
      <c r="AI333" s="109"/>
      <c r="AJ333" s="109"/>
      <c r="AK333" s="109"/>
      <c r="AL333" s="109"/>
      <c r="AM333" s="109"/>
      <c r="AN333" s="109"/>
      <c r="AO333" s="109"/>
      <c r="AP333" s="109"/>
      <c r="AQ333" s="109"/>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1237"/>
      <c r="BR333" s="1238"/>
      <c r="BS333" s="1238"/>
      <c r="BT333" s="1238"/>
      <c r="BU333" s="1239"/>
      <c r="BV333" s="1239"/>
      <c r="BW333" s="1239"/>
      <c r="BY333" s="1239"/>
      <c r="CA333" s="1243"/>
      <c r="CB333" s="1238"/>
      <c r="CC333" s="1242"/>
      <c r="CD333" s="1239"/>
    </row>
    <row r="334" customFormat="false" ht="12.75" hidden="false" customHeight="false" outlineLevel="0" collapsed="false">
      <c r="A334" s="1237"/>
      <c r="B334" s="1239" t="n">
        <v>0.072531940375647</v>
      </c>
      <c r="C334" s="1218"/>
      <c r="D334" s="1297" t="n">
        <v>45597</v>
      </c>
      <c r="E334" s="1294" t="n">
        <f aca="false">E322+E322-E310</f>
        <v>25.1313787192253</v>
      </c>
      <c r="F334" s="1294" t="n">
        <f aca="false">F322+F322-F310</f>
        <v>30.1313787192253</v>
      </c>
      <c r="G334" s="1294" t="n">
        <f aca="false">G322+G322-G310</f>
        <v>35.1313787192253</v>
      </c>
      <c r="H334" s="1298"/>
      <c r="I334" s="1294" t="n">
        <f aca="false">I322+I322-I310</f>
        <v>30.4916666666667</v>
      </c>
      <c r="J334" s="1294" t="n">
        <f aca="false">J322+J322-J310</f>
        <v>35.4916666666667</v>
      </c>
      <c r="K334" s="1294" t="n">
        <f aca="false">K322+K322-K310</f>
        <v>40.4916666666667</v>
      </c>
      <c r="L334" s="0"/>
      <c r="M334" s="0"/>
      <c r="N334" s="0"/>
      <c r="O334" s="0"/>
      <c r="P334" s="0"/>
      <c r="Q334" s="0"/>
      <c r="R334" s="0"/>
      <c r="S334" s="0"/>
      <c r="T334" s="0"/>
      <c r="U334" s="0"/>
      <c r="V334" s="0"/>
      <c r="W334" s="0"/>
      <c r="X334" s="0"/>
      <c r="Y334" s="0"/>
      <c r="Z334" s="109"/>
      <c r="AA334" s="109"/>
      <c r="AB334" s="109"/>
      <c r="AC334" s="109"/>
      <c r="AD334" s="109"/>
      <c r="AE334" s="109"/>
      <c r="AF334" s="109"/>
      <c r="AG334" s="109"/>
      <c r="AH334" s="109"/>
      <c r="AI334" s="109"/>
      <c r="AJ334" s="109"/>
      <c r="AK334" s="109"/>
      <c r="AL334" s="109"/>
      <c r="AM334" s="109"/>
      <c r="AN334" s="109"/>
      <c r="AO334" s="109"/>
      <c r="AP334" s="109"/>
      <c r="AQ334" s="109"/>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1237"/>
      <c r="BR334" s="1238"/>
      <c r="BS334" s="1238"/>
      <c r="BT334" s="1238"/>
      <c r="BU334" s="1239"/>
      <c r="BV334" s="1239"/>
      <c r="BW334" s="1239"/>
      <c r="BY334" s="1239"/>
      <c r="CA334" s="1243"/>
      <c r="CB334" s="1238"/>
      <c r="CC334" s="1242"/>
      <c r="CD334" s="1239"/>
    </row>
    <row r="335" customFormat="false" ht="12.75" hidden="false" customHeight="false" outlineLevel="0" collapsed="false">
      <c r="A335" s="1237"/>
      <c r="B335" s="1239" t="n">
        <v>0.072527533637765</v>
      </c>
      <c r="C335" s="1218"/>
      <c r="D335" s="1297" t="n">
        <v>45627</v>
      </c>
      <c r="E335" s="1294" t="n">
        <f aca="false">E323+E323-E311</f>
        <v>27.1313787192253</v>
      </c>
      <c r="F335" s="1294" t="n">
        <f aca="false">F323+F323-F311</f>
        <v>32.1313787192253</v>
      </c>
      <c r="G335" s="1294" t="n">
        <f aca="false">G323+G323-G311</f>
        <v>37.1313787192253</v>
      </c>
      <c r="H335" s="1298"/>
      <c r="I335" s="1294" t="n">
        <f aca="false">I323+I323-I311</f>
        <v>29.7967741935484</v>
      </c>
      <c r="J335" s="1294" t="n">
        <f aca="false">J323+J323-J311</f>
        <v>34.7967741935484</v>
      </c>
      <c r="K335" s="1294" t="n">
        <f aca="false">K323+K323-K311</f>
        <v>39.7967741935484</v>
      </c>
      <c r="L335" s="0"/>
      <c r="M335" s="0"/>
      <c r="N335" s="0"/>
      <c r="O335" s="0"/>
      <c r="P335" s="0"/>
      <c r="Q335" s="0"/>
      <c r="R335" s="0"/>
      <c r="S335" s="0"/>
      <c r="T335" s="0"/>
      <c r="U335" s="0"/>
      <c r="V335" s="0"/>
      <c r="W335" s="0"/>
      <c r="X335" s="0"/>
      <c r="Y335" s="0"/>
      <c r="Z335" s="109"/>
      <c r="AA335" s="109"/>
      <c r="AB335" s="109"/>
      <c r="AC335" s="109"/>
      <c r="AD335" s="109"/>
      <c r="AE335" s="109"/>
      <c r="AF335" s="109"/>
      <c r="AG335" s="109"/>
      <c r="AH335" s="109"/>
      <c r="AI335" s="109"/>
      <c r="AJ335" s="109"/>
      <c r="AK335" s="109"/>
      <c r="AL335" s="109"/>
      <c r="AM335" s="109"/>
      <c r="AN335" s="109"/>
      <c r="AO335" s="109"/>
      <c r="AP335" s="109"/>
      <c r="AQ335" s="109"/>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1237"/>
      <c r="BR335" s="1238"/>
      <c r="BS335" s="1238"/>
      <c r="BT335" s="1238"/>
      <c r="BU335" s="1239"/>
      <c r="BV335" s="1239"/>
      <c r="BW335" s="1239"/>
      <c r="BY335" s="1239"/>
      <c r="CA335" s="1243"/>
      <c r="CB335" s="1238"/>
      <c r="CC335" s="1242"/>
      <c r="CD335" s="1239"/>
    </row>
    <row r="336" customFormat="false" ht="12.75" hidden="false" customHeight="false" outlineLevel="0" collapsed="false">
      <c r="A336" s="1237"/>
      <c r="B336" s="1239" t="n">
        <v>0.072523126899889</v>
      </c>
      <c r="C336" s="1218"/>
      <c r="D336" s="0"/>
      <c r="E336" s="0"/>
      <c r="F336" s="0"/>
      <c r="G336" s="0"/>
      <c r="H336" s="0"/>
      <c r="I336" s="0"/>
      <c r="J336" s="0"/>
      <c r="K336" s="0"/>
      <c r="L336" s="0"/>
      <c r="M336" s="0"/>
      <c r="N336" s="0"/>
      <c r="O336" s="0"/>
      <c r="P336" s="0"/>
      <c r="Q336" s="0"/>
      <c r="R336" s="0"/>
      <c r="S336" s="0"/>
      <c r="T336" s="0"/>
      <c r="U336" s="0"/>
      <c r="V336" s="0"/>
      <c r="W336" s="0"/>
      <c r="X336" s="0"/>
      <c r="Y336" s="0"/>
      <c r="Z336" s="109"/>
      <c r="AA336" s="109"/>
      <c r="AB336" s="109"/>
      <c r="AC336" s="109"/>
      <c r="AD336" s="109"/>
      <c r="AE336" s="109"/>
      <c r="AF336" s="109"/>
      <c r="AG336" s="109"/>
      <c r="AH336" s="109"/>
      <c r="AI336" s="109"/>
      <c r="AJ336" s="109"/>
      <c r="AK336" s="109"/>
      <c r="AL336" s="109"/>
      <c r="AM336" s="109"/>
      <c r="AN336" s="109"/>
      <c r="AO336" s="109"/>
      <c r="AP336" s="109"/>
      <c r="AQ336" s="109"/>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1237"/>
      <c r="BR336" s="1238"/>
      <c r="BS336" s="1238"/>
      <c r="BT336" s="1238"/>
      <c r="BU336" s="1239"/>
      <c r="BV336" s="1239"/>
      <c r="BW336" s="1239"/>
      <c r="BY336" s="1239"/>
      <c r="CA336" s="1243"/>
      <c r="CB336" s="1238"/>
      <c r="CC336" s="1242"/>
      <c r="CD336" s="1239"/>
    </row>
    <row r="337" customFormat="false" ht="12.75" hidden="false" customHeight="false" outlineLevel="0" collapsed="false">
      <c r="A337" s="1237"/>
      <c r="B337" s="1239" t="n">
        <v>0.072519004467689</v>
      </c>
      <c r="C337" s="1218"/>
      <c r="D337" s="0"/>
      <c r="E337" s="0"/>
      <c r="F337" s="0"/>
      <c r="G337" s="0"/>
      <c r="H337" s="0"/>
      <c r="I337" s="0"/>
      <c r="J337" s="0"/>
      <c r="K337" s="0"/>
      <c r="L337" s="0"/>
      <c r="M337" s="0"/>
      <c r="N337" s="0"/>
      <c r="O337" s="0"/>
      <c r="P337" s="0"/>
      <c r="Q337" s="0"/>
      <c r="R337" s="0"/>
      <c r="S337" s="0"/>
      <c r="T337" s="0"/>
      <c r="U337" s="0"/>
      <c r="V337" s="0"/>
      <c r="W337" s="0"/>
      <c r="X337" s="0"/>
      <c r="Y337" s="0"/>
      <c r="Z337" s="109"/>
      <c r="AA337" s="109"/>
      <c r="AB337" s="109"/>
      <c r="AC337" s="109"/>
      <c r="AD337" s="109"/>
      <c r="AE337" s="109"/>
      <c r="AF337" s="109"/>
      <c r="AG337" s="109"/>
      <c r="AH337" s="109"/>
      <c r="AI337" s="109"/>
      <c r="AJ337" s="109"/>
      <c r="AK337" s="109"/>
      <c r="AL337" s="109"/>
      <c r="AM337" s="109"/>
      <c r="AN337" s="109"/>
      <c r="AO337" s="109"/>
      <c r="AP337" s="109"/>
      <c r="AQ337" s="109"/>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1237"/>
      <c r="BR337" s="1238"/>
      <c r="BS337" s="1238"/>
      <c r="BT337" s="1238"/>
      <c r="BU337" s="1239"/>
      <c r="BV337" s="1239"/>
      <c r="BW337" s="1239"/>
      <c r="BY337" s="1239"/>
      <c r="CA337" s="1243"/>
      <c r="CB337" s="1238"/>
      <c r="CC337" s="1242"/>
      <c r="CD337" s="1239"/>
    </row>
    <row r="338" customFormat="false" ht="12.75" hidden="false" customHeight="false" outlineLevel="0" collapsed="false">
      <c r="A338" s="1237"/>
      <c r="B338" s="1239" t="n">
        <v>0.072514597729826</v>
      </c>
      <c r="C338" s="1218"/>
      <c r="D338" s="0"/>
      <c r="E338" s="0"/>
      <c r="F338" s="0"/>
      <c r="G338" s="0"/>
      <c r="H338" s="0"/>
      <c r="I338" s="0"/>
      <c r="J338" s="0"/>
      <c r="K338" s="0"/>
      <c r="L338" s="0"/>
      <c r="M338" s="0"/>
      <c r="N338" s="0"/>
      <c r="O338" s="0"/>
      <c r="P338" s="0"/>
      <c r="Q338" s="0"/>
      <c r="R338" s="0"/>
      <c r="S338" s="0"/>
      <c r="T338" s="0"/>
      <c r="U338" s="0"/>
      <c r="V338" s="0"/>
      <c r="W338" s="0"/>
      <c r="X338" s="0"/>
      <c r="Y338" s="0"/>
      <c r="Z338" s="109"/>
      <c r="AA338" s="109"/>
      <c r="AB338" s="109"/>
      <c r="AC338" s="109"/>
      <c r="AD338" s="109"/>
      <c r="AE338" s="109"/>
      <c r="AF338" s="109"/>
      <c r="AG338" s="109"/>
      <c r="AH338" s="109"/>
      <c r="AI338" s="109"/>
      <c r="AJ338" s="109"/>
      <c r="AK338" s="109"/>
      <c r="AL338" s="109"/>
      <c r="AM338" s="109"/>
      <c r="AN338" s="109"/>
      <c r="AO338" s="109"/>
      <c r="AP338" s="109"/>
      <c r="AQ338" s="109"/>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1237"/>
      <c r="BR338" s="1238"/>
      <c r="BS338" s="1238"/>
      <c r="BT338" s="1238"/>
      <c r="BU338" s="1239"/>
      <c r="BV338" s="1239"/>
      <c r="BW338" s="1239"/>
      <c r="BY338" s="1239"/>
      <c r="CA338" s="1243"/>
      <c r="CB338" s="1238"/>
      <c r="CC338" s="1242"/>
      <c r="CD338" s="1239"/>
    </row>
    <row r="339" customFormat="false" ht="12.75" hidden="false" customHeight="false" outlineLevel="0" collapsed="false">
      <c r="A339" s="1237"/>
      <c r="B339" s="1239" t="n">
        <v>0.072510333144802</v>
      </c>
      <c r="C339" s="1218"/>
      <c r="D339" s="0"/>
      <c r="E339" s="0"/>
      <c r="F339" s="0"/>
      <c r="G339" s="0"/>
      <c r="H339" s="0"/>
      <c r="I339" s="0"/>
      <c r="J339" s="0"/>
      <c r="K339" s="0"/>
      <c r="L339" s="0"/>
      <c r="M339" s="0"/>
      <c r="N339" s="0"/>
      <c r="O339" s="0"/>
      <c r="P339" s="0"/>
      <c r="Q339" s="0"/>
      <c r="R339" s="0"/>
      <c r="S339" s="0"/>
      <c r="T339" s="0"/>
      <c r="U339" s="0"/>
      <c r="V339" s="0"/>
      <c r="W339" s="0"/>
      <c r="X339" s="0"/>
      <c r="Y339" s="0"/>
      <c r="Z339" s="109"/>
      <c r="AA339" s="109"/>
      <c r="AB339" s="109"/>
      <c r="AC339" s="109"/>
      <c r="AD339" s="109"/>
      <c r="AE339" s="109"/>
      <c r="AF339" s="109"/>
      <c r="AG339" s="109"/>
      <c r="AH339" s="109"/>
      <c r="AI339" s="109"/>
      <c r="AJ339" s="109"/>
      <c r="AK339" s="109"/>
      <c r="AL339" s="109"/>
      <c r="AM339" s="109"/>
      <c r="AN339" s="109"/>
      <c r="AO339" s="109"/>
      <c r="AP339" s="109"/>
      <c r="AQ339" s="109"/>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1237"/>
      <c r="BR339" s="1238"/>
      <c r="BS339" s="1238"/>
      <c r="BT339" s="1238"/>
      <c r="BU339" s="1239"/>
      <c r="BV339" s="1239"/>
      <c r="BW339" s="1239"/>
      <c r="BY339" s="1239"/>
      <c r="CA339" s="1243"/>
      <c r="CB339" s="1238"/>
      <c r="CC339" s="1242"/>
      <c r="CD339" s="1239"/>
    </row>
    <row r="340" customFormat="false" ht="12.75" hidden="false" customHeight="false" outlineLevel="0" collapsed="false">
      <c r="A340" s="1237"/>
      <c r="B340" s="1239" t="n">
        <v>0.072505926406952</v>
      </c>
      <c r="C340" s="1218"/>
      <c r="D340" s="0"/>
      <c r="E340" s="0"/>
      <c r="F340" s="0"/>
      <c r="G340" s="0"/>
      <c r="H340" s="0"/>
      <c r="I340" s="0"/>
      <c r="J340" s="0"/>
      <c r="K340" s="0"/>
      <c r="L340" s="0"/>
      <c r="M340" s="0"/>
      <c r="N340" s="0"/>
      <c r="O340" s="0"/>
      <c r="P340" s="0"/>
      <c r="Q340" s="0"/>
      <c r="R340" s="0"/>
      <c r="S340" s="0"/>
      <c r="T340" s="0"/>
      <c r="U340" s="0"/>
      <c r="V340" s="0"/>
      <c r="W340" s="0"/>
      <c r="X340" s="0"/>
      <c r="Y340" s="0"/>
      <c r="Z340" s="109"/>
      <c r="AA340" s="109"/>
      <c r="AB340" s="109"/>
      <c r="AC340" s="109"/>
      <c r="AD340" s="109"/>
      <c r="AE340" s="109"/>
      <c r="AF340" s="109"/>
      <c r="AG340" s="109"/>
      <c r="AH340" s="109"/>
      <c r="AI340" s="109"/>
      <c r="AJ340" s="109"/>
      <c r="AK340" s="109"/>
      <c r="AL340" s="109"/>
      <c r="AM340" s="109"/>
      <c r="AN340" s="109"/>
      <c r="AO340" s="109"/>
      <c r="AP340" s="109"/>
      <c r="AQ340" s="109"/>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1237"/>
      <c r="BR340" s="1238"/>
      <c r="BS340" s="1238"/>
      <c r="BT340" s="1238"/>
      <c r="BU340" s="1239"/>
      <c r="BV340" s="1239"/>
      <c r="BW340" s="1239"/>
      <c r="BY340" s="1239"/>
      <c r="CA340" s="1243"/>
      <c r="CB340" s="1238"/>
      <c r="CC340" s="1242"/>
      <c r="CD340" s="1239"/>
    </row>
    <row r="341" customFormat="false" ht="12.75" hidden="false" customHeight="false" outlineLevel="0" collapsed="false">
      <c r="A341" s="1237"/>
      <c r="B341" s="1239" t="n">
        <v>0.072501661821941</v>
      </c>
      <c r="C341" s="1218"/>
      <c r="D341" s="0"/>
      <c r="E341" s="0"/>
      <c r="F341" s="0"/>
      <c r="G341" s="0"/>
      <c r="H341" s="0"/>
      <c r="I341" s="0"/>
      <c r="J341" s="0"/>
      <c r="K341" s="0"/>
      <c r="L341" s="0"/>
      <c r="M341" s="0"/>
      <c r="N341" s="0"/>
      <c r="O341" s="0"/>
      <c r="P341" s="0"/>
      <c r="Q341" s="0"/>
      <c r="R341" s="0"/>
      <c r="S341" s="0"/>
      <c r="T341" s="0"/>
      <c r="U341" s="0"/>
      <c r="V341" s="0"/>
      <c r="W341" s="0"/>
      <c r="X341" s="0"/>
      <c r="Y341" s="0"/>
      <c r="Z341" s="109"/>
      <c r="AA341" s="109"/>
      <c r="AB341" s="109"/>
      <c r="AC341" s="109"/>
      <c r="AD341" s="109"/>
      <c r="AE341" s="109"/>
      <c r="AF341" s="109"/>
      <c r="AG341" s="109"/>
      <c r="AH341" s="109"/>
      <c r="AI341" s="109"/>
      <c r="AJ341" s="109"/>
      <c r="AK341" s="109"/>
      <c r="AL341" s="109"/>
      <c r="AM341" s="109"/>
      <c r="AN341" s="109"/>
      <c r="AO341" s="109"/>
      <c r="AP341" s="109"/>
      <c r="AQ341" s="109"/>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1237"/>
      <c r="BR341" s="1238"/>
      <c r="BS341" s="1238"/>
      <c r="BT341" s="1238"/>
      <c r="BU341" s="1239"/>
      <c r="BV341" s="1239"/>
      <c r="BW341" s="1239"/>
      <c r="BY341" s="1239"/>
      <c r="CA341" s="1243"/>
      <c r="CB341" s="1238"/>
      <c r="CC341" s="1242"/>
      <c r="CD341" s="1239"/>
    </row>
    <row r="342" customFormat="false" ht="12.75" hidden="false" customHeight="false" outlineLevel="0" collapsed="false">
      <c r="A342" s="1237"/>
      <c r="B342" s="1239" t="n">
        <v>0.072497255084103</v>
      </c>
      <c r="C342" s="1218"/>
      <c r="D342" s="0"/>
      <c r="E342" s="0"/>
      <c r="F342" s="0"/>
      <c r="G342" s="0"/>
      <c r="H342" s="0"/>
      <c r="I342" s="0"/>
      <c r="J342" s="0"/>
      <c r="K342" s="0"/>
      <c r="L342" s="0"/>
      <c r="M342" s="0"/>
      <c r="N342" s="0"/>
      <c r="O342" s="0"/>
      <c r="P342" s="0"/>
      <c r="Q342" s="0"/>
      <c r="R342" s="0"/>
      <c r="S342" s="0"/>
      <c r="T342" s="0"/>
      <c r="U342" s="0"/>
      <c r="V342" s="0"/>
      <c r="W342" s="0"/>
      <c r="X342" s="0"/>
      <c r="Y342" s="0"/>
      <c r="Z342" s="109"/>
      <c r="AA342" s="109"/>
      <c r="AB342" s="109"/>
      <c r="AC342" s="109"/>
      <c r="AD342" s="109"/>
      <c r="AE342" s="109"/>
      <c r="AF342" s="109"/>
      <c r="AG342" s="109"/>
      <c r="AH342" s="109"/>
      <c r="AI342" s="109"/>
      <c r="AJ342" s="109"/>
      <c r="AK342" s="109"/>
      <c r="AL342" s="109"/>
      <c r="AM342" s="109"/>
      <c r="AN342" s="109"/>
      <c r="AO342" s="109"/>
      <c r="AP342" s="109"/>
      <c r="AQ342" s="109"/>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1237"/>
      <c r="BR342" s="1238"/>
      <c r="BS342" s="1238"/>
      <c r="BT342" s="1238"/>
      <c r="BU342" s="1239"/>
      <c r="BV342" s="1239"/>
      <c r="BW342" s="1239"/>
      <c r="BY342" s="1239"/>
      <c r="CA342" s="1243"/>
      <c r="CB342" s="1238"/>
      <c r="CC342" s="1242"/>
      <c r="CD342" s="1239"/>
    </row>
    <row r="343" customFormat="false" ht="12.75" hidden="false" customHeight="false" outlineLevel="0" collapsed="false">
      <c r="A343" s="1237"/>
      <c r="B343" s="1239" t="n">
        <v>0.072492848346271</v>
      </c>
      <c r="C343" s="1218"/>
      <c r="D343" s="0"/>
      <c r="E343" s="0"/>
      <c r="F343" s="0"/>
      <c r="G343" s="0"/>
      <c r="H343" s="0"/>
      <c r="I343" s="0"/>
      <c r="J343" s="0"/>
      <c r="K343" s="0"/>
      <c r="L343" s="0"/>
      <c r="M343" s="0"/>
      <c r="N343" s="0"/>
      <c r="O343" s="0"/>
      <c r="P343" s="0"/>
      <c r="Q343" s="0"/>
      <c r="R343" s="0"/>
      <c r="S343" s="0"/>
      <c r="T343" s="0"/>
      <c r="U343" s="0"/>
      <c r="V343" s="0"/>
      <c r="W343" s="0"/>
      <c r="X343" s="0"/>
      <c r="Y343" s="0"/>
      <c r="Z343" s="109"/>
      <c r="AA343" s="109"/>
      <c r="AB343" s="109"/>
      <c r="AC343" s="109"/>
      <c r="AD343" s="109"/>
      <c r="AE343" s="109"/>
      <c r="AF343" s="109"/>
      <c r="AG343" s="109"/>
      <c r="AH343" s="109"/>
      <c r="AI343" s="109"/>
      <c r="AJ343" s="109"/>
      <c r="AK343" s="109"/>
      <c r="AL343" s="109"/>
      <c r="AM343" s="109"/>
      <c r="AN343" s="109"/>
      <c r="AO343" s="109"/>
      <c r="AP343" s="109"/>
      <c r="AQ343" s="109"/>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1237"/>
      <c r="BR343" s="1238"/>
      <c r="BS343" s="1238"/>
      <c r="BT343" s="1238"/>
      <c r="BU343" s="1239"/>
      <c r="BV343" s="1239"/>
      <c r="BW343" s="1239"/>
      <c r="BY343" s="1239"/>
      <c r="CA343" s="1243"/>
      <c r="CB343" s="1238"/>
      <c r="CC343" s="1242"/>
      <c r="CD343" s="1239"/>
    </row>
    <row r="344" customFormat="false" ht="12.75" hidden="false" customHeight="false" outlineLevel="0" collapsed="false">
      <c r="A344" s="1237"/>
      <c r="B344" s="1239" t="n">
        <v>0.072488583761279</v>
      </c>
      <c r="C344" s="1218"/>
      <c r="D344" s="0"/>
      <c r="E344" s="0"/>
      <c r="F344" s="0"/>
      <c r="G344" s="0"/>
      <c r="H344" s="0"/>
      <c r="I344" s="0"/>
      <c r="J344" s="0"/>
      <c r="K344" s="0"/>
      <c r="L344" s="0"/>
      <c r="M344" s="0"/>
      <c r="N344" s="0"/>
      <c r="O344" s="0"/>
      <c r="P344" s="0"/>
      <c r="Q344" s="0"/>
      <c r="R344" s="0"/>
      <c r="S344" s="0"/>
      <c r="T344" s="0"/>
      <c r="U344" s="0"/>
      <c r="V344" s="0"/>
      <c r="W344" s="0"/>
      <c r="X344" s="0"/>
      <c r="Y344" s="0"/>
      <c r="Z344" s="109"/>
      <c r="AA344" s="109"/>
      <c r="AB344" s="109"/>
      <c r="AC344" s="109"/>
      <c r="AD344" s="109"/>
      <c r="AE344" s="109"/>
      <c r="AF344" s="109"/>
      <c r="AG344" s="109"/>
      <c r="AH344" s="109"/>
      <c r="AI344" s="109"/>
      <c r="AJ344" s="109"/>
      <c r="AK344" s="109"/>
      <c r="AL344" s="109"/>
      <c r="AM344" s="109"/>
      <c r="AN344" s="109"/>
      <c r="AO344" s="109"/>
      <c r="AP344" s="109"/>
      <c r="AQ344" s="109"/>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1237"/>
      <c r="BR344" s="1238"/>
      <c r="BS344" s="1238"/>
      <c r="BT344" s="1238"/>
      <c r="BU344" s="1239"/>
      <c r="BV344" s="1239"/>
      <c r="BW344" s="1239"/>
      <c r="BY344" s="1239"/>
      <c r="CA344" s="1243"/>
      <c r="CB344" s="1238"/>
      <c r="CC344" s="1242"/>
      <c r="CD344" s="1239"/>
    </row>
    <row r="345" customFormat="false" ht="12.75" hidden="false" customHeight="false" outlineLevel="0" collapsed="false">
      <c r="A345" s="1237"/>
      <c r="B345" s="1239" t="n">
        <v>0.072484177023459</v>
      </c>
      <c r="C345" s="1218"/>
      <c r="D345" s="0"/>
      <c r="E345" s="0"/>
      <c r="F345" s="0"/>
      <c r="G345" s="0"/>
      <c r="H345" s="0"/>
      <c r="I345" s="0"/>
      <c r="J345" s="0"/>
      <c r="K345" s="0"/>
      <c r="L345" s="0"/>
      <c r="M345" s="0"/>
      <c r="N345" s="0"/>
      <c r="O345" s="0"/>
      <c r="P345" s="0"/>
      <c r="Q345" s="0"/>
      <c r="R345" s="0"/>
      <c r="S345" s="0"/>
      <c r="T345" s="0"/>
      <c r="U345" s="0"/>
      <c r="V345" s="0"/>
      <c r="W345" s="0"/>
      <c r="X345" s="0"/>
      <c r="Y345" s="0"/>
      <c r="Z345" s="109"/>
      <c r="AA345" s="109"/>
      <c r="AB345" s="109"/>
      <c r="AC345" s="109"/>
      <c r="AD345" s="109"/>
      <c r="AE345" s="109"/>
      <c r="AF345" s="109"/>
      <c r="AG345" s="109"/>
      <c r="AH345" s="109"/>
      <c r="AI345" s="109"/>
      <c r="AJ345" s="109"/>
      <c r="AK345" s="109"/>
      <c r="AL345" s="109"/>
      <c r="AM345" s="109"/>
      <c r="AN345" s="109"/>
      <c r="AO345" s="109"/>
      <c r="AP345" s="109"/>
      <c r="AQ345" s="109"/>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1237"/>
      <c r="BR345" s="1238"/>
      <c r="BS345" s="1238"/>
      <c r="BT345" s="1238"/>
      <c r="BU345" s="1239"/>
      <c r="BV345" s="1239"/>
      <c r="BW345" s="1239"/>
      <c r="BY345" s="1239"/>
      <c r="CA345" s="1243"/>
      <c r="CB345" s="1238"/>
      <c r="CC345" s="1242"/>
      <c r="CD345" s="1239"/>
    </row>
    <row r="346" customFormat="false" ht="12.75" hidden="false" customHeight="false" outlineLevel="0" collapsed="false">
      <c r="A346" s="1237"/>
      <c r="B346" s="1239" t="n">
        <v>0.07247991243848</v>
      </c>
      <c r="C346" s="1218"/>
      <c r="D346" s="0"/>
      <c r="E346" s="0"/>
      <c r="F346" s="0"/>
      <c r="G346" s="0"/>
      <c r="H346" s="0"/>
      <c r="I346" s="0"/>
      <c r="J346" s="0"/>
      <c r="K346" s="0"/>
      <c r="L346" s="0"/>
      <c r="M346" s="0"/>
      <c r="N346" s="0"/>
      <c r="O346" s="0"/>
      <c r="P346" s="0"/>
      <c r="Q346" s="0"/>
      <c r="R346" s="0"/>
      <c r="S346" s="0"/>
      <c r="T346" s="0"/>
      <c r="U346" s="0"/>
      <c r="V346" s="0"/>
      <c r="W346" s="0"/>
      <c r="X346" s="0"/>
      <c r="Y346" s="0"/>
      <c r="Z346" s="109"/>
      <c r="AA346" s="109"/>
      <c r="AB346" s="109"/>
      <c r="AC346" s="109"/>
      <c r="AD346" s="109"/>
      <c r="AE346" s="109"/>
      <c r="AF346" s="109"/>
      <c r="AG346" s="109"/>
      <c r="AH346" s="109"/>
      <c r="AI346" s="109"/>
      <c r="AJ346" s="109"/>
      <c r="AK346" s="109"/>
      <c r="AL346" s="109"/>
      <c r="AM346" s="109"/>
      <c r="AN346" s="109"/>
      <c r="AO346" s="109"/>
      <c r="AP346" s="109"/>
      <c r="AQ346" s="109"/>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1237"/>
      <c r="BR346" s="1238"/>
      <c r="BS346" s="1238"/>
      <c r="BT346" s="1238"/>
      <c r="BU346" s="1239"/>
      <c r="BV346" s="1239"/>
      <c r="BW346" s="1239"/>
      <c r="BY346" s="1239"/>
      <c r="CA346" s="1243"/>
      <c r="CB346" s="1238"/>
      <c r="CC346" s="1242"/>
      <c r="CD346" s="1239"/>
    </row>
    <row r="347" customFormat="false" ht="12.75" hidden="false" customHeight="false" outlineLevel="0" collapsed="false">
      <c r="A347" s="1237"/>
      <c r="B347" s="1239" t="n">
        <v>0.072475505700673</v>
      </c>
      <c r="C347" s="1218"/>
      <c r="D347" s="0"/>
      <c r="E347" s="0"/>
      <c r="F347" s="0"/>
      <c r="G347" s="0"/>
      <c r="H347" s="0"/>
      <c r="I347" s="0"/>
      <c r="J347" s="0"/>
      <c r="K347" s="0"/>
      <c r="L347" s="0"/>
      <c r="M347" s="0"/>
      <c r="N347" s="0"/>
      <c r="O347" s="0"/>
      <c r="P347" s="0"/>
      <c r="Q347" s="0"/>
      <c r="R347" s="0"/>
      <c r="S347" s="0"/>
      <c r="T347" s="0"/>
      <c r="U347" s="0"/>
      <c r="V347" s="0"/>
      <c r="W347" s="0"/>
      <c r="X347" s="0"/>
      <c r="Y347" s="0"/>
      <c r="Z347" s="109"/>
      <c r="AA347" s="109"/>
      <c r="AB347" s="109"/>
      <c r="AC347" s="109"/>
      <c r="AD347" s="109"/>
      <c r="AE347" s="109"/>
      <c r="AF347" s="109"/>
      <c r="AG347" s="109"/>
      <c r="AH347" s="109"/>
      <c r="AI347" s="109"/>
      <c r="AJ347" s="109"/>
      <c r="AK347" s="109"/>
      <c r="AL347" s="109"/>
      <c r="AM347" s="109"/>
      <c r="AN347" s="109"/>
      <c r="AO347" s="109"/>
      <c r="AP347" s="109"/>
      <c r="AQ347" s="109"/>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1237"/>
      <c r="BR347" s="1238"/>
      <c r="BS347" s="1238"/>
      <c r="BT347" s="1238"/>
      <c r="BU347" s="1239"/>
      <c r="BV347" s="1239"/>
      <c r="BW347" s="1239"/>
      <c r="BY347" s="1239"/>
      <c r="CA347" s="1243"/>
      <c r="CB347" s="1238"/>
      <c r="CC347" s="1242"/>
      <c r="CD347" s="1239"/>
    </row>
    <row r="348" customFormat="false" ht="12.75" hidden="false" customHeight="false" outlineLevel="0" collapsed="false">
      <c r="A348" s="1237"/>
      <c r="B348" s="1239" t="n">
        <v>0.072471098962873</v>
      </c>
      <c r="C348" s="1218"/>
      <c r="D348" s="0"/>
      <c r="E348" s="0"/>
      <c r="F348" s="0"/>
      <c r="G348" s="0"/>
      <c r="H348" s="0"/>
      <c r="I348" s="0"/>
      <c r="J348" s="0"/>
      <c r="K348" s="0"/>
      <c r="L348" s="0"/>
      <c r="M348" s="0"/>
      <c r="N348" s="0"/>
      <c r="O348" s="0"/>
      <c r="P348" s="0"/>
      <c r="Q348" s="0"/>
      <c r="R348" s="0"/>
      <c r="S348" s="0"/>
      <c r="T348" s="0"/>
      <c r="U348" s="0"/>
      <c r="V348" s="0"/>
      <c r="W348" s="0"/>
      <c r="X348" s="0"/>
      <c r="Y348" s="0"/>
      <c r="Z348" s="109"/>
      <c r="AA348" s="109"/>
      <c r="AB348" s="109"/>
      <c r="AC348" s="109"/>
      <c r="AD348" s="109"/>
      <c r="AE348" s="109"/>
      <c r="AF348" s="109"/>
      <c r="AG348" s="109"/>
      <c r="AH348" s="109"/>
      <c r="AI348" s="109"/>
      <c r="AJ348" s="109"/>
      <c r="AK348" s="109"/>
      <c r="AL348" s="109"/>
      <c r="AM348" s="109"/>
      <c r="AN348" s="109"/>
      <c r="AO348" s="109"/>
      <c r="AP348" s="109"/>
      <c r="AQ348" s="109"/>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1237"/>
      <c r="BR348" s="1238"/>
      <c r="BS348" s="1238"/>
      <c r="BT348" s="1238"/>
      <c r="BU348" s="1239"/>
      <c r="BV348" s="1239"/>
      <c r="BW348" s="1239"/>
      <c r="BY348" s="1239"/>
      <c r="CA348" s="1243"/>
      <c r="CB348" s="1238"/>
      <c r="CC348" s="1242"/>
      <c r="CD348" s="1239"/>
    </row>
    <row r="349" customFormat="false" ht="12.75" hidden="false" customHeight="false" outlineLevel="0" collapsed="false">
      <c r="A349" s="1237"/>
      <c r="B349" s="1239" t="n">
        <v>0.072467118683575</v>
      </c>
      <c r="C349" s="1218"/>
      <c r="D349" s="0"/>
      <c r="E349" s="0"/>
      <c r="F349" s="0"/>
      <c r="G349" s="0"/>
      <c r="H349" s="0"/>
      <c r="I349" s="0"/>
      <c r="J349" s="0"/>
      <c r="K349" s="0"/>
      <c r="L349" s="0"/>
      <c r="M349" s="0"/>
      <c r="N349" s="0"/>
      <c r="O349" s="0"/>
      <c r="P349" s="0"/>
      <c r="Q349" s="0"/>
      <c r="R349" s="0"/>
      <c r="S349" s="0"/>
      <c r="T349" s="0"/>
      <c r="U349" s="0"/>
      <c r="V349" s="0"/>
      <c r="W349" s="0"/>
      <c r="X349" s="0"/>
      <c r="Y349" s="0"/>
      <c r="Z349" s="109"/>
      <c r="AA349" s="109"/>
      <c r="AB349" s="109"/>
      <c r="AC349" s="109"/>
      <c r="AD349" s="109"/>
      <c r="AE349" s="109"/>
      <c r="AF349" s="109"/>
      <c r="AG349" s="109"/>
      <c r="AH349" s="109"/>
      <c r="AI349" s="109"/>
      <c r="AJ349" s="109"/>
      <c r="AK349" s="109"/>
      <c r="AL349" s="109"/>
      <c r="AM349" s="109"/>
      <c r="AN349" s="109"/>
      <c r="AO349" s="109"/>
      <c r="AP349" s="109"/>
      <c r="AQ349" s="109"/>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1237"/>
      <c r="BR349" s="1238"/>
      <c r="BS349" s="1238"/>
      <c r="BT349" s="1238"/>
      <c r="BU349" s="1239"/>
      <c r="BV349" s="1239"/>
      <c r="BW349" s="1239"/>
      <c r="BY349" s="1239"/>
      <c r="CA349" s="1243"/>
      <c r="CB349" s="1238"/>
      <c r="CC349" s="1242"/>
      <c r="CD349" s="1239"/>
    </row>
    <row r="350" customFormat="false" ht="12.75" hidden="false" customHeight="false" outlineLevel="0" collapsed="false">
      <c r="A350" s="1237"/>
      <c r="B350" s="1239" t="n">
        <v>0.072462711945787</v>
      </c>
      <c r="C350" s="1218"/>
      <c r="D350" s="0"/>
      <c r="E350" s="0"/>
      <c r="F350" s="0"/>
      <c r="G350" s="0"/>
      <c r="H350" s="0"/>
      <c r="I350" s="0"/>
      <c r="J350" s="0"/>
      <c r="K350" s="0"/>
      <c r="L350" s="0"/>
      <c r="M350" s="0"/>
      <c r="N350" s="0"/>
      <c r="O350" s="0"/>
      <c r="P350" s="0"/>
      <c r="Q350" s="0"/>
      <c r="R350" s="0"/>
      <c r="S350" s="0"/>
      <c r="T350" s="0"/>
      <c r="U350" s="0"/>
      <c r="V350" s="0"/>
      <c r="W350" s="0"/>
      <c r="X350" s="0"/>
      <c r="Y350" s="0"/>
      <c r="Z350" s="109"/>
      <c r="AA350" s="109"/>
      <c r="AB350" s="109"/>
      <c r="AC350" s="109"/>
      <c r="AD350" s="109"/>
      <c r="AE350" s="109"/>
      <c r="AF350" s="109"/>
      <c r="AG350" s="109"/>
      <c r="AH350" s="109"/>
      <c r="AI350" s="109"/>
      <c r="AJ350" s="109"/>
      <c r="AK350" s="109"/>
      <c r="AL350" s="109"/>
      <c r="AM350" s="109"/>
      <c r="AN350" s="109"/>
      <c r="AO350" s="109"/>
      <c r="AP350" s="109"/>
      <c r="AQ350" s="109"/>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1237"/>
      <c r="BR350" s="1238"/>
      <c r="BS350" s="1238"/>
      <c r="BT350" s="1238"/>
      <c r="BU350" s="1239"/>
      <c r="BV350" s="1239"/>
      <c r="BW350" s="1239"/>
      <c r="BY350" s="1239"/>
      <c r="CA350" s="1243"/>
      <c r="CB350" s="1238"/>
      <c r="CC350" s="1242"/>
      <c r="CD350" s="1239"/>
    </row>
    <row r="351" customFormat="false" ht="12.75" hidden="false" customHeight="false" outlineLevel="0" collapsed="false">
      <c r="A351" s="1237"/>
      <c r="B351" s="1239" t="n">
        <v>0.072458447360837</v>
      </c>
      <c r="C351" s="1218"/>
      <c r="D351" s="0"/>
      <c r="E351" s="0"/>
      <c r="F351" s="0"/>
      <c r="G351" s="0"/>
      <c r="H351" s="0"/>
      <c r="I351" s="0"/>
      <c r="J351" s="0"/>
      <c r="K351" s="0"/>
      <c r="L351" s="0"/>
      <c r="M351" s="0"/>
      <c r="N351" s="0"/>
      <c r="O351" s="0"/>
      <c r="P351" s="0"/>
      <c r="Q351" s="0"/>
      <c r="R351" s="0"/>
      <c r="S351" s="0"/>
      <c r="T351" s="0"/>
      <c r="U351" s="0"/>
      <c r="V351" s="0"/>
      <c r="W351" s="0"/>
      <c r="X351" s="0"/>
      <c r="Y351" s="0"/>
      <c r="Z351" s="109"/>
      <c r="AA351" s="109"/>
      <c r="AB351" s="109"/>
      <c r="AC351" s="109"/>
      <c r="AD351" s="109"/>
      <c r="AE351" s="109"/>
      <c r="AF351" s="109"/>
      <c r="AG351" s="109"/>
      <c r="AH351" s="109"/>
      <c r="AI351" s="109"/>
      <c r="AJ351" s="109"/>
      <c r="AK351" s="109"/>
      <c r="AL351" s="109"/>
      <c r="AM351" s="109"/>
      <c r="AN351" s="109"/>
      <c r="AO351" s="109"/>
      <c r="AP351" s="109"/>
      <c r="AQ351" s="109"/>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1237"/>
      <c r="BR351" s="1238"/>
      <c r="BS351" s="1238"/>
      <c r="BT351" s="1238"/>
      <c r="BU351" s="1239"/>
      <c r="BV351" s="1239"/>
      <c r="BW351" s="1239"/>
      <c r="BY351" s="1239"/>
      <c r="CA351" s="1243"/>
      <c r="CB351" s="1238"/>
      <c r="CC351" s="1242"/>
      <c r="CD351" s="1239"/>
    </row>
    <row r="352" customFormat="false" ht="12.75" hidden="false" customHeight="false" outlineLevel="0" collapsed="false">
      <c r="A352" s="1237"/>
      <c r="B352" s="1239" t="n">
        <v>0.072454040623062</v>
      </c>
      <c r="C352" s="1218"/>
      <c r="D352" s="0"/>
      <c r="E352" s="0"/>
      <c r="F352" s="0"/>
      <c r="G352" s="0"/>
      <c r="H352" s="0"/>
      <c r="I352" s="0"/>
      <c r="J352" s="0"/>
      <c r="K352" s="0"/>
      <c r="L352" s="0"/>
      <c r="M352" s="0"/>
      <c r="N352" s="0"/>
      <c r="O352" s="0"/>
      <c r="P352" s="0"/>
      <c r="Q352" s="0"/>
      <c r="R352" s="0"/>
      <c r="S352" s="0"/>
      <c r="T352" s="0"/>
      <c r="U352" s="0"/>
      <c r="V352" s="0"/>
      <c r="W352" s="0"/>
      <c r="X352" s="0"/>
      <c r="Y352" s="0"/>
      <c r="Z352" s="109"/>
      <c r="AA352" s="109"/>
      <c r="AB352" s="109"/>
      <c r="AC352" s="109"/>
      <c r="AD352" s="109"/>
      <c r="AE352" s="109"/>
      <c r="AF352" s="109"/>
      <c r="AG352" s="109"/>
      <c r="AH352" s="109"/>
      <c r="AI352" s="109"/>
      <c r="AJ352" s="109"/>
      <c r="AK352" s="109"/>
      <c r="AL352" s="109"/>
      <c r="AM352" s="109"/>
      <c r="AN352" s="109"/>
      <c r="AO352" s="109"/>
      <c r="AP352" s="109"/>
      <c r="AQ352" s="109"/>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1237"/>
      <c r="BR352" s="1238"/>
      <c r="BS352" s="1238"/>
      <c r="BT352" s="1238"/>
      <c r="BU352" s="1239"/>
      <c r="BV352" s="1239"/>
      <c r="BW352" s="1239"/>
      <c r="BY352" s="1239"/>
      <c r="CA352" s="1243"/>
      <c r="CB352" s="1238"/>
      <c r="CC352" s="1242"/>
      <c r="CD352" s="1239"/>
    </row>
    <row r="353" customFormat="false" ht="12.75" hidden="false" customHeight="false" outlineLevel="0" collapsed="false">
      <c r="A353" s="1237"/>
      <c r="B353" s="1239" t="n">
        <v>0.072449776038125</v>
      </c>
      <c r="C353" s="1218"/>
      <c r="D353" s="0"/>
      <c r="E353" s="0"/>
      <c r="F353" s="0"/>
      <c r="G353" s="0"/>
      <c r="H353" s="0"/>
      <c r="I353" s="0"/>
      <c r="J353" s="0"/>
      <c r="K353" s="0"/>
      <c r="L353" s="0"/>
      <c r="M353" s="0"/>
      <c r="N353" s="0"/>
      <c r="O353" s="0"/>
      <c r="P353" s="0"/>
      <c r="Q353" s="0"/>
      <c r="R353" s="0"/>
      <c r="S353" s="0"/>
      <c r="T353" s="0"/>
      <c r="U353" s="0"/>
      <c r="V353" s="0"/>
      <c r="W353" s="0"/>
      <c r="X353" s="0"/>
      <c r="Y353" s="0"/>
      <c r="Z353" s="109"/>
      <c r="AA353" s="109"/>
      <c r="AB353" s="109"/>
      <c r="AC353" s="109"/>
      <c r="AD353" s="109"/>
      <c r="AE353" s="109"/>
      <c r="AF353" s="109"/>
      <c r="AG353" s="109"/>
      <c r="AH353" s="109"/>
      <c r="AI353" s="109"/>
      <c r="AJ353" s="109"/>
      <c r="AK353" s="109"/>
      <c r="AL353" s="109"/>
      <c r="AM353" s="109"/>
      <c r="AN353" s="109"/>
      <c r="AO353" s="109"/>
      <c r="AP353" s="109"/>
      <c r="AQ353" s="109"/>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1237"/>
      <c r="BR353" s="1238"/>
      <c r="BS353" s="1238"/>
      <c r="BT353" s="1238"/>
      <c r="BU353" s="1239"/>
      <c r="BV353" s="1239"/>
      <c r="BW353" s="1239"/>
      <c r="BY353" s="1239"/>
      <c r="CA353" s="1243"/>
      <c r="CB353" s="1238"/>
      <c r="CC353" s="1242"/>
      <c r="CD353" s="1239"/>
    </row>
    <row r="354" customFormat="false" ht="12.75" hidden="false" customHeight="false" outlineLevel="0" collapsed="false">
      <c r="A354" s="1237"/>
      <c r="B354" s="1239" t="n">
        <v>0.072445369300362</v>
      </c>
      <c r="C354" s="1218"/>
      <c r="D354" s="0"/>
      <c r="E354" s="0"/>
      <c r="F354" s="0"/>
      <c r="G354" s="0"/>
      <c r="H354" s="0"/>
      <c r="I354" s="0"/>
      <c r="J354" s="0"/>
      <c r="K354" s="0"/>
      <c r="L354" s="0"/>
      <c r="M354" s="0"/>
      <c r="N354" s="0"/>
      <c r="O354" s="0"/>
      <c r="P354" s="0"/>
      <c r="Q354" s="0"/>
      <c r="R354" s="0"/>
      <c r="S354" s="0"/>
      <c r="T354" s="0"/>
      <c r="U354" s="0"/>
      <c r="V354" s="0"/>
      <c r="W354" s="0"/>
      <c r="X354" s="0"/>
      <c r="Y354" s="0"/>
      <c r="Z354" s="109"/>
      <c r="AA354" s="109"/>
      <c r="AB354" s="109"/>
      <c r="AC354" s="109"/>
      <c r="AD354" s="109"/>
      <c r="AE354" s="109"/>
      <c r="AF354" s="109"/>
      <c r="AG354" s="109"/>
      <c r="AH354" s="109"/>
      <c r="AI354" s="109"/>
      <c r="AJ354" s="109"/>
      <c r="AK354" s="109"/>
      <c r="AL354" s="109"/>
      <c r="AM354" s="109"/>
      <c r="AN354" s="109"/>
      <c r="AO354" s="109"/>
      <c r="AP354" s="109"/>
      <c r="AQ354" s="109"/>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1237"/>
      <c r="BR354" s="1238"/>
      <c r="BS354" s="1238"/>
      <c r="BT354" s="1238"/>
      <c r="BU354" s="1239"/>
      <c r="BV354" s="1239"/>
      <c r="BW354" s="1239"/>
      <c r="BY354" s="1239"/>
      <c r="CA354" s="1243"/>
      <c r="CB354" s="1238"/>
      <c r="CC354" s="1242"/>
      <c r="CD354" s="1239"/>
    </row>
    <row r="355" customFormat="false" ht="12.75" hidden="false" customHeight="false" outlineLevel="0" collapsed="false">
      <c r="A355" s="1237"/>
      <c r="B355" s="1239" t="n">
        <v>0.072440962562606</v>
      </c>
      <c r="C355" s="1218"/>
      <c r="D355" s="0"/>
      <c r="E355" s="0"/>
      <c r="F355" s="0"/>
      <c r="G355" s="0"/>
      <c r="H355" s="0"/>
      <c r="I355" s="0"/>
      <c r="J355" s="0"/>
      <c r="K355" s="0"/>
      <c r="L355" s="0"/>
      <c r="M355" s="0"/>
      <c r="N355" s="0"/>
      <c r="O355" s="0"/>
      <c r="P355" s="0"/>
      <c r="Q355" s="0"/>
      <c r="R355" s="0"/>
      <c r="S355" s="0"/>
      <c r="T355" s="0"/>
      <c r="U355" s="0"/>
      <c r="V355" s="0"/>
      <c r="W355" s="0"/>
      <c r="X355" s="0"/>
      <c r="Y355" s="0"/>
      <c r="Z355" s="109"/>
      <c r="AA355" s="109"/>
      <c r="AB355" s="109"/>
      <c r="AC355" s="109"/>
      <c r="AD355" s="109"/>
      <c r="AE355" s="109"/>
      <c r="AF355" s="109"/>
      <c r="AG355" s="109"/>
      <c r="AH355" s="109"/>
      <c r="AI355" s="109"/>
      <c r="AJ355" s="109"/>
      <c r="AK355" s="109"/>
      <c r="AL355" s="109"/>
      <c r="AM355" s="109"/>
      <c r="AN355" s="109"/>
      <c r="AO355" s="109"/>
      <c r="AP355" s="109"/>
      <c r="AQ355" s="109"/>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1237"/>
      <c r="BR355" s="1238"/>
      <c r="BS355" s="1238"/>
      <c r="BT355" s="1238"/>
      <c r="BU355" s="1239"/>
      <c r="BV355" s="1239"/>
      <c r="BW355" s="1239"/>
      <c r="BY355" s="1239"/>
      <c r="CA355" s="1243"/>
      <c r="CB355" s="1238"/>
      <c r="CC355" s="1242"/>
      <c r="CD355" s="1239"/>
    </row>
    <row r="356" customFormat="false" ht="12.75" hidden="false" customHeight="false" outlineLevel="0" collapsed="false">
      <c r="A356" s="1237"/>
      <c r="B356" s="1239" t="n">
        <v>0.072436697977686</v>
      </c>
      <c r="C356" s="1218"/>
      <c r="D356" s="0"/>
      <c r="E356" s="0"/>
      <c r="F356" s="0"/>
      <c r="G356" s="0"/>
      <c r="H356" s="0"/>
      <c r="I356" s="0"/>
      <c r="J356" s="0"/>
      <c r="K356" s="0"/>
      <c r="L356" s="0"/>
      <c r="M356" s="0"/>
      <c r="N356" s="0"/>
      <c r="O356" s="0"/>
      <c r="P356" s="0"/>
      <c r="Q356" s="0"/>
      <c r="R356" s="0"/>
      <c r="S356" s="0"/>
      <c r="T356" s="0"/>
      <c r="U356" s="0"/>
      <c r="V356" s="0"/>
      <c r="W356" s="0"/>
      <c r="X356" s="0"/>
      <c r="Y356" s="0"/>
      <c r="Z356" s="109"/>
      <c r="AA356" s="109"/>
      <c r="AB356" s="109"/>
      <c r="AC356" s="109"/>
      <c r="AD356" s="109"/>
      <c r="AE356" s="109"/>
      <c r="AF356" s="109"/>
      <c r="AG356" s="109"/>
      <c r="AH356" s="109"/>
      <c r="AI356" s="109"/>
      <c r="AJ356" s="109"/>
      <c r="AK356" s="109"/>
      <c r="AL356" s="109"/>
      <c r="AM356" s="109"/>
      <c r="AN356" s="109"/>
      <c r="AO356" s="109"/>
      <c r="AP356" s="109"/>
      <c r="AQ356" s="109"/>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1237"/>
      <c r="BR356" s="1238"/>
      <c r="BS356" s="1238"/>
      <c r="BT356" s="1238"/>
      <c r="BU356" s="1239"/>
      <c r="BV356" s="1239"/>
      <c r="BW356" s="1239"/>
      <c r="BY356" s="1239"/>
      <c r="CA356" s="1243"/>
      <c r="CB356" s="1238"/>
      <c r="CC356" s="1242"/>
      <c r="CD356" s="1239"/>
    </row>
    <row r="357" customFormat="false" ht="12.75" hidden="false" customHeight="false" outlineLevel="0" collapsed="false">
      <c r="A357" s="1237"/>
      <c r="B357" s="1239" t="n">
        <v>0.072432291239943</v>
      </c>
      <c r="C357" s="1218"/>
      <c r="D357" s="0"/>
      <c r="E357" s="0"/>
      <c r="F357" s="0"/>
      <c r="G357" s="0"/>
      <c r="H357" s="0"/>
      <c r="I357" s="0"/>
      <c r="J357" s="0"/>
      <c r="K357" s="0"/>
      <c r="L357" s="0"/>
      <c r="M357" s="0"/>
      <c r="N357" s="0"/>
      <c r="O357" s="0"/>
      <c r="P357" s="0"/>
      <c r="Q357" s="0"/>
      <c r="R357" s="0"/>
      <c r="S357" s="0"/>
      <c r="T357" s="0"/>
      <c r="U357" s="0"/>
      <c r="V357" s="0"/>
      <c r="W357" s="0"/>
      <c r="X357" s="0"/>
      <c r="Y357" s="0"/>
      <c r="Z357" s="109"/>
      <c r="AA357" s="109"/>
      <c r="AB357" s="109"/>
      <c r="AC357" s="109"/>
      <c r="AD357" s="109"/>
      <c r="AE357" s="109"/>
      <c r="AF357" s="109"/>
      <c r="AG357" s="109"/>
      <c r="AH357" s="109"/>
      <c r="AI357" s="109"/>
      <c r="AJ357" s="109"/>
      <c r="AK357" s="109"/>
      <c r="AL357" s="109"/>
      <c r="AM357" s="109"/>
      <c r="AN357" s="109"/>
      <c r="AO357" s="109"/>
      <c r="AP357" s="109"/>
      <c r="AQ357" s="109"/>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1237"/>
      <c r="BR357" s="1238"/>
      <c r="BS357" s="1238"/>
      <c r="BT357" s="1238"/>
      <c r="BU357" s="1239"/>
      <c r="BV357" s="1239"/>
      <c r="BW357" s="1239"/>
      <c r="BY357" s="1239"/>
      <c r="CA357" s="1243"/>
      <c r="CB357" s="1238"/>
      <c r="CC357" s="1242"/>
      <c r="CD357" s="1239"/>
    </row>
    <row r="358" customFormat="false" ht="12.75" hidden="false" customHeight="false" outlineLevel="0" collapsed="false">
      <c r="A358" s="1237"/>
      <c r="B358" s="1239" t="n">
        <v>0.072428026655036</v>
      </c>
      <c r="C358" s="1218"/>
      <c r="D358" s="0"/>
      <c r="E358" s="0"/>
      <c r="F358" s="0"/>
      <c r="G358" s="0"/>
      <c r="H358" s="0"/>
      <c r="I358" s="0"/>
      <c r="J358" s="0"/>
      <c r="K358" s="0"/>
      <c r="L358" s="0"/>
      <c r="M358" s="0"/>
      <c r="N358" s="0"/>
      <c r="O358" s="0"/>
      <c r="P358" s="0"/>
      <c r="Q358" s="0"/>
      <c r="R358" s="0"/>
      <c r="S358" s="0"/>
      <c r="T358" s="0"/>
      <c r="U358" s="0"/>
      <c r="V358" s="0"/>
      <c r="W358" s="0"/>
      <c r="X358" s="0"/>
      <c r="Y358" s="0"/>
      <c r="Z358" s="109"/>
      <c r="AA358" s="109"/>
      <c r="AB358" s="109"/>
      <c r="AC358" s="109"/>
      <c r="AD358" s="109"/>
      <c r="AE358" s="109"/>
      <c r="AF358" s="109"/>
      <c r="AG358" s="109"/>
      <c r="AH358" s="109"/>
      <c r="AI358" s="109"/>
      <c r="AJ358" s="109"/>
      <c r="AK358" s="109"/>
      <c r="AL358" s="109"/>
      <c r="AM358" s="109"/>
      <c r="AN358" s="109"/>
      <c r="AO358" s="109"/>
      <c r="AP358" s="109"/>
      <c r="AQ358" s="109"/>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1237"/>
      <c r="BR358" s="1238"/>
      <c r="BS358" s="1238"/>
      <c r="BT358" s="1238"/>
      <c r="BU358" s="1239"/>
      <c r="BV358" s="1239"/>
      <c r="BW358" s="1239"/>
      <c r="BY358" s="1239"/>
      <c r="CA358" s="1243"/>
      <c r="CB358" s="1238"/>
      <c r="CC358" s="1242"/>
      <c r="CD358" s="1239"/>
    </row>
    <row r="359" customFormat="false" ht="12.75" hidden="false" customHeight="false" outlineLevel="0" collapsed="false">
      <c r="A359" s="1237"/>
      <c r="B359" s="1239" t="n">
        <v>0.072423619917305</v>
      </c>
      <c r="C359" s="1218"/>
      <c r="D359" s="0"/>
      <c r="E359" s="0"/>
      <c r="F359" s="0"/>
      <c r="G359" s="0"/>
      <c r="H359" s="0"/>
      <c r="I359" s="0"/>
      <c r="J359" s="0"/>
      <c r="K359" s="0"/>
      <c r="L359" s="0"/>
      <c r="M359" s="0"/>
      <c r="N359" s="0"/>
      <c r="O359" s="0"/>
      <c r="P359" s="0"/>
      <c r="Q359" s="0"/>
      <c r="R359" s="0"/>
      <c r="S359" s="0"/>
      <c r="T359" s="0"/>
      <c r="U359" s="0"/>
      <c r="V359" s="0"/>
      <c r="W359" s="0"/>
      <c r="X359" s="0"/>
      <c r="Y359" s="0"/>
      <c r="Z359" s="109"/>
      <c r="AA359" s="109"/>
      <c r="AB359" s="109"/>
      <c r="AC359" s="109"/>
      <c r="AD359" s="109"/>
      <c r="AE359" s="109"/>
      <c r="AF359" s="109"/>
      <c r="AG359" s="109"/>
      <c r="AH359" s="109"/>
      <c r="AI359" s="109"/>
      <c r="AJ359" s="109"/>
      <c r="AK359" s="109"/>
      <c r="AL359" s="109"/>
      <c r="AM359" s="109"/>
      <c r="AN359" s="109"/>
      <c r="AO359" s="109"/>
      <c r="AP359" s="109"/>
      <c r="AQ359" s="109"/>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1237"/>
      <c r="BR359" s="1238"/>
      <c r="BS359" s="1238"/>
      <c r="BT359" s="1238"/>
      <c r="BU359" s="1239"/>
      <c r="BV359" s="1239"/>
      <c r="BW359" s="1239"/>
      <c r="BY359" s="1239"/>
      <c r="CA359" s="1243"/>
      <c r="CB359" s="1238"/>
      <c r="CC359" s="1242"/>
      <c r="CD359" s="1239"/>
    </row>
    <row r="360" customFormat="false" ht="12.75" hidden="false" customHeight="false" outlineLevel="0" collapsed="false">
      <c r="A360" s="1237"/>
      <c r="B360" s="1239" t="n">
        <v>0.072419213179581</v>
      </c>
      <c r="C360" s="1218"/>
      <c r="D360" s="0"/>
      <c r="E360" s="0"/>
      <c r="F360" s="0"/>
      <c r="G360" s="0"/>
      <c r="H360" s="0"/>
      <c r="I360" s="0"/>
      <c r="J360" s="0"/>
      <c r="K360" s="0"/>
      <c r="L360" s="0"/>
      <c r="M360" s="0"/>
      <c r="N360" s="0"/>
      <c r="O360" s="0"/>
      <c r="P360" s="0"/>
      <c r="Q360" s="0"/>
      <c r="R360" s="0"/>
      <c r="S360" s="0"/>
      <c r="T360" s="0"/>
      <c r="U360" s="0"/>
      <c r="V360" s="0"/>
      <c r="W360" s="0"/>
      <c r="X360" s="0"/>
      <c r="Y360" s="0"/>
      <c r="Z360" s="109"/>
      <c r="AA360" s="109"/>
      <c r="AB360" s="109"/>
      <c r="AC360" s="109"/>
      <c r="AD360" s="109"/>
      <c r="AE360" s="109"/>
      <c r="AF360" s="109"/>
      <c r="AG360" s="109"/>
      <c r="AH360" s="109"/>
      <c r="AI360" s="109"/>
      <c r="AJ360" s="109"/>
      <c r="AK360" s="109"/>
      <c r="AL360" s="109"/>
      <c r="AM360" s="109"/>
      <c r="AN360" s="109"/>
      <c r="AO360" s="109"/>
      <c r="AP360" s="109"/>
      <c r="AQ360" s="109"/>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1237"/>
      <c r="BR360" s="1238"/>
      <c r="BS360" s="1238"/>
      <c r="BT360" s="1238"/>
      <c r="BU360" s="1239"/>
      <c r="BV360" s="1239"/>
      <c r="BW360" s="1239"/>
      <c r="BY360" s="1239"/>
      <c r="CA360" s="1243"/>
      <c r="CB360" s="1238"/>
      <c r="CC360" s="1242"/>
      <c r="CD360" s="1239"/>
    </row>
    <row r="361" customFormat="false" ht="12.75" hidden="false" customHeight="false" outlineLevel="0" collapsed="false">
      <c r="A361" s="1237"/>
      <c r="B361" s="1239" t="n">
        <v>0.072415232900351</v>
      </c>
      <c r="C361" s="1218"/>
      <c r="D361" s="0"/>
      <c r="E361" s="0"/>
      <c r="F361" s="0"/>
      <c r="G361" s="0"/>
      <c r="H361" s="0"/>
      <c r="I361" s="0"/>
      <c r="J361" s="0"/>
      <c r="K361" s="0"/>
      <c r="L361" s="0"/>
      <c r="M361" s="0"/>
      <c r="N361" s="0"/>
      <c r="O361" s="0"/>
      <c r="P361" s="0"/>
      <c r="Q361" s="0"/>
      <c r="R361" s="0"/>
      <c r="S361" s="0"/>
      <c r="T361" s="0"/>
      <c r="U361" s="0"/>
      <c r="V361" s="0"/>
      <c r="W361" s="0"/>
      <c r="X361" s="0"/>
      <c r="Y361" s="0"/>
      <c r="Z361" s="109"/>
      <c r="AA361" s="109"/>
      <c r="AB361" s="109"/>
      <c r="AC361" s="109"/>
      <c r="AD361" s="109"/>
      <c r="AE361" s="109"/>
      <c r="AF361" s="109"/>
      <c r="AG361" s="109"/>
      <c r="AH361" s="109"/>
      <c r="AI361" s="109"/>
      <c r="AJ361" s="109"/>
      <c r="AK361" s="109"/>
      <c r="AL361" s="109"/>
      <c r="AM361" s="109"/>
      <c r="AN361" s="109"/>
      <c r="AO361" s="109"/>
      <c r="AP361" s="109"/>
      <c r="AQ361" s="109"/>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1237"/>
      <c r="BR361" s="1238"/>
      <c r="BS361" s="1238"/>
      <c r="BT361" s="1238"/>
      <c r="BU361" s="1239"/>
      <c r="BV361" s="1239"/>
      <c r="BW361" s="1239"/>
      <c r="BY361" s="1239"/>
      <c r="CA361" s="1243"/>
      <c r="CB361" s="1238"/>
      <c r="CC361" s="1242"/>
      <c r="CD361" s="1239"/>
    </row>
    <row r="362" customFormat="false" ht="12.75" hidden="false" customHeight="false" outlineLevel="0" collapsed="false">
      <c r="A362" s="1237"/>
      <c r="B362" s="1239" t="n">
        <v>0.072410826162638</v>
      </c>
      <c r="C362" s="1218"/>
      <c r="D362" s="0"/>
      <c r="E362" s="0"/>
      <c r="F362" s="0"/>
      <c r="G362" s="0"/>
      <c r="H362" s="0"/>
      <c r="I362" s="0"/>
      <c r="J362" s="0"/>
      <c r="K362" s="0"/>
      <c r="L362" s="0"/>
      <c r="M362" s="0"/>
      <c r="N362" s="0"/>
      <c r="O362" s="0"/>
      <c r="P362" s="0"/>
      <c r="Q362" s="0"/>
      <c r="R362" s="0"/>
      <c r="S362" s="0"/>
      <c r="T362" s="0"/>
      <c r="U362" s="0"/>
      <c r="V362" s="0"/>
      <c r="W362" s="0"/>
      <c r="X362" s="0"/>
      <c r="Y362" s="0"/>
      <c r="Z362" s="109"/>
      <c r="AA362" s="109"/>
      <c r="AB362" s="109"/>
      <c r="AC362" s="109"/>
      <c r="AD362" s="109"/>
      <c r="AE362" s="109"/>
      <c r="AF362" s="109"/>
      <c r="AG362" s="109"/>
      <c r="AH362" s="109"/>
      <c r="AI362" s="109"/>
      <c r="AJ362" s="109"/>
      <c r="AK362" s="109"/>
      <c r="AL362" s="109"/>
      <c r="AM362" s="109"/>
      <c r="AN362" s="109"/>
      <c r="AO362" s="109"/>
      <c r="AP362" s="109"/>
      <c r="AQ362" s="109"/>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1237"/>
      <c r="BR362" s="1238"/>
      <c r="BS362" s="1238"/>
      <c r="BT362" s="1238"/>
      <c r="BU362" s="1239"/>
      <c r="BV362" s="1239"/>
      <c r="BW362" s="1239"/>
      <c r="BY362" s="1239"/>
      <c r="CA362" s="1243"/>
      <c r="CB362" s="1238"/>
      <c r="CC362" s="1242"/>
      <c r="CD362" s="1239"/>
    </row>
    <row r="363" customFormat="false" ht="12.75" hidden="false" customHeight="false" outlineLevel="0" collapsed="false">
      <c r="B363" s="1239"/>
      <c r="C363" s="1218"/>
      <c r="D363" s="0"/>
      <c r="E363" s="0"/>
      <c r="F363" s="0"/>
      <c r="G363" s="0"/>
      <c r="H363" s="0"/>
      <c r="I363" s="0"/>
      <c r="J363" s="0"/>
      <c r="K363" s="0"/>
      <c r="L363" s="0"/>
      <c r="M363" s="0"/>
      <c r="N363" s="0"/>
      <c r="O363" s="0"/>
      <c r="P363" s="0"/>
      <c r="Q363" s="0"/>
      <c r="R363" s="0"/>
      <c r="S363" s="0"/>
      <c r="T363" s="0"/>
      <c r="U363" s="0"/>
      <c r="V363" s="0"/>
      <c r="W363" s="0"/>
      <c r="X363" s="0"/>
      <c r="Y363" s="0"/>
      <c r="Z363" s="109"/>
      <c r="AA363" s="109"/>
      <c r="AB363" s="109"/>
      <c r="AC363" s="109"/>
      <c r="AD363" s="109"/>
      <c r="AE363" s="109"/>
      <c r="AF363" s="109"/>
      <c r="AG363" s="109"/>
      <c r="AH363" s="109"/>
      <c r="AI363" s="109"/>
      <c r="AJ363" s="109"/>
      <c r="AK363" s="109"/>
      <c r="AL363" s="109"/>
      <c r="AM363" s="109"/>
      <c r="AN363" s="109"/>
      <c r="AO363" s="109"/>
      <c r="AP363" s="109"/>
      <c r="AQ363" s="109"/>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1237"/>
      <c r="BR363" s="1238"/>
      <c r="BS363" s="1238"/>
      <c r="BT363" s="1238"/>
      <c r="BU363" s="1239"/>
      <c r="BV363" s="1239"/>
      <c r="BW363" s="1239"/>
      <c r="BY363" s="1239"/>
      <c r="CA363" s="1243"/>
      <c r="CB363" s="1238"/>
      <c r="CC363" s="1242"/>
      <c r="CD363" s="1239"/>
    </row>
    <row r="364" customFormat="false" ht="12.75" hidden="false" customHeight="false" outlineLevel="0" collapsed="false">
      <c r="B364" s="1239"/>
      <c r="C364" s="1218"/>
      <c r="D364" s="0"/>
      <c r="E364" s="0"/>
      <c r="F364" s="0"/>
      <c r="G364" s="0"/>
      <c r="H364" s="0"/>
      <c r="I364" s="0"/>
      <c r="J364" s="0"/>
      <c r="K364" s="0"/>
      <c r="L364" s="0"/>
      <c r="M364" s="0"/>
      <c r="N364" s="0"/>
      <c r="O364" s="0"/>
      <c r="P364" s="0"/>
      <c r="Q364" s="0"/>
      <c r="R364" s="0"/>
      <c r="S364" s="0"/>
      <c r="T364" s="0"/>
      <c r="U364" s="0"/>
      <c r="V364" s="0"/>
      <c r="W364" s="0"/>
      <c r="X364" s="0"/>
      <c r="Y364" s="0"/>
      <c r="Z364" s="109"/>
      <c r="AA364" s="109"/>
      <c r="AB364" s="109"/>
      <c r="AC364" s="109"/>
      <c r="AD364" s="109"/>
      <c r="AE364" s="109"/>
      <c r="AF364" s="109"/>
      <c r="AG364" s="109"/>
      <c r="AH364" s="109"/>
      <c r="AI364" s="109"/>
      <c r="AJ364" s="109"/>
      <c r="AK364" s="109"/>
      <c r="AL364" s="109"/>
      <c r="AM364" s="109"/>
      <c r="AN364" s="109"/>
      <c r="AO364" s="109"/>
      <c r="AP364" s="109"/>
      <c r="AQ364" s="109"/>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1237"/>
      <c r="BR364" s="1238"/>
      <c r="BS364" s="1238"/>
      <c r="BT364" s="1238"/>
      <c r="BU364" s="1239"/>
      <c r="BV364" s="1239"/>
      <c r="BW364" s="1239"/>
      <c r="BY364" s="1239"/>
      <c r="CA364" s="1243"/>
      <c r="CB364" s="1238"/>
      <c r="CC364" s="1242"/>
      <c r="CD364" s="1239"/>
    </row>
    <row r="365" customFormat="false" ht="12.75" hidden="false" customHeight="false" outlineLevel="0" collapsed="false">
      <c r="B365" s="1239"/>
      <c r="C365" s="1218"/>
      <c r="D365" s="0"/>
      <c r="E365" s="0"/>
      <c r="F365" s="0"/>
      <c r="G365" s="0"/>
      <c r="H365" s="0"/>
      <c r="I365" s="0"/>
      <c r="J365" s="0"/>
      <c r="K365" s="0"/>
      <c r="L365" s="0"/>
      <c r="M365" s="0"/>
      <c r="N365" s="0"/>
      <c r="O365" s="0"/>
      <c r="P365" s="0"/>
      <c r="Q365" s="0"/>
      <c r="R365" s="0"/>
      <c r="S365" s="0"/>
      <c r="T365" s="0"/>
      <c r="U365" s="0"/>
      <c r="V365" s="0"/>
      <c r="W365" s="0"/>
      <c r="X365" s="0"/>
      <c r="Y365" s="0"/>
      <c r="Z365" s="109"/>
      <c r="AA365" s="109"/>
      <c r="AB365" s="109"/>
      <c r="AC365" s="109"/>
      <c r="AD365" s="109"/>
      <c r="AE365" s="109"/>
      <c r="AF365" s="109"/>
      <c r="AG365" s="109"/>
      <c r="AH365" s="109"/>
      <c r="AI365" s="109"/>
      <c r="AJ365" s="109"/>
      <c r="AK365" s="109"/>
      <c r="AL365" s="109"/>
      <c r="AM365" s="109"/>
      <c r="AN365" s="109"/>
      <c r="AO365" s="109"/>
      <c r="AP365" s="109"/>
      <c r="AQ365" s="109"/>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1237"/>
      <c r="BR365" s="1238"/>
      <c r="BS365" s="1238"/>
      <c r="BT365" s="1238"/>
      <c r="BU365" s="1239"/>
      <c r="BV365" s="1239"/>
      <c r="BW365" s="1239"/>
      <c r="BY365" s="1239"/>
      <c r="CA365" s="1243"/>
      <c r="CB365" s="1238"/>
      <c r="CC365" s="1242"/>
      <c r="CD365" s="1239"/>
    </row>
    <row r="366" customFormat="false" ht="12.75" hidden="false" customHeight="false" outlineLevel="0" collapsed="false">
      <c r="B366" s="1239"/>
      <c r="C366" s="1218"/>
      <c r="D366" s="0"/>
      <c r="E366" s="0"/>
      <c r="F366" s="0"/>
      <c r="G366" s="0"/>
      <c r="H366" s="0"/>
      <c r="I366" s="0"/>
      <c r="J366" s="0"/>
      <c r="K366" s="0"/>
      <c r="L366" s="0"/>
      <c r="M366" s="0"/>
      <c r="N366" s="0"/>
      <c r="O366" s="0"/>
      <c r="P366" s="0"/>
      <c r="Q366" s="0"/>
      <c r="R366" s="0"/>
      <c r="S366" s="0"/>
      <c r="T366" s="0"/>
      <c r="U366" s="0"/>
      <c r="V366" s="0"/>
      <c r="W366" s="0"/>
      <c r="X366" s="0"/>
      <c r="Y366" s="0"/>
      <c r="Z366" s="109"/>
      <c r="AA366" s="109"/>
      <c r="AB366" s="109"/>
      <c r="AC366" s="109"/>
      <c r="AD366" s="109"/>
      <c r="AE366" s="109"/>
      <c r="AF366" s="109"/>
      <c r="AG366" s="109"/>
      <c r="AH366" s="109"/>
      <c r="AI366" s="109"/>
      <c r="AJ366" s="109"/>
      <c r="AK366" s="109"/>
      <c r="AL366" s="109"/>
      <c r="AM366" s="109"/>
      <c r="AN366" s="109"/>
      <c r="AO366" s="109"/>
      <c r="AP366" s="109"/>
      <c r="AQ366" s="109"/>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1237"/>
      <c r="BR366" s="1238"/>
      <c r="BS366" s="1238"/>
      <c r="BT366" s="1238"/>
      <c r="BU366" s="1239"/>
      <c r="BV366" s="1239"/>
      <c r="BW366" s="1239"/>
      <c r="BY366" s="1239"/>
      <c r="CA366" s="1243"/>
      <c r="CB366" s="1238"/>
      <c r="CC366" s="1242"/>
      <c r="CD366" s="1239"/>
    </row>
    <row r="367" customFormat="false" ht="12.75" hidden="false" customHeight="false" outlineLevel="0" collapsed="false">
      <c r="B367" s="1239"/>
      <c r="C367" s="1218"/>
      <c r="D367" s="0"/>
      <c r="E367" s="0"/>
      <c r="F367" s="0"/>
      <c r="G367" s="0"/>
      <c r="H367" s="0"/>
      <c r="I367" s="0"/>
      <c r="J367" s="0"/>
      <c r="K367" s="0"/>
      <c r="L367" s="0"/>
      <c r="M367" s="0"/>
      <c r="N367" s="0"/>
      <c r="O367" s="0"/>
      <c r="P367" s="0"/>
      <c r="Q367" s="0"/>
      <c r="R367" s="0"/>
      <c r="S367" s="0"/>
      <c r="T367" s="0"/>
      <c r="U367" s="0"/>
      <c r="V367" s="0"/>
      <c r="W367" s="0"/>
      <c r="X367" s="0"/>
      <c r="Y367" s="0"/>
      <c r="Z367" s="109"/>
      <c r="AA367" s="109"/>
      <c r="AB367" s="109"/>
      <c r="AC367" s="109"/>
      <c r="AD367" s="109"/>
      <c r="AE367" s="109"/>
      <c r="AF367" s="109"/>
      <c r="AG367" s="109"/>
      <c r="AH367" s="109"/>
      <c r="AI367" s="109"/>
      <c r="AJ367" s="109"/>
      <c r="AK367" s="109"/>
      <c r="AL367" s="109"/>
      <c r="AM367" s="109"/>
      <c r="AN367" s="109"/>
      <c r="AO367" s="109"/>
      <c r="AP367" s="109"/>
      <c r="AQ367" s="109"/>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1237"/>
      <c r="BR367" s="1238"/>
      <c r="BS367" s="1238"/>
      <c r="BT367" s="1238"/>
      <c r="BU367" s="1239"/>
      <c r="BV367" s="1239"/>
      <c r="BW367" s="1239"/>
      <c r="BY367" s="1239"/>
      <c r="CA367" s="1243"/>
      <c r="CB367" s="1238"/>
      <c r="CC367" s="1242"/>
      <c r="CD367" s="1239"/>
    </row>
    <row r="368" customFormat="false" ht="12.75" hidden="false" customHeight="false" outlineLevel="0" collapsed="false">
      <c r="B368" s="1239"/>
      <c r="C368" s="1218"/>
      <c r="D368" s="0"/>
      <c r="E368" s="0"/>
      <c r="F368" s="0"/>
      <c r="G368" s="0"/>
      <c r="H368" s="0"/>
      <c r="I368" s="0"/>
      <c r="J368" s="0"/>
      <c r="K368" s="0"/>
      <c r="L368" s="0"/>
      <c r="M368" s="0"/>
      <c r="N368" s="0"/>
      <c r="O368" s="0"/>
      <c r="P368" s="0"/>
      <c r="Q368" s="0"/>
      <c r="R368" s="0"/>
      <c r="S368" s="0"/>
      <c r="T368" s="0"/>
      <c r="U368" s="0"/>
      <c r="V368" s="0"/>
      <c r="W368" s="0"/>
      <c r="X368" s="0"/>
      <c r="Y368" s="0"/>
      <c r="Z368" s="109"/>
      <c r="AA368" s="109"/>
      <c r="AB368" s="109"/>
      <c r="AC368" s="109"/>
      <c r="AD368" s="109"/>
      <c r="AE368" s="109"/>
      <c r="AF368" s="109"/>
      <c r="AG368" s="109"/>
      <c r="AH368" s="109"/>
      <c r="AI368" s="109"/>
      <c r="AJ368" s="109"/>
      <c r="AK368" s="109"/>
      <c r="AL368" s="109"/>
      <c r="AM368" s="109"/>
      <c r="AN368" s="109"/>
      <c r="AO368" s="109"/>
      <c r="AP368" s="109"/>
      <c r="AQ368" s="109"/>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1237"/>
      <c r="BR368" s="1238"/>
      <c r="BS368" s="1238"/>
      <c r="BT368" s="1238"/>
      <c r="BU368" s="1239"/>
      <c r="BV368" s="1239"/>
      <c r="BW368" s="1239"/>
      <c r="BY368" s="1239"/>
      <c r="CA368" s="1243"/>
      <c r="CB368" s="1238"/>
      <c r="CC368" s="1242"/>
      <c r="CD368" s="1239"/>
    </row>
    <row r="369" customFormat="false" ht="12.75" hidden="false" customHeight="false" outlineLevel="0" collapsed="false">
      <c r="B369" s="1239"/>
      <c r="C369" s="1218"/>
      <c r="D369" s="0"/>
      <c r="E369" s="0"/>
      <c r="F369" s="0"/>
      <c r="G369" s="0"/>
      <c r="H369" s="0"/>
      <c r="I369" s="0"/>
      <c r="J369" s="0"/>
      <c r="K369" s="0"/>
      <c r="L369" s="0"/>
      <c r="M369" s="0"/>
      <c r="N369" s="0"/>
      <c r="O369" s="0"/>
      <c r="P369" s="0"/>
      <c r="Q369" s="0"/>
      <c r="R369" s="0"/>
      <c r="S369" s="0"/>
      <c r="T369" s="0"/>
      <c r="U369" s="0"/>
      <c r="V369" s="0"/>
      <c r="W369" s="0"/>
      <c r="X369" s="0"/>
      <c r="Y369" s="0"/>
      <c r="Z369" s="109"/>
      <c r="AA369" s="109"/>
      <c r="AB369" s="109"/>
      <c r="AC369" s="109"/>
      <c r="AD369" s="109"/>
      <c r="AE369" s="109"/>
      <c r="AF369" s="109"/>
      <c r="AG369" s="109"/>
      <c r="AH369" s="109"/>
      <c r="AI369" s="109"/>
      <c r="AJ369" s="109"/>
      <c r="AK369" s="109"/>
      <c r="AL369" s="109"/>
      <c r="AM369" s="109"/>
      <c r="AN369" s="109"/>
      <c r="AO369" s="109"/>
      <c r="AP369" s="109"/>
      <c r="AQ369" s="109"/>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1237"/>
      <c r="BR369" s="1238"/>
      <c r="BS369" s="1238"/>
      <c r="BT369" s="1238"/>
      <c r="BU369" s="1239"/>
      <c r="BV369" s="1239"/>
      <c r="BW369" s="1239"/>
      <c r="BY369" s="1239"/>
      <c r="CA369" s="1243"/>
      <c r="CB369" s="1238"/>
      <c r="CC369" s="1242"/>
      <c r="CD369" s="1239"/>
    </row>
    <row r="370" customFormat="false" ht="12.75" hidden="false" customHeight="false" outlineLevel="0" collapsed="false">
      <c r="B370" s="1239"/>
      <c r="C370" s="1218"/>
      <c r="D370" s="0"/>
      <c r="E370" s="0"/>
      <c r="F370" s="0"/>
      <c r="G370" s="0"/>
      <c r="H370" s="0"/>
      <c r="I370" s="0"/>
      <c r="J370" s="0"/>
      <c r="K370" s="0"/>
      <c r="L370" s="0"/>
      <c r="M370" s="0"/>
      <c r="N370" s="0"/>
      <c r="O370" s="0"/>
      <c r="P370" s="0"/>
      <c r="Q370" s="0"/>
      <c r="R370" s="0"/>
      <c r="S370" s="0"/>
      <c r="T370" s="0"/>
      <c r="U370" s="0"/>
      <c r="V370" s="0"/>
      <c r="W370" s="0"/>
      <c r="X370" s="0"/>
      <c r="Y370" s="0"/>
      <c r="Z370" s="109"/>
      <c r="AA370" s="109"/>
      <c r="AB370" s="109"/>
      <c r="AC370" s="109"/>
      <c r="AD370" s="109"/>
      <c r="AE370" s="109"/>
      <c r="AF370" s="109"/>
      <c r="AG370" s="109"/>
      <c r="AH370" s="109"/>
      <c r="AI370" s="109"/>
      <c r="AJ370" s="109"/>
      <c r="AK370" s="109"/>
      <c r="AL370" s="109"/>
      <c r="AM370" s="109"/>
      <c r="AN370" s="109"/>
      <c r="AO370" s="109"/>
      <c r="AP370" s="109"/>
      <c r="AQ370" s="109"/>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1237"/>
      <c r="BR370" s="1238"/>
      <c r="BS370" s="1238"/>
      <c r="BT370" s="1238"/>
      <c r="BU370" s="1239"/>
      <c r="BV370" s="1239"/>
      <c r="BW370" s="1239"/>
      <c r="BY370" s="1239"/>
      <c r="CA370" s="1243"/>
      <c r="CB370" s="1238"/>
      <c r="CC370" s="1242"/>
      <c r="CD370" s="1239"/>
    </row>
    <row r="371" customFormat="false" ht="12.75" hidden="false" customHeight="false" outlineLevel="0" collapsed="false">
      <c r="B371" s="1239"/>
      <c r="C371" s="1218"/>
      <c r="D371" s="0"/>
      <c r="E371" s="0"/>
      <c r="F371" s="0"/>
      <c r="G371" s="0"/>
      <c r="H371" s="0"/>
      <c r="I371" s="0"/>
      <c r="J371" s="0"/>
      <c r="K371" s="0"/>
      <c r="L371" s="0"/>
      <c r="M371" s="0"/>
      <c r="N371" s="0"/>
      <c r="O371" s="0"/>
      <c r="P371" s="0"/>
      <c r="Q371" s="0"/>
      <c r="R371" s="0"/>
      <c r="S371" s="0"/>
      <c r="T371" s="0"/>
      <c r="U371" s="0"/>
      <c r="V371" s="0"/>
      <c r="W371" s="0"/>
      <c r="X371" s="0"/>
      <c r="Y371" s="0"/>
      <c r="Z371" s="109"/>
      <c r="AA371" s="109"/>
      <c r="AB371" s="109"/>
      <c r="AC371" s="109"/>
      <c r="AD371" s="109"/>
      <c r="AE371" s="109"/>
      <c r="AF371" s="109"/>
      <c r="AG371" s="109"/>
      <c r="AH371" s="109"/>
      <c r="AI371" s="109"/>
      <c r="AJ371" s="109"/>
      <c r="AK371" s="109"/>
      <c r="AL371" s="109"/>
      <c r="AM371" s="109"/>
      <c r="AN371" s="109"/>
      <c r="AO371" s="109"/>
      <c r="AP371" s="109"/>
      <c r="AQ371" s="109"/>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1237"/>
      <c r="BR371" s="1238"/>
      <c r="BS371" s="1238"/>
      <c r="BT371" s="1238"/>
      <c r="BU371" s="1239"/>
      <c r="BV371" s="1239"/>
      <c r="BW371" s="1239"/>
      <c r="BY371" s="1239"/>
      <c r="CA371" s="1243"/>
      <c r="CB371" s="1238"/>
      <c r="CC371" s="1242"/>
      <c r="CD371" s="1239"/>
    </row>
    <row r="372" customFormat="false" ht="12.75" hidden="false" customHeight="false" outlineLevel="0" collapsed="false">
      <c r="B372" s="1239"/>
      <c r="C372" s="1218"/>
      <c r="D372" s="0"/>
      <c r="E372" s="0"/>
      <c r="F372" s="0"/>
      <c r="G372" s="0"/>
      <c r="H372" s="0"/>
      <c r="I372" s="0"/>
      <c r="J372" s="0"/>
      <c r="K372" s="0"/>
      <c r="L372" s="0"/>
      <c r="M372" s="0"/>
      <c r="N372" s="0"/>
      <c r="O372" s="0"/>
      <c r="P372" s="0"/>
      <c r="Q372" s="0"/>
      <c r="R372" s="0"/>
      <c r="S372" s="0"/>
      <c r="T372" s="0"/>
      <c r="U372" s="0"/>
      <c r="V372" s="0"/>
      <c r="W372" s="0"/>
      <c r="X372" s="0"/>
      <c r="Y372" s="0"/>
      <c r="Z372" s="109"/>
      <c r="AA372" s="109"/>
      <c r="AB372" s="109"/>
      <c r="AC372" s="109"/>
      <c r="AD372" s="109"/>
      <c r="AE372" s="109"/>
      <c r="AF372" s="109"/>
      <c r="AG372" s="109"/>
      <c r="AH372" s="109"/>
      <c r="AI372" s="109"/>
      <c r="AJ372" s="109"/>
      <c r="AK372" s="109"/>
      <c r="AL372" s="109"/>
      <c r="AM372" s="109"/>
      <c r="AN372" s="109"/>
      <c r="AO372" s="109"/>
      <c r="AP372" s="109"/>
      <c r="AQ372" s="109"/>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1237"/>
      <c r="BR372" s="1238"/>
      <c r="BS372" s="1238"/>
      <c r="BT372" s="1238"/>
      <c r="BU372" s="1239"/>
      <c r="BV372" s="1239"/>
      <c r="BW372" s="1239"/>
      <c r="BY372" s="1239"/>
      <c r="CA372" s="1243"/>
      <c r="CB372" s="1238"/>
      <c r="CC372" s="1242"/>
      <c r="CD372" s="1239"/>
    </row>
    <row r="373" customFormat="false" ht="12.75" hidden="false" customHeight="false" outlineLevel="0" collapsed="false">
      <c r="B373" s="1239"/>
      <c r="C373" s="1218"/>
      <c r="D373" s="0"/>
      <c r="E373" s="0"/>
      <c r="F373" s="0"/>
      <c r="G373" s="0"/>
      <c r="H373" s="0"/>
      <c r="I373" s="0"/>
      <c r="J373" s="0"/>
      <c r="K373" s="0"/>
      <c r="L373" s="0"/>
      <c r="M373" s="0"/>
      <c r="N373" s="0"/>
      <c r="O373" s="0"/>
      <c r="P373" s="0"/>
      <c r="Q373" s="0"/>
      <c r="R373" s="0"/>
      <c r="S373" s="0"/>
      <c r="T373" s="0"/>
      <c r="U373" s="0"/>
      <c r="V373" s="0"/>
      <c r="W373" s="0"/>
      <c r="X373" s="0"/>
      <c r="Y373" s="0"/>
      <c r="Z373" s="109"/>
      <c r="AA373" s="109"/>
      <c r="AB373" s="109"/>
      <c r="AC373" s="109"/>
      <c r="AD373" s="109"/>
      <c r="AE373" s="109"/>
      <c r="AF373" s="109"/>
      <c r="AG373" s="109"/>
      <c r="AH373" s="109"/>
      <c r="AI373" s="109"/>
      <c r="AJ373" s="109"/>
      <c r="AK373" s="109"/>
      <c r="AL373" s="109"/>
      <c r="AM373" s="109"/>
      <c r="AN373" s="109"/>
      <c r="AO373" s="109"/>
      <c r="AP373" s="109"/>
      <c r="AQ373" s="109"/>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1237"/>
      <c r="BR373" s="1238"/>
      <c r="BS373" s="1238"/>
      <c r="BT373" s="1238"/>
      <c r="BU373" s="1239"/>
      <c r="BV373" s="1239"/>
      <c r="BW373" s="1239"/>
      <c r="BY373" s="1239"/>
      <c r="CA373" s="1243"/>
      <c r="CB373" s="1238"/>
      <c r="CC373" s="1242"/>
      <c r="CD373" s="1239"/>
    </row>
    <row r="374" customFormat="false" ht="12.75" hidden="false" customHeight="false" outlineLevel="0" collapsed="false">
      <c r="B374" s="1239"/>
      <c r="C374" s="1218"/>
      <c r="D374" s="0"/>
      <c r="E374" s="0"/>
      <c r="F374" s="0"/>
      <c r="G374" s="0"/>
      <c r="H374" s="0"/>
      <c r="I374" s="0"/>
      <c r="J374" s="0"/>
      <c r="K374" s="0"/>
      <c r="L374" s="0"/>
      <c r="M374" s="0"/>
      <c r="N374" s="0"/>
      <c r="O374" s="0"/>
      <c r="P374" s="0"/>
      <c r="Q374" s="0"/>
      <c r="R374" s="0"/>
      <c r="S374" s="0"/>
      <c r="T374" s="0"/>
      <c r="U374" s="0"/>
      <c r="V374" s="0"/>
      <c r="W374" s="0"/>
      <c r="X374" s="0"/>
      <c r="Y374" s="0"/>
      <c r="Z374" s="109"/>
      <c r="AA374" s="109"/>
      <c r="AB374" s="109"/>
      <c r="AC374" s="109"/>
      <c r="AD374" s="109"/>
      <c r="AE374" s="109"/>
      <c r="AF374" s="109"/>
      <c r="AG374" s="109"/>
      <c r="AH374" s="109"/>
      <c r="AI374" s="109"/>
      <c r="AJ374" s="109"/>
      <c r="AK374" s="109"/>
      <c r="AL374" s="109"/>
      <c r="AM374" s="109"/>
      <c r="AN374" s="109"/>
      <c r="AO374" s="109"/>
      <c r="AP374" s="109"/>
      <c r="AQ374" s="109"/>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1237"/>
      <c r="BR374" s="1238"/>
      <c r="BS374" s="1238"/>
      <c r="BT374" s="1238"/>
      <c r="BU374" s="1239"/>
      <c r="BV374" s="1239"/>
      <c r="BW374" s="1239"/>
      <c r="BY374" s="1239"/>
      <c r="CA374" s="1243"/>
      <c r="CB374" s="1238"/>
      <c r="CC374" s="1242"/>
      <c r="CD374" s="1239"/>
    </row>
    <row r="375" customFormat="false" ht="12.75" hidden="false" customHeight="false" outlineLevel="0" collapsed="false">
      <c r="B375" s="1239"/>
      <c r="C375" s="1218"/>
      <c r="D375" s="0"/>
      <c r="E375" s="0"/>
      <c r="F375" s="0"/>
      <c r="G375" s="0"/>
      <c r="H375" s="0"/>
      <c r="I375" s="0"/>
      <c r="J375" s="0"/>
      <c r="K375" s="0"/>
      <c r="L375" s="0"/>
      <c r="M375" s="0"/>
      <c r="N375" s="0"/>
      <c r="O375" s="0"/>
      <c r="P375" s="0"/>
      <c r="Q375" s="0"/>
      <c r="R375" s="0"/>
      <c r="S375" s="0"/>
      <c r="T375" s="0"/>
      <c r="U375" s="0"/>
      <c r="V375" s="0"/>
      <c r="W375" s="0"/>
      <c r="X375" s="0"/>
      <c r="Y375" s="0"/>
      <c r="Z375" s="109"/>
      <c r="AA375" s="109"/>
      <c r="AB375" s="109"/>
      <c r="AC375" s="109"/>
      <c r="AD375" s="109"/>
      <c r="AE375" s="109"/>
      <c r="AF375" s="109"/>
      <c r="AG375" s="109"/>
      <c r="AH375" s="109"/>
      <c r="AI375" s="109"/>
      <c r="AJ375" s="109"/>
      <c r="AK375" s="109"/>
      <c r="AL375" s="109"/>
      <c r="AM375" s="109"/>
      <c r="AN375" s="109"/>
      <c r="AO375" s="109"/>
      <c r="AP375" s="109"/>
      <c r="AQ375" s="109"/>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1237"/>
      <c r="BR375" s="1238"/>
      <c r="BS375" s="1238"/>
      <c r="BT375" s="1238"/>
      <c r="BU375" s="1239"/>
      <c r="BV375" s="1239"/>
      <c r="BW375" s="1239"/>
      <c r="BY375" s="1239"/>
      <c r="CA375" s="1243"/>
      <c r="CB375" s="1238"/>
      <c r="CC375" s="1242"/>
      <c r="CD375" s="1239"/>
    </row>
    <row r="376" customFormat="false" ht="12.75" hidden="false" customHeight="false" outlineLevel="0" collapsed="false">
      <c r="B376" s="1239"/>
      <c r="C376" s="1218"/>
      <c r="D376" s="0"/>
      <c r="E376" s="0"/>
      <c r="F376" s="0"/>
      <c r="G376" s="0"/>
      <c r="H376" s="0"/>
      <c r="I376" s="0"/>
      <c r="J376" s="0"/>
      <c r="K376" s="0"/>
      <c r="L376" s="0"/>
      <c r="M376" s="0"/>
      <c r="N376" s="0"/>
      <c r="O376" s="0"/>
      <c r="P376" s="0"/>
      <c r="Q376" s="0"/>
      <c r="R376" s="0"/>
      <c r="S376" s="0"/>
      <c r="T376" s="0"/>
      <c r="U376" s="0"/>
      <c r="V376" s="0"/>
      <c r="W376" s="0"/>
      <c r="X376" s="0"/>
      <c r="Y376" s="0"/>
      <c r="Z376" s="109"/>
      <c r="AA376" s="109"/>
      <c r="AB376" s="109"/>
      <c r="AC376" s="109"/>
      <c r="AD376" s="109"/>
      <c r="AE376" s="109"/>
      <c r="AF376" s="109"/>
      <c r="AG376" s="109"/>
      <c r="AH376" s="109"/>
      <c r="AI376" s="109"/>
      <c r="AJ376" s="109"/>
      <c r="AK376" s="109"/>
      <c r="AL376" s="109"/>
      <c r="AM376" s="109"/>
      <c r="AN376" s="109"/>
      <c r="AO376" s="109"/>
      <c r="AP376" s="109"/>
      <c r="AQ376" s="109"/>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1237"/>
      <c r="BR376" s="1238"/>
      <c r="BS376" s="1238"/>
      <c r="BT376" s="1238"/>
      <c r="BU376" s="1239"/>
      <c r="BV376" s="1239"/>
      <c r="BW376" s="1239"/>
      <c r="BY376" s="1239"/>
      <c r="CA376" s="1243"/>
      <c r="CB376" s="1238"/>
      <c r="CC376" s="1242"/>
      <c r="CD376" s="1239"/>
    </row>
    <row r="377" customFormat="false" ht="12.75" hidden="false" customHeight="false" outlineLevel="0" collapsed="false">
      <c r="B377" s="1239"/>
      <c r="C377" s="1218"/>
      <c r="D377" s="0"/>
      <c r="E377" s="0"/>
      <c r="F377" s="0"/>
      <c r="G377" s="0"/>
      <c r="H377" s="0"/>
      <c r="I377" s="0"/>
      <c r="J377" s="0"/>
      <c r="K377" s="0"/>
      <c r="L377" s="0"/>
      <c r="M377" s="0"/>
      <c r="N377" s="0"/>
      <c r="O377" s="0"/>
      <c r="P377" s="0"/>
      <c r="Q377" s="0"/>
      <c r="R377" s="0"/>
      <c r="S377" s="0"/>
      <c r="T377" s="0"/>
      <c r="U377" s="0"/>
      <c r="V377" s="0"/>
      <c r="W377" s="0"/>
      <c r="X377" s="0"/>
      <c r="Y377" s="0"/>
      <c r="Z377" s="109"/>
      <c r="AA377" s="109"/>
      <c r="AB377" s="109"/>
      <c r="AC377" s="109"/>
      <c r="AD377" s="109"/>
      <c r="AE377" s="109"/>
      <c r="AF377" s="109"/>
      <c r="AG377" s="109"/>
      <c r="AH377" s="109"/>
      <c r="AI377" s="109"/>
      <c r="AJ377" s="109"/>
      <c r="AK377" s="109"/>
      <c r="AL377" s="109"/>
      <c r="AM377" s="109"/>
      <c r="AN377" s="109"/>
      <c r="AO377" s="109"/>
      <c r="AP377" s="109"/>
      <c r="AQ377" s="109"/>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1237"/>
      <c r="BR377" s="1238"/>
      <c r="BS377" s="1238"/>
      <c r="BT377" s="1238"/>
      <c r="BU377" s="1239"/>
      <c r="BV377" s="1239"/>
      <c r="BW377" s="1239"/>
      <c r="BY377" s="1239"/>
      <c r="CA377" s="1243"/>
      <c r="CB377" s="1238"/>
      <c r="CC377" s="1242"/>
      <c r="CD377" s="1239"/>
    </row>
    <row r="378" customFormat="false" ht="12.75" hidden="false" customHeight="false" outlineLevel="0" collapsed="false">
      <c r="B378" s="1239"/>
      <c r="C378" s="1218"/>
      <c r="D378" s="0"/>
      <c r="E378" s="0"/>
      <c r="F378" s="0"/>
      <c r="G378" s="0"/>
      <c r="H378" s="0"/>
      <c r="I378" s="0"/>
      <c r="J378" s="0"/>
      <c r="K378" s="0"/>
      <c r="L378" s="0"/>
      <c r="M378" s="0"/>
      <c r="N378" s="0"/>
      <c r="O378" s="0"/>
      <c r="P378" s="0"/>
      <c r="Q378" s="0"/>
      <c r="R378" s="0"/>
      <c r="S378" s="0"/>
      <c r="T378" s="0"/>
      <c r="U378" s="0"/>
      <c r="V378" s="0"/>
      <c r="W378" s="0"/>
      <c r="X378" s="0"/>
      <c r="Y378" s="0"/>
      <c r="Z378" s="109"/>
      <c r="AA378" s="109"/>
      <c r="AB378" s="109"/>
      <c r="AC378" s="109"/>
      <c r="AD378" s="109"/>
      <c r="AE378" s="109"/>
      <c r="AF378" s="109"/>
      <c r="AG378" s="109"/>
      <c r="AH378" s="109"/>
      <c r="AI378" s="109"/>
      <c r="AJ378" s="109"/>
      <c r="AK378" s="109"/>
      <c r="AL378" s="109"/>
      <c r="AM378" s="109"/>
      <c r="AN378" s="109"/>
      <c r="AO378" s="109"/>
      <c r="AP378" s="109"/>
      <c r="AQ378" s="109"/>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1237"/>
      <c r="BR378" s="1238"/>
      <c r="BS378" s="1238"/>
      <c r="BT378" s="1238"/>
      <c r="BU378" s="1239"/>
      <c r="BV378" s="1239"/>
      <c r="BW378" s="1239"/>
      <c r="BY378" s="1239"/>
      <c r="CA378" s="1243"/>
      <c r="CB378" s="1238"/>
      <c r="CC378" s="1242"/>
      <c r="CD378" s="1239"/>
    </row>
    <row r="379" customFormat="false" ht="12.75" hidden="false" customHeight="false" outlineLevel="0" collapsed="false">
      <c r="B379" s="1239"/>
      <c r="C379" s="1218"/>
      <c r="D379" s="0"/>
      <c r="E379" s="0"/>
      <c r="F379" s="0"/>
      <c r="G379" s="0"/>
      <c r="H379" s="0"/>
      <c r="I379" s="0"/>
      <c r="J379" s="0"/>
      <c r="K379" s="0"/>
      <c r="L379" s="0"/>
      <c r="M379" s="0"/>
      <c r="N379" s="0"/>
      <c r="O379" s="0"/>
      <c r="P379" s="0"/>
      <c r="Q379" s="0"/>
      <c r="R379" s="0"/>
      <c r="S379" s="0"/>
      <c r="T379" s="0"/>
      <c r="U379" s="0"/>
      <c r="V379" s="0"/>
      <c r="W379" s="0"/>
      <c r="X379" s="0"/>
      <c r="Y379" s="0"/>
      <c r="Z379" s="109"/>
      <c r="AA379" s="109"/>
      <c r="AB379" s="109"/>
      <c r="AC379" s="109"/>
      <c r="AD379" s="109"/>
      <c r="AE379" s="109"/>
      <c r="AF379" s="109"/>
      <c r="AG379" s="109"/>
      <c r="AH379" s="109"/>
      <c r="AI379" s="109"/>
      <c r="AJ379" s="109"/>
      <c r="AK379" s="109"/>
      <c r="AL379" s="109"/>
      <c r="AM379" s="109"/>
      <c r="AN379" s="109"/>
      <c r="AO379" s="109"/>
      <c r="AP379" s="109"/>
      <c r="AQ379" s="109"/>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1237"/>
      <c r="BR379" s="1238"/>
      <c r="BS379" s="1238"/>
      <c r="BT379" s="1238"/>
      <c r="BU379" s="1239"/>
      <c r="BV379" s="1239"/>
      <c r="BW379" s="1239"/>
      <c r="BY379" s="1239"/>
      <c r="CA379" s="1243"/>
      <c r="CB379" s="1238"/>
      <c r="CC379" s="1242"/>
      <c r="CD379" s="1239"/>
    </row>
    <row r="380" customFormat="false" ht="12.75" hidden="false" customHeight="false" outlineLevel="0" collapsed="false">
      <c r="B380" s="1239"/>
      <c r="C380" s="1218"/>
      <c r="D380" s="0"/>
      <c r="E380" s="0"/>
      <c r="F380" s="0"/>
      <c r="G380" s="0"/>
      <c r="H380" s="0"/>
      <c r="I380" s="0"/>
      <c r="J380" s="0"/>
      <c r="K380" s="0"/>
      <c r="L380" s="0"/>
      <c r="M380" s="0"/>
      <c r="N380" s="0"/>
      <c r="O380" s="0"/>
      <c r="P380" s="0"/>
      <c r="Q380" s="0"/>
      <c r="R380" s="0"/>
      <c r="S380" s="0"/>
      <c r="T380" s="0"/>
      <c r="U380" s="0"/>
      <c r="V380" s="0"/>
      <c r="W380" s="0"/>
      <c r="X380" s="0"/>
      <c r="Y380" s="0"/>
      <c r="Z380" s="109"/>
      <c r="AA380" s="109"/>
      <c r="AB380" s="109"/>
      <c r="AC380" s="109"/>
      <c r="AD380" s="109"/>
      <c r="AE380" s="109"/>
      <c r="AF380" s="109"/>
      <c r="AG380" s="109"/>
      <c r="AH380" s="109"/>
      <c r="AI380" s="109"/>
      <c r="AJ380" s="109"/>
      <c r="AK380" s="109"/>
      <c r="AL380" s="109"/>
      <c r="AM380" s="109"/>
      <c r="AN380" s="109"/>
      <c r="AO380" s="109"/>
      <c r="AP380" s="109"/>
      <c r="AQ380" s="109"/>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1237"/>
      <c r="BR380" s="1238"/>
      <c r="BS380" s="1238"/>
      <c r="BT380" s="1238"/>
      <c r="BU380" s="1239"/>
      <c r="BV380" s="1239"/>
      <c r="BW380" s="1239"/>
      <c r="BY380" s="1239"/>
      <c r="CA380" s="1243"/>
      <c r="CB380" s="1238"/>
      <c r="CC380" s="1242"/>
      <c r="CD380" s="1239"/>
    </row>
    <row r="381" customFormat="false" ht="12.75" hidden="false" customHeight="false" outlineLevel="0" collapsed="false">
      <c r="B381" s="1239"/>
      <c r="C381" s="1218"/>
      <c r="D381" s="0"/>
      <c r="E381" s="0"/>
      <c r="F381" s="0"/>
      <c r="G381" s="0"/>
      <c r="H381" s="0"/>
      <c r="I381" s="0"/>
      <c r="J381" s="0"/>
      <c r="K381" s="0"/>
      <c r="L381" s="0"/>
      <c r="M381" s="0"/>
      <c r="N381" s="0"/>
      <c r="O381" s="0"/>
      <c r="P381" s="0"/>
      <c r="Q381" s="0"/>
      <c r="R381" s="0"/>
      <c r="S381" s="0"/>
      <c r="T381" s="0"/>
      <c r="U381" s="0"/>
      <c r="V381" s="0"/>
      <c r="W381" s="0"/>
      <c r="X381" s="0"/>
      <c r="Y381" s="0"/>
      <c r="Z381" s="109"/>
      <c r="AA381" s="109"/>
      <c r="AB381" s="109"/>
      <c r="AC381" s="109"/>
      <c r="AD381" s="109"/>
      <c r="AE381" s="109"/>
      <c r="AF381" s="109"/>
      <c r="AG381" s="109"/>
      <c r="AH381" s="109"/>
      <c r="AI381" s="109"/>
      <c r="AJ381" s="109"/>
      <c r="AK381" s="109"/>
      <c r="AL381" s="109"/>
      <c r="AM381" s="109"/>
      <c r="AN381" s="109"/>
      <c r="AO381" s="109"/>
      <c r="AP381" s="109"/>
      <c r="AQ381" s="109"/>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1237"/>
      <c r="BR381" s="1238"/>
      <c r="BS381" s="1238"/>
      <c r="BT381" s="1238"/>
      <c r="BU381" s="1239"/>
      <c r="BV381" s="1239"/>
      <c r="BW381" s="1239"/>
      <c r="BY381" s="1239"/>
      <c r="CA381" s="1243"/>
      <c r="CB381" s="1238"/>
      <c r="CC381" s="1242"/>
      <c r="CD381" s="1239"/>
    </row>
    <row r="382" customFormat="false" ht="12.75" hidden="false" customHeight="false" outlineLevel="0" collapsed="false">
      <c r="B382" s="1239"/>
      <c r="C382" s="1218"/>
      <c r="D382" s="0"/>
      <c r="E382" s="0"/>
      <c r="F382" s="0"/>
      <c r="G382" s="0"/>
      <c r="H382" s="0"/>
      <c r="I382" s="0"/>
      <c r="J382" s="0"/>
      <c r="K382" s="0"/>
      <c r="L382" s="0"/>
      <c r="M382" s="0"/>
      <c r="N382" s="0"/>
      <c r="O382" s="0"/>
      <c r="P382" s="0"/>
      <c r="Q382" s="0"/>
      <c r="R382" s="0"/>
      <c r="S382" s="0"/>
      <c r="T382" s="0"/>
      <c r="U382" s="0"/>
      <c r="V382" s="0"/>
      <c r="W382" s="0"/>
      <c r="X382" s="0"/>
      <c r="Y382" s="0"/>
      <c r="Z382" s="109"/>
      <c r="AA382" s="109"/>
      <c r="AB382" s="109"/>
      <c r="AC382" s="109"/>
      <c r="AD382" s="109"/>
      <c r="AE382" s="109"/>
      <c r="AF382" s="109"/>
      <c r="AG382" s="109"/>
      <c r="AH382" s="109"/>
      <c r="AI382" s="109"/>
      <c r="AJ382" s="109"/>
      <c r="AK382" s="109"/>
      <c r="AL382" s="109"/>
      <c r="AM382" s="109"/>
      <c r="AN382" s="109"/>
      <c r="AO382" s="109"/>
      <c r="AP382" s="109"/>
      <c r="AQ382" s="109"/>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1237"/>
      <c r="BR382" s="1238"/>
      <c r="BS382" s="1238"/>
      <c r="BT382" s="1238"/>
      <c r="BU382" s="1239"/>
      <c r="BV382" s="1239"/>
      <c r="BW382" s="1239"/>
      <c r="BY382" s="1239"/>
      <c r="CA382" s="1243"/>
      <c r="CB382" s="1238"/>
      <c r="CC382" s="1242"/>
      <c r="CD382" s="1239"/>
    </row>
    <row r="383" customFormat="false" ht="12.75" hidden="false" customHeight="false" outlineLevel="0" collapsed="false">
      <c r="B383" s="1239"/>
      <c r="C383" s="1218"/>
      <c r="D383" s="0"/>
      <c r="E383" s="0"/>
      <c r="F383" s="0"/>
      <c r="G383" s="0"/>
      <c r="H383" s="0"/>
      <c r="I383" s="0"/>
      <c r="J383" s="0"/>
      <c r="K383" s="0"/>
      <c r="L383" s="0"/>
      <c r="M383" s="0"/>
      <c r="N383" s="0"/>
      <c r="O383" s="0"/>
      <c r="P383" s="0"/>
      <c r="Q383" s="0"/>
      <c r="R383" s="0"/>
      <c r="S383" s="0"/>
      <c r="T383" s="0"/>
      <c r="U383" s="0"/>
      <c r="V383" s="0"/>
      <c r="W383" s="0"/>
      <c r="X383" s="0"/>
      <c r="Y383" s="0"/>
      <c r="Z383" s="109"/>
      <c r="AA383" s="109"/>
      <c r="AB383" s="109"/>
      <c r="AC383" s="109"/>
      <c r="AD383" s="109"/>
      <c r="AE383" s="109"/>
      <c r="AF383" s="109"/>
      <c r="AG383" s="109"/>
      <c r="AH383" s="109"/>
      <c r="AI383" s="109"/>
      <c r="AJ383" s="109"/>
      <c r="AK383" s="109"/>
      <c r="AL383" s="109"/>
      <c r="AM383" s="109"/>
      <c r="AN383" s="109"/>
      <c r="AO383" s="109"/>
      <c r="AP383" s="109"/>
      <c r="AQ383" s="109"/>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1237"/>
      <c r="BR383" s="1238"/>
      <c r="BS383" s="1238"/>
      <c r="BT383" s="1238"/>
      <c r="BU383" s="1239"/>
      <c r="BV383" s="1239"/>
      <c r="BW383" s="1239"/>
      <c r="BY383" s="1239"/>
      <c r="CA383" s="1243"/>
      <c r="CB383" s="1238"/>
      <c r="CC383" s="1242"/>
      <c r="CD383" s="1239"/>
    </row>
    <row r="384" customFormat="false" ht="12.75" hidden="false" customHeight="false" outlineLevel="0" collapsed="false">
      <c r="B384" s="1239"/>
      <c r="C384" s="1218"/>
      <c r="D384" s="0"/>
      <c r="E384" s="0"/>
      <c r="F384" s="0"/>
      <c r="G384" s="0"/>
      <c r="H384" s="0"/>
      <c r="I384" s="0"/>
      <c r="J384" s="0"/>
      <c r="K384" s="0"/>
      <c r="L384" s="0"/>
      <c r="M384" s="0"/>
      <c r="N384" s="0"/>
      <c r="O384" s="0"/>
      <c r="P384" s="0"/>
      <c r="Q384" s="0"/>
      <c r="R384" s="0"/>
      <c r="S384" s="0"/>
      <c r="T384" s="0"/>
      <c r="U384" s="0"/>
      <c r="V384" s="0"/>
      <c r="W384" s="0"/>
      <c r="X384" s="0"/>
      <c r="Y384" s="0"/>
      <c r="Z384" s="109"/>
      <c r="AA384" s="109"/>
      <c r="AB384" s="109"/>
      <c r="AC384" s="109"/>
      <c r="AD384" s="109"/>
      <c r="AE384" s="109"/>
      <c r="AF384" s="109"/>
      <c r="AG384" s="109"/>
      <c r="AH384" s="109"/>
      <c r="AI384" s="109"/>
      <c r="AJ384" s="109"/>
      <c r="AK384" s="109"/>
      <c r="AL384" s="109"/>
      <c r="AM384" s="109"/>
      <c r="AN384" s="109"/>
      <c r="AO384" s="109"/>
      <c r="AP384" s="109"/>
      <c r="AQ384" s="109"/>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1237"/>
      <c r="BR384" s="1238"/>
      <c r="BS384" s="1238"/>
      <c r="BT384" s="1238"/>
      <c r="BU384" s="1239"/>
      <c r="BV384" s="1239"/>
      <c r="BW384" s="1239"/>
      <c r="BY384" s="1239"/>
      <c r="CA384" s="1243"/>
      <c r="CB384" s="1238"/>
      <c r="CC384" s="1242"/>
      <c r="CD384" s="1239"/>
    </row>
    <row r="385" customFormat="false" ht="12.75" hidden="false" customHeight="false" outlineLevel="0" collapsed="false">
      <c r="B385" s="1239"/>
      <c r="C385" s="1218"/>
      <c r="D385" s="0"/>
      <c r="E385" s="0"/>
      <c r="F385" s="0"/>
      <c r="G385" s="0"/>
      <c r="H385" s="0"/>
      <c r="I385" s="0"/>
      <c r="J385" s="0"/>
      <c r="K385" s="0"/>
      <c r="L385" s="0"/>
      <c r="M385" s="0"/>
      <c r="N385" s="0"/>
      <c r="O385" s="0"/>
      <c r="P385" s="0"/>
      <c r="Q385" s="0"/>
      <c r="R385" s="0"/>
      <c r="S385" s="0"/>
      <c r="T385" s="0"/>
      <c r="U385" s="0"/>
      <c r="V385" s="0"/>
      <c r="W385" s="0"/>
      <c r="X385" s="0"/>
      <c r="Y385" s="0"/>
      <c r="Z385" s="109"/>
      <c r="AA385" s="109"/>
      <c r="AB385" s="109"/>
      <c r="AC385" s="109"/>
      <c r="AD385" s="109"/>
      <c r="AE385" s="109"/>
      <c r="AF385" s="109"/>
      <c r="AG385" s="109"/>
      <c r="AH385" s="109"/>
      <c r="AI385" s="109"/>
      <c r="AJ385" s="109"/>
      <c r="AK385" s="109"/>
      <c r="AL385" s="109"/>
      <c r="AM385" s="109"/>
      <c r="AN385" s="109"/>
      <c r="AO385" s="109"/>
      <c r="AP385" s="109"/>
      <c r="AQ385" s="109"/>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1237"/>
      <c r="BR385" s="1238"/>
      <c r="BS385" s="1238"/>
      <c r="BT385" s="1238"/>
      <c r="BU385" s="1239"/>
      <c r="BV385" s="1239"/>
      <c r="BW385" s="1239"/>
      <c r="BY385" s="1239"/>
      <c r="CA385" s="1243"/>
      <c r="CB385" s="1238"/>
      <c r="CC385" s="1242"/>
      <c r="CD385" s="1239"/>
    </row>
    <row r="386" customFormat="false" ht="12.75" hidden="false" customHeight="false" outlineLevel="0" collapsed="false">
      <c r="B386" s="1239"/>
      <c r="C386" s="1218"/>
      <c r="D386" s="0"/>
      <c r="E386" s="0"/>
      <c r="F386" s="0"/>
      <c r="G386" s="0"/>
      <c r="H386" s="0"/>
      <c r="I386" s="0"/>
      <c r="J386" s="0"/>
      <c r="K386" s="0"/>
      <c r="L386" s="0"/>
      <c r="M386" s="0"/>
      <c r="N386" s="0"/>
      <c r="O386" s="0"/>
      <c r="P386" s="0"/>
      <c r="Q386" s="0"/>
      <c r="R386" s="0"/>
      <c r="S386" s="0"/>
      <c r="T386" s="0"/>
      <c r="U386" s="0"/>
      <c r="V386" s="0"/>
      <c r="W386" s="0"/>
      <c r="X386" s="0"/>
      <c r="Y386" s="0"/>
      <c r="Z386" s="109"/>
      <c r="AA386" s="109"/>
      <c r="AB386" s="109"/>
      <c r="AC386" s="109"/>
      <c r="AD386" s="109"/>
      <c r="AE386" s="109"/>
      <c r="AF386" s="109"/>
      <c r="AG386" s="109"/>
      <c r="AH386" s="109"/>
      <c r="AI386" s="109"/>
      <c r="AJ386" s="109"/>
      <c r="AK386" s="109"/>
      <c r="AL386" s="109"/>
      <c r="AM386" s="109"/>
      <c r="AN386" s="109"/>
      <c r="AO386" s="109"/>
      <c r="AP386" s="109"/>
      <c r="AQ386" s="109"/>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1237"/>
      <c r="BR386" s="1238"/>
      <c r="BS386" s="1238"/>
      <c r="BT386" s="1238"/>
      <c r="BU386" s="1239"/>
      <c r="BV386" s="1239"/>
      <c r="BW386" s="1239"/>
      <c r="BY386" s="1239"/>
      <c r="CA386" s="1243"/>
      <c r="CB386" s="1238"/>
      <c r="CC386" s="1242"/>
      <c r="CD386" s="1239"/>
    </row>
    <row r="387" customFormat="false" ht="12.75" hidden="false" customHeight="false" outlineLevel="0" collapsed="false">
      <c r="B387" s="1239"/>
      <c r="C387" s="1218"/>
      <c r="D387" s="0"/>
      <c r="E387" s="0"/>
      <c r="F387" s="0"/>
      <c r="G387" s="0"/>
      <c r="H387" s="0"/>
      <c r="I387" s="0"/>
      <c r="J387" s="0"/>
      <c r="K387" s="0"/>
      <c r="L387" s="0"/>
      <c r="M387" s="0"/>
      <c r="N387" s="0"/>
      <c r="O387" s="0"/>
      <c r="P387" s="0"/>
      <c r="Q387" s="0"/>
      <c r="R387" s="0"/>
      <c r="S387" s="0"/>
      <c r="T387" s="0"/>
      <c r="U387" s="0"/>
      <c r="V387" s="0"/>
      <c r="W387" s="0"/>
      <c r="X387" s="0"/>
      <c r="Y387" s="0"/>
      <c r="Z387" s="109"/>
      <c r="AA387" s="109"/>
      <c r="AB387" s="109"/>
      <c r="AC387" s="109"/>
      <c r="AD387" s="109"/>
      <c r="AE387" s="109"/>
      <c r="AF387" s="109"/>
      <c r="AG387" s="109"/>
      <c r="AH387" s="109"/>
      <c r="AI387" s="109"/>
      <c r="AJ387" s="109"/>
      <c r="AK387" s="109"/>
      <c r="AL387" s="109"/>
      <c r="AM387" s="109"/>
      <c r="AN387" s="109"/>
      <c r="AO387" s="109"/>
      <c r="AP387" s="109"/>
      <c r="AQ387" s="109"/>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1237"/>
      <c r="BR387" s="1238"/>
      <c r="BS387" s="1238"/>
      <c r="BT387" s="1238"/>
      <c r="BU387" s="1239"/>
      <c r="BV387" s="1239"/>
      <c r="BW387" s="1239"/>
      <c r="BY387" s="1239"/>
      <c r="CA387" s="1243"/>
      <c r="CB387" s="1238"/>
      <c r="CC387" s="1242"/>
      <c r="CD387" s="1239"/>
    </row>
    <row r="388" customFormat="false" ht="12.75" hidden="false" customHeight="false" outlineLevel="0" collapsed="false">
      <c r="B388" s="1239"/>
      <c r="C388" s="1218"/>
      <c r="D388" s="0"/>
      <c r="E388" s="0"/>
      <c r="F388" s="0"/>
      <c r="G388" s="0"/>
      <c r="H388" s="0"/>
      <c r="I388" s="0"/>
      <c r="J388" s="0"/>
      <c r="K388" s="0"/>
      <c r="L388" s="0"/>
      <c r="M388" s="0"/>
      <c r="N388" s="0"/>
      <c r="O388" s="0"/>
      <c r="P388" s="0"/>
      <c r="Q388" s="0"/>
      <c r="R388" s="0"/>
      <c r="S388" s="0"/>
      <c r="T388" s="0"/>
      <c r="U388" s="0"/>
      <c r="V388" s="0"/>
      <c r="W388" s="0"/>
      <c r="X388" s="0"/>
      <c r="Y388" s="0"/>
      <c r="Z388" s="109"/>
      <c r="AA388" s="109"/>
      <c r="AB388" s="109"/>
      <c r="AC388" s="109"/>
      <c r="AD388" s="109"/>
      <c r="AE388" s="109"/>
      <c r="AF388" s="109"/>
      <c r="AG388" s="109"/>
      <c r="AH388" s="109"/>
      <c r="AI388" s="109"/>
      <c r="AJ388" s="109"/>
      <c r="AK388" s="109"/>
      <c r="AL388" s="109"/>
      <c r="AM388" s="109"/>
      <c r="AN388" s="109"/>
      <c r="AO388" s="109"/>
      <c r="AP388" s="109"/>
      <c r="AQ388" s="109"/>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1237"/>
      <c r="BR388" s="1238"/>
      <c r="BS388" s="1238"/>
      <c r="BT388" s="1238"/>
      <c r="BU388" s="1239"/>
      <c r="BV388" s="1239"/>
      <c r="BW388" s="1239"/>
      <c r="BY388" s="1239"/>
      <c r="CA388" s="1243"/>
      <c r="CB388" s="1238"/>
      <c r="CC388" s="1242"/>
      <c r="CD388" s="1239"/>
    </row>
    <row r="389" customFormat="false" ht="12.75" hidden="false" customHeight="false" outlineLevel="0" collapsed="false">
      <c r="B389" s="1239"/>
      <c r="C389" s="1218"/>
      <c r="D389" s="0"/>
      <c r="E389" s="0"/>
      <c r="F389" s="0"/>
      <c r="G389" s="0"/>
      <c r="H389" s="0"/>
      <c r="I389" s="0"/>
      <c r="J389" s="0"/>
      <c r="K389" s="0"/>
      <c r="L389" s="0"/>
      <c r="M389" s="0"/>
      <c r="N389" s="0"/>
      <c r="O389" s="0"/>
      <c r="P389" s="0"/>
      <c r="Q389" s="0"/>
      <c r="R389" s="0"/>
      <c r="S389" s="0"/>
      <c r="T389" s="0"/>
      <c r="U389" s="0"/>
      <c r="V389" s="0"/>
      <c r="W389" s="0"/>
      <c r="X389" s="0"/>
      <c r="Y389" s="0"/>
      <c r="Z389" s="109"/>
      <c r="AA389" s="109"/>
      <c r="AB389" s="109"/>
      <c r="AC389" s="109"/>
      <c r="AD389" s="109"/>
      <c r="AE389" s="109"/>
      <c r="AF389" s="109"/>
      <c r="AG389" s="109"/>
      <c r="AH389" s="109"/>
      <c r="AI389" s="109"/>
      <c r="AJ389" s="109"/>
      <c r="AK389" s="109"/>
      <c r="AL389" s="109"/>
      <c r="AM389" s="109"/>
      <c r="AN389" s="109"/>
      <c r="AO389" s="109"/>
      <c r="AP389" s="109"/>
      <c r="AQ389" s="109"/>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1237"/>
      <c r="BR389" s="1238"/>
      <c r="BS389" s="1238"/>
      <c r="BT389" s="1238"/>
      <c r="BU389" s="1239"/>
      <c r="BV389" s="1239"/>
      <c r="BW389" s="1239"/>
      <c r="BY389" s="1239"/>
      <c r="CA389" s="1243"/>
      <c r="CB389" s="1238"/>
      <c r="CC389" s="1242"/>
      <c r="CD389" s="1239"/>
    </row>
    <row r="390" customFormat="false" ht="12.75" hidden="false" customHeight="false" outlineLevel="0" collapsed="false">
      <c r="B390" s="1239"/>
      <c r="C390" s="1218"/>
      <c r="D390" s="0"/>
      <c r="E390" s="0"/>
      <c r="F390" s="0"/>
      <c r="G390" s="0"/>
      <c r="H390" s="0"/>
      <c r="I390" s="0"/>
      <c r="J390" s="0"/>
      <c r="K390" s="0"/>
      <c r="L390" s="0"/>
      <c r="M390" s="0"/>
      <c r="N390" s="0"/>
      <c r="O390" s="0"/>
      <c r="P390" s="0"/>
      <c r="Q390" s="0"/>
      <c r="R390" s="0"/>
      <c r="S390" s="0"/>
      <c r="T390" s="0"/>
      <c r="U390" s="0"/>
      <c r="V390" s="0"/>
      <c r="W390" s="0"/>
      <c r="X390" s="0"/>
      <c r="Y390" s="0"/>
      <c r="Z390" s="109"/>
      <c r="AA390" s="109"/>
      <c r="AB390" s="109"/>
      <c r="AC390" s="109"/>
      <c r="AD390" s="109"/>
      <c r="AE390" s="109"/>
      <c r="AF390" s="109"/>
      <c r="AG390" s="109"/>
      <c r="AH390" s="109"/>
      <c r="AI390" s="109"/>
      <c r="AJ390" s="109"/>
      <c r="AK390" s="109"/>
      <c r="AL390" s="109"/>
      <c r="AM390" s="109"/>
      <c r="AN390" s="109"/>
      <c r="AO390" s="109"/>
      <c r="AP390" s="109"/>
      <c r="AQ390" s="109"/>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1237"/>
      <c r="BR390" s="1238"/>
      <c r="BS390" s="1238"/>
      <c r="BT390" s="1238"/>
      <c r="BU390" s="1239"/>
      <c r="BV390" s="1239"/>
      <c r="BW390" s="1239"/>
      <c r="BY390" s="1239"/>
      <c r="CA390" s="1243"/>
      <c r="CB390" s="1238"/>
      <c r="CC390" s="1242"/>
      <c r="CD390" s="1239"/>
    </row>
    <row r="391" customFormat="false" ht="12.75" hidden="false" customHeight="false" outlineLevel="0" collapsed="false">
      <c r="B391" s="1239"/>
      <c r="C391" s="1218"/>
      <c r="D391" s="0"/>
      <c r="E391" s="0"/>
      <c r="F391" s="0"/>
      <c r="G391" s="0"/>
      <c r="H391" s="0"/>
      <c r="I391" s="0"/>
      <c r="J391" s="0"/>
      <c r="K391" s="0"/>
      <c r="L391" s="0"/>
      <c r="M391" s="0"/>
      <c r="N391" s="0"/>
      <c r="O391" s="0"/>
      <c r="P391" s="0"/>
      <c r="Q391" s="0"/>
      <c r="R391" s="0"/>
      <c r="S391" s="0"/>
      <c r="T391" s="0"/>
      <c r="U391" s="0"/>
      <c r="V391" s="0"/>
      <c r="W391" s="0"/>
      <c r="X391" s="0"/>
      <c r="Y391" s="0"/>
      <c r="Z391" s="109"/>
      <c r="AA391" s="109"/>
      <c r="AB391" s="109"/>
      <c r="AC391" s="109"/>
      <c r="AD391" s="109"/>
      <c r="AE391" s="109"/>
      <c r="AF391" s="109"/>
      <c r="AG391" s="109"/>
      <c r="AH391" s="109"/>
      <c r="AI391" s="109"/>
      <c r="AJ391" s="109"/>
      <c r="AK391" s="109"/>
      <c r="AL391" s="109"/>
      <c r="AM391" s="109"/>
      <c r="AN391" s="109"/>
      <c r="AO391" s="109"/>
      <c r="AP391" s="109"/>
      <c r="AQ391" s="109"/>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1237"/>
      <c r="BR391" s="1238"/>
      <c r="BS391" s="1238"/>
      <c r="BT391" s="1238"/>
      <c r="BU391" s="1239"/>
      <c r="BV391" s="1239"/>
      <c r="BW391" s="1239"/>
      <c r="BY391" s="1239"/>
      <c r="CA391" s="1243"/>
      <c r="CB391" s="1238"/>
      <c r="CC391" s="1242"/>
      <c r="CD391" s="1239"/>
    </row>
    <row r="392" customFormat="false" ht="12.75" hidden="false" customHeight="false" outlineLevel="0" collapsed="false">
      <c r="B392" s="1239"/>
      <c r="C392" s="1218"/>
      <c r="D392" s="0"/>
      <c r="E392" s="0"/>
      <c r="F392" s="0"/>
      <c r="G392" s="0"/>
      <c r="H392" s="0"/>
      <c r="I392" s="0"/>
      <c r="J392" s="0"/>
      <c r="K392" s="0"/>
      <c r="L392" s="0"/>
      <c r="M392" s="0"/>
      <c r="N392" s="0"/>
      <c r="O392" s="0"/>
      <c r="P392" s="0"/>
      <c r="Q392" s="0"/>
      <c r="R392" s="0"/>
      <c r="S392" s="0"/>
      <c r="T392" s="0"/>
      <c r="U392" s="0"/>
      <c r="V392" s="0"/>
      <c r="W392" s="0"/>
      <c r="X392" s="0"/>
      <c r="Y392" s="0"/>
      <c r="Z392" s="109"/>
      <c r="AA392" s="109"/>
      <c r="AB392" s="109"/>
      <c r="AC392" s="109"/>
      <c r="AD392" s="109"/>
      <c r="AE392" s="109"/>
      <c r="AF392" s="109"/>
      <c r="AG392" s="109"/>
      <c r="AH392" s="109"/>
      <c r="AI392" s="109"/>
      <c r="AJ392" s="109"/>
      <c r="AK392" s="109"/>
      <c r="AL392" s="109"/>
      <c r="AM392" s="109"/>
      <c r="AN392" s="109"/>
      <c r="AO392" s="109"/>
      <c r="AP392" s="109"/>
      <c r="AQ392" s="109"/>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1237"/>
      <c r="BR392" s="1238"/>
      <c r="BS392" s="1238"/>
      <c r="BT392" s="1238"/>
      <c r="BU392" s="1239"/>
      <c r="BV392" s="1239"/>
      <c r="BW392" s="1239"/>
      <c r="BY392" s="1239"/>
      <c r="CA392" s="1243"/>
      <c r="CB392" s="1238"/>
      <c r="CC392" s="1242"/>
      <c r="CD392" s="1239"/>
    </row>
    <row r="393" customFormat="false" ht="12.75" hidden="false" customHeight="false" outlineLevel="0" collapsed="false">
      <c r="B393" s="1239"/>
      <c r="C393" s="1218"/>
      <c r="D393" s="0"/>
      <c r="E393" s="0"/>
      <c r="F393" s="0"/>
      <c r="G393" s="0"/>
      <c r="H393" s="0"/>
      <c r="I393" s="0"/>
      <c r="J393" s="0"/>
      <c r="K393" s="0"/>
      <c r="L393" s="0"/>
      <c r="M393" s="0"/>
      <c r="N393" s="0"/>
      <c r="O393" s="0"/>
      <c r="P393" s="0"/>
      <c r="Q393" s="0"/>
      <c r="R393" s="0"/>
      <c r="S393" s="0"/>
      <c r="T393" s="0"/>
      <c r="U393" s="0"/>
      <c r="V393" s="0"/>
      <c r="W393" s="0"/>
      <c r="X393" s="0"/>
      <c r="Y393" s="0"/>
      <c r="Z393" s="109"/>
      <c r="AA393" s="109"/>
      <c r="AB393" s="109"/>
      <c r="AC393" s="109"/>
      <c r="AD393" s="109"/>
      <c r="AE393" s="109"/>
      <c r="AF393" s="109"/>
      <c r="AG393" s="109"/>
      <c r="AH393" s="109"/>
      <c r="AI393" s="109"/>
      <c r="AJ393" s="109"/>
      <c r="AK393" s="109"/>
      <c r="AL393" s="109"/>
      <c r="AM393" s="109"/>
      <c r="AN393" s="109"/>
      <c r="AO393" s="109"/>
      <c r="AP393" s="109"/>
      <c r="AQ393" s="109"/>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1237"/>
      <c r="BR393" s="1238"/>
      <c r="BS393" s="1238"/>
      <c r="BT393" s="1238"/>
      <c r="BU393" s="1239"/>
      <c r="BV393" s="1239"/>
      <c r="BW393" s="1239"/>
      <c r="BY393" s="1239"/>
      <c r="CA393" s="1243"/>
      <c r="CB393" s="1238"/>
      <c r="CC393" s="1242"/>
      <c r="CD393" s="1239"/>
    </row>
    <row r="394" customFormat="false" ht="12.75" hidden="false" customHeight="false" outlineLevel="0" collapsed="false">
      <c r="B394" s="1239"/>
      <c r="C394" s="1218"/>
      <c r="D394" s="0"/>
      <c r="E394" s="0"/>
      <c r="F394" s="0"/>
      <c r="G394" s="0"/>
      <c r="H394" s="0"/>
      <c r="I394" s="0"/>
      <c r="J394" s="0"/>
      <c r="K394" s="0"/>
      <c r="L394" s="0"/>
      <c r="M394" s="0"/>
      <c r="N394" s="0"/>
      <c r="O394" s="0"/>
      <c r="P394" s="0"/>
      <c r="Q394" s="0"/>
      <c r="R394" s="0"/>
      <c r="S394" s="0"/>
      <c r="T394" s="0"/>
      <c r="U394" s="0"/>
      <c r="V394" s="0"/>
      <c r="W394" s="0"/>
      <c r="X394" s="0"/>
      <c r="Y394" s="0"/>
      <c r="Z394" s="109"/>
      <c r="AA394" s="109"/>
      <c r="AB394" s="109"/>
      <c r="AC394" s="109"/>
      <c r="AD394" s="109"/>
      <c r="AE394" s="109"/>
      <c r="AF394" s="109"/>
      <c r="AG394" s="109"/>
      <c r="AH394" s="109"/>
      <c r="AI394" s="109"/>
      <c r="AJ394" s="109"/>
      <c r="AK394" s="109"/>
      <c r="AL394" s="109"/>
      <c r="AM394" s="109"/>
      <c r="AN394" s="109"/>
      <c r="AO394" s="109"/>
      <c r="AP394" s="109"/>
      <c r="AQ394" s="109"/>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1237"/>
      <c r="BR394" s="1238"/>
      <c r="BS394" s="1238"/>
      <c r="BT394" s="1238"/>
      <c r="BU394" s="1239"/>
      <c r="BV394" s="1239"/>
      <c r="BW394" s="1239"/>
      <c r="BY394" s="1239"/>
      <c r="CA394" s="1243"/>
      <c r="CB394" s="1238"/>
      <c r="CC394" s="1242"/>
      <c r="CD394" s="1239"/>
    </row>
    <row r="395" customFormat="false" ht="12.75" hidden="false" customHeight="false" outlineLevel="0" collapsed="false">
      <c r="B395" s="1239"/>
      <c r="C395" s="1218"/>
      <c r="D395" s="0"/>
      <c r="E395" s="0"/>
      <c r="F395" s="0"/>
      <c r="G395" s="0"/>
      <c r="H395" s="0"/>
      <c r="I395" s="0"/>
      <c r="J395" s="0"/>
      <c r="K395" s="0"/>
      <c r="L395" s="0"/>
      <c r="M395" s="0"/>
      <c r="N395" s="0"/>
      <c r="O395" s="0"/>
      <c r="P395" s="0"/>
      <c r="Q395" s="0"/>
      <c r="R395" s="0"/>
      <c r="S395" s="0"/>
      <c r="T395" s="0"/>
      <c r="U395" s="0"/>
      <c r="V395" s="0"/>
      <c r="W395" s="0"/>
      <c r="X395" s="0"/>
      <c r="Y395" s="0"/>
      <c r="Z395" s="109"/>
      <c r="AA395" s="109"/>
      <c r="AB395" s="109"/>
      <c r="AC395" s="109"/>
      <c r="AD395" s="109"/>
      <c r="AE395" s="109"/>
      <c r="AF395" s="109"/>
      <c r="AG395" s="109"/>
      <c r="AH395" s="109"/>
      <c r="AI395" s="109"/>
      <c r="AJ395" s="109"/>
      <c r="AK395" s="109"/>
      <c r="AL395" s="109"/>
      <c r="AM395" s="109"/>
      <c r="AN395" s="109"/>
      <c r="AO395" s="109"/>
      <c r="AP395" s="109"/>
      <c r="AQ395" s="109"/>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1237"/>
      <c r="BR395" s="1238"/>
      <c r="BS395" s="1238"/>
      <c r="BT395" s="1238"/>
      <c r="BU395" s="1239"/>
      <c r="BV395" s="1239"/>
      <c r="BW395" s="1239"/>
      <c r="BY395" s="1239"/>
      <c r="CA395" s="1243"/>
      <c r="CB395" s="1238"/>
      <c r="CC395" s="1242"/>
      <c r="CD395" s="1239"/>
    </row>
    <row r="396" customFormat="false" ht="12.75" hidden="false" customHeight="false" outlineLevel="0" collapsed="false">
      <c r="B396" s="1239"/>
      <c r="C396" s="1218"/>
      <c r="D396" s="0"/>
      <c r="E396" s="0"/>
      <c r="F396" s="0"/>
      <c r="G396" s="0"/>
      <c r="H396" s="0"/>
      <c r="I396" s="0"/>
      <c r="J396" s="0"/>
      <c r="K396" s="0"/>
      <c r="L396" s="0"/>
      <c r="M396" s="0"/>
      <c r="N396" s="0"/>
      <c r="O396" s="0"/>
      <c r="P396" s="0"/>
      <c r="Q396" s="0"/>
      <c r="R396" s="0"/>
      <c r="S396" s="0"/>
      <c r="T396" s="0"/>
      <c r="U396" s="0"/>
      <c r="V396" s="0"/>
      <c r="W396" s="0"/>
      <c r="X396" s="0"/>
      <c r="Y396" s="0"/>
      <c r="Z396" s="109"/>
      <c r="AA396" s="109"/>
      <c r="AB396" s="109"/>
      <c r="AC396" s="109"/>
      <c r="AD396" s="109"/>
      <c r="AE396" s="109"/>
      <c r="AF396" s="109"/>
      <c r="AG396" s="109"/>
      <c r="AH396" s="109"/>
      <c r="AI396" s="109"/>
      <c r="AJ396" s="109"/>
      <c r="AK396" s="109"/>
      <c r="AL396" s="109"/>
      <c r="AM396" s="109"/>
      <c r="AN396" s="109"/>
      <c r="AO396" s="109"/>
      <c r="AP396" s="109"/>
      <c r="AQ396" s="109"/>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1237"/>
      <c r="BR396" s="1238"/>
      <c r="BS396" s="1238"/>
      <c r="BT396" s="1238"/>
      <c r="BU396" s="1239"/>
      <c r="BV396" s="1239"/>
      <c r="BW396" s="1239"/>
      <c r="BY396" s="1239"/>
      <c r="CA396" s="1243"/>
      <c r="CB396" s="1238"/>
      <c r="CC396" s="1242"/>
      <c r="CD396" s="1239"/>
    </row>
    <row r="397" customFormat="false" ht="12.75" hidden="false" customHeight="false" outlineLevel="0" collapsed="false">
      <c r="B397" s="1239"/>
      <c r="C397" s="1218"/>
      <c r="D397" s="0"/>
      <c r="E397" s="0"/>
      <c r="F397" s="0"/>
      <c r="G397" s="0"/>
      <c r="H397" s="0"/>
      <c r="I397" s="0"/>
      <c r="J397" s="0"/>
      <c r="K397" s="0"/>
      <c r="L397" s="0"/>
      <c r="M397" s="0"/>
      <c r="N397" s="0"/>
      <c r="O397" s="0"/>
      <c r="P397" s="0"/>
      <c r="Q397" s="0"/>
      <c r="R397" s="0"/>
      <c r="S397" s="0"/>
      <c r="T397" s="0"/>
      <c r="U397" s="0"/>
      <c r="V397" s="0"/>
      <c r="W397" s="0"/>
      <c r="X397" s="0"/>
      <c r="Y397" s="0"/>
      <c r="Z397" s="109"/>
      <c r="AA397" s="109"/>
      <c r="AB397" s="109"/>
      <c r="AC397" s="109"/>
      <c r="AD397" s="109"/>
      <c r="AE397" s="109"/>
      <c r="AF397" s="109"/>
      <c r="AG397" s="109"/>
      <c r="AH397" s="109"/>
      <c r="AI397" s="109"/>
      <c r="AJ397" s="109"/>
      <c r="AK397" s="109"/>
      <c r="AL397" s="109"/>
      <c r="AM397" s="109"/>
      <c r="AN397" s="109"/>
      <c r="AO397" s="109"/>
      <c r="AP397" s="109"/>
      <c r="AQ397" s="109"/>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1237"/>
      <c r="BR397" s="1238"/>
      <c r="BS397" s="1238"/>
      <c r="BT397" s="1238"/>
      <c r="BU397" s="1239"/>
      <c r="BV397" s="1239"/>
      <c r="BW397" s="1239"/>
      <c r="BY397" s="1239"/>
      <c r="CA397" s="1243"/>
      <c r="CB397" s="1238"/>
      <c r="CC397" s="1242"/>
      <c r="CD397" s="1239"/>
    </row>
    <row r="398" customFormat="false" ht="12.75" hidden="false" customHeight="false" outlineLevel="0" collapsed="false">
      <c r="B398" s="1239"/>
      <c r="C398" s="1218"/>
      <c r="D398" s="0"/>
      <c r="E398" s="0"/>
      <c r="F398" s="0"/>
      <c r="G398" s="0"/>
      <c r="H398" s="0"/>
      <c r="I398" s="0"/>
      <c r="J398" s="0"/>
      <c r="K398" s="0"/>
      <c r="L398" s="0"/>
      <c r="M398" s="0"/>
      <c r="N398" s="0"/>
      <c r="O398" s="0"/>
      <c r="P398" s="0"/>
      <c r="Q398" s="0"/>
      <c r="R398" s="0"/>
      <c r="S398" s="0"/>
      <c r="T398" s="0"/>
      <c r="U398" s="0"/>
      <c r="V398" s="0"/>
      <c r="W398" s="0"/>
      <c r="X398" s="0"/>
      <c r="Y398" s="0"/>
      <c r="Z398" s="109"/>
      <c r="AA398" s="109"/>
      <c r="AB398" s="109"/>
      <c r="AC398" s="109"/>
      <c r="AD398" s="109"/>
      <c r="AE398" s="109"/>
      <c r="AF398" s="109"/>
      <c r="AG398" s="109"/>
      <c r="AH398" s="109"/>
      <c r="AI398" s="109"/>
      <c r="AJ398" s="109"/>
      <c r="AK398" s="109"/>
      <c r="AL398" s="109"/>
      <c r="AM398" s="109"/>
      <c r="AN398" s="109"/>
      <c r="AO398" s="109"/>
      <c r="AP398" s="109"/>
      <c r="AQ398" s="109"/>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1237"/>
      <c r="BR398" s="1238"/>
      <c r="BS398" s="1238"/>
      <c r="BT398" s="1238"/>
      <c r="BU398" s="1239"/>
      <c r="BV398" s="1239"/>
      <c r="BW398" s="1239"/>
      <c r="BY398" s="1239"/>
      <c r="CA398" s="1243"/>
      <c r="CB398" s="1238"/>
      <c r="CC398" s="1242"/>
      <c r="CD398" s="1239"/>
    </row>
    <row r="399" customFormat="false" ht="12.75" hidden="false" customHeight="false" outlineLevel="0" collapsed="false">
      <c r="B399" s="1239"/>
      <c r="C399" s="1218"/>
      <c r="D399" s="0"/>
      <c r="E399" s="0"/>
      <c r="F399" s="0"/>
      <c r="G399" s="0"/>
      <c r="H399" s="0"/>
      <c r="I399" s="0"/>
      <c r="J399" s="0"/>
      <c r="K399" s="0"/>
      <c r="L399" s="0"/>
      <c r="M399" s="0"/>
      <c r="N399" s="0"/>
      <c r="O399" s="0"/>
      <c r="P399" s="0"/>
      <c r="Q399" s="0"/>
      <c r="R399" s="0"/>
      <c r="S399" s="0"/>
      <c r="T399" s="0"/>
      <c r="U399" s="0"/>
      <c r="V399" s="0"/>
      <c r="W399" s="0"/>
      <c r="X399" s="0"/>
      <c r="Y399" s="0"/>
      <c r="Z399" s="109"/>
      <c r="AA399" s="109"/>
      <c r="AB399" s="109"/>
      <c r="AC399" s="109"/>
      <c r="AD399" s="109"/>
      <c r="AE399" s="109"/>
      <c r="AF399" s="109"/>
      <c r="AG399" s="109"/>
      <c r="AH399" s="109"/>
      <c r="AI399" s="109"/>
      <c r="AJ399" s="109"/>
      <c r="AK399" s="109"/>
      <c r="AL399" s="109"/>
      <c r="AM399" s="109"/>
      <c r="AN399" s="109"/>
      <c r="AO399" s="109"/>
      <c r="AP399" s="109"/>
      <c r="AQ399" s="109"/>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1237"/>
      <c r="BR399" s="1238"/>
      <c r="BS399" s="1238"/>
      <c r="BT399" s="1238"/>
      <c r="BU399" s="1239"/>
      <c r="BV399" s="1239"/>
      <c r="BW399" s="1239"/>
      <c r="BY399" s="1239"/>
      <c r="CA399" s="1243"/>
      <c r="CB399" s="1238"/>
      <c r="CC399" s="1242"/>
      <c r="CD399" s="1239"/>
    </row>
    <row r="400" customFormat="false" ht="12.75" hidden="false" customHeight="false" outlineLevel="0" collapsed="false">
      <c r="B400" s="1239"/>
      <c r="C400" s="1218"/>
      <c r="D400" s="0"/>
      <c r="E400" s="0"/>
      <c r="F400" s="0"/>
      <c r="G400" s="0"/>
      <c r="H400" s="0"/>
      <c r="I400" s="0"/>
      <c r="J400" s="0"/>
      <c r="K400" s="0"/>
      <c r="L400" s="0"/>
      <c r="M400" s="0"/>
      <c r="N400" s="0"/>
      <c r="O400" s="0"/>
      <c r="P400" s="0"/>
      <c r="Q400" s="0"/>
      <c r="R400" s="0"/>
      <c r="S400" s="0"/>
      <c r="T400" s="0"/>
      <c r="U400" s="0"/>
      <c r="V400" s="0"/>
      <c r="W400" s="0"/>
      <c r="X400" s="0"/>
      <c r="Y400" s="0"/>
      <c r="Z400" s="109"/>
      <c r="AA400" s="109"/>
      <c r="AB400" s="109"/>
      <c r="AC400" s="109"/>
      <c r="AD400" s="109"/>
      <c r="AE400" s="109"/>
      <c r="AF400" s="109"/>
      <c r="AG400" s="109"/>
      <c r="AH400" s="109"/>
      <c r="AI400" s="109"/>
      <c r="AJ400" s="109"/>
      <c r="AK400" s="109"/>
      <c r="AL400" s="109"/>
      <c r="AM400" s="109"/>
      <c r="AN400" s="109"/>
      <c r="AO400" s="109"/>
      <c r="AP400" s="109"/>
      <c r="AQ400" s="109"/>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1237"/>
      <c r="BR400" s="1238"/>
      <c r="BS400" s="1238"/>
      <c r="BT400" s="1238"/>
      <c r="BU400" s="1239"/>
      <c r="BV400" s="1239"/>
      <c r="BW400" s="1239"/>
      <c r="BY400" s="1239"/>
      <c r="CA400" s="1243"/>
      <c r="CB400" s="1238"/>
      <c r="CC400" s="1242"/>
      <c r="CD400" s="1239"/>
    </row>
    <row r="401" customFormat="false" ht="12.75" hidden="false" customHeight="false" outlineLevel="0" collapsed="false">
      <c r="B401" s="1239"/>
      <c r="D401" s="0"/>
      <c r="E401" s="0"/>
      <c r="F401" s="0"/>
      <c r="G401" s="0"/>
      <c r="H401" s="0"/>
      <c r="I401" s="0"/>
      <c r="J401" s="0"/>
      <c r="K401" s="0"/>
      <c r="L401" s="0"/>
      <c r="M401" s="0"/>
      <c r="N401" s="0"/>
      <c r="O401" s="0"/>
      <c r="P401" s="0"/>
      <c r="Q401" s="0"/>
      <c r="R401" s="0"/>
      <c r="S401" s="0"/>
      <c r="T401" s="0"/>
      <c r="U401" s="0"/>
      <c r="V401" s="0"/>
      <c r="W401" s="0"/>
      <c r="X401" s="0"/>
      <c r="Y401" s="0"/>
      <c r="Z401" s="109"/>
      <c r="AA401" s="109"/>
      <c r="AB401" s="109"/>
      <c r="AC401" s="109"/>
      <c r="AD401" s="109"/>
      <c r="AE401" s="109"/>
      <c r="AF401" s="109"/>
      <c r="AG401" s="109"/>
      <c r="AH401" s="109"/>
      <c r="AI401" s="109"/>
      <c r="AJ401" s="109"/>
      <c r="AK401" s="109"/>
      <c r="AL401" s="109"/>
      <c r="AM401" s="109"/>
      <c r="AN401" s="109"/>
      <c r="AO401" s="109"/>
      <c r="AP401" s="109"/>
      <c r="AQ401" s="109"/>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1237"/>
      <c r="BR401" s="1238"/>
      <c r="BS401" s="1238"/>
      <c r="BT401" s="1238"/>
      <c r="BU401" s="1239"/>
      <c r="BV401" s="1239"/>
      <c r="BW401" s="1239"/>
      <c r="BY401" s="1239"/>
      <c r="CA401" s="1243"/>
      <c r="CB401" s="1238"/>
      <c r="CC401" s="1242"/>
      <c r="CD401" s="1239"/>
    </row>
    <row r="402" customFormat="false" ht="12.75" hidden="false" customHeight="false" outlineLevel="0" collapsed="false">
      <c r="B402" s="1239"/>
      <c r="D402" s="0"/>
      <c r="E402" s="0"/>
      <c r="F402" s="0"/>
      <c r="G402" s="0"/>
      <c r="H402" s="0"/>
      <c r="I402" s="0"/>
      <c r="J402" s="0"/>
      <c r="K402" s="0"/>
      <c r="L402" s="0"/>
      <c r="M402" s="0"/>
      <c r="N402" s="0"/>
      <c r="O402" s="0"/>
      <c r="P402" s="0"/>
      <c r="Q402" s="0"/>
      <c r="R402" s="0"/>
      <c r="S402" s="0"/>
      <c r="T402" s="0"/>
      <c r="U402" s="0"/>
      <c r="V402" s="0"/>
      <c r="W402" s="0"/>
      <c r="X402" s="0"/>
      <c r="Y402" s="0"/>
      <c r="Z402" s="109"/>
      <c r="AA402" s="109"/>
      <c r="AB402" s="109"/>
      <c r="AC402" s="109"/>
      <c r="AD402" s="109"/>
      <c r="AE402" s="109"/>
      <c r="AF402" s="109"/>
      <c r="AG402" s="109"/>
      <c r="AH402" s="109"/>
      <c r="AI402" s="109"/>
      <c r="AJ402" s="109"/>
      <c r="AK402" s="109"/>
      <c r="AL402" s="109"/>
      <c r="AM402" s="109"/>
      <c r="AN402" s="109"/>
      <c r="AO402" s="109"/>
      <c r="AP402" s="109"/>
      <c r="AQ402" s="109"/>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1237"/>
      <c r="BR402" s="1238"/>
      <c r="BS402" s="1238"/>
      <c r="BT402" s="1238"/>
      <c r="BU402" s="1239"/>
      <c r="BV402" s="1239"/>
      <c r="BW402" s="1239"/>
      <c r="BY402" s="1239"/>
      <c r="CA402" s="1243"/>
      <c r="CB402" s="1238"/>
      <c r="CC402" s="1242"/>
      <c r="CD402" s="1239"/>
    </row>
    <row r="403" customFormat="false" ht="12.75" hidden="false" customHeight="false" outlineLevel="0" collapsed="false">
      <c r="B403" s="1239"/>
      <c r="Z403" s="109"/>
      <c r="AA403" s="109"/>
      <c r="AB403" s="109"/>
      <c r="AC403" s="109"/>
      <c r="AD403" s="109"/>
      <c r="AE403" s="109"/>
      <c r="AF403" s="109"/>
      <c r="AG403" s="109"/>
      <c r="AH403" s="109"/>
      <c r="AI403" s="109"/>
      <c r="AJ403" s="109"/>
      <c r="AK403" s="109"/>
      <c r="AL403" s="109"/>
      <c r="AM403" s="109"/>
      <c r="AN403" s="109"/>
      <c r="AO403" s="109"/>
      <c r="AP403" s="109"/>
      <c r="AQ403" s="109"/>
      <c r="BQ403" s="1237"/>
      <c r="BR403" s="1238"/>
      <c r="BS403" s="1238"/>
      <c r="BT403" s="1238"/>
      <c r="BU403" s="1239"/>
      <c r="BV403" s="1239"/>
      <c r="BW403" s="1239"/>
      <c r="BY403" s="1239"/>
      <c r="CA403" s="1243"/>
      <c r="CB403" s="1238"/>
      <c r="CC403" s="1242"/>
      <c r="CD403" s="1239"/>
    </row>
    <row r="404" customFormat="false" ht="12.75" hidden="false" customHeight="false" outlineLevel="0" collapsed="false">
      <c r="B404" s="1239"/>
      <c r="Z404" s="109"/>
      <c r="AA404" s="109"/>
      <c r="AB404" s="109"/>
      <c r="AC404" s="109"/>
      <c r="AD404" s="109"/>
      <c r="AE404" s="109"/>
      <c r="AF404" s="109"/>
      <c r="AG404" s="109"/>
      <c r="AH404" s="109"/>
      <c r="AI404" s="109"/>
      <c r="AJ404" s="109"/>
      <c r="AK404" s="109"/>
      <c r="AL404" s="109"/>
      <c r="AM404" s="109"/>
      <c r="AN404" s="109"/>
      <c r="AO404" s="109"/>
      <c r="AP404" s="109"/>
      <c r="AQ404" s="109"/>
      <c r="BQ404" s="1237"/>
      <c r="BR404" s="1238"/>
      <c r="BS404" s="1238"/>
      <c r="BT404" s="1238"/>
      <c r="BU404" s="1239"/>
      <c r="BV404" s="1239"/>
      <c r="BW404" s="1239"/>
      <c r="BY404" s="1239"/>
      <c r="CA404" s="1243"/>
      <c r="CB404" s="1238"/>
      <c r="CC404" s="1242"/>
      <c r="CD404" s="1239"/>
    </row>
    <row r="405" customFormat="false" ht="12.75" hidden="false" customHeight="false" outlineLevel="0" collapsed="false">
      <c r="B405" s="1239"/>
      <c r="Z405" s="109"/>
      <c r="AA405" s="109"/>
      <c r="AB405" s="109"/>
      <c r="AC405" s="109"/>
      <c r="AD405" s="109"/>
      <c r="AE405" s="109"/>
      <c r="AF405" s="109"/>
      <c r="AG405" s="109"/>
      <c r="AH405" s="109"/>
      <c r="AI405" s="109"/>
      <c r="AJ405" s="109"/>
      <c r="AK405" s="109"/>
      <c r="AL405" s="109"/>
      <c r="AM405" s="109"/>
      <c r="AN405" s="109"/>
      <c r="AO405" s="109"/>
      <c r="AP405" s="109"/>
      <c r="AQ405" s="109"/>
      <c r="BQ405" s="1237"/>
      <c r="BR405" s="1238"/>
      <c r="BS405" s="1238"/>
      <c r="BT405" s="1238"/>
      <c r="BU405" s="1239"/>
      <c r="BV405" s="1239"/>
      <c r="BW405" s="1239"/>
      <c r="BY405" s="1239"/>
      <c r="CA405" s="1243"/>
      <c r="CB405" s="1238"/>
      <c r="CC405" s="1242"/>
      <c r="CD405" s="1239"/>
    </row>
    <row r="406" customFormat="false" ht="12.75" hidden="false" customHeight="false" outlineLevel="0" collapsed="false">
      <c r="B406" s="1239"/>
      <c r="Z406" s="109"/>
      <c r="AA406" s="109"/>
      <c r="AB406" s="109"/>
      <c r="AC406" s="109"/>
      <c r="AD406" s="109"/>
      <c r="AE406" s="109"/>
      <c r="AF406" s="109"/>
      <c r="AG406" s="109"/>
      <c r="AH406" s="109"/>
      <c r="AI406" s="109"/>
      <c r="AJ406" s="109"/>
      <c r="AK406" s="109"/>
      <c r="AL406" s="109"/>
      <c r="AM406" s="109"/>
      <c r="AN406" s="109"/>
      <c r="AO406" s="109"/>
      <c r="AP406" s="109"/>
      <c r="AQ406" s="109"/>
      <c r="BQ406" s="1237"/>
      <c r="BR406" s="1238"/>
      <c r="BS406" s="1238"/>
      <c r="BT406" s="1238"/>
      <c r="BU406" s="1239"/>
      <c r="BV406" s="1239"/>
      <c r="BW406" s="1239"/>
      <c r="BY406" s="1239"/>
      <c r="CA406" s="1243"/>
      <c r="CB406" s="1238"/>
      <c r="CC406" s="1242"/>
      <c r="CD406" s="1239"/>
    </row>
    <row r="407" customFormat="false" ht="12.75" hidden="false" customHeight="false" outlineLevel="0" collapsed="false">
      <c r="B407" s="1239"/>
      <c r="Z407" s="109"/>
      <c r="AA407" s="109"/>
      <c r="AB407" s="109"/>
      <c r="AC407" s="109"/>
      <c r="AD407" s="109"/>
      <c r="AE407" s="109"/>
      <c r="AF407" s="109"/>
      <c r="AG407" s="109"/>
      <c r="AH407" s="109"/>
      <c r="AI407" s="109"/>
      <c r="AJ407" s="109"/>
      <c r="AK407" s="109"/>
      <c r="AL407" s="109"/>
      <c r="AM407" s="109"/>
      <c r="AN407" s="109"/>
      <c r="AO407" s="109"/>
      <c r="AP407" s="109"/>
      <c r="AQ407" s="109"/>
      <c r="BQ407" s="1237"/>
      <c r="BR407" s="1238"/>
      <c r="BS407" s="1238"/>
      <c r="BT407" s="1238"/>
      <c r="BU407" s="1239"/>
      <c r="BV407" s="1239"/>
      <c r="BW407" s="1239"/>
      <c r="BY407" s="1239"/>
      <c r="CA407" s="1243"/>
      <c r="CB407" s="1238"/>
      <c r="CC407" s="1242"/>
      <c r="CD407" s="1239"/>
    </row>
    <row r="408" customFormat="false" ht="12.75" hidden="false" customHeight="false" outlineLevel="0" collapsed="false">
      <c r="B408" s="1239"/>
      <c r="Z408" s="109"/>
      <c r="AA408" s="109"/>
      <c r="AB408" s="109"/>
      <c r="AC408" s="109"/>
      <c r="AD408" s="109"/>
      <c r="AE408" s="109"/>
      <c r="AF408" s="109"/>
      <c r="AG408" s="109"/>
      <c r="AH408" s="109"/>
      <c r="AI408" s="109"/>
      <c r="AJ408" s="109"/>
      <c r="AK408" s="109"/>
      <c r="AL408" s="109"/>
      <c r="AM408" s="109"/>
      <c r="AN408" s="109"/>
      <c r="AO408" s="109"/>
      <c r="AP408" s="109"/>
      <c r="AQ408" s="109"/>
      <c r="BQ408" s="1237"/>
      <c r="BR408" s="1238"/>
      <c r="BS408" s="1238"/>
      <c r="BT408" s="1238"/>
      <c r="BU408" s="1239"/>
      <c r="BV408" s="1239"/>
      <c r="BW408" s="1239"/>
      <c r="BY408" s="1239"/>
      <c r="CA408" s="1243"/>
      <c r="CB408" s="1238"/>
      <c r="CC408" s="1242"/>
      <c r="CD408" s="1239"/>
    </row>
    <row r="409" customFormat="false" ht="12.75" hidden="false" customHeight="false" outlineLevel="0" collapsed="false">
      <c r="A409" s="0"/>
      <c r="B409" s="1239"/>
      <c r="Z409" s="109"/>
      <c r="AA409" s="109"/>
      <c r="AB409" s="109"/>
      <c r="AC409" s="109"/>
      <c r="AD409" s="109"/>
      <c r="AE409" s="109"/>
      <c r="AF409" s="109"/>
      <c r="AG409" s="109"/>
      <c r="AH409" s="109"/>
      <c r="AI409" s="109"/>
      <c r="AJ409" s="109"/>
      <c r="AK409" s="109"/>
      <c r="AL409" s="109"/>
      <c r="AM409" s="109"/>
      <c r="AN409" s="109"/>
      <c r="AO409" s="109"/>
      <c r="AP409" s="109"/>
      <c r="AQ409" s="109"/>
      <c r="BQ409" s="1237"/>
      <c r="BR409" s="1238"/>
      <c r="BS409" s="1238"/>
      <c r="BT409" s="1238"/>
      <c r="BU409" s="1239"/>
      <c r="BV409" s="1239"/>
      <c r="BW409" s="1239"/>
      <c r="BY409" s="1239"/>
      <c r="CA409" s="1243"/>
      <c r="CB409" s="1238"/>
      <c r="CC409" s="1242"/>
      <c r="CD409" s="1239"/>
    </row>
    <row r="410" customFormat="false" ht="12.75" hidden="false" customHeight="false" outlineLevel="0" collapsed="false">
      <c r="A410" s="0"/>
      <c r="B410" s="1239"/>
      <c r="Z410" s="109"/>
      <c r="AA410" s="109"/>
      <c r="AB410" s="109"/>
      <c r="AC410" s="109"/>
      <c r="AD410" s="109"/>
      <c r="AE410" s="109"/>
      <c r="AF410" s="109"/>
      <c r="AG410" s="109"/>
      <c r="AH410" s="109"/>
      <c r="AI410" s="109"/>
      <c r="AJ410" s="109"/>
      <c r="AK410" s="109"/>
      <c r="AL410" s="109"/>
      <c r="AM410" s="109"/>
      <c r="AN410" s="109"/>
      <c r="AO410" s="109"/>
      <c r="AP410" s="109"/>
      <c r="AQ410" s="109"/>
      <c r="BQ410" s="1237"/>
      <c r="BR410" s="1238"/>
      <c r="BS410" s="1238"/>
      <c r="BT410" s="1238"/>
      <c r="BU410" s="1239"/>
      <c r="BV410" s="1239"/>
      <c r="BW410" s="1239"/>
      <c r="BY410" s="1239"/>
      <c r="CA410" s="1243"/>
      <c r="CB410" s="1238"/>
      <c r="CC410" s="1242"/>
      <c r="CD410" s="1239"/>
    </row>
    <row r="411" customFormat="false" ht="12.75" hidden="false" customHeight="false" outlineLevel="0" collapsed="false">
      <c r="A411" s="0"/>
      <c r="B411" s="1239"/>
      <c r="Z411" s="109"/>
      <c r="AA411" s="109"/>
      <c r="AB411" s="109"/>
      <c r="AC411" s="109"/>
      <c r="AD411" s="109"/>
      <c r="AE411" s="109"/>
      <c r="AF411" s="109"/>
      <c r="AG411" s="109"/>
      <c r="AH411" s="109"/>
      <c r="AI411" s="109"/>
      <c r="AJ411" s="109"/>
      <c r="AK411" s="109"/>
      <c r="AL411" s="109"/>
      <c r="AM411" s="109"/>
      <c r="AN411" s="109"/>
      <c r="AO411" s="109"/>
      <c r="AP411" s="109"/>
      <c r="AQ411" s="109"/>
      <c r="BQ411" s="1237"/>
      <c r="BR411" s="1238"/>
      <c r="BS411" s="1238"/>
      <c r="BT411" s="1238"/>
      <c r="BU411" s="1239"/>
      <c r="BV411" s="1239"/>
      <c r="BW411" s="1239"/>
      <c r="BY411" s="1239"/>
      <c r="CA411" s="1243"/>
      <c r="CB411" s="1238"/>
      <c r="CC411" s="1242"/>
      <c r="CD411" s="1239"/>
    </row>
    <row r="412" customFormat="false" ht="12.75" hidden="false" customHeight="false" outlineLevel="0" collapsed="false">
      <c r="A412" s="0"/>
      <c r="B412" s="1239"/>
      <c r="Z412" s="109"/>
      <c r="AA412" s="109"/>
      <c r="AB412" s="109"/>
      <c r="AC412" s="109"/>
      <c r="AD412" s="109"/>
      <c r="AE412" s="109"/>
      <c r="AF412" s="109"/>
      <c r="AG412" s="109"/>
      <c r="AH412" s="109"/>
      <c r="AI412" s="109"/>
      <c r="AJ412" s="109"/>
      <c r="AK412" s="109"/>
      <c r="AL412" s="109"/>
      <c r="AM412" s="109"/>
      <c r="AN412" s="109"/>
      <c r="AO412" s="109"/>
      <c r="AP412" s="109"/>
      <c r="AQ412" s="109"/>
      <c r="BQ412" s="1237"/>
      <c r="BR412" s="1238"/>
      <c r="BS412" s="1238"/>
      <c r="BT412" s="1238"/>
      <c r="BU412" s="1239"/>
      <c r="BV412" s="1239"/>
      <c r="BW412" s="1239"/>
      <c r="BY412" s="1239"/>
      <c r="CA412" s="1243"/>
      <c r="CB412" s="1238"/>
      <c r="CC412" s="1242"/>
      <c r="CD412" s="1239"/>
    </row>
    <row r="413" customFormat="false" ht="12.75" hidden="false" customHeight="false" outlineLevel="0" collapsed="false">
      <c r="A413" s="0"/>
      <c r="B413" s="1239"/>
      <c r="Z413" s="109"/>
      <c r="AA413" s="109"/>
      <c r="AB413" s="109"/>
      <c r="AC413" s="109"/>
      <c r="AD413" s="109"/>
      <c r="AE413" s="109"/>
      <c r="AF413" s="109"/>
      <c r="AG413" s="109"/>
      <c r="AH413" s="109"/>
      <c r="AI413" s="109"/>
      <c r="AJ413" s="109"/>
      <c r="AK413" s="109"/>
      <c r="AL413" s="109"/>
      <c r="AM413" s="109"/>
      <c r="AN413" s="109"/>
      <c r="AO413" s="109"/>
      <c r="AP413" s="109"/>
      <c r="AQ413" s="109"/>
      <c r="BQ413" s="1237"/>
      <c r="BR413" s="1238"/>
      <c r="BS413" s="1238"/>
      <c r="BT413" s="1238"/>
      <c r="BU413" s="1239"/>
      <c r="BV413" s="1239"/>
      <c r="BW413" s="1239"/>
      <c r="BY413" s="1239"/>
      <c r="CA413" s="1243"/>
      <c r="CB413" s="1238"/>
      <c r="CC413" s="1242"/>
      <c r="CD413" s="1239"/>
    </row>
    <row r="414" customFormat="false" ht="12.75" hidden="false" customHeight="false" outlineLevel="0" collapsed="false">
      <c r="A414" s="0"/>
      <c r="B414" s="1239"/>
      <c r="Z414" s="109"/>
      <c r="AA414" s="109"/>
      <c r="AB414" s="109"/>
      <c r="AC414" s="109"/>
      <c r="AD414" s="109"/>
      <c r="AE414" s="109"/>
      <c r="AF414" s="109"/>
      <c r="AG414" s="109"/>
      <c r="AH414" s="109"/>
      <c r="AI414" s="109"/>
      <c r="AJ414" s="109"/>
      <c r="AK414" s="109"/>
      <c r="AL414" s="109"/>
      <c r="AM414" s="109"/>
      <c r="AN414" s="109"/>
      <c r="AO414" s="109"/>
      <c r="AP414" s="109"/>
      <c r="AQ414" s="109"/>
      <c r="BQ414" s="1237"/>
      <c r="BR414" s="1238"/>
      <c r="BS414" s="1238"/>
      <c r="BT414" s="1238"/>
      <c r="BU414" s="1239"/>
      <c r="BV414" s="1239"/>
      <c r="BW414" s="1239"/>
      <c r="BY414" s="1239"/>
      <c r="CA414" s="1243"/>
      <c r="CB414" s="1238"/>
      <c r="CC414" s="1242"/>
      <c r="CD414" s="1239"/>
    </row>
    <row r="415" customFormat="false" ht="12.75" hidden="false" customHeight="false" outlineLevel="0" collapsed="false">
      <c r="A415" s="0"/>
      <c r="B415" s="1239"/>
      <c r="Z415" s="109"/>
      <c r="AA415" s="109"/>
      <c r="AB415" s="109"/>
      <c r="AC415" s="109"/>
      <c r="AD415" s="109"/>
      <c r="AE415" s="109"/>
      <c r="AF415" s="109"/>
      <c r="AG415" s="109"/>
      <c r="AH415" s="109"/>
      <c r="AI415" s="109"/>
      <c r="AJ415" s="109"/>
      <c r="AK415" s="109"/>
      <c r="AL415" s="109"/>
      <c r="AM415" s="109"/>
      <c r="AN415" s="109"/>
      <c r="AO415" s="109"/>
      <c r="AP415" s="109"/>
      <c r="AQ415" s="109"/>
      <c r="BQ415" s="1237"/>
      <c r="BR415" s="1238"/>
      <c r="BS415" s="1238"/>
      <c r="BT415" s="1238"/>
      <c r="BU415" s="1239"/>
      <c r="BV415" s="1239"/>
      <c r="BW415" s="1239"/>
      <c r="BY415" s="1239"/>
      <c r="CA415" s="1243"/>
      <c r="CB415" s="1238"/>
      <c r="CC415" s="1242"/>
      <c r="CD415" s="1239"/>
    </row>
    <row r="416" customFormat="false" ht="12.75" hidden="false" customHeight="false" outlineLevel="0" collapsed="false">
      <c r="B416" s="1239"/>
      <c r="Z416" s="109"/>
      <c r="AA416" s="109"/>
      <c r="AB416" s="109"/>
      <c r="AC416" s="109"/>
      <c r="AD416" s="109"/>
      <c r="AE416" s="109"/>
      <c r="AF416" s="109"/>
      <c r="AG416" s="109"/>
      <c r="AH416" s="109"/>
      <c r="AI416" s="109"/>
      <c r="AJ416" s="109"/>
      <c r="AK416" s="109"/>
      <c r="AL416" s="109"/>
      <c r="AM416" s="109"/>
      <c r="AN416" s="109"/>
      <c r="AO416" s="109"/>
      <c r="AP416" s="109"/>
      <c r="AQ416" s="109"/>
      <c r="BQ416" s="1237"/>
      <c r="BR416" s="1238"/>
      <c r="BS416" s="1238"/>
      <c r="BT416" s="1238"/>
      <c r="BU416" s="1239"/>
      <c r="BV416" s="1239"/>
      <c r="BW416" s="1239"/>
      <c r="BY416" s="1239"/>
      <c r="CA416" s="1243"/>
      <c r="CB416" s="1238"/>
      <c r="CC416" s="1242"/>
      <c r="CD416" s="1239"/>
    </row>
    <row r="417" customFormat="false" ht="12.75" hidden="false" customHeight="false" outlineLevel="0" collapsed="false">
      <c r="B417" s="1239"/>
      <c r="Z417" s="109"/>
      <c r="AA417" s="109"/>
      <c r="AB417" s="109"/>
      <c r="AC417" s="109"/>
      <c r="AD417" s="109"/>
      <c r="AE417" s="109"/>
      <c r="AF417" s="109"/>
      <c r="AG417" s="109"/>
      <c r="AH417" s="109"/>
      <c r="AI417" s="109"/>
      <c r="AJ417" s="109"/>
      <c r="AK417" s="109"/>
      <c r="AL417" s="109"/>
      <c r="AM417" s="109"/>
      <c r="AN417" s="109"/>
      <c r="AO417" s="109"/>
      <c r="AP417" s="109"/>
      <c r="AQ417" s="109"/>
      <c r="BQ417" s="1237"/>
      <c r="BR417" s="1238"/>
      <c r="BS417" s="1238"/>
      <c r="BT417" s="1238"/>
      <c r="BU417" s="1239"/>
      <c r="BV417" s="1239"/>
      <c r="BW417" s="1239"/>
      <c r="BY417" s="1239"/>
      <c r="CA417" s="1243"/>
      <c r="CB417" s="1238"/>
      <c r="CC417" s="1242"/>
      <c r="CD417" s="1239"/>
    </row>
    <row r="418" customFormat="false" ht="12.75" hidden="false" customHeight="false" outlineLevel="0" collapsed="false">
      <c r="B418" s="1239"/>
      <c r="Z418" s="109"/>
      <c r="AA418" s="109"/>
      <c r="AB418" s="109"/>
      <c r="AC418" s="109"/>
      <c r="AD418" s="109"/>
      <c r="AE418" s="109"/>
      <c r="AF418" s="109"/>
      <c r="AG418" s="109"/>
      <c r="AH418" s="109"/>
      <c r="AI418" s="109"/>
      <c r="AJ418" s="109"/>
      <c r="AK418" s="109"/>
      <c r="AL418" s="109"/>
      <c r="AM418" s="109"/>
      <c r="AN418" s="109"/>
      <c r="AO418" s="109"/>
      <c r="AP418" s="109"/>
      <c r="AQ418" s="109"/>
      <c r="BQ418" s="1237"/>
      <c r="BR418" s="1238"/>
      <c r="BS418" s="1238"/>
      <c r="BT418" s="1238"/>
      <c r="BU418" s="1239"/>
      <c r="BV418" s="1239"/>
      <c r="BW418" s="1239"/>
      <c r="BY418" s="1239"/>
      <c r="CA418" s="1243"/>
      <c r="CB418" s="1238"/>
      <c r="CC418" s="1242"/>
      <c r="CD418" s="1239"/>
    </row>
    <row r="419" customFormat="false" ht="12.75" hidden="false" customHeight="false" outlineLevel="0" collapsed="false">
      <c r="B419" s="1239"/>
      <c r="Z419" s="109"/>
      <c r="AA419" s="109"/>
      <c r="AB419" s="109"/>
      <c r="AC419" s="109"/>
      <c r="AD419" s="109"/>
      <c r="AE419" s="109"/>
      <c r="AF419" s="109"/>
      <c r="AG419" s="109"/>
      <c r="AH419" s="109"/>
      <c r="AI419" s="109"/>
      <c r="AJ419" s="109"/>
      <c r="AK419" s="109"/>
      <c r="AL419" s="109"/>
      <c r="AM419" s="109"/>
      <c r="AN419" s="109"/>
      <c r="AO419" s="109"/>
      <c r="AP419" s="109"/>
      <c r="AQ419" s="109"/>
      <c r="BQ419" s="1237"/>
      <c r="BR419" s="1238"/>
      <c r="BS419" s="1238"/>
      <c r="BT419" s="1238"/>
      <c r="BU419" s="1239"/>
      <c r="BV419" s="1239"/>
      <c r="BW419" s="1239"/>
      <c r="BY419" s="1239"/>
      <c r="CA419" s="1243"/>
      <c r="CB419" s="1238"/>
      <c r="CC419" s="1242"/>
      <c r="CD419" s="1239"/>
    </row>
    <row r="420" customFormat="false" ht="12.75" hidden="false" customHeight="false" outlineLevel="0" collapsed="false">
      <c r="B420" s="1239"/>
      <c r="Z420" s="109"/>
      <c r="AA420" s="109"/>
      <c r="AB420" s="109"/>
      <c r="AC420" s="109"/>
      <c r="AD420" s="109"/>
      <c r="AE420" s="109"/>
      <c r="AF420" s="109"/>
      <c r="AG420" s="109"/>
      <c r="AH420" s="109"/>
      <c r="AI420" s="109"/>
      <c r="AJ420" s="109"/>
      <c r="AK420" s="109"/>
      <c r="AL420" s="109"/>
      <c r="AM420" s="109"/>
      <c r="AN420" s="109"/>
      <c r="AO420" s="109"/>
      <c r="AP420" s="109"/>
      <c r="AQ420" s="109"/>
      <c r="BQ420" s="1237"/>
      <c r="BR420" s="1238"/>
      <c r="BS420" s="1238"/>
      <c r="BT420" s="1238"/>
      <c r="BU420" s="1239"/>
      <c r="BV420" s="1239"/>
      <c r="BW420" s="1239"/>
      <c r="BY420" s="1239"/>
      <c r="CA420" s="1243"/>
      <c r="CB420" s="1238"/>
      <c r="CC420" s="1242"/>
      <c r="CD420" s="1239"/>
    </row>
    <row r="421" customFormat="false" ht="12.75" hidden="false" customHeight="false" outlineLevel="0" collapsed="false">
      <c r="B421" s="1239"/>
      <c r="Z421" s="109"/>
      <c r="AA421" s="109"/>
      <c r="AB421" s="109"/>
      <c r="AC421" s="109"/>
      <c r="AD421" s="109"/>
      <c r="AE421" s="109"/>
      <c r="AF421" s="109"/>
      <c r="AG421" s="109"/>
      <c r="AH421" s="109"/>
      <c r="AI421" s="109"/>
      <c r="AJ421" s="109"/>
      <c r="AK421" s="109"/>
      <c r="AL421" s="109"/>
      <c r="AM421" s="109"/>
      <c r="AN421" s="109"/>
      <c r="AO421" s="109"/>
      <c r="AP421" s="109"/>
      <c r="AQ421" s="109"/>
      <c r="BQ421" s="1237"/>
      <c r="BR421" s="1238"/>
      <c r="BS421" s="1238"/>
      <c r="BT421" s="1238"/>
      <c r="BU421" s="1239"/>
      <c r="BV421" s="1239"/>
      <c r="BW421" s="1239"/>
      <c r="BY421" s="1239"/>
      <c r="CA421" s="1243"/>
      <c r="CB421" s="1238"/>
      <c r="CC421" s="1242"/>
      <c r="CD421" s="1239"/>
    </row>
    <row r="422" customFormat="false" ht="12.75" hidden="false" customHeight="false" outlineLevel="0" collapsed="false">
      <c r="B422" s="1239"/>
      <c r="Z422" s="109"/>
      <c r="AA422" s="109"/>
      <c r="AB422" s="109"/>
      <c r="AC422" s="109"/>
      <c r="AD422" s="109"/>
      <c r="AE422" s="109"/>
      <c r="AF422" s="109"/>
      <c r="AG422" s="109"/>
      <c r="AH422" s="109"/>
      <c r="AI422" s="109"/>
      <c r="AJ422" s="109"/>
      <c r="AK422" s="109"/>
      <c r="AL422" s="109"/>
      <c r="AM422" s="109"/>
      <c r="AN422" s="109"/>
      <c r="AO422" s="109"/>
      <c r="AP422" s="109"/>
      <c r="AQ422" s="109"/>
      <c r="BQ422" s="1237"/>
      <c r="BR422" s="1238"/>
      <c r="BS422" s="1238"/>
      <c r="BT422" s="1238"/>
      <c r="BU422" s="1239"/>
      <c r="BV422" s="1239"/>
      <c r="BW422" s="1239"/>
      <c r="BY422" s="1239"/>
      <c r="CA422" s="1243"/>
      <c r="CB422" s="1238"/>
      <c r="CC422" s="1242"/>
      <c r="CD422" s="1239"/>
    </row>
    <row r="423" customFormat="false" ht="12.75" hidden="false" customHeight="false" outlineLevel="0" collapsed="false">
      <c r="B423" s="1239"/>
      <c r="Z423" s="109"/>
      <c r="AA423" s="109"/>
      <c r="AB423" s="109"/>
      <c r="AC423" s="109"/>
      <c r="AD423" s="109"/>
      <c r="AE423" s="109"/>
      <c r="AF423" s="109"/>
      <c r="AG423" s="109"/>
      <c r="AH423" s="109"/>
      <c r="AI423" s="109"/>
      <c r="AJ423" s="109"/>
      <c r="AK423" s="109"/>
      <c r="AL423" s="109"/>
      <c r="AM423" s="109"/>
      <c r="AN423" s="109"/>
      <c r="AO423" s="109"/>
      <c r="AP423" s="109"/>
      <c r="AQ423" s="109"/>
      <c r="BQ423" s="1237"/>
      <c r="BR423" s="1238"/>
      <c r="BS423" s="1238"/>
      <c r="BT423" s="1238"/>
      <c r="BU423" s="1239"/>
      <c r="BV423" s="1239"/>
      <c r="BW423" s="1239"/>
      <c r="BY423" s="1239"/>
      <c r="CA423" s="1243"/>
      <c r="CB423" s="1238"/>
      <c r="CC423" s="1242"/>
      <c r="CD423" s="1239"/>
    </row>
    <row r="424" customFormat="false" ht="12.75" hidden="false" customHeight="false" outlineLevel="0" collapsed="false">
      <c r="B424" s="1239"/>
      <c r="Z424" s="109"/>
      <c r="AA424" s="109"/>
      <c r="AB424" s="109"/>
      <c r="AC424" s="109"/>
      <c r="AD424" s="109"/>
      <c r="AE424" s="109"/>
      <c r="AF424" s="109"/>
      <c r="AG424" s="109"/>
      <c r="AH424" s="109"/>
      <c r="AI424" s="109"/>
      <c r="AJ424" s="109"/>
      <c r="AK424" s="109"/>
      <c r="AL424" s="109"/>
      <c r="AM424" s="109"/>
      <c r="AN424" s="109"/>
      <c r="AO424" s="109"/>
      <c r="AP424" s="109"/>
      <c r="AQ424" s="109"/>
      <c r="BQ424" s="1237"/>
      <c r="BR424" s="1238"/>
      <c r="BS424" s="1238"/>
      <c r="BT424" s="1238"/>
      <c r="BU424" s="1239"/>
      <c r="BV424" s="1239"/>
      <c r="BW424" s="1239"/>
      <c r="BY424" s="1239"/>
      <c r="CA424" s="1243"/>
      <c r="CB424" s="1238"/>
      <c r="CC424" s="1242"/>
      <c r="CD424" s="1239"/>
    </row>
    <row r="425" customFormat="false" ht="12.75" hidden="false" customHeight="false" outlineLevel="0" collapsed="false">
      <c r="B425" s="1239"/>
      <c r="Z425" s="109"/>
      <c r="AA425" s="109"/>
      <c r="AB425" s="109"/>
      <c r="AC425" s="109"/>
      <c r="AD425" s="109"/>
      <c r="AE425" s="109"/>
      <c r="AF425" s="109"/>
      <c r="AG425" s="109"/>
      <c r="AH425" s="109"/>
      <c r="AI425" s="109"/>
      <c r="AJ425" s="109"/>
      <c r="AK425" s="109"/>
      <c r="AL425" s="109"/>
      <c r="AM425" s="109"/>
      <c r="AN425" s="109"/>
      <c r="AO425" s="109"/>
      <c r="AP425" s="109"/>
      <c r="AQ425" s="109"/>
      <c r="BQ425" s="1237"/>
      <c r="BR425" s="1238"/>
      <c r="BS425" s="1238"/>
      <c r="BT425" s="1238"/>
      <c r="BU425" s="1239"/>
      <c r="BV425" s="1239"/>
      <c r="BW425" s="1239"/>
      <c r="BY425" s="1239"/>
      <c r="CA425" s="1243"/>
      <c r="CB425" s="1238"/>
      <c r="CC425" s="1242"/>
      <c r="CD425" s="1239"/>
    </row>
    <row r="426" customFormat="false" ht="12.75" hidden="false" customHeight="false" outlineLevel="0" collapsed="false">
      <c r="B426" s="1239"/>
      <c r="Z426" s="109"/>
      <c r="AA426" s="109"/>
      <c r="AB426" s="109"/>
      <c r="AC426" s="109"/>
      <c r="AD426" s="109"/>
      <c r="AE426" s="109"/>
      <c r="AF426" s="109"/>
      <c r="AG426" s="109"/>
      <c r="AH426" s="109"/>
      <c r="AI426" s="109"/>
      <c r="AJ426" s="109"/>
      <c r="AK426" s="109"/>
      <c r="AL426" s="109"/>
      <c r="AM426" s="109"/>
      <c r="AN426" s="109"/>
      <c r="AO426" s="109"/>
      <c r="AP426" s="109"/>
      <c r="AQ426" s="109"/>
      <c r="BQ426" s="1237"/>
      <c r="BR426" s="1238"/>
      <c r="BS426" s="1238"/>
      <c r="BT426" s="1238"/>
      <c r="BU426" s="1239"/>
      <c r="BV426" s="1239"/>
      <c r="BW426" s="1239"/>
      <c r="BY426" s="1239"/>
      <c r="CA426" s="1243"/>
      <c r="CB426" s="1238"/>
      <c r="CC426" s="1242"/>
      <c r="CD426" s="1239"/>
    </row>
    <row r="427" customFormat="false" ht="12.75" hidden="false" customHeight="false" outlineLevel="0" collapsed="false">
      <c r="B427" s="1239"/>
      <c r="Z427" s="109"/>
      <c r="AA427" s="109"/>
      <c r="AB427" s="109"/>
      <c r="AC427" s="109"/>
      <c r="AD427" s="109"/>
      <c r="AE427" s="109"/>
      <c r="AF427" s="109"/>
      <c r="AG427" s="109"/>
      <c r="AH427" s="109"/>
      <c r="AI427" s="109"/>
      <c r="AJ427" s="109"/>
      <c r="AK427" s="109"/>
      <c r="AL427" s="109"/>
      <c r="AM427" s="109"/>
      <c r="AN427" s="109"/>
      <c r="AO427" s="109"/>
      <c r="AP427" s="109"/>
      <c r="AQ427" s="109"/>
      <c r="BQ427" s="1237"/>
      <c r="BR427" s="1238"/>
      <c r="BS427" s="1238"/>
      <c r="BT427" s="1238"/>
      <c r="BU427" s="1239"/>
      <c r="BV427" s="1239"/>
      <c r="BW427" s="1239"/>
      <c r="BY427" s="1239"/>
      <c r="CA427" s="1243"/>
      <c r="CB427" s="1238"/>
      <c r="CC427" s="1242"/>
      <c r="CD427" s="1239"/>
    </row>
    <row r="428" customFormat="false" ht="12.75" hidden="false" customHeight="false" outlineLevel="0" collapsed="false">
      <c r="B428" s="1239"/>
      <c r="Z428" s="109"/>
      <c r="AA428" s="109"/>
      <c r="AB428" s="109"/>
      <c r="AC428" s="109"/>
      <c r="AD428" s="109"/>
      <c r="AE428" s="109"/>
      <c r="AF428" s="109"/>
      <c r="AG428" s="109"/>
      <c r="AH428" s="109"/>
      <c r="AI428" s="109"/>
      <c r="AJ428" s="109"/>
      <c r="AK428" s="109"/>
      <c r="AL428" s="109"/>
      <c r="AM428" s="109"/>
      <c r="AN428" s="109"/>
      <c r="AO428" s="109"/>
      <c r="AP428" s="109"/>
      <c r="AQ428" s="109"/>
      <c r="BQ428" s="1237"/>
      <c r="BR428" s="1238"/>
      <c r="BS428" s="1238"/>
      <c r="BT428" s="1238"/>
      <c r="BU428" s="1239"/>
      <c r="BV428" s="1239"/>
      <c r="BW428" s="1239"/>
      <c r="BY428" s="1239"/>
      <c r="CA428" s="1243"/>
      <c r="CB428" s="1238"/>
      <c r="CC428" s="1242"/>
      <c r="CD428" s="1239"/>
    </row>
    <row r="429" customFormat="false" ht="12.75" hidden="false" customHeight="false" outlineLevel="0" collapsed="false">
      <c r="B429" s="1239"/>
      <c r="Z429" s="109"/>
      <c r="AA429" s="109"/>
      <c r="AB429" s="109"/>
      <c r="AC429" s="109"/>
      <c r="AD429" s="109"/>
      <c r="AE429" s="109"/>
      <c r="AF429" s="109"/>
      <c r="AG429" s="109"/>
      <c r="AH429" s="109"/>
      <c r="AI429" s="109"/>
      <c r="AJ429" s="109"/>
      <c r="AK429" s="109"/>
      <c r="AL429" s="109"/>
      <c r="AM429" s="109"/>
      <c r="AN429" s="109"/>
      <c r="AO429" s="109"/>
      <c r="AP429" s="109"/>
      <c r="AQ429" s="109"/>
      <c r="BQ429" s="1237"/>
      <c r="BR429" s="1238"/>
      <c r="BS429" s="1238"/>
      <c r="BT429" s="1238"/>
      <c r="BU429" s="1239"/>
      <c r="BV429" s="1239"/>
      <c r="BW429" s="1239"/>
      <c r="BY429" s="1239"/>
      <c r="CA429" s="1243"/>
      <c r="CB429" s="1238"/>
      <c r="CC429" s="1242"/>
      <c r="CD429" s="1239"/>
    </row>
    <row r="430" customFormat="false" ht="12.75" hidden="false" customHeight="false" outlineLevel="0" collapsed="false">
      <c r="B430" s="1239"/>
      <c r="Z430" s="109"/>
      <c r="AA430" s="109"/>
      <c r="AB430" s="109"/>
      <c r="AC430" s="109"/>
      <c r="AD430" s="109"/>
      <c r="AE430" s="109"/>
      <c r="AF430" s="109"/>
      <c r="AG430" s="109"/>
      <c r="AH430" s="109"/>
      <c r="AI430" s="109"/>
      <c r="AJ430" s="109"/>
      <c r="AK430" s="109"/>
      <c r="AL430" s="109"/>
      <c r="AM430" s="109"/>
      <c r="AN430" s="109"/>
      <c r="AO430" s="109"/>
      <c r="AP430" s="109"/>
      <c r="AQ430" s="109"/>
      <c r="BQ430" s="1237"/>
      <c r="BR430" s="1238"/>
      <c r="BS430" s="1238"/>
      <c r="BT430" s="1238"/>
      <c r="BU430" s="1239"/>
      <c r="BV430" s="1239"/>
      <c r="BW430" s="1239"/>
      <c r="BY430" s="1239"/>
      <c r="CA430" s="1243"/>
      <c r="CB430" s="1238"/>
      <c r="CC430" s="1242"/>
      <c r="CD430" s="1239"/>
    </row>
    <row r="431" customFormat="false" ht="12.75" hidden="false" customHeight="false" outlineLevel="0" collapsed="false">
      <c r="B431" s="1239"/>
      <c r="Z431" s="109"/>
      <c r="AA431" s="109"/>
      <c r="AB431" s="109"/>
      <c r="AC431" s="109"/>
      <c r="AD431" s="109"/>
      <c r="AE431" s="109"/>
      <c r="AF431" s="109"/>
      <c r="AG431" s="109"/>
      <c r="AH431" s="109"/>
      <c r="AI431" s="109"/>
      <c r="AJ431" s="109"/>
      <c r="AK431" s="109"/>
      <c r="AL431" s="109"/>
      <c r="AM431" s="109"/>
      <c r="AN431" s="109"/>
      <c r="AO431" s="109"/>
      <c r="AP431" s="109"/>
      <c r="AQ431" s="109"/>
      <c r="BQ431" s="1237"/>
      <c r="BR431" s="1238"/>
      <c r="BS431" s="1238"/>
      <c r="BT431" s="1238"/>
      <c r="BU431" s="1239"/>
      <c r="BV431" s="1239"/>
      <c r="BW431" s="1239"/>
      <c r="BY431" s="1239"/>
      <c r="CA431" s="1243"/>
      <c r="CB431" s="1238"/>
      <c r="CC431" s="1242"/>
      <c r="CD431" s="1239"/>
    </row>
    <row r="432" customFormat="false" ht="12.75" hidden="false" customHeight="false" outlineLevel="0" collapsed="false">
      <c r="B432" s="1239"/>
      <c r="Z432" s="109"/>
      <c r="AA432" s="109"/>
      <c r="AB432" s="109"/>
      <c r="AC432" s="109"/>
      <c r="AD432" s="109"/>
      <c r="AE432" s="109"/>
      <c r="AF432" s="109"/>
      <c r="AG432" s="109"/>
      <c r="AH432" s="109"/>
      <c r="AI432" s="109"/>
      <c r="AJ432" s="109"/>
      <c r="AK432" s="109"/>
      <c r="AL432" s="109"/>
      <c r="AM432" s="109"/>
      <c r="AN432" s="109"/>
      <c r="AO432" s="109"/>
      <c r="AP432" s="109"/>
      <c r="AQ432" s="109"/>
      <c r="BQ432" s="1237"/>
      <c r="BR432" s="1238"/>
      <c r="BS432" s="1238"/>
      <c r="BT432" s="1238"/>
      <c r="BU432" s="1239"/>
      <c r="BV432" s="1239"/>
      <c r="BW432" s="1239"/>
      <c r="BY432" s="1239"/>
      <c r="CA432" s="1243"/>
      <c r="CB432" s="1238"/>
      <c r="CC432" s="1242"/>
      <c r="CD432" s="1239"/>
    </row>
    <row r="433" customFormat="false" ht="12.75" hidden="false" customHeight="false" outlineLevel="0" collapsed="false">
      <c r="B433" s="1239"/>
      <c r="Z433" s="109"/>
      <c r="AA433" s="109"/>
      <c r="AB433" s="109"/>
      <c r="AC433" s="109"/>
      <c r="AD433" s="109"/>
      <c r="AE433" s="109"/>
      <c r="AF433" s="109"/>
      <c r="AG433" s="109"/>
      <c r="AH433" s="109"/>
      <c r="AI433" s="109"/>
      <c r="AJ433" s="109"/>
      <c r="AK433" s="109"/>
      <c r="AL433" s="109"/>
      <c r="AM433" s="109"/>
      <c r="AN433" s="109"/>
      <c r="AO433" s="109"/>
      <c r="AP433" s="109"/>
      <c r="AQ433" s="109"/>
      <c r="BQ433" s="1237"/>
      <c r="BR433" s="1238"/>
      <c r="BS433" s="1238"/>
      <c r="BT433" s="1238"/>
      <c r="BU433" s="1239"/>
      <c r="BV433" s="1239"/>
      <c r="BW433" s="1239"/>
      <c r="BY433" s="1239"/>
      <c r="CA433" s="1243"/>
      <c r="CB433" s="1238"/>
      <c r="CC433" s="1242"/>
      <c r="CD433" s="1239"/>
    </row>
    <row r="434" customFormat="false" ht="12.75" hidden="false" customHeight="false" outlineLevel="0" collapsed="false">
      <c r="B434" s="1239"/>
      <c r="Z434" s="109"/>
      <c r="AA434" s="109"/>
      <c r="AB434" s="109"/>
      <c r="AC434" s="109"/>
      <c r="AD434" s="109"/>
      <c r="AE434" s="109"/>
      <c r="AF434" s="109"/>
      <c r="AG434" s="109"/>
      <c r="AH434" s="109"/>
      <c r="AI434" s="109"/>
      <c r="AJ434" s="109"/>
      <c r="AK434" s="109"/>
      <c r="AL434" s="109"/>
      <c r="AM434" s="109"/>
      <c r="AN434" s="109"/>
      <c r="AO434" s="109"/>
      <c r="AP434" s="109"/>
      <c r="AQ434" s="109"/>
      <c r="BQ434" s="1237"/>
      <c r="BR434" s="1238"/>
      <c r="BS434" s="1238"/>
      <c r="BT434" s="1238"/>
      <c r="BU434" s="1239"/>
      <c r="BV434" s="1239"/>
      <c r="BW434" s="1239"/>
      <c r="BY434" s="1239"/>
      <c r="CA434" s="1243"/>
      <c r="CB434" s="1238"/>
      <c r="CC434" s="1242"/>
      <c r="CD434" s="1239"/>
    </row>
    <row r="435" customFormat="false" ht="12.75" hidden="false" customHeight="false" outlineLevel="0" collapsed="false">
      <c r="B435" s="1239"/>
      <c r="Z435" s="109"/>
      <c r="AA435" s="109"/>
      <c r="AB435" s="109"/>
      <c r="AC435" s="109"/>
      <c r="AD435" s="109"/>
      <c r="AE435" s="109"/>
      <c r="AF435" s="109"/>
      <c r="AG435" s="109"/>
      <c r="AH435" s="109"/>
      <c r="AI435" s="109"/>
      <c r="AJ435" s="109"/>
      <c r="AK435" s="109"/>
      <c r="AL435" s="109"/>
      <c r="AM435" s="109"/>
      <c r="AN435" s="109"/>
      <c r="AO435" s="109"/>
      <c r="AP435" s="109"/>
      <c r="AQ435" s="109"/>
      <c r="BQ435" s="1237"/>
      <c r="BR435" s="1238"/>
      <c r="BS435" s="1238"/>
      <c r="BT435" s="1238"/>
      <c r="BU435" s="1239"/>
      <c r="BV435" s="1239"/>
      <c r="BW435" s="1239"/>
      <c r="BY435" s="1239"/>
      <c r="CA435" s="1243"/>
      <c r="CB435" s="1238"/>
      <c r="CC435" s="1242"/>
      <c r="CD435" s="1239"/>
    </row>
    <row r="436" customFormat="false" ht="12.75" hidden="false" customHeight="false" outlineLevel="0" collapsed="false">
      <c r="B436" s="1239"/>
      <c r="Z436" s="109"/>
      <c r="AA436" s="109"/>
      <c r="AB436" s="109"/>
      <c r="AC436" s="109"/>
      <c r="AD436" s="109"/>
      <c r="AE436" s="109"/>
      <c r="AF436" s="109"/>
      <c r="AG436" s="109"/>
      <c r="AH436" s="109"/>
      <c r="AI436" s="109"/>
      <c r="AJ436" s="109"/>
      <c r="AK436" s="109"/>
      <c r="AL436" s="109"/>
      <c r="AM436" s="109"/>
      <c r="AN436" s="109"/>
      <c r="AO436" s="109"/>
      <c r="AP436" s="109"/>
      <c r="AQ436" s="109"/>
      <c r="BQ436" s="1237"/>
      <c r="BR436" s="1238"/>
      <c r="BS436" s="1238"/>
      <c r="BT436" s="1238"/>
      <c r="BU436" s="1239"/>
      <c r="BV436" s="1239"/>
      <c r="BW436" s="1239"/>
      <c r="BY436" s="1239"/>
      <c r="CA436" s="1243"/>
      <c r="CB436" s="1238"/>
      <c r="CC436" s="1242"/>
      <c r="CD436" s="1239"/>
    </row>
    <row r="437" customFormat="false" ht="12.75" hidden="false" customHeight="false" outlineLevel="0" collapsed="false">
      <c r="B437" s="1239"/>
      <c r="Z437" s="109"/>
      <c r="AA437" s="109"/>
      <c r="AB437" s="109"/>
      <c r="AC437" s="109"/>
      <c r="AD437" s="109"/>
      <c r="AE437" s="109"/>
      <c r="AF437" s="109"/>
      <c r="AG437" s="109"/>
      <c r="AH437" s="109"/>
      <c r="AI437" s="109"/>
      <c r="AJ437" s="109"/>
      <c r="AK437" s="109"/>
      <c r="AL437" s="109"/>
      <c r="AM437" s="109"/>
      <c r="AN437" s="109"/>
      <c r="AO437" s="109"/>
      <c r="AP437" s="109"/>
      <c r="AQ437" s="109"/>
      <c r="BQ437" s="1237"/>
      <c r="BR437" s="1238"/>
      <c r="BS437" s="1238"/>
      <c r="BT437" s="1238"/>
      <c r="BU437" s="1239"/>
      <c r="BV437" s="1239"/>
      <c r="BW437" s="1239"/>
      <c r="BY437" s="1239"/>
      <c r="CA437" s="1243"/>
      <c r="CB437" s="1238"/>
      <c r="CC437" s="1242"/>
      <c r="CD437" s="1239"/>
    </row>
    <row r="438" customFormat="false" ht="12.75" hidden="false" customHeight="false" outlineLevel="0" collapsed="false">
      <c r="B438" s="1239"/>
      <c r="Z438" s="109"/>
      <c r="AA438" s="109"/>
      <c r="AB438" s="109"/>
      <c r="AC438" s="109"/>
      <c r="AD438" s="109"/>
      <c r="AE438" s="109"/>
      <c r="AF438" s="109"/>
      <c r="AG438" s="109"/>
      <c r="AH438" s="109"/>
      <c r="AI438" s="109"/>
      <c r="AJ438" s="109"/>
      <c r="AK438" s="109"/>
      <c r="AL438" s="109"/>
      <c r="AM438" s="109"/>
      <c r="AN438" s="109"/>
      <c r="AO438" s="109"/>
      <c r="AP438" s="109"/>
      <c r="AQ438" s="109"/>
      <c r="BQ438" s="1237"/>
      <c r="BR438" s="1238"/>
      <c r="BS438" s="1238"/>
      <c r="BT438" s="1238"/>
      <c r="BU438" s="1239"/>
      <c r="BV438" s="1239"/>
      <c r="BW438" s="1239"/>
      <c r="BY438" s="1239"/>
      <c r="CA438" s="1243"/>
      <c r="CB438" s="1238"/>
      <c r="CC438" s="1242"/>
      <c r="CD438" s="1239"/>
    </row>
    <row r="439" customFormat="false" ht="12.75" hidden="false" customHeight="false" outlineLevel="0" collapsed="false">
      <c r="B439" s="1239"/>
      <c r="Z439" s="109"/>
      <c r="AA439" s="109"/>
      <c r="AB439" s="109"/>
      <c r="AC439" s="109"/>
      <c r="AD439" s="109"/>
      <c r="AE439" s="109"/>
      <c r="AF439" s="109"/>
      <c r="AG439" s="109"/>
      <c r="AH439" s="109"/>
      <c r="AI439" s="109"/>
      <c r="AJ439" s="109"/>
      <c r="AK439" s="109"/>
      <c r="AL439" s="109"/>
      <c r="AM439" s="109"/>
      <c r="AN439" s="109"/>
      <c r="AO439" s="109"/>
      <c r="AP439" s="109"/>
      <c r="AQ439" s="109"/>
      <c r="BQ439" s="1237"/>
      <c r="BR439" s="1238"/>
      <c r="BS439" s="1238"/>
      <c r="BT439" s="1238"/>
      <c r="BU439" s="1239"/>
      <c r="BV439" s="1239"/>
      <c r="BW439" s="1239"/>
      <c r="BY439" s="1239"/>
      <c r="CA439" s="1243"/>
      <c r="CB439" s="1238"/>
      <c r="CC439" s="1242"/>
      <c r="CD439" s="1239"/>
    </row>
    <row r="440" customFormat="false" ht="12.75" hidden="false" customHeight="false" outlineLevel="0" collapsed="false">
      <c r="B440" s="1239"/>
      <c r="Z440" s="109"/>
      <c r="AA440" s="109"/>
      <c r="AB440" s="109"/>
      <c r="AC440" s="109"/>
      <c r="AD440" s="109"/>
      <c r="AE440" s="109"/>
      <c r="AF440" s="109"/>
      <c r="AG440" s="109"/>
      <c r="AH440" s="109"/>
      <c r="AI440" s="109"/>
      <c r="AJ440" s="109"/>
      <c r="AK440" s="109"/>
      <c r="AL440" s="109"/>
      <c r="AM440" s="109"/>
      <c r="AN440" s="109"/>
      <c r="AO440" s="109"/>
      <c r="AP440" s="109"/>
      <c r="AQ440" s="109"/>
      <c r="BQ440" s="1237"/>
      <c r="BR440" s="1238"/>
      <c r="BS440" s="1238"/>
      <c r="BT440" s="1238"/>
      <c r="BU440" s="1239"/>
      <c r="BV440" s="1239"/>
      <c r="BW440" s="1239"/>
      <c r="BY440" s="1239"/>
      <c r="CA440" s="1243"/>
      <c r="CB440" s="1238"/>
      <c r="CC440" s="1242"/>
      <c r="CD440" s="1239"/>
    </row>
    <row r="441" customFormat="false" ht="12.75" hidden="false" customHeight="false" outlineLevel="0" collapsed="false">
      <c r="B441" s="1239"/>
      <c r="Z441" s="109"/>
      <c r="AA441" s="109"/>
      <c r="AB441" s="109"/>
      <c r="AC441" s="109"/>
      <c r="AD441" s="109"/>
      <c r="AE441" s="109"/>
      <c r="AF441" s="109"/>
      <c r="AG441" s="109"/>
      <c r="AH441" s="109"/>
      <c r="AI441" s="109"/>
      <c r="AJ441" s="109"/>
      <c r="AK441" s="109"/>
      <c r="AL441" s="109"/>
      <c r="AM441" s="109"/>
      <c r="AN441" s="109"/>
      <c r="AO441" s="109"/>
      <c r="AP441" s="109"/>
      <c r="AQ441" s="109"/>
      <c r="BQ441" s="1237"/>
      <c r="BR441" s="1238"/>
      <c r="BS441" s="1238"/>
      <c r="BT441" s="1238"/>
      <c r="BU441" s="1239"/>
      <c r="BV441" s="1239"/>
      <c r="BW441" s="1239"/>
      <c r="BY441" s="1239"/>
      <c r="CA441" s="1243"/>
      <c r="CB441" s="1238"/>
      <c r="CC441" s="1242"/>
      <c r="CD441" s="1239"/>
    </row>
    <row r="442" customFormat="false" ht="12.75" hidden="false" customHeight="false" outlineLevel="0" collapsed="false">
      <c r="B442" s="1239"/>
      <c r="Z442" s="109"/>
      <c r="AA442" s="109"/>
      <c r="AB442" s="109"/>
      <c r="AC442" s="109"/>
      <c r="AD442" s="109"/>
      <c r="AE442" s="109"/>
      <c r="AF442" s="109"/>
      <c r="AG442" s="109"/>
      <c r="AH442" s="109"/>
      <c r="AI442" s="109"/>
      <c r="AJ442" s="109"/>
      <c r="AK442" s="109"/>
      <c r="AL442" s="109"/>
      <c r="AM442" s="109"/>
      <c r="AN442" s="109"/>
      <c r="AO442" s="109"/>
      <c r="AP442" s="109"/>
      <c r="AQ442" s="109"/>
      <c r="BQ442" s="1237"/>
      <c r="BR442" s="1238"/>
      <c r="BS442" s="1238"/>
      <c r="BT442" s="1238"/>
      <c r="BU442" s="1239"/>
      <c r="BV442" s="1239"/>
      <c r="BW442" s="1239"/>
      <c r="BY442" s="1239"/>
      <c r="CA442" s="1243"/>
      <c r="CB442" s="1238"/>
      <c r="CC442" s="1242"/>
      <c r="CD442" s="1239"/>
    </row>
    <row r="443" customFormat="false" ht="12.75" hidden="false" customHeight="false" outlineLevel="0" collapsed="false">
      <c r="B443" s="1239"/>
      <c r="Z443" s="109"/>
      <c r="AA443" s="109"/>
      <c r="AB443" s="109"/>
      <c r="AC443" s="109"/>
      <c r="AD443" s="109"/>
      <c r="AE443" s="109"/>
      <c r="AF443" s="109"/>
      <c r="AG443" s="109"/>
      <c r="AH443" s="109"/>
      <c r="AI443" s="109"/>
      <c r="AJ443" s="109"/>
      <c r="AK443" s="109"/>
      <c r="AL443" s="109"/>
      <c r="AM443" s="109"/>
      <c r="AN443" s="109"/>
      <c r="AO443" s="109"/>
      <c r="AP443" s="109"/>
      <c r="AQ443" s="109"/>
      <c r="BQ443" s="1237"/>
      <c r="BR443" s="1238"/>
      <c r="BS443" s="1238"/>
      <c r="BT443" s="1238"/>
      <c r="BU443" s="1239"/>
      <c r="BV443" s="1239"/>
      <c r="BW443" s="1239"/>
      <c r="BY443" s="1239"/>
      <c r="CA443" s="1243"/>
      <c r="CB443" s="1238"/>
      <c r="CC443" s="1242"/>
      <c r="CD443" s="1239"/>
    </row>
    <row r="444" customFormat="false" ht="12.75" hidden="false" customHeight="false" outlineLevel="0" collapsed="false">
      <c r="B444" s="1239"/>
      <c r="Z444" s="109"/>
      <c r="AA444" s="109"/>
      <c r="AB444" s="109"/>
      <c r="AC444" s="109"/>
      <c r="AD444" s="109"/>
      <c r="AE444" s="109"/>
      <c r="AF444" s="109"/>
      <c r="AG444" s="109"/>
      <c r="AH444" s="109"/>
      <c r="AI444" s="109"/>
      <c r="AJ444" s="109"/>
      <c r="AK444" s="109"/>
      <c r="AL444" s="109"/>
      <c r="AM444" s="109"/>
      <c r="AN444" s="109"/>
      <c r="AO444" s="109"/>
      <c r="AP444" s="109"/>
      <c r="AQ444" s="109"/>
      <c r="BQ444" s="1237"/>
      <c r="BR444" s="1238"/>
      <c r="BS444" s="1238"/>
      <c r="BT444" s="1238"/>
      <c r="BU444" s="1239"/>
      <c r="BV444" s="1239"/>
      <c r="BW444" s="1239"/>
      <c r="BY444" s="1239"/>
      <c r="CA444" s="1243"/>
      <c r="CB444" s="1238"/>
      <c r="CC444" s="1242"/>
      <c r="CD444" s="1239"/>
    </row>
    <row r="445" customFormat="false" ht="12.75" hidden="false" customHeight="false" outlineLevel="0" collapsed="false">
      <c r="B445" s="1239"/>
      <c r="Z445" s="109"/>
      <c r="AA445" s="109"/>
      <c r="AB445" s="109"/>
      <c r="AC445" s="109"/>
      <c r="AD445" s="109"/>
      <c r="AE445" s="109"/>
      <c r="AF445" s="109"/>
      <c r="AG445" s="109"/>
      <c r="AH445" s="109"/>
      <c r="AI445" s="109"/>
      <c r="AJ445" s="109"/>
      <c r="AK445" s="109"/>
      <c r="AL445" s="109"/>
      <c r="AM445" s="109"/>
      <c r="AN445" s="109"/>
      <c r="AO445" s="109"/>
      <c r="AP445" s="109"/>
      <c r="AQ445" s="109"/>
      <c r="BQ445" s="1237"/>
      <c r="BR445" s="1238"/>
      <c r="BS445" s="1238"/>
      <c r="BT445" s="1238"/>
      <c r="BU445" s="1239"/>
      <c r="BV445" s="1239"/>
      <c r="BW445" s="1239"/>
      <c r="BY445" s="1239"/>
      <c r="CA445" s="1243"/>
      <c r="CB445" s="1238"/>
      <c r="CC445" s="1242"/>
      <c r="CD445" s="1239"/>
    </row>
    <row r="446" customFormat="false" ht="12.75" hidden="false" customHeight="false" outlineLevel="0" collapsed="false">
      <c r="B446" s="1239"/>
      <c r="Z446" s="109"/>
      <c r="AA446" s="109"/>
      <c r="AB446" s="109"/>
      <c r="AC446" s="109"/>
      <c r="AD446" s="109"/>
      <c r="AE446" s="109"/>
      <c r="AF446" s="109"/>
      <c r="AG446" s="109"/>
      <c r="AH446" s="109"/>
      <c r="AI446" s="109"/>
      <c r="AJ446" s="109"/>
      <c r="AK446" s="109"/>
      <c r="AL446" s="109"/>
      <c r="AM446" s="109"/>
      <c r="AN446" s="109"/>
      <c r="AO446" s="109"/>
      <c r="AP446" s="109"/>
      <c r="AQ446" s="109"/>
      <c r="BQ446" s="1237"/>
      <c r="BR446" s="1238"/>
      <c r="BS446" s="1238"/>
      <c r="BT446" s="1238"/>
      <c r="BU446" s="1239"/>
      <c r="BV446" s="1239"/>
      <c r="BW446" s="1239"/>
      <c r="BY446" s="1239"/>
      <c r="CA446" s="1243"/>
      <c r="CB446" s="1238"/>
      <c r="CC446" s="1242"/>
      <c r="CD446" s="1239"/>
    </row>
    <row r="447" customFormat="false" ht="12.75" hidden="false" customHeight="false" outlineLevel="0" collapsed="false">
      <c r="B447" s="1239"/>
      <c r="Z447" s="109"/>
      <c r="AA447" s="109"/>
      <c r="AB447" s="109"/>
      <c r="AC447" s="109"/>
      <c r="AD447" s="109"/>
      <c r="AE447" s="109"/>
      <c r="AF447" s="109"/>
      <c r="AG447" s="109"/>
      <c r="AH447" s="109"/>
      <c r="AI447" s="109"/>
      <c r="AJ447" s="109"/>
      <c r="AK447" s="109"/>
      <c r="AL447" s="109"/>
      <c r="AM447" s="109"/>
      <c r="AN447" s="109"/>
      <c r="AO447" s="109"/>
      <c r="AP447" s="109"/>
      <c r="AQ447" s="109"/>
      <c r="BQ447" s="1237"/>
      <c r="BR447" s="1238"/>
      <c r="BS447" s="1238"/>
      <c r="BT447" s="1238"/>
      <c r="BU447" s="1239"/>
      <c r="BV447" s="1239"/>
      <c r="BW447" s="1239"/>
      <c r="BY447" s="1239"/>
      <c r="CA447" s="1243"/>
      <c r="CB447" s="1238"/>
      <c r="CC447" s="1242"/>
      <c r="CD447" s="1239"/>
    </row>
    <row r="448" customFormat="false" ht="12.75" hidden="false" customHeight="false" outlineLevel="0" collapsed="false">
      <c r="B448" s="1239"/>
      <c r="Z448" s="109"/>
      <c r="AA448" s="109"/>
      <c r="AB448" s="109"/>
      <c r="AC448" s="109"/>
      <c r="AD448" s="109"/>
      <c r="AE448" s="109"/>
      <c r="AF448" s="109"/>
      <c r="AG448" s="109"/>
      <c r="AH448" s="109"/>
      <c r="AI448" s="109"/>
      <c r="AJ448" s="109"/>
      <c r="AK448" s="109"/>
      <c r="AL448" s="109"/>
      <c r="AM448" s="109"/>
      <c r="AN448" s="109"/>
      <c r="AO448" s="109"/>
      <c r="AP448" s="109"/>
      <c r="AQ448" s="109"/>
      <c r="BQ448" s="1237"/>
      <c r="BR448" s="1238"/>
      <c r="BS448" s="1238"/>
      <c r="BT448" s="1238"/>
      <c r="BU448" s="1239"/>
      <c r="BV448" s="1239"/>
      <c r="BW448" s="1239"/>
      <c r="BY448" s="1239"/>
      <c r="CA448" s="1243"/>
      <c r="CB448" s="1238"/>
      <c r="CC448" s="1242"/>
      <c r="CD448" s="1239"/>
    </row>
    <row r="449" customFormat="false" ht="12.75" hidden="false" customHeight="false" outlineLevel="0" collapsed="false">
      <c r="B449" s="1239"/>
      <c r="Z449" s="109"/>
      <c r="AA449" s="109"/>
      <c r="AB449" s="109"/>
      <c r="AC449" s="109"/>
      <c r="AD449" s="109"/>
      <c r="AE449" s="109"/>
      <c r="AF449" s="109"/>
      <c r="AG449" s="109"/>
      <c r="AH449" s="109"/>
      <c r="AI449" s="109"/>
      <c r="AJ449" s="109"/>
      <c r="AK449" s="109"/>
      <c r="AL449" s="109"/>
      <c r="AM449" s="109"/>
      <c r="AN449" s="109"/>
      <c r="AO449" s="109"/>
      <c r="AP449" s="109"/>
      <c r="AQ449" s="109"/>
      <c r="BQ449" s="1237"/>
      <c r="BR449" s="1238"/>
      <c r="BS449" s="1238"/>
      <c r="BT449" s="1238"/>
      <c r="BU449" s="1239"/>
      <c r="BV449" s="1239"/>
      <c r="BW449" s="1239"/>
      <c r="BY449" s="1239"/>
      <c r="CA449" s="1243"/>
      <c r="CB449" s="1238"/>
      <c r="CC449" s="1242"/>
      <c r="CD449" s="1239"/>
    </row>
    <row r="450" customFormat="false" ht="12.75" hidden="false" customHeight="false" outlineLevel="0" collapsed="false">
      <c r="B450" s="1239"/>
      <c r="Z450" s="109"/>
      <c r="AA450" s="109"/>
      <c r="AB450" s="109"/>
      <c r="AC450" s="109"/>
      <c r="AD450" s="109"/>
      <c r="AE450" s="109"/>
      <c r="AF450" s="109"/>
      <c r="AG450" s="109"/>
      <c r="AH450" s="109"/>
      <c r="AI450" s="109"/>
      <c r="AJ450" s="109"/>
      <c r="AK450" s="109"/>
      <c r="AL450" s="109"/>
      <c r="AM450" s="109"/>
      <c r="AN450" s="109"/>
      <c r="AO450" s="109"/>
      <c r="AP450" s="109"/>
      <c r="AQ450" s="109"/>
      <c r="BQ450" s="1237"/>
      <c r="BR450" s="1238"/>
      <c r="BS450" s="1238"/>
      <c r="BT450" s="1238"/>
      <c r="BU450" s="1239"/>
      <c r="BV450" s="1239"/>
      <c r="BW450" s="1239"/>
      <c r="BY450" s="1239"/>
      <c r="CA450" s="1243"/>
      <c r="CB450" s="1238"/>
      <c r="CC450" s="1242"/>
      <c r="CD450" s="1239"/>
    </row>
    <row r="451" customFormat="false" ht="12.75" hidden="false" customHeight="false" outlineLevel="0" collapsed="false">
      <c r="B451" s="1239"/>
      <c r="Z451" s="109"/>
      <c r="AA451" s="109"/>
      <c r="AB451" s="109"/>
      <c r="AC451" s="109"/>
      <c r="AD451" s="109"/>
      <c r="AE451" s="109"/>
      <c r="AF451" s="109"/>
      <c r="AG451" s="109"/>
      <c r="AH451" s="109"/>
      <c r="AI451" s="109"/>
      <c r="AJ451" s="109"/>
      <c r="AK451" s="109"/>
      <c r="AL451" s="109"/>
      <c r="AM451" s="109"/>
      <c r="AN451" s="109"/>
      <c r="AO451" s="109"/>
      <c r="AP451" s="109"/>
      <c r="AQ451" s="109"/>
      <c r="BQ451" s="1237"/>
      <c r="BR451" s="1238"/>
      <c r="BS451" s="1238"/>
      <c r="BT451" s="1238"/>
      <c r="BU451" s="1239"/>
      <c r="BV451" s="1239"/>
      <c r="BW451" s="1239"/>
      <c r="BY451" s="1239"/>
      <c r="CA451" s="1243"/>
      <c r="CB451" s="1238"/>
      <c r="CC451" s="1242"/>
      <c r="CD451" s="1239"/>
    </row>
    <row r="452" customFormat="false" ht="12.75" hidden="false" customHeight="false" outlineLevel="0" collapsed="false">
      <c r="B452" s="1239"/>
      <c r="Z452" s="109"/>
      <c r="AA452" s="109"/>
      <c r="AB452" s="109"/>
      <c r="AC452" s="109"/>
      <c r="AD452" s="109"/>
      <c r="AE452" s="109"/>
      <c r="AF452" s="109"/>
      <c r="AG452" s="109"/>
      <c r="AH452" s="109"/>
      <c r="AI452" s="109"/>
      <c r="AJ452" s="109"/>
      <c r="AK452" s="109"/>
      <c r="AL452" s="109"/>
      <c r="AM452" s="109"/>
      <c r="AN452" s="109"/>
      <c r="AO452" s="109"/>
      <c r="AP452" s="109"/>
      <c r="AQ452" s="109"/>
      <c r="BQ452" s="1237"/>
      <c r="BR452" s="1238"/>
      <c r="BS452" s="1238"/>
      <c r="BT452" s="1238"/>
      <c r="BU452" s="1239"/>
      <c r="BV452" s="1239"/>
      <c r="BW452" s="1239"/>
      <c r="BY452" s="1239"/>
      <c r="CA452" s="1243"/>
      <c r="CB452" s="1238"/>
      <c r="CC452" s="1242"/>
      <c r="CD452" s="1239"/>
    </row>
    <row r="453" customFormat="false" ht="12.75" hidden="false" customHeight="false" outlineLevel="0" collapsed="false">
      <c r="B453" s="1239"/>
      <c r="Z453" s="109"/>
      <c r="AA453" s="109"/>
      <c r="AB453" s="109"/>
      <c r="AC453" s="109"/>
      <c r="AD453" s="109"/>
      <c r="AE453" s="109"/>
      <c r="AF453" s="109"/>
      <c r="AG453" s="109"/>
      <c r="AH453" s="109"/>
      <c r="AI453" s="109"/>
      <c r="AJ453" s="109"/>
      <c r="AK453" s="109"/>
      <c r="AL453" s="109"/>
      <c r="AM453" s="109"/>
      <c r="AN453" s="109"/>
      <c r="AO453" s="109"/>
      <c r="AP453" s="109"/>
      <c r="AQ453" s="109"/>
      <c r="BQ453" s="1237"/>
      <c r="BR453" s="1238"/>
      <c r="BS453" s="1238"/>
      <c r="BT453" s="1238"/>
      <c r="BU453" s="1239"/>
      <c r="BV453" s="1239"/>
      <c r="BW453" s="1239"/>
      <c r="BY453" s="1239"/>
      <c r="CA453" s="1243"/>
      <c r="CB453" s="1238"/>
      <c r="CC453" s="1242"/>
      <c r="CD453" s="1239"/>
    </row>
    <row r="454" customFormat="false" ht="12.75" hidden="false" customHeight="false" outlineLevel="0" collapsed="false">
      <c r="B454" s="1239"/>
      <c r="Z454" s="109"/>
      <c r="AA454" s="109"/>
      <c r="AB454" s="109"/>
      <c r="AC454" s="109"/>
      <c r="AD454" s="109"/>
      <c r="AE454" s="109"/>
      <c r="AF454" s="109"/>
      <c r="AG454" s="109"/>
      <c r="AH454" s="109"/>
      <c r="AI454" s="109"/>
      <c r="AJ454" s="109"/>
      <c r="AK454" s="109"/>
      <c r="AL454" s="109"/>
      <c r="AM454" s="109"/>
      <c r="AN454" s="109"/>
      <c r="AO454" s="109"/>
      <c r="AP454" s="109"/>
      <c r="AQ454" s="109"/>
      <c r="BQ454" s="1237"/>
      <c r="BR454" s="1238"/>
      <c r="BS454" s="1238"/>
      <c r="BT454" s="1238"/>
      <c r="BU454" s="1239"/>
      <c r="BV454" s="1239"/>
      <c r="BW454" s="1239"/>
      <c r="BY454" s="1239"/>
      <c r="CA454" s="1243"/>
      <c r="CB454" s="1238"/>
      <c r="CC454" s="1242"/>
      <c r="CD454" s="1239"/>
    </row>
    <row r="455" customFormat="false" ht="12.75" hidden="false" customHeight="false" outlineLevel="0" collapsed="false">
      <c r="B455" s="1239"/>
      <c r="Z455" s="109"/>
      <c r="AA455" s="109"/>
      <c r="AB455" s="109"/>
      <c r="AC455" s="109"/>
      <c r="AD455" s="109"/>
      <c r="AE455" s="109"/>
      <c r="AF455" s="109"/>
      <c r="AG455" s="109"/>
      <c r="AH455" s="109"/>
      <c r="AI455" s="109"/>
      <c r="AJ455" s="109"/>
      <c r="AK455" s="109"/>
      <c r="AL455" s="109"/>
      <c r="AM455" s="109"/>
      <c r="AN455" s="109"/>
      <c r="AO455" s="109"/>
      <c r="AP455" s="109"/>
      <c r="AQ455" s="109"/>
      <c r="BQ455" s="1237"/>
      <c r="BR455" s="1238"/>
      <c r="BS455" s="1238"/>
      <c r="BT455" s="1238"/>
      <c r="BU455" s="1239"/>
      <c r="BV455" s="1239"/>
      <c r="BW455" s="1239"/>
      <c r="BY455" s="1239"/>
      <c r="CA455" s="1243"/>
      <c r="CB455" s="1238"/>
      <c r="CC455" s="1242"/>
      <c r="CD455" s="1239"/>
    </row>
    <row r="456" customFormat="false" ht="12.75" hidden="false" customHeight="false" outlineLevel="0" collapsed="false">
      <c r="B456" s="1239"/>
      <c r="Z456" s="109"/>
      <c r="AA456" s="109"/>
      <c r="AB456" s="109"/>
      <c r="AC456" s="109"/>
      <c r="AD456" s="109"/>
      <c r="AE456" s="109"/>
      <c r="AF456" s="109"/>
      <c r="AG456" s="109"/>
      <c r="AH456" s="109"/>
      <c r="AI456" s="109"/>
      <c r="AJ456" s="109"/>
      <c r="AK456" s="109"/>
      <c r="AL456" s="109"/>
      <c r="AM456" s="109"/>
      <c r="AN456" s="109"/>
      <c r="AO456" s="109"/>
      <c r="AP456" s="109"/>
      <c r="AQ456" s="109"/>
      <c r="BQ456" s="1237"/>
      <c r="BR456" s="1238"/>
      <c r="BS456" s="1238"/>
      <c r="BT456" s="1238"/>
      <c r="BU456" s="1239"/>
      <c r="BV456" s="1239"/>
      <c r="BW456" s="1239"/>
      <c r="BY456" s="1239"/>
      <c r="CA456" s="1243"/>
      <c r="CB456" s="1238"/>
      <c r="CC456" s="1242"/>
      <c r="CD456" s="1239"/>
    </row>
    <row r="457" customFormat="false" ht="12.75" hidden="false" customHeight="false" outlineLevel="0" collapsed="false">
      <c r="B457" s="1239"/>
      <c r="Z457" s="109"/>
      <c r="AA457" s="109"/>
      <c r="AB457" s="109"/>
      <c r="AC457" s="109"/>
      <c r="AD457" s="109"/>
      <c r="AE457" s="109"/>
      <c r="AF457" s="109"/>
      <c r="AG457" s="109"/>
      <c r="AH457" s="109"/>
      <c r="AI457" s="109"/>
      <c r="AJ457" s="109"/>
      <c r="AK457" s="109"/>
      <c r="AL457" s="109"/>
      <c r="AM457" s="109"/>
      <c r="AN457" s="109"/>
      <c r="AO457" s="109"/>
      <c r="AP457" s="109"/>
      <c r="AQ457" s="109"/>
      <c r="BQ457" s="1237"/>
      <c r="BR457" s="1238"/>
      <c r="BS457" s="1238"/>
      <c r="BT457" s="1238"/>
      <c r="BU457" s="1239"/>
      <c r="BV457" s="1239"/>
      <c r="BW457" s="1239"/>
      <c r="BY457" s="1239"/>
      <c r="CA457" s="1243"/>
      <c r="CB457" s="1238"/>
      <c r="CC457" s="1242"/>
      <c r="CD457" s="1239"/>
    </row>
    <row r="458" customFormat="false" ht="12.75" hidden="false" customHeight="false" outlineLevel="0" collapsed="false">
      <c r="B458" s="1239"/>
      <c r="Z458" s="109"/>
      <c r="AA458" s="109"/>
      <c r="AB458" s="109"/>
      <c r="AC458" s="109"/>
      <c r="AD458" s="109"/>
      <c r="AE458" s="109"/>
      <c r="AF458" s="109"/>
      <c r="AG458" s="109"/>
      <c r="AH458" s="109"/>
      <c r="AI458" s="109"/>
      <c r="AJ458" s="109"/>
      <c r="AK458" s="109"/>
      <c r="AL458" s="109"/>
      <c r="AM458" s="109"/>
      <c r="AN458" s="109"/>
      <c r="AO458" s="109"/>
      <c r="AP458" s="109"/>
      <c r="AQ458" s="109"/>
      <c r="BQ458" s="1237"/>
      <c r="BR458" s="1238"/>
      <c r="BS458" s="1238"/>
      <c r="BT458" s="1238"/>
      <c r="BU458" s="1239"/>
      <c r="BV458" s="1239"/>
      <c r="BW458" s="1239"/>
      <c r="BY458" s="1239"/>
      <c r="CA458" s="1243"/>
      <c r="CB458" s="1238"/>
      <c r="CC458" s="1242"/>
      <c r="CD458" s="1239"/>
    </row>
    <row r="459" customFormat="false" ht="12.75" hidden="false" customHeight="false" outlineLevel="0" collapsed="false">
      <c r="B459" s="1239"/>
      <c r="Z459" s="109"/>
      <c r="AA459" s="109"/>
      <c r="AB459" s="109"/>
      <c r="AC459" s="109"/>
      <c r="AD459" s="109"/>
      <c r="AE459" s="109"/>
      <c r="AF459" s="109"/>
      <c r="AG459" s="109"/>
      <c r="AH459" s="109"/>
      <c r="AI459" s="109"/>
      <c r="AJ459" s="109"/>
      <c r="AK459" s="109"/>
      <c r="AL459" s="109"/>
      <c r="AM459" s="109"/>
      <c r="AN459" s="109"/>
      <c r="AO459" s="109"/>
      <c r="AP459" s="109"/>
      <c r="AQ459" s="109"/>
      <c r="BQ459" s="1237"/>
      <c r="BR459" s="1238"/>
      <c r="BS459" s="1238"/>
      <c r="BT459" s="1238"/>
      <c r="BU459" s="1239"/>
      <c r="BV459" s="1239"/>
      <c r="BW459" s="1239"/>
      <c r="BY459" s="1239"/>
      <c r="CA459" s="1243"/>
      <c r="CB459" s="1238"/>
      <c r="CC459" s="1242"/>
      <c r="CD459" s="1239"/>
    </row>
    <row r="460" customFormat="false" ht="12.75" hidden="false" customHeight="false" outlineLevel="0" collapsed="false">
      <c r="B460" s="1239"/>
      <c r="Z460" s="109"/>
      <c r="AA460" s="109"/>
      <c r="AB460" s="109"/>
      <c r="AC460" s="109"/>
      <c r="AD460" s="109"/>
      <c r="AE460" s="109"/>
      <c r="AF460" s="109"/>
      <c r="AG460" s="109"/>
      <c r="AH460" s="109"/>
      <c r="AI460" s="109"/>
      <c r="AJ460" s="109"/>
      <c r="AK460" s="109"/>
      <c r="AL460" s="109"/>
      <c r="AM460" s="109"/>
      <c r="AN460" s="109"/>
      <c r="AO460" s="109"/>
      <c r="AP460" s="109"/>
      <c r="AQ460" s="109"/>
      <c r="BQ460" s="1237"/>
      <c r="BR460" s="1238"/>
      <c r="BS460" s="1238"/>
      <c r="BT460" s="1238"/>
      <c r="BU460" s="1239"/>
      <c r="BV460" s="1239"/>
      <c r="BW460" s="1239"/>
      <c r="BY460" s="1239"/>
      <c r="CA460" s="1243"/>
      <c r="CB460" s="1238"/>
      <c r="CC460" s="1242"/>
      <c r="CD460" s="1239"/>
    </row>
    <row r="461" customFormat="false" ht="12.75" hidden="false" customHeight="false" outlineLevel="0" collapsed="false">
      <c r="B461" s="1239"/>
      <c r="Z461" s="109"/>
      <c r="AA461" s="109"/>
      <c r="AB461" s="109"/>
      <c r="AC461" s="109"/>
      <c r="AD461" s="109"/>
      <c r="AE461" s="109"/>
      <c r="AF461" s="109"/>
      <c r="AG461" s="109"/>
      <c r="AH461" s="109"/>
      <c r="AI461" s="109"/>
      <c r="AJ461" s="109"/>
      <c r="AK461" s="109"/>
      <c r="AL461" s="109"/>
      <c r="AM461" s="109"/>
      <c r="AN461" s="109"/>
      <c r="AO461" s="109"/>
      <c r="AP461" s="109"/>
      <c r="AQ461" s="109"/>
      <c r="BQ461" s="1237"/>
      <c r="BR461" s="1238"/>
      <c r="BS461" s="1238"/>
      <c r="BT461" s="1238"/>
      <c r="BU461" s="1239"/>
      <c r="BV461" s="1239"/>
      <c r="BW461" s="1239"/>
      <c r="BY461" s="1239"/>
      <c r="CA461" s="1243"/>
      <c r="CB461" s="1238"/>
      <c r="CC461" s="1242"/>
      <c r="CD461" s="1239"/>
    </row>
    <row r="462" customFormat="false" ht="12.75" hidden="false" customHeight="false" outlineLevel="0" collapsed="false">
      <c r="B462" s="1239"/>
      <c r="Z462" s="109"/>
      <c r="AA462" s="109"/>
      <c r="AB462" s="109"/>
      <c r="AC462" s="109"/>
      <c r="AD462" s="109"/>
      <c r="AE462" s="109"/>
      <c r="AF462" s="109"/>
      <c r="AG462" s="109"/>
      <c r="AH462" s="109"/>
      <c r="AI462" s="109"/>
      <c r="AJ462" s="109"/>
      <c r="AK462" s="109"/>
      <c r="AL462" s="109"/>
      <c r="AM462" s="109"/>
      <c r="AN462" s="109"/>
      <c r="AO462" s="109"/>
      <c r="AP462" s="109"/>
      <c r="AQ462" s="109"/>
      <c r="BQ462" s="1237"/>
      <c r="BR462" s="1238"/>
      <c r="BS462" s="1238"/>
      <c r="BT462" s="1238"/>
      <c r="BU462" s="1239"/>
      <c r="BV462" s="1239"/>
      <c r="BW462" s="1239"/>
      <c r="BY462" s="1239"/>
      <c r="CA462" s="1243"/>
      <c r="CB462" s="1238"/>
      <c r="CC462" s="1242"/>
      <c r="CD462" s="1239"/>
    </row>
    <row r="463" customFormat="false" ht="12.75" hidden="false" customHeight="false" outlineLevel="0" collapsed="false">
      <c r="B463" s="1239"/>
      <c r="Z463" s="109"/>
      <c r="AA463" s="109"/>
      <c r="AB463" s="109"/>
      <c r="AC463" s="109"/>
      <c r="AD463" s="109"/>
      <c r="AE463" s="109"/>
      <c r="AF463" s="109"/>
      <c r="AG463" s="109"/>
      <c r="AH463" s="109"/>
      <c r="AI463" s="109"/>
      <c r="AJ463" s="109"/>
      <c r="AK463" s="109"/>
      <c r="AL463" s="109"/>
      <c r="AM463" s="109"/>
      <c r="AN463" s="109"/>
      <c r="AO463" s="109"/>
      <c r="AP463" s="109"/>
      <c r="AQ463" s="109"/>
      <c r="BQ463" s="1237"/>
      <c r="BR463" s="1238"/>
      <c r="BS463" s="1238"/>
      <c r="BT463" s="1238"/>
      <c r="BU463" s="1239"/>
      <c r="BV463" s="1239"/>
      <c r="BW463" s="1239"/>
      <c r="BY463" s="1239"/>
      <c r="CA463" s="1243"/>
      <c r="CB463" s="1238"/>
      <c r="CC463" s="1242"/>
      <c r="CD463" s="1239"/>
    </row>
    <row r="464" customFormat="false" ht="12.75" hidden="false" customHeight="false" outlineLevel="0" collapsed="false">
      <c r="B464" s="1239"/>
      <c r="Z464" s="109"/>
      <c r="AA464" s="109"/>
      <c r="AB464" s="109"/>
      <c r="AC464" s="109"/>
      <c r="AD464" s="109"/>
      <c r="AE464" s="109"/>
      <c r="AF464" s="109"/>
      <c r="AG464" s="109"/>
      <c r="AH464" s="109"/>
      <c r="AI464" s="109"/>
      <c r="AJ464" s="109"/>
      <c r="AK464" s="109"/>
      <c r="AL464" s="109"/>
      <c r="AM464" s="109"/>
      <c r="AN464" s="109"/>
      <c r="AO464" s="109"/>
      <c r="AP464" s="109"/>
      <c r="AQ464" s="109"/>
      <c r="BQ464" s="1237"/>
      <c r="BR464" s="1238"/>
      <c r="BS464" s="1238"/>
      <c r="BT464" s="1238"/>
      <c r="BU464" s="1239"/>
      <c r="BV464" s="1239"/>
      <c r="BW464" s="1239"/>
      <c r="BY464" s="1239"/>
      <c r="CA464" s="1243"/>
      <c r="CB464" s="1238"/>
      <c r="CC464" s="1242"/>
      <c r="CD464" s="1239"/>
    </row>
    <row r="465" customFormat="false" ht="12.75" hidden="false" customHeight="false" outlineLevel="0" collapsed="false">
      <c r="B465" s="1239"/>
      <c r="Z465" s="109"/>
      <c r="AA465" s="109"/>
      <c r="AB465" s="109"/>
      <c r="AC465" s="109"/>
      <c r="AD465" s="109"/>
      <c r="AE465" s="109"/>
      <c r="AF465" s="109"/>
      <c r="AG465" s="109"/>
      <c r="AH465" s="109"/>
      <c r="AI465" s="109"/>
      <c r="AJ465" s="109"/>
      <c r="AK465" s="109"/>
      <c r="AL465" s="109"/>
      <c r="AM465" s="109"/>
      <c r="AN465" s="109"/>
      <c r="AO465" s="109"/>
      <c r="AP465" s="109"/>
      <c r="AQ465" s="109"/>
      <c r="BQ465" s="1237"/>
      <c r="BR465" s="1238"/>
      <c r="BS465" s="1238"/>
      <c r="BT465" s="1238"/>
      <c r="BU465" s="1239"/>
      <c r="BV465" s="1239"/>
      <c r="BW465" s="1239"/>
      <c r="BY465" s="1239"/>
      <c r="CA465" s="1243"/>
      <c r="CB465" s="1238"/>
      <c r="CC465" s="1242"/>
      <c r="CD465" s="1239"/>
    </row>
    <row r="466" customFormat="false" ht="12.75" hidden="false" customHeight="false" outlineLevel="0" collapsed="false">
      <c r="B466" s="1239"/>
      <c r="Z466" s="109"/>
      <c r="AA466" s="109"/>
      <c r="AB466" s="109"/>
      <c r="AC466" s="109"/>
      <c r="AD466" s="109"/>
      <c r="AE466" s="109"/>
      <c r="AF466" s="109"/>
      <c r="AG466" s="109"/>
      <c r="AH466" s="109"/>
      <c r="AI466" s="109"/>
      <c r="AJ466" s="109"/>
      <c r="AK466" s="109"/>
      <c r="AL466" s="109"/>
      <c r="AM466" s="109"/>
      <c r="AN466" s="109"/>
      <c r="AO466" s="109"/>
      <c r="AP466" s="109"/>
      <c r="AQ466" s="109"/>
      <c r="BQ466" s="1237"/>
      <c r="BR466" s="1238"/>
      <c r="BS466" s="1238"/>
      <c r="BT466" s="1238"/>
      <c r="BU466" s="1239"/>
      <c r="BV466" s="1239"/>
      <c r="BW466" s="1239"/>
      <c r="BY466" s="1239"/>
      <c r="CA466" s="1243"/>
      <c r="CB466" s="1238"/>
      <c r="CC466" s="1242"/>
      <c r="CD466" s="1239"/>
    </row>
    <row r="467" customFormat="false" ht="12.75" hidden="false" customHeight="false" outlineLevel="0" collapsed="false">
      <c r="B467" s="1239"/>
      <c r="Z467" s="109"/>
      <c r="AA467" s="109"/>
      <c r="AB467" s="109"/>
      <c r="AC467" s="109"/>
      <c r="AD467" s="109"/>
      <c r="AE467" s="109"/>
      <c r="AF467" s="109"/>
      <c r="AG467" s="109"/>
      <c r="AH467" s="109"/>
      <c r="AI467" s="109"/>
      <c r="AJ467" s="109"/>
      <c r="AK467" s="109"/>
      <c r="AL467" s="109"/>
      <c r="AM467" s="109"/>
      <c r="AN467" s="109"/>
      <c r="AO467" s="109"/>
      <c r="AP467" s="109"/>
      <c r="AQ467" s="109"/>
      <c r="BQ467" s="1237"/>
      <c r="BR467" s="1238"/>
      <c r="BS467" s="1238"/>
      <c r="BT467" s="1238"/>
      <c r="BU467" s="1239"/>
      <c r="BV467" s="1239"/>
      <c r="BW467" s="1239"/>
      <c r="BY467" s="1239"/>
      <c r="CA467" s="1243"/>
      <c r="CB467" s="1238"/>
      <c r="CC467" s="1242"/>
      <c r="CD467" s="1239"/>
    </row>
    <row r="468" customFormat="false" ht="12.75" hidden="false" customHeight="false" outlineLevel="0" collapsed="false">
      <c r="B468" s="1239"/>
      <c r="Z468" s="109"/>
      <c r="AA468" s="109"/>
      <c r="AB468" s="109"/>
      <c r="AC468" s="109"/>
      <c r="AD468" s="109"/>
      <c r="AE468" s="109"/>
      <c r="AF468" s="109"/>
      <c r="AG468" s="109"/>
      <c r="AH468" s="109"/>
      <c r="AI468" s="109"/>
      <c r="AJ468" s="109"/>
      <c r="AK468" s="109"/>
      <c r="AL468" s="109"/>
      <c r="AM468" s="109"/>
      <c r="AN468" s="109"/>
      <c r="AO468" s="109"/>
      <c r="AP468" s="109"/>
      <c r="AQ468" s="109"/>
      <c r="BQ468" s="1237"/>
      <c r="BR468" s="1238"/>
      <c r="BS468" s="1238"/>
      <c r="BT468" s="1238"/>
      <c r="BU468" s="1239"/>
      <c r="BV468" s="1239"/>
      <c r="BW468" s="1239"/>
      <c r="BY468" s="1239"/>
      <c r="CA468" s="1243"/>
      <c r="CB468" s="1238"/>
      <c r="CC468" s="1242"/>
      <c r="CD468" s="1239"/>
    </row>
    <row r="469" customFormat="false" ht="12.75" hidden="false" customHeight="false" outlineLevel="0" collapsed="false">
      <c r="B469" s="1239"/>
      <c r="Z469" s="109"/>
      <c r="AA469" s="109"/>
      <c r="AB469" s="109"/>
      <c r="AC469" s="109"/>
      <c r="AD469" s="109"/>
      <c r="AE469" s="109"/>
      <c r="AF469" s="109"/>
      <c r="AG469" s="109"/>
      <c r="AH469" s="109"/>
      <c r="AI469" s="109"/>
      <c r="AJ469" s="109"/>
      <c r="AK469" s="109"/>
      <c r="AL469" s="109"/>
      <c r="AM469" s="109"/>
      <c r="AN469" s="109"/>
      <c r="AO469" s="109"/>
      <c r="AP469" s="109"/>
      <c r="AQ469" s="109"/>
      <c r="BQ469" s="1237"/>
      <c r="BR469" s="1238"/>
      <c r="BS469" s="1238"/>
      <c r="BT469" s="1238"/>
      <c r="BU469" s="1239"/>
      <c r="BV469" s="1239"/>
      <c r="BW469" s="1239"/>
      <c r="BY469" s="1239"/>
      <c r="CA469" s="1243"/>
      <c r="CB469" s="1238"/>
      <c r="CC469" s="1242"/>
      <c r="CD469" s="1239"/>
    </row>
    <row r="470" customFormat="false" ht="12.75" hidden="false" customHeight="false" outlineLevel="0" collapsed="false">
      <c r="B470" s="1239"/>
      <c r="Z470" s="109"/>
      <c r="AA470" s="109"/>
      <c r="AB470" s="109"/>
      <c r="AC470" s="109"/>
      <c r="AD470" s="109"/>
      <c r="AE470" s="109"/>
      <c r="AF470" s="109"/>
      <c r="AG470" s="109"/>
      <c r="AH470" s="109"/>
      <c r="AI470" s="109"/>
      <c r="AJ470" s="109"/>
      <c r="AK470" s="109"/>
      <c r="AL470" s="109"/>
      <c r="AM470" s="109"/>
      <c r="AN470" s="109"/>
      <c r="AO470" s="109"/>
      <c r="AP470" s="109"/>
      <c r="AQ470" s="109"/>
      <c r="BQ470" s="1237"/>
      <c r="BR470" s="1238"/>
      <c r="BS470" s="1238"/>
      <c r="BT470" s="1238"/>
      <c r="BU470" s="1239"/>
      <c r="BV470" s="1239"/>
      <c r="BW470" s="1239"/>
      <c r="BY470" s="1239"/>
      <c r="CA470" s="1243"/>
      <c r="CB470" s="1238"/>
      <c r="CC470" s="1242"/>
      <c r="CD470" s="1239"/>
    </row>
    <row r="471" customFormat="false" ht="12.75" hidden="false" customHeight="false" outlineLevel="0" collapsed="false">
      <c r="B471" s="1239"/>
      <c r="Z471" s="109"/>
      <c r="AA471" s="109"/>
      <c r="AB471" s="109"/>
      <c r="AC471" s="109"/>
      <c r="AD471" s="109"/>
      <c r="AE471" s="109"/>
      <c r="AF471" s="109"/>
      <c r="AG471" s="109"/>
      <c r="AH471" s="109"/>
      <c r="AI471" s="109"/>
      <c r="AJ471" s="109"/>
      <c r="AK471" s="109"/>
      <c r="AL471" s="109"/>
      <c r="AM471" s="109"/>
      <c r="AN471" s="109"/>
      <c r="AO471" s="109"/>
      <c r="AP471" s="109"/>
      <c r="AQ471" s="109"/>
      <c r="BQ471" s="1237"/>
      <c r="BR471" s="1238"/>
      <c r="BS471" s="1238"/>
      <c r="BT471" s="1238"/>
      <c r="BU471" s="1239"/>
      <c r="BV471" s="1239"/>
      <c r="BW471" s="1239"/>
      <c r="BY471" s="1239"/>
      <c r="CA471" s="1243"/>
      <c r="CB471" s="1238"/>
      <c r="CC471" s="1242"/>
      <c r="CD471" s="1239"/>
    </row>
    <row r="472" customFormat="false" ht="12.75" hidden="false" customHeight="false" outlineLevel="0" collapsed="false">
      <c r="B472" s="1239"/>
      <c r="Z472" s="109"/>
      <c r="AA472" s="109"/>
      <c r="AB472" s="109"/>
      <c r="AC472" s="109"/>
      <c r="AD472" s="109"/>
      <c r="AE472" s="109"/>
      <c r="AF472" s="109"/>
      <c r="AG472" s="109"/>
      <c r="AH472" s="109"/>
      <c r="AI472" s="109"/>
      <c r="AJ472" s="109"/>
      <c r="AK472" s="109"/>
      <c r="AL472" s="109"/>
      <c r="AM472" s="109"/>
      <c r="AN472" s="109"/>
      <c r="AO472" s="109"/>
      <c r="AP472" s="109"/>
      <c r="AQ472" s="109"/>
      <c r="BQ472" s="1237"/>
      <c r="BR472" s="1238"/>
      <c r="BS472" s="1238"/>
      <c r="BT472" s="1238"/>
      <c r="BU472" s="1239"/>
      <c r="BV472" s="1239"/>
      <c r="BW472" s="1239"/>
      <c r="BY472" s="1239"/>
      <c r="CA472" s="1243"/>
      <c r="CB472" s="1238"/>
      <c r="CC472" s="1242"/>
      <c r="CD472" s="1239"/>
    </row>
    <row r="473" customFormat="false" ht="12.75" hidden="false" customHeight="false" outlineLevel="0" collapsed="false">
      <c r="B473" s="1239"/>
      <c r="Z473" s="109"/>
      <c r="AA473" s="109"/>
      <c r="AB473" s="109"/>
      <c r="AC473" s="109"/>
      <c r="AD473" s="109"/>
      <c r="AE473" s="109"/>
      <c r="AF473" s="109"/>
      <c r="AG473" s="109"/>
      <c r="AH473" s="109"/>
      <c r="AI473" s="109"/>
      <c r="AJ473" s="109"/>
      <c r="AK473" s="109"/>
      <c r="AL473" s="109"/>
      <c r="AM473" s="109"/>
      <c r="AN473" s="109"/>
      <c r="AO473" s="109"/>
      <c r="AP473" s="109"/>
      <c r="AQ473" s="109"/>
      <c r="BQ473" s="1237"/>
      <c r="BR473" s="1238"/>
      <c r="BS473" s="1238"/>
      <c r="BT473" s="1238"/>
      <c r="BU473" s="1239"/>
      <c r="BV473" s="1239"/>
      <c r="BW473" s="1239"/>
      <c r="BY473" s="1239"/>
      <c r="CA473" s="1243"/>
      <c r="CB473" s="1238"/>
      <c r="CC473" s="1242"/>
      <c r="CD473" s="1239"/>
    </row>
    <row r="474" customFormat="false" ht="12.75" hidden="false" customHeight="false" outlineLevel="0" collapsed="false">
      <c r="B474" s="1239"/>
      <c r="Z474" s="109"/>
      <c r="AA474" s="109"/>
      <c r="AB474" s="109"/>
      <c r="AC474" s="109"/>
      <c r="AD474" s="109"/>
      <c r="AE474" s="109"/>
      <c r="AF474" s="109"/>
      <c r="AG474" s="109"/>
      <c r="AH474" s="109"/>
      <c r="AI474" s="109"/>
      <c r="AJ474" s="109"/>
      <c r="AK474" s="109"/>
      <c r="AL474" s="109"/>
      <c r="AM474" s="109"/>
      <c r="AN474" s="109"/>
      <c r="AO474" s="109"/>
      <c r="AP474" s="109"/>
      <c r="AQ474" s="109"/>
      <c r="BQ474" s="1237"/>
      <c r="BR474" s="1238"/>
      <c r="BS474" s="1238"/>
      <c r="BT474" s="1238"/>
      <c r="BU474" s="1239"/>
      <c r="BV474" s="1239"/>
      <c r="BW474" s="1239"/>
      <c r="BY474" s="1239"/>
      <c r="CA474" s="1243"/>
      <c r="CB474" s="1238"/>
      <c r="CC474" s="1242"/>
      <c r="CD474" s="1239"/>
    </row>
    <row r="475" customFormat="false" ht="12.75" hidden="false" customHeight="false" outlineLevel="0" collapsed="false">
      <c r="B475" s="1239"/>
      <c r="Z475" s="109"/>
      <c r="AA475" s="109"/>
      <c r="AB475" s="109"/>
      <c r="AC475" s="109"/>
      <c r="AD475" s="109"/>
      <c r="AE475" s="109"/>
      <c r="AF475" s="109"/>
      <c r="AG475" s="109"/>
      <c r="AH475" s="109"/>
      <c r="AI475" s="109"/>
      <c r="AJ475" s="109"/>
      <c r="AK475" s="109"/>
      <c r="AL475" s="109"/>
      <c r="AM475" s="109"/>
      <c r="AN475" s="109"/>
      <c r="AO475" s="109"/>
      <c r="AP475" s="109"/>
      <c r="AQ475" s="109"/>
      <c r="BQ475" s="1237"/>
      <c r="BR475" s="1238"/>
      <c r="BS475" s="1238"/>
      <c r="BT475" s="1238"/>
      <c r="BU475" s="1239"/>
      <c r="BV475" s="1239"/>
      <c r="BW475" s="1239"/>
      <c r="BY475" s="1239"/>
      <c r="CA475" s="1243"/>
      <c r="CB475" s="1238"/>
      <c r="CC475" s="1242"/>
      <c r="CD475" s="1239"/>
    </row>
    <row r="476" customFormat="false" ht="12.75" hidden="false" customHeight="false" outlineLevel="0" collapsed="false">
      <c r="B476" s="1239"/>
      <c r="Z476" s="109"/>
      <c r="AA476" s="109"/>
      <c r="AB476" s="109"/>
      <c r="AC476" s="109"/>
      <c r="AD476" s="109"/>
      <c r="AE476" s="109"/>
      <c r="AF476" s="109"/>
      <c r="AG476" s="109"/>
      <c r="AH476" s="109"/>
      <c r="AI476" s="109"/>
      <c r="AJ476" s="109"/>
      <c r="AK476" s="109"/>
      <c r="AL476" s="109"/>
      <c r="AM476" s="109"/>
      <c r="AN476" s="109"/>
      <c r="AO476" s="109"/>
      <c r="AP476" s="109"/>
      <c r="AQ476" s="109"/>
      <c r="BQ476" s="1237"/>
      <c r="BR476" s="1238"/>
      <c r="BS476" s="1238"/>
      <c r="BT476" s="1238"/>
      <c r="BU476" s="1239"/>
      <c r="BV476" s="1239"/>
      <c r="BW476" s="1239"/>
      <c r="BY476" s="1239"/>
      <c r="CA476" s="1243"/>
      <c r="CB476" s="1238"/>
      <c r="CC476" s="1242"/>
      <c r="CD476" s="1239"/>
    </row>
    <row r="477" customFormat="false" ht="12.75" hidden="false" customHeight="false" outlineLevel="0" collapsed="false">
      <c r="B477" s="1239"/>
      <c r="Z477" s="109"/>
      <c r="AA477" s="109"/>
      <c r="AB477" s="109"/>
      <c r="AC477" s="109"/>
      <c r="AD477" s="109"/>
      <c r="AE477" s="109"/>
      <c r="AF477" s="109"/>
      <c r="AG477" s="109"/>
      <c r="AH477" s="109"/>
      <c r="AI477" s="109"/>
      <c r="AJ477" s="109"/>
      <c r="AK477" s="109"/>
      <c r="AL477" s="109"/>
      <c r="AM477" s="109"/>
      <c r="AN477" s="109"/>
      <c r="AO477" s="109"/>
      <c r="AP477" s="109"/>
      <c r="AQ477" s="109"/>
      <c r="BQ477" s="1237"/>
      <c r="BR477" s="1238"/>
      <c r="BS477" s="1238"/>
      <c r="BT477" s="1238"/>
      <c r="BU477" s="1239"/>
      <c r="BV477" s="1239"/>
      <c r="BW477" s="1239"/>
      <c r="BY477" s="1239"/>
      <c r="CA477" s="1243"/>
      <c r="CB477" s="1238"/>
      <c r="CC477" s="1242"/>
      <c r="CD477" s="1239"/>
    </row>
    <row r="478" customFormat="false" ht="12.75" hidden="false" customHeight="false" outlineLevel="0" collapsed="false">
      <c r="B478" s="1239"/>
      <c r="Z478" s="109"/>
      <c r="AA478" s="109"/>
      <c r="AB478" s="109"/>
      <c r="AC478" s="109"/>
      <c r="AD478" s="109"/>
      <c r="AE478" s="109"/>
      <c r="AF478" s="109"/>
      <c r="AG478" s="109"/>
      <c r="AH478" s="109"/>
      <c r="AI478" s="109"/>
      <c r="AJ478" s="109"/>
      <c r="AK478" s="109"/>
      <c r="AL478" s="109"/>
      <c r="AM478" s="109"/>
      <c r="AN478" s="109"/>
      <c r="AO478" s="109"/>
      <c r="AP478" s="109"/>
      <c r="AQ478" s="109"/>
      <c r="BQ478" s="1237"/>
      <c r="BR478" s="1238"/>
      <c r="BS478" s="1238"/>
      <c r="BT478" s="1238"/>
      <c r="BU478" s="1239"/>
      <c r="BV478" s="1239"/>
      <c r="BW478" s="1239"/>
      <c r="BY478" s="1239"/>
      <c r="CA478" s="1243"/>
      <c r="CB478" s="1238"/>
      <c r="CC478" s="1242"/>
      <c r="CD478" s="1239"/>
    </row>
    <row r="479" customFormat="false" ht="12.75" hidden="false" customHeight="false" outlineLevel="0" collapsed="false">
      <c r="B479" s="1239"/>
      <c r="Z479" s="109"/>
      <c r="AA479" s="109"/>
      <c r="AB479" s="109"/>
      <c r="AC479" s="109"/>
      <c r="AD479" s="109"/>
      <c r="AE479" s="109"/>
      <c r="AF479" s="109"/>
      <c r="AG479" s="109"/>
      <c r="AH479" s="109"/>
      <c r="AI479" s="109"/>
      <c r="AJ479" s="109"/>
      <c r="AK479" s="109"/>
      <c r="AL479" s="109"/>
      <c r="AM479" s="109"/>
      <c r="AN479" s="109"/>
      <c r="AO479" s="109"/>
      <c r="AP479" s="109"/>
      <c r="AQ479" s="109"/>
      <c r="BQ479" s="1237"/>
      <c r="BR479" s="1238"/>
      <c r="BS479" s="1238"/>
      <c r="BT479" s="1238"/>
      <c r="BU479" s="1239"/>
      <c r="BV479" s="1239"/>
      <c r="BW479" s="1239"/>
      <c r="BY479" s="1239"/>
      <c r="CA479" s="1243"/>
      <c r="CB479" s="1238"/>
      <c r="CC479" s="1242"/>
      <c r="CD479" s="1239"/>
    </row>
    <row r="480" customFormat="false" ht="12.75" hidden="false" customHeight="false" outlineLevel="0" collapsed="false">
      <c r="B480" s="1239"/>
      <c r="Z480" s="109"/>
      <c r="AA480" s="109"/>
      <c r="AB480" s="109"/>
      <c r="AC480" s="109"/>
      <c r="AD480" s="109"/>
      <c r="AE480" s="109"/>
      <c r="AF480" s="109"/>
      <c r="AG480" s="109"/>
      <c r="AH480" s="109"/>
      <c r="AI480" s="109"/>
      <c r="AJ480" s="109"/>
      <c r="AK480" s="109"/>
      <c r="AL480" s="109"/>
      <c r="AM480" s="109"/>
      <c r="AN480" s="109"/>
      <c r="AO480" s="109"/>
      <c r="AP480" s="109"/>
      <c r="AQ480" s="109"/>
      <c r="BQ480" s="1237"/>
      <c r="BR480" s="1238"/>
      <c r="BS480" s="1238"/>
      <c r="BT480" s="1238"/>
      <c r="BU480" s="1239"/>
      <c r="BV480" s="1239"/>
      <c r="BW480" s="1239"/>
      <c r="BY480" s="1239"/>
      <c r="CA480" s="1243"/>
      <c r="CB480" s="1238"/>
      <c r="CC480" s="1242"/>
      <c r="CD480" s="1239"/>
    </row>
    <row r="481" customFormat="false" ht="12.75" hidden="false" customHeight="false" outlineLevel="0" collapsed="false">
      <c r="B481" s="1239"/>
      <c r="Z481" s="109"/>
      <c r="AA481" s="109"/>
      <c r="AB481" s="109"/>
      <c r="AC481" s="109"/>
      <c r="AD481" s="109"/>
      <c r="AE481" s="109"/>
      <c r="AF481" s="109"/>
      <c r="AG481" s="109"/>
      <c r="AH481" s="109"/>
      <c r="AI481" s="109"/>
      <c r="AJ481" s="109"/>
      <c r="AK481" s="109"/>
      <c r="AL481" s="109"/>
      <c r="AM481" s="109"/>
      <c r="AN481" s="109"/>
      <c r="AO481" s="109"/>
      <c r="AP481" s="109"/>
      <c r="AQ481" s="109"/>
      <c r="BQ481" s="1237"/>
      <c r="BR481" s="1238"/>
      <c r="BS481" s="1238"/>
      <c r="BT481" s="1238"/>
      <c r="BU481" s="1239"/>
      <c r="BV481" s="1239"/>
      <c r="BW481" s="1239"/>
      <c r="BY481" s="1239"/>
      <c r="CA481" s="1243"/>
      <c r="CB481" s="1238"/>
      <c r="CC481" s="1242"/>
      <c r="CD481" s="1239"/>
    </row>
    <row r="482" customFormat="false" ht="12.75" hidden="false" customHeight="false" outlineLevel="0" collapsed="false">
      <c r="B482" s="1239"/>
      <c r="Z482" s="109"/>
      <c r="AA482" s="109"/>
      <c r="AB482" s="109"/>
      <c r="AC482" s="109"/>
      <c r="AD482" s="109"/>
      <c r="AE482" s="109"/>
      <c r="AF482" s="109"/>
      <c r="AG482" s="109"/>
      <c r="AH482" s="109"/>
      <c r="AI482" s="109"/>
      <c r="AJ482" s="109"/>
      <c r="AK482" s="109"/>
      <c r="AL482" s="109"/>
      <c r="AM482" s="109"/>
      <c r="AN482" s="109"/>
      <c r="AO482" s="109"/>
      <c r="AP482" s="109"/>
      <c r="AQ482" s="109"/>
      <c r="BQ482" s="1237"/>
      <c r="BR482" s="1238"/>
      <c r="BS482" s="1238"/>
      <c r="BT482" s="1238"/>
      <c r="BU482" s="1239"/>
      <c r="BV482" s="1239"/>
      <c r="BW482" s="1239"/>
      <c r="BY482" s="1239"/>
      <c r="CA482" s="1243"/>
      <c r="CB482" s="1238"/>
      <c r="CC482" s="1242"/>
      <c r="CD482" s="1239"/>
    </row>
    <row r="483" customFormat="false" ht="12.75" hidden="false" customHeight="false" outlineLevel="0" collapsed="false">
      <c r="B483" s="1239"/>
      <c r="Z483" s="109"/>
      <c r="AA483" s="109"/>
      <c r="AB483" s="109"/>
      <c r="AC483" s="109"/>
      <c r="AD483" s="109"/>
      <c r="AE483" s="109"/>
      <c r="AF483" s="109"/>
      <c r="AG483" s="109"/>
      <c r="AH483" s="109"/>
      <c r="AI483" s="109"/>
      <c r="AJ483" s="109"/>
      <c r="AK483" s="109"/>
      <c r="AL483" s="109"/>
      <c r="AM483" s="109"/>
      <c r="AN483" s="109"/>
      <c r="AO483" s="109"/>
      <c r="AP483" s="109"/>
      <c r="AQ483" s="109"/>
      <c r="BQ483" s="1237"/>
      <c r="BR483" s="1238"/>
      <c r="BS483" s="1238"/>
      <c r="BT483" s="1238"/>
      <c r="BU483" s="1239"/>
      <c r="BV483" s="1239"/>
      <c r="BW483" s="1239"/>
      <c r="BY483" s="1239"/>
      <c r="CA483" s="1243"/>
      <c r="CB483" s="1238"/>
      <c r="CC483" s="1242"/>
      <c r="CD483" s="1239"/>
    </row>
    <row r="484" customFormat="false" ht="12.75" hidden="false" customHeight="false" outlineLevel="0" collapsed="false">
      <c r="B484" s="1239"/>
      <c r="Z484" s="109"/>
      <c r="AA484" s="109"/>
      <c r="AB484" s="109"/>
      <c r="AC484" s="109"/>
      <c r="AD484" s="109"/>
      <c r="AE484" s="109"/>
      <c r="AF484" s="109"/>
      <c r="AG484" s="109"/>
      <c r="AH484" s="109"/>
      <c r="AI484" s="109"/>
      <c r="AJ484" s="109"/>
      <c r="AK484" s="109"/>
      <c r="AL484" s="109"/>
      <c r="AM484" s="109"/>
      <c r="AN484" s="109"/>
      <c r="AO484" s="109"/>
      <c r="AP484" s="109"/>
      <c r="AQ484" s="109"/>
      <c r="BQ484" s="1237"/>
      <c r="BR484" s="1238"/>
      <c r="BS484" s="1238"/>
      <c r="BT484" s="1238"/>
      <c r="BU484" s="1239"/>
      <c r="BV484" s="1239"/>
      <c r="BW484" s="1239"/>
      <c r="BY484" s="1239"/>
      <c r="CA484" s="1243"/>
      <c r="CB484" s="1238"/>
      <c r="CC484" s="1242"/>
      <c r="CD484" s="1239"/>
    </row>
    <row r="485" customFormat="false" ht="12.75" hidden="false" customHeight="false" outlineLevel="0" collapsed="false">
      <c r="B485" s="1239"/>
      <c r="Z485" s="109"/>
      <c r="AA485" s="109"/>
      <c r="AB485" s="109"/>
      <c r="AC485" s="109"/>
      <c r="AD485" s="109"/>
      <c r="AE485" s="109"/>
      <c r="AF485" s="109"/>
      <c r="AG485" s="109"/>
      <c r="AH485" s="109"/>
      <c r="AI485" s="109"/>
      <c r="AJ485" s="109"/>
      <c r="AK485" s="109"/>
      <c r="AL485" s="109"/>
      <c r="AM485" s="109"/>
      <c r="AN485" s="109"/>
      <c r="AO485" s="109"/>
      <c r="AP485" s="109"/>
      <c r="AQ485" s="109"/>
      <c r="BQ485" s="1237"/>
      <c r="BR485" s="1238"/>
      <c r="BS485" s="1238"/>
      <c r="BT485" s="1238"/>
      <c r="BU485" s="1239"/>
      <c r="BV485" s="1239"/>
      <c r="BW485" s="1239"/>
      <c r="BY485" s="1239"/>
      <c r="CA485" s="1243"/>
      <c r="CB485" s="1238"/>
      <c r="CC485" s="1242"/>
      <c r="CD485" s="1239"/>
    </row>
    <row r="486" customFormat="false" ht="12.75" hidden="false" customHeight="false" outlineLevel="0" collapsed="false">
      <c r="B486" s="1239"/>
      <c r="Z486" s="109"/>
      <c r="AA486" s="109"/>
      <c r="AB486" s="109"/>
      <c r="AC486" s="109"/>
      <c r="AD486" s="109"/>
      <c r="AE486" s="109"/>
      <c r="AF486" s="109"/>
      <c r="AG486" s="109"/>
      <c r="AH486" s="109"/>
      <c r="AI486" s="109"/>
      <c r="AJ486" s="109"/>
      <c r="AK486" s="109"/>
      <c r="AL486" s="109"/>
      <c r="AM486" s="109"/>
      <c r="AN486" s="109"/>
      <c r="AO486" s="109"/>
      <c r="AP486" s="109"/>
      <c r="AQ486" s="109"/>
      <c r="BQ486" s="1237"/>
      <c r="BR486" s="1238"/>
      <c r="BS486" s="1238"/>
      <c r="BT486" s="1238"/>
      <c r="BU486" s="1239"/>
      <c r="BV486" s="1239"/>
      <c r="BW486" s="1239"/>
      <c r="BY486" s="1239"/>
      <c r="CA486" s="1243"/>
      <c r="CB486" s="1238"/>
      <c r="CC486" s="1242"/>
      <c r="CD486" s="1239"/>
    </row>
    <row r="487" customFormat="false" ht="12.75" hidden="false" customHeight="false" outlineLevel="0" collapsed="false">
      <c r="B487" s="1239"/>
      <c r="Z487" s="109"/>
      <c r="AA487" s="109"/>
      <c r="AB487" s="109"/>
      <c r="AC487" s="109"/>
      <c r="AD487" s="109"/>
      <c r="AE487" s="109"/>
      <c r="AF487" s="109"/>
      <c r="AG487" s="109"/>
      <c r="AH487" s="109"/>
      <c r="AI487" s="109"/>
      <c r="AJ487" s="109"/>
      <c r="AK487" s="109"/>
      <c r="AL487" s="109"/>
      <c r="AM487" s="109"/>
      <c r="AN487" s="109"/>
      <c r="AO487" s="109"/>
      <c r="AP487" s="109"/>
      <c r="AQ487" s="109"/>
      <c r="BQ487" s="1237"/>
      <c r="BR487" s="1238"/>
      <c r="BS487" s="1238"/>
      <c r="BT487" s="1238"/>
      <c r="BU487" s="1239"/>
      <c r="BV487" s="1239"/>
      <c r="BW487" s="1239"/>
      <c r="BY487" s="1239"/>
      <c r="CA487" s="1243"/>
      <c r="CB487" s="1238"/>
      <c r="CC487" s="1242"/>
      <c r="CD487" s="1239"/>
    </row>
    <row r="488" customFormat="false" ht="12.75" hidden="false" customHeight="false" outlineLevel="0" collapsed="false">
      <c r="B488" s="1239"/>
      <c r="Z488" s="109"/>
      <c r="AA488" s="109"/>
      <c r="AB488" s="109"/>
      <c r="AC488" s="109"/>
      <c r="AD488" s="109"/>
      <c r="AE488" s="109"/>
      <c r="AF488" s="109"/>
      <c r="AG488" s="109"/>
      <c r="AH488" s="109"/>
      <c r="AI488" s="109"/>
      <c r="AJ488" s="109"/>
      <c r="AK488" s="109"/>
      <c r="AL488" s="109"/>
      <c r="AM488" s="109"/>
      <c r="AN488" s="109"/>
      <c r="AO488" s="109"/>
      <c r="AP488" s="109"/>
      <c r="AQ488" s="109"/>
      <c r="BQ488" s="1237"/>
      <c r="BR488" s="1238"/>
      <c r="BS488" s="1238"/>
      <c r="BT488" s="1238"/>
      <c r="BU488" s="1239"/>
      <c r="BV488" s="1239"/>
      <c r="BW488" s="1239"/>
      <c r="BY488" s="1239"/>
      <c r="CA488" s="1243"/>
      <c r="CB488" s="1238"/>
      <c r="CC488" s="1242"/>
      <c r="CD488" s="1239"/>
    </row>
    <row r="489" customFormat="false" ht="12.75" hidden="false" customHeight="false" outlineLevel="0" collapsed="false">
      <c r="B489" s="1239"/>
      <c r="Z489" s="109"/>
      <c r="AA489" s="109"/>
      <c r="AB489" s="109"/>
      <c r="AC489" s="109"/>
      <c r="AD489" s="109"/>
      <c r="AE489" s="109"/>
      <c r="AF489" s="109"/>
      <c r="AG489" s="109"/>
      <c r="AH489" s="109"/>
      <c r="AI489" s="109"/>
      <c r="AJ489" s="109"/>
      <c r="AK489" s="109"/>
      <c r="AL489" s="109"/>
      <c r="AM489" s="109"/>
      <c r="AN489" s="109"/>
      <c r="AO489" s="109"/>
      <c r="AP489" s="109"/>
      <c r="AQ489" s="109"/>
      <c r="BQ489" s="1237"/>
      <c r="BR489" s="1238"/>
      <c r="BS489" s="1238"/>
      <c r="BT489" s="1238"/>
      <c r="BU489" s="1239"/>
      <c r="BV489" s="1239"/>
      <c r="BW489" s="1239"/>
      <c r="BY489" s="1239"/>
      <c r="CA489" s="1243"/>
      <c r="CB489" s="1238"/>
      <c r="CC489" s="1242"/>
      <c r="CD489" s="1239"/>
    </row>
    <row r="490" customFormat="false" ht="12.75" hidden="false" customHeight="false" outlineLevel="0" collapsed="false">
      <c r="B490" s="1239"/>
      <c r="Z490" s="109"/>
      <c r="AA490" s="109"/>
      <c r="AB490" s="109"/>
      <c r="AC490" s="109"/>
      <c r="AD490" s="109"/>
      <c r="AE490" s="109"/>
      <c r="AF490" s="109"/>
      <c r="AG490" s="109"/>
      <c r="AH490" s="109"/>
      <c r="AI490" s="109"/>
      <c r="AJ490" s="109"/>
      <c r="AK490" s="109"/>
      <c r="AL490" s="109"/>
      <c r="AM490" s="109"/>
      <c r="AN490" s="109"/>
      <c r="AO490" s="109"/>
      <c r="AP490" s="109"/>
      <c r="AQ490" s="109"/>
      <c r="BQ490" s="1237"/>
      <c r="BR490" s="1238"/>
      <c r="BS490" s="1238"/>
      <c r="BT490" s="1238"/>
      <c r="BU490" s="1239"/>
      <c r="BV490" s="1239"/>
      <c r="BW490" s="1239"/>
      <c r="BY490" s="1239"/>
      <c r="CA490" s="1243"/>
      <c r="CB490" s="1238"/>
      <c r="CC490" s="1242"/>
      <c r="CD490" s="1239"/>
    </row>
    <row r="491" customFormat="false" ht="12.75" hidden="false" customHeight="false" outlineLevel="0" collapsed="false">
      <c r="B491" s="1239"/>
      <c r="Z491" s="109"/>
      <c r="AA491" s="109"/>
      <c r="AB491" s="109"/>
      <c r="AC491" s="109"/>
      <c r="AD491" s="109"/>
      <c r="AE491" s="109"/>
      <c r="AF491" s="109"/>
      <c r="AG491" s="109"/>
      <c r="AH491" s="109"/>
      <c r="AI491" s="109"/>
      <c r="AJ491" s="109"/>
      <c r="AK491" s="109"/>
      <c r="AL491" s="109"/>
      <c r="AM491" s="109"/>
      <c r="AN491" s="109"/>
      <c r="AO491" s="109"/>
      <c r="AP491" s="109"/>
      <c r="AQ491" s="109"/>
      <c r="BQ491" s="1237"/>
      <c r="BR491" s="1238"/>
      <c r="BS491" s="1238"/>
      <c r="BT491" s="1238"/>
      <c r="BU491" s="1239"/>
      <c r="BV491" s="1239"/>
      <c r="BW491" s="1239"/>
      <c r="BY491" s="1239"/>
      <c r="CA491" s="1243"/>
      <c r="CB491" s="1238"/>
      <c r="CC491" s="1242"/>
      <c r="CD491" s="1239"/>
    </row>
    <row r="492" customFormat="false" ht="12.75" hidden="false" customHeight="false" outlineLevel="0" collapsed="false">
      <c r="B492" s="1239"/>
      <c r="Z492" s="109"/>
      <c r="AA492" s="109"/>
      <c r="AB492" s="109"/>
      <c r="AC492" s="109"/>
      <c r="AD492" s="109"/>
      <c r="AE492" s="109"/>
      <c r="AF492" s="109"/>
      <c r="AG492" s="109"/>
      <c r="AH492" s="109"/>
      <c r="AI492" s="109"/>
      <c r="AJ492" s="109"/>
      <c r="AK492" s="109"/>
      <c r="AL492" s="109"/>
      <c r="AM492" s="109"/>
      <c r="AN492" s="109"/>
      <c r="AO492" s="109"/>
      <c r="AP492" s="109"/>
      <c r="AQ492" s="109"/>
      <c r="BQ492" s="1237"/>
      <c r="BR492" s="1238"/>
      <c r="BS492" s="1238"/>
      <c r="BT492" s="1238"/>
      <c r="BU492" s="1239"/>
      <c r="BV492" s="1239"/>
      <c r="BW492" s="1239"/>
      <c r="BY492" s="1239"/>
      <c r="CA492" s="1243"/>
      <c r="CB492" s="1238"/>
      <c r="CC492" s="1242"/>
      <c r="CD492" s="1239"/>
    </row>
    <row r="493" customFormat="false" ht="12.75" hidden="false" customHeight="false" outlineLevel="0" collapsed="false">
      <c r="B493" s="1239"/>
      <c r="Z493" s="109"/>
      <c r="AA493" s="109"/>
      <c r="AB493" s="109"/>
      <c r="AC493" s="109"/>
      <c r="AD493" s="109"/>
      <c r="AE493" s="109"/>
      <c r="AF493" s="109"/>
      <c r="AG493" s="109"/>
      <c r="AH493" s="109"/>
      <c r="AI493" s="109"/>
      <c r="AJ493" s="109"/>
      <c r="AK493" s="109"/>
      <c r="AL493" s="109"/>
      <c r="AM493" s="109"/>
      <c r="AN493" s="109"/>
      <c r="AO493" s="109"/>
      <c r="AP493" s="109"/>
      <c r="AQ493" s="109"/>
      <c r="BQ493" s="1237"/>
      <c r="BR493" s="1238"/>
      <c r="BS493" s="1238"/>
      <c r="BT493" s="1238"/>
      <c r="BU493" s="1239"/>
      <c r="BV493" s="1239"/>
      <c r="BW493" s="1239"/>
      <c r="BY493" s="1239"/>
      <c r="CA493" s="1243"/>
      <c r="CB493" s="1238"/>
      <c r="CC493" s="1242"/>
      <c r="CD493" s="1239"/>
    </row>
    <row r="494" customFormat="false" ht="12.75" hidden="false" customHeight="false" outlineLevel="0" collapsed="false">
      <c r="B494" s="1239"/>
      <c r="Z494" s="109"/>
      <c r="AA494" s="109"/>
      <c r="AB494" s="109"/>
      <c r="AC494" s="109"/>
      <c r="AD494" s="109"/>
      <c r="AE494" s="109"/>
      <c r="AF494" s="109"/>
      <c r="AG494" s="109"/>
      <c r="AH494" s="109"/>
      <c r="AI494" s="109"/>
      <c r="AJ494" s="109"/>
      <c r="AK494" s="109"/>
      <c r="AL494" s="109"/>
      <c r="AM494" s="109"/>
      <c r="AN494" s="109"/>
      <c r="AO494" s="109"/>
      <c r="AP494" s="109"/>
      <c r="AQ494" s="109"/>
      <c r="BQ494" s="1237"/>
      <c r="BR494" s="1238"/>
      <c r="BS494" s="1238"/>
      <c r="BT494" s="1238"/>
      <c r="BU494" s="1239"/>
      <c r="BV494" s="1239"/>
      <c r="BW494" s="1239"/>
      <c r="BY494" s="1239"/>
      <c r="CA494" s="1243"/>
      <c r="CB494" s="1238"/>
      <c r="CC494" s="1242"/>
      <c r="CD494" s="1239"/>
    </row>
    <row r="495" customFormat="false" ht="12.75" hidden="false" customHeight="false" outlineLevel="0" collapsed="false">
      <c r="B495" s="1239"/>
      <c r="Z495" s="109"/>
      <c r="AA495" s="109"/>
      <c r="AB495" s="109"/>
      <c r="AC495" s="109"/>
      <c r="AD495" s="109"/>
      <c r="AE495" s="109"/>
      <c r="AF495" s="109"/>
      <c r="AG495" s="109"/>
      <c r="AH495" s="109"/>
      <c r="AI495" s="109"/>
      <c r="AJ495" s="109"/>
      <c r="AK495" s="109"/>
      <c r="AL495" s="109"/>
      <c r="AM495" s="109"/>
      <c r="AN495" s="109"/>
      <c r="AO495" s="109"/>
      <c r="AP495" s="109"/>
      <c r="AQ495" s="109"/>
      <c r="BQ495" s="1237"/>
      <c r="BR495" s="1238"/>
      <c r="BS495" s="1238"/>
      <c r="BT495" s="1238"/>
      <c r="BU495" s="1239"/>
      <c r="BV495" s="1239"/>
      <c r="BW495" s="1239"/>
      <c r="BY495" s="1239"/>
      <c r="CA495" s="1243"/>
      <c r="CB495" s="1238"/>
      <c r="CC495" s="1242"/>
      <c r="CD495" s="1239"/>
    </row>
    <row r="496" customFormat="false" ht="12.75" hidden="false" customHeight="false" outlineLevel="0" collapsed="false">
      <c r="B496" s="1239"/>
      <c r="Z496" s="109"/>
      <c r="AA496" s="109"/>
      <c r="AB496" s="109"/>
      <c r="AC496" s="109"/>
      <c r="AD496" s="109"/>
      <c r="AE496" s="109"/>
      <c r="AF496" s="109"/>
      <c r="AG496" s="109"/>
      <c r="AH496" s="109"/>
      <c r="AI496" s="109"/>
      <c r="AJ496" s="109"/>
      <c r="AK496" s="109"/>
      <c r="AL496" s="109"/>
      <c r="AM496" s="109"/>
      <c r="AN496" s="109"/>
      <c r="AO496" s="109"/>
      <c r="AP496" s="109"/>
      <c r="AQ496" s="109"/>
      <c r="BQ496" s="1237"/>
      <c r="BR496" s="1238"/>
      <c r="BS496" s="1238"/>
      <c r="BT496" s="1238"/>
      <c r="BU496" s="1239"/>
      <c r="BV496" s="1239"/>
      <c r="BW496" s="1239"/>
      <c r="BY496" s="1239"/>
      <c r="CA496" s="1243"/>
      <c r="CB496" s="1238"/>
      <c r="CC496" s="1242"/>
      <c r="CD496" s="1239"/>
    </row>
    <row r="497" customFormat="false" ht="12.75" hidden="false" customHeight="false" outlineLevel="0" collapsed="false">
      <c r="B497" s="1239"/>
      <c r="Z497" s="109"/>
      <c r="AA497" s="109"/>
      <c r="AB497" s="109"/>
      <c r="AC497" s="109"/>
      <c r="AD497" s="109"/>
      <c r="AE497" s="109"/>
      <c r="AF497" s="109"/>
      <c r="AG497" s="109"/>
      <c r="AH497" s="109"/>
      <c r="AI497" s="109"/>
      <c r="AJ497" s="109"/>
      <c r="AK497" s="109"/>
      <c r="AL497" s="109"/>
      <c r="AM497" s="109"/>
      <c r="AN497" s="109"/>
      <c r="AO497" s="109"/>
      <c r="AP497" s="109"/>
      <c r="AQ497" s="109"/>
      <c r="BQ497" s="1237"/>
      <c r="BR497" s="1238"/>
      <c r="BS497" s="1238"/>
      <c r="BT497" s="1238"/>
      <c r="BU497" s="1239"/>
      <c r="BV497" s="1239"/>
      <c r="BW497" s="1239"/>
      <c r="BY497" s="1239"/>
      <c r="CA497" s="1243"/>
      <c r="CB497" s="1238"/>
      <c r="CC497" s="1242"/>
      <c r="CD497" s="1239"/>
    </row>
    <row r="498" customFormat="false" ht="12.75" hidden="false" customHeight="false" outlineLevel="0" collapsed="false">
      <c r="B498" s="1239"/>
      <c r="Z498" s="109"/>
      <c r="AA498" s="109"/>
      <c r="AB498" s="109"/>
      <c r="AC498" s="109"/>
      <c r="AD498" s="109"/>
      <c r="AE498" s="109"/>
      <c r="AF498" s="109"/>
      <c r="AG498" s="109"/>
      <c r="AH498" s="109"/>
      <c r="AI498" s="109"/>
      <c r="AJ498" s="109"/>
      <c r="AK498" s="109"/>
      <c r="AL498" s="109"/>
      <c r="AM498" s="109"/>
      <c r="AN498" s="109"/>
      <c r="AO498" s="109"/>
      <c r="AP498" s="109"/>
      <c r="AQ498" s="109"/>
      <c r="BQ498" s="1237"/>
      <c r="BR498" s="1238"/>
      <c r="BS498" s="1238"/>
      <c r="BT498" s="1238"/>
      <c r="BU498" s="1239"/>
      <c r="BV498" s="1239"/>
      <c r="BW498" s="1239"/>
      <c r="BY498" s="1239"/>
      <c r="CA498" s="1243"/>
      <c r="CB498" s="1238"/>
      <c r="CC498" s="1242"/>
      <c r="CD498" s="1239"/>
    </row>
    <row r="499" customFormat="false" ht="12.75" hidden="false" customHeight="false" outlineLevel="0" collapsed="false">
      <c r="B499" s="1239"/>
      <c r="Z499" s="109"/>
      <c r="AA499" s="109"/>
      <c r="AB499" s="109"/>
      <c r="AC499" s="109"/>
      <c r="AD499" s="109"/>
      <c r="AE499" s="109"/>
      <c r="AF499" s="109"/>
      <c r="AG499" s="109"/>
      <c r="AH499" s="109"/>
      <c r="AI499" s="109"/>
      <c r="AJ499" s="109"/>
      <c r="AK499" s="109"/>
      <c r="AL499" s="109"/>
      <c r="AM499" s="109"/>
      <c r="AN499" s="109"/>
      <c r="AO499" s="109"/>
      <c r="AP499" s="109"/>
      <c r="AQ499" s="109"/>
      <c r="BQ499" s="1237"/>
      <c r="BR499" s="1238"/>
      <c r="BS499" s="1238"/>
      <c r="BT499" s="1238"/>
      <c r="BU499" s="1239"/>
      <c r="BV499" s="1239"/>
      <c r="BW499" s="1239"/>
      <c r="BY499" s="1239"/>
      <c r="CA499" s="1243"/>
      <c r="CB499" s="1238"/>
      <c r="CC499" s="1242"/>
      <c r="CD499" s="1239"/>
    </row>
    <row r="500" customFormat="false" ht="12.75" hidden="false" customHeight="false" outlineLevel="0" collapsed="false">
      <c r="B500" s="1239"/>
      <c r="Z500" s="109"/>
      <c r="AA500" s="109"/>
      <c r="AB500" s="109"/>
      <c r="AC500" s="109"/>
      <c r="AD500" s="109"/>
      <c r="AE500" s="109"/>
      <c r="AF500" s="109"/>
      <c r="AG500" s="109"/>
      <c r="AH500" s="109"/>
      <c r="AI500" s="109"/>
      <c r="AJ500" s="109"/>
      <c r="AK500" s="109"/>
      <c r="AL500" s="109"/>
      <c r="AM500" s="109"/>
      <c r="AN500" s="109"/>
      <c r="AO500" s="109"/>
      <c r="AP500" s="109"/>
      <c r="AQ500" s="109"/>
      <c r="BQ500" s="1237"/>
      <c r="BR500" s="1238"/>
      <c r="BS500" s="1238"/>
      <c r="BT500" s="1238"/>
      <c r="BU500" s="1239"/>
      <c r="BV500" s="1239"/>
      <c r="BW500" s="1239"/>
      <c r="BY500" s="1239"/>
      <c r="CA500" s="1243"/>
      <c r="CB500" s="1238"/>
      <c r="CC500" s="1242"/>
      <c r="CD500" s="1239"/>
    </row>
    <row r="501" customFormat="false" ht="12.75" hidden="false" customHeight="false" outlineLevel="0" collapsed="false">
      <c r="B501" s="1239"/>
      <c r="Z501" s="109"/>
      <c r="AA501" s="109"/>
      <c r="AB501" s="109"/>
      <c r="AC501" s="109"/>
      <c r="AD501" s="109"/>
      <c r="AE501" s="109"/>
      <c r="AF501" s="109"/>
      <c r="AG501" s="109"/>
      <c r="AH501" s="109"/>
      <c r="AI501" s="109"/>
      <c r="AJ501" s="109"/>
      <c r="AK501" s="109"/>
      <c r="AL501" s="109"/>
      <c r="AM501" s="109"/>
      <c r="AN501" s="109"/>
      <c r="AO501" s="109"/>
      <c r="AP501" s="109"/>
      <c r="AQ501" s="109"/>
      <c r="BQ501" s="1237"/>
      <c r="BR501" s="1238"/>
      <c r="BS501" s="1238"/>
      <c r="BT501" s="1238"/>
      <c r="BU501" s="1239"/>
      <c r="BV501" s="1239"/>
      <c r="BW501" s="1239"/>
      <c r="BY501" s="1239"/>
      <c r="CA501" s="1243"/>
      <c r="CB501" s="1238"/>
      <c r="CC501" s="1242"/>
      <c r="CD501" s="1239"/>
    </row>
    <row r="502" customFormat="false" ht="12.75" hidden="false" customHeight="false" outlineLevel="0" collapsed="false">
      <c r="B502" s="1239"/>
      <c r="Z502" s="109"/>
      <c r="AA502" s="109"/>
      <c r="AB502" s="109"/>
      <c r="AC502" s="109"/>
      <c r="AD502" s="109"/>
      <c r="AE502" s="109"/>
      <c r="AF502" s="109"/>
      <c r="AG502" s="109"/>
      <c r="AH502" s="109"/>
      <c r="AI502" s="109"/>
      <c r="AJ502" s="109"/>
      <c r="AK502" s="109"/>
      <c r="AL502" s="109"/>
      <c r="AM502" s="109"/>
      <c r="AN502" s="109"/>
      <c r="AO502" s="109"/>
      <c r="AP502" s="109"/>
      <c r="AQ502" s="109"/>
      <c r="BQ502" s="1237"/>
      <c r="BR502" s="1238"/>
      <c r="BS502" s="1238"/>
      <c r="BT502" s="1238"/>
      <c r="BU502" s="1239"/>
      <c r="BV502" s="1239"/>
      <c r="BW502" s="1239"/>
      <c r="BY502" s="1239"/>
      <c r="CA502" s="1243"/>
      <c r="CB502" s="1238"/>
      <c r="CC502" s="1242"/>
      <c r="CD502" s="1239"/>
    </row>
    <row r="503" customFormat="false" ht="12.75" hidden="false" customHeight="false" outlineLevel="0" collapsed="false">
      <c r="B503" s="1239"/>
      <c r="BQ503" s="1237"/>
      <c r="BR503" s="1238"/>
      <c r="BS503" s="1238"/>
      <c r="BT503" s="1238"/>
      <c r="BU503" s="1239"/>
      <c r="BV503" s="1239"/>
      <c r="BW503" s="1239"/>
      <c r="BY503" s="1239"/>
      <c r="CA503" s="1243"/>
      <c r="CB503" s="1238"/>
      <c r="CC503" s="1242"/>
      <c r="CD503" s="1239"/>
    </row>
    <row r="504" customFormat="false" ht="12.75" hidden="false" customHeight="false" outlineLevel="0" collapsed="false">
      <c r="B504" s="1239"/>
      <c r="BQ504" s="1237"/>
      <c r="BR504" s="1238"/>
      <c r="BS504" s="1238"/>
      <c r="BT504" s="1238"/>
      <c r="BU504" s="1239"/>
      <c r="BV504" s="1239"/>
      <c r="BW504" s="1239"/>
      <c r="BY504" s="1239"/>
      <c r="CA504" s="1243"/>
      <c r="CB504" s="1238"/>
      <c r="CC504" s="1242"/>
      <c r="CD504" s="1239"/>
    </row>
    <row r="505" customFormat="false" ht="12.75" hidden="false" customHeight="false" outlineLevel="0" collapsed="false">
      <c r="B505" s="1239"/>
      <c r="BQ505" s="1237"/>
      <c r="BR505" s="1238"/>
      <c r="BS505" s="1238"/>
      <c r="BT505" s="1238"/>
      <c r="BU505" s="1239"/>
      <c r="BV505" s="1239"/>
      <c r="BW505" s="1239"/>
      <c r="BY505" s="1239"/>
      <c r="CA505" s="1243"/>
      <c r="CB505" s="1238"/>
      <c r="CC505" s="1242"/>
      <c r="CD505" s="1239"/>
    </row>
    <row r="506" customFormat="false" ht="12.75" hidden="false" customHeight="false" outlineLevel="0" collapsed="false">
      <c r="B506" s="1239"/>
    </row>
    <row r="507" customFormat="false" ht="12.75" hidden="false" customHeight="false" outlineLevel="0" collapsed="false">
      <c r="B507" s="1239"/>
    </row>
    <row r="508" customFormat="false" ht="12.75" hidden="false" customHeight="false" outlineLevel="0" collapsed="false">
      <c r="B508" s="1239"/>
    </row>
    <row r="509" customFormat="false" ht="12.75" hidden="false" customHeight="false" outlineLevel="0" collapsed="false">
      <c r="B509" s="1239"/>
    </row>
  </sheetData>
  <mergeCells count="6">
    <mergeCell ref="BH2:BI2"/>
    <mergeCell ref="BH3:BI3"/>
    <mergeCell ref="BR3:BW3"/>
    <mergeCell ref="BX3:BZ3"/>
    <mergeCell ref="BR4:BT4"/>
    <mergeCell ref="BU4:BW4"/>
  </mergeCells>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O994"/>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pane xSplit="1" ySplit="16" topLeftCell="B17" activePane="bottomRight" state="frozen"/>
      <selection pane="topLeft" activeCell="A1" activeCellId="0" sqref="A1"/>
      <selection pane="topRight" activeCell="B1" activeCellId="0" sqref="B1"/>
      <selection pane="bottomLeft" activeCell="A17" activeCellId="0" sqref="A17"/>
      <selection pane="bottomRight" activeCell="A1" activeCellId="0" sqref="A1"/>
    </sheetView>
  </sheetViews>
  <sheetFormatPr defaultColWidth="9.0546875" defaultRowHeight="12.75" customHeight="true" zeroHeight="false" outlineLevelRow="0" outlineLevelCol="0"/>
  <cols>
    <col collapsed="false" customWidth="true" hidden="false" outlineLevel="0" max="1" min="1" style="0" width="7.56"/>
    <col collapsed="false" customWidth="true" hidden="false" outlineLevel="0" max="2" min="2" style="0" width="5.13"/>
    <col collapsed="false" customWidth="true" hidden="false" outlineLevel="0" max="3" min="3" style="0" width="3.14"/>
    <col collapsed="false" customWidth="true" hidden="false" outlineLevel="0" max="6" min="4" style="0" width="9.7"/>
    <col collapsed="false" customWidth="true" hidden="false" outlineLevel="0" max="7" min="7" style="1299" width="7.14"/>
    <col collapsed="false" customWidth="true" hidden="false" outlineLevel="0" max="8" min="8" style="1299" width="8.56"/>
    <col collapsed="false" customWidth="true" hidden="false" outlineLevel="0" max="9" min="9" style="0" width="7.7"/>
    <col collapsed="false" customWidth="true" hidden="false" outlineLevel="0" max="14" min="10" style="0" width="6.7"/>
    <col collapsed="false" customWidth="true" hidden="false" outlineLevel="0" max="15" min="15" style="0" width="7.14"/>
    <col collapsed="false" customWidth="true" hidden="false" outlineLevel="0" max="17" min="16" style="0" width="6.7"/>
    <col collapsed="false" customWidth="true" hidden="false" outlineLevel="0" max="18" min="18" style="0" width="6.99"/>
    <col collapsed="false" customWidth="true" hidden="false" outlineLevel="0" max="20" min="19" style="0" width="6.7"/>
    <col collapsed="false" customWidth="true" hidden="false" outlineLevel="0" max="21" min="21" style="1300" width="6.41"/>
    <col collapsed="false" customWidth="true" hidden="false" outlineLevel="0" max="22" min="22" style="1300" width="4.7"/>
    <col collapsed="false" customWidth="true" hidden="false" outlineLevel="0" max="23" min="23" style="1300" width="5.28"/>
    <col collapsed="false" customWidth="true" hidden="false" outlineLevel="0" max="25" min="24" style="1300" width="4.7"/>
    <col collapsed="false" customWidth="true" hidden="false" outlineLevel="0" max="26" min="26" style="1300" width="5.28"/>
    <col collapsed="false" customWidth="true" hidden="false" outlineLevel="0" max="28" min="27" style="1300" width="4.7"/>
    <col collapsed="false" customWidth="true" hidden="false" outlineLevel="0" max="29" min="29" style="1300" width="5.28"/>
    <col collapsed="false" customWidth="true" hidden="false" outlineLevel="0" max="31" min="30" style="1300" width="4.7"/>
    <col collapsed="false" customWidth="true" hidden="false" outlineLevel="0" max="32" min="32" style="1300" width="5.28"/>
    <col collapsed="false" customWidth="true" hidden="false" outlineLevel="0" max="41" min="33" style="1300" width="5.71"/>
    <col collapsed="false" customWidth="true" hidden="false" outlineLevel="0" max="43" min="42" style="1300" width="4.7"/>
    <col collapsed="false" customWidth="true" hidden="false" outlineLevel="0" max="44" min="44" style="1300" width="5.28"/>
    <col collapsed="false" customWidth="true" hidden="false" outlineLevel="0" max="45" min="45" style="1300" width="8.56"/>
    <col collapsed="false" customWidth="true" hidden="false" outlineLevel="0" max="46" min="46" style="0" width="4.85"/>
    <col collapsed="false" customWidth="true" hidden="false" outlineLevel="0" max="47" min="47" style="0" width="4.7"/>
    <col collapsed="false" customWidth="true" hidden="false" outlineLevel="0" max="49" min="48" style="0" width="4.85"/>
    <col collapsed="false" customWidth="true" hidden="false" outlineLevel="0" max="50" min="50" style="0" width="5.41"/>
    <col collapsed="false" customWidth="true" hidden="false" outlineLevel="0" max="51" min="51" style="0" width="8.28"/>
    <col collapsed="false" customWidth="true" hidden="false" outlineLevel="0" max="52" min="52" style="1301" width="10.71"/>
    <col collapsed="false" customWidth="true" hidden="false" outlineLevel="0" max="53" min="53" style="1301" width="9.7"/>
    <col collapsed="false" customWidth="true" hidden="false" outlineLevel="0" max="54" min="54" style="1301" width="9.14"/>
    <col collapsed="false" customWidth="true" hidden="false" outlineLevel="0" max="55" min="55" style="1301" width="9.7"/>
    <col collapsed="false" customWidth="true" hidden="false" outlineLevel="0" max="56" min="56" style="1301" width="10.71"/>
    <col collapsed="false" customWidth="true" hidden="false" outlineLevel="0" max="57" min="57" style="1301" width="8.7"/>
    <col collapsed="false" customWidth="true" hidden="false" outlineLevel="0" max="58" min="58" style="1301" width="9.14"/>
    <col collapsed="false" customWidth="true" hidden="false" outlineLevel="0" max="59" min="59" style="1301" width="8.56"/>
    <col collapsed="false" customWidth="true" hidden="false" outlineLevel="0" max="60" min="60" style="1301" width="10.71"/>
    <col collapsed="false" customWidth="true" hidden="false" outlineLevel="0" max="61" min="61" style="1301" width="8.7"/>
    <col collapsed="false" customWidth="true" hidden="false" outlineLevel="0" max="62" min="62" style="1301" width="9.14"/>
    <col collapsed="false" customWidth="true" hidden="false" outlineLevel="0" max="63" min="63" style="1301" width="9.99"/>
    <col collapsed="false" customWidth="true" hidden="false" outlineLevel="0" max="64" min="64" style="1301" width="10.71"/>
    <col collapsed="false" customWidth="true" hidden="false" outlineLevel="0" max="65" min="65" style="1301" width="8.7"/>
    <col collapsed="false" customWidth="true" hidden="false" outlineLevel="0" max="66" min="66" style="1301" width="9.14"/>
    <col collapsed="false" customWidth="true" hidden="false" outlineLevel="0" max="67" min="67" style="1301" width="8.56"/>
    <col collapsed="false" customWidth="true" hidden="false" outlineLevel="0" max="68" min="68" style="238" width="10.28"/>
    <col collapsed="false" customWidth="true" hidden="false" outlineLevel="0" max="69" min="69" style="238" width="7.42"/>
    <col collapsed="false" customWidth="true" hidden="false" outlineLevel="0" max="70" min="70" style="238" width="13.14"/>
    <col collapsed="false" customWidth="true" hidden="false" outlineLevel="0" max="71" min="71" style="238" width="7.42"/>
    <col collapsed="false" customWidth="true" hidden="false" outlineLevel="0" max="72" min="72" style="238" width="6.7"/>
    <col collapsed="false" customWidth="true" hidden="false" outlineLevel="0" max="73" min="73" style="238" width="8.7"/>
    <col collapsed="false" customWidth="true" hidden="false" outlineLevel="0" max="75" min="74" style="238" width="8.14"/>
    <col collapsed="false" customWidth="true" hidden="false" outlineLevel="0" max="76" min="76" style="238" width="9.28"/>
    <col collapsed="false" customWidth="true" hidden="false" outlineLevel="0" max="78" min="77" style="238" width="8.14"/>
    <col collapsed="false" customWidth="true" hidden="false" outlineLevel="0" max="79" min="79" style="238" width="8.7"/>
    <col collapsed="false" customWidth="true" hidden="false" outlineLevel="0" max="81" min="80" style="238" width="8.14"/>
    <col collapsed="false" customWidth="true" hidden="false" outlineLevel="0" max="82" min="82" style="238" width="9.28"/>
    <col collapsed="false" customWidth="true" hidden="false" outlineLevel="0" max="84" min="83" style="238" width="8.14"/>
    <col collapsed="false" customWidth="true" hidden="false" outlineLevel="0" max="85" min="85" style="238" width="9.28"/>
    <col collapsed="false" customWidth="true" hidden="false" outlineLevel="0" max="87" min="86" style="238" width="7.99"/>
    <col collapsed="false" customWidth="true" hidden="false" outlineLevel="0" max="88" min="88" style="238" width="9.14"/>
    <col collapsed="false" customWidth="true" hidden="false" outlineLevel="0" max="89" min="89" style="238" width="7.85"/>
    <col collapsed="false" customWidth="true" hidden="false" outlineLevel="0" max="90" min="90" style="238" width="8.85"/>
    <col collapsed="false" customWidth="true" hidden="false" outlineLevel="0" max="91" min="91" style="238" width="9.85"/>
    <col collapsed="false" customWidth="true" hidden="false" outlineLevel="0" max="92" min="92" style="238" width="7.99"/>
    <col collapsed="false" customWidth="true" hidden="false" outlineLevel="0" max="93" min="93" style="0" width="9.99"/>
    <col collapsed="false" customWidth="true" hidden="false" outlineLevel="0" max="96" min="94" style="0" width="10.85"/>
    <col collapsed="false" customWidth="true" hidden="false" outlineLevel="0" max="97" min="97" style="1" width="9.41"/>
    <col collapsed="false" customWidth="true" hidden="false" outlineLevel="0" max="98" min="98" style="0" width="9.41"/>
    <col collapsed="false" customWidth="true" hidden="false" outlineLevel="0" max="99" min="99" style="0" width="10.99"/>
    <col collapsed="false" customWidth="true" hidden="false" outlineLevel="0" max="100" min="100" style="0" width="11.56"/>
    <col collapsed="false" customWidth="true" hidden="false" outlineLevel="0" max="101" min="101" style="0" width="9.85"/>
    <col collapsed="false" customWidth="true" hidden="false" outlineLevel="0" max="102" min="102" style="0" width="10.85"/>
    <col collapsed="false" customWidth="true" hidden="false" outlineLevel="0" max="106" min="103" style="0" width="8.41"/>
    <col collapsed="false" customWidth="true" hidden="false" outlineLevel="0" max="107" min="107" style="0" width="8.99"/>
    <col collapsed="false" customWidth="true" hidden="false" outlineLevel="0" max="108" min="108" style="0" width="10.71"/>
    <col collapsed="false" customWidth="true" hidden="false" outlineLevel="0" max="109" min="109" style="0" width="8.7"/>
    <col collapsed="false" customWidth="true" hidden="false" outlineLevel="0" max="112" min="112" style="0" width="9.99"/>
    <col collapsed="false" customWidth="true" hidden="false" outlineLevel="0" max="113" min="113" style="0" width="8.56"/>
    <col collapsed="false" customWidth="true" hidden="false" outlineLevel="0" max="114" min="114" style="0" width="9.85"/>
    <col collapsed="false" customWidth="true" hidden="false" outlineLevel="0" max="115" min="115" style="0" width="10.71"/>
    <col collapsed="false" customWidth="true" hidden="false" outlineLevel="0" max="116" min="116" style="0" width="8.7"/>
    <col collapsed="false" customWidth="false" hidden="true" outlineLevel="0" max="117" min="117" style="0" width="9.06"/>
    <col collapsed="false" customWidth="true" hidden="true" outlineLevel="0" max="118" min="118" style="0" width="8.56"/>
    <col collapsed="false" customWidth="true" hidden="true" outlineLevel="0" max="119" min="119" style="0" width="7.7"/>
    <col collapsed="false" customWidth="true" hidden="true" outlineLevel="0" max="120" min="120" style="0" width="8.56"/>
    <col collapsed="false" customWidth="true" hidden="true" outlineLevel="0" max="121" min="121" style="0" width="8.99"/>
    <col collapsed="false" customWidth="true" hidden="true" outlineLevel="0" max="122" min="122" style="0" width="6.85"/>
    <col collapsed="false" customWidth="true" hidden="true" outlineLevel="0" max="123" min="123" style="0" width="8.7"/>
    <col collapsed="false" customWidth="false" hidden="true" outlineLevel="0" max="124" min="124" style="0" width="9.06"/>
    <col collapsed="false" customWidth="true" hidden="true" outlineLevel="0" max="125" min="125" style="0" width="9.99"/>
    <col collapsed="false" customWidth="true" hidden="true" outlineLevel="0" max="126" min="126" style="0" width="8.56"/>
    <col collapsed="false" customWidth="true" hidden="false" outlineLevel="0" max="129" min="127" style="0" width="8.56"/>
    <col collapsed="false" customWidth="true" hidden="false" outlineLevel="0" max="130" min="130" style="0" width="10.71"/>
    <col collapsed="false" customWidth="true" hidden="false" outlineLevel="0" max="131" min="131" style="0" width="10.28"/>
    <col collapsed="false" customWidth="true" hidden="false" outlineLevel="0" max="132" min="132" style="0" width="10.71"/>
    <col collapsed="false" customWidth="true" hidden="false" outlineLevel="0" max="133" min="133" style="0" width="10.13"/>
    <col collapsed="false" customWidth="true" hidden="false" outlineLevel="0" max="134" min="134" style="0" width="10.85"/>
    <col collapsed="false" customWidth="true" hidden="false" outlineLevel="0" max="135" min="135" style="0" width="11.13"/>
    <col collapsed="false" customWidth="true" hidden="false" outlineLevel="0" max="136" min="136" style="0" width="10.41"/>
    <col collapsed="false" customWidth="true" hidden="false" outlineLevel="0" max="137" min="137" style="0" width="10.56"/>
    <col collapsed="false" customWidth="true" hidden="false" outlineLevel="0" max="138" min="138" style="0" width="9.56"/>
    <col collapsed="false" customWidth="true" hidden="false" outlineLevel="0" max="144" min="139" style="0" width="11.56"/>
    <col collapsed="false" customWidth="true" hidden="false" outlineLevel="0" max="146" min="145" style="0" width="11.13"/>
    <col collapsed="false" customWidth="true" hidden="false" outlineLevel="0" max="147" min="147" style="0" width="9.85"/>
    <col collapsed="false" customWidth="true" hidden="false" outlineLevel="0" max="148" min="148" style="0" width="10.56"/>
    <col collapsed="false" customWidth="true" hidden="false" outlineLevel="0" max="149" min="149" style="0" width="12.7"/>
    <col collapsed="false" customWidth="true" hidden="false" outlineLevel="0" max="150" min="150" style="0" width="12.42"/>
    <col collapsed="false" customWidth="true" hidden="false" outlineLevel="0" max="151" min="151" style="0" width="10.41"/>
    <col collapsed="false" customWidth="true" hidden="false" outlineLevel="0" max="152" min="152" style="0" width="10.71"/>
    <col collapsed="false" customWidth="true" hidden="false" outlineLevel="0" max="153" min="153" style="0" width="12.56"/>
    <col collapsed="false" customWidth="true" hidden="false" outlineLevel="0" max="159" min="154" style="0" width="10.85"/>
    <col collapsed="false" customWidth="true" hidden="false" outlineLevel="0" max="160" min="160" style="0" width="13.85"/>
    <col collapsed="false" customWidth="true" hidden="false" outlineLevel="0" max="166" min="161" style="0" width="10.56"/>
    <col collapsed="false" customWidth="true" hidden="false" outlineLevel="0" max="167" min="167" style="0" width="12.14"/>
    <col collapsed="false" customWidth="true" hidden="false" outlineLevel="0" max="181" min="168" style="238" width="11.42"/>
    <col collapsed="false" customWidth="true" hidden="false" outlineLevel="0" max="182" min="182" style="238" width="10.85"/>
    <col collapsed="false" customWidth="true" hidden="false" outlineLevel="0" max="184" min="183" style="238" width="11.42"/>
    <col collapsed="false" customWidth="true" hidden="false" outlineLevel="0" max="185" min="185" style="238" width="13.7"/>
    <col collapsed="false" customWidth="true" hidden="false" outlineLevel="0" max="190" min="186" style="238" width="16.42"/>
    <col collapsed="false" customWidth="true" hidden="false" outlineLevel="0" max="191" min="191" style="238" width="12.85"/>
    <col collapsed="false" customWidth="true" hidden="false" outlineLevel="0" max="193" min="192" style="238" width="16.42"/>
    <col collapsed="false" customWidth="true" hidden="false" outlineLevel="0" max="204" min="194" style="238" width="11.42"/>
    <col collapsed="false" customWidth="true" hidden="false" outlineLevel="0" max="210" min="205" style="238" width="11.85"/>
    <col collapsed="false" customWidth="true" hidden="false" outlineLevel="0" max="223" min="211" style="238" width="11.42"/>
    <col collapsed="false" customWidth="true" hidden="false" outlineLevel="0" max="224" min="224" style="238" width="16.13"/>
    <col collapsed="false" customWidth="true" hidden="false" outlineLevel="0" max="225" min="225" style="238" width="14.14"/>
    <col collapsed="false" customWidth="true" hidden="false" outlineLevel="0" max="228" min="226" style="238" width="13.56"/>
    <col collapsed="false" customWidth="true" hidden="false" outlineLevel="0" max="235" min="229" style="238" width="13.14"/>
    <col collapsed="false" customWidth="true" hidden="false" outlineLevel="0" max="238" min="236" style="238" width="12.42"/>
    <col collapsed="false" customWidth="true" hidden="false" outlineLevel="0" max="239" min="239" style="238" width="11.42"/>
    <col collapsed="false" customWidth="true" hidden="false" outlineLevel="0" max="241" min="240" style="238" width="14.28"/>
    <col collapsed="false" customWidth="true" hidden="false" outlineLevel="0" max="242" min="242" style="238" width="12.7"/>
    <col collapsed="false" customWidth="true" hidden="false" outlineLevel="0" max="243" min="243" style="238" width="18.99"/>
    <col collapsed="false" customWidth="true" hidden="false" outlineLevel="0" max="245" min="244" style="0" width="11.28"/>
    <col collapsed="false" customWidth="true" hidden="false" outlineLevel="0" max="246" min="246" style="0" width="10.85"/>
    <col collapsed="false" customWidth="true" hidden="false" outlineLevel="0" max="249" min="247" style="0" width="9.85"/>
    <col collapsed="false" customWidth="true" hidden="false" outlineLevel="0" max="250" min="250" style="0" width="8.14"/>
    <col collapsed="false" customWidth="true" hidden="false" outlineLevel="0" max="251" min="251" style="0" width="11.56"/>
  </cols>
  <sheetData>
    <row r="1" customFormat="false" ht="12.75" hidden="false" customHeight="false" outlineLevel="0" collapsed="false">
      <c r="H1" s="1302" t="s">
        <v>1107</v>
      </c>
      <c r="I1" s="1303" t="n">
        <f aca="false">Assumptions!$M$28</f>
        <v>0</v>
      </c>
      <c r="J1" s="1303" t="n">
        <f aca="false">Assumptions!$M$28</f>
        <v>0</v>
      </c>
      <c r="K1" s="1303" t="n">
        <f aca="false">Assumptions!$M$28</f>
        <v>0</v>
      </c>
      <c r="L1" s="1303" t="n">
        <f aca="false">Assumptions!$M$28</f>
        <v>0</v>
      </c>
      <c r="M1" s="1303" t="n">
        <f aca="false">Assumptions!$M$28</f>
        <v>0</v>
      </c>
      <c r="N1" s="1303" t="n">
        <f aca="false">Assumptions!$M$28</f>
        <v>0</v>
      </c>
      <c r="O1" s="1303" t="n">
        <f aca="false">Assumptions!$M$28</f>
        <v>0</v>
      </c>
      <c r="P1" s="1303" t="n">
        <f aca="false">Assumptions!$M$28</f>
        <v>0</v>
      </c>
      <c r="Q1" s="1303" t="n">
        <f aca="false">Assumptions!$M$28</f>
        <v>0</v>
      </c>
      <c r="R1" s="1303" t="n">
        <f aca="false">Assumptions!$M$28</f>
        <v>0</v>
      </c>
      <c r="S1" s="1303" t="n">
        <f aca="false">Assumptions!$M$28</f>
        <v>0</v>
      </c>
      <c r="T1" s="1303" t="n">
        <f aca="false">Assumptions!$M$28</f>
        <v>0</v>
      </c>
      <c r="BK1" s="0"/>
      <c r="BL1" s="0"/>
      <c r="BM1" s="0"/>
      <c r="BN1" s="0"/>
      <c r="BO1" s="0"/>
      <c r="BP1" s="0"/>
      <c r="BQ1" s="0"/>
      <c r="BR1" s="0"/>
      <c r="BS1" s="0"/>
      <c r="BU1" s="0"/>
      <c r="BV1" s="0"/>
      <c r="BW1" s="0"/>
      <c r="BX1" s="0"/>
      <c r="BY1" s="0"/>
      <c r="BZ1" s="0"/>
      <c r="CA1" s="0"/>
      <c r="CB1" s="0"/>
      <c r="CC1" s="0"/>
      <c r="CD1" s="0"/>
      <c r="CE1" s="0"/>
      <c r="CF1" s="0"/>
      <c r="CG1" s="1304"/>
      <c r="CH1" s="1304"/>
      <c r="CI1" s="1304"/>
      <c r="CL1" s="0"/>
      <c r="CM1" s="0"/>
      <c r="CN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row>
    <row r="2" customFormat="false" ht="12.75" hidden="false" customHeight="false" outlineLevel="0" collapsed="false">
      <c r="H2" s="1302" t="s">
        <v>1108</v>
      </c>
      <c r="I2" s="1305" t="n">
        <v>0</v>
      </c>
      <c r="J2" s="1305" t="n">
        <v>0</v>
      </c>
      <c r="K2" s="1305" t="n">
        <v>0</v>
      </c>
      <c r="L2" s="1305" t="n">
        <v>0</v>
      </c>
      <c r="M2" s="1305" t="n">
        <v>0</v>
      </c>
      <c r="N2" s="1305" t="n">
        <v>0</v>
      </c>
      <c r="O2" s="1305" t="n">
        <v>0</v>
      </c>
      <c r="P2" s="1305" t="n">
        <v>0</v>
      </c>
      <c r="Q2" s="1305" t="n">
        <v>0</v>
      </c>
      <c r="R2" s="1305" t="n">
        <v>0</v>
      </c>
      <c r="S2" s="1305" t="n">
        <v>0</v>
      </c>
      <c r="T2" s="1305" t="n">
        <v>0</v>
      </c>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DD2" s="238"/>
      <c r="DE2" s="238"/>
      <c r="DF2" s="238"/>
      <c r="DG2" s="238"/>
      <c r="DH2" s="238"/>
      <c r="DI2" s="238"/>
      <c r="DJ2" s="238"/>
      <c r="DK2" s="238"/>
      <c r="DL2" s="238"/>
      <c r="DM2" s="238"/>
      <c r="DN2" s="238"/>
      <c r="DO2" s="238"/>
      <c r="DP2" s="238"/>
      <c r="DQ2" s="238"/>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row>
    <row r="3" customFormat="false" ht="12.75" hidden="false" customHeight="false" outlineLevel="0" collapsed="false">
      <c r="D3" s="1306" t="s">
        <v>1109</v>
      </c>
      <c r="G3" s="0"/>
      <c r="BH3" s="1307"/>
      <c r="BI3" s="1307"/>
      <c r="BJ3" s="1307"/>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DD3" s="238"/>
      <c r="DE3" s="238"/>
      <c r="DF3" s="238"/>
      <c r="DG3" s="238"/>
      <c r="DH3" s="238"/>
      <c r="DI3" s="238"/>
      <c r="DJ3" s="238"/>
      <c r="DK3" s="238"/>
      <c r="DL3" s="238"/>
      <c r="DM3" s="238"/>
      <c r="DN3" s="238"/>
      <c r="DO3" s="238"/>
      <c r="DP3" s="238"/>
      <c r="DQ3" s="238"/>
      <c r="EI3" s="1308"/>
      <c r="EJ3" s="1308"/>
      <c r="EK3" s="1308"/>
      <c r="EL3" s="1308"/>
      <c r="EM3" s="1308"/>
      <c r="EN3" s="1308"/>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1309"/>
    </row>
    <row r="4" customFormat="false" ht="13.5" hidden="false" customHeight="false" outlineLevel="0" collapsed="false">
      <c r="U4" s="0"/>
      <c r="V4" s="0"/>
      <c r="W4" s="0"/>
      <c r="X4" s="0"/>
      <c r="Y4" s="0"/>
      <c r="Z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DD4" s="238"/>
      <c r="DE4" s="238"/>
      <c r="DF4" s="238"/>
      <c r="DG4" s="238"/>
      <c r="DH4" s="238"/>
      <c r="DI4" s="238"/>
      <c r="DJ4" s="238"/>
      <c r="DK4" s="238"/>
      <c r="DL4" s="238"/>
      <c r="DM4" s="238"/>
      <c r="DN4" s="238"/>
      <c r="DO4" s="238"/>
      <c r="DP4" s="238"/>
      <c r="DQ4" s="238"/>
      <c r="EI4" s="1308"/>
      <c r="EJ4" s="1308"/>
      <c r="EK4" s="1308"/>
      <c r="EL4" s="1308"/>
      <c r="EM4" s="1308"/>
      <c r="EN4" s="1308"/>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row>
    <row r="5" customFormat="false" ht="13.5" hidden="false" customHeight="false" outlineLevel="0" collapsed="false">
      <c r="F5" s="1310" t="s">
        <v>1110</v>
      </c>
      <c r="G5" s="1311"/>
      <c r="H5" s="1312" t="n">
        <f aca="false">EOMONTH(CurveDate+31,-1)+1</f>
        <v>36647</v>
      </c>
      <c r="U5" s="0"/>
      <c r="V5" s="0"/>
      <c r="W5" s="0"/>
      <c r="X5" s="0"/>
      <c r="Y5" s="0"/>
      <c r="Z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DD5" s="238"/>
      <c r="DE5" s="238"/>
      <c r="DF5" s="238"/>
      <c r="DG5" s="238"/>
      <c r="DH5" s="238"/>
      <c r="DI5" s="238"/>
      <c r="DJ5" s="238"/>
      <c r="DK5" s="238"/>
      <c r="DL5" s="238"/>
      <c r="DM5" s="238"/>
      <c r="DN5" s="238"/>
      <c r="DO5" s="238"/>
      <c r="DP5" s="238"/>
      <c r="DQ5" s="238"/>
      <c r="EI5" s="1308"/>
      <c r="EJ5" s="1308"/>
      <c r="EK5" s="1308"/>
      <c r="EL5" s="1308"/>
      <c r="EM5" s="1308"/>
      <c r="EN5" s="1308"/>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row>
    <row r="6" customFormat="false" ht="12.75" hidden="false" customHeight="false" outlineLevel="0" collapsed="false">
      <c r="U6" s="0"/>
      <c r="V6" s="0"/>
      <c r="W6" s="0"/>
      <c r="X6" s="0"/>
      <c r="Y6" s="0"/>
      <c r="Z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DD6" s="238"/>
      <c r="DE6" s="238"/>
      <c r="DF6" s="238"/>
      <c r="DG6" s="238"/>
      <c r="DH6" s="238"/>
      <c r="DI6" s="238"/>
      <c r="DJ6" s="238"/>
      <c r="DK6" s="238"/>
      <c r="DL6" s="238"/>
      <c r="DM6" s="238"/>
      <c r="DN6" s="238"/>
      <c r="DO6" s="238"/>
      <c r="DP6" s="238"/>
      <c r="DQ6" s="238"/>
      <c r="EI6" s="1308"/>
      <c r="EJ6" s="1308"/>
      <c r="EK6" s="1308"/>
      <c r="EL6" s="1308"/>
      <c r="EM6" s="1308"/>
      <c r="EN6" s="1308"/>
      <c r="EX6" s="0" t="s">
        <v>3</v>
      </c>
      <c r="FL6" s="0"/>
      <c r="FM6" s="0"/>
      <c r="FN6" s="0"/>
      <c r="FO6" s="0"/>
      <c r="FP6" s="0"/>
      <c r="FQ6" s="0"/>
      <c r="FR6" s="0"/>
      <c r="FS6" s="0"/>
      <c r="FT6" s="0"/>
      <c r="FU6" s="0"/>
      <c r="FV6" s="0"/>
      <c r="FW6" s="0"/>
      <c r="FX6" s="0"/>
      <c r="FY6" s="0"/>
      <c r="FZ6" s="0"/>
      <c r="GA6" s="0"/>
      <c r="GB6" s="0" t="s">
        <v>1111</v>
      </c>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row>
    <row r="7" customFormat="false" ht="12.75" hidden="false" customHeight="false" outlineLevel="0" collapsed="false">
      <c r="U7" s="0"/>
      <c r="V7" s="0"/>
      <c r="W7" s="0"/>
      <c r="X7" s="0"/>
      <c r="Y7" s="0"/>
      <c r="Z7" s="0"/>
      <c r="BK7" s="0"/>
      <c r="BL7" s="0"/>
      <c r="BM7" s="0"/>
      <c r="BN7" s="0"/>
      <c r="BO7" s="0"/>
      <c r="BP7" s="0"/>
      <c r="BQ7" s="0"/>
      <c r="BR7" s="0"/>
      <c r="BS7" s="0"/>
      <c r="BU7" s="0"/>
      <c r="BV7" s="0"/>
      <c r="BW7" s="0"/>
      <c r="BX7" s="0"/>
      <c r="BY7" s="0"/>
      <c r="BZ7" s="0"/>
      <c r="CA7" s="0"/>
      <c r="CB7" s="0"/>
      <c r="CC7" s="0"/>
      <c r="CD7" s="0"/>
      <c r="CE7" s="0"/>
      <c r="CF7" s="0"/>
      <c r="CG7" s="0"/>
      <c r="CH7" s="0"/>
      <c r="CI7" s="0"/>
      <c r="CJ7" s="0"/>
      <c r="CK7" s="0"/>
      <c r="CL7" s="0"/>
      <c r="CM7" s="0"/>
      <c r="CN7" s="0"/>
      <c r="EI7" s="1308"/>
      <c r="EJ7" s="1308"/>
      <c r="EK7" s="1308"/>
      <c r="EL7" s="1308"/>
      <c r="EM7" s="1308"/>
      <c r="EN7" s="1308"/>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row>
    <row r="8" customFormat="false" ht="12.75" hidden="false" customHeight="false" outlineLevel="0" collapsed="false">
      <c r="H8" s="1299" t="s">
        <v>3</v>
      </c>
      <c r="U8" s="0"/>
      <c r="V8" s="0"/>
      <c r="W8" s="0"/>
      <c r="X8" s="0"/>
      <c r="Y8" s="0"/>
      <c r="Z8" s="0"/>
      <c r="BK8" s="0"/>
      <c r="BL8" s="0"/>
      <c r="BM8" s="0"/>
      <c r="BN8" s="0"/>
      <c r="BO8" s="0"/>
      <c r="BP8" s="0"/>
      <c r="BQ8" s="0"/>
      <c r="BR8" s="0"/>
      <c r="BS8" s="0"/>
      <c r="BU8" s="0"/>
      <c r="BV8" s="0"/>
      <c r="BW8" s="0"/>
      <c r="BX8" s="0"/>
      <c r="BY8" s="0"/>
      <c r="BZ8" s="0"/>
      <c r="CA8" s="0"/>
      <c r="CB8" s="0"/>
      <c r="CC8" s="0"/>
      <c r="CD8" s="0"/>
      <c r="CE8" s="0"/>
      <c r="CF8" s="0"/>
      <c r="CG8" s="0"/>
      <c r="CH8" s="0"/>
      <c r="CI8" s="0"/>
      <c r="CJ8" s="0"/>
      <c r="CK8" s="0"/>
      <c r="CL8" s="0"/>
      <c r="CM8" s="0"/>
      <c r="CN8" s="0"/>
      <c r="CO8" s="0" t="s">
        <v>1112</v>
      </c>
      <c r="DB8" s="0" t="s">
        <v>1113</v>
      </c>
      <c r="EI8" s="1308"/>
      <c r="EJ8" s="1308"/>
      <c r="EK8" s="1308"/>
      <c r="EL8" s="1308"/>
      <c r="EM8" s="1308"/>
      <c r="EN8" s="1308"/>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row>
    <row r="9" customFormat="false" ht="12.75" hidden="false" customHeight="false" outlineLevel="0" collapsed="false">
      <c r="H9" s="0" t="s">
        <v>3</v>
      </c>
      <c r="U9" s="0"/>
      <c r="V9" s="0"/>
      <c r="W9" s="0"/>
      <c r="X9" s="0"/>
      <c r="Y9" s="0"/>
      <c r="Z9" s="0"/>
      <c r="BA9" s="1313"/>
      <c r="BU9" s="0"/>
      <c r="BV9" s="0"/>
      <c r="BW9" s="0"/>
      <c r="BX9" s="0"/>
      <c r="BY9" s="0"/>
      <c r="BZ9" s="0"/>
      <c r="CA9" s="0"/>
      <c r="CB9" s="0"/>
      <c r="CC9" s="0"/>
      <c r="CD9" s="0"/>
      <c r="CE9" s="0"/>
      <c r="CF9" s="0"/>
      <c r="CG9" s="0"/>
      <c r="CH9" s="0"/>
      <c r="CI9" s="0"/>
      <c r="CJ9" s="0"/>
      <c r="CK9" s="0"/>
      <c r="CL9" s="0"/>
      <c r="CM9" s="0"/>
      <c r="CN9" s="0"/>
      <c r="CO9" s="0" t="s">
        <v>1114</v>
      </c>
      <c r="CW9" s="0" t="s">
        <v>1115</v>
      </c>
      <c r="EI9" s="1308"/>
      <c r="EJ9" s="1308"/>
      <c r="EK9" s="1308"/>
      <c r="EL9" s="1308"/>
      <c r="EM9" s="1308"/>
      <c r="EN9" s="1308"/>
      <c r="FL9" s="0" t="s">
        <v>1116</v>
      </c>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1309"/>
    </row>
    <row r="10" customFormat="false" ht="12.75" hidden="false" customHeight="false" outlineLevel="0" collapsed="false">
      <c r="J10" s="0" t="s">
        <v>1117</v>
      </c>
      <c r="M10" s="0" t="s">
        <v>1118</v>
      </c>
      <c r="P10" s="0" t="s">
        <v>1119</v>
      </c>
      <c r="U10" s="0"/>
      <c r="V10" s="0"/>
      <c r="W10" s="0"/>
      <c r="X10" s="0"/>
      <c r="Y10" s="0"/>
      <c r="Z10" s="0"/>
      <c r="AZ10" s="1314"/>
      <c r="BA10" s="0" t="s">
        <v>1120</v>
      </c>
      <c r="BB10" s="0"/>
      <c r="BC10" s="0"/>
      <c r="BU10" s="0"/>
      <c r="BV10" s="0"/>
      <c r="BW10" s="0"/>
      <c r="BX10" s="0"/>
      <c r="BY10" s="0"/>
      <c r="BZ10" s="0"/>
      <c r="CA10" s="0"/>
      <c r="CB10" s="0"/>
      <c r="CC10" s="0"/>
      <c r="CD10" s="0"/>
      <c r="CE10" s="0"/>
      <c r="CF10" s="0"/>
      <c r="CG10" s="0"/>
      <c r="CH10" s="0"/>
      <c r="CI10" s="0"/>
      <c r="CJ10" s="0"/>
      <c r="CK10" s="0"/>
      <c r="CL10" s="0"/>
      <c r="CM10" s="0"/>
      <c r="CN10" s="0"/>
      <c r="EI10" s="1308"/>
      <c r="EJ10" s="1308"/>
      <c r="EK10" s="1308"/>
      <c r="EL10" s="1308"/>
      <c r="EM10" s="1308"/>
      <c r="EN10" s="1308"/>
      <c r="FL10" s="0" t="s">
        <v>1121</v>
      </c>
      <c r="FM10" s="0"/>
      <c r="FN10" s="0"/>
      <c r="FO10" s="0"/>
      <c r="FP10" s="0"/>
      <c r="FQ10" s="0"/>
      <c r="FR10" s="0"/>
      <c r="FS10" s="0"/>
      <c r="FT10" s="0" t="s">
        <v>3</v>
      </c>
      <c r="FU10" s="0"/>
      <c r="FV10" s="0"/>
      <c r="FW10" s="0"/>
      <c r="FX10" s="0" t="s">
        <v>3</v>
      </c>
      <c r="FY10" s="0"/>
      <c r="FZ10" s="0"/>
      <c r="GA10" s="0"/>
      <c r="GB10" s="0"/>
      <c r="GC10" s="0"/>
      <c r="GD10" s="1315"/>
      <c r="GE10" s="1315"/>
      <c r="GF10" s="1315"/>
      <c r="GG10" s="1315"/>
      <c r="GH10" s="1315"/>
      <c r="GI10" s="1315"/>
      <c r="GJ10" s="1315"/>
      <c r="GK10" s="1315"/>
      <c r="GL10" s="0"/>
      <c r="GM10" s="0"/>
      <c r="GN10" s="0"/>
      <c r="GO10" s="0"/>
      <c r="GP10" s="0"/>
      <c r="GQ10" s="0"/>
      <c r="GR10" s="0"/>
      <c r="GS10" s="0"/>
      <c r="GT10" s="0" t="s">
        <v>1122</v>
      </c>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row>
    <row r="11" customFormat="false" ht="13.5" hidden="false" customHeight="false" outlineLevel="0" collapsed="false">
      <c r="G11" s="0"/>
      <c r="H11" s="0"/>
      <c r="M11" s="0" t="s">
        <v>1123</v>
      </c>
      <c r="U11" s="0"/>
      <c r="V11" s="0"/>
      <c r="W11" s="0"/>
      <c r="X11" s="0"/>
      <c r="Y11" s="0"/>
      <c r="Z11" s="0"/>
      <c r="AA11" s="0"/>
      <c r="AB11" s="0"/>
      <c r="AC11" s="0"/>
      <c r="AD11" s="0"/>
      <c r="AE11" s="0"/>
      <c r="AF11" s="0"/>
      <c r="AG11" s="0"/>
      <c r="AH11" s="0"/>
      <c r="AI11" s="0"/>
      <c r="AJ11" s="0"/>
      <c r="AK11" s="0"/>
      <c r="AL11" s="0"/>
      <c r="AM11" s="0"/>
      <c r="AN11" s="0"/>
      <c r="AO11" s="0"/>
      <c r="AP11" s="0"/>
      <c r="AQ11" s="0"/>
      <c r="AR11" s="0"/>
      <c r="AS11" s="0"/>
      <c r="AZ11" s="0"/>
      <c r="BA11" s="0" t="s">
        <v>1124</v>
      </c>
      <c r="BB11" s="0"/>
      <c r="BC11" s="0"/>
      <c r="BD11" s="0"/>
      <c r="BE11" s="0"/>
      <c r="BF11" s="0"/>
      <c r="BG11" s="0"/>
      <c r="BH11" s="0"/>
      <c r="BI11" s="0"/>
      <c r="BJ11" s="0"/>
      <c r="BK11" s="0"/>
      <c r="BL11" s="0"/>
      <c r="BM11" s="0"/>
      <c r="BN11" s="0"/>
      <c r="BO11" s="0"/>
      <c r="BP11" s="0"/>
      <c r="BQ11" s="0"/>
      <c r="BR11" s="0"/>
      <c r="BS11" s="0"/>
      <c r="BT11" s="0"/>
      <c r="BU11" s="0"/>
      <c r="BV11" s="0"/>
      <c r="BW11" s="0"/>
      <c r="BX11" s="0"/>
      <c r="BY11" s="1316" t="s">
        <v>3</v>
      </c>
      <c r="BZ11" s="0"/>
      <c r="CA11" s="0"/>
      <c r="CB11" s="0"/>
      <c r="CC11" s="0"/>
      <c r="CD11" s="0"/>
      <c r="CE11" s="1316" t="s">
        <v>3</v>
      </c>
      <c r="CF11" s="0"/>
      <c r="CG11" s="0"/>
      <c r="CH11" s="0"/>
      <c r="CI11" s="0"/>
      <c r="CJ11" s="0"/>
      <c r="CK11" s="0"/>
      <c r="CL11" s="0"/>
      <c r="CM11" s="0"/>
      <c r="CN11" s="0"/>
      <c r="CS11" s="1317"/>
      <c r="DM11" s="0" t="n">
        <f aca="false">DL11+1</f>
        <v>1</v>
      </c>
      <c r="DN11" s="0" t="n">
        <f aca="false">DM11+1</f>
        <v>2</v>
      </c>
      <c r="DO11" s="0" t="n">
        <f aca="false">DN11+1</f>
        <v>3</v>
      </c>
      <c r="DP11" s="0" t="n">
        <f aca="false">DO11+1</f>
        <v>4</v>
      </c>
      <c r="DQ11" s="0" t="n">
        <f aca="false">DP11+1</f>
        <v>5</v>
      </c>
      <c r="DR11" s="0" t="n">
        <f aca="false">DQ11+1</f>
        <v>6</v>
      </c>
      <c r="DS11" s="0" t="n">
        <f aca="false">DR11+1</f>
        <v>7</v>
      </c>
      <c r="DT11" s="0" t="n">
        <f aca="false">DS11+1</f>
        <v>8</v>
      </c>
      <c r="DU11" s="0" t="n">
        <f aca="false">DT11+1</f>
        <v>9</v>
      </c>
      <c r="DV11" s="0" t="n">
        <f aca="false">DU11+1</f>
        <v>10</v>
      </c>
      <c r="DZ11" s="1"/>
      <c r="EA11" s="1"/>
      <c r="EB11" s="1"/>
      <c r="EC11" s="1"/>
      <c r="ED11" s="1"/>
      <c r="EE11" s="1"/>
      <c r="EF11" s="1"/>
      <c r="EG11" s="1"/>
      <c r="EH11" s="1"/>
      <c r="EI11" s="1"/>
      <c r="EJ11" s="1"/>
      <c r="EK11" s="1"/>
      <c r="EL11" s="1"/>
      <c r="EM11" s="1"/>
      <c r="EN11" s="1"/>
      <c r="EO11" s="1"/>
      <c r="EP11" s="1"/>
      <c r="EQ11" s="1"/>
      <c r="ER11" s="1"/>
      <c r="ES11" s="1"/>
      <c r="FL11" s="0"/>
      <c r="FM11" s="0"/>
      <c r="FN11" s="0"/>
      <c r="FO11" s="0"/>
      <c r="FP11" s="0"/>
      <c r="FQ11" s="0"/>
      <c r="FR11" s="0"/>
      <c r="FS11" s="0"/>
      <c r="FT11" s="0"/>
      <c r="FU11" s="0" t="s">
        <v>1125</v>
      </c>
      <c r="FV11" s="0"/>
      <c r="FW11" s="0"/>
      <c r="FX11" s="0"/>
      <c r="FY11" s="0"/>
      <c r="FZ11" s="0"/>
      <c r="GA11" s="0"/>
      <c r="GB11" s="0"/>
      <c r="GC11" s="1318"/>
      <c r="GD11" s="0"/>
      <c r="GE11" s="0"/>
      <c r="GF11" s="0"/>
      <c r="GG11" s="0"/>
      <c r="GH11" s="0"/>
      <c r="GI11" s="0"/>
      <c r="GJ11" s="0"/>
      <c r="GK11" s="0"/>
      <c r="GL11" s="0"/>
      <c r="GM11" s="0"/>
      <c r="GN11" s="0"/>
      <c r="GO11" s="0"/>
      <c r="GP11" s="0"/>
      <c r="GQ11" s="0"/>
      <c r="GR11" s="0"/>
      <c r="GS11" s="0"/>
      <c r="GT11" s="0" t="s">
        <v>1126</v>
      </c>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K11" s="1309"/>
    </row>
    <row r="12" customFormat="false" ht="13.5" hidden="false" customHeight="false" outlineLevel="0" collapsed="false">
      <c r="A12" s="1319" t="s">
        <v>1127</v>
      </c>
      <c r="B12" s="1319"/>
      <c r="C12" s="1319"/>
      <c r="D12" s="1319"/>
      <c r="E12" s="1319"/>
      <c r="F12" s="1319"/>
      <c r="G12" s="1320" t="s">
        <v>1128</v>
      </c>
      <c r="H12" s="1320"/>
      <c r="I12" s="25" t="str">
        <f aca="false">IF(BasisNumber=1,"Prices","Basis-Adjusted Prices")</f>
        <v>Prices</v>
      </c>
      <c r="J12" s="25"/>
      <c r="K12" s="25"/>
      <c r="L12" s="25"/>
      <c r="M12" s="25"/>
      <c r="N12" s="25"/>
      <c r="O12" s="25"/>
      <c r="P12" s="25"/>
      <c r="Q12" s="25"/>
      <c r="R12" s="25"/>
      <c r="S12" s="25"/>
      <c r="T12" s="25"/>
      <c r="U12" s="1321" t="s">
        <v>1129</v>
      </c>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2" t="s">
        <v>122</v>
      </c>
      <c r="AT12" s="1323" t="s">
        <v>1130</v>
      </c>
      <c r="AU12" s="1324"/>
      <c r="AV12" s="1324"/>
      <c r="AW12" s="1324"/>
      <c r="AX12" s="167"/>
      <c r="AY12" s="1325"/>
      <c r="AZ12" s="1326" t="s">
        <v>1131</v>
      </c>
      <c r="BA12" s="1326"/>
      <c r="BB12" s="1326"/>
      <c r="BC12" s="1326"/>
      <c r="BD12" s="1326"/>
      <c r="BE12" s="1326"/>
      <c r="BF12" s="1326"/>
      <c r="BG12" s="1326"/>
      <c r="BH12" s="1326" t="s">
        <v>1132</v>
      </c>
      <c r="BI12" s="1326"/>
      <c r="BJ12" s="1326"/>
      <c r="BK12" s="1326"/>
      <c r="BL12" s="1326"/>
      <c r="BM12" s="1326"/>
      <c r="BN12" s="1326"/>
      <c r="BO12" s="1326"/>
      <c r="BP12" s="1327" t="s">
        <v>564</v>
      </c>
      <c r="BQ12" s="1328"/>
      <c r="BR12" s="1327" t="s">
        <v>1133</v>
      </c>
      <c r="BS12" s="1328"/>
      <c r="BT12" s="1329"/>
      <c r="BU12" s="1330"/>
      <c r="BV12" s="1330"/>
      <c r="BW12" s="1330"/>
      <c r="BX12" s="1330"/>
      <c r="BY12" s="1330"/>
      <c r="BZ12" s="1330"/>
      <c r="CA12" s="1330"/>
      <c r="CB12" s="1330"/>
      <c r="CC12" s="1330"/>
      <c r="CD12" s="1330"/>
      <c r="CE12" s="1330"/>
      <c r="CF12" s="1330"/>
      <c r="CG12" s="1330"/>
      <c r="CH12" s="1330"/>
      <c r="CI12" s="1330"/>
      <c r="CJ12" s="1330"/>
      <c r="CK12" s="1330"/>
      <c r="CL12" s="1330"/>
      <c r="CM12" s="1330"/>
      <c r="CN12" s="1331"/>
      <c r="CO12" s="1332" t="s">
        <v>1134</v>
      </c>
      <c r="CP12" s="1333"/>
      <c r="CQ12" s="1333"/>
      <c r="CR12" s="1333"/>
      <c r="CS12" s="1334"/>
      <c r="CT12" s="1333"/>
      <c r="CU12" s="1220"/>
      <c r="CV12" s="1220"/>
      <c r="CW12" s="1220"/>
      <c r="CX12" s="1220"/>
      <c r="CY12" s="1220"/>
      <c r="CZ12" s="1220"/>
      <c r="DA12" s="1220"/>
      <c r="DB12" s="1220"/>
      <c r="DC12" s="1220"/>
      <c r="DD12" s="1220"/>
      <c r="DE12" s="1220"/>
      <c r="DF12" s="1220"/>
      <c r="DG12" s="1220"/>
      <c r="DH12" s="1220"/>
      <c r="DI12" s="1220"/>
      <c r="DJ12" s="1220"/>
      <c r="DK12" s="1220"/>
      <c r="DL12" s="1220"/>
      <c r="DM12" s="1220"/>
      <c r="DN12" s="1220"/>
      <c r="DO12" s="1220"/>
      <c r="DP12" s="1220"/>
      <c r="DQ12" s="1220"/>
      <c r="DR12" s="1220"/>
      <c r="DS12" s="1220"/>
      <c r="DT12" s="1220"/>
      <c r="DU12" s="1220"/>
      <c r="DV12" s="1220"/>
      <c r="DW12" s="1220"/>
      <c r="DX12" s="1220"/>
      <c r="DY12" s="1220"/>
      <c r="DZ12" s="1335"/>
      <c r="EA12" s="1335"/>
      <c r="EB12" s="1335"/>
      <c r="EC12" s="1335"/>
      <c r="ED12" s="1335"/>
      <c r="EE12" s="1220"/>
      <c r="EF12" s="1220"/>
      <c r="EG12" s="1220"/>
      <c r="EH12" s="1220"/>
      <c r="EI12" s="1220"/>
      <c r="EJ12" s="1220"/>
      <c r="EK12" s="1220"/>
      <c r="EL12" s="1220"/>
      <c r="EM12" s="1220"/>
      <c r="EN12" s="1220"/>
      <c r="EO12" s="1220"/>
      <c r="EP12" s="1220"/>
      <c r="EQ12" s="1220"/>
      <c r="ER12" s="1220"/>
      <c r="ES12" s="1220"/>
      <c r="ET12" s="1220"/>
      <c r="EU12" s="1220"/>
      <c r="EV12" s="1220"/>
      <c r="EW12" s="1220"/>
      <c r="EX12" s="1336"/>
      <c r="EY12" s="1220"/>
      <c r="EZ12" s="1220"/>
      <c r="FA12" s="1220"/>
      <c r="FB12" s="1220"/>
      <c r="FC12" s="1336"/>
      <c r="FD12" s="1337"/>
      <c r="FE12" s="1337"/>
      <c r="FF12" s="1337"/>
      <c r="FG12" s="1337"/>
      <c r="FH12" s="1337"/>
      <c r="FI12" s="1337"/>
      <c r="FJ12" s="1337"/>
      <c r="FK12" s="1337"/>
      <c r="FL12" s="1301" t="s">
        <v>3</v>
      </c>
      <c r="FM12" s="1301"/>
      <c r="FN12" s="1301"/>
      <c r="FO12" s="1301"/>
      <c r="FP12" s="1301"/>
      <c r="FQ12" s="1301"/>
      <c r="FR12" s="1301"/>
      <c r="FS12" s="1301"/>
      <c r="FT12" s="1301"/>
      <c r="FU12" s="1301"/>
      <c r="FV12" s="1301"/>
      <c r="FW12" s="1301"/>
      <c r="FX12" s="1301"/>
      <c r="FY12" s="1301"/>
      <c r="FZ12" s="1301"/>
      <c r="GA12" s="1301"/>
      <c r="GB12" s="1301"/>
      <c r="GC12" s="1301"/>
      <c r="GD12" s="1338"/>
      <c r="GE12" s="1338"/>
      <c r="GF12" s="1338"/>
      <c r="GG12" s="1338"/>
      <c r="GH12" s="1338"/>
      <c r="GI12" s="1338"/>
      <c r="GJ12" s="1338"/>
      <c r="GK12" s="1338"/>
      <c r="GL12" s="1339" t="s">
        <v>3</v>
      </c>
      <c r="GM12" s="1339"/>
      <c r="GN12" s="1339"/>
      <c r="GO12" s="1339"/>
      <c r="GP12" s="1339"/>
      <c r="GQ12" s="1339"/>
      <c r="GR12" s="1339"/>
      <c r="GS12" s="1339"/>
      <c r="GT12" s="1339" t="s">
        <v>1135</v>
      </c>
      <c r="GU12" s="1339"/>
      <c r="GV12" s="1339"/>
      <c r="GW12" s="1339"/>
      <c r="GX12" s="1339"/>
      <c r="GY12" s="1339"/>
      <c r="GZ12" s="1339"/>
      <c r="HA12" s="1339"/>
      <c r="HB12" s="1339"/>
      <c r="HC12" s="0"/>
      <c r="HD12" s="0"/>
      <c r="HE12" s="0"/>
      <c r="HF12" s="0"/>
      <c r="HG12" s="0"/>
      <c r="HH12" s="0"/>
      <c r="HI12" s="0"/>
      <c r="HJ12" s="0"/>
      <c r="HK12" s="0"/>
      <c r="HL12" s="0"/>
      <c r="HM12" s="0"/>
      <c r="HN12" s="0"/>
      <c r="HO12" s="1339"/>
      <c r="HP12" s="1339"/>
      <c r="HQ12" s="1339"/>
      <c r="HR12" s="1339"/>
      <c r="HS12" s="1339"/>
      <c r="HT12" s="1339"/>
      <c r="HU12" s="1339"/>
      <c r="HV12" s="1339"/>
      <c r="HW12" s="1339"/>
      <c r="HX12" s="1339"/>
      <c r="HY12" s="1339"/>
      <c r="HZ12" s="1339"/>
      <c r="IA12" s="1339"/>
      <c r="IB12" s="1339"/>
      <c r="IC12" s="1339"/>
      <c r="ID12" s="1339"/>
      <c r="IE12" s="1339"/>
      <c r="IF12" s="1339"/>
      <c r="IG12" s="1339"/>
      <c r="IH12" s="1339"/>
      <c r="II12" s="1339"/>
    </row>
    <row r="13" customFormat="false" ht="13.5" hidden="false" customHeight="false" outlineLevel="0" collapsed="false">
      <c r="A13" s="1340"/>
      <c r="B13" s="1340"/>
      <c r="C13" s="1341"/>
      <c r="D13" s="1342"/>
      <c r="E13" s="1343"/>
      <c r="F13" s="1344"/>
      <c r="G13" s="1345"/>
      <c r="H13" s="1346"/>
      <c r="I13" s="1347" t="s">
        <v>1136</v>
      </c>
      <c r="J13" s="1347"/>
      <c r="K13" s="1347"/>
      <c r="L13" s="1348" t="s">
        <v>67</v>
      </c>
      <c r="M13" s="1348"/>
      <c r="N13" s="1348"/>
      <c r="O13" s="1349" t="s">
        <v>70</v>
      </c>
      <c r="P13" s="1350"/>
      <c r="Q13" s="1351"/>
      <c r="R13" s="1352" t="s">
        <v>132</v>
      </c>
      <c r="S13" s="1350"/>
      <c r="T13" s="1353"/>
      <c r="U13" s="1354" t="s">
        <v>470</v>
      </c>
      <c r="V13" s="1354"/>
      <c r="W13" s="1354"/>
      <c r="X13" s="1355" t="s">
        <v>470</v>
      </c>
      <c r="Y13" s="1355"/>
      <c r="Z13" s="1355"/>
      <c r="AA13" s="1355" t="s">
        <v>470</v>
      </c>
      <c r="AB13" s="1355"/>
      <c r="AC13" s="1355"/>
      <c r="AD13" s="1355" t="s">
        <v>470</v>
      </c>
      <c r="AE13" s="1355"/>
      <c r="AF13" s="1355"/>
      <c r="AG13" s="1355" t="s">
        <v>1137</v>
      </c>
      <c r="AH13" s="1355"/>
      <c r="AI13" s="1355"/>
      <c r="AJ13" s="1356" t="s">
        <v>1137</v>
      </c>
      <c r="AK13" s="1356"/>
      <c r="AL13" s="1356"/>
      <c r="AM13" s="1357" t="s">
        <v>1137</v>
      </c>
      <c r="AN13" s="1357"/>
      <c r="AO13" s="1357"/>
      <c r="AP13" s="1358" t="s">
        <v>1137</v>
      </c>
      <c r="AQ13" s="1358"/>
      <c r="AR13" s="1358"/>
      <c r="AS13" s="1359" t="s">
        <v>132</v>
      </c>
      <c r="AT13" s="1360" t="s">
        <v>1138</v>
      </c>
      <c r="AU13" s="1361"/>
      <c r="AV13" s="1361"/>
      <c r="AW13" s="1361"/>
      <c r="AX13" s="1362"/>
      <c r="AY13" s="1363" t="s">
        <v>297</v>
      </c>
      <c r="AZ13" s="167" t="s">
        <v>1139</v>
      </c>
      <c r="BA13" s="167"/>
      <c r="BB13" s="167"/>
      <c r="BC13" s="167"/>
      <c r="BD13" s="1364" t="s">
        <v>1140</v>
      </c>
      <c r="BE13" s="1364"/>
      <c r="BF13" s="1364"/>
      <c r="BG13" s="1364"/>
      <c r="BH13" s="167" t="s">
        <v>1139</v>
      </c>
      <c r="BI13" s="167"/>
      <c r="BJ13" s="167"/>
      <c r="BK13" s="167"/>
      <c r="BL13" s="1364" t="s">
        <v>1140</v>
      </c>
      <c r="BM13" s="1364"/>
      <c r="BN13" s="1364"/>
      <c r="BO13" s="1364"/>
      <c r="BP13" s="1365" t="s">
        <v>1141</v>
      </c>
      <c r="BQ13" s="1366"/>
      <c r="BR13" s="1367" t="s">
        <v>1141</v>
      </c>
      <c r="BS13" s="1366"/>
      <c r="BT13" s="1368" t="s">
        <v>1142</v>
      </c>
      <c r="BU13" s="1369" t="s">
        <v>1143</v>
      </c>
      <c r="BV13" s="1370"/>
      <c r="BW13" s="1370"/>
      <c r="BX13" s="1370"/>
      <c r="BY13" s="1370"/>
      <c r="BZ13" s="1371"/>
      <c r="CA13" s="1369" t="s">
        <v>1144</v>
      </c>
      <c r="CB13" s="1370"/>
      <c r="CC13" s="1370"/>
      <c r="CD13" s="1370"/>
      <c r="CE13" s="1370"/>
      <c r="CF13" s="1371"/>
      <c r="CG13" s="1350" t="s">
        <v>1129</v>
      </c>
      <c r="CH13" s="1350"/>
      <c r="CI13" s="1350"/>
      <c r="CJ13" s="1350"/>
      <c r="CK13" s="1350"/>
      <c r="CL13" s="1350"/>
      <c r="CM13" s="1350"/>
      <c r="CN13" s="1350"/>
      <c r="CO13" s="1372" t="s">
        <v>1145</v>
      </c>
      <c r="CP13" s="1373"/>
      <c r="CQ13" s="1373"/>
      <c r="CR13" s="1373"/>
      <c r="CS13" s="1374"/>
      <c r="CT13" s="1375"/>
      <c r="CU13" s="1348" t="s">
        <v>287</v>
      </c>
      <c r="CV13" s="1376" t="s">
        <v>123</v>
      </c>
      <c r="CW13" s="1377" t="s">
        <v>1146</v>
      </c>
      <c r="CX13" s="1377"/>
      <c r="CY13" s="1377"/>
      <c r="CZ13" s="1377"/>
      <c r="DA13" s="1377"/>
      <c r="DB13" s="1376" t="s">
        <v>1147</v>
      </c>
      <c r="DC13" s="1376"/>
      <c r="DD13" s="1376"/>
      <c r="DE13" s="1376"/>
      <c r="DF13" s="1376"/>
      <c r="DG13" s="1376"/>
      <c r="DH13" s="1378" t="s">
        <v>1148</v>
      </c>
      <c r="DI13" s="1378"/>
      <c r="DJ13" s="1378"/>
      <c r="DK13" s="1378"/>
      <c r="DL13" s="1378"/>
      <c r="DM13" s="1348" t="s">
        <v>1149</v>
      </c>
      <c r="DN13" s="1348"/>
      <c r="DO13" s="1348"/>
      <c r="DP13" s="1348"/>
      <c r="DQ13" s="1348"/>
      <c r="DR13" s="1348" t="s">
        <v>1150</v>
      </c>
      <c r="DS13" s="1348"/>
      <c r="DT13" s="1348"/>
      <c r="DU13" s="1348"/>
      <c r="DV13" s="1348"/>
      <c r="DW13" s="1348"/>
      <c r="DX13" s="1348"/>
      <c r="DY13" s="1348"/>
      <c r="DZ13" s="1379" t="s">
        <v>1151</v>
      </c>
      <c r="EA13" s="1379"/>
      <c r="EB13" s="1379"/>
      <c r="EC13" s="1379"/>
      <c r="ED13" s="1379"/>
      <c r="EE13" s="1378" t="s">
        <v>1152</v>
      </c>
      <c r="EF13" s="1378"/>
      <c r="EG13" s="1378"/>
      <c r="EH13" s="1378"/>
      <c r="EI13" s="1378"/>
      <c r="EJ13" s="1351" t="s">
        <v>1153</v>
      </c>
      <c r="EK13" s="1351"/>
      <c r="EL13" s="1351"/>
      <c r="EM13" s="1351"/>
      <c r="EN13" s="1351"/>
      <c r="EO13" s="1351" t="s">
        <v>1154</v>
      </c>
      <c r="EP13" s="1351"/>
      <c r="EQ13" s="1351"/>
      <c r="ER13" s="1351"/>
      <c r="ES13" s="1351"/>
      <c r="ET13" s="1377" t="s">
        <v>1155</v>
      </c>
      <c r="EU13" s="1377"/>
      <c r="EV13" s="1377"/>
      <c r="EW13" s="1377"/>
      <c r="EX13" s="1377"/>
      <c r="EY13" s="1377" t="s">
        <v>1156</v>
      </c>
      <c r="EZ13" s="1377"/>
      <c r="FA13" s="1377"/>
      <c r="FB13" s="1377"/>
      <c r="FC13" s="1377"/>
      <c r="FD13" s="1329" t="s">
        <v>1157</v>
      </c>
      <c r="FE13" s="1380"/>
      <c r="FF13" s="1330"/>
      <c r="FG13" s="1330"/>
      <c r="FH13" s="1330"/>
      <c r="FI13" s="1330"/>
      <c r="FJ13" s="1330"/>
      <c r="FK13" s="1331"/>
      <c r="FL13" s="1329" t="s">
        <v>1158</v>
      </c>
      <c r="FM13" s="1330"/>
      <c r="FN13" s="1330"/>
      <c r="FO13" s="1330"/>
      <c r="FP13" s="1330"/>
      <c r="FQ13" s="1330"/>
      <c r="FR13" s="1330"/>
      <c r="FS13" s="1331"/>
      <c r="FT13" s="1381" t="s">
        <v>1159</v>
      </c>
      <c r="FU13" s="1330"/>
      <c r="FV13" s="1330"/>
      <c r="FW13" s="1330"/>
      <c r="FX13" s="1330"/>
      <c r="FY13" s="1330"/>
      <c r="FZ13" s="1330"/>
      <c r="GA13" s="1330"/>
      <c r="GB13" s="1330"/>
      <c r="GC13" s="1330"/>
      <c r="GD13" s="1331"/>
      <c r="GE13" s="1382" t="s">
        <v>1160</v>
      </c>
      <c r="GF13" s="1382"/>
      <c r="GG13" s="1382"/>
      <c r="GH13" s="1382"/>
      <c r="GI13" s="1382"/>
      <c r="GJ13" s="1382"/>
      <c r="GK13" s="1382"/>
      <c r="GL13" s="1383" t="s">
        <v>1161</v>
      </c>
      <c r="GM13" s="1384"/>
      <c r="GN13" s="1384"/>
      <c r="GO13" s="1384"/>
      <c r="GP13" s="1384"/>
      <c r="GQ13" s="1384"/>
      <c r="GR13" s="1385"/>
      <c r="GS13" s="1386" t="s">
        <v>1162</v>
      </c>
      <c r="GT13" s="1386"/>
      <c r="GU13" s="1386"/>
      <c r="GV13" s="1386"/>
      <c r="GW13" s="1386"/>
      <c r="GX13" s="1386" t="s">
        <v>1163</v>
      </c>
      <c r="GY13" s="1386"/>
      <c r="GZ13" s="1386"/>
      <c r="HA13" s="1386"/>
      <c r="HB13" s="1386"/>
      <c r="HC13" s="1386" t="s">
        <v>1164</v>
      </c>
      <c r="HD13" s="1386"/>
      <c r="HE13" s="1386"/>
      <c r="HF13" s="1386"/>
      <c r="HG13" s="1386"/>
      <c r="HH13" s="1386" t="s">
        <v>1165</v>
      </c>
      <c r="HI13" s="1386"/>
      <c r="HJ13" s="1386"/>
      <c r="HK13" s="1386"/>
      <c r="HL13" s="1386"/>
      <c r="HM13" s="1387"/>
      <c r="HN13" s="0"/>
      <c r="HO13" s="1388"/>
      <c r="HP13" s="1389" t="s">
        <v>1166</v>
      </c>
      <c r="HQ13" s="1390"/>
      <c r="HR13" s="1390"/>
      <c r="HS13" s="1390"/>
      <c r="HT13" s="1390"/>
      <c r="HU13" s="1390"/>
      <c r="HV13" s="1390"/>
      <c r="HW13" s="1390"/>
      <c r="HX13" s="1390"/>
      <c r="HY13" s="1390"/>
      <c r="HZ13" s="1390"/>
      <c r="IA13" s="1390"/>
      <c r="IB13" s="1390"/>
      <c r="IC13" s="1390"/>
      <c r="ID13" s="1390"/>
      <c r="IE13" s="1390"/>
      <c r="IF13" s="1390"/>
      <c r="IG13" s="1390"/>
      <c r="IH13" s="1390"/>
      <c r="II13" s="1391"/>
    </row>
    <row r="14" customFormat="false" ht="12.75" hidden="false" customHeight="false" outlineLevel="0" collapsed="false">
      <c r="A14" s="1368" t="s">
        <v>1167</v>
      </c>
      <c r="B14" s="1340"/>
      <c r="C14" s="1341"/>
      <c r="D14" s="1392" t="s">
        <v>1168</v>
      </c>
      <c r="E14" s="1393" t="s">
        <v>1169</v>
      </c>
      <c r="F14" s="1394" t="s">
        <v>1169</v>
      </c>
      <c r="G14" s="1395" t="s">
        <v>475</v>
      </c>
      <c r="H14" s="1396" t="s">
        <v>1170</v>
      </c>
      <c r="I14" s="1368" t="s">
        <v>149</v>
      </c>
      <c r="J14" s="1368"/>
      <c r="K14" s="1368"/>
      <c r="L14" s="1348" t="s">
        <v>149</v>
      </c>
      <c r="M14" s="1348"/>
      <c r="N14" s="1348"/>
      <c r="O14" s="1397" t="s">
        <v>149</v>
      </c>
      <c r="P14" s="1397"/>
      <c r="Q14" s="1397"/>
      <c r="R14" s="1398"/>
      <c r="S14" s="1399"/>
      <c r="T14" s="1400"/>
      <c r="U14" s="1354" t="s">
        <v>149</v>
      </c>
      <c r="V14" s="1354"/>
      <c r="W14" s="1354"/>
      <c r="X14" s="1355" t="s">
        <v>1171</v>
      </c>
      <c r="Y14" s="1355"/>
      <c r="Z14" s="1355"/>
      <c r="AA14" s="1355" t="s">
        <v>1172</v>
      </c>
      <c r="AB14" s="1355"/>
      <c r="AC14" s="1355"/>
      <c r="AD14" s="1355" t="s">
        <v>132</v>
      </c>
      <c r="AE14" s="1355"/>
      <c r="AF14" s="1355"/>
      <c r="AG14" s="1355" t="s">
        <v>149</v>
      </c>
      <c r="AH14" s="1355"/>
      <c r="AI14" s="1355"/>
      <c r="AJ14" s="1355" t="s">
        <v>1171</v>
      </c>
      <c r="AK14" s="1355"/>
      <c r="AL14" s="1355"/>
      <c r="AM14" s="1357" t="s">
        <v>1172</v>
      </c>
      <c r="AN14" s="1357"/>
      <c r="AO14" s="1357"/>
      <c r="AP14" s="1401" t="s">
        <v>132</v>
      </c>
      <c r="AQ14" s="1401"/>
      <c r="AR14" s="1401"/>
      <c r="AS14" s="1359" t="s">
        <v>533</v>
      </c>
      <c r="AT14" s="1360" t="s">
        <v>1173</v>
      </c>
      <c r="AU14" s="1361"/>
      <c r="AV14" s="1361"/>
      <c r="AW14" s="1361"/>
      <c r="AX14" s="1362"/>
      <c r="AY14" s="1363" t="s">
        <v>1174</v>
      </c>
      <c r="AZ14" s="1402" t="s">
        <v>1175</v>
      </c>
      <c r="BA14" s="1402"/>
      <c r="BB14" s="1402"/>
      <c r="BC14" s="1402"/>
      <c r="BD14" s="1403" t="s">
        <v>142</v>
      </c>
      <c r="BE14" s="1403"/>
      <c r="BF14" s="1403"/>
      <c r="BG14" s="1403"/>
      <c r="BH14" s="1402" t="s">
        <v>1175</v>
      </c>
      <c r="BI14" s="1402"/>
      <c r="BJ14" s="1402"/>
      <c r="BK14" s="1402"/>
      <c r="BL14" s="1403" t="s">
        <v>142</v>
      </c>
      <c r="BM14" s="1403"/>
      <c r="BN14" s="1403"/>
      <c r="BO14" s="1403"/>
      <c r="BP14" s="1367" t="s">
        <v>1139</v>
      </c>
      <c r="BQ14" s="1366"/>
      <c r="BR14" s="1404" t="s">
        <v>1139</v>
      </c>
      <c r="BS14" s="1366"/>
      <c r="BT14" s="1368" t="s">
        <v>1176</v>
      </c>
      <c r="BU14" s="1376" t="s">
        <v>149</v>
      </c>
      <c r="BV14" s="1399" t="s">
        <v>149</v>
      </c>
      <c r="BW14" s="1399" t="s">
        <v>149</v>
      </c>
      <c r="BX14" s="1399" t="s">
        <v>132</v>
      </c>
      <c r="BY14" s="1399" t="s">
        <v>149</v>
      </c>
      <c r="BZ14" s="1379" t="s">
        <v>297</v>
      </c>
      <c r="CA14" s="1392" t="s">
        <v>149</v>
      </c>
      <c r="CB14" s="1392" t="s">
        <v>149</v>
      </c>
      <c r="CC14" s="1392" t="s">
        <v>149</v>
      </c>
      <c r="CD14" s="1392" t="s">
        <v>132</v>
      </c>
      <c r="CE14" s="1392" t="s">
        <v>1177</v>
      </c>
      <c r="CF14" s="1379" t="s">
        <v>297</v>
      </c>
      <c r="CG14" s="1405" t="s">
        <v>1178</v>
      </c>
      <c r="CH14" s="1405"/>
      <c r="CI14" s="1405"/>
      <c r="CJ14" s="1405"/>
      <c r="CK14" s="1405"/>
      <c r="CL14" s="1405"/>
      <c r="CM14" s="1405"/>
      <c r="CN14" s="1405"/>
      <c r="CO14" s="1368" t="s">
        <v>149</v>
      </c>
      <c r="CP14" s="1399" t="s">
        <v>149</v>
      </c>
      <c r="CQ14" s="1399" t="s">
        <v>149</v>
      </c>
      <c r="CR14" s="1392" t="s">
        <v>132</v>
      </c>
      <c r="CS14" s="1406" t="s">
        <v>1179</v>
      </c>
      <c r="CT14" s="1379" t="s">
        <v>1180</v>
      </c>
      <c r="CU14" s="1407" t="s">
        <v>1081</v>
      </c>
      <c r="CV14" s="1393" t="s">
        <v>287</v>
      </c>
      <c r="CW14" s="1393" t="s">
        <v>149</v>
      </c>
      <c r="CX14" s="1399" t="s">
        <v>149</v>
      </c>
      <c r="CY14" s="1399" t="s">
        <v>149</v>
      </c>
      <c r="CZ14" s="1392" t="s">
        <v>132</v>
      </c>
      <c r="DA14" s="1392" t="s">
        <v>1181</v>
      </c>
      <c r="DB14" s="1376" t="s">
        <v>149</v>
      </c>
      <c r="DC14" s="1399" t="s">
        <v>149</v>
      </c>
      <c r="DD14" s="1399" t="s">
        <v>149</v>
      </c>
      <c r="DE14" s="1399" t="s">
        <v>132</v>
      </c>
      <c r="DF14" s="1399" t="s">
        <v>1179</v>
      </c>
      <c r="DG14" s="1379" t="s">
        <v>1180</v>
      </c>
      <c r="DH14" s="1399" t="s">
        <v>149</v>
      </c>
      <c r="DI14" s="1399" t="s">
        <v>149</v>
      </c>
      <c r="DJ14" s="1399" t="s">
        <v>149</v>
      </c>
      <c r="DK14" s="1399" t="s">
        <v>132</v>
      </c>
      <c r="DL14" s="1399" t="s">
        <v>1179</v>
      </c>
      <c r="DM14" s="1399" t="s">
        <v>149</v>
      </c>
      <c r="DN14" s="1399" t="s">
        <v>149</v>
      </c>
      <c r="DO14" s="1399" t="s">
        <v>149</v>
      </c>
      <c r="DP14" s="1399" t="s">
        <v>132</v>
      </c>
      <c r="DQ14" s="1399" t="str">
        <f aca="false">IF(OVolType,"Blended","Total")</f>
        <v>Blended</v>
      </c>
      <c r="DR14" s="1399" t="s">
        <v>149</v>
      </c>
      <c r="DS14" s="1399" t="s">
        <v>149</v>
      </c>
      <c r="DT14" s="1399" t="s">
        <v>149</v>
      </c>
      <c r="DU14" s="1399" t="s">
        <v>132</v>
      </c>
      <c r="DV14" s="1399" t="str">
        <f aca="false">IF(OVolType,"Blended","Total")</f>
        <v>Blended</v>
      </c>
      <c r="DW14" s="1408" t="s">
        <v>1180</v>
      </c>
      <c r="DX14" s="1379" t="s">
        <v>1180</v>
      </c>
      <c r="DY14" s="1379" t="s">
        <v>1180</v>
      </c>
      <c r="DZ14" s="1376" t="s">
        <v>149</v>
      </c>
      <c r="EA14" s="1399" t="s">
        <v>149</v>
      </c>
      <c r="EB14" s="1399" t="s">
        <v>149</v>
      </c>
      <c r="EC14" s="1399" t="s">
        <v>132</v>
      </c>
      <c r="ED14" s="1379" t="str">
        <f aca="false">IF(OVolType,"Blended","Total")</f>
        <v>Blended</v>
      </c>
      <c r="EE14" s="1392" t="s">
        <v>149</v>
      </c>
      <c r="EF14" s="1393" t="s">
        <v>149</v>
      </c>
      <c r="EG14" s="1393" t="s">
        <v>149</v>
      </c>
      <c r="EH14" s="1393" t="s">
        <v>132</v>
      </c>
      <c r="EI14" s="1407" t="str">
        <f aca="false">IF(OVolType,"Blended","Total")</f>
        <v>Blended</v>
      </c>
      <c r="EJ14" s="1376" t="s">
        <v>149</v>
      </c>
      <c r="EK14" s="1399" t="s">
        <v>149</v>
      </c>
      <c r="EL14" s="1399" t="s">
        <v>149</v>
      </c>
      <c r="EM14" s="1399" t="s">
        <v>132</v>
      </c>
      <c r="EN14" s="1379" t="str">
        <f aca="false">IF(OVolType,"Blended","Total")</f>
        <v>Blended</v>
      </c>
      <c r="EO14" s="1392" t="s">
        <v>149</v>
      </c>
      <c r="EP14" s="1393" t="s">
        <v>149</v>
      </c>
      <c r="EQ14" s="1393" t="s">
        <v>149</v>
      </c>
      <c r="ER14" s="1393" t="s">
        <v>132</v>
      </c>
      <c r="ES14" s="1393" t="str">
        <f aca="false">IF(OVolType,"Blended","Total")</f>
        <v>Blended</v>
      </c>
      <c r="ET14" s="1393" t="s">
        <v>149</v>
      </c>
      <c r="EU14" s="1393" t="s">
        <v>149</v>
      </c>
      <c r="EV14" s="1393" t="s">
        <v>149</v>
      </c>
      <c r="EW14" s="1393" t="s">
        <v>132</v>
      </c>
      <c r="EX14" s="1393" t="s">
        <v>297</v>
      </c>
      <c r="EY14" s="1393" t="s">
        <v>149</v>
      </c>
      <c r="EZ14" s="1393" t="s">
        <v>149</v>
      </c>
      <c r="FA14" s="1393" t="s">
        <v>149</v>
      </c>
      <c r="FB14" s="1393" t="s">
        <v>132</v>
      </c>
      <c r="FC14" s="1393" t="s">
        <v>297</v>
      </c>
      <c r="FD14" s="1409" t="s">
        <v>1182</v>
      </c>
      <c r="FE14" s="1410" t="s">
        <v>1183</v>
      </c>
      <c r="FF14" s="1411"/>
      <c r="FG14" s="1411"/>
      <c r="FH14" s="1411"/>
      <c r="FI14" s="1348" t="s">
        <v>1184</v>
      </c>
      <c r="FJ14" s="1348" t="s">
        <v>1184</v>
      </c>
      <c r="FK14" s="1412" t="s">
        <v>1184</v>
      </c>
      <c r="FL14" s="1413" t="s">
        <v>1185</v>
      </c>
      <c r="FM14" s="1370"/>
      <c r="FN14" s="1370"/>
      <c r="FO14" s="1371"/>
      <c r="FP14" s="1414" t="s">
        <v>1186</v>
      </c>
      <c r="FQ14" s="1370"/>
      <c r="FR14" s="1370"/>
      <c r="FS14" s="1415"/>
      <c r="FT14" s="1416" t="s">
        <v>1185</v>
      </c>
      <c r="FU14" s="1417"/>
      <c r="FV14" s="1417"/>
      <c r="FW14" s="1418"/>
      <c r="FX14" s="1419" t="s">
        <v>1187</v>
      </c>
      <c r="FY14" s="1417"/>
      <c r="FZ14" s="1417"/>
      <c r="GA14" s="1418"/>
      <c r="GB14" s="1420" t="s">
        <v>1188</v>
      </c>
      <c r="GC14" s="1417"/>
      <c r="GD14" s="1417"/>
      <c r="GE14" s="1347" t="s">
        <v>1189</v>
      </c>
      <c r="GF14" s="1347"/>
      <c r="GG14" s="1347"/>
      <c r="GH14" s="1347"/>
      <c r="GI14" s="1405" t="s">
        <v>1190</v>
      </c>
      <c r="GJ14" s="1405"/>
      <c r="GK14" s="1405"/>
      <c r="GL14" s="1421" t="s">
        <v>1191</v>
      </c>
      <c r="GM14" s="1422"/>
      <c r="GN14" s="1422"/>
      <c r="GO14" s="1423"/>
      <c r="GP14" s="1424" t="s">
        <v>1192</v>
      </c>
      <c r="GQ14" s="1422"/>
      <c r="GR14" s="1425"/>
      <c r="GS14" s="1426"/>
      <c r="GT14" s="1427"/>
      <c r="GU14" s="1427"/>
      <c r="GV14" s="1427"/>
      <c r="GW14" s="1428"/>
      <c r="GX14" s="1426"/>
      <c r="GY14" s="1427"/>
      <c r="GZ14" s="1427"/>
      <c r="HA14" s="1427"/>
      <c r="HB14" s="1428"/>
      <c r="HC14" s="1426"/>
      <c r="HD14" s="1427"/>
      <c r="HE14" s="1427"/>
      <c r="HF14" s="1427"/>
      <c r="HG14" s="1428"/>
      <c r="HH14" s="1426"/>
      <c r="HI14" s="1427"/>
      <c r="HJ14" s="1427"/>
      <c r="HK14" s="1427"/>
      <c r="HL14" s="1428"/>
      <c r="HM14" s="1429" t="s">
        <v>1193</v>
      </c>
      <c r="HN14" s="1430"/>
      <c r="HO14" s="1363"/>
      <c r="HP14" s="1431" t="s">
        <v>630</v>
      </c>
      <c r="HQ14" s="1432"/>
      <c r="HR14" s="1432"/>
      <c r="HS14" s="1432"/>
      <c r="HT14" s="1432"/>
      <c r="HU14" s="1432"/>
      <c r="HV14" s="1432"/>
      <c r="HW14" s="1432"/>
      <c r="HX14" s="1432"/>
      <c r="HY14" s="1432"/>
      <c r="HZ14" s="276" t="s">
        <v>1194</v>
      </c>
      <c r="IA14" s="276"/>
      <c r="IB14" s="276"/>
      <c r="IC14" s="276"/>
      <c r="ID14" s="276"/>
      <c r="IE14" s="276"/>
      <c r="IF14" s="276"/>
      <c r="IG14" s="276"/>
      <c r="IH14" s="276"/>
      <c r="II14" s="1433"/>
      <c r="IJ14" s="1309" t="s">
        <v>1193</v>
      </c>
    </row>
    <row r="15" customFormat="false" ht="12.75" hidden="false" customHeight="false" outlineLevel="0" collapsed="false">
      <c r="A15" s="1368" t="s">
        <v>16</v>
      </c>
      <c r="B15" s="1340"/>
      <c r="C15" s="1341"/>
      <c r="D15" s="1392" t="s">
        <v>1195</v>
      </c>
      <c r="E15" s="1393" t="s">
        <v>1196</v>
      </c>
      <c r="F15" s="1394" t="s">
        <v>1197</v>
      </c>
      <c r="G15" s="1395" t="s">
        <v>602</v>
      </c>
      <c r="H15" s="1396" t="s">
        <v>1099</v>
      </c>
      <c r="I15" s="1368" t="s">
        <v>726</v>
      </c>
      <c r="J15" s="1368"/>
      <c r="K15" s="1368"/>
      <c r="L15" s="1407" t="s">
        <v>726</v>
      </c>
      <c r="M15" s="1407"/>
      <c r="N15" s="1407"/>
      <c r="O15" s="1397" t="s">
        <v>726</v>
      </c>
      <c r="P15" s="1397"/>
      <c r="Q15" s="1397"/>
      <c r="R15" s="1434" t="s">
        <v>726</v>
      </c>
      <c r="S15" s="1434"/>
      <c r="T15" s="1434"/>
      <c r="U15" s="1354" t="s">
        <v>1081</v>
      </c>
      <c r="V15" s="1354"/>
      <c r="W15" s="1354"/>
      <c r="X15" s="1355" t="s">
        <v>1081</v>
      </c>
      <c r="Y15" s="1355"/>
      <c r="Z15" s="1355"/>
      <c r="AA15" s="1355" t="s">
        <v>1081</v>
      </c>
      <c r="AB15" s="1355"/>
      <c r="AC15" s="1355"/>
      <c r="AD15" s="1355" t="s">
        <v>1081</v>
      </c>
      <c r="AE15" s="1355"/>
      <c r="AF15" s="1355"/>
      <c r="AG15" s="1355" t="s">
        <v>1081</v>
      </c>
      <c r="AH15" s="1355"/>
      <c r="AI15" s="1355"/>
      <c r="AJ15" s="1355" t="s">
        <v>1081</v>
      </c>
      <c r="AK15" s="1355"/>
      <c r="AL15" s="1355"/>
      <c r="AM15" s="1357" t="s">
        <v>1081</v>
      </c>
      <c r="AN15" s="1357"/>
      <c r="AO15" s="1357"/>
      <c r="AP15" s="1401" t="s">
        <v>1081</v>
      </c>
      <c r="AQ15" s="1401"/>
      <c r="AR15" s="1401"/>
      <c r="AS15" s="1359" t="s">
        <v>1198</v>
      </c>
      <c r="AT15" s="1368" t="s">
        <v>1199</v>
      </c>
      <c r="AU15" s="1392" t="s">
        <v>22</v>
      </c>
      <c r="AV15" s="1392" t="s">
        <v>23</v>
      </c>
      <c r="AW15" s="1392" t="s">
        <v>24</v>
      </c>
      <c r="AX15" s="1434" t="s">
        <v>297</v>
      </c>
      <c r="AY15" s="1363"/>
      <c r="AZ15" s="1351" t="s">
        <v>1200</v>
      </c>
      <c r="BA15" s="1378" t="s">
        <v>1201</v>
      </c>
      <c r="BB15" s="1378" t="s">
        <v>1202</v>
      </c>
      <c r="BC15" s="1405" t="s">
        <v>132</v>
      </c>
      <c r="BD15" s="1347" t="s">
        <v>1200</v>
      </c>
      <c r="BE15" s="1378" t="s">
        <v>1201</v>
      </c>
      <c r="BF15" s="1378" t="s">
        <v>1202</v>
      </c>
      <c r="BG15" s="1405" t="s">
        <v>132</v>
      </c>
      <c r="BH15" s="1347" t="s">
        <v>1200</v>
      </c>
      <c r="BI15" s="1378" t="s">
        <v>1201</v>
      </c>
      <c r="BJ15" s="1378" t="s">
        <v>1202</v>
      </c>
      <c r="BK15" s="1405" t="s">
        <v>132</v>
      </c>
      <c r="BL15" s="1347" t="s">
        <v>1200</v>
      </c>
      <c r="BM15" s="1378" t="s">
        <v>1201</v>
      </c>
      <c r="BN15" s="1378" t="s">
        <v>1202</v>
      </c>
      <c r="BO15" s="1405" t="s">
        <v>132</v>
      </c>
      <c r="BP15" s="1435" t="s">
        <v>1175</v>
      </c>
      <c r="BQ15" s="1436"/>
      <c r="BR15" s="1437" t="s">
        <v>1175</v>
      </c>
      <c r="BS15" s="1436"/>
      <c r="BT15" s="1368" t="s">
        <v>1203</v>
      </c>
      <c r="BU15" s="1393" t="s">
        <v>1199</v>
      </c>
      <c r="BV15" s="1392" t="s">
        <v>22</v>
      </c>
      <c r="BW15" s="1392" t="s">
        <v>23</v>
      </c>
      <c r="BX15" s="1392"/>
      <c r="BY15" s="1392" t="s">
        <v>297</v>
      </c>
      <c r="BZ15" s="1397" t="s">
        <v>1181</v>
      </c>
      <c r="CA15" s="1392" t="s">
        <v>1199</v>
      </c>
      <c r="CB15" s="1392" t="s">
        <v>22</v>
      </c>
      <c r="CC15" s="1392" t="s">
        <v>23</v>
      </c>
      <c r="CD15" s="1392"/>
      <c r="CE15" s="1392" t="s">
        <v>297</v>
      </c>
      <c r="CF15" s="1397" t="s">
        <v>1181</v>
      </c>
      <c r="CG15" s="1392" t="s">
        <v>149</v>
      </c>
      <c r="CH15" s="1392" t="s">
        <v>149</v>
      </c>
      <c r="CI15" s="1392" t="s">
        <v>149</v>
      </c>
      <c r="CJ15" s="1392" t="s">
        <v>1204</v>
      </c>
      <c r="CK15" s="1392" t="s">
        <v>1205</v>
      </c>
      <c r="CL15" s="1392" t="s">
        <v>132</v>
      </c>
      <c r="CM15" s="1392" t="s">
        <v>1179</v>
      </c>
      <c r="CN15" s="1397" t="s">
        <v>1180</v>
      </c>
      <c r="CO15" s="1368"/>
      <c r="CP15" s="1392" t="s">
        <v>22</v>
      </c>
      <c r="CQ15" s="1392" t="s">
        <v>23</v>
      </c>
      <c r="CR15" s="1392"/>
      <c r="CS15" s="1438" t="s">
        <v>1181</v>
      </c>
      <c r="CT15" s="1397" t="s">
        <v>1206</v>
      </c>
      <c r="CU15" s="1407"/>
      <c r="CV15" s="1393" t="s">
        <v>1198</v>
      </c>
      <c r="CW15" s="1393"/>
      <c r="CX15" s="1392" t="s">
        <v>22</v>
      </c>
      <c r="CY15" s="1392" t="s">
        <v>23</v>
      </c>
      <c r="CZ15" s="1392"/>
      <c r="DA15" s="1392"/>
      <c r="DB15" s="1393"/>
      <c r="DC15" s="1392" t="s">
        <v>22</v>
      </c>
      <c r="DD15" s="1392" t="s">
        <v>23</v>
      </c>
      <c r="DE15" s="1392"/>
      <c r="DF15" s="1392" t="s">
        <v>1181</v>
      </c>
      <c r="DG15" s="1397" t="s">
        <v>1181</v>
      </c>
      <c r="DH15" s="1392"/>
      <c r="DI15" s="1392" t="s">
        <v>22</v>
      </c>
      <c r="DJ15" s="1392" t="s">
        <v>23</v>
      </c>
      <c r="DK15" s="1392"/>
      <c r="DL15" s="1392" t="s">
        <v>1181</v>
      </c>
      <c r="DM15" s="1392"/>
      <c r="DN15" s="1392" t="s">
        <v>22</v>
      </c>
      <c r="DO15" s="1392" t="s">
        <v>23</v>
      </c>
      <c r="DP15" s="1392"/>
      <c r="DQ15" s="1392"/>
      <c r="DR15" s="1392"/>
      <c r="DS15" s="1392" t="s">
        <v>22</v>
      </c>
      <c r="DT15" s="1392" t="s">
        <v>23</v>
      </c>
      <c r="DU15" s="1392"/>
      <c r="DV15" s="1392"/>
      <c r="DW15" s="1439" t="s">
        <v>1207</v>
      </c>
      <c r="DX15" s="1397" t="s">
        <v>132</v>
      </c>
      <c r="DY15" s="1397" t="s">
        <v>1181</v>
      </c>
      <c r="DZ15" s="1393"/>
      <c r="EA15" s="1392" t="s">
        <v>22</v>
      </c>
      <c r="EB15" s="1392" t="s">
        <v>23</v>
      </c>
      <c r="EC15" s="1392"/>
      <c r="ED15" s="1397"/>
      <c r="EE15" s="1392"/>
      <c r="EF15" s="1393" t="s">
        <v>22</v>
      </c>
      <c r="EG15" s="1393" t="s">
        <v>23</v>
      </c>
      <c r="EH15" s="1393"/>
      <c r="EI15" s="1407"/>
      <c r="EJ15" s="1393"/>
      <c r="EK15" s="1392" t="s">
        <v>22</v>
      </c>
      <c r="EL15" s="1392" t="s">
        <v>23</v>
      </c>
      <c r="EM15" s="1392"/>
      <c r="EN15" s="1397"/>
      <c r="EO15" s="1392"/>
      <c r="EP15" s="1393" t="s">
        <v>22</v>
      </c>
      <c r="EQ15" s="1393" t="s">
        <v>23</v>
      </c>
      <c r="ER15" s="1393"/>
      <c r="ES15" s="1393"/>
      <c r="ET15" s="1393"/>
      <c r="EU15" s="1393" t="s">
        <v>22</v>
      </c>
      <c r="EV15" s="1393" t="s">
        <v>23</v>
      </c>
      <c r="EW15" s="1393"/>
      <c r="EX15" s="1393"/>
      <c r="EY15" s="1393"/>
      <c r="EZ15" s="1393" t="s">
        <v>22</v>
      </c>
      <c r="FA15" s="1393" t="s">
        <v>23</v>
      </c>
      <c r="FB15" s="1393"/>
      <c r="FC15" s="1393"/>
      <c r="FD15" s="1440" t="s">
        <v>1208</v>
      </c>
      <c r="FE15" s="1375" t="s">
        <v>1200</v>
      </c>
      <c r="FF15" s="1441" t="s">
        <v>1201</v>
      </c>
      <c r="FG15" s="1441" t="s">
        <v>1202</v>
      </c>
      <c r="FH15" s="1442" t="s">
        <v>132</v>
      </c>
      <c r="FI15" s="1443" t="s">
        <v>726</v>
      </c>
      <c r="FJ15" s="1443" t="s">
        <v>1209</v>
      </c>
      <c r="FK15" s="1444" t="s">
        <v>725</v>
      </c>
      <c r="FL15" s="1445" t="s">
        <v>1200</v>
      </c>
      <c r="FM15" s="1441" t="s">
        <v>1201</v>
      </c>
      <c r="FN15" s="1441" t="s">
        <v>1202</v>
      </c>
      <c r="FO15" s="1407" t="s">
        <v>132</v>
      </c>
      <c r="FP15" s="1378" t="s">
        <v>1200</v>
      </c>
      <c r="FQ15" s="1378" t="s">
        <v>1201</v>
      </c>
      <c r="FR15" s="1378" t="s">
        <v>1202</v>
      </c>
      <c r="FS15" s="1405" t="s">
        <v>132</v>
      </c>
      <c r="FT15" s="1351" t="s">
        <v>1200</v>
      </c>
      <c r="FU15" s="1378" t="s">
        <v>1201</v>
      </c>
      <c r="FV15" s="1378" t="s">
        <v>1202</v>
      </c>
      <c r="FW15" s="1378" t="s">
        <v>132</v>
      </c>
      <c r="FX15" s="1378" t="s">
        <v>1200</v>
      </c>
      <c r="FY15" s="1378" t="s">
        <v>1201</v>
      </c>
      <c r="FZ15" s="1378" t="s">
        <v>1202</v>
      </c>
      <c r="GA15" s="1378" t="s">
        <v>132</v>
      </c>
      <c r="GB15" s="1348" t="s">
        <v>1209</v>
      </c>
      <c r="GC15" s="1376" t="s">
        <v>1210</v>
      </c>
      <c r="GD15" s="1376" t="s">
        <v>297</v>
      </c>
      <c r="GE15" s="1446" t="s">
        <v>1211</v>
      </c>
      <c r="GF15" s="1399" t="s">
        <v>1212</v>
      </c>
      <c r="GG15" s="1348" t="s">
        <v>1213</v>
      </c>
      <c r="GH15" s="1379" t="s">
        <v>297</v>
      </c>
      <c r="GI15" s="1399" t="s">
        <v>1209</v>
      </c>
      <c r="GJ15" s="1348" t="s">
        <v>1213</v>
      </c>
      <c r="GK15" s="1412" t="s">
        <v>297</v>
      </c>
      <c r="GL15" s="1347" t="s">
        <v>1200</v>
      </c>
      <c r="GM15" s="1378" t="s">
        <v>1201</v>
      </c>
      <c r="GN15" s="1378" t="s">
        <v>1202</v>
      </c>
      <c r="GO15" s="1378" t="s">
        <v>132</v>
      </c>
      <c r="GP15" s="1376" t="s">
        <v>1209</v>
      </c>
      <c r="GQ15" s="1348" t="s">
        <v>1213</v>
      </c>
      <c r="GR15" s="1400" t="s">
        <v>297</v>
      </c>
      <c r="GS15" s="1368"/>
      <c r="GT15" s="1392"/>
      <c r="GU15" s="1392"/>
      <c r="GV15" s="1392"/>
      <c r="GW15" s="1434" t="s">
        <v>297</v>
      </c>
      <c r="GX15" s="1368"/>
      <c r="GY15" s="1392"/>
      <c r="GZ15" s="1392"/>
      <c r="HA15" s="1392"/>
      <c r="HB15" s="1434" t="s">
        <v>297</v>
      </c>
      <c r="HC15" s="1368"/>
      <c r="HD15" s="1392"/>
      <c r="HE15" s="1392"/>
      <c r="HF15" s="1392"/>
      <c r="HG15" s="1434" t="s">
        <v>297</v>
      </c>
      <c r="HH15" s="1368"/>
      <c r="HI15" s="1392"/>
      <c r="HJ15" s="1392"/>
      <c r="HK15" s="1392"/>
      <c r="HL15" s="1434" t="s">
        <v>297</v>
      </c>
      <c r="HM15" s="1368" t="s">
        <v>332</v>
      </c>
      <c r="HN15" s="1434"/>
      <c r="HO15" s="1363"/>
      <c r="HP15" s="1447"/>
      <c r="HQ15" s="1339"/>
      <c r="HR15" s="1448"/>
      <c r="HS15" s="1339"/>
      <c r="HT15" s="1339"/>
      <c r="HU15" s="1448"/>
      <c r="HV15" s="1449" t="s">
        <v>1214</v>
      </c>
      <c r="HW15" s="1339" t="s">
        <v>1215</v>
      </c>
      <c r="HX15" s="1339" t="s">
        <v>1216</v>
      </c>
      <c r="HY15" s="1450" t="s">
        <v>303</v>
      </c>
      <c r="HZ15" s="1451" t="s">
        <v>1217</v>
      </c>
      <c r="IA15" s="1422"/>
      <c r="IB15" s="1422"/>
      <c r="IC15" s="1422"/>
      <c r="ID15" s="1422"/>
      <c r="IE15" s="1423"/>
      <c r="IF15" s="1452" t="s">
        <v>1218</v>
      </c>
      <c r="IG15" s="1422"/>
      <c r="IH15" s="1423"/>
      <c r="II15" s="1453" t="s">
        <v>746</v>
      </c>
      <c r="IJ15" s="1309" t="s">
        <v>332</v>
      </c>
    </row>
    <row r="16" customFormat="false" ht="13.5" hidden="false" customHeight="false" outlineLevel="0" collapsed="false">
      <c r="A16" s="1454"/>
      <c r="B16" s="1454"/>
      <c r="C16" s="1455"/>
      <c r="D16" s="1456" t="e">
        <f aca="false">Holiday(YEAR(DateToday),MONTH(DateToday))</f>
        <v>#VALUE!</v>
      </c>
      <c r="E16" s="1457"/>
      <c r="F16" s="1458"/>
      <c r="G16" s="1459" t="s">
        <v>1219</v>
      </c>
      <c r="H16" s="1460"/>
      <c r="I16" s="1368" t="s">
        <v>1078</v>
      </c>
      <c r="J16" s="1392" t="s">
        <v>372</v>
      </c>
      <c r="K16" s="1392" t="s">
        <v>1079</v>
      </c>
      <c r="L16" s="1393" t="s">
        <v>1078</v>
      </c>
      <c r="M16" s="1392" t="s">
        <v>372</v>
      </c>
      <c r="N16" s="1397" t="s">
        <v>1079</v>
      </c>
      <c r="O16" s="1392" t="s">
        <v>1078</v>
      </c>
      <c r="P16" s="1392" t="s">
        <v>372</v>
      </c>
      <c r="Q16" s="1397" t="s">
        <v>1079</v>
      </c>
      <c r="R16" s="1392" t="s">
        <v>1078</v>
      </c>
      <c r="S16" s="1392" t="s">
        <v>372</v>
      </c>
      <c r="T16" s="1434" t="s">
        <v>1079</v>
      </c>
      <c r="U16" s="1461" t="s">
        <v>1078</v>
      </c>
      <c r="V16" s="1461" t="s">
        <v>372</v>
      </c>
      <c r="W16" s="1462" t="s">
        <v>1079</v>
      </c>
      <c r="X16" s="1463" t="s">
        <v>1078</v>
      </c>
      <c r="Y16" s="1461" t="s">
        <v>372</v>
      </c>
      <c r="Z16" s="1462" t="s">
        <v>1079</v>
      </c>
      <c r="AA16" s="1463" t="s">
        <v>1078</v>
      </c>
      <c r="AB16" s="1461" t="s">
        <v>372</v>
      </c>
      <c r="AC16" s="1462" t="s">
        <v>1079</v>
      </c>
      <c r="AD16" s="1463" t="s">
        <v>1078</v>
      </c>
      <c r="AE16" s="1461" t="s">
        <v>372</v>
      </c>
      <c r="AF16" s="1462" t="s">
        <v>1079</v>
      </c>
      <c r="AG16" s="1463" t="s">
        <v>1078</v>
      </c>
      <c r="AH16" s="1461" t="s">
        <v>372</v>
      </c>
      <c r="AI16" s="1462" t="s">
        <v>1079</v>
      </c>
      <c r="AJ16" s="1463" t="s">
        <v>1078</v>
      </c>
      <c r="AK16" s="1461" t="s">
        <v>372</v>
      </c>
      <c r="AL16" s="1462" t="s">
        <v>1079</v>
      </c>
      <c r="AM16" s="1463" t="s">
        <v>1078</v>
      </c>
      <c r="AN16" s="1461" t="s">
        <v>372</v>
      </c>
      <c r="AO16" s="1461" t="s">
        <v>1079</v>
      </c>
      <c r="AP16" s="1463" t="s">
        <v>1078</v>
      </c>
      <c r="AQ16" s="1461" t="s">
        <v>372</v>
      </c>
      <c r="AR16" s="1464" t="s">
        <v>1079</v>
      </c>
      <c r="AS16" s="1461"/>
      <c r="AT16" s="1465" t="s">
        <v>1220</v>
      </c>
      <c r="AU16" s="1466" t="s">
        <v>1220</v>
      </c>
      <c r="AV16" s="1466" t="s">
        <v>1220</v>
      </c>
      <c r="AW16" s="1466"/>
      <c r="AX16" s="1467"/>
      <c r="AY16" s="1468"/>
      <c r="AZ16" s="1469" t="e">
        <f aca="false">SUM(AZ17:AZ292)</f>
        <v>#VALUE!</v>
      </c>
      <c r="BA16" s="1470" t="e">
        <f aca="false">SUM(BA17:BA292)</f>
        <v>#VALUE!</v>
      </c>
      <c r="BB16" s="1470" t="e">
        <f aca="false">SUM(BB17:BB292)</f>
        <v>#VALUE!</v>
      </c>
      <c r="BC16" s="1471" t="e">
        <f aca="false">SUM(BC17:BC292)</f>
        <v>#VALUE!</v>
      </c>
      <c r="BD16" s="1472"/>
      <c r="BE16" s="1470"/>
      <c r="BF16" s="1470"/>
      <c r="BG16" s="1471"/>
      <c r="BH16" s="1472" t="e">
        <f aca="false">SUM(BH17:BH292)</f>
        <v>#VALUE!</v>
      </c>
      <c r="BI16" s="1470" t="e">
        <f aca="false">SUM(BI17:BI292)</f>
        <v>#VALUE!</v>
      </c>
      <c r="BJ16" s="1470" t="e">
        <f aca="false">SUM(BJ17:BJ292)</f>
        <v>#VALUE!</v>
      </c>
      <c r="BK16" s="1471" t="e">
        <f aca="false">SUM(BK17:BK292)</f>
        <v>#VALUE!</v>
      </c>
      <c r="BL16" s="1472"/>
      <c r="BM16" s="1470"/>
      <c r="BN16" s="1470"/>
      <c r="BO16" s="1471"/>
      <c r="BP16" s="1473" t="s">
        <v>1221</v>
      </c>
      <c r="BQ16" s="1474" t="s">
        <v>297</v>
      </c>
      <c r="BR16" s="1473" t="s">
        <v>1221</v>
      </c>
      <c r="BS16" s="1474" t="s">
        <v>297</v>
      </c>
      <c r="BT16" s="1454"/>
      <c r="BU16" s="1475"/>
      <c r="BV16" s="1476"/>
      <c r="BW16" s="1476"/>
      <c r="BX16" s="1476"/>
      <c r="BY16" s="1476" t="s">
        <v>3</v>
      </c>
      <c r="BZ16" s="1477"/>
      <c r="CA16" s="1476"/>
      <c r="CB16" s="1476"/>
      <c r="CC16" s="1476"/>
      <c r="CD16" s="1476"/>
      <c r="CE16" s="1476" t="s">
        <v>3</v>
      </c>
      <c r="CF16" s="1477"/>
      <c r="CG16" s="1392" t="s">
        <v>1199</v>
      </c>
      <c r="CH16" s="1392" t="s">
        <v>22</v>
      </c>
      <c r="CI16" s="1392" t="s">
        <v>23</v>
      </c>
      <c r="CJ16" s="1392" t="s">
        <v>297</v>
      </c>
      <c r="CK16" s="1392" t="s">
        <v>297</v>
      </c>
      <c r="CL16" s="1392"/>
      <c r="CM16" s="1392" t="s">
        <v>1181</v>
      </c>
      <c r="CN16" s="1341" t="s">
        <v>1181</v>
      </c>
      <c r="CO16" s="1454"/>
      <c r="CP16" s="1478"/>
      <c r="CQ16" s="1478"/>
      <c r="CR16" s="1478"/>
      <c r="CS16" s="1479"/>
      <c r="CT16" s="1478"/>
      <c r="CU16" s="1480"/>
      <c r="CV16" s="1457"/>
      <c r="CW16" s="1457"/>
      <c r="CX16" s="1478"/>
      <c r="CY16" s="1478"/>
      <c r="CZ16" s="1478"/>
      <c r="DA16" s="1478"/>
      <c r="DB16" s="1457"/>
      <c r="DC16" s="1478"/>
      <c r="DD16" s="1478"/>
      <c r="DE16" s="1478"/>
      <c r="DF16" s="1478"/>
      <c r="DG16" s="1455"/>
      <c r="DH16" s="1478"/>
      <c r="DI16" s="1478"/>
      <c r="DJ16" s="1478"/>
      <c r="DK16" s="1478"/>
      <c r="DL16" s="1478"/>
      <c r="DM16" s="1478"/>
      <c r="DN16" s="1478"/>
      <c r="DO16" s="1478"/>
      <c r="DP16" s="1478"/>
      <c r="DQ16" s="1478"/>
      <c r="DR16" s="1478"/>
      <c r="DS16" s="1478"/>
      <c r="DT16" s="1478"/>
      <c r="DU16" s="1478"/>
      <c r="DV16" s="1478"/>
      <c r="DW16" s="1481"/>
      <c r="DX16" s="1478"/>
      <c r="DY16" s="1482"/>
      <c r="DZ16" s="1483"/>
      <c r="EA16" s="1484"/>
      <c r="EB16" s="1484"/>
      <c r="EC16" s="1484"/>
      <c r="ED16" s="1485"/>
      <c r="EE16" s="1486"/>
      <c r="EF16" s="1487"/>
      <c r="EG16" s="1487"/>
      <c r="EH16" s="1487"/>
      <c r="EI16" s="1488"/>
      <c r="EJ16" s="1483"/>
      <c r="EK16" s="1484"/>
      <c r="EL16" s="1484"/>
      <c r="EM16" s="1484"/>
      <c r="EN16" s="1485"/>
      <c r="EO16" s="1486"/>
      <c r="EP16" s="1487"/>
      <c r="EQ16" s="1487"/>
      <c r="ER16" s="1487"/>
      <c r="ES16" s="1487"/>
      <c r="ET16" s="1488"/>
      <c r="EU16" s="1487"/>
      <c r="EV16" s="1487"/>
      <c r="EW16" s="1487"/>
      <c r="EX16" s="1487"/>
      <c r="EY16" s="1488"/>
      <c r="EZ16" s="1487"/>
      <c r="FA16" s="1487"/>
      <c r="FB16" s="1487"/>
      <c r="FC16" s="1487"/>
      <c r="FD16" s="1489" t="s">
        <v>1222</v>
      </c>
      <c r="FE16" s="1469" t="e">
        <f aca="false">SUM(FE17:FE292)</f>
        <v>#VALUE!</v>
      </c>
      <c r="FF16" s="1470" t="e">
        <f aca="false">SUM(FF17:FF292)</f>
        <v>#VALUE!</v>
      </c>
      <c r="FG16" s="1470" t="e">
        <f aca="false">SUM(FG17:FG292)</f>
        <v>#VALUE!</v>
      </c>
      <c r="FH16" s="1490" t="n">
        <f aca="false">SUM(FH17:FH292)</f>
        <v>0</v>
      </c>
      <c r="FI16" s="1491" t="s">
        <v>1101</v>
      </c>
      <c r="FJ16" s="1491" t="s">
        <v>1223</v>
      </c>
      <c r="FK16" s="1492" t="s">
        <v>1224</v>
      </c>
      <c r="FL16" s="1472" t="e">
        <f aca="false">SUM(FL17:FL292)</f>
        <v>#VALUE!</v>
      </c>
      <c r="FM16" s="1470" t="e">
        <f aca="false">SUM(FM17:FM292)</f>
        <v>#VALUE!</v>
      </c>
      <c r="FN16" s="1490" t="e">
        <f aca="false">SUM(FN17:FN292)</f>
        <v>#VALUE!</v>
      </c>
      <c r="FO16" s="1470" t="e">
        <f aca="false">SUM(FO17:FO292)</f>
        <v>#VALUE!</v>
      </c>
      <c r="FP16" s="1469" t="e">
        <f aca="false">SUM(FP17:FP292)</f>
        <v>#VALUE!</v>
      </c>
      <c r="FQ16" s="1470" t="e">
        <f aca="false">SUM(FQ17:FQ292)</f>
        <v>#VALUE!</v>
      </c>
      <c r="FR16" s="1470" t="e">
        <f aca="false">SUM(FR17:FR292)</f>
        <v>#VALUE!</v>
      </c>
      <c r="FS16" s="1490" t="e">
        <f aca="false">SUM(FS17:FS292)</f>
        <v>#VALUE!</v>
      </c>
      <c r="FT16" s="1472" t="e">
        <f aca="false">SUM(FT17:FT292)</f>
        <v>#VALUE!</v>
      </c>
      <c r="FU16" s="1470" t="e">
        <f aca="false">SUM(FU17:FU292)</f>
        <v>#VALUE!</v>
      </c>
      <c r="FV16" s="1470" t="e">
        <f aca="false">SUM(FV17:FV292)</f>
        <v>#VALUE!</v>
      </c>
      <c r="FW16" s="1470" t="e">
        <f aca="false">SUM(FW17:FW292)</f>
        <v>#VALUE!</v>
      </c>
      <c r="FX16" s="1469" t="e">
        <f aca="false">SUM(FX17:FX292)</f>
        <v>#VALUE!</v>
      </c>
      <c r="FY16" s="1470" t="e">
        <f aca="false">SUM(FY17:FY292)</f>
        <v>#VALUE!</v>
      </c>
      <c r="FZ16" s="1470" t="e">
        <f aca="false">SUM(FZ17:FZ292)</f>
        <v>#VALUE!</v>
      </c>
      <c r="GA16" s="1490" t="e">
        <f aca="false">SUM(GA17:GA292)</f>
        <v>#VALUE!</v>
      </c>
      <c r="GB16" s="1491" t="s">
        <v>1223</v>
      </c>
      <c r="GC16" s="1493" t="s">
        <v>1101</v>
      </c>
      <c r="GD16" s="1493" t="s">
        <v>1224</v>
      </c>
      <c r="GE16" s="1494" t="s">
        <v>1225</v>
      </c>
      <c r="GF16" s="1495" t="s">
        <v>1225</v>
      </c>
      <c r="GG16" s="1491" t="s">
        <v>1226</v>
      </c>
      <c r="GH16" s="1496" t="s">
        <v>1224</v>
      </c>
      <c r="GI16" s="1495" t="s">
        <v>1223</v>
      </c>
      <c r="GJ16" s="1491" t="s">
        <v>1101</v>
      </c>
      <c r="GK16" s="1492" t="s">
        <v>1224</v>
      </c>
      <c r="GL16" s="1472" t="e">
        <f aca="false">SUM(GL17:GL292)</f>
        <v>#VALUE!</v>
      </c>
      <c r="GM16" s="1470" t="e">
        <f aca="false">SUM(GM17:GM292)</f>
        <v>#VALUE!</v>
      </c>
      <c r="GN16" s="1470" t="e">
        <f aca="false">SUM(GN17:GN292)</f>
        <v>#VALUE!</v>
      </c>
      <c r="GO16" s="1470" t="e">
        <f aca="false">SUM(GO17:GO292)</f>
        <v>#VALUE!</v>
      </c>
      <c r="GP16" s="1495" t="s">
        <v>1223</v>
      </c>
      <c r="GQ16" s="1491" t="s">
        <v>1101</v>
      </c>
      <c r="GR16" s="1474" t="s">
        <v>1224</v>
      </c>
      <c r="GS16" s="1497" t="s">
        <v>1227</v>
      </c>
      <c r="GT16" s="1495" t="s">
        <v>1228</v>
      </c>
      <c r="GU16" s="1495" t="s">
        <v>1229</v>
      </c>
      <c r="GV16" s="1495" t="s">
        <v>1228</v>
      </c>
      <c r="GW16" s="1474" t="s">
        <v>1230</v>
      </c>
      <c r="GX16" s="1497" t="s">
        <v>1227</v>
      </c>
      <c r="GY16" s="1495" t="s">
        <v>1228</v>
      </c>
      <c r="GZ16" s="1495" t="s">
        <v>1229</v>
      </c>
      <c r="HA16" s="1495" t="s">
        <v>1228</v>
      </c>
      <c r="HB16" s="1474" t="s">
        <v>1230</v>
      </c>
      <c r="HC16" s="1497" t="s">
        <v>1227</v>
      </c>
      <c r="HD16" s="1495" t="s">
        <v>1228</v>
      </c>
      <c r="HE16" s="1495" t="s">
        <v>1229</v>
      </c>
      <c r="HF16" s="1495" t="s">
        <v>1228</v>
      </c>
      <c r="HG16" s="1474" t="s">
        <v>1230</v>
      </c>
      <c r="HH16" s="1497" t="s">
        <v>1227</v>
      </c>
      <c r="HI16" s="1495" t="s">
        <v>1228</v>
      </c>
      <c r="HJ16" s="1495" t="s">
        <v>1229</v>
      </c>
      <c r="HK16" s="1495" t="s">
        <v>1228</v>
      </c>
      <c r="HL16" s="1474" t="s">
        <v>1230</v>
      </c>
      <c r="HM16" s="1498" t="s">
        <v>630</v>
      </c>
      <c r="HN16" s="1499"/>
      <c r="HO16" s="1500"/>
      <c r="HP16" s="1497" t="s">
        <v>1231</v>
      </c>
      <c r="HQ16" s="1495" t="s">
        <v>86</v>
      </c>
      <c r="HR16" s="1496" t="s">
        <v>1232</v>
      </c>
      <c r="HS16" s="1495" t="s">
        <v>1233</v>
      </c>
      <c r="HT16" s="1495" t="s">
        <v>1234</v>
      </c>
      <c r="HU16" s="1496" t="s">
        <v>1188</v>
      </c>
      <c r="HV16" s="1493" t="s">
        <v>630</v>
      </c>
      <c r="HW16" s="1495" t="s">
        <v>1235</v>
      </c>
      <c r="HX16" s="1495" t="s">
        <v>1235</v>
      </c>
      <c r="HY16" s="1495" t="s">
        <v>1235</v>
      </c>
      <c r="HZ16" s="1497" t="s">
        <v>1236</v>
      </c>
      <c r="IA16" s="1495" t="s">
        <v>1237</v>
      </c>
      <c r="IB16" s="1501" t="s">
        <v>1189</v>
      </c>
      <c r="IC16" s="1495" t="s">
        <v>1238</v>
      </c>
      <c r="ID16" s="1495" t="s">
        <v>1239</v>
      </c>
      <c r="IE16" s="1496" t="s">
        <v>1240</v>
      </c>
      <c r="IF16" s="1495" t="s">
        <v>1233</v>
      </c>
      <c r="IG16" s="1495" t="s">
        <v>1241</v>
      </c>
      <c r="IH16" s="1496" t="s">
        <v>1242</v>
      </c>
      <c r="II16" s="1502" t="s">
        <v>675</v>
      </c>
      <c r="IJ16" s="1309" t="s">
        <v>630</v>
      </c>
    </row>
    <row r="17" customFormat="false" ht="12.75" hidden="false" customHeight="false" outlineLevel="0" collapsed="false">
      <c r="A17" s="1503" t="n">
        <f aca="false">EOMONTH(DateToday,0)+1</f>
        <v>36647</v>
      </c>
      <c r="B17" s="594" t="n">
        <f aca="false">+YEAR(A17)</f>
        <v>2000</v>
      </c>
      <c r="C17" s="725" t="n">
        <f aca="false">MONTH(A17)</f>
        <v>5</v>
      </c>
      <c r="D17" s="1504" t="str">
        <f aca="false">IF(E17="","",Holiday(B17,C17))</f>
        <v/>
      </c>
      <c r="E17" s="1505" t="str">
        <f aca="false">IF(OR(BegDate&gt;=A18,EndDate&lt;A17,AND(VolumeMonthlyOverFlag,INDEX(VolumeMonthlyOver,C17)=0),NOT(INDEX(MonthKnockOutTable,C17))),"",MAX(A17,BegDate))</f>
        <v/>
      </c>
      <c r="F17" s="1506" t="str">
        <f aca="false">IF(E17="","",MIN(A18-1,EndDate))</f>
        <v/>
      </c>
      <c r="G17" s="1507" t="n">
        <v>0</v>
      </c>
      <c r="H17" s="1508" t="n">
        <f aca="false">(1+G17/2)^(-2*(DATE(B18,C18,20)-DateToday)/365.25)</f>
        <v>1</v>
      </c>
      <c r="I17" s="1509" t="n">
        <f aca="false">IF(Assumptions!$L$25=4,'Henwood Reference'!N24,IF(A17&lt;H5,"",IF(A17=H5,VLOOKUP(A18-1,PriceTable,2,0)+IF(BasisNumber&lt;&gt;1,VLOOKUP(A18-1,BasisTable,2,0),0),VLOOKUP(A17,PriceTable,2,0)+IF(BasisNumber&lt;&gt;1,VLOOKUP(A17,BasisTable,2,0),0))+$I$1)/(1-$I$2))</f>
        <v>0</v>
      </c>
      <c r="J17" s="1509" t="n">
        <f aca="false">IF(Assumptions!$L$25=4,'Henwood Reference'!N24,IF(A17&lt;H5,"",IF(A17=H5,VLOOKUP(A18-1,PriceTable,3,0)+IF(BasisNumber&lt;&gt;1,VLOOKUP(A18-1,BasisTable,2,0),0),VLOOKUP(A17,PriceTable,3,0)+IF(BasisNumber&lt;&gt;1,VLOOKUP(A17,BasisTable,2,0),0))+$J$1)/(1-$J$2))</f>
        <v>0</v>
      </c>
      <c r="K17" s="1510" t="n">
        <f aca="false">IF(Assumptions!$L$25=4,'Henwood Reference'!N24,IF(A17&lt;H5,"",IF(A17=H5,VLOOKUP(A18-1,PriceTable,4,0)+IF(BasisNumber&lt;&gt;1,VLOOKUP(A18-1,BasisTable,2,0),0),VLOOKUP(A17,PriceTable,4,0)+IF(BasisNumber&lt;&gt;1,VLOOKUP(A17,BasisTable,2,0),0))+$K$1)/(1-$K$2))</f>
        <v>0</v>
      </c>
      <c r="L17" s="1511" t="n">
        <f aca="false">IF(Assumptions!$L$25=4,'Henwood Reference'!N24,IF(A17&lt;H5,"",VLOOKUP(A17,PriceTableWeekend,2,0)+IF(BasisNumber&lt;&gt;1,VLOOKUP(IF(A17=H5,A18-1,A17),BasisTable,2,0),0)+$L$1)/(1-$L$2))</f>
        <v>0</v>
      </c>
      <c r="M17" s="1509" t="n">
        <f aca="false">IF(Assumptions!$L$25=4,'Henwood Reference'!N24,IF(A17&lt;H5,"",VLOOKUP(A17,PriceTableWeekend,3,0)+IF(BasisNumber&lt;&gt;1,VLOOKUP(IF(A17=H5,A18-1,A17),BasisTable,2,0),0)+$M$1)/(1-$M$2))</f>
        <v>0</v>
      </c>
      <c r="N17" s="1510" t="n">
        <f aca="false">IF(Assumptions!$L$25=4,'Henwood Reference'!N24,IF(A17&lt;H5,"",VLOOKUP(A17,PriceTableWeekend,4,0)+IF(BasisNumber&lt;&gt;1,VLOOKUP(IF(A17=H5,A18-1,A17),BasisTable,2,0),0)+$N$1)/(1-$N$2))</f>
        <v>0</v>
      </c>
      <c r="O17" s="1509" t="n">
        <f aca="false">IF(Assumptions!$L$25=4,'Henwood Reference'!O24,IF(A17&lt;H5,"",VLOOKUP(A17,PriceTableWeekend,6,0)+IF(BasisNumber&lt;&gt;1,VLOOKUP(IF(A17=H5,A18-1,A17),BasisTable,3,0),0)+$O$1)/(1-$O$2))</f>
        <v>0</v>
      </c>
      <c r="P17" s="1509" t="n">
        <f aca="false">IF(Assumptions!$L$25=4,'Henwood Reference'!O24,IF(A17&lt;H5,"",VLOOKUP(A17,PriceTableWeekend,7,0)+IF(BasisNumber&lt;&gt;1,VLOOKUP(IF(A17=H5,A18-1,A17),BasisTable,3,0),0)+$P$1)/(1-$P$2))</f>
        <v>0</v>
      </c>
      <c r="Q17" s="1510" t="n">
        <f aca="false">IF(Assumptions!$L$25=4,'Henwood Reference'!O24,IF(A17&lt;H5,"",VLOOKUP(A17,PriceTableWeekend,8,0)+IF(BasisNumber&lt;&gt;1,VLOOKUP(IF(A17=H5,A18-1,A17),BasisTable,3,0),0)+$Q$1)/(1-$Q$2))</f>
        <v>0</v>
      </c>
      <c r="R17" s="1509" t="n">
        <f aca="false">IF(Assumptions!$L$25=4,'Henwood Reference'!O24,IF(A17&lt;H5,"",IF(A17=H5,VLOOKUP(A18-1,PriceTable,6,0)+IF(BasisNumber&lt;&gt;1,VLOOKUP(A18-1,BasisTable,3,0),0),VLOOKUP(A17,PriceTable,6,0)+IF(BasisNumber&lt;&gt;1,VLOOKUP(A17,BasisTable,3,0),0))+$R$1)/(1-$R$2))</f>
        <v>0</v>
      </c>
      <c r="S17" s="1509" t="n">
        <f aca="false">IF(Assumptions!$L$25=4,'Henwood Reference'!O24,IF(A17&lt;H5,"",IF(A17=H5,VLOOKUP(A18-1,PriceTable,7,0)+IF(BasisNumber&lt;&gt;1,VLOOKUP(A18-1,BasisTable,3,0),0),VLOOKUP(A17,PriceTable,7,0)+IF(BasisNumber&lt;&gt;1,VLOOKUP(A17,BasisTable,3,0),0))+$S$1)/(1-$S$2))</f>
        <v>0</v>
      </c>
      <c r="T17" s="1512" t="n">
        <f aca="false">IF(Assumptions!$L$25=4,'Henwood Reference'!O24,IF(A17&lt;H5,"",IF(A17=H5,VLOOKUP(A18-1,PriceTable,8,0)+IF(BasisNumber&lt;&gt;1,VLOOKUP(A18-1,BasisTable,3,0),0),VLOOKUP(A17,PriceTable,8,0)+IF(BasisNumber&lt;&gt;1,VLOOKUP(A17,BasisTable,3,0),0))+$T$1)/(1-$T$2))</f>
        <v>0</v>
      </c>
      <c r="U17" s="1513" t="n">
        <f aca="false">VLOOKUP($A17,VolatilityTable,14)</f>
        <v>0.23</v>
      </c>
      <c r="V17" s="1513" t="n">
        <f aca="false">VLOOKUP($A17,VolatilityTable,15)</f>
        <v>0.27</v>
      </c>
      <c r="W17" s="1514" t="n">
        <f aca="false">VLOOKUP($A17,VolatilityTable,16)</f>
        <v>0.29</v>
      </c>
      <c r="X17" s="1513" t="n">
        <f aca="false">VLOOKUP($A17,VolatilityTable,14)</f>
        <v>0.23</v>
      </c>
      <c r="Y17" s="1513" t="n">
        <f aca="false">VLOOKUP($A17,VolatilityTable,15)</f>
        <v>0.27</v>
      </c>
      <c r="Z17" s="1514" t="n">
        <f aca="false">VLOOKUP($A17,VolatilityTable,16)</f>
        <v>0.29</v>
      </c>
      <c r="AA17" s="1513" t="n">
        <f aca="false">VLOOKUP($A17,VolatilityTable,18)</f>
        <v>0.06</v>
      </c>
      <c r="AB17" s="1513" t="n">
        <f aca="false">VLOOKUP($A17,VolatilityTable,19)</f>
        <v>0.11</v>
      </c>
      <c r="AC17" s="1514" t="n">
        <f aca="false">VLOOKUP($A17,VolatilityTable,20)</f>
        <v>0.16</v>
      </c>
      <c r="AD17" s="1513" t="n">
        <f aca="false">VLOOKUP($A17,VolatilityTable,18)</f>
        <v>0.06</v>
      </c>
      <c r="AE17" s="1513" t="n">
        <f aca="false">VLOOKUP($A17,VolatilityTable,19)</f>
        <v>0.11</v>
      </c>
      <c r="AF17" s="1514" t="n">
        <f aca="false">VLOOKUP($A17,VolatilityTable,20)</f>
        <v>0.16</v>
      </c>
      <c r="AG17" s="1513" t="n">
        <f aca="false">VLOOKUP($A17,VolatilityTable,22)</f>
        <v>-0.1</v>
      </c>
      <c r="AH17" s="1513" t="n">
        <f aca="false">VLOOKUP($A17,VolatilityTable,23)</f>
        <v>0.65</v>
      </c>
      <c r="AI17" s="1514" t="n">
        <f aca="false">VLOOKUP($A17,VolatilityTable,24)</f>
        <v>0.1</v>
      </c>
      <c r="AJ17" s="1513" t="n">
        <f aca="false">VLOOKUP($A17,VolatilityTable,22)</f>
        <v>-0.1</v>
      </c>
      <c r="AK17" s="1513" t="n">
        <f aca="false">VLOOKUP($A17,VolatilityTable,23)</f>
        <v>0.65</v>
      </c>
      <c r="AL17" s="1514" t="n">
        <f aca="false">VLOOKUP($A17,VolatilityTable,24)</f>
        <v>0.1</v>
      </c>
      <c r="AM17" s="1513" t="n">
        <f aca="false">VLOOKUP($A17,VolatilityTable,26)</f>
        <v>-0.01</v>
      </c>
      <c r="AN17" s="1513" t="n">
        <f aca="false">VLOOKUP($A17,VolatilityTable,27)</f>
        <v>0.16</v>
      </c>
      <c r="AO17" s="1514" t="n">
        <f aca="false">VLOOKUP($A17,VolatilityTable,28)</f>
        <v>0.01</v>
      </c>
      <c r="AP17" s="1513" t="n">
        <f aca="false">VLOOKUP($A17,VolatilityTable,26)</f>
        <v>-0.01</v>
      </c>
      <c r="AQ17" s="1513" t="n">
        <f aca="false">VLOOKUP($A17,VolatilityTable,27)</f>
        <v>0.16</v>
      </c>
      <c r="AR17" s="1515" t="n">
        <f aca="false">VLOOKUP($A17,VolatilityTable,28)</f>
        <v>0.01</v>
      </c>
      <c r="AS17" s="1516" t="n">
        <f aca="false">IF(CorrPeakOffPeakOverFlag,INDEX(CorrPeakOffPeakOver,C17),CorrPeakOffPeak)</f>
        <v>0.5</v>
      </c>
      <c r="AT17" s="1517" t="n">
        <f aca="false">AX17-SUM(AU17:AW17)</f>
        <v>0</v>
      </c>
      <c r="AU17" s="725" t="n">
        <f aca="false">IF(E17="",0,INT((F17-MOD(F17,7)-E17)/7)+1-IF(AW17,IF(WEEKDAY(D17)=7,1,0),0))</f>
        <v>0</v>
      </c>
      <c r="AV17" s="725" t="n">
        <f aca="false">IF(E17="",0,INT((F17-MOD(F17-1,7)-E17)/7)+1-IF(AW17,IF(WEEKDAY(D17)=1,1,0),0))</f>
        <v>0</v>
      </c>
      <c r="AW17" s="725" t="n">
        <f aca="false">IF(OR(E17="",D17="",D17&lt;BegDate,D17&gt;EndDate),0,1)</f>
        <v>0</v>
      </c>
      <c r="AX17" s="725" t="n">
        <f aca="false">IF(E17="",0,F17-E17+1)</f>
        <v>0</v>
      </c>
      <c r="AY17" s="1518" t="n">
        <f aca="false">IF(E17="",0,MIN((1-(1-VLOOKUP(B17,MAIN!$AA$7:$AM$28,C17+1))*(1-VLOOKUP(B17,MAIN!$AA$33:$AM$54,C17+1))),1))</f>
        <v>0</v>
      </c>
      <c r="AZ17" s="1519" t="e">
        <f aca="false" t="array" ref="AZ17:BO292">TakeFunction(TakeType,STake,OTake,CombineTakesFlag,MostExpFlag,VolumeEscType,VolumeEsc,DateToday,BegDate,EndDate,OrderedScalars,OrderedPrices,OrderedPricesSat,OrderedPricesSun,AvailDays,FirmWeek,FirmSat,FirmSun,FirmHol,OptWeek,OptSat,OptSun,OptHol)*(1-PlannedOutages)</f>
        <v>#VALUE!</v>
      </c>
      <c r="BA17" s="1520" t="e">
        <v>#VALUE!</v>
      </c>
      <c r="BB17" s="1520" t="e">
        <v>#VALUE!</v>
      </c>
      <c r="BC17" s="1521" t="e">
        <v>#VALUE!</v>
      </c>
      <c r="BD17" s="1522" t="e">
        <v>#VALUE!</v>
      </c>
      <c r="BE17" s="1523" t="e">
        <v>#VALUE!</v>
      </c>
      <c r="BF17" s="1523" t="e">
        <v>#VALUE!</v>
      </c>
      <c r="BG17" s="1524" t="e">
        <v>#VALUE!</v>
      </c>
      <c r="BH17" s="1525" t="e">
        <v>#VALUE!</v>
      </c>
      <c r="BI17" s="1520" t="e">
        <v>#VALUE!</v>
      </c>
      <c r="BJ17" s="1520" t="e">
        <v>#VALUE!</v>
      </c>
      <c r="BK17" s="1521" t="e">
        <v>#VALUE!</v>
      </c>
      <c r="BL17" s="1522" t="e">
        <v>#VALUE!</v>
      </c>
      <c r="BM17" s="1523" t="e">
        <v>#VALUE!</v>
      </c>
      <c r="BN17" s="1523" t="e">
        <v>#VALUE!</v>
      </c>
      <c r="BO17" s="1526" t="e">
        <v>#VALUE!</v>
      </c>
      <c r="BP17" s="1527" t="e">
        <f aca="false">SUM(AZ17:BB17)</f>
        <v>#VALUE!</v>
      </c>
      <c r="BQ17" s="1528" t="e">
        <f aca="false">SUM(AZ17:BC17)</f>
        <v>#VALUE!</v>
      </c>
      <c r="BR17" s="1519" t="e">
        <f aca="false">SUM(BH17:BJ17)</f>
        <v>#VALUE!</v>
      </c>
      <c r="BS17" s="1529" t="e">
        <f aca="false">SUM(BH17:BK17)</f>
        <v>#VALUE!</v>
      </c>
      <c r="BT17" s="1316" t="n">
        <f aca="false">(IF(OVolType&lt;&gt;2,A17+14,IF(OptExpDateShift,ShiftBack(A17,OptExpDateShift,D16),A17))-DateToday)/365.25</f>
        <v>0.0465434633812457</v>
      </c>
      <c r="BU17" s="1530" t="e">
        <f aca="false">IF(BQ17,IF(OPriceCurve,IF(OBuySell=OCallPut,I17/(1-AY17),K17/(1-AY17)),J17/(1-AY17))*BD17,0)</f>
        <v>#VALUE!</v>
      </c>
      <c r="BV17" s="1316" t="e">
        <f aca="false">IF(BQ17,IF(OPriceCurve,IF(OBuySell=OCallPut,L17/(1-AY17),N17/(1-AY17)),M17/(1-AY17))*BE17,0)</f>
        <v>#VALUE!</v>
      </c>
      <c r="BW17" s="1316" t="e">
        <f aca="false">IF(BQ17,IF(OPriceCurve,IF(OBuySell=OCallPut,O17/(1-AY17),Q17/(1-AY17)),P17/(1-AY17))*BF17,0)</f>
        <v>#VALUE!</v>
      </c>
      <c r="BX17" s="1316" t="e">
        <f aca="false">IF(BQ17,IF(OPriceCurve,IF(OBuySell=OCallPut,R17/(1-AY17),T17/(1-AY17)),S17/(1-AY17))*BG17,0)</f>
        <v>#VALUE!</v>
      </c>
      <c r="BY17" s="1316" t="e">
        <f aca="false">IF(BP17,(BU17*AZ17+BV17*BA17+BW17*BB17)/BP17,0)</f>
        <v>#VALUE!</v>
      </c>
      <c r="BZ17" s="1316" t="e">
        <f aca="false">IF(BQ17,(BY17*BP17+BX17*BC17)/BQ17,0)</f>
        <v>#VALUE!</v>
      </c>
      <c r="CA17" s="1531" t="e">
        <f aca="false">IF(BS17,IF(OPriceCurve,IF(OBuySell=OCallPut,I17/(1-AY17),K17/(1-AY17)),J17/(1-AY17))*BL17,0)</f>
        <v>#VALUE!</v>
      </c>
      <c r="CB17" s="1316" t="e">
        <f aca="false">IF(BS17,IF(OPriceCurve,IF(OBuySell=OCallPut,L17/(1-AY17),N17/(1-AY17)),M17/(1-AY17))*BM17,0)</f>
        <v>#VALUE!</v>
      </c>
      <c r="CC17" s="1316" t="e">
        <f aca="false">IF(BS17,IF(OPriceCurve,IF(OBuySell=OCallPut,O17/(1-AY17),Q17/(1-AY17)),P17/(1-AY17))*BN17,0)</f>
        <v>#VALUE!</v>
      </c>
      <c r="CD17" s="1316" t="e">
        <f aca="false">IF(BS17,IF(OPriceCurve,IF(OBuySell=OCallPut,R17/(1-AY17),T17/(1-AY17)),S17/(1-AY17))*BO17,0)</f>
        <v>#VALUE!</v>
      </c>
      <c r="CE17" s="1316" t="e">
        <f aca="false">IF(BR17,(BU17*BH17+BV17*BI17+BW17*BJ17)/BR17,0)</f>
        <v>#VALUE!</v>
      </c>
      <c r="CF17" s="1532" t="e">
        <f aca="false">IF(BS17,(CE17*BR17+CD17*BK17)/BS17,0)</f>
        <v>#VALUE!</v>
      </c>
      <c r="CG17" s="1533" t="e">
        <f aca="false">IF(OR(BQ17,BS17),IF(OVolType&lt;&gt;2,SQRT(IF(OVolOverMonthlyPeak,OVolOverMonthlyPeak,IF(OVolCurve,IF(OBuySell,U17,W17),V17))^2*(1-15/365.25/BT17)+IF(OVolOverDailyPeak,OVolOverDailyPeak,IF(OVolCurve,IF(OBuySell,AG17,AI17),AH17))^2*15/365.25/BT17),IF(OVolOverMonthlyPeak,OVolOverMonthlyPeak,IF(OVolCurve,IF(OBuySell,U17,W17),V17))),"")</f>
        <v>#VALUE!</v>
      </c>
      <c r="CH17" s="1534" t="e">
        <f aca="false">IF(OR(BQ17,BS17),IF(OVolType&lt;&gt;2,SQRT(IF(OVolOverMonthlyPeak,OVolOverMonthlyPeak,IF(OVolCurve,IF(OBuySell,X17,Z17),Y17))^2*(1-15/365.25/BT17)+IF(OVolOverDailyPeak,OVolOverDailyPeak,IF(OVolCurve,IF(OBuySell,AJ17,AL17),AK17))^2*15/365.25/BT17),IF(OVolOverMonthlyPeak,OVolOverMonthlyPeak,IF(OVolCurve,IF(OBuySell,X17,Z17),Y17))),"")</f>
        <v>#VALUE!</v>
      </c>
      <c r="CI17" s="1534" t="e">
        <f aca="false">IF(OR(BQ17,BS17),IF(OVolType&lt;&gt;2,SQRT(IF(OVolOverMonthlyPeak,OVolOverMonthlyPeak,IF(OVolCurve,IF(OBuySell,AA17,AC17),AB17))^2*(1-15/365.25/BT17)+IF(OVolOverDailyPeak,OVolOverDailyPeak,IF(OVolCurve,IF(OBuySell,AM17,AO17),AN17))^2*15/365.25/BT17),IF(OVolOverMonthlyPeak,OVolOverMonthlyPeak,IF(OVolCurve,IF(OBuySell,AA17,AC17),AB17))),"")</f>
        <v>#VALUE!</v>
      </c>
      <c r="CJ17" s="1534" t="e">
        <f aca="false">IF(BQ17,IF(BP17,SQRT(LN(1+((BU17*AZ17)^2*(EXP(CG17^2*BT17)-1)+(BV17*BA17)^2*(EXP(CH17^2*BT17)-1)+(BW17*BB17)^2*(EXP(CI17^2*BT17)-1)+2*BU17*AZ17*BV17*BA17*(EXP(CG17*CH17*BT17)-1)+2*BV17*BA17*BW17*BB17*(EXP(CH17*CI17*BT17)-1)+2*BW17*BB17*BU17*AZ17*(EXP(CI17*CG17*BT17)-1))/(BY17*BP17)^2)/BT17),0),"")</f>
        <v>#VALUE!</v>
      </c>
      <c r="CK17" s="1534" t="e">
        <f aca="false">IF(BS17,IF(BR17,SQRT(LN(1+((CA17*BH17)^2*(EXP(CG17^2*BT17)-1)+(CB17*BI17)^2*(EXP(CH17^2*BT17)-1)+(CC17*BJ17)^2*(EXP(CI17^2*BT17)-1)+2*CA17*BH17*CB17*BI17*(EXP(CG17*CH17*BT17)-1)+2*CB17*BI17*CC17*BJ17*(EXP(CH17*CI17*BT17)-1)+2*CC17*BJ17*CA17*BH17*(EXP(CI17*CG17*BT17)-1))/(CE17*BR17)^2)/BT17),0),"")</f>
        <v>#VALUE!</v>
      </c>
      <c r="CL17" s="1534" t="e">
        <f aca="false">IF(OR(BQ17,BS17),IF(OVolType&lt;&gt;2,SQRT(IF(OVolOverMonthlyOffPeak,OVolOverMonthlyOffPeak,IF(OVolCurve,IF(OBuySell,AD17,AF17),AE17))^2*(1-15/365.25/BT17)+IF(OVolOverDailyOffPeak,OVolOverDailyOffPeak,IF(OVolCurve,IF(OBuySell,AP17,AR17),AQ17))^2*15/365.25/BT17),IF(OVolOverMonthlyOffPeak,OVolOverMonthlyOffPeak,IF(OVolCurve,IF(OBuySell,AD17,AF17),AE17))),"")</f>
        <v>#VALUE!</v>
      </c>
      <c r="CM17" s="1534" t="e">
        <f aca="false">IF(BQ17,SQRT(LN(1+((BY17*BP17)^2*(EXP(CJ17^2*BT17)-1)+(BX17*BC17)^2*(EXP(CL17^2*BT17)-1)+2*BY17*BP17*BX17*BC17*(EXP(AS17*CJ17*CL17*BT17)-1))/(BY17*BP17+BX17*BC17)^2)/BT17),"")</f>
        <v>#VALUE!</v>
      </c>
      <c r="CN17" s="1535" t="e">
        <f aca="false">IF(BS17,SQRT(LN(1+((CE17*BR17)^2*(EXP(CK17^2*BT17)-1)+(CD17*BK17)^2*(EXP(CL17^2*BT17)-1)+2*CE17*BR17*CD17*BK17*(EXP(AS17*CK17*CL17*BT17)-1))/(CE17*BR17+CD17*BK17)^2)/BT17),"")</f>
        <v>#VALUE!</v>
      </c>
      <c r="CO17" s="1536" t="e">
        <f aca="false">IF(OR(BQ17,BS17),VLOOKUP(A17,GasTable,13)*HeatRatePeak*VLOOKUP($B17,MAIN!$AB$59:$AM$80,$C17+1)/1000,0)</f>
        <v>#VALUE!</v>
      </c>
      <c r="CP17" s="1537" t="e">
        <f aca="false">IF(OR(BQ17,BS17),VLOOKUP(A17,GasTable,13)*HeatRatePeak*(1+VLOOKUP($B17,HeatRateDegradation,$C17+1))/1000,0)</f>
        <v>#VALUE!</v>
      </c>
      <c r="CQ17" s="1316" t="e">
        <f aca="false">IF(OR(BQ17,BS17),VLOOKUP(A17,GasTable,13)*IF(EV17,HeatRatePeak,HeatRateOffPeak)*(1+VLOOKUP($B17,HeatRateDegradation,$C17+1))/1000,0)</f>
        <v>#VALUE!</v>
      </c>
      <c r="CR17" s="1537" t="e">
        <f aca="false">IF(OR(BQ17,BS17),VLOOKUP(A17,GasTable,13)*IF(EW17,HeatRatePeak,HeatRateOffPeak)*(1+VLOOKUP($B17,HeatRateDegradation,$C17+1))/1000,0)</f>
        <v>#VALUE!</v>
      </c>
      <c r="CS17" s="1538" t="e">
        <f aca="false">IF(BQ17,(CO17*AZ17+CP17*BA17+CQ17*BB17+CR17*BC17)/BQ17,0)</f>
        <v>#VALUE!</v>
      </c>
      <c r="CT17" s="1537" t="e">
        <f aca="false">IF(BS17,CO17,0)</f>
        <v>#VALUE!</v>
      </c>
      <c r="CU17" s="1539" t="e">
        <f aca="false">IF(OR(BQ17,BS17),VLOOKUP(A17,GasTable,14),"")</f>
        <v>#VALUE!</v>
      </c>
      <c r="CV17" s="1540" t="e">
        <f aca="false">IF(OR(BQ17,BS17),IF(CorrPowerGasOverFlag,INDEX(CorrPowerGasOver,C17),CorrPowerGas),"")</f>
        <v>#VALUE!</v>
      </c>
      <c r="CW17" s="1316" t="e">
        <f aca="false">IF(OR($BQ17,$BS17),SpreadOptPowerMargin,0)*((1+Assumptions!$C$26)^($B17-YEAR(Assumptions!$C$17)))</f>
        <v>#VALUE!</v>
      </c>
      <c r="CX17" s="1316" t="e">
        <f aca="false">IF(OR($BQ17,$BS17),SpreadOptPowerMargin,0)*((1+Assumptions!$C$26)^($B17-YEAR(Assumptions!$C$17)))</f>
        <v>#VALUE!</v>
      </c>
      <c r="CY17" s="1316" t="e">
        <f aca="false">IF(OR($BQ17,$BS17),SpreadOptPowerMargin,0)*((1+Assumptions!$C$26)^($B17-YEAR(Assumptions!$C$17)))</f>
        <v>#VALUE!</v>
      </c>
      <c r="CZ17" s="1316" t="e">
        <f aca="false">IF(OR($BQ17,$BS17),SpreadOptPowerMargin,0)*((1+Assumptions!$C$26)^($B17-YEAR(Assumptions!$C$17)))</f>
        <v>#VALUE!</v>
      </c>
      <c r="DA17" s="1541" t="e">
        <f aca="false">IF(OR(BQ17,BS17),(CW17*(AZ17+BH17)+CX17*(BA17+BI17)+CY17*(BB17+BJ17)+CZ17*(BC17+BK17))/(BQ17+BS17),0)</f>
        <v>#VALUE!</v>
      </c>
      <c r="DB17" s="1542" t="e">
        <f aca="false">IF(OR(BQ17,BS17),CG17+IF(OVolSmile,VLOOKUP(MAX(-5,CO17+CW17-BU17),IF(OVolSmile=1,VolSmileBook,VolSmileModel),2),0),"")</f>
        <v>#VALUE!</v>
      </c>
      <c r="DC17" s="1542" t="e">
        <f aca="false">IF(OR(BQ17,BS17),CH17+IF(OVolSmile,VLOOKUP(MAX(-5,CP17+CW17-BV17),IF(OVolSmile=1,VolSmileBook,VolSmileModel),2),0),"")</f>
        <v>#VALUE!</v>
      </c>
      <c r="DD17" s="1542" t="e">
        <f aca="false">IF(OR(BQ17,BS17),CI17+IF(OVolSmile,VLOOKUP(MAX(-5,CQ17+CW17-BW17),IF(OVolSmile=1,VolSmileBook,VolSmileModel),2),0),"")</f>
        <v>#VALUE!</v>
      </c>
      <c r="DE17" s="1542" t="e">
        <f aca="false">IF(OR(BQ17,BS17),CL17+IF(OVolSmile,VLOOKUP(MAX(-5,CR17+CZ17-BX17),IF(OVolSmile=1,VolSmileBook,VolSmileModel),2),0),"")</f>
        <v>#VALUE!</v>
      </c>
      <c r="DF17" s="1542" t="e">
        <f aca="false">IF(BQ17,CM17+IF(OVolSmile,VLOOKUP(MAX(-5,CS17+DA17-BZ17),IF(OVolSmile=1,VolSmileBook,VolSmileModel),2),0),"")</f>
        <v>#VALUE!</v>
      </c>
      <c r="DG17" s="1543" t="e">
        <f aca="false">IF(BS17,CN17+IF(OVolSmile,VLOOKUP(MAX(-5,CT17+DA17-CF17),IF(OVolSmile=1,VolSmileBook,VolSmileModel),2),0),"")</f>
        <v>#VALUE!</v>
      </c>
      <c r="DH17" s="1537" t="e">
        <f aca="false">IF(AND(BU17&gt;0,CO17&gt;0,DB17&gt;0,CU17&gt;0),newSPRDOPT(BU17,CO17,CW17,0,DB17,CU17,CV17,BT17*365.25,OCallPut,0),0)</f>
        <v>#VALUE!</v>
      </c>
      <c r="DI17" s="1537" t="e">
        <f aca="false">IF(AND(BV17&gt;0,CP17&gt;0,DC17&gt;0,CU17&gt;0),newSPRDOPT(BV17,CP17,CX17,0,DC17,CU17,CV17,BT17*365.25,OCallPut,0),0)</f>
        <v>#VALUE!</v>
      </c>
      <c r="DJ17" s="1537" t="e">
        <f aca="false">IF(AND(BW17&gt;0,CQ17&gt;0,DD17&gt;0,CU17&gt;0),newSPRDOPT(BW17,CQ17,CY17,0,DD17,CU17,CV17,BT17*365.25,OCallPut,0),0)</f>
        <v>#VALUE!</v>
      </c>
      <c r="DK17" s="1537" t="e">
        <f aca="false">IF(AND(BX17&gt;0,CR17&gt;0,DE17&gt;0,CU17&gt;0),newSPRDOPT(BX17,CR17,CZ17,0,DE17,CU17,CV17,BT17*365.25,OCallPut,0),0)</f>
        <v>#VALUE!</v>
      </c>
      <c r="DL17" s="1537" t="e">
        <f aca="false">IF(OVolType,IF(AND(BZ17&gt;0,CS17&gt;0,DF17&gt;0,CU17&gt;0),newSPRDOPT(BZ17,CS17,DA17,0,DF17,CU17,CV17,BT17*365.25,OCallPut,0),0),IF(BQ17,(DH17*AZ17+DI17*BA17+DJ17*BB17+DK17*BC17)/BQ17,0))</f>
        <v>#VALUE!</v>
      </c>
      <c r="DM17" s="1537" t="s">
        <v>1243</v>
      </c>
      <c r="DN17" s="1537" t="s">
        <v>1244</v>
      </c>
      <c r="DO17" s="1537" t="s">
        <v>1245</v>
      </c>
      <c r="DP17" s="1537" t="s">
        <v>1246</v>
      </c>
      <c r="DQ17" s="1537" t="s">
        <v>1247</v>
      </c>
      <c r="DR17" s="1537" t="s">
        <v>1248</v>
      </c>
      <c r="DS17" s="1537" t="s">
        <v>1249</v>
      </c>
      <c r="DT17" s="1537" t="s">
        <v>1250</v>
      </c>
      <c r="DU17" s="1537" t="s">
        <v>1251</v>
      </c>
      <c r="DV17" s="1537" t="s">
        <v>1252</v>
      </c>
      <c r="DW17" s="1544" t="e">
        <f aca="false">IF(AND(BW17&gt;0,CT17&gt;0,DD17&gt;0,CU17&gt;0),newSPRDOPT(BW17,CT17,CY17,0,DD17,CU17,CV17,BT17*365.25,OCallPut,0),0)</f>
        <v>#VALUE!</v>
      </c>
      <c r="DX17" s="1537" t="e">
        <f aca="false">IF(AND(BX17&gt;0,CT17&gt;0,DE17&gt;0,CU17&gt;0),newSPRDOPT(BX17,CT17,CZ17,0,DE17,CU17,CV17,BT17*365.25,OCallPut,0),0)</f>
        <v>#VALUE!</v>
      </c>
      <c r="DY17" s="1541" t="e">
        <f aca="false">IF(BS17,(DH17*BH17+DI17*BI17+DW17*BJ17+DX17*BK17)/BS17,0)</f>
        <v>#VALUE!</v>
      </c>
      <c r="DZ17" s="1545" t="e">
        <f aca="false">DH17*AZ17</f>
        <v>#VALUE!</v>
      </c>
      <c r="EA17" s="1545" t="e">
        <f aca="false">DI17*BA17</f>
        <v>#VALUE!</v>
      </c>
      <c r="EB17" s="1545" t="e">
        <f aca="false">DJ17*BB17</f>
        <v>#VALUE!</v>
      </c>
      <c r="EC17" s="1545" t="e">
        <f aca="false">DK17*BC17</f>
        <v>#VALUE!</v>
      </c>
      <c r="ED17" s="1545" t="e">
        <f aca="false">DL17*BQ17</f>
        <v>#VALUE!</v>
      </c>
      <c r="EE17" s="1546" t="e">
        <f aca="false">IF(BQ17,IF(OCallPut,IF(BU17&gt;(CO17+CW17),BU17-(CO17+CW17),0),IF((CO17+CW17)&gt;BU17,(CO17+CW17)-BU17,0))*AZ17,0)</f>
        <v>#VALUE!</v>
      </c>
      <c r="EF17" s="1547" t="e">
        <f aca="false">IF(BQ17,IF(OCallPut,IF(BV17&gt;(CP17+CX17),BV17-(CP17+CX17),0),IF((CP17+CX17)&gt;BV17,(CP17+CX17)-BV17,0))*BA17,0)</f>
        <v>#VALUE!</v>
      </c>
      <c r="EG17" s="1547" t="e">
        <f aca="false">IF(BQ17,IF(OCallPut,IF(BW17&gt;(CQ17+CY17),BW17-(CQ17+CY17),0),IF((CQ17+CY17)&gt;BW17,(CQ17+CY17)-BW17,0))*BB17,0)</f>
        <v>#VALUE!</v>
      </c>
      <c r="EH17" s="1547" t="e">
        <f aca="false">IF(BQ17,IF(OCallPut,IF(BX17&gt;(CR17+CZ17),BX17-(CR17+CZ17),0),IF((CR17+CZ17)&gt;BX17,(CR17+CZ17)-BX17,0))*BC17,0)</f>
        <v>#VALUE!</v>
      </c>
      <c r="EI17" s="1548" t="e">
        <f aca="false">IF(BQ17,IF(OVolType,IF(OCallPut,IF(BZ17&gt;(CS17+DA17),BZ17-(CS17+DA17),0),IF((CS17+DA17)&gt;BZ17,(CS17+DA17)-BZ17,0))*BQ17,SUM(EE17:EH17)),0)</f>
        <v>#VALUE!</v>
      </c>
      <c r="EJ17" s="1546" t="e">
        <f aca="false">DZ17-EE17</f>
        <v>#VALUE!</v>
      </c>
      <c r="EK17" s="1547" t="e">
        <f aca="false">EA17-EF17</f>
        <v>#VALUE!</v>
      </c>
      <c r="EL17" s="1547" t="e">
        <f aca="false">EB17-EG17</f>
        <v>#VALUE!</v>
      </c>
      <c r="EM17" s="1547" t="e">
        <f aca="false">EC17-EH17</f>
        <v>#VALUE!</v>
      </c>
      <c r="EN17" s="1548" t="e">
        <f aca="false">ED17-EI17</f>
        <v>#VALUE!</v>
      </c>
      <c r="EO17" s="1545" t="e">
        <f aca="false">DH17*BH17</f>
        <v>#VALUE!</v>
      </c>
      <c r="EP17" s="1545" t="e">
        <f aca="false">DI17*BI17</f>
        <v>#VALUE!</v>
      </c>
      <c r="EQ17" s="1545" t="e">
        <f aca="false">DW17*BJ17</f>
        <v>#VALUE!</v>
      </c>
      <c r="ER17" s="1545" t="e">
        <f aca="false">DX17*BK17</f>
        <v>#VALUE!</v>
      </c>
      <c r="ES17" s="1545" t="e">
        <f aca="false">DY17*BS17</f>
        <v>#VALUE!</v>
      </c>
      <c r="ET17" s="1549" t="e">
        <f aca="false">IF(BS17,IF(OCallPut,IF(CA17&gt;(CT17+CW17),CA17-(CT17+CW17),0),IF((CT17+CW17)&gt;CA17,(CT17+CW17)-CA17,0))*BH17,0)</f>
        <v>#VALUE!</v>
      </c>
      <c r="EU17" s="1545" t="e">
        <f aca="false">IF(BS17,IF(OCallPut,IF(CB17&gt;(CT17+CX17),CB17-(CT17+CX17),0),IF((CT17+CX17)&gt;CB17,(CT17+CX17)-CB17,0))*BI17,0)</f>
        <v>#VALUE!</v>
      </c>
      <c r="EV17" s="1545" t="e">
        <f aca="false">IF(BS17,IF(OCallPut,IF(CC17&gt;(CT17+CY17),CC17-(CT17+CY17),0),IF((CT17+CY17)&gt;CC17,(CT17+CY17)-CC17,0))*BJ17,0)</f>
        <v>#VALUE!</v>
      </c>
      <c r="EW17" s="1545" t="e">
        <f aca="false">IF(BS17,IF(OCallPut,IF(CD17&gt;(CT17+CZ17),CD17-(CT17+CZ17),0),IF((CT17+CZ17)&gt;CD17,(CT17+CZ17)-CD17,0))*BK17,0)</f>
        <v>#VALUE!</v>
      </c>
      <c r="EX17" s="1550" t="e">
        <f aca="false">IF(BS17,SUM(ET17:EW17),0)</f>
        <v>#VALUE!</v>
      </c>
      <c r="EY17" s="1551" t="e">
        <f aca="false">EO17-ET17</f>
        <v>#VALUE!</v>
      </c>
      <c r="EZ17" s="1551" t="e">
        <f aca="false">EP17-EU17</f>
        <v>#VALUE!</v>
      </c>
      <c r="FA17" s="1551" t="e">
        <f aca="false">EQ17-EV17</f>
        <v>#VALUE!</v>
      </c>
      <c r="FB17" s="1551" t="e">
        <f aca="false">ER17-EW17</f>
        <v>#VALUE!</v>
      </c>
      <c r="FC17" s="1551" t="e">
        <f aca="false">ES17-EX17</f>
        <v>#VALUE!</v>
      </c>
      <c r="FD17" s="1525" t="n">
        <f aca="false">IF(AX17,IF(VLOOKUP(C17,MAIN!$L$17:$M$28,2)="Yes",VLOOKUP(CALC!B17,MAIN!$H$17:$I$20,2),0),0)</f>
        <v>0</v>
      </c>
      <c r="FE17" s="1552" t="n">
        <f aca="false">$FD17*16*AT17*(1-$AY17)</f>
        <v>0</v>
      </c>
      <c r="FF17" s="1553" t="n">
        <f aca="false">$FD17*16*AU17*(1-$AY17)</f>
        <v>0</v>
      </c>
      <c r="FG17" s="1553" t="n">
        <f aca="false">$FD17*16*(AV17+AW17)*(1-$AY17)</f>
        <v>0</v>
      </c>
      <c r="FH17" s="1554" t="n">
        <f aca="false">$FD17*8*AX17*(1-$AY17)</f>
        <v>0</v>
      </c>
      <c r="FI17" s="1555" t="n">
        <f aca="false">IF(AX17,VLOOKUP(CALC!B17,MAIN!$H$17:$K$20,4),0)</f>
        <v>0</v>
      </c>
      <c r="FJ17" s="1553" t="n">
        <f aca="false">SUM(FE17:FH17)</f>
        <v>0</v>
      </c>
      <c r="FK17" s="1556" t="n">
        <f aca="false">FI17*FJ17</f>
        <v>0</v>
      </c>
      <c r="FL17" s="1551" t="e">
        <f aca="false">IF($EI17&gt;0,MIN(FE17,AZ17*(1+VLOOKUP($C17,WeatherCapacityAdjustment,2))),0)</f>
        <v>#VALUE!</v>
      </c>
      <c r="FM17" s="1551" t="e">
        <f aca="false">IF($EI17&gt;0,MIN(FF17,BA17*(1+VLOOKUP($C17,WeatherCapacityAdjustment,2))),0)</f>
        <v>#VALUE!</v>
      </c>
      <c r="FN17" s="1551" t="e">
        <f aca="false">IF($EI17&gt;0,MIN(FG17,BB17*(1+VLOOKUP($C17,WeatherCapacityAdjustment,2))),0)</f>
        <v>#VALUE!</v>
      </c>
      <c r="FO17" s="1557" t="e">
        <f aca="false">IF($EI17&gt;0,MIN(FH17,BC17*(1+VLOOKUP($C17,WeatherCapacityAdjustment,3))),0)</f>
        <v>#VALUE!</v>
      </c>
      <c r="FP17" s="1551" t="e">
        <f aca="false">IF(ET17&gt;0,MIN(FE17-FL17,BH17*(1+VLOOKUP($C17,WeatherCapacityAdjustment,2))),0)</f>
        <v>#VALUE!</v>
      </c>
      <c r="FQ17" s="1551" t="e">
        <f aca="false">IF(EU17&gt;0,MIN(FF17-FM17,BI17*(1+VLOOKUP($C17,WeatherCapacityAdjustment,2))),0)</f>
        <v>#VALUE!</v>
      </c>
      <c r="FR17" s="1551" t="e">
        <f aca="false">IF(EV17&gt;0,MIN(FG17-FN17,BJ17*(1+VLOOKUP($C17,WeatherCapacityAdjustment,2))),0)</f>
        <v>#VALUE!</v>
      </c>
      <c r="FS17" s="1558" t="e">
        <f aca="false">IF(EW17&gt;0,MIN(FH17-FO17,BK17*(1+VLOOKUP($C17,WeatherCapacityAdjustment,3))),0)</f>
        <v>#VALUE!</v>
      </c>
      <c r="FT17" s="1549" t="n">
        <f aca="false">IF(AND(Assumptions!$H$71="Yes",A17&gt;=Assumptions!$H$72,A17&lt;=Assumptions!$H$73),0,IF(AND($A17&gt;=Assumptions!$C$17,$A17&lt;=Assumptions!$C$18),MAX(AZ17*(1+VLOOKUP($C17,WeatherCapacityAdjustment,2))-FL17,0),0))</f>
        <v>0</v>
      </c>
      <c r="FU17" s="1545" t="n">
        <f aca="false">IF(AND(Assumptions!$H$71="Yes",A17&gt;=Assumptions!$H$72,A17&lt;=Assumptions!$H$73),0,IF(AND($A17&gt;=Assumptions!$C$17,$A17&lt;=Assumptions!$C$18),MAX(BA17*(1+VLOOKUP($C17,WeatherCapacityAdjustment,2))-FM17,0),0))</f>
        <v>0</v>
      </c>
      <c r="FV17" s="1545" t="n">
        <f aca="false">IF(AND(Assumptions!$H$71="Yes",A17&gt;=Assumptions!$H$72,A17&lt;=Assumptions!$H$73),0,IF(AND($A17&gt;=Assumptions!$C$17,$A17&lt;=Assumptions!$C$18),MAX(BB17*(1+VLOOKUP($C17,WeatherCapacityAdjustment,2))-FN17,0),0))</f>
        <v>0</v>
      </c>
      <c r="FW17" s="1557" t="n">
        <f aca="false">IF(AND(Assumptions!$H$71="Yes",A17&gt;=Assumptions!$H$72,A17&lt;=Assumptions!$H$73),0,IF(AND($A17&gt;=Assumptions!$C$17,$A17&lt;=Assumptions!$C$18),MAX(BC17*(1+VLOOKUP($C17,WeatherCapacityAdjustment,3))-FO17,0),0))</f>
        <v>0</v>
      </c>
      <c r="FX17" s="1559" t="e">
        <f aca="false">IF(AND(Assumptions!$H$71="Yes",A17&gt;=Assumptions!$H$72,A17&lt;=Assumptions!$H$73),0,IF(ET17&gt;0,MAX(BH17*(1+VLOOKUP($C17,WeatherCapacityAdjustment,2))-FP17,0),0))</f>
        <v>#VALUE!</v>
      </c>
      <c r="FY17" s="1545" t="e">
        <f aca="false">IF(AND(Assumptions!$H$71="Yes",A17&gt;=Assumptions!$H$72,A17&lt;=Assumptions!$H$73),0,IF(EU17&gt;0,MAX(BI17*(1+VLOOKUP($C17,WeatherCapacityAdjustment,3))-FQ17,0),0))</f>
        <v>#VALUE!</v>
      </c>
      <c r="FZ17" s="1545" t="e">
        <f aca="false">IF(AND(Assumptions!$H$71="Yes",A17&gt;=Assumptions!$H$72,A17&lt;=Assumptions!$H$73),0,IF(EV17&gt;0,MAX(BJ17*(1+VLOOKUP($C17,WeatherCapacityAdjustment,2))-FR17,0),0))</f>
        <v>#VALUE!</v>
      </c>
      <c r="GA17" s="1557" t="e">
        <f aca="false">IF(AND(Assumptions!$H$71="Yes",A17&gt;=Assumptions!$H$72,A17&lt;=Assumptions!$H$73),0,IF(EW17&gt;0,MAX(BK17*(1+VLOOKUP($C17,WeatherCapacityAdjustment,2))-FS17,0),0))</f>
        <v>#VALUE!</v>
      </c>
      <c r="GB17" s="1545" t="e">
        <f aca="false">SUM(FT17:GA17)</f>
        <v>#VALUE!</v>
      </c>
      <c r="GC17" s="1560" t="e">
        <f aca="false">+IF(SUM(FT17:GA17)=0,0,(SUMPRODUCT(BU17:BX17,FT17:FW17)+SUMPRODUCT(CA17:CD17,FX17:GA17))/SUM(FT17:GA17))</f>
        <v>#VALUE!</v>
      </c>
      <c r="GD17" s="1545" t="e">
        <f aca="false">(FT17*BU17+FX17*CA17+FU17*BV17+FY17*CB17+FV17*BW17+FZ17*CC17+FW17*BX17+GA17*CD17)</f>
        <v>#VALUE!</v>
      </c>
      <c r="GE17" s="1561" t="e">
        <f aca="false">+IF(BQ17,((FL17+FM17+FT17+FU17)*HeatRatePeak/1000*(1+VLOOKUP($C17,WeatherHeatRateAdjustment,2))+(FN17+FV17)*IF(EV17&gt;0,HeatRatePeak,HeatRateOffPeak)/1000*(1+VLOOKUP($C17,WeatherHeatRateAdjustment,2))+(FO17+FW17)*IF(EW17&gt;0,HeatRatePeak,HeatRateOffPeak)/1000*(1+VLOOKUP($C17,WeatherHeatRateAdjustment,3)))*(1+VLOOKUP($B17,HeatRateDegradation,$C17+1)),0)</f>
        <v>#VALUE!</v>
      </c>
      <c r="GF17" s="1562" t="e">
        <f aca="false">IF(BQ17,((FP17+FQ17+FR17+FX17+FY17+FZ17)*HeatRatePeak/1000*(1+VLOOKUP($C17,WeatherHeatRateAdjustment,2))+(FS17+GA17)*HeatRatePeak/1000*(1+VLOOKUP($C17,WeatherHeatRateAdjustment,3)))*(1+VLOOKUP($B17,HeatRateDegradation,$C17+1)),0)</f>
        <v>#VALUE!</v>
      </c>
      <c r="GG17" s="1563" t="e">
        <f aca="false">IF(BQ17,VLOOKUP(A17,GasTable,13),0)</f>
        <v>#VALUE!</v>
      </c>
      <c r="GH17" s="1564" t="e">
        <f aca="false">(GE17+GF17)*GG17</f>
        <v>#VALUE!</v>
      </c>
      <c r="GI17" s="1559" t="e">
        <f aca="false">GB17</f>
        <v>#VALUE!</v>
      </c>
      <c r="GJ17" s="1565" t="e">
        <f aca="false">+DA17</f>
        <v>#VALUE!</v>
      </c>
      <c r="GK17" s="1550" t="e">
        <f aca="false">+GI17*GJ17</f>
        <v>#VALUE!</v>
      </c>
      <c r="GL17" s="1549" t="e">
        <f aca="false">MAX(FE17-FL17-FP17,0)</f>
        <v>#VALUE!</v>
      </c>
      <c r="GM17" s="1545" t="e">
        <f aca="false">MAX(FF17-FM17-FQ17,0)</f>
        <v>#VALUE!</v>
      </c>
      <c r="GN17" s="1545" t="e">
        <f aca="false">MAX(FG17-FN17-FR17,0)</f>
        <v>#VALUE!</v>
      </c>
      <c r="GO17" s="1557" t="e">
        <f aca="false">MAX(FH17-FO17-FS17,0)</f>
        <v>#VALUE!</v>
      </c>
      <c r="GP17" s="1545" t="e">
        <f aca="false">SUM(GL17:GO17)</f>
        <v>#VALUE!</v>
      </c>
      <c r="GQ17" s="1560" t="e">
        <f aca="false">IF(SUM(GL17:GO17)=0,0,((GL17*BU17+GM17*BV17+GN17*BW17+GO17*BX17)/SUM(GL17:GO17)))</f>
        <v>#VALUE!</v>
      </c>
      <c r="GR17" s="1550" t="e">
        <f aca="false">(GL17*BU17+GM17*BV17+GN17*BW17+GO17*BX17)</f>
        <v>#VALUE!</v>
      </c>
      <c r="GS17" s="1566" t="n">
        <f aca="false">IF($A17&gt;=BegDate,Assumptions!$C$56*24*($A18-$A17)*(1-VLOOKUP($B17,MAIN!$AA$7:$AM$28,$C17+1))*(1-VLOOKUP($B17,MAIN!$AA$33:$AM$54,$C17+1)),0)*80/168</f>
        <v>0</v>
      </c>
      <c r="GT17" s="286" t="n">
        <f aca="false">J17</f>
        <v>0</v>
      </c>
      <c r="GU17" s="286" t="n">
        <f aca="false">IF($A17&gt;=BegDate,VLOOKUP($A17,GasTable,13)+Assumptions!$C$58,0)</f>
        <v>0</v>
      </c>
      <c r="GV17" s="286" t="n">
        <f aca="false">GU17*Assumptions!$C$57/1000</f>
        <v>0</v>
      </c>
      <c r="GW17" s="1558" t="n">
        <f aca="false">IF(Assumptions!$C$60="Hourly",MAX(0,GS17*(GT17-GV17)),GS17*(GT17-GV17))</f>
        <v>0</v>
      </c>
      <c r="GX17" s="1566" t="n">
        <f aca="false">IF($A17&gt;=BegDate,Assumptions!$C$56*24*($A18-$A17)*(1-VLOOKUP($B17,MAIN!$AA$7:$AM$28,$C17+1))*(1-VLOOKUP($B17,MAIN!$AA$33:$AM$54,$C17+1)),0)*16/168</f>
        <v>0</v>
      </c>
      <c r="GY17" s="286" t="n">
        <f aca="false">M17</f>
        <v>0</v>
      </c>
      <c r="GZ17" s="286" t="n">
        <f aca="false">IF($A17&gt;=BegDate,VLOOKUP($A17,GasTable,13)+Assumptions!$C$58,0)</f>
        <v>0</v>
      </c>
      <c r="HA17" s="286" t="n">
        <f aca="false">GZ17*Assumptions!$C$57/1000</f>
        <v>0</v>
      </c>
      <c r="HB17" s="1558" t="n">
        <f aca="false">IF(Assumptions!$C$60="Hourly",MAX(0,GX17*(GY17-HA17)),GX17*(GY17-HA17))</f>
        <v>0</v>
      </c>
      <c r="HC17" s="1566" t="n">
        <f aca="false">IF($A17&gt;=BegDate,Assumptions!$C$56*24*($A18-$A17)*(1-VLOOKUP($B17,MAIN!$AA$7:$AM$28,$C17+1))*(1-VLOOKUP($B17,MAIN!$AA$33:$AM$54,$C17+1)),0)*16/168</f>
        <v>0</v>
      </c>
      <c r="HD17" s="286" t="n">
        <f aca="false">P17</f>
        <v>0</v>
      </c>
      <c r="HE17" s="286" t="n">
        <f aca="false">IF($A17&gt;=BegDate,VLOOKUP($A17,GasTable,13)+Assumptions!$C$58,0)</f>
        <v>0</v>
      </c>
      <c r="HF17" s="286" t="n">
        <f aca="false">HE17*Assumptions!$C$57/1000</f>
        <v>0</v>
      </c>
      <c r="HG17" s="1558" t="n">
        <f aca="false">IF(Assumptions!$C$60="Hourly",MAX(0,HC17*(HD17-HF17)),HC17*(HD17-HF17))</f>
        <v>0</v>
      </c>
      <c r="HH17" s="1566" t="n">
        <f aca="false">IF($A17&gt;=BegDate,Assumptions!$C$56*24*($A18-$A17)*(1-VLOOKUP($B17,MAIN!$AA$7:$AM$28,$C17+1))*(1-VLOOKUP($B17,MAIN!$AA$33:$AM$54,$C17+1)),0)*56/168</f>
        <v>0</v>
      </c>
      <c r="HI17" s="286" t="n">
        <f aca="false">S17</f>
        <v>0</v>
      </c>
      <c r="HJ17" s="286" t="n">
        <f aca="false">IF($A17&gt;=BegDate,VLOOKUP($A17,GasTable,13)+Assumptions!$C$58,0)</f>
        <v>0</v>
      </c>
      <c r="HK17" s="286" t="n">
        <f aca="false">HJ17*Assumptions!$C$57/1000</f>
        <v>0</v>
      </c>
      <c r="HL17" s="1558" t="n">
        <f aca="false">IF(Assumptions!$C$60="Hourly",MAX(0,HH17*(HI17-HK17)),HH17*(HI17-HK17))</f>
        <v>0</v>
      </c>
      <c r="HM17" s="1566" t="n">
        <f aca="false">IF(AND(Assumptions!$H$71="Yes",A17&gt;=Assumptions!$H$72,A17&lt;=Assumptions!$H$73),Assumptions!$H$74*Assumptions!$C$9*1000,0)</f>
        <v>0</v>
      </c>
      <c r="HN17" s="1558"/>
      <c r="HO17" s="1567" t="n">
        <f aca="false">YEAR(Template!$I$3)</f>
        <v>2003</v>
      </c>
      <c r="HP17" s="1566" t="e">
        <f aca="false">SUMIF($B$17:$B$292,HO17,$FJ$17:$FJ$292)</f>
        <v>#VALUE!</v>
      </c>
      <c r="HQ17" s="1568" t="e">
        <f aca="false">IF(HR17=0,0,HR17/HP17)</f>
        <v>#VALUE!</v>
      </c>
      <c r="HR17" s="1564" t="e">
        <f aca="false">SUMIF($B$17:$B$292,HO17,$FK$17:$FK$292)</f>
        <v>#VALUE!</v>
      </c>
      <c r="HS17" s="1569" t="e">
        <f aca="false">SUMIF($B$17:$B$292,HO17,$GB$17:$GB$292)</f>
        <v>#VALUE!</v>
      </c>
      <c r="HT17" s="1563" t="e">
        <f aca="false">+IF(HS17&gt;0,HU17/HS17,0)</f>
        <v>#VALUE!</v>
      </c>
      <c r="HU17" s="1551" t="e">
        <f aca="false">SUMIF($B$17:$B$292,HO17,$GD$17:$GD$292)</f>
        <v>#VALUE!</v>
      </c>
      <c r="HV17" s="1559" t="e">
        <f aca="false">HR17+HU17</f>
        <v>#VALUE!</v>
      </c>
      <c r="HW17" s="1551" t="e">
        <f aca="false">SUMIF($B$17:$B$292,$HO17,$EN$17:$EN$292)</f>
        <v>#VALUE!</v>
      </c>
      <c r="HX17" s="1551" t="e">
        <f aca="false">SUMIF($B$17:$B$292,$HO17,$FC$17:$FC$292)</f>
        <v>#VALUE!</v>
      </c>
      <c r="HY17" s="1551" t="n">
        <f aca="false">IF(Assumptions!$L$24="Yes",HW17+HX17,0)</f>
        <v>0</v>
      </c>
      <c r="HZ17" s="1566" t="e">
        <f aca="false">SUMIF($B$17:$B$292,HO17,$GE$17:$GE$292)+SUMIF($B$17:$B$292,HO17,$GF$17:$GF$292)</f>
        <v>#VALUE!</v>
      </c>
      <c r="IA17" s="1563" t="e">
        <f aca="false">IF(IB17=0,0,IB17/HZ17)</f>
        <v>#VALUE!</v>
      </c>
      <c r="IB17" s="1564" t="e">
        <f aca="false">-SUMIF($B$17:$B$292,HO17,$GH$17:$GH$292)</f>
        <v>#VALUE!</v>
      </c>
      <c r="IC17" s="1569" t="e">
        <f aca="false">SUMIF($B$17:$B$292,HO17,$GI$17:$GI$292)</f>
        <v>#VALUE!</v>
      </c>
      <c r="ID17" s="1563" t="e">
        <f aca="false">IF(IE17=0,0,IE17/IC17)</f>
        <v>#VALUE!</v>
      </c>
      <c r="IE17" s="1564" t="e">
        <f aca="false">-SUMIF($B$17:$B$292,HO17,$GK$17:$GK$292)</f>
        <v>#VALUE!</v>
      </c>
      <c r="IF17" s="1551" t="e">
        <f aca="false">SUMIF($B$17:$B$292,HO17,$GP$17:$GP$292)</f>
        <v>#VALUE!</v>
      </c>
      <c r="IG17" s="1563" t="e">
        <f aca="false">IF(IH17=0,0,IH17/IF17)</f>
        <v>#VALUE!</v>
      </c>
      <c r="IH17" s="1564" t="e">
        <f aca="false">-SUMIF($B$17:$B$292,HO17,$GR$17:$GR$292)</f>
        <v>#VALUE!</v>
      </c>
      <c r="II17" s="1570" t="n">
        <f aca="false">(SUMIF($B$17:$B$292,HO17,$GW$17:$GW$292)+SUMIF($B$17:$B$292,HO17,$HB$17:$HB$292)+SUMIF($B$17:$B$292,HO17,$HG$17:$HG$292)+SUMIF($B$17:$B$292,HO17,$HL$17:$HL$292))*Assumptions!$C$59</f>
        <v>563331.577588495</v>
      </c>
      <c r="IJ17" s="1309" t="n">
        <f aca="false">SUMIF($B$17:$B$292,HO17,$HM$17:$HM$292)</f>
        <v>0</v>
      </c>
      <c r="IK17" s="1309"/>
    </row>
    <row r="18" customFormat="false" ht="12.75" hidden="false" customHeight="false" outlineLevel="0" collapsed="false">
      <c r="A18" s="1571" t="n">
        <f aca="false">EOMONTH(A17,0)+1</f>
        <v>36678</v>
      </c>
      <c r="B18" s="594" t="n">
        <f aca="false">+YEAR(A18)</f>
        <v>2000</v>
      </c>
      <c r="C18" s="238" t="n">
        <f aca="false">MONTH(A18)</f>
        <v>6</v>
      </c>
      <c r="D18" s="1572" t="str">
        <f aca="false">IF(E18="","",Holiday(B18,C18))</f>
        <v/>
      </c>
      <c r="E18" s="1573" t="str">
        <f aca="false">IF(OR(BegDate&gt;=A19,EndDate&lt;A18,AND(VolumeMonthlyOverFlag,INDEX(VolumeMonthlyOver,C18)=0),NOT(INDEX(MonthKnockOutTable,C18))),"",MAX(A18,BegDate))</f>
        <v/>
      </c>
      <c r="F18" s="1574" t="str">
        <f aca="false">IF(E18="","",MIN(A19-1,EndDate))</f>
        <v/>
      </c>
      <c r="G18" s="1575" t="n">
        <v>0</v>
      </c>
      <c r="H18" s="1576" t="n">
        <f aca="false">(1+G18/2)^(-2*(DATE(B19,C19,20)-DateToday)/365.25)</f>
        <v>1</v>
      </c>
      <c r="I18" s="1577" t="n">
        <f aca="false">IF(Assumptions!$L$25=4,'Henwood Reference'!N25,IF(A18=H5,VLOOKUP(A19-1,PriceTable,2,0)+IF(BasisNumber&lt;&gt;1,VLOOKUP(A19-1,BasisTable,2,0),0),VLOOKUP(A18,PriceTable,2,0)+IF(BasisNumber&lt;&gt;1,VLOOKUP(A18,BasisTable,2,0),0)+$I$1)/(1-$I$2))</f>
        <v>0</v>
      </c>
      <c r="J18" s="1577" t="n">
        <f aca="false">IF(Assumptions!$L$25=4,'Henwood Reference'!N25,IF(A18=H5,VLOOKUP(A19-1,PriceTable,3,0)+IF(BasisNumber&lt;&gt;1,VLOOKUP(A19-1,BasisTable,2,0),0),VLOOKUP(A18,PriceTable,3,0)+IF(BasisNumber&lt;&gt;1,VLOOKUP(A18,BasisTable,2,0),0)+$J$1)/(1-$J$2))</f>
        <v>0</v>
      </c>
      <c r="K18" s="1578" t="n">
        <f aca="false">IF(Assumptions!$L$25=4,'Henwood Reference'!N25,IF(A18=H5,VLOOKUP(A19-1,PriceTable,4,0)+IF(BasisNumber&lt;&gt;1,VLOOKUP(A19-1,BasisTable,2,0),0),VLOOKUP(A18,PriceTable,4,0)+IF(BasisNumber&lt;&gt;1,VLOOKUP(A18,BasisTable,2,0),0)+$K$1)/(1-$K$2))</f>
        <v>0</v>
      </c>
      <c r="L18" s="1579" t="n">
        <f aca="false">IF(Assumptions!$L$25=4,'Henwood Reference'!N25,(VLOOKUP(A18,PriceTableWeekend,2,0)+IF(BasisNumber&lt;&gt;1,VLOOKUP(IF(A18=H5,A19-1,A18),BasisTable,2,0),0)+$L$1)/(1-$L$2))</f>
        <v>0</v>
      </c>
      <c r="M18" s="1577" t="n">
        <f aca="false">IF(Assumptions!$L$25=4,'Henwood Reference'!N25,(VLOOKUP(A18,PriceTableWeekend,3,0)+IF(BasisNumber&lt;&gt;1,VLOOKUP(IF(A18=H5,A19-1,A18),BasisTable,2,0),0)+$M$1)/(1-$M$2))</f>
        <v>0</v>
      </c>
      <c r="N18" s="1578" t="n">
        <f aca="false">IF(Assumptions!$L$25=4,'Henwood Reference'!N25,(VLOOKUP(A18,PriceTableWeekend,4,0)+IF(BasisNumber&lt;&gt;1,VLOOKUP(IF(A18=H5,A19-1,A18),BasisTable,2,0),0)+$N$1)/(1-$N$2))</f>
        <v>0</v>
      </c>
      <c r="O18" s="1577" t="n">
        <f aca="false">IF(Assumptions!$L$25=4,'Henwood Reference'!O25,(VLOOKUP(A18,PriceTableWeekend,6,0)+IF(BasisNumber&lt;&gt;1,VLOOKUP(IF(A18=H5,A19-1,A18),BasisTable,3,0),0)+$O$1)/(1-$O$2))</f>
        <v>0</v>
      </c>
      <c r="P18" s="1577" t="n">
        <f aca="false">IF(Assumptions!$L$25=4,'Henwood Reference'!O25,(VLOOKUP(A18,PriceTableWeekend,7,0)+IF(BasisNumber&lt;&gt;1,VLOOKUP(IF(A18=H5,A19-1,A18),BasisTable,3,0),0)+$P$1)/(1-$P$2))</f>
        <v>0</v>
      </c>
      <c r="Q18" s="1578" t="n">
        <f aca="false">IF(Assumptions!$L$25=4,'Henwood Reference'!O25,(VLOOKUP(A18,PriceTableWeekend,8,0)+IF(BasisNumber&lt;&gt;1,VLOOKUP(IF(A18=H5,A19-1,A18),BasisTable,3,0),0)+$Q$1)/(1-$Q$2))</f>
        <v>0</v>
      </c>
      <c r="R18" s="1577" t="n">
        <f aca="false">IF(Assumptions!$L$25=4,'Henwood Reference'!O25,IF(A18=H5,VLOOKUP(A19-1,PriceTable,6,0)+IF(BasisNumber&lt;&gt;1,VLOOKUP(A19-1,BasisTable,3,0),0),VLOOKUP(A18,PriceTable,6,0)+IF(BasisNumber&lt;&gt;1,VLOOKUP(A18,BasisTable,3,0),0)+$R$1)/(1-$R$2))</f>
        <v>0</v>
      </c>
      <c r="S18" s="1577" t="n">
        <f aca="false">IF(Assumptions!$L$25=4,'Henwood Reference'!O25,IF(A18=H5,VLOOKUP(A19-1,PriceTable,7,0)+IF(BasisNumber&lt;&gt;1,VLOOKUP(A19-1,BasisTable,3,0),0),VLOOKUP(A18,PriceTable,7,0)+IF(BasisNumber&lt;&gt;1,VLOOKUP(A18,BasisTable,3,0),0)+$S$1)/(1-$S$2))</f>
        <v>0</v>
      </c>
      <c r="T18" s="1580" t="n">
        <f aca="false">IF(Assumptions!$L$25=4,'Henwood Reference'!O25,IF(A18=H5,VLOOKUP(A19-1,PriceTable,8,0)+IF(BasisNumber&lt;&gt;1,VLOOKUP(A19-1,BasisTable,3,0),0),VLOOKUP(A18,PriceTable,8,0)+IF(BasisNumber&lt;&gt;1,VLOOKUP(A18,BasisTable,3,0),0)+$T$1)/(1-$T$2))</f>
        <v>0</v>
      </c>
      <c r="U18" s="1513" t="n">
        <f aca="false">VLOOKUP($A18,VolatilityTable,14)</f>
        <v>0.22</v>
      </c>
      <c r="V18" s="1513" t="n">
        <f aca="false">VLOOKUP($A18,VolatilityTable,15)</f>
        <v>0.27</v>
      </c>
      <c r="W18" s="1514" t="n">
        <f aca="false">VLOOKUP($A18,VolatilityTable,16)</f>
        <v>0.28</v>
      </c>
      <c r="X18" s="1513" t="n">
        <f aca="false">VLOOKUP($A18,VolatilityTable,14)</f>
        <v>0.22</v>
      </c>
      <c r="Y18" s="1513" t="n">
        <f aca="false">VLOOKUP($A18,VolatilityTable,15)</f>
        <v>0.27</v>
      </c>
      <c r="Z18" s="1514" t="n">
        <f aca="false">VLOOKUP($A18,VolatilityTable,16)</f>
        <v>0.28</v>
      </c>
      <c r="AA18" s="1513" t="n">
        <f aca="false">VLOOKUP($A18,VolatilityTable,18)</f>
        <v>0.05</v>
      </c>
      <c r="AB18" s="1513" t="n">
        <f aca="false">VLOOKUP($A18,VolatilityTable,19)</f>
        <v>0.11</v>
      </c>
      <c r="AC18" s="1514" t="n">
        <f aca="false">VLOOKUP($A18,VolatilityTable,20)</f>
        <v>0.15</v>
      </c>
      <c r="AD18" s="1513" t="n">
        <f aca="false">VLOOKUP($A18,VolatilityTable,18)</f>
        <v>0.05</v>
      </c>
      <c r="AE18" s="1513" t="n">
        <f aca="false">VLOOKUP($A18,VolatilityTable,19)</f>
        <v>0.11</v>
      </c>
      <c r="AF18" s="1514" t="n">
        <f aca="false">VLOOKUP($A18,VolatilityTable,20)</f>
        <v>0.15</v>
      </c>
      <c r="AG18" s="1513" t="n">
        <f aca="false">VLOOKUP($A18,VolatilityTable,22)</f>
        <v>-0.35</v>
      </c>
      <c r="AH18" s="1513" t="n">
        <f aca="false">VLOOKUP($A18,VolatilityTable,23)</f>
        <v>0.65</v>
      </c>
      <c r="AI18" s="1514" t="n">
        <f aca="false">VLOOKUP($A18,VolatilityTable,24)</f>
        <v>0.2</v>
      </c>
      <c r="AJ18" s="1513" t="n">
        <f aca="false">VLOOKUP($A18,VolatilityTable,22)</f>
        <v>-0.35</v>
      </c>
      <c r="AK18" s="1513" t="n">
        <f aca="false">VLOOKUP($A18,VolatilityTable,23)</f>
        <v>0.65</v>
      </c>
      <c r="AL18" s="1514" t="n">
        <f aca="false">VLOOKUP($A18,VolatilityTable,24)</f>
        <v>0.2</v>
      </c>
      <c r="AM18" s="1513" t="n">
        <f aca="false">VLOOKUP($A18,VolatilityTable,26)</f>
        <v>-0.01</v>
      </c>
      <c r="AN18" s="1513" t="n">
        <f aca="false">VLOOKUP($A18,VolatilityTable,27)</f>
        <v>0.16</v>
      </c>
      <c r="AO18" s="1514" t="n">
        <f aca="false">VLOOKUP($A18,VolatilityTable,28)</f>
        <v>0.01</v>
      </c>
      <c r="AP18" s="1513" t="n">
        <f aca="false">VLOOKUP($A18,VolatilityTable,26)</f>
        <v>-0.01</v>
      </c>
      <c r="AQ18" s="1513" t="n">
        <f aca="false">VLOOKUP($A18,VolatilityTable,27)</f>
        <v>0.16</v>
      </c>
      <c r="AR18" s="1515" t="n">
        <f aca="false">VLOOKUP($A18,VolatilityTable,28)</f>
        <v>0.01</v>
      </c>
      <c r="AS18" s="1581" t="n">
        <f aca="false">IF(CorrPeakOffPeakOverFlag,INDEX(CorrPeakOffPeakOver,C18),CorrPeakOffPeak)</f>
        <v>0.5</v>
      </c>
      <c r="AT18" s="594" t="n">
        <f aca="false">AX18-SUM(AU18:AW18)</f>
        <v>0</v>
      </c>
      <c r="AU18" s="238" t="n">
        <f aca="false">IF(E18="",0,INT((F18-MOD(F18,7)-E18)/7)+1-IF(AW18,IF(WEEKDAY(D18)=7,1,0),0))</f>
        <v>0</v>
      </c>
      <c r="AV18" s="238" t="n">
        <f aca="false">IF(E18="",0,INT((F18-MOD(F18-1,7)-E18)/7)+1-IF(AW18,IF(WEEKDAY(D18)=1,1,0),0))</f>
        <v>0</v>
      </c>
      <c r="AW18" s="238" t="n">
        <f aca="false">IF(OR(E18="",D18="",D18&lt;BegDate,D18&gt;EndDate),0,1)</f>
        <v>0</v>
      </c>
      <c r="AX18" s="238" t="n">
        <f aca="false">IF(E18="",0,F18-E18+1)</f>
        <v>0</v>
      </c>
      <c r="AY18" s="1582" t="n">
        <f aca="false">IF(E18="",0,MIN((1-(1-VLOOKUP(B18,MAIN!$AA$7:$AM$28,C18+1))*(1-VLOOKUP(B18,MAIN!$AA$33:$AM$54,C18+1))),1))</f>
        <v>0</v>
      </c>
      <c r="AZ18" s="1519" t="e">
        <v>#VALUE!</v>
      </c>
      <c r="BA18" s="1520" t="e">
        <v>#VALUE!</v>
      </c>
      <c r="BB18" s="1520" t="e">
        <v>#VALUE!</v>
      </c>
      <c r="BC18" s="1583" t="e">
        <v>#VALUE!</v>
      </c>
      <c r="BD18" s="1522" t="e">
        <v>#VALUE!</v>
      </c>
      <c r="BE18" s="1523" t="e">
        <v>#VALUE!</v>
      </c>
      <c r="BF18" s="1523" t="e">
        <v>#VALUE!</v>
      </c>
      <c r="BG18" s="1584" t="e">
        <v>#VALUE!</v>
      </c>
      <c r="BH18" s="1525" t="e">
        <v>#VALUE!</v>
      </c>
      <c r="BI18" s="1520" t="e">
        <v>#VALUE!</v>
      </c>
      <c r="BJ18" s="1520" t="e">
        <v>#VALUE!</v>
      </c>
      <c r="BK18" s="1583" t="e">
        <v>#VALUE!</v>
      </c>
      <c r="BL18" s="1522" t="e">
        <v>#VALUE!</v>
      </c>
      <c r="BM18" s="1523" t="e">
        <v>#VALUE!</v>
      </c>
      <c r="BN18" s="1523" t="e">
        <v>#VALUE!</v>
      </c>
      <c r="BO18" s="1523" t="e">
        <v>#VALUE!</v>
      </c>
      <c r="BP18" s="1525" t="e">
        <f aca="false">SUM(AZ18:BB18)</f>
        <v>#VALUE!</v>
      </c>
      <c r="BQ18" s="1529" t="e">
        <f aca="false">SUM(AZ18:BC18)</f>
        <v>#VALUE!</v>
      </c>
      <c r="BR18" s="1519" t="e">
        <f aca="false">SUM(BH18:BJ18)</f>
        <v>#VALUE!</v>
      </c>
      <c r="BS18" s="1529" t="e">
        <f aca="false">SUM(BH18:BK18)</f>
        <v>#VALUE!</v>
      </c>
      <c r="BT18" s="1316" t="n">
        <f aca="false">(IF(OVolType&lt;&gt;2,A18+14,IF(OptExpDateShift,ShiftBack(A18,OptExpDateShift,D17),A18))-DateToday)/365.25</f>
        <v>0.131416837782341</v>
      </c>
      <c r="BU18" s="1585" t="e">
        <f aca="false">IF(BQ18,IF(OPriceCurve,IF(OBuySell=OCallPut,I18/(1-AY18),K18/(1-AY18)),J18/(1-AY18))*BD18,0)</f>
        <v>#VALUE!</v>
      </c>
      <c r="BV18" s="1316" t="e">
        <f aca="false">IF(BQ18,IF(OPriceCurve,IF(OBuySell=OCallPut,L18/(1-AY18),N18/(1-AY18)),M18/(1-AY18))*BE18,0)</f>
        <v>#VALUE!</v>
      </c>
      <c r="BW18" s="1316" t="e">
        <f aca="false">IF(BQ18,IF(OPriceCurve,IF(OBuySell=OCallPut,O18/(1-AY18),Q18/(1-AY18)),P18/(1-AY18))*BF18,0)</f>
        <v>#VALUE!</v>
      </c>
      <c r="BX18" s="1316" t="e">
        <f aca="false">IF(BQ18,IF(OPriceCurve,IF(OBuySell=OCallPut,R18/(1-AY18),T18/(1-AY18)),S18/(1-AY18))*BG18,0)</f>
        <v>#VALUE!</v>
      </c>
      <c r="BY18" s="1316" t="e">
        <f aca="false">IF(BP18,(BU18*AZ18+BV18*BA18+BW18*BB18)/BP18,0)</f>
        <v>#VALUE!</v>
      </c>
      <c r="BZ18" s="1316" t="e">
        <f aca="false">IF(BQ18,(BY18*BP18+BX18*BC18)/BQ18,0)</f>
        <v>#VALUE!</v>
      </c>
      <c r="CA18" s="1531" t="e">
        <f aca="false">IF(BS18,IF(OPriceCurve,IF(OBuySell=OCallPut,I18/(1-AY18),K18/(1-AY18)),J18/(1-AY18))*BL18,0)</f>
        <v>#VALUE!</v>
      </c>
      <c r="CB18" s="1316" t="e">
        <f aca="false">IF(BS18,IF(OPriceCurve,IF(OBuySell=OCallPut,L18/(1-AY18),N18/(1-AY18)),M18/(1-AY18))*BM18,0)</f>
        <v>#VALUE!</v>
      </c>
      <c r="CC18" s="1316" t="e">
        <f aca="false">IF(BS18,IF(OPriceCurve,IF(OBuySell=OCallPut,O18/(1-AY18),Q18/(1-AY18)),P18/(1-AY18))*BN18,0)</f>
        <v>#VALUE!</v>
      </c>
      <c r="CD18" s="1316" t="e">
        <f aca="false">IF(BS18,IF(OPriceCurve,IF(OBuySell=OCallPut,R18/(1-AY18),T18/(1-AY18)),S18/(1-AY18))*BO18,0)</f>
        <v>#VALUE!</v>
      </c>
      <c r="CE18" s="1316" t="e">
        <f aca="false">IF(BR18,(BU18*BH18+BV18*BI18+BW18*BJ18)/BR18,0)</f>
        <v>#VALUE!</v>
      </c>
      <c r="CF18" s="1532" t="e">
        <f aca="false">IF(BS18,(CE18*BR18+CD18*BK18)/BS18,0)</f>
        <v>#VALUE!</v>
      </c>
      <c r="CG18" s="1586" t="e">
        <f aca="false">IF(OR(BQ18,BS18),IF(OVolType&lt;&gt;2,SQRT(IF(OVolOverMonthlyPeak,OVolOverMonthlyPeak,IF(OVolCurve,IF(OBuySell,U18,W18),V18))^2*(1-15/365.25/BT18)+IF(OVolOverDailyPeak,OVolOverDailyPeak,IF(OVolCurve,IF(OBuySell,AG18,AI18),AH18))^2*15/365.25/BT18),IF(OVolOverMonthlyPeak,OVolOverMonthlyPeak,IF(OVolCurve,IF(OBuySell,U18,W18),V18))),"")</f>
        <v>#VALUE!</v>
      </c>
      <c r="CH18" s="1587" t="e">
        <f aca="false">IF(OR(BQ18,BS18),IF(OVolType&lt;&gt;2,SQRT(IF(OVolOverMonthlyPeak,OVolOverMonthlyPeak,IF(OVolCurve,IF(OBuySell,X18,Z18),Y18))^2*(1-15/365.25/BT18)+IF(OVolOverDailyPeak,OVolOverDailyPeak,IF(OVolCurve,IF(OBuySell,AJ18,AL18),AK18))^2*15/365.25/BT18),IF(OVolOverMonthlyPeak,OVolOverMonthlyPeak,IF(OVolCurve,IF(OBuySell,X18,Z18),Y18))),"")</f>
        <v>#VALUE!</v>
      </c>
      <c r="CI18" s="1587" t="e">
        <f aca="false">IF(OR(BQ18,BS18),IF(OVolType&lt;&gt;2,SQRT(IF(OVolOverMonthlyPeak,OVolOverMonthlyPeak,IF(OVolCurve,IF(OBuySell,AA18,AC18),AB18))^2*(1-15/365.25/BT18)+IF(OVolOverDailyPeak,OVolOverDailyPeak,IF(OVolCurve,IF(OBuySell,AM18,AO18),AN18))^2*15/365.25/BT18),IF(OVolOverMonthlyPeak,OVolOverMonthlyPeak,IF(OVolCurve,IF(OBuySell,AA18,AC18),AB18))),"")</f>
        <v>#VALUE!</v>
      </c>
      <c r="CJ18" s="1587" t="e">
        <f aca="false">IF(BQ18,IF(BP18,SQRT(LN(1+((BU18*AZ18)^2*(EXP(CG18^2*BT18)-1)+(BV18*BA18)^2*(EXP(CH18^2*BT18)-1)+(BW18*BB18)^2*(EXP(CI18^2*BT18)-1)+2*BU18*AZ18*BV18*BA18*(EXP(CG18*CH18*BT18)-1)+2*BV18*BA18*BW18*BB18*(EXP(CH18*CI18*BT18)-1)+2*BW18*BB18*BU18*AZ18*(EXP(CI18*CG18*BT18)-1))/(BY18*BP18)^2)/BT18),0),"")</f>
        <v>#VALUE!</v>
      </c>
      <c r="CK18" s="1587" t="e">
        <f aca="false">IF(BS18,IF(BR18,SQRT(LN(1+((CA18*BH18)^2*(EXP(CG18^2*BT18)-1)+(CB18*BI18)^2*(EXP(CH18^2*BT18)-1)+(CC18*BJ18)^2*(EXP(CI18^2*BT18)-1)+2*CA18*BH18*CB18*BI18*(EXP(CG18*CH18*BT18)-1)+2*CB18*BI18*CC18*BJ18*(EXP(CH18*CI18*BT18)-1)+2*CC18*BJ18*CA18*BH18*(EXP(CI18*CG18*BT18)-1))/(CE18*BR18)^2)/BT18),0),"")</f>
        <v>#VALUE!</v>
      </c>
      <c r="CL18" s="1587" t="e">
        <f aca="false">IF(OR(BQ18,BS18),IF(OVolType&lt;&gt;2,SQRT(IF(OVolOverMonthlyOffPeak,OVolOverMonthlyOffPeak,IF(OVolCurve,IF(OBuySell,AD18,AF18),AE18))^2*(1-15/365.25/BT18)+IF(OVolOverDailyOffPeak,OVolOverDailyOffPeak,IF(OVolCurve,IF(OBuySell,AP18,AR18),AQ18))^2*15/365.25/BT18),IF(OVolOverMonthlyOffPeak,OVolOverMonthlyOffPeak,IF(OVolCurve,IF(OBuySell,AD18,AF18),AE18))),"")</f>
        <v>#VALUE!</v>
      </c>
      <c r="CM18" s="1587" t="e">
        <f aca="false">IF(BQ18,SQRT(LN(1+((BY18*BP18)^2*(EXP(CJ18^2*BT18)-1)+(BX18*BC18)^2*(EXP(CL18^2*BT18)-1)+2*BY18*BP18*BX18*BC18*(EXP(AS18*CJ18*CL18*BT18)-1))/(BY18*BP18+BX18*BC18)^2)/BT18),"")</f>
        <v>#VALUE!</v>
      </c>
      <c r="CN18" s="1588" t="e">
        <f aca="false">IF(BS18,SQRT(LN(1+((CE18*BR18)^2*(EXP(CK18^2*BT18)-1)+(CD18*BK18)^2*(EXP(CL18^2*BT18)-1)+2*CE18*BR18*CD18*BK18*(EXP(AS18*CK18*CL18*BT18)-1))/(CE18*BR18+CD18*BK18)^2)/BT18),"")</f>
        <v>#VALUE!</v>
      </c>
      <c r="CO18" s="1531" t="e">
        <f aca="false">IF(OR(BQ18,BS18),VLOOKUP(A18,GasTable,13)*HeatRatePeak*VLOOKUP($B18,MAIN!$AB$59:$AM$80,$C18+1)/1000,0)</f>
        <v>#VALUE!</v>
      </c>
      <c r="CP18" s="1316" t="e">
        <f aca="false">IF(OR(BQ18,BS18),VLOOKUP(A18,GasTable,13)*HeatRatePeak*(1+VLOOKUP($B18,HeatRateDegradation,$C18+1))/1000,0)</f>
        <v>#VALUE!</v>
      </c>
      <c r="CQ18" s="1316" t="e">
        <f aca="false">IF(OR(BQ18,BS18),VLOOKUP(A18,GasTable,13)*IF(EV18,HeatRatePeak,HeatRateOffPeak)*(1+VLOOKUP($B18,HeatRateDegradation,$C18+1))/1000,0)</f>
        <v>#VALUE!</v>
      </c>
      <c r="CR18" s="1316" t="e">
        <f aca="false">IF(OR(BQ18,BS18),VLOOKUP(A18,GasTable,13)*IF(EW18,HeatRatePeak,HeatRateOffPeak)*(1+VLOOKUP($B18,HeatRateDegradation,$C18+1))/1000,0)</f>
        <v>#VALUE!</v>
      </c>
      <c r="CS18" s="1589" t="e">
        <f aca="false">IF(BQ18,(CO18*AZ18+CP18*BA18+CQ18*BB18+CR18*BC18)/BQ18,0)</f>
        <v>#VALUE!</v>
      </c>
      <c r="CT18" s="1316" t="e">
        <f aca="false">IF(BS18,CO18,0)</f>
        <v>#VALUE!</v>
      </c>
      <c r="CU18" s="1590" t="e">
        <f aca="false">IF(OR(BQ18,BS18),VLOOKUP(A18,GasTable,14),"")</f>
        <v>#VALUE!</v>
      </c>
      <c r="CV18" s="1568" t="e">
        <f aca="false">IF(OR(BQ18,BS18),IF(CorrPowerGasOverFlag,INDEX(CorrPowerGasOver,C18),CorrPowerGas),"")</f>
        <v>#VALUE!</v>
      </c>
      <c r="CW18" s="1316" t="e">
        <f aca="false">IF(OR($BQ18,$BS18),SpreadOptPowerMargin,0)*((1+Assumptions!$C$26)^($B18-YEAR(Assumptions!$C$17)))</f>
        <v>#VALUE!</v>
      </c>
      <c r="CX18" s="1316" t="e">
        <f aca="false">IF(OR($BQ18,$BS18),SpreadOptPowerMargin,0)*((1+Assumptions!$C$26)^($B18-YEAR(Assumptions!$C$17)))</f>
        <v>#VALUE!</v>
      </c>
      <c r="CY18" s="1316" t="e">
        <f aca="false">IF(OR($BQ18,$BS18),SpreadOptPowerMargin,0)*((1+Assumptions!$C$26)^($B18-YEAR(Assumptions!$C$17)))</f>
        <v>#VALUE!</v>
      </c>
      <c r="CZ18" s="1316" t="e">
        <f aca="false">IF(OR($BQ18,$BS18),SpreadOptPowerMargin,0)*((1+Assumptions!$C$26)^($B18-YEAR(Assumptions!$C$17)))</f>
        <v>#VALUE!</v>
      </c>
      <c r="DA18" s="1591" t="e">
        <f aca="false">IF(OR(BQ18,BS18),(CW18*(AZ18+BH18)+CX18*(BA18+BI18)+CY18*(BB18+BJ18)+CZ18*(BC18+BK18))/(BQ18+BS18),0)</f>
        <v>#VALUE!</v>
      </c>
      <c r="DB18" s="1592" t="e">
        <f aca="false">IF(OR(BQ18,BS18),CG18+IF(OVolSmile,VLOOKUP(MAX(-5,CO18+CW18-BU18),IF(OVolSmile=1,VolSmileBook,VolSmileModel),2),0),"")</f>
        <v>#VALUE!</v>
      </c>
      <c r="DC18" s="1592" t="e">
        <f aca="false">IF(OR(BQ18,BS18),CH18+IF(OVolSmile,VLOOKUP(MAX(-5,CP18+CW18-BV18),IF(OVolSmile=1,VolSmileBook,VolSmileModel),2),0),"")</f>
        <v>#VALUE!</v>
      </c>
      <c r="DD18" s="1592" t="e">
        <f aca="false">IF(OR(BQ18,BS18),CI18+IF(OVolSmile,VLOOKUP(MAX(-5,CQ18+CW18-BW18),IF(OVolSmile=1,VolSmileBook,VolSmileModel),2),0),"")</f>
        <v>#VALUE!</v>
      </c>
      <c r="DE18" s="1592" t="e">
        <f aca="false">IF(OR(BQ18,BS18),CL18+IF(OVolSmile,VLOOKUP(MAX(-5,CR18+CZ18-BX18),IF(OVolSmile=1,VolSmileBook,VolSmileModel),2),0),"")</f>
        <v>#VALUE!</v>
      </c>
      <c r="DF18" s="1592" t="e">
        <f aca="false">IF(BQ18,CM18+IF(OVolSmile,VLOOKUP(MAX(-5,CS18+DA18-BZ18),IF(OVolSmile=1,VolSmileBook,VolSmileModel),2),0),"")</f>
        <v>#VALUE!</v>
      </c>
      <c r="DG18" s="1593" t="e">
        <f aca="false">IF(BS18,CN18+IF(OVolSmile,VLOOKUP(MAX(-5,CT18+DA18-CF18),IF(OVolSmile=1,VolSmileBook,VolSmileModel),2),0),"")</f>
        <v>#VALUE!</v>
      </c>
      <c r="DH18" s="1316" t="e">
        <f aca="false">IF(AND(BU18&gt;0,CO18&gt;0,DB18&gt;0,CU18&gt;0),newSPRDOPT(BU18,CO18,CW18,0,DB18,CU18,CV18,BT18*365.25,OCallPut,0),0)</f>
        <v>#VALUE!</v>
      </c>
      <c r="DI18" s="1316" t="e">
        <f aca="false">IF(AND(BV18&gt;0,CP18&gt;0,DC18&gt;0,CU18&gt;0),newSPRDOPT(BV18,CP18,CX18,0,DC18,CU18,CV18,BT18*365.25,OCallPut,0),0)</f>
        <v>#VALUE!</v>
      </c>
      <c r="DJ18" s="1316" t="e">
        <f aca="false">IF(AND(BW18&gt;0,CQ18&gt;0,DD18&gt;0,CU18&gt;0),newSPRDOPT(BW18,CQ18,CY18,0,DD18,CU18,CV18,BT18*365.25,OCallPut,0),0)</f>
        <v>#VALUE!</v>
      </c>
      <c r="DK18" s="1316" t="e">
        <f aca="false">IF(AND(BX18&gt;0,CR18&gt;0,DE18&gt;0,CU18&gt;0),newSPRDOPT(BX18,CR18,CZ18,0,DE18,CU18,CV18,BT18*365.25,OCallPut,0),0)</f>
        <v>#VALUE!</v>
      </c>
      <c r="DL18" s="1316" t="e">
        <f aca="false">IF(OVolType,IF(AND(BZ18&gt;0,CS18&gt;0,DF18&gt;0,CU18&gt;0),newSPRDOPT(BZ18,CS18,DA18,0,DF18,CU18,CV18,BT18*365.25,OCallPut,0),0),IF(BQ18,(DH18*AZ18+DI18*BA18+DJ18*BB18+DK18*BC18)/BQ18,0))</f>
        <v>#VALUE!</v>
      </c>
      <c r="DM18" s="1316"/>
      <c r="DN18" s="1316"/>
      <c r="DO18" s="1316"/>
      <c r="DP18" s="1316"/>
      <c r="DQ18" s="1316"/>
      <c r="DR18" s="1316"/>
      <c r="DS18" s="1316"/>
      <c r="DT18" s="1316"/>
      <c r="DU18" s="1316"/>
      <c r="DV18" s="1316"/>
      <c r="DW18" s="1594" t="e">
        <f aca="false">IF(AND(BW18&gt;0,CT18&gt;0,DD18&gt;0,CU18&gt;0),newSPRDOPT(BW18,CT18,CY18,0,DD18,CU18,CV18,BT18*365.25,OCallPut,0),0)</f>
        <v>#VALUE!</v>
      </c>
      <c r="DX18" s="1316" t="e">
        <f aca="false">IF(AND(BX18&gt;0,CT18&gt;0,DE18&gt;0,CU18&gt;0),newSPRDOPT(BX18,CT18,CZ18,0,DE18,CU18,CV18,BT18*365.25,OCallPut,0),0)</f>
        <v>#VALUE!</v>
      </c>
      <c r="DY18" s="1591" t="e">
        <f aca="false">IF(BS18,(DH18*BH18+DI18*BI18+DW18*BJ18+DX18*BK18)/BS18,0)</f>
        <v>#VALUE!</v>
      </c>
      <c r="DZ18" s="1551" t="e">
        <f aca="false">DH18*AZ18</f>
        <v>#VALUE!</v>
      </c>
      <c r="EA18" s="1551" t="e">
        <f aca="false">DI18*BA18</f>
        <v>#VALUE!</v>
      </c>
      <c r="EB18" s="1551" t="e">
        <f aca="false">DJ18*BB18</f>
        <v>#VALUE!</v>
      </c>
      <c r="EC18" s="1551" t="e">
        <f aca="false">DK18*BC18</f>
        <v>#VALUE!</v>
      </c>
      <c r="ED18" s="1551" t="e">
        <f aca="false">DL18*BQ18</f>
        <v>#VALUE!</v>
      </c>
      <c r="EE18" s="1595" t="e">
        <f aca="false">IF(BQ18,IF(OCallPut,IF(BU18&gt;(CO18+CW18),BU18-(CO18+CW18),0),IF((CO18+CW18)&gt;BU18,(CO18+CW18)-BU18,0))*AZ18,0)</f>
        <v>#VALUE!</v>
      </c>
      <c r="EF18" s="1596" t="e">
        <f aca="false">IF(BQ18,IF(OCallPut,IF(BV18&gt;(CP18+CX18),BV18-(CP18+CX18),0),IF((CP18+CX18)&gt;BV18,(CP18+CX18)-BV18,0))*BA18,0)</f>
        <v>#VALUE!</v>
      </c>
      <c r="EG18" s="1596" t="e">
        <f aca="false">IF(BQ18,IF(OCallPut,IF(BW18&gt;(CQ18+CY18),BW18-(CQ18+CY18),0),IF((CQ18+CY18)&gt;BW18,(CQ18+CY18)-BW18,0))*BB18,0)</f>
        <v>#VALUE!</v>
      </c>
      <c r="EH18" s="1596" t="e">
        <f aca="false">IF(BQ18,IF(OCallPut,IF(BX18&gt;(CR18+CZ18),BX18-(CR18+CZ18),0),IF((CR18+CZ18)&gt;BX18,(CR18+CZ18)-BX18,0))*BC18,0)</f>
        <v>#VALUE!</v>
      </c>
      <c r="EI18" s="1597" t="e">
        <f aca="false">IF(BQ18,IF(OVolType,IF(OCallPut,IF(BZ18&gt;(CS18+DA18),BZ18-(CS18+DA18),0),IF((CS18+DA18)&gt;BZ18,(CS18+DA18)-BZ18,0))*BQ18,SUM(EE18:EH18)),0)</f>
        <v>#VALUE!</v>
      </c>
      <c r="EJ18" s="1595" t="e">
        <f aca="false">DZ18-EE18</f>
        <v>#VALUE!</v>
      </c>
      <c r="EK18" s="1596" t="e">
        <f aca="false">EA18-EF18</f>
        <v>#VALUE!</v>
      </c>
      <c r="EL18" s="1596" t="e">
        <f aca="false">EB18-EG18</f>
        <v>#VALUE!</v>
      </c>
      <c r="EM18" s="1596" t="e">
        <f aca="false">EC18-EH18</f>
        <v>#VALUE!</v>
      </c>
      <c r="EN18" s="1597" t="e">
        <f aca="false">ED18-EI18</f>
        <v>#VALUE!</v>
      </c>
      <c r="EO18" s="1551" t="e">
        <f aca="false">DH18*BH18</f>
        <v>#VALUE!</v>
      </c>
      <c r="EP18" s="1551" t="e">
        <f aca="false">DI18*BI18</f>
        <v>#VALUE!</v>
      </c>
      <c r="EQ18" s="1551" t="e">
        <f aca="false">DW18*BJ18</f>
        <v>#VALUE!</v>
      </c>
      <c r="ER18" s="1551" t="e">
        <f aca="false">DX18*BK18</f>
        <v>#VALUE!</v>
      </c>
      <c r="ES18" s="1551" t="e">
        <f aca="false">DY18*BS18</f>
        <v>#VALUE!</v>
      </c>
      <c r="ET18" s="1566" t="e">
        <f aca="false">IF(BS18,IF(OCallPut,IF(CA18&gt;(CT18+CW18),CA18-(CT18+CW18),0),IF((CT18+CW18)&gt;CA18,(CT18+CW18)-CA18,0))*BH18,0)</f>
        <v>#VALUE!</v>
      </c>
      <c r="EU18" s="1551" t="e">
        <f aca="false">IF(BS18,IF(OCallPut,IF(CB18&gt;(CT18+CX18),CB18-(CT18+CX18),0),IF((CT18+CX18)&gt;CB18,(CT18+CX18)-CB18,0))*BI18,0)</f>
        <v>#VALUE!</v>
      </c>
      <c r="EV18" s="1551" t="e">
        <f aca="false">IF(BS18,IF(OCallPut,IF(CC18&gt;(CT18+CY18),CC18-(CT18+CY18),0),IF((CT18+CY18)&gt;CC18,(CT18+CY18)-CC18,0))*BJ18,0)</f>
        <v>#VALUE!</v>
      </c>
      <c r="EW18" s="1551" t="e">
        <f aca="false">IF(BS18,IF(OCallPut,IF(CD18&gt;(CT18+CZ18),CD18-(CT18+CZ18),0),IF((CT18+CZ18)&gt;CD18,(CT18+CZ18)-CD18,0))*BK18,0)</f>
        <v>#VALUE!</v>
      </c>
      <c r="EX18" s="1558" t="e">
        <f aca="false">IF(BS18,SUM(ET18:EW18),0)</f>
        <v>#VALUE!</v>
      </c>
      <c r="EY18" s="1551" t="e">
        <f aca="false">EO18-ET18</f>
        <v>#VALUE!</v>
      </c>
      <c r="EZ18" s="1551" t="e">
        <f aca="false">EP18-EU18</f>
        <v>#VALUE!</v>
      </c>
      <c r="FA18" s="1551" t="e">
        <f aca="false">EQ18-EV18</f>
        <v>#VALUE!</v>
      </c>
      <c r="FB18" s="1551" t="e">
        <f aca="false">ER18-EW18</f>
        <v>#VALUE!</v>
      </c>
      <c r="FC18" s="1551" t="e">
        <f aca="false">ES18-EX18</f>
        <v>#VALUE!</v>
      </c>
      <c r="FD18" s="1525" t="n">
        <f aca="false">IF(AX18,IF(VLOOKUP(C18,MAIN!$L$17:$M$28,2)="Yes",VLOOKUP(CALC!B18,MAIN!$H$17:$I$20,2),0),0)</f>
        <v>0</v>
      </c>
      <c r="FE18" s="1552" t="n">
        <f aca="false">$FD18*16*AT18*(1-$AY18)</f>
        <v>0</v>
      </c>
      <c r="FF18" s="1553" t="n">
        <f aca="false">$FD18*16*AU18*(1-$AY18)</f>
        <v>0</v>
      </c>
      <c r="FG18" s="1553" t="n">
        <f aca="false">$FD18*16*(AV18+AW18)*(1-$AY18)</f>
        <v>0</v>
      </c>
      <c r="FH18" s="1554" t="n">
        <f aca="false">$FD18*8*AX18*(1-$AY18)</f>
        <v>0</v>
      </c>
      <c r="FI18" s="1555" t="n">
        <f aca="false">IF(AX18,VLOOKUP(CALC!B18,MAIN!$H$17:$K$20,4),0)</f>
        <v>0</v>
      </c>
      <c r="FJ18" s="1553" t="n">
        <f aca="false">SUM(FE18:FH18)</f>
        <v>0</v>
      </c>
      <c r="FK18" s="1556" t="n">
        <f aca="false">FI18*FJ18</f>
        <v>0</v>
      </c>
      <c r="FL18" s="1551" t="e">
        <f aca="false">IF($EI18&gt;0,MIN(FE18,AZ18*(1+VLOOKUP($C18,WeatherCapacityAdjustment,2))),0)</f>
        <v>#VALUE!</v>
      </c>
      <c r="FM18" s="1551" t="e">
        <f aca="false">IF($EI18&gt;0,MIN(FF18,BA18*(1+VLOOKUP($C18,WeatherCapacityAdjustment,2))),0)</f>
        <v>#VALUE!</v>
      </c>
      <c r="FN18" s="1551" t="e">
        <f aca="false">IF($EI18&gt;0,MIN(FG18,BB18*(1+VLOOKUP($C18,WeatherCapacityAdjustment,2))),0)</f>
        <v>#VALUE!</v>
      </c>
      <c r="FO18" s="1564" t="e">
        <f aca="false">IF($EI18&gt;0,MIN(FH18,BC18*(1+VLOOKUP($C18,WeatherCapacityAdjustment,3))),0)</f>
        <v>#VALUE!</v>
      </c>
      <c r="FP18" s="1551" t="e">
        <f aca="false">IF(ET18&gt;0,MIN(FE18-FL18,BH18*(1+VLOOKUP($C18,WeatherCapacityAdjustment,2))),0)</f>
        <v>#VALUE!</v>
      </c>
      <c r="FQ18" s="1551" t="e">
        <f aca="false">IF(EU18&gt;0,MIN(FF18-FM18,BI18*(1+VLOOKUP($C18,WeatherCapacityAdjustment,2))),0)</f>
        <v>#VALUE!</v>
      </c>
      <c r="FR18" s="1551" t="e">
        <f aca="false">IF(EV18&gt;0,MIN(FG18-FN18,BJ18*(1+VLOOKUP($C18,WeatherCapacityAdjustment,2))),0)</f>
        <v>#VALUE!</v>
      </c>
      <c r="FS18" s="1558" t="e">
        <f aca="false">IF(EW18&gt;0,MIN(FH18-FO18,BK18*(1+VLOOKUP($C18,WeatherCapacityAdjustment,3))),0)</f>
        <v>#VALUE!</v>
      </c>
      <c r="FT18" s="1566" t="n">
        <f aca="false">IF(AND(Assumptions!$H$71="Yes",A18&gt;=Assumptions!$H$72,A18&lt;=Assumptions!$H$73),0,IF(AND($A18&gt;=Assumptions!$C$17,$A18&lt;=Assumptions!$C$18),MAX(AZ18*(1+VLOOKUP($C18,WeatherCapacityAdjustment,2))-FL18,0),0))</f>
        <v>0</v>
      </c>
      <c r="FU18" s="1551" t="n">
        <f aca="false">IF(AND(Assumptions!$H$71="Yes",A18&gt;=Assumptions!$H$72,A18&lt;=Assumptions!$H$73),0,IF(AND($A18&gt;=Assumptions!$C$17,$A18&lt;=Assumptions!$C$18),MAX(BA18*(1+VLOOKUP($C18,WeatherCapacityAdjustment,2))-FM18,0),0))</f>
        <v>0</v>
      </c>
      <c r="FV18" s="1551" t="n">
        <f aca="false">IF(AND(Assumptions!$H$71="Yes",A18&gt;=Assumptions!$H$72,A18&lt;=Assumptions!$H$73),0,IF(AND($A18&gt;=Assumptions!$C$17,$A18&lt;=Assumptions!$C$18),MAX(BB18*(1+VLOOKUP($C18,WeatherCapacityAdjustment,2))-FN18,0),0))</f>
        <v>0</v>
      </c>
      <c r="FW18" s="1564" t="n">
        <f aca="false">IF(AND(Assumptions!$H$71="Yes",A18&gt;=Assumptions!$H$72,A18&lt;=Assumptions!$H$73),0,IF(AND($A18&gt;=Assumptions!$C$17,$A18&lt;=Assumptions!$C$18),MAX(BC18*(1+VLOOKUP($C18,WeatherCapacityAdjustment,3))-FO18,0),0))</f>
        <v>0</v>
      </c>
      <c r="FX18" s="1569" t="e">
        <f aca="false">IF(AND(Assumptions!$H$71="Yes",A18&gt;=Assumptions!$H$72,A18&lt;=Assumptions!$H$73),0,IF(ET18&gt;0,MAX(BH18*(1+VLOOKUP($C18,WeatherCapacityAdjustment,2))-FP18,0),0))</f>
        <v>#VALUE!</v>
      </c>
      <c r="FY18" s="1551" t="e">
        <f aca="false">IF(AND(Assumptions!$H$71="Yes",A18&gt;=Assumptions!$H$72,A18&lt;=Assumptions!$H$73),0,IF(EU18&gt;0,MAX(BI18*(1+VLOOKUP($C18,WeatherCapacityAdjustment,3))-FQ18,0),0))</f>
        <v>#VALUE!</v>
      </c>
      <c r="FZ18" s="1551" t="e">
        <f aca="false">IF(AND(Assumptions!$H$71="Yes",A18&gt;=Assumptions!$H$72,A18&lt;=Assumptions!$H$73),0,IF(EV18&gt;0,MAX(BJ18*(1+VLOOKUP($C18,WeatherCapacityAdjustment,2))-FR18,0),0))</f>
        <v>#VALUE!</v>
      </c>
      <c r="GA18" s="1564" t="e">
        <f aca="false">IF(AND(Assumptions!$H$71="Yes",A18&gt;=Assumptions!$H$72,A18&lt;=Assumptions!$H$73),0,IF(EW18&gt;0,MAX(BK18*(1+VLOOKUP($C18,WeatherCapacityAdjustment,2))-FS18,0),0))</f>
        <v>#VALUE!</v>
      </c>
      <c r="GB18" s="1551" t="e">
        <f aca="false">SUM(FT18:GA18)</f>
        <v>#VALUE!</v>
      </c>
      <c r="GC18" s="1563" t="e">
        <f aca="false">+IF(SUM(FT18:GA18)=0,0,(SUMPRODUCT(BU18:BX18,FT18:FW18)+SUMPRODUCT(CA18:CD18,FX18:GA18))/SUM(FT18:GA18))</f>
        <v>#VALUE!</v>
      </c>
      <c r="GD18" s="1551" t="e">
        <f aca="false">(FT18*BU18+FX18*CA18+FU18*BV18+FY18*CB18+FV18*BW18+FZ18*CC18+FW18*BX18+GA18*CD18)</f>
        <v>#VALUE!</v>
      </c>
      <c r="GE18" s="1561" t="e">
        <f aca="false">+IF(BQ18,((FL18+FM18+FT18+FU18)*HeatRatePeak/1000*(1+VLOOKUP($C18,WeatherHeatRateAdjustment,2))+(FN18+FV18)*IF(EV18&gt;0,HeatRatePeak,HeatRateOffPeak)/1000*(1+VLOOKUP($C18,WeatherHeatRateAdjustment,2))+(FO18+FW18)*IF(EW18&gt;0,HeatRatePeak,HeatRateOffPeak)/1000*(1+VLOOKUP($C18,WeatherHeatRateAdjustment,3)))*(1+VLOOKUP($B18,HeatRateDegradation,$C18+1)),0)</f>
        <v>#VALUE!</v>
      </c>
      <c r="GF18" s="1562" t="e">
        <f aca="false">IF(BQ18,((FP18+FQ18+FR18+FX18+FY18+FZ18)*HeatRatePeak/1000*(1+VLOOKUP($C18,WeatherHeatRateAdjustment,2))+(FS18+GA18)*HeatRatePeak/1000*(1+VLOOKUP($C18,WeatherHeatRateAdjustment,3)))*(1+VLOOKUP($B18,HeatRateDegradation,$C18+1)),0)</f>
        <v>#VALUE!</v>
      </c>
      <c r="GG18" s="1563" t="e">
        <f aca="false">IF(BQ18,VLOOKUP(A18,GasTable,13),0)</f>
        <v>#VALUE!</v>
      </c>
      <c r="GH18" s="1564" t="e">
        <f aca="false">(GE18+GF18)*GG18</f>
        <v>#VALUE!</v>
      </c>
      <c r="GI18" s="1569" t="e">
        <f aca="false">GB18</f>
        <v>#VALUE!</v>
      </c>
      <c r="GJ18" s="1598" t="e">
        <f aca="false">+DA18</f>
        <v>#VALUE!</v>
      </c>
      <c r="GK18" s="1558" t="e">
        <f aca="false">+GI18*GJ18</f>
        <v>#VALUE!</v>
      </c>
      <c r="GL18" s="1566" t="e">
        <f aca="false">MAX(FE18-FL18-FP18,0)</f>
        <v>#VALUE!</v>
      </c>
      <c r="GM18" s="1551" t="e">
        <f aca="false">MAX(FF18-FM18-FQ18,0)</f>
        <v>#VALUE!</v>
      </c>
      <c r="GN18" s="1551" t="e">
        <f aca="false">MAX(FG18-FN18-FR18,0)</f>
        <v>#VALUE!</v>
      </c>
      <c r="GO18" s="1564" t="e">
        <f aca="false">MAX(FH18-FO18-FS18,0)</f>
        <v>#VALUE!</v>
      </c>
      <c r="GP18" s="1551" t="e">
        <f aca="false">SUM(GL18:GO18)</f>
        <v>#VALUE!</v>
      </c>
      <c r="GQ18" s="1563" t="e">
        <f aca="false">IF(SUM(GL18:GO18)=0,0,((GL18*BU18+GM18*BV18+GN18*BW18+GO18*BX18)/SUM(GL18:GO18)))</f>
        <v>#VALUE!</v>
      </c>
      <c r="GR18" s="1558" t="e">
        <f aca="false">(GL18*BU18+GM18*BV18+GN18*BW18+GO18*BX18)</f>
        <v>#VALUE!</v>
      </c>
      <c r="GS18" s="1566" t="n">
        <f aca="false">IF($A18&gt;=BegDate,Assumptions!$C$56*24*($A19-$A18)*(1-VLOOKUP($B18,MAIN!$AA$7:$AM$28,$C18+1))*(1-VLOOKUP($B18,MAIN!$AA$33:$AM$54,$C18+1)),0)*80/168</f>
        <v>0</v>
      </c>
      <c r="GT18" s="286" t="n">
        <f aca="false">J18</f>
        <v>0</v>
      </c>
      <c r="GU18" s="286" t="n">
        <f aca="false">IF($A18&gt;=BegDate,VLOOKUP($A18,GasTable,13)+Assumptions!$C$58,0)</f>
        <v>0</v>
      </c>
      <c r="GV18" s="286" t="n">
        <f aca="false">GU18*Assumptions!$C$57/1000</f>
        <v>0</v>
      </c>
      <c r="GW18" s="1558" t="n">
        <f aca="false">IF(Assumptions!$C$60="Hourly",MAX(0,GS18*(GT18-GV18)),GS18*(GT18-GV18))</f>
        <v>0</v>
      </c>
      <c r="GX18" s="1566" t="n">
        <f aca="false">IF($A18&gt;=BegDate,Assumptions!$C$56*24*($A19-$A18)*(1-VLOOKUP($B18,MAIN!$AA$7:$AM$28,$C18+1))*(1-VLOOKUP($B18,MAIN!$AA$33:$AM$54,$C18+1)),0)*16/168</f>
        <v>0</v>
      </c>
      <c r="GY18" s="286" t="n">
        <f aca="false">M18</f>
        <v>0</v>
      </c>
      <c r="GZ18" s="286" t="n">
        <f aca="false">IF($A18&gt;=BegDate,VLOOKUP($A18,GasTable,13)+Assumptions!$C$58,0)</f>
        <v>0</v>
      </c>
      <c r="HA18" s="286" t="n">
        <f aca="false">GZ18*Assumptions!$C$57/1000</f>
        <v>0</v>
      </c>
      <c r="HB18" s="1558" t="n">
        <f aca="false">IF(Assumptions!$C$60="Hourly",MAX(0,GX18*(GY18-HA18)),GX18*(GY18-HA18))</f>
        <v>0</v>
      </c>
      <c r="HC18" s="1566" t="n">
        <f aca="false">IF($A18&gt;=BegDate,Assumptions!$C$56*24*($A19-$A18)*(1-VLOOKUP($B18,MAIN!$AA$7:$AM$28,$C18+1))*(1-VLOOKUP($B18,MAIN!$AA$33:$AM$54,$C18+1)),0)*16/168</f>
        <v>0</v>
      </c>
      <c r="HD18" s="286" t="n">
        <f aca="false">P18</f>
        <v>0</v>
      </c>
      <c r="HE18" s="286" t="n">
        <f aca="false">IF($A18&gt;=BegDate,VLOOKUP($A18,GasTable,13)+Assumptions!$C$58,0)</f>
        <v>0</v>
      </c>
      <c r="HF18" s="286" t="n">
        <f aca="false">HE18*Assumptions!$C$57/1000</f>
        <v>0</v>
      </c>
      <c r="HG18" s="1558" t="n">
        <f aca="false">IF(Assumptions!$C$60="Hourly",MAX(0,HC18*(HD18-HF18)),HC18*(HD18-HF18))</f>
        <v>0</v>
      </c>
      <c r="HH18" s="1566" t="n">
        <f aca="false">IF($A18&gt;=BegDate,Assumptions!$C$56*24*($A19-$A18)*(1-VLOOKUP($B18,MAIN!$AA$7:$AM$28,$C18+1))*(1-VLOOKUP($B18,MAIN!$AA$33:$AM$54,$C18+1)),0)*56/168</f>
        <v>0</v>
      </c>
      <c r="HI18" s="286" t="n">
        <f aca="false">S18</f>
        <v>0</v>
      </c>
      <c r="HJ18" s="286" t="n">
        <f aca="false">IF($A18&gt;=BegDate,VLOOKUP($A18,GasTable,13)+Assumptions!$C$58,0)</f>
        <v>0</v>
      </c>
      <c r="HK18" s="286" t="n">
        <f aca="false">HJ18*Assumptions!$C$57/1000</f>
        <v>0</v>
      </c>
      <c r="HL18" s="1558" t="n">
        <f aca="false">IF(Assumptions!$C$60="Hourly",MAX(0,HH18*(HI18-HK18)),HH18*(HI18-HK18))</f>
        <v>0</v>
      </c>
      <c r="HM18" s="1566" t="n">
        <f aca="false">IF(AND(Assumptions!$H$71="Yes",A18&gt;=Assumptions!$H$72,A18&lt;=Assumptions!$H$73),Assumptions!$H$74*Assumptions!$C$9*1000,0)</f>
        <v>0</v>
      </c>
      <c r="HN18" s="1558"/>
      <c r="HO18" s="1567" t="n">
        <f aca="false">HO17+1</f>
        <v>2004</v>
      </c>
      <c r="HP18" s="1566" t="e">
        <f aca="false">SUMIF($B$17:$B$292,HO18,$FJ$17:$FJ$292)</f>
        <v>#VALUE!</v>
      </c>
      <c r="HQ18" s="1568" t="e">
        <f aca="false">IF(HR18=0,0,HR18/HP18)</f>
        <v>#VALUE!</v>
      </c>
      <c r="HR18" s="1564" t="e">
        <f aca="false">SUMIF($B$17:$B$292,HO18,$FK$17:$FK$292)</f>
        <v>#VALUE!</v>
      </c>
      <c r="HS18" s="1569" t="e">
        <f aca="false">SUMIF($B$17:$B$292,HO18,$GB$17:$GB$292)</f>
        <v>#VALUE!</v>
      </c>
      <c r="HT18" s="1563" t="e">
        <f aca="false">+IF(HS18&gt;0,HU18/HS18,0)</f>
        <v>#VALUE!</v>
      </c>
      <c r="HU18" s="1551" t="e">
        <f aca="false">SUMIF($B$17:$B$292,HO18,$GD$17:$GD$292)</f>
        <v>#VALUE!</v>
      </c>
      <c r="HV18" s="1569" t="e">
        <f aca="false">HR18+HU18</f>
        <v>#VALUE!</v>
      </c>
      <c r="HW18" s="1551" t="e">
        <f aca="false">SUMIF($B$17:$B$292,$HO18,$EN$17:$EN$292)</f>
        <v>#VALUE!</v>
      </c>
      <c r="HX18" s="1551" t="e">
        <f aca="false">SUMIF($B$17:$B$292,$HO18,$FC$17:$FC$292)</f>
        <v>#VALUE!</v>
      </c>
      <c r="HY18" s="1551" t="n">
        <f aca="false">IF(Assumptions!$L$24="Yes",HW18+HX18,0)</f>
        <v>0</v>
      </c>
      <c r="HZ18" s="1566" t="e">
        <f aca="false">SUMIF($B$17:$B$292,HO18,$GE$17:$GE$292)+SUMIF($B$17:$B$292,HO18,$GF$17:$GF$292)</f>
        <v>#VALUE!</v>
      </c>
      <c r="IA18" s="1563" t="e">
        <f aca="false">IF(IB18=0,0,IB18/HZ18)</f>
        <v>#VALUE!</v>
      </c>
      <c r="IB18" s="1564" t="e">
        <f aca="false">-SUMIF($B$17:$B$292,HO18,$GH$17:$GH$292)</f>
        <v>#VALUE!</v>
      </c>
      <c r="IC18" s="1569" t="e">
        <f aca="false">SUMIF($B$17:$B$292,HO18,$GI$17:$GI$292)</f>
        <v>#VALUE!</v>
      </c>
      <c r="ID18" s="1563" t="e">
        <f aca="false">IF(IE18=0,0,IE18/IC18)</f>
        <v>#VALUE!</v>
      </c>
      <c r="IE18" s="1564" t="e">
        <f aca="false">-SUMIF($B$17:$B$292,HO18,$GK$17:$GK$292)</f>
        <v>#VALUE!</v>
      </c>
      <c r="IF18" s="1551" t="e">
        <f aca="false">SUMIF($B$17:$B$292,HO18,$GP$17:$GP$292)</f>
        <v>#VALUE!</v>
      </c>
      <c r="IG18" s="1563" t="e">
        <f aca="false">IF(IH18=0,0,IH18/IF18)</f>
        <v>#VALUE!</v>
      </c>
      <c r="IH18" s="1564" t="e">
        <f aca="false">-SUMIF($B$17:$B$292,HO18,$GR$17:$GR$292)</f>
        <v>#VALUE!</v>
      </c>
      <c r="II18" s="1570" t="n">
        <f aca="false">(SUMIF($B$17:$B$292,HO18,$GW$17:$GW$292)+SUMIF($B$17:$B$292,HO18,$HB$17:$HB$292)+SUMIF($B$17:$B$292,HO18,$HG$17:$HG$292)+SUMIF($B$17:$B$292,HO18,$HL$17:$HL$292))*Assumptions!$C$59</f>
        <v>1027648.06405463</v>
      </c>
      <c r="IJ18" s="1309" t="n">
        <f aca="false">SUMIF($B$17:$B$292,HO18,$HM$17:$HM$292)</f>
        <v>0</v>
      </c>
      <c r="IK18" s="1309"/>
    </row>
    <row r="19" customFormat="false" ht="12.75" hidden="false" customHeight="false" outlineLevel="0" collapsed="false">
      <c r="A19" s="1571" t="n">
        <f aca="false">EOMONTH(A18,0)+1</f>
        <v>36708</v>
      </c>
      <c r="B19" s="594" t="n">
        <f aca="false">+YEAR(A19)</f>
        <v>2000</v>
      </c>
      <c r="C19" s="238" t="n">
        <f aca="false">MONTH(A19)</f>
        <v>7</v>
      </c>
      <c r="D19" s="1572" t="str">
        <f aca="false">IF(E19="","",Holiday(B19,C19))</f>
        <v/>
      </c>
      <c r="E19" s="1573" t="str">
        <f aca="false">IF(OR(BegDate&gt;=A20,EndDate&lt;A19,AND(VolumeMonthlyOverFlag,INDEX(VolumeMonthlyOver,C19)=0),NOT(INDEX(MonthKnockOutTable,C19))),"",MAX(A19,BegDate))</f>
        <v/>
      </c>
      <c r="F19" s="1574" t="str">
        <f aca="false">IF(E19="","",MIN(A20-1,EndDate))</f>
        <v/>
      </c>
      <c r="G19" s="1575" t="n">
        <v>0</v>
      </c>
      <c r="H19" s="1576" t="n">
        <f aca="false">(1+G19/2)^(-2*(DATE(B20,C20,20)-DateToday)/365.25)</f>
        <v>1</v>
      </c>
      <c r="I19" s="1568" t="n">
        <f aca="false">IF(Assumptions!$L$25=4,VLOOKUP($A19,'Henwood Reference'!$E$9:$R$320,10),(VLOOKUP($A19,PriceTable,2,0)+IF(BasisNumber&lt;&gt;1,VLOOKUP($A19,BasisTable,2,0),0)+I$1)/(1-I$2))</f>
        <v>30.5545</v>
      </c>
      <c r="J19" s="1568" t="n">
        <f aca="false">IF(Assumptions!$L$25=4,VLOOKUP($A19,'Henwood Reference'!$E$9:$R$320,10),(VLOOKUP($A19,PriceTable,3,0)+IF(BasisNumber&lt;&gt;1,VLOOKUP($A19,BasisTable,2,0),0)+J$1)/(1-J$2))</f>
        <v>30.5545</v>
      </c>
      <c r="K19" s="1568" t="n">
        <f aca="false">IF(Assumptions!$L$25=4,VLOOKUP($A19,'Henwood Reference'!$E$9:$R$320,10),(VLOOKUP($A19,PriceTable,4,0)+IF(BasisNumber&lt;&gt;1,VLOOKUP($A19,BasisTable,2,0),0)+K$1)/(1-K$2))</f>
        <v>30.5545</v>
      </c>
      <c r="L19" s="1523" t="n">
        <f aca="false">IF(Assumptions!$L$25=4,VLOOKUP($A19,'Henwood Reference'!$E$9:$R$320,10),(VLOOKUP($A19,PriceTableWeekend,2,0)+IF(BasisNumber&lt;&gt;1,VLOOKUP($A19,BasisTable,2,0),0)+L$1)/(1-L$2))</f>
        <v>30.5545</v>
      </c>
      <c r="M19" s="1568" t="n">
        <f aca="false">IF(Assumptions!$L$25=4,VLOOKUP($A19,'Henwood Reference'!$E$9:$R$320,10),(VLOOKUP($A19,PriceTableWeekend,3,0)+IF(BasisNumber&lt;&gt;1,VLOOKUP($A19,BasisTable,2,0),0)+M$1)/(1-M$2))</f>
        <v>30.5545</v>
      </c>
      <c r="N19" s="1599" t="n">
        <f aca="false">IF(Assumptions!$L$25=4,VLOOKUP($A19,'Henwood Reference'!$E$9:$R$320,10),(VLOOKUP($A19,PriceTableWeekend,4,0)+IF(BasisNumber&lt;&gt;1,VLOOKUP($A19,BasisTable,2,0),0)+N$1)/(1-N$2))</f>
        <v>30.5545</v>
      </c>
      <c r="O19" s="1568" t="n">
        <f aca="false">IF(Assumptions!$L$25=4,VLOOKUP($A19,'Henwood Reference'!$E$9:$R$320,11),(VLOOKUP($A19,PriceTableWeekend,6,0)+IF(BasisNumber&lt;&gt;1,VLOOKUP($A19,BasisTable,3,0),0)+O$1)/(1-O$2))</f>
        <v>15.1751</v>
      </c>
      <c r="P19" s="1568" t="n">
        <f aca="false">IF(Assumptions!$L$25=4,VLOOKUP($A19,'Henwood Reference'!$E$9:$R$320,11),(VLOOKUP($A19,PriceTableWeekend,7,0)+IF(BasisNumber&lt;&gt;1,VLOOKUP($A19,BasisTable,3,0),0)+P$1)/(1-P$2))</f>
        <v>15.1751</v>
      </c>
      <c r="Q19" s="1599" t="n">
        <f aca="false">IF(Assumptions!$L$25=4,VLOOKUP($A19,'Henwood Reference'!$E$9:$R$320,11),(VLOOKUP($A19,PriceTableWeekend,8,0)+IF(BasisNumber&lt;&gt;1,VLOOKUP($A19,BasisTable,3,0),0)+Q$1)/(1-Q$2))</f>
        <v>15.1751</v>
      </c>
      <c r="R19" s="1568" t="n">
        <f aca="false">IF(Assumptions!$L$25=4,VLOOKUP($A19,'Henwood Reference'!$E$9:$R$320,11),(VLOOKUP($A19,PriceTable,6,0)+IF(BasisNumber&lt;&gt;1,VLOOKUP($A19,BasisTable,3,0),0)+R$1)/(1-R$2))</f>
        <v>15.1751</v>
      </c>
      <c r="S19" s="1568" t="n">
        <f aca="false">IF(Assumptions!$L$25=4,VLOOKUP($A19,'Henwood Reference'!$E$9:$R$320,11),(VLOOKUP($A19,PriceTable,7,0)+IF(BasisNumber&lt;&gt;1,VLOOKUP($A19,BasisTable,3,0),0)+S$1)/(1-S$2))</f>
        <v>15.1751</v>
      </c>
      <c r="T19" s="1600" t="n">
        <f aca="false">IF(Assumptions!$L$25=4,VLOOKUP($A19,'Henwood Reference'!$E$9:$R$320,11),(VLOOKUP($A19,PriceTable,8,0)+IF(BasisNumber&lt;&gt;1,VLOOKUP($A19,BasisTable,3,0),0)+T$1)/(1-T$2))</f>
        <v>15.1751</v>
      </c>
      <c r="U19" s="1513" t="n">
        <f aca="false">VLOOKUP($A19,VolatilityTable,14)</f>
        <v>0.22</v>
      </c>
      <c r="V19" s="1513" t="n">
        <f aca="false">VLOOKUP($A19,VolatilityTable,15)</f>
        <v>0.27</v>
      </c>
      <c r="W19" s="1514" t="n">
        <f aca="false">VLOOKUP($A19,VolatilityTable,16)</f>
        <v>0.28</v>
      </c>
      <c r="X19" s="1513" t="n">
        <f aca="false">VLOOKUP($A19,VolatilityTable,14)</f>
        <v>0.22</v>
      </c>
      <c r="Y19" s="1513" t="n">
        <f aca="false">VLOOKUP($A19,VolatilityTable,15)</f>
        <v>0.27</v>
      </c>
      <c r="Z19" s="1514" t="n">
        <f aca="false">VLOOKUP($A19,VolatilityTable,16)</f>
        <v>0.28</v>
      </c>
      <c r="AA19" s="1513" t="n">
        <f aca="false">VLOOKUP($A19,VolatilityTable,18)</f>
        <v>0.05</v>
      </c>
      <c r="AB19" s="1513" t="n">
        <f aca="false">VLOOKUP($A19,VolatilityTable,19)</f>
        <v>0.11</v>
      </c>
      <c r="AC19" s="1514" t="n">
        <f aca="false">VLOOKUP($A19,VolatilityTable,20)</f>
        <v>0.15</v>
      </c>
      <c r="AD19" s="1513" t="n">
        <f aca="false">VLOOKUP($A19,VolatilityTable,18)</f>
        <v>0.05</v>
      </c>
      <c r="AE19" s="1513" t="n">
        <f aca="false">VLOOKUP($A19,VolatilityTable,19)</f>
        <v>0.11</v>
      </c>
      <c r="AF19" s="1514" t="n">
        <f aca="false">VLOOKUP($A19,VolatilityTable,20)</f>
        <v>0.15</v>
      </c>
      <c r="AG19" s="1513" t="n">
        <f aca="false">VLOOKUP($A19,VolatilityTable,22)</f>
        <v>-0.35</v>
      </c>
      <c r="AH19" s="1513" t="n">
        <f aca="false">VLOOKUP($A19,VolatilityTable,23)</f>
        <v>3</v>
      </c>
      <c r="AI19" s="1514" t="n">
        <f aca="false">VLOOKUP($A19,VolatilityTable,24)</f>
        <v>0.35</v>
      </c>
      <c r="AJ19" s="1513" t="n">
        <f aca="false">VLOOKUP($A19,VolatilityTable,22)</f>
        <v>-0.35</v>
      </c>
      <c r="AK19" s="1513" t="n">
        <f aca="false">VLOOKUP($A19,VolatilityTable,23)</f>
        <v>3</v>
      </c>
      <c r="AL19" s="1514" t="n">
        <f aca="false">VLOOKUP($A19,VolatilityTable,24)</f>
        <v>0.35</v>
      </c>
      <c r="AM19" s="1513" t="n">
        <f aca="false">VLOOKUP($A19,VolatilityTable,26)</f>
        <v>-0.01</v>
      </c>
      <c r="AN19" s="1513" t="n">
        <f aca="false">VLOOKUP($A19,VolatilityTable,27)</f>
        <v>0.16</v>
      </c>
      <c r="AO19" s="1514" t="n">
        <f aca="false">VLOOKUP($A19,VolatilityTable,28)</f>
        <v>0.01</v>
      </c>
      <c r="AP19" s="1513" t="n">
        <f aca="false">VLOOKUP($A19,VolatilityTable,26)</f>
        <v>-0.01</v>
      </c>
      <c r="AQ19" s="1513" t="n">
        <f aca="false">VLOOKUP($A19,VolatilityTable,27)</f>
        <v>0.16</v>
      </c>
      <c r="AR19" s="1515" t="n">
        <f aca="false">VLOOKUP($A19,VolatilityTable,28)</f>
        <v>0.01</v>
      </c>
      <c r="AS19" s="1581" t="n">
        <f aca="false">IF(CorrPeakOffPeakOverFlag,INDEX(CorrPeakOffPeakOver,C19),CorrPeakOffPeak)</f>
        <v>0.5</v>
      </c>
      <c r="AT19" s="594" t="n">
        <f aca="false">AX19-SUM(AU19:AW19)</f>
        <v>0</v>
      </c>
      <c r="AU19" s="238" t="n">
        <f aca="false">IF(E19="",0,INT((F19-MOD(F19,7)-E19)/7)+1-IF(AW19,IF(WEEKDAY(D19)=7,1,0),0))</f>
        <v>0</v>
      </c>
      <c r="AV19" s="238" t="n">
        <f aca="false">IF(E19="",0,INT((F19-MOD(F19-1,7)-E19)/7)+1-IF(AW19,IF(WEEKDAY(D19)=1,1,0),0))</f>
        <v>0</v>
      </c>
      <c r="AW19" s="238" t="n">
        <f aca="false">IF(OR(E19="",D19="",D19&lt;BegDate,D19&gt;EndDate),0,1)</f>
        <v>0</v>
      </c>
      <c r="AX19" s="238" t="n">
        <f aca="false">IF(E19="",0,F19-E19+1)</f>
        <v>0</v>
      </c>
      <c r="AY19" s="1582" t="n">
        <f aca="false">IF(E19="",0,MIN((1-(1-VLOOKUP(B19,MAIN!$AA$7:$AM$28,C19+1))*(1-VLOOKUP(B19,MAIN!$AA$33:$AM$54,C19+1))),1))</f>
        <v>0</v>
      </c>
      <c r="AZ19" s="1519" t="e">
        <v>#VALUE!</v>
      </c>
      <c r="BA19" s="1520" t="e">
        <v>#VALUE!</v>
      </c>
      <c r="BB19" s="1520" t="e">
        <v>#VALUE!</v>
      </c>
      <c r="BC19" s="1583" t="e">
        <v>#VALUE!</v>
      </c>
      <c r="BD19" s="1522" t="e">
        <v>#VALUE!</v>
      </c>
      <c r="BE19" s="1523" t="e">
        <v>#VALUE!</v>
      </c>
      <c r="BF19" s="1523" t="e">
        <v>#VALUE!</v>
      </c>
      <c r="BG19" s="1584" t="e">
        <v>#VALUE!</v>
      </c>
      <c r="BH19" s="1525" t="e">
        <v>#VALUE!</v>
      </c>
      <c r="BI19" s="1520" t="e">
        <v>#VALUE!</v>
      </c>
      <c r="BJ19" s="1520" t="e">
        <v>#VALUE!</v>
      </c>
      <c r="BK19" s="1583" t="e">
        <v>#VALUE!</v>
      </c>
      <c r="BL19" s="1522" t="e">
        <v>#VALUE!</v>
      </c>
      <c r="BM19" s="1523" t="e">
        <v>#VALUE!</v>
      </c>
      <c r="BN19" s="1523" t="e">
        <v>#VALUE!</v>
      </c>
      <c r="BO19" s="1523" t="e">
        <v>#VALUE!</v>
      </c>
      <c r="BP19" s="1525" t="e">
        <f aca="false">SUM(AZ19:BB19)</f>
        <v>#VALUE!</v>
      </c>
      <c r="BQ19" s="1529" t="e">
        <f aca="false">SUM(AZ19:BC19)</f>
        <v>#VALUE!</v>
      </c>
      <c r="BR19" s="1519" t="e">
        <f aca="false">SUM(BH19:BJ19)</f>
        <v>#VALUE!</v>
      </c>
      <c r="BS19" s="1529" t="e">
        <f aca="false">SUM(BH19:BK19)</f>
        <v>#VALUE!</v>
      </c>
      <c r="BT19" s="1316" t="n">
        <f aca="false">(IF(OVolType&lt;&gt;2,A19+14,IF(OptExpDateShift,ShiftBack(A19,OptExpDateShift,D18),A19))-DateToday)/365.25</f>
        <v>0.213552361396304</v>
      </c>
      <c r="BU19" s="1585" t="e">
        <f aca="false">IF(BQ19,IF(OPriceCurve,IF(OBuySell=OCallPut,I19/(1-AY19),K19/(1-AY19)),J19/(1-AY19))*BD19,0)</f>
        <v>#VALUE!</v>
      </c>
      <c r="BV19" s="1316" t="e">
        <f aca="false">IF(BQ19,IF(OPriceCurve,IF(OBuySell=OCallPut,L19/(1-AY19),N19/(1-AY19)),M19/(1-AY19))*BE19,0)</f>
        <v>#VALUE!</v>
      </c>
      <c r="BW19" s="1316" t="e">
        <f aca="false">IF(BQ19,IF(OPriceCurve,IF(OBuySell=OCallPut,O19/(1-AY19),Q19/(1-AY19)),P19/(1-AY19))*BF19,0)</f>
        <v>#VALUE!</v>
      </c>
      <c r="BX19" s="1316" t="e">
        <f aca="false">IF(BQ19,IF(OPriceCurve,IF(OBuySell=OCallPut,R19/(1-AY19),T19/(1-AY19)),S19/(1-AY19))*BG19,0)</f>
        <v>#VALUE!</v>
      </c>
      <c r="BY19" s="1316" t="e">
        <f aca="false">IF(BP19,(BU19*AZ19+BV19*BA19+BW19*BB19)/BP19,0)</f>
        <v>#VALUE!</v>
      </c>
      <c r="BZ19" s="1316" t="e">
        <f aca="false">IF(BQ19,(BY19*BP19+BX19*BC19)/BQ19,0)</f>
        <v>#VALUE!</v>
      </c>
      <c r="CA19" s="1531" t="e">
        <f aca="false">IF(BS19,IF(OPriceCurve,IF(OBuySell=OCallPut,I19/(1-AY19),K19/(1-AY19)),J19/(1-AY19))*BL19,0)</f>
        <v>#VALUE!</v>
      </c>
      <c r="CB19" s="1316" t="e">
        <f aca="false">IF(BS19,IF(OPriceCurve,IF(OBuySell=OCallPut,L19/(1-AY19),N19/(1-AY19)),M19/(1-AY19))*BM19,0)</f>
        <v>#VALUE!</v>
      </c>
      <c r="CC19" s="1316" t="e">
        <f aca="false">IF(BS19,IF(OPriceCurve,IF(OBuySell=OCallPut,O19/(1-AY19),Q19/(1-AY19)),P19/(1-AY19))*BN19,0)</f>
        <v>#VALUE!</v>
      </c>
      <c r="CD19" s="1316" t="e">
        <f aca="false">IF(BS19,IF(OPriceCurve,IF(OBuySell=OCallPut,R19/(1-AY19),T19/(1-AY19)),S19/(1-AY19))*BO19,0)</f>
        <v>#VALUE!</v>
      </c>
      <c r="CE19" s="1316" t="e">
        <f aca="false">IF(BR19,(BU19*BH19+BV19*BI19+BW19*BJ19)/BR19,0)</f>
        <v>#VALUE!</v>
      </c>
      <c r="CF19" s="1532" t="e">
        <f aca="false">IF(BS19,(CE19*BR19+CD19*BK19)/BS19,0)</f>
        <v>#VALUE!</v>
      </c>
      <c r="CG19" s="1586" t="e">
        <f aca="false">IF(OR(BQ19,BS19),IF(OVolType&lt;&gt;2,SQRT(IF(OVolOverMonthlyPeak,OVolOverMonthlyPeak,IF(OVolCurve,IF(OBuySell,U19,W19),V19))^2*(1-15/365.25/BT19)+IF(OVolOverDailyPeak,OVolOverDailyPeak,IF(OVolCurve,IF(OBuySell,AG19,AI19),AH19))^2*15/365.25/BT19),IF(OVolOverMonthlyPeak,OVolOverMonthlyPeak,IF(OVolCurve,IF(OBuySell,U19,W19),V19))),"")</f>
        <v>#VALUE!</v>
      </c>
      <c r="CH19" s="1587" t="e">
        <f aca="false">IF(OR(BQ19,BS19),IF(OVolType&lt;&gt;2,SQRT(IF(OVolOverMonthlyPeak,OVolOverMonthlyPeak,IF(OVolCurve,IF(OBuySell,X19,Z19),Y19))^2*(1-15/365.25/BT19)+IF(OVolOverDailyPeak,OVolOverDailyPeak,IF(OVolCurve,IF(OBuySell,AJ19,AL19),AK19))^2*15/365.25/BT19),IF(OVolOverMonthlyPeak,OVolOverMonthlyPeak,IF(OVolCurve,IF(OBuySell,X19,Z19),Y19))),"")</f>
        <v>#VALUE!</v>
      </c>
      <c r="CI19" s="1587" t="e">
        <f aca="false">IF(OR(BQ19,BS19),IF(OVolType&lt;&gt;2,SQRT(IF(OVolOverMonthlyPeak,OVolOverMonthlyPeak,IF(OVolCurve,IF(OBuySell,AA19,AC19),AB19))^2*(1-15/365.25/BT19)+IF(OVolOverDailyPeak,OVolOverDailyPeak,IF(OVolCurve,IF(OBuySell,AM19,AO19),AN19))^2*15/365.25/BT19),IF(OVolOverMonthlyPeak,OVolOverMonthlyPeak,IF(OVolCurve,IF(OBuySell,AA19,AC19),AB19))),"")</f>
        <v>#VALUE!</v>
      </c>
      <c r="CJ19" s="1587" t="e">
        <f aca="false">IF(BQ19,IF(BP19,SQRT(LN(1+((BU19*AZ19)^2*(EXP(CG19^2*BT19)-1)+(BV19*BA19)^2*(EXP(CH19^2*BT19)-1)+(BW19*BB19)^2*(EXP(CI19^2*BT19)-1)+2*BU19*AZ19*BV19*BA19*(EXP(CG19*CH19*BT19)-1)+2*BV19*BA19*BW19*BB19*(EXP(CH19*CI19*BT19)-1)+2*BW19*BB19*BU19*AZ19*(EXP(CI19*CG19*BT19)-1))/(BY19*BP19)^2)/BT19),0),"")</f>
        <v>#VALUE!</v>
      </c>
      <c r="CK19" s="1587" t="e">
        <f aca="false">IF(BS19,IF(BR19,SQRT(LN(1+((CA19*BH19)^2*(EXP(CG19^2*BT19)-1)+(CB19*BI19)^2*(EXP(CH19^2*BT19)-1)+(CC19*BJ19)^2*(EXP(CI19^2*BT19)-1)+2*CA19*BH19*CB19*BI19*(EXP(CG19*CH19*BT19)-1)+2*CB19*BI19*CC19*BJ19*(EXP(CH19*CI19*BT19)-1)+2*CC19*BJ19*CA19*BH19*(EXP(CI19*CG19*BT19)-1))/(CE19*BR19)^2)/BT19),0),"")</f>
        <v>#VALUE!</v>
      </c>
      <c r="CL19" s="1587" t="e">
        <f aca="false">IF(OR(BQ19,BS19),IF(OVolType&lt;&gt;2,SQRT(IF(OVolOverMonthlyOffPeak,OVolOverMonthlyOffPeak,IF(OVolCurve,IF(OBuySell,AD19,AF19),AE19))^2*(1-15/365.25/BT19)+IF(OVolOverDailyOffPeak,OVolOverDailyOffPeak,IF(OVolCurve,IF(OBuySell,AP19,AR19),AQ19))^2*15/365.25/BT19),IF(OVolOverMonthlyOffPeak,OVolOverMonthlyOffPeak,IF(OVolCurve,IF(OBuySell,AD19,AF19),AE19))),"")</f>
        <v>#VALUE!</v>
      </c>
      <c r="CM19" s="1587" t="e">
        <f aca="false">IF(BQ19,SQRT(LN(1+((BY19*BP19)^2*(EXP(CJ19^2*BT19)-1)+(BX19*BC19)^2*(EXP(CL19^2*BT19)-1)+2*BY19*BP19*BX19*BC19*(EXP(AS19*CJ19*CL19*BT19)-1))/(BY19*BP19+BX19*BC19)^2)/BT19),"")</f>
        <v>#VALUE!</v>
      </c>
      <c r="CN19" s="1588" t="e">
        <f aca="false">IF(BS19,SQRT(LN(1+((CE19*BR19)^2*(EXP(CK19^2*BT19)-1)+(CD19*BK19)^2*(EXP(CL19^2*BT19)-1)+2*CE19*BR19*CD19*BK19*(EXP(AS19*CK19*CL19*BT19)-1))/(CE19*BR19+CD19*BK19)^2)/BT19),"")</f>
        <v>#VALUE!</v>
      </c>
      <c r="CO19" s="1531" t="e">
        <f aca="false">IF(OR(BQ19,BS19),VLOOKUP(A19,GasTable,13)*HeatRatePeak*VLOOKUP($B19,MAIN!$AB$59:$AM$80,$C19+1)/1000,0)</f>
        <v>#VALUE!</v>
      </c>
      <c r="CP19" s="1316" t="e">
        <f aca="false">IF(OR(BQ19,BS19),VLOOKUP(A19,GasTable,13)*HeatRatePeak*(1+VLOOKUP($B19,HeatRateDegradation,$C19+1))/1000,0)</f>
        <v>#VALUE!</v>
      </c>
      <c r="CQ19" s="1316" t="e">
        <f aca="false">IF(OR(BQ19,BS19),VLOOKUP(A19,GasTable,13)*IF(EV19,HeatRatePeak,HeatRateOffPeak)*(1+VLOOKUP($B19,HeatRateDegradation,$C19+1))/1000,0)</f>
        <v>#VALUE!</v>
      </c>
      <c r="CR19" s="1316" t="e">
        <f aca="false">IF(OR(BQ19,BS19),VLOOKUP(A19,GasTable,13)*IF(EW19,HeatRatePeak,HeatRateOffPeak)*(1+VLOOKUP($B19,HeatRateDegradation,$C19+1))/1000,0)</f>
        <v>#VALUE!</v>
      </c>
      <c r="CS19" s="1589" t="e">
        <f aca="false">IF(BQ19,(CO19*AZ19+CP19*BA19+CQ19*BB19+CR19*BC19)/BQ19,0)</f>
        <v>#VALUE!</v>
      </c>
      <c r="CT19" s="1316" t="e">
        <f aca="false">IF(BS19,CO19,0)</f>
        <v>#VALUE!</v>
      </c>
      <c r="CU19" s="1590" t="e">
        <f aca="false">IF(OR(BQ19,BS19),VLOOKUP(A19,GasTable,14),"")</f>
        <v>#VALUE!</v>
      </c>
      <c r="CV19" s="1568" t="e">
        <f aca="false">IF(OR(BQ19,BS19),IF(CorrPowerGasOverFlag,INDEX(CorrPowerGasOver,C19),CorrPowerGas),"")</f>
        <v>#VALUE!</v>
      </c>
      <c r="CW19" s="1316" t="e">
        <f aca="false">IF(OR($BQ19,$BS19),SpreadOptPowerMargin,0)*((1+Assumptions!$C$26)^($B19-YEAR(Assumptions!$C$17)))</f>
        <v>#VALUE!</v>
      </c>
      <c r="CX19" s="1316" t="e">
        <f aca="false">IF(OR($BQ19,$BS19),SpreadOptPowerMargin,0)*((1+Assumptions!$C$26)^($B19-YEAR(Assumptions!$C$17)))</f>
        <v>#VALUE!</v>
      </c>
      <c r="CY19" s="1316" t="e">
        <f aca="false">IF(OR($BQ19,$BS19),SpreadOptPowerMargin,0)*((1+Assumptions!$C$26)^($B19-YEAR(Assumptions!$C$17)))</f>
        <v>#VALUE!</v>
      </c>
      <c r="CZ19" s="1316" t="e">
        <f aca="false">IF(OR($BQ19,$BS19),SpreadOptPowerMargin,0)*((1+Assumptions!$C$26)^($B19-YEAR(Assumptions!$C$17)))</f>
        <v>#VALUE!</v>
      </c>
      <c r="DA19" s="1591" t="e">
        <f aca="false">IF(OR(BQ19,BS19),(CW19*(AZ19+BH19)+CX19*(BA19+BI19)+CY19*(BB19+BJ19)+CZ19*(BC19+BK19))/(BQ19+BS19),0)</f>
        <v>#VALUE!</v>
      </c>
      <c r="DB19" s="1592" t="e">
        <f aca="false">IF(OR(BQ19,BS19),CG19+IF(OVolSmile,VLOOKUP(MAX(-5,CO19+CW19-BU19),IF(OVolSmile=1,VolSmileBook,VolSmileModel),2),0),"")</f>
        <v>#VALUE!</v>
      </c>
      <c r="DC19" s="1592" t="e">
        <f aca="false">IF(OR(BQ19,BS19),CH19+IF(OVolSmile,VLOOKUP(MAX(-5,CP19+CW19-BV19),IF(OVolSmile=1,VolSmileBook,VolSmileModel),2),0),"")</f>
        <v>#VALUE!</v>
      </c>
      <c r="DD19" s="1592" t="e">
        <f aca="false">IF(OR(BQ19,BS19),CI19+IF(OVolSmile,VLOOKUP(MAX(-5,CQ19+CW19-BW19),IF(OVolSmile=1,VolSmileBook,VolSmileModel),2),0),"")</f>
        <v>#VALUE!</v>
      </c>
      <c r="DE19" s="1592" t="e">
        <f aca="false">IF(OR(BQ19,BS19),CL19+IF(OVolSmile,VLOOKUP(MAX(-5,CR19+CZ19-BX19),IF(OVolSmile=1,VolSmileBook,VolSmileModel),2),0),"")</f>
        <v>#VALUE!</v>
      </c>
      <c r="DF19" s="1592" t="e">
        <f aca="false">IF(BQ19,CM19+IF(OVolSmile,VLOOKUP(MAX(-5,CS19+DA19-BZ19),IF(OVolSmile=1,VolSmileBook,VolSmileModel),2),0),"")</f>
        <v>#VALUE!</v>
      </c>
      <c r="DG19" s="1593" t="e">
        <f aca="false">IF(BS19,CN19+IF(OVolSmile,VLOOKUP(MAX(-5,CT19+DA19-CF19),IF(OVolSmile=1,VolSmileBook,VolSmileModel),2),0),"")</f>
        <v>#VALUE!</v>
      </c>
      <c r="DH19" s="1316" t="e">
        <f aca="false">IF(AND(BU19&gt;0,CO19&gt;0,DB19&gt;0,CU19&gt;0),newSPRDOPT(BU19,CO19,CW19,0,DB19,CU19,CV19,BT19*365.25,OCallPut,0),0)</f>
        <v>#VALUE!</v>
      </c>
      <c r="DI19" s="1316" t="e">
        <f aca="false">IF(AND(BV19&gt;0,CP19&gt;0,DC19&gt;0,CU19&gt;0),newSPRDOPT(BV19,CP19,CX19,0,DC19,CU19,CV19,BT19*365.25,OCallPut,0),0)</f>
        <v>#VALUE!</v>
      </c>
      <c r="DJ19" s="1316" t="e">
        <f aca="false">IF(AND(BW19&gt;0,CQ19&gt;0,DD19&gt;0,CU19&gt;0),newSPRDOPT(BW19,CQ19,CY19,0,DD19,CU19,CV19,BT19*365.25,OCallPut,0),0)</f>
        <v>#VALUE!</v>
      </c>
      <c r="DK19" s="1316" t="e">
        <f aca="false">IF(AND(BX19&gt;0,CR19&gt;0,DE19&gt;0,CU19&gt;0),newSPRDOPT(BX19,CR19,CZ19,0,DE19,CU19,CV19,BT19*365.25,OCallPut,0),0)</f>
        <v>#VALUE!</v>
      </c>
      <c r="DL19" s="1316" t="e">
        <f aca="false">IF(OVolType,IF(AND(BZ19&gt;0,CS19&gt;0,DF19&gt;0,CU19&gt;0),newSPRDOPT(BZ19,CS19,DA19,0,DF19,CU19,CV19,BT19*365.25,OCallPut,0),0),IF(BQ19,(DH19*AZ19+DI19*BA19+DJ19*BB19+DK19*BC19)/BQ19,0))</f>
        <v>#VALUE!</v>
      </c>
      <c r="DM19" s="1316"/>
      <c r="DN19" s="1316"/>
      <c r="DO19" s="1316"/>
      <c r="DP19" s="1316"/>
      <c r="DQ19" s="1316"/>
      <c r="DR19" s="1316"/>
      <c r="DS19" s="1316"/>
      <c r="DT19" s="1316"/>
      <c r="DU19" s="1316"/>
      <c r="DV19" s="1316"/>
      <c r="DW19" s="1594" t="e">
        <f aca="false">IF(AND(BW19&gt;0,CT19&gt;0,DD19&gt;0,CU19&gt;0),newSPRDOPT(BW19,CT19,CY19,0,DD19,CU19,CV19,BT19*365.25,OCallPut,0),0)</f>
        <v>#VALUE!</v>
      </c>
      <c r="DX19" s="1316" t="e">
        <f aca="false">IF(AND(BX19&gt;0,CT19&gt;0,DE19&gt;0,CU19&gt;0),newSPRDOPT(BX19,CT19,CZ19,0,DE19,CU19,CV19,BT19*365.25,OCallPut,0),0)</f>
        <v>#VALUE!</v>
      </c>
      <c r="DY19" s="1591" t="e">
        <f aca="false">IF(BS19,(DH19*BH19+DI19*BI19+DW19*BJ19+DX19*BK19)/BS19,0)</f>
        <v>#VALUE!</v>
      </c>
      <c r="DZ19" s="1551" t="e">
        <f aca="false">DH19*AZ19</f>
        <v>#VALUE!</v>
      </c>
      <c r="EA19" s="1551" t="e">
        <f aca="false">DI19*BA19</f>
        <v>#VALUE!</v>
      </c>
      <c r="EB19" s="1551" t="e">
        <f aca="false">DJ19*BB19</f>
        <v>#VALUE!</v>
      </c>
      <c r="EC19" s="1551" t="e">
        <f aca="false">DK19*BC19</f>
        <v>#VALUE!</v>
      </c>
      <c r="ED19" s="1551" t="e">
        <f aca="false">DL19*BQ19</f>
        <v>#VALUE!</v>
      </c>
      <c r="EE19" s="1595" t="e">
        <f aca="false">IF(BQ19,IF(OCallPut,IF(BU19&gt;(CO19+CW19),BU19-(CO19+CW19),0),IF((CO19+CW19)&gt;BU19,(CO19+CW19)-BU19,0))*AZ19,0)</f>
        <v>#VALUE!</v>
      </c>
      <c r="EF19" s="1596" t="e">
        <f aca="false">IF(BQ19,IF(OCallPut,IF(BV19&gt;(CP19+CX19),BV19-(CP19+CX19),0),IF((CP19+CX19)&gt;BV19,(CP19+CX19)-BV19,0))*BA19,0)</f>
        <v>#VALUE!</v>
      </c>
      <c r="EG19" s="1596" t="e">
        <f aca="false">IF(BQ19,IF(OCallPut,IF(BW19&gt;(CQ19+CY19),BW19-(CQ19+CY19),0),IF((CQ19+CY19)&gt;BW19,(CQ19+CY19)-BW19,0))*BB19,0)</f>
        <v>#VALUE!</v>
      </c>
      <c r="EH19" s="1596" t="e">
        <f aca="false">IF(BQ19,IF(OCallPut,IF(BX19&gt;(CR19+CZ19),BX19-(CR19+CZ19),0),IF((CR19+CZ19)&gt;BX19,(CR19+CZ19)-BX19,0))*BC19,0)</f>
        <v>#VALUE!</v>
      </c>
      <c r="EI19" s="1597" t="e">
        <f aca="false">IF(BQ19,IF(OVolType,IF(OCallPut,IF(BZ19&gt;(CS19+DA19),BZ19-(CS19+DA19),0),IF((CS19+DA19)&gt;BZ19,(CS19+DA19)-BZ19,0))*BQ19,SUM(EE19:EH19)),0)</f>
        <v>#VALUE!</v>
      </c>
      <c r="EJ19" s="1595" t="e">
        <f aca="false">DZ19-EE19</f>
        <v>#VALUE!</v>
      </c>
      <c r="EK19" s="1596" t="e">
        <f aca="false">EA19-EF19</f>
        <v>#VALUE!</v>
      </c>
      <c r="EL19" s="1596" t="e">
        <f aca="false">EB19-EG19</f>
        <v>#VALUE!</v>
      </c>
      <c r="EM19" s="1596" t="e">
        <f aca="false">EC19-EH19</f>
        <v>#VALUE!</v>
      </c>
      <c r="EN19" s="1597" t="e">
        <f aca="false">ED19-EI19</f>
        <v>#VALUE!</v>
      </c>
      <c r="EO19" s="1551" t="e">
        <f aca="false">DH19*BH19</f>
        <v>#VALUE!</v>
      </c>
      <c r="EP19" s="1551" t="e">
        <f aca="false">DI19*BI19</f>
        <v>#VALUE!</v>
      </c>
      <c r="EQ19" s="1551" t="e">
        <f aca="false">DW19*BJ19</f>
        <v>#VALUE!</v>
      </c>
      <c r="ER19" s="1551" t="e">
        <f aca="false">DX19*BK19</f>
        <v>#VALUE!</v>
      </c>
      <c r="ES19" s="1551" t="e">
        <f aca="false">DY19*BS19</f>
        <v>#VALUE!</v>
      </c>
      <c r="ET19" s="1566" t="e">
        <f aca="false">IF(BS19,IF(OCallPut,IF(CA19&gt;(CT19+CW19),CA19-(CT19+CW19),0),IF((CT19+CW19)&gt;CA19,(CT19+CW19)-CA19,0))*BH19,0)</f>
        <v>#VALUE!</v>
      </c>
      <c r="EU19" s="1551" t="e">
        <f aca="false">IF(BS19,IF(OCallPut,IF(CB19&gt;(CT19+CX19),CB19-(CT19+CX19),0),IF((CT19+CX19)&gt;CB19,(CT19+CX19)-CB19,0))*BI19,0)</f>
        <v>#VALUE!</v>
      </c>
      <c r="EV19" s="1551" t="e">
        <f aca="false">IF(BS19,IF(OCallPut,IF(CC19&gt;(CT19+CY19),CC19-(CT19+CY19),0),IF((CT19+CY19)&gt;CC19,(CT19+CY19)-CC19,0))*BJ19,0)</f>
        <v>#VALUE!</v>
      </c>
      <c r="EW19" s="1551" t="e">
        <f aca="false">IF(BS19,IF(OCallPut,IF(CD19&gt;(CT19+CZ19),CD19-(CT19+CZ19),0),IF((CT19+CZ19)&gt;CD19,(CT19+CZ19)-CD19,0))*BK19,0)</f>
        <v>#VALUE!</v>
      </c>
      <c r="EX19" s="1558" t="e">
        <f aca="false">IF(BS19,SUM(ET19:EW19),0)</f>
        <v>#VALUE!</v>
      </c>
      <c r="EY19" s="1551" t="e">
        <f aca="false">EO19-ET19</f>
        <v>#VALUE!</v>
      </c>
      <c r="EZ19" s="1551" t="e">
        <f aca="false">EP19-EU19</f>
        <v>#VALUE!</v>
      </c>
      <c r="FA19" s="1551" t="e">
        <f aca="false">EQ19-EV19</f>
        <v>#VALUE!</v>
      </c>
      <c r="FB19" s="1551" t="e">
        <f aca="false">ER19-EW19</f>
        <v>#VALUE!</v>
      </c>
      <c r="FC19" s="1551" t="e">
        <f aca="false">ES19-EX19</f>
        <v>#VALUE!</v>
      </c>
      <c r="FD19" s="1525" t="n">
        <f aca="false">IF(AX19,IF(VLOOKUP(C19,MAIN!$L$17:$M$28,2)="Yes",VLOOKUP(CALC!B19,MAIN!$H$17:$I$20,2),0),0)</f>
        <v>0</v>
      </c>
      <c r="FE19" s="1552" t="n">
        <f aca="false">$FD19*16*AT19*(1-$AY19)</f>
        <v>0</v>
      </c>
      <c r="FF19" s="1553" t="n">
        <f aca="false">$FD19*16*AU19*(1-$AY19)</f>
        <v>0</v>
      </c>
      <c r="FG19" s="1553" t="n">
        <f aca="false">$FD19*16*(AV19+AW19)*(1-$AY19)</f>
        <v>0</v>
      </c>
      <c r="FH19" s="1554" t="n">
        <f aca="false">$FD19*8*AX19*(1-$AY19)</f>
        <v>0</v>
      </c>
      <c r="FI19" s="1555" t="n">
        <f aca="false">IF(AX19,VLOOKUP(CALC!B19,MAIN!$H$17:$K$20,4),0)</f>
        <v>0</v>
      </c>
      <c r="FJ19" s="1553" t="n">
        <f aca="false">SUM(FE19:FH19)</f>
        <v>0</v>
      </c>
      <c r="FK19" s="1556" t="n">
        <f aca="false">FI19*FJ19</f>
        <v>0</v>
      </c>
      <c r="FL19" s="1551" t="e">
        <f aca="false">IF($EI19&gt;0,MIN(FE19,AZ19*(1+VLOOKUP($C19,WeatherCapacityAdjustment,2))),0)</f>
        <v>#VALUE!</v>
      </c>
      <c r="FM19" s="1551" t="e">
        <f aca="false">IF($EI19&gt;0,MIN(FF19,BA19*(1+VLOOKUP($C19,WeatherCapacityAdjustment,2))),0)</f>
        <v>#VALUE!</v>
      </c>
      <c r="FN19" s="1551" t="e">
        <f aca="false">IF($EI19&gt;0,MIN(FG19,BB19*(1+VLOOKUP($C19,WeatherCapacityAdjustment,2))),0)</f>
        <v>#VALUE!</v>
      </c>
      <c r="FO19" s="1564" t="e">
        <f aca="false">IF($EI19&gt;0,MIN(FH19,BC19*(1+VLOOKUP($C19,WeatherCapacityAdjustment,3))),0)</f>
        <v>#VALUE!</v>
      </c>
      <c r="FP19" s="1551" t="e">
        <f aca="false">IF(ET19&gt;0,MIN(FE19-FL19,BH19*(1+VLOOKUP($C19,WeatherCapacityAdjustment,2))),0)</f>
        <v>#VALUE!</v>
      </c>
      <c r="FQ19" s="1551" t="e">
        <f aca="false">IF(EU19&gt;0,MIN(FF19-FM19,BI19*(1+VLOOKUP($C19,WeatherCapacityAdjustment,2))),0)</f>
        <v>#VALUE!</v>
      </c>
      <c r="FR19" s="1551" t="e">
        <f aca="false">IF(EV19&gt;0,MIN(FG19-FN19,BJ19*(1+VLOOKUP($C19,WeatherCapacityAdjustment,2))),0)</f>
        <v>#VALUE!</v>
      </c>
      <c r="FS19" s="1558" t="e">
        <f aca="false">IF(EW19&gt;0,MIN(FH19-FO19,BK19*(1+VLOOKUP($C19,WeatherCapacityAdjustment,3))),0)</f>
        <v>#VALUE!</v>
      </c>
      <c r="FT19" s="1566" t="n">
        <f aca="false">IF(AND(Assumptions!$H$71="Yes",A19&gt;=Assumptions!$H$72,A19&lt;=Assumptions!$H$73),0,IF(AND($A19&gt;=Assumptions!$C$17,$A19&lt;=Assumptions!$C$18),MAX(AZ19*(1+VLOOKUP($C19,WeatherCapacityAdjustment,2))-FL19,0),0))</f>
        <v>0</v>
      </c>
      <c r="FU19" s="1551" t="n">
        <f aca="false">IF(AND(Assumptions!$H$71="Yes",A19&gt;=Assumptions!$H$72,A19&lt;=Assumptions!$H$73),0,IF(AND($A19&gt;=Assumptions!$C$17,$A19&lt;=Assumptions!$C$18),MAX(BA19*(1+VLOOKUP($C19,WeatherCapacityAdjustment,2))-FM19,0),0))</f>
        <v>0</v>
      </c>
      <c r="FV19" s="1551" t="n">
        <f aca="false">IF(AND(Assumptions!$H$71="Yes",A19&gt;=Assumptions!$H$72,A19&lt;=Assumptions!$H$73),0,IF(AND($A19&gt;=Assumptions!$C$17,$A19&lt;=Assumptions!$C$18),MAX(BB19*(1+VLOOKUP($C19,WeatherCapacityAdjustment,2))-FN19,0),0))</f>
        <v>0</v>
      </c>
      <c r="FW19" s="1564" t="n">
        <f aca="false">IF(AND(Assumptions!$H$71="Yes",A19&gt;=Assumptions!$H$72,A19&lt;=Assumptions!$H$73),0,IF(AND($A19&gt;=Assumptions!$C$17,$A19&lt;=Assumptions!$C$18),MAX(BC19*(1+VLOOKUP($C19,WeatherCapacityAdjustment,3))-FO19,0),0))</f>
        <v>0</v>
      </c>
      <c r="FX19" s="1569" t="e">
        <f aca="false">IF(AND(Assumptions!$H$71="Yes",A19&gt;=Assumptions!$H$72,A19&lt;=Assumptions!$H$73),0,IF(ET19&gt;0,MAX(BH19*(1+VLOOKUP($C19,WeatherCapacityAdjustment,2))-FP19,0),0))</f>
        <v>#VALUE!</v>
      </c>
      <c r="FY19" s="1551" t="e">
        <f aca="false">IF(AND(Assumptions!$H$71="Yes",A19&gt;=Assumptions!$H$72,A19&lt;=Assumptions!$H$73),0,IF(EU19&gt;0,MAX(BI19*(1+VLOOKUP($C19,WeatherCapacityAdjustment,3))-FQ19,0),0))</f>
        <v>#VALUE!</v>
      </c>
      <c r="FZ19" s="1551" t="e">
        <f aca="false">IF(AND(Assumptions!$H$71="Yes",A19&gt;=Assumptions!$H$72,A19&lt;=Assumptions!$H$73),0,IF(EV19&gt;0,MAX(BJ19*(1+VLOOKUP($C19,WeatherCapacityAdjustment,2))-FR19,0),0))</f>
        <v>#VALUE!</v>
      </c>
      <c r="GA19" s="1564" t="e">
        <f aca="false">IF(AND(Assumptions!$H$71="Yes",A19&gt;=Assumptions!$H$72,A19&lt;=Assumptions!$H$73),0,IF(EW19&gt;0,MAX(BK19*(1+VLOOKUP($C19,WeatherCapacityAdjustment,2))-FS19,0),0))</f>
        <v>#VALUE!</v>
      </c>
      <c r="GB19" s="1551" t="e">
        <f aca="false">SUM(FT19:GA19)</f>
        <v>#VALUE!</v>
      </c>
      <c r="GC19" s="1563" t="e">
        <f aca="false">+IF(SUM(FT19:GA19)=0,0,(SUMPRODUCT(BU19:BX19,FT19:FW19)+SUMPRODUCT(CA19:CD19,FX19:GA19))/SUM(FT19:GA19))</f>
        <v>#VALUE!</v>
      </c>
      <c r="GD19" s="1551" t="e">
        <f aca="false">(FT19*BU19+FX19*CA19+FU19*BV19+FY19*CB19+FV19*BW19+FZ19*CC19+FW19*BX19+GA19*CD19)</f>
        <v>#VALUE!</v>
      </c>
      <c r="GE19" s="1561" t="e">
        <f aca="false">+IF(BQ19,((FL19+FM19+FT19+FU19)*HeatRatePeak/1000*(1+VLOOKUP($C19,WeatherHeatRateAdjustment,2))+(FN19+FV19)*IF(EV19&gt;0,HeatRatePeak,HeatRateOffPeak)/1000*(1+VLOOKUP($C19,WeatherHeatRateAdjustment,2))+(FO19+FW19)*IF(EW19&gt;0,HeatRatePeak,HeatRateOffPeak)/1000*(1+VLOOKUP($C19,WeatherHeatRateAdjustment,3)))*(1+VLOOKUP($B19,HeatRateDegradation,$C19+1)),0)</f>
        <v>#VALUE!</v>
      </c>
      <c r="GF19" s="1562" t="e">
        <f aca="false">IF(BQ19,((FP19+FQ19+FR19+FX19+FY19+FZ19)*HeatRatePeak/1000*(1+VLOOKUP($C19,WeatherHeatRateAdjustment,2))+(FS19+GA19)*HeatRatePeak/1000*(1+VLOOKUP($C19,WeatherHeatRateAdjustment,3)))*(1+VLOOKUP($B19,HeatRateDegradation,$C19+1)),0)</f>
        <v>#VALUE!</v>
      </c>
      <c r="GG19" s="1563" t="e">
        <f aca="false">IF(BQ19,VLOOKUP(A19,GasTable,13),0)</f>
        <v>#VALUE!</v>
      </c>
      <c r="GH19" s="1564" t="e">
        <f aca="false">(GE19+GF19)*GG19</f>
        <v>#VALUE!</v>
      </c>
      <c r="GI19" s="1569" t="e">
        <f aca="false">GB19</f>
        <v>#VALUE!</v>
      </c>
      <c r="GJ19" s="1598" t="e">
        <f aca="false">+DA19</f>
        <v>#VALUE!</v>
      </c>
      <c r="GK19" s="1558" t="e">
        <f aca="false">+GI19*GJ19</f>
        <v>#VALUE!</v>
      </c>
      <c r="GL19" s="1566" t="e">
        <f aca="false">MAX(FE19-FL19-FP19,0)</f>
        <v>#VALUE!</v>
      </c>
      <c r="GM19" s="1551" t="e">
        <f aca="false">MAX(FF19-FM19-FQ19,0)</f>
        <v>#VALUE!</v>
      </c>
      <c r="GN19" s="1551" t="e">
        <f aca="false">MAX(FG19-FN19-FR19,0)</f>
        <v>#VALUE!</v>
      </c>
      <c r="GO19" s="1564" t="e">
        <f aca="false">MAX(FH19-FO19-FS19,0)</f>
        <v>#VALUE!</v>
      </c>
      <c r="GP19" s="1551" t="e">
        <f aca="false">SUM(GL19:GO19)</f>
        <v>#VALUE!</v>
      </c>
      <c r="GQ19" s="1563" t="e">
        <f aca="false">IF(SUM(GL19:GO19)=0,0,((GL19*BU19+GM19*BV19+GN19*BW19+GO19*BX19)/SUM(GL19:GO19)))</f>
        <v>#VALUE!</v>
      </c>
      <c r="GR19" s="1558" t="e">
        <f aca="false">(GL19*BU19+GM19*BV19+GN19*BW19+GO19*BX19)</f>
        <v>#VALUE!</v>
      </c>
      <c r="GS19" s="1566" t="n">
        <f aca="false">IF($A19&gt;=BegDate,Assumptions!$C$56*24*($A20-$A19)*(1-VLOOKUP($B19,MAIN!$AA$7:$AM$28,$C19+1))*(1-VLOOKUP($B19,MAIN!$AA$33:$AM$54,$C19+1)),0)*80/168</f>
        <v>0</v>
      </c>
      <c r="GT19" s="286" t="n">
        <f aca="false">J19</f>
        <v>30.5545</v>
      </c>
      <c r="GU19" s="286" t="n">
        <f aca="false">IF($A19&gt;=BegDate,VLOOKUP($A19,GasTable,13)+Assumptions!$C$58,0)</f>
        <v>0</v>
      </c>
      <c r="GV19" s="286" t="n">
        <f aca="false">GU19*Assumptions!$C$57/1000</f>
        <v>0</v>
      </c>
      <c r="GW19" s="1558" t="n">
        <f aca="false">IF(Assumptions!$C$60="Hourly",MAX(0,GS19*(GT19-GV19)),GS19*(GT19-GV19))</f>
        <v>0</v>
      </c>
      <c r="GX19" s="1566" t="n">
        <f aca="false">IF($A19&gt;=BegDate,Assumptions!$C$56*24*($A20-$A19)*(1-VLOOKUP($B19,MAIN!$AA$7:$AM$28,$C19+1))*(1-VLOOKUP($B19,MAIN!$AA$33:$AM$54,$C19+1)),0)*16/168</f>
        <v>0</v>
      </c>
      <c r="GY19" s="286" t="n">
        <f aca="false">M19</f>
        <v>30.5545</v>
      </c>
      <c r="GZ19" s="286" t="n">
        <f aca="false">IF($A19&gt;=BegDate,VLOOKUP($A19,GasTable,13)+Assumptions!$C$58,0)</f>
        <v>0</v>
      </c>
      <c r="HA19" s="286" t="n">
        <f aca="false">GZ19*Assumptions!$C$57/1000</f>
        <v>0</v>
      </c>
      <c r="HB19" s="1558" t="n">
        <f aca="false">IF(Assumptions!$C$60="Hourly",MAX(0,GX19*(GY19-HA19)),GX19*(GY19-HA19))</f>
        <v>0</v>
      </c>
      <c r="HC19" s="1566" t="n">
        <f aca="false">IF($A19&gt;=BegDate,Assumptions!$C$56*24*($A20-$A19)*(1-VLOOKUP($B19,MAIN!$AA$7:$AM$28,$C19+1))*(1-VLOOKUP($B19,MAIN!$AA$33:$AM$54,$C19+1)),0)*16/168</f>
        <v>0</v>
      </c>
      <c r="HD19" s="286" t="n">
        <f aca="false">P19</f>
        <v>15.1751</v>
      </c>
      <c r="HE19" s="286" t="n">
        <f aca="false">IF($A19&gt;=BegDate,VLOOKUP($A19,GasTable,13)+Assumptions!$C$58,0)</f>
        <v>0</v>
      </c>
      <c r="HF19" s="286" t="n">
        <f aca="false">HE19*Assumptions!$C$57/1000</f>
        <v>0</v>
      </c>
      <c r="HG19" s="1558" t="n">
        <f aca="false">IF(Assumptions!$C$60="Hourly",MAX(0,HC19*(HD19-HF19)),HC19*(HD19-HF19))</f>
        <v>0</v>
      </c>
      <c r="HH19" s="1566" t="n">
        <f aca="false">IF($A19&gt;=BegDate,Assumptions!$C$56*24*($A20-$A19)*(1-VLOOKUP($B19,MAIN!$AA$7:$AM$28,$C19+1))*(1-VLOOKUP($B19,MAIN!$AA$33:$AM$54,$C19+1)),0)*56/168</f>
        <v>0</v>
      </c>
      <c r="HI19" s="286" t="n">
        <f aca="false">S19</f>
        <v>15.1751</v>
      </c>
      <c r="HJ19" s="286" t="n">
        <f aca="false">IF($A19&gt;=BegDate,VLOOKUP($A19,GasTable,13)+Assumptions!$C$58,0)</f>
        <v>0</v>
      </c>
      <c r="HK19" s="286" t="n">
        <f aca="false">HJ19*Assumptions!$C$57/1000</f>
        <v>0</v>
      </c>
      <c r="HL19" s="1558" t="n">
        <f aca="false">IF(Assumptions!$C$60="Hourly",MAX(0,HH19*(HI19-HK19)),HH19*(HI19-HK19))</f>
        <v>0</v>
      </c>
      <c r="HM19" s="1566" t="n">
        <f aca="false">IF(AND(Assumptions!$H$71="Yes",A19&gt;=Assumptions!$H$72,A19&lt;=Assumptions!$H$73),Assumptions!$H$74*Assumptions!$C$9*1000,0)</f>
        <v>0</v>
      </c>
      <c r="HN19" s="1558"/>
      <c r="HO19" s="1567" t="n">
        <f aca="false">HO18+1</f>
        <v>2005</v>
      </c>
      <c r="HP19" s="1566" t="e">
        <f aca="false">SUMIF($B$17:$B$292,HO19,$FJ$17:$FJ$292)</f>
        <v>#VALUE!</v>
      </c>
      <c r="HQ19" s="1568" t="e">
        <f aca="false">IF(HR19=0,0,HR19/HP19)</f>
        <v>#VALUE!</v>
      </c>
      <c r="HR19" s="1564" t="e">
        <f aca="false">SUMIF($B$17:$B$292,HO19,$FK$17:$FK$292)</f>
        <v>#VALUE!</v>
      </c>
      <c r="HS19" s="1569" t="e">
        <f aca="false">SUMIF($B$17:$B$292,HO19,$GB$17:$GB$292)</f>
        <v>#VALUE!</v>
      </c>
      <c r="HT19" s="1563" t="e">
        <f aca="false">+IF(HS19&gt;0,HU19/HS19,0)</f>
        <v>#VALUE!</v>
      </c>
      <c r="HU19" s="1551" t="e">
        <f aca="false">SUMIF($B$17:$B$292,HO19,$GD$17:$GD$292)</f>
        <v>#VALUE!</v>
      </c>
      <c r="HV19" s="1569" t="e">
        <f aca="false">HR19+HU19</f>
        <v>#VALUE!</v>
      </c>
      <c r="HW19" s="1551" t="e">
        <f aca="false">SUMIF($B$17:$B$292,$HO19,$EN$17:$EN$292)</f>
        <v>#VALUE!</v>
      </c>
      <c r="HX19" s="1551" t="e">
        <f aca="false">SUMIF($B$17:$B$292,$HO19,$FC$17:$FC$292)</f>
        <v>#VALUE!</v>
      </c>
      <c r="HY19" s="1551" t="n">
        <f aca="false">IF(Assumptions!$L$24="Yes",HW19+HX19,0)</f>
        <v>0</v>
      </c>
      <c r="HZ19" s="1566" t="e">
        <f aca="false">SUMIF($B$17:$B$292,HO19,$GE$17:$GE$292)+SUMIF($B$17:$B$292,HO19,$GF$17:$GF$292)</f>
        <v>#VALUE!</v>
      </c>
      <c r="IA19" s="1563" t="e">
        <f aca="false">IF(IB19=0,0,IB19/HZ19)</f>
        <v>#VALUE!</v>
      </c>
      <c r="IB19" s="1564" t="e">
        <f aca="false">-SUMIF($B$17:$B$292,HO19,$GH$17:$GH$292)</f>
        <v>#VALUE!</v>
      </c>
      <c r="IC19" s="1569" t="e">
        <f aca="false">SUMIF($B$17:$B$292,HO19,$GI$17:$GI$292)</f>
        <v>#VALUE!</v>
      </c>
      <c r="ID19" s="1563" t="e">
        <f aca="false">IF(IE19=0,0,IE19/IC19)</f>
        <v>#VALUE!</v>
      </c>
      <c r="IE19" s="1564" t="e">
        <f aca="false">-SUMIF($B$17:$B$292,HO19,$GK$17:$GK$292)</f>
        <v>#VALUE!</v>
      </c>
      <c r="IF19" s="1551" t="e">
        <f aca="false">SUMIF($B$17:$B$292,HO19,$GP$17:$GP$292)</f>
        <v>#VALUE!</v>
      </c>
      <c r="IG19" s="1563" t="e">
        <f aca="false">IF(IH19=0,0,IH19/IF19)</f>
        <v>#VALUE!</v>
      </c>
      <c r="IH19" s="1564" t="e">
        <f aca="false">-SUMIF($B$17:$B$292,HO19,$GR$17:$GR$292)</f>
        <v>#VALUE!</v>
      </c>
      <c r="II19" s="1570" t="n">
        <f aca="false">(SUMIF($B$17:$B$292,HO19,$GW$17:$GW$292)+SUMIF($B$17:$B$292,HO19,$HB$17:$HB$292)+SUMIF($B$17:$B$292,HO19,$HG$17:$HG$292)+SUMIF($B$17:$B$292,HO19,$HL$17:$HL$292))*Assumptions!$C$59</f>
        <v>1211686.70139222</v>
      </c>
      <c r="IJ19" s="1309" t="n">
        <f aca="false">SUMIF($B$17:$B$292,HO19,$HM$17:$HM$292)</f>
        <v>0</v>
      </c>
      <c r="IK19" s="1309"/>
    </row>
    <row r="20" customFormat="false" ht="12.75" hidden="false" customHeight="false" outlineLevel="0" collapsed="false">
      <c r="A20" s="1571" t="n">
        <f aca="false">EOMONTH(A19,0)+1</f>
        <v>36739</v>
      </c>
      <c r="B20" s="594" t="n">
        <f aca="false">+YEAR(A20)</f>
        <v>2000</v>
      </c>
      <c r="C20" s="238" t="n">
        <f aca="false">MONTH(A20)</f>
        <v>8</v>
      </c>
      <c r="D20" s="1572" t="str">
        <f aca="false">IF(E20="","",Holiday(B20,C20))</f>
        <v/>
      </c>
      <c r="E20" s="1573" t="str">
        <f aca="false">IF(OR(BegDate&gt;=A21,EndDate&lt;A20,AND(VolumeMonthlyOverFlag,INDEX(VolumeMonthlyOver,C20)=0),NOT(INDEX(MonthKnockOutTable,C20))),"",MAX(A20,BegDate))</f>
        <v/>
      </c>
      <c r="F20" s="1574" t="str">
        <f aca="false">IF(E20="","",MIN(A21-1,EndDate))</f>
        <v/>
      </c>
      <c r="G20" s="1575" t="n">
        <v>0</v>
      </c>
      <c r="H20" s="1576" t="n">
        <f aca="false">(1+G20/2)^(-2*(DATE(B21,C21,20)-DateToday)/365.25)</f>
        <v>1</v>
      </c>
      <c r="I20" s="1568" t="n">
        <f aca="false">IF(Assumptions!$L$25=4,VLOOKUP($A20,'Henwood Reference'!$E$9:$R$320,10),(VLOOKUP($A20,PriceTable,2,0)+IF(BasisNumber&lt;&gt;1,VLOOKUP($A20,BasisTable,2,0),0)+I$1)/(1-I$2))</f>
        <v>42.0786</v>
      </c>
      <c r="J20" s="1568" t="n">
        <f aca="false">IF(Assumptions!$L$25=4,VLOOKUP($A20,'Henwood Reference'!$E$9:$R$320,10),(VLOOKUP($A20,PriceTable,3,0)+IF(BasisNumber&lt;&gt;1,VLOOKUP($A20,BasisTable,2,0),0)+J$1)/(1-J$2))</f>
        <v>42.0786</v>
      </c>
      <c r="K20" s="1568" t="n">
        <f aca="false">IF(Assumptions!$L$25=4,VLOOKUP($A20,'Henwood Reference'!$E$9:$R$320,10),(VLOOKUP($A20,PriceTable,4,0)+IF(BasisNumber&lt;&gt;1,VLOOKUP($A20,BasisTable,2,0),0)+K$1)/(1-K$2))</f>
        <v>42.0786</v>
      </c>
      <c r="L20" s="1523" t="n">
        <f aca="false">IF(Assumptions!$L$25=4,VLOOKUP($A20,'Henwood Reference'!$E$9:$R$320,10),(VLOOKUP($A20,PriceTableWeekend,2,0)+IF(BasisNumber&lt;&gt;1,VLOOKUP($A20,BasisTable,2,0),0)+L$1)/(1-L$2))</f>
        <v>42.0786</v>
      </c>
      <c r="M20" s="1568" t="n">
        <f aca="false">IF(Assumptions!$L$25=4,VLOOKUP($A20,'Henwood Reference'!$E$9:$R$320,10),(VLOOKUP($A20,PriceTableWeekend,3,0)+IF(BasisNumber&lt;&gt;1,VLOOKUP($A20,BasisTable,2,0),0)+M$1)/(1-M$2))</f>
        <v>42.0786</v>
      </c>
      <c r="N20" s="1599" t="n">
        <f aca="false">IF(Assumptions!$L$25=4,VLOOKUP($A20,'Henwood Reference'!$E$9:$R$320,10),(VLOOKUP($A20,PriceTableWeekend,4,0)+IF(BasisNumber&lt;&gt;1,VLOOKUP($A20,BasisTable,2,0),0)+N$1)/(1-N$2))</f>
        <v>42.0786</v>
      </c>
      <c r="O20" s="1568" t="n">
        <f aca="false">IF(Assumptions!$L$25=4,VLOOKUP($A20,'Henwood Reference'!$E$9:$R$320,11),(VLOOKUP($A20,PriceTableWeekend,6,0)+IF(BasisNumber&lt;&gt;1,VLOOKUP($A20,BasisTable,3,0),0)+O$1)/(1-O$2))</f>
        <v>21.7132</v>
      </c>
      <c r="P20" s="1568" t="n">
        <f aca="false">IF(Assumptions!$L$25=4,VLOOKUP($A20,'Henwood Reference'!$E$9:$R$320,11),(VLOOKUP($A20,PriceTableWeekend,7,0)+IF(BasisNumber&lt;&gt;1,VLOOKUP($A20,BasisTable,3,0),0)+P$1)/(1-P$2))</f>
        <v>21.7132</v>
      </c>
      <c r="Q20" s="1599" t="n">
        <f aca="false">IF(Assumptions!$L$25=4,VLOOKUP($A20,'Henwood Reference'!$E$9:$R$320,11),(VLOOKUP($A20,PriceTableWeekend,8,0)+IF(BasisNumber&lt;&gt;1,VLOOKUP($A20,BasisTable,3,0),0)+Q$1)/(1-Q$2))</f>
        <v>21.7132</v>
      </c>
      <c r="R20" s="1568" t="n">
        <f aca="false">IF(Assumptions!$L$25=4,VLOOKUP($A20,'Henwood Reference'!$E$9:$R$320,11),(VLOOKUP($A20,PriceTable,6,0)+IF(BasisNumber&lt;&gt;1,VLOOKUP($A20,BasisTable,3,0),0)+R$1)/(1-R$2))</f>
        <v>21.7132</v>
      </c>
      <c r="S20" s="1568" t="n">
        <f aca="false">IF(Assumptions!$L$25=4,VLOOKUP($A20,'Henwood Reference'!$E$9:$R$320,11),(VLOOKUP($A20,PriceTable,7,0)+IF(BasisNumber&lt;&gt;1,VLOOKUP($A20,BasisTable,3,0),0)+S$1)/(1-S$2))</f>
        <v>21.7132</v>
      </c>
      <c r="T20" s="1600" t="n">
        <f aca="false">IF(Assumptions!$L$25=4,VLOOKUP($A20,'Henwood Reference'!$E$9:$R$320,11),(VLOOKUP($A20,PriceTable,8,0)+IF(BasisNumber&lt;&gt;1,VLOOKUP($A20,BasisTable,3,0),0)+T$1)/(1-T$2))</f>
        <v>21.7132</v>
      </c>
      <c r="U20" s="1513" t="n">
        <f aca="false">VLOOKUP($A20,VolatilityTable,14)</f>
        <v>0.22</v>
      </c>
      <c r="V20" s="1513" t="n">
        <f aca="false">VLOOKUP($A20,VolatilityTable,15)</f>
        <v>0.28</v>
      </c>
      <c r="W20" s="1514" t="n">
        <f aca="false">VLOOKUP($A20,VolatilityTable,16)</f>
        <v>0.28</v>
      </c>
      <c r="X20" s="1513" t="n">
        <f aca="false">VLOOKUP($A20,VolatilityTable,14)</f>
        <v>0.22</v>
      </c>
      <c r="Y20" s="1513" t="n">
        <f aca="false">VLOOKUP($A20,VolatilityTable,15)</f>
        <v>0.28</v>
      </c>
      <c r="Z20" s="1514" t="n">
        <f aca="false">VLOOKUP($A20,VolatilityTable,16)</f>
        <v>0.28</v>
      </c>
      <c r="AA20" s="1513" t="n">
        <f aca="false">VLOOKUP($A20,VolatilityTable,18)</f>
        <v>0.05</v>
      </c>
      <c r="AB20" s="1513" t="n">
        <f aca="false">VLOOKUP($A20,VolatilityTable,19)</f>
        <v>0.11</v>
      </c>
      <c r="AC20" s="1514" t="n">
        <f aca="false">VLOOKUP($A20,VolatilityTable,20)</f>
        <v>0.15</v>
      </c>
      <c r="AD20" s="1513" t="n">
        <f aca="false">VLOOKUP($A20,VolatilityTable,18)</f>
        <v>0.05</v>
      </c>
      <c r="AE20" s="1513" t="n">
        <f aca="false">VLOOKUP($A20,VolatilityTable,19)</f>
        <v>0.11</v>
      </c>
      <c r="AF20" s="1514" t="n">
        <f aca="false">VLOOKUP($A20,VolatilityTable,20)</f>
        <v>0.15</v>
      </c>
      <c r="AG20" s="1513" t="n">
        <f aca="false">VLOOKUP($A20,VolatilityTable,22)</f>
        <v>-0.35</v>
      </c>
      <c r="AH20" s="1513" t="n">
        <f aca="false">VLOOKUP($A20,VolatilityTable,23)</f>
        <v>3</v>
      </c>
      <c r="AI20" s="1514" t="n">
        <f aca="false">VLOOKUP($A20,VolatilityTable,24)</f>
        <v>0.35</v>
      </c>
      <c r="AJ20" s="1513" t="n">
        <f aca="false">VLOOKUP($A20,VolatilityTable,22)</f>
        <v>-0.35</v>
      </c>
      <c r="AK20" s="1513" t="n">
        <f aca="false">VLOOKUP($A20,VolatilityTable,23)</f>
        <v>3</v>
      </c>
      <c r="AL20" s="1514" t="n">
        <f aca="false">VLOOKUP($A20,VolatilityTable,24)</f>
        <v>0.35</v>
      </c>
      <c r="AM20" s="1513" t="n">
        <f aca="false">VLOOKUP($A20,VolatilityTable,26)</f>
        <v>-0.01</v>
      </c>
      <c r="AN20" s="1513" t="n">
        <f aca="false">VLOOKUP($A20,VolatilityTable,27)</f>
        <v>0.16</v>
      </c>
      <c r="AO20" s="1514" t="n">
        <f aca="false">VLOOKUP($A20,VolatilityTable,28)</f>
        <v>0.01</v>
      </c>
      <c r="AP20" s="1513" t="n">
        <f aca="false">VLOOKUP($A20,VolatilityTable,26)</f>
        <v>-0.01</v>
      </c>
      <c r="AQ20" s="1513" t="n">
        <f aca="false">VLOOKUP($A20,VolatilityTable,27)</f>
        <v>0.16</v>
      </c>
      <c r="AR20" s="1515" t="n">
        <f aca="false">VLOOKUP($A20,VolatilityTable,28)</f>
        <v>0.01</v>
      </c>
      <c r="AS20" s="1581" t="n">
        <f aca="false">IF(CorrPeakOffPeakOverFlag,INDEX(CorrPeakOffPeakOver,C20),CorrPeakOffPeak)</f>
        <v>0.5</v>
      </c>
      <c r="AT20" s="594" t="n">
        <f aca="false">AX20-SUM(AU20:AW20)</f>
        <v>0</v>
      </c>
      <c r="AU20" s="238" t="n">
        <f aca="false">IF(E20="",0,INT((F20-MOD(F20,7)-E20)/7)+1-IF(AW20,IF(WEEKDAY(D20)=7,1,0),0))</f>
        <v>0</v>
      </c>
      <c r="AV20" s="238" t="n">
        <f aca="false">IF(E20="",0,INT((F20-MOD(F20-1,7)-E20)/7)+1-IF(AW20,IF(WEEKDAY(D20)=1,1,0),0))</f>
        <v>0</v>
      </c>
      <c r="AW20" s="238" t="n">
        <f aca="false">IF(OR(E20="",D20="",D20&lt;BegDate,D20&gt;EndDate),0,1)</f>
        <v>0</v>
      </c>
      <c r="AX20" s="238" t="n">
        <f aca="false">IF(E20="",0,F20-E20+1)</f>
        <v>0</v>
      </c>
      <c r="AY20" s="1582" t="n">
        <f aca="false">IF(E20="",0,MIN((1-(1-VLOOKUP(B20,MAIN!$AA$7:$AM$28,C20+1))*(1-VLOOKUP(B20,MAIN!$AA$33:$AM$54,C20+1))),1))</f>
        <v>0</v>
      </c>
      <c r="AZ20" s="1519" t="e">
        <v>#VALUE!</v>
      </c>
      <c r="BA20" s="1520" t="e">
        <v>#VALUE!</v>
      </c>
      <c r="BB20" s="1520" t="e">
        <v>#VALUE!</v>
      </c>
      <c r="BC20" s="1583" t="e">
        <v>#VALUE!</v>
      </c>
      <c r="BD20" s="1522" t="e">
        <v>#VALUE!</v>
      </c>
      <c r="BE20" s="1523" t="e">
        <v>#VALUE!</v>
      </c>
      <c r="BF20" s="1523" t="e">
        <v>#VALUE!</v>
      </c>
      <c r="BG20" s="1584" t="e">
        <v>#VALUE!</v>
      </c>
      <c r="BH20" s="1525" t="e">
        <v>#VALUE!</v>
      </c>
      <c r="BI20" s="1520" t="e">
        <v>#VALUE!</v>
      </c>
      <c r="BJ20" s="1520" t="e">
        <v>#VALUE!</v>
      </c>
      <c r="BK20" s="1583" t="e">
        <v>#VALUE!</v>
      </c>
      <c r="BL20" s="1522" t="e">
        <v>#VALUE!</v>
      </c>
      <c r="BM20" s="1523" t="e">
        <v>#VALUE!</v>
      </c>
      <c r="BN20" s="1523" t="e">
        <v>#VALUE!</v>
      </c>
      <c r="BO20" s="1523" t="e">
        <v>#VALUE!</v>
      </c>
      <c r="BP20" s="1525" t="e">
        <f aca="false">SUM(AZ20:BB20)</f>
        <v>#VALUE!</v>
      </c>
      <c r="BQ20" s="1529" t="e">
        <f aca="false">SUM(AZ20:BC20)</f>
        <v>#VALUE!</v>
      </c>
      <c r="BR20" s="1519" t="e">
        <f aca="false">SUM(BH20:BJ20)</f>
        <v>#VALUE!</v>
      </c>
      <c r="BS20" s="1529" t="e">
        <f aca="false">SUM(BH20:BK20)</f>
        <v>#VALUE!</v>
      </c>
      <c r="BT20" s="1316" t="n">
        <f aca="false">(IF(OVolType&lt;&gt;2,A20+14,IF(OptExpDateShift,ShiftBack(A20,OptExpDateShift,D19),A20))-DateToday)/365.25</f>
        <v>0.298425735797399</v>
      </c>
      <c r="BU20" s="1585" t="e">
        <f aca="false">IF(BQ20,IF(OPriceCurve,IF(OBuySell=OCallPut,I20/(1-AY20),K20/(1-AY20)),J20/(1-AY20))*BD20,0)</f>
        <v>#VALUE!</v>
      </c>
      <c r="BV20" s="1316" t="e">
        <f aca="false">IF(BQ20,IF(OPriceCurve,IF(OBuySell=OCallPut,L20/(1-AY20),N20/(1-AY20)),M20/(1-AY20))*BE20,0)</f>
        <v>#VALUE!</v>
      </c>
      <c r="BW20" s="1316" t="e">
        <f aca="false">IF(BQ20,IF(OPriceCurve,IF(OBuySell=OCallPut,O20/(1-AY20),Q20/(1-AY20)),P20/(1-AY20))*BF20,0)</f>
        <v>#VALUE!</v>
      </c>
      <c r="BX20" s="1316" t="e">
        <f aca="false">IF(BQ20,IF(OPriceCurve,IF(OBuySell=OCallPut,R20/(1-AY20),T20/(1-AY20)),S20/(1-AY20))*BG20,0)</f>
        <v>#VALUE!</v>
      </c>
      <c r="BY20" s="1316" t="e">
        <f aca="false">IF(BP20,(BU20*AZ20+BV20*BA20+BW20*BB20)/BP20,0)</f>
        <v>#VALUE!</v>
      </c>
      <c r="BZ20" s="1316" t="e">
        <f aca="false">IF(BQ20,(BY20*BP20+BX20*BC20)/BQ20,0)</f>
        <v>#VALUE!</v>
      </c>
      <c r="CA20" s="1531" t="e">
        <f aca="false">IF(BS20,IF(OPriceCurve,IF(OBuySell=OCallPut,I20/(1-AY20),K20/(1-AY20)),J20/(1-AY20))*BL20,0)</f>
        <v>#VALUE!</v>
      </c>
      <c r="CB20" s="1316" t="e">
        <f aca="false">IF(BS20,IF(OPriceCurve,IF(OBuySell=OCallPut,L20/(1-AY20),N20/(1-AY20)),M20/(1-AY20))*BM20,0)</f>
        <v>#VALUE!</v>
      </c>
      <c r="CC20" s="1316" t="e">
        <f aca="false">IF(BS20,IF(OPriceCurve,IF(OBuySell=OCallPut,O20/(1-AY20),Q20/(1-AY20)),P20/(1-AY20))*BN20,0)</f>
        <v>#VALUE!</v>
      </c>
      <c r="CD20" s="1316" t="e">
        <f aca="false">IF(BS20,IF(OPriceCurve,IF(OBuySell=OCallPut,R20/(1-AY20),T20/(1-AY20)),S20/(1-AY20))*BO20,0)</f>
        <v>#VALUE!</v>
      </c>
      <c r="CE20" s="1316" t="e">
        <f aca="false">IF(BR20,(BU20*BH20+BV20*BI20+BW20*BJ20)/BR20,0)</f>
        <v>#VALUE!</v>
      </c>
      <c r="CF20" s="1532" t="e">
        <f aca="false">IF(BS20,(CE20*BR20+CD20*BK20)/BS20,0)</f>
        <v>#VALUE!</v>
      </c>
      <c r="CG20" s="1586" t="e">
        <f aca="false">IF(OR(BQ20,BS20),IF(OVolType&lt;&gt;2,SQRT(IF(OVolOverMonthlyPeak,OVolOverMonthlyPeak,IF(OVolCurve,IF(OBuySell,U20,W20),V20))^2*(1-15/365.25/BT20)+IF(OVolOverDailyPeak,OVolOverDailyPeak,IF(OVolCurve,IF(OBuySell,AG20,AI20),AH20))^2*15/365.25/BT20),IF(OVolOverMonthlyPeak,OVolOverMonthlyPeak,IF(OVolCurve,IF(OBuySell,U20,W20),V20))),"")</f>
        <v>#VALUE!</v>
      </c>
      <c r="CH20" s="1587" t="e">
        <f aca="false">IF(OR(BQ20,BS20),IF(OVolType&lt;&gt;2,SQRT(IF(OVolOverMonthlyPeak,OVolOverMonthlyPeak,IF(OVolCurve,IF(OBuySell,X20,Z20),Y20))^2*(1-15/365.25/BT20)+IF(OVolOverDailyPeak,OVolOverDailyPeak,IF(OVolCurve,IF(OBuySell,AJ20,AL20),AK20))^2*15/365.25/BT20),IF(OVolOverMonthlyPeak,OVolOverMonthlyPeak,IF(OVolCurve,IF(OBuySell,X20,Z20),Y20))),"")</f>
        <v>#VALUE!</v>
      </c>
      <c r="CI20" s="1587" t="e">
        <f aca="false">IF(OR(BQ20,BS20),IF(OVolType&lt;&gt;2,SQRT(IF(OVolOverMonthlyPeak,OVolOverMonthlyPeak,IF(OVolCurve,IF(OBuySell,AA20,AC20),AB20))^2*(1-15/365.25/BT20)+IF(OVolOverDailyPeak,OVolOverDailyPeak,IF(OVolCurve,IF(OBuySell,AM20,AO20),AN20))^2*15/365.25/BT20),IF(OVolOverMonthlyPeak,OVolOverMonthlyPeak,IF(OVolCurve,IF(OBuySell,AA20,AC20),AB20))),"")</f>
        <v>#VALUE!</v>
      </c>
      <c r="CJ20" s="1587" t="e">
        <f aca="false">IF(BQ20,IF(BP20,SQRT(LN(1+((BU20*AZ20)^2*(EXP(CG20^2*BT20)-1)+(BV20*BA20)^2*(EXP(CH20^2*BT20)-1)+(BW20*BB20)^2*(EXP(CI20^2*BT20)-1)+2*BU20*AZ20*BV20*BA20*(EXP(CG20*CH20*BT20)-1)+2*BV20*BA20*BW20*BB20*(EXP(CH20*CI20*BT20)-1)+2*BW20*BB20*BU20*AZ20*(EXP(CI20*CG20*BT20)-1))/(BY20*BP20)^2)/BT20),0),"")</f>
        <v>#VALUE!</v>
      </c>
      <c r="CK20" s="1587" t="e">
        <f aca="false">IF(BS20,IF(BR20,SQRT(LN(1+((CA20*BH20)^2*(EXP(CG20^2*BT20)-1)+(CB20*BI20)^2*(EXP(CH20^2*BT20)-1)+(CC20*BJ20)^2*(EXP(CI20^2*BT20)-1)+2*CA20*BH20*CB20*BI20*(EXP(CG20*CH20*BT20)-1)+2*CB20*BI20*CC20*BJ20*(EXP(CH20*CI20*BT20)-1)+2*CC20*BJ20*CA20*BH20*(EXP(CI20*CG20*BT20)-1))/(CE20*BR20)^2)/BT20),0),"")</f>
        <v>#VALUE!</v>
      </c>
      <c r="CL20" s="1587" t="e">
        <f aca="false">IF(OR(BQ20,BS20),IF(OVolType&lt;&gt;2,SQRT(IF(OVolOverMonthlyOffPeak,OVolOverMonthlyOffPeak,IF(OVolCurve,IF(OBuySell,AD20,AF20),AE20))^2*(1-15/365.25/BT20)+IF(OVolOverDailyOffPeak,OVolOverDailyOffPeak,IF(OVolCurve,IF(OBuySell,AP20,AR20),AQ20))^2*15/365.25/BT20),IF(OVolOverMonthlyOffPeak,OVolOverMonthlyOffPeak,IF(OVolCurve,IF(OBuySell,AD20,AF20),AE20))),"")</f>
        <v>#VALUE!</v>
      </c>
      <c r="CM20" s="1587" t="e">
        <f aca="false">IF(BQ20,SQRT(LN(1+((BY20*BP20)^2*(EXP(CJ20^2*BT20)-1)+(BX20*BC20)^2*(EXP(CL20^2*BT20)-1)+2*BY20*BP20*BX20*BC20*(EXP(AS20*CJ20*CL20*BT20)-1))/(BY20*BP20+BX20*BC20)^2)/BT20),"")</f>
        <v>#VALUE!</v>
      </c>
      <c r="CN20" s="1588" t="e">
        <f aca="false">IF(BS20,SQRT(LN(1+((CE20*BR20)^2*(EXP(CK20^2*BT20)-1)+(CD20*BK20)^2*(EXP(CL20^2*BT20)-1)+2*CE20*BR20*CD20*BK20*(EXP(AS20*CK20*CL20*BT20)-1))/(CE20*BR20+CD20*BK20)^2)/BT20),"")</f>
        <v>#VALUE!</v>
      </c>
      <c r="CO20" s="1531" t="e">
        <f aca="false">IF(OR(BQ20,BS20),VLOOKUP(A20,GasTable,13)*HeatRatePeak*VLOOKUP($B20,MAIN!$AB$59:$AM$80,$C20+1)/1000,0)</f>
        <v>#VALUE!</v>
      </c>
      <c r="CP20" s="1316" t="e">
        <f aca="false">IF(OR(BQ20,BS20),VLOOKUP(A20,GasTable,13)*HeatRatePeak*(1+VLOOKUP($B20,HeatRateDegradation,$C20+1))/1000,0)</f>
        <v>#VALUE!</v>
      </c>
      <c r="CQ20" s="1316" t="e">
        <f aca="false">IF(OR(BQ20,BS20),VLOOKUP(A20,GasTable,13)*IF(EV20,HeatRatePeak,HeatRateOffPeak)*(1+VLOOKUP($B20,HeatRateDegradation,$C20+1))/1000,0)</f>
        <v>#VALUE!</v>
      </c>
      <c r="CR20" s="1316" t="e">
        <f aca="false">IF(OR(BQ20,BS20),VLOOKUP(A20,GasTable,13)*IF(EW20,HeatRatePeak,HeatRateOffPeak)*(1+VLOOKUP($B20,HeatRateDegradation,$C20+1))/1000,0)</f>
        <v>#VALUE!</v>
      </c>
      <c r="CS20" s="1589" t="e">
        <f aca="false">IF(BQ20,(CO20*AZ20+CP20*BA20+CQ20*BB20+CR20*BC20)/BQ20,0)</f>
        <v>#VALUE!</v>
      </c>
      <c r="CT20" s="1316" t="e">
        <f aca="false">IF(BS20,CO20,0)</f>
        <v>#VALUE!</v>
      </c>
      <c r="CU20" s="1590" t="e">
        <f aca="false">IF(OR(BQ20,BS20),VLOOKUP(A20,GasTable,14),"")</f>
        <v>#VALUE!</v>
      </c>
      <c r="CV20" s="1568" t="e">
        <f aca="false">IF(OR(BQ20,BS20),IF(CorrPowerGasOverFlag,INDEX(CorrPowerGasOver,C20),CorrPowerGas),"")</f>
        <v>#VALUE!</v>
      </c>
      <c r="CW20" s="1316" t="e">
        <f aca="false">IF(OR($BQ20,$BS20),SpreadOptPowerMargin,0)*((1+Assumptions!$C$26)^($B20-YEAR(Assumptions!$C$17)))</f>
        <v>#VALUE!</v>
      </c>
      <c r="CX20" s="1316" t="e">
        <f aca="false">IF(OR($BQ20,$BS20),SpreadOptPowerMargin,0)*((1+Assumptions!$C$26)^($B20-YEAR(Assumptions!$C$17)))</f>
        <v>#VALUE!</v>
      </c>
      <c r="CY20" s="1316" t="e">
        <f aca="false">IF(OR($BQ20,$BS20),SpreadOptPowerMargin,0)*((1+Assumptions!$C$26)^($B20-YEAR(Assumptions!$C$17)))</f>
        <v>#VALUE!</v>
      </c>
      <c r="CZ20" s="1316" t="e">
        <f aca="false">IF(OR($BQ20,$BS20),SpreadOptPowerMargin,0)*((1+Assumptions!$C$26)^($B20-YEAR(Assumptions!$C$17)))</f>
        <v>#VALUE!</v>
      </c>
      <c r="DA20" s="1591" t="e">
        <f aca="false">IF(OR(BQ20,BS20),(CW20*(AZ20+BH20)+CX20*(BA20+BI20)+CY20*(BB20+BJ20)+CZ20*(BC20+BK20))/(BQ20+BS20),0)</f>
        <v>#VALUE!</v>
      </c>
      <c r="DB20" s="1592" t="e">
        <f aca="false">IF(OR(BQ20,BS20),CG20+IF(OVolSmile,VLOOKUP(MAX(-5,CO20+CW20-BU20),IF(OVolSmile=1,VolSmileBook,VolSmileModel),2),0),"")</f>
        <v>#VALUE!</v>
      </c>
      <c r="DC20" s="1592" t="e">
        <f aca="false">IF(OR(BQ20,BS20),CH20+IF(OVolSmile,VLOOKUP(MAX(-5,CP20+CW20-BV20),IF(OVolSmile=1,VolSmileBook,VolSmileModel),2),0),"")</f>
        <v>#VALUE!</v>
      </c>
      <c r="DD20" s="1592" t="e">
        <f aca="false">IF(OR(BQ20,BS20),CI20+IF(OVolSmile,VLOOKUP(MAX(-5,CQ20+CW20-BW20),IF(OVolSmile=1,VolSmileBook,VolSmileModel),2),0),"")</f>
        <v>#VALUE!</v>
      </c>
      <c r="DE20" s="1592" t="e">
        <f aca="false">IF(OR(BQ20,BS20),CL20+IF(OVolSmile,VLOOKUP(MAX(-5,CR20+CZ20-BX20),IF(OVolSmile=1,VolSmileBook,VolSmileModel),2),0),"")</f>
        <v>#VALUE!</v>
      </c>
      <c r="DF20" s="1592" t="e">
        <f aca="false">IF(BQ20,CM20+IF(OVolSmile,VLOOKUP(MAX(-5,CS20+DA20-BZ20),IF(OVolSmile=1,VolSmileBook,VolSmileModel),2),0),"")</f>
        <v>#VALUE!</v>
      </c>
      <c r="DG20" s="1593" t="e">
        <f aca="false">IF(BS20,CN20+IF(OVolSmile,VLOOKUP(MAX(-5,CT20+DA20-CF20),IF(OVolSmile=1,VolSmileBook,VolSmileModel),2),0),"")</f>
        <v>#VALUE!</v>
      </c>
      <c r="DH20" s="1316" t="e">
        <f aca="false">IF(AND(BU20&gt;0,CO20&gt;0,DB20&gt;0,CU20&gt;0),newSPRDOPT(BU20,CO20,CW20,0,DB20,CU20,CV20,BT20*365.25,OCallPut,0),0)</f>
        <v>#VALUE!</v>
      </c>
      <c r="DI20" s="1316" t="e">
        <f aca="false">IF(AND(BV20&gt;0,CP20&gt;0,DC20&gt;0,CU20&gt;0),newSPRDOPT(BV20,CP20,CX20,0,DC20,CU20,CV20,BT20*365.25,OCallPut,0),0)</f>
        <v>#VALUE!</v>
      </c>
      <c r="DJ20" s="1316" t="e">
        <f aca="false">IF(AND(BW20&gt;0,CQ20&gt;0,DD20&gt;0,CU20&gt;0),newSPRDOPT(BW20,CQ20,CY20,0,DD20,CU20,CV20,BT20*365.25,OCallPut,0),0)</f>
        <v>#VALUE!</v>
      </c>
      <c r="DK20" s="1316" t="e">
        <f aca="false">IF(AND(BX20&gt;0,CR20&gt;0,DE20&gt;0,CU20&gt;0),newSPRDOPT(BX20,CR20,CZ20,0,DE20,CU20,CV20,BT20*365.25,OCallPut,0),0)</f>
        <v>#VALUE!</v>
      </c>
      <c r="DL20" s="1316" t="e">
        <f aca="false">IF(OVolType,IF(AND(BZ20&gt;0,CS20&gt;0,DF20&gt;0,CU20&gt;0),newSPRDOPT(BZ20,CS20,DA20,0,DF20,CU20,CV20,BT20*365.25,OCallPut,0),0),IF(BQ20,(DH20*AZ20+DI20*BA20+DJ20*BB20+DK20*BC20)/BQ20,0))</f>
        <v>#VALUE!</v>
      </c>
      <c r="DM20" s="1316"/>
      <c r="DN20" s="1316"/>
      <c r="DO20" s="1316"/>
      <c r="DP20" s="1316"/>
      <c r="DQ20" s="1316"/>
      <c r="DR20" s="1316"/>
      <c r="DS20" s="1316"/>
      <c r="DT20" s="1316"/>
      <c r="DU20" s="1316"/>
      <c r="DV20" s="1316"/>
      <c r="DW20" s="1594" t="e">
        <f aca="false">IF(AND(BW20&gt;0,CT20&gt;0,DD20&gt;0,CU20&gt;0),newSPRDOPT(BW20,CT20,CY20,0,DD20,CU20,CV20,BT20*365.25,OCallPut,0),0)</f>
        <v>#VALUE!</v>
      </c>
      <c r="DX20" s="1316" t="e">
        <f aca="false">IF(AND(BX20&gt;0,CT20&gt;0,DE20&gt;0,CU20&gt;0),newSPRDOPT(BX20,CT20,CZ20,0,DE20,CU20,CV20,BT20*365.25,OCallPut,0),0)</f>
        <v>#VALUE!</v>
      </c>
      <c r="DY20" s="1591" t="e">
        <f aca="false">IF(BS20,(DH20*BH20+DI20*BI20+DW20*BJ20+DX20*BK20)/BS20,0)</f>
        <v>#VALUE!</v>
      </c>
      <c r="DZ20" s="1551" t="e">
        <f aca="false">DH20*AZ20</f>
        <v>#VALUE!</v>
      </c>
      <c r="EA20" s="1551" t="e">
        <f aca="false">DI20*BA20</f>
        <v>#VALUE!</v>
      </c>
      <c r="EB20" s="1551" t="e">
        <f aca="false">DJ20*BB20</f>
        <v>#VALUE!</v>
      </c>
      <c r="EC20" s="1551" t="e">
        <f aca="false">DK20*BC20</f>
        <v>#VALUE!</v>
      </c>
      <c r="ED20" s="1551" t="e">
        <f aca="false">DL20*BQ20</f>
        <v>#VALUE!</v>
      </c>
      <c r="EE20" s="1595" t="e">
        <f aca="false">IF(BQ20,IF(OCallPut,IF(BU20&gt;(CO20+CW20),BU20-(CO20+CW20),0),IF((CO20+CW20)&gt;BU20,(CO20+CW20)-BU20,0))*AZ20,0)</f>
        <v>#VALUE!</v>
      </c>
      <c r="EF20" s="1596" t="e">
        <f aca="false">IF(BQ20,IF(OCallPut,IF(BV20&gt;(CP20+CX20),BV20-(CP20+CX20),0),IF((CP20+CX20)&gt;BV20,(CP20+CX20)-BV20,0))*BA20,0)</f>
        <v>#VALUE!</v>
      </c>
      <c r="EG20" s="1596" t="e">
        <f aca="false">IF(BQ20,IF(OCallPut,IF(BW20&gt;(CQ20+CY20),BW20-(CQ20+CY20),0),IF((CQ20+CY20)&gt;BW20,(CQ20+CY20)-BW20,0))*BB20,0)</f>
        <v>#VALUE!</v>
      </c>
      <c r="EH20" s="1596" t="e">
        <f aca="false">IF(BQ20,IF(OCallPut,IF(BX20&gt;(CR20+CZ20),BX20-(CR20+CZ20),0),IF((CR20+CZ20)&gt;BX20,(CR20+CZ20)-BX20,0))*BC20,0)</f>
        <v>#VALUE!</v>
      </c>
      <c r="EI20" s="1597" t="e">
        <f aca="false">IF(BQ20,IF(OVolType,IF(OCallPut,IF(BZ20&gt;(CS20+DA20),BZ20-(CS20+DA20),0),IF((CS20+DA20)&gt;BZ20,(CS20+DA20)-BZ20,0))*BQ20,SUM(EE20:EH20)),0)</f>
        <v>#VALUE!</v>
      </c>
      <c r="EJ20" s="1595" t="e">
        <f aca="false">DZ20-EE20</f>
        <v>#VALUE!</v>
      </c>
      <c r="EK20" s="1596" t="e">
        <f aca="false">EA20-EF20</f>
        <v>#VALUE!</v>
      </c>
      <c r="EL20" s="1596" t="e">
        <f aca="false">EB20-EG20</f>
        <v>#VALUE!</v>
      </c>
      <c r="EM20" s="1596" t="e">
        <f aca="false">EC20-EH20</f>
        <v>#VALUE!</v>
      </c>
      <c r="EN20" s="1597" t="e">
        <f aca="false">ED20-EI20</f>
        <v>#VALUE!</v>
      </c>
      <c r="EO20" s="1551" t="e">
        <f aca="false">DH20*BH20</f>
        <v>#VALUE!</v>
      </c>
      <c r="EP20" s="1551" t="e">
        <f aca="false">DI20*BI20</f>
        <v>#VALUE!</v>
      </c>
      <c r="EQ20" s="1551" t="e">
        <f aca="false">DW20*BJ20</f>
        <v>#VALUE!</v>
      </c>
      <c r="ER20" s="1551" t="e">
        <f aca="false">DX20*BK20</f>
        <v>#VALUE!</v>
      </c>
      <c r="ES20" s="1551" t="e">
        <f aca="false">DY20*BS20</f>
        <v>#VALUE!</v>
      </c>
      <c r="ET20" s="1566" t="e">
        <f aca="false">IF(BS20,IF(OCallPut,IF(CA20&gt;(CT20+CW20),CA20-(CT20+CW20),0),IF((CT20+CW20)&gt;CA20,(CT20+CW20)-CA20,0))*BH20,0)</f>
        <v>#VALUE!</v>
      </c>
      <c r="EU20" s="1551" t="e">
        <f aca="false">IF(BS20,IF(OCallPut,IF(CB20&gt;(CT20+CX20),CB20-(CT20+CX20),0),IF((CT20+CX20)&gt;CB20,(CT20+CX20)-CB20,0))*BI20,0)</f>
        <v>#VALUE!</v>
      </c>
      <c r="EV20" s="1551" t="e">
        <f aca="false">IF(BS20,IF(OCallPut,IF(CC20&gt;(CT20+CY20),CC20-(CT20+CY20),0),IF((CT20+CY20)&gt;CC20,(CT20+CY20)-CC20,0))*BJ20,0)</f>
        <v>#VALUE!</v>
      </c>
      <c r="EW20" s="1551" t="e">
        <f aca="false">IF(BS20,IF(OCallPut,IF(CD20&gt;(CT20+CZ20),CD20-(CT20+CZ20),0),IF((CT20+CZ20)&gt;CD20,(CT20+CZ20)-CD20,0))*BK20,0)</f>
        <v>#VALUE!</v>
      </c>
      <c r="EX20" s="1558" t="e">
        <f aca="false">IF(BS20,SUM(ET20:EW20),0)</f>
        <v>#VALUE!</v>
      </c>
      <c r="EY20" s="1551" t="e">
        <f aca="false">EO20-ET20</f>
        <v>#VALUE!</v>
      </c>
      <c r="EZ20" s="1551" t="e">
        <f aca="false">EP20-EU20</f>
        <v>#VALUE!</v>
      </c>
      <c r="FA20" s="1551" t="e">
        <f aca="false">EQ20-EV20</f>
        <v>#VALUE!</v>
      </c>
      <c r="FB20" s="1551" t="e">
        <f aca="false">ER20-EW20</f>
        <v>#VALUE!</v>
      </c>
      <c r="FC20" s="1551" t="e">
        <f aca="false">ES20-EX20</f>
        <v>#VALUE!</v>
      </c>
      <c r="FD20" s="1525" t="n">
        <f aca="false">IF(AX20,IF(VLOOKUP(C20,MAIN!$L$17:$M$28,2)="Yes",VLOOKUP(CALC!B20,MAIN!$H$17:$I$20,2),0),0)</f>
        <v>0</v>
      </c>
      <c r="FE20" s="1552" t="n">
        <f aca="false">$FD20*16*AT20*(1-$AY20)</f>
        <v>0</v>
      </c>
      <c r="FF20" s="1553" t="n">
        <f aca="false">$FD20*16*AU20*(1-$AY20)</f>
        <v>0</v>
      </c>
      <c r="FG20" s="1553" t="n">
        <f aca="false">$FD20*16*(AV20+AW20)*(1-$AY20)</f>
        <v>0</v>
      </c>
      <c r="FH20" s="1554" t="n">
        <f aca="false">$FD20*8*AX20*(1-$AY20)</f>
        <v>0</v>
      </c>
      <c r="FI20" s="1555" t="n">
        <f aca="false">IF(AX20,VLOOKUP(CALC!B20,MAIN!$H$17:$K$20,4),0)</f>
        <v>0</v>
      </c>
      <c r="FJ20" s="1553" t="n">
        <f aca="false">SUM(FE20:FH20)</f>
        <v>0</v>
      </c>
      <c r="FK20" s="1556" t="n">
        <f aca="false">FI20*FJ20</f>
        <v>0</v>
      </c>
      <c r="FL20" s="1551" t="e">
        <f aca="false">IF($EI20&gt;0,MIN(FE20,AZ20*(1+VLOOKUP($C20,WeatherCapacityAdjustment,2))),0)</f>
        <v>#VALUE!</v>
      </c>
      <c r="FM20" s="1551" t="e">
        <f aca="false">IF($EI20&gt;0,MIN(FF20,BA20*(1+VLOOKUP($C20,WeatherCapacityAdjustment,2))),0)</f>
        <v>#VALUE!</v>
      </c>
      <c r="FN20" s="1551" t="e">
        <f aca="false">IF($EI20&gt;0,MIN(FG20,BB20*(1+VLOOKUP($C20,WeatherCapacityAdjustment,2))),0)</f>
        <v>#VALUE!</v>
      </c>
      <c r="FO20" s="1564" t="e">
        <f aca="false">IF($EI20&gt;0,MIN(FH20,BC20*(1+VLOOKUP($C20,WeatherCapacityAdjustment,3))),0)</f>
        <v>#VALUE!</v>
      </c>
      <c r="FP20" s="1551" t="e">
        <f aca="false">IF(ET20&gt;0,MIN(FE20-FL20,BH20*(1+VLOOKUP($C20,WeatherCapacityAdjustment,2))),0)</f>
        <v>#VALUE!</v>
      </c>
      <c r="FQ20" s="1551" t="e">
        <f aca="false">IF(EU20&gt;0,MIN(FF20-FM20,BI20*(1+VLOOKUP($C20,WeatherCapacityAdjustment,2))),0)</f>
        <v>#VALUE!</v>
      </c>
      <c r="FR20" s="1551" t="e">
        <f aca="false">IF(EV20&gt;0,MIN(FG20-FN20,BJ20*(1+VLOOKUP($C20,WeatherCapacityAdjustment,2))),0)</f>
        <v>#VALUE!</v>
      </c>
      <c r="FS20" s="1558" t="e">
        <f aca="false">IF(EW20&gt;0,MIN(FH20-FO20,BK20*(1+VLOOKUP($C20,WeatherCapacityAdjustment,3))),0)</f>
        <v>#VALUE!</v>
      </c>
      <c r="FT20" s="1566" t="n">
        <f aca="false">IF(AND(Assumptions!$H$71="Yes",A20&gt;=Assumptions!$H$72,A20&lt;=Assumptions!$H$73),0,IF(AND($A20&gt;=Assumptions!$C$17,$A20&lt;=Assumptions!$C$18),MAX(AZ20*(1+VLOOKUP($C20,WeatherCapacityAdjustment,2))-FL20,0),0))</f>
        <v>0</v>
      </c>
      <c r="FU20" s="1551" t="n">
        <f aca="false">IF(AND(Assumptions!$H$71="Yes",A20&gt;=Assumptions!$H$72,A20&lt;=Assumptions!$H$73),0,IF(AND($A20&gt;=Assumptions!$C$17,$A20&lt;=Assumptions!$C$18),MAX(BA20*(1+VLOOKUP($C20,WeatherCapacityAdjustment,2))-FM20,0),0))</f>
        <v>0</v>
      </c>
      <c r="FV20" s="1551" t="n">
        <f aca="false">IF(AND(Assumptions!$H$71="Yes",A20&gt;=Assumptions!$H$72,A20&lt;=Assumptions!$H$73),0,IF(AND($A20&gt;=Assumptions!$C$17,$A20&lt;=Assumptions!$C$18),MAX(BB20*(1+VLOOKUP($C20,WeatherCapacityAdjustment,2))-FN20,0),0))</f>
        <v>0</v>
      </c>
      <c r="FW20" s="1564" t="n">
        <f aca="false">IF(AND(Assumptions!$H$71="Yes",A20&gt;=Assumptions!$H$72,A20&lt;=Assumptions!$H$73),0,IF(AND($A20&gt;=Assumptions!$C$17,$A20&lt;=Assumptions!$C$18),MAX(BC20*(1+VLOOKUP($C20,WeatherCapacityAdjustment,3))-FO20,0),0))</f>
        <v>0</v>
      </c>
      <c r="FX20" s="1569" t="e">
        <f aca="false">IF(AND(Assumptions!$H$71="Yes",A20&gt;=Assumptions!$H$72,A20&lt;=Assumptions!$H$73),0,IF(ET20&gt;0,MAX(BH20*(1+VLOOKUP($C20,WeatherCapacityAdjustment,2))-FP20,0),0))</f>
        <v>#VALUE!</v>
      </c>
      <c r="FY20" s="1551" t="e">
        <f aca="false">IF(AND(Assumptions!$H$71="Yes",A20&gt;=Assumptions!$H$72,A20&lt;=Assumptions!$H$73),0,IF(EU20&gt;0,MAX(BI20*(1+VLOOKUP($C20,WeatherCapacityAdjustment,3))-FQ20,0),0))</f>
        <v>#VALUE!</v>
      </c>
      <c r="FZ20" s="1551" t="e">
        <f aca="false">IF(AND(Assumptions!$H$71="Yes",A20&gt;=Assumptions!$H$72,A20&lt;=Assumptions!$H$73),0,IF(EV20&gt;0,MAX(BJ20*(1+VLOOKUP($C20,WeatherCapacityAdjustment,2))-FR20,0),0))</f>
        <v>#VALUE!</v>
      </c>
      <c r="GA20" s="1564" t="e">
        <f aca="false">IF(AND(Assumptions!$H$71="Yes",A20&gt;=Assumptions!$H$72,A20&lt;=Assumptions!$H$73),0,IF(EW20&gt;0,MAX(BK20*(1+VLOOKUP($C20,WeatherCapacityAdjustment,2))-FS20,0),0))</f>
        <v>#VALUE!</v>
      </c>
      <c r="GB20" s="1551" t="e">
        <f aca="false">SUM(FT20:GA20)</f>
        <v>#VALUE!</v>
      </c>
      <c r="GC20" s="1563" t="e">
        <f aca="false">+IF(SUM(FT20:GA20)=0,0,(SUMPRODUCT(BU20:BX20,FT20:FW20)+SUMPRODUCT(CA20:CD20,FX20:GA20))/SUM(FT20:GA20))</f>
        <v>#VALUE!</v>
      </c>
      <c r="GD20" s="1551" t="e">
        <f aca="false">(FT20*BU20+FX20*CA20+FU20*BV20+FY20*CB20+FV20*BW20+FZ20*CC20+FW20*BX20+GA20*CD20)</f>
        <v>#VALUE!</v>
      </c>
      <c r="GE20" s="1561" t="e">
        <f aca="false">+IF(BQ20,((FL20+FM20+FT20+FU20)*HeatRatePeak/1000*(1+VLOOKUP($C20,WeatherHeatRateAdjustment,2))+(FN20+FV20)*IF(EV20&gt;0,HeatRatePeak,HeatRateOffPeak)/1000*(1+VLOOKUP($C20,WeatherHeatRateAdjustment,2))+(FO20+FW20)*IF(EW20&gt;0,HeatRatePeak,HeatRateOffPeak)/1000*(1+VLOOKUP($C20,WeatherHeatRateAdjustment,3)))*(1+VLOOKUP($B20,HeatRateDegradation,$C20+1)),0)</f>
        <v>#VALUE!</v>
      </c>
      <c r="GF20" s="1562" t="e">
        <f aca="false">IF(BQ20,((FP20+FQ20+FR20+FX20+FY20+FZ20)*HeatRatePeak/1000*(1+VLOOKUP($C20,WeatherHeatRateAdjustment,2))+(FS20+GA20)*HeatRatePeak/1000*(1+VLOOKUP($C20,WeatherHeatRateAdjustment,3)))*(1+VLOOKUP($B20,HeatRateDegradation,$C20+1)),0)</f>
        <v>#VALUE!</v>
      </c>
      <c r="GG20" s="1563" t="e">
        <f aca="false">IF(BQ20,VLOOKUP(A20,GasTable,13),0)</f>
        <v>#VALUE!</v>
      </c>
      <c r="GH20" s="1564" t="e">
        <f aca="false">(GE20+GF20)*GG20</f>
        <v>#VALUE!</v>
      </c>
      <c r="GI20" s="1569" t="e">
        <f aca="false">GB20</f>
        <v>#VALUE!</v>
      </c>
      <c r="GJ20" s="1598" t="e">
        <f aca="false">+DA20</f>
        <v>#VALUE!</v>
      </c>
      <c r="GK20" s="1558" t="e">
        <f aca="false">+GI20*GJ20</f>
        <v>#VALUE!</v>
      </c>
      <c r="GL20" s="1566" t="e">
        <f aca="false">MAX(FE20-FL20-FP20,0)</f>
        <v>#VALUE!</v>
      </c>
      <c r="GM20" s="1551" t="e">
        <f aca="false">MAX(FF20-FM20-FQ20,0)</f>
        <v>#VALUE!</v>
      </c>
      <c r="GN20" s="1551" t="e">
        <f aca="false">MAX(FG20-FN20-FR20,0)</f>
        <v>#VALUE!</v>
      </c>
      <c r="GO20" s="1564" t="e">
        <f aca="false">MAX(FH20-FO20-FS20,0)</f>
        <v>#VALUE!</v>
      </c>
      <c r="GP20" s="1551" t="e">
        <f aca="false">SUM(GL20:GO20)</f>
        <v>#VALUE!</v>
      </c>
      <c r="GQ20" s="1563" t="e">
        <f aca="false">IF(SUM(GL20:GO20)=0,0,((GL20*BU20+GM20*BV20+GN20*BW20+GO20*BX20)/SUM(GL20:GO20)))</f>
        <v>#VALUE!</v>
      </c>
      <c r="GR20" s="1558" t="e">
        <f aca="false">(GL20*BU20+GM20*BV20+GN20*BW20+GO20*BX20)</f>
        <v>#VALUE!</v>
      </c>
      <c r="GS20" s="1566" t="n">
        <f aca="false">IF($A20&gt;=BegDate,Assumptions!$C$56*24*($A21-$A20)*(1-VLOOKUP($B20,MAIN!$AA$7:$AM$28,$C20+1))*(1-VLOOKUP($B20,MAIN!$AA$33:$AM$54,$C20+1)),0)*80/168</f>
        <v>0</v>
      </c>
      <c r="GT20" s="286" t="n">
        <f aca="false">J20</f>
        <v>42.0786</v>
      </c>
      <c r="GU20" s="286" t="n">
        <f aca="false">IF($A20&gt;=BegDate,VLOOKUP($A20,GasTable,13)+Assumptions!$C$58,0)</f>
        <v>0</v>
      </c>
      <c r="GV20" s="286" t="n">
        <f aca="false">GU20*Assumptions!$C$57/1000</f>
        <v>0</v>
      </c>
      <c r="GW20" s="1558" t="n">
        <f aca="false">IF(Assumptions!$C$60="Hourly",MAX(0,GS20*(GT20-GV20)),GS20*(GT20-GV20))</f>
        <v>0</v>
      </c>
      <c r="GX20" s="1566" t="n">
        <f aca="false">IF($A20&gt;=BegDate,Assumptions!$C$56*24*($A21-$A20)*(1-VLOOKUP($B20,MAIN!$AA$7:$AM$28,$C20+1))*(1-VLOOKUP($B20,MAIN!$AA$33:$AM$54,$C20+1)),0)*16/168</f>
        <v>0</v>
      </c>
      <c r="GY20" s="286" t="n">
        <f aca="false">M20</f>
        <v>42.0786</v>
      </c>
      <c r="GZ20" s="286" t="n">
        <f aca="false">IF($A20&gt;=BegDate,VLOOKUP($A20,GasTable,13)+Assumptions!$C$58,0)</f>
        <v>0</v>
      </c>
      <c r="HA20" s="286" t="n">
        <f aca="false">GZ20*Assumptions!$C$57/1000</f>
        <v>0</v>
      </c>
      <c r="HB20" s="1558" t="n">
        <f aca="false">IF(Assumptions!$C$60="Hourly",MAX(0,GX20*(GY20-HA20)),GX20*(GY20-HA20))</f>
        <v>0</v>
      </c>
      <c r="HC20" s="1566" t="n">
        <f aca="false">IF($A20&gt;=BegDate,Assumptions!$C$56*24*($A21-$A20)*(1-VLOOKUP($B20,MAIN!$AA$7:$AM$28,$C20+1))*(1-VLOOKUP($B20,MAIN!$AA$33:$AM$54,$C20+1)),0)*16/168</f>
        <v>0</v>
      </c>
      <c r="HD20" s="286" t="n">
        <f aca="false">P20</f>
        <v>21.7132</v>
      </c>
      <c r="HE20" s="286" t="n">
        <f aca="false">IF($A20&gt;=BegDate,VLOOKUP($A20,GasTable,13)+Assumptions!$C$58,0)</f>
        <v>0</v>
      </c>
      <c r="HF20" s="286" t="n">
        <f aca="false">HE20*Assumptions!$C$57/1000</f>
        <v>0</v>
      </c>
      <c r="HG20" s="1558" t="n">
        <f aca="false">IF(Assumptions!$C$60="Hourly",MAX(0,HC20*(HD20-HF20)),HC20*(HD20-HF20))</f>
        <v>0</v>
      </c>
      <c r="HH20" s="1566" t="n">
        <f aca="false">IF($A20&gt;=BegDate,Assumptions!$C$56*24*($A21-$A20)*(1-VLOOKUP($B20,MAIN!$AA$7:$AM$28,$C20+1))*(1-VLOOKUP($B20,MAIN!$AA$33:$AM$54,$C20+1)),0)*56/168</f>
        <v>0</v>
      </c>
      <c r="HI20" s="286" t="n">
        <f aca="false">S20</f>
        <v>21.7132</v>
      </c>
      <c r="HJ20" s="286" t="n">
        <f aca="false">IF($A20&gt;=BegDate,VLOOKUP($A20,GasTable,13)+Assumptions!$C$58,0)</f>
        <v>0</v>
      </c>
      <c r="HK20" s="286" t="n">
        <f aca="false">HJ20*Assumptions!$C$57/1000</f>
        <v>0</v>
      </c>
      <c r="HL20" s="1558" t="n">
        <f aca="false">IF(Assumptions!$C$60="Hourly",MAX(0,HH20*(HI20-HK20)),HH20*(HI20-HK20))</f>
        <v>0</v>
      </c>
      <c r="HM20" s="1566" t="n">
        <f aca="false">IF(AND(Assumptions!$H$71="Yes",A20&gt;=Assumptions!$H$72,A20&lt;=Assumptions!$H$73),Assumptions!$H$74*Assumptions!$C$9*1000,0)</f>
        <v>0</v>
      </c>
      <c r="HN20" s="1558"/>
      <c r="HO20" s="1567" t="n">
        <f aca="false">HO19+1</f>
        <v>2006</v>
      </c>
      <c r="HP20" s="1566" t="e">
        <f aca="false">SUMIF($B$17:$B$292,HO20,$FJ$17:$FJ$292)</f>
        <v>#VALUE!</v>
      </c>
      <c r="HQ20" s="1568" t="e">
        <f aca="false">IF(HR20=0,0,HR20/HP20)</f>
        <v>#VALUE!</v>
      </c>
      <c r="HR20" s="1564" t="e">
        <f aca="false">SUMIF($B$17:$B$292,HO20,$FK$17:$FK$292)</f>
        <v>#VALUE!</v>
      </c>
      <c r="HS20" s="1569" t="e">
        <f aca="false">SUMIF($B$17:$B$292,HO20,$GB$17:$GB$292)</f>
        <v>#VALUE!</v>
      </c>
      <c r="HT20" s="1563" t="e">
        <f aca="false">+IF(HS20&gt;0,HU20/HS20,0)</f>
        <v>#VALUE!</v>
      </c>
      <c r="HU20" s="1551" t="e">
        <f aca="false">SUMIF($B$17:$B$292,HO20,$GD$17:$GD$292)</f>
        <v>#VALUE!</v>
      </c>
      <c r="HV20" s="1569" t="e">
        <f aca="false">HR20+HU20</f>
        <v>#VALUE!</v>
      </c>
      <c r="HW20" s="1551" t="e">
        <f aca="false">SUMIF($B$17:$B$292,$HO20,$EN$17:$EN$292)</f>
        <v>#VALUE!</v>
      </c>
      <c r="HX20" s="1551" t="e">
        <f aca="false">SUMIF($B$17:$B$292,$HO20,$FC$17:$FC$292)</f>
        <v>#VALUE!</v>
      </c>
      <c r="HY20" s="1551" t="n">
        <f aca="false">IF(Assumptions!$L$24="Yes",HW20+HX20,0)</f>
        <v>0</v>
      </c>
      <c r="HZ20" s="1566" t="e">
        <f aca="false">SUMIF($B$17:$B$292,HO20,$GE$17:$GE$292)+SUMIF($B$17:$B$292,HO20,$GF$17:$GF$292)</f>
        <v>#VALUE!</v>
      </c>
      <c r="IA20" s="1563" t="e">
        <f aca="false">IF(IB20=0,0,IB20/HZ20)</f>
        <v>#VALUE!</v>
      </c>
      <c r="IB20" s="1564" t="e">
        <f aca="false">-SUMIF($B$17:$B$292,HO20,$GH$17:$GH$292)</f>
        <v>#VALUE!</v>
      </c>
      <c r="IC20" s="1569" t="e">
        <f aca="false">SUMIF($B$17:$B$292,HO20,$GI$17:$GI$292)</f>
        <v>#VALUE!</v>
      </c>
      <c r="ID20" s="1563" t="e">
        <f aca="false">IF(IE20=0,0,IE20/IC20)</f>
        <v>#VALUE!</v>
      </c>
      <c r="IE20" s="1564" t="e">
        <f aca="false">-SUMIF($B$17:$B$292,HO20,$GK$17:$GK$292)</f>
        <v>#VALUE!</v>
      </c>
      <c r="IF20" s="1551" t="e">
        <f aca="false">SUMIF($B$17:$B$292,HO20,$GP$17:$GP$292)</f>
        <v>#VALUE!</v>
      </c>
      <c r="IG20" s="1563" t="e">
        <f aca="false">IF(IH20=0,0,IH20/IF20)</f>
        <v>#VALUE!</v>
      </c>
      <c r="IH20" s="1564" t="e">
        <f aca="false">-SUMIF($B$17:$B$292,HO20,$GR$17:$GR$292)</f>
        <v>#VALUE!</v>
      </c>
      <c r="II20" s="1570" t="n">
        <f aca="false">(SUMIF($B$17:$B$292,HO20,$GW$17:$GW$292)+SUMIF($B$17:$B$292,HO20,$HB$17:$HB$292)+SUMIF($B$17:$B$292,HO20,$HG$17:$HG$292)+SUMIF($B$17:$B$292,HO20,$HL$17:$HL$292))*Assumptions!$C$59</f>
        <v>1279901.18496425</v>
      </c>
      <c r="IJ20" s="1309" t="n">
        <f aca="false">SUMIF($B$17:$B$292,HO20,$HM$17:$HM$292)</f>
        <v>0</v>
      </c>
      <c r="IK20" s="1309"/>
    </row>
    <row r="21" customFormat="false" ht="12.75" hidden="false" customHeight="false" outlineLevel="0" collapsed="false">
      <c r="A21" s="1571" t="n">
        <f aca="false">EOMONTH(A20,0)+1</f>
        <v>36770</v>
      </c>
      <c r="B21" s="594" t="n">
        <f aca="false">+YEAR(A21)</f>
        <v>2000</v>
      </c>
      <c r="C21" s="238" t="n">
        <f aca="false">MONTH(A21)</f>
        <v>9</v>
      </c>
      <c r="D21" s="1572" t="str">
        <f aca="false">IF(E21="","",Holiday(B21,C21))</f>
        <v/>
      </c>
      <c r="E21" s="1573" t="str">
        <f aca="false">IF(OR(BegDate&gt;=A22,EndDate&lt;A21,AND(VolumeMonthlyOverFlag,INDEX(VolumeMonthlyOver,C21)=0),NOT(INDEX(MonthKnockOutTable,C21))),"",MAX(A21,BegDate))</f>
        <v/>
      </c>
      <c r="F21" s="1574" t="str">
        <f aca="false">IF(E21="","",MIN(A22-1,EndDate))</f>
        <v/>
      </c>
      <c r="G21" s="1575" t="n">
        <v>0</v>
      </c>
      <c r="H21" s="1576" t="n">
        <f aca="false">(1+G21/2)^(-2*(DATE(B22,C22,20)-DateToday)/365.25)</f>
        <v>1</v>
      </c>
      <c r="I21" s="1568" t="n">
        <f aca="false">IF(Assumptions!$L$25=4,VLOOKUP($A21,'Henwood Reference'!$E$9:$R$320,10),(VLOOKUP($A21,PriceTable,2,0)+IF(BasisNumber&lt;&gt;1,VLOOKUP($A21,BasisTable,2,0),0)+I$1)/(1-I$2))</f>
        <v>37.8284</v>
      </c>
      <c r="J21" s="1568" t="n">
        <f aca="false">IF(Assumptions!$L$25=4,VLOOKUP($A21,'Henwood Reference'!$E$9:$R$320,10),(VLOOKUP($A21,PriceTable,3,0)+IF(BasisNumber&lt;&gt;1,VLOOKUP($A21,BasisTable,2,0),0)+J$1)/(1-J$2))</f>
        <v>37.8284</v>
      </c>
      <c r="K21" s="1568" t="n">
        <f aca="false">IF(Assumptions!$L$25=4,VLOOKUP($A21,'Henwood Reference'!$E$9:$R$320,10),(VLOOKUP($A21,PriceTable,4,0)+IF(BasisNumber&lt;&gt;1,VLOOKUP($A21,BasisTable,2,0),0)+K$1)/(1-K$2))</f>
        <v>37.8284</v>
      </c>
      <c r="L21" s="1523" t="n">
        <f aca="false">IF(Assumptions!$L$25=4,VLOOKUP($A21,'Henwood Reference'!$E$9:$R$320,10),(VLOOKUP($A21,PriceTableWeekend,2,0)+IF(BasisNumber&lt;&gt;1,VLOOKUP($A21,BasisTable,2,0),0)+L$1)/(1-L$2))</f>
        <v>37.8284</v>
      </c>
      <c r="M21" s="1568" t="n">
        <f aca="false">IF(Assumptions!$L$25=4,VLOOKUP($A21,'Henwood Reference'!$E$9:$R$320,10),(VLOOKUP($A21,PriceTableWeekend,3,0)+IF(BasisNumber&lt;&gt;1,VLOOKUP($A21,BasisTable,2,0),0)+M$1)/(1-M$2))</f>
        <v>37.8284</v>
      </c>
      <c r="N21" s="1599" t="n">
        <f aca="false">IF(Assumptions!$L$25=4,VLOOKUP($A21,'Henwood Reference'!$E$9:$R$320,10),(VLOOKUP($A21,PriceTableWeekend,4,0)+IF(BasisNumber&lt;&gt;1,VLOOKUP($A21,BasisTable,2,0),0)+N$1)/(1-N$2))</f>
        <v>37.8284</v>
      </c>
      <c r="O21" s="1568" t="n">
        <f aca="false">IF(Assumptions!$L$25=4,VLOOKUP($A21,'Henwood Reference'!$E$9:$R$320,11),(VLOOKUP($A21,PriceTableWeekend,6,0)+IF(BasisNumber&lt;&gt;1,VLOOKUP($A21,BasisTable,3,0),0)+O$1)/(1-O$2))</f>
        <v>21.464</v>
      </c>
      <c r="P21" s="1568" t="n">
        <f aca="false">IF(Assumptions!$L$25=4,VLOOKUP($A21,'Henwood Reference'!$E$9:$R$320,11),(VLOOKUP($A21,PriceTableWeekend,7,0)+IF(BasisNumber&lt;&gt;1,VLOOKUP($A21,BasisTable,3,0),0)+P$1)/(1-P$2))</f>
        <v>21.464</v>
      </c>
      <c r="Q21" s="1599" t="n">
        <f aca="false">IF(Assumptions!$L$25=4,VLOOKUP($A21,'Henwood Reference'!$E$9:$R$320,11),(VLOOKUP($A21,PriceTableWeekend,8,0)+IF(BasisNumber&lt;&gt;1,VLOOKUP($A21,BasisTable,3,0),0)+Q$1)/(1-Q$2))</f>
        <v>21.464</v>
      </c>
      <c r="R21" s="1568" t="n">
        <f aca="false">IF(Assumptions!$L$25=4,VLOOKUP($A21,'Henwood Reference'!$E$9:$R$320,11),(VLOOKUP($A21,PriceTable,6,0)+IF(BasisNumber&lt;&gt;1,VLOOKUP($A21,BasisTable,3,0),0)+R$1)/(1-R$2))</f>
        <v>21.464</v>
      </c>
      <c r="S21" s="1568" t="n">
        <f aca="false">IF(Assumptions!$L$25=4,VLOOKUP($A21,'Henwood Reference'!$E$9:$R$320,11),(VLOOKUP($A21,PriceTable,7,0)+IF(BasisNumber&lt;&gt;1,VLOOKUP($A21,BasisTable,3,0),0)+S$1)/(1-S$2))</f>
        <v>21.464</v>
      </c>
      <c r="T21" s="1600" t="n">
        <f aca="false">IF(Assumptions!$L$25=4,VLOOKUP($A21,'Henwood Reference'!$E$9:$R$320,11),(VLOOKUP($A21,PriceTable,8,0)+IF(BasisNumber&lt;&gt;1,VLOOKUP($A21,BasisTable,3,0),0)+T$1)/(1-T$2))</f>
        <v>21.464</v>
      </c>
      <c r="U21" s="1513" t="n">
        <f aca="false">VLOOKUP($A21,VolatilityTable,14)</f>
        <v>0.22</v>
      </c>
      <c r="V21" s="1513" t="n">
        <f aca="false">VLOOKUP($A21,VolatilityTable,15)</f>
        <v>0.35</v>
      </c>
      <c r="W21" s="1514" t="n">
        <f aca="false">VLOOKUP($A21,VolatilityTable,16)</f>
        <v>0.28</v>
      </c>
      <c r="X21" s="1513" t="n">
        <f aca="false">VLOOKUP($A21,VolatilityTable,14)</f>
        <v>0.22</v>
      </c>
      <c r="Y21" s="1513" t="n">
        <f aca="false">VLOOKUP($A21,VolatilityTable,15)</f>
        <v>0.35</v>
      </c>
      <c r="Z21" s="1514" t="n">
        <f aca="false">VLOOKUP($A21,VolatilityTable,16)</f>
        <v>0.28</v>
      </c>
      <c r="AA21" s="1513" t="n">
        <f aca="false">VLOOKUP($A21,VolatilityTable,18)</f>
        <v>0.05</v>
      </c>
      <c r="AB21" s="1513" t="n">
        <f aca="false">VLOOKUP($A21,VolatilityTable,19)</f>
        <v>0.11</v>
      </c>
      <c r="AC21" s="1514" t="n">
        <f aca="false">VLOOKUP($A21,VolatilityTable,20)</f>
        <v>0.15</v>
      </c>
      <c r="AD21" s="1513" t="n">
        <f aca="false">VLOOKUP($A21,VolatilityTable,18)</f>
        <v>0.05</v>
      </c>
      <c r="AE21" s="1513" t="n">
        <f aca="false">VLOOKUP($A21,VolatilityTable,19)</f>
        <v>0.11</v>
      </c>
      <c r="AF21" s="1514" t="n">
        <f aca="false">VLOOKUP($A21,VolatilityTable,20)</f>
        <v>0.15</v>
      </c>
      <c r="AG21" s="1513" t="n">
        <f aca="false">VLOOKUP($A21,VolatilityTable,22)</f>
        <v>-0.35</v>
      </c>
      <c r="AH21" s="1513" t="n">
        <f aca="false">VLOOKUP($A21,VolatilityTable,23)</f>
        <v>3</v>
      </c>
      <c r="AI21" s="1514" t="n">
        <f aca="false">VLOOKUP($A21,VolatilityTable,24)</f>
        <v>0.2</v>
      </c>
      <c r="AJ21" s="1513" t="n">
        <f aca="false">VLOOKUP($A21,VolatilityTable,22)</f>
        <v>-0.35</v>
      </c>
      <c r="AK21" s="1513" t="n">
        <f aca="false">VLOOKUP($A21,VolatilityTable,23)</f>
        <v>3</v>
      </c>
      <c r="AL21" s="1514" t="n">
        <f aca="false">VLOOKUP($A21,VolatilityTable,24)</f>
        <v>0.2</v>
      </c>
      <c r="AM21" s="1513" t="n">
        <f aca="false">VLOOKUP($A21,VolatilityTable,26)</f>
        <v>-0.01</v>
      </c>
      <c r="AN21" s="1513" t="n">
        <f aca="false">VLOOKUP($A21,VolatilityTable,27)</f>
        <v>0.16</v>
      </c>
      <c r="AO21" s="1514" t="n">
        <f aca="false">VLOOKUP($A21,VolatilityTable,28)</f>
        <v>0.01</v>
      </c>
      <c r="AP21" s="1513" t="n">
        <f aca="false">VLOOKUP($A21,VolatilityTable,26)</f>
        <v>-0.01</v>
      </c>
      <c r="AQ21" s="1513" t="n">
        <f aca="false">VLOOKUP($A21,VolatilityTable,27)</f>
        <v>0.16</v>
      </c>
      <c r="AR21" s="1515" t="n">
        <f aca="false">VLOOKUP($A21,VolatilityTable,28)</f>
        <v>0.01</v>
      </c>
      <c r="AS21" s="1581" t="n">
        <f aca="false">IF(CorrPeakOffPeakOverFlag,INDEX(CorrPeakOffPeakOver,C21),CorrPeakOffPeak)</f>
        <v>0.5</v>
      </c>
      <c r="AT21" s="594" t="n">
        <f aca="false">AX21-SUM(AU21:AW21)</f>
        <v>0</v>
      </c>
      <c r="AU21" s="238" t="n">
        <f aca="false">IF(E21="",0,INT((F21-MOD(F21,7)-E21)/7)+1-IF(AW21,IF(WEEKDAY(D21)=7,1,0),0))</f>
        <v>0</v>
      </c>
      <c r="AV21" s="238" t="n">
        <f aca="false">IF(E21="",0,INT((F21-MOD(F21-1,7)-E21)/7)+1-IF(AW21,IF(WEEKDAY(D21)=1,1,0),0))</f>
        <v>0</v>
      </c>
      <c r="AW21" s="238" t="n">
        <f aca="false">IF(OR(E21="",D21="",D21&lt;BegDate,D21&gt;EndDate),0,1)</f>
        <v>0</v>
      </c>
      <c r="AX21" s="238" t="n">
        <f aca="false">IF(E21="",0,F21-E21+1)</f>
        <v>0</v>
      </c>
      <c r="AY21" s="1582" t="n">
        <f aca="false">IF(E21="",0,MIN((1-(1-VLOOKUP(B21,MAIN!$AA$7:$AM$28,C21+1))*(1-VLOOKUP(B21,MAIN!$AA$33:$AM$54,C21+1))),1))</f>
        <v>0</v>
      </c>
      <c r="AZ21" s="1519" t="e">
        <v>#VALUE!</v>
      </c>
      <c r="BA21" s="1520" t="e">
        <v>#VALUE!</v>
      </c>
      <c r="BB21" s="1520" t="e">
        <v>#VALUE!</v>
      </c>
      <c r="BC21" s="1583" t="e">
        <v>#VALUE!</v>
      </c>
      <c r="BD21" s="1522" t="e">
        <v>#VALUE!</v>
      </c>
      <c r="BE21" s="1523" t="e">
        <v>#VALUE!</v>
      </c>
      <c r="BF21" s="1523" t="e">
        <v>#VALUE!</v>
      </c>
      <c r="BG21" s="1584" t="e">
        <v>#VALUE!</v>
      </c>
      <c r="BH21" s="1525" t="e">
        <v>#VALUE!</v>
      </c>
      <c r="BI21" s="1520" t="e">
        <v>#VALUE!</v>
      </c>
      <c r="BJ21" s="1520" t="e">
        <v>#VALUE!</v>
      </c>
      <c r="BK21" s="1583" t="e">
        <v>#VALUE!</v>
      </c>
      <c r="BL21" s="1522" t="e">
        <v>#VALUE!</v>
      </c>
      <c r="BM21" s="1523" t="e">
        <v>#VALUE!</v>
      </c>
      <c r="BN21" s="1523" t="e">
        <v>#VALUE!</v>
      </c>
      <c r="BO21" s="1523" t="e">
        <v>#VALUE!</v>
      </c>
      <c r="BP21" s="1525" t="e">
        <f aca="false">SUM(AZ21:BB21)</f>
        <v>#VALUE!</v>
      </c>
      <c r="BQ21" s="1529" t="e">
        <f aca="false">SUM(AZ21:BC21)</f>
        <v>#VALUE!</v>
      </c>
      <c r="BR21" s="1519" t="e">
        <f aca="false">SUM(BH21:BJ21)</f>
        <v>#VALUE!</v>
      </c>
      <c r="BS21" s="1529" t="e">
        <f aca="false">SUM(BH21:BK21)</f>
        <v>#VALUE!</v>
      </c>
      <c r="BT21" s="1316" t="n">
        <f aca="false">(IF(OVolType&lt;&gt;2,A21+14,IF(OptExpDateShift,ShiftBack(A21,OptExpDateShift,D20),A21))-DateToday)/365.25</f>
        <v>0.383299110198494</v>
      </c>
      <c r="BU21" s="1585" t="e">
        <f aca="false">IF(BQ21,IF(OPriceCurve,IF(OBuySell=OCallPut,I21/(1-AY21),K21/(1-AY21)),J21/(1-AY21))*BD21,0)</f>
        <v>#VALUE!</v>
      </c>
      <c r="BV21" s="1316" t="e">
        <f aca="false">IF(BQ21,IF(OPriceCurve,IF(OBuySell=OCallPut,L21/(1-AY21),N21/(1-AY21)),M21/(1-AY21))*BE21,0)</f>
        <v>#VALUE!</v>
      </c>
      <c r="BW21" s="1316" t="e">
        <f aca="false">IF(BQ21,IF(OPriceCurve,IF(OBuySell=OCallPut,O21/(1-AY21),Q21/(1-AY21)),P21/(1-AY21))*BF21,0)</f>
        <v>#VALUE!</v>
      </c>
      <c r="BX21" s="1316" t="e">
        <f aca="false">IF(BQ21,IF(OPriceCurve,IF(OBuySell=OCallPut,R21/(1-AY21),T21/(1-AY21)),S21/(1-AY21))*BG21,0)</f>
        <v>#VALUE!</v>
      </c>
      <c r="BY21" s="1316" t="e">
        <f aca="false">IF(BP21,(BU21*AZ21+BV21*BA21+BW21*BB21)/BP21,0)</f>
        <v>#VALUE!</v>
      </c>
      <c r="BZ21" s="1316" t="e">
        <f aca="false">IF(BQ21,(BY21*BP21+BX21*BC21)/BQ21,0)</f>
        <v>#VALUE!</v>
      </c>
      <c r="CA21" s="1531" t="e">
        <f aca="false">IF(BS21,IF(OPriceCurve,IF(OBuySell=OCallPut,I21/(1-AY21),K21/(1-AY21)),J21/(1-AY21))*BL21,0)</f>
        <v>#VALUE!</v>
      </c>
      <c r="CB21" s="1316" t="e">
        <f aca="false">IF(BS21,IF(OPriceCurve,IF(OBuySell=OCallPut,L21/(1-AY21),N21/(1-AY21)),M21/(1-AY21))*BM21,0)</f>
        <v>#VALUE!</v>
      </c>
      <c r="CC21" s="1316" t="e">
        <f aca="false">IF(BS21,IF(OPriceCurve,IF(OBuySell=OCallPut,O21/(1-AY21),Q21/(1-AY21)),P21/(1-AY21))*BN21,0)</f>
        <v>#VALUE!</v>
      </c>
      <c r="CD21" s="1316" t="e">
        <f aca="false">IF(BS21,IF(OPriceCurve,IF(OBuySell=OCallPut,R21/(1-AY21),T21/(1-AY21)),S21/(1-AY21))*BO21,0)</f>
        <v>#VALUE!</v>
      </c>
      <c r="CE21" s="1316" t="e">
        <f aca="false">IF(BR21,(BU21*BH21+BV21*BI21+BW21*BJ21)/BR21,0)</f>
        <v>#VALUE!</v>
      </c>
      <c r="CF21" s="1532" t="e">
        <f aca="false">IF(BS21,(CE21*BR21+CD21*BK21)/BS21,0)</f>
        <v>#VALUE!</v>
      </c>
      <c r="CG21" s="1586" t="e">
        <f aca="false">IF(OR(BQ21,BS21),IF(OVolType&lt;&gt;2,SQRT(IF(OVolOverMonthlyPeak,OVolOverMonthlyPeak,IF(OVolCurve,IF(OBuySell,U21,W21),V21))^2*(1-15/365.25/BT21)+IF(OVolOverDailyPeak,OVolOverDailyPeak,IF(OVolCurve,IF(OBuySell,AG21,AI21),AH21))^2*15/365.25/BT21),IF(OVolOverMonthlyPeak,OVolOverMonthlyPeak,IF(OVolCurve,IF(OBuySell,U21,W21),V21))),"")</f>
        <v>#VALUE!</v>
      </c>
      <c r="CH21" s="1587" t="e">
        <f aca="false">IF(OR(BQ21,BS21),IF(OVolType&lt;&gt;2,SQRT(IF(OVolOverMonthlyPeak,OVolOverMonthlyPeak,IF(OVolCurve,IF(OBuySell,X21,Z21),Y21))^2*(1-15/365.25/BT21)+IF(OVolOverDailyPeak,OVolOverDailyPeak,IF(OVolCurve,IF(OBuySell,AJ21,AL21),AK21))^2*15/365.25/BT21),IF(OVolOverMonthlyPeak,OVolOverMonthlyPeak,IF(OVolCurve,IF(OBuySell,X21,Z21),Y21))),"")</f>
        <v>#VALUE!</v>
      </c>
      <c r="CI21" s="1587" t="e">
        <f aca="false">IF(OR(BQ21,BS21),IF(OVolType&lt;&gt;2,SQRT(IF(OVolOverMonthlyPeak,OVolOverMonthlyPeak,IF(OVolCurve,IF(OBuySell,AA21,AC21),AB21))^2*(1-15/365.25/BT21)+IF(OVolOverDailyPeak,OVolOverDailyPeak,IF(OVolCurve,IF(OBuySell,AM21,AO21),AN21))^2*15/365.25/BT21),IF(OVolOverMonthlyPeak,OVolOverMonthlyPeak,IF(OVolCurve,IF(OBuySell,AA21,AC21),AB21))),"")</f>
        <v>#VALUE!</v>
      </c>
      <c r="CJ21" s="1587" t="e">
        <f aca="false">IF(BQ21,IF(BP21,SQRT(LN(1+((BU21*AZ21)^2*(EXP(CG21^2*BT21)-1)+(BV21*BA21)^2*(EXP(CH21^2*BT21)-1)+(BW21*BB21)^2*(EXP(CI21^2*BT21)-1)+2*BU21*AZ21*BV21*BA21*(EXP(CG21*CH21*BT21)-1)+2*BV21*BA21*BW21*BB21*(EXP(CH21*CI21*BT21)-1)+2*BW21*BB21*BU21*AZ21*(EXP(CI21*CG21*BT21)-1))/(BY21*BP21)^2)/BT21),0),"")</f>
        <v>#VALUE!</v>
      </c>
      <c r="CK21" s="1587" t="e">
        <f aca="false">IF(BS21,IF(BR21,SQRT(LN(1+((CA21*BH21)^2*(EXP(CG21^2*BT21)-1)+(CB21*BI21)^2*(EXP(CH21^2*BT21)-1)+(CC21*BJ21)^2*(EXP(CI21^2*BT21)-1)+2*CA21*BH21*CB21*BI21*(EXP(CG21*CH21*BT21)-1)+2*CB21*BI21*CC21*BJ21*(EXP(CH21*CI21*BT21)-1)+2*CC21*BJ21*CA21*BH21*(EXP(CI21*CG21*BT21)-1))/(CE21*BR21)^2)/BT21),0),"")</f>
        <v>#VALUE!</v>
      </c>
      <c r="CL21" s="1587" t="e">
        <f aca="false">IF(OR(BQ21,BS21),IF(OVolType&lt;&gt;2,SQRT(IF(OVolOverMonthlyOffPeak,OVolOverMonthlyOffPeak,IF(OVolCurve,IF(OBuySell,AD21,AF21),AE21))^2*(1-15/365.25/BT21)+IF(OVolOverDailyOffPeak,OVolOverDailyOffPeak,IF(OVolCurve,IF(OBuySell,AP21,AR21),AQ21))^2*15/365.25/BT21),IF(OVolOverMonthlyOffPeak,OVolOverMonthlyOffPeak,IF(OVolCurve,IF(OBuySell,AD21,AF21),AE21))),"")</f>
        <v>#VALUE!</v>
      </c>
      <c r="CM21" s="1587" t="e">
        <f aca="false">IF(BQ21,SQRT(LN(1+((BY21*BP21)^2*(EXP(CJ21^2*BT21)-1)+(BX21*BC21)^2*(EXP(CL21^2*BT21)-1)+2*BY21*BP21*BX21*BC21*(EXP(AS21*CJ21*CL21*BT21)-1))/(BY21*BP21+BX21*BC21)^2)/BT21),"")</f>
        <v>#VALUE!</v>
      </c>
      <c r="CN21" s="1588" t="e">
        <f aca="false">IF(BS21,SQRT(LN(1+((CE21*BR21)^2*(EXP(CK21^2*BT21)-1)+(CD21*BK21)^2*(EXP(CL21^2*BT21)-1)+2*CE21*BR21*CD21*BK21*(EXP(AS21*CK21*CL21*BT21)-1))/(CE21*BR21+CD21*BK21)^2)/BT21),"")</f>
        <v>#VALUE!</v>
      </c>
      <c r="CO21" s="1531" t="e">
        <f aca="false">IF(OR(BQ21,BS21),VLOOKUP(A21,GasTable,13)*HeatRatePeak*VLOOKUP($B21,MAIN!$AB$59:$AM$80,$C21+1)/1000,0)</f>
        <v>#VALUE!</v>
      </c>
      <c r="CP21" s="1316" t="e">
        <f aca="false">IF(OR(BQ21,BS21),VLOOKUP(A21,GasTable,13)*HeatRatePeak*(1+VLOOKUP($B21,HeatRateDegradation,$C21+1))/1000,0)</f>
        <v>#VALUE!</v>
      </c>
      <c r="CQ21" s="1316" t="e">
        <f aca="false">IF(OR(BQ21,BS21),VLOOKUP(A21,GasTable,13)*IF(EV21,HeatRatePeak,HeatRateOffPeak)*(1+VLOOKUP($B21,HeatRateDegradation,$C21+1))/1000,0)</f>
        <v>#VALUE!</v>
      </c>
      <c r="CR21" s="1316" t="e">
        <f aca="false">IF(OR(BQ21,BS21),VLOOKUP(A21,GasTable,13)*IF(EW21,HeatRatePeak,HeatRateOffPeak)*(1+VLOOKUP($B21,HeatRateDegradation,$C21+1))/1000,0)</f>
        <v>#VALUE!</v>
      </c>
      <c r="CS21" s="1589" t="e">
        <f aca="false">IF(BQ21,(CO21*AZ21+CP21*BA21+CQ21*BB21+CR21*BC21)/BQ21,0)</f>
        <v>#VALUE!</v>
      </c>
      <c r="CT21" s="1316" t="e">
        <f aca="false">IF(BS21,CO21,0)</f>
        <v>#VALUE!</v>
      </c>
      <c r="CU21" s="1590" t="e">
        <f aca="false">IF(OR(BQ21,BS21),VLOOKUP(A21,GasTable,14),"")</f>
        <v>#VALUE!</v>
      </c>
      <c r="CV21" s="1568" t="e">
        <f aca="false">IF(OR(BQ21,BS21),IF(CorrPowerGasOverFlag,INDEX(CorrPowerGasOver,C21),CorrPowerGas),"")</f>
        <v>#VALUE!</v>
      </c>
      <c r="CW21" s="1316" t="e">
        <f aca="false">IF(OR($BQ21,$BS21),SpreadOptPowerMargin,0)*((1+Assumptions!$C$26)^($B21-YEAR(Assumptions!$C$17)))</f>
        <v>#VALUE!</v>
      </c>
      <c r="CX21" s="1316" t="e">
        <f aca="false">IF(OR($BQ21,$BS21),SpreadOptPowerMargin,0)*((1+Assumptions!$C$26)^($B21-YEAR(Assumptions!$C$17)))</f>
        <v>#VALUE!</v>
      </c>
      <c r="CY21" s="1316" t="e">
        <f aca="false">IF(OR($BQ21,$BS21),SpreadOptPowerMargin,0)*((1+Assumptions!$C$26)^($B21-YEAR(Assumptions!$C$17)))</f>
        <v>#VALUE!</v>
      </c>
      <c r="CZ21" s="1316" t="e">
        <f aca="false">IF(OR($BQ21,$BS21),SpreadOptPowerMargin,0)*((1+Assumptions!$C$26)^($B21-YEAR(Assumptions!$C$17)))</f>
        <v>#VALUE!</v>
      </c>
      <c r="DA21" s="1591" t="e">
        <f aca="false">IF(OR(BQ21,BS21),(CW21*(AZ21+BH21)+CX21*(BA21+BI21)+CY21*(BB21+BJ21)+CZ21*(BC21+BK21))/(BQ21+BS21),0)</f>
        <v>#VALUE!</v>
      </c>
      <c r="DB21" s="1592" t="e">
        <f aca="false">IF(OR(BQ21,BS21),CG21+IF(OVolSmile,VLOOKUP(MAX(-5,CO21+CW21-BU21),IF(OVolSmile=1,VolSmileBook,VolSmileModel),2),0),"")</f>
        <v>#VALUE!</v>
      </c>
      <c r="DC21" s="1592" t="e">
        <f aca="false">IF(OR(BQ21,BS21),CH21+IF(OVolSmile,VLOOKUP(MAX(-5,CP21+CW21-BV21),IF(OVolSmile=1,VolSmileBook,VolSmileModel),2),0),"")</f>
        <v>#VALUE!</v>
      </c>
      <c r="DD21" s="1592" t="e">
        <f aca="false">IF(OR(BQ21,BS21),CI21+IF(OVolSmile,VLOOKUP(MAX(-5,CQ21+CW21-BW21),IF(OVolSmile=1,VolSmileBook,VolSmileModel),2),0),"")</f>
        <v>#VALUE!</v>
      </c>
      <c r="DE21" s="1592" t="e">
        <f aca="false">IF(OR(BQ21,BS21),CL21+IF(OVolSmile,VLOOKUP(MAX(-5,CR21+CZ21-BX21),IF(OVolSmile=1,VolSmileBook,VolSmileModel),2),0),"")</f>
        <v>#VALUE!</v>
      </c>
      <c r="DF21" s="1592" t="e">
        <f aca="false">IF(BQ21,CM21+IF(OVolSmile,VLOOKUP(MAX(-5,CS21+DA21-BZ21),IF(OVolSmile=1,VolSmileBook,VolSmileModel),2),0),"")</f>
        <v>#VALUE!</v>
      </c>
      <c r="DG21" s="1593" t="e">
        <f aca="false">IF(BS21,CN21+IF(OVolSmile,VLOOKUP(MAX(-5,CT21+DA21-CF21),IF(OVolSmile=1,VolSmileBook,VolSmileModel),2),0),"")</f>
        <v>#VALUE!</v>
      </c>
      <c r="DH21" s="1316" t="e">
        <f aca="false">IF(AND(BU21&gt;0,CO21&gt;0,DB21&gt;0,CU21&gt;0),newSPRDOPT(BU21,CO21,CW21,0,DB21,CU21,CV21,BT21*365.25,OCallPut,0),0)</f>
        <v>#VALUE!</v>
      </c>
      <c r="DI21" s="1316" t="e">
        <f aca="false">IF(AND(BV21&gt;0,CP21&gt;0,DC21&gt;0,CU21&gt;0),newSPRDOPT(BV21,CP21,CX21,0,DC21,CU21,CV21,BT21*365.25,OCallPut,0),0)</f>
        <v>#VALUE!</v>
      </c>
      <c r="DJ21" s="1316" t="e">
        <f aca="false">IF(AND(BW21&gt;0,CQ21&gt;0,DD21&gt;0,CU21&gt;0),newSPRDOPT(BW21,CQ21,CY21,0,DD21,CU21,CV21,BT21*365.25,OCallPut,0),0)</f>
        <v>#VALUE!</v>
      </c>
      <c r="DK21" s="1316" t="e">
        <f aca="false">IF(AND(BX21&gt;0,CR21&gt;0,DE21&gt;0,CU21&gt;0),newSPRDOPT(BX21,CR21,CZ21,0,DE21,CU21,CV21,BT21*365.25,OCallPut,0),0)</f>
        <v>#VALUE!</v>
      </c>
      <c r="DL21" s="1316" t="e">
        <f aca="false">IF(OVolType,IF(AND(BZ21&gt;0,CS21&gt;0,DF21&gt;0,CU21&gt;0),newSPRDOPT(BZ21,CS21,DA21,0,DF21,CU21,CV21,BT21*365.25,OCallPut,0),0),IF(BQ21,(DH21*AZ21+DI21*BA21+DJ21*BB21+DK21*BC21)/BQ21,0))</f>
        <v>#VALUE!</v>
      </c>
      <c r="DM21" s="1316"/>
      <c r="DN21" s="1316"/>
      <c r="DO21" s="1316"/>
      <c r="DP21" s="1316"/>
      <c r="DQ21" s="1316"/>
      <c r="DR21" s="1316"/>
      <c r="DS21" s="1316"/>
      <c r="DT21" s="1316"/>
      <c r="DU21" s="1316"/>
      <c r="DV21" s="1316"/>
      <c r="DW21" s="1594" t="e">
        <f aca="false">IF(AND(BW21&gt;0,CT21&gt;0,DD21&gt;0,CU21&gt;0),newSPRDOPT(BW21,CT21,CY21,0,DD21,CU21,CV21,BT21*365.25,OCallPut,0),0)</f>
        <v>#VALUE!</v>
      </c>
      <c r="DX21" s="1316" t="e">
        <f aca="false">IF(AND(BX21&gt;0,CT21&gt;0,DE21&gt;0,CU21&gt;0),newSPRDOPT(BX21,CT21,CZ21,0,DE21,CU21,CV21,BT21*365.25,OCallPut,0),0)</f>
        <v>#VALUE!</v>
      </c>
      <c r="DY21" s="1591" t="e">
        <f aca="false">IF(BS21,(DH21*BH21+DI21*BI21+DW21*BJ21+DX21*BK21)/BS21,0)</f>
        <v>#VALUE!</v>
      </c>
      <c r="DZ21" s="1551" t="e">
        <f aca="false">DH21*AZ21</f>
        <v>#VALUE!</v>
      </c>
      <c r="EA21" s="1551" t="e">
        <f aca="false">DI21*BA21</f>
        <v>#VALUE!</v>
      </c>
      <c r="EB21" s="1551" t="e">
        <f aca="false">DJ21*BB21</f>
        <v>#VALUE!</v>
      </c>
      <c r="EC21" s="1551" t="e">
        <f aca="false">DK21*BC21</f>
        <v>#VALUE!</v>
      </c>
      <c r="ED21" s="1551" t="e">
        <f aca="false">DL21*BQ21</f>
        <v>#VALUE!</v>
      </c>
      <c r="EE21" s="1595" t="e">
        <f aca="false">IF(BQ21,IF(OCallPut,IF(BU21&gt;(CO21+CW21),BU21-(CO21+CW21),0),IF((CO21+CW21)&gt;BU21,(CO21+CW21)-BU21,0))*AZ21,0)</f>
        <v>#VALUE!</v>
      </c>
      <c r="EF21" s="1596" t="e">
        <f aca="false">IF(BQ21,IF(OCallPut,IF(BV21&gt;(CP21+CX21),BV21-(CP21+CX21),0),IF((CP21+CX21)&gt;BV21,(CP21+CX21)-BV21,0))*BA21,0)</f>
        <v>#VALUE!</v>
      </c>
      <c r="EG21" s="1596" t="e">
        <f aca="false">IF(BQ21,IF(OCallPut,IF(BW21&gt;(CQ21+CY21),BW21-(CQ21+CY21),0),IF((CQ21+CY21)&gt;BW21,(CQ21+CY21)-BW21,0))*BB21,0)</f>
        <v>#VALUE!</v>
      </c>
      <c r="EH21" s="1596" t="e">
        <f aca="false">IF(BQ21,IF(OCallPut,IF(BX21&gt;(CR21+CZ21),BX21-(CR21+CZ21),0),IF((CR21+CZ21)&gt;BX21,(CR21+CZ21)-BX21,0))*BC21,0)</f>
        <v>#VALUE!</v>
      </c>
      <c r="EI21" s="1597" t="e">
        <f aca="false">IF(BQ21,IF(OVolType,IF(OCallPut,IF(BZ21&gt;(CS21+DA21),BZ21-(CS21+DA21),0),IF((CS21+DA21)&gt;BZ21,(CS21+DA21)-BZ21,0))*BQ21,SUM(EE21:EH21)),0)</f>
        <v>#VALUE!</v>
      </c>
      <c r="EJ21" s="1595" t="e">
        <f aca="false">DZ21-EE21</f>
        <v>#VALUE!</v>
      </c>
      <c r="EK21" s="1596" t="e">
        <f aca="false">EA21-EF21</f>
        <v>#VALUE!</v>
      </c>
      <c r="EL21" s="1596" t="e">
        <f aca="false">EB21-EG21</f>
        <v>#VALUE!</v>
      </c>
      <c r="EM21" s="1596" t="e">
        <f aca="false">EC21-EH21</f>
        <v>#VALUE!</v>
      </c>
      <c r="EN21" s="1597" t="e">
        <f aca="false">ED21-EI21</f>
        <v>#VALUE!</v>
      </c>
      <c r="EO21" s="1551" t="e">
        <f aca="false">DH21*BH21</f>
        <v>#VALUE!</v>
      </c>
      <c r="EP21" s="1551" t="e">
        <f aca="false">DI21*BI21</f>
        <v>#VALUE!</v>
      </c>
      <c r="EQ21" s="1551" t="e">
        <f aca="false">DW21*BJ21</f>
        <v>#VALUE!</v>
      </c>
      <c r="ER21" s="1551" t="e">
        <f aca="false">DX21*BK21</f>
        <v>#VALUE!</v>
      </c>
      <c r="ES21" s="1551" t="e">
        <f aca="false">DY21*BS21</f>
        <v>#VALUE!</v>
      </c>
      <c r="ET21" s="1566" t="e">
        <f aca="false">IF(BS21,IF(OCallPut,IF(CA21&gt;(CT21+CW21),CA21-(CT21+CW21),0),IF((CT21+CW21)&gt;CA21,(CT21+CW21)-CA21,0))*BH21,0)</f>
        <v>#VALUE!</v>
      </c>
      <c r="EU21" s="1551" t="e">
        <f aca="false">IF(BS21,IF(OCallPut,IF(CB21&gt;(CT21+CX21),CB21-(CT21+CX21),0),IF((CT21+CX21)&gt;CB21,(CT21+CX21)-CB21,0))*BI21,0)</f>
        <v>#VALUE!</v>
      </c>
      <c r="EV21" s="1551" t="e">
        <f aca="false">IF(BS21,IF(OCallPut,IF(CC21&gt;(CT21+CY21),CC21-(CT21+CY21),0),IF((CT21+CY21)&gt;CC21,(CT21+CY21)-CC21,0))*BJ21,0)</f>
        <v>#VALUE!</v>
      </c>
      <c r="EW21" s="1551" t="e">
        <f aca="false">IF(BS21,IF(OCallPut,IF(CD21&gt;(CT21+CZ21),CD21-(CT21+CZ21),0),IF((CT21+CZ21)&gt;CD21,(CT21+CZ21)-CD21,0))*BK21,0)</f>
        <v>#VALUE!</v>
      </c>
      <c r="EX21" s="1558" t="e">
        <f aca="false">IF(BS21,SUM(ET21:EW21),0)</f>
        <v>#VALUE!</v>
      </c>
      <c r="EY21" s="1551" t="e">
        <f aca="false">EO21-ET21</f>
        <v>#VALUE!</v>
      </c>
      <c r="EZ21" s="1551" t="e">
        <f aca="false">EP21-EU21</f>
        <v>#VALUE!</v>
      </c>
      <c r="FA21" s="1551" t="e">
        <f aca="false">EQ21-EV21</f>
        <v>#VALUE!</v>
      </c>
      <c r="FB21" s="1551" t="e">
        <f aca="false">ER21-EW21</f>
        <v>#VALUE!</v>
      </c>
      <c r="FC21" s="1551" t="e">
        <f aca="false">ES21-EX21</f>
        <v>#VALUE!</v>
      </c>
      <c r="FD21" s="1525" t="n">
        <f aca="false">IF(AX21,IF(VLOOKUP(C21,MAIN!$L$17:$M$28,2)="Yes",VLOOKUP(CALC!B21,MAIN!$H$17:$I$20,2),0),0)</f>
        <v>0</v>
      </c>
      <c r="FE21" s="1552" t="n">
        <f aca="false">$FD21*16*AT21*(1-$AY21)</f>
        <v>0</v>
      </c>
      <c r="FF21" s="1553" t="n">
        <f aca="false">$FD21*16*AU21*(1-$AY21)</f>
        <v>0</v>
      </c>
      <c r="FG21" s="1553" t="n">
        <f aca="false">$FD21*16*(AV21+AW21)*(1-$AY21)</f>
        <v>0</v>
      </c>
      <c r="FH21" s="1554" t="n">
        <f aca="false">$FD21*8*AX21*(1-$AY21)</f>
        <v>0</v>
      </c>
      <c r="FI21" s="1555" t="n">
        <f aca="false">IF(AX21,VLOOKUP(CALC!B21,MAIN!$H$17:$K$20,4),0)</f>
        <v>0</v>
      </c>
      <c r="FJ21" s="1553" t="n">
        <f aca="false">SUM(FE21:FH21)</f>
        <v>0</v>
      </c>
      <c r="FK21" s="1556" t="n">
        <f aca="false">FI21*FJ21</f>
        <v>0</v>
      </c>
      <c r="FL21" s="1551" t="e">
        <f aca="false">IF($EI21&gt;0,MIN(FE21,AZ21*(1+VLOOKUP($C21,WeatherCapacityAdjustment,2))),0)</f>
        <v>#VALUE!</v>
      </c>
      <c r="FM21" s="1551" t="e">
        <f aca="false">IF($EI21&gt;0,MIN(FF21,BA21*(1+VLOOKUP($C21,WeatherCapacityAdjustment,2))),0)</f>
        <v>#VALUE!</v>
      </c>
      <c r="FN21" s="1551" t="e">
        <f aca="false">IF($EI21&gt;0,MIN(FG21,BB21*(1+VLOOKUP($C21,WeatherCapacityAdjustment,2))),0)</f>
        <v>#VALUE!</v>
      </c>
      <c r="FO21" s="1564" t="e">
        <f aca="false">IF($EI21&gt;0,MIN(FH21,BC21*(1+VLOOKUP($C21,WeatherCapacityAdjustment,3))),0)</f>
        <v>#VALUE!</v>
      </c>
      <c r="FP21" s="1551" t="e">
        <f aca="false">IF(ET21&gt;0,MIN(FE21-FL21,BH21*(1+VLOOKUP($C21,WeatherCapacityAdjustment,2))),0)</f>
        <v>#VALUE!</v>
      </c>
      <c r="FQ21" s="1551" t="e">
        <f aca="false">IF(EU21&gt;0,MIN(FF21-FM21,BI21*(1+VLOOKUP($C21,WeatherCapacityAdjustment,2))),0)</f>
        <v>#VALUE!</v>
      </c>
      <c r="FR21" s="1551" t="e">
        <f aca="false">IF(EV21&gt;0,MIN(FG21-FN21,BJ21*(1+VLOOKUP($C21,WeatherCapacityAdjustment,2))),0)</f>
        <v>#VALUE!</v>
      </c>
      <c r="FS21" s="1558" t="e">
        <f aca="false">IF(EW21&gt;0,MIN(FH21-FO21,BK21*(1+VLOOKUP($C21,WeatherCapacityAdjustment,3))),0)</f>
        <v>#VALUE!</v>
      </c>
      <c r="FT21" s="1566" t="n">
        <f aca="false">IF(AND(Assumptions!$H$71="Yes",A21&gt;=Assumptions!$H$72,A21&lt;=Assumptions!$H$73),0,IF(AND($A21&gt;=Assumptions!$C$17,$A21&lt;=Assumptions!$C$18),MAX(AZ21*(1+VLOOKUP($C21,WeatherCapacityAdjustment,2))-FL21,0),0))</f>
        <v>0</v>
      </c>
      <c r="FU21" s="1551" t="n">
        <f aca="false">IF(AND(Assumptions!$H$71="Yes",A21&gt;=Assumptions!$H$72,A21&lt;=Assumptions!$H$73),0,IF(AND($A21&gt;=Assumptions!$C$17,$A21&lt;=Assumptions!$C$18),MAX(BA21*(1+VLOOKUP($C21,WeatherCapacityAdjustment,2))-FM21,0),0))</f>
        <v>0</v>
      </c>
      <c r="FV21" s="1551" t="n">
        <f aca="false">IF(AND(Assumptions!$H$71="Yes",A21&gt;=Assumptions!$H$72,A21&lt;=Assumptions!$H$73),0,IF(AND($A21&gt;=Assumptions!$C$17,$A21&lt;=Assumptions!$C$18),MAX(BB21*(1+VLOOKUP($C21,WeatherCapacityAdjustment,2))-FN21,0),0))</f>
        <v>0</v>
      </c>
      <c r="FW21" s="1564" t="n">
        <f aca="false">IF(AND(Assumptions!$H$71="Yes",A21&gt;=Assumptions!$H$72,A21&lt;=Assumptions!$H$73),0,IF(AND($A21&gt;=Assumptions!$C$17,$A21&lt;=Assumptions!$C$18),MAX(BC21*(1+VLOOKUP($C21,WeatherCapacityAdjustment,3))-FO21,0),0))</f>
        <v>0</v>
      </c>
      <c r="FX21" s="1569" t="e">
        <f aca="false">IF(AND(Assumptions!$H$71="Yes",A21&gt;=Assumptions!$H$72,A21&lt;=Assumptions!$H$73),0,IF(ET21&gt;0,MAX(BH21*(1+VLOOKUP($C21,WeatherCapacityAdjustment,2))-FP21,0),0))</f>
        <v>#VALUE!</v>
      </c>
      <c r="FY21" s="1551" t="e">
        <f aca="false">IF(AND(Assumptions!$H$71="Yes",A21&gt;=Assumptions!$H$72,A21&lt;=Assumptions!$H$73),0,IF(EU21&gt;0,MAX(BI21*(1+VLOOKUP($C21,WeatherCapacityAdjustment,3))-FQ21,0),0))</f>
        <v>#VALUE!</v>
      </c>
      <c r="FZ21" s="1551" t="e">
        <f aca="false">IF(AND(Assumptions!$H$71="Yes",A21&gt;=Assumptions!$H$72,A21&lt;=Assumptions!$H$73),0,IF(EV21&gt;0,MAX(BJ21*(1+VLOOKUP($C21,WeatherCapacityAdjustment,2))-FR21,0),0))</f>
        <v>#VALUE!</v>
      </c>
      <c r="GA21" s="1564" t="e">
        <f aca="false">IF(AND(Assumptions!$H$71="Yes",A21&gt;=Assumptions!$H$72,A21&lt;=Assumptions!$H$73),0,IF(EW21&gt;0,MAX(BK21*(1+VLOOKUP($C21,WeatherCapacityAdjustment,2))-FS21,0),0))</f>
        <v>#VALUE!</v>
      </c>
      <c r="GB21" s="1551" t="e">
        <f aca="false">SUM(FT21:GA21)</f>
        <v>#VALUE!</v>
      </c>
      <c r="GC21" s="1563" t="e">
        <f aca="false">+IF(SUM(FT21:GA21)=0,0,(SUMPRODUCT(BU21:BX21,FT21:FW21)+SUMPRODUCT(CA21:CD21,FX21:GA21))/SUM(FT21:GA21))</f>
        <v>#VALUE!</v>
      </c>
      <c r="GD21" s="1551" t="e">
        <f aca="false">(FT21*BU21+FX21*CA21+FU21*BV21+FY21*CB21+FV21*BW21+FZ21*CC21+FW21*BX21+GA21*CD21)</f>
        <v>#VALUE!</v>
      </c>
      <c r="GE21" s="1561" t="e">
        <f aca="false">+IF(BQ21,((FL21+FM21+FT21+FU21)*HeatRatePeak/1000*(1+VLOOKUP($C21,WeatherHeatRateAdjustment,2))+(FN21+FV21)*IF(EV21&gt;0,HeatRatePeak,HeatRateOffPeak)/1000*(1+VLOOKUP($C21,WeatherHeatRateAdjustment,2))+(FO21+FW21)*IF(EW21&gt;0,HeatRatePeak,HeatRateOffPeak)/1000*(1+VLOOKUP($C21,WeatherHeatRateAdjustment,3)))*(1+VLOOKUP($B21,HeatRateDegradation,$C21+1)),0)</f>
        <v>#VALUE!</v>
      </c>
      <c r="GF21" s="1562" t="e">
        <f aca="false">IF(BQ21,((FP21+FQ21+FR21+FX21+FY21+FZ21)*HeatRatePeak/1000*(1+VLOOKUP($C21,WeatherHeatRateAdjustment,2))+(FS21+GA21)*HeatRatePeak/1000*(1+VLOOKUP($C21,WeatherHeatRateAdjustment,3)))*(1+VLOOKUP($B21,HeatRateDegradation,$C21+1)),0)</f>
        <v>#VALUE!</v>
      </c>
      <c r="GG21" s="1563" t="e">
        <f aca="false">IF(BQ21,VLOOKUP(A21,GasTable,13),0)</f>
        <v>#VALUE!</v>
      </c>
      <c r="GH21" s="1564" t="e">
        <f aca="false">(GE21+GF21)*GG21</f>
        <v>#VALUE!</v>
      </c>
      <c r="GI21" s="1569" t="e">
        <f aca="false">GB21</f>
        <v>#VALUE!</v>
      </c>
      <c r="GJ21" s="1598" t="e">
        <f aca="false">+DA21</f>
        <v>#VALUE!</v>
      </c>
      <c r="GK21" s="1558" t="e">
        <f aca="false">+GI21*GJ21</f>
        <v>#VALUE!</v>
      </c>
      <c r="GL21" s="1566" t="e">
        <f aca="false">MAX(FE21-FL21-FP21,0)</f>
        <v>#VALUE!</v>
      </c>
      <c r="GM21" s="1551" t="e">
        <f aca="false">MAX(FF21-FM21-FQ21,0)</f>
        <v>#VALUE!</v>
      </c>
      <c r="GN21" s="1551" t="e">
        <f aca="false">MAX(FG21-FN21-FR21,0)</f>
        <v>#VALUE!</v>
      </c>
      <c r="GO21" s="1564" t="e">
        <f aca="false">MAX(FH21-FO21-FS21,0)</f>
        <v>#VALUE!</v>
      </c>
      <c r="GP21" s="1551" t="e">
        <f aca="false">SUM(GL21:GO21)</f>
        <v>#VALUE!</v>
      </c>
      <c r="GQ21" s="1563" t="e">
        <f aca="false">IF(SUM(GL21:GO21)=0,0,((GL21*BU21+GM21*BV21+GN21*BW21+GO21*BX21)/SUM(GL21:GO21)))</f>
        <v>#VALUE!</v>
      </c>
      <c r="GR21" s="1558" t="e">
        <f aca="false">(GL21*BU21+GM21*BV21+GN21*BW21+GO21*BX21)</f>
        <v>#VALUE!</v>
      </c>
      <c r="GS21" s="1566" t="n">
        <f aca="false">IF($A21&gt;=BegDate,Assumptions!$C$56*24*($A22-$A21)*(1-VLOOKUP($B21,MAIN!$AA$7:$AM$28,$C21+1))*(1-VLOOKUP($B21,MAIN!$AA$33:$AM$54,$C21+1)),0)*80/168</f>
        <v>0</v>
      </c>
      <c r="GT21" s="286" t="n">
        <f aca="false">J21</f>
        <v>37.8284</v>
      </c>
      <c r="GU21" s="286" t="n">
        <f aca="false">IF($A21&gt;=BegDate,VLOOKUP($A21,GasTable,13)+Assumptions!$C$58,0)</f>
        <v>0</v>
      </c>
      <c r="GV21" s="286" t="n">
        <f aca="false">GU21*Assumptions!$C$57/1000</f>
        <v>0</v>
      </c>
      <c r="GW21" s="1558" t="n">
        <f aca="false">IF(Assumptions!$C$60="Hourly",MAX(0,GS21*(GT21-GV21)),GS21*(GT21-GV21))</f>
        <v>0</v>
      </c>
      <c r="GX21" s="1566" t="n">
        <f aca="false">IF($A21&gt;=BegDate,Assumptions!$C$56*24*($A22-$A21)*(1-VLOOKUP($B21,MAIN!$AA$7:$AM$28,$C21+1))*(1-VLOOKUP($B21,MAIN!$AA$33:$AM$54,$C21+1)),0)*16/168</f>
        <v>0</v>
      </c>
      <c r="GY21" s="286" t="n">
        <f aca="false">M21</f>
        <v>37.8284</v>
      </c>
      <c r="GZ21" s="286" t="n">
        <f aca="false">IF($A21&gt;=BegDate,VLOOKUP($A21,GasTable,13)+Assumptions!$C$58,0)</f>
        <v>0</v>
      </c>
      <c r="HA21" s="286" t="n">
        <f aca="false">GZ21*Assumptions!$C$57/1000</f>
        <v>0</v>
      </c>
      <c r="HB21" s="1558" t="n">
        <f aca="false">IF(Assumptions!$C$60="Hourly",MAX(0,GX21*(GY21-HA21)),GX21*(GY21-HA21))</f>
        <v>0</v>
      </c>
      <c r="HC21" s="1566" t="n">
        <f aca="false">IF($A21&gt;=BegDate,Assumptions!$C$56*24*($A22-$A21)*(1-VLOOKUP($B21,MAIN!$AA$7:$AM$28,$C21+1))*(1-VLOOKUP($B21,MAIN!$AA$33:$AM$54,$C21+1)),0)*16/168</f>
        <v>0</v>
      </c>
      <c r="HD21" s="286" t="n">
        <f aca="false">P21</f>
        <v>21.464</v>
      </c>
      <c r="HE21" s="286" t="n">
        <f aca="false">IF($A21&gt;=BegDate,VLOOKUP($A21,GasTable,13)+Assumptions!$C$58,0)</f>
        <v>0</v>
      </c>
      <c r="HF21" s="286" t="n">
        <f aca="false">HE21*Assumptions!$C$57/1000</f>
        <v>0</v>
      </c>
      <c r="HG21" s="1558" t="n">
        <f aca="false">IF(Assumptions!$C$60="Hourly",MAX(0,HC21*(HD21-HF21)),HC21*(HD21-HF21))</f>
        <v>0</v>
      </c>
      <c r="HH21" s="1566" t="n">
        <f aca="false">IF($A21&gt;=BegDate,Assumptions!$C$56*24*($A22-$A21)*(1-VLOOKUP($B21,MAIN!$AA$7:$AM$28,$C21+1))*(1-VLOOKUP($B21,MAIN!$AA$33:$AM$54,$C21+1)),0)*56/168</f>
        <v>0</v>
      </c>
      <c r="HI21" s="286" t="n">
        <f aca="false">S21</f>
        <v>21.464</v>
      </c>
      <c r="HJ21" s="286" t="n">
        <f aca="false">IF($A21&gt;=BegDate,VLOOKUP($A21,GasTable,13)+Assumptions!$C$58,0)</f>
        <v>0</v>
      </c>
      <c r="HK21" s="286" t="n">
        <f aca="false">HJ21*Assumptions!$C$57/1000</f>
        <v>0</v>
      </c>
      <c r="HL21" s="1558" t="n">
        <f aca="false">IF(Assumptions!$C$60="Hourly",MAX(0,HH21*(HI21-HK21)),HH21*(HI21-HK21))</f>
        <v>0</v>
      </c>
      <c r="HM21" s="1566" t="n">
        <f aca="false">IF(AND(Assumptions!$H$71="Yes",A21&gt;=Assumptions!$H$72,A21&lt;=Assumptions!$H$73),Assumptions!$H$74*Assumptions!$C$9*1000,0)</f>
        <v>0</v>
      </c>
      <c r="HN21" s="1558"/>
      <c r="HO21" s="1567" t="n">
        <f aca="false">HO20+1</f>
        <v>2007</v>
      </c>
      <c r="HP21" s="1566" t="e">
        <f aca="false">SUMIF($B$17:$B$292,HO21,$FJ$17:$FJ$292)</f>
        <v>#VALUE!</v>
      </c>
      <c r="HQ21" s="1568" t="e">
        <f aca="false">IF(HR21=0,0,HR21/HP21)</f>
        <v>#VALUE!</v>
      </c>
      <c r="HR21" s="1564" t="e">
        <f aca="false">SUMIF($B$17:$B$292,HO21,$FK$17:$FK$292)</f>
        <v>#VALUE!</v>
      </c>
      <c r="HS21" s="1569" t="e">
        <f aca="false">SUMIF($B$17:$B$292,HO21,$GB$17:$GB$292)</f>
        <v>#VALUE!</v>
      </c>
      <c r="HT21" s="1563" t="e">
        <f aca="false">+IF(HS21&gt;0,HU21/HS21,0)</f>
        <v>#VALUE!</v>
      </c>
      <c r="HU21" s="1551" t="e">
        <f aca="false">SUMIF($B$17:$B$292,HO21,$GD$17:$GD$292)</f>
        <v>#VALUE!</v>
      </c>
      <c r="HV21" s="1569" t="e">
        <f aca="false">HR21+HU21</f>
        <v>#VALUE!</v>
      </c>
      <c r="HW21" s="1551" t="e">
        <f aca="false">SUMIF($B$17:$B$292,$HO21,$EN$17:$EN$292)</f>
        <v>#VALUE!</v>
      </c>
      <c r="HX21" s="1551" t="e">
        <f aca="false">SUMIF($B$17:$B$292,$HO21,$FC$17:$FC$292)</f>
        <v>#VALUE!</v>
      </c>
      <c r="HY21" s="1551" t="n">
        <f aca="false">IF(Assumptions!$L$24="Yes",HW21+HX21,0)</f>
        <v>0</v>
      </c>
      <c r="HZ21" s="1566" t="e">
        <f aca="false">SUMIF($B$17:$B$292,HO21,$GE$17:$GE$292)+SUMIF($B$17:$B$292,HO21,$GF$17:$GF$292)</f>
        <v>#VALUE!</v>
      </c>
      <c r="IA21" s="1563" t="e">
        <f aca="false">IF(IB21=0,0,IB21/HZ21)</f>
        <v>#VALUE!</v>
      </c>
      <c r="IB21" s="1564" t="e">
        <f aca="false">-SUMIF($B$17:$B$292,HO21,$GH$17:$GH$292)</f>
        <v>#VALUE!</v>
      </c>
      <c r="IC21" s="1569" t="e">
        <f aca="false">SUMIF($B$17:$B$292,HO21,$GI$17:$GI$292)</f>
        <v>#VALUE!</v>
      </c>
      <c r="ID21" s="1563" t="e">
        <f aca="false">IF(IE21=0,0,IE21/IC21)</f>
        <v>#VALUE!</v>
      </c>
      <c r="IE21" s="1564" t="e">
        <f aca="false">-SUMIF($B$17:$B$292,HO21,$GK$17:$GK$292)</f>
        <v>#VALUE!</v>
      </c>
      <c r="IF21" s="1551" t="e">
        <f aca="false">SUMIF($B$17:$B$292,HO21,$GP$17:$GP$292)</f>
        <v>#VALUE!</v>
      </c>
      <c r="IG21" s="1563" t="e">
        <f aca="false">IF(IH21=0,0,IH21/IF21)</f>
        <v>#VALUE!</v>
      </c>
      <c r="IH21" s="1564" t="e">
        <f aca="false">-SUMIF($B$17:$B$292,HO21,$GR$17:$GR$292)</f>
        <v>#VALUE!</v>
      </c>
      <c r="II21" s="1570" t="n">
        <f aca="false">(SUMIF($B$17:$B$292,HO21,$GW$17:$GW$292)+SUMIF($B$17:$B$292,HO21,$HB$17:$HB$292)+SUMIF($B$17:$B$292,HO21,$HG$17:$HG$292)+SUMIF($B$17:$B$292,HO21,$HL$17:$HL$292))*Assumptions!$C$59</f>
        <v>1277555.72124948</v>
      </c>
      <c r="IJ21" s="1309" t="n">
        <f aca="false">SUMIF($B$17:$B$292,HO21,$HM$17:$HM$292)</f>
        <v>0</v>
      </c>
      <c r="IK21" s="1309"/>
    </row>
    <row r="22" customFormat="false" ht="12.75" hidden="false" customHeight="false" outlineLevel="0" collapsed="false">
      <c r="A22" s="1571" t="n">
        <f aca="false">EOMONTH(A21,0)+1</f>
        <v>36800</v>
      </c>
      <c r="B22" s="594" t="n">
        <f aca="false">+YEAR(A22)</f>
        <v>2000</v>
      </c>
      <c r="C22" s="238" t="n">
        <f aca="false">MONTH(A22)</f>
        <v>10</v>
      </c>
      <c r="D22" s="1572" t="str">
        <f aca="false">IF(E22="","",Holiday(B22,C22))</f>
        <v/>
      </c>
      <c r="E22" s="1573" t="str">
        <f aca="false">IF(OR(BegDate&gt;=A23,EndDate&lt;A22,AND(VolumeMonthlyOverFlag,INDEX(VolumeMonthlyOver,C22)=0),NOT(INDEX(MonthKnockOutTable,C22))),"",MAX(A22,BegDate))</f>
        <v/>
      </c>
      <c r="F22" s="1574" t="str">
        <f aca="false">IF(E22="","",MIN(A23-1,EndDate))</f>
        <v/>
      </c>
      <c r="G22" s="1575" t="n">
        <v>0</v>
      </c>
      <c r="H22" s="1576" t="n">
        <f aca="false">(1+G22/2)^(-2*(DATE(B23,C23,20)-DateToday)/365.25)</f>
        <v>1</v>
      </c>
      <c r="I22" s="1568" t="n">
        <f aca="false">IF(Assumptions!$L$25=4,VLOOKUP($A22,'Henwood Reference'!$E$9:$R$320,10),(VLOOKUP($A22,PriceTable,2,0)+IF(BasisNumber&lt;&gt;1,VLOOKUP($A22,BasisTable,2,0),0)+I$1)/(1-I$2))</f>
        <v>32.0866</v>
      </c>
      <c r="J22" s="1568" t="n">
        <f aca="false">IF(Assumptions!$L$25=4,VLOOKUP($A22,'Henwood Reference'!$E$9:$R$320,10),(VLOOKUP($A22,PriceTable,3,0)+IF(BasisNumber&lt;&gt;1,VLOOKUP($A22,BasisTable,2,0),0)+J$1)/(1-J$2))</f>
        <v>32.0866</v>
      </c>
      <c r="K22" s="1568" t="n">
        <f aca="false">IF(Assumptions!$L$25=4,VLOOKUP($A22,'Henwood Reference'!$E$9:$R$320,10),(VLOOKUP($A22,PriceTable,4,0)+IF(BasisNumber&lt;&gt;1,VLOOKUP($A22,BasisTable,2,0),0)+K$1)/(1-K$2))</f>
        <v>32.0866</v>
      </c>
      <c r="L22" s="1523" t="n">
        <f aca="false">IF(Assumptions!$L$25=4,VLOOKUP($A22,'Henwood Reference'!$E$9:$R$320,10),(VLOOKUP($A22,PriceTableWeekend,2,0)+IF(BasisNumber&lt;&gt;1,VLOOKUP($A22,BasisTable,2,0),0)+L$1)/(1-L$2))</f>
        <v>32.0866</v>
      </c>
      <c r="M22" s="1568" t="n">
        <f aca="false">IF(Assumptions!$L$25=4,VLOOKUP($A22,'Henwood Reference'!$E$9:$R$320,10),(VLOOKUP($A22,PriceTableWeekend,3,0)+IF(BasisNumber&lt;&gt;1,VLOOKUP($A22,BasisTable,2,0),0)+M$1)/(1-M$2))</f>
        <v>32.0866</v>
      </c>
      <c r="N22" s="1599" t="n">
        <f aca="false">IF(Assumptions!$L$25=4,VLOOKUP($A22,'Henwood Reference'!$E$9:$R$320,10),(VLOOKUP($A22,PriceTableWeekend,4,0)+IF(BasisNumber&lt;&gt;1,VLOOKUP($A22,BasisTable,2,0),0)+N$1)/(1-N$2))</f>
        <v>32.0866</v>
      </c>
      <c r="O22" s="1568" t="n">
        <f aca="false">IF(Assumptions!$L$25=4,VLOOKUP($A22,'Henwood Reference'!$E$9:$R$320,11),(VLOOKUP($A22,PriceTableWeekend,6,0)+IF(BasisNumber&lt;&gt;1,VLOOKUP($A22,BasisTable,3,0),0)+O$1)/(1-O$2))</f>
        <v>21.3925</v>
      </c>
      <c r="P22" s="1568" t="n">
        <f aca="false">IF(Assumptions!$L$25=4,VLOOKUP($A22,'Henwood Reference'!$E$9:$R$320,11),(VLOOKUP($A22,PriceTableWeekend,7,0)+IF(BasisNumber&lt;&gt;1,VLOOKUP($A22,BasisTable,3,0),0)+P$1)/(1-P$2))</f>
        <v>21.3925</v>
      </c>
      <c r="Q22" s="1599" t="n">
        <f aca="false">IF(Assumptions!$L$25=4,VLOOKUP($A22,'Henwood Reference'!$E$9:$R$320,11),(VLOOKUP($A22,PriceTableWeekend,8,0)+IF(BasisNumber&lt;&gt;1,VLOOKUP($A22,BasisTable,3,0),0)+Q$1)/(1-Q$2))</f>
        <v>21.3925</v>
      </c>
      <c r="R22" s="1568" t="n">
        <f aca="false">IF(Assumptions!$L$25=4,VLOOKUP($A22,'Henwood Reference'!$E$9:$R$320,11),(VLOOKUP($A22,PriceTable,6,0)+IF(BasisNumber&lt;&gt;1,VLOOKUP($A22,BasisTable,3,0),0)+R$1)/(1-R$2))</f>
        <v>21.3925</v>
      </c>
      <c r="S22" s="1568" t="n">
        <f aca="false">IF(Assumptions!$L$25=4,VLOOKUP($A22,'Henwood Reference'!$E$9:$R$320,11),(VLOOKUP($A22,PriceTable,7,0)+IF(BasisNumber&lt;&gt;1,VLOOKUP($A22,BasisTable,3,0),0)+S$1)/(1-S$2))</f>
        <v>21.3925</v>
      </c>
      <c r="T22" s="1600" t="n">
        <f aca="false">IF(Assumptions!$L$25=4,VLOOKUP($A22,'Henwood Reference'!$E$9:$R$320,11),(VLOOKUP($A22,PriceTable,8,0)+IF(BasisNumber&lt;&gt;1,VLOOKUP($A22,BasisTable,3,0),0)+T$1)/(1-T$2))</f>
        <v>21.3925</v>
      </c>
      <c r="U22" s="1513" t="n">
        <f aca="false">VLOOKUP($A22,VolatilityTable,14)</f>
        <v>0.22</v>
      </c>
      <c r="V22" s="1513" t="n">
        <f aca="false">VLOOKUP($A22,VolatilityTable,15)</f>
        <v>0.28</v>
      </c>
      <c r="W22" s="1514" t="n">
        <f aca="false">VLOOKUP($A22,VolatilityTable,16)</f>
        <v>0.28</v>
      </c>
      <c r="X22" s="1513" t="n">
        <f aca="false">VLOOKUP($A22,VolatilityTable,14)</f>
        <v>0.22</v>
      </c>
      <c r="Y22" s="1513" t="n">
        <f aca="false">VLOOKUP($A22,VolatilityTable,15)</f>
        <v>0.28</v>
      </c>
      <c r="Z22" s="1514" t="n">
        <f aca="false">VLOOKUP($A22,VolatilityTable,16)</f>
        <v>0.28</v>
      </c>
      <c r="AA22" s="1513" t="n">
        <f aca="false">VLOOKUP($A22,VolatilityTable,18)</f>
        <v>0.05</v>
      </c>
      <c r="AB22" s="1513" t="n">
        <f aca="false">VLOOKUP($A22,VolatilityTable,19)</f>
        <v>0.11</v>
      </c>
      <c r="AC22" s="1514" t="n">
        <f aca="false">VLOOKUP($A22,VolatilityTable,20)</f>
        <v>0.15</v>
      </c>
      <c r="AD22" s="1513" t="n">
        <f aca="false">VLOOKUP($A22,VolatilityTable,18)</f>
        <v>0.05</v>
      </c>
      <c r="AE22" s="1513" t="n">
        <f aca="false">VLOOKUP($A22,VolatilityTable,19)</f>
        <v>0.11</v>
      </c>
      <c r="AF22" s="1514" t="n">
        <f aca="false">VLOOKUP($A22,VolatilityTable,20)</f>
        <v>0.15</v>
      </c>
      <c r="AG22" s="1513" t="n">
        <f aca="false">VLOOKUP($A22,VolatilityTable,22)</f>
        <v>-0.1</v>
      </c>
      <c r="AH22" s="1513" t="n">
        <f aca="false">VLOOKUP($A22,VolatilityTable,23)</f>
        <v>0.6</v>
      </c>
      <c r="AI22" s="1514" t="n">
        <f aca="false">VLOOKUP($A22,VolatilityTable,24)</f>
        <v>0.1</v>
      </c>
      <c r="AJ22" s="1513" t="n">
        <f aca="false">VLOOKUP($A22,VolatilityTable,22)</f>
        <v>-0.1</v>
      </c>
      <c r="AK22" s="1513" t="n">
        <f aca="false">VLOOKUP($A22,VolatilityTable,23)</f>
        <v>0.6</v>
      </c>
      <c r="AL22" s="1514" t="n">
        <f aca="false">VLOOKUP($A22,VolatilityTable,24)</f>
        <v>0.1</v>
      </c>
      <c r="AM22" s="1513" t="n">
        <f aca="false">VLOOKUP($A22,VolatilityTable,26)</f>
        <v>-0.01</v>
      </c>
      <c r="AN22" s="1513" t="n">
        <f aca="false">VLOOKUP($A22,VolatilityTable,27)</f>
        <v>0.16</v>
      </c>
      <c r="AO22" s="1514" t="n">
        <f aca="false">VLOOKUP($A22,VolatilityTable,28)</f>
        <v>0.01</v>
      </c>
      <c r="AP22" s="1513" t="n">
        <f aca="false">VLOOKUP($A22,VolatilityTable,26)</f>
        <v>-0.01</v>
      </c>
      <c r="AQ22" s="1513" t="n">
        <f aca="false">VLOOKUP($A22,VolatilityTable,27)</f>
        <v>0.16</v>
      </c>
      <c r="AR22" s="1515" t="n">
        <f aca="false">VLOOKUP($A22,VolatilityTable,28)</f>
        <v>0.01</v>
      </c>
      <c r="AS22" s="1581" t="n">
        <f aca="false">IF(CorrPeakOffPeakOverFlag,INDEX(CorrPeakOffPeakOver,C22),CorrPeakOffPeak)</f>
        <v>0.5</v>
      </c>
      <c r="AT22" s="594" t="n">
        <f aca="false">AX22-SUM(AU22:AW22)</f>
        <v>0</v>
      </c>
      <c r="AU22" s="238" t="n">
        <f aca="false">IF(E22="",0,INT((F22-MOD(F22,7)-E22)/7)+1-IF(AW22,IF(WEEKDAY(D22)=7,1,0),0))</f>
        <v>0</v>
      </c>
      <c r="AV22" s="238" t="n">
        <f aca="false">IF(E22="",0,INT((F22-MOD(F22-1,7)-E22)/7)+1-IF(AW22,IF(WEEKDAY(D22)=1,1,0),0))</f>
        <v>0</v>
      </c>
      <c r="AW22" s="238" t="n">
        <f aca="false">IF(OR(E22="",D22="",D22&lt;BegDate,D22&gt;EndDate),0,1)</f>
        <v>0</v>
      </c>
      <c r="AX22" s="238" t="n">
        <f aca="false">IF(E22="",0,F22-E22+1)</f>
        <v>0</v>
      </c>
      <c r="AY22" s="1582" t="n">
        <f aca="false">IF(E22="",0,MIN((1-(1-VLOOKUP(B22,MAIN!$AA$7:$AM$28,C22+1))*(1-VLOOKUP(B22,MAIN!$AA$33:$AM$54,C22+1))),1))</f>
        <v>0</v>
      </c>
      <c r="AZ22" s="1519" t="e">
        <v>#VALUE!</v>
      </c>
      <c r="BA22" s="1520" t="e">
        <v>#VALUE!</v>
      </c>
      <c r="BB22" s="1520" t="e">
        <v>#VALUE!</v>
      </c>
      <c r="BC22" s="1583" t="e">
        <v>#VALUE!</v>
      </c>
      <c r="BD22" s="1522" t="e">
        <v>#VALUE!</v>
      </c>
      <c r="BE22" s="1523" t="e">
        <v>#VALUE!</v>
      </c>
      <c r="BF22" s="1523" t="e">
        <v>#VALUE!</v>
      </c>
      <c r="BG22" s="1584" t="e">
        <v>#VALUE!</v>
      </c>
      <c r="BH22" s="1525" t="e">
        <v>#VALUE!</v>
      </c>
      <c r="BI22" s="1520" t="e">
        <v>#VALUE!</v>
      </c>
      <c r="BJ22" s="1520" t="e">
        <v>#VALUE!</v>
      </c>
      <c r="BK22" s="1583" t="e">
        <v>#VALUE!</v>
      </c>
      <c r="BL22" s="1522" t="e">
        <v>#VALUE!</v>
      </c>
      <c r="BM22" s="1523" t="e">
        <v>#VALUE!</v>
      </c>
      <c r="BN22" s="1523" t="e">
        <v>#VALUE!</v>
      </c>
      <c r="BO22" s="1523" t="e">
        <v>#VALUE!</v>
      </c>
      <c r="BP22" s="1525" t="e">
        <f aca="false">SUM(AZ22:BB22)</f>
        <v>#VALUE!</v>
      </c>
      <c r="BQ22" s="1529" t="e">
        <f aca="false">SUM(AZ22:BC22)</f>
        <v>#VALUE!</v>
      </c>
      <c r="BR22" s="1519" t="e">
        <f aca="false">SUM(BH22:BJ22)</f>
        <v>#VALUE!</v>
      </c>
      <c r="BS22" s="1529" t="e">
        <f aca="false">SUM(BH22:BK22)</f>
        <v>#VALUE!</v>
      </c>
      <c r="BT22" s="1316" t="n">
        <f aca="false">(IF(OVolType&lt;&gt;2,A22+14,IF(OptExpDateShift,ShiftBack(A22,OptExpDateShift,D21),A22))-DateToday)/365.25</f>
        <v>0.465434633812457</v>
      </c>
      <c r="BU22" s="1585" t="e">
        <f aca="false">IF(BQ22,IF(OPriceCurve,IF(OBuySell=OCallPut,I22/(1-AY22),K22/(1-AY22)),J22/(1-AY22))*BD22,0)</f>
        <v>#VALUE!</v>
      </c>
      <c r="BV22" s="1316" t="e">
        <f aca="false">IF(BQ22,IF(OPriceCurve,IF(OBuySell=OCallPut,L22/(1-AY22),N22/(1-AY22)),M22/(1-AY22))*BE22,0)</f>
        <v>#VALUE!</v>
      </c>
      <c r="BW22" s="1316" t="e">
        <f aca="false">IF(BQ22,IF(OPriceCurve,IF(OBuySell=OCallPut,O22/(1-AY22),Q22/(1-AY22)),P22/(1-AY22))*BF22,0)</f>
        <v>#VALUE!</v>
      </c>
      <c r="BX22" s="1316" t="e">
        <f aca="false">IF(BQ22,IF(OPriceCurve,IF(OBuySell=OCallPut,R22/(1-AY22),T22/(1-AY22)),S22/(1-AY22))*BG22,0)</f>
        <v>#VALUE!</v>
      </c>
      <c r="BY22" s="1316" t="e">
        <f aca="false">IF(BP22,(BU22*AZ22+BV22*BA22+BW22*BB22)/BP22,0)</f>
        <v>#VALUE!</v>
      </c>
      <c r="BZ22" s="1316" t="e">
        <f aca="false">IF(BQ22,(BY22*BP22+BX22*BC22)/BQ22,0)</f>
        <v>#VALUE!</v>
      </c>
      <c r="CA22" s="1531" t="e">
        <f aca="false">IF(BS22,IF(OPriceCurve,IF(OBuySell=OCallPut,I22/(1-AY22),K22/(1-AY22)),J22/(1-AY22))*BL22,0)</f>
        <v>#VALUE!</v>
      </c>
      <c r="CB22" s="1316" t="e">
        <f aca="false">IF(BS22,IF(OPriceCurve,IF(OBuySell=OCallPut,L22/(1-AY22),N22/(1-AY22)),M22/(1-AY22))*BM22,0)</f>
        <v>#VALUE!</v>
      </c>
      <c r="CC22" s="1316" t="e">
        <f aca="false">IF(BS22,IF(OPriceCurve,IF(OBuySell=OCallPut,O22/(1-AY22),Q22/(1-AY22)),P22/(1-AY22))*BN22,0)</f>
        <v>#VALUE!</v>
      </c>
      <c r="CD22" s="1316" t="e">
        <f aca="false">IF(BS22,IF(OPriceCurve,IF(OBuySell=OCallPut,R22/(1-AY22),T22/(1-AY22)),S22/(1-AY22))*BO22,0)</f>
        <v>#VALUE!</v>
      </c>
      <c r="CE22" s="1316" t="e">
        <f aca="false">IF(BR22,(BU22*BH22+BV22*BI22+BW22*BJ22)/BR22,0)</f>
        <v>#VALUE!</v>
      </c>
      <c r="CF22" s="1532" t="e">
        <f aca="false">IF(BS22,(CE22*BR22+CD22*BK22)/BS22,0)</f>
        <v>#VALUE!</v>
      </c>
      <c r="CG22" s="1586" t="e">
        <f aca="false">IF(OR(BQ22,BS22),IF(OVolType&lt;&gt;2,SQRT(IF(OVolOverMonthlyPeak,OVolOverMonthlyPeak,IF(OVolCurve,IF(OBuySell,U22,W22),V22))^2*(1-15/365.25/BT22)+IF(OVolOverDailyPeak,OVolOverDailyPeak,IF(OVolCurve,IF(OBuySell,AG22,AI22),AH22))^2*15/365.25/BT22),IF(OVolOverMonthlyPeak,OVolOverMonthlyPeak,IF(OVolCurve,IF(OBuySell,U22,W22),V22))),"")</f>
        <v>#VALUE!</v>
      </c>
      <c r="CH22" s="1587" t="e">
        <f aca="false">IF(OR(BQ22,BS22),IF(OVolType&lt;&gt;2,SQRT(IF(OVolOverMonthlyPeak,OVolOverMonthlyPeak,IF(OVolCurve,IF(OBuySell,X22,Z22),Y22))^2*(1-15/365.25/BT22)+IF(OVolOverDailyPeak,OVolOverDailyPeak,IF(OVolCurve,IF(OBuySell,AJ22,AL22),AK22))^2*15/365.25/BT22),IF(OVolOverMonthlyPeak,OVolOverMonthlyPeak,IF(OVolCurve,IF(OBuySell,X22,Z22),Y22))),"")</f>
        <v>#VALUE!</v>
      </c>
      <c r="CI22" s="1587" t="e">
        <f aca="false">IF(OR(BQ22,BS22),IF(OVolType&lt;&gt;2,SQRT(IF(OVolOverMonthlyPeak,OVolOverMonthlyPeak,IF(OVolCurve,IF(OBuySell,AA22,AC22),AB22))^2*(1-15/365.25/BT22)+IF(OVolOverDailyPeak,OVolOverDailyPeak,IF(OVolCurve,IF(OBuySell,AM22,AO22),AN22))^2*15/365.25/BT22),IF(OVolOverMonthlyPeak,OVolOverMonthlyPeak,IF(OVolCurve,IF(OBuySell,AA22,AC22),AB22))),"")</f>
        <v>#VALUE!</v>
      </c>
      <c r="CJ22" s="1587" t="e">
        <f aca="false">IF(BQ22,IF(BP22,SQRT(LN(1+((BU22*AZ22)^2*(EXP(CG22^2*BT22)-1)+(BV22*BA22)^2*(EXP(CH22^2*BT22)-1)+(BW22*BB22)^2*(EXP(CI22^2*BT22)-1)+2*BU22*AZ22*BV22*BA22*(EXP(CG22*CH22*BT22)-1)+2*BV22*BA22*BW22*BB22*(EXP(CH22*CI22*BT22)-1)+2*BW22*BB22*BU22*AZ22*(EXP(CI22*CG22*BT22)-1))/(BY22*BP22)^2)/BT22),0),"")</f>
        <v>#VALUE!</v>
      </c>
      <c r="CK22" s="1587" t="e">
        <f aca="false">IF(BS22,IF(BR22,SQRT(LN(1+((CA22*BH22)^2*(EXP(CG22^2*BT22)-1)+(CB22*BI22)^2*(EXP(CH22^2*BT22)-1)+(CC22*BJ22)^2*(EXP(CI22^2*BT22)-1)+2*CA22*BH22*CB22*BI22*(EXP(CG22*CH22*BT22)-1)+2*CB22*BI22*CC22*BJ22*(EXP(CH22*CI22*BT22)-1)+2*CC22*BJ22*CA22*BH22*(EXP(CI22*CG22*BT22)-1))/(CE22*BR22)^2)/BT22),0),"")</f>
        <v>#VALUE!</v>
      </c>
      <c r="CL22" s="1587" t="e">
        <f aca="false">IF(OR(BQ22,BS22),IF(OVolType&lt;&gt;2,SQRT(IF(OVolOverMonthlyOffPeak,OVolOverMonthlyOffPeak,IF(OVolCurve,IF(OBuySell,AD22,AF22),AE22))^2*(1-15/365.25/BT22)+IF(OVolOverDailyOffPeak,OVolOverDailyOffPeak,IF(OVolCurve,IF(OBuySell,AP22,AR22),AQ22))^2*15/365.25/BT22),IF(OVolOverMonthlyOffPeak,OVolOverMonthlyOffPeak,IF(OVolCurve,IF(OBuySell,AD22,AF22),AE22))),"")</f>
        <v>#VALUE!</v>
      </c>
      <c r="CM22" s="1587" t="e">
        <f aca="false">IF(BQ22,SQRT(LN(1+((BY22*BP22)^2*(EXP(CJ22^2*BT22)-1)+(BX22*BC22)^2*(EXP(CL22^2*BT22)-1)+2*BY22*BP22*BX22*BC22*(EXP(AS22*CJ22*CL22*BT22)-1))/(BY22*BP22+BX22*BC22)^2)/BT22),"")</f>
        <v>#VALUE!</v>
      </c>
      <c r="CN22" s="1588" t="e">
        <f aca="false">IF(BS22,SQRT(LN(1+((CE22*BR22)^2*(EXP(CK22^2*BT22)-1)+(CD22*BK22)^2*(EXP(CL22^2*BT22)-1)+2*CE22*BR22*CD22*BK22*(EXP(AS22*CK22*CL22*BT22)-1))/(CE22*BR22+CD22*BK22)^2)/BT22),"")</f>
        <v>#VALUE!</v>
      </c>
      <c r="CO22" s="1531" t="e">
        <f aca="false">IF(OR(BQ22,BS22),VLOOKUP(A22,GasTable,13)*HeatRatePeak*VLOOKUP($B22,MAIN!$AB$59:$AM$80,$C22+1)/1000,0)</f>
        <v>#VALUE!</v>
      </c>
      <c r="CP22" s="1316" t="e">
        <f aca="false">IF(OR(BQ22,BS22),VLOOKUP(A22,GasTable,13)*HeatRatePeak*(1+VLOOKUP($B22,HeatRateDegradation,$C22+1))/1000,0)</f>
        <v>#VALUE!</v>
      </c>
      <c r="CQ22" s="1316" t="e">
        <f aca="false">IF(OR(BQ22,BS22),VLOOKUP(A22,GasTable,13)*IF(EV22,HeatRatePeak,HeatRateOffPeak)*(1+VLOOKUP($B22,HeatRateDegradation,$C22+1))/1000,0)</f>
        <v>#VALUE!</v>
      </c>
      <c r="CR22" s="1316" t="e">
        <f aca="false">IF(OR(BQ22,BS22),VLOOKUP(A22,GasTable,13)*IF(EW22,HeatRatePeak,HeatRateOffPeak)*(1+VLOOKUP($B22,HeatRateDegradation,$C22+1))/1000,0)</f>
        <v>#VALUE!</v>
      </c>
      <c r="CS22" s="1589" t="e">
        <f aca="false">IF(BQ22,(CO22*AZ22+CP22*BA22+CQ22*BB22+CR22*BC22)/BQ22,0)</f>
        <v>#VALUE!</v>
      </c>
      <c r="CT22" s="1316" t="e">
        <f aca="false">IF(BS22,CO22,0)</f>
        <v>#VALUE!</v>
      </c>
      <c r="CU22" s="1590" t="e">
        <f aca="false">IF(OR(BQ22,BS22),VLOOKUP(A22,GasTable,14),"")</f>
        <v>#VALUE!</v>
      </c>
      <c r="CV22" s="1568" t="e">
        <f aca="false">IF(OR(BQ22,BS22),IF(CorrPowerGasOverFlag,INDEX(CorrPowerGasOver,C22),CorrPowerGas),"")</f>
        <v>#VALUE!</v>
      </c>
      <c r="CW22" s="1316" t="e">
        <f aca="false">IF(OR($BQ22,$BS22),SpreadOptPowerMargin,0)*((1+Assumptions!$C$26)^($B22-YEAR(Assumptions!$C$17)))</f>
        <v>#VALUE!</v>
      </c>
      <c r="CX22" s="1316" t="e">
        <f aca="false">IF(OR($BQ22,$BS22),SpreadOptPowerMargin,0)*((1+Assumptions!$C$26)^($B22-YEAR(Assumptions!$C$17)))</f>
        <v>#VALUE!</v>
      </c>
      <c r="CY22" s="1316" t="e">
        <f aca="false">IF(OR($BQ22,$BS22),SpreadOptPowerMargin,0)*((1+Assumptions!$C$26)^($B22-YEAR(Assumptions!$C$17)))</f>
        <v>#VALUE!</v>
      </c>
      <c r="CZ22" s="1316" t="e">
        <f aca="false">IF(OR($BQ22,$BS22),SpreadOptPowerMargin,0)*((1+Assumptions!$C$26)^($B22-YEAR(Assumptions!$C$17)))</f>
        <v>#VALUE!</v>
      </c>
      <c r="DA22" s="1591" t="e">
        <f aca="false">IF(OR(BQ22,BS22),(CW22*(AZ22+BH22)+CX22*(BA22+BI22)+CY22*(BB22+BJ22)+CZ22*(BC22+BK22))/(BQ22+BS22),0)</f>
        <v>#VALUE!</v>
      </c>
      <c r="DB22" s="1592" t="e">
        <f aca="false">IF(OR(BQ22,BS22),CG22+IF(OVolSmile,VLOOKUP(MAX(-5,CO22+CW22-BU22),IF(OVolSmile=1,VolSmileBook,VolSmileModel),2),0),"")</f>
        <v>#VALUE!</v>
      </c>
      <c r="DC22" s="1592" t="e">
        <f aca="false">IF(OR(BQ22,BS22),CH22+IF(OVolSmile,VLOOKUP(MAX(-5,CP22+CW22-BV22),IF(OVolSmile=1,VolSmileBook,VolSmileModel),2),0),"")</f>
        <v>#VALUE!</v>
      </c>
      <c r="DD22" s="1592" t="e">
        <f aca="false">IF(OR(BQ22,BS22),CI22+IF(OVolSmile,VLOOKUP(MAX(-5,CQ22+CW22-BW22),IF(OVolSmile=1,VolSmileBook,VolSmileModel),2),0),"")</f>
        <v>#VALUE!</v>
      </c>
      <c r="DE22" s="1592" t="e">
        <f aca="false">IF(OR(BQ22,BS22),CL22+IF(OVolSmile,VLOOKUP(MAX(-5,CR22+CZ22-BX22),IF(OVolSmile=1,VolSmileBook,VolSmileModel),2),0),"")</f>
        <v>#VALUE!</v>
      </c>
      <c r="DF22" s="1592" t="e">
        <f aca="false">IF(BQ22,CM22+IF(OVolSmile,VLOOKUP(MAX(-5,CS22+DA22-BZ22),IF(OVolSmile=1,VolSmileBook,VolSmileModel),2),0),"")</f>
        <v>#VALUE!</v>
      </c>
      <c r="DG22" s="1593" t="e">
        <f aca="false">IF(BS22,CN22+IF(OVolSmile,VLOOKUP(MAX(-5,CT22+DA22-CF22),IF(OVolSmile=1,VolSmileBook,VolSmileModel),2),0),"")</f>
        <v>#VALUE!</v>
      </c>
      <c r="DH22" s="1316" t="e">
        <f aca="false">IF(AND(BU22&gt;0,CO22&gt;0,DB22&gt;0,CU22&gt;0),newSPRDOPT(BU22,CO22,CW22,0,DB22,CU22,CV22,BT22*365.25,OCallPut,0),0)</f>
        <v>#VALUE!</v>
      </c>
      <c r="DI22" s="1316" t="e">
        <f aca="false">IF(AND(BV22&gt;0,CP22&gt;0,DC22&gt;0,CU22&gt;0),newSPRDOPT(BV22,CP22,CX22,0,DC22,CU22,CV22,BT22*365.25,OCallPut,0),0)</f>
        <v>#VALUE!</v>
      </c>
      <c r="DJ22" s="1316" t="e">
        <f aca="false">IF(AND(BW22&gt;0,CQ22&gt;0,DD22&gt;0,CU22&gt;0),newSPRDOPT(BW22,CQ22,CY22,0,DD22,CU22,CV22,BT22*365.25,OCallPut,0),0)</f>
        <v>#VALUE!</v>
      </c>
      <c r="DK22" s="1316" t="e">
        <f aca="false">IF(AND(BX22&gt;0,CR22&gt;0,DE22&gt;0,CU22&gt;0),newSPRDOPT(BX22,CR22,CZ22,0,DE22,CU22,CV22,BT22*365.25,OCallPut,0),0)</f>
        <v>#VALUE!</v>
      </c>
      <c r="DL22" s="1316" t="e">
        <f aca="false">IF(OVolType,IF(AND(BZ22&gt;0,CS22&gt;0,DF22&gt;0,CU22&gt;0),newSPRDOPT(BZ22,CS22,DA22,0,DF22,CU22,CV22,BT22*365.25,OCallPut,0),0),IF(BQ22,(DH22*AZ22+DI22*BA22+DJ22*BB22+DK22*BC22)/BQ22,0))</f>
        <v>#VALUE!</v>
      </c>
      <c r="DM22" s="1316"/>
      <c r="DN22" s="1316"/>
      <c r="DO22" s="1316"/>
      <c r="DP22" s="1316"/>
      <c r="DQ22" s="1316"/>
      <c r="DR22" s="1316"/>
      <c r="DS22" s="1316"/>
      <c r="DT22" s="1316"/>
      <c r="DU22" s="1316"/>
      <c r="DV22" s="1316"/>
      <c r="DW22" s="1594" t="e">
        <f aca="false">IF(AND(BW22&gt;0,CT22&gt;0,DD22&gt;0,CU22&gt;0),newSPRDOPT(BW22,CT22,CY22,0,DD22,CU22,CV22,BT22*365.25,OCallPut,0),0)</f>
        <v>#VALUE!</v>
      </c>
      <c r="DX22" s="1316" t="e">
        <f aca="false">IF(AND(BX22&gt;0,CT22&gt;0,DE22&gt;0,CU22&gt;0),newSPRDOPT(BX22,CT22,CZ22,0,DE22,CU22,CV22,BT22*365.25,OCallPut,0),0)</f>
        <v>#VALUE!</v>
      </c>
      <c r="DY22" s="1591" t="e">
        <f aca="false">IF(BS22,(DH22*BH22+DI22*BI22+DW22*BJ22+DX22*BK22)/BS22,0)</f>
        <v>#VALUE!</v>
      </c>
      <c r="DZ22" s="1551" t="e">
        <f aca="false">DH22*AZ22</f>
        <v>#VALUE!</v>
      </c>
      <c r="EA22" s="1551" t="e">
        <f aca="false">DI22*BA22</f>
        <v>#VALUE!</v>
      </c>
      <c r="EB22" s="1551" t="e">
        <f aca="false">DJ22*BB22</f>
        <v>#VALUE!</v>
      </c>
      <c r="EC22" s="1551" t="e">
        <f aca="false">DK22*BC22</f>
        <v>#VALUE!</v>
      </c>
      <c r="ED22" s="1551" t="e">
        <f aca="false">DL22*BQ22</f>
        <v>#VALUE!</v>
      </c>
      <c r="EE22" s="1595" t="e">
        <f aca="false">IF(BQ22,IF(OCallPut,IF(BU22&gt;(CO22+CW22),BU22-(CO22+CW22),0),IF((CO22+CW22)&gt;BU22,(CO22+CW22)-BU22,0))*AZ22,0)</f>
        <v>#VALUE!</v>
      </c>
      <c r="EF22" s="1596" t="e">
        <f aca="false">IF(BQ22,IF(OCallPut,IF(BV22&gt;(CP22+CX22),BV22-(CP22+CX22),0),IF((CP22+CX22)&gt;BV22,(CP22+CX22)-BV22,0))*BA22,0)</f>
        <v>#VALUE!</v>
      </c>
      <c r="EG22" s="1596" t="e">
        <f aca="false">IF(BQ22,IF(OCallPut,IF(BW22&gt;(CQ22+CY22),BW22-(CQ22+CY22),0),IF((CQ22+CY22)&gt;BW22,(CQ22+CY22)-BW22,0))*BB22,0)</f>
        <v>#VALUE!</v>
      </c>
      <c r="EH22" s="1596" t="e">
        <f aca="false">IF(BQ22,IF(OCallPut,IF(BX22&gt;(CR22+CZ22),BX22-(CR22+CZ22),0),IF((CR22+CZ22)&gt;BX22,(CR22+CZ22)-BX22,0))*BC22,0)</f>
        <v>#VALUE!</v>
      </c>
      <c r="EI22" s="1597" t="e">
        <f aca="false">IF(BQ22,IF(OVolType,IF(OCallPut,IF(BZ22&gt;(CS22+DA22),BZ22-(CS22+DA22),0),IF((CS22+DA22)&gt;BZ22,(CS22+DA22)-BZ22,0))*BQ22,SUM(EE22:EH22)),0)</f>
        <v>#VALUE!</v>
      </c>
      <c r="EJ22" s="1595" t="e">
        <f aca="false">DZ22-EE22</f>
        <v>#VALUE!</v>
      </c>
      <c r="EK22" s="1596" t="e">
        <f aca="false">EA22-EF22</f>
        <v>#VALUE!</v>
      </c>
      <c r="EL22" s="1596" t="e">
        <f aca="false">EB22-EG22</f>
        <v>#VALUE!</v>
      </c>
      <c r="EM22" s="1596" t="e">
        <f aca="false">EC22-EH22</f>
        <v>#VALUE!</v>
      </c>
      <c r="EN22" s="1597" t="e">
        <f aca="false">ED22-EI22</f>
        <v>#VALUE!</v>
      </c>
      <c r="EO22" s="1551" t="e">
        <f aca="false">DH22*BH22</f>
        <v>#VALUE!</v>
      </c>
      <c r="EP22" s="1551" t="e">
        <f aca="false">DI22*BI22</f>
        <v>#VALUE!</v>
      </c>
      <c r="EQ22" s="1551" t="e">
        <f aca="false">DW22*BJ22</f>
        <v>#VALUE!</v>
      </c>
      <c r="ER22" s="1551" t="e">
        <f aca="false">DX22*BK22</f>
        <v>#VALUE!</v>
      </c>
      <c r="ES22" s="1551" t="e">
        <f aca="false">DY22*BS22</f>
        <v>#VALUE!</v>
      </c>
      <c r="ET22" s="1566" t="e">
        <f aca="false">IF(BS22,IF(OCallPut,IF(CA22&gt;(CT22+CW22),CA22-(CT22+CW22),0),IF((CT22+CW22)&gt;CA22,(CT22+CW22)-CA22,0))*BH22,0)</f>
        <v>#VALUE!</v>
      </c>
      <c r="EU22" s="1551" t="e">
        <f aca="false">IF(BS22,IF(OCallPut,IF(CB22&gt;(CT22+CX22),CB22-(CT22+CX22),0),IF((CT22+CX22)&gt;CB22,(CT22+CX22)-CB22,0))*BI22,0)</f>
        <v>#VALUE!</v>
      </c>
      <c r="EV22" s="1551" t="e">
        <f aca="false">IF(BS22,IF(OCallPut,IF(CC22&gt;(CT22+CY22),CC22-(CT22+CY22),0),IF((CT22+CY22)&gt;CC22,(CT22+CY22)-CC22,0))*BJ22,0)</f>
        <v>#VALUE!</v>
      </c>
      <c r="EW22" s="1551" t="e">
        <f aca="false">IF(BS22,IF(OCallPut,IF(CD22&gt;(CT22+CZ22),CD22-(CT22+CZ22),0),IF((CT22+CZ22)&gt;CD22,(CT22+CZ22)-CD22,0))*BK22,0)</f>
        <v>#VALUE!</v>
      </c>
      <c r="EX22" s="1558" t="e">
        <f aca="false">IF(BS22,SUM(ET22:EW22),0)</f>
        <v>#VALUE!</v>
      </c>
      <c r="EY22" s="1551" t="e">
        <f aca="false">EO22-ET22</f>
        <v>#VALUE!</v>
      </c>
      <c r="EZ22" s="1551" t="e">
        <f aca="false">EP22-EU22</f>
        <v>#VALUE!</v>
      </c>
      <c r="FA22" s="1551" t="e">
        <f aca="false">EQ22-EV22</f>
        <v>#VALUE!</v>
      </c>
      <c r="FB22" s="1551" t="e">
        <f aca="false">ER22-EW22</f>
        <v>#VALUE!</v>
      </c>
      <c r="FC22" s="1551" t="e">
        <f aca="false">ES22-EX22</f>
        <v>#VALUE!</v>
      </c>
      <c r="FD22" s="1525" t="n">
        <f aca="false">IF(AX22,IF(VLOOKUP(C22,MAIN!$L$17:$M$28,2)="Yes",VLOOKUP(CALC!B22,MAIN!$H$17:$I$20,2),0),0)</f>
        <v>0</v>
      </c>
      <c r="FE22" s="1552" t="n">
        <f aca="false">$FD22*16*AT22*(1-$AY22)</f>
        <v>0</v>
      </c>
      <c r="FF22" s="1553" t="n">
        <f aca="false">$FD22*16*AU22*(1-$AY22)</f>
        <v>0</v>
      </c>
      <c r="FG22" s="1553" t="n">
        <f aca="false">$FD22*16*(AV22+AW22)*(1-$AY22)</f>
        <v>0</v>
      </c>
      <c r="FH22" s="1554" t="n">
        <f aca="false">$FD22*8*AX22*(1-$AY22)</f>
        <v>0</v>
      </c>
      <c r="FI22" s="1555" t="n">
        <f aca="false">IF(AX22,VLOOKUP(CALC!B22,MAIN!$H$17:$K$20,4),0)</f>
        <v>0</v>
      </c>
      <c r="FJ22" s="1553" t="n">
        <f aca="false">SUM(FE22:FH22)</f>
        <v>0</v>
      </c>
      <c r="FK22" s="1556" t="n">
        <f aca="false">FI22*FJ22</f>
        <v>0</v>
      </c>
      <c r="FL22" s="1551" t="e">
        <f aca="false">IF($EI22&gt;0,MIN(FE22,AZ22*(1+VLOOKUP($C22,WeatherCapacityAdjustment,2))),0)</f>
        <v>#VALUE!</v>
      </c>
      <c r="FM22" s="1551" t="e">
        <f aca="false">IF($EI22&gt;0,MIN(FF22,BA22*(1+VLOOKUP($C22,WeatherCapacityAdjustment,2))),0)</f>
        <v>#VALUE!</v>
      </c>
      <c r="FN22" s="1551" t="e">
        <f aca="false">IF($EI22&gt;0,MIN(FG22,BB22*(1+VLOOKUP($C22,WeatherCapacityAdjustment,2))),0)</f>
        <v>#VALUE!</v>
      </c>
      <c r="FO22" s="1564" t="e">
        <f aca="false">IF($EI22&gt;0,MIN(FH22,BC22*(1+VLOOKUP($C22,WeatherCapacityAdjustment,3))),0)</f>
        <v>#VALUE!</v>
      </c>
      <c r="FP22" s="1551" t="e">
        <f aca="false">IF(ET22&gt;0,MIN(FE22-FL22,BH22*(1+VLOOKUP($C22,WeatherCapacityAdjustment,2))),0)</f>
        <v>#VALUE!</v>
      </c>
      <c r="FQ22" s="1551" t="e">
        <f aca="false">IF(EU22&gt;0,MIN(FF22-FM22,BI22*(1+VLOOKUP($C22,WeatherCapacityAdjustment,2))),0)</f>
        <v>#VALUE!</v>
      </c>
      <c r="FR22" s="1551" t="e">
        <f aca="false">IF(EV22&gt;0,MIN(FG22-FN22,BJ22*(1+VLOOKUP($C22,WeatherCapacityAdjustment,2))),0)</f>
        <v>#VALUE!</v>
      </c>
      <c r="FS22" s="1558" t="e">
        <f aca="false">IF(EW22&gt;0,MIN(FH22-FO22,BK22*(1+VLOOKUP($C22,WeatherCapacityAdjustment,3))),0)</f>
        <v>#VALUE!</v>
      </c>
      <c r="FT22" s="1566" t="n">
        <f aca="false">IF(AND(Assumptions!$H$71="Yes",A22&gt;=Assumptions!$H$72,A22&lt;=Assumptions!$H$73),0,IF(AND($A22&gt;=Assumptions!$C$17,$A22&lt;=Assumptions!$C$18),MAX(AZ22*(1+VLOOKUP($C22,WeatherCapacityAdjustment,2))-FL22,0),0))</f>
        <v>0</v>
      </c>
      <c r="FU22" s="1551" t="n">
        <f aca="false">IF(AND(Assumptions!$H$71="Yes",A22&gt;=Assumptions!$H$72,A22&lt;=Assumptions!$H$73),0,IF(AND($A22&gt;=Assumptions!$C$17,$A22&lt;=Assumptions!$C$18),MAX(BA22*(1+VLOOKUP($C22,WeatherCapacityAdjustment,2))-FM22,0),0))</f>
        <v>0</v>
      </c>
      <c r="FV22" s="1551" t="n">
        <f aca="false">IF(AND(Assumptions!$H$71="Yes",A22&gt;=Assumptions!$H$72,A22&lt;=Assumptions!$H$73),0,IF(AND($A22&gt;=Assumptions!$C$17,$A22&lt;=Assumptions!$C$18),MAX(BB22*(1+VLOOKUP($C22,WeatherCapacityAdjustment,2))-FN22,0),0))</f>
        <v>0</v>
      </c>
      <c r="FW22" s="1564" t="n">
        <f aca="false">IF(AND(Assumptions!$H$71="Yes",A22&gt;=Assumptions!$H$72,A22&lt;=Assumptions!$H$73),0,IF(AND($A22&gt;=Assumptions!$C$17,$A22&lt;=Assumptions!$C$18),MAX(BC22*(1+VLOOKUP($C22,WeatherCapacityAdjustment,3))-FO22,0),0))</f>
        <v>0</v>
      </c>
      <c r="FX22" s="1569" t="e">
        <f aca="false">IF(AND(Assumptions!$H$71="Yes",A22&gt;=Assumptions!$H$72,A22&lt;=Assumptions!$H$73),0,IF(ET22&gt;0,MAX(BH22*(1+VLOOKUP($C22,WeatherCapacityAdjustment,2))-FP22,0),0))</f>
        <v>#VALUE!</v>
      </c>
      <c r="FY22" s="1551" t="e">
        <f aca="false">IF(AND(Assumptions!$H$71="Yes",A22&gt;=Assumptions!$H$72,A22&lt;=Assumptions!$H$73),0,IF(EU22&gt;0,MAX(BI22*(1+VLOOKUP($C22,WeatherCapacityAdjustment,3))-FQ22,0),0))</f>
        <v>#VALUE!</v>
      </c>
      <c r="FZ22" s="1551" t="e">
        <f aca="false">IF(AND(Assumptions!$H$71="Yes",A22&gt;=Assumptions!$H$72,A22&lt;=Assumptions!$H$73),0,IF(EV22&gt;0,MAX(BJ22*(1+VLOOKUP($C22,WeatherCapacityAdjustment,2))-FR22,0),0))</f>
        <v>#VALUE!</v>
      </c>
      <c r="GA22" s="1564" t="e">
        <f aca="false">IF(AND(Assumptions!$H$71="Yes",A22&gt;=Assumptions!$H$72,A22&lt;=Assumptions!$H$73),0,IF(EW22&gt;0,MAX(BK22*(1+VLOOKUP($C22,WeatherCapacityAdjustment,2))-FS22,0),0))</f>
        <v>#VALUE!</v>
      </c>
      <c r="GB22" s="1551" t="e">
        <f aca="false">SUM(FT22:GA22)</f>
        <v>#VALUE!</v>
      </c>
      <c r="GC22" s="1563" t="e">
        <f aca="false">+IF(SUM(FT22:GA22)=0,0,(SUMPRODUCT(BU22:BX22,FT22:FW22)+SUMPRODUCT(CA22:CD22,FX22:GA22))/SUM(FT22:GA22))</f>
        <v>#VALUE!</v>
      </c>
      <c r="GD22" s="1551" t="e">
        <f aca="false">(FT22*BU22+FX22*CA22+FU22*BV22+FY22*CB22+FV22*BW22+FZ22*CC22+FW22*BX22+GA22*CD22)</f>
        <v>#VALUE!</v>
      </c>
      <c r="GE22" s="1561" t="e">
        <f aca="false">+IF(BQ22,((FL22+FM22+FT22+FU22)*HeatRatePeak/1000*(1+VLOOKUP($C22,WeatherHeatRateAdjustment,2))+(FN22+FV22)*IF(EV22&gt;0,HeatRatePeak,HeatRateOffPeak)/1000*(1+VLOOKUP($C22,WeatherHeatRateAdjustment,2))+(FO22+FW22)*IF(EW22&gt;0,HeatRatePeak,HeatRateOffPeak)/1000*(1+VLOOKUP($C22,WeatherHeatRateAdjustment,3)))*(1+VLOOKUP($B22,HeatRateDegradation,$C22+1)),0)</f>
        <v>#VALUE!</v>
      </c>
      <c r="GF22" s="1562" t="e">
        <f aca="false">IF(BQ22,((FP22+FQ22+FR22+FX22+FY22+FZ22)*HeatRatePeak/1000*(1+VLOOKUP($C22,WeatherHeatRateAdjustment,2))+(FS22+GA22)*HeatRatePeak/1000*(1+VLOOKUP($C22,WeatherHeatRateAdjustment,3)))*(1+VLOOKUP($B22,HeatRateDegradation,$C22+1)),0)</f>
        <v>#VALUE!</v>
      </c>
      <c r="GG22" s="1563" t="e">
        <f aca="false">IF(BQ22,VLOOKUP(A22,GasTable,13),0)</f>
        <v>#VALUE!</v>
      </c>
      <c r="GH22" s="1564" t="e">
        <f aca="false">(GE22+GF22)*GG22</f>
        <v>#VALUE!</v>
      </c>
      <c r="GI22" s="1569" t="e">
        <f aca="false">GB22</f>
        <v>#VALUE!</v>
      </c>
      <c r="GJ22" s="1598" t="e">
        <f aca="false">+DA22</f>
        <v>#VALUE!</v>
      </c>
      <c r="GK22" s="1558" t="e">
        <f aca="false">+GI22*GJ22</f>
        <v>#VALUE!</v>
      </c>
      <c r="GL22" s="1566" t="e">
        <f aca="false">MAX(FE22-FL22-FP22,0)</f>
        <v>#VALUE!</v>
      </c>
      <c r="GM22" s="1551" t="e">
        <f aca="false">MAX(FF22-FM22-FQ22,0)</f>
        <v>#VALUE!</v>
      </c>
      <c r="GN22" s="1551" t="e">
        <f aca="false">MAX(FG22-FN22-FR22,0)</f>
        <v>#VALUE!</v>
      </c>
      <c r="GO22" s="1564" t="e">
        <f aca="false">MAX(FH22-FO22-FS22,0)</f>
        <v>#VALUE!</v>
      </c>
      <c r="GP22" s="1551" t="e">
        <f aca="false">SUM(GL22:GO22)</f>
        <v>#VALUE!</v>
      </c>
      <c r="GQ22" s="1563" t="e">
        <f aca="false">IF(SUM(GL22:GO22)=0,0,((GL22*BU22+GM22*BV22+GN22*BW22+GO22*BX22)/SUM(GL22:GO22)))</f>
        <v>#VALUE!</v>
      </c>
      <c r="GR22" s="1558" t="e">
        <f aca="false">(GL22*BU22+GM22*BV22+GN22*BW22+GO22*BX22)</f>
        <v>#VALUE!</v>
      </c>
      <c r="GS22" s="1566" t="n">
        <f aca="false">IF($A22&gt;=BegDate,Assumptions!$C$56*24*($A23-$A22)*(1-VLOOKUP($B22,MAIN!$AA$7:$AM$28,$C22+1))*(1-VLOOKUP($B22,MAIN!$AA$33:$AM$54,$C22+1)),0)*80/168</f>
        <v>0</v>
      </c>
      <c r="GT22" s="286" t="n">
        <f aca="false">J22</f>
        <v>32.0866</v>
      </c>
      <c r="GU22" s="286" t="n">
        <f aca="false">IF($A22&gt;=BegDate,VLOOKUP($A22,GasTable,13)+Assumptions!$C$58,0)</f>
        <v>0</v>
      </c>
      <c r="GV22" s="286" t="n">
        <f aca="false">GU22*Assumptions!$C$57/1000</f>
        <v>0</v>
      </c>
      <c r="GW22" s="1558" t="n">
        <f aca="false">IF(Assumptions!$C$60="Hourly",MAX(0,GS22*(GT22-GV22)),GS22*(GT22-GV22))</f>
        <v>0</v>
      </c>
      <c r="GX22" s="1566" t="n">
        <f aca="false">IF($A22&gt;=BegDate,Assumptions!$C$56*24*($A23-$A22)*(1-VLOOKUP($B22,MAIN!$AA$7:$AM$28,$C22+1))*(1-VLOOKUP($B22,MAIN!$AA$33:$AM$54,$C22+1)),0)*16/168</f>
        <v>0</v>
      </c>
      <c r="GY22" s="286" t="n">
        <f aca="false">M22</f>
        <v>32.0866</v>
      </c>
      <c r="GZ22" s="286" t="n">
        <f aca="false">IF($A22&gt;=BegDate,VLOOKUP($A22,GasTable,13)+Assumptions!$C$58,0)</f>
        <v>0</v>
      </c>
      <c r="HA22" s="286" t="n">
        <f aca="false">GZ22*Assumptions!$C$57/1000</f>
        <v>0</v>
      </c>
      <c r="HB22" s="1558" t="n">
        <f aca="false">IF(Assumptions!$C$60="Hourly",MAX(0,GX22*(GY22-HA22)),GX22*(GY22-HA22))</f>
        <v>0</v>
      </c>
      <c r="HC22" s="1566" t="n">
        <f aca="false">IF($A22&gt;=BegDate,Assumptions!$C$56*24*($A23-$A22)*(1-VLOOKUP($B22,MAIN!$AA$7:$AM$28,$C22+1))*(1-VLOOKUP($B22,MAIN!$AA$33:$AM$54,$C22+1)),0)*16/168</f>
        <v>0</v>
      </c>
      <c r="HD22" s="286" t="n">
        <f aca="false">P22</f>
        <v>21.3925</v>
      </c>
      <c r="HE22" s="286" t="n">
        <f aca="false">IF($A22&gt;=BegDate,VLOOKUP($A22,GasTable,13)+Assumptions!$C$58,0)</f>
        <v>0</v>
      </c>
      <c r="HF22" s="286" t="n">
        <f aca="false">HE22*Assumptions!$C$57/1000</f>
        <v>0</v>
      </c>
      <c r="HG22" s="1558" t="n">
        <f aca="false">IF(Assumptions!$C$60="Hourly",MAX(0,HC22*(HD22-HF22)),HC22*(HD22-HF22))</f>
        <v>0</v>
      </c>
      <c r="HH22" s="1566" t="n">
        <f aca="false">IF($A22&gt;=BegDate,Assumptions!$C$56*24*($A23-$A22)*(1-VLOOKUP($B22,MAIN!$AA$7:$AM$28,$C22+1))*(1-VLOOKUP($B22,MAIN!$AA$33:$AM$54,$C22+1)),0)*56/168</f>
        <v>0</v>
      </c>
      <c r="HI22" s="286" t="n">
        <f aca="false">S22</f>
        <v>21.3925</v>
      </c>
      <c r="HJ22" s="286" t="n">
        <f aca="false">IF($A22&gt;=BegDate,VLOOKUP($A22,GasTable,13)+Assumptions!$C$58,0)</f>
        <v>0</v>
      </c>
      <c r="HK22" s="286" t="n">
        <f aca="false">HJ22*Assumptions!$C$57/1000</f>
        <v>0</v>
      </c>
      <c r="HL22" s="1558" t="n">
        <f aca="false">IF(Assumptions!$C$60="Hourly",MAX(0,HH22*(HI22-HK22)),HH22*(HI22-HK22))</f>
        <v>0</v>
      </c>
      <c r="HM22" s="1566" t="n">
        <f aca="false">IF(AND(Assumptions!$H$71="Yes",A22&gt;=Assumptions!$H$72,A22&lt;=Assumptions!$H$73),Assumptions!$H$74*Assumptions!$C$9*1000,0)</f>
        <v>0</v>
      </c>
      <c r="HN22" s="1558"/>
      <c r="HO22" s="1567" t="n">
        <f aca="false">HO21+1</f>
        <v>2008</v>
      </c>
      <c r="HP22" s="1566" t="e">
        <f aca="false">SUMIF($B$17:$B$292,HO22,$FJ$17:$FJ$292)</f>
        <v>#VALUE!</v>
      </c>
      <c r="HQ22" s="1568" t="e">
        <f aca="false">IF(HR22=0,0,HR22/HP22)</f>
        <v>#VALUE!</v>
      </c>
      <c r="HR22" s="1564" t="e">
        <f aca="false">SUMIF($B$17:$B$292,HO22,$FK$17:$FK$292)</f>
        <v>#VALUE!</v>
      </c>
      <c r="HS22" s="1569" t="e">
        <f aca="false">SUMIF($B$17:$B$292,HO22,$GB$17:$GB$292)</f>
        <v>#VALUE!</v>
      </c>
      <c r="HT22" s="1563" t="e">
        <f aca="false">+IF(HS22&gt;0,HU22/HS22,0)</f>
        <v>#VALUE!</v>
      </c>
      <c r="HU22" s="1551" t="e">
        <f aca="false">SUMIF($B$17:$B$292,HO22,$GD$17:$GD$292)</f>
        <v>#VALUE!</v>
      </c>
      <c r="HV22" s="1569" t="e">
        <f aca="false">HR22+HU22</f>
        <v>#VALUE!</v>
      </c>
      <c r="HW22" s="1551" t="e">
        <f aca="false">SUMIF($B$17:$B$292,$HO22,$EN$17:$EN$292)</f>
        <v>#VALUE!</v>
      </c>
      <c r="HX22" s="1551" t="e">
        <f aca="false">SUMIF($B$17:$B$292,$HO22,$FC$17:$FC$292)</f>
        <v>#VALUE!</v>
      </c>
      <c r="HY22" s="1551" t="n">
        <f aca="false">IF(Assumptions!$L$24="Yes",HW22+HX22,0)</f>
        <v>0</v>
      </c>
      <c r="HZ22" s="1566" t="e">
        <f aca="false">SUMIF($B$17:$B$292,HO22,$GE$17:$GE$292)+SUMIF($B$17:$B$292,HO22,$GF$17:$GF$292)</f>
        <v>#VALUE!</v>
      </c>
      <c r="IA22" s="1563" t="e">
        <f aca="false">IF(IB22=0,0,IB22/HZ22)</f>
        <v>#VALUE!</v>
      </c>
      <c r="IB22" s="1564" t="e">
        <f aca="false">-SUMIF($B$17:$B$292,HO22,$GH$17:$GH$292)</f>
        <v>#VALUE!</v>
      </c>
      <c r="IC22" s="1569" t="e">
        <f aca="false">SUMIF($B$17:$B$292,HO22,$GI$17:$GI$292)</f>
        <v>#VALUE!</v>
      </c>
      <c r="ID22" s="1563" t="e">
        <f aca="false">IF(IE22=0,0,IE22/IC22)</f>
        <v>#VALUE!</v>
      </c>
      <c r="IE22" s="1564" t="e">
        <f aca="false">-SUMIF($B$17:$B$292,HO22,$GK$17:$GK$292)</f>
        <v>#VALUE!</v>
      </c>
      <c r="IF22" s="1551" t="e">
        <f aca="false">SUMIF($B$17:$B$292,HO22,$GP$17:$GP$292)</f>
        <v>#VALUE!</v>
      </c>
      <c r="IG22" s="1563" t="e">
        <f aca="false">IF(IH22=0,0,IH22/IF22)</f>
        <v>#VALUE!</v>
      </c>
      <c r="IH22" s="1564" t="e">
        <f aca="false">-SUMIF($B$17:$B$292,HO22,$GR$17:$GR$292)</f>
        <v>#VALUE!</v>
      </c>
      <c r="II22" s="1570" t="n">
        <f aca="false">(SUMIF($B$17:$B$292,HO22,$GW$17:$GW$292)+SUMIF($B$17:$B$292,HO22,$HB$17:$HB$292)+SUMIF($B$17:$B$292,HO22,$HG$17:$HG$292)+SUMIF($B$17:$B$292,HO22,$HL$17:$HL$292))*Assumptions!$C$59</f>
        <v>1213333.14885684</v>
      </c>
      <c r="IJ22" s="1309" t="n">
        <f aca="false">SUMIF($B$17:$B$292,HO22,$HM$17:$HM$292)</f>
        <v>0</v>
      </c>
      <c r="IK22" s="1309"/>
    </row>
    <row r="23" customFormat="false" ht="12.75" hidden="false" customHeight="false" outlineLevel="0" collapsed="false">
      <c r="A23" s="1571" t="n">
        <f aca="false">EOMONTH(A22,0)+1</f>
        <v>36831</v>
      </c>
      <c r="B23" s="594" t="n">
        <f aca="false">+YEAR(A23)</f>
        <v>2000</v>
      </c>
      <c r="C23" s="238" t="n">
        <f aca="false">MONTH(A23)</f>
        <v>11</v>
      </c>
      <c r="D23" s="1572" t="str">
        <f aca="false">IF(E23="","",Holiday(B23,C23))</f>
        <v/>
      </c>
      <c r="E23" s="1573" t="str">
        <f aca="false">IF(OR(BegDate&gt;=A24,EndDate&lt;A23,AND(VolumeMonthlyOverFlag,INDEX(VolumeMonthlyOver,C23)=0),NOT(INDEX(MonthKnockOutTable,C23))),"",MAX(A23,BegDate))</f>
        <v/>
      </c>
      <c r="F23" s="1574" t="str">
        <f aca="false">IF(E23="","",MIN(A24-1,EndDate))</f>
        <v/>
      </c>
      <c r="G23" s="1575" t="n">
        <v>0</v>
      </c>
      <c r="H23" s="1576" t="n">
        <f aca="false">(1+G23/2)^(-2*(DATE(B24,C24,20)-DateToday)/365.25)</f>
        <v>1</v>
      </c>
      <c r="I23" s="1568" t="n">
        <f aca="false">IF(Assumptions!$L$25=4,VLOOKUP($A23,'Henwood Reference'!$E$9:$R$320,10),(VLOOKUP($A23,PriceTable,2,0)+IF(BasisNumber&lt;&gt;1,VLOOKUP($A23,BasisTable,2,0),0)+I$1)/(1-I$2))</f>
        <v>33.6002</v>
      </c>
      <c r="J23" s="1568" t="n">
        <f aca="false">IF(Assumptions!$L$25=4,VLOOKUP($A23,'Henwood Reference'!$E$9:$R$320,10),(VLOOKUP($A23,PriceTable,3,0)+IF(BasisNumber&lt;&gt;1,VLOOKUP($A23,BasisTable,2,0),0)+J$1)/(1-J$2))</f>
        <v>33.6002</v>
      </c>
      <c r="K23" s="1568" t="n">
        <f aca="false">IF(Assumptions!$L$25=4,VLOOKUP($A23,'Henwood Reference'!$E$9:$R$320,10),(VLOOKUP($A23,PriceTable,4,0)+IF(BasisNumber&lt;&gt;1,VLOOKUP($A23,BasisTable,2,0),0)+K$1)/(1-K$2))</f>
        <v>33.6002</v>
      </c>
      <c r="L23" s="1523" t="n">
        <f aca="false">IF(Assumptions!$L$25=4,VLOOKUP($A23,'Henwood Reference'!$E$9:$R$320,10),(VLOOKUP($A23,PriceTableWeekend,2,0)+IF(BasisNumber&lt;&gt;1,VLOOKUP($A23,BasisTable,2,0),0)+L$1)/(1-L$2))</f>
        <v>33.6002</v>
      </c>
      <c r="M23" s="1568" t="n">
        <f aca="false">IF(Assumptions!$L$25=4,VLOOKUP($A23,'Henwood Reference'!$E$9:$R$320,10),(VLOOKUP($A23,PriceTableWeekend,3,0)+IF(BasisNumber&lt;&gt;1,VLOOKUP($A23,BasisTable,2,0),0)+M$1)/(1-M$2))</f>
        <v>33.6002</v>
      </c>
      <c r="N23" s="1599" t="n">
        <f aca="false">IF(Assumptions!$L$25=4,VLOOKUP($A23,'Henwood Reference'!$E$9:$R$320,10),(VLOOKUP($A23,PriceTableWeekend,4,0)+IF(BasisNumber&lt;&gt;1,VLOOKUP($A23,BasisTable,2,0),0)+N$1)/(1-N$2))</f>
        <v>33.6002</v>
      </c>
      <c r="O23" s="1568" t="n">
        <f aca="false">IF(Assumptions!$L$25=4,VLOOKUP($A23,'Henwood Reference'!$E$9:$R$320,11),(VLOOKUP($A23,PriceTableWeekend,6,0)+IF(BasisNumber&lt;&gt;1,VLOOKUP($A23,BasisTable,3,0),0)+O$1)/(1-O$2))</f>
        <v>24.5106</v>
      </c>
      <c r="P23" s="1568" t="n">
        <f aca="false">IF(Assumptions!$L$25=4,VLOOKUP($A23,'Henwood Reference'!$E$9:$R$320,11),(VLOOKUP($A23,PriceTableWeekend,7,0)+IF(BasisNumber&lt;&gt;1,VLOOKUP($A23,BasisTable,3,0),0)+P$1)/(1-P$2))</f>
        <v>24.5106</v>
      </c>
      <c r="Q23" s="1599" t="n">
        <f aca="false">IF(Assumptions!$L$25=4,VLOOKUP($A23,'Henwood Reference'!$E$9:$R$320,11),(VLOOKUP($A23,PriceTableWeekend,8,0)+IF(BasisNumber&lt;&gt;1,VLOOKUP($A23,BasisTable,3,0),0)+Q$1)/(1-Q$2))</f>
        <v>24.5106</v>
      </c>
      <c r="R23" s="1568" t="n">
        <f aca="false">IF(Assumptions!$L$25=4,VLOOKUP($A23,'Henwood Reference'!$E$9:$R$320,11),(VLOOKUP($A23,PriceTable,6,0)+IF(BasisNumber&lt;&gt;1,VLOOKUP($A23,BasisTable,3,0),0)+R$1)/(1-R$2))</f>
        <v>24.5106</v>
      </c>
      <c r="S23" s="1568" t="n">
        <f aca="false">IF(Assumptions!$L$25=4,VLOOKUP($A23,'Henwood Reference'!$E$9:$R$320,11),(VLOOKUP($A23,PriceTable,7,0)+IF(BasisNumber&lt;&gt;1,VLOOKUP($A23,BasisTable,3,0),0)+S$1)/(1-S$2))</f>
        <v>24.5106</v>
      </c>
      <c r="T23" s="1600" t="n">
        <f aca="false">IF(Assumptions!$L$25=4,VLOOKUP($A23,'Henwood Reference'!$E$9:$R$320,11),(VLOOKUP($A23,PriceTable,8,0)+IF(BasisNumber&lt;&gt;1,VLOOKUP($A23,BasisTable,3,0),0)+T$1)/(1-T$2))</f>
        <v>24.5106</v>
      </c>
      <c r="U23" s="1513" t="n">
        <f aca="false">VLOOKUP($A23,VolatilityTable,14)</f>
        <v>0.22</v>
      </c>
      <c r="V23" s="1513" t="n">
        <f aca="false">VLOOKUP($A23,VolatilityTable,15)</f>
        <v>0.2</v>
      </c>
      <c r="W23" s="1514" t="n">
        <f aca="false">VLOOKUP($A23,VolatilityTable,16)</f>
        <v>0.28</v>
      </c>
      <c r="X23" s="1513" t="n">
        <f aca="false">VLOOKUP($A23,VolatilityTable,14)</f>
        <v>0.22</v>
      </c>
      <c r="Y23" s="1513" t="n">
        <f aca="false">VLOOKUP($A23,VolatilityTable,15)</f>
        <v>0.2</v>
      </c>
      <c r="Z23" s="1514" t="n">
        <f aca="false">VLOOKUP($A23,VolatilityTable,16)</f>
        <v>0.28</v>
      </c>
      <c r="AA23" s="1513" t="n">
        <f aca="false">VLOOKUP($A23,VolatilityTable,18)</f>
        <v>0.05</v>
      </c>
      <c r="AB23" s="1513" t="n">
        <f aca="false">VLOOKUP($A23,VolatilityTable,19)</f>
        <v>0.11</v>
      </c>
      <c r="AC23" s="1514" t="n">
        <f aca="false">VLOOKUP($A23,VolatilityTable,20)</f>
        <v>0.15</v>
      </c>
      <c r="AD23" s="1513" t="n">
        <f aca="false">VLOOKUP($A23,VolatilityTable,18)</f>
        <v>0.05</v>
      </c>
      <c r="AE23" s="1513" t="n">
        <f aca="false">VLOOKUP($A23,VolatilityTable,19)</f>
        <v>0.11</v>
      </c>
      <c r="AF23" s="1514" t="n">
        <f aca="false">VLOOKUP($A23,VolatilityTable,20)</f>
        <v>0.15</v>
      </c>
      <c r="AG23" s="1513" t="n">
        <f aca="false">VLOOKUP($A23,VolatilityTable,22)</f>
        <v>-0.1</v>
      </c>
      <c r="AH23" s="1513" t="n">
        <f aca="false">VLOOKUP($A23,VolatilityTable,23)</f>
        <v>0.6</v>
      </c>
      <c r="AI23" s="1514" t="n">
        <f aca="false">VLOOKUP($A23,VolatilityTable,24)</f>
        <v>0.1</v>
      </c>
      <c r="AJ23" s="1513" t="n">
        <f aca="false">VLOOKUP($A23,VolatilityTable,22)</f>
        <v>-0.1</v>
      </c>
      <c r="AK23" s="1513" t="n">
        <f aca="false">VLOOKUP($A23,VolatilityTable,23)</f>
        <v>0.6</v>
      </c>
      <c r="AL23" s="1514" t="n">
        <f aca="false">VLOOKUP($A23,VolatilityTable,24)</f>
        <v>0.1</v>
      </c>
      <c r="AM23" s="1513" t="n">
        <f aca="false">VLOOKUP($A23,VolatilityTable,26)</f>
        <v>-0.01</v>
      </c>
      <c r="AN23" s="1513" t="n">
        <f aca="false">VLOOKUP($A23,VolatilityTable,27)</f>
        <v>0.16</v>
      </c>
      <c r="AO23" s="1514" t="n">
        <f aca="false">VLOOKUP($A23,VolatilityTable,28)</f>
        <v>0.01</v>
      </c>
      <c r="AP23" s="1513" t="n">
        <f aca="false">VLOOKUP($A23,VolatilityTable,26)</f>
        <v>-0.01</v>
      </c>
      <c r="AQ23" s="1513" t="n">
        <f aca="false">VLOOKUP($A23,VolatilityTable,27)</f>
        <v>0.16</v>
      </c>
      <c r="AR23" s="1515" t="n">
        <f aca="false">VLOOKUP($A23,VolatilityTable,28)</f>
        <v>0.01</v>
      </c>
      <c r="AS23" s="1581" t="n">
        <f aca="false">IF(CorrPeakOffPeakOverFlag,INDEX(CorrPeakOffPeakOver,C23),CorrPeakOffPeak)</f>
        <v>0.5</v>
      </c>
      <c r="AT23" s="594" t="n">
        <f aca="false">AX23-SUM(AU23:AW23)</f>
        <v>0</v>
      </c>
      <c r="AU23" s="238" t="n">
        <f aca="false">IF(E23="",0,INT((F23-MOD(F23,7)-E23)/7)+1-IF(AW23,IF(WEEKDAY(D23)=7,1,0),0))</f>
        <v>0</v>
      </c>
      <c r="AV23" s="238" t="n">
        <f aca="false">IF(E23="",0,INT((F23-MOD(F23-1,7)-E23)/7)+1-IF(AW23,IF(WEEKDAY(D23)=1,1,0),0))</f>
        <v>0</v>
      </c>
      <c r="AW23" s="238" t="n">
        <f aca="false">IF(OR(E23="",D23="",D23&lt;BegDate,D23&gt;EndDate),0,1)</f>
        <v>0</v>
      </c>
      <c r="AX23" s="238" t="n">
        <f aca="false">IF(E23="",0,F23-E23+1)</f>
        <v>0</v>
      </c>
      <c r="AY23" s="1582" t="n">
        <f aca="false">IF(E23="",0,MIN((1-(1-VLOOKUP(B23,MAIN!$AA$7:$AM$28,C23+1))*(1-VLOOKUP(B23,MAIN!$AA$33:$AM$54,C23+1))),1))</f>
        <v>0</v>
      </c>
      <c r="AZ23" s="1519" t="e">
        <v>#VALUE!</v>
      </c>
      <c r="BA23" s="1520" t="e">
        <v>#VALUE!</v>
      </c>
      <c r="BB23" s="1520" t="e">
        <v>#VALUE!</v>
      </c>
      <c r="BC23" s="1583" t="e">
        <v>#VALUE!</v>
      </c>
      <c r="BD23" s="1522" t="e">
        <v>#VALUE!</v>
      </c>
      <c r="BE23" s="1523" t="e">
        <v>#VALUE!</v>
      </c>
      <c r="BF23" s="1523" t="e">
        <v>#VALUE!</v>
      </c>
      <c r="BG23" s="1584" t="e">
        <v>#VALUE!</v>
      </c>
      <c r="BH23" s="1525" t="e">
        <v>#VALUE!</v>
      </c>
      <c r="BI23" s="1520" t="e">
        <v>#VALUE!</v>
      </c>
      <c r="BJ23" s="1520" t="e">
        <v>#VALUE!</v>
      </c>
      <c r="BK23" s="1583" t="e">
        <v>#VALUE!</v>
      </c>
      <c r="BL23" s="1522" t="e">
        <v>#VALUE!</v>
      </c>
      <c r="BM23" s="1523" t="e">
        <v>#VALUE!</v>
      </c>
      <c r="BN23" s="1523" t="e">
        <v>#VALUE!</v>
      </c>
      <c r="BO23" s="1523" t="e">
        <v>#VALUE!</v>
      </c>
      <c r="BP23" s="1525" t="e">
        <f aca="false">SUM(AZ23:BB23)</f>
        <v>#VALUE!</v>
      </c>
      <c r="BQ23" s="1529" t="e">
        <f aca="false">SUM(AZ23:BC23)</f>
        <v>#VALUE!</v>
      </c>
      <c r="BR23" s="1519" t="e">
        <f aca="false">SUM(BH23:BJ23)</f>
        <v>#VALUE!</v>
      </c>
      <c r="BS23" s="1529" t="e">
        <f aca="false">SUM(BH23:BK23)</f>
        <v>#VALUE!</v>
      </c>
      <c r="BT23" s="1316" t="n">
        <f aca="false">(IF(OVolType&lt;&gt;2,A23+14,IF(OptExpDateShift,ShiftBack(A23,OptExpDateShift,D22),A23))-DateToday)/365.25</f>
        <v>0.550308008213552</v>
      </c>
      <c r="BU23" s="1585" t="e">
        <f aca="false">IF(BQ23,IF(OPriceCurve,IF(OBuySell=OCallPut,I23/(1-AY23),K23/(1-AY23)),J23/(1-AY23))*BD23,0)</f>
        <v>#VALUE!</v>
      </c>
      <c r="BV23" s="1316" t="e">
        <f aca="false">IF(BQ23,IF(OPriceCurve,IF(OBuySell=OCallPut,L23/(1-AY23),N23/(1-AY23)),M23/(1-AY23))*BE23,0)</f>
        <v>#VALUE!</v>
      </c>
      <c r="BW23" s="1316" t="e">
        <f aca="false">IF(BQ23,IF(OPriceCurve,IF(OBuySell=OCallPut,O23/(1-AY23),Q23/(1-AY23)),P23/(1-AY23))*BF23,0)</f>
        <v>#VALUE!</v>
      </c>
      <c r="BX23" s="1316" t="e">
        <f aca="false">IF(BQ23,IF(OPriceCurve,IF(OBuySell=OCallPut,R23/(1-AY23),T23/(1-AY23)),S23/(1-AY23))*BG23,0)</f>
        <v>#VALUE!</v>
      </c>
      <c r="BY23" s="1316" t="e">
        <f aca="false">IF(BP23,(BU23*AZ23+BV23*BA23+BW23*BB23)/BP23,0)</f>
        <v>#VALUE!</v>
      </c>
      <c r="BZ23" s="1316" t="e">
        <f aca="false">IF(BQ23,(BY23*BP23+BX23*BC23)/BQ23,0)</f>
        <v>#VALUE!</v>
      </c>
      <c r="CA23" s="1531" t="e">
        <f aca="false">IF(BS23,IF(OPriceCurve,IF(OBuySell=OCallPut,I23/(1-AY23),K23/(1-AY23)),J23/(1-AY23))*BL23,0)</f>
        <v>#VALUE!</v>
      </c>
      <c r="CB23" s="1316" t="e">
        <f aca="false">IF(BS23,IF(OPriceCurve,IF(OBuySell=OCallPut,L23/(1-AY23),N23/(1-AY23)),M23/(1-AY23))*BM23,0)</f>
        <v>#VALUE!</v>
      </c>
      <c r="CC23" s="1316" t="e">
        <f aca="false">IF(BS23,IF(OPriceCurve,IF(OBuySell=OCallPut,O23/(1-AY23),Q23/(1-AY23)),P23/(1-AY23))*BN23,0)</f>
        <v>#VALUE!</v>
      </c>
      <c r="CD23" s="1316" t="e">
        <f aca="false">IF(BS23,IF(OPriceCurve,IF(OBuySell=OCallPut,R23/(1-AY23),T23/(1-AY23)),S23/(1-AY23))*BO23,0)</f>
        <v>#VALUE!</v>
      </c>
      <c r="CE23" s="1316" t="e">
        <f aca="false">IF(BR23,(BU23*BH23+BV23*BI23+BW23*BJ23)/BR23,0)</f>
        <v>#VALUE!</v>
      </c>
      <c r="CF23" s="1532" t="e">
        <f aca="false">IF(BS23,(CE23*BR23+CD23*BK23)/BS23,0)</f>
        <v>#VALUE!</v>
      </c>
      <c r="CG23" s="1586" t="e">
        <f aca="false">IF(OR(BQ23,BS23),IF(OVolType&lt;&gt;2,SQRT(IF(OVolOverMonthlyPeak,OVolOverMonthlyPeak,IF(OVolCurve,IF(OBuySell,U23,W23),V23))^2*(1-15/365.25/BT23)+IF(OVolOverDailyPeak,OVolOverDailyPeak,IF(OVolCurve,IF(OBuySell,AG23,AI23),AH23))^2*15/365.25/BT23),IF(OVolOverMonthlyPeak,OVolOverMonthlyPeak,IF(OVolCurve,IF(OBuySell,U23,W23),V23))),"")</f>
        <v>#VALUE!</v>
      </c>
      <c r="CH23" s="1587" t="e">
        <f aca="false">IF(OR(BQ23,BS23),IF(OVolType&lt;&gt;2,SQRT(IF(OVolOverMonthlyPeak,OVolOverMonthlyPeak,IF(OVolCurve,IF(OBuySell,X23,Z23),Y23))^2*(1-15/365.25/BT23)+IF(OVolOverDailyPeak,OVolOverDailyPeak,IF(OVolCurve,IF(OBuySell,AJ23,AL23),AK23))^2*15/365.25/BT23),IF(OVolOverMonthlyPeak,OVolOverMonthlyPeak,IF(OVolCurve,IF(OBuySell,X23,Z23),Y23))),"")</f>
        <v>#VALUE!</v>
      </c>
      <c r="CI23" s="1587" t="e">
        <f aca="false">IF(OR(BQ23,BS23),IF(OVolType&lt;&gt;2,SQRT(IF(OVolOverMonthlyPeak,OVolOverMonthlyPeak,IF(OVolCurve,IF(OBuySell,AA23,AC23),AB23))^2*(1-15/365.25/BT23)+IF(OVolOverDailyPeak,OVolOverDailyPeak,IF(OVolCurve,IF(OBuySell,AM23,AO23),AN23))^2*15/365.25/BT23),IF(OVolOverMonthlyPeak,OVolOverMonthlyPeak,IF(OVolCurve,IF(OBuySell,AA23,AC23),AB23))),"")</f>
        <v>#VALUE!</v>
      </c>
      <c r="CJ23" s="1587" t="e">
        <f aca="false">IF(BQ23,IF(BP23,SQRT(LN(1+((BU23*AZ23)^2*(EXP(CG23^2*BT23)-1)+(BV23*BA23)^2*(EXP(CH23^2*BT23)-1)+(BW23*BB23)^2*(EXP(CI23^2*BT23)-1)+2*BU23*AZ23*BV23*BA23*(EXP(CG23*CH23*BT23)-1)+2*BV23*BA23*BW23*BB23*(EXP(CH23*CI23*BT23)-1)+2*BW23*BB23*BU23*AZ23*(EXP(CI23*CG23*BT23)-1))/(BY23*BP23)^2)/BT23),0),"")</f>
        <v>#VALUE!</v>
      </c>
      <c r="CK23" s="1587" t="e">
        <f aca="false">IF(BS23,IF(BR23,SQRT(LN(1+((CA23*BH23)^2*(EXP(CG23^2*BT23)-1)+(CB23*BI23)^2*(EXP(CH23^2*BT23)-1)+(CC23*BJ23)^2*(EXP(CI23^2*BT23)-1)+2*CA23*BH23*CB23*BI23*(EXP(CG23*CH23*BT23)-1)+2*CB23*BI23*CC23*BJ23*(EXP(CH23*CI23*BT23)-1)+2*CC23*BJ23*CA23*BH23*(EXP(CI23*CG23*BT23)-1))/(CE23*BR23)^2)/BT23),0),"")</f>
        <v>#VALUE!</v>
      </c>
      <c r="CL23" s="1587" t="e">
        <f aca="false">IF(OR(BQ23,BS23),IF(OVolType&lt;&gt;2,SQRT(IF(OVolOverMonthlyOffPeak,OVolOverMonthlyOffPeak,IF(OVolCurve,IF(OBuySell,AD23,AF23),AE23))^2*(1-15/365.25/BT23)+IF(OVolOverDailyOffPeak,OVolOverDailyOffPeak,IF(OVolCurve,IF(OBuySell,AP23,AR23),AQ23))^2*15/365.25/BT23),IF(OVolOverMonthlyOffPeak,OVolOverMonthlyOffPeak,IF(OVolCurve,IF(OBuySell,AD23,AF23),AE23))),"")</f>
        <v>#VALUE!</v>
      </c>
      <c r="CM23" s="1587" t="e">
        <f aca="false">IF(BQ23,SQRT(LN(1+((BY23*BP23)^2*(EXP(CJ23^2*BT23)-1)+(BX23*BC23)^2*(EXP(CL23^2*BT23)-1)+2*BY23*BP23*BX23*BC23*(EXP(AS23*CJ23*CL23*BT23)-1))/(BY23*BP23+BX23*BC23)^2)/BT23),"")</f>
        <v>#VALUE!</v>
      </c>
      <c r="CN23" s="1588" t="e">
        <f aca="false">IF(BS23,SQRT(LN(1+((CE23*BR23)^2*(EXP(CK23^2*BT23)-1)+(CD23*BK23)^2*(EXP(CL23^2*BT23)-1)+2*CE23*BR23*CD23*BK23*(EXP(AS23*CK23*CL23*BT23)-1))/(CE23*BR23+CD23*BK23)^2)/BT23),"")</f>
        <v>#VALUE!</v>
      </c>
      <c r="CO23" s="1531" t="e">
        <f aca="false">IF(OR(BQ23,BS23),VLOOKUP(A23,GasTable,13)*HeatRatePeak*VLOOKUP($B23,MAIN!$AB$59:$AM$80,$C23+1)/1000,0)</f>
        <v>#VALUE!</v>
      </c>
      <c r="CP23" s="1316" t="e">
        <f aca="false">IF(OR(BQ23,BS23),VLOOKUP(A23,GasTable,13)*HeatRatePeak*(1+VLOOKUP($B23,HeatRateDegradation,$C23+1))/1000,0)</f>
        <v>#VALUE!</v>
      </c>
      <c r="CQ23" s="1316" t="e">
        <f aca="false">IF(OR(BQ23,BS23),VLOOKUP(A23,GasTable,13)*IF(EV23,HeatRatePeak,HeatRateOffPeak)*(1+VLOOKUP($B23,HeatRateDegradation,$C23+1))/1000,0)</f>
        <v>#VALUE!</v>
      </c>
      <c r="CR23" s="1316" t="e">
        <f aca="false">IF(OR(BQ23,BS23),VLOOKUP(A23,GasTable,13)*IF(EW23,HeatRatePeak,HeatRateOffPeak)*(1+VLOOKUP($B23,HeatRateDegradation,$C23+1))/1000,0)</f>
        <v>#VALUE!</v>
      </c>
      <c r="CS23" s="1589" t="e">
        <f aca="false">IF(BQ23,(CO23*AZ23+CP23*BA23+CQ23*BB23+CR23*BC23)/BQ23,0)</f>
        <v>#VALUE!</v>
      </c>
      <c r="CT23" s="1316" t="e">
        <f aca="false">IF(BS23,CO23,0)</f>
        <v>#VALUE!</v>
      </c>
      <c r="CU23" s="1590" t="e">
        <f aca="false">IF(OR(BQ23,BS23),VLOOKUP(A23,GasTable,14),"")</f>
        <v>#VALUE!</v>
      </c>
      <c r="CV23" s="1568" t="e">
        <f aca="false">IF(OR(BQ23,BS23),IF(CorrPowerGasOverFlag,INDEX(CorrPowerGasOver,C23),CorrPowerGas),"")</f>
        <v>#VALUE!</v>
      </c>
      <c r="CW23" s="1316" t="e">
        <f aca="false">IF(OR($BQ23,$BS23),SpreadOptPowerMargin,0)*((1+Assumptions!$C$26)^($B23-YEAR(Assumptions!$C$17)))</f>
        <v>#VALUE!</v>
      </c>
      <c r="CX23" s="1316" t="e">
        <f aca="false">IF(OR($BQ23,$BS23),SpreadOptPowerMargin,0)*((1+Assumptions!$C$26)^($B23-YEAR(Assumptions!$C$17)))</f>
        <v>#VALUE!</v>
      </c>
      <c r="CY23" s="1316" t="e">
        <f aca="false">IF(OR($BQ23,$BS23),SpreadOptPowerMargin,0)*((1+Assumptions!$C$26)^($B23-YEAR(Assumptions!$C$17)))</f>
        <v>#VALUE!</v>
      </c>
      <c r="CZ23" s="1316" t="e">
        <f aca="false">IF(OR($BQ23,$BS23),SpreadOptPowerMargin,0)*((1+Assumptions!$C$26)^($B23-YEAR(Assumptions!$C$17)))</f>
        <v>#VALUE!</v>
      </c>
      <c r="DA23" s="1591" t="e">
        <f aca="false">IF(OR(BQ23,BS23),(CW23*(AZ23+BH23)+CX23*(BA23+BI23)+CY23*(BB23+BJ23)+CZ23*(BC23+BK23))/(BQ23+BS23),0)</f>
        <v>#VALUE!</v>
      </c>
      <c r="DB23" s="1592" t="e">
        <f aca="false">IF(OR(BQ23,BS23),CG23+IF(OVolSmile,VLOOKUP(MAX(-5,CO23+CW23-BU23),IF(OVolSmile=1,VolSmileBook,VolSmileModel),2),0),"")</f>
        <v>#VALUE!</v>
      </c>
      <c r="DC23" s="1592" t="e">
        <f aca="false">IF(OR(BQ23,BS23),CH23+IF(OVolSmile,VLOOKUP(MAX(-5,CP23+CW23-BV23),IF(OVolSmile=1,VolSmileBook,VolSmileModel),2),0),"")</f>
        <v>#VALUE!</v>
      </c>
      <c r="DD23" s="1592" t="e">
        <f aca="false">IF(OR(BQ23,BS23),CI23+IF(OVolSmile,VLOOKUP(MAX(-5,CQ23+CW23-BW23),IF(OVolSmile=1,VolSmileBook,VolSmileModel),2),0),"")</f>
        <v>#VALUE!</v>
      </c>
      <c r="DE23" s="1592" t="e">
        <f aca="false">IF(OR(BQ23,BS23),CL23+IF(OVolSmile,VLOOKUP(MAX(-5,CR23+CZ23-BX23),IF(OVolSmile=1,VolSmileBook,VolSmileModel),2),0),"")</f>
        <v>#VALUE!</v>
      </c>
      <c r="DF23" s="1592" t="e">
        <f aca="false">IF(BQ23,CM23+IF(OVolSmile,VLOOKUP(MAX(-5,CS23+DA23-BZ23),IF(OVolSmile=1,VolSmileBook,VolSmileModel),2),0),"")</f>
        <v>#VALUE!</v>
      </c>
      <c r="DG23" s="1593" t="e">
        <f aca="false">IF(BS23,CN23+IF(OVolSmile,VLOOKUP(MAX(-5,CT23+DA23-CF23),IF(OVolSmile=1,VolSmileBook,VolSmileModel),2),0),"")</f>
        <v>#VALUE!</v>
      </c>
      <c r="DH23" s="1316" t="e">
        <f aca="false">IF(AND(BU23&gt;0,CO23&gt;0,DB23&gt;0,CU23&gt;0),newSPRDOPT(BU23,CO23,CW23,0,DB23,CU23,CV23,BT23*365.25,OCallPut,0),0)</f>
        <v>#VALUE!</v>
      </c>
      <c r="DI23" s="1316" t="e">
        <f aca="false">IF(AND(BV23&gt;0,CP23&gt;0,DC23&gt;0,CU23&gt;0),newSPRDOPT(BV23,CP23,CX23,0,DC23,CU23,CV23,BT23*365.25,OCallPut,0),0)</f>
        <v>#VALUE!</v>
      </c>
      <c r="DJ23" s="1316" t="e">
        <f aca="false">IF(AND(BW23&gt;0,CQ23&gt;0,DD23&gt;0,CU23&gt;0),newSPRDOPT(BW23,CQ23,CY23,0,DD23,CU23,CV23,BT23*365.25,OCallPut,0),0)</f>
        <v>#VALUE!</v>
      </c>
      <c r="DK23" s="1316" t="e">
        <f aca="false">IF(AND(BX23&gt;0,CR23&gt;0,DE23&gt;0,CU23&gt;0),newSPRDOPT(BX23,CR23,CZ23,0,DE23,CU23,CV23,BT23*365.25,OCallPut,0),0)</f>
        <v>#VALUE!</v>
      </c>
      <c r="DL23" s="1316" t="e">
        <f aca="false">IF(OVolType,IF(AND(BZ23&gt;0,CS23&gt;0,DF23&gt;0,CU23&gt;0),newSPRDOPT(BZ23,CS23,DA23,0,DF23,CU23,CV23,BT23*365.25,OCallPut,0),0),IF(BQ23,(DH23*AZ23+DI23*BA23+DJ23*BB23+DK23*BC23)/BQ23,0))</f>
        <v>#VALUE!</v>
      </c>
      <c r="DM23" s="1316"/>
      <c r="DN23" s="1316"/>
      <c r="DO23" s="1316"/>
      <c r="DP23" s="1316"/>
      <c r="DQ23" s="1316"/>
      <c r="DR23" s="1316"/>
      <c r="DS23" s="1316"/>
      <c r="DT23" s="1316"/>
      <c r="DU23" s="1316"/>
      <c r="DV23" s="1316"/>
      <c r="DW23" s="1594" t="e">
        <f aca="false">IF(AND(BW23&gt;0,CT23&gt;0,DD23&gt;0,CU23&gt;0),newSPRDOPT(BW23,CT23,CY23,0,DD23,CU23,CV23,BT23*365.25,OCallPut,0),0)</f>
        <v>#VALUE!</v>
      </c>
      <c r="DX23" s="1316" t="e">
        <f aca="false">IF(AND(BX23&gt;0,CT23&gt;0,DE23&gt;0,CU23&gt;0),newSPRDOPT(BX23,CT23,CZ23,0,DE23,CU23,CV23,BT23*365.25,OCallPut,0),0)</f>
        <v>#VALUE!</v>
      </c>
      <c r="DY23" s="1591" t="e">
        <f aca="false">IF(BS23,(DH23*BH23+DI23*BI23+DW23*BJ23+DX23*BK23)/BS23,0)</f>
        <v>#VALUE!</v>
      </c>
      <c r="DZ23" s="1551" t="e">
        <f aca="false">DH23*AZ23</f>
        <v>#VALUE!</v>
      </c>
      <c r="EA23" s="1551" t="e">
        <f aca="false">DI23*BA23</f>
        <v>#VALUE!</v>
      </c>
      <c r="EB23" s="1551" t="e">
        <f aca="false">DJ23*BB23</f>
        <v>#VALUE!</v>
      </c>
      <c r="EC23" s="1551" t="e">
        <f aca="false">DK23*BC23</f>
        <v>#VALUE!</v>
      </c>
      <c r="ED23" s="1551" t="e">
        <f aca="false">DL23*BQ23</f>
        <v>#VALUE!</v>
      </c>
      <c r="EE23" s="1595" t="e">
        <f aca="false">IF(BQ23,IF(OCallPut,IF(BU23&gt;(CO23+CW23),BU23-(CO23+CW23),0),IF((CO23+CW23)&gt;BU23,(CO23+CW23)-BU23,0))*AZ23,0)</f>
        <v>#VALUE!</v>
      </c>
      <c r="EF23" s="1596" t="e">
        <f aca="false">IF(BQ23,IF(OCallPut,IF(BV23&gt;(CP23+CX23),BV23-(CP23+CX23),0),IF((CP23+CX23)&gt;BV23,(CP23+CX23)-BV23,0))*BA23,0)</f>
        <v>#VALUE!</v>
      </c>
      <c r="EG23" s="1596" t="e">
        <f aca="false">IF(BQ23,IF(OCallPut,IF(BW23&gt;(CQ23+CY23),BW23-(CQ23+CY23),0),IF((CQ23+CY23)&gt;BW23,(CQ23+CY23)-BW23,0))*BB23,0)</f>
        <v>#VALUE!</v>
      </c>
      <c r="EH23" s="1596" t="e">
        <f aca="false">IF(BQ23,IF(OCallPut,IF(BX23&gt;(CR23+CZ23),BX23-(CR23+CZ23),0),IF((CR23+CZ23)&gt;BX23,(CR23+CZ23)-BX23,0))*BC23,0)</f>
        <v>#VALUE!</v>
      </c>
      <c r="EI23" s="1597" t="e">
        <f aca="false">IF(BQ23,IF(OVolType,IF(OCallPut,IF(BZ23&gt;(CS23+DA23),BZ23-(CS23+DA23),0),IF((CS23+DA23)&gt;BZ23,(CS23+DA23)-BZ23,0))*BQ23,SUM(EE23:EH23)),0)</f>
        <v>#VALUE!</v>
      </c>
      <c r="EJ23" s="1595" t="e">
        <f aca="false">DZ23-EE23</f>
        <v>#VALUE!</v>
      </c>
      <c r="EK23" s="1596" t="e">
        <f aca="false">EA23-EF23</f>
        <v>#VALUE!</v>
      </c>
      <c r="EL23" s="1596" t="e">
        <f aca="false">EB23-EG23</f>
        <v>#VALUE!</v>
      </c>
      <c r="EM23" s="1596" t="e">
        <f aca="false">EC23-EH23</f>
        <v>#VALUE!</v>
      </c>
      <c r="EN23" s="1597" t="e">
        <f aca="false">ED23-EI23</f>
        <v>#VALUE!</v>
      </c>
      <c r="EO23" s="1551" t="e">
        <f aca="false">DH23*BH23</f>
        <v>#VALUE!</v>
      </c>
      <c r="EP23" s="1551" t="e">
        <f aca="false">DI23*BI23</f>
        <v>#VALUE!</v>
      </c>
      <c r="EQ23" s="1551" t="e">
        <f aca="false">DW23*BJ23</f>
        <v>#VALUE!</v>
      </c>
      <c r="ER23" s="1551" t="e">
        <f aca="false">DX23*BK23</f>
        <v>#VALUE!</v>
      </c>
      <c r="ES23" s="1551" t="e">
        <f aca="false">DY23*BS23</f>
        <v>#VALUE!</v>
      </c>
      <c r="ET23" s="1566" t="e">
        <f aca="false">IF(BS23,IF(OCallPut,IF(CA23&gt;(CT23+CW23),CA23-(CT23+CW23),0),IF((CT23+CW23)&gt;CA23,(CT23+CW23)-CA23,0))*BH23,0)</f>
        <v>#VALUE!</v>
      </c>
      <c r="EU23" s="1551" t="e">
        <f aca="false">IF(BS23,IF(OCallPut,IF(CB23&gt;(CT23+CX23),CB23-(CT23+CX23),0),IF((CT23+CX23)&gt;CB23,(CT23+CX23)-CB23,0))*BI23,0)</f>
        <v>#VALUE!</v>
      </c>
      <c r="EV23" s="1551" t="e">
        <f aca="false">IF(BS23,IF(OCallPut,IF(CC23&gt;(CT23+CY23),CC23-(CT23+CY23),0),IF((CT23+CY23)&gt;CC23,(CT23+CY23)-CC23,0))*BJ23,0)</f>
        <v>#VALUE!</v>
      </c>
      <c r="EW23" s="1551" t="e">
        <f aca="false">IF(BS23,IF(OCallPut,IF(CD23&gt;(CT23+CZ23),CD23-(CT23+CZ23),0),IF((CT23+CZ23)&gt;CD23,(CT23+CZ23)-CD23,0))*BK23,0)</f>
        <v>#VALUE!</v>
      </c>
      <c r="EX23" s="1558" t="e">
        <f aca="false">IF(BS23,SUM(ET23:EW23),0)</f>
        <v>#VALUE!</v>
      </c>
      <c r="EY23" s="1551" t="e">
        <f aca="false">EO23-ET23</f>
        <v>#VALUE!</v>
      </c>
      <c r="EZ23" s="1551" t="e">
        <f aca="false">EP23-EU23</f>
        <v>#VALUE!</v>
      </c>
      <c r="FA23" s="1551" t="e">
        <f aca="false">EQ23-EV23</f>
        <v>#VALUE!</v>
      </c>
      <c r="FB23" s="1551" t="e">
        <f aca="false">ER23-EW23</f>
        <v>#VALUE!</v>
      </c>
      <c r="FC23" s="1551" t="e">
        <f aca="false">ES23-EX23</f>
        <v>#VALUE!</v>
      </c>
      <c r="FD23" s="1525" t="n">
        <f aca="false">IF(AX23,IF(VLOOKUP(C23,MAIN!$L$17:$M$28,2)="Yes",VLOOKUP(CALC!B23,MAIN!$H$17:$I$20,2),0),0)</f>
        <v>0</v>
      </c>
      <c r="FE23" s="1552" t="n">
        <f aca="false">$FD23*16*AT23*(1-$AY23)</f>
        <v>0</v>
      </c>
      <c r="FF23" s="1553" t="n">
        <f aca="false">$FD23*16*AU23*(1-$AY23)</f>
        <v>0</v>
      </c>
      <c r="FG23" s="1553" t="n">
        <f aca="false">$FD23*16*(AV23+AW23)*(1-$AY23)</f>
        <v>0</v>
      </c>
      <c r="FH23" s="1554" t="n">
        <f aca="false">$FD23*8*AX23*(1-$AY23)</f>
        <v>0</v>
      </c>
      <c r="FI23" s="1555" t="n">
        <f aca="false">IF(AX23,VLOOKUP(CALC!B23,MAIN!$H$17:$K$20,4),0)</f>
        <v>0</v>
      </c>
      <c r="FJ23" s="1553" t="n">
        <f aca="false">SUM(FE23:FH23)</f>
        <v>0</v>
      </c>
      <c r="FK23" s="1556" t="n">
        <f aca="false">FI23*FJ23</f>
        <v>0</v>
      </c>
      <c r="FL23" s="1551" t="e">
        <f aca="false">IF($EI23&gt;0,MIN(FE23,AZ23*(1+VLOOKUP($C23,WeatherCapacityAdjustment,2))),0)</f>
        <v>#VALUE!</v>
      </c>
      <c r="FM23" s="1551" t="e">
        <f aca="false">IF($EI23&gt;0,MIN(FF23,BA23*(1+VLOOKUP($C23,WeatherCapacityAdjustment,2))),0)</f>
        <v>#VALUE!</v>
      </c>
      <c r="FN23" s="1551" t="e">
        <f aca="false">IF($EI23&gt;0,MIN(FG23,BB23*(1+VLOOKUP($C23,WeatherCapacityAdjustment,2))),0)</f>
        <v>#VALUE!</v>
      </c>
      <c r="FO23" s="1564" t="e">
        <f aca="false">IF($EI23&gt;0,MIN(FH23,BC23*(1+VLOOKUP($C23,WeatherCapacityAdjustment,3))),0)</f>
        <v>#VALUE!</v>
      </c>
      <c r="FP23" s="1551" t="e">
        <f aca="false">IF(ET23&gt;0,MIN(FE23-FL23,BH23*(1+VLOOKUP($C23,WeatherCapacityAdjustment,2))),0)</f>
        <v>#VALUE!</v>
      </c>
      <c r="FQ23" s="1551" t="e">
        <f aca="false">IF(EU23&gt;0,MIN(FF23-FM23,BI23*(1+VLOOKUP($C23,WeatherCapacityAdjustment,2))),0)</f>
        <v>#VALUE!</v>
      </c>
      <c r="FR23" s="1551" t="e">
        <f aca="false">IF(EV23&gt;0,MIN(FG23-FN23,BJ23*(1+VLOOKUP($C23,WeatherCapacityAdjustment,2))),0)</f>
        <v>#VALUE!</v>
      </c>
      <c r="FS23" s="1558" t="e">
        <f aca="false">IF(EW23&gt;0,MIN(FH23-FO23,BK23*(1+VLOOKUP($C23,WeatherCapacityAdjustment,3))),0)</f>
        <v>#VALUE!</v>
      </c>
      <c r="FT23" s="1566" t="n">
        <f aca="false">IF(AND(Assumptions!$H$71="Yes",A23&gt;=Assumptions!$H$72,A23&lt;=Assumptions!$H$73),0,IF(AND($A23&gt;=Assumptions!$C$17,$A23&lt;=Assumptions!$C$18),MAX(AZ23*(1+VLOOKUP($C23,WeatherCapacityAdjustment,2))-FL23,0),0))</f>
        <v>0</v>
      </c>
      <c r="FU23" s="1551" t="n">
        <f aca="false">IF(AND(Assumptions!$H$71="Yes",A23&gt;=Assumptions!$H$72,A23&lt;=Assumptions!$H$73),0,IF(AND($A23&gt;=Assumptions!$C$17,$A23&lt;=Assumptions!$C$18),MAX(BA23*(1+VLOOKUP($C23,WeatherCapacityAdjustment,2))-FM23,0),0))</f>
        <v>0</v>
      </c>
      <c r="FV23" s="1551" t="n">
        <f aca="false">IF(AND(Assumptions!$H$71="Yes",A23&gt;=Assumptions!$H$72,A23&lt;=Assumptions!$H$73),0,IF(AND($A23&gt;=Assumptions!$C$17,$A23&lt;=Assumptions!$C$18),MAX(BB23*(1+VLOOKUP($C23,WeatherCapacityAdjustment,2))-FN23,0),0))</f>
        <v>0</v>
      </c>
      <c r="FW23" s="1564" t="n">
        <f aca="false">IF(AND(Assumptions!$H$71="Yes",A23&gt;=Assumptions!$H$72,A23&lt;=Assumptions!$H$73),0,IF(AND($A23&gt;=Assumptions!$C$17,$A23&lt;=Assumptions!$C$18),MAX(BC23*(1+VLOOKUP($C23,WeatherCapacityAdjustment,3))-FO23,0),0))</f>
        <v>0</v>
      </c>
      <c r="FX23" s="1569" t="e">
        <f aca="false">IF(AND(Assumptions!$H$71="Yes",A23&gt;=Assumptions!$H$72,A23&lt;=Assumptions!$H$73),0,IF(ET23&gt;0,MAX(BH23*(1+VLOOKUP($C23,WeatherCapacityAdjustment,2))-FP23,0),0))</f>
        <v>#VALUE!</v>
      </c>
      <c r="FY23" s="1551" t="e">
        <f aca="false">IF(AND(Assumptions!$H$71="Yes",A23&gt;=Assumptions!$H$72,A23&lt;=Assumptions!$H$73),0,IF(EU23&gt;0,MAX(BI23*(1+VLOOKUP($C23,WeatherCapacityAdjustment,3))-FQ23,0),0))</f>
        <v>#VALUE!</v>
      </c>
      <c r="FZ23" s="1551" t="e">
        <f aca="false">IF(AND(Assumptions!$H$71="Yes",A23&gt;=Assumptions!$H$72,A23&lt;=Assumptions!$H$73),0,IF(EV23&gt;0,MAX(BJ23*(1+VLOOKUP($C23,WeatherCapacityAdjustment,2))-FR23,0),0))</f>
        <v>#VALUE!</v>
      </c>
      <c r="GA23" s="1564" t="e">
        <f aca="false">IF(AND(Assumptions!$H$71="Yes",A23&gt;=Assumptions!$H$72,A23&lt;=Assumptions!$H$73),0,IF(EW23&gt;0,MAX(BK23*(1+VLOOKUP($C23,WeatherCapacityAdjustment,2))-FS23,0),0))</f>
        <v>#VALUE!</v>
      </c>
      <c r="GB23" s="1551" t="e">
        <f aca="false">SUM(FT23:GA23)</f>
        <v>#VALUE!</v>
      </c>
      <c r="GC23" s="1563" t="e">
        <f aca="false">+IF(SUM(FT23:GA23)=0,0,(SUMPRODUCT(BU23:BX23,FT23:FW23)+SUMPRODUCT(CA23:CD23,FX23:GA23))/SUM(FT23:GA23))</f>
        <v>#VALUE!</v>
      </c>
      <c r="GD23" s="1551" t="e">
        <f aca="false">(FT23*BU23+FX23*CA23+FU23*BV23+FY23*CB23+FV23*BW23+FZ23*CC23+FW23*BX23+GA23*CD23)</f>
        <v>#VALUE!</v>
      </c>
      <c r="GE23" s="1561" t="e">
        <f aca="false">+IF(BQ23,((FL23+FM23+FT23+FU23)*HeatRatePeak/1000*(1+VLOOKUP($C23,WeatherHeatRateAdjustment,2))+(FN23+FV23)*IF(EV23&gt;0,HeatRatePeak,HeatRateOffPeak)/1000*(1+VLOOKUP($C23,WeatherHeatRateAdjustment,2))+(FO23+FW23)*IF(EW23&gt;0,HeatRatePeak,HeatRateOffPeak)/1000*(1+VLOOKUP($C23,WeatherHeatRateAdjustment,3)))*(1+VLOOKUP($B23,HeatRateDegradation,$C23+1)),0)</f>
        <v>#VALUE!</v>
      </c>
      <c r="GF23" s="1562" t="e">
        <f aca="false">IF(BQ23,((FP23+FQ23+FR23+FX23+FY23+FZ23)*HeatRatePeak/1000*(1+VLOOKUP($C23,WeatherHeatRateAdjustment,2))+(FS23+GA23)*HeatRatePeak/1000*(1+VLOOKUP($C23,WeatherHeatRateAdjustment,3)))*(1+VLOOKUP($B23,HeatRateDegradation,$C23+1)),0)</f>
        <v>#VALUE!</v>
      </c>
      <c r="GG23" s="1563" t="e">
        <f aca="false">IF(BQ23,VLOOKUP(A23,GasTable,13),0)</f>
        <v>#VALUE!</v>
      </c>
      <c r="GH23" s="1564" t="e">
        <f aca="false">(GE23+GF23)*GG23</f>
        <v>#VALUE!</v>
      </c>
      <c r="GI23" s="1569" t="e">
        <f aca="false">GB23</f>
        <v>#VALUE!</v>
      </c>
      <c r="GJ23" s="1598" t="e">
        <f aca="false">+DA23</f>
        <v>#VALUE!</v>
      </c>
      <c r="GK23" s="1558" t="e">
        <f aca="false">+GI23*GJ23</f>
        <v>#VALUE!</v>
      </c>
      <c r="GL23" s="1566" t="e">
        <f aca="false">MAX(FE23-FL23-FP23,0)</f>
        <v>#VALUE!</v>
      </c>
      <c r="GM23" s="1551" t="e">
        <f aca="false">MAX(FF23-FM23-FQ23,0)</f>
        <v>#VALUE!</v>
      </c>
      <c r="GN23" s="1551" t="e">
        <f aca="false">MAX(FG23-FN23-FR23,0)</f>
        <v>#VALUE!</v>
      </c>
      <c r="GO23" s="1564" t="e">
        <f aca="false">MAX(FH23-FO23-FS23,0)</f>
        <v>#VALUE!</v>
      </c>
      <c r="GP23" s="1551" t="e">
        <f aca="false">SUM(GL23:GO23)</f>
        <v>#VALUE!</v>
      </c>
      <c r="GQ23" s="1563" t="e">
        <f aca="false">IF(SUM(GL23:GO23)=0,0,((GL23*BU23+GM23*BV23+GN23*BW23+GO23*BX23)/SUM(GL23:GO23)))</f>
        <v>#VALUE!</v>
      </c>
      <c r="GR23" s="1558" t="e">
        <f aca="false">(GL23*BU23+GM23*BV23+GN23*BW23+GO23*BX23)</f>
        <v>#VALUE!</v>
      </c>
      <c r="GS23" s="1566" t="n">
        <f aca="false">IF($A23&gt;=BegDate,Assumptions!$C$56*24*($A24-$A23)*(1-VLOOKUP($B23,MAIN!$AA$7:$AM$28,$C23+1))*(1-VLOOKUP($B23,MAIN!$AA$33:$AM$54,$C23+1)),0)*80/168</f>
        <v>0</v>
      </c>
      <c r="GT23" s="286" t="n">
        <f aca="false">J23</f>
        <v>33.6002</v>
      </c>
      <c r="GU23" s="286" t="n">
        <f aca="false">IF($A23&gt;=BegDate,VLOOKUP($A23,GasTable,13)+Assumptions!$C$58,0)</f>
        <v>0</v>
      </c>
      <c r="GV23" s="286" t="n">
        <f aca="false">GU23*Assumptions!$C$57/1000</f>
        <v>0</v>
      </c>
      <c r="GW23" s="1558" t="n">
        <f aca="false">IF(Assumptions!$C$60="Hourly",MAX(0,GS23*(GT23-GV23)),GS23*(GT23-GV23))</f>
        <v>0</v>
      </c>
      <c r="GX23" s="1566" t="n">
        <f aca="false">IF($A23&gt;=BegDate,Assumptions!$C$56*24*($A24-$A23)*(1-VLOOKUP($B23,MAIN!$AA$7:$AM$28,$C23+1))*(1-VLOOKUP($B23,MAIN!$AA$33:$AM$54,$C23+1)),0)*16/168</f>
        <v>0</v>
      </c>
      <c r="GY23" s="286" t="n">
        <f aca="false">M23</f>
        <v>33.6002</v>
      </c>
      <c r="GZ23" s="286" t="n">
        <f aca="false">IF($A23&gt;=BegDate,VLOOKUP($A23,GasTable,13)+Assumptions!$C$58,0)</f>
        <v>0</v>
      </c>
      <c r="HA23" s="286" t="n">
        <f aca="false">GZ23*Assumptions!$C$57/1000</f>
        <v>0</v>
      </c>
      <c r="HB23" s="1558" t="n">
        <f aca="false">IF(Assumptions!$C$60="Hourly",MAX(0,GX23*(GY23-HA23)),GX23*(GY23-HA23))</f>
        <v>0</v>
      </c>
      <c r="HC23" s="1566" t="n">
        <f aca="false">IF($A23&gt;=BegDate,Assumptions!$C$56*24*($A24-$A23)*(1-VLOOKUP($B23,MAIN!$AA$7:$AM$28,$C23+1))*(1-VLOOKUP($B23,MAIN!$AA$33:$AM$54,$C23+1)),0)*16/168</f>
        <v>0</v>
      </c>
      <c r="HD23" s="286" t="n">
        <f aca="false">P23</f>
        <v>24.5106</v>
      </c>
      <c r="HE23" s="286" t="n">
        <f aca="false">IF($A23&gt;=BegDate,VLOOKUP($A23,GasTable,13)+Assumptions!$C$58,0)</f>
        <v>0</v>
      </c>
      <c r="HF23" s="286" t="n">
        <f aca="false">HE23*Assumptions!$C$57/1000</f>
        <v>0</v>
      </c>
      <c r="HG23" s="1558" t="n">
        <f aca="false">IF(Assumptions!$C$60="Hourly",MAX(0,HC23*(HD23-HF23)),HC23*(HD23-HF23))</f>
        <v>0</v>
      </c>
      <c r="HH23" s="1566" t="n">
        <f aca="false">IF($A23&gt;=BegDate,Assumptions!$C$56*24*($A24-$A23)*(1-VLOOKUP($B23,MAIN!$AA$7:$AM$28,$C23+1))*(1-VLOOKUP($B23,MAIN!$AA$33:$AM$54,$C23+1)),0)*56/168</f>
        <v>0</v>
      </c>
      <c r="HI23" s="286" t="n">
        <f aca="false">S23</f>
        <v>24.5106</v>
      </c>
      <c r="HJ23" s="286" t="n">
        <f aca="false">IF($A23&gt;=BegDate,VLOOKUP($A23,GasTable,13)+Assumptions!$C$58,0)</f>
        <v>0</v>
      </c>
      <c r="HK23" s="286" t="n">
        <f aca="false">HJ23*Assumptions!$C$57/1000</f>
        <v>0</v>
      </c>
      <c r="HL23" s="1558" t="n">
        <f aca="false">IF(Assumptions!$C$60="Hourly",MAX(0,HH23*(HI23-HK23)),HH23*(HI23-HK23))</f>
        <v>0</v>
      </c>
      <c r="HM23" s="1566" t="n">
        <f aca="false">IF(AND(Assumptions!$H$71="Yes",A23&gt;=Assumptions!$H$72,A23&lt;=Assumptions!$H$73),Assumptions!$H$74*Assumptions!$C$9*1000,0)</f>
        <v>0</v>
      </c>
      <c r="HN23" s="1558"/>
      <c r="HO23" s="1567" t="n">
        <f aca="false">HO22+1</f>
        <v>2009</v>
      </c>
      <c r="HP23" s="1566" t="e">
        <f aca="false">SUMIF($B$17:$B$292,HO23,$FJ$17:$FJ$292)</f>
        <v>#VALUE!</v>
      </c>
      <c r="HQ23" s="1568" t="e">
        <f aca="false">IF(HR23=0,0,HR23/HP23)</f>
        <v>#VALUE!</v>
      </c>
      <c r="HR23" s="1564" t="e">
        <f aca="false">SUMIF($B$17:$B$292,HO23,$FK$17:$FK$292)</f>
        <v>#VALUE!</v>
      </c>
      <c r="HS23" s="1569" t="e">
        <f aca="false">SUMIF($B$17:$B$292,HO23,$GB$17:$GB$292)</f>
        <v>#VALUE!</v>
      </c>
      <c r="HT23" s="1563" t="e">
        <f aca="false">+IF(HS23&gt;0,HU23/HS23,0)</f>
        <v>#VALUE!</v>
      </c>
      <c r="HU23" s="1551" t="e">
        <f aca="false">SUMIF($B$17:$B$292,HO23,$GD$17:$GD$292)</f>
        <v>#VALUE!</v>
      </c>
      <c r="HV23" s="1569" t="e">
        <f aca="false">HR23+HU23</f>
        <v>#VALUE!</v>
      </c>
      <c r="HW23" s="1551" t="e">
        <f aca="false">SUMIF($B$17:$B$292,$HO23,$EN$17:$EN$292)</f>
        <v>#VALUE!</v>
      </c>
      <c r="HX23" s="1551" t="e">
        <f aca="false">SUMIF($B$17:$B$292,$HO23,$FC$17:$FC$292)</f>
        <v>#VALUE!</v>
      </c>
      <c r="HY23" s="1551" t="n">
        <f aca="false">IF(Assumptions!$L$24="Yes",HW23+HX23,0)</f>
        <v>0</v>
      </c>
      <c r="HZ23" s="1566" t="e">
        <f aca="false">SUMIF($B$17:$B$292,HO23,$GE$17:$GE$292)+SUMIF($B$17:$B$292,HO23,$GF$17:$GF$292)</f>
        <v>#VALUE!</v>
      </c>
      <c r="IA23" s="1563" t="e">
        <f aca="false">IF(IB23=0,0,IB23/HZ23)</f>
        <v>#VALUE!</v>
      </c>
      <c r="IB23" s="1564" t="e">
        <f aca="false">-SUMIF($B$17:$B$292,HO23,$GH$17:$GH$292)</f>
        <v>#VALUE!</v>
      </c>
      <c r="IC23" s="1569" t="e">
        <f aca="false">SUMIF($B$17:$B$292,HO23,$GI$17:$GI$292)</f>
        <v>#VALUE!</v>
      </c>
      <c r="ID23" s="1563" t="e">
        <f aca="false">IF(IE23=0,0,IE23/IC23)</f>
        <v>#VALUE!</v>
      </c>
      <c r="IE23" s="1564" t="e">
        <f aca="false">-SUMIF($B$17:$B$292,HO23,$GK$17:$GK$292)</f>
        <v>#VALUE!</v>
      </c>
      <c r="IF23" s="1551" t="e">
        <f aca="false">SUMIF($B$17:$B$292,HO23,$GP$17:$GP$292)</f>
        <v>#VALUE!</v>
      </c>
      <c r="IG23" s="1563" t="e">
        <f aca="false">IF(IH23=0,0,IH23/IF23)</f>
        <v>#VALUE!</v>
      </c>
      <c r="IH23" s="1564" t="e">
        <f aca="false">-SUMIF($B$17:$B$292,HO23,$GR$17:$GR$292)</f>
        <v>#VALUE!</v>
      </c>
      <c r="II23" s="1570" t="n">
        <f aca="false">(SUMIF($B$17:$B$292,HO23,$GW$17:$GW$292)+SUMIF($B$17:$B$292,HO23,$HB$17:$HB$292)+SUMIF($B$17:$B$292,HO23,$HG$17:$HG$292)+SUMIF($B$17:$B$292,HO23,$HL$17:$HL$292))*Assumptions!$C$59</f>
        <v>1171653.35116121</v>
      </c>
      <c r="IJ23" s="1309" t="n">
        <f aca="false">SUMIF($B$17:$B$292,HO23,$HM$17:$HM$292)</f>
        <v>0</v>
      </c>
      <c r="IK23" s="1309"/>
    </row>
    <row r="24" customFormat="false" ht="12.75" hidden="false" customHeight="false" outlineLevel="0" collapsed="false">
      <c r="A24" s="1571" t="n">
        <f aca="false">EOMONTH(A23,0)+1</f>
        <v>36861</v>
      </c>
      <c r="B24" s="594" t="n">
        <f aca="false">+YEAR(A24)</f>
        <v>2000</v>
      </c>
      <c r="C24" s="238" t="n">
        <f aca="false">MONTH(A24)</f>
        <v>12</v>
      </c>
      <c r="D24" s="1572" t="str">
        <f aca="false">IF(E24="","",Holiday(B24,C24))</f>
        <v/>
      </c>
      <c r="E24" s="1573" t="str">
        <f aca="false">IF(OR(BegDate&gt;=A25,EndDate&lt;A24,AND(VolumeMonthlyOverFlag,INDEX(VolumeMonthlyOver,C24)=0),NOT(INDEX(MonthKnockOutTable,C24))),"",MAX(A24,BegDate))</f>
        <v/>
      </c>
      <c r="F24" s="1574" t="str">
        <f aca="false">IF(E24="","",MIN(A25-1,EndDate))</f>
        <v/>
      </c>
      <c r="G24" s="1575" t="n">
        <v>0</v>
      </c>
      <c r="H24" s="1576" t="n">
        <f aca="false">(1+G24/2)^(-2*(DATE(B25,C25,20)-DateToday)/365.25)</f>
        <v>1</v>
      </c>
      <c r="I24" s="1568" t="n">
        <f aca="false">IF(Assumptions!$L$25=4,VLOOKUP($A24,'Henwood Reference'!$E$9:$R$320,10),(VLOOKUP($A24,PriceTable,2,0)+IF(BasisNumber&lt;&gt;1,VLOOKUP($A24,BasisTable,2,0),0)+I$1)/(1-I$2))</f>
        <v>33.7331</v>
      </c>
      <c r="J24" s="1568" t="n">
        <f aca="false">IF(Assumptions!$L$25=4,VLOOKUP($A24,'Henwood Reference'!$E$9:$R$320,10),(VLOOKUP($A24,PriceTable,3,0)+IF(BasisNumber&lt;&gt;1,VLOOKUP($A24,BasisTable,2,0),0)+J$1)/(1-J$2))</f>
        <v>33.7331</v>
      </c>
      <c r="K24" s="1568" t="n">
        <f aca="false">IF(Assumptions!$L$25=4,VLOOKUP($A24,'Henwood Reference'!$E$9:$R$320,10),(VLOOKUP($A24,PriceTable,4,0)+IF(BasisNumber&lt;&gt;1,VLOOKUP($A24,BasisTable,2,0),0)+K$1)/(1-K$2))</f>
        <v>33.7331</v>
      </c>
      <c r="L24" s="1523" t="n">
        <f aca="false">IF(Assumptions!$L$25=4,VLOOKUP($A24,'Henwood Reference'!$E$9:$R$320,10),(VLOOKUP($A24,PriceTableWeekend,2,0)+IF(BasisNumber&lt;&gt;1,VLOOKUP($A24,BasisTable,2,0),0)+L$1)/(1-L$2))</f>
        <v>33.7331</v>
      </c>
      <c r="M24" s="1568" t="n">
        <f aca="false">IF(Assumptions!$L$25=4,VLOOKUP($A24,'Henwood Reference'!$E$9:$R$320,10),(VLOOKUP($A24,PriceTableWeekend,3,0)+IF(BasisNumber&lt;&gt;1,VLOOKUP($A24,BasisTable,2,0),0)+M$1)/(1-M$2))</f>
        <v>33.7331</v>
      </c>
      <c r="N24" s="1599" t="n">
        <f aca="false">IF(Assumptions!$L$25=4,VLOOKUP($A24,'Henwood Reference'!$E$9:$R$320,10),(VLOOKUP($A24,PriceTableWeekend,4,0)+IF(BasisNumber&lt;&gt;1,VLOOKUP($A24,BasisTable,2,0),0)+N$1)/(1-N$2))</f>
        <v>33.7331</v>
      </c>
      <c r="O24" s="1568" t="n">
        <f aca="false">IF(Assumptions!$L$25=4,VLOOKUP($A24,'Henwood Reference'!$E$9:$R$320,11),(VLOOKUP($A24,PriceTableWeekend,6,0)+IF(BasisNumber&lt;&gt;1,VLOOKUP($A24,BasisTable,3,0),0)+O$1)/(1-O$2))</f>
        <v>23.7532</v>
      </c>
      <c r="P24" s="1568" t="n">
        <f aca="false">IF(Assumptions!$L$25=4,VLOOKUP($A24,'Henwood Reference'!$E$9:$R$320,11),(VLOOKUP($A24,PriceTableWeekend,7,0)+IF(BasisNumber&lt;&gt;1,VLOOKUP($A24,BasisTable,3,0),0)+P$1)/(1-P$2))</f>
        <v>23.7532</v>
      </c>
      <c r="Q24" s="1599" t="n">
        <f aca="false">IF(Assumptions!$L$25=4,VLOOKUP($A24,'Henwood Reference'!$E$9:$R$320,11),(VLOOKUP($A24,PriceTableWeekend,8,0)+IF(BasisNumber&lt;&gt;1,VLOOKUP($A24,BasisTable,3,0),0)+Q$1)/(1-Q$2))</f>
        <v>23.7532</v>
      </c>
      <c r="R24" s="1568" t="n">
        <f aca="false">IF(Assumptions!$L$25=4,VLOOKUP($A24,'Henwood Reference'!$E$9:$R$320,11),(VLOOKUP($A24,PriceTable,6,0)+IF(BasisNumber&lt;&gt;1,VLOOKUP($A24,BasisTable,3,0),0)+R$1)/(1-R$2))</f>
        <v>23.7532</v>
      </c>
      <c r="S24" s="1568" t="n">
        <f aca="false">IF(Assumptions!$L$25=4,VLOOKUP($A24,'Henwood Reference'!$E$9:$R$320,11),(VLOOKUP($A24,PriceTable,7,0)+IF(BasisNumber&lt;&gt;1,VLOOKUP($A24,BasisTable,3,0),0)+S$1)/(1-S$2))</f>
        <v>23.7532</v>
      </c>
      <c r="T24" s="1600" t="n">
        <f aca="false">IF(Assumptions!$L$25=4,VLOOKUP($A24,'Henwood Reference'!$E$9:$R$320,11),(VLOOKUP($A24,PriceTable,8,0)+IF(BasisNumber&lt;&gt;1,VLOOKUP($A24,BasisTable,3,0),0)+T$1)/(1-T$2))</f>
        <v>23.7532</v>
      </c>
      <c r="U24" s="1513" t="n">
        <f aca="false">VLOOKUP($A24,VolatilityTable,14)</f>
        <v>0.22</v>
      </c>
      <c r="V24" s="1513" t="n">
        <f aca="false">VLOOKUP($A24,VolatilityTable,15)</f>
        <v>0.2</v>
      </c>
      <c r="W24" s="1514" t="n">
        <f aca="false">VLOOKUP($A24,VolatilityTable,16)</f>
        <v>0.28</v>
      </c>
      <c r="X24" s="1513" t="n">
        <f aca="false">VLOOKUP($A24,VolatilityTable,14)</f>
        <v>0.22</v>
      </c>
      <c r="Y24" s="1513" t="n">
        <f aca="false">VLOOKUP($A24,VolatilityTable,15)</f>
        <v>0.2</v>
      </c>
      <c r="Z24" s="1514" t="n">
        <f aca="false">VLOOKUP($A24,VolatilityTable,16)</f>
        <v>0.28</v>
      </c>
      <c r="AA24" s="1513" t="n">
        <f aca="false">VLOOKUP($A24,VolatilityTable,18)</f>
        <v>0.05</v>
      </c>
      <c r="AB24" s="1513" t="n">
        <f aca="false">VLOOKUP($A24,VolatilityTable,19)</f>
        <v>0.11</v>
      </c>
      <c r="AC24" s="1514" t="n">
        <f aca="false">VLOOKUP($A24,VolatilityTable,20)</f>
        <v>0.15</v>
      </c>
      <c r="AD24" s="1513" t="n">
        <f aca="false">VLOOKUP($A24,VolatilityTable,18)</f>
        <v>0.05</v>
      </c>
      <c r="AE24" s="1513" t="n">
        <f aca="false">VLOOKUP($A24,VolatilityTable,19)</f>
        <v>0.11</v>
      </c>
      <c r="AF24" s="1514" t="n">
        <f aca="false">VLOOKUP($A24,VolatilityTable,20)</f>
        <v>0.15</v>
      </c>
      <c r="AG24" s="1513" t="n">
        <f aca="false">VLOOKUP($A24,VolatilityTable,22)</f>
        <v>-0.25</v>
      </c>
      <c r="AH24" s="1513" t="n">
        <f aca="false">VLOOKUP($A24,VolatilityTable,23)</f>
        <v>0.6</v>
      </c>
      <c r="AI24" s="1514" t="n">
        <f aca="false">VLOOKUP($A24,VolatilityTable,24)</f>
        <v>0.25</v>
      </c>
      <c r="AJ24" s="1513" t="n">
        <f aca="false">VLOOKUP($A24,VolatilityTable,22)</f>
        <v>-0.25</v>
      </c>
      <c r="AK24" s="1513" t="n">
        <f aca="false">VLOOKUP($A24,VolatilityTable,23)</f>
        <v>0.6</v>
      </c>
      <c r="AL24" s="1514" t="n">
        <f aca="false">VLOOKUP($A24,VolatilityTable,24)</f>
        <v>0.25</v>
      </c>
      <c r="AM24" s="1513" t="n">
        <f aca="false">VLOOKUP($A24,VolatilityTable,26)</f>
        <v>-0.01</v>
      </c>
      <c r="AN24" s="1513" t="n">
        <f aca="false">VLOOKUP($A24,VolatilityTable,27)</f>
        <v>0.16</v>
      </c>
      <c r="AO24" s="1514" t="n">
        <f aca="false">VLOOKUP($A24,VolatilityTable,28)</f>
        <v>0.01</v>
      </c>
      <c r="AP24" s="1513" t="n">
        <f aca="false">VLOOKUP($A24,VolatilityTable,26)</f>
        <v>-0.01</v>
      </c>
      <c r="AQ24" s="1513" t="n">
        <f aca="false">VLOOKUP($A24,VolatilityTable,27)</f>
        <v>0.16</v>
      </c>
      <c r="AR24" s="1515" t="n">
        <f aca="false">VLOOKUP($A24,VolatilityTable,28)</f>
        <v>0.01</v>
      </c>
      <c r="AS24" s="1581" t="n">
        <f aca="false">IF(CorrPeakOffPeakOverFlag,INDEX(CorrPeakOffPeakOver,C24),CorrPeakOffPeak)</f>
        <v>0.5</v>
      </c>
      <c r="AT24" s="594" t="n">
        <f aca="false">AX24-SUM(AU24:AW24)</f>
        <v>0</v>
      </c>
      <c r="AU24" s="238" t="n">
        <f aca="false">IF(E24="",0,INT((F24-MOD(F24,7)-E24)/7)+1-IF(AW24,IF(WEEKDAY(D24)=7,1,0),0))</f>
        <v>0</v>
      </c>
      <c r="AV24" s="238" t="n">
        <f aca="false">IF(E24="",0,INT((F24-MOD(F24-1,7)-E24)/7)+1-IF(AW24,IF(WEEKDAY(D24)=1,1,0),0))</f>
        <v>0</v>
      </c>
      <c r="AW24" s="238" t="n">
        <f aca="false">IF(OR(E24="",D24="",D24&lt;BegDate,D24&gt;EndDate),0,1)</f>
        <v>0</v>
      </c>
      <c r="AX24" s="238" t="n">
        <f aca="false">IF(E24="",0,F24-E24+1)</f>
        <v>0</v>
      </c>
      <c r="AY24" s="1582" t="n">
        <f aca="false">IF(E24="",0,MIN((1-(1-VLOOKUP(B24,MAIN!$AA$7:$AM$28,C24+1))*(1-VLOOKUP(B24,MAIN!$AA$33:$AM$54,C24+1))),1))</f>
        <v>0</v>
      </c>
      <c r="AZ24" s="1519" t="e">
        <v>#VALUE!</v>
      </c>
      <c r="BA24" s="1520" t="e">
        <v>#VALUE!</v>
      </c>
      <c r="BB24" s="1520" t="e">
        <v>#VALUE!</v>
      </c>
      <c r="BC24" s="1583" t="e">
        <v>#VALUE!</v>
      </c>
      <c r="BD24" s="1522" t="e">
        <v>#VALUE!</v>
      </c>
      <c r="BE24" s="1523" t="e">
        <v>#VALUE!</v>
      </c>
      <c r="BF24" s="1523" t="e">
        <v>#VALUE!</v>
      </c>
      <c r="BG24" s="1584" t="e">
        <v>#VALUE!</v>
      </c>
      <c r="BH24" s="1525" t="e">
        <v>#VALUE!</v>
      </c>
      <c r="BI24" s="1520" t="e">
        <v>#VALUE!</v>
      </c>
      <c r="BJ24" s="1520" t="e">
        <v>#VALUE!</v>
      </c>
      <c r="BK24" s="1583" t="e">
        <v>#VALUE!</v>
      </c>
      <c r="BL24" s="1522" t="e">
        <v>#VALUE!</v>
      </c>
      <c r="BM24" s="1523" t="e">
        <v>#VALUE!</v>
      </c>
      <c r="BN24" s="1523" t="e">
        <v>#VALUE!</v>
      </c>
      <c r="BO24" s="1523" t="e">
        <v>#VALUE!</v>
      </c>
      <c r="BP24" s="1525" t="e">
        <f aca="false">SUM(AZ24:BB24)</f>
        <v>#VALUE!</v>
      </c>
      <c r="BQ24" s="1529" t="e">
        <f aca="false">SUM(AZ24:BC24)</f>
        <v>#VALUE!</v>
      </c>
      <c r="BR24" s="1519" t="e">
        <f aca="false">SUM(BH24:BJ24)</f>
        <v>#VALUE!</v>
      </c>
      <c r="BS24" s="1529" t="e">
        <f aca="false">SUM(BH24:BK24)</f>
        <v>#VALUE!</v>
      </c>
      <c r="BT24" s="1316" t="n">
        <f aca="false">(IF(OVolType&lt;&gt;2,A24+14,IF(OptExpDateShift,ShiftBack(A24,OptExpDateShift,D23),A24))-DateToday)/365.25</f>
        <v>0.632443531827515</v>
      </c>
      <c r="BU24" s="1585" t="e">
        <f aca="false">IF(BQ24,IF(OPriceCurve,IF(OBuySell=OCallPut,I24/(1-AY24),K24/(1-AY24)),J24/(1-AY24))*BD24,0)</f>
        <v>#VALUE!</v>
      </c>
      <c r="BV24" s="1316" t="e">
        <f aca="false">IF(BQ24,IF(OPriceCurve,IF(OBuySell=OCallPut,L24/(1-AY24),N24/(1-AY24)),M24/(1-AY24))*BE24,0)</f>
        <v>#VALUE!</v>
      </c>
      <c r="BW24" s="1316" t="e">
        <f aca="false">IF(BQ24,IF(OPriceCurve,IF(OBuySell=OCallPut,O24/(1-AY24),Q24/(1-AY24)),P24/(1-AY24))*BF24,0)</f>
        <v>#VALUE!</v>
      </c>
      <c r="BX24" s="1316" t="e">
        <f aca="false">IF(BQ24,IF(OPriceCurve,IF(OBuySell=OCallPut,R24/(1-AY24),T24/(1-AY24)),S24/(1-AY24))*BG24,0)</f>
        <v>#VALUE!</v>
      </c>
      <c r="BY24" s="1316" t="e">
        <f aca="false">IF(BP24,(BU24*AZ24+BV24*BA24+BW24*BB24)/BP24,0)</f>
        <v>#VALUE!</v>
      </c>
      <c r="BZ24" s="1316" t="e">
        <f aca="false">IF(BQ24,(BY24*BP24+BX24*BC24)/BQ24,0)</f>
        <v>#VALUE!</v>
      </c>
      <c r="CA24" s="1531" t="e">
        <f aca="false">IF(BS24,IF(OPriceCurve,IF(OBuySell=OCallPut,I24/(1-AY24),K24/(1-AY24)),J24/(1-AY24))*BL24,0)</f>
        <v>#VALUE!</v>
      </c>
      <c r="CB24" s="1316" t="e">
        <f aca="false">IF(BS24,IF(OPriceCurve,IF(OBuySell=OCallPut,L24/(1-AY24),N24/(1-AY24)),M24/(1-AY24))*BM24,0)</f>
        <v>#VALUE!</v>
      </c>
      <c r="CC24" s="1316" t="e">
        <f aca="false">IF(BS24,IF(OPriceCurve,IF(OBuySell=OCallPut,O24/(1-AY24),Q24/(1-AY24)),P24/(1-AY24))*BN24,0)</f>
        <v>#VALUE!</v>
      </c>
      <c r="CD24" s="1316" t="e">
        <f aca="false">IF(BS24,IF(OPriceCurve,IF(OBuySell=OCallPut,R24/(1-AY24),T24/(1-AY24)),S24/(1-AY24))*BO24,0)</f>
        <v>#VALUE!</v>
      </c>
      <c r="CE24" s="1316" t="e">
        <f aca="false">IF(BR24,(BU24*BH24+BV24*BI24+BW24*BJ24)/BR24,0)</f>
        <v>#VALUE!</v>
      </c>
      <c r="CF24" s="1532" t="e">
        <f aca="false">IF(BS24,(CE24*BR24+CD24*BK24)/BS24,0)</f>
        <v>#VALUE!</v>
      </c>
      <c r="CG24" s="1586" t="e">
        <f aca="false">IF(OR(BQ24,BS24),IF(OVolType&lt;&gt;2,SQRT(IF(OVolOverMonthlyPeak,OVolOverMonthlyPeak,IF(OVolCurve,IF(OBuySell,U24,W24),V24))^2*(1-15/365.25/BT24)+IF(OVolOverDailyPeak,OVolOverDailyPeak,IF(OVolCurve,IF(OBuySell,AG24,AI24),AH24))^2*15/365.25/BT24),IF(OVolOverMonthlyPeak,OVolOverMonthlyPeak,IF(OVolCurve,IF(OBuySell,U24,W24),V24))),"")</f>
        <v>#VALUE!</v>
      </c>
      <c r="CH24" s="1587" t="e">
        <f aca="false">IF(OR(BQ24,BS24),IF(OVolType&lt;&gt;2,SQRT(IF(OVolOverMonthlyPeak,OVolOverMonthlyPeak,IF(OVolCurve,IF(OBuySell,X24,Z24),Y24))^2*(1-15/365.25/BT24)+IF(OVolOverDailyPeak,OVolOverDailyPeak,IF(OVolCurve,IF(OBuySell,AJ24,AL24),AK24))^2*15/365.25/BT24),IF(OVolOverMonthlyPeak,OVolOverMonthlyPeak,IF(OVolCurve,IF(OBuySell,X24,Z24),Y24))),"")</f>
        <v>#VALUE!</v>
      </c>
      <c r="CI24" s="1587" t="e">
        <f aca="false">IF(OR(BQ24,BS24),IF(OVolType&lt;&gt;2,SQRT(IF(OVolOverMonthlyPeak,OVolOverMonthlyPeak,IF(OVolCurve,IF(OBuySell,AA24,AC24),AB24))^2*(1-15/365.25/BT24)+IF(OVolOverDailyPeak,OVolOverDailyPeak,IF(OVolCurve,IF(OBuySell,AM24,AO24),AN24))^2*15/365.25/BT24),IF(OVolOverMonthlyPeak,OVolOverMonthlyPeak,IF(OVolCurve,IF(OBuySell,AA24,AC24),AB24))),"")</f>
        <v>#VALUE!</v>
      </c>
      <c r="CJ24" s="1587" t="e">
        <f aca="false">IF(BQ24,IF(BP24,SQRT(LN(1+((BU24*AZ24)^2*(EXP(CG24^2*BT24)-1)+(BV24*BA24)^2*(EXP(CH24^2*BT24)-1)+(BW24*BB24)^2*(EXP(CI24^2*BT24)-1)+2*BU24*AZ24*BV24*BA24*(EXP(CG24*CH24*BT24)-1)+2*BV24*BA24*BW24*BB24*(EXP(CH24*CI24*BT24)-1)+2*BW24*BB24*BU24*AZ24*(EXP(CI24*CG24*BT24)-1))/(BY24*BP24)^2)/BT24),0),"")</f>
        <v>#VALUE!</v>
      </c>
      <c r="CK24" s="1587" t="e">
        <f aca="false">IF(BS24,IF(BR24,SQRT(LN(1+((CA24*BH24)^2*(EXP(CG24^2*BT24)-1)+(CB24*BI24)^2*(EXP(CH24^2*BT24)-1)+(CC24*BJ24)^2*(EXP(CI24^2*BT24)-1)+2*CA24*BH24*CB24*BI24*(EXP(CG24*CH24*BT24)-1)+2*CB24*BI24*CC24*BJ24*(EXP(CH24*CI24*BT24)-1)+2*CC24*BJ24*CA24*BH24*(EXP(CI24*CG24*BT24)-1))/(CE24*BR24)^2)/BT24),0),"")</f>
        <v>#VALUE!</v>
      </c>
      <c r="CL24" s="1587" t="e">
        <f aca="false">IF(OR(BQ24,BS24),IF(OVolType&lt;&gt;2,SQRT(IF(OVolOverMonthlyOffPeak,OVolOverMonthlyOffPeak,IF(OVolCurve,IF(OBuySell,AD24,AF24),AE24))^2*(1-15/365.25/BT24)+IF(OVolOverDailyOffPeak,OVolOverDailyOffPeak,IF(OVolCurve,IF(OBuySell,AP24,AR24),AQ24))^2*15/365.25/BT24),IF(OVolOverMonthlyOffPeak,OVolOverMonthlyOffPeak,IF(OVolCurve,IF(OBuySell,AD24,AF24),AE24))),"")</f>
        <v>#VALUE!</v>
      </c>
      <c r="CM24" s="1587" t="e">
        <f aca="false">IF(BQ24,SQRT(LN(1+((BY24*BP24)^2*(EXP(CJ24^2*BT24)-1)+(BX24*BC24)^2*(EXP(CL24^2*BT24)-1)+2*BY24*BP24*BX24*BC24*(EXP(AS24*CJ24*CL24*BT24)-1))/(BY24*BP24+BX24*BC24)^2)/BT24),"")</f>
        <v>#VALUE!</v>
      </c>
      <c r="CN24" s="1588" t="e">
        <f aca="false">IF(BS24,SQRT(LN(1+((CE24*BR24)^2*(EXP(CK24^2*BT24)-1)+(CD24*BK24)^2*(EXP(CL24^2*BT24)-1)+2*CE24*BR24*CD24*BK24*(EXP(AS24*CK24*CL24*BT24)-1))/(CE24*BR24+CD24*BK24)^2)/BT24),"")</f>
        <v>#VALUE!</v>
      </c>
      <c r="CO24" s="1531" t="e">
        <f aca="false">IF(OR(BQ24,BS24),VLOOKUP(A24,GasTable,13)*HeatRatePeak*VLOOKUP($B24,MAIN!$AB$59:$AM$80,$C24+1)/1000,0)</f>
        <v>#VALUE!</v>
      </c>
      <c r="CP24" s="1316" t="e">
        <f aca="false">IF(OR(BQ24,BS24),VLOOKUP(A24,GasTable,13)*HeatRatePeak*(1+VLOOKUP($B24,HeatRateDegradation,$C24+1))/1000,0)</f>
        <v>#VALUE!</v>
      </c>
      <c r="CQ24" s="1316" t="e">
        <f aca="false">IF(OR(BQ24,BS24),VLOOKUP(A24,GasTable,13)*IF(EV24,HeatRatePeak,HeatRateOffPeak)*(1+VLOOKUP($B24,HeatRateDegradation,$C24+1))/1000,0)</f>
        <v>#VALUE!</v>
      </c>
      <c r="CR24" s="1316" t="e">
        <f aca="false">IF(OR(BQ24,BS24),VLOOKUP(A24,GasTable,13)*IF(EW24,HeatRatePeak,HeatRateOffPeak)*(1+VLOOKUP($B24,HeatRateDegradation,$C24+1))/1000,0)</f>
        <v>#VALUE!</v>
      </c>
      <c r="CS24" s="1589" t="e">
        <f aca="false">IF(BQ24,(CO24*AZ24+CP24*BA24+CQ24*BB24+CR24*BC24)/BQ24,0)</f>
        <v>#VALUE!</v>
      </c>
      <c r="CT24" s="1316" t="e">
        <f aca="false">IF(BS24,CO24,0)</f>
        <v>#VALUE!</v>
      </c>
      <c r="CU24" s="1590" t="e">
        <f aca="false">IF(OR(BQ24,BS24),VLOOKUP(A24,GasTable,14),"")</f>
        <v>#VALUE!</v>
      </c>
      <c r="CV24" s="1568" t="e">
        <f aca="false">IF(OR(BQ24,BS24),IF(CorrPowerGasOverFlag,INDEX(CorrPowerGasOver,C24),CorrPowerGas),"")</f>
        <v>#VALUE!</v>
      </c>
      <c r="CW24" s="1316" t="e">
        <f aca="false">IF(OR($BQ24,$BS24),SpreadOptPowerMargin,0)*((1+Assumptions!$C$26)^($B24-YEAR(Assumptions!$C$17)))</f>
        <v>#VALUE!</v>
      </c>
      <c r="CX24" s="1316" t="e">
        <f aca="false">IF(OR($BQ24,$BS24),SpreadOptPowerMargin,0)*((1+Assumptions!$C$26)^($B24-YEAR(Assumptions!$C$17)))</f>
        <v>#VALUE!</v>
      </c>
      <c r="CY24" s="1316" t="e">
        <f aca="false">IF(OR($BQ24,$BS24),SpreadOptPowerMargin,0)*((1+Assumptions!$C$26)^($B24-YEAR(Assumptions!$C$17)))</f>
        <v>#VALUE!</v>
      </c>
      <c r="CZ24" s="1316" t="e">
        <f aca="false">IF(OR($BQ24,$BS24),SpreadOptPowerMargin,0)*((1+Assumptions!$C$26)^($B24-YEAR(Assumptions!$C$17)))</f>
        <v>#VALUE!</v>
      </c>
      <c r="DA24" s="1591" t="e">
        <f aca="false">IF(OR(BQ24,BS24),(CW24*(AZ24+BH24)+CX24*(BA24+BI24)+CY24*(BB24+BJ24)+CZ24*(BC24+BK24))/(BQ24+BS24),0)</f>
        <v>#VALUE!</v>
      </c>
      <c r="DB24" s="1592" t="e">
        <f aca="false">IF(OR(BQ24,BS24),CG24+IF(OVolSmile,VLOOKUP(MAX(-5,CO24+CW24-BU24),IF(OVolSmile=1,VolSmileBook,VolSmileModel),2),0),"")</f>
        <v>#VALUE!</v>
      </c>
      <c r="DC24" s="1592" t="e">
        <f aca="false">IF(OR(BQ24,BS24),CH24+IF(OVolSmile,VLOOKUP(MAX(-5,CP24+CW24-BV24),IF(OVolSmile=1,VolSmileBook,VolSmileModel),2),0),"")</f>
        <v>#VALUE!</v>
      </c>
      <c r="DD24" s="1592" t="e">
        <f aca="false">IF(OR(BQ24,BS24),CI24+IF(OVolSmile,VLOOKUP(MAX(-5,CQ24+CW24-BW24),IF(OVolSmile=1,VolSmileBook,VolSmileModel),2),0),"")</f>
        <v>#VALUE!</v>
      </c>
      <c r="DE24" s="1592" t="e">
        <f aca="false">IF(OR(BQ24,BS24),CL24+IF(OVolSmile,VLOOKUP(MAX(-5,CR24+CZ24-BX24),IF(OVolSmile=1,VolSmileBook,VolSmileModel),2),0),"")</f>
        <v>#VALUE!</v>
      </c>
      <c r="DF24" s="1592" t="e">
        <f aca="false">IF(BQ24,CM24+IF(OVolSmile,VLOOKUP(MAX(-5,CS24+DA24-BZ24),IF(OVolSmile=1,VolSmileBook,VolSmileModel),2),0),"")</f>
        <v>#VALUE!</v>
      </c>
      <c r="DG24" s="1593" t="e">
        <f aca="false">IF(BS24,CN24+IF(OVolSmile,VLOOKUP(MAX(-5,CT24+DA24-CF24),IF(OVolSmile=1,VolSmileBook,VolSmileModel),2),0),"")</f>
        <v>#VALUE!</v>
      </c>
      <c r="DH24" s="1316" t="e">
        <f aca="false">IF(AND(BU24&gt;0,CO24&gt;0,DB24&gt;0,CU24&gt;0),newSPRDOPT(BU24,CO24,CW24,0,DB24,CU24,CV24,BT24*365.25,OCallPut,0),0)</f>
        <v>#VALUE!</v>
      </c>
      <c r="DI24" s="1316" t="e">
        <f aca="false">IF(AND(BV24&gt;0,CP24&gt;0,DC24&gt;0,CU24&gt;0),newSPRDOPT(BV24,CP24,CX24,0,DC24,CU24,CV24,BT24*365.25,OCallPut,0),0)</f>
        <v>#VALUE!</v>
      </c>
      <c r="DJ24" s="1316" t="e">
        <f aca="false">IF(AND(BW24&gt;0,CQ24&gt;0,DD24&gt;0,CU24&gt;0),newSPRDOPT(BW24,CQ24,CY24,0,DD24,CU24,CV24,BT24*365.25,OCallPut,0),0)</f>
        <v>#VALUE!</v>
      </c>
      <c r="DK24" s="1316" t="e">
        <f aca="false">IF(AND(BX24&gt;0,CR24&gt;0,DE24&gt;0,CU24&gt;0),newSPRDOPT(BX24,CR24,CZ24,0,DE24,CU24,CV24,BT24*365.25,OCallPut,0),0)</f>
        <v>#VALUE!</v>
      </c>
      <c r="DL24" s="1316" t="e">
        <f aca="false">IF(OVolType,IF(AND(BZ24&gt;0,CS24&gt;0,DF24&gt;0,CU24&gt;0),newSPRDOPT(BZ24,CS24,DA24,0,DF24,CU24,CV24,BT24*365.25,OCallPut,0),0),IF(BQ24,(DH24*AZ24+DI24*BA24+DJ24*BB24+DK24*BC24)/BQ24,0))</f>
        <v>#VALUE!</v>
      </c>
      <c r="DM24" s="1316"/>
      <c r="DN24" s="1316"/>
      <c r="DO24" s="1316"/>
      <c r="DP24" s="1316"/>
      <c r="DQ24" s="1316"/>
      <c r="DR24" s="1316"/>
      <c r="DS24" s="1316"/>
      <c r="DT24" s="1316"/>
      <c r="DU24" s="1316"/>
      <c r="DV24" s="1316"/>
      <c r="DW24" s="1594" t="e">
        <f aca="false">IF(AND(BW24&gt;0,CT24&gt;0,DD24&gt;0,CU24&gt;0),newSPRDOPT(BW24,CT24,CY24,0,DD24,CU24,CV24,BT24*365.25,OCallPut,0),0)</f>
        <v>#VALUE!</v>
      </c>
      <c r="DX24" s="1316" t="e">
        <f aca="false">IF(AND(BX24&gt;0,CT24&gt;0,DE24&gt;0,CU24&gt;0),newSPRDOPT(BX24,CT24,CZ24,0,DE24,CU24,CV24,BT24*365.25,OCallPut,0),0)</f>
        <v>#VALUE!</v>
      </c>
      <c r="DY24" s="1591" t="e">
        <f aca="false">IF(BS24,(DH24*BH24+DI24*BI24+DW24*BJ24+DX24*BK24)/BS24,0)</f>
        <v>#VALUE!</v>
      </c>
      <c r="DZ24" s="1551" t="e">
        <f aca="false">DH24*AZ24</f>
        <v>#VALUE!</v>
      </c>
      <c r="EA24" s="1551" t="e">
        <f aca="false">DI24*BA24</f>
        <v>#VALUE!</v>
      </c>
      <c r="EB24" s="1551" t="e">
        <f aca="false">DJ24*BB24</f>
        <v>#VALUE!</v>
      </c>
      <c r="EC24" s="1551" t="e">
        <f aca="false">DK24*BC24</f>
        <v>#VALUE!</v>
      </c>
      <c r="ED24" s="1551" t="e">
        <f aca="false">DL24*BQ24</f>
        <v>#VALUE!</v>
      </c>
      <c r="EE24" s="1595" t="e">
        <f aca="false">IF(BQ24,IF(OCallPut,IF(BU24&gt;(CO24+CW24),BU24-(CO24+CW24),0),IF((CO24+CW24)&gt;BU24,(CO24+CW24)-BU24,0))*AZ24,0)</f>
        <v>#VALUE!</v>
      </c>
      <c r="EF24" s="1596" t="e">
        <f aca="false">IF(BQ24,IF(OCallPut,IF(BV24&gt;(CP24+CX24),BV24-(CP24+CX24),0),IF((CP24+CX24)&gt;BV24,(CP24+CX24)-BV24,0))*BA24,0)</f>
        <v>#VALUE!</v>
      </c>
      <c r="EG24" s="1596" t="e">
        <f aca="false">IF(BQ24,IF(OCallPut,IF(BW24&gt;(CQ24+CY24),BW24-(CQ24+CY24),0),IF((CQ24+CY24)&gt;BW24,(CQ24+CY24)-BW24,0))*BB24,0)</f>
        <v>#VALUE!</v>
      </c>
      <c r="EH24" s="1596" t="e">
        <f aca="false">IF(BQ24,IF(OCallPut,IF(BX24&gt;(CR24+CZ24),BX24-(CR24+CZ24),0),IF((CR24+CZ24)&gt;BX24,(CR24+CZ24)-BX24,0))*BC24,0)</f>
        <v>#VALUE!</v>
      </c>
      <c r="EI24" s="1597" t="e">
        <f aca="false">IF(BQ24,IF(OVolType,IF(OCallPut,IF(BZ24&gt;(CS24+DA24),BZ24-(CS24+DA24),0),IF((CS24+DA24)&gt;BZ24,(CS24+DA24)-BZ24,0))*BQ24,SUM(EE24:EH24)),0)</f>
        <v>#VALUE!</v>
      </c>
      <c r="EJ24" s="1595" t="e">
        <f aca="false">DZ24-EE24</f>
        <v>#VALUE!</v>
      </c>
      <c r="EK24" s="1596" t="e">
        <f aca="false">EA24-EF24</f>
        <v>#VALUE!</v>
      </c>
      <c r="EL24" s="1596" t="e">
        <f aca="false">EB24-EG24</f>
        <v>#VALUE!</v>
      </c>
      <c r="EM24" s="1596" t="e">
        <f aca="false">EC24-EH24</f>
        <v>#VALUE!</v>
      </c>
      <c r="EN24" s="1597" t="e">
        <f aca="false">ED24-EI24</f>
        <v>#VALUE!</v>
      </c>
      <c r="EO24" s="1551" t="e">
        <f aca="false">DH24*BH24</f>
        <v>#VALUE!</v>
      </c>
      <c r="EP24" s="1551" t="e">
        <f aca="false">DI24*BI24</f>
        <v>#VALUE!</v>
      </c>
      <c r="EQ24" s="1551" t="e">
        <f aca="false">DW24*BJ24</f>
        <v>#VALUE!</v>
      </c>
      <c r="ER24" s="1551" t="e">
        <f aca="false">DX24*BK24</f>
        <v>#VALUE!</v>
      </c>
      <c r="ES24" s="1551" t="e">
        <f aca="false">DY24*BS24</f>
        <v>#VALUE!</v>
      </c>
      <c r="ET24" s="1566" t="e">
        <f aca="false">IF(BS24,IF(OCallPut,IF(CA24&gt;(CT24+CW24),CA24-(CT24+CW24),0),IF((CT24+CW24)&gt;CA24,(CT24+CW24)-CA24,0))*BH24,0)</f>
        <v>#VALUE!</v>
      </c>
      <c r="EU24" s="1551" t="e">
        <f aca="false">IF(BS24,IF(OCallPut,IF(CB24&gt;(CT24+CX24),CB24-(CT24+CX24),0),IF((CT24+CX24)&gt;CB24,(CT24+CX24)-CB24,0))*BI24,0)</f>
        <v>#VALUE!</v>
      </c>
      <c r="EV24" s="1551" t="e">
        <f aca="false">IF(BS24,IF(OCallPut,IF(CC24&gt;(CT24+CY24),CC24-(CT24+CY24),0),IF((CT24+CY24)&gt;CC24,(CT24+CY24)-CC24,0))*BJ24,0)</f>
        <v>#VALUE!</v>
      </c>
      <c r="EW24" s="1551" t="e">
        <f aca="false">IF(BS24,IF(OCallPut,IF(CD24&gt;(CT24+CZ24),CD24-(CT24+CZ24),0),IF((CT24+CZ24)&gt;CD24,(CT24+CZ24)-CD24,0))*BK24,0)</f>
        <v>#VALUE!</v>
      </c>
      <c r="EX24" s="1558" t="e">
        <f aca="false">IF(BS24,SUM(ET24:EW24),0)</f>
        <v>#VALUE!</v>
      </c>
      <c r="EY24" s="1551" t="e">
        <f aca="false">EO24-ET24</f>
        <v>#VALUE!</v>
      </c>
      <c r="EZ24" s="1551" t="e">
        <f aca="false">EP24-EU24</f>
        <v>#VALUE!</v>
      </c>
      <c r="FA24" s="1551" t="e">
        <f aca="false">EQ24-EV24</f>
        <v>#VALUE!</v>
      </c>
      <c r="FB24" s="1551" t="e">
        <f aca="false">ER24-EW24</f>
        <v>#VALUE!</v>
      </c>
      <c r="FC24" s="1551" t="e">
        <f aca="false">ES24-EX24</f>
        <v>#VALUE!</v>
      </c>
      <c r="FD24" s="1525" t="n">
        <f aca="false">IF(AX24,IF(VLOOKUP(C24,MAIN!$L$17:$M$28,2)="Yes",VLOOKUP(CALC!B24,MAIN!$H$17:$I$20,2),0),0)</f>
        <v>0</v>
      </c>
      <c r="FE24" s="1552" t="n">
        <f aca="false">$FD24*16*AT24*(1-$AY24)</f>
        <v>0</v>
      </c>
      <c r="FF24" s="1553" t="n">
        <f aca="false">$FD24*16*AU24*(1-$AY24)</f>
        <v>0</v>
      </c>
      <c r="FG24" s="1553" t="n">
        <f aca="false">$FD24*16*(AV24+AW24)*(1-$AY24)</f>
        <v>0</v>
      </c>
      <c r="FH24" s="1554" t="n">
        <f aca="false">$FD24*8*AX24*(1-$AY24)</f>
        <v>0</v>
      </c>
      <c r="FI24" s="1555" t="n">
        <f aca="false">IF(AX24,VLOOKUP(CALC!B24,MAIN!$H$17:$K$20,4),0)</f>
        <v>0</v>
      </c>
      <c r="FJ24" s="1553" t="n">
        <f aca="false">SUM(FE24:FH24)</f>
        <v>0</v>
      </c>
      <c r="FK24" s="1556" t="n">
        <f aca="false">FI24*FJ24</f>
        <v>0</v>
      </c>
      <c r="FL24" s="1551" t="e">
        <f aca="false">IF($EI24&gt;0,MIN(FE24,AZ24*(1+VLOOKUP($C24,WeatherCapacityAdjustment,2))),0)</f>
        <v>#VALUE!</v>
      </c>
      <c r="FM24" s="1551" t="e">
        <f aca="false">IF($EI24&gt;0,MIN(FF24,BA24*(1+VLOOKUP($C24,WeatherCapacityAdjustment,2))),0)</f>
        <v>#VALUE!</v>
      </c>
      <c r="FN24" s="1551" t="e">
        <f aca="false">IF($EI24&gt;0,MIN(FG24,BB24*(1+VLOOKUP($C24,WeatherCapacityAdjustment,2))),0)</f>
        <v>#VALUE!</v>
      </c>
      <c r="FO24" s="1564" t="e">
        <f aca="false">IF($EI24&gt;0,MIN(FH24,BC24*(1+VLOOKUP($C24,WeatherCapacityAdjustment,3))),0)</f>
        <v>#VALUE!</v>
      </c>
      <c r="FP24" s="1551" t="e">
        <f aca="false">IF(ET24&gt;0,MIN(FE24-FL24,BH24*(1+VLOOKUP($C24,WeatherCapacityAdjustment,2))),0)</f>
        <v>#VALUE!</v>
      </c>
      <c r="FQ24" s="1551" t="e">
        <f aca="false">IF(EU24&gt;0,MIN(FF24-FM24,BI24*(1+VLOOKUP($C24,WeatherCapacityAdjustment,2))),0)</f>
        <v>#VALUE!</v>
      </c>
      <c r="FR24" s="1551" t="e">
        <f aca="false">IF(EV24&gt;0,MIN(FG24-FN24,BJ24*(1+VLOOKUP($C24,WeatherCapacityAdjustment,2))),0)</f>
        <v>#VALUE!</v>
      </c>
      <c r="FS24" s="1558" t="e">
        <f aca="false">IF(EW24&gt;0,MIN(FH24-FO24,BK24*(1+VLOOKUP($C24,WeatherCapacityAdjustment,3))),0)</f>
        <v>#VALUE!</v>
      </c>
      <c r="FT24" s="1566" t="n">
        <f aca="false">IF(AND(Assumptions!$H$71="Yes",A24&gt;=Assumptions!$H$72,A24&lt;=Assumptions!$H$73),0,IF(AND($A24&gt;=Assumptions!$C$17,$A24&lt;=Assumptions!$C$18),MAX(AZ24*(1+VLOOKUP($C24,WeatherCapacityAdjustment,2))-FL24,0),0))</f>
        <v>0</v>
      </c>
      <c r="FU24" s="1551" t="n">
        <f aca="false">IF(AND(Assumptions!$H$71="Yes",A24&gt;=Assumptions!$H$72,A24&lt;=Assumptions!$H$73),0,IF(AND($A24&gt;=Assumptions!$C$17,$A24&lt;=Assumptions!$C$18),MAX(BA24*(1+VLOOKUP($C24,WeatherCapacityAdjustment,2))-FM24,0),0))</f>
        <v>0</v>
      </c>
      <c r="FV24" s="1551" t="n">
        <f aca="false">IF(AND(Assumptions!$H$71="Yes",A24&gt;=Assumptions!$H$72,A24&lt;=Assumptions!$H$73),0,IF(AND($A24&gt;=Assumptions!$C$17,$A24&lt;=Assumptions!$C$18),MAX(BB24*(1+VLOOKUP($C24,WeatherCapacityAdjustment,2))-FN24,0),0))</f>
        <v>0</v>
      </c>
      <c r="FW24" s="1564" t="n">
        <f aca="false">IF(AND(Assumptions!$H$71="Yes",A24&gt;=Assumptions!$H$72,A24&lt;=Assumptions!$H$73),0,IF(AND($A24&gt;=Assumptions!$C$17,$A24&lt;=Assumptions!$C$18),MAX(BC24*(1+VLOOKUP($C24,WeatherCapacityAdjustment,3))-FO24,0),0))</f>
        <v>0</v>
      </c>
      <c r="FX24" s="1569" t="e">
        <f aca="false">IF(AND(Assumptions!$H$71="Yes",A24&gt;=Assumptions!$H$72,A24&lt;=Assumptions!$H$73),0,IF(ET24&gt;0,MAX(BH24*(1+VLOOKUP($C24,WeatherCapacityAdjustment,2))-FP24,0),0))</f>
        <v>#VALUE!</v>
      </c>
      <c r="FY24" s="1551" t="e">
        <f aca="false">IF(AND(Assumptions!$H$71="Yes",A24&gt;=Assumptions!$H$72,A24&lt;=Assumptions!$H$73),0,IF(EU24&gt;0,MAX(BI24*(1+VLOOKUP($C24,WeatherCapacityAdjustment,3))-FQ24,0),0))</f>
        <v>#VALUE!</v>
      </c>
      <c r="FZ24" s="1551" t="e">
        <f aca="false">IF(AND(Assumptions!$H$71="Yes",A24&gt;=Assumptions!$H$72,A24&lt;=Assumptions!$H$73),0,IF(EV24&gt;0,MAX(BJ24*(1+VLOOKUP($C24,WeatherCapacityAdjustment,2))-FR24,0),0))</f>
        <v>#VALUE!</v>
      </c>
      <c r="GA24" s="1564" t="e">
        <f aca="false">IF(AND(Assumptions!$H$71="Yes",A24&gt;=Assumptions!$H$72,A24&lt;=Assumptions!$H$73),0,IF(EW24&gt;0,MAX(BK24*(1+VLOOKUP($C24,WeatherCapacityAdjustment,2))-FS24,0),0))</f>
        <v>#VALUE!</v>
      </c>
      <c r="GB24" s="1551" t="e">
        <f aca="false">SUM(FT24:GA24)</f>
        <v>#VALUE!</v>
      </c>
      <c r="GC24" s="1563" t="e">
        <f aca="false">+IF(SUM(FT24:GA24)=0,0,(SUMPRODUCT(BU24:BX24,FT24:FW24)+SUMPRODUCT(CA24:CD24,FX24:GA24))/SUM(FT24:GA24))</f>
        <v>#VALUE!</v>
      </c>
      <c r="GD24" s="1551" t="e">
        <f aca="false">(FT24*BU24+FX24*CA24+FU24*BV24+FY24*CB24+FV24*BW24+FZ24*CC24+FW24*BX24+GA24*CD24)</f>
        <v>#VALUE!</v>
      </c>
      <c r="GE24" s="1561" t="e">
        <f aca="false">+IF(BQ24,((FL24+FM24+FT24+FU24)*HeatRatePeak/1000*(1+VLOOKUP($C24,WeatherHeatRateAdjustment,2))+(FN24+FV24)*IF(EV24&gt;0,HeatRatePeak,HeatRateOffPeak)/1000*(1+VLOOKUP($C24,WeatherHeatRateAdjustment,2))+(FO24+FW24)*IF(EW24&gt;0,HeatRatePeak,HeatRateOffPeak)/1000*(1+VLOOKUP($C24,WeatherHeatRateAdjustment,3)))*(1+VLOOKUP($B24,HeatRateDegradation,$C24+1)),0)</f>
        <v>#VALUE!</v>
      </c>
      <c r="GF24" s="1562" t="e">
        <f aca="false">IF(BQ24,((FP24+FQ24+FR24+FX24+FY24+FZ24)*HeatRatePeak/1000*(1+VLOOKUP($C24,WeatherHeatRateAdjustment,2))+(FS24+GA24)*HeatRatePeak/1000*(1+VLOOKUP($C24,WeatherHeatRateAdjustment,3)))*(1+VLOOKUP($B24,HeatRateDegradation,$C24+1)),0)</f>
        <v>#VALUE!</v>
      </c>
      <c r="GG24" s="1563" t="e">
        <f aca="false">IF(BQ24,VLOOKUP(A24,GasTable,13),0)</f>
        <v>#VALUE!</v>
      </c>
      <c r="GH24" s="1564" t="e">
        <f aca="false">(GE24+GF24)*GG24</f>
        <v>#VALUE!</v>
      </c>
      <c r="GI24" s="1569" t="e">
        <f aca="false">GB24</f>
        <v>#VALUE!</v>
      </c>
      <c r="GJ24" s="1598" t="e">
        <f aca="false">+DA24</f>
        <v>#VALUE!</v>
      </c>
      <c r="GK24" s="1558" t="e">
        <f aca="false">+GI24*GJ24</f>
        <v>#VALUE!</v>
      </c>
      <c r="GL24" s="1566" t="e">
        <f aca="false">MAX(FE24-FL24-FP24,0)</f>
        <v>#VALUE!</v>
      </c>
      <c r="GM24" s="1551" t="e">
        <f aca="false">MAX(FF24-FM24-FQ24,0)</f>
        <v>#VALUE!</v>
      </c>
      <c r="GN24" s="1551" t="e">
        <f aca="false">MAX(FG24-FN24-FR24,0)</f>
        <v>#VALUE!</v>
      </c>
      <c r="GO24" s="1564" t="e">
        <f aca="false">MAX(FH24-FO24-FS24,0)</f>
        <v>#VALUE!</v>
      </c>
      <c r="GP24" s="1551" t="e">
        <f aca="false">SUM(GL24:GO24)</f>
        <v>#VALUE!</v>
      </c>
      <c r="GQ24" s="1563" t="e">
        <f aca="false">IF(SUM(GL24:GO24)=0,0,((GL24*BU24+GM24*BV24+GN24*BW24+GO24*BX24)/SUM(GL24:GO24)))</f>
        <v>#VALUE!</v>
      </c>
      <c r="GR24" s="1558" t="e">
        <f aca="false">(GL24*BU24+GM24*BV24+GN24*BW24+GO24*BX24)</f>
        <v>#VALUE!</v>
      </c>
      <c r="GS24" s="1566" t="n">
        <f aca="false">IF($A24&gt;=BegDate,Assumptions!$C$56*24*($A25-$A24)*(1-VLOOKUP($B24,MAIN!$AA$7:$AM$28,$C24+1))*(1-VLOOKUP($B24,MAIN!$AA$33:$AM$54,$C24+1)),0)*80/168</f>
        <v>0</v>
      </c>
      <c r="GT24" s="286" t="n">
        <f aca="false">J24</f>
        <v>33.7331</v>
      </c>
      <c r="GU24" s="286" t="n">
        <f aca="false">IF($A24&gt;=BegDate,VLOOKUP($A24,GasTable,13)+Assumptions!$C$58,0)</f>
        <v>0</v>
      </c>
      <c r="GV24" s="286" t="n">
        <f aca="false">GU24*Assumptions!$C$57/1000</f>
        <v>0</v>
      </c>
      <c r="GW24" s="1558" t="n">
        <f aca="false">IF(Assumptions!$C$60="Hourly",MAX(0,GS24*(GT24-GV24)),GS24*(GT24-GV24))</f>
        <v>0</v>
      </c>
      <c r="GX24" s="1566" t="n">
        <f aca="false">IF($A24&gt;=BegDate,Assumptions!$C$56*24*($A25-$A24)*(1-VLOOKUP($B24,MAIN!$AA$7:$AM$28,$C24+1))*(1-VLOOKUP($B24,MAIN!$AA$33:$AM$54,$C24+1)),0)*16/168</f>
        <v>0</v>
      </c>
      <c r="GY24" s="286" t="n">
        <f aca="false">M24</f>
        <v>33.7331</v>
      </c>
      <c r="GZ24" s="286" t="n">
        <f aca="false">IF($A24&gt;=BegDate,VLOOKUP($A24,GasTable,13)+Assumptions!$C$58,0)</f>
        <v>0</v>
      </c>
      <c r="HA24" s="286" t="n">
        <f aca="false">GZ24*Assumptions!$C$57/1000</f>
        <v>0</v>
      </c>
      <c r="HB24" s="1558" t="n">
        <f aca="false">IF(Assumptions!$C$60="Hourly",MAX(0,GX24*(GY24-HA24)),GX24*(GY24-HA24))</f>
        <v>0</v>
      </c>
      <c r="HC24" s="1566" t="n">
        <f aca="false">IF($A24&gt;=BegDate,Assumptions!$C$56*24*($A25-$A24)*(1-VLOOKUP($B24,MAIN!$AA$7:$AM$28,$C24+1))*(1-VLOOKUP($B24,MAIN!$AA$33:$AM$54,$C24+1)),0)*16/168</f>
        <v>0</v>
      </c>
      <c r="HD24" s="286" t="n">
        <f aca="false">P24</f>
        <v>23.7532</v>
      </c>
      <c r="HE24" s="286" t="n">
        <f aca="false">IF($A24&gt;=BegDate,VLOOKUP($A24,GasTable,13)+Assumptions!$C$58,0)</f>
        <v>0</v>
      </c>
      <c r="HF24" s="286" t="n">
        <f aca="false">HE24*Assumptions!$C$57/1000</f>
        <v>0</v>
      </c>
      <c r="HG24" s="1558" t="n">
        <f aca="false">IF(Assumptions!$C$60="Hourly",MAX(0,HC24*(HD24-HF24)),HC24*(HD24-HF24))</f>
        <v>0</v>
      </c>
      <c r="HH24" s="1566" t="n">
        <f aca="false">IF($A24&gt;=BegDate,Assumptions!$C$56*24*($A25-$A24)*(1-VLOOKUP($B24,MAIN!$AA$7:$AM$28,$C24+1))*(1-VLOOKUP($B24,MAIN!$AA$33:$AM$54,$C24+1)),0)*56/168</f>
        <v>0</v>
      </c>
      <c r="HI24" s="286" t="n">
        <f aca="false">S24</f>
        <v>23.7532</v>
      </c>
      <c r="HJ24" s="286" t="n">
        <f aca="false">IF($A24&gt;=BegDate,VLOOKUP($A24,GasTable,13)+Assumptions!$C$58,0)</f>
        <v>0</v>
      </c>
      <c r="HK24" s="286" t="n">
        <f aca="false">HJ24*Assumptions!$C$57/1000</f>
        <v>0</v>
      </c>
      <c r="HL24" s="1558" t="n">
        <f aca="false">IF(Assumptions!$C$60="Hourly",MAX(0,HH24*(HI24-HK24)),HH24*(HI24-HK24))</f>
        <v>0</v>
      </c>
      <c r="HM24" s="1566" t="n">
        <f aca="false">IF(AND(Assumptions!$H$71="Yes",A24&gt;=Assumptions!$H$72,A24&lt;=Assumptions!$H$73),Assumptions!$H$74*Assumptions!$C$9*1000,0)</f>
        <v>0</v>
      </c>
      <c r="HN24" s="1558"/>
      <c r="HO24" s="1567" t="n">
        <f aca="false">HO23+1</f>
        <v>2010</v>
      </c>
      <c r="HP24" s="1566" t="e">
        <f aca="false">SUMIF($B$17:$B$292,HO24,$FJ$17:$FJ$292)</f>
        <v>#VALUE!</v>
      </c>
      <c r="HQ24" s="1568" t="e">
        <f aca="false">IF(HR24=0,0,HR24/HP24)</f>
        <v>#VALUE!</v>
      </c>
      <c r="HR24" s="1564" t="e">
        <f aca="false">SUMIF($B$17:$B$292,HO24,$FK$17:$FK$292)</f>
        <v>#VALUE!</v>
      </c>
      <c r="HS24" s="1569" t="e">
        <f aca="false">SUMIF($B$17:$B$292,HO24,$GB$17:$GB$292)</f>
        <v>#VALUE!</v>
      </c>
      <c r="HT24" s="1563" t="e">
        <f aca="false">+IF(HS24&gt;0,HU24/HS24,0)</f>
        <v>#VALUE!</v>
      </c>
      <c r="HU24" s="1551" t="e">
        <f aca="false">SUMIF($B$17:$B$292,HO24,$GD$17:$GD$292)</f>
        <v>#VALUE!</v>
      </c>
      <c r="HV24" s="1569" t="e">
        <f aca="false">HR24+HU24</f>
        <v>#VALUE!</v>
      </c>
      <c r="HW24" s="1551" t="e">
        <f aca="false">SUMIF($B$17:$B$292,$HO24,$EN$17:$EN$292)</f>
        <v>#VALUE!</v>
      </c>
      <c r="HX24" s="1551" t="e">
        <f aca="false">SUMIF($B$17:$B$292,$HO24,$FC$17:$FC$292)</f>
        <v>#VALUE!</v>
      </c>
      <c r="HY24" s="1551" t="n">
        <f aca="false">IF(Assumptions!$L$24="Yes",HW24+HX24,0)</f>
        <v>0</v>
      </c>
      <c r="HZ24" s="1566" t="e">
        <f aca="false">SUMIF($B$17:$B$292,HO24,$GE$17:$GE$292)+SUMIF($B$17:$B$292,HO24,$GF$17:$GF$292)</f>
        <v>#VALUE!</v>
      </c>
      <c r="IA24" s="1563" t="e">
        <f aca="false">IF(IB24=0,0,IB24/HZ24)</f>
        <v>#VALUE!</v>
      </c>
      <c r="IB24" s="1564" t="e">
        <f aca="false">-SUMIF($B$17:$B$292,HO24,$GH$17:$GH$292)</f>
        <v>#VALUE!</v>
      </c>
      <c r="IC24" s="1569" t="e">
        <f aca="false">SUMIF($B$17:$B$292,HO24,$GI$17:$GI$292)</f>
        <v>#VALUE!</v>
      </c>
      <c r="ID24" s="1563" t="e">
        <f aca="false">IF(IE24=0,0,IE24/IC24)</f>
        <v>#VALUE!</v>
      </c>
      <c r="IE24" s="1564" t="e">
        <f aca="false">-SUMIF($B$17:$B$292,HO24,$GK$17:$GK$292)</f>
        <v>#VALUE!</v>
      </c>
      <c r="IF24" s="1551" t="e">
        <f aca="false">SUMIF($B$17:$B$292,HO24,$GP$17:$GP$292)</f>
        <v>#VALUE!</v>
      </c>
      <c r="IG24" s="1563" t="e">
        <f aca="false">IF(IH24=0,0,IH24/IF24)</f>
        <v>#VALUE!</v>
      </c>
      <c r="IH24" s="1564" t="e">
        <f aca="false">-SUMIF($B$17:$B$292,HO24,$GR$17:$GR$292)</f>
        <v>#VALUE!</v>
      </c>
      <c r="II24" s="1570" t="n">
        <f aca="false">(SUMIF($B$17:$B$292,HO24,$GW$17:$GW$292)+SUMIF($B$17:$B$292,HO24,$HB$17:$HB$292)+SUMIF($B$17:$B$292,HO24,$HG$17:$HG$292)+SUMIF($B$17:$B$292,HO24,$HL$17:$HL$292))*Assumptions!$C$59</f>
        <v>1376963.68916338</v>
      </c>
      <c r="IJ24" s="1309" t="n">
        <f aca="false">SUMIF($B$17:$B$292,HO24,$HM$17:$HM$292)</f>
        <v>0</v>
      </c>
      <c r="IK24" s="1309"/>
    </row>
    <row r="25" customFormat="false" ht="12.75" hidden="false" customHeight="false" outlineLevel="0" collapsed="false">
      <c r="A25" s="1571" t="n">
        <f aca="false">EOMONTH(A24,0)+1</f>
        <v>36892</v>
      </c>
      <c r="B25" s="594" t="n">
        <f aca="false">+YEAR(A25)</f>
        <v>2001</v>
      </c>
      <c r="C25" s="238" t="n">
        <f aca="false">MONTH(A25)</f>
        <v>1</v>
      </c>
      <c r="D25" s="1572" t="str">
        <f aca="false">IF(E25="","",Holiday(B25,C25))</f>
        <v/>
      </c>
      <c r="E25" s="1573" t="str">
        <f aca="false">IF(OR(BegDate&gt;=A26,EndDate&lt;A25,AND(VolumeMonthlyOverFlag,INDEX(VolumeMonthlyOver,C25)=0),NOT(INDEX(MonthKnockOutTable,C25))),"",MAX(A25,BegDate))</f>
        <v/>
      </c>
      <c r="F25" s="1574" t="str">
        <f aca="false">IF(E25="","",MIN(A26-1,EndDate))</f>
        <v/>
      </c>
      <c r="G25" s="1575" t="n">
        <v>0</v>
      </c>
      <c r="H25" s="1576" t="n">
        <f aca="false">(1+G25/2)^(-2*(DATE(B26,C26,20)-DateToday)/365.25)</f>
        <v>1</v>
      </c>
      <c r="I25" s="1568" t="n">
        <f aca="false">IF(Assumptions!$L$25=4,VLOOKUP($A25,'Henwood Reference'!$E$9:$R$320,10),(VLOOKUP($A25,PriceTable,2,0)+IF(BasisNumber&lt;&gt;1,VLOOKUP($A25,BasisTable,2,0),0)+I$1)/(1-I$2))</f>
        <v>34.143684</v>
      </c>
      <c r="J25" s="1568" t="n">
        <f aca="false">IF(Assumptions!$L$25=4,VLOOKUP($A25,'Henwood Reference'!$E$9:$R$320,10),(VLOOKUP($A25,PriceTable,3,0)+IF(BasisNumber&lt;&gt;1,VLOOKUP($A25,BasisTable,2,0),0)+J$1)/(1-J$2))</f>
        <v>34.143684</v>
      </c>
      <c r="K25" s="1568" t="n">
        <f aca="false">IF(Assumptions!$L$25=4,VLOOKUP($A25,'Henwood Reference'!$E$9:$R$320,10),(VLOOKUP($A25,PriceTable,4,0)+IF(BasisNumber&lt;&gt;1,VLOOKUP($A25,BasisTable,2,0),0)+K$1)/(1-K$2))</f>
        <v>34.143684</v>
      </c>
      <c r="L25" s="1523" t="n">
        <f aca="false">IF(Assumptions!$L$25=4,VLOOKUP($A25,'Henwood Reference'!$E$9:$R$320,10),(VLOOKUP($A25,PriceTableWeekend,2,0)+IF(BasisNumber&lt;&gt;1,VLOOKUP($A25,BasisTable,2,0),0)+L$1)/(1-L$2))</f>
        <v>34.143684</v>
      </c>
      <c r="M25" s="1568" t="n">
        <f aca="false">IF(Assumptions!$L$25=4,VLOOKUP($A25,'Henwood Reference'!$E$9:$R$320,10),(VLOOKUP($A25,PriceTableWeekend,3,0)+IF(BasisNumber&lt;&gt;1,VLOOKUP($A25,BasisTable,2,0),0)+M$1)/(1-M$2))</f>
        <v>34.143684</v>
      </c>
      <c r="N25" s="1599" t="n">
        <f aca="false">IF(Assumptions!$L$25=4,VLOOKUP($A25,'Henwood Reference'!$E$9:$R$320,10),(VLOOKUP($A25,PriceTableWeekend,4,0)+IF(BasisNumber&lt;&gt;1,VLOOKUP($A25,BasisTable,2,0),0)+N$1)/(1-N$2))</f>
        <v>34.143684</v>
      </c>
      <c r="O25" s="1568" t="n">
        <f aca="false">IF(Assumptions!$L$25=4,VLOOKUP($A25,'Henwood Reference'!$E$9:$R$320,11),(VLOOKUP($A25,PriceTableWeekend,6,0)+IF(BasisNumber&lt;&gt;1,VLOOKUP($A25,BasisTable,3,0),0)+O$1)/(1-O$2))</f>
        <v>25.827624</v>
      </c>
      <c r="P25" s="1568" t="n">
        <f aca="false">IF(Assumptions!$L$25=4,VLOOKUP($A25,'Henwood Reference'!$E$9:$R$320,11),(VLOOKUP($A25,PriceTableWeekend,7,0)+IF(BasisNumber&lt;&gt;1,VLOOKUP($A25,BasisTable,3,0),0)+P$1)/(1-P$2))</f>
        <v>25.827624</v>
      </c>
      <c r="Q25" s="1599" t="n">
        <f aca="false">IF(Assumptions!$L$25=4,VLOOKUP($A25,'Henwood Reference'!$E$9:$R$320,11),(VLOOKUP($A25,PriceTableWeekend,8,0)+IF(BasisNumber&lt;&gt;1,VLOOKUP($A25,BasisTable,3,0),0)+Q$1)/(1-Q$2))</f>
        <v>25.827624</v>
      </c>
      <c r="R25" s="1568" t="n">
        <f aca="false">IF(Assumptions!$L$25=4,VLOOKUP($A25,'Henwood Reference'!$E$9:$R$320,11),(VLOOKUP($A25,PriceTable,6,0)+IF(BasisNumber&lt;&gt;1,VLOOKUP($A25,BasisTable,3,0),0)+R$1)/(1-R$2))</f>
        <v>25.827624</v>
      </c>
      <c r="S25" s="1568" t="n">
        <f aca="false">IF(Assumptions!$L$25=4,VLOOKUP($A25,'Henwood Reference'!$E$9:$R$320,11),(VLOOKUP($A25,PriceTable,7,0)+IF(BasisNumber&lt;&gt;1,VLOOKUP($A25,BasisTable,3,0),0)+S$1)/(1-S$2))</f>
        <v>25.827624</v>
      </c>
      <c r="T25" s="1600" t="n">
        <f aca="false">IF(Assumptions!$L$25=4,VLOOKUP($A25,'Henwood Reference'!$E$9:$R$320,11),(VLOOKUP($A25,PriceTable,8,0)+IF(BasisNumber&lt;&gt;1,VLOOKUP($A25,BasisTable,3,0),0)+T$1)/(1-T$2))</f>
        <v>25.827624</v>
      </c>
      <c r="U25" s="1513" t="n">
        <f aca="false">VLOOKUP($A25,VolatilityTable,14)</f>
        <v>0.22</v>
      </c>
      <c r="V25" s="1513" t="n">
        <f aca="false">VLOOKUP($A25,VolatilityTable,15)</f>
        <v>0.23</v>
      </c>
      <c r="W25" s="1514" t="n">
        <f aca="false">VLOOKUP($A25,VolatilityTable,16)</f>
        <v>0.28</v>
      </c>
      <c r="X25" s="1513" t="n">
        <f aca="false">VLOOKUP($A25,VolatilityTable,14)</f>
        <v>0.22</v>
      </c>
      <c r="Y25" s="1513" t="n">
        <f aca="false">VLOOKUP($A25,VolatilityTable,15)</f>
        <v>0.23</v>
      </c>
      <c r="Z25" s="1514" t="n">
        <f aca="false">VLOOKUP($A25,VolatilityTable,16)</f>
        <v>0.28</v>
      </c>
      <c r="AA25" s="1513" t="n">
        <f aca="false">VLOOKUP($A25,VolatilityTable,18)</f>
        <v>0.05</v>
      </c>
      <c r="AB25" s="1513" t="n">
        <f aca="false">VLOOKUP($A25,VolatilityTable,19)</f>
        <v>0.11</v>
      </c>
      <c r="AC25" s="1514" t="n">
        <f aca="false">VLOOKUP($A25,VolatilityTable,20)</f>
        <v>0.15</v>
      </c>
      <c r="AD25" s="1513" t="n">
        <f aca="false">VLOOKUP($A25,VolatilityTable,18)</f>
        <v>0.05</v>
      </c>
      <c r="AE25" s="1513" t="n">
        <f aca="false">VLOOKUP($A25,VolatilityTable,19)</f>
        <v>0.11</v>
      </c>
      <c r="AF25" s="1514" t="n">
        <f aca="false">VLOOKUP($A25,VolatilityTable,20)</f>
        <v>0.15</v>
      </c>
      <c r="AG25" s="1513" t="n">
        <f aca="false">VLOOKUP($A25,VolatilityTable,22)</f>
        <v>-0.25</v>
      </c>
      <c r="AH25" s="1513" t="n">
        <f aca="false">VLOOKUP($A25,VolatilityTable,23)</f>
        <v>0.65</v>
      </c>
      <c r="AI25" s="1514" t="n">
        <f aca="false">VLOOKUP($A25,VolatilityTable,24)</f>
        <v>0.25</v>
      </c>
      <c r="AJ25" s="1513" t="n">
        <f aca="false">VLOOKUP($A25,VolatilityTable,22)</f>
        <v>-0.25</v>
      </c>
      <c r="AK25" s="1513" t="n">
        <f aca="false">VLOOKUP($A25,VolatilityTable,23)</f>
        <v>0.65</v>
      </c>
      <c r="AL25" s="1514" t="n">
        <f aca="false">VLOOKUP($A25,VolatilityTable,24)</f>
        <v>0.25</v>
      </c>
      <c r="AM25" s="1513" t="n">
        <f aca="false">VLOOKUP($A25,VolatilityTable,26)</f>
        <v>-0.01</v>
      </c>
      <c r="AN25" s="1513" t="n">
        <f aca="false">VLOOKUP($A25,VolatilityTable,27)</f>
        <v>0.16</v>
      </c>
      <c r="AO25" s="1514" t="n">
        <f aca="false">VLOOKUP($A25,VolatilityTable,28)</f>
        <v>0.01</v>
      </c>
      <c r="AP25" s="1513" t="n">
        <f aca="false">VLOOKUP($A25,VolatilityTable,26)</f>
        <v>-0.01</v>
      </c>
      <c r="AQ25" s="1513" t="n">
        <f aca="false">VLOOKUP($A25,VolatilityTable,27)</f>
        <v>0.16</v>
      </c>
      <c r="AR25" s="1515" t="n">
        <f aca="false">VLOOKUP($A25,VolatilityTable,28)</f>
        <v>0.01</v>
      </c>
      <c r="AS25" s="1581" t="n">
        <f aca="false">IF(CorrPeakOffPeakOverFlag,INDEX(CorrPeakOffPeakOver,C25),CorrPeakOffPeak)</f>
        <v>0.5</v>
      </c>
      <c r="AT25" s="594" t="n">
        <f aca="false">AX25-SUM(AU25:AW25)</f>
        <v>0</v>
      </c>
      <c r="AU25" s="238" t="n">
        <f aca="false">IF(E25="",0,INT((F25-MOD(F25,7)-E25)/7)+1-IF(AW25,IF(WEEKDAY(D25)=7,1,0),0))</f>
        <v>0</v>
      </c>
      <c r="AV25" s="238" t="n">
        <f aca="false">IF(E25="",0,INT((F25-MOD(F25-1,7)-E25)/7)+1-IF(AW25,IF(WEEKDAY(D25)=1,1,0),0))</f>
        <v>0</v>
      </c>
      <c r="AW25" s="238" t="n">
        <f aca="false">IF(OR(E25="",D25="",D25&lt;BegDate,D25&gt;EndDate),0,1)</f>
        <v>0</v>
      </c>
      <c r="AX25" s="238" t="n">
        <f aca="false">IF(E25="",0,F25-E25+1)</f>
        <v>0</v>
      </c>
      <c r="AY25" s="1582" t="n">
        <f aca="false">IF(E25="",0,MIN((1-(1-VLOOKUP(B25,MAIN!$AA$7:$AM$28,C25+1))*(1-VLOOKUP(B25,MAIN!$AA$33:$AM$54,C25+1))),1))</f>
        <v>0</v>
      </c>
      <c r="AZ25" s="1519" t="e">
        <v>#VALUE!</v>
      </c>
      <c r="BA25" s="1520" t="e">
        <v>#VALUE!</v>
      </c>
      <c r="BB25" s="1520" t="e">
        <v>#VALUE!</v>
      </c>
      <c r="BC25" s="1583" t="e">
        <v>#VALUE!</v>
      </c>
      <c r="BD25" s="1522" t="e">
        <v>#VALUE!</v>
      </c>
      <c r="BE25" s="1523" t="e">
        <v>#VALUE!</v>
      </c>
      <c r="BF25" s="1523" t="e">
        <v>#VALUE!</v>
      </c>
      <c r="BG25" s="1584" t="e">
        <v>#VALUE!</v>
      </c>
      <c r="BH25" s="1525" t="e">
        <v>#VALUE!</v>
      </c>
      <c r="BI25" s="1520" t="e">
        <v>#VALUE!</v>
      </c>
      <c r="BJ25" s="1520" t="e">
        <v>#VALUE!</v>
      </c>
      <c r="BK25" s="1583" t="e">
        <v>#VALUE!</v>
      </c>
      <c r="BL25" s="1522" t="e">
        <v>#VALUE!</v>
      </c>
      <c r="BM25" s="1523" t="e">
        <v>#VALUE!</v>
      </c>
      <c r="BN25" s="1523" t="e">
        <v>#VALUE!</v>
      </c>
      <c r="BO25" s="1523" t="e">
        <v>#VALUE!</v>
      </c>
      <c r="BP25" s="1525" t="e">
        <f aca="false">SUM(AZ25:BB25)</f>
        <v>#VALUE!</v>
      </c>
      <c r="BQ25" s="1529" t="e">
        <f aca="false">SUM(AZ25:BC25)</f>
        <v>#VALUE!</v>
      </c>
      <c r="BR25" s="1519" t="e">
        <f aca="false">SUM(BH25:BJ25)</f>
        <v>#VALUE!</v>
      </c>
      <c r="BS25" s="1529" t="e">
        <f aca="false">SUM(BH25:BK25)</f>
        <v>#VALUE!</v>
      </c>
      <c r="BT25" s="1316" t="n">
        <f aca="false">(IF(OVolType&lt;&gt;2,A25+14,IF(OptExpDateShift,ShiftBack(A25,OptExpDateShift,D24),A25))-DateToday)/365.25</f>
        <v>0.717316906228611</v>
      </c>
      <c r="BU25" s="1585" t="e">
        <f aca="false">IF(BQ25,IF(OPriceCurve,IF(OBuySell=OCallPut,I25/(1-AY25),K25/(1-AY25)),J25/(1-AY25))*BD25,0)</f>
        <v>#VALUE!</v>
      </c>
      <c r="BV25" s="1316" t="e">
        <f aca="false">IF(BQ25,IF(OPriceCurve,IF(OBuySell=OCallPut,L25/(1-AY25),N25/(1-AY25)),M25/(1-AY25))*BE25,0)</f>
        <v>#VALUE!</v>
      </c>
      <c r="BW25" s="1316" t="e">
        <f aca="false">IF(BQ25,IF(OPriceCurve,IF(OBuySell=OCallPut,O25/(1-AY25),Q25/(1-AY25)),P25/(1-AY25))*BF25,0)</f>
        <v>#VALUE!</v>
      </c>
      <c r="BX25" s="1316" t="e">
        <f aca="false">IF(BQ25,IF(OPriceCurve,IF(OBuySell=OCallPut,R25/(1-AY25),T25/(1-AY25)),S25/(1-AY25))*BG25,0)</f>
        <v>#VALUE!</v>
      </c>
      <c r="BY25" s="1316" t="e">
        <f aca="false">IF(BP25,(BU25*AZ25+BV25*BA25+BW25*BB25)/BP25,0)</f>
        <v>#VALUE!</v>
      </c>
      <c r="BZ25" s="1316" t="e">
        <f aca="false">IF(BQ25,(BY25*BP25+BX25*BC25)/BQ25,0)</f>
        <v>#VALUE!</v>
      </c>
      <c r="CA25" s="1531" t="e">
        <f aca="false">IF(BS25,IF(OPriceCurve,IF(OBuySell=OCallPut,I25/(1-AY25),K25/(1-AY25)),J25/(1-AY25))*BL25,0)</f>
        <v>#VALUE!</v>
      </c>
      <c r="CB25" s="1316" t="e">
        <f aca="false">IF(BS25,IF(OPriceCurve,IF(OBuySell=OCallPut,L25/(1-AY25),N25/(1-AY25)),M25/(1-AY25))*BM25,0)</f>
        <v>#VALUE!</v>
      </c>
      <c r="CC25" s="1316" t="e">
        <f aca="false">IF(BS25,IF(OPriceCurve,IF(OBuySell=OCallPut,O25/(1-AY25),Q25/(1-AY25)),P25/(1-AY25))*BN25,0)</f>
        <v>#VALUE!</v>
      </c>
      <c r="CD25" s="1316" t="e">
        <f aca="false">IF(BS25,IF(OPriceCurve,IF(OBuySell=OCallPut,R25/(1-AY25),T25/(1-AY25)),S25/(1-AY25))*BO25,0)</f>
        <v>#VALUE!</v>
      </c>
      <c r="CE25" s="1316" t="e">
        <f aca="false">IF(BR25,(BU25*BH25+BV25*BI25+BW25*BJ25)/BR25,0)</f>
        <v>#VALUE!</v>
      </c>
      <c r="CF25" s="1532" t="e">
        <f aca="false">IF(BS25,(CE25*BR25+CD25*BK25)/BS25,0)</f>
        <v>#VALUE!</v>
      </c>
      <c r="CG25" s="1586" t="e">
        <f aca="false">IF(OR(BQ25,BS25),IF(OVolType&lt;&gt;2,SQRT(IF(OVolOverMonthlyPeak,OVolOverMonthlyPeak,IF(OVolCurve,IF(OBuySell,U25,W25),V25))^2*(1-15/365.25/BT25)+IF(OVolOverDailyPeak,OVolOverDailyPeak,IF(OVolCurve,IF(OBuySell,AG25,AI25),AH25))^2*15/365.25/BT25),IF(OVolOverMonthlyPeak,OVolOverMonthlyPeak,IF(OVolCurve,IF(OBuySell,U25,W25),V25))),"")</f>
        <v>#VALUE!</v>
      </c>
      <c r="CH25" s="1587" t="e">
        <f aca="false">IF(OR(BQ25,BS25),IF(OVolType&lt;&gt;2,SQRT(IF(OVolOverMonthlyPeak,OVolOverMonthlyPeak,IF(OVolCurve,IF(OBuySell,X25,Z25),Y25))^2*(1-15/365.25/BT25)+IF(OVolOverDailyPeak,OVolOverDailyPeak,IF(OVolCurve,IF(OBuySell,AJ25,AL25),AK25))^2*15/365.25/BT25),IF(OVolOverMonthlyPeak,OVolOverMonthlyPeak,IF(OVolCurve,IF(OBuySell,X25,Z25),Y25))),"")</f>
        <v>#VALUE!</v>
      </c>
      <c r="CI25" s="1587" t="e">
        <f aca="false">IF(OR(BQ25,BS25),IF(OVolType&lt;&gt;2,SQRT(IF(OVolOverMonthlyPeak,OVolOverMonthlyPeak,IF(OVolCurve,IF(OBuySell,AA25,AC25),AB25))^2*(1-15/365.25/BT25)+IF(OVolOverDailyPeak,OVolOverDailyPeak,IF(OVolCurve,IF(OBuySell,AM25,AO25),AN25))^2*15/365.25/BT25),IF(OVolOverMonthlyPeak,OVolOverMonthlyPeak,IF(OVolCurve,IF(OBuySell,AA25,AC25),AB25))),"")</f>
        <v>#VALUE!</v>
      </c>
      <c r="CJ25" s="1587" t="e">
        <f aca="false">IF(BQ25,IF(BP25,SQRT(LN(1+((BU25*AZ25)^2*(EXP(CG25^2*BT25)-1)+(BV25*BA25)^2*(EXP(CH25^2*BT25)-1)+(BW25*BB25)^2*(EXP(CI25^2*BT25)-1)+2*BU25*AZ25*BV25*BA25*(EXP(CG25*CH25*BT25)-1)+2*BV25*BA25*BW25*BB25*(EXP(CH25*CI25*BT25)-1)+2*BW25*BB25*BU25*AZ25*(EXP(CI25*CG25*BT25)-1))/(BY25*BP25)^2)/BT25),0),"")</f>
        <v>#VALUE!</v>
      </c>
      <c r="CK25" s="1587" t="e">
        <f aca="false">IF(BS25,IF(BR25,SQRT(LN(1+((CA25*BH25)^2*(EXP(CG25^2*BT25)-1)+(CB25*BI25)^2*(EXP(CH25^2*BT25)-1)+(CC25*BJ25)^2*(EXP(CI25^2*BT25)-1)+2*CA25*BH25*CB25*BI25*(EXP(CG25*CH25*BT25)-1)+2*CB25*BI25*CC25*BJ25*(EXP(CH25*CI25*BT25)-1)+2*CC25*BJ25*CA25*BH25*(EXP(CI25*CG25*BT25)-1))/(CE25*BR25)^2)/BT25),0),"")</f>
        <v>#VALUE!</v>
      </c>
      <c r="CL25" s="1587" t="e">
        <f aca="false">IF(OR(BQ25,BS25),IF(OVolType&lt;&gt;2,SQRT(IF(OVolOverMonthlyOffPeak,OVolOverMonthlyOffPeak,IF(OVolCurve,IF(OBuySell,AD25,AF25),AE25))^2*(1-15/365.25/BT25)+IF(OVolOverDailyOffPeak,OVolOverDailyOffPeak,IF(OVolCurve,IF(OBuySell,AP25,AR25),AQ25))^2*15/365.25/BT25),IF(OVolOverMonthlyOffPeak,OVolOverMonthlyOffPeak,IF(OVolCurve,IF(OBuySell,AD25,AF25),AE25))),"")</f>
        <v>#VALUE!</v>
      </c>
      <c r="CM25" s="1587" t="e">
        <f aca="false">IF(BQ25,SQRT(LN(1+((BY25*BP25)^2*(EXP(CJ25^2*BT25)-1)+(BX25*BC25)^2*(EXP(CL25^2*BT25)-1)+2*BY25*BP25*BX25*BC25*(EXP(AS25*CJ25*CL25*BT25)-1))/(BY25*BP25+BX25*BC25)^2)/BT25),"")</f>
        <v>#VALUE!</v>
      </c>
      <c r="CN25" s="1588" t="e">
        <f aca="false">IF(BS25,SQRT(LN(1+((CE25*BR25)^2*(EXP(CK25^2*BT25)-1)+(CD25*BK25)^2*(EXP(CL25^2*BT25)-1)+2*CE25*BR25*CD25*BK25*(EXP(AS25*CK25*CL25*BT25)-1))/(CE25*BR25+CD25*BK25)^2)/BT25),"")</f>
        <v>#VALUE!</v>
      </c>
      <c r="CO25" s="1531" t="e">
        <f aca="false">IF(OR(BQ25,BS25),VLOOKUP(A25,GasTable,13)*HeatRatePeak*(1+VLOOKUP($B25,HeatRateDegradation,$C25+1))/1000,0)</f>
        <v>#VALUE!</v>
      </c>
      <c r="CP25" s="1316" t="e">
        <f aca="false">IF(OR(BQ25,BS25),VLOOKUP(A25,GasTable,13)*HeatRatePeak*(1+VLOOKUP($B25,HeatRateDegradation,$C25+1))/1000,0)</f>
        <v>#VALUE!</v>
      </c>
      <c r="CQ25" s="1316" t="e">
        <f aca="false">IF(OR(BQ25,BS25),VLOOKUP(A25,GasTable,13)*IF(EV25,HeatRatePeak,HeatRateOffPeak)*(1+VLOOKUP($B25,HeatRateDegradation,$C25+1))/1000,0)</f>
        <v>#VALUE!</v>
      </c>
      <c r="CR25" s="1316" t="e">
        <f aca="false">IF(OR(BQ25,BS25),VLOOKUP(A25,GasTable,13)*IF(EW25,HeatRatePeak,HeatRateOffPeak)*(1+VLOOKUP($B25,HeatRateDegradation,$C25+1))/1000,0)</f>
        <v>#VALUE!</v>
      </c>
      <c r="CS25" s="1589" t="e">
        <f aca="false">IF(BQ25,(CO25*AZ25+CP25*BA25+CQ25*BB25+CR25*BC25)/BQ25,0)</f>
        <v>#VALUE!</v>
      </c>
      <c r="CT25" s="1316" t="e">
        <f aca="false">IF(BS25,CO25,0)</f>
        <v>#VALUE!</v>
      </c>
      <c r="CU25" s="1590" t="e">
        <f aca="false">IF(OR(BQ25,BS25),VLOOKUP(A25,GasTable,14),"")</f>
        <v>#VALUE!</v>
      </c>
      <c r="CV25" s="1568" t="e">
        <f aca="false">IF(OR(BQ25,BS25),IF(CorrPowerGasOverFlag,INDEX(CorrPowerGasOver,C25),CorrPowerGas),"")</f>
        <v>#VALUE!</v>
      </c>
      <c r="CW25" s="1316" t="e">
        <f aca="false">IF(OR($BQ25,$BS25),SpreadOptPowerMargin,0)*((1+Assumptions!$C$26)^($B25-YEAR(Assumptions!$C$17)))</f>
        <v>#VALUE!</v>
      </c>
      <c r="CX25" s="1316" t="e">
        <f aca="false">IF(OR($BQ25,$BS25),SpreadOptPowerMargin,0)*((1+Assumptions!$C$26)^($B25-YEAR(Assumptions!$C$17)))</f>
        <v>#VALUE!</v>
      </c>
      <c r="CY25" s="1316" t="e">
        <f aca="false">IF(OR($BQ25,$BS25),SpreadOptPowerMargin,0)*((1+Assumptions!$C$26)^($B25-YEAR(Assumptions!$C$17)))</f>
        <v>#VALUE!</v>
      </c>
      <c r="CZ25" s="1316" t="e">
        <f aca="false">IF(OR($BQ25,$BS25),SpreadOptPowerMargin,0)*((1+Assumptions!$C$26)^($B25-YEAR(Assumptions!$C$17)))</f>
        <v>#VALUE!</v>
      </c>
      <c r="DA25" s="1591" t="e">
        <f aca="false">IF(OR(BQ25,BS25),(CW25*(AZ25+BH25)+CX25*(BA25+BI25)+CY25*(BB25+BJ25)+CZ25*(BC25+BK25))/(BQ25+BS25),0)</f>
        <v>#VALUE!</v>
      </c>
      <c r="DB25" s="1592" t="e">
        <f aca="false">IF(OR(BQ25,BS25),CG25+IF(OVolSmile,VLOOKUP(MAX(-5,CO25+CW25-BU25),IF(OVolSmile=1,VolSmileBook,VolSmileModel),2),0),"")</f>
        <v>#VALUE!</v>
      </c>
      <c r="DC25" s="1592" t="e">
        <f aca="false">IF(OR(BQ25,BS25),CH25+IF(OVolSmile,VLOOKUP(MAX(-5,CP25+CW25-BV25),IF(OVolSmile=1,VolSmileBook,VolSmileModel),2),0),"")</f>
        <v>#VALUE!</v>
      </c>
      <c r="DD25" s="1592" t="e">
        <f aca="false">IF(OR(BQ25,BS25),CI25+IF(OVolSmile,VLOOKUP(MAX(-5,CQ25+CW25-BW25),IF(OVolSmile=1,VolSmileBook,VolSmileModel),2),0),"")</f>
        <v>#VALUE!</v>
      </c>
      <c r="DE25" s="1592" t="e">
        <f aca="false">IF(OR(BQ25,BS25),CL25+IF(OVolSmile,VLOOKUP(MAX(-5,CR25+CZ25-BX25),IF(OVolSmile=1,VolSmileBook,VolSmileModel),2),0),"")</f>
        <v>#VALUE!</v>
      </c>
      <c r="DF25" s="1592" t="e">
        <f aca="false">IF(BQ25,CM25+IF(OVolSmile,VLOOKUP(MAX(-5,CS25+DA25-BZ25),IF(OVolSmile=1,VolSmileBook,VolSmileModel),2),0),"")</f>
        <v>#VALUE!</v>
      </c>
      <c r="DG25" s="1593" t="e">
        <f aca="false">IF(BS25,CN25+IF(OVolSmile,VLOOKUP(MAX(-5,CT25+DA25-CF25),IF(OVolSmile=1,VolSmileBook,VolSmileModel),2),0),"")</f>
        <v>#VALUE!</v>
      </c>
      <c r="DH25" s="1316" t="e">
        <f aca="false">IF(AND(BU25&gt;0,CO25&gt;0,DB25&gt;0,CU25&gt;0),newSPRDOPT(BU25,CO25,CW25,0,DB25,CU25,CV25,BT25*365.25,OCallPut,0),0)</f>
        <v>#VALUE!</v>
      </c>
      <c r="DI25" s="1316" t="e">
        <f aca="false">IF(AND(BV25&gt;0,CP25&gt;0,DC25&gt;0,CU25&gt;0),newSPRDOPT(BV25,CP25,CX25,0,DC25,CU25,CV25,BT25*365.25,OCallPut,0),0)</f>
        <v>#VALUE!</v>
      </c>
      <c r="DJ25" s="1316" t="e">
        <f aca="false">IF(AND(BW25&gt;0,CQ25&gt;0,DD25&gt;0,CU25&gt;0),newSPRDOPT(BW25,CQ25,CY25,0,DD25,CU25,CV25,BT25*365.25,OCallPut,0),0)</f>
        <v>#VALUE!</v>
      </c>
      <c r="DK25" s="1316" t="e">
        <f aca="false">IF(AND(BX25&gt;0,CR25&gt;0,DE25&gt;0,CU25&gt;0),newSPRDOPT(BX25,CR25,CZ25,0,DE25,CU25,CV25,BT25*365.25,OCallPut,0),0)</f>
        <v>#VALUE!</v>
      </c>
      <c r="DL25" s="1316" t="e">
        <f aca="false">IF(OVolType,IF(AND(BZ25&gt;0,CS25&gt;0,DF25&gt;0,CU25&gt;0),newSPRDOPT(BZ25,CS25,DA25,0,DF25,CU25,CV25,BT25*365.25,OCallPut,0),0),IF(BQ25,(DH25*AZ25+DI25*BA25+DJ25*BB25+DK25*BC25)/BQ25,0))</f>
        <v>#VALUE!</v>
      </c>
      <c r="DM25" s="1316"/>
      <c r="DN25" s="1316"/>
      <c r="DO25" s="1316"/>
      <c r="DP25" s="1316"/>
      <c r="DQ25" s="1316"/>
      <c r="DR25" s="1316"/>
      <c r="DS25" s="1316"/>
      <c r="DT25" s="1316"/>
      <c r="DU25" s="1316"/>
      <c r="DV25" s="1316"/>
      <c r="DW25" s="1594" t="e">
        <f aca="false">IF(AND(BW25&gt;0,CT25&gt;0,DD25&gt;0,CU25&gt;0),newSPRDOPT(BW25,CT25,CY25,0,DD25,CU25,CV25,BT25*365.25,OCallPut,0),0)</f>
        <v>#VALUE!</v>
      </c>
      <c r="DX25" s="1316" t="e">
        <f aca="false">IF(AND(BX25&gt;0,CT25&gt;0,DE25&gt;0,CU25&gt;0),newSPRDOPT(BX25,CT25,CZ25,0,DE25,CU25,CV25,BT25*365.25,OCallPut,0),0)</f>
        <v>#VALUE!</v>
      </c>
      <c r="DY25" s="1591" t="e">
        <f aca="false">IF(BS25,(DH25*BH25+DI25*BI25+DW25*BJ25+DX25*BK25)/BS25,0)</f>
        <v>#VALUE!</v>
      </c>
      <c r="DZ25" s="1551" t="e">
        <f aca="false">DH25*AZ25</f>
        <v>#VALUE!</v>
      </c>
      <c r="EA25" s="1551" t="e">
        <f aca="false">DI25*BA25</f>
        <v>#VALUE!</v>
      </c>
      <c r="EB25" s="1551" t="e">
        <f aca="false">DJ25*BB25</f>
        <v>#VALUE!</v>
      </c>
      <c r="EC25" s="1551" t="e">
        <f aca="false">DK25*BC25</f>
        <v>#VALUE!</v>
      </c>
      <c r="ED25" s="1551" t="e">
        <f aca="false">DL25*BQ25</f>
        <v>#VALUE!</v>
      </c>
      <c r="EE25" s="1595" t="e">
        <f aca="false">IF(BQ25,IF(OCallPut,IF(BU25&gt;(CO25+CW25),BU25-(CO25+CW25),0),IF((CO25+CW25)&gt;BU25,(CO25+CW25)-BU25,0))*AZ25,0)</f>
        <v>#VALUE!</v>
      </c>
      <c r="EF25" s="1596" t="e">
        <f aca="false">IF(BQ25,IF(OCallPut,IF(BV25&gt;(CP25+CX25),BV25-(CP25+CX25),0),IF((CP25+CX25)&gt;BV25,(CP25+CX25)-BV25,0))*BA25,0)</f>
        <v>#VALUE!</v>
      </c>
      <c r="EG25" s="1596" t="e">
        <f aca="false">IF(BQ25,IF(OCallPut,IF(BW25&gt;(CQ25+CY25),BW25-(CQ25+CY25),0),IF((CQ25+CY25)&gt;BW25,(CQ25+CY25)-BW25,0))*BB25,0)</f>
        <v>#VALUE!</v>
      </c>
      <c r="EH25" s="1596" t="e">
        <f aca="false">IF(BQ25,IF(OCallPut,IF(BX25&gt;(CR25+CZ25),BX25-(CR25+CZ25),0),IF((CR25+CZ25)&gt;BX25,(CR25+CZ25)-BX25,0))*BC25,0)</f>
        <v>#VALUE!</v>
      </c>
      <c r="EI25" s="1597" t="e">
        <f aca="false">IF(BQ25,IF(OVolType,IF(OCallPut,IF(BZ25&gt;(CS25+DA25),BZ25-(CS25+DA25),0),IF((CS25+DA25)&gt;BZ25,(CS25+DA25)-BZ25,0))*BQ25,SUM(EE25:EH25)),0)</f>
        <v>#VALUE!</v>
      </c>
      <c r="EJ25" s="1595" t="e">
        <f aca="false">DZ25-EE25</f>
        <v>#VALUE!</v>
      </c>
      <c r="EK25" s="1596" t="e">
        <f aca="false">EA25-EF25</f>
        <v>#VALUE!</v>
      </c>
      <c r="EL25" s="1596" t="e">
        <f aca="false">EB25-EG25</f>
        <v>#VALUE!</v>
      </c>
      <c r="EM25" s="1596" t="e">
        <f aca="false">EC25-EH25</f>
        <v>#VALUE!</v>
      </c>
      <c r="EN25" s="1597" t="e">
        <f aca="false">ED25-EI25</f>
        <v>#VALUE!</v>
      </c>
      <c r="EO25" s="1551" t="e">
        <f aca="false">DH25*BH25</f>
        <v>#VALUE!</v>
      </c>
      <c r="EP25" s="1551" t="e">
        <f aca="false">DI25*BI25</f>
        <v>#VALUE!</v>
      </c>
      <c r="EQ25" s="1551" t="e">
        <f aca="false">DW25*BJ25</f>
        <v>#VALUE!</v>
      </c>
      <c r="ER25" s="1551" t="e">
        <f aca="false">DX25*BK25</f>
        <v>#VALUE!</v>
      </c>
      <c r="ES25" s="1551" t="e">
        <f aca="false">DY25*BS25</f>
        <v>#VALUE!</v>
      </c>
      <c r="ET25" s="1566" t="e">
        <f aca="false">IF(BS25,IF(OCallPut,IF(CA25&gt;(CT25+CW25),CA25-(CT25+CW25),0),IF((CT25+CW25)&gt;CA25,(CT25+CW25)-CA25,0))*BH25,0)</f>
        <v>#VALUE!</v>
      </c>
      <c r="EU25" s="1551" t="e">
        <f aca="false">IF(BS25,IF(OCallPut,IF(CB25&gt;(CT25+CX25),CB25-(CT25+CX25),0),IF((CT25+CX25)&gt;CB25,(CT25+CX25)-CB25,0))*BI25,0)</f>
        <v>#VALUE!</v>
      </c>
      <c r="EV25" s="1551" t="e">
        <f aca="false">IF(BS25,IF(OCallPut,IF(CC25&gt;(CT25+CY25),CC25-(CT25+CY25),0),IF((CT25+CY25)&gt;CC25,(CT25+CY25)-CC25,0))*BJ25,0)</f>
        <v>#VALUE!</v>
      </c>
      <c r="EW25" s="1551" t="e">
        <f aca="false">IF(BS25,IF(OCallPut,IF(CD25&gt;(CT25+CZ25),CD25-(CT25+CZ25),0),IF((CT25+CZ25)&gt;CD25,(CT25+CZ25)-CD25,0))*BK25,0)</f>
        <v>#VALUE!</v>
      </c>
      <c r="EX25" s="1558" t="e">
        <f aca="false">IF(BS25,SUM(ET25:EW25),0)</f>
        <v>#VALUE!</v>
      </c>
      <c r="EY25" s="1551" t="e">
        <f aca="false">EO25-ET25</f>
        <v>#VALUE!</v>
      </c>
      <c r="EZ25" s="1551" t="e">
        <f aca="false">EP25-EU25</f>
        <v>#VALUE!</v>
      </c>
      <c r="FA25" s="1551" t="e">
        <f aca="false">EQ25-EV25</f>
        <v>#VALUE!</v>
      </c>
      <c r="FB25" s="1551" t="e">
        <f aca="false">ER25-EW25</f>
        <v>#VALUE!</v>
      </c>
      <c r="FC25" s="1551" t="e">
        <f aca="false">ES25-EX25</f>
        <v>#VALUE!</v>
      </c>
      <c r="FD25" s="1525" t="n">
        <f aca="false">IF(AX25,IF(VLOOKUP(C25,MAIN!$L$17:$M$28,2)="Yes",VLOOKUP(CALC!B25,MAIN!$H$17:$I$20,2),0),0)</f>
        <v>0</v>
      </c>
      <c r="FE25" s="1552" t="n">
        <f aca="false">$FD25*16*AT25*(1-$AY25)</f>
        <v>0</v>
      </c>
      <c r="FF25" s="1553" t="n">
        <f aca="false">$FD25*16*AU25*(1-$AY25)</f>
        <v>0</v>
      </c>
      <c r="FG25" s="1553" t="n">
        <f aca="false">$FD25*16*(AV25+AW25)*(1-$AY25)</f>
        <v>0</v>
      </c>
      <c r="FH25" s="1554" t="n">
        <f aca="false">$FD25*8*AX25*(1-$AY25)</f>
        <v>0</v>
      </c>
      <c r="FI25" s="1555" t="n">
        <f aca="false">IF(AX25,VLOOKUP(CALC!B25,MAIN!$H$17:$K$20,4),0)</f>
        <v>0</v>
      </c>
      <c r="FJ25" s="1553" t="n">
        <f aca="false">SUM(FE25:FH25)</f>
        <v>0</v>
      </c>
      <c r="FK25" s="1556" t="n">
        <f aca="false">FI25*FJ25</f>
        <v>0</v>
      </c>
      <c r="FL25" s="1551" t="e">
        <f aca="false">IF($EI25&gt;0,MIN(FE25,AZ25*(1+VLOOKUP($C25,WeatherCapacityAdjustment,2))),0)</f>
        <v>#VALUE!</v>
      </c>
      <c r="FM25" s="1551" t="e">
        <f aca="false">IF($EI25&gt;0,MIN(FF25,BA25*(1+VLOOKUP($C25,WeatherCapacityAdjustment,2))),0)</f>
        <v>#VALUE!</v>
      </c>
      <c r="FN25" s="1551" t="e">
        <f aca="false">IF($EI25&gt;0,MIN(FG25,BB25*(1+VLOOKUP($C25,WeatherCapacityAdjustment,2))),0)</f>
        <v>#VALUE!</v>
      </c>
      <c r="FO25" s="1564" t="e">
        <f aca="false">IF($EI25&gt;0,MIN(FH25,BC25*(1+VLOOKUP($C25,WeatherCapacityAdjustment,3))),0)</f>
        <v>#VALUE!</v>
      </c>
      <c r="FP25" s="1551" t="e">
        <f aca="false">IF(ET25&gt;0,MIN(FE25-FL25,BH25*(1+VLOOKUP($C25,WeatherCapacityAdjustment,2))),0)</f>
        <v>#VALUE!</v>
      </c>
      <c r="FQ25" s="1551" t="e">
        <f aca="false">IF(EU25&gt;0,MIN(FF25-FM25,BI25*(1+VLOOKUP($C25,WeatherCapacityAdjustment,2))),0)</f>
        <v>#VALUE!</v>
      </c>
      <c r="FR25" s="1551" t="e">
        <f aca="false">IF(EV25&gt;0,MIN(FG25-FN25,BJ25*(1+VLOOKUP($C25,WeatherCapacityAdjustment,2))),0)</f>
        <v>#VALUE!</v>
      </c>
      <c r="FS25" s="1558" t="e">
        <f aca="false">IF(EW25&gt;0,MIN(FH25-FO25,BK25*(1+VLOOKUP($C25,WeatherCapacityAdjustment,3))),0)</f>
        <v>#VALUE!</v>
      </c>
      <c r="FT25" s="1566" t="n">
        <f aca="false">IF(AND(Assumptions!$H$71="Yes",A25&gt;=Assumptions!$H$72,A25&lt;=Assumptions!$H$73),0,IF(AND($A25&gt;=Assumptions!$C$17,$A25&lt;=Assumptions!$C$18),MAX(AZ25*(1+VLOOKUP($C25,WeatherCapacityAdjustment,2))-FL25,0),0))</f>
        <v>0</v>
      </c>
      <c r="FU25" s="1551" t="n">
        <f aca="false">IF(AND(Assumptions!$H$71="Yes",A25&gt;=Assumptions!$H$72,A25&lt;=Assumptions!$H$73),0,IF(AND($A25&gt;=Assumptions!$C$17,$A25&lt;=Assumptions!$C$18),MAX(BA25*(1+VLOOKUP($C25,WeatherCapacityAdjustment,2))-FM25,0),0))</f>
        <v>0</v>
      </c>
      <c r="FV25" s="1551" t="n">
        <f aca="false">IF(AND(Assumptions!$H$71="Yes",A25&gt;=Assumptions!$H$72,A25&lt;=Assumptions!$H$73),0,IF(AND($A25&gt;=Assumptions!$C$17,$A25&lt;=Assumptions!$C$18),MAX(BB25*(1+VLOOKUP($C25,WeatherCapacityAdjustment,2))-FN25,0),0))</f>
        <v>0</v>
      </c>
      <c r="FW25" s="1564" t="n">
        <f aca="false">IF(AND(Assumptions!$H$71="Yes",A25&gt;=Assumptions!$H$72,A25&lt;=Assumptions!$H$73),0,IF(AND($A25&gt;=Assumptions!$C$17,$A25&lt;=Assumptions!$C$18),MAX(BC25*(1+VLOOKUP($C25,WeatherCapacityAdjustment,3))-FO25,0),0))</f>
        <v>0</v>
      </c>
      <c r="FX25" s="1569" t="e">
        <f aca="false">IF(AND(Assumptions!$H$71="Yes",A25&gt;=Assumptions!$H$72,A25&lt;=Assumptions!$H$73),0,IF(ET25&gt;0,MAX(BH25*(1+VLOOKUP($C25,WeatherCapacityAdjustment,2))-FP25,0),0))</f>
        <v>#VALUE!</v>
      </c>
      <c r="FY25" s="1551" t="e">
        <f aca="false">IF(AND(Assumptions!$H$71="Yes",A25&gt;=Assumptions!$H$72,A25&lt;=Assumptions!$H$73),0,IF(EU25&gt;0,MAX(BI25*(1+VLOOKUP($C25,WeatherCapacityAdjustment,3))-FQ25,0),0))</f>
        <v>#VALUE!</v>
      </c>
      <c r="FZ25" s="1551" t="e">
        <f aca="false">IF(AND(Assumptions!$H$71="Yes",A25&gt;=Assumptions!$H$72,A25&lt;=Assumptions!$H$73),0,IF(EV25&gt;0,MAX(BJ25*(1+VLOOKUP($C25,WeatherCapacityAdjustment,2))-FR25,0),0))</f>
        <v>#VALUE!</v>
      </c>
      <c r="GA25" s="1564" t="e">
        <f aca="false">IF(AND(Assumptions!$H$71="Yes",A25&gt;=Assumptions!$H$72,A25&lt;=Assumptions!$H$73),0,IF(EW25&gt;0,MAX(BK25*(1+VLOOKUP($C25,WeatherCapacityAdjustment,2))-FS25,0),0))</f>
        <v>#VALUE!</v>
      </c>
      <c r="GB25" s="1551" t="e">
        <f aca="false">SUM(FT25:GA25)</f>
        <v>#VALUE!</v>
      </c>
      <c r="GC25" s="1563" t="e">
        <f aca="false">+IF(SUM(FT25:GA25)=0,0,(SUMPRODUCT(BU25:BX25,FT25:FW25)+SUMPRODUCT(CA25:CD25,FX25:GA25))/SUM(FT25:GA25))</f>
        <v>#VALUE!</v>
      </c>
      <c r="GD25" s="1551" t="e">
        <f aca="false">(FT25*BU25+FX25*CA25+FU25*BV25+FY25*CB25+FV25*BW25+FZ25*CC25+FW25*BX25+GA25*CD25)</f>
        <v>#VALUE!</v>
      </c>
      <c r="GE25" s="1561" t="e">
        <f aca="false">+IF(BQ25,((FL25+FM25+FT25+FU25)*HeatRatePeak/1000*(1+VLOOKUP($C25,WeatherHeatRateAdjustment,2))+(FN25+FV25)*IF(EV25&gt;0,HeatRatePeak,HeatRateOffPeak)/1000*(1+VLOOKUP($C25,WeatherHeatRateAdjustment,2))+(FO25+FW25)*IF(EW25&gt;0,HeatRatePeak,HeatRateOffPeak)/1000*(1+VLOOKUP($C25,WeatherHeatRateAdjustment,3)))*(1+VLOOKUP($B25,HeatRateDegradation,$C25+1)),0)</f>
        <v>#VALUE!</v>
      </c>
      <c r="GF25" s="1562" t="e">
        <f aca="false">IF(BQ25,((FP25+FQ25+FR25+FX25+FY25+FZ25)*HeatRatePeak/1000*(1+VLOOKUP($C25,WeatherHeatRateAdjustment,2))+(FS25+GA25)*HeatRatePeak/1000*(1+VLOOKUP($C25,WeatherHeatRateAdjustment,3)))*(1+VLOOKUP($B25,HeatRateDegradation,$C25+1)),0)</f>
        <v>#VALUE!</v>
      </c>
      <c r="GG25" s="1563" t="e">
        <f aca="false">IF(BQ25,VLOOKUP(A25,GasTable,13),0)</f>
        <v>#VALUE!</v>
      </c>
      <c r="GH25" s="1564" t="e">
        <f aca="false">(GE25+GF25)*GG25</f>
        <v>#VALUE!</v>
      </c>
      <c r="GI25" s="1569" t="e">
        <f aca="false">GB25</f>
        <v>#VALUE!</v>
      </c>
      <c r="GJ25" s="1598" t="e">
        <f aca="false">+DA25</f>
        <v>#VALUE!</v>
      </c>
      <c r="GK25" s="1558" t="e">
        <f aca="false">+GI25*GJ25</f>
        <v>#VALUE!</v>
      </c>
      <c r="GL25" s="1566" t="e">
        <f aca="false">MAX(FE25-FL25-FP25,0)</f>
        <v>#VALUE!</v>
      </c>
      <c r="GM25" s="1551" t="e">
        <f aca="false">MAX(FF25-FM25-FQ25,0)</f>
        <v>#VALUE!</v>
      </c>
      <c r="GN25" s="1551" t="e">
        <f aca="false">MAX(FG25-FN25-FR25,0)</f>
        <v>#VALUE!</v>
      </c>
      <c r="GO25" s="1564" t="e">
        <f aca="false">MAX(FH25-FO25-FS25,0)</f>
        <v>#VALUE!</v>
      </c>
      <c r="GP25" s="1551" t="e">
        <f aca="false">SUM(GL25:GO25)</f>
        <v>#VALUE!</v>
      </c>
      <c r="GQ25" s="1563" t="e">
        <f aca="false">IF(SUM(GL25:GO25)=0,0,((GL25*BU25+GM25*BV25+GN25*BW25+GO25*BX25)/SUM(GL25:GO25)))</f>
        <v>#VALUE!</v>
      </c>
      <c r="GR25" s="1558" t="e">
        <f aca="false">(GL25*BU25+GM25*BV25+GN25*BW25+GO25*BX25)</f>
        <v>#VALUE!</v>
      </c>
      <c r="GS25" s="1566" t="n">
        <f aca="false">IF($A25&gt;=BegDate,Assumptions!$C$56*24*($A26-$A25)*(1-VLOOKUP($B25,MAIN!$AA$7:$AM$28,$C25+1))*(1-VLOOKUP($B25,MAIN!$AA$33:$AM$54,$C25+1)),0)*80/168</f>
        <v>0</v>
      </c>
      <c r="GT25" s="286" t="n">
        <f aca="false">J25</f>
        <v>34.143684</v>
      </c>
      <c r="GU25" s="286" t="n">
        <f aca="false">IF($A25&gt;=BegDate,VLOOKUP($A25,GasTable,13)+Assumptions!$C$58,0)</f>
        <v>0</v>
      </c>
      <c r="GV25" s="286" t="n">
        <f aca="false">GU25*Assumptions!$C$57/1000</f>
        <v>0</v>
      </c>
      <c r="GW25" s="1558" t="n">
        <f aca="false">IF(Assumptions!$C$60="Hourly",MAX(0,GS25*(GT25-GV25)),GS25*(GT25-GV25))</f>
        <v>0</v>
      </c>
      <c r="GX25" s="1566" t="n">
        <f aca="false">IF($A25&gt;=BegDate,Assumptions!$C$56*24*($A26-$A25)*(1-VLOOKUP($B25,MAIN!$AA$7:$AM$28,$C25+1))*(1-VLOOKUP($B25,MAIN!$AA$33:$AM$54,$C25+1)),0)*16/168</f>
        <v>0</v>
      </c>
      <c r="GY25" s="286" t="n">
        <f aca="false">M25</f>
        <v>34.143684</v>
      </c>
      <c r="GZ25" s="286" t="n">
        <f aca="false">IF($A25&gt;=BegDate,VLOOKUP($A25,GasTable,13)+Assumptions!$C$58,0)</f>
        <v>0</v>
      </c>
      <c r="HA25" s="286" t="n">
        <f aca="false">GZ25*Assumptions!$C$57/1000</f>
        <v>0</v>
      </c>
      <c r="HB25" s="1558" t="n">
        <f aca="false">IF(Assumptions!$C$60="Hourly",MAX(0,GX25*(GY25-HA25)),GX25*(GY25-HA25))</f>
        <v>0</v>
      </c>
      <c r="HC25" s="1566" t="n">
        <f aca="false">IF($A25&gt;=BegDate,Assumptions!$C$56*24*($A26-$A25)*(1-VLOOKUP($B25,MAIN!$AA$7:$AM$28,$C25+1))*(1-VLOOKUP($B25,MAIN!$AA$33:$AM$54,$C25+1)),0)*16/168</f>
        <v>0</v>
      </c>
      <c r="HD25" s="286" t="n">
        <f aca="false">P25</f>
        <v>25.827624</v>
      </c>
      <c r="HE25" s="286" t="n">
        <f aca="false">IF($A25&gt;=BegDate,VLOOKUP($A25,GasTable,13)+Assumptions!$C$58,0)</f>
        <v>0</v>
      </c>
      <c r="HF25" s="286" t="n">
        <f aca="false">HE25*Assumptions!$C$57/1000</f>
        <v>0</v>
      </c>
      <c r="HG25" s="1558" t="n">
        <f aca="false">IF(Assumptions!$C$60="Hourly",MAX(0,HC25*(HD25-HF25)),HC25*(HD25-HF25))</f>
        <v>0</v>
      </c>
      <c r="HH25" s="1566" t="n">
        <f aca="false">IF($A25&gt;=BegDate,Assumptions!$C$56*24*($A26-$A25)*(1-VLOOKUP($B25,MAIN!$AA$7:$AM$28,$C25+1))*(1-VLOOKUP($B25,MAIN!$AA$33:$AM$54,$C25+1)),0)*56/168</f>
        <v>0</v>
      </c>
      <c r="HI25" s="286" t="n">
        <f aca="false">S25</f>
        <v>25.827624</v>
      </c>
      <c r="HJ25" s="286" t="n">
        <f aca="false">IF($A25&gt;=BegDate,VLOOKUP($A25,GasTable,13)+Assumptions!$C$58,0)</f>
        <v>0</v>
      </c>
      <c r="HK25" s="286" t="n">
        <f aca="false">HJ25*Assumptions!$C$57/1000</f>
        <v>0</v>
      </c>
      <c r="HL25" s="1558" t="n">
        <f aca="false">IF(Assumptions!$C$60="Hourly",MAX(0,HH25*(HI25-HK25)),HH25*(HI25-HK25))</f>
        <v>0</v>
      </c>
      <c r="HM25" s="1566" t="n">
        <f aca="false">IF(AND(Assumptions!$H$71="Yes",A25&gt;=Assumptions!$H$72,A25&lt;=Assumptions!$H$73),Assumptions!$H$74*Assumptions!$C$9*1000,0)</f>
        <v>0</v>
      </c>
      <c r="HN25" s="1558"/>
      <c r="HO25" s="1567" t="n">
        <f aca="false">HO24+1</f>
        <v>2011</v>
      </c>
      <c r="HP25" s="1566" t="e">
        <f aca="false">SUMIF($B$17:$B$292,HO25,$FJ$17:$FJ$292)</f>
        <v>#VALUE!</v>
      </c>
      <c r="HQ25" s="1568" t="e">
        <f aca="false">IF(HR25=0,0,HR25/HP25)</f>
        <v>#VALUE!</v>
      </c>
      <c r="HR25" s="1564" t="e">
        <f aca="false">SUMIF($B$17:$B$292,HO25,$FK$17:$FK$292)</f>
        <v>#VALUE!</v>
      </c>
      <c r="HS25" s="1569" t="e">
        <f aca="false">SUMIF($B$17:$B$292,HO25,$GB$17:$GB$292)</f>
        <v>#VALUE!</v>
      </c>
      <c r="HT25" s="1563" t="e">
        <f aca="false">+IF(HS25&gt;0,HU25/HS25,0)</f>
        <v>#VALUE!</v>
      </c>
      <c r="HU25" s="1551" t="e">
        <f aca="false">SUMIF($B$17:$B$292,HO25,$GD$17:$GD$292)</f>
        <v>#VALUE!</v>
      </c>
      <c r="HV25" s="1569" t="e">
        <f aca="false">HR25+HU25</f>
        <v>#VALUE!</v>
      </c>
      <c r="HW25" s="1551" t="e">
        <f aca="false">SUMIF($B$17:$B$292,$HO25,$EN$17:$EN$292)</f>
        <v>#VALUE!</v>
      </c>
      <c r="HX25" s="1551" t="e">
        <f aca="false">SUMIF($B$17:$B$292,$HO25,$FC$17:$FC$292)</f>
        <v>#VALUE!</v>
      </c>
      <c r="HY25" s="1551" t="n">
        <f aca="false">IF(Assumptions!$L$24="Yes",HW25+HX25,0)</f>
        <v>0</v>
      </c>
      <c r="HZ25" s="1566" t="e">
        <f aca="false">SUMIF($B$17:$B$292,HO25,$GE$17:$GE$292)+SUMIF($B$17:$B$292,HO25,$GF$17:$GF$292)</f>
        <v>#VALUE!</v>
      </c>
      <c r="IA25" s="1563" t="e">
        <f aca="false">IF(IB25=0,0,IB25/HZ25)</f>
        <v>#VALUE!</v>
      </c>
      <c r="IB25" s="1564" t="e">
        <f aca="false">-SUMIF($B$17:$B$292,HO25,$GH$17:$GH$292)</f>
        <v>#VALUE!</v>
      </c>
      <c r="IC25" s="1569" t="e">
        <f aca="false">SUMIF($B$17:$B$292,HO25,$GI$17:$GI$292)</f>
        <v>#VALUE!</v>
      </c>
      <c r="ID25" s="1563" t="e">
        <f aca="false">IF(IE25=0,0,IE25/IC25)</f>
        <v>#VALUE!</v>
      </c>
      <c r="IE25" s="1564" t="e">
        <f aca="false">-SUMIF($B$17:$B$292,HO25,$GK$17:$GK$292)</f>
        <v>#VALUE!</v>
      </c>
      <c r="IF25" s="1551" t="e">
        <f aca="false">SUMIF($B$17:$B$292,HO25,$GP$17:$GP$292)</f>
        <v>#VALUE!</v>
      </c>
      <c r="IG25" s="1563" t="e">
        <f aca="false">IF(IH25=0,0,IH25/IF25)</f>
        <v>#VALUE!</v>
      </c>
      <c r="IH25" s="1564" t="e">
        <f aca="false">-SUMIF($B$17:$B$292,HO25,$GR$17:$GR$292)</f>
        <v>#VALUE!</v>
      </c>
      <c r="II25" s="1570" t="n">
        <f aca="false">(SUMIF($B$17:$B$292,HO25,$GW$17:$GW$292)+SUMIF($B$17:$B$292,HO25,$HB$17:$HB$292)+SUMIF($B$17:$B$292,HO25,$HG$17:$HG$292)+SUMIF($B$17:$B$292,HO25,$HL$17:$HL$292))*Assumptions!$C$59</f>
        <v>1356815.58632817</v>
      </c>
      <c r="IJ25" s="1309" t="n">
        <f aca="false">SUMIF($B$17:$B$292,HO25,$HM$17:$HM$292)</f>
        <v>0</v>
      </c>
      <c r="IK25" s="1309"/>
    </row>
    <row r="26" customFormat="false" ht="12.75" hidden="false" customHeight="false" outlineLevel="0" collapsed="false">
      <c r="A26" s="1571" t="n">
        <f aca="false">EOMONTH(A25,0)+1</f>
        <v>36923</v>
      </c>
      <c r="B26" s="594" t="n">
        <f aca="false">+YEAR(A26)</f>
        <v>2001</v>
      </c>
      <c r="C26" s="238" t="n">
        <f aca="false">MONTH(A26)</f>
        <v>2</v>
      </c>
      <c r="D26" s="1572" t="str">
        <f aca="false">IF(E26="","",Holiday(B26,C26))</f>
        <v/>
      </c>
      <c r="E26" s="1573" t="str">
        <f aca="false">IF(OR(BegDate&gt;=A27,EndDate&lt;A26,AND(VolumeMonthlyOverFlag,INDEX(VolumeMonthlyOver,C26)=0),NOT(INDEX(MonthKnockOutTable,C26))),"",MAX(A26,BegDate))</f>
        <v/>
      </c>
      <c r="F26" s="1574" t="str">
        <f aca="false">IF(E26="","",MIN(A27-1,EndDate))</f>
        <v/>
      </c>
      <c r="G26" s="1575" t="n">
        <v>0</v>
      </c>
      <c r="H26" s="1576" t="n">
        <f aca="false">(1+G26/2)^(-2*(DATE(B27,C27,20)-DateToday)/365.25)</f>
        <v>1</v>
      </c>
      <c r="I26" s="1568" t="n">
        <f aca="false">IF(Assumptions!$L$25=4,VLOOKUP($A26,'Henwood Reference'!$E$9:$R$320,10),(VLOOKUP($A26,PriceTable,2,0)+IF(BasisNumber&lt;&gt;1,VLOOKUP($A26,BasisTable,2,0),0)+I$1)/(1-I$2))</f>
        <v>30.79125</v>
      </c>
      <c r="J26" s="1568" t="n">
        <f aca="false">IF(Assumptions!$L$25=4,VLOOKUP($A26,'Henwood Reference'!$E$9:$R$320,10),(VLOOKUP($A26,PriceTable,3,0)+IF(BasisNumber&lt;&gt;1,VLOOKUP($A26,BasisTable,2,0),0)+J$1)/(1-J$2))</f>
        <v>30.79125</v>
      </c>
      <c r="K26" s="1568" t="n">
        <f aca="false">IF(Assumptions!$L$25=4,VLOOKUP($A26,'Henwood Reference'!$E$9:$R$320,10),(VLOOKUP($A26,PriceTable,4,0)+IF(BasisNumber&lt;&gt;1,VLOOKUP($A26,BasisTable,2,0),0)+K$1)/(1-K$2))</f>
        <v>30.79125</v>
      </c>
      <c r="L26" s="1523" t="n">
        <f aca="false">IF(Assumptions!$L$25=4,VLOOKUP($A26,'Henwood Reference'!$E$9:$R$320,10),(VLOOKUP($A26,PriceTableWeekend,2,0)+IF(BasisNumber&lt;&gt;1,VLOOKUP($A26,BasisTable,2,0),0)+L$1)/(1-L$2))</f>
        <v>30.79125</v>
      </c>
      <c r="M26" s="1568" t="n">
        <f aca="false">IF(Assumptions!$L$25=4,VLOOKUP($A26,'Henwood Reference'!$E$9:$R$320,10),(VLOOKUP($A26,PriceTableWeekend,3,0)+IF(BasisNumber&lt;&gt;1,VLOOKUP($A26,BasisTable,2,0),0)+M$1)/(1-M$2))</f>
        <v>30.79125</v>
      </c>
      <c r="N26" s="1599" t="n">
        <f aca="false">IF(Assumptions!$L$25=4,VLOOKUP($A26,'Henwood Reference'!$E$9:$R$320,10),(VLOOKUP($A26,PriceTableWeekend,4,0)+IF(BasisNumber&lt;&gt;1,VLOOKUP($A26,BasisTable,2,0),0)+N$1)/(1-N$2))</f>
        <v>30.79125</v>
      </c>
      <c r="O26" s="1568" t="n">
        <f aca="false">IF(Assumptions!$L$25=4,VLOOKUP($A26,'Henwood Reference'!$E$9:$R$320,11),(VLOOKUP($A26,PriceTableWeekend,6,0)+IF(BasisNumber&lt;&gt;1,VLOOKUP($A26,BasisTable,3,0),0)+O$1)/(1-O$2))</f>
        <v>22.518438</v>
      </c>
      <c r="P26" s="1568" t="n">
        <f aca="false">IF(Assumptions!$L$25=4,VLOOKUP($A26,'Henwood Reference'!$E$9:$R$320,11),(VLOOKUP($A26,PriceTableWeekend,7,0)+IF(BasisNumber&lt;&gt;1,VLOOKUP($A26,BasisTable,3,0),0)+P$1)/(1-P$2))</f>
        <v>22.518438</v>
      </c>
      <c r="Q26" s="1599" t="n">
        <f aca="false">IF(Assumptions!$L$25=4,VLOOKUP($A26,'Henwood Reference'!$E$9:$R$320,11),(VLOOKUP($A26,PriceTableWeekend,8,0)+IF(BasisNumber&lt;&gt;1,VLOOKUP($A26,BasisTable,3,0),0)+Q$1)/(1-Q$2))</f>
        <v>22.518438</v>
      </c>
      <c r="R26" s="1568" t="n">
        <f aca="false">IF(Assumptions!$L$25=4,VLOOKUP($A26,'Henwood Reference'!$E$9:$R$320,11),(VLOOKUP($A26,PriceTable,6,0)+IF(BasisNumber&lt;&gt;1,VLOOKUP($A26,BasisTable,3,0),0)+R$1)/(1-R$2))</f>
        <v>22.518438</v>
      </c>
      <c r="S26" s="1568" t="n">
        <f aca="false">IF(Assumptions!$L$25=4,VLOOKUP($A26,'Henwood Reference'!$E$9:$R$320,11),(VLOOKUP($A26,PriceTable,7,0)+IF(BasisNumber&lt;&gt;1,VLOOKUP($A26,BasisTable,3,0),0)+S$1)/(1-S$2))</f>
        <v>22.518438</v>
      </c>
      <c r="T26" s="1600" t="n">
        <f aca="false">IF(Assumptions!$L$25=4,VLOOKUP($A26,'Henwood Reference'!$E$9:$R$320,11),(VLOOKUP($A26,PriceTable,8,0)+IF(BasisNumber&lt;&gt;1,VLOOKUP($A26,BasisTable,3,0),0)+T$1)/(1-T$2))</f>
        <v>22.518438</v>
      </c>
      <c r="U26" s="1513" t="n">
        <f aca="false">VLOOKUP($A26,VolatilityTable,14)</f>
        <v>0.22</v>
      </c>
      <c r="V26" s="1513" t="n">
        <f aca="false">VLOOKUP($A26,VolatilityTable,15)</f>
        <v>0.23</v>
      </c>
      <c r="W26" s="1514" t="n">
        <f aca="false">VLOOKUP($A26,VolatilityTable,16)</f>
        <v>0.28</v>
      </c>
      <c r="X26" s="1513" t="n">
        <f aca="false">VLOOKUP($A26,VolatilityTable,14)</f>
        <v>0.22</v>
      </c>
      <c r="Y26" s="1513" t="n">
        <f aca="false">VLOOKUP($A26,VolatilityTable,15)</f>
        <v>0.23</v>
      </c>
      <c r="Z26" s="1514" t="n">
        <f aca="false">VLOOKUP($A26,VolatilityTable,16)</f>
        <v>0.28</v>
      </c>
      <c r="AA26" s="1513" t="n">
        <f aca="false">VLOOKUP($A26,VolatilityTable,18)</f>
        <v>0.05</v>
      </c>
      <c r="AB26" s="1513" t="n">
        <f aca="false">VLOOKUP($A26,VolatilityTable,19)</f>
        <v>0.11</v>
      </c>
      <c r="AC26" s="1514" t="n">
        <f aca="false">VLOOKUP($A26,VolatilityTable,20)</f>
        <v>0.15</v>
      </c>
      <c r="AD26" s="1513" t="n">
        <f aca="false">VLOOKUP($A26,VolatilityTable,18)</f>
        <v>0.05</v>
      </c>
      <c r="AE26" s="1513" t="n">
        <f aca="false">VLOOKUP($A26,VolatilityTable,19)</f>
        <v>0.11</v>
      </c>
      <c r="AF26" s="1514" t="n">
        <f aca="false">VLOOKUP($A26,VolatilityTable,20)</f>
        <v>0.15</v>
      </c>
      <c r="AG26" s="1513" t="n">
        <f aca="false">VLOOKUP($A26,VolatilityTable,22)</f>
        <v>-0.25</v>
      </c>
      <c r="AH26" s="1513" t="n">
        <f aca="false">VLOOKUP($A26,VolatilityTable,23)</f>
        <v>0.65</v>
      </c>
      <c r="AI26" s="1514" t="n">
        <f aca="false">VLOOKUP($A26,VolatilityTable,24)</f>
        <v>0.25</v>
      </c>
      <c r="AJ26" s="1513" t="n">
        <f aca="false">VLOOKUP($A26,VolatilityTable,22)</f>
        <v>-0.25</v>
      </c>
      <c r="AK26" s="1513" t="n">
        <f aca="false">VLOOKUP($A26,VolatilityTable,23)</f>
        <v>0.65</v>
      </c>
      <c r="AL26" s="1514" t="n">
        <f aca="false">VLOOKUP($A26,VolatilityTable,24)</f>
        <v>0.25</v>
      </c>
      <c r="AM26" s="1513" t="n">
        <f aca="false">VLOOKUP($A26,VolatilityTable,26)</f>
        <v>-0.01</v>
      </c>
      <c r="AN26" s="1513" t="n">
        <f aca="false">VLOOKUP($A26,VolatilityTable,27)</f>
        <v>0.16</v>
      </c>
      <c r="AO26" s="1514" t="n">
        <f aca="false">VLOOKUP($A26,VolatilityTable,28)</f>
        <v>0.01</v>
      </c>
      <c r="AP26" s="1513" t="n">
        <f aca="false">VLOOKUP($A26,VolatilityTable,26)</f>
        <v>-0.01</v>
      </c>
      <c r="AQ26" s="1513" t="n">
        <f aca="false">VLOOKUP($A26,VolatilityTable,27)</f>
        <v>0.16</v>
      </c>
      <c r="AR26" s="1515" t="n">
        <f aca="false">VLOOKUP($A26,VolatilityTable,28)</f>
        <v>0.01</v>
      </c>
      <c r="AS26" s="1581" t="n">
        <f aca="false">IF(CorrPeakOffPeakOverFlag,INDEX(CorrPeakOffPeakOver,C26),CorrPeakOffPeak)</f>
        <v>0.5</v>
      </c>
      <c r="AT26" s="594" t="n">
        <f aca="false">AX26-SUM(AU26:AW26)</f>
        <v>0</v>
      </c>
      <c r="AU26" s="238" t="n">
        <f aca="false">IF(E26="",0,INT((F26-MOD(F26,7)-E26)/7)+1-IF(AW26,IF(WEEKDAY(D26)=7,1,0),0))</f>
        <v>0</v>
      </c>
      <c r="AV26" s="238" t="n">
        <f aca="false">IF(E26="",0,INT((F26-MOD(F26-1,7)-E26)/7)+1-IF(AW26,IF(WEEKDAY(D26)=1,1,0),0))</f>
        <v>0</v>
      </c>
      <c r="AW26" s="238" t="n">
        <f aca="false">IF(OR(E26="",D26="",D26&lt;BegDate,D26&gt;EndDate),0,1)</f>
        <v>0</v>
      </c>
      <c r="AX26" s="238" t="n">
        <f aca="false">IF(E26="",0,F26-E26+1)</f>
        <v>0</v>
      </c>
      <c r="AY26" s="1582" t="n">
        <f aca="false">IF(E26="",0,MIN((1-(1-VLOOKUP(B26,MAIN!$AA$7:$AM$28,C26+1))*(1-VLOOKUP(B26,MAIN!$AA$33:$AM$54,C26+1))),1))</f>
        <v>0</v>
      </c>
      <c r="AZ26" s="1519" t="e">
        <v>#VALUE!</v>
      </c>
      <c r="BA26" s="1520" t="e">
        <v>#VALUE!</v>
      </c>
      <c r="BB26" s="1520" t="e">
        <v>#VALUE!</v>
      </c>
      <c r="BC26" s="1583" t="e">
        <v>#VALUE!</v>
      </c>
      <c r="BD26" s="1522" t="e">
        <v>#VALUE!</v>
      </c>
      <c r="BE26" s="1523" t="e">
        <v>#VALUE!</v>
      </c>
      <c r="BF26" s="1523" t="e">
        <v>#VALUE!</v>
      </c>
      <c r="BG26" s="1584" t="e">
        <v>#VALUE!</v>
      </c>
      <c r="BH26" s="1525" t="e">
        <v>#VALUE!</v>
      </c>
      <c r="BI26" s="1520" t="e">
        <v>#VALUE!</v>
      </c>
      <c r="BJ26" s="1520" t="e">
        <v>#VALUE!</v>
      </c>
      <c r="BK26" s="1583" t="e">
        <v>#VALUE!</v>
      </c>
      <c r="BL26" s="1522" t="e">
        <v>#VALUE!</v>
      </c>
      <c r="BM26" s="1523" t="e">
        <v>#VALUE!</v>
      </c>
      <c r="BN26" s="1523" t="e">
        <v>#VALUE!</v>
      </c>
      <c r="BO26" s="1523" t="e">
        <v>#VALUE!</v>
      </c>
      <c r="BP26" s="1525" t="e">
        <f aca="false">SUM(AZ26:BB26)</f>
        <v>#VALUE!</v>
      </c>
      <c r="BQ26" s="1529" t="e">
        <f aca="false">SUM(AZ26:BC26)</f>
        <v>#VALUE!</v>
      </c>
      <c r="BR26" s="1519" t="e">
        <f aca="false">SUM(BH26:BJ26)</f>
        <v>#VALUE!</v>
      </c>
      <c r="BS26" s="1529" t="e">
        <f aca="false">SUM(BH26:BK26)</f>
        <v>#VALUE!</v>
      </c>
      <c r="BT26" s="1316" t="n">
        <f aca="false">(IF(OVolType&lt;&gt;2,A26+14,IF(OptExpDateShift,ShiftBack(A26,OptExpDateShift,D25),A26))-DateToday)/365.25</f>
        <v>0.802190280629706</v>
      </c>
      <c r="BU26" s="1585" t="e">
        <f aca="false">IF(BQ26,IF(OPriceCurve,IF(OBuySell=OCallPut,I26/(1-AY26),K26/(1-AY26)),J26/(1-AY26))*BD26,0)</f>
        <v>#VALUE!</v>
      </c>
      <c r="BV26" s="1316" t="e">
        <f aca="false">IF(BQ26,IF(OPriceCurve,IF(OBuySell=OCallPut,L26/(1-AY26),N26/(1-AY26)),M26/(1-AY26))*BE26,0)</f>
        <v>#VALUE!</v>
      </c>
      <c r="BW26" s="1316" t="e">
        <f aca="false">IF(BQ26,IF(OPriceCurve,IF(OBuySell=OCallPut,O26/(1-AY26),Q26/(1-AY26)),P26/(1-AY26))*BF26,0)</f>
        <v>#VALUE!</v>
      </c>
      <c r="BX26" s="1316" t="e">
        <f aca="false">IF(BQ26,IF(OPriceCurve,IF(OBuySell=OCallPut,R26/(1-AY26),T26/(1-AY26)),S26/(1-AY26))*BG26,0)</f>
        <v>#VALUE!</v>
      </c>
      <c r="BY26" s="1316" t="e">
        <f aca="false">IF(BP26,(BU26*AZ26+BV26*BA26+BW26*BB26)/BP26,0)</f>
        <v>#VALUE!</v>
      </c>
      <c r="BZ26" s="1316" t="e">
        <f aca="false">IF(BQ26,(BY26*BP26+BX26*BC26)/BQ26,0)</f>
        <v>#VALUE!</v>
      </c>
      <c r="CA26" s="1531" t="e">
        <f aca="false">IF(BS26,IF(OPriceCurve,IF(OBuySell=OCallPut,I26/(1-AY26),K26/(1-AY26)),J26/(1-AY26))*BL26,0)</f>
        <v>#VALUE!</v>
      </c>
      <c r="CB26" s="1316" t="e">
        <f aca="false">IF(BS26,IF(OPriceCurve,IF(OBuySell=OCallPut,L26/(1-AY26),N26/(1-AY26)),M26/(1-AY26))*BM26,0)</f>
        <v>#VALUE!</v>
      </c>
      <c r="CC26" s="1316" t="e">
        <f aca="false">IF(BS26,IF(OPriceCurve,IF(OBuySell=OCallPut,O26/(1-AY26),Q26/(1-AY26)),P26/(1-AY26))*BN26,0)</f>
        <v>#VALUE!</v>
      </c>
      <c r="CD26" s="1316" t="e">
        <f aca="false">IF(BS26,IF(OPriceCurve,IF(OBuySell=OCallPut,R26/(1-AY26),T26/(1-AY26)),S26/(1-AY26))*BO26,0)</f>
        <v>#VALUE!</v>
      </c>
      <c r="CE26" s="1316" t="e">
        <f aca="false">IF(BR26,(BU26*BH26+BV26*BI26+BW26*BJ26)/BR26,0)</f>
        <v>#VALUE!</v>
      </c>
      <c r="CF26" s="1532" t="e">
        <f aca="false">IF(BS26,(CE26*BR26+CD26*BK26)/BS26,0)</f>
        <v>#VALUE!</v>
      </c>
      <c r="CG26" s="1586" t="e">
        <f aca="false">IF(OR(BQ26,BS26),IF(OVolType&lt;&gt;2,SQRT(IF(OVolOverMonthlyPeak,OVolOverMonthlyPeak,IF(OVolCurve,IF(OBuySell,U26,W26),V26))^2*(1-15/365.25/BT26)+IF(OVolOverDailyPeak,OVolOverDailyPeak,IF(OVolCurve,IF(OBuySell,AG26,AI26),AH26))^2*15/365.25/BT26),IF(OVolOverMonthlyPeak,OVolOverMonthlyPeak,IF(OVolCurve,IF(OBuySell,U26,W26),V26))),"")</f>
        <v>#VALUE!</v>
      </c>
      <c r="CH26" s="1587" t="e">
        <f aca="false">IF(OR(BQ26,BS26),IF(OVolType&lt;&gt;2,SQRT(IF(OVolOverMonthlyPeak,OVolOverMonthlyPeak,IF(OVolCurve,IF(OBuySell,X26,Z26),Y26))^2*(1-15/365.25/BT26)+IF(OVolOverDailyPeak,OVolOverDailyPeak,IF(OVolCurve,IF(OBuySell,AJ26,AL26),AK26))^2*15/365.25/BT26),IF(OVolOverMonthlyPeak,OVolOverMonthlyPeak,IF(OVolCurve,IF(OBuySell,X26,Z26),Y26))),"")</f>
        <v>#VALUE!</v>
      </c>
      <c r="CI26" s="1587" t="e">
        <f aca="false">IF(OR(BQ26,BS26),IF(OVolType&lt;&gt;2,SQRT(IF(OVolOverMonthlyPeak,OVolOverMonthlyPeak,IF(OVolCurve,IF(OBuySell,AA26,AC26),AB26))^2*(1-15/365.25/BT26)+IF(OVolOverDailyPeak,OVolOverDailyPeak,IF(OVolCurve,IF(OBuySell,AM26,AO26),AN26))^2*15/365.25/BT26),IF(OVolOverMonthlyPeak,OVolOverMonthlyPeak,IF(OVolCurve,IF(OBuySell,AA26,AC26),AB26))),"")</f>
        <v>#VALUE!</v>
      </c>
      <c r="CJ26" s="1587" t="e">
        <f aca="false">IF(BQ26,IF(BP26,SQRT(LN(1+((BU26*AZ26)^2*(EXP(CG26^2*BT26)-1)+(BV26*BA26)^2*(EXP(CH26^2*BT26)-1)+(BW26*BB26)^2*(EXP(CI26^2*BT26)-1)+2*BU26*AZ26*BV26*BA26*(EXP(CG26*CH26*BT26)-1)+2*BV26*BA26*BW26*BB26*(EXP(CH26*CI26*BT26)-1)+2*BW26*BB26*BU26*AZ26*(EXP(CI26*CG26*BT26)-1))/(BY26*BP26)^2)/BT26),0),"")</f>
        <v>#VALUE!</v>
      </c>
      <c r="CK26" s="1587" t="e">
        <f aca="false">IF(BS26,IF(BR26,SQRT(LN(1+((CA26*BH26)^2*(EXP(CG26^2*BT26)-1)+(CB26*BI26)^2*(EXP(CH26^2*BT26)-1)+(CC26*BJ26)^2*(EXP(CI26^2*BT26)-1)+2*CA26*BH26*CB26*BI26*(EXP(CG26*CH26*BT26)-1)+2*CB26*BI26*CC26*BJ26*(EXP(CH26*CI26*BT26)-1)+2*CC26*BJ26*CA26*BH26*(EXP(CI26*CG26*BT26)-1))/(CE26*BR26)^2)/BT26),0),"")</f>
        <v>#VALUE!</v>
      </c>
      <c r="CL26" s="1587" t="e">
        <f aca="false">IF(OR(BQ26,BS26),IF(OVolType&lt;&gt;2,SQRT(IF(OVolOverMonthlyOffPeak,OVolOverMonthlyOffPeak,IF(OVolCurve,IF(OBuySell,AD26,AF26),AE26))^2*(1-15/365.25/BT26)+IF(OVolOverDailyOffPeak,OVolOverDailyOffPeak,IF(OVolCurve,IF(OBuySell,AP26,AR26),AQ26))^2*15/365.25/BT26),IF(OVolOverMonthlyOffPeak,OVolOverMonthlyOffPeak,IF(OVolCurve,IF(OBuySell,AD26,AF26),AE26))),"")</f>
        <v>#VALUE!</v>
      </c>
      <c r="CM26" s="1587" t="e">
        <f aca="false">IF(BQ26,SQRT(LN(1+((BY26*BP26)^2*(EXP(CJ26^2*BT26)-1)+(BX26*BC26)^2*(EXP(CL26^2*BT26)-1)+2*BY26*BP26*BX26*BC26*(EXP(AS26*CJ26*CL26*BT26)-1))/(BY26*BP26+BX26*BC26)^2)/BT26),"")</f>
        <v>#VALUE!</v>
      </c>
      <c r="CN26" s="1588" t="e">
        <f aca="false">IF(BS26,SQRT(LN(1+((CE26*BR26)^2*(EXP(CK26^2*BT26)-1)+(CD26*BK26)^2*(EXP(CL26^2*BT26)-1)+2*CE26*BR26*CD26*BK26*(EXP(AS26*CK26*CL26*BT26)-1))/(CE26*BR26+CD26*BK26)^2)/BT26),"")</f>
        <v>#VALUE!</v>
      </c>
      <c r="CO26" s="1531" t="e">
        <f aca="false">IF(OR(BQ26,BS26),VLOOKUP(A26,GasTable,13)*HeatRatePeak*(1+VLOOKUP($B26,HeatRateDegradation,$C26+1))/1000,0)</f>
        <v>#VALUE!</v>
      </c>
      <c r="CP26" s="1316" t="e">
        <f aca="false">IF(OR(BQ26,BS26),VLOOKUP(A26,GasTable,13)*HeatRatePeak*(1+VLOOKUP($B26,HeatRateDegradation,$C26+1))/1000,0)</f>
        <v>#VALUE!</v>
      </c>
      <c r="CQ26" s="1316" t="e">
        <f aca="false">IF(OR(BQ26,BS26),VLOOKUP(A26,GasTable,13)*IF(EV26,HeatRatePeak,HeatRateOffPeak)*(1+VLOOKUP($B26,HeatRateDegradation,$C26+1))/1000,0)</f>
        <v>#VALUE!</v>
      </c>
      <c r="CR26" s="1316" t="e">
        <f aca="false">IF(OR(BQ26,BS26),VLOOKUP(A26,GasTable,13)*IF(EW26,HeatRatePeak,HeatRateOffPeak)*(1+VLOOKUP($B26,HeatRateDegradation,$C26+1))/1000,0)</f>
        <v>#VALUE!</v>
      </c>
      <c r="CS26" s="1589" t="e">
        <f aca="false">IF(BQ26,(CO26*AZ26+CP26*BA26+CQ26*BB26+CR26*BC26)/BQ26,0)</f>
        <v>#VALUE!</v>
      </c>
      <c r="CT26" s="1316" t="e">
        <f aca="false">IF(BS26,CO26,0)</f>
        <v>#VALUE!</v>
      </c>
      <c r="CU26" s="1590" t="e">
        <f aca="false">IF(OR(BQ26,BS26),VLOOKUP(A26,GasTable,14),"")</f>
        <v>#VALUE!</v>
      </c>
      <c r="CV26" s="1568" t="e">
        <f aca="false">IF(OR(BQ26,BS26),IF(CorrPowerGasOverFlag,INDEX(CorrPowerGasOver,C26),CorrPowerGas),"")</f>
        <v>#VALUE!</v>
      </c>
      <c r="CW26" s="1316" t="e">
        <f aca="false">IF(OR($BQ26,$BS26),SpreadOptPowerMargin,0)*((1+Assumptions!$C$26)^($B26-YEAR(Assumptions!$C$17)))</f>
        <v>#VALUE!</v>
      </c>
      <c r="CX26" s="1316" t="e">
        <f aca="false">IF(OR($BQ26,$BS26),SpreadOptPowerMargin,0)*((1+Assumptions!$C$26)^($B26-YEAR(Assumptions!$C$17)))</f>
        <v>#VALUE!</v>
      </c>
      <c r="CY26" s="1316" t="e">
        <f aca="false">IF(OR($BQ26,$BS26),SpreadOptPowerMargin,0)*((1+Assumptions!$C$26)^($B26-YEAR(Assumptions!$C$17)))</f>
        <v>#VALUE!</v>
      </c>
      <c r="CZ26" s="1316" t="e">
        <f aca="false">IF(OR($BQ26,$BS26),SpreadOptPowerMargin,0)*((1+Assumptions!$C$26)^($B26-YEAR(Assumptions!$C$17)))</f>
        <v>#VALUE!</v>
      </c>
      <c r="DA26" s="1591" t="e">
        <f aca="false">IF(OR(BQ26,BS26),(CW26*(AZ26+BH26)+CX26*(BA26+BI26)+CY26*(BB26+BJ26)+CZ26*(BC26+BK26))/(BQ26+BS26),0)</f>
        <v>#VALUE!</v>
      </c>
      <c r="DB26" s="1592" t="e">
        <f aca="false">IF(OR(BQ26,BS26),CG26+IF(OVolSmile,VLOOKUP(MAX(-5,CO26+CW26-BU26),IF(OVolSmile=1,VolSmileBook,VolSmileModel),2),0),"")</f>
        <v>#VALUE!</v>
      </c>
      <c r="DC26" s="1592" t="e">
        <f aca="false">IF(OR(BQ26,BS26),CH26+IF(OVolSmile,VLOOKUP(MAX(-5,CP26+CW26-BV26),IF(OVolSmile=1,VolSmileBook,VolSmileModel),2),0),"")</f>
        <v>#VALUE!</v>
      </c>
      <c r="DD26" s="1592" t="e">
        <f aca="false">IF(OR(BQ26,BS26),CI26+IF(OVolSmile,VLOOKUP(MAX(-5,CQ26+CW26-BW26),IF(OVolSmile=1,VolSmileBook,VolSmileModel),2),0),"")</f>
        <v>#VALUE!</v>
      </c>
      <c r="DE26" s="1592" t="e">
        <f aca="false">IF(OR(BQ26,BS26),CL26+IF(OVolSmile,VLOOKUP(MAX(-5,CR26+CZ26-BX26),IF(OVolSmile=1,VolSmileBook,VolSmileModel),2),0),"")</f>
        <v>#VALUE!</v>
      </c>
      <c r="DF26" s="1592" t="e">
        <f aca="false">IF(BQ26,CM26+IF(OVolSmile,VLOOKUP(MAX(-5,CS26+DA26-BZ26),IF(OVolSmile=1,VolSmileBook,VolSmileModel),2),0),"")</f>
        <v>#VALUE!</v>
      </c>
      <c r="DG26" s="1593" t="e">
        <f aca="false">IF(BS26,CN26+IF(OVolSmile,VLOOKUP(MAX(-5,CT26+DA26-CF26),IF(OVolSmile=1,VolSmileBook,VolSmileModel),2),0),"")</f>
        <v>#VALUE!</v>
      </c>
      <c r="DH26" s="1316" t="e">
        <f aca="false">IF(AND(BU26&gt;0,CO26&gt;0,DB26&gt;0,CU26&gt;0),newSPRDOPT(BU26,CO26,CW26,0,DB26,CU26,CV26,BT26*365.25,OCallPut,0),0)</f>
        <v>#VALUE!</v>
      </c>
      <c r="DI26" s="1316" t="e">
        <f aca="false">IF(AND(BV26&gt;0,CP26&gt;0,DC26&gt;0,CU26&gt;0),newSPRDOPT(BV26,CP26,CX26,0,DC26,CU26,CV26,BT26*365.25,OCallPut,0),0)</f>
        <v>#VALUE!</v>
      </c>
      <c r="DJ26" s="1316" t="e">
        <f aca="false">IF(AND(BW26&gt;0,CQ26&gt;0,DD26&gt;0,CU26&gt;0),newSPRDOPT(BW26,CQ26,CY26,0,DD26,CU26,CV26,BT26*365.25,OCallPut,0),0)</f>
        <v>#VALUE!</v>
      </c>
      <c r="DK26" s="1316" t="e">
        <f aca="false">IF(AND(BX26&gt;0,CR26&gt;0,DE26&gt;0,CU26&gt;0),newSPRDOPT(BX26,CR26,CZ26,0,DE26,CU26,CV26,BT26*365.25,OCallPut,0),0)</f>
        <v>#VALUE!</v>
      </c>
      <c r="DL26" s="1316" t="e">
        <f aca="false">IF(OVolType,IF(AND(BZ26&gt;0,CS26&gt;0,DF26&gt;0,CU26&gt;0),newSPRDOPT(BZ26,CS26,DA26,0,DF26,CU26,CV26,BT26*365.25,OCallPut,0),0),IF(BQ26,(DH26*AZ26+DI26*BA26+DJ26*BB26+DK26*BC26)/BQ26,0))</f>
        <v>#VALUE!</v>
      </c>
      <c r="DM26" s="1316"/>
      <c r="DN26" s="1316"/>
      <c r="DO26" s="1316"/>
      <c r="DP26" s="1316"/>
      <c r="DQ26" s="1316"/>
      <c r="DR26" s="1316"/>
      <c r="DS26" s="1316"/>
      <c r="DT26" s="1316"/>
      <c r="DU26" s="1316"/>
      <c r="DV26" s="1316"/>
      <c r="DW26" s="1594" t="e">
        <f aca="false">IF(AND(BW26&gt;0,CT26&gt;0,DD26&gt;0,CU26&gt;0),newSPRDOPT(BW26,CT26,CY26,0,DD26,CU26,CV26,BT26*365.25,OCallPut,0),0)</f>
        <v>#VALUE!</v>
      </c>
      <c r="DX26" s="1316" t="e">
        <f aca="false">IF(AND(BX26&gt;0,CT26&gt;0,DE26&gt;0,CU26&gt;0),newSPRDOPT(BX26,CT26,CZ26,0,DE26,CU26,CV26,BT26*365.25,OCallPut,0),0)</f>
        <v>#VALUE!</v>
      </c>
      <c r="DY26" s="1591" t="e">
        <f aca="false">IF(BS26,(DH26*BH26+DI26*BI26+DW26*BJ26+DX26*BK26)/BS26,0)</f>
        <v>#VALUE!</v>
      </c>
      <c r="DZ26" s="1551" t="e">
        <f aca="false">DH26*AZ26</f>
        <v>#VALUE!</v>
      </c>
      <c r="EA26" s="1551" t="e">
        <f aca="false">DI26*BA26</f>
        <v>#VALUE!</v>
      </c>
      <c r="EB26" s="1551" t="e">
        <f aca="false">DJ26*BB26</f>
        <v>#VALUE!</v>
      </c>
      <c r="EC26" s="1551" t="e">
        <f aca="false">DK26*BC26</f>
        <v>#VALUE!</v>
      </c>
      <c r="ED26" s="1551" t="e">
        <f aca="false">DL26*BQ26</f>
        <v>#VALUE!</v>
      </c>
      <c r="EE26" s="1595" t="e">
        <f aca="false">IF(BQ26,IF(OCallPut,IF(BU26&gt;(CO26+CW26),BU26-(CO26+CW26),0),IF((CO26+CW26)&gt;BU26,(CO26+CW26)-BU26,0))*AZ26,0)</f>
        <v>#VALUE!</v>
      </c>
      <c r="EF26" s="1596" t="e">
        <f aca="false">IF(BQ26,IF(OCallPut,IF(BV26&gt;(CP26+CX26),BV26-(CP26+CX26),0),IF((CP26+CX26)&gt;BV26,(CP26+CX26)-BV26,0))*BA26,0)</f>
        <v>#VALUE!</v>
      </c>
      <c r="EG26" s="1596" t="e">
        <f aca="false">IF(BQ26,IF(OCallPut,IF(BW26&gt;(CQ26+CY26),BW26-(CQ26+CY26),0),IF((CQ26+CY26)&gt;BW26,(CQ26+CY26)-BW26,0))*BB26,0)</f>
        <v>#VALUE!</v>
      </c>
      <c r="EH26" s="1596" t="e">
        <f aca="false">IF(BQ26,IF(OCallPut,IF(BX26&gt;(CR26+CZ26),BX26-(CR26+CZ26),0),IF((CR26+CZ26)&gt;BX26,(CR26+CZ26)-BX26,0))*BC26,0)</f>
        <v>#VALUE!</v>
      </c>
      <c r="EI26" s="1597" t="e">
        <f aca="false">IF(BQ26,IF(OVolType,IF(OCallPut,IF(BZ26&gt;(CS26+DA26),BZ26-(CS26+DA26),0),IF((CS26+DA26)&gt;BZ26,(CS26+DA26)-BZ26,0))*BQ26,SUM(EE26:EH26)),0)</f>
        <v>#VALUE!</v>
      </c>
      <c r="EJ26" s="1595" t="e">
        <f aca="false">DZ26-EE26</f>
        <v>#VALUE!</v>
      </c>
      <c r="EK26" s="1596" t="e">
        <f aca="false">EA26-EF26</f>
        <v>#VALUE!</v>
      </c>
      <c r="EL26" s="1596" t="e">
        <f aca="false">EB26-EG26</f>
        <v>#VALUE!</v>
      </c>
      <c r="EM26" s="1596" t="e">
        <f aca="false">EC26-EH26</f>
        <v>#VALUE!</v>
      </c>
      <c r="EN26" s="1597" t="e">
        <f aca="false">ED26-EI26</f>
        <v>#VALUE!</v>
      </c>
      <c r="EO26" s="1551" t="e">
        <f aca="false">DH26*BH26</f>
        <v>#VALUE!</v>
      </c>
      <c r="EP26" s="1551" t="e">
        <f aca="false">DI26*BI26</f>
        <v>#VALUE!</v>
      </c>
      <c r="EQ26" s="1551" t="e">
        <f aca="false">DW26*BJ26</f>
        <v>#VALUE!</v>
      </c>
      <c r="ER26" s="1551" t="e">
        <f aca="false">DX26*BK26</f>
        <v>#VALUE!</v>
      </c>
      <c r="ES26" s="1551" t="e">
        <f aca="false">DY26*BS26</f>
        <v>#VALUE!</v>
      </c>
      <c r="ET26" s="1566" t="e">
        <f aca="false">IF(BS26,IF(OCallPut,IF(CA26&gt;(CT26+CW26),CA26-(CT26+CW26),0),IF((CT26+CW26)&gt;CA26,(CT26+CW26)-CA26,0))*BH26,0)</f>
        <v>#VALUE!</v>
      </c>
      <c r="EU26" s="1551" t="e">
        <f aca="false">IF(BS26,IF(OCallPut,IF(CB26&gt;(CT26+CX26),CB26-(CT26+CX26),0),IF((CT26+CX26)&gt;CB26,(CT26+CX26)-CB26,0))*BI26,0)</f>
        <v>#VALUE!</v>
      </c>
      <c r="EV26" s="1551" t="e">
        <f aca="false">IF(BS26,IF(OCallPut,IF(CC26&gt;(CT26+CY26),CC26-(CT26+CY26),0),IF((CT26+CY26)&gt;CC26,(CT26+CY26)-CC26,0))*BJ26,0)</f>
        <v>#VALUE!</v>
      </c>
      <c r="EW26" s="1551" t="e">
        <f aca="false">IF(BS26,IF(OCallPut,IF(CD26&gt;(CT26+CZ26),CD26-(CT26+CZ26),0),IF((CT26+CZ26)&gt;CD26,(CT26+CZ26)-CD26,0))*BK26,0)</f>
        <v>#VALUE!</v>
      </c>
      <c r="EX26" s="1558" t="e">
        <f aca="false">IF(BS26,SUM(ET26:EW26),0)</f>
        <v>#VALUE!</v>
      </c>
      <c r="EY26" s="1551" t="e">
        <f aca="false">EO26-ET26</f>
        <v>#VALUE!</v>
      </c>
      <c r="EZ26" s="1551" t="e">
        <f aca="false">EP26-EU26</f>
        <v>#VALUE!</v>
      </c>
      <c r="FA26" s="1551" t="e">
        <f aca="false">EQ26-EV26</f>
        <v>#VALUE!</v>
      </c>
      <c r="FB26" s="1551" t="e">
        <f aca="false">ER26-EW26</f>
        <v>#VALUE!</v>
      </c>
      <c r="FC26" s="1551" t="e">
        <f aca="false">ES26-EX26</f>
        <v>#VALUE!</v>
      </c>
      <c r="FD26" s="1525" t="n">
        <f aca="false">IF(AX26,IF(VLOOKUP(C26,MAIN!$L$17:$M$28,2)="Yes",VLOOKUP(CALC!B26,MAIN!$H$17:$I$20,2),0),0)</f>
        <v>0</v>
      </c>
      <c r="FE26" s="1552" t="n">
        <f aca="false">$FD26*16*AT26*(1-$AY26)</f>
        <v>0</v>
      </c>
      <c r="FF26" s="1553" t="n">
        <f aca="false">$FD26*16*AU26*(1-$AY26)</f>
        <v>0</v>
      </c>
      <c r="FG26" s="1553" t="n">
        <f aca="false">$FD26*16*(AV26+AW26)*(1-$AY26)</f>
        <v>0</v>
      </c>
      <c r="FH26" s="1554" t="n">
        <f aca="false">$FD26*8*AX26*(1-$AY26)</f>
        <v>0</v>
      </c>
      <c r="FI26" s="1555" t="n">
        <f aca="false">IF(AX26,VLOOKUP(CALC!B26,MAIN!$H$17:$K$20,4),0)</f>
        <v>0</v>
      </c>
      <c r="FJ26" s="1553" t="n">
        <f aca="false">SUM(FE26:FH26)</f>
        <v>0</v>
      </c>
      <c r="FK26" s="1556" t="n">
        <f aca="false">FI26*FJ26</f>
        <v>0</v>
      </c>
      <c r="FL26" s="1551" t="e">
        <f aca="false">IF($EI26&gt;0,MIN(FE26,AZ26*(1+VLOOKUP($C26,WeatherCapacityAdjustment,2))),0)</f>
        <v>#VALUE!</v>
      </c>
      <c r="FM26" s="1551" t="e">
        <f aca="false">IF($EI26&gt;0,MIN(FF26,BA26*(1+VLOOKUP($C26,WeatherCapacityAdjustment,2))),0)</f>
        <v>#VALUE!</v>
      </c>
      <c r="FN26" s="1551" t="e">
        <f aca="false">IF($EI26&gt;0,MIN(FG26,BB26*(1+VLOOKUP($C26,WeatherCapacityAdjustment,2))),0)</f>
        <v>#VALUE!</v>
      </c>
      <c r="FO26" s="1564" t="e">
        <f aca="false">IF($EI26&gt;0,MIN(FH26,BC26*(1+VLOOKUP($C26,WeatherCapacityAdjustment,3))),0)</f>
        <v>#VALUE!</v>
      </c>
      <c r="FP26" s="1551" t="e">
        <f aca="false">IF(ET26&gt;0,MIN(FE26-FL26,BH26*(1+VLOOKUP($C26,WeatherCapacityAdjustment,2))),0)</f>
        <v>#VALUE!</v>
      </c>
      <c r="FQ26" s="1551" t="e">
        <f aca="false">IF(EU26&gt;0,MIN(FF26-FM26,BI26*(1+VLOOKUP($C26,WeatherCapacityAdjustment,2))),0)</f>
        <v>#VALUE!</v>
      </c>
      <c r="FR26" s="1551" t="e">
        <f aca="false">IF(EV26&gt;0,MIN(FG26-FN26,BJ26*(1+VLOOKUP($C26,WeatherCapacityAdjustment,2))),0)</f>
        <v>#VALUE!</v>
      </c>
      <c r="FS26" s="1558" t="e">
        <f aca="false">IF(EW26&gt;0,MIN(FH26-FO26,BK26*(1+VLOOKUP($C26,WeatherCapacityAdjustment,3))),0)</f>
        <v>#VALUE!</v>
      </c>
      <c r="FT26" s="1566" t="n">
        <f aca="false">IF(AND(Assumptions!$H$71="Yes",A26&gt;=Assumptions!$H$72,A26&lt;=Assumptions!$H$73),0,IF(AND($A26&gt;=Assumptions!$C$17,$A26&lt;=Assumptions!$C$18),MAX(AZ26*(1+VLOOKUP($C26,WeatherCapacityAdjustment,2))-FL26,0),0))</f>
        <v>0</v>
      </c>
      <c r="FU26" s="1551" t="n">
        <f aca="false">IF(AND(Assumptions!$H$71="Yes",A26&gt;=Assumptions!$H$72,A26&lt;=Assumptions!$H$73),0,IF(AND($A26&gt;=Assumptions!$C$17,$A26&lt;=Assumptions!$C$18),MAX(BA26*(1+VLOOKUP($C26,WeatherCapacityAdjustment,2))-FM26,0),0))</f>
        <v>0</v>
      </c>
      <c r="FV26" s="1551" t="n">
        <f aca="false">IF(AND(Assumptions!$H$71="Yes",A26&gt;=Assumptions!$H$72,A26&lt;=Assumptions!$H$73),0,IF(AND($A26&gt;=Assumptions!$C$17,$A26&lt;=Assumptions!$C$18),MAX(BB26*(1+VLOOKUP($C26,WeatherCapacityAdjustment,2))-FN26,0),0))</f>
        <v>0</v>
      </c>
      <c r="FW26" s="1564" t="n">
        <f aca="false">IF(AND(Assumptions!$H$71="Yes",A26&gt;=Assumptions!$H$72,A26&lt;=Assumptions!$H$73),0,IF(AND($A26&gt;=Assumptions!$C$17,$A26&lt;=Assumptions!$C$18),MAX(BC26*(1+VLOOKUP($C26,WeatherCapacityAdjustment,3))-FO26,0),0))</f>
        <v>0</v>
      </c>
      <c r="FX26" s="1569" t="e">
        <f aca="false">IF(AND(Assumptions!$H$71="Yes",A26&gt;=Assumptions!$H$72,A26&lt;=Assumptions!$H$73),0,IF(ET26&gt;0,MAX(BH26*(1+VLOOKUP($C26,WeatherCapacityAdjustment,2))-FP26,0),0))</f>
        <v>#VALUE!</v>
      </c>
      <c r="FY26" s="1551" t="e">
        <f aca="false">IF(AND(Assumptions!$H$71="Yes",A26&gt;=Assumptions!$H$72,A26&lt;=Assumptions!$H$73),0,IF(EU26&gt;0,MAX(BI26*(1+VLOOKUP($C26,WeatherCapacityAdjustment,3))-FQ26,0),0))</f>
        <v>#VALUE!</v>
      </c>
      <c r="FZ26" s="1551" t="e">
        <f aca="false">IF(AND(Assumptions!$H$71="Yes",A26&gt;=Assumptions!$H$72,A26&lt;=Assumptions!$H$73),0,IF(EV26&gt;0,MAX(BJ26*(1+VLOOKUP($C26,WeatherCapacityAdjustment,2))-FR26,0),0))</f>
        <v>#VALUE!</v>
      </c>
      <c r="GA26" s="1564" t="e">
        <f aca="false">IF(AND(Assumptions!$H$71="Yes",A26&gt;=Assumptions!$H$72,A26&lt;=Assumptions!$H$73),0,IF(EW26&gt;0,MAX(BK26*(1+VLOOKUP($C26,WeatherCapacityAdjustment,2))-FS26,0),0))</f>
        <v>#VALUE!</v>
      </c>
      <c r="GB26" s="1551" t="e">
        <f aca="false">SUM(FT26:GA26)</f>
        <v>#VALUE!</v>
      </c>
      <c r="GC26" s="1563" t="e">
        <f aca="false">+IF(SUM(FT26:GA26)=0,0,(SUMPRODUCT(BU26:BX26,FT26:FW26)+SUMPRODUCT(CA26:CD26,FX26:GA26))/SUM(FT26:GA26))</f>
        <v>#VALUE!</v>
      </c>
      <c r="GD26" s="1551" t="e">
        <f aca="false">(FT26*BU26+FX26*CA26+FU26*BV26+FY26*CB26+FV26*BW26+FZ26*CC26+FW26*BX26+GA26*CD26)</f>
        <v>#VALUE!</v>
      </c>
      <c r="GE26" s="1561" t="e">
        <f aca="false">+IF(BQ26,((FL26+FM26+FT26+FU26)*HeatRatePeak/1000*(1+VLOOKUP($C26,WeatherHeatRateAdjustment,2))+(FN26+FV26)*IF(EV26&gt;0,HeatRatePeak,HeatRateOffPeak)/1000*(1+VLOOKUP($C26,WeatherHeatRateAdjustment,2))+(FO26+FW26)*IF(EW26&gt;0,HeatRatePeak,HeatRateOffPeak)/1000*(1+VLOOKUP($C26,WeatherHeatRateAdjustment,3)))*(1+VLOOKUP($B26,HeatRateDegradation,$C26+1)),0)</f>
        <v>#VALUE!</v>
      </c>
      <c r="GF26" s="1562" t="e">
        <f aca="false">IF(BQ26,((FP26+FQ26+FR26+FX26+FY26+FZ26)*HeatRatePeak/1000*(1+VLOOKUP($C26,WeatherHeatRateAdjustment,2))+(FS26+GA26)*HeatRatePeak/1000*(1+VLOOKUP($C26,WeatherHeatRateAdjustment,3)))*(1+VLOOKUP($B26,HeatRateDegradation,$C26+1)),0)</f>
        <v>#VALUE!</v>
      </c>
      <c r="GG26" s="1563" t="e">
        <f aca="false">IF(BQ26,VLOOKUP(A26,GasTable,13),0)</f>
        <v>#VALUE!</v>
      </c>
      <c r="GH26" s="1564" t="e">
        <f aca="false">(GE26+GF26)*GG26</f>
        <v>#VALUE!</v>
      </c>
      <c r="GI26" s="1569" t="e">
        <f aca="false">GB26</f>
        <v>#VALUE!</v>
      </c>
      <c r="GJ26" s="1598" t="e">
        <f aca="false">+DA26</f>
        <v>#VALUE!</v>
      </c>
      <c r="GK26" s="1558" t="e">
        <f aca="false">+GI26*GJ26</f>
        <v>#VALUE!</v>
      </c>
      <c r="GL26" s="1566" t="e">
        <f aca="false">MAX(FE26-FL26-FP26,0)</f>
        <v>#VALUE!</v>
      </c>
      <c r="GM26" s="1551" t="e">
        <f aca="false">MAX(FF26-FM26-FQ26,0)</f>
        <v>#VALUE!</v>
      </c>
      <c r="GN26" s="1551" t="e">
        <f aca="false">MAX(FG26-FN26-FR26,0)</f>
        <v>#VALUE!</v>
      </c>
      <c r="GO26" s="1564" t="e">
        <f aca="false">MAX(FH26-FO26-FS26,0)</f>
        <v>#VALUE!</v>
      </c>
      <c r="GP26" s="1551" t="e">
        <f aca="false">SUM(GL26:GO26)</f>
        <v>#VALUE!</v>
      </c>
      <c r="GQ26" s="1563" t="e">
        <f aca="false">IF(SUM(GL26:GO26)=0,0,((GL26*BU26+GM26*BV26+GN26*BW26+GO26*BX26)/SUM(GL26:GO26)))</f>
        <v>#VALUE!</v>
      </c>
      <c r="GR26" s="1558" t="e">
        <f aca="false">(GL26*BU26+GM26*BV26+GN26*BW26+GO26*BX26)</f>
        <v>#VALUE!</v>
      </c>
      <c r="GS26" s="1566" t="n">
        <f aca="false">IF($A26&gt;=BegDate,Assumptions!$C$56*24*($A27-$A26)*(1-VLOOKUP($B26,MAIN!$AA$7:$AM$28,$C26+1))*(1-VLOOKUP($B26,MAIN!$AA$33:$AM$54,$C26+1)),0)*80/168</f>
        <v>0</v>
      </c>
      <c r="GT26" s="286" t="n">
        <f aca="false">J26</f>
        <v>30.79125</v>
      </c>
      <c r="GU26" s="286" t="n">
        <f aca="false">IF($A26&gt;=BegDate,VLOOKUP($A26,GasTable,13)+Assumptions!$C$58,0)</f>
        <v>0</v>
      </c>
      <c r="GV26" s="286" t="n">
        <f aca="false">GU26*Assumptions!$C$57/1000</f>
        <v>0</v>
      </c>
      <c r="GW26" s="1558" t="n">
        <f aca="false">IF(Assumptions!$C$60="Hourly",MAX(0,GS26*(GT26-GV26)),GS26*(GT26-GV26))</f>
        <v>0</v>
      </c>
      <c r="GX26" s="1566" t="n">
        <f aca="false">IF($A26&gt;=BegDate,Assumptions!$C$56*24*($A27-$A26)*(1-VLOOKUP($B26,MAIN!$AA$7:$AM$28,$C26+1))*(1-VLOOKUP($B26,MAIN!$AA$33:$AM$54,$C26+1)),0)*16/168</f>
        <v>0</v>
      </c>
      <c r="GY26" s="286" t="n">
        <f aca="false">M26</f>
        <v>30.79125</v>
      </c>
      <c r="GZ26" s="286" t="n">
        <f aca="false">IF($A26&gt;=BegDate,VLOOKUP($A26,GasTable,13)+Assumptions!$C$58,0)</f>
        <v>0</v>
      </c>
      <c r="HA26" s="286" t="n">
        <f aca="false">GZ26*Assumptions!$C$57/1000</f>
        <v>0</v>
      </c>
      <c r="HB26" s="1558" t="n">
        <f aca="false">IF(Assumptions!$C$60="Hourly",MAX(0,GX26*(GY26-HA26)),GX26*(GY26-HA26))</f>
        <v>0</v>
      </c>
      <c r="HC26" s="1566" t="n">
        <f aca="false">IF($A26&gt;=BegDate,Assumptions!$C$56*24*($A27-$A26)*(1-VLOOKUP($B26,MAIN!$AA$7:$AM$28,$C26+1))*(1-VLOOKUP($B26,MAIN!$AA$33:$AM$54,$C26+1)),0)*16/168</f>
        <v>0</v>
      </c>
      <c r="HD26" s="286" t="n">
        <f aca="false">P26</f>
        <v>22.518438</v>
      </c>
      <c r="HE26" s="286" t="n">
        <f aca="false">IF($A26&gt;=BegDate,VLOOKUP($A26,GasTable,13)+Assumptions!$C$58,0)</f>
        <v>0</v>
      </c>
      <c r="HF26" s="286" t="n">
        <f aca="false">HE26*Assumptions!$C$57/1000</f>
        <v>0</v>
      </c>
      <c r="HG26" s="1558" t="n">
        <f aca="false">IF(Assumptions!$C$60="Hourly",MAX(0,HC26*(HD26-HF26)),HC26*(HD26-HF26))</f>
        <v>0</v>
      </c>
      <c r="HH26" s="1566" t="n">
        <f aca="false">IF($A26&gt;=BegDate,Assumptions!$C$56*24*($A27-$A26)*(1-VLOOKUP($B26,MAIN!$AA$7:$AM$28,$C26+1))*(1-VLOOKUP($B26,MAIN!$AA$33:$AM$54,$C26+1)),0)*56/168</f>
        <v>0</v>
      </c>
      <c r="HI26" s="286" t="n">
        <f aca="false">S26</f>
        <v>22.518438</v>
      </c>
      <c r="HJ26" s="286" t="n">
        <f aca="false">IF($A26&gt;=BegDate,VLOOKUP($A26,GasTable,13)+Assumptions!$C$58,0)</f>
        <v>0</v>
      </c>
      <c r="HK26" s="286" t="n">
        <f aca="false">HJ26*Assumptions!$C$57/1000</f>
        <v>0</v>
      </c>
      <c r="HL26" s="1558" t="n">
        <f aca="false">IF(Assumptions!$C$60="Hourly",MAX(0,HH26*(HI26-HK26)),HH26*(HI26-HK26))</f>
        <v>0</v>
      </c>
      <c r="HM26" s="1566" t="n">
        <f aca="false">IF(AND(Assumptions!$H$71="Yes",A26&gt;=Assumptions!$H$72,A26&lt;=Assumptions!$H$73),Assumptions!$H$74*Assumptions!$C$9*1000,0)</f>
        <v>0</v>
      </c>
      <c r="HN26" s="1558"/>
      <c r="HO26" s="1567" t="n">
        <f aca="false">HO25+1</f>
        <v>2012</v>
      </c>
      <c r="HP26" s="1566" t="e">
        <f aca="false">SUMIF($B$17:$B$292,HO26,$FJ$17:$FJ$292)</f>
        <v>#VALUE!</v>
      </c>
      <c r="HQ26" s="1568" t="e">
        <f aca="false">IF(HR26=0,0,HR26/HP26)</f>
        <v>#VALUE!</v>
      </c>
      <c r="HR26" s="1564" t="e">
        <f aca="false">SUMIF($B$17:$B$292,HO26,$FK$17:$FK$292)</f>
        <v>#VALUE!</v>
      </c>
      <c r="HS26" s="1569" t="e">
        <f aca="false">SUMIF($B$17:$B$292,HO26,$GB$17:$GB$292)</f>
        <v>#VALUE!</v>
      </c>
      <c r="HT26" s="1563" t="e">
        <f aca="false">+IF(HS26&gt;0,HU26/HS26,0)</f>
        <v>#VALUE!</v>
      </c>
      <c r="HU26" s="1551" t="e">
        <f aca="false">SUMIF($B$17:$B$292,HO26,$GD$17:$GD$292)</f>
        <v>#VALUE!</v>
      </c>
      <c r="HV26" s="1569" t="e">
        <f aca="false">HR26+HU26</f>
        <v>#VALUE!</v>
      </c>
      <c r="HW26" s="1551" t="e">
        <f aca="false">SUMIF($B$17:$B$292,$HO26,$EN$17:$EN$292)</f>
        <v>#VALUE!</v>
      </c>
      <c r="HX26" s="1551" t="e">
        <f aca="false">SUMIF($B$17:$B$292,$HO26,$FC$17:$FC$292)</f>
        <v>#VALUE!</v>
      </c>
      <c r="HY26" s="1551" t="n">
        <f aca="false">IF(Assumptions!$L$24="Yes",HW26+HX26,0)</f>
        <v>0</v>
      </c>
      <c r="HZ26" s="1566" t="e">
        <f aca="false">SUMIF($B$17:$B$292,HO26,$GE$17:$GE$292)+SUMIF($B$17:$B$292,HO26,$GF$17:$GF$292)</f>
        <v>#VALUE!</v>
      </c>
      <c r="IA26" s="1563" t="e">
        <f aca="false">IF(IB26=0,0,IB26/HZ26)</f>
        <v>#VALUE!</v>
      </c>
      <c r="IB26" s="1564" t="e">
        <f aca="false">-SUMIF($B$17:$B$292,HO26,$GH$17:$GH$292)</f>
        <v>#VALUE!</v>
      </c>
      <c r="IC26" s="1569" t="e">
        <f aca="false">SUMIF($B$17:$B$292,HO26,$GI$17:$GI$292)</f>
        <v>#VALUE!</v>
      </c>
      <c r="ID26" s="1563" t="e">
        <f aca="false">IF(IE26=0,0,IE26/IC26)</f>
        <v>#VALUE!</v>
      </c>
      <c r="IE26" s="1564" t="e">
        <f aca="false">-SUMIF($B$17:$B$292,HO26,$GK$17:$GK$292)</f>
        <v>#VALUE!</v>
      </c>
      <c r="IF26" s="1551" t="e">
        <f aca="false">SUMIF($B$17:$B$292,HO26,$GP$17:$GP$292)</f>
        <v>#VALUE!</v>
      </c>
      <c r="IG26" s="1563" t="e">
        <f aca="false">IF(IH26=0,0,IH26/IF26)</f>
        <v>#VALUE!</v>
      </c>
      <c r="IH26" s="1564" t="e">
        <f aca="false">-SUMIF($B$17:$B$292,HO26,$GR$17:$GR$292)</f>
        <v>#VALUE!</v>
      </c>
      <c r="II26" s="1570" t="n">
        <f aca="false">(SUMIF($B$17:$B$292,HO26,$GW$17:$GW$292)+SUMIF($B$17:$B$292,HO26,$HB$17:$HB$292)+SUMIF($B$17:$B$292,HO26,$HG$17:$HG$292)+SUMIF($B$17:$B$292,HO26,$HL$17:$HL$292))*Assumptions!$C$59</f>
        <v>1375986.37728266</v>
      </c>
      <c r="IJ26" s="1309" t="n">
        <f aca="false">SUMIF($B$17:$B$292,HO26,$HM$17:$HM$292)</f>
        <v>0</v>
      </c>
      <c r="IK26" s="1309"/>
    </row>
    <row r="27" customFormat="false" ht="12.75" hidden="false" customHeight="false" outlineLevel="0" collapsed="false">
      <c r="A27" s="1571" t="n">
        <f aca="false">EOMONTH(A26,0)+1</f>
        <v>36951</v>
      </c>
      <c r="B27" s="594" t="n">
        <f aca="false">+YEAR(A27)</f>
        <v>2001</v>
      </c>
      <c r="C27" s="238" t="n">
        <f aca="false">MONTH(A27)</f>
        <v>3</v>
      </c>
      <c r="D27" s="1572" t="str">
        <f aca="false">IF(E27="","",Holiday(B27,C27))</f>
        <v/>
      </c>
      <c r="E27" s="1573" t="str">
        <f aca="false">IF(OR(BegDate&gt;=A28,EndDate&lt;A27,AND(VolumeMonthlyOverFlag,INDEX(VolumeMonthlyOver,C27)=0),NOT(INDEX(MonthKnockOutTable,C27))),"",MAX(A27,BegDate))</f>
        <v/>
      </c>
      <c r="F27" s="1574" t="str">
        <f aca="false">IF(E27="","",MIN(A28-1,EndDate))</f>
        <v/>
      </c>
      <c r="G27" s="1575" t="n">
        <v>0</v>
      </c>
      <c r="H27" s="1576" t="n">
        <f aca="false">(1+G27/2)^(-2*(DATE(B28,C28,20)-DateToday)/365.25)</f>
        <v>1</v>
      </c>
      <c r="I27" s="1568" t="n">
        <f aca="false">IF(Assumptions!$L$25=4,VLOOKUP($A27,'Henwood Reference'!$E$9:$R$320,10),(VLOOKUP($A27,PriceTable,2,0)+IF(BasisNumber&lt;&gt;1,VLOOKUP($A27,BasisTable,2,0),0)+I$1)/(1-I$2))</f>
        <v>29.195766</v>
      </c>
      <c r="J27" s="1568" t="n">
        <f aca="false">IF(Assumptions!$L$25=4,VLOOKUP($A27,'Henwood Reference'!$E$9:$R$320,10),(VLOOKUP($A27,PriceTable,3,0)+IF(BasisNumber&lt;&gt;1,VLOOKUP($A27,BasisTable,2,0),0)+J$1)/(1-J$2))</f>
        <v>29.195766</v>
      </c>
      <c r="K27" s="1568" t="n">
        <f aca="false">IF(Assumptions!$L$25=4,VLOOKUP($A27,'Henwood Reference'!$E$9:$R$320,10),(VLOOKUP($A27,PriceTable,4,0)+IF(BasisNumber&lt;&gt;1,VLOOKUP($A27,BasisTable,2,0),0)+K$1)/(1-K$2))</f>
        <v>29.195766</v>
      </c>
      <c r="L27" s="1523" t="n">
        <f aca="false">IF(Assumptions!$L$25=4,VLOOKUP($A27,'Henwood Reference'!$E$9:$R$320,10),(VLOOKUP($A27,PriceTableWeekend,2,0)+IF(BasisNumber&lt;&gt;1,VLOOKUP($A27,BasisTable,2,0),0)+L$1)/(1-L$2))</f>
        <v>29.195766</v>
      </c>
      <c r="M27" s="1568" t="n">
        <f aca="false">IF(Assumptions!$L$25=4,VLOOKUP($A27,'Henwood Reference'!$E$9:$R$320,10),(VLOOKUP($A27,PriceTableWeekend,3,0)+IF(BasisNumber&lt;&gt;1,VLOOKUP($A27,BasisTable,2,0),0)+M$1)/(1-M$2))</f>
        <v>29.195766</v>
      </c>
      <c r="N27" s="1599" t="n">
        <f aca="false">IF(Assumptions!$L$25=4,VLOOKUP($A27,'Henwood Reference'!$E$9:$R$320,10),(VLOOKUP($A27,PriceTableWeekend,4,0)+IF(BasisNumber&lt;&gt;1,VLOOKUP($A27,BasisTable,2,0),0)+N$1)/(1-N$2))</f>
        <v>29.195766</v>
      </c>
      <c r="O27" s="1568" t="n">
        <f aca="false">IF(Assumptions!$L$25=4,VLOOKUP($A27,'Henwood Reference'!$E$9:$R$320,11),(VLOOKUP($A27,PriceTableWeekend,6,0)+IF(BasisNumber&lt;&gt;1,VLOOKUP($A27,BasisTable,3,0),0)+O$1)/(1-O$2))</f>
        <v>20.097468</v>
      </c>
      <c r="P27" s="1568" t="n">
        <f aca="false">IF(Assumptions!$L$25=4,VLOOKUP($A27,'Henwood Reference'!$E$9:$R$320,11),(VLOOKUP($A27,PriceTableWeekend,7,0)+IF(BasisNumber&lt;&gt;1,VLOOKUP($A27,BasisTable,3,0),0)+P$1)/(1-P$2))</f>
        <v>20.097468</v>
      </c>
      <c r="Q27" s="1599" t="n">
        <f aca="false">IF(Assumptions!$L$25=4,VLOOKUP($A27,'Henwood Reference'!$E$9:$R$320,11),(VLOOKUP($A27,PriceTableWeekend,8,0)+IF(BasisNumber&lt;&gt;1,VLOOKUP($A27,BasisTable,3,0),0)+Q$1)/(1-Q$2))</f>
        <v>20.097468</v>
      </c>
      <c r="R27" s="1568" t="n">
        <f aca="false">IF(Assumptions!$L$25=4,VLOOKUP($A27,'Henwood Reference'!$E$9:$R$320,11),(VLOOKUP($A27,PriceTable,6,0)+IF(BasisNumber&lt;&gt;1,VLOOKUP($A27,BasisTable,3,0),0)+R$1)/(1-R$2))</f>
        <v>20.097468</v>
      </c>
      <c r="S27" s="1568" t="n">
        <f aca="false">IF(Assumptions!$L$25=4,VLOOKUP($A27,'Henwood Reference'!$E$9:$R$320,11),(VLOOKUP($A27,PriceTable,7,0)+IF(BasisNumber&lt;&gt;1,VLOOKUP($A27,BasisTable,3,0),0)+S$1)/(1-S$2))</f>
        <v>20.097468</v>
      </c>
      <c r="T27" s="1600" t="n">
        <f aca="false">IF(Assumptions!$L$25=4,VLOOKUP($A27,'Henwood Reference'!$E$9:$R$320,11),(VLOOKUP($A27,PriceTable,8,0)+IF(BasisNumber&lt;&gt;1,VLOOKUP($A27,BasisTable,3,0),0)+T$1)/(1-T$2))</f>
        <v>20.097468</v>
      </c>
      <c r="U27" s="1513" t="n">
        <f aca="false">VLOOKUP($A27,VolatilityTable,14)</f>
        <v>0.22</v>
      </c>
      <c r="V27" s="1513" t="n">
        <f aca="false">VLOOKUP($A27,VolatilityTable,15)</f>
        <v>0.2</v>
      </c>
      <c r="W27" s="1514" t="n">
        <f aca="false">VLOOKUP($A27,VolatilityTable,16)</f>
        <v>0.28</v>
      </c>
      <c r="X27" s="1513" t="n">
        <f aca="false">VLOOKUP($A27,VolatilityTable,14)</f>
        <v>0.22</v>
      </c>
      <c r="Y27" s="1513" t="n">
        <f aca="false">VLOOKUP($A27,VolatilityTable,15)</f>
        <v>0.2</v>
      </c>
      <c r="Z27" s="1514" t="n">
        <f aca="false">VLOOKUP($A27,VolatilityTable,16)</f>
        <v>0.28</v>
      </c>
      <c r="AA27" s="1513" t="n">
        <f aca="false">VLOOKUP($A27,VolatilityTable,18)</f>
        <v>0.05</v>
      </c>
      <c r="AB27" s="1513" t="n">
        <f aca="false">VLOOKUP($A27,VolatilityTable,19)</f>
        <v>0.11</v>
      </c>
      <c r="AC27" s="1514" t="n">
        <f aca="false">VLOOKUP($A27,VolatilityTable,20)</f>
        <v>0.15</v>
      </c>
      <c r="AD27" s="1513" t="n">
        <f aca="false">VLOOKUP($A27,VolatilityTable,18)</f>
        <v>0.05</v>
      </c>
      <c r="AE27" s="1513" t="n">
        <f aca="false">VLOOKUP($A27,VolatilityTable,19)</f>
        <v>0.11</v>
      </c>
      <c r="AF27" s="1514" t="n">
        <f aca="false">VLOOKUP($A27,VolatilityTable,20)</f>
        <v>0.15</v>
      </c>
      <c r="AG27" s="1513" t="n">
        <f aca="false">VLOOKUP($A27,VolatilityTable,22)</f>
        <v>-0.1</v>
      </c>
      <c r="AH27" s="1513" t="n">
        <f aca="false">VLOOKUP($A27,VolatilityTable,23)</f>
        <v>0.65</v>
      </c>
      <c r="AI27" s="1514" t="n">
        <f aca="false">VLOOKUP($A27,VolatilityTable,24)</f>
        <v>0.1</v>
      </c>
      <c r="AJ27" s="1513" t="n">
        <f aca="false">VLOOKUP($A27,VolatilityTable,22)</f>
        <v>-0.1</v>
      </c>
      <c r="AK27" s="1513" t="n">
        <f aca="false">VLOOKUP($A27,VolatilityTable,23)</f>
        <v>0.65</v>
      </c>
      <c r="AL27" s="1514" t="n">
        <f aca="false">VLOOKUP($A27,VolatilityTable,24)</f>
        <v>0.1</v>
      </c>
      <c r="AM27" s="1513" t="n">
        <f aca="false">VLOOKUP($A27,VolatilityTable,26)</f>
        <v>-0.01</v>
      </c>
      <c r="AN27" s="1513" t="n">
        <f aca="false">VLOOKUP($A27,VolatilityTable,27)</f>
        <v>0.16</v>
      </c>
      <c r="AO27" s="1514" t="n">
        <f aca="false">VLOOKUP($A27,VolatilityTable,28)</f>
        <v>0.01</v>
      </c>
      <c r="AP27" s="1513" t="n">
        <f aca="false">VLOOKUP($A27,VolatilityTable,26)</f>
        <v>-0.01</v>
      </c>
      <c r="AQ27" s="1513" t="n">
        <f aca="false">VLOOKUP($A27,VolatilityTable,27)</f>
        <v>0.16</v>
      </c>
      <c r="AR27" s="1515" t="n">
        <f aca="false">VLOOKUP($A27,VolatilityTable,28)</f>
        <v>0.01</v>
      </c>
      <c r="AS27" s="1581" t="n">
        <f aca="false">IF(CorrPeakOffPeakOverFlag,INDEX(CorrPeakOffPeakOver,C27),CorrPeakOffPeak)</f>
        <v>0.5</v>
      </c>
      <c r="AT27" s="594" t="n">
        <f aca="false">AX27-SUM(AU27:AW27)</f>
        <v>0</v>
      </c>
      <c r="AU27" s="238" t="n">
        <f aca="false">IF(E27="",0,INT((F27-MOD(F27,7)-E27)/7)+1-IF(AW27,IF(WEEKDAY(D27)=7,1,0),0))</f>
        <v>0</v>
      </c>
      <c r="AV27" s="238" t="n">
        <f aca="false">IF(E27="",0,INT((F27-MOD(F27-1,7)-E27)/7)+1-IF(AW27,IF(WEEKDAY(D27)=1,1,0),0))</f>
        <v>0</v>
      </c>
      <c r="AW27" s="238" t="n">
        <f aca="false">IF(OR(E27="",D27="",D27&lt;BegDate,D27&gt;EndDate),0,1)</f>
        <v>0</v>
      </c>
      <c r="AX27" s="238" t="n">
        <f aca="false">IF(E27="",0,F27-E27+1)</f>
        <v>0</v>
      </c>
      <c r="AY27" s="1582" t="n">
        <f aca="false">IF(E27="",0,MIN((1-(1-VLOOKUP(B27,MAIN!$AA$7:$AM$28,C27+1))*(1-VLOOKUP(B27,MAIN!$AA$33:$AM$54,C27+1))),1))</f>
        <v>0</v>
      </c>
      <c r="AZ27" s="1519" t="e">
        <v>#VALUE!</v>
      </c>
      <c r="BA27" s="1520" t="e">
        <v>#VALUE!</v>
      </c>
      <c r="BB27" s="1520" t="e">
        <v>#VALUE!</v>
      </c>
      <c r="BC27" s="1583" t="e">
        <v>#VALUE!</v>
      </c>
      <c r="BD27" s="1522" t="e">
        <v>#VALUE!</v>
      </c>
      <c r="BE27" s="1523" t="e">
        <v>#VALUE!</v>
      </c>
      <c r="BF27" s="1523" t="e">
        <v>#VALUE!</v>
      </c>
      <c r="BG27" s="1584" t="e">
        <v>#VALUE!</v>
      </c>
      <c r="BH27" s="1525" t="e">
        <v>#VALUE!</v>
      </c>
      <c r="BI27" s="1520" t="e">
        <v>#VALUE!</v>
      </c>
      <c r="BJ27" s="1520" t="e">
        <v>#VALUE!</v>
      </c>
      <c r="BK27" s="1583" t="e">
        <v>#VALUE!</v>
      </c>
      <c r="BL27" s="1522" t="e">
        <v>#VALUE!</v>
      </c>
      <c r="BM27" s="1523" t="e">
        <v>#VALUE!</v>
      </c>
      <c r="BN27" s="1523" t="e">
        <v>#VALUE!</v>
      </c>
      <c r="BO27" s="1523" t="e">
        <v>#VALUE!</v>
      </c>
      <c r="BP27" s="1525" t="e">
        <f aca="false">SUM(AZ27:BB27)</f>
        <v>#VALUE!</v>
      </c>
      <c r="BQ27" s="1529" t="e">
        <f aca="false">SUM(AZ27:BC27)</f>
        <v>#VALUE!</v>
      </c>
      <c r="BR27" s="1519" t="e">
        <f aca="false">SUM(BH27:BJ27)</f>
        <v>#VALUE!</v>
      </c>
      <c r="BS27" s="1529" t="e">
        <f aca="false">SUM(BH27:BK27)</f>
        <v>#VALUE!</v>
      </c>
      <c r="BT27" s="1316" t="n">
        <f aca="false">(IF(OVolType&lt;&gt;2,A27+14,IF(OptExpDateShift,ShiftBack(A27,OptExpDateShift,D26),A27))-DateToday)/365.25</f>
        <v>0.878850102669405</v>
      </c>
      <c r="BU27" s="1585" t="e">
        <f aca="false">IF(BQ27,IF(OPriceCurve,IF(OBuySell=OCallPut,I27/(1-AY27),K27/(1-AY27)),J27/(1-AY27))*BD27,0)</f>
        <v>#VALUE!</v>
      </c>
      <c r="BV27" s="1316" t="e">
        <f aca="false">IF(BQ27,IF(OPriceCurve,IF(OBuySell=OCallPut,L27/(1-AY27),N27/(1-AY27)),M27/(1-AY27))*BE27,0)</f>
        <v>#VALUE!</v>
      </c>
      <c r="BW27" s="1316" t="e">
        <f aca="false">IF(BQ27,IF(OPriceCurve,IF(OBuySell=OCallPut,O27/(1-AY27),Q27/(1-AY27)),P27/(1-AY27))*BF27,0)</f>
        <v>#VALUE!</v>
      </c>
      <c r="BX27" s="1316" t="e">
        <f aca="false">IF(BQ27,IF(OPriceCurve,IF(OBuySell=OCallPut,R27/(1-AY27),T27/(1-AY27)),S27/(1-AY27))*BG27,0)</f>
        <v>#VALUE!</v>
      </c>
      <c r="BY27" s="1316" t="e">
        <f aca="false">IF(BP27,(BU27*AZ27+BV27*BA27+BW27*BB27)/BP27,0)</f>
        <v>#VALUE!</v>
      </c>
      <c r="BZ27" s="1316" t="e">
        <f aca="false">IF(BQ27,(BY27*BP27+BX27*BC27)/BQ27,0)</f>
        <v>#VALUE!</v>
      </c>
      <c r="CA27" s="1531" t="e">
        <f aca="false">IF(BS27,IF(OPriceCurve,IF(OBuySell=OCallPut,I27/(1-AY27),K27/(1-AY27)),J27/(1-AY27))*BL27,0)</f>
        <v>#VALUE!</v>
      </c>
      <c r="CB27" s="1316" t="e">
        <f aca="false">IF(BS27,IF(OPriceCurve,IF(OBuySell=OCallPut,L27/(1-AY27),N27/(1-AY27)),M27/(1-AY27))*BM27,0)</f>
        <v>#VALUE!</v>
      </c>
      <c r="CC27" s="1316" t="e">
        <f aca="false">IF(BS27,IF(OPriceCurve,IF(OBuySell=OCallPut,O27/(1-AY27),Q27/(1-AY27)),P27/(1-AY27))*BN27,0)</f>
        <v>#VALUE!</v>
      </c>
      <c r="CD27" s="1316" t="e">
        <f aca="false">IF(BS27,IF(OPriceCurve,IF(OBuySell=OCallPut,R27/(1-AY27),T27/(1-AY27)),S27/(1-AY27))*BO27,0)</f>
        <v>#VALUE!</v>
      </c>
      <c r="CE27" s="1316" t="e">
        <f aca="false">IF(BR27,(BU27*BH27+BV27*BI27+BW27*BJ27)/BR27,0)</f>
        <v>#VALUE!</v>
      </c>
      <c r="CF27" s="1532" t="e">
        <f aca="false">IF(BS27,(CE27*BR27+CD27*BK27)/BS27,0)</f>
        <v>#VALUE!</v>
      </c>
      <c r="CG27" s="1586" t="e">
        <f aca="false">IF(OR(BQ27,BS27),IF(OVolType&lt;&gt;2,SQRT(IF(OVolOverMonthlyPeak,OVolOverMonthlyPeak,IF(OVolCurve,IF(OBuySell,U27,W27),V27))^2*(1-15/365.25/BT27)+IF(OVolOverDailyPeak,OVolOverDailyPeak,IF(OVolCurve,IF(OBuySell,AG27,AI27),AH27))^2*15/365.25/BT27),IF(OVolOverMonthlyPeak,OVolOverMonthlyPeak,IF(OVolCurve,IF(OBuySell,U27,W27),V27))),"")</f>
        <v>#VALUE!</v>
      </c>
      <c r="CH27" s="1587" t="e">
        <f aca="false">IF(OR(BQ27,BS27),IF(OVolType&lt;&gt;2,SQRT(IF(OVolOverMonthlyPeak,OVolOverMonthlyPeak,IF(OVolCurve,IF(OBuySell,X27,Z27),Y27))^2*(1-15/365.25/BT27)+IF(OVolOverDailyPeak,OVolOverDailyPeak,IF(OVolCurve,IF(OBuySell,AJ27,AL27),AK27))^2*15/365.25/BT27),IF(OVolOverMonthlyPeak,OVolOverMonthlyPeak,IF(OVolCurve,IF(OBuySell,X27,Z27),Y27))),"")</f>
        <v>#VALUE!</v>
      </c>
      <c r="CI27" s="1587" t="e">
        <f aca="false">IF(OR(BQ27,BS27),IF(OVolType&lt;&gt;2,SQRT(IF(OVolOverMonthlyPeak,OVolOverMonthlyPeak,IF(OVolCurve,IF(OBuySell,AA27,AC27),AB27))^2*(1-15/365.25/BT27)+IF(OVolOverDailyPeak,OVolOverDailyPeak,IF(OVolCurve,IF(OBuySell,AM27,AO27),AN27))^2*15/365.25/BT27),IF(OVolOverMonthlyPeak,OVolOverMonthlyPeak,IF(OVolCurve,IF(OBuySell,AA27,AC27),AB27))),"")</f>
        <v>#VALUE!</v>
      </c>
      <c r="CJ27" s="1587" t="e">
        <f aca="false">IF(BQ27,IF(BP27,SQRT(LN(1+((BU27*AZ27)^2*(EXP(CG27^2*BT27)-1)+(BV27*BA27)^2*(EXP(CH27^2*BT27)-1)+(BW27*BB27)^2*(EXP(CI27^2*BT27)-1)+2*BU27*AZ27*BV27*BA27*(EXP(CG27*CH27*BT27)-1)+2*BV27*BA27*BW27*BB27*(EXP(CH27*CI27*BT27)-1)+2*BW27*BB27*BU27*AZ27*(EXP(CI27*CG27*BT27)-1))/(BY27*BP27)^2)/BT27),0),"")</f>
        <v>#VALUE!</v>
      </c>
      <c r="CK27" s="1587" t="e">
        <f aca="false">IF(BS27,IF(BR27,SQRT(LN(1+((CA27*BH27)^2*(EXP(CG27^2*BT27)-1)+(CB27*BI27)^2*(EXP(CH27^2*BT27)-1)+(CC27*BJ27)^2*(EXP(CI27^2*BT27)-1)+2*CA27*BH27*CB27*BI27*(EXP(CG27*CH27*BT27)-1)+2*CB27*BI27*CC27*BJ27*(EXP(CH27*CI27*BT27)-1)+2*CC27*BJ27*CA27*BH27*(EXP(CI27*CG27*BT27)-1))/(CE27*BR27)^2)/BT27),0),"")</f>
        <v>#VALUE!</v>
      </c>
      <c r="CL27" s="1587" t="e">
        <f aca="false">IF(OR(BQ27,BS27),IF(OVolType&lt;&gt;2,SQRT(IF(OVolOverMonthlyOffPeak,OVolOverMonthlyOffPeak,IF(OVolCurve,IF(OBuySell,AD27,AF27),AE27))^2*(1-15/365.25/BT27)+IF(OVolOverDailyOffPeak,OVolOverDailyOffPeak,IF(OVolCurve,IF(OBuySell,AP27,AR27),AQ27))^2*15/365.25/BT27),IF(OVolOverMonthlyOffPeak,OVolOverMonthlyOffPeak,IF(OVolCurve,IF(OBuySell,AD27,AF27),AE27))),"")</f>
        <v>#VALUE!</v>
      </c>
      <c r="CM27" s="1587" t="e">
        <f aca="false">IF(BQ27,SQRT(LN(1+((BY27*BP27)^2*(EXP(CJ27^2*BT27)-1)+(BX27*BC27)^2*(EXP(CL27^2*BT27)-1)+2*BY27*BP27*BX27*BC27*(EXP(AS27*CJ27*CL27*BT27)-1))/(BY27*BP27+BX27*BC27)^2)/BT27),"")</f>
        <v>#VALUE!</v>
      </c>
      <c r="CN27" s="1588" t="e">
        <f aca="false">IF(BS27,SQRT(LN(1+((CE27*BR27)^2*(EXP(CK27^2*BT27)-1)+(CD27*BK27)^2*(EXP(CL27^2*BT27)-1)+2*CE27*BR27*CD27*BK27*(EXP(AS27*CK27*CL27*BT27)-1))/(CE27*BR27+CD27*BK27)^2)/BT27),"")</f>
        <v>#VALUE!</v>
      </c>
      <c r="CO27" s="1531" t="e">
        <f aca="false">IF(OR(BQ27,BS27),VLOOKUP(A27,GasTable,13)*HeatRatePeak*(1+VLOOKUP($B27,HeatRateDegradation,$C27+1))/1000,0)</f>
        <v>#VALUE!</v>
      </c>
      <c r="CP27" s="1316" t="e">
        <f aca="false">IF(OR(BQ27,BS27),VLOOKUP(A27,GasTable,13)*HeatRatePeak*(1+VLOOKUP($B27,HeatRateDegradation,$C27+1))/1000,0)</f>
        <v>#VALUE!</v>
      </c>
      <c r="CQ27" s="1316" t="e">
        <f aca="false">IF(OR(BQ27,BS27),VLOOKUP(A27,GasTable,13)*IF(EV27,HeatRatePeak,HeatRateOffPeak)*(1+VLOOKUP($B27,HeatRateDegradation,$C27+1))/1000,0)</f>
        <v>#VALUE!</v>
      </c>
      <c r="CR27" s="1316" t="e">
        <f aca="false">IF(OR(BQ27,BS27),VLOOKUP(A27,GasTable,13)*IF(EW27,HeatRatePeak,HeatRateOffPeak)*(1+VLOOKUP($B27,HeatRateDegradation,$C27+1))/1000,0)</f>
        <v>#VALUE!</v>
      </c>
      <c r="CS27" s="1589" t="e">
        <f aca="false">IF(BQ27,(CO27*AZ27+CP27*BA27+CQ27*BB27+CR27*BC27)/BQ27,0)</f>
        <v>#VALUE!</v>
      </c>
      <c r="CT27" s="1316" t="e">
        <f aca="false">IF(BS27,CO27,0)</f>
        <v>#VALUE!</v>
      </c>
      <c r="CU27" s="1590" t="e">
        <f aca="false">IF(OR(BQ27,BS27),VLOOKUP(A27,GasTable,14),"")</f>
        <v>#VALUE!</v>
      </c>
      <c r="CV27" s="1568" t="e">
        <f aca="false">IF(OR(BQ27,BS27),IF(CorrPowerGasOverFlag,INDEX(CorrPowerGasOver,C27),CorrPowerGas),"")</f>
        <v>#VALUE!</v>
      </c>
      <c r="CW27" s="1316" t="e">
        <f aca="false">IF(OR($BQ27,$BS27),SpreadOptPowerMargin,0)*((1+Assumptions!$C$26)^($B27-YEAR(Assumptions!$C$17)))</f>
        <v>#VALUE!</v>
      </c>
      <c r="CX27" s="1316" t="e">
        <f aca="false">IF(OR($BQ27,$BS27),SpreadOptPowerMargin,0)*((1+Assumptions!$C$26)^($B27-YEAR(Assumptions!$C$17)))</f>
        <v>#VALUE!</v>
      </c>
      <c r="CY27" s="1316" t="e">
        <f aca="false">IF(OR($BQ27,$BS27),SpreadOptPowerMargin,0)*((1+Assumptions!$C$26)^($B27-YEAR(Assumptions!$C$17)))</f>
        <v>#VALUE!</v>
      </c>
      <c r="CZ27" s="1316" t="e">
        <f aca="false">IF(OR($BQ27,$BS27),SpreadOptPowerMargin,0)*((1+Assumptions!$C$26)^($B27-YEAR(Assumptions!$C$17)))</f>
        <v>#VALUE!</v>
      </c>
      <c r="DA27" s="1591" t="e">
        <f aca="false">IF(OR(BQ27,BS27),(CW27*(AZ27+BH27)+CX27*(BA27+BI27)+CY27*(BB27+BJ27)+CZ27*(BC27+BK27))/(BQ27+BS27),0)</f>
        <v>#VALUE!</v>
      </c>
      <c r="DB27" s="1592" t="e">
        <f aca="false">IF(OR(BQ27,BS27),CG27+IF(OVolSmile,VLOOKUP(MAX(-5,CO27+CW27-BU27),IF(OVolSmile=1,VolSmileBook,VolSmileModel),2),0),"")</f>
        <v>#VALUE!</v>
      </c>
      <c r="DC27" s="1592" t="e">
        <f aca="false">IF(OR(BQ27,BS27),CH27+IF(OVolSmile,VLOOKUP(MAX(-5,CP27+CW27-BV27),IF(OVolSmile=1,VolSmileBook,VolSmileModel),2),0),"")</f>
        <v>#VALUE!</v>
      </c>
      <c r="DD27" s="1592" t="e">
        <f aca="false">IF(OR(BQ27,BS27),CI27+IF(OVolSmile,VLOOKUP(MAX(-5,CQ27+CW27-BW27),IF(OVolSmile=1,VolSmileBook,VolSmileModel),2),0),"")</f>
        <v>#VALUE!</v>
      </c>
      <c r="DE27" s="1592" t="e">
        <f aca="false">IF(OR(BQ27,BS27),CL27+IF(OVolSmile,VLOOKUP(MAX(-5,CR27+CZ27-BX27),IF(OVolSmile=1,VolSmileBook,VolSmileModel),2),0),"")</f>
        <v>#VALUE!</v>
      </c>
      <c r="DF27" s="1592" t="e">
        <f aca="false">IF(BQ27,CM27+IF(OVolSmile,VLOOKUP(MAX(-5,CS27+DA27-BZ27),IF(OVolSmile=1,VolSmileBook,VolSmileModel),2),0),"")</f>
        <v>#VALUE!</v>
      </c>
      <c r="DG27" s="1593" t="e">
        <f aca="false">IF(BS27,CN27+IF(OVolSmile,VLOOKUP(MAX(-5,CT27+DA27-CF27),IF(OVolSmile=1,VolSmileBook,VolSmileModel),2),0),"")</f>
        <v>#VALUE!</v>
      </c>
      <c r="DH27" s="1316" t="e">
        <f aca="false">IF(AND(BU27&gt;0,CO27&gt;0,DB27&gt;0,CU27&gt;0),newSPRDOPT(BU27,CO27,CW27,0,DB27,CU27,CV27,BT27*365.25,OCallPut,0),0)</f>
        <v>#VALUE!</v>
      </c>
      <c r="DI27" s="1316" t="e">
        <f aca="false">IF(AND(BV27&gt;0,CP27&gt;0,DC27&gt;0,CU27&gt;0),newSPRDOPT(BV27,CP27,CX27,0,DC27,CU27,CV27,BT27*365.25,OCallPut,0),0)</f>
        <v>#VALUE!</v>
      </c>
      <c r="DJ27" s="1316" t="e">
        <f aca="false">IF(AND(BW27&gt;0,CQ27&gt;0,DD27&gt;0,CU27&gt;0),newSPRDOPT(BW27,CQ27,CY27,0,DD27,CU27,CV27,BT27*365.25,OCallPut,0),0)</f>
        <v>#VALUE!</v>
      </c>
      <c r="DK27" s="1316" t="e">
        <f aca="false">IF(AND(BX27&gt;0,CR27&gt;0,DE27&gt;0,CU27&gt;0),newSPRDOPT(BX27,CR27,CZ27,0,DE27,CU27,CV27,BT27*365.25,OCallPut,0),0)</f>
        <v>#VALUE!</v>
      </c>
      <c r="DL27" s="1316" t="e">
        <f aca="false">IF(OVolType,IF(AND(BZ27&gt;0,CS27&gt;0,DF27&gt;0,CU27&gt;0),newSPRDOPT(BZ27,CS27,DA27,0,DF27,CU27,CV27,BT27*365.25,OCallPut,0),0),IF(BQ27,(DH27*AZ27+DI27*BA27+DJ27*BB27+DK27*BC27)/BQ27,0))</f>
        <v>#VALUE!</v>
      </c>
      <c r="DM27" s="1316"/>
      <c r="DN27" s="1316"/>
      <c r="DO27" s="1316"/>
      <c r="DP27" s="1316"/>
      <c r="DQ27" s="1316"/>
      <c r="DR27" s="1316"/>
      <c r="DS27" s="1316"/>
      <c r="DT27" s="1316"/>
      <c r="DU27" s="1316"/>
      <c r="DV27" s="1316"/>
      <c r="DW27" s="1594" t="e">
        <f aca="false">IF(AND(BW27&gt;0,CT27&gt;0,DD27&gt;0,CU27&gt;0),newSPRDOPT(BW27,CT27,CY27,0,DD27,CU27,CV27,BT27*365.25,OCallPut,0),0)</f>
        <v>#VALUE!</v>
      </c>
      <c r="DX27" s="1316" t="e">
        <f aca="false">IF(AND(BX27&gt;0,CT27&gt;0,DE27&gt;0,CU27&gt;0),newSPRDOPT(BX27,CT27,CZ27,0,DE27,CU27,CV27,BT27*365.25,OCallPut,0),0)</f>
        <v>#VALUE!</v>
      </c>
      <c r="DY27" s="1591" t="e">
        <f aca="false">IF(BS27,(DH27*BH27+DI27*BI27+DW27*BJ27+DX27*BK27)/BS27,0)</f>
        <v>#VALUE!</v>
      </c>
      <c r="DZ27" s="1551" t="e">
        <f aca="false">DH27*AZ27</f>
        <v>#VALUE!</v>
      </c>
      <c r="EA27" s="1551" t="e">
        <f aca="false">DI27*BA27</f>
        <v>#VALUE!</v>
      </c>
      <c r="EB27" s="1551" t="e">
        <f aca="false">DJ27*BB27</f>
        <v>#VALUE!</v>
      </c>
      <c r="EC27" s="1551" t="e">
        <f aca="false">DK27*BC27</f>
        <v>#VALUE!</v>
      </c>
      <c r="ED27" s="1551" t="e">
        <f aca="false">DL27*BQ27</f>
        <v>#VALUE!</v>
      </c>
      <c r="EE27" s="1595" t="e">
        <f aca="false">IF(BQ27,IF(OCallPut,IF(BU27&gt;(CO27+CW27),BU27-(CO27+CW27),0),IF((CO27+CW27)&gt;BU27,(CO27+CW27)-BU27,0))*AZ27,0)</f>
        <v>#VALUE!</v>
      </c>
      <c r="EF27" s="1596" t="e">
        <f aca="false">IF(BQ27,IF(OCallPut,IF(BV27&gt;(CP27+CX27),BV27-(CP27+CX27),0),IF((CP27+CX27)&gt;BV27,(CP27+CX27)-BV27,0))*BA27,0)</f>
        <v>#VALUE!</v>
      </c>
      <c r="EG27" s="1596" t="e">
        <f aca="false">IF(BQ27,IF(OCallPut,IF(BW27&gt;(CQ27+CY27),BW27-(CQ27+CY27),0),IF((CQ27+CY27)&gt;BW27,(CQ27+CY27)-BW27,0))*BB27,0)</f>
        <v>#VALUE!</v>
      </c>
      <c r="EH27" s="1596" t="e">
        <f aca="false">IF(BQ27,IF(OCallPut,IF(BX27&gt;(CR27+CZ27),BX27-(CR27+CZ27),0),IF((CR27+CZ27)&gt;BX27,(CR27+CZ27)-BX27,0))*BC27,0)</f>
        <v>#VALUE!</v>
      </c>
      <c r="EI27" s="1597" t="e">
        <f aca="false">IF(BQ27,IF(OVolType,IF(OCallPut,IF(BZ27&gt;(CS27+DA27),BZ27-(CS27+DA27),0),IF((CS27+DA27)&gt;BZ27,(CS27+DA27)-BZ27,0))*BQ27,SUM(EE27:EH27)),0)</f>
        <v>#VALUE!</v>
      </c>
      <c r="EJ27" s="1595" t="e">
        <f aca="false">DZ27-EE27</f>
        <v>#VALUE!</v>
      </c>
      <c r="EK27" s="1596" t="e">
        <f aca="false">EA27-EF27</f>
        <v>#VALUE!</v>
      </c>
      <c r="EL27" s="1596" t="e">
        <f aca="false">EB27-EG27</f>
        <v>#VALUE!</v>
      </c>
      <c r="EM27" s="1596" t="e">
        <f aca="false">EC27-EH27</f>
        <v>#VALUE!</v>
      </c>
      <c r="EN27" s="1597" t="e">
        <f aca="false">ED27-EI27</f>
        <v>#VALUE!</v>
      </c>
      <c r="EO27" s="1551" t="e">
        <f aca="false">DH27*BH27</f>
        <v>#VALUE!</v>
      </c>
      <c r="EP27" s="1551" t="e">
        <f aca="false">DI27*BI27</f>
        <v>#VALUE!</v>
      </c>
      <c r="EQ27" s="1551" t="e">
        <f aca="false">DW27*BJ27</f>
        <v>#VALUE!</v>
      </c>
      <c r="ER27" s="1551" t="e">
        <f aca="false">DX27*BK27</f>
        <v>#VALUE!</v>
      </c>
      <c r="ES27" s="1551" t="e">
        <f aca="false">DY27*BS27</f>
        <v>#VALUE!</v>
      </c>
      <c r="ET27" s="1566" t="e">
        <f aca="false">IF(BS27,IF(OCallPut,IF(CA27&gt;(CT27+CW27),CA27-(CT27+CW27),0),IF((CT27+CW27)&gt;CA27,(CT27+CW27)-CA27,0))*BH27,0)</f>
        <v>#VALUE!</v>
      </c>
      <c r="EU27" s="1551" t="e">
        <f aca="false">IF(BS27,IF(OCallPut,IF(CB27&gt;(CT27+CX27),CB27-(CT27+CX27),0),IF((CT27+CX27)&gt;CB27,(CT27+CX27)-CB27,0))*BI27,0)</f>
        <v>#VALUE!</v>
      </c>
      <c r="EV27" s="1551" t="e">
        <f aca="false">IF(BS27,IF(OCallPut,IF(CC27&gt;(CT27+CY27),CC27-(CT27+CY27),0),IF((CT27+CY27)&gt;CC27,(CT27+CY27)-CC27,0))*BJ27,0)</f>
        <v>#VALUE!</v>
      </c>
      <c r="EW27" s="1551" t="e">
        <f aca="false">IF(BS27,IF(OCallPut,IF(CD27&gt;(CT27+CZ27),CD27-(CT27+CZ27),0),IF((CT27+CZ27)&gt;CD27,(CT27+CZ27)-CD27,0))*BK27,0)</f>
        <v>#VALUE!</v>
      </c>
      <c r="EX27" s="1558" t="e">
        <f aca="false">IF(BS27,SUM(ET27:EW27),0)</f>
        <v>#VALUE!</v>
      </c>
      <c r="EY27" s="1551" t="e">
        <f aca="false">EO27-ET27</f>
        <v>#VALUE!</v>
      </c>
      <c r="EZ27" s="1551" t="e">
        <f aca="false">EP27-EU27</f>
        <v>#VALUE!</v>
      </c>
      <c r="FA27" s="1551" t="e">
        <f aca="false">EQ27-EV27</f>
        <v>#VALUE!</v>
      </c>
      <c r="FB27" s="1551" t="e">
        <f aca="false">ER27-EW27</f>
        <v>#VALUE!</v>
      </c>
      <c r="FC27" s="1551" t="e">
        <f aca="false">ES27-EX27</f>
        <v>#VALUE!</v>
      </c>
      <c r="FD27" s="1525" t="n">
        <f aca="false">IF(AX27,IF(VLOOKUP(C27,MAIN!$L$17:$M$28,2)="Yes",VLOOKUP(CALC!B27,MAIN!$H$17:$I$20,2),0),0)</f>
        <v>0</v>
      </c>
      <c r="FE27" s="1552" t="n">
        <f aca="false">$FD27*16*AT27*(1-$AY27)</f>
        <v>0</v>
      </c>
      <c r="FF27" s="1553" t="n">
        <f aca="false">$FD27*16*AU27*(1-$AY27)</f>
        <v>0</v>
      </c>
      <c r="FG27" s="1553" t="n">
        <f aca="false">$FD27*16*(AV27+AW27)*(1-$AY27)</f>
        <v>0</v>
      </c>
      <c r="FH27" s="1554" t="n">
        <f aca="false">$FD27*8*AX27*(1-$AY27)</f>
        <v>0</v>
      </c>
      <c r="FI27" s="1555" t="n">
        <f aca="false">IF(AX27,VLOOKUP(CALC!B27,MAIN!$H$17:$K$20,4),0)</f>
        <v>0</v>
      </c>
      <c r="FJ27" s="1553" t="n">
        <f aca="false">SUM(FE27:FH27)</f>
        <v>0</v>
      </c>
      <c r="FK27" s="1556" t="n">
        <f aca="false">FI27*FJ27</f>
        <v>0</v>
      </c>
      <c r="FL27" s="1551" t="e">
        <f aca="false">IF($EI27&gt;0,MIN(FE27,AZ27*(1+VLOOKUP($C27,WeatherCapacityAdjustment,2))),0)</f>
        <v>#VALUE!</v>
      </c>
      <c r="FM27" s="1551" t="e">
        <f aca="false">IF($EI27&gt;0,MIN(FF27,BA27*(1+VLOOKUP($C27,WeatherCapacityAdjustment,2))),0)</f>
        <v>#VALUE!</v>
      </c>
      <c r="FN27" s="1551" t="e">
        <f aca="false">IF($EI27&gt;0,MIN(FG27,BB27*(1+VLOOKUP($C27,WeatherCapacityAdjustment,2))),0)</f>
        <v>#VALUE!</v>
      </c>
      <c r="FO27" s="1564" t="e">
        <f aca="false">IF($EI27&gt;0,MIN(FH27,BC27*(1+VLOOKUP($C27,WeatherCapacityAdjustment,3))),0)</f>
        <v>#VALUE!</v>
      </c>
      <c r="FP27" s="1551" t="e">
        <f aca="false">IF(ET27&gt;0,MIN(FE27-FL27,BH27*(1+VLOOKUP($C27,WeatherCapacityAdjustment,2))),0)</f>
        <v>#VALUE!</v>
      </c>
      <c r="FQ27" s="1551" t="e">
        <f aca="false">IF(EU27&gt;0,MIN(FF27-FM27,BI27*(1+VLOOKUP($C27,WeatherCapacityAdjustment,2))),0)</f>
        <v>#VALUE!</v>
      </c>
      <c r="FR27" s="1551" t="e">
        <f aca="false">IF(EV27&gt;0,MIN(FG27-FN27,BJ27*(1+VLOOKUP($C27,WeatherCapacityAdjustment,2))),0)</f>
        <v>#VALUE!</v>
      </c>
      <c r="FS27" s="1558" t="e">
        <f aca="false">IF(EW27&gt;0,MIN(FH27-FO27,BK27*(1+VLOOKUP($C27,WeatherCapacityAdjustment,3))),0)</f>
        <v>#VALUE!</v>
      </c>
      <c r="FT27" s="1566" t="n">
        <f aca="false">IF(AND(Assumptions!$H$71="Yes",A27&gt;=Assumptions!$H$72,A27&lt;=Assumptions!$H$73),0,IF(AND($A27&gt;=Assumptions!$C$17,$A27&lt;=Assumptions!$C$18),MAX(AZ27*(1+VLOOKUP($C27,WeatherCapacityAdjustment,2))-FL27,0),0))</f>
        <v>0</v>
      </c>
      <c r="FU27" s="1551" t="n">
        <f aca="false">IF(AND(Assumptions!$H$71="Yes",A27&gt;=Assumptions!$H$72,A27&lt;=Assumptions!$H$73),0,IF(AND($A27&gt;=Assumptions!$C$17,$A27&lt;=Assumptions!$C$18),MAX(BA27*(1+VLOOKUP($C27,WeatherCapacityAdjustment,2))-FM27,0),0))</f>
        <v>0</v>
      </c>
      <c r="FV27" s="1551" t="n">
        <f aca="false">IF(AND(Assumptions!$H$71="Yes",A27&gt;=Assumptions!$H$72,A27&lt;=Assumptions!$H$73),0,IF(AND($A27&gt;=Assumptions!$C$17,$A27&lt;=Assumptions!$C$18),MAX(BB27*(1+VLOOKUP($C27,WeatherCapacityAdjustment,2))-FN27,0),0))</f>
        <v>0</v>
      </c>
      <c r="FW27" s="1564" t="n">
        <f aca="false">IF(AND(Assumptions!$H$71="Yes",A27&gt;=Assumptions!$H$72,A27&lt;=Assumptions!$H$73),0,IF(AND($A27&gt;=Assumptions!$C$17,$A27&lt;=Assumptions!$C$18),MAX(BC27*(1+VLOOKUP($C27,WeatherCapacityAdjustment,3))-FO27,0),0))</f>
        <v>0</v>
      </c>
      <c r="FX27" s="1569" t="e">
        <f aca="false">IF(AND(Assumptions!$H$71="Yes",A27&gt;=Assumptions!$H$72,A27&lt;=Assumptions!$H$73),0,IF(ET27&gt;0,MAX(BH27*(1+VLOOKUP($C27,WeatherCapacityAdjustment,2))-FP27,0),0))</f>
        <v>#VALUE!</v>
      </c>
      <c r="FY27" s="1551" t="e">
        <f aca="false">IF(AND(Assumptions!$H$71="Yes",A27&gt;=Assumptions!$H$72,A27&lt;=Assumptions!$H$73),0,IF(EU27&gt;0,MAX(BI27*(1+VLOOKUP($C27,WeatherCapacityAdjustment,3))-FQ27,0),0))</f>
        <v>#VALUE!</v>
      </c>
      <c r="FZ27" s="1551" t="e">
        <f aca="false">IF(AND(Assumptions!$H$71="Yes",A27&gt;=Assumptions!$H$72,A27&lt;=Assumptions!$H$73),0,IF(EV27&gt;0,MAX(BJ27*(1+VLOOKUP($C27,WeatherCapacityAdjustment,2))-FR27,0),0))</f>
        <v>#VALUE!</v>
      </c>
      <c r="GA27" s="1564" t="e">
        <f aca="false">IF(AND(Assumptions!$H$71="Yes",A27&gt;=Assumptions!$H$72,A27&lt;=Assumptions!$H$73),0,IF(EW27&gt;0,MAX(BK27*(1+VLOOKUP($C27,WeatherCapacityAdjustment,2))-FS27,0),0))</f>
        <v>#VALUE!</v>
      </c>
      <c r="GB27" s="1551" t="e">
        <f aca="false">SUM(FT27:GA27)</f>
        <v>#VALUE!</v>
      </c>
      <c r="GC27" s="1563" t="e">
        <f aca="false">+IF(SUM(FT27:GA27)=0,0,(SUMPRODUCT(BU27:BX27,FT27:FW27)+SUMPRODUCT(CA27:CD27,FX27:GA27))/SUM(FT27:GA27))</f>
        <v>#VALUE!</v>
      </c>
      <c r="GD27" s="1551" t="e">
        <f aca="false">(FT27*BU27+FX27*CA27+FU27*BV27+FY27*CB27+FV27*BW27+FZ27*CC27+FW27*BX27+GA27*CD27)</f>
        <v>#VALUE!</v>
      </c>
      <c r="GE27" s="1561" t="e">
        <f aca="false">+IF(BQ27,((FL27+FM27+FT27+FU27)*HeatRatePeak/1000*(1+VLOOKUP($C27,WeatherHeatRateAdjustment,2))+(FN27+FV27)*IF(EV27&gt;0,HeatRatePeak,HeatRateOffPeak)/1000*(1+VLOOKUP($C27,WeatherHeatRateAdjustment,2))+(FO27+FW27)*IF(EW27&gt;0,HeatRatePeak,HeatRateOffPeak)/1000*(1+VLOOKUP($C27,WeatherHeatRateAdjustment,3)))*(1+VLOOKUP($B27,HeatRateDegradation,$C27+1)),0)</f>
        <v>#VALUE!</v>
      </c>
      <c r="GF27" s="1562" t="e">
        <f aca="false">IF(BQ27,((FP27+FQ27+FR27+FX27+FY27+FZ27)*HeatRatePeak/1000*(1+VLOOKUP($C27,WeatherHeatRateAdjustment,2))+(FS27+GA27)*HeatRatePeak/1000*(1+VLOOKUP($C27,WeatherHeatRateAdjustment,3)))*(1+VLOOKUP($B27,HeatRateDegradation,$C27+1)),0)</f>
        <v>#VALUE!</v>
      </c>
      <c r="GG27" s="1563" t="e">
        <f aca="false">IF(BQ27,VLOOKUP(A27,GasTable,13),0)</f>
        <v>#VALUE!</v>
      </c>
      <c r="GH27" s="1564" t="e">
        <f aca="false">(GE27+GF27)*GG27</f>
        <v>#VALUE!</v>
      </c>
      <c r="GI27" s="1569" t="e">
        <f aca="false">GB27</f>
        <v>#VALUE!</v>
      </c>
      <c r="GJ27" s="1598" t="e">
        <f aca="false">+DA27</f>
        <v>#VALUE!</v>
      </c>
      <c r="GK27" s="1558" t="e">
        <f aca="false">+GI27*GJ27</f>
        <v>#VALUE!</v>
      </c>
      <c r="GL27" s="1566" t="e">
        <f aca="false">MAX(FE27-FL27-FP27,0)</f>
        <v>#VALUE!</v>
      </c>
      <c r="GM27" s="1551" t="e">
        <f aca="false">MAX(FF27-FM27-FQ27,0)</f>
        <v>#VALUE!</v>
      </c>
      <c r="GN27" s="1551" t="e">
        <f aca="false">MAX(FG27-FN27-FR27,0)</f>
        <v>#VALUE!</v>
      </c>
      <c r="GO27" s="1564" t="e">
        <f aca="false">MAX(FH27-FO27-FS27,0)</f>
        <v>#VALUE!</v>
      </c>
      <c r="GP27" s="1551" t="e">
        <f aca="false">SUM(GL27:GO27)</f>
        <v>#VALUE!</v>
      </c>
      <c r="GQ27" s="1563" t="e">
        <f aca="false">IF(SUM(GL27:GO27)=0,0,((GL27*BU27+GM27*BV27+GN27*BW27+GO27*BX27)/SUM(GL27:GO27)))</f>
        <v>#VALUE!</v>
      </c>
      <c r="GR27" s="1558" t="e">
        <f aca="false">(GL27*BU27+GM27*BV27+GN27*BW27+GO27*BX27)</f>
        <v>#VALUE!</v>
      </c>
      <c r="GS27" s="1566" t="n">
        <f aca="false">IF($A27&gt;=BegDate,Assumptions!$C$56*24*($A28-$A27)*(1-VLOOKUP($B27,MAIN!$AA$7:$AM$28,$C27+1))*(1-VLOOKUP($B27,MAIN!$AA$33:$AM$54,$C27+1)),0)*80/168</f>
        <v>0</v>
      </c>
      <c r="GT27" s="286" t="n">
        <f aca="false">J27</f>
        <v>29.195766</v>
      </c>
      <c r="GU27" s="286" t="n">
        <f aca="false">IF($A27&gt;=BegDate,VLOOKUP($A27,GasTable,13)+Assumptions!$C$58,0)</f>
        <v>0</v>
      </c>
      <c r="GV27" s="286" t="n">
        <f aca="false">GU27*Assumptions!$C$57/1000</f>
        <v>0</v>
      </c>
      <c r="GW27" s="1558" t="n">
        <f aca="false">IF(Assumptions!$C$60="Hourly",MAX(0,GS27*(GT27-GV27)),GS27*(GT27-GV27))</f>
        <v>0</v>
      </c>
      <c r="GX27" s="1566" t="n">
        <f aca="false">IF($A27&gt;=BegDate,Assumptions!$C$56*24*($A28-$A27)*(1-VLOOKUP($B27,MAIN!$AA$7:$AM$28,$C27+1))*(1-VLOOKUP($B27,MAIN!$AA$33:$AM$54,$C27+1)),0)*16/168</f>
        <v>0</v>
      </c>
      <c r="GY27" s="286" t="n">
        <f aca="false">M27</f>
        <v>29.195766</v>
      </c>
      <c r="GZ27" s="286" t="n">
        <f aca="false">IF($A27&gt;=BegDate,VLOOKUP($A27,GasTable,13)+Assumptions!$C$58,0)</f>
        <v>0</v>
      </c>
      <c r="HA27" s="286" t="n">
        <f aca="false">GZ27*Assumptions!$C$57/1000</f>
        <v>0</v>
      </c>
      <c r="HB27" s="1558" t="n">
        <f aca="false">IF(Assumptions!$C$60="Hourly",MAX(0,GX27*(GY27-HA27)),GX27*(GY27-HA27))</f>
        <v>0</v>
      </c>
      <c r="HC27" s="1566" t="n">
        <f aca="false">IF($A27&gt;=BegDate,Assumptions!$C$56*24*($A28-$A27)*(1-VLOOKUP($B27,MAIN!$AA$7:$AM$28,$C27+1))*(1-VLOOKUP($B27,MAIN!$AA$33:$AM$54,$C27+1)),0)*16/168</f>
        <v>0</v>
      </c>
      <c r="HD27" s="286" t="n">
        <f aca="false">P27</f>
        <v>20.097468</v>
      </c>
      <c r="HE27" s="286" t="n">
        <f aca="false">IF($A27&gt;=BegDate,VLOOKUP($A27,GasTable,13)+Assumptions!$C$58,0)</f>
        <v>0</v>
      </c>
      <c r="HF27" s="286" t="n">
        <f aca="false">HE27*Assumptions!$C$57/1000</f>
        <v>0</v>
      </c>
      <c r="HG27" s="1558" t="n">
        <f aca="false">IF(Assumptions!$C$60="Hourly",MAX(0,HC27*(HD27-HF27)),HC27*(HD27-HF27))</f>
        <v>0</v>
      </c>
      <c r="HH27" s="1566" t="n">
        <f aca="false">IF($A27&gt;=BegDate,Assumptions!$C$56*24*($A28-$A27)*(1-VLOOKUP($B27,MAIN!$AA$7:$AM$28,$C27+1))*(1-VLOOKUP($B27,MAIN!$AA$33:$AM$54,$C27+1)),0)*56/168</f>
        <v>0</v>
      </c>
      <c r="HI27" s="286" t="n">
        <f aca="false">S27</f>
        <v>20.097468</v>
      </c>
      <c r="HJ27" s="286" t="n">
        <f aca="false">IF($A27&gt;=BegDate,VLOOKUP($A27,GasTable,13)+Assumptions!$C$58,0)</f>
        <v>0</v>
      </c>
      <c r="HK27" s="286" t="n">
        <f aca="false">HJ27*Assumptions!$C$57/1000</f>
        <v>0</v>
      </c>
      <c r="HL27" s="1558" t="n">
        <f aca="false">IF(Assumptions!$C$60="Hourly",MAX(0,HH27*(HI27-HK27)),HH27*(HI27-HK27))</f>
        <v>0</v>
      </c>
      <c r="HM27" s="1566" t="n">
        <f aca="false">IF(AND(Assumptions!$H$71="Yes",A27&gt;=Assumptions!$H$72,A27&lt;=Assumptions!$H$73),Assumptions!$H$74*Assumptions!$C$9*1000,0)</f>
        <v>0</v>
      </c>
      <c r="HN27" s="1558"/>
      <c r="HO27" s="1567" t="n">
        <f aca="false">HO26+1</f>
        <v>2013</v>
      </c>
      <c r="HP27" s="1566" t="e">
        <f aca="false">SUMIF($B$17:$B$292,HO27,$FJ$17:$FJ$292)</f>
        <v>#VALUE!</v>
      </c>
      <c r="HQ27" s="1568" t="e">
        <f aca="false">IF(HR27=0,0,HR27/HP27)</f>
        <v>#VALUE!</v>
      </c>
      <c r="HR27" s="1564" t="e">
        <f aca="false">SUMIF($B$17:$B$292,HO27,$FK$17:$FK$292)</f>
        <v>#VALUE!</v>
      </c>
      <c r="HS27" s="1569" t="e">
        <f aca="false">SUMIF($B$17:$B$292,HO27,$GB$17:$GB$292)</f>
        <v>#VALUE!</v>
      </c>
      <c r="HT27" s="1563" t="e">
        <f aca="false">+IF(HS27&gt;0,HU27/HS27,0)</f>
        <v>#VALUE!</v>
      </c>
      <c r="HU27" s="1551" t="e">
        <f aca="false">SUMIF($B$17:$B$292,HO27,$GD$17:$GD$292)</f>
        <v>#VALUE!</v>
      </c>
      <c r="HV27" s="1569" t="e">
        <f aca="false">HR27+HU27</f>
        <v>#VALUE!</v>
      </c>
      <c r="HW27" s="1551" t="e">
        <f aca="false">SUMIF($B$17:$B$292,$HO27,$EN$17:$EN$292)</f>
        <v>#VALUE!</v>
      </c>
      <c r="HX27" s="1551" t="e">
        <f aca="false">SUMIF($B$17:$B$292,$HO27,$FC$17:$FC$292)</f>
        <v>#VALUE!</v>
      </c>
      <c r="HY27" s="1551" t="n">
        <f aca="false">IF(Assumptions!$L$24="Yes",HW27+HX27,0)</f>
        <v>0</v>
      </c>
      <c r="HZ27" s="1566" t="e">
        <f aca="false">SUMIF($B$17:$B$292,HO27,$GE$17:$GE$292)+SUMIF($B$17:$B$292,HO27,$GF$17:$GF$292)</f>
        <v>#VALUE!</v>
      </c>
      <c r="IA27" s="1563" t="e">
        <f aca="false">IF(IB27=0,0,IB27/HZ27)</f>
        <v>#VALUE!</v>
      </c>
      <c r="IB27" s="1564" t="e">
        <f aca="false">-SUMIF($B$17:$B$292,HO27,$GH$17:$GH$292)</f>
        <v>#VALUE!</v>
      </c>
      <c r="IC27" s="1569" t="e">
        <f aca="false">SUMIF($B$17:$B$292,HO27,$GI$17:$GI$292)</f>
        <v>#VALUE!</v>
      </c>
      <c r="ID27" s="1563" t="e">
        <f aca="false">IF(IE27=0,0,IE27/IC27)</f>
        <v>#VALUE!</v>
      </c>
      <c r="IE27" s="1564" t="e">
        <f aca="false">-SUMIF($B$17:$B$292,HO27,$GK$17:$GK$292)</f>
        <v>#VALUE!</v>
      </c>
      <c r="IF27" s="1551" t="e">
        <f aca="false">SUMIF($B$17:$B$292,HO27,$GP$17:$GP$292)</f>
        <v>#VALUE!</v>
      </c>
      <c r="IG27" s="1563" t="e">
        <f aca="false">IF(IH27=0,0,IH27/IF27)</f>
        <v>#VALUE!</v>
      </c>
      <c r="IH27" s="1564" t="e">
        <f aca="false">-SUMIF($B$17:$B$292,HO27,$GR$17:$GR$292)</f>
        <v>#VALUE!</v>
      </c>
      <c r="II27" s="1570" t="n">
        <f aca="false">(SUMIF($B$17:$B$292,HO27,$GW$17:$GW$292)+SUMIF($B$17:$B$292,HO27,$HB$17:$HB$292)+SUMIF($B$17:$B$292,HO27,$HG$17:$HG$292)+SUMIF($B$17:$B$292,HO27,$HL$17:$HL$292))*Assumptions!$C$59</f>
        <v>1402845.03298886</v>
      </c>
      <c r="IJ27" s="1309" t="n">
        <f aca="false">SUMIF($B$17:$B$292,HO27,$HM$17:$HM$292)</f>
        <v>0</v>
      </c>
      <c r="IK27" s="1309"/>
    </row>
    <row r="28" customFormat="false" ht="12.75" hidden="false" customHeight="false" outlineLevel="0" collapsed="false">
      <c r="A28" s="1571" t="n">
        <f aca="false">EOMONTH(A27,0)+1</f>
        <v>36982</v>
      </c>
      <c r="B28" s="594" t="n">
        <f aca="false">+YEAR(A28)</f>
        <v>2001</v>
      </c>
      <c r="C28" s="238" t="n">
        <f aca="false">MONTH(A28)</f>
        <v>4</v>
      </c>
      <c r="D28" s="1572" t="str">
        <f aca="false">IF(E28="","",Holiday(B28,C28))</f>
        <v/>
      </c>
      <c r="E28" s="1573" t="str">
        <f aca="false">IF(OR(BegDate&gt;=A29,EndDate&lt;A28,AND(VolumeMonthlyOverFlag,INDEX(VolumeMonthlyOver,C28)=0),NOT(INDEX(MonthKnockOutTable,C28))),"",MAX(A28,BegDate))</f>
        <v/>
      </c>
      <c r="F28" s="1574" t="str">
        <f aca="false">IF(E28="","",MIN(A29-1,EndDate))</f>
        <v/>
      </c>
      <c r="G28" s="1575" t="n">
        <v>0</v>
      </c>
      <c r="H28" s="1576" t="n">
        <f aca="false">(1+G28/2)^(-2*(DATE(B29,C29,20)-DateToday)/365.25)</f>
        <v>1</v>
      </c>
      <c r="I28" s="1568" t="n">
        <f aca="false">IF(Assumptions!$L$25=4,VLOOKUP($A28,'Henwood Reference'!$E$9:$R$320,10),(VLOOKUP($A28,PriceTable,2,0)+IF(BasisNumber&lt;&gt;1,VLOOKUP($A28,BasisTable,2,0),0)+I$1)/(1-I$2))</f>
        <v>27.461358</v>
      </c>
      <c r="J28" s="1568" t="n">
        <f aca="false">IF(Assumptions!$L$25=4,VLOOKUP($A28,'Henwood Reference'!$E$9:$R$320,10),(VLOOKUP($A28,PriceTable,3,0)+IF(BasisNumber&lt;&gt;1,VLOOKUP($A28,BasisTable,2,0),0)+J$1)/(1-J$2))</f>
        <v>27.461358</v>
      </c>
      <c r="K28" s="1568" t="n">
        <f aca="false">IF(Assumptions!$L$25=4,VLOOKUP($A28,'Henwood Reference'!$E$9:$R$320,10),(VLOOKUP($A28,PriceTable,4,0)+IF(BasisNumber&lt;&gt;1,VLOOKUP($A28,BasisTable,2,0),0)+K$1)/(1-K$2))</f>
        <v>27.461358</v>
      </c>
      <c r="L28" s="1523" t="n">
        <f aca="false">IF(Assumptions!$L$25=4,VLOOKUP($A28,'Henwood Reference'!$E$9:$R$320,10),(VLOOKUP($A28,PriceTableWeekend,2,0)+IF(BasisNumber&lt;&gt;1,VLOOKUP($A28,BasisTable,2,0),0)+L$1)/(1-L$2))</f>
        <v>27.461358</v>
      </c>
      <c r="M28" s="1568" t="n">
        <f aca="false">IF(Assumptions!$L$25=4,VLOOKUP($A28,'Henwood Reference'!$E$9:$R$320,10),(VLOOKUP($A28,PriceTableWeekend,3,0)+IF(BasisNumber&lt;&gt;1,VLOOKUP($A28,BasisTable,2,0),0)+M$1)/(1-M$2))</f>
        <v>27.461358</v>
      </c>
      <c r="N28" s="1599" t="n">
        <f aca="false">IF(Assumptions!$L$25=4,VLOOKUP($A28,'Henwood Reference'!$E$9:$R$320,10),(VLOOKUP($A28,PriceTableWeekend,4,0)+IF(BasisNumber&lt;&gt;1,VLOOKUP($A28,BasisTable,2,0),0)+N$1)/(1-N$2))</f>
        <v>27.461358</v>
      </c>
      <c r="O28" s="1568" t="n">
        <f aca="false">IF(Assumptions!$L$25=4,VLOOKUP($A28,'Henwood Reference'!$E$9:$R$320,11),(VLOOKUP($A28,PriceTableWeekend,6,0)+IF(BasisNumber&lt;&gt;1,VLOOKUP($A28,BasisTable,3,0),0)+O$1)/(1-O$2))</f>
        <v>17.721378</v>
      </c>
      <c r="P28" s="1568" t="n">
        <f aca="false">IF(Assumptions!$L$25=4,VLOOKUP($A28,'Henwood Reference'!$E$9:$R$320,11),(VLOOKUP($A28,PriceTableWeekend,7,0)+IF(BasisNumber&lt;&gt;1,VLOOKUP($A28,BasisTable,3,0),0)+P$1)/(1-P$2))</f>
        <v>17.721378</v>
      </c>
      <c r="Q28" s="1599" t="n">
        <f aca="false">IF(Assumptions!$L$25=4,VLOOKUP($A28,'Henwood Reference'!$E$9:$R$320,11),(VLOOKUP($A28,PriceTableWeekend,8,0)+IF(BasisNumber&lt;&gt;1,VLOOKUP($A28,BasisTable,3,0),0)+Q$1)/(1-Q$2))</f>
        <v>17.721378</v>
      </c>
      <c r="R28" s="1568" t="n">
        <f aca="false">IF(Assumptions!$L$25=4,VLOOKUP($A28,'Henwood Reference'!$E$9:$R$320,11),(VLOOKUP($A28,PriceTable,6,0)+IF(BasisNumber&lt;&gt;1,VLOOKUP($A28,BasisTable,3,0),0)+R$1)/(1-R$2))</f>
        <v>17.721378</v>
      </c>
      <c r="S28" s="1568" t="n">
        <f aca="false">IF(Assumptions!$L$25=4,VLOOKUP($A28,'Henwood Reference'!$E$9:$R$320,11),(VLOOKUP($A28,PriceTable,7,0)+IF(BasisNumber&lt;&gt;1,VLOOKUP($A28,BasisTable,3,0),0)+S$1)/(1-S$2))</f>
        <v>17.721378</v>
      </c>
      <c r="T28" s="1600" t="n">
        <f aca="false">IF(Assumptions!$L$25=4,VLOOKUP($A28,'Henwood Reference'!$E$9:$R$320,11),(VLOOKUP($A28,PriceTable,8,0)+IF(BasisNumber&lt;&gt;1,VLOOKUP($A28,BasisTable,3,0),0)+T$1)/(1-T$2))</f>
        <v>17.721378</v>
      </c>
      <c r="U28" s="1513" t="n">
        <f aca="false">VLOOKUP($A28,VolatilityTable,14)</f>
        <v>0.22</v>
      </c>
      <c r="V28" s="1513" t="n">
        <f aca="false">VLOOKUP($A28,VolatilityTable,15)</f>
        <v>0.25</v>
      </c>
      <c r="W28" s="1514" t="n">
        <f aca="false">VLOOKUP($A28,VolatilityTable,16)</f>
        <v>0.28</v>
      </c>
      <c r="X28" s="1513" t="n">
        <f aca="false">VLOOKUP($A28,VolatilityTable,14)</f>
        <v>0.22</v>
      </c>
      <c r="Y28" s="1513" t="n">
        <f aca="false">VLOOKUP($A28,VolatilityTable,15)</f>
        <v>0.25</v>
      </c>
      <c r="Z28" s="1514" t="n">
        <f aca="false">VLOOKUP($A28,VolatilityTable,16)</f>
        <v>0.28</v>
      </c>
      <c r="AA28" s="1513" t="n">
        <f aca="false">VLOOKUP($A28,VolatilityTable,18)</f>
        <v>0.05</v>
      </c>
      <c r="AB28" s="1513" t="n">
        <f aca="false">VLOOKUP($A28,VolatilityTable,19)</f>
        <v>0.11</v>
      </c>
      <c r="AC28" s="1514" t="n">
        <f aca="false">VLOOKUP($A28,VolatilityTable,20)</f>
        <v>0.15</v>
      </c>
      <c r="AD28" s="1513" t="n">
        <f aca="false">VLOOKUP($A28,VolatilityTable,18)</f>
        <v>0.05</v>
      </c>
      <c r="AE28" s="1513" t="n">
        <f aca="false">VLOOKUP($A28,VolatilityTable,19)</f>
        <v>0.11</v>
      </c>
      <c r="AF28" s="1514" t="n">
        <f aca="false">VLOOKUP($A28,VolatilityTable,20)</f>
        <v>0.15</v>
      </c>
      <c r="AG28" s="1513" t="n">
        <f aca="false">VLOOKUP($A28,VolatilityTable,22)</f>
        <v>-0.1</v>
      </c>
      <c r="AH28" s="1513" t="n">
        <f aca="false">VLOOKUP($A28,VolatilityTable,23)</f>
        <v>0.65</v>
      </c>
      <c r="AI28" s="1514" t="n">
        <f aca="false">VLOOKUP($A28,VolatilityTable,24)</f>
        <v>0.1</v>
      </c>
      <c r="AJ28" s="1513" t="n">
        <f aca="false">VLOOKUP($A28,VolatilityTable,22)</f>
        <v>-0.1</v>
      </c>
      <c r="AK28" s="1513" t="n">
        <f aca="false">VLOOKUP($A28,VolatilityTable,23)</f>
        <v>0.65</v>
      </c>
      <c r="AL28" s="1514" t="n">
        <f aca="false">VLOOKUP($A28,VolatilityTable,24)</f>
        <v>0.1</v>
      </c>
      <c r="AM28" s="1513" t="n">
        <f aca="false">VLOOKUP($A28,VolatilityTable,26)</f>
        <v>-0.01</v>
      </c>
      <c r="AN28" s="1513" t="n">
        <f aca="false">VLOOKUP($A28,VolatilityTable,27)</f>
        <v>0.16</v>
      </c>
      <c r="AO28" s="1514" t="n">
        <f aca="false">VLOOKUP($A28,VolatilityTable,28)</f>
        <v>0.01</v>
      </c>
      <c r="AP28" s="1513" t="n">
        <f aca="false">VLOOKUP($A28,VolatilityTable,26)</f>
        <v>-0.01</v>
      </c>
      <c r="AQ28" s="1513" t="n">
        <f aca="false">VLOOKUP($A28,VolatilityTable,27)</f>
        <v>0.16</v>
      </c>
      <c r="AR28" s="1515" t="n">
        <f aca="false">VLOOKUP($A28,VolatilityTable,28)</f>
        <v>0.01</v>
      </c>
      <c r="AS28" s="1581" t="n">
        <f aca="false">IF(CorrPeakOffPeakOverFlag,INDEX(CorrPeakOffPeakOver,C28),CorrPeakOffPeak)</f>
        <v>0.5</v>
      </c>
      <c r="AT28" s="594" t="n">
        <f aca="false">AX28-SUM(AU28:AW28)</f>
        <v>0</v>
      </c>
      <c r="AU28" s="238" t="n">
        <f aca="false">IF(E28="",0,INT((F28-MOD(F28,7)-E28)/7)+1-IF(AW28,IF(WEEKDAY(D28)=7,1,0),0))</f>
        <v>0</v>
      </c>
      <c r="AV28" s="238" t="n">
        <f aca="false">IF(E28="",0,INT((F28-MOD(F28-1,7)-E28)/7)+1-IF(AW28,IF(WEEKDAY(D28)=1,1,0),0))</f>
        <v>0</v>
      </c>
      <c r="AW28" s="238" t="n">
        <f aca="false">IF(OR(E28="",D28="",D28&lt;BegDate,D28&gt;EndDate),0,1)</f>
        <v>0</v>
      </c>
      <c r="AX28" s="238" t="n">
        <f aca="false">IF(E28="",0,F28-E28+1)</f>
        <v>0</v>
      </c>
      <c r="AY28" s="1582" t="n">
        <f aca="false">IF(E28="",0,MIN((1-(1-VLOOKUP(B28,MAIN!$AA$7:$AM$28,C28+1))*(1-VLOOKUP(B28,MAIN!$AA$33:$AM$54,C28+1))),1))</f>
        <v>0</v>
      </c>
      <c r="AZ28" s="1519" t="e">
        <v>#VALUE!</v>
      </c>
      <c r="BA28" s="1520" t="e">
        <v>#VALUE!</v>
      </c>
      <c r="BB28" s="1520" t="e">
        <v>#VALUE!</v>
      </c>
      <c r="BC28" s="1583" t="e">
        <v>#VALUE!</v>
      </c>
      <c r="BD28" s="1522" t="e">
        <v>#VALUE!</v>
      </c>
      <c r="BE28" s="1523" t="e">
        <v>#VALUE!</v>
      </c>
      <c r="BF28" s="1523" t="e">
        <v>#VALUE!</v>
      </c>
      <c r="BG28" s="1584" t="e">
        <v>#VALUE!</v>
      </c>
      <c r="BH28" s="1525" t="e">
        <v>#VALUE!</v>
      </c>
      <c r="BI28" s="1520" t="e">
        <v>#VALUE!</v>
      </c>
      <c r="BJ28" s="1520" t="e">
        <v>#VALUE!</v>
      </c>
      <c r="BK28" s="1583" t="e">
        <v>#VALUE!</v>
      </c>
      <c r="BL28" s="1522" t="e">
        <v>#VALUE!</v>
      </c>
      <c r="BM28" s="1523" t="e">
        <v>#VALUE!</v>
      </c>
      <c r="BN28" s="1523" t="e">
        <v>#VALUE!</v>
      </c>
      <c r="BO28" s="1523" t="e">
        <v>#VALUE!</v>
      </c>
      <c r="BP28" s="1525" t="e">
        <f aca="false">SUM(AZ28:BB28)</f>
        <v>#VALUE!</v>
      </c>
      <c r="BQ28" s="1529" t="e">
        <f aca="false">SUM(AZ28:BC28)</f>
        <v>#VALUE!</v>
      </c>
      <c r="BR28" s="1519" t="e">
        <f aca="false">SUM(BH28:BJ28)</f>
        <v>#VALUE!</v>
      </c>
      <c r="BS28" s="1529" t="e">
        <f aca="false">SUM(BH28:BK28)</f>
        <v>#VALUE!</v>
      </c>
      <c r="BT28" s="1316" t="n">
        <f aca="false">(IF(OVolType&lt;&gt;2,A28+14,IF(OptExpDateShift,ShiftBack(A28,OptExpDateShift,D27),A28))-DateToday)/365.25</f>
        <v>0.9637234770705</v>
      </c>
      <c r="BU28" s="1585" t="e">
        <f aca="false">IF(BQ28,IF(OPriceCurve,IF(OBuySell=OCallPut,I28/(1-AY28),K28/(1-AY28)),J28/(1-AY28))*BD28,0)</f>
        <v>#VALUE!</v>
      </c>
      <c r="BV28" s="1316" t="e">
        <f aca="false">IF(BQ28,IF(OPriceCurve,IF(OBuySell=OCallPut,L28/(1-AY28),N28/(1-AY28)),M28/(1-AY28))*BE28,0)</f>
        <v>#VALUE!</v>
      </c>
      <c r="BW28" s="1316" t="e">
        <f aca="false">IF(BQ28,IF(OPriceCurve,IF(OBuySell=OCallPut,O28/(1-AY28),Q28/(1-AY28)),P28/(1-AY28))*BF28,0)</f>
        <v>#VALUE!</v>
      </c>
      <c r="BX28" s="1316" t="e">
        <f aca="false">IF(BQ28,IF(OPriceCurve,IF(OBuySell=OCallPut,R28/(1-AY28),T28/(1-AY28)),S28/(1-AY28))*BG28,0)</f>
        <v>#VALUE!</v>
      </c>
      <c r="BY28" s="1316" t="e">
        <f aca="false">IF(BP28,(BU28*AZ28+BV28*BA28+BW28*BB28)/BP28,0)</f>
        <v>#VALUE!</v>
      </c>
      <c r="BZ28" s="1316" t="e">
        <f aca="false">IF(BQ28,(BY28*BP28+BX28*BC28)/BQ28,0)</f>
        <v>#VALUE!</v>
      </c>
      <c r="CA28" s="1531" t="e">
        <f aca="false">IF(BS28,IF(OPriceCurve,IF(OBuySell=OCallPut,I28/(1-AY28),K28/(1-AY28)),J28/(1-AY28))*BL28,0)</f>
        <v>#VALUE!</v>
      </c>
      <c r="CB28" s="1316" t="e">
        <f aca="false">IF(BS28,IF(OPriceCurve,IF(OBuySell=OCallPut,L28/(1-AY28),N28/(1-AY28)),M28/(1-AY28))*BM28,0)</f>
        <v>#VALUE!</v>
      </c>
      <c r="CC28" s="1316" t="e">
        <f aca="false">IF(BS28,IF(OPriceCurve,IF(OBuySell=OCallPut,O28/(1-AY28),Q28/(1-AY28)),P28/(1-AY28))*BN28,0)</f>
        <v>#VALUE!</v>
      </c>
      <c r="CD28" s="1316" t="e">
        <f aca="false">IF(BS28,IF(OPriceCurve,IF(OBuySell=OCallPut,R28/(1-AY28),T28/(1-AY28)),S28/(1-AY28))*BO28,0)</f>
        <v>#VALUE!</v>
      </c>
      <c r="CE28" s="1316" t="e">
        <f aca="false">IF(BR28,(BU28*BH28+BV28*BI28+BW28*BJ28)/BR28,0)</f>
        <v>#VALUE!</v>
      </c>
      <c r="CF28" s="1532" t="e">
        <f aca="false">IF(BS28,(CE28*BR28+CD28*BK28)/BS28,0)</f>
        <v>#VALUE!</v>
      </c>
      <c r="CG28" s="1586" t="e">
        <f aca="false">IF(OR(BQ28,BS28),IF(OVolType&lt;&gt;2,SQRT(IF(OVolOverMonthlyPeak,OVolOverMonthlyPeak,IF(OVolCurve,IF(OBuySell,U28,W28),V28))^2*(1-15/365.25/BT28)+IF(OVolOverDailyPeak,OVolOverDailyPeak,IF(OVolCurve,IF(OBuySell,AG28,AI28),AH28))^2*15/365.25/BT28),IF(OVolOverMonthlyPeak,OVolOverMonthlyPeak,IF(OVolCurve,IF(OBuySell,U28,W28),V28))),"")</f>
        <v>#VALUE!</v>
      </c>
      <c r="CH28" s="1587" t="e">
        <f aca="false">IF(OR(BQ28,BS28),IF(OVolType&lt;&gt;2,SQRT(IF(OVolOverMonthlyPeak,OVolOverMonthlyPeak,IF(OVolCurve,IF(OBuySell,X28,Z28),Y28))^2*(1-15/365.25/BT28)+IF(OVolOverDailyPeak,OVolOverDailyPeak,IF(OVolCurve,IF(OBuySell,AJ28,AL28),AK28))^2*15/365.25/BT28),IF(OVolOverMonthlyPeak,OVolOverMonthlyPeak,IF(OVolCurve,IF(OBuySell,X28,Z28),Y28))),"")</f>
        <v>#VALUE!</v>
      </c>
      <c r="CI28" s="1587" t="e">
        <f aca="false">IF(OR(BQ28,BS28),IF(OVolType&lt;&gt;2,SQRT(IF(OVolOverMonthlyPeak,OVolOverMonthlyPeak,IF(OVolCurve,IF(OBuySell,AA28,AC28),AB28))^2*(1-15/365.25/BT28)+IF(OVolOverDailyPeak,OVolOverDailyPeak,IF(OVolCurve,IF(OBuySell,AM28,AO28),AN28))^2*15/365.25/BT28),IF(OVolOverMonthlyPeak,OVolOverMonthlyPeak,IF(OVolCurve,IF(OBuySell,AA28,AC28),AB28))),"")</f>
        <v>#VALUE!</v>
      </c>
      <c r="CJ28" s="1587" t="e">
        <f aca="false">IF(BQ28,IF(BP28,SQRT(LN(1+((BU28*AZ28)^2*(EXP(CG28^2*BT28)-1)+(BV28*BA28)^2*(EXP(CH28^2*BT28)-1)+(BW28*BB28)^2*(EXP(CI28^2*BT28)-1)+2*BU28*AZ28*BV28*BA28*(EXP(CG28*CH28*BT28)-1)+2*BV28*BA28*BW28*BB28*(EXP(CH28*CI28*BT28)-1)+2*BW28*BB28*BU28*AZ28*(EXP(CI28*CG28*BT28)-1))/(BY28*BP28)^2)/BT28),0),"")</f>
        <v>#VALUE!</v>
      </c>
      <c r="CK28" s="1587" t="e">
        <f aca="false">IF(BS28,IF(BR28,SQRT(LN(1+((CA28*BH28)^2*(EXP(CG28^2*BT28)-1)+(CB28*BI28)^2*(EXP(CH28^2*BT28)-1)+(CC28*BJ28)^2*(EXP(CI28^2*BT28)-1)+2*CA28*BH28*CB28*BI28*(EXP(CG28*CH28*BT28)-1)+2*CB28*BI28*CC28*BJ28*(EXP(CH28*CI28*BT28)-1)+2*CC28*BJ28*CA28*BH28*(EXP(CI28*CG28*BT28)-1))/(CE28*BR28)^2)/BT28),0),"")</f>
        <v>#VALUE!</v>
      </c>
      <c r="CL28" s="1587" t="e">
        <f aca="false">IF(OR(BQ28,BS28),IF(OVolType&lt;&gt;2,SQRT(IF(OVolOverMonthlyOffPeak,OVolOverMonthlyOffPeak,IF(OVolCurve,IF(OBuySell,AD28,AF28),AE28))^2*(1-15/365.25/BT28)+IF(OVolOverDailyOffPeak,OVolOverDailyOffPeak,IF(OVolCurve,IF(OBuySell,AP28,AR28),AQ28))^2*15/365.25/BT28),IF(OVolOverMonthlyOffPeak,OVolOverMonthlyOffPeak,IF(OVolCurve,IF(OBuySell,AD28,AF28),AE28))),"")</f>
        <v>#VALUE!</v>
      </c>
      <c r="CM28" s="1587" t="e">
        <f aca="false">IF(BQ28,SQRT(LN(1+((BY28*BP28)^2*(EXP(CJ28^2*BT28)-1)+(BX28*BC28)^2*(EXP(CL28^2*BT28)-1)+2*BY28*BP28*BX28*BC28*(EXP(AS28*CJ28*CL28*BT28)-1))/(BY28*BP28+BX28*BC28)^2)/BT28),"")</f>
        <v>#VALUE!</v>
      </c>
      <c r="CN28" s="1588" t="e">
        <f aca="false">IF(BS28,SQRT(LN(1+((CE28*BR28)^2*(EXP(CK28^2*BT28)-1)+(CD28*BK28)^2*(EXP(CL28^2*BT28)-1)+2*CE28*BR28*CD28*BK28*(EXP(AS28*CK28*CL28*BT28)-1))/(CE28*BR28+CD28*BK28)^2)/BT28),"")</f>
        <v>#VALUE!</v>
      </c>
      <c r="CO28" s="1531" t="e">
        <f aca="false">IF(OR(BQ28,BS28),VLOOKUP(A28,GasTable,13)*HeatRatePeak*(1+VLOOKUP($B28,HeatRateDegradation,$C28+1))/1000,0)</f>
        <v>#VALUE!</v>
      </c>
      <c r="CP28" s="1316" t="e">
        <f aca="false">IF(OR(BQ28,BS28),VLOOKUP(A28,GasTable,13)*HeatRatePeak*(1+VLOOKUP($B28,HeatRateDegradation,$C28+1))/1000,0)</f>
        <v>#VALUE!</v>
      </c>
      <c r="CQ28" s="1316" t="e">
        <f aca="false">IF(OR(BQ28,BS28),VLOOKUP(A28,GasTable,13)*IF(EV28,HeatRatePeak,HeatRateOffPeak)*(1+VLOOKUP($B28,HeatRateDegradation,$C28+1))/1000,0)</f>
        <v>#VALUE!</v>
      </c>
      <c r="CR28" s="1316" t="e">
        <f aca="false">IF(OR(BQ28,BS28),VLOOKUP(A28,GasTable,13)*IF(EW28,HeatRatePeak,HeatRateOffPeak)*(1+VLOOKUP($B28,HeatRateDegradation,$C28+1))/1000,0)</f>
        <v>#VALUE!</v>
      </c>
      <c r="CS28" s="1589" t="e">
        <f aca="false">IF(BQ28,(CO28*AZ28+CP28*BA28+CQ28*BB28+CR28*BC28)/BQ28,0)</f>
        <v>#VALUE!</v>
      </c>
      <c r="CT28" s="1316" t="e">
        <f aca="false">IF(BS28,CO28,0)</f>
        <v>#VALUE!</v>
      </c>
      <c r="CU28" s="1590" t="e">
        <f aca="false">IF(OR(BQ28,BS28),VLOOKUP(A28,GasTable,14),"")</f>
        <v>#VALUE!</v>
      </c>
      <c r="CV28" s="1568" t="e">
        <f aca="false">IF(OR(BQ28,BS28),IF(CorrPowerGasOverFlag,INDEX(CorrPowerGasOver,C28),CorrPowerGas),"")</f>
        <v>#VALUE!</v>
      </c>
      <c r="CW28" s="1316" t="e">
        <f aca="false">IF(OR($BQ28,$BS28),SpreadOptPowerMargin,0)*((1+Assumptions!$C$26)^($B28-YEAR(Assumptions!$C$17)))</f>
        <v>#VALUE!</v>
      </c>
      <c r="CX28" s="1316" t="e">
        <f aca="false">IF(OR($BQ28,$BS28),SpreadOptPowerMargin,0)*((1+Assumptions!$C$26)^($B28-YEAR(Assumptions!$C$17)))</f>
        <v>#VALUE!</v>
      </c>
      <c r="CY28" s="1316" t="e">
        <f aca="false">IF(OR($BQ28,$BS28),SpreadOptPowerMargin,0)*((1+Assumptions!$C$26)^($B28-YEAR(Assumptions!$C$17)))</f>
        <v>#VALUE!</v>
      </c>
      <c r="CZ28" s="1316" t="e">
        <f aca="false">IF(OR($BQ28,$BS28),SpreadOptPowerMargin,0)*((1+Assumptions!$C$26)^($B28-YEAR(Assumptions!$C$17)))</f>
        <v>#VALUE!</v>
      </c>
      <c r="DA28" s="1591" t="e">
        <f aca="false">IF(OR(BQ28,BS28),(CW28*(AZ28+BH28)+CX28*(BA28+BI28)+CY28*(BB28+BJ28)+CZ28*(BC28+BK28))/(BQ28+BS28),0)</f>
        <v>#VALUE!</v>
      </c>
      <c r="DB28" s="1592" t="e">
        <f aca="false">IF(OR(BQ28,BS28),CG28+IF(OVolSmile,VLOOKUP(MAX(-5,CO28+CW28-BU28),IF(OVolSmile=1,VolSmileBook,VolSmileModel),2),0),"")</f>
        <v>#VALUE!</v>
      </c>
      <c r="DC28" s="1592" t="e">
        <f aca="false">IF(OR(BQ28,BS28),CH28+IF(OVolSmile,VLOOKUP(MAX(-5,CP28+CW28-BV28),IF(OVolSmile=1,VolSmileBook,VolSmileModel),2),0),"")</f>
        <v>#VALUE!</v>
      </c>
      <c r="DD28" s="1592" t="e">
        <f aca="false">IF(OR(BQ28,BS28),CI28+IF(OVolSmile,VLOOKUP(MAX(-5,CQ28+CW28-BW28),IF(OVolSmile=1,VolSmileBook,VolSmileModel),2),0),"")</f>
        <v>#VALUE!</v>
      </c>
      <c r="DE28" s="1592" t="e">
        <f aca="false">IF(OR(BQ28,BS28),CL28+IF(OVolSmile,VLOOKUP(MAX(-5,CR28+CZ28-BX28),IF(OVolSmile=1,VolSmileBook,VolSmileModel),2),0),"")</f>
        <v>#VALUE!</v>
      </c>
      <c r="DF28" s="1592" t="e">
        <f aca="false">IF(BQ28,CM28+IF(OVolSmile,VLOOKUP(MAX(-5,CS28+DA28-BZ28),IF(OVolSmile=1,VolSmileBook,VolSmileModel),2),0),"")</f>
        <v>#VALUE!</v>
      </c>
      <c r="DG28" s="1593" t="e">
        <f aca="false">IF(BS28,CN28+IF(OVolSmile,VLOOKUP(MAX(-5,CT28+DA28-CF28),IF(OVolSmile=1,VolSmileBook,VolSmileModel),2),0),"")</f>
        <v>#VALUE!</v>
      </c>
      <c r="DH28" s="1316" t="e">
        <f aca="false">IF(AND(BU28&gt;0,CO28&gt;0,DB28&gt;0,CU28&gt;0),newSPRDOPT(BU28,CO28,CW28,0,DB28,CU28,CV28,BT28*365.25,OCallPut,0),0)</f>
        <v>#VALUE!</v>
      </c>
      <c r="DI28" s="1316" t="e">
        <f aca="false">IF(AND(BV28&gt;0,CP28&gt;0,DC28&gt;0,CU28&gt;0),newSPRDOPT(BV28,CP28,CX28,0,DC28,CU28,CV28,BT28*365.25,OCallPut,0),0)</f>
        <v>#VALUE!</v>
      </c>
      <c r="DJ28" s="1316" t="e">
        <f aca="false">IF(AND(BW28&gt;0,CQ28&gt;0,DD28&gt;0,CU28&gt;0),newSPRDOPT(BW28,CQ28,CY28,0,DD28,CU28,CV28,BT28*365.25,OCallPut,0),0)</f>
        <v>#VALUE!</v>
      </c>
      <c r="DK28" s="1316" t="e">
        <f aca="false">IF(AND(BX28&gt;0,CR28&gt;0,DE28&gt;0,CU28&gt;0),newSPRDOPT(BX28,CR28,CZ28,0,DE28,CU28,CV28,BT28*365.25,OCallPut,0),0)</f>
        <v>#VALUE!</v>
      </c>
      <c r="DL28" s="1316" t="e">
        <f aca="false">IF(OVolType,IF(AND(BZ28&gt;0,CS28&gt;0,DF28&gt;0,CU28&gt;0),newSPRDOPT(BZ28,CS28,DA28,0,DF28,CU28,CV28,BT28*365.25,OCallPut,0),0),IF(BQ28,(DH28*AZ28+DI28*BA28+DJ28*BB28+DK28*BC28)/BQ28,0))</f>
        <v>#VALUE!</v>
      </c>
      <c r="DM28" s="1316"/>
      <c r="DN28" s="1316"/>
      <c r="DO28" s="1316"/>
      <c r="DP28" s="1316"/>
      <c r="DQ28" s="1316"/>
      <c r="DR28" s="1316"/>
      <c r="DS28" s="1316"/>
      <c r="DT28" s="1316"/>
      <c r="DU28" s="1316"/>
      <c r="DV28" s="1316"/>
      <c r="DW28" s="1594" t="e">
        <f aca="false">IF(AND(BW28&gt;0,CT28&gt;0,DD28&gt;0,CU28&gt;0),newSPRDOPT(BW28,CT28,CY28,0,DD28,CU28,CV28,BT28*365.25,OCallPut,0),0)</f>
        <v>#VALUE!</v>
      </c>
      <c r="DX28" s="1316" t="e">
        <f aca="false">IF(AND(BX28&gt;0,CT28&gt;0,DE28&gt;0,CU28&gt;0),newSPRDOPT(BX28,CT28,CZ28,0,DE28,CU28,CV28,BT28*365.25,OCallPut,0),0)</f>
        <v>#VALUE!</v>
      </c>
      <c r="DY28" s="1591" t="e">
        <f aca="false">IF(BS28,(DH28*BH28+DI28*BI28+DW28*BJ28+DX28*BK28)/BS28,0)</f>
        <v>#VALUE!</v>
      </c>
      <c r="DZ28" s="1551" t="e">
        <f aca="false">DH28*AZ28</f>
        <v>#VALUE!</v>
      </c>
      <c r="EA28" s="1551" t="e">
        <f aca="false">DI28*BA28</f>
        <v>#VALUE!</v>
      </c>
      <c r="EB28" s="1551" t="e">
        <f aca="false">DJ28*BB28</f>
        <v>#VALUE!</v>
      </c>
      <c r="EC28" s="1551" t="e">
        <f aca="false">DK28*BC28</f>
        <v>#VALUE!</v>
      </c>
      <c r="ED28" s="1551" t="e">
        <f aca="false">DL28*BQ28</f>
        <v>#VALUE!</v>
      </c>
      <c r="EE28" s="1595" t="e">
        <f aca="false">IF(BQ28,IF(OCallPut,IF(BU28&gt;(CO28+CW28),BU28-(CO28+CW28),0),IF((CO28+CW28)&gt;BU28,(CO28+CW28)-BU28,0))*AZ28,0)</f>
        <v>#VALUE!</v>
      </c>
      <c r="EF28" s="1596" t="e">
        <f aca="false">IF(BQ28,IF(OCallPut,IF(BV28&gt;(CP28+CX28),BV28-(CP28+CX28),0),IF((CP28+CX28)&gt;BV28,(CP28+CX28)-BV28,0))*BA28,0)</f>
        <v>#VALUE!</v>
      </c>
      <c r="EG28" s="1596" t="e">
        <f aca="false">IF(BQ28,IF(OCallPut,IF(BW28&gt;(CQ28+CY28),BW28-(CQ28+CY28),0),IF((CQ28+CY28)&gt;BW28,(CQ28+CY28)-BW28,0))*BB28,0)</f>
        <v>#VALUE!</v>
      </c>
      <c r="EH28" s="1596" t="e">
        <f aca="false">IF(BQ28,IF(OCallPut,IF(BX28&gt;(CR28+CZ28),BX28-(CR28+CZ28),0),IF((CR28+CZ28)&gt;BX28,(CR28+CZ28)-BX28,0))*BC28,0)</f>
        <v>#VALUE!</v>
      </c>
      <c r="EI28" s="1597" t="e">
        <f aca="false">IF(BQ28,IF(OVolType,IF(OCallPut,IF(BZ28&gt;(CS28+DA28),BZ28-(CS28+DA28),0),IF((CS28+DA28)&gt;BZ28,(CS28+DA28)-BZ28,0))*BQ28,SUM(EE28:EH28)),0)</f>
        <v>#VALUE!</v>
      </c>
      <c r="EJ28" s="1595" t="e">
        <f aca="false">DZ28-EE28</f>
        <v>#VALUE!</v>
      </c>
      <c r="EK28" s="1596" t="e">
        <f aca="false">EA28-EF28</f>
        <v>#VALUE!</v>
      </c>
      <c r="EL28" s="1596" t="e">
        <f aca="false">EB28-EG28</f>
        <v>#VALUE!</v>
      </c>
      <c r="EM28" s="1596" t="e">
        <f aca="false">EC28-EH28</f>
        <v>#VALUE!</v>
      </c>
      <c r="EN28" s="1597" t="e">
        <f aca="false">ED28-EI28</f>
        <v>#VALUE!</v>
      </c>
      <c r="EO28" s="1551" t="e">
        <f aca="false">DH28*BH28</f>
        <v>#VALUE!</v>
      </c>
      <c r="EP28" s="1551" t="e">
        <f aca="false">DI28*BI28</f>
        <v>#VALUE!</v>
      </c>
      <c r="EQ28" s="1551" t="e">
        <f aca="false">DW28*BJ28</f>
        <v>#VALUE!</v>
      </c>
      <c r="ER28" s="1551" t="e">
        <f aca="false">DX28*BK28</f>
        <v>#VALUE!</v>
      </c>
      <c r="ES28" s="1551" t="e">
        <f aca="false">DY28*BS28</f>
        <v>#VALUE!</v>
      </c>
      <c r="ET28" s="1566" t="e">
        <f aca="false">IF(BS28,IF(OCallPut,IF(CA28&gt;(CT28+CW28),CA28-(CT28+CW28),0),IF((CT28+CW28)&gt;CA28,(CT28+CW28)-CA28,0))*BH28,0)</f>
        <v>#VALUE!</v>
      </c>
      <c r="EU28" s="1551" t="e">
        <f aca="false">IF(BS28,IF(OCallPut,IF(CB28&gt;(CT28+CX28),CB28-(CT28+CX28),0),IF((CT28+CX28)&gt;CB28,(CT28+CX28)-CB28,0))*BI28,0)</f>
        <v>#VALUE!</v>
      </c>
      <c r="EV28" s="1551" t="e">
        <f aca="false">IF(BS28,IF(OCallPut,IF(CC28&gt;(CT28+CY28),CC28-(CT28+CY28),0),IF((CT28+CY28)&gt;CC28,(CT28+CY28)-CC28,0))*BJ28,0)</f>
        <v>#VALUE!</v>
      </c>
      <c r="EW28" s="1551" t="e">
        <f aca="false">IF(BS28,IF(OCallPut,IF(CD28&gt;(CT28+CZ28),CD28-(CT28+CZ28),0),IF((CT28+CZ28)&gt;CD28,(CT28+CZ28)-CD28,0))*BK28,0)</f>
        <v>#VALUE!</v>
      </c>
      <c r="EX28" s="1558" t="e">
        <f aca="false">IF(BS28,SUM(ET28:EW28),0)</f>
        <v>#VALUE!</v>
      </c>
      <c r="EY28" s="1551" t="e">
        <f aca="false">EO28-ET28</f>
        <v>#VALUE!</v>
      </c>
      <c r="EZ28" s="1551" t="e">
        <f aca="false">EP28-EU28</f>
        <v>#VALUE!</v>
      </c>
      <c r="FA28" s="1551" t="e">
        <f aca="false">EQ28-EV28</f>
        <v>#VALUE!</v>
      </c>
      <c r="FB28" s="1551" t="e">
        <f aca="false">ER28-EW28</f>
        <v>#VALUE!</v>
      </c>
      <c r="FC28" s="1551" t="e">
        <f aca="false">ES28-EX28</f>
        <v>#VALUE!</v>
      </c>
      <c r="FD28" s="1525" t="n">
        <f aca="false">IF(AX28,IF(VLOOKUP(C28,MAIN!$L$17:$M$28,2)="Yes",VLOOKUP(CALC!B28,MAIN!$H$17:$I$20,2),0),0)</f>
        <v>0</v>
      </c>
      <c r="FE28" s="1552" t="n">
        <f aca="false">$FD28*16*AT28*(1-$AY28)</f>
        <v>0</v>
      </c>
      <c r="FF28" s="1553" t="n">
        <f aca="false">$FD28*16*AU28*(1-$AY28)</f>
        <v>0</v>
      </c>
      <c r="FG28" s="1553" t="n">
        <f aca="false">$FD28*16*(AV28+AW28)*(1-$AY28)</f>
        <v>0</v>
      </c>
      <c r="FH28" s="1554" t="n">
        <f aca="false">$FD28*8*AX28*(1-$AY28)</f>
        <v>0</v>
      </c>
      <c r="FI28" s="1555" t="n">
        <f aca="false">IF(AX28,VLOOKUP(CALC!B28,MAIN!$H$17:$K$20,4),0)</f>
        <v>0</v>
      </c>
      <c r="FJ28" s="1553" t="n">
        <f aca="false">SUM(FE28:FH28)</f>
        <v>0</v>
      </c>
      <c r="FK28" s="1556" t="n">
        <f aca="false">FI28*FJ28</f>
        <v>0</v>
      </c>
      <c r="FL28" s="1551" t="e">
        <f aca="false">IF($EI28&gt;0,MIN(FE28,AZ28*(1+VLOOKUP($C28,WeatherCapacityAdjustment,2))),0)</f>
        <v>#VALUE!</v>
      </c>
      <c r="FM28" s="1551" t="e">
        <f aca="false">IF($EI28&gt;0,MIN(FF28,BA28*(1+VLOOKUP($C28,WeatherCapacityAdjustment,2))),0)</f>
        <v>#VALUE!</v>
      </c>
      <c r="FN28" s="1551" t="e">
        <f aca="false">IF($EI28&gt;0,MIN(FG28,BB28*(1+VLOOKUP($C28,WeatherCapacityAdjustment,2))),0)</f>
        <v>#VALUE!</v>
      </c>
      <c r="FO28" s="1564" t="e">
        <f aca="false">IF($EI28&gt;0,MIN(FH28,BC28*(1+VLOOKUP($C28,WeatherCapacityAdjustment,3))),0)</f>
        <v>#VALUE!</v>
      </c>
      <c r="FP28" s="1551" t="e">
        <f aca="false">IF(ET28&gt;0,MIN(FE28-FL28,BH28*(1+VLOOKUP($C28,WeatherCapacityAdjustment,2))),0)</f>
        <v>#VALUE!</v>
      </c>
      <c r="FQ28" s="1551" t="e">
        <f aca="false">IF(EU28&gt;0,MIN(FF28-FM28,BI28*(1+VLOOKUP($C28,WeatherCapacityAdjustment,2))),0)</f>
        <v>#VALUE!</v>
      </c>
      <c r="FR28" s="1551" t="e">
        <f aca="false">IF(EV28&gt;0,MIN(FG28-FN28,BJ28*(1+VLOOKUP($C28,WeatherCapacityAdjustment,2))),0)</f>
        <v>#VALUE!</v>
      </c>
      <c r="FS28" s="1558" t="e">
        <f aca="false">IF(EW28&gt;0,MIN(FH28-FO28,BK28*(1+VLOOKUP($C28,WeatherCapacityAdjustment,3))),0)</f>
        <v>#VALUE!</v>
      </c>
      <c r="FT28" s="1566" t="n">
        <f aca="false">IF(AND(Assumptions!$H$71="Yes",A28&gt;=Assumptions!$H$72,A28&lt;=Assumptions!$H$73),0,IF(AND($A28&gt;=Assumptions!$C$17,$A28&lt;=Assumptions!$C$18),MAX(AZ28*(1+VLOOKUP($C28,WeatherCapacityAdjustment,2))-FL28,0),0))</f>
        <v>0</v>
      </c>
      <c r="FU28" s="1551" t="n">
        <f aca="false">IF(AND(Assumptions!$H$71="Yes",A28&gt;=Assumptions!$H$72,A28&lt;=Assumptions!$H$73),0,IF(AND($A28&gt;=Assumptions!$C$17,$A28&lt;=Assumptions!$C$18),MAX(BA28*(1+VLOOKUP($C28,WeatherCapacityAdjustment,2))-FM28,0),0))</f>
        <v>0</v>
      </c>
      <c r="FV28" s="1551" t="n">
        <f aca="false">IF(AND(Assumptions!$H$71="Yes",A28&gt;=Assumptions!$H$72,A28&lt;=Assumptions!$H$73),0,IF(AND($A28&gt;=Assumptions!$C$17,$A28&lt;=Assumptions!$C$18),MAX(BB28*(1+VLOOKUP($C28,WeatherCapacityAdjustment,2))-FN28,0),0))</f>
        <v>0</v>
      </c>
      <c r="FW28" s="1564" t="n">
        <f aca="false">IF(AND(Assumptions!$H$71="Yes",A28&gt;=Assumptions!$H$72,A28&lt;=Assumptions!$H$73),0,IF(AND($A28&gt;=Assumptions!$C$17,$A28&lt;=Assumptions!$C$18),MAX(BC28*(1+VLOOKUP($C28,WeatherCapacityAdjustment,3))-FO28,0),0))</f>
        <v>0</v>
      </c>
      <c r="FX28" s="1569" t="e">
        <f aca="false">IF(AND(Assumptions!$H$71="Yes",A28&gt;=Assumptions!$H$72,A28&lt;=Assumptions!$H$73),0,IF(ET28&gt;0,MAX(BH28*(1+VLOOKUP($C28,WeatherCapacityAdjustment,2))-FP28,0),0))</f>
        <v>#VALUE!</v>
      </c>
      <c r="FY28" s="1551" t="e">
        <f aca="false">IF(AND(Assumptions!$H$71="Yes",A28&gt;=Assumptions!$H$72,A28&lt;=Assumptions!$H$73),0,IF(EU28&gt;0,MAX(BI28*(1+VLOOKUP($C28,WeatherCapacityAdjustment,3))-FQ28,0),0))</f>
        <v>#VALUE!</v>
      </c>
      <c r="FZ28" s="1551" t="e">
        <f aca="false">IF(AND(Assumptions!$H$71="Yes",A28&gt;=Assumptions!$H$72,A28&lt;=Assumptions!$H$73),0,IF(EV28&gt;0,MAX(BJ28*(1+VLOOKUP($C28,WeatherCapacityAdjustment,2))-FR28,0),0))</f>
        <v>#VALUE!</v>
      </c>
      <c r="GA28" s="1564" t="e">
        <f aca="false">IF(AND(Assumptions!$H$71="Yes",A28&gt;=Assumptions!$H$72,A28&lt;=Assumptions!$H$73),0,IF(EW28&gt;0,MAX(BK28*(1+VLOOKUP($C28,WeatherCapacityAdjustment,2))-FS28,0),0))</f>
        <v>#VALUE!</v>
      </c>
      <c r="GB28" s="1551" t="e">
        <f aca="false">SUM(FT28:GA28)</f>
        <v>#VALUE!</v>
      </c>
      <c r="GC28" s="1563" t="e">
        <f aca="false">+IF(SUM(FT28:GA28)=0,0,(SUMPRODUCT(BU28:BX28,FT28:FW28)+SUMPRODUCT(CA28:CD28,FX28:GA28))/SUM(FT28:GA28))</f>
        <v>#VALUE!</v>
      </c>
      <c r="GD28" s="1551" t="e">
        <f aca="false">(FT28*BU28+FX28*CA28+FU28*BV28+FY28*CB28+FV28*BW28+FZ28*CC28+FW28*BX28+GA28*CD28)</f>
        <v>#VALUE!</v>
      </c>
      <c r="GE28" s="1561" t="e">
        <f aca="false">+IF(BQ28,((FL28+FM28+FT28+FU28)*HeatRatePeak/1000*(1+VLOOKUP($C28,WeatherHeatRateAdjustment,2))+(FN28+FV28)*IF(EV28&gt;0,HeatRatePeak,HeatRateOffPeak)/1000*(1+VLOOKUP($C28,WeatherHeatRateAdjustment,2))+(FO28+FW28)*IF(EW28&gt;0,HeatRatePeak,HeatRateOffPeak)/1000*(1+VLOOKUP($C28,WeatherHeatRateAdjustment,3)))*(1+VLOOKUP($B28,HeatRateDegradation,$C28+1)),0)</f>
        <v>#VALUE!</v>
      </c>
      <c r="GF28" s="1562" t="e">
        <f aca="false">IF(BQ28,((FP28+FQ28+FR28+FX28+FY28+FZ28)*HeatRatePeak/1000*(1+VLOOKUP($C28,WeatherHeatRateAdjustment,2))+(FS28+GA28)*HeatRatePeak/1000*(1+VLOOKUP($C28,WeatherHeatRateAdjustment,3)))*(1+VLOOKUP($B28,HeatRateDegradation,$C28+1)),0)</f>
        <v>#VALUE!</v>
      </c>
      <c r="GG28" s="1563" t="e">
        <f aca="false">IF(BQ28,VLOOKUP(A28,GasTable,13),0)</f>
        <v>#VALUE!</v>
      </c>
      <c r="GH28" s="1564" t="e">
        <f aca="false">(GE28+GF28)*GG28</f>
        <v>#VALUE!</v>
      </c>
      <c r="GI28" s="1569" t="e">
        <f aca="false">GB28</f>
        <v>#VALUE!</v>
      </c>
      <c r="GJ28" s="1598" t="e">
        <f aca="false">+DA28</f>
        <v>#VALUE!</v>
      </c>
      <c r="GK28" s="1558" t="e">
        <f aca="false">+GI28*GJ28</f>
        <v>#VALUE!</v>
      </c>
      <c r="GL28" s="1566" t="e">
        <f aca="false">MAX(FE28-FL28-FP28,0)</f>
        <v>#VALUE!</v>
      </c>
      <c r="GM28" s="1551" t="e">
        <f aca="false">MAX(FF28-FM28-FQ28,0)</f>
        <v>#VALUE!</v>
      </c>
      <c r="GN28" s="1551" t="e">
        <f aca="false">MAX(FG28-FN28-FR28,0)</f>
        <v>#VALUE!</v>
      </c>
      <c r="GO28" s="1564" t="e">
        <f aca="false">MAX(FH28-FO28-FS28,0)</f>
        <v>#VALUE!</v>
      </c>
      <c r="GP28" s="1551" t="e">
        <f aca="false">SUM(GL28:GO28)</f>
        <v>#VALUE!</v>
      </c>
      <c r="GQ28" s="1563" t="e">
        <f aca="false">IF(SUM(GL28:GO28)=0,0,((GL28*BU28+GM28*BV28+GN28*BW28+GO28*BX28)/SUM(GL28:GO28)))</f>
        <v>#VALUE!</v>
      </c>
      <c r="GR28" s="1558" t="e">
        <f aca="false">(GL28*BU28+GM28*BV28+GN28*BW28+GO28*BX28)</f>
        <v>#VALUE!</v>
      </c>
      <c r="GS28" s="1566" t="n">
        <f aca="false">IF($A28&gt;=BegDate,Assumptions!$C$56*24*($A29-$A28)*(1-VLOOKUP($B28,MAIN!$AA$7:$AM$28,$C28+1))*(1-VLOOKUP($B28,MAIN!$AA$33:$AM$54,$C28+1)),0)*80/168</f>
        <v>0</v>
      </c>
      <c r="GT28" s="286" t="n">
        <f aca="false">J28</f>
        <v>27.461358</v>
      </c>
      <c r="GU28" s="286" t="n">
        <f aca="false">IF($A28&gt;=BegDate,VLOOKUP($A28,GasTable,13)+Assumptions!$C$58,0)</f>
        <v>0</v>
      </c>
      <c r="GV28" s="286" t="n">
        <f aca="false">GU28*Assumptions!$C$57/1000</f>
        <v>0</v>
      </c>
      <c r="GW28" s="1558" t="n">
        <f aca="false">IF(Assumptions!$C$60="Hourly",MAX(0,GS28*(GT28-GV28)),GS28*(GT28-GV28))</f>
        <v>0</v>
      </c>
      <c r="GX28" s="1566" t="n">
        <f aca="false">IF($A28&gt;=BegDate,Assumptions!$C$56*24*($A29-$A28)*(1-VLOOKUP($B28,MAIN!$AA$7:$AM$28,$C28+1))*(1-VLOOKUP($B28,MAIN!$AA$33:$AM$54,$C28+1)),0)*16/168</f>
        <v>0</v>
      </c>
      <c r="GY28" s="286" t="n">
        <f aca="false">M28</f>
        <v>27.461358</v>
      </c>
      <c r="GZ28" s="286" t="n">
        <f aca="false">IF($A28&gt;=BegDate,VLOOKUP($A28,GasTable,13)+Assumptions!$C$58,0)</f>
        <v>0</v>
      </c>
      <c r="HA28" s="286" t="n">
        <f aca="false">GZ28*Assumptions!$C$57/1000</f>
        <v>0</v>
      </c>
      <c r="HB28" s="1558" t="n">
        <f aca="false">IF(Assumptions!$C$60="Hourly",MAX(0,GX28*(GY28-HA28)),GX28*(GY28-HA28))</f>
        <v>0</v>
      </c>
      <c r="HC28" s="1566" t="n">
        <f aca="false">IF($A28&gt;=BegDate,Assumptions!$C$56*24*($A29-$A28)*(1-VLOOKUP($B28,MAIN!$AA$7:$AM$28,$C28+1))*(1-VLOOKUP($B28,MAIN!$AA$33:$AM$54,$C28+1)),0)*16/168</f>
        <v>0</v>
      </c>
      <c r="HD28" s="286" t="n">
        <f aca="false">P28</f>
        <v>17.721378</v>
      </c>
      <c r="HE28" s="286" t="n">
        <f aca="false">IF($A28&gt;=BegDate,VLOOKUP($A28,GasTable,13)+Assumptions!$C$58,0)</f>
        <v>0</v>
      </c>
      <c r="HF28" s="286" t="n">
        <f aca="false">HE28*Assumptions!$C$57/1000</f>
        <v>0</v>
      </c>
      <c r="HG28" s="1558" t="n">
        <f aca="false">IF(Assumptions!$C$60="Hourly",MAX(0,HC28*(HD28-HF28)),HC28*(HD28-HF28))</f>
        <v>0</v>
      </c>
      <c r="HH28" s="1566" t="n">
        <f aca="false">IF($A28&gt;=BegDate,Assumptions!$C$56*24*($A29-$A28)*(1-VLOOKUP($B28,MAIN!$AA$7:$AM$28,$C28+1))*(1-VLOOKUP($B28,MAIN!$AA$33:$AM$54,$C28+1)),0)*56/168</f>
        <v>0</v>
      </c>
      <c r="HI28" s="286" t="n">
        <f aca="false">S28</f>
        <v>17.721378</v>
      </c>
      <c r="HJ28" s="286" t="n">
        <f aca="false">IF($A28&gt;=BegDate,VLOOKUP($A28,GasTable,13)+Assumptions!$C$58,0)</f>
        <v>0</v>
      </c>
      <c r="HK28" s="286" t="n">
        <f aca="false">HJ28*Assumptions!$C$57/1000</f>
        <v>0</v>
      </c>
      <c r="HL28" s="1558" t="n">
        <f aca="false">IF(Assumptions!$C$60="Hourly",MAX(0,HH28*(HI28-HK28)),HH28*(HI28-HK28))</f>
        <v>0</v>
      </c>
      <c r="HM28" s="1566" t="n">
        <f aca="false">IF(AND(Assumptions!$H$71="Yes",A28&gt;=Assumptions!$H$72,A28&lt;=Assumptions!$H$73),Assumptions!$H$74*Assumptions!$C$9*1000,0)</f>
        <v>0</v>
      </c>
      <c r="HN28" s="1558"/>
      <c r="HO28" s="1567" t="n">
        <f aca="false">HO27+1</f>
        <v>2014</v>
      </c>
      <c r="HP28" s="1566" t="e">
        <f aca="false">SUMIF($B$17:$B$292,HO28,$FJ$17:$FJ$292)</f>
        <v>#VALUE!</v>
      </c>
      <c r="HQ28" s="1568" t="e">
        <f aca="false">IF(HR28=0,0,HR28/HP28)</f>
        <v>#VALUE!</v>
      </c>
      <c r="HR28" s="1564" t="e">
        <f aca="false">SUMIF($B$17:$B$292,HO28,$FK$17:$FK$292)</f>
        <v>#VALUE!</v>
      </c>
      <c r="HS28" s="1569" t="e">
        <f aca="false">SUMIF($B$17:$B$292,HO28,$GB$17:$GB$292)</f>
        <v>#VALUE!</v>
      </c>
      <c r="HT28" s="1563" t="e">
        <f aca="false">+IF(HS28&gt;0,HU28/HS28,0)</f>
        <v>#VALUE!</v>
      </c>
      <c r="HU28" s="1551" t="e">
        <f aca="false">SUMIF($B$17:$B$292,HO28,$GD$17:$GD$292)</f>
        <v>#VALUE!</v>
      </c>
      <c r="HV28" s="1569" t="e">
        <f aca="false">HR28+HU28</f>
        <v>#VALUE!</v>
      </c>
      <c r="HW28" s="1551" t="e">
        <f aca="false">SUMIF($B$17:$B$292,$HO28,$EN$17:$EN$292)</f>
        <v>#VALUE!</v>
      </c>
      <c r="HX28" s="1551" t="e">
        <f aca="false">SUMIF($B$17:$B$292,$HO28,$FC$17:$FC$292)</f>
        <v>#VALUE!</v>
      </c>
      <c r="HY28" s="1551" t="n">
        <f aca="false">IF(Assumptions!$L$24="Yes",HW28+HX28,0)</f>
        <v>0</v>
      </c>
      <c r="HZ28" s="1566" t="e">
        <f aca="false">SUMIF($B$17:$B$292,HO28,$GE$17:$GE$292)+SUMIF($B$17:$B$292,HO28,$GF$17:$GF$292)</f>
        <v>#VALUE!</v>
      </c>
      <c r="IA28" s="1563" t="e">
        <f aca="false">IF(IB28=0,0,IB28/HZ28)</f>
        <v>#VALUE!</v>
      </c>
      <c r="IB28" s="1564" t="e">
        <f aca="false">-SUMIF($B$17:$B$292,HO28,$GH$17:$GH$292)</f>
        <v>#VALUE!</v>
      </c>
      <c r="IC28" s="1569" t="e">
        <f aca="false">SUMIF($B$17:$B$292,HO28,$GI$17:$GI$292)</f>
        <v>#VALUE!</v>
      </c>
      <c r="ID28" s="1563" t="e">
        <f aca="false">IF(IE28=0,0,IE28/IC28)</f>
        <v>#VALUE!</v>
      </c>
      <c r="IE28" s="1564" t="e">
        <f aca="false">-SUMIF($B$17:$B$292,HO28,$GK$17:$GK$292)</f>
        <v>#VALUE!</v>
      </c>
      <c r="IF28" s="1551" t="e">
        <f aca="false">SUMIF($B$17:$B$292,HO28,$GP$17:$GP$292)</f>
        <v>#VALUE!</v>
      </c>
      <c r="IG28" s="1563" t="e">
        <f aca="false">IF(IH28=0,0,IH28/IF28)</f>
        <v>#VALUE!</v>
      </c>
      <c r="IH28" s="1564" t="e">
        <f aca="false">-SUMIF($B$17:$B$292,HO28,$GR$17:$GR$292)</f>
        <v>#VALUE!</v>
      </c>
      <c r="II28" s="1570" t="n">
        <f aca="false">(SUMIF($B$17:$B$292,HO28,$GW$17:$GW$292)+SUMIF($B$17:$B$292,HO28,$HB$17:$HB$292)+SUMIF($B$17:$B$292,HO28,$HG$17:$HG$292)+SUMIF($B$17:$B$292,HO28,$HL$17:$HL$292))*Assumptions!$C$59</f>
        <v>1316957.55053369</v>
      </c>
      <c r="IJ28" s="1309" t="n">
        <f aca="false">SUMIF($B$17:$B$292,HO28,$HM$17:$HM$292)</f>
        <v>0</v>
      </c>
      <c r="IK28" s="1309"/>
    </row>
    <row r="29" customFormat="false" ht="12.75" hidden="false" customHeight="false" outlineLevel="0" collapsed="false">
      <c r="A29" s="1571" t="n">
        <f aca="false">EOMONTH(A28,0)+1</f>
        <v>37012</v>
      </c>
      <c r="B29" s="594" t="n">
        <f aca="false">+YEAR(A29)</f>
        <v>2001</v>
      </c>
      <c r="C29" s="238" t="n">
        <f aca="false">MONTH(A29)</f>
        <v>5</v>
      </c>
      <c r="D29" s="1572" t="str">
        <f aca="false">IF(E29="","",Holiday(B29,C29))</f>
        <v/>
      </c>
      <c r="E29" s="1573" t="str">
        <f aca="false">IF(OR(BegDate&gt;=A30,EndDate&lt;A29,AND(VolumeMonthlyOverFlag,INDEX(VolumeMonthlyOver,C29)=0),NOT(INDEX(MonthKnockOutTable,C29))),"",MAX(A29,BegDate))</f>
        <v/>
      </c>
      <c r="F29" s="1574" t="str">
        <f aca="false">IF(E29="","",MIN(A30-1,EndDate))</f>
        <v/>
      </c>
      <c r="G29" s="1575" t="n">
        <v>0</v>
      </c>
      <c r="H29" s="1576" t="n">
        <f aca="false">(1+G29/2)^(-2*(DATE(B30,C30,20)-DateToday)/365.25)</f>
        <v>1</v>
      </c>
      <c r="I29" s="1568" t="n">
        <f aca="false">IF(Assumptions!$L$25=4,VLOOKUP($A29,'Henwood Reference'!$E$9:$R$320,10),(VLOOKUP($A29,PriceTable,2,0)+IF(BasisNumber&lt;&gt;1,VLOOKUP($A29,BasisTable,2,0),0)+I$1)/(1-I$2))</f>
        <v>27.187794</v>
      </c>
      <c r="J29" s="1568" t="n">
        <f aca="false">IF(Assumptions!$L$25=4,VLOOKUP($A29,'Henwood Reference'!$E$9:$R$320,10),(VLOOKUP($A29,PriceTable,3,0)+IF(BasisNumber&lt;&gt;1,VLOOKUP($A29,BasisTable,2,0),0)+J$1)/(1-J$2))</f>
        <v>27.187794</v>
      </c>
      <c r="K29" s="1568" t="n">
        <f aca="false">IF(Assumptions!$L$25=4,VLOOKUP($A29,'Henwood Reference'!$E$9:$R$320,10),(VLOOKUP($A29,PriceTable,4,0)+IF(BasisNumber&lt;&gt;1,VLOOKUP($A29,BasisTable,2,0),0)+K$1)/(1-K$2))</f>
        <v>27.187794</v>
      </c>
      <c r="L29" s="1523" t="n">
        <f aca="false">IF(Assumptions!$L$25=4,VLOOKUP($A29,'Henwood Reference'!$E$9:$R$320,10),(VLOOKUP($A29,PriceTableWeekend,2,0)+IF(BasisNumber&lt;&gt;1,VLOOKUP($A29,BasisTable,2,0),0)+L$1)/(1-L$2))</f>
        <v>27.187794</v>
      </c>
      <c r="M29" s="1568" t="n">
        <f aca="false">IF(Assumptions!$L$25=4,VLOOKUP($A29,'Henwood Reference'!$E$9:$R$320,10),(VLOOKUP($A29,PriceTableWeekend,3,0)+IF(BasisNumber&lt;&gt;1,VLOOKUP($A29,BasisTable,2,0),0)+M$1)/(1-M$2))</f>
        <v>27.187794</v>
      </c>
      <c r="N29" s="1599" t="n">
        <f aca="false">IF(Assumptions!$L$25=4,VLOOKUP($A29,'Henwood Reference'!$E$9:$R$320,10),(VLOOKUP($A29,PriceTableWeekend,4,0)+IF(BasisNumber&lt;&gt;1,VLOOKUP($A29,BasisTable,2,0),0)+N$1)/(1-N$2))</f>
        <v>27.187794</v>
      </c>
      <c r="O29" s="1568" t="n">
        <f aca="false">IF(Assumptions!$L$25=4,VLOOKUP($A29,'Henwood Reference'!$E$9:$R$320,11),(VLOOKUP($A29,PriceTableWeekend,6,0)+IF(BasisNumber&lt;&gt;1,VLOOKUP($A29,BasisTable,3,0),0)+O$1)/(1-O$2))</f>
        <v>13.710024</v>
      </c>
      <c r="P29" s="1568" t="n">
        <f aca="false">IF(Assumptions!$L$25=4,VLOOKUP($A29,'Henwood Reference'!$E$9:$R$320,11),(VLOOKUP($A29,PriceTableWeekend,7,0)+IF(BasisNumber&lt;&gt;1,VLOOKUP($A29,BasisTable,3,0),0)+P$1)/(1-P$2))</f>
        <v>13.710024</v>
      </c>
      <c r="Q29" s="1599" t="n">
        <f aca="false">IF(Assumptions!$L$25=4,VLOOKUP($A29,'Henwood Reference'!$E$9:$R$320,11),(VLOOKUP($A29,PriceTableWeekend,8,0)+IF(BasisNumber&lt;&gt;1,VLOOKUP($A29,BasisTable,3,0),0)+Q$1)/(1-Q$2))</f>
        <v>13.710024</v>
      </c>
      <c r="R29" s="1568" t="n">
        <f aca="false">IF(Assumptions!$L$25=4,VLOOKUP($A29,'Henwood Reference'!$E$9:$R$320,11),(VLOOKUP($A29,PriceTable,6,0)+IF(BasisNumber&lt;&gt;1,VLOOKUP($A29,BasisTable,3,0),0)+R$1)/(1-R$2))</f>
        <v>13.710024</v>
      </c>
      <c r="S29" s="1568" t="n">
        <f aca="false">IF(Assumptions!$L$25=4,VLOOKUP($A29,'Henwood Reference'!$E$9:$R$320,11),(VLOOKUP($A29,PriceTable,7,0)+IF(BasisNumber&lt;&gt;1,VLOOKUP($A29,BasisTable,3,0),0)+S$1)/(1-S$2))</f>
        <v>13.710024</v>
      </c>
      <c r="T29" s="1600" t="n">
        <f aca="false">IF(Assumptions!$L$25=4,VLOOKUP($A29,'Henwood Reference'!$E$9:$R$320,11),(VLOOKUP($A29,PriceTable,8,0)+IF(BasisNumber&lt;&gt;1,VLOOKUP($A29,BasisTable,3,0),0)+T$1)/(1-T$2))</f>
        <v>13.710024</v>
      </c>
      <c r="U29" s="1513" t="n">
        <f aca="false">VLOOKUP($A29,VolatilityTable,14)</f>
        <v>0.22</v>
      </c>
      <c r="V29" s="1513" t="n">
        <f aca="false">VLOOKUP($A29,VolatilityTable,15)</f>
        <v>0.25</v>
      </c>
      <c r="W29" s="1514" t="n">
        <f aca="false">VLOOKUP($A29,VolatilityTable,16)</f>
        <v>0.28</v>
      </c>
      <c r="X29" s="1513" t="n">
        <f aca="false">VLOOKUP($A29,VolatilityTable,14)</f>
        <v>0.22</v>
      </c>
      <c r="Y29" s="1513" t="n">
        <f aca="false">VLOOKUP($A29,VolatilityTable,15)</f>
        <v>0.25</v>
      </c>
      <c r="Z29" s="1514" t="n">
        <f aca="false">VLOOKUP($A29,VolatilityTable,16)</f>
        <v>0.28</v>
      </c>
      <c r="AA29" s="1513" t="n">
        <f aca="false">VLOOKUP($A29,VolatilityTable,18)</f>
        <v>0.05</v>
      </c>
      <c r="AB29" s="1513" t="n">
        <f aca="false">VLOOKUP($A29,VolatilityTable,19)</f>
        <v>0.11</v>
      </c>
      <c r="AC29" s="1514" t="n">
        <f aca="false">VLOOKUP($A29,VolatilityTable,20)</f>
        <v>0.15</v>
      </c>
      <c r="AD29" s="1513" t="n">
        <f aca="false">VLOOKUP($A29,VolatilityTable,18)</f>
        <v>0.05</v>
      </c>
      <c r="AE29" s="1513" t="n">
        <f aca="false">VLOOKUP($A29,VolatilityTable,19)</f>
        <v>0.11</v>
      </c>
      <c r="AF29" s="1514" t="n">
        <f aca="false">VLOOKUP($A29,VolatilityTable,20)</f>
        <v>0.15</v>
      </c>
      <c r="AG29" s="1513" t="n">
        <f aca="false">VLOOKUP($A29,VolatilityTable,22)</f>
        <v>-0.1</v>
      </c>
      <c r="AH29" s="1513" t="n">
        <f aca="false">VLOOKUP($A29,VolatilityTable,23)</f>
        <v>0.65</v>
      </c>
      <c r="AI29" s="1514" t="n">
        <f aca="false">VLOOKUP($A29,VolatilityTable,24)</f>
        <v>0.1</v>
      </c>
      <c r="AJ29" s="1513" t="n">
        <f aca="false">VLOOKUP($A29,VolatilityTable,22)</f>
        <v>-0.1</v>
      </c>
      <c r="AK29" s="1513" t="n">
        <f aca="false">VLOOKUP($A29,VolatilityTable,23)</f>
        <v>0.65</v>
      </c>
      <c r="AL29" s="1514" t="n">
        <f aca="false">VLOOKUP($A29,VolatilityTable,24)</f>
        <v>0.1</v>
      </c>
      <c r="AM29" s="1513" t="n">
        <f aca="false">VLOOKUP($A29,VolatilityTable,26)</f>
        <v>-0.01</v>
      </c>
      <c r="AN29" s="1513" t="n">
        <f aca="false">VLOOKUP($A29,VolatilityTable,27)</f>
        <v>0.16</v>
      </c>
      <c r="AO29" s="1514" t="n">
        <f aca="false">VLOOKUP($A29,VolatilityTable,28)</f>
        <v>0.01</v>
      </c>
      <c r="AP29" s="1513" t="n">
        <f aca="false">VLOOKUP($A29,VolatilityTable,26)</f>
        <v>-0.01</v>
      </c>
      <c r="AQ29" s="1513" t="n">
        <f aca="false">VLOOKUP($A29,VolatilityTable,27)</f>
        <v>0.16</v>
      </c>
      <c r="AR29" s="1515" t="n">
        <f aca="false">VLOOKUP($A29,VolatilityTable,28)</f>
        <v>0.01</v>
      </c>
      <c r="AS29" s="1581" t="n">
        <f aca="false">IF(CorrPeakOffPeakOverFlag,INDEX(CorrPeakOffPeakOver,C29),CorrPeakOffPeak)</f>
        <v>0.5</v>
      </c>
      <c r="AT29" s="594" t="n">
        <f aca="false">AX29-SUM(AU29:AW29)</f>
        <v>0</v>
      </c>
      <c r="AU29" s="238" t="n">
        <f aca="false">IF(E29="",0,INT((F29-MOD(F29,7)-E29)/7)+1-IF(AW29,IF(WEEKDAY(D29)=7,1,0),0))</f>
        <v>0</v>
      </c>
      <c r="AV29" s="238" t="n">
        <f aca="false">IF(E29="",0,INT((F29-MOD(F29-1,7)-E29)/7)+1-IF(AW29,IF(WEEKDAY(D29)=1,1,0),0))</f>
        <v>0</v>
      </c>
      <c r="AW29" s="238" t="n">
        <f aca="false">IF(OR(E29="",D29="",D29&lt;BegDate,D29&gt;EndDate),0,1)</f>
        <v>0</v>
      </c>
      <c r="AX29" s="238" t="n">
        <f aca="false">IF(E29="",0,F29-E29+1)</f>
        <v>0</v>
      </c>
      <c r="AY29" s="1582" t="n">
        <f aca="false">IF(E29="",0,MIN((1-(1-VLOOKUP(B29,MAIN!$AA$7:$AM$28,C29+1))*(1-VLOOKUP(B29,MAIN!$AA$33:$AM$54,C29+1))),1))</f>
        <v>0</v>
      </c>
      <c r="AZ29" s="1519" t="e">
        <v>#VALUE!</v>
      </c>
      <c r="BA29" s="1520" t="e">
        <v>#VALUE!</v>
      </c>
      <c r="BB29" s="1520" t="e">
        <v>#VALUE!</v>
      </c>
      <c r="BC29" s="1583" t="e">
        <v>#VALUE!</v>
      </c>
      <c r="BD29" s="1522" t="e">
        <v>#VALUE!</v>
      </c>
      <c r="BE29" s="1523" t="e">
        <v>#VALUE!</v>
      </c>
      <c r="BF29" s="1523" t="e">
        <v>#VALUE!</v>
      </c>
      <c r="BG29" s="1584" t="e">
        <v>#VALUE!</v>
      </c>
      <c r="BH29" s="1525" t="e">
        <v>#VALUE!</v>
      </c>
      <c r="BI29" s="1520" t="e">
        <v>#VALUE!</v>
      </c>
      <c r="BJ29" s="1520" t="e">
        <v>#VALUE!</v>
      </c>
      <c r="BK29" s="1583" t="e">
        <v>#VALUE!</v>
      </c>
      <c r="BL29" s="1522" t="e">
        <v>#VALUE!</v>
      </c>
      <c r="BM29" s="1523" t="e">
        <v>#VALUE!</v>
      </c>
      <c r="BN29" s="1523" t="e">
        <v>#VALUE!</v>
      </c>
      <c r="BO29" s="1523" t="e">
        <v>#VALUE!</v>
      </c>
      <c r="BP29" s="1525" t="e">
        <f aca="false">SUM(AZ29:BB29)</f>
        <v>#VALUE!</v>
      </c>
      <c r="BQ29" s="1529" t="e">
        <f aca="false">SUM(AZ29:BC29)</f>
        <v>#VALUE!</v>
      </c>
      <c r="BR29" s="1519" t="e">
        <f aca="false">SUM(BH29:BJ29)</f>
        <v>#VALUE!</v>
      </c>
      <c r="BS29" s="1529" t="e">
        <f aca="false">SUM(BH29:BK29)</f>
        <v>#VALUE!</v>
      </c>
      <c r="BT29" s="1316" t="n">
        <f aca="false">(IF(OVolType&lt;&gt;2,A29+14,IF(OptExpDateShift,ShiftBack(A29,OptExpDateShift,D28),A29))-DateToday)/365.25</f>
        <v>1.04585900068446</v>
      </c>
      <c r="BU29" s="1585" t="e">
        <f aca="false">IF(BQ29,IF(OPriceCurve,IF(OBuySell=OCallPut,I29/(1-AY29),K29/(1-AY29)),J29/(1-AY29))*BD29,0)</f>
        <v>#VALUE!</v>
      </c>
      <c r="BV29" s="1316" t="e">
        <f aca="false">IF(BQ29,IF(OPriceCurve,IF(OBuySell=OCallPut,L29/(1-AY29),N29/(1-AY29)),M29/(1-AY29))*BE29,0)</f>
        <v>#VALUE!</v>
      </c>
      <c r="BW29" s="1316" t="e">
        <f aca="false">IF(BQ29,IF(OPriceCurve,IF(OBuySell=OCallPut,O29/(1-AY29),Q29/(1-AY29)),P29/(1-AY29))*BF29,0)</f>
        <v>#VALUE!</v>
      </c>
      <c r="BX29" s="1316" t="e">
        <f aca="false">IF(BQ29,IF(OPriceCurve,IF(OBuySell=OCallPut,R29/(1-AY29),T29/(1-AY29)),S29/(1-AY29))*BG29,0)</f>
        <v>#VALUE!</v>
      </c>
      <c r="BY29" s="1316" t="e">
        <f aca="false">IF(BP29,(BU29*AZ29+BV29*BA29+BW29*BB29)/BP29,0)</f>
        <v>#VALUE!</v>
      </c>
      <c r="BZ29" s="1316" t="e">
        <f aca="false">IF(BQ29,(BY29*BP29+BX29*BC29)/BQ29,0)</f>
        <v>#VALUE!</v>
      </c>
      <c r="CA29" s="1531" t="e">
        <f aca="false">IF(BS29,IF(OPriceCurve,IF(OBuySell=OCallPut,I29/(1-AY29),K29/(1-AY29)),J29/(1-AY29))*BL29,0)</f>
        <v>#VALUE!</v>
      </c>
      <c r="CB29" s="1316" t="e">
        <f aca="false">IF(BS29,IF(OPriceCurve,IF(OBuySell=OCallPut,L29/(1-AY29),N29/(1-AY29)),M29/(1-AY29))*BM29,0)</f>
        <v>#VALUE!</v>
      </c>
      <c r="CC29" s="1316" t="e">
        <f aca="false">IF(BS29,IF(OPriceCurve,IF(OBuySell=OCallPut,O29/(1-AY29),Q29/(1-AY29)),P29/(1-AY29))*BN29,0)</f>
        <v>#VALUE!</v>
      </c>
      <c r="CD29" s="1316" t="e">
        <f aca="false">IF(BS29,IF(OPriceCurve,IF(OBuySell=OCallPut,R29/(1-AY29),T29/(1-AY29)),S29/(1-AY29))*BO29,0)</f>
        <v>#VALUE!</v>
      </c>
      <c r="CE29" s="1316" t="e">
        <f aca="false">IF(BR29,(BU29*BH29+BV29*BI29+BW29*BJ29)/BR29,0)</f>
        <v>#VALUE!</v>
      </c>
      <c r="CF29" s="1532" t="e">
        <f aca="false">IF(BS29,(CE29*BR29+CD29*BK29)/BS29,0)</f>
        <v>#VALUE!</v>
      </c>
      <c r="CG29" s="1586" t="e">
        <f aca="false">IF(OR(BQ29,BS29),IF(OVolType&lt;&gt;2,SQRT(IF(OVolOverMonthlyPeak,OVolOverMonthlyPeak,IF(OVolCurve,IF(OBuySell,U29,W29),V29))^2*(1-15/365.25/BT29)+IF(OVolOverDailyPeak,OVolOverDailyPeak,IF(OVolCurve,IF(OBuySell,AG29,AI29),AH29))^2*15/365.25/BT29),IF(OVolOverMonthlyPeak,OVolOverMonthlyPeak,IF(OVolCurve,IF(OBuySell,U29,W29),V29))),"")</f>
        <v>#VALUE!</v>
      </c>
      <c r="CH29" s="1587" t="e">
        <f aca="false">IF(OR(BQ29,BS29),IF(OVolType&lt;&gt;2,SQRT(IF(OVolOverMonthlyPeak,OVolOverMonthlyPeak,IF(OVolCurve,IF(OBuySell,X29,Z29),Y29))^2*(1-15/365.25/BT29)+IF(OVolOverDailyPeak,OVolOverDailyPeak,IF(OVolCurve,IF(OBuySell,AJ29,AL29),AK29))^2*15/365.25/BT29),IF(OVolOverMonthlyPeak,OVolOverMonthlyPeak,IF(OVolCurve,IF(OBuySell,X29,Z29),Y29))),"")</f>
        <v>#VALUE!</v>
      </c>
      <c r="CI29" s="1587" t="e">
        <f aca="false">IF(OR(BQ29,BS29),IF(OVolType&lt;&gt;2,SQRT(IF(OVolOverMonthlyPeak,OVolOverMonthlyPeak,IF(OVolCurve,IF(OBuySell,AA29,AC29),AB29))^2*(1-15/365.25/BT29)+IF(OVolOverDailyPeak,OVolOverDailyPeak,IF(OVolCurve,IF(OBuySell,AM29,AO29),AN29))^2*15/365.25/BT29),IF(OVolOverMonthlyPeak,OVolOverMonthlyPeak,IF(OVolCurve,IF(OBuySell,AA29,AC29),AB29))),"")</f>
        <v>#VALUE!</v>
      </c>
      <c r="CJ29" s="1587" t="e">
        <f aca="false">IF(BQ29,IF(BP29,SQRT(LN(1+((BU29*AZ29)^2*(EXP(CG29^2*BT29)-1)+(BV29*BA29)^2*(EXP(CH29^2*BT29)-1)+(BW29*BB29)^2*(EXP(CI29^2*BT29)-1)+2*BU29*AZ29*BV29*BA29*(EXP(CG29*CH29*BT29)-1)+2*BV29*BA29*BW29*BB29*(EXP(CH29*CI29*BT29)-1)+2*BW29*BB29*BU29*AZ29*(EXP(CI29*CG29*BT29)-1))/(BY29*BP29)^2)/BT29),0),"")</f>
        <v>#VALUE!</v>
      </c>
      <c r="CK29" s="1587" t="e">
        <f aca="false">IF(BS29,IF(BR29,SQRT(LN(1+((CA29*BH29)^2*(EXP(CG29^2*BT29)-1)+(CB29*BI29)^2*(EXP(CH29^2*BT29)-1)+(CC29*BJ29)^2*(EXP(CI29^2*BT29)-1)+2*CA29*BH29*CB29*BI29*(EXP(CG29*CH29*BT29)-1)+2*CB29*BI29*CC29*BJ29*(EXP(CH29*CI29*BT29)-1)+2*CC29*BJ29*CA29*BH29*(EXP(CI29*CG29*BT29)-1))/(CE29*BR29)^2)/BT29),0),"")</f>
        <v>#VALUE!</v>
      </c>
      <c r="CL29" s="1587" t="e">
        <f aca="false">IF(OR(BQ29,BS29),IF(OVolType&lt;&gt;2,SQRT(IF(OVolOverMonthlyOffPeak,OVolOverMonthlyOffPeak,IF(OVolCurve,IF(OBuySell,AD29,AF29),AE29))^2*(1-15/365.25/BT29)+IF(OVolOverDailyOffPeak,OVolOverDailyOffPeak,IF(OVolCurve,IF(OBuySell,AP29,AR29),AQ29))^2*15/365.25/BT29),IF(OVolOverMonthlyOffPeak,OVolOverMonthlyOffPeak,IF(OVolCurve,IF(OBuySell,AD29,AF29),AE29))),"")</f>
        <v>#VALUE!</v>
      </c>
      <c r="CM29" s="1587" t="e">
        <f aca="false">IF(BQ29,SQRT(LN(1+((BY29*BP29)^2*(EXP(CJ29^2*BT29)-1)+(BX29*BC29)^2*(EXP(CL29^2*BT29)-1)+2*BY29*BP29*BX29*BC29*(EXP(AS29*CJ29*CL29*BT29)-1))/(BY29*BP29+BX29*BC29)^2)/BT29),"")</f>
        <v>#VALUE!</v>
      </c>
      <c r="CN29" s="1588" t="e">
        <f aca="false">IF(BS29,SQRT(LN(1+((CE29*BR29)^2*(EXP(CK29^2*BT29)-1)+(CD29*BK29)^2*(EXP(CL29^2*BT29)-1)+2*CE29*BR29*CD29*BK29*(EXP(AS29*CK29*CL29*BT29)-1))/(CE29*BR29+CD29*BK29)^2)/BT29),"")</f>
        <v>#VALUE!</v>
      </c>
      <c r="CO29" s="1531" t="e">
        <f aca="false">IF(OR(BQ29,BS29),VLOOKUP(A29,GasTable,13)*HeatRatePeak*(1+VLOOKUP($B29,HeatRateDegradation,$C29+1))/1000,0)</f>
        <v>#VALUE!</v>
      </c>
      <c r="CP29" s="1316" t="e">
        <f aca="false">IF(OR(BQ29,BS29),VLOOKUP(A29,GasTable,13)*HeatRatePeak*(1+VLOOKUP($B29,HeatRateDegradation,$C29+1))/1000,0)</f>
        <v>#VALUE!</v>
      </c>
      <c r="CQ29" s="1316" t="e">
        <f aca="false">IF(OR(BQ29,BS29),VLOOKUP(A29,GasTable,13)*IF(EV29,HeatRatePeak,HeatRateOffPeak)*(1+VLOOKUP($B29,HeatRateDegradation,$C29+1))/1000,0)</f>
        <v>#VALUE!</v>
      </c>
      <c r="CR29" s="1316" t="e">
        <f aca="false">IF(OR(BQ29,BS29),VLOOKUP(A29,GasTable,13)*IF(EW29,HeatRatePeak,HeatRateOffPeak)*(1+VLOOKUP($B29,HeatRateDegradation,$C29+1))/1000,0)</f>
        <v>#VALUE!</v>
      </c>
      <c r="CS29" s="1589" t="e">
        <f aca="false">IF(BQ29,(CO29*AZ29+CP29*BA29+CQ29*BB29+CR29*BC29)/BQ29,0)</f>
        <v>#VALUE!</v>
      </c>
      <c r="CT29" s="1316" t="e">
        <f aca="false">IF(BS29,CO29,0)</f>
        <v>#VALUE!</v>
      </c>
      <c r="CU29" s="1590" t="e">
        <f aca="false">IF(OR(BQ29,BS29),VLOOKUP(A29,GasTable,14),"")</f>
        <v>#VALUE!</v>
      </c>
      <c r="CV29" s="1568" t="e">
        <f aca="false">IF(OR(BQ29,BS29),IF(CorrPowerGasOverFlag,INDEX(CorrPowerGasOver,C29),CorrPowerGas),"")</f>
        <v>#VALUE!</v>
      </c>
      <c r="CW29" s="1316" t="e">
        <f aca="false">IF(OR($BQ29,$BS29),SpreadOptPowerMargin,0)*((1+Assumptions!$C$26)^($B29-YEAR(Assumptions!$C$17)))</f>
        <v>#VALUE!</v>
      </c>
      <c r="CX29" s="1316" t="e">
        <f aca="false">IF(OR($BQ29,$BS29),SpreadOptPowerMargin,0)*((1+Assumptions!$C$26)^($B29-YEAR(Assumptions!$C$17)))</f>
        <v>#VALUE!</v>
      </c>
      <c r="CY29" s="1316" t="e">
        <f aca="false">IF(OR($BQ29,$BS29),SpreadOptPowerMargin,0)*((1+Assumptions!$C$26)^($B29-YEAR(Assumptions!$C$17)))</f>
        <v>#VALUE!</v>
      </c>
      <c r="CZ29" s="1316" t="e">
        <f aca="false">IF(OR($BQ29,$BS29),SpreadOptPowerMargin,0)*((1+Assumptions!$C$26)^($B29-YEAR(Assumptions!$C$17)))</f>
        <v>#VALUE!</v>
      </c>
      <c r="DA29" s="1591" t="e">
        <f aca="false">IF(OR(BQ29,BS29),(CW29*(AZ29+BH29)+CX29*(BA29+BI29)+CY29*(BB29+BJ29)+CZ29*(BC29+BK29))/(BQ29+BS29),0)</f>
        <v>#VALUE!</v>
      </c>
      <c r="DB29" s="1592" t="e">
        <f aca="false">IF(OR(BQ29,BS29),CG29+IF(OVolSmile,VLOOKUP(MAX(-5,CO29+CW29-BU29),IF(OVolSmile=1,VolSmileBook,VolSmileModel),2),0),"")</f>
        <v>#VALUE!</v>
      </c>
      <c r="DC29" s="1592" t="e">
        <f aca="false">IF(OR(BQ29,BS29),CH29+IF(OVolSmile,VLOOKUP(MAX(-5,CP29+CW29-BV29),IF(OVolSmile=1,VolSmileBook,VolSmileModel),2),0),"")</f>
        <v>#VALUE!</v>
      </c>
      <c r="DD29" s="1592" t="e">
        <f aca="false">IF(OR(BQ29,BS29),CI29+IF(OVolSmile,VLOOKUP(MAX(-5,CQ29+CW29-BW29),IF(OVolSmile=1,VolSmileBook,VolSmileModel),2),0),"")</f>
        <v>#VALUE!</v>
      </c>
      <c r="DE29" s="1592" t="e">
        <f aca="false">IF(OR(BQ29,BS29),CL29+IF(OVolSmile,VLOOKUP(MAX(-5,CR29+CZ29-BX29),IF(OVolSmile=1,VolSmileBook,VolSmileModel),2),0),"")</f>
        <v>#VALUE!</v>
      </c>
      <c r="DF29" s="1592" t="e">
        <f aca="false">IF(BQ29,CM29+IF(OVolSmile,VLOOKUP(MAX(-5,CS29+DA29-BZ29),IF(OVolSmile=1,VolSmileBook,VolSmileModel),2),0),"")</f>
        <v>#VALUE!</v>
      </c>
      <c r="DG29" s="1593" t="e">
        <f aca="false">IF(BS29,CN29+IF(OVolSmile,VLOOKUP(MAX(-5,CT29+DA29-CF29),IF(OVolSmile=1,VolSmileBook,VolSmileModel),2),0),"")</f>
        <v>#VALUE!</v>
      </c>
      <c r="DH29" s="1316" t="e">
        <f aca="false">IF(AND(BU29&gt;0,CO29&gt;0,DB29&gt;0,CU29&gt;0),newSPRDOPT(BU29,CO29,CW29,0,DB29,CU29,CV29,BT29*365.25,OCallPut,0),0)</f>
        <v>#VALUE!</v>
      </c>
      <c r="DI29" s="1316" t="e">
        <f aca="false">IF(AND(BV29&gt;0,CP29&gt;0,DC29&gt;0,CU29&gt;0),newSPRDOPT(BV29,CP29,CX29,0,DC29,CU29,CV29,BT29*365.25,OCallPut,0),0)</f>
        <v>#VALUE!</v>
      </c>
      <c r="DJ29" s="1316" t="e">
        <f aca="false">IF(AND(BW29&gt;0,CQ29&gt;0,DD29&gt;0,CU29&gt;0),newSPRDOPT(BW29,CQ29,CY29,0,DD29,CU29,CV29,BT29*365.25,OCallPut,0),0)</f>
        <v>#VALUE!</v>
      </c>
      <c r="DK29" s="1316" t="e">
        <f aca="false">IF(AND(BX29&gt;0,CR29&gt;0,DE29&gt;0,CU29&gt;0),newSPRDOPT(BX29,CR29,CZ29,0,DE29,CU29,CV29,BT29*365.25,OCallPut,0),0)</f>
        <v>#VALUE!</v>
      </c>
      <c r="DL29" s="1316" t="e">
        <f aca="false">IF(OVolType,IF(AND(BZ29&gt;0,CS29&gt;0,DF29&gt;0,CU29&gt;0),newSPRDOPT(BZ29,CS29,DA29,0,DF29,CU29,CV29,BT29*365.25,OCallPut,0),0),IF(BQ29,(DH29*AZ29+DI29*BA29+DJ29*BB29+DK29*BC29)/BQ29,0))</f>
        <v>#VALUE!</v>
      </c>
      <c r="DM29" s="1316"/>
      <c r="DN29" s="1316"/>
      <c r="DO29" s="1316"/>
      <c r="DP29" s="1316"/>
      <c r="DQ29" s="1316"/>
      <c r="DR29" s="1316"/>
      <c r="DS29" s="1316"/>
      <c r="DT29" s="1316"/>
      <c r="DU29" s="1316"/>
      <c r="DV29" s="1316"/>
      <c r="DW29" s="1594" t="e">
        <f aca="false">IF(AND(BW29&gt;0,CT29&gt;0,DD29&gt;0,CU29&gt;0),newSPRDOPT(BW29,CT29,CY29,0,DD29,CU29,CV29,BT29*365.25,OCallPut,0),0)</f>
        <v>#VALUE!</v>
      </c>
      <c r="DX29" s="1316" t="e">
        <f aca="false">IF(AND(BX29&gt;0,CT29&gt;0,DE29&gt;0,CU29&gt;0),newSPRDOPT(BX29,CT29,CZ29,0,DE29,CU29,CV29,BT29*365.25,OCallPut,0),0)</f>
        <v>#VALUE!</v>
      </c>
      <c r="DY29" s="1591" t="e">
        <f aca="false">IF(BS29,(DH29*BH29+DI29*BI29+DW29*BJ29+DX29*BK29)/BS29,0)</f>
        <v>#VALUE!</v>
      </c>
      <c r="DZ29" s="1551" t="e">
        <f aca="false">DH29*AZ29</f>
        <v>#VALUE!</v>
      </c>
      <c r="EA29" s="1551" t="e">
        <f aca="false">DI29*BA29</f>
        <v>#VALUE!</v>
      </c>
      <c r="EB29" s="1551" t="e">
        <f aca="false">DJ29*BB29</f>
        <v>#VALUE!</v>
      </c>
      <c r="EC29" s="1551" t="e">
        <f aca="false">DK29*BC29</f>
        <v>#VALUE!</v>
      </c>
      <c r="ED29" s="1551" t="e">
        <f aca="false">DL29*BQ29</f>
        <v>#VALUE!</v>
      </c>
      <c r="EE29" s="1595" t="e">
        <f aca="false">IF(BQ29,IF(OCallPut,IF(BU29&gt;(CO29+CW29),BU29-(CO29+CW29),0),IF((CO29+CW29)&gt;BU29,(CO29+CW29)-BU29,0))*AZ29,0)</f>
        <v>#VALUE!</v>
      </c>
      <c r="EF29" s="1596" t="e">
        <f aca="false">IF(BQ29,IF(OCallPut,IF(BV29&gt;(CP29+CX29),BV29-(CP29+CX29),0),IF((CP29+CX29)&gt;BV29,(CP29+CX29)-BV29,0))*BA29,0)</f>
        <v>#VALUE!</v>
      </c>
      <c r="EG29" s="1596" t="e">
        <f aca="false">IF(BQ29,IF(OCallPut,IF(BW29&gt;(CQ29+CY29),BW29-(CQ29+CY29),0),IF((CQ29+CY29)&gt;BW29,(CQ29+CY29)-BW29,0))*BB29,0)</f>
        <v>#VALUE!</v>
      </c>
      <c r="EH29" s="1596" t="e">
        <f aca="false">IF(BQ29,IF(OCallPut,IF(BX29&gt;(CR29+CZ29),BX29-(CR29+CZ29),0),IF((CR29+CZ29)&gt;BX29,(CR29+CZ29)-BX29,0))*BC29,0)</f>
        <v>#VALUE!</v>
      </c>
      <c r="EI29" s="1597" t="e">
        <f aca="false">IF(BQ29,IF(OVolType,IF(OCallPut,IF(BZ29&gt;(CS29+DA29),BZ29-(CS29+DA29),0),IF((CS29+DA29)&gt;BZ29,(CS29+DA29)-BZ29,0))*BQ29,SUM(EE29:EH29)),0)</f>
        <v>#VALUE!</v>
      </c>
      <c r="EJ29" s="1595" t="e">
        <f aca="false">DZ29-EE29</f>
        <v>#VALUE!</v>
      </c>
      <c r="EK29" s="1596" t="e">
        <f aca="false">EA29-EF29</f>
        <v>#VALUE!</v>
      </c>
      <c r="EL29" s="1596" t="e">
        <f aca="false">EB29-EG29</f>
        <v>#VALUE!</v>
      </c>
      <c r="EM29" s="1596" t="e">
        <f aca="false">EC29-EH29</f>
        <v>#VALUE!</v>
      </c>
      <c r="EN29" s="1597" t="e">
        <f aca="false">ED29-EI29</f>
        <v>#VALUE!</v>
      </c>
      <c r="EO29" s="1551" t="e">
        <f aca="false">DH29*BH29</f>
        <v>#VALUE!</v>
      </c>
      <c r="EP29" s="1551" t="e">
        <f aca="false">DI29*BI29</f>
        <v>#VALUE!</v>
      </c>
      <c r="EQ29" s="1551" t="e">
        <f aca="false">DW29*BJ29</f>
        <v>#VALUE!</v>
      </c>
      <c r="ER29" s="1551" t="e">
        <f aca="false">DX29*BK29</f>
        <v>#VALUE!</v>
      </c>
      <c r="ES29" s="1551" t="e">
        <f aca="false">DY29*BS29</f>
        <v>#VALUE!</v>
      </c>
      <c r="ET29" s="1566" t="e">
        <f aca="false">IF(BS29,IF(OCallPut,IF(CA29&gt;(CT29+CW29),CA29-(CT29+CW29),0),IF((CT29+CW29)&gt;CA29,(CT29+CW29)-CA29,0))*BH29,0)</f>
        <v>#VALUE!</v>
      </c>
      <c r="EU29" s="1551" t="e">
        <f aca="false">IF(BS29,IF(OCallPut,IF(CB29&gt;(CT29+CX29),CB29-(CT29+CX29),0),IF((CT29+CX29)&gt;CB29,(CT29+CX29)-CB29,0))*BI29,0)</f>
        <v>#VALUE!</v>
      </c>
      <c r="EV29" s="1551" t="e">
        <f aca="false">IF(BS29,IF(OCallPut,IF(CC29&gt;(CT29+CY29),CC29-(CT29+CY29),0),IF((CT29+CY29)&gt;CC29,(CT29+CY29)-CC29,0))*BJ29,0)</f>
        <v>#VALUE!</v>
      </c>
      <c r="EW29" s="1551" t="e">
        <f aca="false">IF(BS29,IF(OCallPut,IF(CD29&gt;(CT29+CZ29),CD29-(CT29+CZ29),0),IF((CT29+CZ29)&gt;CD29,(CT29+CZ29)-CD29,0))*BK29,0)</f>
        <v>#VALUE!</v>
      </c>
      <c r="EX29" s="1558" t="e">
        <f aca="false">IF(BS29,SUM(ET29:EW29),0)</f>
        <v>#VALUE!</v>
      </c>
      <c r="EY29" s="1551" t="e">
        <f aca="false">EO29-ET29</f>
        <v>#VALUE!</v>
      </c>
      <c r="EZ29" s="1551" t="e">
        <f aca="false">EP29-EU29</f>
        <v>#VALUE!</v>
      </c>
      <c r="FA29" s="1551" t="e">
        <f aca="false">EQ29-EV29</f>
        <v>#VALUE!</v>
      </c>
      <c r="FB29" s="1551" t="e">
        <f aca="false">ER29-EW29</f>
        <v>#VALUE!</v>
      </c>
      <c r="FC29" s="1551" t="e">
        <f aca="false">ES29-EX29</f>
        <v>#VALUE!</v>
      </c>
      <c r="FD29" s="1525" t="n">
        <f aca="false">IF(AX29,IF(VLOOKUP(C29,MAIN!$L$17:$M$28,2)="Yes",VLOOKUP(CALC!B29,MAIN!$H$17:$I$20,2),0),0)</f>
        <v>0</v>
      </c>
      <c r="FE29" s="1552" t="n">
        <f aca="false">$FD29*16*AT29*(1-$AY29)</f>
        <v>0</v>
      </c>
      <c r="FF29" s="1553" t="n">
        <f aca="false">$FD29*16*AU29*(1-$AY29)</f>
        <v>0</v>
      </c>
      <c r="FG29" s="1553" t="n">
        <f aca="false">$FD29*16*(AV29+AW29)*(1-$AY29)</f>
        <v>0</v>
      </c>
      <c r="FH29" s="1554" t="n">
        <f aca="false">$FD29*8*AX29*(1-$AY29)</f>
        <v>0</v>
      </c>
      <c r="FI29" s="1555" t="n">
        <f aca="false">IF(AX29,VLOOKUP(CALC!B29,MAIN!$H$17:$K$20,4),0)</f>
        <v>0</v>
      </c>
      <c r="FJ29" s="1553" t="n">
        <f aca="false">SUM(FE29:FH29)</f>
        <v>0</v>
      </c>
      <c r="FK29" s="1556" t="n">
        <f aca="false">FI29*FJ29</f>
        <v>0</v>
      </c>
      <c r="FL29" s="1551" t="e">
        <f aca="false">IF($EI29&gt;0,MIN(FE29,AZ29*(1+VLOOKUP($C29,WeatherCapacityAdjustment,2))),0)</f>
        <v>#VALUE!</v>
      </c>
      <c r="FM29" s="1551" t="e">
        <f aca="false">IF($EI29&gt;0,MIN(FF29,BA29*(1+VLOOKUP($C29,WeatherCapacityAdjustment,2))),0)</f>
        <v>#VALUE!</v>
      </c>
      <c r="FN29" s="1551" t="e">
        <f aca="false">IF($EI29&gt;0,MIN(FG29,BB29*(1+VLOOKUP($C29,WeatherCapacityAdjustment,2))),0)</f>
        <v>#VALUE!</v>
      </c>
      <c r="FO29" s="1564" t="e">
        <f aca="false">IF($EI29&gt;0,MIN(FH29,BC29*(1+VLOOKUP($C29,WeatherCapacityAdjustment,3))),0)</f>
        <v>#VALUE!</v>
      </c>
      <c r="FP29" s="1551" t="e">
        <f aca="false">IF(ET29&gt;0,MIN(FE29-FL29,BH29*(1+VLOOKUP($C29,WeatherCapacityAdjustment,2))),0)</f>
        <v>#VALUE!</v>
      </c>
      <c r="FQ29" s="1551" t="e">
        <f aca="false">IF(EU29&gt;0,MIN(FF29-FM29,BI29*(1+VLOOKUP($C29,WeatherCapacityAdjustment,2))),0)</f>
        <v>#VALUE!</v>
      </c>
      <c r="FR29" s="1551" t="e">
        <f aca="false">IF(EV29&gt;0,MIN(FG29-FN29,BJ29*(1+VLOOKUP($C29,WeatherCapacityAdjustment,2))),0)</f>
        <v>#VALUE!</v>
      </c>
      <c r="FS29" s="1558" t="e">
        <f aca="false">IF(EW29&gt;0,MIN(FH29-FO29,BK29*(1+VLOOKUP($C29,WeatherCapacityAdjustment,3))),0)</f>
        <v>#VALUE!</v>
      </c>
      <c r="FT29" s="1566" t="n">
        <f aca="false">IF(AND(Assumptions!$H$71="Yes",A29&gt;=Assumptions!$H$72,A29&lt;=Assumptions!$H$73),0,IF(AND($A29&gt;=Assumptions!$C$17,$A29&lt;=Assumptions!$C$18),MAX(AZ29*(1+VLOOKUP($C29,WeatherCapacityAdjustment,2))-FL29,0),0))</f>
        <v>0</v>
      </c>
      <c r="FU29" s="1551" t="n">
        <f aca="false">IF(AND(Assumptions!$H$71="Yes",A29&gt;=Assumptions!$H$72,A29&lt;=Assumptions!$H$73),0,IF(AND($A29&gt;=Assumptions!$C$17,$A29&lt;=Assumptions!$C$18),MAX(BA29*(1+VLOOKUP($C29,WeatherCapacityAdjustment,2))-FM29,0),0))</f>
        <v>0</v>
      </c>
      <c r="FV29" s="1551" t="n">
        <f aca="false">IF(AND(Assumptions!$H$71="Yes",A29&gt;=Assumptions!$H$72,A29&lt;=Assumptions!$H$73),0,IF(AND($A29&gt;=Assumptions!$C$17,$A29&lt;=Assumptions!$C$18),MAX(BB29*(1+VLOOKUP($C29,WeatherCapacityAdjustment,2))-FN29,0),0))</f>
        <v>0</v>
      </c>
      <c r="FW29" s="1564" t="n">
        <f aca="false">IF(AND(Assumptions!$H$71="Yes",A29&gt;=Assumptions!$H$72,A29&lt;=Assumptions!$H$73),0,IF(AND($A29&gt;=Assumptions!$C$17,$A29&lt;=Assumptions!$C$18),MAX(BC29*(1+VLOOKUP($C29,WeatherCapacityAdjustment,3))-FO29,0),0))</f>
        <v>0</v>
      </c>
      <c r="FX29" s="1569" t="e">
        <f aca="false">IF(AND(Assumptions!$H$71="Yes",A29&gt;=Assumptions!$H$72,A29&lt;=Assumptions!$H$73),0,IF(ET29&gt;0,MAX(BH29*(1+VLOOKUP($C29,WeatherCapacityAdjustment,2))-FP29,0),0))</f>
        <v>#VALUE!</v>
      </c>
      <c r="FY29" s="1551" t="e">
        <f aca="false">IF(AND(Assumptions!$H$71="Yes",A29&gt;=Assumptions!$H$72,A29&lt;=Assumptions!$H$73),0,IF(EU29&gt;0,MAX(BI29*(1+VLOOKUP($C29,WeatherCapacityAdjustment,3))-FQ29,0),0))</f>
        <v>#VALUE!</v>
      </c>
      <c r="FZ29" s="1551" t="e">
        <f aca="false">IF(AND(Assumptions!$H$71="Yes",A29&gt;=Assumptions!$H$72,A29&lt;=Assumptions!$H$73),0,IF(EV29&gt;0,MAX(BJ29*(1+VLOOKUP($C29,WeatherCapacityAdjustment,2))-FR29,0),0))</f>
        <v>#VALUE!</v>
      </c>
      <c r="GA29" s="1564" t="e">
        <f aca="false">IF(AND(Assumptions!$H$71="Yes",A29&gt;=Assumptions!$H$72,A29&lt;=Assumptions!$H$73),0,IF(EW29&gt;0,MAX(BK29*(1+VLOOKUP($C29,WeatherCapacityAdjustment,2))-FS29,0),0))</f>
        <v>#VALUE!</v>
      </c>
      <c r="GB29" s="1551" t="e">
        <f aca="false">SUM(FT29:GA29)</f>
        <v>#VALUE!</v>
      </c>
      <c r="GC29" s="1563" t="e">
        <f aca="false">+IF(SUM(FT29:GA29)=0,0,(SUMPRODUCT(BU29:BX29,FT29:FW29)+SUMPRODUCT(CA29:CD29,FX29:GA29))/SUM(FT29:GA29))</f>
        <v>#VALUE!</v>
      </c>
      <c r="GD29" s="1551" t="e">
        <f aca="false">(FT29*BU29+FX29*CA29+FU29*BV29+FY29*CB29+FV29*BW29+FZ29*CC29+FW29*BX29+GA29*CD29)</f>
        <v>#VALUE!</v>
      </c>
      <c r="GE29" s="1561" t="e">
        <f aca="false">+IF(BQ29,((FL29+FM29+FT29+FU29)*HeatRatePeak/1000*(1+VLOOKUP($C29,WeatherHeatRateAdjustment,2))+(FN29+FV29)*IF(EV29&gt;0,HeatRatePeak,HeatRateOffPeak)/1000*(1+VLOOKUP($C29,WeatherHeatRateAdjustment,2))+(FO29+FW29)*IF(EW29&gt;0,HeatRatePeak,HeatRateOffPeak)/1000*(1+VLOOKUP($C29,WeatherHeatRateAdjustment,3)))*(1+VLOOKUP($B29,HeatRateDegradation,$C29+1)),0)</f>
        <v>#VALUE!</v>
      </c>
      <c r="GF29" s="1562" t="e">
        <f aca="false">IF(BQ29,((FP29+FQ29+FR29+FX29+FY29+FZ29)*HeatRatePeak/1000*(1+VLOOKUP($C29,WeatherHeatRateAdjustment,2))+(FS29+GA29)*HeatRatePeak/1000*(1+VLOOKUP($C29,WeatherHeatRateAdjustment,3)))*(1+VLOOKUP($B29,HeatRateDegradation,$C29+1)),0)</f>
        <v>#VALUE!</v>
      </c>
      <c r="GG29" s="1563" t="e">
        <f aca="false">IF(BQ29,VLOOKUP(A29,GasTable,13),0)</f>
        <v>#VALUE!</v>
      </c>
      <c r="GH29" s="1564" t="e">
        <f aca="false">(GE29+GF29)*GG29</f>
        <v>#VALUE!</v>
      </c>
      <c r="GI29" s="1569" t="e">
        <f aca="false">GB29</f>
        <v>#VALUE!</v>
      </c>
      <c r="GJ29" s="1598" t="e">
        <f aca="false">+DA29</f>
        <v>#VALUE!</v>
      </c>
      <c r="GK29" s="1558" t="e">
        <f aca="false">+GI29*GJ29</f>
        <v>#VALUE!</v>
      </c>
      <c r="GL29" s="1566" t="e">
        <f aca="false">MAX(FE29-FL29-FP29,0)</f>
        <v>#VALUE!</v>
      </c>
      <c r="GM29" s="1551" t="e">
        <f aca="false">MAX(FF29-FM29-FQ29,0)</f>
        <v>#VALUE!</v>
      </c>
      <c r="GN29" s="1551" t="e">
        <f aca="false">MAX(FG29-FN29-FR29,0)</f>
        <v>#VALUE!</v>
      </c>
      <c r="GO29" s="1564" t="e">
        <f aca="false">MAX(FH29-FO29-FS29,0)</f>
        <v>#VALUE!</v>
      </c>
      <c r="GP29" s="1551" t="e">
        <f aca="false">SUM(GL29:GO29)</f>
        <v>#VALUE!</v>
      </c>
      <c r="GQ29" s="1563" t="e">
        <f aca="false">IF(SUM(GL29:GO29)=0,0,((GL29*BU29+GM29*BV29+GN29*BW29+GO29*BX29)/SUM(GL29:GO29)))</f>
        <v>#VALUE!</v>
      </c>
      <c r="GR29" s="1558" t="e">
        <f aca="false">(GL29*BU29+GM29*BV29+GN29*BW29+GO29*BX29)</f>
        <v>#VALUE!</v>
      </c>
      <c r="GS29" s="1566" t="n">
        <f aca="false">IF($A29&gt;=BegDate,Assumptions!$C$56*24*($A30-$A29)*(1-VLOOKUP($B29,MAIN!$AA$7:$AM$28,$C29+1))*(1-VLOOKUP($B29,MAIN!$AA$33:$AM$54,$C29+1)),0)*80/168</f>
        <v>0</v>
      </c>
      <c r="GT29" s="286" t="n">
        <f aca="false">J29</f>
        <v>27.187794</v>
      </c>
      <c r="GU29" s="286" t="n">
        <f aca="false">IF($A29&gt;=BegDate,VLOOKUP($A29,GasTable,13)+Assumptions!$C$58,0)</f>
        <v>0</v>
      </c>
      <c r="GV29" s="286" t="n">
        <f aca="false">GU29*Assumptions!$C$57/1000</f>
        <v>0</v>
      </c>
      <c r="GW29" s="1558" t="n">
        <f aca="false">IF(Assumptions!$C$60="Hourly",MAX(0,GS29*(GT29-GV29)),GS29*(GT29-GV29))</f>
        <v>0</v>
      </c>
      <c r="GX29" s="1566" t="n">
        <f aca="false">IF($A29&gt;=BegDate,Assumptions!$C$56*24*($A30-$A29)*(1-VLOOKUP($B29,MAIN!$AA$7:$AM$28,$C29+1))*(1-VLOOKUP($B29,MAIN!$AA$33:$AM$54,$C29+1)),0)*16/168</f>
        <v>0</v>
      </c>
      <c r="GY29" s="286" t="n">
        <f aca="false">M29</f>
        <v>27.187794</v>
      </c>
      <c r="GZ29" s="286" t="n">
        <f aca="false">IF($A29&gt;=BegDate,VLOOKUP($A29,GasTable,13)+Assumptions!$C$58,0)</f>
        <v>0</v>
      </c>
      <c r="HA29" s="286" t="n">
        <f aca="false">GZ29*Assumptions!$C$57/1000</f>
        <v>0</v>
      </c>
      <c r="HB29" s="1558" t="n">
        <f aca="false">IF(Assumptions!$C$60="Hourly",MAX(0,GX29*(GY29-HA29)),GX29*(GY29-HA29))</f>
        <v>0</v>
      </c>
      <c r="HC29" s="1566" t="n">
        <f aca="false">IF($A29&gt;=BegDate,Assumptions!$C$56*24*($A30-$A29)*(1-VLOOKUP($B29,MAIN!$AA$7:$AM$28,$C29+1))*(1-VLOOKUP($B29,MAIN!$AA$33:$AM$54,$C29+1)),0)*16/168</f>
        <v>0</v>
      </c>
      <c r="HD29" s="286" t="n">
        <f aca="false">P29</f>
        <v>13.710024</v>
      </c>
      <c r="HE29" s="286" t="n">
        <f aca="false">IF($A29&gt;=BegDate,VLOOKUP($A29,GasTable,13)+Assumptions!$C$58,0)</f>
        <v>0</v>
      </c>
      <c r="HF29" s="286" t="n">
        <f aca="false">HE29*Assumptions!$C$57/1000</f>
        <v>0</v>
      </c>
      <c r="HG29" s="1558" t="n">
        <f aca="false">IF(Assumptions!$C$60="Hourly",MAX(0,HC29*(HD29-HF29)),HC29*(HD29-HF29))</f>
        <v>0</v>
      </c>
      <c r="HH29" s="1566" t="n">
        <f aca="false">IF($A29&gt;=BegDate,Assumptions!$C$56*24*($A30-$A29)*(1-VLOOKUP($B29,MAIN!$AA$7:$AM$28,$C29+1))*(1-VLOOKUP($B29,MAIN!$AA$33:$AM$54,$C29+1)),0)*56/168</f>
        <v>0</v>
      </c>
      <c r="HI29" s="286" t="n">
        <f aca="false">S29</f>
        <v>13.710024</v>
      </c>
      <c r="HJ29" s="286" t="n">
        <f aca="false">IF($A29&gt;=BegDate,VLOOKUP($A29,GasTable,13)+Assumptions!$C$58,0)</f>
        <v>0</v>
      </c>
      <c r="HK29" s="286" t="n">
        <f aca="false">HJ29*Assumptions!$C$57/1000</f>
        <v>0</v>
      </c>
      <c r="HL29" s="1558" t="n">
        <f aca="false">IF(Assumptions!$C$60="Hourly",MAX(0,HH29*(HI29-HK29)),HH29*(HI29-HK29))</f>
        <v>0</v>
      </c>
      <c r="HM29" s="1566" t="n">
        <f aca="false">IF(AND(Assumptions!$H$71="Yes",A29&gt;=Assumptions!$H$72,A29&lt;=Assumptions!$H$73),Assumptions!$H$74*Assumptions!$C$9*1000,0)</f>
        <v>0</v>
      </c>
      <c r="HN29" s="1558"/>
      <c r="HO29" s="1567" t="n">
        <f aca="false">HO28+1</f>
        <v>2015</v>
      </c>
      <c r="HP29" s="1566" t="e">
        <f aca="false">SUMIF($B$17:$B$292,HO29,$FJ$17:$FJ$292)</f>
        <v>#VALUE!</v>
      </c>
      <c r="HQ29" s="1568" t="e">
        <f aca="false">IF(HR29=0,0,HR29/HP29)</f>
        <v>#VALUE!</v>
      </c>
      <c r="HR29" s="1564" t="e">
        <f aca="false">SUMIF($B$17:$B$292,HO29,$FK$17:$FK$292)</f>
        <v>#VALUE!</v>
      </c>
      <c r="HS29" s="1569" t="e">
        <f aca="false">SUMIF($B$17:$B$292,HO29,$GB$17:$GB$292)</f>
        <v>#VALUE!</v>
      </c>
      <c r="HT29" s="1563" t="e">
        <f aca="false">+IF(HS29&gt;0,HU29/HS29,0)</f>
        <v>#VALUE!</v>
      </c>
      <c r="HU29" s="1551" t="e">
        <f aca="false">SUMIF($B$17:$B$292,HO29,$GD$17:$GD$292)</f>
        <v>#VALUE!</v>
      </c>
      <c r="HV29" s="1569" t="e">
        <f aca="false">HR29+HU29</f>
        <v>#VALUE!</v>
      </c>
      <c r="HW29" s="1551" t="e">
        <f aca="false">SUMIF($B$17:$B$292,$HO29,$EN$17:$EN$292)</f>
        <v>#VALUE!</v>
      </c>
      <c r="HX29" s="1551" t="e">
        <f aca="false">SUMIF($B$17:$B$292,$HO29,$FC$17:$FC$292)</f>
        <v>#VALUE!</v>
      </c>
      <c r="HY29" s="1551" t="n">
        <f aca="false">IF(Assumptions!$L$24="Yes",HW29+HX29,0)</f>
        <v>0</v>
      </c>
      <c r="HZ29" s="1566" t="e">
        <f aca="false">SUMIF($B$17:$B$292,HO29,$GE$17:$GE$292)+SUMIF($B$17:$B$292,HO29,$GF$17:$GF$292)</f>
        <v>#VALUE!</v>
      </c>
      <c r="IA29" s="1563" t="e">
        <f aca="false">IF(IB29=0,0,IB29/HZ29)</f>
        <v>#VALUE!</v>
      </c>
      <c r="IB29" s="1564" t="e">
        <f aca="false">-SUMIF($B$17:$B$292,HO29,$GH$17:$GH$292)</f>
        <v>#VALUE!</v>
      </c>
      <c r="IC29" s="1569" t="e">
        <f aca="false">SUMIF($B$17:$B$292,HO29,$GI$17:$GI$292)</f>
        <v>#VALUE!</v>
      </c>
      <c r="ID29" s="1563" t="e">
        <f aca="false">IF(IE29=0,0,IE29/IC29)</f>
        <v>#VALUE!</v>
      </c>
      <c r="IE29" s="1564" t="e">
        <f aca="false">-SUMIF($B$17:$B$292,HO29,$GK$17:$GK$292)</f>
        <v>#VALUE!</v>
      </c>
      <c r="IF29" s="1551" t="e">
        <f aca="false">SUMIF($B$17:$B$292,HO29,$GP$17:$GP$292)</f>
        <v>#VALUE!</v>
      </c>
      <c r="IG29" s="1563" t="e">
        <f aca="false">IF(IH29=0,0,IH29/IF29)</f>
        <v>#VALUE!</v>
      </c>
      <c r="IH29" s="1564" t="e">
        <f aca="false">-SUMIF($B$17:$B$292,HO29,$GR$17:$GR$292)</f>
        <v>#VALUE!</v>
      </c>
      <c r="II29" s="1570" t="n">
        <f aca="false">(SUMIF($B$17:$B$292,HO29,$GW$17:$GW$292)+SUMIF($B$17:$B$292,HO29,$HB$17:$HB$292)+SUMIF($B$17:$B$292,HO29,$HG$17:$HG$292)+SUMIF($B$17:$B$292,HO29,$HL$17:$HL$292))*Assumptions!$C$59</f>
        <v>1391872.14308818</v>
      </c>
      <c r="IJ29" s="1309" t="n">
        <f aca="false">SUMIF($B$17:$B$292,HO29,$HM$17:$HM$292)</f>
        <v>0</v>
      </c>
      <c r="IK29" s="1309"/>
    </row>
    <row r="30" customFormat="false" ht="12.75" hidden="false" customHeight="false" outlineLevel="0" collapsed="false">
      <c r="A30" s="1571" t="n">
        <f aca="false">EOMONTH(A29,0)+1</f>
        <v>37043</v>
      </c>
      <c r="B30" s="594" t="n">
        <f aca="false">+YEAR(A30)</f>
        <v>2001</v>
      </c>
      <c r="C30" s="238" t="n">
        <f aca="false">MONTH(A30)</f>
        <v>6</v>
      </c>
      <c r="D30" s="1572" t="str">
        <f aca="false">IF(E30="","",Holiday(B30,C30))</f>
        <v/>
      </c>
      <c r="E30" s="1573" t="str">
        <f aca="false">IF(OR(BegDate&gt;=A31,EndDate&lt;A30,AND(VolumeMonthlyOverFlag,INDEX(VolumeMonthlyOver,C30)=0),NOT(INDEX(MonthKnockOutTable,C30))),"",MAX(A30,BegDate))</f>
        <v/>
      </c>
      <c r="F30" s="1574" t="str">
        <f aca="false">IF(E30="","",MIN(A31-1,EndDate))</f>
        <v/>
      </c>
      <c r="G30" s="1575" t="n">
        <v>0</v>
      </c>
      <c r="H30" s="1576" t="n">
        <f aca="false">(1+G30/2)^(-2*(DATE(B31,C31,20)-DateToday)/365.25)</f>
        <v>1</v>
      </c>
      <c r="I30" s="1568" t="n">
        <f aca="false">IF(Assumptions!$L$25=4,VLOOKUP($A30,'Henwood Reference'!$E$9:$R$320,10),(VLOOKUP($A30,PriceTable,2,0)+IF(BasisNumber&lt;&gt;1,VLOOKUP($A30,BasisTable,2,0),0)+I$1)/(1-I$2))</f>
        <v>24.162576</v>
      </c>
      <c r="J30" s="1568" t="n">
        <f aca="false">IF(Assumptions!$L$25=4,VLOOKUP($A30,'Henwood Reference'!$E$9:$R$320,10),(VLOOKUP($A30,PriceTable,3,0)+IF(BasisNumber&lt;&gt;1,VLOOKUP($A30,BasisTable,2,0),0)+J$1)/(1-J$2))</f>
        <v>24.162576</v>
      </c>
      <c r="K30" s="1568" t="n">
        <f aca="false">IF(Assumptions!$L$25=4,VLOOKUP($A30,'Henwood Reference'!$E$9:$R$320,10),(VLOOKUP($A30,PriceTable,4,0)+IF(BasisNumber&lt;&gt;1,VLOOKUP($A30,BasisTable,2,0),0)+K$1)/(1-K$2))</f>
        <v>24.162576</v>
      </c>
      <c r="L30" s="1523" t="n">
        <f aca="false">IF(Assumptions!$L$25=4,VLOOKUP($A30,'Henwood Reference'!$E$9:$R$320,10),(VLOOKUP($A30,PriceTableWeekend,2,0)+IF(BasisNumber&lt;&gt;1,VLOOKUP($A30,BasisTable,2,0),0)+L$1)/(1-L$2))</f>
        <v>24.162576</v>
      </c>
      <c r="M30" s="1568" t="n">
        <f aca="false">IF(Assumptions!$L$25=4,VLOOKUP($A30,'Henwood Reference'!$E$9:$R$320,10),(VLOOKUP($A30,PriceTableWeekend,3,0)+IF(BasisNumber&lt;&gt;1,VLOOKUP($A30,BasisTable,2,0),0)+M$1)/(1-M$2))</f>
        <v>24.162576</v>
      </c>
      <c r="N30" s="1599" t="n">
        <f aca="false">IF(Assumptions!$L$25=4,VLOOKUP($A30,'Henwood Reference'!$E$9:$R$320,10),(VLOOKUP($A30,PriceTableWeekend,4,0)+IF(BasisNumber&lt;&gt;1,VLOOKUP($A30,BasisTable,2,0),0)+N$1)/(1-N$2))</f>
        <v>24.162576</v>
      </c>
      <c r="O30" s="1568" t="n">
        <f aca="false">IF(Assumptions!$L$25=4,VLOOKUP($A30,'Henwood Reference'!$E$9:$R$320,11),(VLOOKUP($A30,PriceTableWeekend,6,0)+IF(BasisNumber&lt;&gt;1,VLOOKUP($A30,BasisTable,3,0),0)+O$1)/(1-O$2))</f>
        <v>11.486832</v>
      </c>
      <c r="P30" s="1568" t="n">
        <f aca="false">IF(Assumptions!$L$25=4,VLOOKUP($A30,'Henwood Reference'!$E$9:$R$320,11),(VLOOKUP($A30,PriceTableWeekend,7,0)+IF(BasisNumber&lt;&gt;1,VLOOKUP($A30,BasisTable,3,0),0)+P$1)/(1-P$2))</f>
        <v>11.486832</v>
      </c>
      <c r="Q30" s="1599" t="n">
        <f aca="false">IF(Assumptions!$L$25=4,VLOOKUP($A30,'Henwood Reference'!$E$9:$R$320,11),(VLOOKUP($A30,PriceTableWeekend,8,0)+IF(BasisNumber&lt;&gt;1,VLOOKUP($A30,BasisTable,3,0),0)+Q$1)/(1-Q$2))</f>
        <v>11.486832</v>
      </c>
      <c r="R30" s="1568" t="n">
        <f aca="false">IF(Assumptions!$L$25=4,VLOOKUP($A30,'Henwood Reference'!$E$9:$R$320,11),(VLOOKUP($A30,PriceTable,6,0)+IF(BasisNumber&lt;&gt;1,VLOOKUP($A30,BasisTable,3,0),0)+R$1)/(1-R$2))</f>
        <v>11.486832</v>
      </c>
      <c r="S30" s="1568" t="n">
        <f aca="false">IF(Assumptions!$L$25=4,VLOOKUP($A30,'Henwood Reference'!$E$9:$R$320,11),(VLOOKUP($A30,PriceTable,7,0)+IF(BasisNumber&lt;&gt;1,VLOOKUP($A30,BasisTable,3,0),0)+S$1)/(1-S$2))</f>
        <v>11.486832</v>
      </c>
      <c r="T30" s="1600" t="n">
        <f aca="false">IF(Assumptions!$L$25=4,VLOOKUP($A30,'Henwood Reference'!$E$9:$R$320,11),(VLOOKUP($A30,PriceTable,8,0)+IF(BasisNumber&lt;&gt;1,VLOOKUP($A30,BasisTable,3,0),0)+T$1)/(1-T$2))</f>
        <v>11.486832</v>
      </c>
      <c r="U30" s="1513" t="n">
        <f aca="false">VLOOKUP($A30,VolatilityTable,14)</f>
        <v>0.165</v>
      </c>
      <c r="V30" s="1513" t="n">
        <f aca="false">VLOOKUP($A30,VolatilityTable,15)</f>
        <v>0.175</v>
      </c>
      <c r="W30" s="1514" t="n">
        <f aca="false">VLOOKUP($A30,VolatilityTable,16)</f>
        <v>0.185</v>
      </c>
      <c r="X30" s="1513" t="n">
        <f aca="false">VLOOKUP($A30,VolatilityTable,14)</f>
        <v>0.165</v>
      </c>
      <c r="Y30" s="1513" t="n">
        <f aca="false">VLOOKUP($A30,VolatilityTable,15)</f>
        <v>0.175</v>
      </c>
      <c r="Z30" s="1514" t="n">
        <f aca="false">VLOOKUP($A30,VolatilityTable,16)</f>
        <v>0.185</v>
      </c>
      <c r="AA30" s="1513" t="n">
        <f aca="false">VLOOKUP($A30,VolatilityTable,18)</f>
        <v>0.09</v>
      </c>
      <c r="AB30" s="1513" t="n">
        <f aca="false">VLOOKUP($A30,VolatilityTable,19)</f>
        <v>0.11</v>
      </c>
      <c r="AC30" s="1514" t="n">
        <f aca="false">VLOOKUP($A30,VolatilityTable,20)</f>
        <v>0.13</v>
      </c>
      <c r="AD30" s="1513" t="n">
        <f aca="false">VLOOKUP($A30,VolatilityTable,18)</f>
        <v>0.09</v>
      </c>
      <c r="AE30" s="1513" t="n">
        <f aca="false">VLOOKUP($A30,VolatilityTable,19)</f>
        <v>0.11</v>
      </c>
      <c r="AF30" s="1514" t="n">
        <f aca="false">VLOOKUP($A30,VolatilityTable,20)</f>
        <v>0.13</v>
      </c>
      <c r="AG30" s="1513" t="n">
        <f aca="false">VLOOKUP($A30,VolatilityTable,22)</f>
        <v>-0.35</v>
      </c>
      <c r="AH30" s="1513" t="n">
        <f aca="false">VLOOKUP($A30,VolatilityTable,23)</f>
        <v>0.65</v>
      </c>
      <c r="AI30" s="1514" t="n">
        <f aca="false">VLOOKUP($A30,VolatilityTable,24)</f>
        <v>0.2</v>
      </c>
      <c r="AJ30" s="1513" t="n">
        <f aca="false">VLOOKUP($A30,VolatilityTable,22)</f>
        <v>-0.35</v>
      </c>
      <c r="AK30" s="1513" t="n">
        <f aca="false">VLOOKUP($A30,VolatilityTable,23)</f>
        <v>0.65</v>
      </c>
      <c r="AL30" s="1514" t="n">
        <f aca="false">VLOOKUP($A30,VolatilityTable,24)</f>
        <v>0.2</v>
      </c>
      <c r="AM30" s="1513" t="n">
        <f aca="false">VLOOKUP($A30,VolatilityTable,26)</f>
        <v>-0.01</v>
      </c>
      <c r="AN30" s="1513" t="n">
        <f aca="false">VLOOKUP($A30,VolatilityTable,27)</f>
        <v>0.16</v>
      </c>
      <c r="AO30" s="1514" t="n">
        <f aca="false">VLOOKUP($A30,VolatilityTable,28)</f>
        <v>0.01</v>
      </c>
      <c r="AP30" s="1513" t="n">
        <f aca="false">VLOOKUP($A30,VolatilityTable,26)</f>
        <v>-0.01</v>
      </c>
      <c r="AQ30" s="1513" t="n">
        <f aca="false">VLOOKUP($A30,VolatilityTable,27)</f>
        <v>0.16</v>
      </c>
      <c r="AR30" s="1515" t="n">
        <f aca="false">VLOOKUP($A30,VolatilityTable,28)</f>
        <v>0.01</v>
      </c>
      <c r="AS30" s="1581" t="n">
        <f aca="false">IF(CorrPeakOffPeakOverFlag,INDEX(CorrPeakOffPeakOver,C30),CorrPeakOffPeak)</f>
        <v>0.5</v>
      </c>
      <c r="AT30" s="594" t="n">
        <f aca="false">AX30-SUM(AU30:AW30)</f>
        <v>0</v>
      </c>
      <c r="AU30" s="238" t="n">
        <f aca="false">IF(E30="",0,INT((F30-MOD(F30,7)-E30)/7)+1-IF(AW30,IF(WEEKDAY(D30)=7,1,0),0))</f>
        <v>0</v>
      </c>
      <c r="AV30" s="238" t="n">
        <f aca="false">IF(E30="",0,INT((F30-MOD(F30-1,7)-E30)/7)+1-IF(AW30,IF(WEEKDAY(D30)=1,1,0),0))</f>
        <v>0</v>
      </c>
      <c r="AW30" s="238" t="n">
        <f aca="false">IF(OR(E30="",D30="",D30&lt;BegDate,D30&gt;EndDate),0,1)</f>
        <v>0</v>
      </c>
      <c r="AX30" s="238" t="n">
        <f aca="false">IF(E30="",0,F30-E30+1)</f>
        <v>0</v>
      </c>
      <c r="AY30" s="1582" t="n">
        <f aca="false">IF(E30="",0,MIN((1-(1-VLOOKUP(B30,MAIN!$AA$7:$AM$28,C30+1))*(1-VLOOKUP(B30,MAIN!$AA$33:$AM$54,C30+1))),1))</f>
        <v>0</v>
      </c>
      <c r="AZ30" s="1519" t="e">
        <v>#VALUE!</v>
      </c>
      <c r="BA30" s="1520" t="e">
        <v>#VALUE!</v>
      </c>
      <c r="BB30" s="1520" t="e">
        <v>#VALUE!</v>
      </c>
      <c r="BC30" s="1583" t="e">
        <v>#VALUE!</v>
      </c>
      <c r="BD30" s="1522" t="e">
        <v>#VALUE!</v>
      </c>
      <c r="BE30" s="1523" t="e">
        <v>#VALUE!</v>
      </c>
      <c r="BF30" s="1523" t="e">
        <v>#VALUE!</v>
      </c>
      <c r="BG30" s="1584" t="e">
        <v>#VALUE!</v>
      </c>
      <c r="BH30" s="1525" t="e">
        <v>#VALUE!</v>
      </c>
      <c r="BI30" s="1520" t="e">
        <v>#VALUE!</v>
      </c>
      <c r="BJ30" s="1520" t="e">
        <v>#VALUE!</v>
      </c>
      <c r="BK30" s="1583" t="e">
        <v>#VALUE!</v>
      </c>
      <c r="BL30" s="1522" t="e">
        <v>#VALUE!</v>
      </c>
      <c r="BM30" s="1523" t="e">
        <v>#VALUE!</v>
      </c>
      <c r="BN30" s="1523" t="e">
        <v>#VALUE!</v>
      </c>
      <c r="BO30" s="1523" t="e">
        <v>#VALUE!</v>
      </c>
      <c r="BP30" s="1525" t="e">
        <f aca="false">SUM(AZ30:BB30)</f>
        <v>#VALUE!</v>
      </c>
      <c r="BQ30" s="1529" t="e">
        <f aca="false">SUM(AZ30:BC30)</f>
        <v>#VALUE!</v>
      </c>
      <c r="BR30" s="1519" t="e">
        <f aca="false">SUM(BH30:BJ30)</f>
        <v>#VALUE!</v>
      </c>
      <c r="BS30" s="1529" t="e">
        <f aca="false">SUM(BH30:BK30)</f>
        <v>#VALUE!</v>
      </c>
      <c r="BT30" s="1316" t="n">
        <f aca="false">(IF(OVolType&lt;&gt;2,A30+14,IF(OptExpDateShift,ShiftBack(A30,OptExpDateShift,D29),A30))-DateToday)/365.25</f>
        <v>1.13073237508556</v>
      </c>
      <c r="BU30" s="1585" t="e">
        <f aca="false">IF(BQ30,IF(OPriceCurve,IF(OBuySell=OCallPut,I30/(1-AY30),K30/(1-AY30)),J30/(1-AY30))*BD30,0)</f>
        <v>#VALUE!</v>
      </c>
      <c r="BV30" s="1316" t="e">
        <f aca="false">IF(BQ30,IF(OPriceCurve,IF(OBuySell=OCallPut,L30/(1-AY30),N30/(1-AY30)),M30/(1-AY30))*BE30,0)</f>
        <v>#VALUE!</v>
      </c>
      <c r="BW30" s="1316" t="e">
        <f aca="false">IF(BQ30,IF(OPriceCurve,IF(OBuySell=OCallPut,O30/(1-AY30),Q30/(1-AY30)),P30/(1-AY30))*BF30,0)</f>
        <v>#VALUE!</v>
      </c>
      <c r="BX30" s="1316" t="e">
        <f aca="false">IF(BQ30,IF(OPriceCurve,IF(OBuySell=OCallPut,R30/(1-AY30),T30/(1-AY30)),S30/(1-AY30))*BG30,0)</f>
        <v>#VALUE!</v>
      </c>
      <c r="BY30" s="1316" t="e">
        <f aca="false">IF(BP30,(BU30*AZ30+BV30*BA30+BW30*BB30)/BP30,0)</f>
        <v>#VALUE!</v>
      </c>
      <c r="BZ30" s="1316" t="e">
        <f aca="false">IF(BQ30,(BY30*BP30+BX30*BC30)/BQ30,0)</f>
        <v>#VALUE!</v>
      </c>
      <c r="CA30" s="1531" t="e">
        <f aca="false">IF(BS30,IF(OPriceCurve,IF(OBuySell=OCallPut,I30/(1-AY30),K30/(1-AY30)),J30/(1-AY30))*BL30,0)</f>
        <v>#VALUE!</v>
      </c>
      <c r="CB30" s="1316" t="e">
        <f aca="false">IF(BS30,IF(OPriceCurve,IF(OBuySell=OCallPut,L30/(1-AY30),N30/(1-AY30)),M30/(1-AY30))*BM30,0)</f>
        <v>#VALUE!</v>
      </c>
      <c r="CC30" s="1316" t="e">
        <f aca="false">IF(BS30,IF(OPriceCurve,IF(OBuySell=OCallPut,O30/(1-AY30),Q30/(1-AY30)),P30/(1-AY30))*BN30,0)</f>
        <v>#VALUE!</v>
      </c>
      <c r="CD30" s="1316" t="e">
        <f aca="false">IF(BS30,IF(OPriceCurve,IF(OBuySell=OCallPut,R30/(1-AY30),T30/(1-AY30)),S30/(1-AY30))*BO30,0)</f>
        <v>#VALUE!</v>
      </c>
      <c r="CE30" s="1316" t="e">
        <f aca="false">IF(BR30,(BU30*BH30+BV30*BI30+BW30*BJ30)/BR30,0)</f>
        <v>#VALUE!</v>
      </c>
      <c r="CF30" s="1532" t="e">
        <f aca="false">IF(BS30,(CE30*BR30+CD30*BK30)/BS30,0)</f>
        <v>#VALUE!</v>
      </c>
      <c r="CG30" s="1586" t="e">
        <f aca="false">IF(OR(BQ30,BS30),IF(OVolType&lt;&gt;2,SQRT(IF(OVolOverMonthlyPeak,OVolOverMonthlyPeak,IF(OVolCurve,IF(OBuySell,U30,W30),V30))^2*(1-15/365.25/BT30)+IF(OVolOverDailyPeak,OVolOverDailyPeak,IF(OVolCurve,IF(OBuySell,AG30,AI30),AH30))^2*15/365.25/BT30),IF(OVolOverMonthlyPeak,OVolOverMonthlyPeak,IF(OVolCurve,IF(OBuySell,U30,W30),V30))),"")</f>
        <v>#VALUE!</v>
      </c>
      <c r="CH30" s="1587" t="e">
        <f aca="false">IF(OR(BQ30,BS30),IF(OVolType&lt;&gt;2,SQRT(IF(OVolOverMonthlyPeak,OVolOverMonthlyPeak,IF(OVolCurve,IF(OBuySell,X30,Z30),Y30))^2*(1-15/365.25/BT30)+IF(OVolOverDailyPeak,OVolOverDailyPeak,IF(OVolCurve,IF(OBuySell,AJ30,AL30),AK30))^2*15/365.25/BT30),IF(OVolOverMonthlyPeak,OVolOverMonthlyPeak,IF(OVolCurve,IF(OBuySell,X30,Z30),Y30))),"")</f>
        <v>#VALUE!</v>
      </c>
      <c r="CI30" s="1587" t="e">
        <f aca="false">IF(OR(BQ30,BS30),IF(OVolType&lt;&gt;2,SQRT(IF(OVolOverMonthlyPeak,OVolOverMonthlyPeak,IF(OVolCurve,IF(OBuySell,AA30,AC30),AB30))^2*(1-15/365.25/BT30)+IF(OVolOverDailyPeak,OVolOverDailyPeak,IF(OVolCurve,IF(OBuySell,AM30,AO30),AN30))^2*15/365.25/BT30),IF(OVolOverMonthlyPeak,OVolOverMonthlyPeak,IF(OVolCurve,IF(OBuySell,AA30,AC30),AB30))),"")</f>
        <v>#VALUE!</v>
      </c>
      <c r="CJ30" s="1587" t="e">
        <f aca="false">IF(BQ30,IF(BP30,SQRT(LN(1+((BU30*AZ30)^2*(EXP(CG30^2*BT30)-1)+(BV30*BA30)^2*(EXP(CH30^2*BT30)-1)+(BW30*BB30)^2*(EXP(CI30^2*BT30)-1)+2*BU30*AZ30*BV30*BA30*(EXP(CG30*CH30*BT30)-1)+2*BV30*BA30*BW30*BB30*(EXP(CH30*CI30*BT30)-1)+2*BW30*BB30*BU30*AZ30*(EXP(CI30*CG30*BT30)-1))/(BY30*BP30)^2)/BT30),0),"")</f>
        <v>#VALUE!</v>
      </c>
      <c r="CK30" s="1587" t="e">
        <f aca="false">IF(BS30,IF(BR30,SQRT(LN(1+((CA30*BH30)^2*(EXP(CG30^2*BT30)-1)+(CB30*BI30)^2*(EXP(CH30^2*BT30)-1)+(CC30*BJ30)^2*(EXP(CI30^2*BT30)-1)+2*CA30*BH30*CB30*BI30*(EXP(CG30*CH30*BT30)-1)+2*CB30*BI30*CC30*BJ30*(EXP(CH30*CI30*BT30)-1)+2*CC30*BJ30*CA30*BH30*(EXP(CI30*CG30*BT30)-1))/(CE30*BR30)^2)/BT30),0),"")</f>
        <v>#VALUE!</v>
      </c>
      <c r="CL30" s="1587" t="e">
        <f aca="false">IF(OR(BQ30,BS30),IF(OVolType&lt;&gt;2,SQRT(IF(OVolOverMonthlyOffPeak,OVolOverMonthlyOffPeak,IF(OVolCurve,IF(OBuySell,AD30,AF30),AE30))^2*(1-15/365.25/BT30)+IF(OVolOverDailyOffPeak,OVolOverDailyOffPeak,IF(OVolCurve,IF(OBuySell,AP30,AR30),AQ30))^2*15/365.25/BT30),IF(OVolOverMonthlyOffPeak,OVolOverMonthlyOffPeak,IF(OVolCurve,IF(OBuySell,AD30,AF30),AE30))),"")</f>
        <v>#VALUE!</v>
      </c>
      <c r="CM30" s="1587" t="e">
        <f aca="false">IF(BQ30,SQRT(LN(1+((BY30*BP30)^2*(EXP(CJ30^2*BT30)-1)+(BX30*BC30)^2*(EXP(CL30^2*BT30)-1)+2*BY30*BP30*BX30*BC30*(EXP(AS30*CJ30*CL30*BT30)-1))/(BY30*BP30+BX30*BC30)^2)/BT30),"")</f>
        <v>#VALUE!</v>
      </c>
      <c r="CN30" s="1588" t="e">
        <f aca="false">IF(BS30,SQRT(LN(1+((CE30*BR30)^2*(EXP(CK30^2*BT30)-1)+(CD30*BK30)^2*(EXP(CL30^2*BT30)-1)+2*CE30*BR30*CD30*BK30*(EXP(AS30*CK30*CL30*BT30)-1))/(CE30*BR30+CD30*BK30)^2)/BT30),"")</f>
        <v>#VALUE!</v>
      </c>
      <c r="CO30" s="1531" t="e">
        <f aca="false">IF(OR(BQ30,BS30),VLOOKUP(A30,GasTable,13)*HeatRatePeak*(1+VLOOKUP($B30,HeatRateDegradation,$C30+1))/1000,0)</f>
        <v>#VALUE!</v>
      </c>
      <c r="CP30" s="1316" t="e">
        <f aca="false">IF(OR(BQ30,BS30),VLOOKUP(A30,GasTable,13)*HeatRatePeak*(1+VLOOKUP($B30,HeatRateDegradation,$C30+1))/1000,0)</f>
        <v>#VALUE!</v>
      </c>
      <c r="CQ30" s="1316" t="e">
        <f aca="false">IF(OR(BQ30,BS30),VLOOKUP(A30,GasTable,13)*IF(EV30,HeatRatePeak,HeatRateOffPeak)*(1+VLOOKUP($B30,HeatRateDegradation,$C30+1))/1000,0)</f>
        <v>#VALUE!</v>
      </c>
      <c r="CR30" s="1316" t="e">
        <f aca="false">IF(OR(BQ30,BS30),VLOOKUP(A30,GasTable,13)*IF(EW30,HeatRatePeak,HeatRateOffPeak)*(1+VLOOKUP($B30,HeatRateDegradation,$C30+1))/1000,0)</f>
        <v>#VALUE!</v>
      </c>
      <c r="CS30" s="1589" t="e">
        <f aca="false">IF(BQ30,(CO30*AZ30+CP30*BA30+CQ30*BB30+CR30*BC30)/BQ30,0)</f>
        <v>#VALUE!</v>
      </c>
      <c r="CT30" s="1316" t="e">
        <f aca="false">IF(BS30,CO30,0)</f>
        <v>#VALUE!</v>
      </c>
      <c r="CU30" s="1590" t="e">
        <f aca="false">IF(OR(BQ30,BS30),VLOOKUP(A30,GasTable,14),"")</f>
        <v>#VALUE!</v>
      </c>
      <c r="CV30" s="1568" t="e">
        <f aca="false">IF(OR(BQ30,BS30),IF(CorrPowerGasOverFlag,INDEX(CorrPowerGasOver,C30),CorrPowerGas),"")</f>
        <v>#VALUE!</v>
      </c>
      <c r="CW30" s="1316" t="e">
        <f aca="false">IF(OR($BQ30,$BS30),SpreadOptPowerMargin,0)*((1+Assumptions!$C$26)^($B30-YEAR(Assumptions!$C$17)))</f>
        <v>#VALUE!</v>
      </c>
      <c r="CX30" s="1316" t="e">
        <f aca="false">IF(OR($BQ30,$BS30),SpreadOptPowerMargin,0)*((1+Assumptions!$C$26)^($B30-YEAR(Assumptions!$C$17)))</f>
        <v>#VALUE!</v>
      </c>
      <c r="CY30" s="1316" t="e">
        <f aca="false">IF(OR($BQ30,$BS30),SpreadOptPowerMargin,0)*((1+Assumptions!$C$26)^($B30-YEAR(Assumptions!$C$17)))</f>
        <v>#VALUE!</v>
      </c>
      <c r="CZ30" s="1316" t="e">
        <f aca="false">IF(OR($BQ30,$BS30),SpreadOptPowerMargin,0)*((1+Assumptions!$C$26)^($B30-YEAR(Assumptions!$C$17)))</f>
        <v>#VALUE!</v>
      </c>
      <c r="DA30" s="1591" t="e">
        <f aca="false">IF(OR(BQ30,BS30),(CW30*(AZ30+BH30)+CX30*(BA30+BI30)+CY30*(BB30+BJ30)+CZ30*(BC30+BK30))/(BQ30+BS30),0)</f>
        <v>#VALUE!</v>
      </c>
      <c r="DB30" s="1592" t="e">
        <f aca="false">IF(OR(BQ30,BS30),CG30+IF(OVolSmile,VLOOKUP(MAX(-5,CO30+CW30-BU30),IF(OVolSmile=1,VolSmileBook,VolSmileModel),2),0),"")</f>
        <v>#VALUE!</v>
      </c>
      <c r="DC30" s="1592" t="e">
        <f aca="false">IF(OR(BQ30,BS30),CH30+IF(OVolSmile,VLOOKUP(MAX(-5,CP30+CW30-BV30),IF(OVolSmile=1,VolSmileBook,VolSmileModel),2),0),"")</f>
        <v>#VALUE!</v>
      </c>
      <c r="DD30" s="1592" t="e">
        <f aca="false">IF(OR(BQ30,BS30),CI30+IF(OVolSmile,VLOOKUP(MAX(-5,CQ30+CW30-BW30),IF(OVolSmile=1,VolSmileBook,VolSmileModel),2),0),"")</f>
        <v>#VALUE!</v>
      </c>
      <c r="DE30" s="1592" t="e">
        <f aca="false">IF(OR(BQ30,BS30),CL30+IF(OVolSmile,VLOOKUP(MAX(-5,CR30+CZ30-BX30),IF(OVolSmile=1,VolSmileBook,VolSmileModel),2),0),"")</f>
        <v>#VALUE!</v>
      </c>
      <c r="DF30" s="1592" t="e">
        <f aca="false">IF(BQ30,CM30+IF(OVolSmile,VLOOKUP(MAX(-5,CS30+DA30-BZ30),IF(OVolSmile=1,VolSmileBook,VolSmileModel),2),0),"")</f>
        <v>#VALUE!</v>
      </c>
      <c r="DG30" s="1593" t="e">
        <f aca="false">IF(BS30,CN30+IF(OVolSmile,VLOOKUP(MAX(-5,CT30+DA30-CF30),IF(OVolSmile=1,VolSmileBook,VolSmileModel),2),0),"")</f>
        <v>#VALUE!</v>
      </c>
      <c r="DH30" s="1316" t="e">
        <f aca="false">IF(AND(BU30&gt;0,CO30&gt;0,DB30&gt;0,CU30&gt;0),newSPRDOPT(BU30,CO30,CW30,0,DB30,CU30,CV30,BT30*365.25,OCallPut,0),0)</f>
        <v>#VALUE!</v>
      </c>
      <c r="DI30" s="1316" t="e">
        <f aca="false">IF(AND(BV30&gt;0,CP30&gt;0,DC30&gt;0,CU30&gt;0),newSPRDOPT(BV30,CP30,CX30,0,DC30,CU30,CV30,BT30*365.25,OCallPut,0),0)</f>
        <v>#VALUE!</v>
      </c>
      <c r="DJ30" s="1316" t="e">
        <f aca="false">IF(AND(BW30&gt;0,CQ30&gt;0,DD30&gt;0,CU30&gt;0),newSPRDOPT(BW30,CQ30,CY30,0,DD30,CU30,CV30,BT30*365.25,OCallPut,0),0)</f>
        <v>#VALUE!</v>
      </c>
      <c r="DK30" s="1316" t="e">
        <f aca="false">IF(AND(BX30&gt;0,CR30&gt;0,DE30&gt;0,CU30&gt;0),newSPRDOPT(BX30,CR30,CZ30,0,DE30,CU30,CV30,BT30*365.25,OCallPut,0),0)</f>
        <v>#VALUE!</v>
      </c>
      <c r="DL30" s="1316" t="e">
        <f aca="false">IF(OVolType,IF(AND(BZ30&gt;0,CS30&gt;0,DF30&gt;0,CU30&gt;0),newSPRDOPT(BZ30,CS30,DA30,0,DF30,CU30,CV30,BT30*365.25,OCallPut,0),0),IF(BQ30,(DH30*AZ30+DI30*BA30+DJ30*BB30+DK30*BC30)/BQ30,0))</f>
        <v>#VALUE!</v>
      </c>
      <c r="DM30" s="1316"/>
      <c r="DN30" s="1316"/>
      <c r="DO30" s="1316"/>
      <c r="DP30" s="1316"/>
      <c r="DQ30" s="1316"/>
      <c r="DR30" s="1316"/>
      <c r="DS30" s="1316"/>
      <c r="DT30" s="1316"/>
      <c r="DU30" s="1316"/>
      <c r="DV30" s="1316"/>
      <c r="DW30" s="1594" t="e">
        <f aca="false">IF(AND(BW30&gt;0,CT30&gt;0,DD30&gt;0,CU30&gt;0),newSPRDOPT(BW30,CT30,CY30,0,DD30,CU30,CV30,BT30*365.25,OCallPut,0),0)</f>
        <v>#VALUE!</v>
      </c>
      <c r="DX30" s="1316" t="e">
        <f aca="false">IF(AND(BX30&gt;0,CT30&gt;0,DE30&gt;0,CU30&gt;0),newSPRDOPT(BX30,CT30,CZ30,0,DE30,CU30,CV30,BT30*365.25,OCallPut,0),0)</f>
        <v>#VALUE!</v>
      </c>
      <c r="DY30" s="1591" t="e">
        <f aca="false">IF(BS30,(DH30*BH30+DI30*BI30+DW30*BJ30+DX30*BK30)/BS30,0)</f>
        <v>#VALUE!</v>
      </c>
      <c r="DZ30" s="1551" t="e">
        <f aca="false">DH30*AZ30</f>
        <v>#VALUE!</v>
      </c>
      <c r="EA30" s="1551" t="e">
        <f aca="false">DI30*BA30</f>
        <v>#VALUE!</v>
      </c>
      <c r="EB30" s="1551" t="e">
        <f aca="false">DJ30*BB30</f>
        <v>#VALUE!</v>
      </c>
      <c r="EC30" s="1551" t="e">
        <f aca="false">DK30*BC30</f>
        <v>#VALUE!</v>
      </c>
      <c r="ED30" s="1551" t="e">
        <f aca="false">DL30*BQ30</f>
        <v>#VALUE!</v>
      </c>
      <c r="EE30" s="1595" t="e">
        <f aca="false">IF(BQ30,IF(OCallPut,IF(BU30&gt;(CO30+CW30),BU30-(CO30+CW30),0),IF((CO30+CW30)&gt;BU30,(CO30+CW30)-BU30,0))*AZ30,0)</f>
        <v>#VALUE!</v>
      </c>
      <c r="EF30" s="1596" t="e">
        <f aca="false">IF(BQ30,IF(OCallPut,IF(BV30&gt;(CP30+CX30),BV30-(CP30+CX30),0),IF((CP30+CX30)&gt;BV30,(CP30+CX30)-BV30,0))*BA30,0)</f>
        <v>#VALUE!</v>
      </c>
      <c r="EG30" s="1596" t="e">
        <f aca="false">IF(BQ30,IF(OCallPut,IF(BW30&gt;(CQ30+CY30),BW30-(CQ30+CY30),0),IF((CQ30+CY30)&gt;BW30,(CQ30+CY30)-BW30,0))*BB30,0)</f>
        <v>#VALUE!</v>
      </c>
      <c r="EH30" s="1596" t="e">
        <f aca="false">IF(BQ30,IF(OCallPut,IF(BX30&gt;(CR30+CZ30),BX30-(CR30+CZ30),0),IF((CR30+CZ30)&gt;BX30,(CR30+CZ30)-BX30,0))*BC30,0)</f>
        <v>#VALUE!</v>
      </c>
      <c r="EI30" s="1597" t="e">
        <f aca="false">IF(BQ30,IF(OVolType,IF(OCallPut,IF(BZ30&gt;(CS30+DA30),BZ30-(CS30+DA30),0),IF((CS30+DA30)&gt;BZ30,(CS30+DA30)-BZ30,0))*BQ30,SUM(EE30:EH30)),0)</f>
        <v>#VALUE!</v>
      </c>
      <c r="EJ30" s="1595" t="e">
        <f aca="false">DZ30-EE30</f>
        <v>#VALUE!</v>
      </c>
      <c r="EK30" s="1596" t="e">
        <f aca="false">EA30-EF30</f>
        <v>#VALUE!</v>
      </c>
      <c r="EL30" s="1596" t="e">
        <f aca="false">EB30-EG30</f>
        <v>#VALUE!</v>
      </c>
      <c r="EM30" s="1596" t="e">
        <f aca="false">EC30-EH30</f>
        <v>#VALUE!</v>
      </c>
      <c r="EN30" s="1597" t="e">
        <f aca="false">ED30-EI30</f>
        <v>#VALUE!</v>
      </c>
      <c r="EO30" s="1551" t="e">
        <f aca="false">DH30*BH30</f>
        <v>#VALUE!</v>
      </c>
      <c r="EP30" s="1551" t="e">
        <f aca="false">DI30*BI30</f>
        <v>#VALUE!</v>
      </c>
      <c r="EQ30" s="1551" t="e">
        <f aca="false">DW30*BJ30</f>
        <v>#VALUE!</v>
      </c>
      <c r="ER30" s="1551" t="e">
        <f aca="false">DX30*BK30</f>
        <v>#VALUE!</v>
      </c>
      <c r="ES30" s="1551" t="e">
        <f aca="false">DY30*BS30</f>
        <v>#VALUE!</v>
      </c>
      <c r="ET30" s="1566" t="e">
        <f aca="false">IF(BS30,IF(OCallPut,IF(CA30&gt;(CT30+CW30),CA30-(CT30+CW30),0),IF((CT30+CW30)&gt;CA30,(CT30+CW30)-CA30,0))*BH30,0)</f>
        <v>#VALUE!</v>
      </c>
      <c r="EU30" s="1551" t="e">
        <f aca="false">IF(BS30,IF(OCallPut,IF(CB30&gt;(CT30+CX30),CB30-(CT30+CX30),0),IF((CT30+CX30)&gt;CB30,(CT30+CX30)-CB30,0))*BI30,0)</f>
        <v>#VALUE!</v>
      </c>
      <c r="EV30" s="1551" t="e">
        <f aca="false">IF(BS30,IF(OCallPut,IF(CC30&gt;(CT30+CY30),CC30-(CT30+CY30),0),IF((CT30+CY30)&gt;CC30,(CT30+CY30)-CC30,0))*BJ30,0)</f>
        <v>#VALUE!</v>
      </c>
      <c r="EW30" s="1551" t="e">
        <f aca="false">IF(BS30,IF(OCallPut,IF(CD30&gt;(CT30+CZ30),CD30-(CT30+CZ30),0),IF((CT30+CZ30)&gt;CD30,(CT30+CZ30)-CD30,0))*BK30,0)</f>
        <v>#VALUE!</v>
      </c>
      <c r="EX30" s="1558" t="e">
        <f aca="false">IF(BS30,SUM(ET30:EW30),0)</f>
        <v>#VALUE!</v>
      </c>
      <c r="EY30" s="1551" t="e">
        <f aca="false">EO30-ET30</f>
        <v>#VALUE!</v>
      </c>
      <c r="EZ30" s="1551" t="e">
        <f aca="false">EP30-EU30</f>
        <v>#VALUE!</v>
      </c>
      <c r="FA30" s="1551" t="e">
        <f aca="false">EQ30-EV30</f>
        <v>#VALUE!</v>
      </c>
      <c r="FB30" s="1551" t="e">
        <f aca="false">ER30-EW30</f>
        <v>#VALUE!</v>
      </c>
      <c r="FC30" s="1551" t="e">
        <f aca="false">ES30-EX30</f>
        <v>#VALUE!</v>
      </c>
      <c r="FD30" s="1525" t="n">
        <f aca="false">IF(AX30,IF(VLOOKUP(C30,MAIN!$L$17:$M$28,2)="Yes",VLOOKUP(CALC!B30,MAIN!$H$17:$I$20,2),0),0)</f>
        <v>0</v>
      </c>
      <c r="FE30" s="1552" t="n">
        <f aca="false">$FD30*16*AT30*(1-$AY30)</f>
        <v>0</v>
      </c>
      <c r="FF30" s="1553" t="n">
        <f aca="false">$FD30*16*AU30*(1-$AY30)</f>
        <v>0</v>
      </c>
      <c r="FG30" s="1553" t="n">
        <f aca="false">$FD30*16*(AV30+AW30)*(1-$AY30)</f>
        <v>0</v>
      </c>
      <c r="FH30" s="1554" t="n">
        <f aca="false">$FD30*8*AX30*(1-$AY30)</f>
        <v>0</v>
      </c>
      <c r="FI30" s="1555" t="n">
        <f aca="false">IF(AX30,VLOOKUP(CALC!B30,MAIN!$H$17:$K$20,4),0)</f>
        <v>0</v>
      </c>
      <c r="FJ30" s="1553" t="n">
        <f aca="false">SUM(FE30:FH30)</f>
        <v>0</v>
      </c>
      <c r="FK30" s="1556" t="n">
        <f aca="false">FI30*FJ30</f>
        <v>0</v>
      </c>
      <c r="FL30" s="1551" t="e">
        <f aca="false">IF($EI30&gt;0,MIN(FE30,AZ30*(1+VLOOKUP($C30,WeatherCapacityAdjustment,2))),0)</f>
        <v>#VALUE!</v>
      </c>
      <c r="FM30" s="1551" t="e">
        <f aca="false">IF($EI30&gt;0,MIN(FF30,BA30*(1+VLOOKUP($C30,WeatherCapacityAdjustment,2))),0)</f>
        <v>#VALUE!</v>
      </c>
      <c r="FN30" s="1551" t="e">
        <f aca="false">IF($EI30&gt;0,MIN(FG30,BB30*(1+VLOOKUP($C30,WeatherCapacityAdjustment,2))),0)</f>
        <v>#VALUE!</v>
      </c>
      <c r="FO30" s="1564" t="e">
        <f aca="false">IF($EI30&gt;0,MIN(FH30,BC30*(1+VLOOKUP($C30,WeatherCapacityAdjustment,3))),0)</f>
        <v>#VALUE!</v>
      </c>
      <c r="FP30" s="1551" t="e">
        <f aca="false">IF(ET30&gt;0,MIN(FE30-FL30,BH30*(1+VLOOKUP($C30,WeatherCapacityAdjustment,2))),0)</f>
        <v>#VALUE!</v>
      </c>
      <c r="FQ30" s="1551" t="e">
        <f aca="false">IF(EU30&gt;0,MIN(FF30-FM30,BI30*(1+VLOOKUP($C30,WeatherCapacityAdjustment,2))),0)</f>
        <v>#VALUE!</v>
      </c>
      <c r="FR30" s="1551" t="e">
        <f aca="false">IF(EV30&gt;0,MIN(FG30-FN30,BJ30*(1+VLOOKUP($C30,WeatherCapacityAdjustment,2))),0)</f>
        <v>#VALUE!</v>
      </c>
      <c r="FS30" s="1558" t="e">
        <f aca="false">IF(EW30&gt;0,MIN(FH30-FO30,BK30*(1+VLOOKUP($C30,WeatherCapacityAdjustment,3))),0)</f>
        <v>#VALUE!</v>
      </c>
      <c r="FT30" s="1566" t="n">
        <f aca="false">IF(AND(Assumptions!$H$71="Yes",A30&gt;=Assumptions!$H$72,A30&lt;=Assumptions!$H$73),0,IF(AND($A30&gt;=Assumptions!$C$17,$A30&lt;=Assumptions!$C$18),MAX(AZ30*(1+VLOOKUP($C30,WeatherCapacityAdjustment,2))-FL30,0),0))</f>
        <v>0</v>
      </c>
      <c r="FU30" s="1551" t="n">
        <f aca="false">IF(AND(Assumptions!$H$71="Yes",A30&gt;=Assumptions!$H$72,A30&lt;=Assumptions!$H$73),0,IF(AND($A30&gt;=Assumptions!$C$17,$A30&lt;=Assumptions!$C$18),MAX(BA30*(1+VLOOKUP($C30,WeatherCapacityAdjustment,2))-FM30,0),0))</f>
        <v>0</v>
      </c>
      <c r="FV30" s="1551" t="n">
        <f aca="false">IF(AND(Assumptions!$H$71="Yes",A30&gt;=Assumptions!$H$72,A30&lt;=Assumptions!$H$73),0,IF(AND($A30&gt;=Assumptions!$C$17,$A30&lt;=Assumptions!$C$18),MAX(BB30*(1+VLOOKUP($C30,WeatherCapacityAdjustment,2))-FN30,0),0))</f>
        <v>0</v>
      </c>
      <c r="FW30" s="1564" t="n">
        <f aca="false">IF(AND(Assumptions!$H$71="Yes",A30&gt;=Assumptions!$H$72,A30&lt;=Assumptions!$H$73),0,IF(AND($A30&gt;=Assumptions!$C$17,$A30&lt;=Assumptions!$C$18),MAX(BC30*(1+VLOOKUP($C30,WeatherCapacityAdjustment,3))-FO30,0),0))</f>
        <v>0</v>
      </c>
      <c r="FX30" s="1569" t="e">
        <f aca="false">IF(AND(Assumptions!$H$71="Yes",A30&gt;=Assumptions!$H$72,A30&lt;=Assumptions!$H$73),0,IF(ET30&gt;0,MAX(BH30*(1+VLOOKUP($C30,WeatherCapacityAdjustment,2))-FP30,0),0))</f>
        <v>#VALUE!</v>
      </c>
      <c r="FY30" s="1551" t="e">
        <f aca="false">IF(AND(Assumptions!$H$71="Yes",A30&gt;=Assumptions!$H$72,A30&lt;=Assumptions!$H$73),0,IF(EU30&gt;0,MAX(BI30*(1+VLOOKUP($C30,WeatherCapacityAdjustment,3))-FQ30,0),0))</f>
        <v>#VALUE!</v>
      </c>
      <c r="FZ30" s="1551" t="e">
        <f aca="false">IF(AND(Assumptions!$H$71="Yes",A30&gt;=Assumptions!$H$72,A30&lt;=Assumptions!$H$73),0,IF(EV30&gt;0,MAX(BJ30*(1+VLOOKUP($C30,WeatherCapacityAdjustment,2))-FR30,0),0))</f>
        <v>#VALUE!</v>
      </c>
      <c r="GA30" s="1564" t="e">
        <f aca="false">IF(AND(Assumptions!$H$71="Yes",A30&gt;=Assumptions!$H$72,A30&lt;=Assumptions!$H$73),0,IF(EW30&gt;0,MAX(BK30*(1+VLOOKUP($C30,WeatherCapacityAdjustment,2))-FS30,0),0))</f>
        <v>#VALUE!</v>
      </c>
      <c r="GB30" s="1551" t="e">
        <f aca="false">SUM(FT30:GA30)</f>
        <v>#VALUE!</v>
      </c>
      <c r="GC30" s="1563" t="e">
        <f aca="false">+IF(SUM(FT30:GA30)=0,0,(SUMPRODUCT(BU30:BX30,FT30:FW30)+SUMPRODUCT(CA30:CD30,FX30:GA30))/SUM(FT30:GA30))</f>
        <v>#VALUE!</v>
      </c>
      <c r="GD30" s="1551" t="e">
        <f aca="false">(FT30*BU30+FX30*CA30+FU30*BV30+FY30*CB30+FV30*BW30+FZ30*CC30+FW30*BX30+GA30*CD30)</f>
        <v>#VALUE!</v>
      </c>
      <c r="GE30" s="1561" t="e">
        <f aca="false">+IF(BQ30,((FL30+FM30+FT30+FU30)*HeatRatePeak/1000*(1+VLOOKUP($C30,WeatherHeatRateAdjustment,2))+(FN30+FV30)*IF(EV30&gt;0,HeatRatePeak,HeatRateOffPeak)/1000*(1+VLOOKUP($C30,WeatherHeatRateAdjustment,2))+(FO30+FW30)*IF(EW30&gt;0,HeatRatePeak,HeatRateOffPeak)/1000*(1+VLOOKUP($C30,WeatherHeatRateAdjustment,3)))*(1+VLOOKUP($B30,HeatRateDegradation,$C30+1)),0)</f>
        <v>#VALUE!</v>
      </c>
      <c r="GF30" s="1562" t="e">
        <f aca="false">IF(BQ30,((FP30+FQ30+FR30+FX30+FY30+FZ30)*HeatRatePeak/1000*(1+VLOOKUP($C30,WeatherHeatRateAdjustment,2))+(FS30+GA30)*HeatRatePeak/1000*(1+VLOOKUP($C30,WeatherHeatRateAdjustment,3)))*(1+VLOOKUP($B30,HeatRateDegradation,$C30+1)),0)</f>
        <v>#VALUE!</v>
      </c>
      <c r="GG30" s="1563" t="e">
        <f aca="false">IF(BQ30,VLOOKUP(A30,GasTable,13),0)</f>
        <v>#VALUE!</v>
      </c>
      <c r="GH30" s="1564" t="e">
        <f aca="false">(GE30+GF30)*GG30</f>
        <v>#VALUE!</v>
      </c>
      <c r="GI30" s="1569" t="e">
        <f aca="false">GB30</f>
        <v>#VALUE!</v>
      </c>
      <c r="GJ30" s="1598" t="e">
        <f aca="false">+DA30</f>
        <v>#VALUE!</v>
      </c>
      <c r="GK30" s="1558" t="e">
        <f aca="false">+GI30*GJ30</f>
        <v>#VALUE!</v>
      </c>
      <c r="GL30" s="1566" t="e">
        <f aca="false">MAX(FE30-FL30-FP30,0)</f>
        <v>#VALUE!</v>
      </c>
      <c r="GM30" s="1551" t="e">
        <f aca="false">MAX(FF30-FM30-FQ30,0)</f>
        <v>#VALUE!</v>
      </c>
      <c r="GN30" s="1551" t="e">
        <f aca="false">MAX(FG30-FN30-FR30,0)</f>
        <v>#VALUE!</v>
      </c>
      <c r="GO30" s="1564" t="e">
        <f aca="false">MAX(FH30-FO30-FS30,0)</f>
        <v>#VALUE!</v>
      </c>
      <c r="GP30" s="1551" t="e">
        <f aca="false">SUM(GL30:GO30)</f>
        <v>#VALUE!</v>
      </c>
      <c r="GQ30" s="1563" t="e">
        <f aca="false">IF(SUM(GL30:GO30)=0,0,((GL30*BU30+GM30*BV30+GN30*BW30+GO30*BX30)/SUM(GL30:GO30)))</f>
        <v>#VALUE!</v>
      </c>
      <c r="GR30" s="1558" t="e">
        <f aca="false">(GL30*BU30+GM30*BV30+GN30*BW30+GO30*BX30)</f>
        <v>#VALUE!</v>
      </c>
      <c r="GS30" s="1566" t="n">
        <f aca="false">IF($A30&gt;=BegDate,Assumptions!$C$56*24*($A31-$A30)*(1-VLOOKUP($B30,MAIN!$AA$7:$AM$28,$C30+1))*(1-VLOOKUP($B30,MAIN!$AA$33:$AM$54,$C30+1)),0)*80/168</f>
        <v>0</v>
      </c>
      <c r="GT30" s="286" t="n">
        <f aca="false">J30</f>
        <v>24.162576</v>
      </c>
      <c r="GU30" s="286" t="n">
        <f aca="false">IF($A30&gt;=BegDate,VLOOKUP($A30,GasTable,13)+Assumptions!$C$58,0)</f>
        <v>0</v>
      </c>
      <c r="GV30" s="286" t="n">
        <f aca="false">GU30*Assumptions!$C$57/1000</f>
        <v>0</v>
      </c>
      <c r="GW30" s="1558" t="n">
        <f aca="false">IF(Assumptions!$C$60="Hourly",MAX(0,GS30*(GT30-GV30)),GS30*(GT30-GV30))</f>
        <v>0</v>
      </c>
      <c r="GX30" s="1566" t="n">
        <f aca="false">IF($A30&gt;=BegDate,Assumptions!$C$56*24*($A31-$A30)*(1-VLOOKUP($B30,MAIN!$AA$7:$AM$28,$C30+1))*(1-VLOOKUP($B30,MAIN!$AA$33:$AM$54,$C30+1)),0)*16/168</f>
        <v>0</v>
      </c>
      <c r="GY30" s="286" t="n">
        <f aca="false">M30</f>
        <v>24.162576</v>
      </c>
      <c r="GZ30" s="286" t="n">
        <f aca="false">IF($A30&gt;=BegDate,VLOOKUP($A30,GasTable,13)+Assumptions!$C$58,0)</f>
        <v>0</v>
      </c>
      <c r="HA30" s="286" t="n">
        <f aca="false">GZ30*Assumptions!$C$57/1000</f>
        <v>0</v>
      </c>
      <c r="HB30" s="1558" t="n">
        <f aca="false">IF(Assumptions!$C$60="Hourly",MAX(0,GX30*(GY30-HA30)),GX30*(GY30-HA30))</f>
        <v>0</v>
      </c>
      <c r="HC30" s="1566" t="n">
        <f aca="false">IF($A30&gt;=BegDate,Assumptions!$C$56*24*($A31-$A30)*(1-VLOOKUP($B30,MAIN!$AA$7:$AM$28,$C30+1))*(1-VLOOKUP($B30,MAIN!$AA$33:$AM$54,$C30+1)),0)*16/168</f>
        <v>0</v>
      </c>
      <c r="HD30" s="286" t="n">
        <f aca="false">P30</f>
        <v>11.486832</v>
      </c>
      <c r="HE30" s="286" t="n">
        <f aca="false">IF($A30&gt;=BegDate,VLOOKUP($A30,GasTable,13)+Assumptions!$C$58,0)</f>
        <v>0</v>
      </c>
      <c r="HF30" s="286" t="n">
        <f aca="false">HE30*Assumptions!$C$57/1000</f>
        <v>0</v>
      </c>
      <c r="HG30" s="1558" t="n">
        <f aca="false">IF(Assumptions!$C$60="Hourly",MAX(0,HC30*(HD30-HF30)),HC30*(HD30-HF30))</f>
        <v>0</v>
      </c>
      <c r="HH30" s="1566" t="n">
        <f aca="false">IF($A30&gt;=BegDate,Assumptions!$C$56*24*($A31-$A30)*(1-VLOOKUP($B30,MAIN!$AA$7:$AM$28,$C30+1))*(1-VLOOKUP($B30,MAIN!$AA$33:$AM$54,$C30+1)),0)*56/168</f>
        <v>0</v>
      </c>
      <c r="HI30" s="286" t="n">
        <f aca="false">S30</f>
        <v>11.486832</v>
      </c>
      <c r="HJ30" s="286" t="n">
        <f aca="false">IF($A30&gt;=BegDate,VLOOKUP($A30,GasTable,13)+Assumptions!$C$58,0)</f>
        <v>0</v>
      </c>
      <c r="HK30" s="286" t="n">
        <f aca="false">HJ30*Assumptions!$C$57/1000</f>
        <v>0</v>
      </c>
      <c r="HL30" s="1558" t="n">
        <f aca="false">IF(Assumptions!$C$60="Hourly",MAX(0,HH30*(HI30-HK30)),HH30*(HI30-HK30))</f>
        <v>0</v>
      </c>
      <c r="HM30" s="1566" t="n">
        <f aca="false">IF(AND(Assumptions!$H$71="Yes",A30&gt;=Assumptions!$H$72,A30&lt;=Assumptions!$H$73),Assumptions!$H$74*Assumptions!$C$9*1000,0)</f>
        <v>0</v>
      </c>
      <c r="HN30" s="1558"/>
      <c r="HO30" s="1567" t="n">
        <f aca="false">HO29+1</f>
        <v>2016</v>
      </c>
      <c r="HP30" s="1566" t="e">
        <f aca="false">SUMIF($B$17:$B$292,HO30,$FJ$17:$FJ$292)</f>
        <v>#VALUE!</v>
      </c>
      <c r="HQ30" s="1568" t="e">
        <f aca="false">IF(HR30=0,0,HR30/HP30)</f>
        <v>#VALUE!</v>
      </c>
      <c r="HR30" s="1564" t="e">
        <f aca="false">SUMIF($B$17:$B$292,HO30,$FK$17:$FK$292)</f>
        <v>#VALUE!</v>
      </c>
      <c r="HS30" s="1569" t="e">
        <f aca="false">SUMIF($B$17:$B$292,HO30,$GB$17:$GB$292)</f>
        <v>#VALUE!</v>
      </c>
      <c r="HT30" s="1563" t="e">
        <f aca="false">+IF(HS30&gt;0,HU30/HS30,0)</f>
        <v>#VALUE!</v>
      </c>
      <c r="HU30" s="1551" t="e">
        <f aca="false">SUMIF($B$17:$B$292,HO30,$GD$17:$GD$292)</f>
        <v>#VALUE!</v>
      </c>
      <c r="HV30" s="1569" t="e">
        <f aca="false">HR30+HU30</f>
        <v>#VALUE!</v>
      </c>
      <c r="HW30" s="1551" t="e">
        <f aca="false">SUMIF($B$17:$B$292,$HO30,$EN$17:$EN$292)</f>
        <v>#VALUE!</v>
      </c>
      <c r="HX30" s="1551" t="e">
        <f aca="false">SUMIF($B$17:$B$292,$HO30,$FC$17:$FC$292)</f>
        <v>#VALUE!</v>
      </c>
      <c r="HY30" s="1551" t="n">
        <f aca="false">IF(Assumptions!$L$24="Yes",HW30+HX30,0)</f>
        <v>0</v>
      </c>
      <c r="HZ30" s="1566" t="e">
        <f aca="false">SUMIF($B$17:$B$292,HO30,$GE$17:$GE$292)+SUMIF($B$17:$B$292,HO30,$GF$17:$GF$292)</f>
        <v>#VALUE!</v>
      </c>
      <c r="IA30" s="1563" t="e">
        <f aca="false">IF(IB30=0,0,IB30/HZ30)</f>
        <v>#VALUE!</v>
      </c>
      <c r="IB30" s="1564" t="e">
        <f aca="false">-SUMIF($B$17:$B$292,HO30,$GH$17:$GH$292)</f>
        <v>#VALUE!</v>
      </c>
      <c r="IC30" s="1569" t="e">
        <f aca="false">SUMIF($B$17:$B$292,HO30,$GI$17:$GI$292)</f>
        <v>#VALUE!</v>
      </c>
      <c r="ID30" s="1563" t="e">
        <f aca="false">IF(IE30=0,0,IE30/IC30)</f>
        <v>#VALUE!</v>
      </c>
      <c r="IE30" s="1564" t="e">
        <f aca="false">-SUMIF($B$17:$B$292,HO30,$GK$17:$GK$292)</f>
        <v>#VALUE!</v>
      </c>
      <c r="IF30" s="1551" t="e">
        <f aca="false">SUMIF($B$17:$B$292,HO30,$GP$17:$GP$292)</f>
        <v>#VALUE!</v>
      </c>
      <c r="IG30" s="1563" t="e">
        <f aca="false">IF(IH30=0,0,IH30/IF30)</f>
        <v>#VALUE!</v>
      </c>
      <c r="IH30" s="1564" t="e">
        <f aca="false">-SUMIF($B$17:$B$292,HO30,$GR$17:$GR$292)</f>
        <v>#VALUE!</v>
      </c>
      <c r="II30" s="1570" t="n">
        <f aca="false">(SUMIF($B$17:$B$292,HO30,$GW$17:$GW$292)+SUMIF($B$17:$B$292,HO30,$HB$17:$HB$292)+SUMIF($B$17:$B$292,HO30,$HG$17:$HG$292)+SUMIF($B$17:$B$292,HO30,$HL$17:$HL$292))*Assumptions!$C$59</f>
        <v>1293059.79951252</v>
      </c>
      <c r="IJ30" s="1309" t="n">
        <f aca="false">SUMIF($B$17:$B$292,HO30,$HM$17:$HM$292)</f>
        <v>0</v>
      </c>
      <c r="IK30" s="1309"/>
    </row>
    <row r="31" customFormat="false" ht="12.75" hidden="false" customHeight="false" outlineLevel="0" collapsed="false">
      <c r="A31" s="1571" t="n">
        <f aca="false">EOMONTH(A30,0)+1</f>
        <v>37073</v>
      </c>
      <c r="B31" s="594" t="n">
        <f aca="false">+YEAR(A31)</f>
        <v>2001</v>
      </c>
      <c r="C31" s="238" t="n">
        <f aca="false">MONTH(A31)</f>
        <v>7</v>
      </c>
      <c r="D31" s="1572" t="str">
        <f aca="false">IF(E31="","",Holiday(B31,C31))</f>
        <v/>
      </c>
      <c r="E31" s="1573" t="str">
        <f aca="false">IF(OR(BegDate&gt;=A32,EndDate&lt;A31,AND(VolumeMonthlyOverFlag,INDEX(VolumeMonthlyOver,C31)=0),NOT(INDEX(MonthKnockOutTable,C31))),"",MAX(A31,BegDate))</f>
        <v/>
      </c>
      <c r="F31" s="1574" t="str">
        <f aca="false">IF(E31="","",MIN(A32-1,EndDate))</f>
        <v/>
      </c>
      <c r="G31" s="1575" t="n">
        <v>0</v>
      </c>
      <c r="H31" s="1576" t="n">
        <f aca="false">(1+G31/2)^(-2*(DATE(B32,C32,20)-DateToday)/365.25)</f>
        <v>1</v>
      </c>
      <c r="I31" s="1568" t="n">
        <f aca="false">IF(Assumptions!$L$25=4,VLOOKUP($A31,'Henwood Reference'!$E$9:$R$320,10),(VLOOKUP($A31,PriceTable,2,0)+IF(BasisNumber&lt;&gt;1,VLOOKUP($A31,BasisTable,2,0),0)+I$1)/(1-I$2))</f>
        <v>30.366522</v>
      </c>
      <c r="J31" s="1568" t="n">
        <f aca="false">IF(Assumptions!$L$25=4,VLOOKUP($A31,'Henwood Reference'!$E$9:$R$320,10),(VLOOKUP($A31,PriceTable,3,0)+IF(BasisNumber&lt;&gt;1,VLOOKUP($A31,BasisTable,2,0),0)+J$1)/(1-J$2))</f>
        <v>30.366522</v>
      </c>
      <c r="K31" s="1568" t="n">
        <f aca="false">IF(Assumptions!$L$25=4,VLOOKUP($A31,'Henwood Reference'!$E$9:$R$320,10),(VLOOKUP($A31,PriceTable,4,0)+IF(BasisNumber&lt;&gt;1,VLOOKUP($A31,BasisTable,2,0),0)+K$1)/(1-K$2))</f>
        <v>30.366522</v>
      </c>
      <c r="L31" s="1523" t="n">
        <f aca="false">IF(Assumptions!$L$25=4,VLOOKUP($A31,'Henwood Reference'!$E$9:$R$320,10),(VLOOKUP($A31,PriceTableWeekend,2,0)+IF(BasisNumber&lt;&gt;1,VLOOKUP($A31,BasisTable,2,0),0)+L$1)/(1-L$2))</f>
        <v>30.366522</v>
      </c>
      <c r="M31" s="1568" t="n">
        <f aca="false">IF(Assumptions!$L$25=4,VLOOKUP($A31,'Henwood Reference'!$E$9:$R$320,10),(VLOOKUP($A31,PriceTableWeekend,3,0)+IF(BasisNumber&lt;&gt;1,VLOOKUP($A31,BasisTable,2,0),0)+M$1)/(1-M$2))</f>
        <v>30.366522</v>
      </c>
      <c r="N31" s="1599" t="n">
        <f aca="false">IF(Assumptions!$L$25=4,VLOOKUP($A31,'Henwood Reference'!$E$9:$R$320,10),(VLOOKUP($A31,PriceTableWeekend,4,0)+IF(BasisNumber&lt;&gt;1,VLOOKUP($A31,BasisTable,2,0),0)+N$1)/(1-N$2))</f>
        <v>30.366522</v>
      </c>
      <c r="O31" s="1568" t="n">
        <f aca="false">IF(Assumptions!$L$25=4,VLOOKUP($A31,'Henwood Reference'!$E$9:$R$320,11),(VLOOKUP($A31,PriceTableWeekend,6,0)+IF(BasisNumber&lt;&gt;1,VLOOKUP($A31,BasisTable,3,0),0)+O$1)/(1-O$2))</f>
        <v>15.910062</v>
      </c>
      <c r="P31" s="1568" t="n">
        <f aca="false">IF(Assumptions!$L$25=4,VLOOKUP($A31,'Henwood Reference'!$E$9:$R$320,11),(VLOOKUP($A31,PriceTableWeekend,7,0)+IF(BasisNumber&lt;&gt;1,VLOOKUP($A31,BasisTable,3,0),0)+P$1)/(1-P$2))</f>
        <v>15.910062</v>
      </c>
      <c r="Q31" s="1599" t="n">
        <f aca="false">IF(Assumptions!$L$25=4,VLOOKUP($A31,'Henwood Reference'!$E$9:$R$320,11),(VLOOKUP($A31,PriceTableWeekend,8,0)+IF(BasisNumber&lt;&gt;1,VLOOKUP($A31,BasisTable,3,0),0)+Q$1)/(1-Q$2))</f>
        <v>15.910062</v>
      </c>
      <c r="R31" s="1568" t="n">
        <f aca="false">IF(Assumptions!$L$25=4,VLOOKUP($A31,'Henwood Reference'!$E$9:$R$320,11),(VLOOKUP($A31,PriceTable,6,0)+IF(BasisNumber&lt;&gt;1,VLOOKUP($A31,BasisTable,3,0),0)+R$1)/(1-R$2))</f>
        <v>15.910062</v>
      </c>
      <c r="S31" s="1568" t="n">
        <f aca="false">IF(Assumptions!$L$25=4,VLOOKUP($A31,'Henwood Reference'!$E$9:$R$320,11),(VLOOKUP($A31,PriceTable,7,0)+IF(BasisNumber&lt;&gt;1,VLOOKUP($A31,BasisTable,3,0),0)+S$1)/(1-S$2))</f>
        <v>15.910062</v>
      </c>
      <c r="T31" s="1600" t="n">
        <f aca="false">IF(Assumptions!$L$25=4,VLOOKUP($A31,'Henwood Reference'!$E$9:$R$320,11),(VLOOKUP($A31,PriceTable,8,0)+IF(BasisNumber&lt;&gt;1,VLOOKUP($A31,BasisTable,3,0),0)+T$1)/(1-T$2))</f>
        <v>15.910062</v>
      </c>
      <c r="U31" s="1513" t="n">
        <f aca="false">VLOOKUP($A31,VolatilityTable,14)</f>
        <v>0.165</v>
      </c>
      <c r="V31" s="1513" t="n">
        <f aca="false">VLOOKUP($A31,VolatilityTable,15)</f>
        <v>0.175</v>
      </c>
      <c r="W31" s="1514" t="n">
        <f aca="false">VLOOKUP($A31,VolatilityTable,16)</f>
        <v>0.185</v>
      </c>
      <c r="X31" s="1513" t="n">
        <f aca="false">VLOOKUP($A31,VolatilityTable,14)</f>
        <v>0.165</v>
      </c>
      <c r="Y31" s="1513" t="n">
        <f aca="false">VLOOKUP($A31,VolatilityTable,15)</f>
        <v>0.175</v>
      </c>
      <c r="Z31" s="1514" t="n">
        <f aca="false">VLOOKUP($A31,VolatilityTable,16)</f>
        <v>0.185</v>
      </c>
      <c r="AA31" s="1513" t="n">
        <f aca="false">VLOOKUP($A31,VolatilityTable,18)</f>
        <v>0.09</v>
      </c>
      <c r="AB31" s="1513" t="n">
        <f aca="false">VLOOKUP($A31,VolatilityTable,19)</f>
        <v>0.11</v>
      </c>
      <c r="AC31" s="1514" t="n">
        <f aca="false">VLOOKUP($A31,VolatilityTable,20)</f>
        <v>0.13</v>
      </c>
      <c r="AD31" s="1513" t="n">
        <f aca="false">VLOOKUP($A31,VolatilityTable,18)</f>
        <v>0.09</v>
      </c>
      <c r="AE31" s="1513" t="n">
        <f aca="false">VLOOKUP($A31,VolatilityTable,19)</f>
        <v>0.11</v>
      </c>
      <c r="AF31" s="1514" t="n">
        <f aca="false">VLOOKUP($A31,VolatilityTable,20)</f>
        <v>0.13</v>
      </c>
      <c r="AG31" s="1513" t="n">
        <f aca="false">VLOOKUP($A31,VolatilityTable,22)</f>
        <v>-0.35</v>
      </c>
      <c r="AH31" s="1513" t="n">
        <f aca="false">VLOOKUP($A31,VolatilityTable,23)</f>
        <v>3</v>
      </c>
      <c r="AI31" s="1514" t="n">
        <f aca="false">VLOOKUP($A31,VolatilityTable,24)</f>
        <v>0.35</v>
      </c>
      <c r="AJ31" s="1513" t="n">
        <f aca="false">VLOOKUP($A31,VolatilityTable,22)</f>
        <v>-0.35</v>
      </c>
      <c r="AK31" s="1513" t="n">
        <f aca="false">VLOOKUP($A31,VolatilityTable,23)</f>
        <v>3</v>
      </c>
      <c r="AL31" s="1514" t="n">
        <f aca="false">VLOOKUP($A31,VolatilityTable,24)</f>
        <v>0.35</v>
      </c>
      <c r="AM31" s="1513" t="n">
        <f aca="false">VLOOKUP($A31,VolatilityTable,26)</f>
        <v>-0.01</v>
      </c>
      <c r="AN31" s="1513" t="n">
        <f aca="false">VLOOKUP($A31,VolatilityTable,27)</f>
        <v>0.16</v>
      </c>
      <c r="AO31" s="1514" t="n">
        <f aca="false">VLOOKUP($A31,VolatilityTable,28)</f>
        <v>0.01</v>
      </c>
      <c r="AP31" s="1513" t="n">
        <f aca="false">VLOOKUP($A31,VolatilityTable,26)</f>
        <v>-0.01</v>
      </c>
      <c r="AQ31" s="1513" t="n">
        <f aca="false">VLOOKUP($A31,VolatilityTable,27)</f>
        <v>0.16</v>
      </c>
      <c r="AR31" s="1515" t="n">
        <f aca="false">VLOOKUP($A31,VolatilityTable,28)</f>
        <v>0.01</v>
      </c>
      <c r="AS31" s="1581" t="n">
        <f aca="false">IF(CorrPeakOffPeakOverFlag,INDEX(CorrPeakOffPeakOver,C31),CorrPeakOffPeak)</f>
        <v>0.5</v>
      </c>
      <c r="AT31" s="594" t="n">
        <f aca="false">AX31-SUM(AU31:AW31)</f>
        <v>0</v>
      </c>
      <c r="AU31" s="238" t="n">
        <f aca="false">IF(E31="",0,INT((F31-MOD(F31,7)-E31)/7)+1-IF(AW31,IF(WEEKDAY(D31)=7,1,0),0))</f>
        <v>0</v>
      </c>
      <c r="AV31" s="238" t="n">
        <f aca="false">IF(E31="",0,INT((F31-MOD(F31-1,7)-E31)/7)+1-IF(AW31,IF(WEEKDAY(D31)=1,1,0),0))</f>
        <v>0</v>
      </c>
      <c r="AW31" s="238" t="n">
        <f aca="false">IF(OR(E31="",D31="",D31&lt;BegDate,D31&gt;EndDate),0,1)</f>
        <v>0</v>
      </c>
      <c r="AX31" s="238" t="n">
        <f aca="false">IF(E31="",0,F31-E31+1)</f>
        <v>0</v>
      </c>
      <c r="AY31" s="1582" t="n">
        <f aca="false">IF(E31="",0,MIN((1-(1-VLOOKUP(B31,MAIN!$AA$7:$AM$28,C31+1))*(1-VLOOKUP(B31,MAIN!$AA$33:$AM$54,C31+1))),1))</f>
        <v>0</v>
      </c>
      <c r="AZ31" s="1519" t="e">
        <v>#VALUE!</v>
      </c>
      <c r="BA31" s="1520" t="e">
        <v>#VALUE!</v>
      </c>
      <c r="BB31" s="1520" t="e">
        <v>#VALUE!</v>
      </c>
      <c r="BC31" s="1583" t="e">
        <v>#VALUE!</v>
      </c>
      <c r="BD31" s="1522" t="e">
        <v>#VALUE!</v>
      </c>
      <c r="BE31" s="1523" t="e">
        <v>#VALUE!</v>
      </c>
      <c r="BF31" s="1523" t="e">
        <v>#VALUE!</v>
      </c>
      <c r="BG31" s="1584" t="e">
        <v>#VALUE!</v>
      </c>
      <c r="BH31" s="1525" t="e">
        <v>#VALUE!</v>
      </c>
      <c r="BI31" s="1520" t="e">
        <v>#VALUE!</v>
      </c>
      <c r="BJ31" s="1520" t="e">
        <v>#VALUE!</v>
      </c>
      <c r="BK31" s="1583" t="e">
        <v>#VALUE!</v>
      </c>
      <c r="BL31" s="1522" t="e">
        <v>#VALUE!</v>
      </c>
      <c r="BM31" s="1523" t="e">
        <v>#VALUE!</v>
      </c>
      <c r="BN31" s="1523" t="e">
        <v>#VALUE!</v>
      </c>
      <c r="BO31" s="1523" t="e">
        <v>#VALUE!</v>
      </c>
      <c r="BP31" s="1525" t="e">
        <f aca="false">SUM(AZ31:BB31)</f>
        <v>#VALUE!</v>
      </c>
      <c r="BQ31" s="1529" t="e">
        <f aca="false">SUM(AZ31:BC31)</f>
        <v>#VALUE!</v>
      </c>
      <c r="BR31" s="1519" t="e">
        <f aca="false">SUM(BH31:BJ31)</f>
        <v>#VALUE!</v>
      </c>
      <c r="BS31" s="1529" t="e">
        <f aca="false">SUM(BH31:BK31)</f>
        <v>#VALUE!</v>
      </c>
      <c r="BT31" s="1316" t="n">
        <f aca="false">(IF(OVolType&lt;&gt;2,A31+14,IF(OptExpDateShift,ShiftBack(A31,OptExpDateShift,D30),A31))-DateToday)/365.25</f>
        <v>1.21286789869952</v>
      </c>
      <c r="BU31" s="1585" t="e">
        <f aca="false">IF(BQ31,IF(OPriceCurve,IF(OBuySell=OCallPut,I31/(1-AY31),K31/(1-AY31)),J31/(1-AY31))*BD31,0)</f>
        <v>#VALUE!</v>
      </c>
      <c r="BV31" s="1316" t="e">
        <f aca="false">IF(BQ31,IF(OPriceCurve,IF(OBuySell=OCallPut,L31/(1-AY31),N31/(1-AY31)),M31/(1-AY31))*BE31,0)</f>
        <v>#VALUE!</v>
      </c>
      <c r="BW31" s="1316" t="e">
        <f aca="false">IF(BQ31,IF(OPriceCurve,IF(OBuySell=OCallPut,O31/(1-AY31),Q31/(1-AY31)),P31/(1-AY31))*BF31,0)</f>
        <v>#VALUE!</v>
      </c>
      <c r="BX31" s="1316" t="e">
        <f aca="false">IF(BQ31,IF(OPriceCurve,IF(OBuySell=OCallPut,R31/(1-AY31),T31/(1-AY31)),S31/(1-AY31))*BG31,0)</f>
        <v>#VALUE!</v>
      </c>
      <c r="BY31" s="1316" t="e">
        <f aca="false">IF(BP31,(BU31*AZ31+BV31*BA31+BW31*BB31)/BP31,0)</f>
        <v>#VALUE!</v>
      </c>
      <c r="BZ31" s="1316" t="e">
        <f aca="false">IF(BQ31,(BY31*BP31+BX31*BC31)/BQ31,0)</f>
        <v>#VALUE!</v>
      </c>
      <c r="CA31" s="1531" t="e">
        <f aca="false">IF(BS31,IF(OPriceCurve,IF(OBuySell=OCallPut,I31/(1-AY31),K31/(1-AY31)),J31/(1-AY31))*BL31,0)</f>
        <v>#VALUE!</v>
      </c>
      <c r="CB31" s="1316" t="e">
        <f aca="false">IF(BS31,IF(OPriceCurve,IF(OBuySell=OCallPut,L31/(1-AY31),N31/(1-AY31)),M31/(1-AY31))*BM31,0)</f>
        <v>#VALUE!</v>
      </c>
      <c r="CC31" s="1316" t="e">
        <f aca="false">IF(BS31,IF(OPriceCurve,IF(OBuySell=OCallPut,O31/(1-AY31),Q31/(1-AY31)),P31/(1-AY31))*BN31,0)</f>
        <v>#VALUE!</v>
      </c>
      <c r="CD31" s="1316" t="e">
        <f aca="false">IF(BS31,IF(OPriceCurve,IF(OBuySell=OCallPut,R31/(1-AY31),T31/(1-AY31)),S31/(1-AY31))*BO31,0)</f>
        <v>#VALUE!</v>
      </c>
      <c r="CE31" s="1316" t="e">
        <f aca="false">IF(BR31,(BU31*BH31+BV31*BI31+BW31*BJ31)/BR31,0)</f>
        <v>#VALUE!</v>
      </c>
      <c r="CF31" s="1532" t="e">
        <f aca="false">IF(BS31,(CE31*BR31+CD31*BK31)/BS31,0)</f>
        <v>#VALUE!</v>
      </c>
      <c r="CG31" s="1586" t="e">
        <f aca="false">IF(OR(BQ31,BS31),IF(OVolType&lt;&gt;2,SQRT(IF(OVolOverMonthlyPeak,OVolOverMonthlyPeak,IF(OVolCurve,IF(OBuySell,U31,W31),V31))^2*(1-15/365.25/BT31)+IF(OVolOverDailyPeak,OVolOverDailyPeak,IF(OVolCurve,IF(OBuySell,AG31,AI31),AH31))^2*15/365.25/BT31),IF(OVolOverMonthlyPeak,OVolOverMonthlyPeak,IF(OVolCurve,IF(OBuySell,U31,W31),V31))),"")</f>
        <v>#VALUE!</v>
      </c>
      <c r="CH31" s="1587" t="e">
        <f aca="false">IF(OR(BQ31,BS31),IF(OVolType&lt;&gt;2,SQRT(IF(OVolOverMonthlyPeak,OVolOverMonthlyPeak,IF(OVolCurve,IF(OBuySell,X31,Z31),Y31))^2*(1-15/365.25/BT31)+IF(OVolOverDailyPeak,OVolOverDailyPeak,IF(OVolCurve,IF(OBuySell,AJ31,AL31),AK31))^2*15/365.25/BT31),IF(OVolOverMonthlyPeak,OVolOverMonthlyPeak,IF(OVolCurve,IF(OBuySell,X31,Z31),Y31))),"")</f>
        <v>#VALUE!</v>
      </c>
      <c r="CI31" s="1587" t="e">
        <f aca="false">IF(OR(BQ31,BS31),IF(OVolType&lt;&gt;2,SQRT(IF(OVolOverMonthlyPeak,OVolOverMonthlyPeak,IF(OVolCurve,IF(OBuySell,AA31,AC31),AB31))^2*(1-15/365.25/BT31)+IF(OVolOverDailyPeak,OVolOverDailyPeak,IF(OVolCurve,IF(OBuySell,AM31,AO31),AN31))^2*15/365.25/BT31),IF(OVolOverMonthlyPeak,OVolOverMonthlyPeak,IF(OVolCurve,IF(OBuySell,AA31,AC31),AB31))),"")</f>
        <v>#VALUE!</v>
      </c>
      <c r="CJ31" s="1587" t="e">
        <f aca="false">IF(BQ31,IF(BP31,SQRT(LN(1+((BU31*AZ31)^2*(EXP(CG31^2*BT31)-1)+(BV31*BA31)^2*(EXP(CH31^2*BT31)-1)+(BW31*BB31)^2*(EXP(CI31^2*BT31)-1)+2*BU31*AZ31*BV31*BA31*(EXP(CG31*CH31*BT31)-1)+2*BV31*BA31*BW31*BB31*(EXP(CH31*CI31*BT31)-1)+2*BW31*BB31*BU31*AZ31*(EXP(CI31*CG31*BT31)-1))/(BY31*BP31)^2)/BT31),0),"")</f>
        <v>#VALUE!</v>
      </c>
      <c r="CK31" s="1587" t="e">
        <f aca="false">IF(BS31,IF(BR31,SQRT(LN(1+((CA31*BH31)^2*(EXP(CG31^2*BT31)-1)+(CB31*BI31)^2*(EXP(CH31^2*BT31)-1)+(CC31*BJ31)^2*(EXP(CI31^2*BT31)-1)+2*CA31*BH31*CB31*BI31*(EXP(CG31*CH31*BT31)-1)+2*CB31*BI31*CC31*BJ31*(EXP(CH31*CI31*BT31)-1)+2*CC31*BJ31*CA31*BH31*(EXP(CI31*CG31*BT31)-1))/(CE31*BR31)^2)/BT31),0),"")</f>
        <v>#VALUE!</v>
      </c>
      <c r="CL31" s="1587" t="e">
        <f aca="false">IF(OR(BQ31,BS31),IF(OVolType&lt;&gt;2,SQRT(IF(OVolOverMonthlyOffPeak,OVolOverMonthlyOffPeak,IF(OVolCurve,IF(OBuySell,AD31,AF31),AE31))^2*(1-15/365.25/BT31)+IF(OVolOverDailyOffPeak,OVolOverDailyOffPeak,IF(OVolCurve,IF(OBuySell,AP31,AR31),AQ31))^2*15/365.25/BT31),IF(OVolOverMonthlyOffPeak,OVolOverMonthlyOffPeak,IF(OVolCurve,IF(OBuySell,AD31,AF31),AE31))),"")</f>
        <v>#VALUE!</v>
      </c>
      <c r="CM31" s="1587" t="e">
        <f aca="false">IF(BQ31,SQRT(LN(1+((BY31*BP31)^2*(EXP(CJ31^2*BT31)-1)+(BX31*BC31)^2*(EXP(CL31^2*BT31)-1)+2*BY31*BP31*BX31*BC31*(EXP(AS31*CJ31*CL31*BT31)-1))/(BY31*BP31+BX31*BC31)^2)/BT31),"")</f>
        <v>#VALUE!</v>
      </c>
      <c r="CN31" s="1588" t="e">
        <f aca="false">IF(BS31,SQRT(LN(1+((CE31*BR31)^2*(EXP(CK31^2*BT31)-1)+(CD31*BK31)^2*(EXP(CL31^2*BT31)-1)+2*CE31*BR31*CD31*BK31*(EXP(AS31*CK31*CL31*BT31)-1))/(CE31*BR31+CD31*BK31)^2)/BT31),"")</f>
        <v>#VALUE!</v>
      </c>
      <c r="CO31" s="1531" t="e">
        <f aca="false">IF(OR(BQ31,BS31),VLOOKUP(A31,GasTable,13)*HeatRatePeak*(1+VLOOKUP($B31,HeatRateDegradation,$C31+1))/1000,0)</f>
        <v>#VALUE!</v>
      </c>
      <c r="CP31" s="1316" t="e">
        <f aca="false">IF(OR(BQ31,BS31),VLOOKUP(A31,GasTable,13)*HeatRatePeak*(1+VLOOKUP($B31,HeatRateDegradation,$C31+1))/1000,0)</f>
        <v>#VALUE!</v>
      </c>
      <c r="CQ31" s="1316" t="e">
        <f aca="false">IF(OR(BQ31,BS31),VLOOKUP(A31,GasTable,13)*IF(EV31,HeatRatePeak,HeatRateOffPeak)*(1+VLOOKUP($B31,HeatRateDegradation,$C31+1))/1000,0)</f>
        <v>#VALUE!</v>
      </c>
      <c r="CR31" s="1316" t="e">
        <f aca="false">IF(OR(BQ31,BS31),VLOOKUP(A31,GasTable,13)*IF(EW31,HeatRatePeak,HeatRateOffPeak)*(1+VLOOKUP($B31,HeatRateDegradation,$C31+1))/1000,0)</f>
        <v>#VALUE!</v>
      </c>
      <c r="CS31" s="1589" t="e">
        <f aca="false">IF(BQ31,(CO31*AZ31+CP31*BA31+CQ31*BB31+CR31*BC31)/BQ31,0)</f>
        <v>#VALUE!</v>
      </c>
      <c r="CT31" s="1316" t="e">
        <f aca="false">IF(BS31,CO31,0)</f>
        <v>#VALUE!</v>
      </c>
      <c r="CU31" s="1590" t="e">
        <f aca="false">IF(OR(BQ31,BS31),VLOOKUP(A31,GasTable,14),"")</f>
        <v>#VALUE!</v>
      </c>
      <c r="CV31" s="1568" t="e">
        <f aca="false">IF(OR(BQ31,BS31),IF(CorrPowerGasOverFlag,INDEX(CorrPowerGasOver,C31),CorrPowerGas),"")</f>
        <v>#VALUE!</v>
      </c>
      <c r="CW31" s="1316" t="e">
        <f aca="false">IF(OR($BQ31,$BS31),SpreadOptPowerMargin,0)*((1+Assumptions!$C$26)^($B31-YEAR(Assumptions!$C$17)))</f>
        <v>#VALUE!</v>
      </c>
      <c r="CX31" s="1316" t="e">
        <f aca="false">IF(OR($BQ31,$BS31),SpreadOptPowerMargin,0)*((1+Assumptions!$C$26)^($B31-YEAR(Assumptions!$C$17)))</f>
        <v>#VALUE!</v>
      </c>
      <c r="CY31" s="1316" t="e">
        <f aca="false">IF(OR($BQ31,$BS31),SpreadOptPowerMargin,0)*((1+Assumptions!$C$26)^($B31-YEAR(Assumptions!$C$17)))</f>
        <v>#VALUE!</v>
      </c>
      <c r="CZ31" s="1316" t="e">
        <f aca="false">IF(OR($BQ31,$BS31),SpreadOptPowerMargin,0)*((1+Assumptions!$C$26)^($B31-YEAR(Assumptions!$C$17)))</f>
        <v>#VALUE!</v>
      </c>
      <c r="DA31" s="1591" t="e">
        <f aca="false">IF(OR(BQ31,BS31),(CW31*(AZ31+BH31)+CX31*(BA31+BI31)+CY31*(BB31+BJ31)+CZ31*(BC31+BK31))/(BQ31+BS31),0)</f>
        <v>#VALUE!</v>
      </c>
      <c r="DB31" s="1592" t="e">
        <f aca="false">IF(OR(BQ31,BS31),CG31+IF(OVolSmile,VLOOKUP(MAX(-5,CO31+CW31-BU31),IF(OVolSmile=1,VolSmileBook,VolSmileModel),2),0),"")</f>
        <v>#VALUE!</v>
      </c>
      <c r="DC31" s="1592" t="e">
        <f aca="false">IF(OR(BQ31,BS31),CH31+IF(OVolSmile,VLOOKUP(MAX(-5,CP31+CW31-BV31),IF(OVolSmile=1,VolSmileBook,VolSmileModel),2),0),"")</f>
        <v>#VALUE!</v>
      </c>
      <c r="DD31" s="1592" t="e">
        <f aca="false">IF(OR(BQ31,BS31),CI31+IF(OVolSmile,VLOOKUP(MAX(-5,CQ31+CW31-BW31),IF(OVolSmile=1,VolSmileBook,VolSmileModel),2),0),"")</f>
        <v>#VALUE!</v>
      </c>
      <c r="DE31" s="1592" t="e">
        <f aca="false">IF(OR(BQ31,BS31),CL31+IF(OVolSmile,VLOOKUP(MAX(-5,CR31+CZ31-BX31),IF(OVolSmile=1,VolSmileBook,VolSmileModel),2),0),"")</f>
        <v>#VALUE!</v>
      </c>
      <c r="DF31" s="1592" t="e">
        <f aca="false">IF(BQ31,CM31+IF(OVolSmile,VLOOKUP(MAX(-5,CS31+DA31-BZ31),IF(OVolSmile=1,VolSmileBook,VolSmileModel),2),0),"")</f>
        <v>#VALUE!</v>
      </c>
      <c r="DG31" s="1593" t="e">
        <f aca="false">IF(BS31,CN31+IF(OVolSmile,VLOOKUP(MAX(-5,CT31+DA31-CF31),IF(OVolSmile=1,VolSmileBook,VolSmileModel),2),0),"")</f>
        <v>#VALUE!</v>
      </c>
      <c r="DH31" s="1316" t="e">
        <f aca="false">IF(AND(BU31&gt;0,CO31&gt;0,DB31&gt;0,CU31&gt;0),newSPRDOPT(BU31,CO31,CW31,0,DB31,CU31,CV31,BT31*365.25,OCallPut,0),0)</f>
        <v>#VALUE!</v>
      </c>
      <c r="DI31" s="1316" t="e">
        <f aca="false">IF(AND(BV31&gt;0,CP31&gt;0,DC31&gt;0,CU31&gt;0),newSPRDOPT(BV31,CP31,CX31,0,DC31,CU31,CV31,BT31*365.25,OCallPut,0),0)</f>
        <v>#VALUE!</v>
      </c>
      <c r="DJ31" s="1316" t="e">
        <f aca="false">IF(AND(BW31&gt;0,CQ31&gt;0,DD31&gt;0,CU31&gt;0),newSPRDOPT(BW31,CQ31,CY31,0,DD31,CU31,CV31,BT31*365.25,OCallPut,0),0)</f>
        <v>#VALUE!</v>
      </c>
      <c r="DK31" s="1316" t="e">
        <f aca="false">IF(AND(BX31&gt;0,CR31&gt;0,DE31&gt;0,CU31&gt;0),newSPRDOPT(BX31,CR31,CZ31,0,DE31,CU31,CV31,BT31*365.25,OCallPut,0),0)</f>
        <v>#VALUE!</v>
      </c>
      <c r="DL31" s="1316" t="e">
        <f aca="false">IF(OVolType,IF(AND(BZ31&gt;0,CS31&gt;0,DF31&gt;0,CU31&gt;0),newSPRDOPT(BZ31,CS31,DA31,0,DF31,CU31,CV31,BT31*365.25,OCallPut,0),0),IF(BQ31,(DH31*AZ31+DI31*BA31+DJ31*BB31+DK31*BC31)/BQ31,0))</f>
        <v>#VALUE!</v>
      </c>
      <c r="DM31" s="1316"/>
      <c r="DN31" s="1316"/>
      <c r="DO31" s="1316"/>
      <c r="DP31" s="1316"/>
      <c r="DQ31" s="1316"/>
      <c r="DR31" s="1316"/>
      <c r="DS31" s="1316"/>
      <c r="DT31" s="1316"/>
      <c r="DU31" s="1316"/>
      <c r="DV31" s="1316"/>
      <c r="DW31" s="1594" t="e">
        <f aca="false">IF(AND(BW31&gt;0,CT31&gt;0,DD31&gt;0,CU31&gt;0),newSPRDOPT(BW31,CT31,CY31,0,DD31,CU31,CV31,BT31*365.25,OCallPut,0),0)</f>
        <v>#VALUE!</v>
      </c>
      <c r="DX31" s="1316" t="e">
        <f aca="false">IF(AND(BX31&gt;0,CT31&gt;0,DE31&gt;0,CU31&gt;0),newSPRDOPT(BX31,CT31,CZ31,0,DE31,CU31,CV31,BT31*365.25,OCallPut,0),0)</f>
        <v>#VALUE!</v>
      </c>
      <c r="DY31" s="1591" t="e">
        <f aca="false">IF(BS31,(DH31*BH31+DI31*BI31+DW31*BJ31+DX31*BK31)/BS31,0)</f>
        <v>#VALUE!</v>
      </c>
      <c r="DZ31" s="1551" t="e">
        <f aca="false">DH31*AZ31</f>
        <v>#VALUE!</v>
      </c>
      <c r="EA31" s="1551" t="e">
        <f aca="false">DI31*BA31</f>
        <v>#VALUE!</v>
      </c>
      <c r="EB31" s="1551" t="e">
        <f aca="false">DJ31*BB31</f>
        <v>#VALUE!</v>
      </c>
      <c r="EC31" s="1551" t="e">
        <f aca="false">DK31*BC31</f>
        <v>#VALUE!</v>
      </c>
      <c r="ED31" s="1551" t="e">
        <f aca="false">DL31*BQ31</f>
        <v>#VALUE!</v>
      </c>
      <c r="EE31" s="1595" t="e">
        <f aca="false">IF(BQ31,IF(OCallPut,IF(BU31&gt;(CO31+CW31),BU31-(CO31+CW31),0),IF((CO31+CW31)&gt;BU31,(CO31+CW31)-BU31,0))*AZ31,0)</f>
        <v>#VALUE!</v>
      </c>
      <c r="EF31" s="1596" t="e">
        <f aca="false">IF(BQ31,IF(OCallPut,IF(BV31&gt;(CP31+CX31),BV31-(CP31+CX31),0),IF((CP31+CX31)&gt;BV31,(CP31+CX31)-BV31,0))*BA31,0)</f>
        <v>#VALUE!</v>
      </c>
      <c r="EG31" s="1596" t="e">
        <f aca="false">IF(BQ31,IF(OCallPut,IF(BW31&gt;(CQ31+CY31),BW31-(CQ31+CY31),0),IF((CQ31+CY31)&gt;BW31,(CQ31+CY31)-BW31,0))*BB31,0)</f>
        <v>#VALUE!</v>
      </c>
      <c r="EH31" s="1596" t="e">
        <f aca="false">IF(BQ31,IF(OCallPut,IF(BX31&gt;(CR31+CZ31),BX31-(CR31+CZ31),0),IF((CR31+CZ31)&gt;BX31,(CR31+CZ31)-BX31,0))*BC31,0)</f>
        <v>#VALUE!</v>
      </c>
      <c r="EI31" s="1597" t="e">
        <f aca="false">IF(BQ31,IF(OVolType,IF(OCallPut,IF(BZ31&gt;(CS31+DA31),BZ31-(CS31+DA31),0),IF((CS31+DA31)&gt;BZ31,(CS31+DA31)-BZ31,0))*BQ31,SUM(EE31:EH31)),0)</f>
        <v>#VALUE!</v>
      </c>
      <c r="EJ31" s="1595" t="e">
        <f aca="false">DZ31-EE31</f>
        <v>#VALUE!</v>
      </c>
      <c r="EK31" s="1596" t="e">
        <f aca="false">EA31-EF31</f>
        <v>#VALUE!</v>
      </c>
      <c r="EL31" s="1596" t="e">
        <f aca="false">EB31-EG31</f>
        <v>#VALUE!</v>
      </c>
      <c r="EM31" s="1596" t="e">
        <f aca="false">EC31-EH31</f>
        <v>#VALUE!</v>
      </c>
      <c r="EN31" s="1597" t="e">
        <f aca="false">ED31-EI31</f>
        <v>#VALUE!</v>
      </c>
      <c r="EO31" s="1551" t="e">
        <f aca="false">DH31*BH31</f>
        <v>#VALUE!</v>
      </c>
      <c r="EP31" s="1551" t="e">
        <f aca="false">DI31*BI31</f>
        <v>#VALUE!</v>
      </c>
      <c r="EQ31" s="1551" t="e">
        <f aca="false">DW31*BJ31</f>
        <v>#VALUE!</v>
      </c>
      <c r="ER31" s="1551" t="e">
        <f aca="false">DX31*BK31</f>
        <v>#VALUE!</v>
      </c>
      <c r="ES31" s="1551" t="e">
        <f aca="false">DY31*BS31</f>
        <v>#VALUE!</v>
      </c>
      <c r="ET31" s="1566" t="e">
        <f aca="false">IF(BS31,IF(OCallPut,IF(CA31&gt;(CT31+CW31),CA31-(CT31+CW31),0),IF((CT31+CW31)&gt;CA31,(CT31+CW31)-CA31,0))*BH31,0)</f>
        <v>#VALUE!</v>
      </c>
      <c r="EU31" s="1551" t="e">
        <f aca="false">IF(BS31,IF(OCallPut,IF(CB31&gt;(CT31+CX31),CB31-(CT31+CX31),0),IF((CT31+CX31)&gt;CB31,(CT31+CX31)-CB31,0))*BI31,0)</f>
        <v>#VALUE!</v>
      </c>
      <c r="EV31" s="1551" t="e">
        <f aca="false">IF(BS31,IF(OCallPut,IF(CC31&gt;(CT31+CY31),CC31-(CT31+CY31),0),IF((CT31+CY31)&gt;CC31,(CT31+CY31)-CC31,0))*BJ31,0)</f>
        <v>#VALUE!</v>
      </c>
      <c r="EW31" s="1551" t="e">
        <f aca="false">IF(BS31,IF(OCallPut,IF(CD31&gt;(CT31+CZ31),CD31-(CT31+CZ31),0),IF((CT31+CZ31)&gt;CD31,(CT31+CZ31)-CD31,0))*BK31,0)</f>
        <v>#VALUE!</v>
      </c>
      <c r="EX31" s="1558" t="e">
        <f aca="false">IF(BS31,SUM(ET31:EW31),0)</f>
        <v>#VALUE!</v>
      </c>
      <c r="EY31" s="1551" t="e">
        <f aca="false">EO31-ET31</f>
        <v>#VALUE!</v>
      </c>
      <c r="EZ31" s="1551" t="e">
        <f aca="false">EP31-EU31</f>
        <v>#VALUE!</v>
      </c>
      <c r="FA31" s="1551" t="e">
        <f aca="false">EQ31-EV31</f>
        <v>#VALUE!</v>
      </c>
      <c r="FB31" s="1551" t="e">
        <f aca="false">ER31-EW31</f>
        <v>#VALUE!</v>
      </c>
      <c r="FC31" s="1551" t="e">
        <f aca="false">ES31-EX31</f>
        <v>#VALUE!</v>
      </c>
      <c r="FD31" s="1525" t="n">
        <f aca="false">IF(AX31,IF(VLOOKUP(C31,MAIN!$L$17:$M$28,2)="Yes",VLOOKUP(CALC!B31,MAIN!$H$17:$I$20,2),0),0)</f>
        <v>0</v>
      </c>
      <c r="FE31" s="1552" t="n">
        <f aca="false">$FD31*16*AT31*(1-$AY31)</f>
        <v>0</v>
      </c>
      <c r="FF31" s="1553" t="n">
        <f aca="false">$FD31*16*AU31*(1-$AY31)</f>
        <v>0</v>
      </c>
      <c r="FG31" s="1553" t="n">
        <f aca="false">$FD31*16*(AV31+AW31)*(1-$AY31)</f>
        <v>0</v>
      </c>
      <c r="FH31" s="1554" t="n">
        <f aca="false">$FD31*8*AX31*(1-$AY31)</f>
        <v>0</v>
      </c>
      <c r="FI31" s="1555" t="n">
        <f aca="false">IF(AX31,VLOOKUP(CALC!B31,MAIN!$H$17:$K$20,4),0)</f>
        <v>0</v>
      </c>
      <c r="FJ31" s="1553" t="n">
        <f aca="false">SUM(FE31:FH31)</f>
        <v>0</v>
      </c>
      <c r="FK31" s="1556" t="n">
        <f aca="false">FI31*FJ31</f>
        <v>0</v>
      </c>
      <c r="FL31" s="1551" t="e">
        <f aca="false">IF($EI31&gt;0,MIN(FE31,AZ31*(1+VLOOKUP($C31,WeatherCapacityAdjustment,2))),0)</f>
        <v>#VALUE!</v>
      </c>
      <c r="FM31" s="1551" t="e">
        <f aca="false">IF($EI31&gt;0,MIN(FF31,BA31*(1+VLOOKUP($C31,WeatherCapacityAdjustment,2))),0)</f>
        <v>#VALUE!</v>
      </c>
      <c r="FN31" s="1551" t="e">
        <f aca="false">IF($EI31&gt;0,MIN(FG31,BB31*(1+VLOOKUP($C31,WeatherCapacityAdjustment,2))),0)</f>
        <v>#VALUE!</v>
      </c>
      <c r="FO31" s="1564" t="e">
        <f aca="false">IF($EI31&gt;0,MIN(FH31,BC31*(1+VLOOKUP($C31,WeatherCapacityAdjustment,3))),0)</f>
        <v>#VALUE!</v>
      </c>
      <c r="FP31" s="1551" t="e">
        <f aca="false">IF(ET31&gt;0,MIN(FE31-FL31,BH31*(1+VLOOKUP($C31,WeatherCapacityAdjustment,2))),0)</f>
        <v>#VALUE!</v>
      </c>
      <c r="FQ31" s="1551" t="e">
        <f aca="false">IF(EU31&gt;0,MIN(FF31-FM31,BI31*(1+VLOOKUP($C31,WeatherCapacityAdjustment,2))),0)</f>
        <v>#VALUE!</v>
      </c>
      <c r="FR31" s="1551" t="e">
        <f aca="false">IF(EV31&gt;0,MIN(FG31-FN31,BJ31*(1+VLOOKUP($C31,WeatherCapacityAdjustment,2))),0)</f>
        <v>#VALUE!</v>
      </c>
      <c r="FS31" s="1558" t="e">
        <f aca="false">IF(EW31&gt;0,MIN(FH31-FO31,BK31*(1+VLOOKUP($C31,WeatherCapacityAdjustment,3))),0)</f>
        <v>#VALUE!</v>
      </c>
      <c r="FT31" s="1566" t="n">
        <f aca="false">IF(AND(Assumptions!$H$71="Yes",A31&gt;=Assumptions!$H$72,A31&lt;=Assumptions!$H$73),0,IF(AND($A31&gt;=Assumptions!$C$17,$A31&lt;=Assumptions!$C$18),MAX(AZ31*(1+VLOOKUP($C31,WeatherCapacityAdjustment,2))-FL31,0),0))</f>
        <v>0</v>
      </c>
      <c r="FU31" s="1551" t="n">
        <f aca="false">IF(AND(Assumptions!$H$71="Yes",A31&gt;=Assumptions!$H$72,A31&lt;=Assumptions!$H$73),0,IF(AND($A31&gt;=Assumptions!$C$17,$A31&lt;=Assumptions!$C$18),MAX(BA31*(1+VLOOKUP($C31,WeatherCapacityAdjustment,2))-FM31,0),0))</f>
        <v>0</v>
      </c>
      <c r="FV31" s="1551" t="n">
        <f aca="false">IF(AND(Assumptions!$H$71="Yes",A31&gt;=Assumptions!$H$72,A31&lt;=Assumptions!$H$73),0,IF(AND($A31&gt;=Assumptions!$C$17,$A31&lt;=Assumptions!$C$18),MAX(BB31*(1+VLOOKUP($C31,WeatherCapacityAdjustment,2))-FN31,0),0))</f>
        <v>0</v>
      </c>
      <c r="FW31" s="1564" t="n">
        <f aca="false">IF(AND(Assumptions!$H$71="Yes",A31&gt;=Assumptions!$H$72,A31&lt;=Assumptions!$H$73),0,IF(AND($A31&gt;=Assumptions!$C$17,$A31&lt;=Assumptions!$C$18),MAX(BC31*(1+VLOOKUP($C31,WeatherCapacityAdjustment,3))-FO31,0),0))</f>
        <v>0</v>
      </c>
      <c r="FX31" s="1569" t="e">
        <f aca="false">IF(AND(Assumptions!$H$71="Yes",A31&gt;=Assumptions!$H$72,A31&lt;=Assumptions!$H$73),0,IF(ET31&gt;0,MAX(BH31*(1+VLOOKUP($C31,WeatherCapacityAdjustment,2))-FP31,0),0))</f>
        <v>#VALUE!</v>
      </c>
      <c r="FY31" s="1551" t="e">
        <f aca="false">IF(AND(Assumptions!$H$71="Yes",A31&gt;=Assumptions!$H$72,A31&lt;=Assumptions!$H$73),0,IF(EU31&gt;0,MAX(BI31*(1+VLOOKUP($C31,WeatherCapacityAdjustment,3))-FQ31,0),0))</f>
        <v>#VALUE!</v>
      </c>
      <c r="FZ31" s="1551" t="e">
        <f aca="false">IF(AND(Assumptions!$H$71="Yes",A31&gt;=Assumptions!$H$72,A31&lt;=Assumptions!$H$73),0,IF(EV31&gt;0,MAX(BJ31*(1+VLOOKUP($C31,WeatherCapacityAdjustment,2))-FR31,0),0))</f>
        <v>#VALUE!</v>
      </c>
      <c r="GA31" s="1564" t="e">
        <f aca="false">IF(AND(Assumptions!$H$71="Yes",A31&gt;=Assumptions!$H$72,A31&lt;=Assumptions!$H$73),0,IF(EW31&gt;0,MAX(BK31*(1+VLOOKUP($C31,WeatherCapacityAdjustment,2))-FS31,0),0))</f>
        <v>#VALUE!</v>
      </c>
      <c r="GB31" s="1551" t="e">
        <f aca="false">SUM(FT31:GA31)</f>
        <v>#VALUE!</v>
      </c>
      <c r="GC31" s="1563" t="e">
        <f aca="false">+IF(SUM(FT31:GA31)=0,0,(SUMPRODUCT(BU31:BX31,FT31:FW31)+SUMPRODUCT(CA31:CD31,FX31:GA31))/SUM(FT31:GA31))</f>
        <v>#VALUE!</v>
      </c>
      <c r="GD31" s="1551" t="e">
        <f aca="false">(FT31*BU31+FX31*CA31+FU31*BV31+FY31*CB31+FV31*BW31+FZ31*CC31+FW31*BX31+GA31*CD31)</f>
        <v>#VALUE!</v>
      </c>
      <c r="GE31" s="1561" t="e">
        <f aca="false">+IF(BQ31,((FL31+FM31+FT31+FU31)*HeatRatePeak/1000*(1+VLOOKUP($C31,WeatherHeatRateAdjustment,2))+(FN31+FV31)*IF(EV31&gt;0,HeatRatePeak,HeatRateOffPeak)/1000*(1+VLOOKUP($C31,WeatherHeatRateAdjustment,2))+(FO31+FW31)*IF(EW31&gt;0,HeatRatePeak,HeatRateOffPeak)/1000*(1+VLOOKUP($C31,WeatherHeatRateAdjustment,3)))*(1+VLOOKUP($B31,HeatRateDegradation,$C31+1)),0)</f>
        <v>#VALUE!</v>
      </c>
      <c r="GF31" s="1562" t="e">
        <f aca="false">IF(BQ31,((FP31+FQ31+FR31+FX31+FY31+FZ31)*HeatRatePeak/1000*(1+VLOOKUP($C31,WeatherHeatRateAdjustment,2))+(FS31+GA31)*HeatRatePeak/1000*(1+VLOOKUP($C31,WeatherHeatRateAdjustment,3)))*(1+VLOOKUP($B31,HeatRateDegradation,$C31+1)),0)</f>
        <v>#VALUE!</v>
      </c>
      <c r="GG31" s="1563" t="e">
        <f aca="false">IF(BQ31,VLOOKUP(A31,GasTable,13),0)</f>
        <v>#VALUE!</v>
      </c>
      <c r="GH31" s="1564" t="e">
        <f aca="false">(GE31+GF31)*GG31</f>
        <v>#VALUE!</v>
      </c>
      <c r="GI31" s="1569" t="e">
        <f aca="false">GB31</f>
        <v>#VALUE!</v>
      </c>
      <c r="GJ31" s="1598" t="e">
        <f aca="false">+DA31</f>
        <v>#VALUE!</v>
      </c>
      <c r="GK31" s="1558" t="e">
        <f aca="false">+GI31*GJ31</f>
        <v>#VALUE!</v>
      </c>
      <c r="GL31" s="1566" t="e">
        <f aca="false">MAX(FE31-FL31-FP31,0)</f>
        <v>#VALUE!</v>
      </c>
      <c r="GM31" s="1551" t="e">
        <f aca="false">MAX(FF31-FM31-FQ31,0)</f>
        <v>#VALUE!</v>
      </c>
      <c r="GN31" s="1551" t="e">
        <f aca="false">MAX(FG31-FN31-FR31,0)</f>
        <v>#VALUE!</v>
      </c>
      <c r="GO31" s="1564" t="e">
        <f aca="false">MAX(FH31-FO31-FS31,0)</f>
        <v>#VALUE!</v>
      </c>
      <c r="GP31" s="1551" t="e">
        <f aca="false">SUM(GL31:GO31)</f>
        <v>#VALUE!</v>
      </c>
      <c r="GQ31" s="1563" t="e">
        <f aca="false">IF(SUM(GL31:GO31)=0,0,((GL31*BU31+GM31*BV31+GN31*BW31+GO31*BX31)/SUM(GL31:GO31)))</f>
        <v>#VALUE!</v>
      </c>
      <c r="GR31" s="1558" t="e">
        <f aca="false">(GL31*BU31+GM31*BV31+GN31*BW31+GO31*BX31)</f>
        <v>#VALUE!</v>
      </c>
      <c r="GS31" s="1566" t="n">
        <f aca="false">IF($A31&gt;=BegDate,Assumptions!$C$56*24*($A32-$A31)*(1-VLOOKUP($B31,MAIN!$AA$7:$AM$28,$C31+1))*(1-VLOOKUP($B31,MAIN!$AA$33:$AM$54,$C31+1)),0)*80/168</f>
        <v>0</v>
      </c>
      <c r="GT31" s="286" t="n">
        <f aca="false">J31</f>
        <v>30.366522</v>
      </c>
      <c r="GU31" s="286" t="n">
        <f aca="false">IF($A31&gt;=BegDate,VLOOKUP($A31,GasTable,13)+Assumptions!$C$58,0)</f>
        <v>0</v>
      </c>
      <c r="GV31" s="286" t="n">
        <f aca="false">GU31*Assumptions!$C$57/1000</f>
        <v>0</v>
      </c>
      <c r="GW31" s="1558" t="n">
        <f aca="false">IF(Assumptions!$C$60="Hourly",MAX(0,GS31*(GT31-GV31)),GS31*(GT31-GV31))</f>
        <v>0</v>
      </c>
      <c r="GX31" s="1566" t="n">
        <f aca="false">IF($A31&gt;=BegDate,Assumptions!$C$56*24*($A32-$A31)*(1-VLOOKUP($B31,MAIN!$AA$7:$AM$28,$C31+1))*(1-VLOOKUP($B31,MAIN!$AA$33:$AM$54,$C31+1)),0)*16/168</f>
        <v>0</v>
      </c>
      <c r="GY31" s="286" t="n">
        <f aca="false">M31</f>
        <v>30.366522</v>
      </c>
      <c r="GZ31" s="286" t="n">
        <f aca="false">IF($A31&gt;=BegDate,VLOOKUP($A31,GasTable,13)+Assumptions!$C$58,0)</f>
        <v>0</v>
      </c>
      <c r="HA31" s="286" t="n">
        <f aca="false">GZ31*Assumptions!$C$57/1000</f>
        <v>0</v>
      </c>
      <c r="HB31" s="1558" t="n">
        <f aca="false">IF(Assumptions!$C$60="Hourly",MAX(0,GX31*(GY31-HA31)),GX31*(GY31-HA31))</f>
        <v>0</v>
      </c>
      <c r="HC31" s="1566" t="n">
        <f aca="false">IF($A31&gt;=BegDate,Assumptions!$C$56*24*($A32-$A31)*(1-VLOOKUP($B31,MAIN!$AA$7:$AM$28,$C31+1))*(1-VLOOKUP($B31,MAIN!$AA$33:$AM$54,$C31+1)),0)*16/168</f>
        <v>0</v>
      </c>
      <c r="HD31" s="286" t="n">
        <f aca="false">P31</f>
        <v>15.910062</v>
      </c>
      <c r="HE31" s="286" t="n">
        <f aca="false">IF($A31&gt;=BegDate,VLOOKUP($A31,GasTable,13)+Assumptions!$C$58,0)</f>
        <v>0</v>
      </c>
      <c r="HF31" s="286" t="n">
        <f aca="false">HE31*Assumptions!$C$57/1000</f>
        <v>0</v>
      </c>
      <c r="HG31" s="1558" t="n">
        <f aca="false">IF(Assumptions!$C$60="Hourly",MAX(0,HC31*(HD31-HF31)),HC31*(HD31-HF31))</f>
        <v>0</v>
      </c>
      <c r="HH31" s="1566" t="n">
        <f aca="false">IF($A31&gt;=BegDate,Assumptions!$C$56*24*($A32-$A31)*(1-VLOOKUP($B31,MAIN!$AA$7:$AM$28,$C31+1))*(1-VLOOKUP($B31,MAIN!$AA$33:$AM$54,$C31+1)),0)*56/168</f>
        <v>0</v>
      </c>
      <c r="HI31" s="286" t="n">
        <f aca="false">S31</f>
        <v>15.910062</v>
      </c>
      <c r="HJ31" s="286" t="n">
        <f aca="false">IF($A31&gt;=BegDate,VLOOKUP($A31,GasTable,13)+Assumptions!$C$58,0)</f>
        <v>0</v>
      </c>
      <c r="HK31" s="286" t="n">
        <f aca="false">HJ31*Assumptions!$C$57/1000</f>
        <v>0</v>
      </c>
      <c r="HL31" s="1558" t="n">
        <f aca="false">IF(Assumptions!$C$60="Hourly",MAX(0,HH31*(HI31-HK31)),HH31*(HI31-HK31))</f>
        <v>0</v>
      </c>
      <c r="HM31" s="1566" t="n">
        <f aca="false">IF(AND(Assumptions!$H$71="Yes",A31&gt;=Assumptions!$H$72,A31&lt;=Assumptions!$H$73),Assumptions!$H$74*Assumptions!$C$9*1000,0)</f>
        <v>0</v>
      </c>
      <c r="HN31" s="1558"/>
      <c r="HO31" s="1567" t="n">
        <f aca="false">HO30+1</f>
        <v>2017</v>
      </c>
      <c r="HP31" s="1566" t="e">
        <f aca="false">SUMIF($B$17:$B$292,HO31,$FJ$17:$FJ$292)</f>
        <v>#VALUE!</v>
      </c>
      <c r="HQ31" s="1568" t="e">
        <f aca="false">IF(HR31=0,0,HR31/HP31)</f>
        <v>#VALUE!</v>
      </c>
      <c r="HR31" s="1564" t="e">
        <f aca="false">SUMIF($B$17:$B$292,HO31,$FK$17:$FK$292)</f>
        <v>#VALUE!</v>
      </c>
      <c r="HS31" s="1569" t="e">
        <f aca="false">SUMIF($B$17:$B$292,HO31,$GB$17:$GB$292)</f>
        <v>#VALUE!</v>
      </c>
      <c r="HT31" s="1563" t="e">
        <f aca="false">+IF(HS31&gt;0,HU31/HS31,0)</f>
        <v>#VALUE!</v>
      </c>
      <c r="HU31" s="1551" t="e">
        <f aca="false">SUMIF($B$17:$B$292,HO31,$GD$17:$GD$292)</f>
        <v>#VALUE!</v>
      </c>
      <c r="HV31" s="1569" t="e">
        <f aca="false">HR31+HU31</f>
        <v>#VALUE!</v>
      </c>
      <c r="HW31" s="1551" t="e">
        <f aca="false">SUMIF($B$17:$B$292,$HO31,$EN$17:$EN$292)</f>
        <v>#VALUE!</v>
      </c>
      <c r="HX31" s="1551" t="e">
        <f aca="false">SUMIF($B$17:$B$292,$HO31,$FC$17:$FC$292)</f>
        <v>#VALUE!</v>
      </c>
      <c r="HY31" s="1551" t="n">
        <f aca="false">IF(Assumptions!$L$24="Yes",HW31+HX31,0)</f>
        <v>0</v>
      </c>
      <c r="HZ31" s="1566" t="e">
        <f aca="false">SUMIF($B$17:$B$292,HO31,$GE$17:$GE$292)+SUMIF($B$17:$B$292,HO31,$GF$17:$GF$292)</f>
        <v>#VALUE!</v>
      </c>
      <c r="IA31" s="1563" t="e">
        <f aca="false">IF(IB31=0,0,IB31/HZ31)</f>
        <v>#VALUE!</v>
      </c>
      <c r="IB31" s="1564" t="e">
        <f aca="false">-SUMIF($B$17:$B$292,HO31,$GH$17:$GH$292)</f>
        <v>#VALUE!</v>
      </c>
      <c r="IC31" s="1569" t="e">
        <f aca="false">SUMIF($B$17:$B$292,HO31,$GI$17:$GI$292)</f>
        <v>#VALUE!</v>
      </c>
      <c r="ID31" s="1563" t="e">
        <f aca="false">IF(IE31=0,0,IE31/IC31)</f>
        <v>#VALUE!</v>
      </c>
      <c r="IE31" s="1564" t="e">
        <f aca="false">-SUMIF($B$17:$B$292,HO31,$GK$17:$GK$292)</f>
        <v>#VALUE!</v>
      </c>
      <c r="IF31" s="1551" t="e">
        <f aca="false">SUMIF($B$17:$B$292,HO31,$GP$17:$GP$292)</f>
        <v>#VALUE!</v>
      </c>
      <c r="IG31" s="1563" t="e">
        <f aca="false">IF(IH31=0,0,IH31/IF31)</f>
        <v>#VALUE!</v>
      </c>
      <c r="IH31" s="1564" t="e">
        <f aca="false">-SUMIF($B$17:$B$292,HO31,$GR$17:$GR$292)</f>
        <v>#VALUE!</v>
      </c>
      <c r="II31" s="1570" t="n">
        <f aca="false">(SUMIF($B$17:$B$292,HO31,$GW$17:$GW$292)+SUMIF($B$17:$B$292,HO31,$HB$17:$HB$292)+SUMIF($B$17:$B$292,HO31,$HG$17:$HG$292)+SUMIF($B$17:$B$292,HO31,$HL$17:$HL$292))*Assumptions!$C$59</f>
        <v>1274971.75748199</v>
      </c>
      <c r="IJ31" s="1309" t="n">
        <f aca="false">SUMIF($B$17:$B$292,HO31,$HM$17:$HM$292)</f>
        <v>0</v>
      </c>
      <c r="IK31" s="1309"/>
    </row>
    <row r="32" customFormat="false" ht="12.75" hidden="false" customHeight="false" outlineLevel="0" collapsed="false">
      <c r="A32" s="1571" t="n">
        <f aca="false">EOMONTH(A31,0)+1</f>
        <v>37104</v>
      </c>
      <c r="B32" s="594" t="n">
        <f aca="false">+YEAR(A32)</f>
        <v>2001</v>
      </c>
      <c r="C32" s="238" t="n">
        <f aca="false">MONTH(A32)</f>
        <v>8</v>
      </c>
      <c r="D32" s="1572" t="str">
        <f aca="false">IF(E32="","",Holiday(B32,C32))</f>
        <v/>
      </c>
      <c r="E32" s="1573" t="str">
        <f aca="false">IF(OR(BegDate&gt;=A33,EndDate&lt;A32,AND(VolumeMonthlyOverFlag,INDEX(VolumeMonthlyOver,C32)=0),NOT(INDEX(MonthKnockOutTable,C32))),"",MAX(A32,BegDate))</f>
        <v/>
      </c>
      <c r="F32" s="1574" t="str">
        <f aca="false">IF(E32="","",MIN(A33-1,EndDate))</f>
        <v/>
      </c>
      <c r="G32" s="1575" t="n">
        <v>0</v>
      </c>
      <c r="H32" s="1576" t="n">
        <f aca="false">(1+G32/2)^(-2*(DATE(B33,C33,20)-DateToday)/365.25)</f>
        <v>1</v>
      </c>
      <c r="I32" s="1568" t="n">
        <f aca="false">IF(Assumptions!$L$25=4,VLOOKUP($A32,'Henwood Reference'!$E$9:$R$320,10),(VLOOKUP($A32,PriceTable,2,0)+IF(BasisNumber&lt;&gt;1,VLOOKUP($A32,BasisTable,2,0),0)+I$1)/(1-I$2))</f>
        <v>35.76987</v>
      </c>
      <c r="J32" s="1568" t="n">
        <f aca="false">IF(Assumptions!$L$25=4,VLOOKUP($A32,'Henwood Reference'!$E$9:$R$320,10),(VLOOKUP($A32,PriceTable,3,0)+IF(BasisNumber&lt;&gt;1,VLOOKUP($A32,BasisTable,2,0),0)+J$1)/(1-J$2))</f>
        <v>35.76987</v>
      </c>
      <c r="K32" s="1568" t="n">
        <f aca="false">IF(Assumptions!$L$25=4,VLOOKUP($A32,'Henwood Reference'!$E$9:$R$320,10),(VLOOKUP($A32,PriceTable,4,0)+IF(BasisNumber&lt;&gt;1,VLOOKUP($A32,BasisTable,2,0),0)+K$1)/(1-K$2))</f>
        <v>35.76987</v>
      </c>
      <c r="L32" s="1523" t="n">
        <f aca="false">IF(Assumptions!$L$25=4,VLOOKUP($A32,'Henwood Reference'!$E$9:$R$320,10),(VLOOKUP($A32,PriceTableWeekend,2,0)+IF(BasisNumber&lt;&gt;1,VLOOKUP($A32,BasisTable,2,0),0)+L$1)/(1-L$2))</f>
        <v>35.76987</v>
      </c>
      <c r="M32" s="1568" t="n">
        <f aca="false">IF(Assumptions!$L$25=4,VLOOKUP($A32,'Henwood Reference'!$E$9:$R$320,10),(VLOOKUP($A32,PriceTableWeekend,3,0)+IF(BasisNumber&lt;&gt;1,VLOOKUP($A32,BasisTable,2,0),0)+M$1)/(1-M$2))</f>
        <v>35.76987</v>
      </c>
      <c r="N32" s="1599" t="n">
        <f aca="false">IF(Assumptions!$L$25=4,VLOOKUP($A32,'Henwood Reference'!$E$9:$R$320,10),(VLOOKUP($A32,PriceTableWeekend,4,0)+IF(BasisNumber&lt;&gt;1,VLOOKUP($A32,BasisTable,2,0),0)+N$1)/(1-N$2))</f>
        <v>35.76987</v>
      </c>
      <c r="O32" s="1568" t="n">
        <f aca="false">IF(Assumptions!$L$25=4,VLOOKUP($A32,'Henwood Reference'!$E$9:$R$320,11),(VLOOKUP($A32,PriceTableWeekend,6,0)+IF(BasisNumber&lt;&gt;1,VLOOKUP($A32,BasisTable,3,0),0)+O$1)/(1-O$2))</f>
        <v>21.531588</v>
      </c>
      <c r="P32" s="1568" t="n">
        <f aca="false">IF(Assumptions!$L$25=4,VLOOKUP($A32,'Henwood Reference'!$E$9:$R$320,11),(VLOOKUP($A32,PriceTableWeekend,7,0)+IF(BasisNumber&lt;&gt;1,VLOOKUP($A32,BasisTable,3,0),0)+P$1)/(1-P$2))</f>
        <v>21.531588</v>
      </c>
      <c r="Q32" s="1599" t="n">
        <f aca="false">IF(Assumptions!$L$25=4,VLOOKUP($A32,'Henwood Reference'!$E$9:$R$320,11),(VLOOKUP($A32,PriceTableWeekend,8,0)+IF(BasisNumber&lt;&gt;1,VLOOKUP($A32,BasisTable,3,0),0)+Q$1)/(1-Q$2))</f>
        <v>21.531588</v>
      </c>
      <c r="R32" s="1568" t="n">
        <f aca="false">IF(Assumptions!$L$25=4,VLOOKUP($A32,'Henwood Reference'!$E$9:$R$320,11),(VLOOKUP($A32,PriceTable,6,0)+IF(BasisNumber&lt;&gt;1,VLOOKUP($A32,BasisTable,3,0),0)+R$1)/(1-R$2))</f>
        <v>21.531588</v>
      </c>
      <c r="S32" s="1568" t="n">
        <f aca="false">IF(Assumptions!$L$25=4,VLOOKUP($A32,'Henwood Reference'!$E$9:$R$320,11),(VLOOKUP($A32,PriceTable,7,0)+IF(BasisNumber&lt;&gt;1,VLOOKUP($A32,BasisTable,3,0),0)+S$1)/(1-S$2))</f>
        <v>21.531588</v>
      </c>
      <c r="T32" s="1600" t="n">
        <f aca="false">IF(Assumptions!$L$25=4,VLOOKUP($A32,'Henwood Reference'!$E$9:$R$320,11),(VLOOKUP($A32,PriceTable,8,0)+IF(BasisNumber&lt;&gt;1,VLOOKUP($A32,BasisTable,3,0),0)+T$1)/(1-T$2))</f>
        <v>21.531588</v>
      </c>
      <c r="U32" s="1513" t="n">
        <f aca="false">VLOOKUP($A32,VolatilityTable,14)</f>
        <v>0.165</v>
      </c>
      <c r="V32" s="1513" t="n">
        <f aca="false">VLOOKUP($A32,VolatilityTable,15)</f>
        <v>0.175</v>
      </c>
      <c r="W32" s="1514" t="n">
        <f aca="false">VLOOKUP($A32,VolatilityTable,16)</f>
        <v>0.185</v>
      </c>
      <c r="X32" s="1513" t="n">
        <f aca="false">VLOOKUP($A32,VolatilityTable,14)</f>
        <v>0.165</v>
      </c>
      <c r="Y32" s="1513" t="n">
        <f aca="false">VLOOKUP($A32,VolatilityTable,15)</f>
        <v>0.175</v>
      </c>
      <c r="Z32" s="1514" t="n">
        <f aca="false">VLOOKUP($A32,VolatilityTable,16)</f>
        <v>0.185</v>
      </c>
      <c r="AA32" s="1513" t="n">
        <f aca="false">VLOOKUP($A32,VolatilityTable,18)</f>
        <v>0.09</v>
      </c>
      <c r="AB32" s="1513" t="n">
        <f aca="false">VLOOKUP($A32,VolatilityTable,19)</f>
        <v>0.11</v>
      </c>
      <c r="AC32" s="1514" t="n">
        <f aca="false">VLOOKUP($A32,VolatilityTable,20)</f>
        <v>0.13</v>
      </c>
      <c r="AD32" s="1513" t="n">
        <f aca="false">VLOOKUP($A32,VolatilityTable,18)</f>
        <v>0.09</v>
      </c>
      <c r="AE32" s="1513" t="n">
        <f aca="false">VLOOKUP($A32,VolatilityTable,19)</f>
        <v>0.11</v>
      </c>
      <c r="AF32" s="1514" t="n">
        <f aca="false">VLOOKUP($A32,VolatilityTable,20)</f>
        <v>0.13</v>
      </c>
      <c r="AG32" s="1513" t="n">
        <f aca="false">VLOOKUP($A32,VolatilityTable,22)</f>
        <v>-0.35</v>
      </c>
      <c r="AH32" s="1513" t="n">
        <f aca="false">VLOOKUP($A32,VolatilityTable,23)</f>
        <v>3</v>
      </c>
      <c r="AI32" s="1514" t="n">
        <f aca="false">VLOOKUP($A32,VolatilityTable,24)</f>
        <v>0.35</v>
      </c>
      <c r="AJ32" s="1513" t="n">
        <f aca="false">VLOOKUP($A32,VolatilityTable,22)</f>
        <v>-0.35</v>
      </c>
      <c r="AK32" s="1513" t="n">
        <f aca="false">VLOOKUP($A32,VolatilityTable,23)</f>
        <v>3</v>
      </c>
      <c r="AL32" s="1514" t="n">
        <f aca="false">VLOOKUP($A32,VolatilityTable,24)</f>
        <v>0.35</v>
      </c>
      <c r="AM32" s="1513" t="n">
        <f aca="false">VLOOKUP($A32,VolatilityTable,26)</f>
        <v>-0.01</v>
      </c>
      <c r="AN32" s="1513" t="n">
        <f aca="false">VLOOKUP($A32,VolatilityTable,27)</f>
        <v>0.16</v>
      </c>
      <c r="AO32" s="1514" t="n">
        <f aca="false">VLOOKUP($A32,VolatilityTable,28)</f>
        <v>0.01</v>
      </c>
      <c r="AP32" s="1513" t="n">
        <f aca="false">VLOOKUP($A32,VolatilityTable,26)</f>
        <v>-0.01</v>
      </c>
      <c r="AQ32" s="1513" t="n">
        <f aca="false">VLOOKUP($A32,VolatilityTable,27)</f>
        <v>0.16</v>
      </c>
      <c r="AR32" s="1515" t="n">
        <f aca="false">VLOOKUP($A32,VolatilityTable,28)</f>
        <v>0.01</v>
      </c>
      <c r="AS32" s="1581" t="n">
        <f aca="false">IF(CorrPeakOffPeakOverFlag,INDEX(CorrPeakOffPeakOver,C32),CorrPeakOffPeak)</f>
        <v>0.5</v>
      </c>
      <c r="AT32" s="594" t="n">
        <f aca="false">AX32-SUM(AU32:AW32)</f>
        <v>0</v>
      </c>
      <c r="AU32" s="238" t="n">
        <f aca="false">IF(E32="",0,INT((F32-MOD(F32,7)-E32)/7)+1-IF(AW32,IF(WEEKDAY(D32)=7,1,0),0))</f>
        <v>0</v>
      </c>
      <c r="AV32" s="238" t="n">
        <f aca="false">IF(E32="",0,INT((F32-MOD(F32-1,7)-E32)/7)+1-IF(AW32,IF(WEEKDAY(D32)=1,1,0),0))</f>
        <v>0</v>
      </c>
      <c r="AW32" s="238" t="n">
        <f aca="false">IF(OR(E32="",D32="",D32&lt;BegDate,D32&gt;EndDate),0,1)</f>
        <v>0</v>
      </c>
      <c r="AX32" s="238" t="n">
        <f aca="false">IF(E32="",0,F32-E32+1)</f>
        <v>0</v>
      </c>
      <c r="AY32" s="1582" t="n">
        <f aca="false">IF(E32="",0,MIN((1-(1-VLOOKUP(B32,MAIN!$AA$7:$AM$28,C32+1))*(1-VLOOKUP(B32,MAIN!$AA$33:$AM$54,C32+1))),1))</f>
        <v>0</v>
      </c>
      <c r="AZ32" s="1519" t="e">
        <v>#VALUE!</v>
      </c>
      <c r="BA32" s="1520" t="e">
        <v>#VALUE!</v>
      </c>
      <c r="BB32" s="1520" t="e">
        <v>#VALUE!</v>
      </c>
      <c r="BC32" s="1583" t="e">
        <v>#VALUE!</v>
      </c>
      <c r="BD32" s="1522" t="e">
        <v>#VALUE!</v>
      </c>
      <c r="BE32" s="1523" t="e">
        <v>#VALUE!</v>
      </c>
      <c r="BF32" s="1523" t="e">
        <v>#VALUE!</v>
      </c>
      <c r="BG32" s="1584" t="e">
        <v>#VALUE!</v>
      </c>
      <c r="BH32" s="1525" t="e">
        <v>#VALUE!</v>
      </c>
      <c r="BI32" s="1520" t="e">
        <v>#VALUE!</v>
      </c>
      <c r="BJ32" s="1520" t="e">
        <v>#VALUE!</v>
      </c>
      <c r="BK32" s="1583" t="e">
        <v>#VALUE!</v>
      </c>
      <c r="BL32" s="1522" t="e">
        <v>#VALUE!</v>
      </c>
      <c r="BM32" s="1523" t="e">
        <v>#VALUE!</v>
      </c>
      <c r="BN32" s="1523" t="e">
        <v>#VALUE!</v>
      </c>
      <c r="BO32" s="1523" t="e">
        <v>#VALUE!</v>
      </c>
      <c r="BP32" s="1525" t="e">
        <f aca="false">SUM(AZ32:BB32)</f>
        <v>#VALUE!</v>
      </c>
      <c r="BQ32" s="1529" t="e">
        <f aca="false">SUM(AZ32:BC32)</f>
        <v>#VALUE!</v>
      </c>
      <c r="BR32" s="1519" t="e">
        <f aca="false">SUM(BH32:BJ32)</f>
        <v>#VALUE!</v>
      </c>
      <c r="BS32" s="1529" t="e">
        <f aca="false">SUM(BH32:BK32)</f>
        <v>#VALUE!</v>
      </c>
      <c r="BT32" s="1316" t="n">
        <f aca="false">(IF(OVolType&lt;&gt;2,A32+14,IF(OptExpDateShift,ShiftBack(A32,OptExpDateShift,D31),A32))-DateToday)/365.25</f>
        <v>1.29774127310062</v>
      </c>
      <c r="BU32" s="1585" t="e">
        <f aca="false">IF(BQ32,IF(OPriceCurve,IF(OBuySell=OCallPut,I32/(1-AY32),K32/(1-AY32)),J32/(1-AY32))*BD32,0)</f>
        <v>#VALUE!</v>
      </c>
      <c r="BV32" s="1316" t="e">
        <f aca="false">IF(BQ32,IF(OPriceCurve,IF(OBuySell=OCallPut,L32/(1-AY32),N32/(1-AY32)),M32/(1-AY32))*BE32,0)</f>
        <v>#VALUE!</v>
      </c>
      <c r="BW32" s="1316" t="e">
        <f aca="false">IF(BQ32,IF(OPriceCurve,IF(OBuySell=OCallPut,O32/(1-AY32),Q32/(1-AY32)),P32/(1-AY32))*BF32,0)</f>
        <v>#VALUE!</v>
      </c>
      <c r="BX32" s="1316" t="e">
        <f aca="false">IF(BQ32,IF(OPriceCurve,IF(OBuySell=OCallPut,R32/(1-AY32),T32/(1-AY32)),S32/(1-AY32))*BG32,0)</f>
        <v>#VALUE!</v>
      </c>
      <c r="BY32" s="1316" t="e">
        <f aca="false">IF(BP32,(BU32*AZ32+BV32*BA32+BW32*BB32)/BP32,0)</f>
        <v>#VALUE!</v>
      </c>
      <c r="BZ32" s="1316" t="e">
        <f aca="false">IF(BQ32,(BY32*BP32+BX32*BC32)/BQ32,0)</f>
        <v>#VALUE!</v>
      </c>
      <c r="CA32" s="1531" t="e">
        <f aca="false">IF(BS32,IF(OPriceCurve,IF(OBuySell=OCallPut,I32/(1-AY32),K32/(1-AY32)),J32/(1-AY32))*BL32,0)</f>
        <v>#VALUE!</v>
      </c>
      <c r="CB32" s="1316" t="e">
        <f aca="false">IF(BS32,IF(OPriceCurve,IF(OBuySell=OCallPut,L32/(1-AY32),N32/(1-AY32)),M32/(1-AY32))*BM32,0)</f>
        <v>#VALUE!</v>
      </c>
      <c r="CC32" s="1316" t="e">
        <f aca="false">IF(BS32,IF(OPriceCurve,IF(OBuySell=OCallPut,O32/(1-AY32),Q32/(1-AY32)),P32/(1-AY32))*BN32,0)</f>
        <v>#VALUE!</v>
      </c>
      <c r="CD32" s="1316" t="e">
        <f aca="false">IF(BS32,IF(OPriceCurve,IF(OBuySell=OCallPut,R32/(1-AY32),T32/(1-AY32)),S32/(1-AY32))*BO32,0)</f>
        <v>#VALUE!</v>
      </c>
      <c r="CE32" s="1316" t="e">
        <f aca="false">IF(BR32,(BU32*BH32+BV32*BI32+BW32*BJ32)/BR32,0)</f>
        <v>#VALUE!</v>
      </c>
      <c r="CF32" s="1532" t="e">
        <f aca="false">IF(BS32,(CE32*BR32+CD32*BK32)/BS32,0)</f>
        <v>#VALUE!</v>
      </c>
      <c r="CG32" s="1586" t="e">
        <f aca="false">IF(OR(BQ32,BS32),IF(OVolType&lt;&gt;2,SQRT(IF(OVolOverMonthlyPeak,OVolOverMonthlyPeak,IF(OVolCurve,IF(OBuySell,U32,W32),V32))^2*(1-15/365.25/BT32)+IF(OVolOverDailyPeak,OVolOverDailyPeak,IF(OVolCurve,IF(OBuySell,AG32,AI32),AH32))^2*15/365.25/BT32),IF(OVolOverMonthlyPeak,OVolOverMonthlyPeak,IF(OVolCurve,IF(OBuySell,U32,W32),V32))),"")</f>
        <v>#VALUE!</v>
      </c>
      <c r="CH32" s="1587" t="e">
        <f aca="false">IF(OR(BQ32,BS32),IF(OVolType&lt;&gt;2,SQRT(IF(OVolOverMonthlyPeak,OVolOverMonthlyPeak,IF(OVolCurve,IF(OBuySell,X32,Z32),Y32))^2*(1-15/365.25/BT32)+IF(OVolOverDailyPeak,OVolOverDailyPeak,IF(OVolCurve,IF(OBuySell,AJ32,AL32),AK32))^2*15/365.25/BT32),IF(OVolOverMonthlyPeak,OVolOverMonthlyPeak,IF(OVolCurve,IF(OBuySell,X32,Z32),Y32))),"")</f>
        <v>#VALUE!</v>
      </c>
      <c r="CI32" s="1587" t="e">
        <f aca="false">IF(OR(BQ32,BS32),IF(OVolType&lt;&gt;2,SQRT(IF(OVolOverMonthlyPeak,OVolOverMonthlyPeak,IF(OVolCurve,IF(OBuySell,AA32,AC32),AB32))^2*(1-15/365.25/BT32)+IF(OVolOverDailyPeak,OVolOverDailyPeak,IF(OVolCurve,IF(OBuySell,AM32,AO32),AN32))^2*15/365.25/BT32),IF(OVolOverMonthlyPeak,OVolOverMonthlyPeak,IF(OVolCurve,IF(OBuySell,AA32,AC32),AB32))),"")</f>
        <v>#VALUE!</v>
      </c>
      <c r="CJ32" s="1587" t="e">
        <f aca="false">IF(BQ32,IF(BP32,SQRT(LN(1+((BU32*AZ32)^2*(EXP(CG32^2*BT32)-1)+(BV32*BA32)^2*(EXP(CH32^2*BT32)-1)+(BW32*BB32)^2*(EXP(CI32^2*BT32)-1)+2*BU32*AZ32*BV32*BA32*(EXP(CG32*CH32*BT32)-1)+2*BV32*BA32*BW32*BB32*(EXP(CH32*CI32*BT32)-1)+2*BW32*BB32*BU32*AZ32*(EXP(CI32*CG32*BT32)-1))/(BY32*BP32)^2)/BT32),0),"")</f>
        <v>#VALUE!</v>
      </c>
      <c r="CK32" s="1587" t="e">
        <f aca="false">IF(BS32,IF(BR32,SQRT(LN(1+((CA32*BH32)^2*(EXP(CG32^2*BT32)-1)+(CB32*BI32)^2*(EXP(CH32^2*BT32)-1)+(CC32*BJ32)^2*(EXP(CI32^2*BT32)-1)+2*CA32*BH32*CB32*BI32*(EXP(CG32*CH32*BT32)-1)+2*CB32*BI32*CC32*BJ32*(EXP(CH32*CI32*BT32)-1)+2*CC32*BJ32*CA32*BH32*(EXP(CI32*CG32*BT32)-1))/(CE32*BR32)^2)/BT32),0),"")</f>
        <v>#VALUE!</v>
      </c>
      <c r="CL32" s="1587" t="e">
        <f aca="false">IF(OR(BQ32,BS32),IF(OVolType&lt;&gt;2,SQRT(IF(OVolOverMonthlyOffPeak,OVolOverMonthlyOffPeak,IF(OVolCurve,IF(OBuySell,AD32,AF32),AE32))^2*(1-15/365.25/BT32)+IF(OVolOverDailyOffPeak,OVolOverDailyOffPeak,IF(OVolCurve,IF(OBuySell,AP32,AR32),AQ32))^2*15/365.25/BT32),IF(OVolOverMonthlyOffPeak,OVolOverMonthlyOffPeak,IF(OVolCurve,IF(OBuySell,AD32,AF32),AE32))),"")</f>
        <v>#VALUE!</v>
      </c>
      <c r="CM32" s="1587" t="e">
        <f aca="false">IF(BQ32,SQRT(LN(1+((BY32*BP32)^2*(EXP(CJ32^2*BT32)-1)+(BX32*BC32)^2*(EXP(CL32^2*BT32)-1)+2*BY32*BP32*BX32*BC32*(EXP(AS32*CJ32*CL32*BT32)-1))/(BY32*BP32+BX32*BC32)^2)/BT32),"")</f>
        <v>#VALUE!</v>
      </c>
      <c r="CN32" s="1588" t="e">
        <f aca="false">IF(BS32,SQRT(LN(1+((CE32*BR32)^2*(EXP(CK32^2*BT32)-1)+(CD32*BK32)^2*(EXP(CL32^2*BT32)-1)+2*CE32*BR32*CD32*BK32*(EXP(AS32*CK32*CL32*BT32)-1))/(CE32*BR32+CD32*BK32)^2)/BT32),"")</f>
        <v>#VALUE!</v>
      </c>
      <c r="CO32" s="1531" t="e">
        <f aca="false">IF(OR(BQ32,BS32),VLOOKUP(A32,GasTable,13)*HeatRatePeak*(1+VLOOKUP($B32,HeatRateDegradation,$C32+1))/1000,0)</f>
        <v>#VALUE!</v>
      </c>
      <c r="CP32" s="1316" t="e">
        <f aca="false">IF(OR(BQ32,BS32),VLOOKUP(A32,GasTable,13)*HeatRatePeak*(1+VLOOKUP($B32,HeatRateDegradation,$C32+1))/1000,0)</f>
        <v>#VALUE!</v>
      </c>
      <c r="CQ32" s="1316" t="e">
        <f aca="false">IF(OR(BQ32,BS32),VLOOKUP(A32,GasTable,13)*IF(EV32,HeatRatePeak,HeatRateOffPeak)*(1+VLOOKUP($B32,HeatRateDegradation,$C32+1))/1000,0)</f>
        <v>#VALUE!</v>
      </c>
      <c r="CR32" s="1316" t="e">
        <f aca="false">IF(OR(BQ32,BS32),VLOOKUP(A32,GasTable,13)*IF(EW32,HeatRatePeak,HeatRateOffPeak)*(1+VLOOKUP($B32,HeatRateDegradation,$C32+1))/1000,0)</f>
        <v>#VALUE!</v>
      </c>
      <c r="CS32" s="1589" t="e">
        <f aca="false">IF(BQ32,(CO32*AZ32+CP32*BA32+CQ32*BB32+CR32*BC32)/BQ32,0)</f>
        <v>#VALUE!</v>
      </c>
      <c r="CT32" s="1316" t="e">
        <f aca="false">IF(BS32,CO32,0)</f>
        <v>#VALUE!</v>
      </c>
      <c r="CU32" s="1590" t="e">
        <f aca="false">IF(OR(BQ32,BS32),VLOOKUP(A32,GasTable,14),"")</f>
        <v>#VALUE!</v>
      </c>
      <c r="CV32" s="1568" t="e">
        <f aca="false">IF(OR(BQ32,BS32),IF(CorrPowerGasOverFlag,INDEX(CorrPowerGasOver,C32),CorrPowerGas),"")</f>
        <v>#VALUE!</v>
      </c>
      <c r="CW32" s="1316" t="e">
        <f aca="false">IF(OR($BQ32,$BS32),SpreadOptPowerMargin,0)*((1+Assumptions!$C$26)^($B32-YEAR(Assumptions!$C$17)))</f>
        <v>#VALUE!</v>
      </c>
      <c r="CX32" s="1316" t="e">
        <f aca="false">IF(OR($BQ32,$BS32),SpreadOptPowerMargin,0)*((1+Assumptions!$C$26)^($B32-YEAR(Assumptions!$C$17)))</f>
        <v>#VALUE!</v>
      </c>
      <c r="CY32" s="1316" t="e">
        <f aca="false">IF(OR($BQ32,$BS32),SpreadOptPowerMargin,0)*((1+Assumptions!$C$26)^($B32-YEAR(Assumptions!$C$17)))</f>
        <v>#VALUE!</v>
      </c>
      <c r="CZ32" s="1316" t="e">
        <f aca="false">IF(OR($BQ32,$BS32),SpreadOptPowerMargin,0)*((1+Assumptions!$C$26)^($B32-YEAR(Assumptions!$C$17)))</f>
        <v>#VALUE!</v>
      </c>
      <c r="DA32" s="1591" t="e">
        <f aca="false">IF(OR(BQ32,BS32),(CW32*(AZ32+BH32)+CX32*(BA32+BI32)+CY32*(BB32+BJ32)+CZ32*(BC32+BK32))/(BQ32+BS32),0)</f>
        <v>#VALUE!</v>
      </c>
      <c r="DB32" s="1592" t="e">
        <f aca="false">IF(OR(BQ32,BS32),CG32+IF(OVolSmile,VLOOKUP(MAX(-5,CO32+CW32-BU32),IF(OVolSmile=1,VolSmileBook,VolSmileModel),2),0),"")</f>
        <v>#VALUE!</v>
      </c>
      <c r="DC32" s="1592" t="e">
        <f aca="false">IF(OR(BQ32,BS32),CH32+IF(OVolSmile,VLOOKUP(MAX(-5,CP32+CW32-BV32),IF(OVolSmile=1,VolSmileBook,VolSmileModel),2),0),"")</f>
        <v>#VALUE!</v>
      </c>
      <c r="DD32" s="1592" t="e">
        <f aca="false">IF(OR(BQ32,BS32),CI32+IF(OVolSmile,VLOOKUP(MAX(-5,CQ32+CW32-BW32),IF(OVolSmile=1,VolSmileBook,VolSmileModel),2),0),"")</f>
        <v>#VALUE!</v>
      </c>
      <c r="DE32" s="1592" t="e">
        <f aca="false">IF(OR(BQ32,BS32),CL32+IF(OVolSmile,VLOOKUP(MAX(-5,CR32+CZ32-BX32),IF(OVolSmile=1,VolSmileBook,VolSmileModel),2),0),"")</f>
        <v>#VALUE!</v>
      </c>
      <c r="DF32" s="1592" t="e">
        <f aca="false">IF(BQ32,CM32+IF(OVolSmile,VLOOKUP(MAX(-5,CS32+DA32-BZ32),IF(OVolSmile=1,VolSmileBook,VolSmileModel),2),0),"")</f>
        <v>#VALUE!</v>
      </c>
      <c r="DG32" s="1593" t="e">
        <f aca="false">IF(BS32,CN32+IF(OVolSmile,VLOOKUP(MAX(-5,CT32+DA32-CF32),IF(OVolSmile=1,VolSmileBook,VolSmileModel),2),0),"")</f>
        <v>#VALUE!</v>
      </c>
      <c r="DH32" s="1316" t="e">
        <f aca="false">IF(AND(BU32&gt;0,CO32&gt;0,DB32&gt;0,CU32&gt;0),newSPRDOPT(BU32,CO32,CW32,0,DB32,CU32,CV32,BT32*365.25,OCallPut,0),0)</f>
        <v>#VALUE!</v>
      </c>
      <c r="DI32" s="1316" t="e">
        <f aca="false">IF(AND(BV32&gt;0,CP32&gt;0,DC32&gt;0,CU32&gt;0),newSPRDOPT(BV32,CP32,CX32,0,DC32,CU32,CV32,BT32*365.25,OCallPut,0),0)</f>
        <v>#VALUE!</v>
      </c>
      <c r="DJ32" s="1316" t="e">
        <f aca="false">IF(AND(BW32&gt;0,CQ32&gt;0,DD32&gt;0,CU32&gt;0),newSPRDOPT(BW32,CQ32,CY32,0,DD32,CU32,CV32,BT32*365.25,OCallPut,0),0)</f>
        <v>#VALUE!</v>
      </c>
      <c r="DK32" s="1316" t="e">
        <f aca="false">IF(AND(BX32&gt;0,CR32&gt;0,DE32&gt;0,CU32&gt;0),newSPRDOPT(BX32,CR32,CZ32,0,DE32,CU32,CV32,BT32*365.25,OCallPut,0),0)</f>
        <v>#VALUE!</v>
      </c>
      <c r="DL32" s="1316" t="e">
        <f aca="false">IF(OVolType,IF(AND(BZ32&gt;0,CS32&gt;0,DF32&gt;0,CU32&gt;0),newSPRDOPT(BZ32,CS32,DA32,0,DF32,CU32,CV32,BT32*365.25,OCallPut,0),0),IF(BQ32,(DH32*AZ32+DI32*BA32+DJ32*BB32+DK32*BC32)/BQ32,0))</f>
        <v>#VALUE!</v>
      </c>
      <c r="DM32" s="1316"/>
      <c r="DN32" s="1316"/>
      <c r="DO32" s="1316"/>
      <c r="DP32" s="1316"/>
      <c r="DQ32" s="1316"/>
      <c r="DR32" s="1316"/>
      <c r="DS32" s="1316"/>
      <c r="DT32" s="1316"/>
      <c r="DU32" s="1316"/>
      <c r="DV32" s="1316"/>
      <c r="DW32" s="1594" t="e">
        <f aca="false">IF(AND(BW32&gt;0,CT32&gt;0,DD32&gt;0,CU32&gt;0),newSPRDOPT(BW32,CT32,CY32,0,DD32,CU32,CV32,BT32*365.25,OCallPut,0),0)</f>
        <v>#VALUE!</v>
      </c>
      <c r="DX32" s="1316" t="e">
        <f aca="false">IF(AND(BX32&gt;0,CT32&gt;0,DE32&gt;0,CU32&gt;0),newSPRDOPT(BX32,CT32,CZ32,0,DE32,CU32,CV32,BT32*365.25,OCallPut,0),0)</f>
        <v>#VALUE!</v>
      </c>
      <c r="DY32" s="1591" t="e">
        <f aca="false">IF(BS32,(DH32*BH32+DI32*BI32+DW32*BJ32+DX32*BK32)/BS32,0)</f>
        <v>#VALUE!</v>
      </c>
      <c r="DZ32" s="1551" t="e">
        <f aca="false">DH32*AZ32</f>
        <v>#VALUE!</v>
      </c>
      <c r="EA32" s="1551" t="e">
        <f aca="false">DI32*BA32</f>
        <v>#VALUE!</v>
      </c>
      <c r="EB32" s="1551" t="e">
        <f aca="false">DJ32*BB32</f>
        <v>#VALUE!</v>
      </c>
      <c r="EC32" s="1551" t="e">
        <f aca="false">DK32*BC32</f>
        <v>#VALUE!</v>
      </c>
      <c r="ED32" s="1551" t="e">
        <f aca="false">DL32*BQ32</f>
        <v>#VALUE!</v>
      </c>
      <c r="EE32" s="1595" t="e">
        <f aca="false">IF(BQ32,IF(OCallPut,IF(BU32&gt;(CO32+CW32),BU32-(CO32+CW32),0),IF((CO32+CW32)&gt;BU32,(CO32+CW32)-BU32,0))*AZ32,0)</f>
        <v>#VALUE!</v>
      </c>
      <c r="EF32" s="1596" t="e">
        <f aca="false">IF(BQ32,IF(OCallPut,IF(BV32&gt;(CP32+CX32),BV32-(CP32+CX32),0),IF((CP32+CX32)&gt;BV32,(CP32+CX32)-BV32,0))*BA32,0)</f>
        <v>#VALUE!</v>
      </c>
      <c r="EG32" s="1596" t="e">
        <f aca="false">IF(BQ32,IF(OCallPut,IF(BW32&gt;(CQ32+CY32),BW32-(CQ32+CY32),0),IF((CQ32+CY32)&gt;BW32,(CQ32+CY32)-BW32,0))*BB32,0)</f>
        <v>#VALUE!</v>
      </c>
      <c r="EH32" s="1596" t="e">
        <f aca="false">IF(BQ32,IF(OCallPut,IF(BX32&gt;(CR32+CZ32),BX32-(CR32+CZ32),0),IF((CR32+CZ32)&gt;BX32,(CR32+CZ32)-BX32,0))*BC32,0)</f>
        <v>#VALUE!</v>
      </c>
      <c r="EI32" s="1597" t="e">
        <f aca="false">IF(BQ32,IF(OVolType,IF(OCallPut,IF(BZ32&gt;(CS32+DA32),BZ32-(CS32+DA32),0),IF((CS32+DA32)&gt;BZ32,(CS32+DA32)-BZ32,0))*BQ32,SUM(EE32:EH32)),0)</f>
        <v>#VALUE!</v>
      </c>
      <c r="EJ32" s="1595" t="e">
        <f aca="false">DZ32-EE32</f>
        <v>#VALUE!</v>
      </c>
      <c r="EK32" s="1596" t="e">
        <f aca="false">EA32-EF32</f>
        <v>#VALUE!</v>
      </c>
      <c r="EL32" s="1596" t="e">
        <f aca="false">EB32-EG32</f>
        <v>#VALUE!</v>
      </c>
      <c r="EM32" s="1596" t="e">
        <f aca="false">EC32-EH32</f>
        <v>#VALUE!</v>
      </c>
      <c r="EN32" s="1597" t="e">
        <f aca="false">ED32-EI32</f>
        <v>#VALUE!</v>
      </c>
      <c r="EO32" s="1551" t="e">
        <f aca="false">DH32*BH32</f>
        <v>#VALUE!</v>
      </c>
      <c r="EP32" s="1551" t="e">
        <f aca="false">DI32*BI32</f>
        <v>#VALUE!</v>
      </c>
      <c r="EQ32" s="1551" t="e">
        <f aca="false">DW32*BJ32</f>
        <v>#VALUE!</v>
      </c>
      <c r="ER32" s="1551" t="e">
        <f aca="false">DX32*BK32</f>
        <v>#VALUE!</v>
      </c>
      <c r="ES32" s="1551" t="e">
        <f aca="false">DY32*BS32</f>
        <v>#VALUE!</v>
      </c>
      <c r="ET32" s="1566" t="e">
        <f aca="false">IF(BS32,IF(OCallPut,IF(CA32&gt;(CT32+CW32),CA32-(CT32+CW32),0),IF((CT32+CW32)&gt;CA32,(CT32+CW32)-CA32,0))*BH32,0)</f>
        <v>#VALUE!</v>
      </c>
      <c r="EU32" s="1551" t="e">
        <f aca="false">IF(BS32,IF(OCallPut,IF(CB32&gt;(CT32+CX32),CB32-(CT32+CX32),0),IF((CT32+CX32)&gt;CB32,(CT32+CX32)-CB32,0))*BI32,0)</f>
        <v>#VALUE!</v>
      </c>
      <c r="EV32" s="1551" t="e">
        <f aca="false">IF(BS32,IF(OCallPut,IF(CC32&gt;(CT32+CY32),CC32-(CT32+CY32),0),IF((CT32+CY32)&gt;CC32,(CT32+CY32)-CC32,0))*BJ32,0)</f>
        <v>#VALUE!</v>
      </c>
      <c r="EW32" s="1551" t="e">
        <f aca="false">IF(BS32,IF(OCallPut,IF(CD32&gt;(CT32+CZ32),CD32-(CT32+CZ32),0),IF((CT32+CZ32)&gt;CD32,(CT32+CZ32)-CD32,0))*BK32,0)</f>
        <v>#VALUE!</v>
      </c>
      <c r="EX32" s="1558" t="e">
        <f aca="false">IF(BS32,SUM(ET32:EW32),0)</f>
        <v>#VALUE!</v>
      </c>
      <c r="EY32" s="1551" t="e">
        <f aca="false">EO32-ET32</f>
        <v>#VALUE!</v>
      </c>
      <c r="EZ32" s="1551" t="e">
        <f aca="false">EP32-EU32</f>
        <v>#VALUE!</v>
      </c>
      <c r="FA32" s="1551" t="e">
        <f aca="false">EQ32-EV32</f>
        <v>#VALUE!</v>
      </c>
      <c r="FB32" s="1551" t="e">
        <f aca="false">ER32-EW32</f>
        <v>#VALUE!</v>
      </c>
      <c r="FC32" s="1551" t="e">
        <f aca="false">ES32-EX32</f>
        <v>#VALUE!</v>
      </c>
      <c r="FD32" s="1525" t="n">
        <f aca="false">IF(AX32,IF(VLOOKUP(C32,MAIN!$L$17:$M$28,2)="Yes",VLOOKUP(CALC!B32,MAIN!$H$17:$I$20,2),0),0)</f>
        <v>0</v>
      </c>
      <c r="FE32" s="1552" t="n">
        <f aca="false">$FD32*16*AT32*(1-$AY32)</f>
        <v>0</v>
      </c>
      <c r="FF32" s="1553" t="n">
        <f aca="false">$FD32*16*AU32*(1-$AY32)</f>
        <v>0</v>
      </c>
      <c r="FG32" s="1553" t="n">
        <f aca="false">$FD32*16*(AV32+AW32)*(1-$AY32)</f>
        <v>0</v>
      </c>
      <c r="FH32" s="1554" t="n">
        <f aca="false">$FD32*8*AX32*(1-$AY32)</f>
        <v>0</v>
      </c>
      <c r="FI32" s="1555" t="n">
        <f aca="false">IF(AX32,VLOOKUP(CALC!B32,MAIN!$H$17:$K$20,4),0)</f>
        <v>0</v>
      </c>
      <c r="FJ32" s="1553" t="n">
        <f aca="false">SUM(FE32:FH32)</f>
        <v>0</v>
      </c>
      <c r="FK32" s="1556" t="n">
        <f aca="false">FI32*FJ32</f>
        <v>0</v>
      </c>
      <c r="FL32" s="1551" t="e">
        <f aca="false">IF($EI32&gt;0,MIN(FE32,AZ32*(1+VLOOKUP($C32,WeatherCapacityAdjustment,2))),0)</f>
        <v>#VALUE!</v>
      </c>
      <c r="FM32" s="1551" t="e">
        <f aca="false">IF($EI32&gt;0,MIN(FF32,BA32*(1+VLOOKUP($C32,WeatherCapacityAdjustment,2))),0)</f>
        <v>#VALUE!</v>
      </c>
      <c r="FN32" s="1551" t="e">
        <f aca="false">IF($EI32&gt;0,MIN(FG32,BB32*(1+VLOOKUP($C32,WeatherCapacityAdjustment,2))),0)</f>
        <v>#VALUE!</v>
      </c>
      <c r="FO32" s="1564" t="e">
        <f aca="false">IF($EI32&gt;0,MIN(FH32,BC32*(1+VLOOKUP($C32,WeatherCapacityAdjustment,3))),0)</f>
        <v>#VALUE!</v>
      </c>
      <c r="FP32" s="1551" t="e">
        <f aca="false">IF(ET32&gt;0,MIN(FE32-FL32,BH32*(1+VLOOKUP($C32,WeatherCapacityAdjustment,2))),0)</f>
        <v>#VALUE!</v>
      </c>
      <c r="FQ32" s="1551" t="e">
        <f aca="false">IF(EU32&gt;0,MIN(FF32-FM32,BI32*(1+VLOOKUP($C32,WeatherCapacityAdjustment,2))),0)</f>
        <v>#VALUE!</v>
      </c>
      <c r="FR32" s="1551" t="e">
        <f aca="false">IF(EV32&gt;0,MIN(FG32-FN32,BJ32*(1+VLOOKUP($C32,WeatherCapacityAdjustment,2))),0)</f>
        <v>#VALUE!</v>
      </c>
      <c r="FS32" s="1558" t="e">
        <f aca="false">IF(EW32&gt;0,MIN(FH32-FO32,BK32*(1+VLOOKUP($C32,WeatherCapacityAdjustment,3))),0)</f>
        <v>#VALUE!</v>
      </c>
      <c r="FT32" s="1566" t="n">
        <f aca="false">IF(AND(Assumptions!$H$71="Yes",A32&gt;=Assumptions!$H$72,A32&lt;=Assumptions!$H$73),0,IF(AND($A32&gt;=Assumptions!$C$17,$A32&lt;=Assumptions!$C$18),MAX(AZ32*(1+VLOOKUP($C32,WeatherCapacityAdjustment,2))-FL32,0),0))</f>
        <v>0</v>
      </c>
      <c r="FU32" s="1551" t="n">
        <f aca="false">IF(AND(Assumptions!$H$71="Yes",A32&gt;=Assumptions!$H$72,A32&lt;=Assumptions!$H$73),0,IF(AND($A32&gt;=Assumptions!$C$17,$A32&lt;=Assumptions!$C$18),MAX(BA32*(1+VLOOKUP($C32,WeatherCapacityAdjustment,2))-FM32,0),0))</f>
        <v>0</v>
      </c>
      <c r="FV32" s="1551" t="n">
        <f aca="false">IF(AND(Assumptions!$H$71="Yes",A32&gt;=Assumptions!$H$72,A32&lt;=Assumptions!$H$73),0,IF(AND($A32&gt;=Assumptions!$C$17,$A32&lt;=Assumptions!$C$18),MAX(BB32*(1+VLOOKUP($C32,WeatherCapacityAdjustment,2))-FN32,0),0))</f>
        <v>0</v>
      </c>
      <c r="FW32" s="1564" t="n">
        <f aca="false">IF(AND(Assumptions!$H$71="Yes",A32&gt;=Assumptions!$H$72,A32&lt;=Assumptions!$H$73),0,IF(AND($A32&gt;=Assumptions!$C$17,$A32&lt;=Assumptions!$C$18),MAX(BC32*(1+VLOOKUP($C32,WeatherCapacityAdjustment,3))-FO32,0),0))</f>
        <v>0</v>
      </c>
      <c r="FX32" s="1569" t="e">
        <f aca="false">IF(AND(Assumptions!$H$71="Yes",A32&gt;=Assumptions!$H$72,A32&lt;=Assumptions!$H$73),0,IF(ET32&gt;0,MAX(BH32*(1+VLOOKUP($C32,WeatherCapacityAdjustment,2))-FP32,0),0))</f>
        <v>#VALUE!</v>
      </c>
      <c r="FY32" s="1551" t="e">
        <f aca="false">IF(AND(Assumptions!$H$71="Yes",A32&gt;=Assumptions!$H$72,A32&lt;=Assumptions!$H$73),0,IF(EU32&gt;0,MAX(BI32*(1+VLOOKUP($C32,WeatherCapacityAdjustment,3))-FQ32,0),0))</f>
        <v>#VALUE!</v>
      </c>
      <c r="FZ32" s="1551" t="e">
        <f aca="false">IF(AND(Assumptions!$H$71="Yes",A32&gt;=Assumptions!$H$72,A32&lt;=Assumptions!$H$73),0,IF(EV32&gt;0,MAX(BJ32*(1+VLOOKUP($C32,WeatherCapacityAdjustment,2))-FR32,0),0))</f>
        <v>#VALUE!</v>
      </c>
      <c r="GA32" s="1564" t="e">
        <f aca="false">IF(AND(Assumptions!$H$71="Yes",A32&gt;=Assumptions!$H$72,A32&lt;=Assumptions!$H$73),0,IF(EW32&gt;0,MAX(BK32*(1+VLOOKUP($C32,WeatherCapacityAdjustment,2))-FS32,0),0))</f>
        <v>#VALUE!</v>
      </c>
      <c r="GB32" s="1551" t="e">
        <f aca="false">SUM(FT32:GA32)</f>
        <v>#VALUE!</v>
      </c>
      <c r="GC32" s="1563" t="e">
        <f aca="false">+IF(SUM(FT32:GA32)=0,0,(SUMPRODUCT(BU32:BX32,FT32:FW32)+SUMPRODUCT(CA32:CD32,FX32:GA32))/SUM(FT32:GA32))</f>
        <v>#VALUE!</v>
      </c>
      <c r="GD32" s="1551" t="e">
        <f aca="false">(FT32*BU32+FX32*CA32+FU32*BV32+FY32*CB32+FV32*BW32+FZ32*CC32+FW32*BX32+GA32*CD32)</f>
        <v>#VALUE!</v>
      </c>
      <c r="GE32" s="1561" t="e">
        <f aca="false">+IF(BQ32,((FL32+FM32+FT32+FU32)*HeatRatePeak/1000*(1+VLOOKUP($C32,WeatherHeatRateAdjustment,2))+(FN32+FV32)*IF(EV32&gt;0,HeatRatePeak,HeatRateOffPeak)/1000*(1+VLOOKUP($C32,WeatherHeatRateAdjustment,2))+(FO32+FW32)*IF(EW32&gt;0,HeatRatePeak,HeatRateOffPeak)/1000*(1+VLOOKUP($C32,WeatherHeatRateAdjustment,3)))*(1+VLOOKUP($B32,HeatRateDegradation,$C32+1)),0)</f>
        <v>#VALUE!</v>
      </c>
      <c r="GF32" s="1562" t="e">
        <f aca="false">IF(BQ32,((FP32+FQ32+FR32+FX32+FY32+FZ32)*HeatRatePeak/1000*(1+VLOOKUP($C32,WeatherHeatRateAdjustment,2))+(FS32+GA32)*HeatRatePeak/1000*(1+VLOOKUP($C32,WeatherHeatRateAdjustment,3)))*(1+VLOOKUP($B32,HeatRateDegradation,$C32+1)),0)</f>
        <v>#VALUE!</v>
      </c>
      <c r="GG32" s="1563" t="e">
        <f aca="false">IF(BQ32,VLOOKUP(A32,GasTable,13),0)</f>
        <v>#VALUE!</v>
      </c>
      <c r="GH32" s="1564" t="e">
        <f aca="false">(GE32+GF32)*GG32</f>
        <v>#VALUE!</v>
      </c>
      <c r="GI32" s="1569" t="e">
        <f aca="false">GB32</f>
        <v>#VALUE!</v>
      </c>
      <c r="GJ32" s="1598" t="e">
        <f aca="false">+DA32</f>
        <v>#VALUE!</v>
      </c>
      <c r="GK32" s="1558" t="e">
        <f aca="false">+GI32*GJ32</f>
        <v>#VALUE!</v>
      </c>
      <c r="GL32" s="1566" t="e">
        <f aca="false">MAX(FE32-FL32-FP32,0)</f>
        <v>#VALUE!</v>
      </c>
      <c r="GM32" s="1551" t="e">
        <f aca="false">MAX(FF32-FM32-FQ32,0)</f>
        <v>#VALUE!</v>
      </c>
      <c r="GN32" s="1551" t="e">
        <f aca="false">MAX(FG32-FN32-FR32,0)</f>
        <v>#VALUE!</v>
      </c>
      <c r="GO32" s="1564" t="e">
        <f aca="false">MAX(FH32-FO32-FS32,0)</f>
        <v>#VALUE!</v>
      </c>
      <c r="GP32" s="1551" t="e">
        <f aca="false">SUM(GL32:GO32)</f>
        <v>#VALUE!</v>
      </c>
      <c r="GQ32" s="1563" t="e">
        <f aca="false">IF(SUM(GL32:GO32)=0,0,((GL32*BU32+GM32*BV32+GN32*BW32+GO32*BX32)/SUM(GL32:GO32)))</f>
        <v>#VALUE!</v>
      </c>
      <c r="GR32" s="1558" t="e">
        <f aca="false">(GL32*BU32+GM32*BV32+GN32*BW32+GO32*BX32)</f>
        <v>#VALUE!</v>
      </c>
      <c r="GS32" s="1566" t="n">
        <f aca="false">IF($A32&gt;=BegDate,Assumptions!$C$56*24*($A33-$A32)*(1-VLOOKUP($B32,MAIN!$AA$7:$AM$28,$C32+1))*(1-VLOOKUP($B32,MAIN!$AA$33:$AM$54,$C32+1)),0)*80/168</f>
        <v>0</v>
      </c>
      <c r="GT32" s="286" t="n">
        <f aca="false">J32</f>
        <v>35.76987</v>
      </c>
      <c r="GU32" s="286" t="n">
        <f aca="false">IF($A32&gt;=BegDate,VLOOKUP($A32,GasTable,13)+Assumptions!$C$58,0)</f>
        <v>0</v>
      </c>
      <c r="GV32" s="286" t="n">
        <f aca="false">GU32*Assumptions!$C$57/1000</f>
        <v>0</v>
      </c>
      <c r="GW32" s="1558" t="n">
        <f aca="false">IF(Assumptions!$C$60="Hourly",MAX(0,GS32*(GT32-GV32)),GS32*(GT32-GV32))</f>
        <v>0</v>
      </c>
      <c r="GX32" s="1566" t="n">
        <f aca="false">IF($A32&gt;=BegDate,Assumptions!$C$56*24*($A33-$A32)*(1-VLOOKUP($B32,MAIN!$AA$7:$AM$28,$C32+1))*(1-VLOOKUP($B32,MAIN!$AA$33:$AM$54,$C32+1)),0)*16/168</f>
        <v>0</v>
      </c>
      <c r="GY32" s="286" t="n">
        <f aca="false">M32</f>
        <v>35.76987</v>
      </c>
      <c r="GZ32" s="286" t="n">
        <f aca="false">IF($A32&gt;=BegDate,VLOOKUP($A32,GasTable,13)+Assumptions!$C$58,0)</f>
        <v>0</v>
      </c>
      <c r="HA32" s="286" t="n">
        <f aca="false">GZ32*Assumptions!$C$57/1000</f>
        <v>0</v>
      </c>
      <c r="HB32" s="1558" t="n">
        <f aca="false">IF(Assumptions!$C$60="Hourly",MAX(0,GX32*(GY32-HA32)),GX32*(GY32-HA32))</f>
        <v>0</v>
      </c>
      <c r="HC32" s="1566" t="n">
        <f aca="false">IF($A32&gt;=BegDate,Assumptions!$C$56*24*($A33-$A32)*(1-VLOOKUP($B32,MAIN!$AA$7:$AM$28,$C32+1))*(1-VLOOKUP($B32,MAIN!$AA$33:$AM$54,$C32+1)),0)*16/168</f>
        <v>0</v>
      </c>
      <c r="HD32" s="286" t="n">
        <f aca="false">P32</f>
        <v>21.531588</v>
      </c>
      <c r="HE32" s="286" t="n">
        <f aca="false">IF($A32&gt;=BegDate,VLOOKUP($A32,GasTable,13)+Assumptions!$C$58,0)</f>
        <v>0</v>
      </c>
      <c r="HF32" s="286" t="n">
        <f aca="false">HE32*Assumptions!$C$57/1000</f>
        <v>0</v>
      </c>
      <c r="HG32" s="1558" t="n">
        <f aca="false">IF(Assumptions!$C$60="Hourly",MAX(0,HC32*(HD32-HF32)),HC32*(HD32-HF32))</f>
        <v>0</v>
      </c>
      <c r="HH32" s="1566" t="n">
        <f aca="false">IF($A32&gt;=BegDate,Assumptions!$C$56*24*($A33-$A32)*(1-VLOOKUP($B32,MAIN!$AA$7:$AM$28,$C32+1))*(1-VLOOKUP($B32,MAIN!$AA$33:$AM$54,$C32+1)),0)*56/168</f>
        <v>0</v>
      </c>
      <c r="HI32" s="286" t="n">
        <f aca="false">S32</f>
        <v>21.531588</v>
      </c>
      <c r="HJ32" s="286" t="n">
        <f aca="false">IF($A32&gt;=BegDate,VLOOKUP($A32,GasTable,13)+Assumptions!$C$58,0)</f>
        <v>0</v>
      </c>
      <c r="HK32" s="286" t="n">
        <f aca="false">HJ32*Assumptions!$C$57/1000</f>
        <v>0</v>
      </c>
      <c r="HL32" s="1558" t="n">
        <f aca="false">IF(Assumptions!$C$60="Hourly",MAX(0,HH32*(HI32-HK32)),HH32*(HI32-HK32))</f>
        <v>0</v>
      </c>
      <c r="HM32" s="1566" t="n">
        <f aca="false">IF(AND(Assumptions!$H$71="Yes",A32&gt;=Assumptions!$H$72,A32&lt;=Assumptions!$H$73),Assumptions!$H$74*Assumptions!$C$9*1000,0)</f>
        <v>0</v>
      </c>
      <c r="HN32" s="1558"/>
      <c r="HO32" s="1567" t="n">
        <f aca="false">HO31+1</f>
        <v>2018</v>
      </c>
      <c r="HP32" s="1566" t="e">
        <f aca="false">SUMIF($B$17:$B$292,HO32,$FJ$17:$FJ$292)</f>
        <v>#VALUE!</v>
      </c>
      <c r="HQ32" s="1568" t="e">
        <f aca="false">IF(HR32=0,0,HR32/HP32)</f>
        <v>#VALUE!</v>
      </c>
      <c r="HR32" s="1564" t="e">
        <f aca="false">SUMIF($B$17:$B$292,HO32,$FK$17:$FK$292)</f>
        <v>#VALUE!</v>
      </c>
      <c r="HS32" s="1569" t="e">
        <f aca="false">SUMIF($B$17:$B$292,HO32,$GB$17:$GB$292)</f>
        <v>#VALUE!</v>
      </c>
      <c r="HT32" s="1563" t="e">
        <f aca="false">+IF(HS32&gt;0,HU32/HS32,0)</f>
        <v>#VALUE!</v>
      </c>
      <c r="HU32" s="1551" t="e">
        <f aca="false">SUMIF($B$17:$B$292,HO32,$GD$17:$GD$292)</f>
        <v>#VALUE!</v>
      </c>
      <c r="HV32" s="1569" t="e">
        <f aca="false">HR32+HU32</f>
        <v>#VALUE!</v>
      </c>
      <c r="HW32" s="1551" t="e">
        <f aca="false">SUMIF($B$17:$B$292,$HO32,$EN$17:$EN$292)</f>
        <v>#VALUE!</v>
      </c>
      <c r="HX32" s="1551" t="e">
        <f aca="false">SUMIF($B$17:$B$292,$HO32,$FC$17:$FC$292)</f>
        <v>#VALUE!</v>
      </c>
      <c r="HY32" s="1551" t="n">
        <f aca="false">IF(Assumptions!$L$24="Yes",HW32+HX32,0)</f>
        <v>0</v>
      </c>
      <c r="HZ32" s="1566" t="e">
        <f aca="false">SUMIF($B$17:$B$292,HO32,$GE$17:$GE$292)+SUMIF($B$17:$B$292,HO32,$GF$17:$GF$292)</f>
        <v>#VALUE!</v>
      </c>
      <c r="IA32" s="1563" t="e">
        <f aca="false">IF(IB32=0,0,IB32/HZ32)</f>
        <v>#VALUE!</v>
      </c>
      <c r="IB32" s="1564" t="e">
        <f aca="false">-SUMIF($B$17:$B$292,HO32,$GH$17:$GH$292)</f>
        <v>#VALUE!</v>
      </c>
      <c r="IC32" s="1569" t="e">
        <f aca="false">SUMIF($B$17:$B$292,HO32,$GI$17:$GI$292)</f>
        <v>#VALUE!</v>
      </c>
      <c r="ID32" s="1563" t="e">
        <f aca="false">IF(IE32=0,0,IE32/IC32)</f>
        <v>#VALUE!</v>
      </c>
      <c r="IE32" s="1564" t="e">
        <f aca="false">-SUMIF($B$17:$B$292,HO32,$GK$17:$GK$292)</f>
        <v>#VALUE!</v>
      </c>
      <c r="IF32" s="1551" t="e">
        <f aca="false">SUMIF($B$17:$B$292,HO32,$GP$17:$GP$292)</f>
        <v>#VALUE!</v>
      </c>
      <c r="IG32" s="1563" t="e">
        <f aca="false">IF(IH32=0,0,IH32/IF32)</f>
        <v>#VALUE!</v>
      </c>
      <c r="IH32" s="1564" t="e">
        <f aca="false">-SUMIF($B$17:$B$292,HO32,$GR$17:$GR$292)</f>
        <v>#VALUE!</v>
      </c>
      <c r="II32" s="1570" t="n">
        <f aca="false">(SUMIF($B$17:$B$292,HO32,$GW$17:$GW$292)+SUMIF($B$17:$B$292,HO32,$HB$17:$HB$292)+SUMIF($B$17:$B$292,HO32,$HG$17:$HG$292)+SUMIF($B$17:$B$292,HO32,$HL$17:$HL$292))*Assumptions!$C$59</f>
        <v>1252831.5649988</v>
      </c>
      <c r="IJ32" s="1309" t="n">
        <f aca="false">SUMIF($B$17:$B$292,HO32,$HM$17:$HM$292)</f>
        <v>0</v>
      </c>
      <c r="IK32" s="1309"/>
    </row>
    <row r="33" customFormat="false" ht="12.75" hidden="false" customHeight="false" outlineLevel="0" collapsed="false">
      <c r="A33" s="1571" t="n">
        <f aca="false">EOMONTH(A32,0)+1</f>
        <v>37135</v>
      </c>
      <c r="B33" s="594" t="n">
        <f aca="false">+YEAR(A33)</f>
        <v>2001</v>
      </c>
      <c r="C33" s="238" t="n">
        <f aca="false">MONTH(A33)</f>
        <v>9</v>
      </c>
      <c r="D33" s="1572" t="str">
        <f aca="false">IF(E33="","",Holiday(B33,C33))</f>
        <v/>
      </c>
      <c r="E33" s="1573" t="str">
        <f aca="false">IF(OR(BegDate&gt;=A34,EndDate&lt;A33,AND(VolumeMonthlyOverFlag,INDEX(VolumeMonthlyOver,C33)=0),NOT(INDEX(MonthKnockOutTable,C33))),"",MAX(A33,BegDate))</f>
        <v/>
      </c>
      <c r="F33" s="1574" t="str">
        <f aca="false">IF(E33="","",MIN(A34-1,EndDate))</f>
        <v/>
      </c>
      <c r="G33" s="1575" t="n">
        <v>0</v>
      </c>
      <c r="H33" s="1576" t="n">
        <f aca="false">(1+G33/2)^(-2*(DATE(B34,C34,20)-DateToday)/365.25)</f>
        <v>1</v>
      </c>
      <c r="I33" s="1568" t="n">
        <f aca="false">IF(Assumptions!$L$25=4,VLOOKUP($A33,'Henwood Reference'!$E$9:$R$320,10),(VLOOKUP($A33,PriceTable,2,0)+IF(BasisNumber&lt;&gt;1,VLOOKUP($A33,BasisTable,2,0),0)+I$1)/(1-I$2))</f>
        <v>35.064744</v>
      </c>
      <c r="J33" s="1568" t="n">
        <f aca="false">IF(Assumptions!$L$25=4,VLOOKUP($A33,'Henwood Reference'!$E$9:$R$320,10),(VLOOKUP($A33,PriceTable,3,0)+IF(BasisNumber&lt;&gt;1,VLOOKUP($A33,BasisTable,2,0),0)+J$1)/(1-J$2))</f>
        <v>35.064744</v>
      </c>
      <c r="K33" s="1568" t="n">
        <f aca="false">IF(Assumptions!$L$25=4,VLOOKUP($A33,'Henwood Reference'!$E$9:$R$320,10),(VLOOKUP($A33,PriceTable,4,0)+IF(BasisNumber&lt;&gt;1,VLOOKUP($A33,BasisTable,2,0),0)+K$1)/(1-K$2))</f>
        <v>35.064744</v>
      </c>
      <c r="L33" s="1523" t="n">
        <f aca="false">IF(Assumptions!$L$25=4,VLOOKUP($A33,'Henwood Reference'!$E$9:$R$320,10),(VLOOKUP($A33,PriceTableWeekend,2,0)+IF(BasisNumber&lt;&gt;1,VLOOKUP($A33,BasisTable,2,0),0)+L$1)/(1-L$2))</f>
        <v>35.064744</v>
      </c>
      <c r="M33" s="1568" t="n">
        <f aca="false">IF(Assumptions!$L$25=4,VLOOKUP($A33,'Henwood Reference'!$E$9:$R$320,10),(VLOOKUP($A33,PriceTableWeekend,3,0)+IF(BasisNumber&lt;&gt;1,VLOOKUP($A33,BasisTable,2,0),0)+M$1)/(1-M$2))</f>
        <v>35.064744</v>
      </c>
      <c r="N33" s="1599" t="n">
        <f aca="false">IF(Assumptions!$L$25=4,VLOOKUP($A33,'Henwood Reference'!$E$9:$R$320,10),(VLOOKUP($A33,PriceTableWeekend,4,0)+IF(BasisNumber&lt;&gt;1,VLOOKUP($A33,BasisTable,2,0),0)+N$1)/(1-N$2))</f>
        <v>35.064744</v>
      </c>
      <c r="O33" s="1568" t="n">
        <f aca="false">IF(Assumptions!$L$25=4,VLOOKUP($A33,'Henwood Reference'!$E$9:$R$320,11),(VLOOKUP($A33,PriceTableWeekend,6,0)+IF(BasisNumber&lt;&gt;1,VLOOKUP($A33,BasisTable,3,0),0)+O$1)/(1-O$2))</f>
        <v>21.627978</v>
      </c>
      <c r="P33" s="1568" t="n">
        <f aca="false">IF(Assumptions!$L$25=4,VLOOKUP($A33,'Henwood Reference'!$E$9:$R$320,11),(VLOOKUP($A33,PriceTableWeekend,7,0)+IF(BasisNumber&lt;&gt;1,VLOOKUP($A33,BasisTable,3,0),0)+P$1)/(1-P$2))</f>
        <v>21.627978</v>
      </c>
      <c r="Q33" s="1599" t="n">
        <f aca="false">IF(Assumptions!$L$25=4,VLOOKUP($A33,'Henwood Reference'!$E$9:$R$320,11),(VLOOKUP($A33,PriceTableWeekend,8,0)+IF(BasisNumber&lt;&gt;1,VLOOKUP($A33,BasisTable,3,0),0)+Q$1)/(1-Q$2))</f>
        <v>21.627978</v>
      </c>
      <c r="R33" s="1568" t="n">
        <f aca="false">IF(Assumptions!$L$25=4,VLOOKUP($A33,'Henwood Reference'!$E$9:$R$320,11),(VLOOKUP($A33,PriceTable,6,0)+IF(BasisNumber&lt;&gt;1,VLOOKUP($A33,BasisTable,3,0),0)+R$1)/(1-R$2))</f>
        <v>21.627978</v>
      </c>
      <c r="S33" s="1568" t="n">
        <f aca="false">IF(Assumptions!$L$25=4,VLOOKUP($A33,'Henwood Reference'!$E$9:$R$320,11),(VLOOKUP($A33,PriceTable,7,0)+IF(BasisNumber&lt;&gt;1,VLOOKUP($A33,BasisTable,3,0),0)+S$1)/(1-S$2))</f>
        <v>21.627978</v>
      </c>
      <c r="T33" s="1600" t="n">
        <f aca="false">IF(Assumptions!$L$25=4,VLOOKUP($A33,'Henwood Reference'!$E$9:$R$320,11),(VLOOKUP($A33,PriceTable,8,0)+IF(BasisNumber&lt;&gt;1,VLOOKUP($A33,BasisTable,3,0),0)+T$1)/(1-T$2))</f>
        <v>21.627978</v>
      </c>
      <c r="U33" s="1513" t="n">
        <f aca="false">VLOOKUP($A33,VolatilityTable,14)</f>
        <v>0.165</v>
      </c>
      <c r="V33" s="1513" t="n">
        <f aca="false">VLOOKUP($A33,VolatilityTable,15)</f>
        <v>0.175</v>
      </c>
      <c r="W33" s="1514" t="n">
        <f aca="false">VLOOKUP($A33,VolatilityTable,16)</f>
        <v>0.185</v>
      </c>
      <c r="X33" s="1513" t="n">
        <f aca="false">VLOOKUP($A33,VolatilityTable,14)</f>
        <v>0.165</v>
      </c>
      <c r="Y33" s="1513" t="n">
        <f aca="false">VLOOKUP($A33,VolatilityTable,15)</f>
        <v>0.175</v>
      </c>
      <c r="Z33" s="1514" t="n">
        <f aca="false">VLOOKUP($A33,VolatilityTable,16)</f>
        <v>0.185</v>
      </c>
      <c r="AA33" s="1513" t="n">
        <f aca="false">VLOOKUP($A33,VolatilityTable,18)</f>
        <v>0.09</v>
      </c>
      <c r="AB33" s="1513" t="n">
        <f aca="false">VLOOKUP($A33,VolatilityTable,19)</f>
        <v>0.11</v>
      </c>
      <c r="AC33" s="1514" t="n">
        <f aca="false">VLOOKUP($A33,VolatilityTable,20)</f>
        <v>0.13</v>
      </c>
      <c r="AD33" s="1513" t="n">
        <f aca="false">VLOOKUP($A33,VolatilityTable,18)</f>
        <v>0.09</v>
      </c>
      <c r="AE33" s="1513" t="n">
        <f aca="false">VLOOKUP($A33,VolatilityTable,19)</f>
        <v>0.11</v>
      </c>
      <c r="AF33" s="1514" t="n">
        <f aca="false">VLOOKUP($A33,VolatilityTable,20)</f>
        <v>0.13</v>
      </c>
      <c r="AG33" s="1513" t="n">
        <f aca="false">VLOOKUP($A33,VolatilityTable,22)</f>
        <v>-0.35</v>
      </c>
      <c r="AH33" s="1513" t="n">
        <f aca="false">VLOOKUP($A33,VolatilityTable,23)</f>
        <v>3</v>
      </c>
      <c r="AI33" s="1514" t="n">
        <f aca="false">VLOOKUP($A33,VolatilityTable,24)</f>
        <v>0.2</v>
      </c>
      <c r="AJ33" s="1513" t="n">
        <f aca="false">VLOOKUP($A33,VolatilityTable,22)</f>
        <v>-0.35</v>
      </c>
      <c r="AK33" s="1513" t="n">
        <f aca="false">VLOOKUP($A33,VolatilityTable,23)</f>
        <v>3</v>
      </c>
      <c r="AL33" s="1514" t="n">
        <f aca="false">VLOOKUP($A33,VolatilityTable,24)</f>
        <v>0.2</v>
      </c>
      <c r="AM33" s="1513" t="n">
        <f aca="false">VLOOKUP($A33,VolatilityTable,26)</f>
        <v>-0.01</v>
      </c>
      <c r="AN33" s="1513" t="n">
        <f aca="false">VLOOKUP($A33,VolatilityTable,27)</f>
        <v>0.16</v>
      </c>
      <c r="AO33" s="1514" t="n">
        <f aca="false">VLOOKUP($A33,VolatilityTable,28)</f>
        <v>0.01</v>
      </c>
      <c r="AP33" s="1513" t="n">
        <f aca="false">VLOOKUP($A33,VolatilityTable,26)</f>
        <v>-0.01</v>
      </c>
      <c r="AQ33" s="1513" t="n">
        <f aca="false">VLOOKUP($A33,VolatilityTable,27)</f>
        <v>0.16</v>
      </c>
      <c r="AR33" s="1515" t="n">
        <f aca="false">VLOOKUP($A33,VolatilityTable,28)</f>
        <v>0.01</v>
      </c>
      <c r="AS33" s="1581" t="n">
        <f aca="false">IF(CorrPeakOffPeakOverFlag,INDEX(CorrPeakOffPeakOver,C33),CorrPeakOffPeak)</f>
        <v>0.5</v>
      </c>
      <c r="AT33" s="594" t="n">
        <f aca="false">AX33-SUM(AU33:AW33)</f>
        <v>0</v>
      </c>
      <c r="AU33" s="238" t="n">
        <f aca="false">IF(E33="",0,INT((F33-MOD(F33,7)-E33)/7)+1-IF(AW33,IF(WEEKDAY(D33)=7,1,0),0))</f>
        <v>0</v>
      </c>
      <c r="AV33" s="238" t="n">
        <f aca="false">IF(E33="",0,INT((F33-MOD(F33-1,7)-E33)/7)+1-IF(AW33,IF(WEEKDAY(D33)=1,1,0),0))</f>
        <v>0</v>
      </c>
      <c r="AW33" s="238" t="n">
        <f aca="false">IF(OR(E33="",D33="",D33&lt;BegDate,D33&gt;EndDate),0,1)</f>
        <v>0</v>
      </c>
      <c r="AX33" s="238" t="n">
        <f aca="false">IF(E33="",0,F33-E33+1)</f>
        <v>0</v>
      </c>
      <c r="AY33" s="1582" t="n">
        <f aca="false">IF(E33="",0,MIN((1-(1-VLOOKUP(B33,MAIN!$AA$7:$AM$28,C33+1))*(1-VLOOKUP(B33,MAIN!$AA$33:$AM$54,C33+1))),1))</f>
        <v>0</v>
      </c>
      <c r="AZ33" s="1519" t="e">
        <v>#VALUE!</v>
      </c>
      <c r="BA33" s="1520" t="e">
        <v>#VALUE!</v>
      </c>
      <c r="BB33" s="1520" t="e">
        <v>#VALUE!</v>
      </c>
      <c r="BC33" s="1583" t="e">
        <v>#VALUE!</v>
      </c>
      <c r="BD33" s="1522" t="e">
        <v>#VALUE!</v>
      </c>
      <c r="BE33" s="1523" t="e">
        <v>#VALUE!</v>
      </c>
      <c r="BF33" s="1523" t="e">
        <v>#VALUE!</v>
      </c>
      <c r="BG33" s="1584" t="e">
        <v>#VALUE!</v>
      </c>
      <c r="BH33" s="1525" t="e">
        <v>#VALUE!</v>
      </c>
      <c r="BI33" s="1520" t="e">
        <v>#VALUE!</v>
      </c>
      <c r="BJ33" s="1520" t="e">
        <v>#VALUE!</v>
      </c>
      <c r="BK33" s="1583" t="e">
        <v>#VALUE!</v>
      </c>
      <c r="BL33" s="1522" t="e">
        <v>#VALUE!</v>
      </c>
      <c r="BM33" s="1523" t="e">
        <v>#VALUE!</v>
      </c>
      <c r="BN33" s="1523" t="e">
        <v>#VALUE!</v>
      </c>
      <c r="BO33" s="1523" t="e">
        <v>#VALUE!</v>
      </c>
      <c r="BP33" s="1525" t="e">
        <f aca="false">SUM(AZ33:BB33)</f>
        <v>#VALUE!</v>
      </c>
      <c r="BQ33" s="1529" t="e">
        <f aca="false">SUM(AZ33:BC33)</f>
        <v>#VALUE!</v>
      </c>
      <c r="BR33" s="1519" t="e">
        <f aca="false">SUM(BH33:BJ33)</f>
        <v>#VALUE!</v>
      </c>
      <c r="BS33" s="1529" t="e">
        <f aca="false">SUM(BH33:BK33)</f>
        <v>#VALUE!</v>
      </c>
      <c r="BT33" s="1316" t="n">
        <f aca="false">(IF(OVolType&lt;&gt;2,A33+14,IF(OptExpDateShift,ShiftBack(A33,OptExpDateShift,D32),A33))-DateToday)/365.25</f>
        <v>1.38261464750171</v>
      </c>
      <c r="BU33" s="1585" t="e">
        <f aca="false">IF(BQ33,IF(OPriceCurve,IF(OBuySell=OCallPut,I33/(1-AY33),K33/(1-AY33)),J33/(1-AY33))*BD33,0)</f>
        <v>#VALUE!</v>
      </c>
      <c r="BV33" s="1316" t="e">
        <f aca="false">IF(BQ33,IF(OPriceCurve,IF(OBuySell=OCallPut,L33/(1-AY33),N33/(1-AY33)),M33/(1-AY33))*BE33,0)</f>
        <v>#VALUE!</v>
      </c>
      <c r="BW33" s="1316" t="e">
        <f aca="false">IF(BQ33,IF(OPriceCurve,IF(OBuySell=OCallPut,O33/(1-AY33),Q33/(1-AY33)),P33/(1-AY33))*BF33,0)</f>
        <v>#VALUE!</v>
      </c>
      <c r="BX33" s="1316" t="e">
        <f aca="false">IF(BQ33,IF(OPriceCurve,IF(OBuySell=OCallPut,R33/(1-AY33),T33/(1-AY33)),S33/(1-AY33))*BG33,0)</f>
        <v>#VALUE!</v>
      </c>
      <c r="BY33" s="1316" t="e">
        <f aca="false">IF(BP33,(BU33*AZ33+BV33*BA33+BW33*BB33)/BP33,0)</f>
        <v>#VALUE!</v>
      </c>
      <c r="BZ33" s="1316" t="e">
        <f aca="false">IF(BQ33,(BY33*BP33+BX33*BC33)/BQ33,0)</f>
        <v>#VALUE!</v>
      </c>
      <c r="CA33" s="1531" t="e">
        <f aca="false">IF(BS33,IF(OPriceCurve,IF(OBuySell=OCallPut,I33/(1-AY33),K33/(1-AY33)),J33/(1-AY33))*BL33,0)</f>
        <v>#VALUE!</v>
      </c>
      <c r="CB33" s="1316" t="e">
        <f aca="false">IF(BS33,IF(OPriceCurve,IF(OBuySell=OCallPut,L33/(1-AY33),N33/(1-AY33)),M33/(1-AY33))*BM33,0)</f>
        <v>#VALUE!</v>
      </c>
      <c r="CC33" s="1316" t="e">
        <f aca="false">IF(BS33,IF(OPriceCurve,IF(OBuySell=OCallPut,O33/(1-AY33),Q33/(1-AY33)),P33/(1-AY33))*BN33,0)</f>
        <v>#VALUE!</v>
      </c>
      <c r="CD33" s="1316" t="e">
        <f aca="false">IF(BS33,IF(OPriceCurve,IF(OBuySell=OCallPut,R33/(1-AY33),T33/(1-AY33)),S33/(1-AY33))*BO33,0)</f>
        <v>#VALUE!</v>
      </c>
      <c r="CE33" s="1316" t="e">
        <f aca="false">IF(BR33,(BU33*BH33+BV33*BI33+BW33*BJ33)/BR33,0)</f>
        <v>#VALUE!</v>
      </c>
      <c r="CF33" s="1532" t="e">
        <f aca="false">IF(BS33,(CE33*BR33+CD33*BK33)/BS33,0)</f>
        <v>#VALUE!</v>
      </c>
      <c r="CG33" s="1586" t="e">
        <f aca="false">IF(OR(BQ33,BS33),IF(OVolType&lt;&gt;2,SQRT(IF(OVolOverMonthlyPeak,OVolOverMonthlyPeak,IF(OVolCurve,IF(OBuySell,U33,W33),V33))^2*(1-15/365.25/BT33)+IF(OVolOverDailyPeak,OVolOverDailyPeak,IF(OVolCurve,IF(OBuySell,AG33,AI33),AH33))^2*15/365.25/BT33),IF(OVolOverMonthlyPeak,OVolOverMonthlyPeak,IF(OVolCurve,IF(OBuySell,U33,W33),V33))),"")</f>
        <v>#VALUE!</v>
      </c>
      <c r="CH33" s="1587" t="e">
        <f aca="false">IF(OR(BQ33,BS33),IF(OVolType&lt;&gt;2,SQRT(IF(OVolOverMonthlyPeak,OVolOverMonthlyPeak,IF(OVolCurve,IF(OBuySell,X33,Z33),Y33))^2*(1-15/365.25/BT33)+IF(OVolOverDailyPeak,OVolOverDailyPeak,IF(OVolCurve,IF(OBuySell,AJ33,AL33),AK33))^2*15/365.25/BT33),IF(OVolOverMonthlyPeak,OVolOverMonthlyPeak,IF(OVolCurve,IF(OBuySell,X33,Z33),Y33))),"")</f>
        <v>#VALUE!</v>
      </c>
      <c r="CI33" s="1587" t="e">
        <f aca="false">IF(OR(BQ33,BS33),IF(OVolType&lt;&gt;2,SQRT(IF(OVolOverMonthlyPeak,OVolOverMonthlyPeak,IF(OVolCurve,IF(OBuySell,AA33,AC33),AB33))^2*(1-15/365.25/BT33)+IF(OVolOverDailyPeak,OVolOverDailyPeak,IF(OVolCurve,IF(OBuySell,AM33,AO33),AN33))^2*15/365.25/BT33),IF(OVolOverMonthlyPeak,OVolOverMonthlyPeak,IF(OVolCurve,IF(OBuySell,AA33,AC33),AB33))),"")</f>
        <v>#VALUE!</v>
      </c>
      <c r="CJ33" s="1587" t="e">
        <f aca="false">IF(BQ33,IF(BP33,SQRT(LN(1+((BU33*AZ33)^2*(EXP(CG33^2*BT33)-1)+(BV33*BA33)^2*(EXP(CH33^2*BT33)-1)+(BW33*BB33)^2*(EXP(CI33^2*BT33)-1)+2*BU33*AZ33*BV33*BA33*(EXP(CG33*CH33*BT33)-1)+2*BV33*BA33*BW33*BB33*(EXP(CH33*CI33*BT33)-1)+2*BW33*BB33*BU33*AZ33*(EXP(CI33*CG33*BT33)-1))/(BY33*BP33)^2)/BT33),0),"")</f>
        <v>#VALUE!</v>
      </c>
      <c r="CK33" s="1587" t="e">
        <f aca="false">IF(BS33,IF(BR33,SQRT(LN(1+((CA33*BH33)^2*(EXP(CG33^2*BT33)-1)+(CB33*BI33)^2*(EXP(CH33^2*BT33)-1)+(CC33*BJ33)^2*(EXP(CI33^2*BT33)-1)+2*CA33*BH33*CB33*BI33*(EXP(CG33*CH33*BT33)-1)+2*CB33*BI33*CC33*BJ33*(EXP(CH33*CI33*BT33)-1)+2*CC33*BJ33*CA33*BH33*(EXP(CI33*CG33*BT33)-1))/(CE33*BR33)^2)/BT33),0),"")</f>
        <v>#VALUE!</v>
      </c>
      <c r="CL33" s="1587" t="e">
        <f aca="false">IF(OR(BQ33,BS33),IF(OVolType&lt;&gt;2,SQRT(IF(OVolOverMonthlyOffPeak,OVolOverMonthlyOffPeak,IF(OVolCurve,IF(OBuySell,AD33,AF33),AE33))^2*(1-15/365.25/BT33)+IF(OVolOverDailyOffPeak,OVolOverDailyOffPeak,IF(OVolCurve,IF(OBuySell,AP33,AR33),AQ33))^2*15/365.25/BT33),IF(OVolOverMonthlyOffPeak,OVolOverMonthlyOffPeak,IF(OVolCurve,IF(OBuySell,AD33,AF33),AE33))),"")</f>
        <v>#VALUE!</v>
      </c>
      <c r="CM33" s="1587" t="e">
        <f aca="false">IF(BQ33,SQRT(LN(1+((BY33*BP33)^2*(EXP(CJ33^2*BT33)-1)+(BX33*BC33)^2*(EXP(CL33^2*BT33)-1)+2*BY33*BP33*BX33*BC33*(EXP(AS33*CJ33*CL33*BT33)-1))/(BY33*BP33+BX33*BC33)^2)/BT33),"")</f>
        <v>#VALUE!</v>
      </c>
      <c r="CN33" s="1588" t="e">
        <f aca="false">IF(BS33,SQRT(LN(1+((CE33*BR33)^2*(EXP(CK33^2*BT33)-1)+(CD33*BK33)^2*(EXP(CL33^2*BT33)-1)+2*CE33*BR33*CD33*BK33*(EXP(AS33*CK33*CL33*BT33)-1))/(CE33*BR33+CD33*BK33)^2)/BT33),"")</f>
        <v>#VALUE!</v>
      </c>
      <c r="CO33" s="1531" t="e">
        <f aca="false">IF(OR(BQ33,BS33),VLOOKUP(A33,GasTable,13)*HeatRatePeak*(1+VLOOKUP($B33,HeatRateDegradation,$C33+1))/1000,0)</f>
        <v>#VALUE!</v>
      </c>
      <c r="CP33" s="1316" t="e">
        <f aca="false">IF(OR(BQ33,BS33),VLOOKUP(A33,GasTable,13)*HeatRatePeak*(1+VLOOKUP($B33,HeatRateDegradation,$C33+1))/1000,0)</f>
        <v>#VALUE!</v>
      </c>
      <c r="CQ33" s="1316" t="e">
        <f aca="false">IF(OR(BQ33,BS33),VLOOKUP(A33,GasTable,13)*IF(EV33,HeatRatePeak,HeatRateOffPeak)*(1+VLOOKUP($B33,HeatRateDegradation,$C33+1))/1000,0)</f>
        <v>#VALUE!</v>
      </c>
      <c r="CR33" s="1316" t="e">
        <f aca="false">IF(OR(BQ33,BS33),VLOOKUP(A33,GasTable,13)*IF(EW33,HeatRatePeak,HeatRateOffPeak)*(1+VLOOKUP($B33,HeatRateDegradation,$C33+1))/1000,0)</f>
        <v>#VALUE!</v>
      </c>
      <c r="CS33" s="1589" t="e">
        <f aca="false">IF(BQ33,(CO33*AZ33+CP33*BA33+CQ33*BB33+CR33*BC33)/BQ33,0)</f>
        <v>#VALUE!</v>
      </c>
      <c r="CT33" s="1316" t="e">
        <f aca="false">IF(BS33,CO33,0)</f>
        <v>#VALUE!</v>
      </c>
      <c r="CU33" s="1590" t="e">
        <f aca="false">IF(OR(BQ33,BS33),VLOOKUP(A33,GasTable,14),"")</f>
        <v>#VALUE!</v>
      </c>
      <c r="CV33" s="1568" t="e">
        <f aca="false">IF(OR(BQ33,BS33),IF(CorrPowerGasOverFlag,INDEX(CorrPowerGasOver,C33),CorrPowerGas),"")</f>
        <v>#VALUE!</v>
      </c>
      <c r="CW33" s="1316" t="e">
        <f aca="false">IF(OR($BQ33,$BS33),SpreadOptPowerMargin,0)*((1+Assumptions!$C$26)^($B33-YEAR(Assumptions!$C$17)))</f>
        <v>#VALUE!</v>
      </c>
      <c r="CX33" s="1316" t="e">
        <f aca="false">IF(OR($BQ33,$BS33),SpreadOptPowerMargin,0)*((1+Assumptions!$C$26)^($B33-YEAR(Assumptions!$C$17)))</f>
        <v>#VALUE!</v>
      </c>
      <c r="CY33" s="1316" t="e">
        <f aca="false">IF(OR($BQ33,$BS33),SpreadOptPowerMargin,0)*((1+Assumptions!$C$26)^($B33-YEAR(Assumptions!$C$17)))</f>
        <v>#VALUE!</v>
      </c>
      <c r="CZ33" s="1316" t="e">
        <f aca="false">IF(OR($BQ33,$BS33),SpreadOptPowerMargin,0)*((1+Assumptions!$C$26)^($B33-YEAR(Assumptions!$C$17)))</f>
        <v>#VALUE!</v>
      </c>
      <c r="DA33" s="1591" t="e">
        <f aca="false">IF(OR(BQ33,BS33),(CW33*(AZ33+BH33)+CX33*(BA33+BI33)+CY33*(BB33+BJ33)+CZ33*(BC33+BK33))/(BQ33+BS33),0)</f>
        <v>#VALUE!</v>
      </c>
      <c r="DB33" s="1592" t="e">
        <f aca="false">IF(OR(BQ33,BS33),CG33+IF(OVolSmile,VLOOKUP(MAX(-5,CO33+CW33-BU33),IF(OVolSmile=1,VolSmileBook,VolSmileModel),2),0),"")</f>
        <v>#VALUE!</v>
      </c>
      <c r="DC33" s="1592" t="e">
        <f aca="false">IF(OR(BQ33,BS33),CH33+IF(OVolSmile,VLOOKUP(MAX(-5,CP33+CW33-BV33),IF(OVolSmile=1,VolSmileBook,VolSmileModel),2),0),"")</f>
        <v>#VALUE!</v>
      </c>
      <c r="DD33" s="1592" t="e">
        <f aca="false">IF(OR(BQ33,BS33),CI33+IF(OVolSmile,VLOOKUP(MAX(-5,CQ33+CW33-BW33),IF(OVolSmile=1,VolSmileBook,VolSmileModel),2),0),"")</f>
        <v>#VALUE!</v>
      </c>
      <c r="DE33" s="1592" t="e">
        <f aca="false">IF(OR(BQ33,BS33),CL33+IF(OVolSmile,VLOOKUP(MAX(-5,CR33+CZ33-BX33),IF(OVolSmile=1,VolSmileBook,VolSmileModel),2),0),"")</f>
        <v>#VALUE!</v>
      </c>
      <c r="DF33" s="1592" t="e">
        <f aca="false">IF(BQ33,CM33+IF(OVolSmile,VLOOKUP(MAX(-5,CS33+DA33-BZ33),IF(OVolSmile=1,VolSmileBook,VolSmileModel),2),0),"")</f>
        <v>#VALUE!</v>
      </c>
      <c r="DG33" s="1593" t="e">
        <f aca="false">IF(BS33,CN33+IF(OVolSmile,VLOOKUP(MAX(-5,CT33+DA33-CF33),IF(OVolSmile=1,VolSmileBook,VolSmileModel),2),0),"")</f>
        <v>#VALUE!</v>
      </c>
      <c r="DH33" s="1316" t="e">
        <f aca="false">IF(AND(BU33&gt;0,CO33&gt;0,DB33&gt;0,CU33&gt;0),newSPRDOPT(BU33,CO33,CW33,0,DB33,CU33,CV33,BT33*365.25,OCallPut,0),0)</f>
        <v>#VALUE!</v>
      </c>
      <c r="DI33" s="1316" t="e">
        <f aca="false">IF(AND(BV33&gt;0,CP33&gt;0,DC33&gt;0,CU33&gt;0),newSPRDOPT(BV33,CP33,CX33,0,DC33,CU33,CV33,BT33*365.25,OCallPut,0),0)</f>
        <v>#VALUE!</v>
      </c>
      <c r="DJ33" s="1316" t="e">
        <f aca="false">IF(AND(BW33&gt;0,CQ33&gt;0,DD33&gt;0,CU33&gt;0),newSPRDOPT(BW33,CQ33,CY33,0,DD33,CU33,CV33,BT33*365.25,OCallPut,0),0)</f>
        <v>#VALUE!</v>
      </c>
      <c r="DK33" s="1316" t="e">
        <f aca="false">IF(AND(BX33&gt;0,CR33&gt;0,DE33&gt;0,CU33&gt;0),newSPRDOPT(BX33,CR33,CZ33,0,DE33,CU33,CV33,BT33*365.25,OCallPut,0),0)</f>
        <v>#VALUE!</v>
      </c>
      <c r="DL33" s="1316" t="e">
        <f aca="false">IF(OVolType,IF(AND(BZ33&gt;0,CS33&gt;0,DF33&gt;0,CU33&gt;0),newSPRDOPT(BZ33,CS33,DA33,0,DF33,CU33,CV33,BT33*365.25,OCallPut,0),0),IF(BQ33,(DH33*AZ33+DI33*BA33+DJ33*BB33+DK33*BC33)/BQ33,0))</f>
        <v>#VALUE!</v>
      </c>
      <c r="DM33" s="1316"/>
      <c r="DN33" s="1316"/>
      <c r="DO33" s="1316"/>
      <c r="DP33" s="1316"/>
      <c r="DQ33" s="1316"/>
      <c r="DR33" s="1316"/>
      <c r="DS33" s="1316"/>
      <c r="DT33" s="1316"/>
      <c r="DU33" s="1316"/>
      <c r="DV33" s="1316"/>
      <c r="DW33" s="1594" t="e">
        <f aca="false">IF(AND(BW33&gt;0,CT33&gt;0,DD33&gt;0,CU33&gt;0),newSPRDOPT(BW33,CT33,CY33,0,DD33,CU33,CV33,BT33*365.25,OCallPut,0),0)</f>
        <v>#VALUE!</v>
      </c>
      <c r="DX33" s="1316" t="e">
        <f aca="false">IF(AND(BX33&gt;0,CT33&gt;0,DE33&gt;0,CU33&gt;0),newSPRDOPT(BX33,CT33,CZ33,0,DE33,CU33,CV33,BT33*365.25,OCallPut,0),0)</f>
        <v>#VALUE!</v>
      </c>
      <c r="DY33" s="1591" t="e">
        <f aca="false">IF(BS33,(DH33*BH33+DI33*BI33+DW33*BJ33+DX33*BK33)/BS33,0)</f>
        <v>#VALUE!</v>
      </c>
      <c r="DZ33" s="1551" t="e">
        <f aca="false">DH33*AZ33</f>
        <v>#VALUE!</v>
      </c>
      <c r="EA33" s="1551" t="e">
        <f aca="false">DI33*BA33</f>
        <v>#VALUE!</v>
      </c>
      <c r="EB33" s="1551" t="e">
        <f aca="false">DJ33*BB33</f>
        <v>#VALUE!</v>
      </c>
      <c r="EC33" s="1551" t="e">
        <f aca="false">DK33*BC33</f>
        <v>#VALUE!</v>
      </c>
      <c r="ED33" s="1551" t="e">
        <f aca="false">DL33*BQ33</f>
        <v>#VALUE!</v>
      </c>
      <c r="EE33" s="1595" t="e">
        <f aca="false">IF(BQ33,IF(OCallPut,IF(BU33&gt;(CO33+CW33),BU33-(CO33+CW33),0),IF((CO33+CW33)&gt;BU33,(CO33+CW33)-BU33,0))*AZ33,0)</f>
        <v>#VALUE!</v>
      </c>
      <c r="EF33" s="1596" t="e">
        <f aca="false">IF(BQ33,IF(OCallPut,IF(BV33&gt;(CP33+CX33),BV33-(CP33+CX33),0),IF((CP33+CX33)&gt;BV33,(CP33+CX33)-BV33,0))*BA33,0)</f>
        <v>#VALUE!</v>
      </c>
      <c r="EG33" s="1596" t="e">
        <f aca="false">IF(BQ33,IF(OCallPut,IF(BW33&gt;(CQ33+CY33),BW33-(CQ33+CY33),0),IF((CQ33+CY33)&gt;BW33,(CQ33+CY33)-BW33,0))*BB33,0)</f>
        <v>#VALUE!</v>
      </c>
      <c r="EH33" s="1596" t="e">
        <f aca="false">IF(BQ33,IF(OCallPut,IF(BX33&gt;(CR33+CZ33),BX33-(CR33+CZ33),0),IF((CR33+CZ33)&gt;BX33,(CR33+CZ33)-BX33,0))*BC33,0)</f>
        <v>#VALUE!</v>
      </c>
      <c r="EI33" s="1597" t="e">
        <f aca="false">IF(BQ33,IF(OVolType,IF(OCallPut,IF(BZ33&gt;(CS33+DA33),BZ33-(CS33+DA33),0),IF((CS33+DA33)&gt;BZ33,(CS33+DA33)-BZ33,0))*BQ33,SUM(EE33:EH33)),0)</f>
        <v>#VALUE!</v>
      </c>
      <c r="EJ33" s="1595" t="e">
        <f aca="false">DZ33-EE33</f>
        <v>#VALUE!</v>
      </c>
      <c r="EK33" s="1596" t="e">
        <f aca="false">EA33-EF33</f>
        <v>#VALUE!</v>
      </c>
      <c r="EL33" s="1596" t="e">
        <f aca="false">EB33-EG33</f>
        <v>#VALUE!</v>
      </c>
      <c r="EM33" s="1596" t="e">
        <f aca="false">EC33-EH33</f>
        <v>#VALUE!</v>
      </c>
      <c r="EN33" s="1597" t="e">
        <f aca="false">ED33-EI33</f>
        <v>#VALUE!</v>
      </c>
      <c r="EO33" s="1551" t="e">
        <f aca="false">DH33*BH33</f>
        <v>#VALUE!</v>
      </c>
      <c r="EP33" s="1551" t="e">
        <f aca="false">DI33*BI33</f>
        <v>#VALUE!</v>
      </c>
      <c r="EQ33" s="1551" t="e">
        <f aca="false">DW33*BJ33</f>
        <v>#VALUE!</v>
      </c>
      <c r="ER33" s="1551" t="e">
        <f aca="false">DX33*BK33</f>
        <v>#VALUE!</v>
      </c>
      <c r="ES33" s="1551" t="e">
        <f aca="false">DY33*BS33</f>
        <v>#VALUE!</v>
      </c>
      <c r="ET33" s="1566" t="e">
        <f aca="false">IF(BS33,IF(OCallPut,IF(CA33&gt;(CT33+CW33),CA33-(CT33+CW33),0),IF((CT33+CW33)&gt;CA33,(CT33+CW33)-CA33,0))*BH33,0)</f>
        <v>#VALUE!</v>
      </c>
      <c r="EU33" s="1551" t="e">
        <f aca="false">IF(BS33,IF(OCallPut,IF(CB33&gt;(CT33+CX33),CB33-(CT33+CX33),0),IF((CT33+CX33)&gt;CB33,(CT33+CX33)-CB33,0))*BI33,0)</f>
        <v>#VALUE!</v>
      </c>
      <c r="EV33" s="1551" t="e">
        <f aca="false">IF(BS33,IF(OCallPut,IF(CC33&gt;(CT33+CY33),CC33-(CT33+CY33),0),IF((CT33+CY33)&gt;CC33,(CT33+CY33)-CC33,0))*BJ33,0)</f>
        <v>#VALUE!</v>
      </c>
      <c r="EW33" s="1551" t="e">
        <f aca="false">IF(BS33,IF(OCallPut,IF(CD33&gt;(CT33+CZ33),CD33-(CT33+CZ33),0),IF((CT33+CZ33)&gt;CD33,(CT33+CZ33)-CD33,0))*BK33,0)</f>
        <v>#VALUE!</v>
      </c>
      <c r="EX33" s="1558" t="e">
        <f aca="false">IF(BS33,SUM(ET33:EW33),0)</f>
        <v>#VALUE!</v>
      </c>
      <c r="EY33" s="1551" t="e">
        <f aca="false">EO33-ET33</f>
        <v>#VALUE!</v>
      </c>
      <c r="EZ33" s="1551" t="e">
        <f aca="false">EP33-EU33</f>
        <v>#VALUE!</v>
      </c>
      <c r="FA33" s="1551" t="e">
        <f aca="false">EQ33-EV33</f>
        <v>#VALUE!</v>
      </c>
      <c r="FB33" s="1551" t="e">
        <f aca="false">ER33-EW33</f>
        <v>#VALUE!</v>
      </c>
      <c r="FC33" s="1551" t="e">
        <f aca="false">ES33-EX33</f>
        <v>#VALUE!</v>
      </c>
      <c r="FD33" s="1525" t="n">
        <f aca="false">IF(AX33,IF(VLOOKUP(C33,MAIN!$L$17:$M$28,2)="Yes",VLOOKUP(CALC!B33,MAIN!$H$17:$I$20,2),0),0)</f>
        <v>0</v>
      </c>
      <c r="FE33" s="1552" t="n">
        <f aca="false">$FD33*16*AT33*(1-$AY33)</f>
        <v>0</v>
      </c>
      <c r="FF33" s="1553" t="n">
        <f aca="false">$FD33*16*AU33*(1-$AY33)</f>
        <v>0</v>
      </c>
      <c r="FG33" s="1553" t="n">
        <f aca="false">$FD33*16*(AV33+AW33)*(1-$AY33)</f>
        <v>0</v>
      </c>
      <c r="FH33" s="1554" t="n">
        <f aca="false">$FD33*8*AX33*(1-$AY33)</f>
        <v>0</v>
      </c>
      <c r="FI33" s="1555" t="n">
        <f aca="false">IF(AX33,VLOOKUP(CALC!B33,MAIN!$H$17:$K$20,4),0)</f>
        <v>0</v>
      </c>
      <c r="FJ33" s="1553" t="n">
        <f aca="false">SUM(FE33:FH33)</f>
        <v>0</v>
      </c>
      <c r="FK33" s="1556" t="n">
        <f aca="false">FI33*FJ33</f>
        <v>0</v>
      </c>
      <c r="FL33" s="1551" t="e">
        <f aca="false">IF($EI33&gt;0,MIN(FE33,AZ33*(1+VLOOKUP($C33,WeatherCapacityAdjustment,2))),0)</f>
        <v>#VALUE!</v>
      </c>
      <c r="FM33" s="1551" t="e">
        <f aca="false">IF($EI33&gt;0,MIN(FF33,BA33*(1+VLOOKUP($C33,WeatherCapacityAdjustment,2))),0)</f>
        <v>#VALUE!</v>
      </c>
      <c r="FN33" s="1551" t="e">
        <f aca="false">IF($EI33&gt;0,MIN(FG33,BB33*(1+VLOOKUP($C33,WeatherCapacityAdjustment,2))),0)</f>
        <v>#VALUE!</v>
      </c>
      <c r="FO33" s="1564" t="e">
        <f aca="false">IF($EI33&gt;0,MIN(FH33,BC33*(1+VLOOKUP($C33,WeatherCapacityAdjustment,3))),0)</f>
        <v>#VALUE!</v>
      </c>
      <c r="FP33" s="1551" t="e">
        <f aca="false">IF(ET33&gt;0,MIN(FE33-FL33,BH33*(1+VLOOKUP($C33,WeatherCapacityAdjustment,2))),0)</f>
        <v>#VALUE!</v>
      </c>
      <c r="FQ33" s="1551" t="e">
        <f aca="false">IF(EU33&gt;0,MIN(FF33-FM33,BI33*(1+VLOOKUP($C33,WeatherCapacityAdjustment,2))),0)</f>
        <v>#VALUE!</v>
      </c>
      <c r="FR33" s="1551" t="e">
        <f aca="false">IF(EV33&gt;0,MIN(FG33-FN33,BJ33*(1+VLOOKUP($C33,WeatherCapacityAdjustment,2))),0)</f>
        <v>#VALUE!</v>
      </c>
      <c r="FS33" s="1558" t="e">
        <f aca="false">IF(EW33&gt;0,MIN(FH33-FO33,BK33*(1+VLOOKUP($C33,WeatherCapacityAdjustment,3))),0)</f>
        <v>#VALUE!</v>
      </c>
      <c r="FT33" s="1566" t="n">
        <f aca="false">IF(AND(Assumptions!$H$71="Yes",A33&gt;=Assumptions!$H$72,A33&lt;=Assumptions!$H$73),0,IF(AND($A33&gt;=Assumptions!$C$17,$A33&lt;=Assumptions!$C$18),MAX(AZ33*(1+VLOOKUP($C33,WeatherCapacityAdjustment,2))-FL33,0),0))</f>
        <v>0</v>
      </c>
      <c r="FU33" s="1551" t="n">
        <f aca="false">IF(AND(Assumptions!$H$71="Yes",A33&gt;=Assumptions!$H$72,A33&lt;=Assumptions!$H$73),0,IF(AND($A33&gt;=Assumptions!$C$17,$A33&lt;=Assumptions!$C$18),MAX(BA33*(1+VLOOKUP($C33,WeatherCapacityAdjustment,2))-FM33,0),0))</f>
        <v>0</v>
      </c>
      <c r="FV33" s="1551" t="n">
        <f aca="false">IF(AND(Assumptions!$H$71="Yes",A33&gt;=Assumptions!$H$72,A33&lt;=Assumptions!$H$73),0,IF(AND($A33&gt;=Assumptions!$C$17,$A33&lt;=Assumptions!$C$18),MAX(BB33*(1+VLOOKUP($C33,WeatherCapacityAdjustment,2))-FN33,0),0))</f>
        <v>0</v>
      </c>
      <c r="FW33" s="1564" t="n">
        <f aca="false">IF(AND(Assumptions!$H$71="Yes",A33&gt;=Assumptions!$H$72,A33&lt;=Assumptions!$H$73),0,IF(AND($A33&gt;=Assumptions!$C$17,$A33&lt;=Assumptions!$C$18),MAX(BC33*(1+VLOOKUP($C33,WeatherCapacityAdjustment,3))-FO33,0),0))</f>
        <v>0</v>
      </c>
      <c r="FX33" s="1569" t="e">
        <f aca="false">IF(AND(Assumptions!$H$71="Yes",A33&gt;=Assumptions!$H$72,A33&lt;=Assumptions!$H$73),0,IF(ET33&gt;0,MAX(BH33*(1+VLOOKUP($C33,WeatherCapacityAdjustment,2))-FP33,0),0))</f>
        <v>#VALUE!</v>
      </c>
      <c r="FY33" s="1551" t="e">
        <f aca="false">IF(AND(Assumptions!$H$71="Yes",A33&gt;=Assumptions!$H$72,A33&lt;=Assumptions!$H$73),0,IF(EU33&gt;0,MAX(BI33*(1+VLOOKUP($C33,WeatherCapacityAdjustment,3))-FQ33,0),0))</f>
        <v>#VALUE!</v>
      </c>
      <c r="FZ33" s="1551" t="e">
        <f aca="false">IF(AND(Assumptions!$H$71="Yes",A33&gt;=Assumptions!$H$72,A33&lt;=Assumptions!$H$73),0,IF(EV33&gt;0,MAX(BJ33*(1+VLOOKUP($C33,WeatherCapacityAdjustment,2))-FR33,0),0))</f>
        <v>#VALUE!</v>
      </c>
      <c r="GA33" s="1564" t="e">
        <f aca="false">IF(AND(Assumptions!$H$71="Yes",A33&gt;=Assumptions!$H$72,A33&lt;=Assumptions!$H$73),0,IF(EW33&gt;0,MAX(BK33*(1+VLOOKUP($C33,WeatherCapacityAdjustment,2))-FS33,0),0))</f>
        <v>#VALUE!</v>
      </c>
      <c r="GB33" s="1551" t="e">
        <f aca="false">SUM(FT33:GA33)</f>
        <v>#VALUE!</v>
      </c>
      <c r="GC33" s="1563" t="e">
        <f aca="false">+IF(SUM(FT33:GA33)=0,0,(SUMPRODUCT(BU33:BX33,FT33:FW33)+SUMPRODUCT(CA33:CD33,FX33:GA33))/SUM(FT33:GA33))</f>
        <v>#VALUE!</v>
      </c>
      <c r="GD33" s="1551" t="e">
        <f aca="false">(FT33*BU33+FX33*CA33+FU33*BV33+FY33*CB33+FV33*BW33+FZ33*CC33+FW33*BX33+GA33*CD33)</f>
        <v>#VALUE!</v>
      </c>
      <c r="GE33" s="1561" t="e">
        <f aca="false">+IF(BQ33,((FL33+FM33+FT33+FU33)*HeatRatePeak/1000*(1+VLOOKUP($C33,WeatherHeatRateAdjustment,2))+(FN33+FV33)*IF(EV33&gt;0,HeatRatePeak,HeatRateOffPeak)/1000*(1+VLOOKUP($C33,WeatherHeatRateAdjustment,2))+(FO33+FW33)*IF(EW33&gt;0,HeatRatePeak,HeatRateOffPeak)/1000*(1+VLOOKUP($C33,WeatherHeatRateAdjustment,3)))*(1+VLOOKUP($B33,HeatRateDegradation,$C33+1)),0)</f>
        <v>#VALUE!</v>
      </c>
      <c r="GF33" s="1562" t="e">
        <f aca="false">IF(BQ33,((FP33+FQ33+FR33+FX33+FY33+FZ33)*HeatRatePeak/1000*(1+VLOOKUP($C33,WeatherHeatRateAdjustment,2))+(FS33+GA33)*HeatRatePeak/1000*(1+VLOOKUP($C33,WeatherHeatRateAdjustment,3)))*(1+VLOOKUP($B33,HeatRateDegradation,$C33+1)),0)</f>
        <v>#VALUE!</v>
      </c>
      <c r="GG33" s="1563" t="e">
        <f aca="false">IF(BQ33,VLOOKUP(A33,GasTable,13),0)</f>
        <v>#VALUE!</v>
      </c>
      <c r="GH33" s="1564" t="e">
        <f aca="false">(GE33+GF33)*GG33</f>
        <v>#VALUE!</v>
      </c>
      <c r="GI33" s="1569" t="e">
        <f aca="false">GB33</f>
        <v>#VALUE!</v>
      </c>
      <c r="GJ33" s="1598" t="e">
        <f aca="false">+DA33</f>
        <v>#VALUE!</v>
      </c>
      <c r="GK33" s="1558" t="e">
        <f aca="false">+GI33*GJ33</f>
        <v>#VALUE!</v>
      </c>
      <c r="GL33" s="1566" t="e">
        <f aca="false">MAX(FE33-FL33-FP33,0)</f>
        <v>#VALUE!</v>
      </c>
      <c r="GM33" s="1551" t="e">
        <f aca="false">MAX(FF33-FM33-FQ33,0)</f>
        <v>#VALUE!</v>
      </c>
      <c r="GN33" s="1551" t="e">
        <f aca="false">MAX(FG33-FN33-FR33,0)</f>
        <v>#VALUE!</v>
      </c>
      <c r="GO33" s="1564" t="e">
        <f aca="false">MAX(FH33-FO33-FS33,0)</f>
        <v>#VALUE!</v>
      </c>
      <c r="GP33" s="1551" t="e">
        <f aca="false">SUM(GL33:GO33)</f>
        <v>#VALUE!</v>
      </c>
      <c r="GQ33" s="1563" t="e">
        <f aca="false">IF(SUM(GL33:GO33)=0,0,((GL33*BU33+GM33*BV33+GN33*BW33+GO33*BX33)/SUM(GL33:GO33)))</f>
        <v>#VALUE!</v>
      </c>
      <c r="GR33" s="1558" t="e">
        <f aca="false">(GL33*BU33+GM33*BV33+GN33*BW33+GO33*BX33)</f>
        <v>#VALUE!</v>
      </c>
      <c r="GS33" s="1566" t="n">
        <f aca="false">IF($A33&gt;=BegDate,Assumptions!$C$56*24*($A34-$A33)*(1-VLOOKUP($B33,MAIN!$AA$7:$AM$28,$C33+1))*(1-VLOOKUP($B33,MAIN!$AA$33:$AM$54,$C33+1)),0)*80/168</f>
        <v>0</v>
      </c>
      <c r="GT33" s="286" t="n">
        <f aca="false">J33</f>
        <v>35.064744</v>
      </c>
      <c r="GU33" s="286" t="n">
        <f aca="false">IF($A33&gt;=BegDate,VLOOKUP($A33,GasTable,13)+Assumptions!$C$58,0)</f>
        <v>0</v>
      </c>
      <c r="GV33" s="286" t="n">
        <f aca="false">GU33*Assumptions!$C$57/1000</f>
        <v>0</v>
      </c>
      <c r="GW33" s="1558" t="n">
        <f aca="false">IF(Assumptions!$C$60="Hourly",MAX(0,GS33*(GT33-GV33)),GS33*(GT33-GV33))</f>
        <v>0</v>
      </c>
      <c r="GX33" s="1566" t="n">
        <f aca="false">IF($A33&gt;=BegDate,Assumptions!$C$56*24*($A34-$A33)*(1-VLOOKUP($B33,MAIN!$AA$7:$AM$28,$C33+1))*(1-VLOOKUP($B33,MAIN!$AA$33:$AM$54,$C33+1)),0)*16/168</f>
        <v>0</v>
      </c>
      <c r="GY33" s="286" t="n">
        <f aca="false">M33</f>
        <v>35.064744</v>
      </c>
      <c r="GZ33" s="286" t="n">
        <f aca="false">IF($A33&gt;=BegDate,VLOOKUP($A33,GasTable,13)+Assumptions!$C$58,0)</f>
        <v>0</v>
      </c>
      <c r="HA33" s="286" t="n">
        <f aca="false">GZ33*Assumptions!$C$57/1000</f>
        <v>0</v>
      </c>
      <c r="HB33" s="1558" t="n">
        <f aca="false">IF(Assumptions!$C$60="Hourly",MAX(0,GX33*(GY33-HA33)),GX33*(GY33-HA33))</f>
        <v>0</v>
      </c>
      <c r="HC33" s="1566" t="n">
        <f aca="false">IF($A33&gt;=BegDate,Assumptions!$C$56*24*($A34-$A33)*(1-VLOOKUP($B33,MAIN!$AA$7:$AM$28,$C33+1))*(1-VLOOKUP($B33,MAIN!$AA$33:$AM$54,$C33+1)),0)*16/168</f>
        <v>0</v>
      </c>
      <c r="HD33" s="286" t="n">
        <f aca="false">P33</f>
        <v>21.627978</v>
      </c>
      <c r="HE33" s="286" t="n">
        <f aca="false">IF($A33&gt;=BegDate,VLOOKUP($A33,GasTable,13)+Assumptions!$C$58,0)</f>
        <v>0</v>
      </c>
      <c r="HF33" s="286" t="n">
        <f aca="false">HE33*Assumptions!$C$57/1000</f>
        <v>0</v>
      </c>
      <c r="HG33" s="1558" t="n">
        <f aca="false">IF(Assumptions!$C$60="Hourly",MAX(0,HC33*(HD33-HF33)),HC33*(HD33-HF33))</f>
        <v>0</v>
      </c>
      <c r="HH33" s="1566" t="n">
        <f aca="false">IF($A33&gt;=BegDate,Assumptions!$C$56*24*($A34-$A33)*(1-VLOOKUP($B33,MAIN!$AA$7:$AM$28,$C33+1))*(1-VLOOKUP($B33,MAIN!$AA$33:$AM$54,$C33+1)),0)*56/168</f>
        <v>0</v>
      </c>
      <c r="HI33" s="286" t="n">
        <f aca="false">S33</f>
        <v>21.627978</v>
      </c>
      <c r="HJ33" s="286" t="n">
        <f aca="false">IF($A33&gt;=BegDate,VLOOKUP($A33,GasTable,13)+Assumptions!$C$58,0)</f>
        <v>0</v>
      </c>
      <c r="HK33" s="286" t="n">
        <f aca="false">HJ33*Assumptions!$C$57/1000</f>
        <v>0</v>
      </c>
      <c r="HL33" s="1558" t="n">
        <f aca="false">IF(Assumptions!$C$60="Hourly",MAX(0,HH33*(HI33-HK33)),HH33*(HI33-HK33))</f>
        <v>0</v>
      </c>
      <c r="HM33" s="1566" t="n">
        <f aca="false">IF(AND(Assumptions!$H$71="Yes",A33&gt;=Assumptions!$H$72,A33&lt;=Assumptions!$H$73),Assumptions!$H$74*Assumptions!$C$9*1000,0)</f>
        <v>0</v>
      </c>
      <c r="HN33" s="1558"/>
      <c r="HO33" s="1567" t="n">
        <f aca="false">HO32+1</f>
        <v>2019</v>
      </c>
      <c r="HP33" s="1566" t="e">
        <f aca="false">SUMIF($B$17:$B$292,HO33,$FJ$17:$FJ$292)</f>
        <v>#VALUE!</v>
      </c>
      <c r="HQ33" s="1568" t="e">
        <f aca="false">IF(HR33=0,0,HR33/HP33)</f>
        <v>#VALUE!</v>
      </c>
      <c r="HR33" s="1564" t="e">
        <f aca="false">SUMIF($B$17:$B$292,HO33,$FK$17:$FK$292)</f>
        <v>#VALUE!</v>
      </c>
      <c r="HS33" s="1569" t="e">
        <f aca="false">SUMIF($B$17:$B$292,HO33,$GB$17:$GB$292)</f>
        <v>#VALUE!</v>
      </c>
      <c r="HT33" s="1563" t="e">
        <f aca="false">+IF(HS33&gt;0,HU33/HS33,0)</f>
        <v>#VALUE!</v>
      </c>
      <c r="HU33" s="1551" t="e">
        <f aca="false">SUMIF($B$17:$B$292,HO33,$GD$17:$GD$292)</f>
        <v>#VALUE!</v>
      </c>
      <c r="HV33" s="1569" t="e">
        <f aca="false">HR33+HU33</f>
        <v>#VALUE!</v>
      </c>
      <c r="HW33" s="1551" t="e">
        <f aca="false">SUMIF($B$17:$B$292,$HO33,$EN$17:$EN$292)</f>
        <v>#VALUE!</v>
      </c>
      <c r="HX33" s="1551" t="e">
        <f aca="false">SUMIF($B$17:$B$292,$HO33,$FC$17:$FC$292)</f>
        <v>#VALUE!</v>
      </c>
      <c r="HY33" s="1551" t="n">
        <f aca="false">IF(Assumptions!$L$24="Yes",HW33+HX33,0)</f>
        <v>0</v>
      </c>
      <c r="HZ33" s="1566" t="e">
        <f aca="false">SUMIF($B$17:$B$292,HO33,$GE$17:$GE$292)+SUMIF($B$17:$B$292,HO33,$GF$17:$GF$292)</f>
        <v>#VALUE!</v>
      </c>
      <c r="IA33" s="1563" t="e">
        <f aca="false">IF(IB33=0,0,IB33/HZ33)</f>
        <v>#VALUE!</v>
      </c>
      <c r="IB33" s="1564" t="e">
        <f aca="false">-SUMIF($B$17:$B$292,HO33,$GH$17:$GH$292)</f>
        <v>#VALUE!</v>
      </c>
      <c r="IC33" s="1569" t="e">
        <f aca="false">SUMIF($B$17:$B$292,HO33,$GI$17:$GI$292)</f>
        <v>#VALUE!</v>
      </c>
      <c r="ID33" s="1563" t="e">
        <f aca="false">IF(IE33=0,0,IE33/IC33)</f>
        <v>#VALUE!</v>
      </c>
      <c r="IE33" s="1564" t="e">
        <f aca="false">-SUMIF($B$17:$B$292,HO33,$GK$17:$GK$292)</f>
        <v>#VALUE!</v>
      </c>
      <c r="IF33" s="1551" t="e">
        <f aca="false">SUMIF($B$17:$B$292,HO33,$GP$17:$GP$292)</f>
        <v>#VALUE!</v>
      </c>
      <c r="IG33" s="1563" t="e">
        <f aca="false">IF(IH33=0,0,IH33/IF33)</f>
        <v>#VALUE!</v>
      </c>
      <c r="IH33" s="1564" t="e">
        <f aca="false">-SUMIF($B$17:$B$292,HO33,$GR$17:$GR$292)</f>
        <v>#VALUE!</v>
      </c>
      <c r="II33" s="1570" t="n">
        <f aca="false">(SUMIF($B$17:$B$292,HO33,$GW$17:$GW$292)+SUMIF($B$17:$B$292,HO33,$HB$17:$HB$292)+SUMIF($B$17:$B$292,HO33,$HG$17:$HG$292)+SUMIF($B$17:$B$292,HO33,$HL$17:$HL$292))*Assumptions!$C$59</f>
        <v>1275943.12246325</v>
      </c>
      <c r="IJ33" s="1309" t="n">
        <f aca="false">SUMIF($B$17:$B$292,HO33,$HM$17:$HM$292)</f>
        <v>0</v>
      </c>
      <c r="IK33" s="1309"/>
    </row>
    <row r="34" customFormat="false" ht="12.75" hidden="false" customHeight="false" outlineLevel="0" collapsed="false">
      <c r="A34" s="1571" t="n">
        <f aca="false">EOMONTH(A33,0)+1</f>
        <v>37165</v>
      </c>
      <c r="B34" s="594" t="n">
        <f aca="false">+YEAR(A34)</f>
        <v>2001</v>
      </c>
      <c r="C34" s="238" t="n">
        <f aca="false">MONTH(A34)</f>
        <v>10</v>
      </c>
      <c r="D34" s="1572" t="str">
        <f aca="false">IF(E34="","",Holiday(B34,C34))</f>
        <v/>
      </c>
      <c r="E34" s="1573" t="str">
        <f aca="false">IF(OR(BegDate&gt;=A35,EndDate&lt;A34,AND(VolumeMonthlyOverFlag,INDEX(VolumeMonthlyOver,C34)=0),NOT(INDEX(MonthKnockOutTable,C34))),"",MAX(A34,BegDate))</f>
        <v/>
      </c>
      <c r="F34" s="1574" t="str">
        <f aca="false">IF(E34="","",MIN(A35-1,EndDate))</f>
        <v/>
      </c>
      <c r="G34" s="1575" t="n">
        <v>0</v>
      </c>
      <c r="H34" s="1576" t="n">
        <f aca="false">(1+G34/2)^(-2*(DATE(B35,C35,20)-DateToday)/365.25)</f>
        <v>1</v>
      </c>
      <c r="I34" s="1568" t="n">
        <f aca="false">IF(Assumptions!$L$25=4,VLOOKUP($A34,'Henwood Reference'!$E$9:$R$320,10),(VLOOKUP($A34,PriceTable,2,0)+IF(BasisNumber&lt;&gt;1,VLOOKUP($A34,BasisTable,2,0),0)+I$1)/(1-I$2))</f>
        <v>31.914882</v>
      </c>
      <c r="J34" s="1568" t="n">
        <f aca="false">IF(Assumptions!$L$25=4,VLOOKUP($A34,'Henwood Reference'!$E$9:$R$320,10),(VLOOKUP($A34,PriceTable,3,0)+IF(BasisNumber&lt;&gt;1,VLOOKUP($A34,BasisTable,2,0),0)+J$1)/(1-J$2))</f>
        <v>31.914882</v>
      </c>
      <c r="K34" s="1568" t="n">
        <f aca="false">IF(Assumptions!$L$25=4,VLOOKUP($A34,'Henwood Reference'!$E$9:$R$320,10),(VLOOKUP($A34,PriceTable,4,0)+IF(BasisNumber&lt;&gt;1,VLOOKUP($A34,BasisTable,2,0),0)+K$1)/(1-K$2))</f>
        <v>31.914882</v>
      </c>
      <c r="L34" s="1523" t="n">
        <f aca="false">IF(Assumptions!$L$25=4,VLOOKUP($A34,'Henwood Reference'!$E$9:$R$320,10),(VLOOKUP($A34,PriceTableWeekend,2,0)+IF(BasisNumber&lt;&gt;1,VLOOKUP($A34,BasisTable,2,0),0)+L$1)/(1-L$2))</f>
        <v>31.914882</v>
      </c>
      <c r="M34" s="1568" t="n">
        <f aca="false">IF(Assumptions!$L$25=4,VLOOKUP($A34,'Henwood Reference'!$E$9:$R$320,10),(VLOOKUP($A34,PriceTableWeekend,3,0)+IF(BasisNumber&lt;&gt;1,VLOOKUP($A34,BasisTable,2,0),0)+M$1)/(1-M$2))</f>
        <v>31.914882</v>
      </c>
      <c r="N34" s="1599" t="n">
        <f aca="false">IF(Assumptions!$L$25=4,VLOOKUP($A34,'Henwood Reference'!$E$9:$R$320,10),(VLOOKUP($A34,PriceTableWeekend,4,0)+IF(BasisNumber&lt;&gt;1,VLOOKUP($A34,BasisTable,2,0),0)+N$1)/(1-N$2))</f>
        <v>31.914882</v>
      </c>
      <c r="O34" s="1568" t="n">
        <f aca="false">IF(Assumptions!$L$25=4,VLOOKUP($A34,'Henwood Reference'!$E$9:$R$320,11),(VLOOKUP($A34,PriceTableWeekend,6,0)+IF(BasisNumber&lt;&gt;1,VLOOKUP($A34,BasisTable,3,0),0)+O$1)/(1-O$2))</f>
        <v>21.846462</v>
      </c>
      <c r="P34" s="1568" t="n">
        <f aca="false">IF(Assumptions!$L$25=4,VLOOKUP($A34,'Henwood Reference'!$E$9:$R$320,11),(VLOOKUP($A34,PriceTableWeekend,7,0)+IF(BasisNumber&lt;&gt;1,VLOOKUP($A34,BasisTable,3,0),0)+P$1)/(1-P$2))</f>
        <v>21.846462</v>
      </c>
      <c r="Q34" s="1599" t="n">
        <f aca="false">IF(Assumptions!$L$25=4,VLOOKUP($A34,'Henwood Reference'!$E$9:$R$320,11),(VLOOKUP($A34,PriceTableWeekend,8,0)+IF(BasisNumber&lt;&gt;1,VLOOKUP($A34,BasisTable,3,0),0)+Q$1)/(1-Q$2))</f>
        <v>21.846462</v>
      </c>
      <c r="R34" s="1568" t="n">
        <f aca="false">IF(Assumptions!$L$25=4,VLOOKUP($A34,'Henwood Reference'!$E$9:$R$320,11),(VLOOKUP($A34,PriceTable,6,0)+IF(BasisNumber&lt;&gt;1,VLOOKUP($A34,BasisTable,3,0),0)+R$1)/(1-R$2))</f>
        <v>21.846462</v>
      </c>
      <c r="S34" s="1568" t="n">
        <f aca="false">IF(Assumptions!$L$25=4,VLOOKUP($A34,'Henwood Reference'!$E$9:$R$320,11),(VLOOKUP($A34,PriceTable,7,0)+IF(BasisNumber&lt;&gt;1,VLOOKUP($A34,BasisTable,3,0),0)+S$1)/(1-S$2))</f>
        <v>21.846462</v>
      </c>
      <c r="T34" s="1600" t="n">
        <f aca="false">IF(Assumptions!$L$25=4,VLOOKUP($A34,'Henwood Reference'!$E$9:$R$320,11),(VLOOKUP($A34,PriceTable,8,0)+IF(BasisNumber&lt;&gt;1,VLOOKUP($A34,BasisTable,3,0),0)+T$1)/(1-T$2))</f>
        <v>21.846462</v>
      </c>
      <c r="U34" s="1513" t="n">
        <f aca="false">VLOOKUP($A34,VolatilityTable,14)</f>
        <v>0.165</v>
      </c>
      <c r="V34" s="1513" t="n">
        <f aca="false">VLOOKUP($A34,VolatilityTable,15)</f>
        <v>0.175</v>
      </c>
      <c r="W34" s="1514" t="n">
        <f aca="false">VLOOKUP($A34,VolatilityTable,16)</f>
        <v>0.185</v>
      </c>
      <c r="X34" s="1513" t="n">
        <f aca="false">VLOOKUP($A34,VolatilityTable,14)</f>
        <v>0.165</v>
      </c>
      <c r="Y34" s="1513" t="n">
        <f aca="false">VLOOKUP($A34,VolatilityTable,15)</f>
        <v>0.175</v>
      </c>
      <c r="Z34" s="1514" t="n">
        <f aca="false">VLOOKUP($A34,VolatilityTable,16)</f>
        <v>0.185</v>
      </c>
      <c r="AA34" s="1513" t="n">
        <f aca="false">VLOOKUP($A34,VolatilityTable,18)</f>
        <v>0.09</v>
      </c>
      <c r="AB34" s="1513" t="n">
        <f aca="false">VLOOKUP($A34,VolatilityTable,19)</f>
        <v>0.11</v>
      </c>
      <c r="AC34" s="1514" t="n">
        <f aca="false">VLOOKUP($A34,VolatilityTable,20)</f>
        <v>0.13</v>
      </c>
      <c r="AD34" s="1513" t="n">
        <f aca="false">VLOOKUP($A34,VolatilityTable,18)</f>
        <v>0.09</v>
      </c>
      <c r="AE34" s="1513" t="n">
        <f aca="false">VLOOKUP($A34,VolatilityTable,19)</f>
        <v>0.11</v>
      </c>
      <c r="AF34" s="1514" t="n">
        <f aca="false">VLOOKUP($A34,VolatilityTable,20)</f>
        <v>0.13</v>
      </c>
      <c r="AG34" s="1513" t="n">
        <f aca="false">VLOOKUP($A34,VolatilityTable,22)</f>
        <v>-0.1</v>
      </c>
      <c r="AH34" s="1513" t="n">
        <f aca="false">VLOOKUP($A34,VolatilityTable,23)</f>
        <v>0.6</v>
      </c>
      <c r="AI34" s="1514" t="n">
        <f aca="false">VLOOKUP($A34,VolatilityTable,24)</f>
        <v>0.1</v>
      </c>
      <c r="AJ34" s="1513" t="n">
        <f aca="false">VLOOKUP($A34,VolatilityTable,22)</f>
        <v>-0.1</v>
      </c>
      <c r="AK34" s="1513" t="n">
        <f aca="false">VLOOKUP($A34,VolatilityTable,23)</f>
        <v>0.6</v>
      </c>
      <c r="AL34" s="1514" t="n">
        <f aca="false">VLOOKUP($A34,VolatilityTable,24)</f>
        <v>0.1</v>
      </c>
      <c r="AM34" s="1513" t="n">
        <f aca="false">VLOOKUP($A34,VolatilityTable,26)</f>
        <v>-0.01</v>
      </c>
      <c r="AN34" s="1513" t="n">
        <f aca="false">VLOOKUP($A34,VolatilityTable,27)</f>
        <v>0.16</v>
      </c>
      <c r="AO34" s="1514" t="n">
        <f aca="false">VLOOKUP($A34,VolatilityTable,28)</f>
        <v>0.01</v>
      </c>
      <c r="AP34" s="1513" t="n">
        <f aca="false">VLOOKUP($A34,VolatilityTable,26)</f>
        <v>-0.01</v>
      </c>
      <c r="AQ34" s="1513" t="n">
        <f aca="false">VLOOKUP($A34,VolatilityTable,27)</f>
        <v>0.16</v>
      </c>
      <c r="AR34" s="1515" t="n">
        <f aca="false">VLOOKUP($A34,VolatilityTable,28)</f>
        <v>0.01</v>
      </c>
      <c r="AS34" s="1581" t="n">
        <f aca="false">IF(CorrPeakOffPeakOverFlag,INDEX(CorrPeakOffPeakOver,C34),CorrPeakOffPeak)</f>
        <v>0.5</v>
      </c>
      <c r="AT34" s="594" t="n">
        <f aca="false">AX34-SUM(AU34:AW34)</f>
        <v>0</v>
      </c>
      <c r="AU34" s="238" t="n">
        <f aca="false">IF(E34="",0,INT((F34-MOD(F34,7)-E34)/7)+1-IF(AW34,IF(WEEKDAY(D34)=7,1,0),0))</f>
        <v>0</v>
      </c>
      <c r="AV34" s="238" t="n">
        <f aca="false">IF(E34="",0,INT((F34-MOD(F34-1,7)-E34)/7)+1-IF(AW34,IF(WEEKDAY(D34)=1,1,0),0))</f>
        <v>0</v>
      </c>
      <c r="AW34" s="238" t="n">
        <f aca="false">IF(OR(E34="",D34="",D34&lt;BegDate,D34&gt;EndDate),0,1)</f>
        <v>0</v>
      </c>
      <c r="AX34" s="238" t="n">
        <f aca="false">IF(E34="",0,F34-E34+1)</f>
        <v>0</v>
      </c>
      <c r="AY34" s="1582" t="n">
        <f aca="false">IF(E34="",0,MIN((1-(1-VLOOKUP(B34,MAIN!$AA$7:$AM$28,C34+1))*(1-VLOOKUP(B34,MAIN!$AA$33:$AM$54,C34+1))),1))</f>
        <v>0</v>
      </c>
      <c r="AZ34" s="1519" t="e">
        <v>#VALUE!</v>
      </c>
      <c r="BA34" s="1520" t="e">
        <v>#VALUE!</v>
      </c>
      <c r="BB34" s="1520" t="e">
        <v>#VALUE!</v>
      </c>
      <c r="BC34" s="1583" t="e">
        <v>#VALUE!</v>
      </c>
      <c r="BD34" s="1522" t="e">
        <v>#VALUE!</v>
      </c>
      <c r="BE34" s="1523" t="e">
        <v>#VALUE!</v>
      </c>
      <c r="BF34" s="1523" t="e">
        <v>#VALUE!</v>
      </c>
      <c r="BG34" s="1584" t="e">
        <v>#VALUE!</v>
      </c>
      <c r="BH34" s="1525" t="e">
        <v>#VALUE!</v>
      </c>
      <c r="BI34" s="1520" t="e">
        <v>#VALUE!</v>
      </c>
      <c r="BJ34" s="1520" t="e">
        <v>#VALUE!</v>
      </c>
      <c r="BK34" s="1583" t="e">
        <v>#VALUE!</v>
      </c>
      <c r="BL34" s="1522" t="e">
        <v>#VALUE!</v>
      </c>
      <c r="BM34" s="1523" t="e">
        <v>#VALUE!</v>
      </c>
      <c r="BN34" s="1523" t="e">
        <v>#VALUE!</v>
      </c>
      <c r="BO34" s="1523" t="e">
        <v>#VALUE!</v>
      </c>
      <c r="BP34" s="1525" t="e">
        <f aca="false">SUM(AZ34:BB34)</f>
        <v>#VALUE!</v>
      </c>
      <c r="BQ34" s="1529" t="e">
        <f aca="false">SUM(AZ34:BC34)</f>
        <v>#VALUE!</v>
      </c>
      <c r="BR34" s="1519" t="e">
        <f aca="false">SUM(BH34:BJ34)</f>
        <v>#VALUE!</v>
      </c>
      <c r="BS34" s="1529" t="e">
        <f aca="false">SUM(BH34:BK34)</f>
        <v>#VALUE!</v>
      </c>
      <c r="BT34" s="1316" t="n">
        <f aca="false">(IF(OVolType&lt;&gt;2,A34+14,IF(OptExpDateShift,ShiftBack(A34,OptExpDateShift,D33),A34))-DateToday)/365.25</f>
        <v>1.46475017111567</v>
      </c>
      <c r="BU34" s="1585" t="e">
        <f aca="false">IF(BQ34,IF(OPriceCurve,IF(OBuySell=OCallPut,I34/(1-AY34),K34/(1-AY34)),J34/(1-AY34))*BD34,0)</f>
        <v>#VALUE!</v>
      </c>
      <c r="BV34" s="1316" t="e">
        <f aca="false">IF(BQ34,IF(OPriceCurve,IF(OBuySell=OCallPut,L34/(1-AY34),N34/(1-AY34)),M34/(1-AY34))*BE34,0)</f>
        <v>#VALUE!</v>
      </c>
      <c r="BW34" s="1316" t="e">
        <f aca="false">IF(BQ34,IF(OPriceCurve,IF(OBuySell=OCallPut,O34/(1-AY34),Q34/(1-AY34)),P34/(1-AY34))*BF34,0)</f>
        <v>#VALUE!</v>
      </c>
      <c r="BX34" s="1316" t="e">
        <f aca="false">IF(BQ34,IF(OPriceCurve,IF(OBuySell=OCallPut,R34/(1-AY34),T34/(1-AY34)),S34/(1-AY34))*BG34,0)</f>
        <v>#VALUE!</v>
      </c>
      <c r="BY34" s="1316" t="e">
        <f aca="false">IF(BP34,(BU34*AZ34+BV34*BA34+BW34*BB34)/BP34,0)</f>
        <v>#VALUE!</v>
      </c>
      <c r="BZ34" s="1316" t="e">
        <f aca="false">IF(BQ34,(BY34*BP34+BX34*BC34)/BQ34,0)</f>
        <v>#VALUE!</v>
      </c>
      <c r="CA34" s="1531" t="e">
        <f aca="false">IF(BS34,IF(OPriceCurve,IF(OBuySell=OCallPut,I34/(1-AY34),K34/(1-AY34)),J34/(1-AY34))*BL34,0)</f>
        <v>#VALUE!</v>
      </c>
      <c r="CB34" s="1316" t="e">
        <f aca="false">IF(BS34,IF(OPriceCurve,IF(OBuySell=OCallPut,L34/(1-AY34),N34/(1-AY34)),M34/(1-AY34))*BM34,0)</f>
        <v>#VALUE!</v>
      </c>
      <c r="CC34" s="1316" t="e">
        <f aca="false">IF(BS34,IF(OPriceCurve,IF(OBuySell=OCallPut,O34/(1-AY34),Q34/(1-AY34)),P34/(1-AY34))*BN34,0)</f>
        <v>#VALUE!</v>
      </c>
      <c r="CD34" s="1316" t="e">
        <f aca="false">IF(BS34,IF(OPriceCurve,IF(OBuySell=OCallPut,R34/(1-AY34),T34/(1-AY34)),S34/(1-AY34))*BO34,0)</f>
        <v>#VALUE!</v>
      </c>
      <c r="CE34" s="1316" t="e">
        <f aca="false">IF(BR34,(BU34*BH34+BV34*BI34+BW34*BJ34)/BR34,0)</f>
        <v>#VALUE!</v>
      </c>
      <c r="CF34" s="1532" t="e">
        <f aca="false">IF(BS34,(CE34*BR34+CD34*BK34)/BS34,0)</f>
        <v>#VALUE!</v>
      </c>
      <c r="CG34" s="1586" t="e">
        <f aca="false">IF(OR(BQ34,BS34),IF(OVolType&lt;&gt;2,SQRT(IF(OVolOverMonthlyPeak,OVolOverMonthlyPeak,IF(OVolCurve,IF(OBuySell,U34,W34),V34))^2*(1-15/365.25/BT34)+IF(OVolOverDailyPeak,OVolOverDailyPeak,IF(OVolCurve,IF(OBuySell,AG34,AI34),AH34))^2*15/365.25/BT34),IF(OVolOverMonthlyPeak,OVolOverMonthlyPeak,IF(OVolCurve,IF(OBuySell,U34,W34),V34))),"")</f>
        <v>#VALUE!</v>
      </c>
      <c r="CH34" s="1587" t="e">
        <f aca="false">IF(OR(BQ34,BS34),IF(OVolType&lt;&gt;2,SQRT(IF(OVolOverMonthlyPeak,OVolOverMonthlyPeak,IF(OVolCurve,IF(OBuySell,X34,Z34),Y34))^2*(1-15/365.25/BT34)+IF(OVolOverDailyPeak,OVolOverDailyPeak,IF(OVolCurve,IF(OBuySell,AJ34,AL34),AK34))^2*15/365.25/BT34),IF(OVolOverMonthlyPeak,OVolOverMonthlyPeak,IF(OVolCurve,IF(OBuySell,X34,Z34),Y34))),"")</f>
        <v>#VALUE!</v>
      </c>
      <c r="CI34" s="1587" t="e">
        <f aca="false">IF(OR(BQ34,BS34),IF(OVolType&lt;&gt;2,SQRT(IF(OVolOverMonthlyPeak,OVolOverMonthlyPeak,IF(OVolCurve,IF(OBuySell,AA34,AC34),AB34))^2*(1-15/365.25/BT34)+IF(OVolOverDailyPeak,OVolOverDailyPeak,IF(OVolCurve,IF(OBuySell,AM34,AO34),AN34))^2*15/365.25/BT34),IF(OVolOverMonthlyPeak,OVolOverMonthlyPeak,IF(OVolCurve,IF(OBuySell,AA34,AC34),AB34))),"")</f>
        <v>#VALUE!</v>
      </c>
      <c r="CJ34" s="1587" t="e">
        <f aca="false">IF(BQ34,IF(BP34,SQRT(LN(1+((BU34*AZ34)^2*(EXP(CG34^2*BT34)-1)+(BV34*BA34)^2*(EXP(CH34^2*BT34)-1)+(BW34*BB34)^2*(EXP(CI34^2*BT34)-1)+2*BU34*AZ34*BV34*BA34*(EXP(CG34*CH34*BT34)-1)+2*BV34*BA34*BW34*BB34*(EXP(CH34*CI34*BT34)-1)+2*BW34*BB34*BU34*AZ34*(EXP(CI34*CG34*BT34)-1))/(BY34*BP34)^2)/BT34),0),"")</f>
        <v>#VALUE!</v>
      </c>
      <c r="CK34" s="1587" t="e">
        <f aca="false">IF(BS34,IF(BR34,SQRT(LN(1+((CA34*BH34)^2*(EXP(CG34^2*BT34)-1)+(CB34*BI34)^2*(EXP(CH34^2*BT34)-1)+(CC34*BJ34)^2*(EXP(CI34^2*BT34)-1)+2*CA34*BH34*CB34*BI34*(EXP(CG34*CH34*BT34)-1)+2*CB34*BI34*CC34*BJ34*(EXP(CH34*CI34*BT34)-1)+2*CC34*BJ34*CA34*BH34*(EXP(CI34*CG34*BT34)-1))/(CE34*BR34)^2)/BT34),0),"")</f>
        <v>#VALUE!</v>
      </c>
      <c r="CL34" s="1587" t="e">
        <f aca="false">IF(OR(BQ34,BS34),IF(OVolType&lt;&gt;2,SQRT(IF(OVolOverMonthlyOffPeak,OVolOverMonthlyOffPeak,IF(OVolCurve,IF(OBuySell,AD34,AF34),AE34))^2*(1-15/365.25/BT34)+IF(OVolOverDailyOffPeak,OVolOverDailyOffPeak,IF(OVolCurve,IF(OBuySell,AP34,AR34),AQ34))^2*15/365.25/BT34),IF(OVolOverMonthlyOffPeak,OVolOverMonthlyOffPeak,IF(OVolCurve,IF(OBuySell,AD34,AF34),AE34))),"")</f>
        <v>#VALUE!</v>
      </c>
      <c r="CM34" s="1587" t="e">
        <f aca="false">IF(BQ34,SQRT(LN(1+((BY34*BP34)^2*(EXP(CJ34^2*BT34)-1)+(BX34*BC34)^2*(EXP(CL34^2*BT34)-1)+2*BY34*BP34*BX34*BC34*(EXP(AS34*CJ34*CL34*BT34)-1))/(BY34*BP34+BX34*BC34)^2)/BT34),"")</f>
        <v>#VALUE!</v>
      </c>
      <c r="CN34" s="1588" t="e">
        <f aca="false">IF(BS34,SQRT(LN(1+((CE34*BR34)^2*(EXP(CK34^2*BT34)-1)+(CD34*BK34)^2*(EXP(CL34^2*BT34)-1)+2*CE34*BR34*CD34*BK34*(EXP(AS34*CK34*CL34*BT34)-1))/(CE34*BR34+CD34*BK34)^2)/BT34),"")</f>
        <v>#VALUE!</v>
      </c>
      <c r="CO34" s="1531" t="e">
        <f aca="false">IF(OR(BQ34,BS34),VLOOKUP(A34,GasTable,13)*HeatRatePeak*(1+VLOOKUP($B34,HeatRateDegradation,$C34+1))/1000,0)</f>
        <v>#VALUE!</v>
      </c>
      <c r="CP34" s="1316" t="e">
        <f aca="false">IF(OR(BQ34,BS34),VLOOKUP(A34,GasTable,13)*HeatRatePeak*(1+VLOOKUP($B34,HeatRateDegradation,$C34+1))/1000,0)</f>
        <v>#VALUE!</v>
      </c>
      <c r="CQ34" s="1316" t="e">
        <f aca="false">IF(OR(BQ34,BS34),VLOOKUP(A34,GasTable,13)*IF(EV34,HeatRatePeak,HeatRateOffPeak)*(1+VLOOKUP($B34,HeatRateDegradation,$C34+1))/1000,0)</f>
        <v>#VALUE!</v>
      </c>
      <c r="CR34" s="1316" t="e">
        <f aca="false">IF(OR(BQ34,BS34),VLOOKUP(A34,GasTable,13)*IF(EW34,HeatRatePeak,HeatRateOffPeak)*(1+VLOOKUP($B34,HeatRateDegradation,$C34+1))/1000,0)</f>
        <v>#VALUE!</v>
      </c>
      <c r="CS34" s="1589" t="e">
        <f aca="false">IF(BQ34,(CO34*AZ34+CP34*BA34+CQ34*BB34+CR34*BC34)/BQ34,0)</f>
        <v>#VALUE!</v>
      </c>
      <c r="CT34" s="1316" t="e">
        <f aca="false">IF(BS34,CO34,0)</f>
        <v>#VALUE!</v>
      </c>
      <c r="CU34" s="1590" t="e">
        <f aca="false">IF(OR(BQ34,BS34),VLOOKUP(A34,GasTable,14),"")</f>
        <v>#VALUE!</v>
      </c>
      <c r="CV34" s="1568" t="e">
        <f aca="false">IF(OR(BQ34,BS34),IF(CorrPowerGasOverFlag,INDEX(CorrPowerGasOver,C34),CorrPowerGas),"")</f>
        <v>#VALUE!</v>
      </c>
      <c r="CW34" s="1316" t="e">
        <f aca="false">IF(OR($BQ34,$BS34),SpreadOptPowerMargin,0)*((1+Assumptions!$C$26)^($B34-YEAR(Assumptions!$C$17)))</f>
        <v>#VALUE!</v>
      </c>
      <c r="CX34" s="1316" t="e">
        <f aca="false">IF(OR($BQ34,$BS34),SpreadOptPowerMargin,0)*((1+Assumptions!$C$26)^($B34-YEAR(Assumptions!$C$17)))</f>
        <v>#VALUE!</v>
      </c>
      <c r="CY34" s="1316" t="e">
        <f aca="false">IF(OR($BQ34,$BS34),SpreadOptPowerMargin,0)*((1+Assumptions!$C$26)^($B34-YEAR(Assumptions!$C$17)))</f>
        <v>#VALUE!</v>
      </c>
      <c r="CZ34" s="1316" t="e">
        <f aca="false">IF(OR($BQ34,$BS34),SpreadOptPowerMargin,0)*((1+Assumptions!$C$26)^($B34-YEAR(Assumptions!$C$17)))</f>
        <v>#VALUE!</v>
      </c>
      <c r="DA34" s="1591" t="e">
        <f aca="false">IF(OR(BQ34,BS34),(CW34*(AZ34+BH34)+CX34*(BA34+BI34)+CY34*(BB34+BJ34)+CZ34*(BC34+BK34))/(BQ34+BS34),0)</f>
        <v>#VALUE!</v>
      </c>
      <c r="DB34" s="1592" t="e">
        <f aca="false">IF(OR(BQ34,BS34),CG34+IF(OVolSmile,VLOOKUP(MAX(-5,CO34+CW34-BU34),IF(OVolSmile=1,VolSmileBook,VolSmileModel),2),0),"")</f>
        <v>#VALUE!</v>
      </c>
      <c r="DC34" s="1592" t="e">
        <f aca="false">IF(OR(BQ34,BS34),CH34+IF(OVolSmile,VLOOKUP(MAX(-5,CP34+CW34-BV34),IF(OVolSmile=1,VolSmileBook,VolSmileModel),2),0),"")</f>
        <v>#VALUE!</v>
      </c>
      <c r="DD34" s="1592" t="e">
        <f aca="false">IF(OR(BQ34,BS34),CI34+IF(OVolSmile,VLOOKUP(MAX(-5,CQ34+CW34-BW34),IF(OVolSmile=1,VolSmileBook,VolSmileModel),2),0),"")</f>
        <v>#VALUE!</v>
      </c>
      <c r="DE34" s="1592" t="e">
        <f aca="false">IF(OR(BQ34,BS34),CL34+IF(OVolSmile,VLOOKUP(MAX(-5,CR34+CZ34-BX34),IF(OVolSmile=1,VolSmileBook,VolSmileModel),2),0),"")</f>
        <v>#VALUE!</v>
      </c>
      <c r="DF34" s="1592" t="e">
        <f aca="false">IF(BQ34,CM34+IF(OVolSmile,VLOOKUP(MAX(-5,CS34+DA34-BZ34),IF(OVolSmile=1,VolSmileBook,VolSmileModel),2),0),"")</f>
        <v>#VALUE!</v>
      </c>
      <c r="DG34" s="1593" t="e">
        <f aca="false">IF(BS34,CN34+IF(OVolSmile,VLOOKUP(MAX(-5,CT34+DA34-CF34),IF(OVolSmile=1,VolSmileBook,VolSmileModel),2),0),"")</f>
        <v>#VALUE!</v>
      </c>
      <c r="DH34" s="1316" t="e">
        <f aca="false">IF(AND(BU34&gt;0,CO34&gt;0,DB34&gt;0,CU34&gt;0),newSPRDOPT(BU34,CO34,CW34,0,DB34,CU34,CV34,BT34*365.25,OCallPut,0),0)</f>
        <v>#VALUE!</v>
      </c>
      <c r="DI34" s="1316" t="e">
        <f aca="false">IF(AND(BV34&gt;0,CP34&gt;0,DC34&gt;0,CU34&gt;0),newSPRDOPT(BV34,CP34,CX34,0,DC34,CU34,CV34,BT34*365.25,OCallPut,0),0)</f>
        <v>#VALUE!</v>
      </c>
      <c r="DJ34" s="1316" t="e">
        <f aca="false">IF(AND(BW34&gt;0,CQ34&gt;0,DD34&gt;0,CU34&gt;0),newSPRDOPT(BW34,CQ34,CY34,0,DD34,CU34,CV34,BT34*365.25,OCallPut,0),0)</f>
        <v>#VALUE!</v>
      </c>
      <c r="DK34" s="1316" t="e">
        <f aca="false">IF(AND(BX34&gt;0,CR34&gt;0,DE34&gt;0,CU34&gt;0),newSPRDOPT(BX34,CR34,CZ34,0,DE34,CU34,CV34,BT34*365.25,OCallPut,0),0)</f>
        <v>#VALUE!</v>
      </c>
      <c r="DL34" s="1316" t="e">
        <f aca="false">IF(OVolType,IF(AND(BZ34&gt;0,CS34&gt;0,DF34&gt;0,CU34&gt;0),newSPRDOPT(BZ34,CS34,DA34,0,DF34,CU34,CV34,BT34*365.25,OCallPut,0),0),IF(BQ34,(DH34*AZ34+DI34*BA34+DJ34*BB34+DK34*BC34)/BQ34,0))</f>
        <v>#VALUE!</v>
      </c>
      <c r="DM34" s="1316"/>
      <c r="DN34" s="1316"/>
      <c r="DO34" s="1316"/>
      <c r="DP34" s="1316"/>
      <c r="DQ34" s="1316"/>
      <c r="DR34" s="1316"/>
      <c r="DS34" s="1316"/>
      <c r="DT34" s="1316"/>
      <c r="DU34" s="1316"/>
      <c r="DV34" s="1316"/>
      <c r="DW34" s="1594" t="e">
        <f aca="false">IF(AND(BW34&gt;0,CT34&gt;0,DD34&gt;0,CU34&gt;0),newSPRDOPT(BW34,CT34,CY34,0,DD34,CU34,CV34,BT34*365.25,OCallPut,0),0)</f>
        <v>#VALUE!</v>
      </c>
      <c r="DX34" s="1316" t="e">
        <f aca="false">IF(AND(BX34&gt;0,CT34&gt;0,DE34&gt;0,CU34&gt;0),newSPRDOPT(BX34,CT34,CZ34,0,DE34,CU34,CV34,BT34*365.25,OCallPut,0),0)</f>
        <v>#VALUE!</v>
      </c>
      <c r="DY34" s="1591" t="e">
        <f aca="false">IF(BS34,(DH34*BH34+DI34*BI34+DW34*BJ34+DX34*BK34)/BS34,0)</f>
        <v>#VALUE!</v>
      </c>
      <c r="DZ34" s="1551" t="e">
        <f aca="false">DH34*AZ34</f>
        <v>#VALUE!</v>
      </c>
      <c r="EA34" s="1551" t="e">
        <f aca="false">DI34*BA34</f>
        <v>#VALUE!</v>
      </c>
      <c r="EB34" s="1551" t="e">
        <f aca="false">DJ34*BB34</f>
        <v>#VALUE!</v>
      </c>
      <c r="EC34" s="1551" t="e">
        <f aca="false">DK34*BC34</f>
        <v>#VALUE!</v>
      </c>
      <c r="ED34" s="1551" t="e">
        <f aca="false">DL34*BQ34</f>
        <v>#VALUE!</v>
      </c>
      <c r="EE34" s="1595" t="e">
        <f aca="false">IF(BQ34,IF(OCallPut,IF(BU34&gt;(CO34+CW34),BU34-(CO34+CW34),0),IF((CO34+CW34)&gt;BU34,(CO34+CW34)-BU34,0))*AZ34,0)</f>
        <v>#VALUE!</v>
      </c>
      <c r="EF34" s="1596" t="e">
        <f aca="false">IF(BQ34,IF(OCallPut,IF(BV34&gt;(CP34+CX34),BV34-(CP34+CX34),0),IF((CP34+CX34)&gt;BV34,(CP34+CX34)-BV34,0))*BA34,0)</f>
        <v>#VALUE!</v>
      </c>
      <c r="EG34" s="1596" t="e">
        <f aca="false">IF(BQ34,IF(OCallPut,IF(BW34&gt;(CQ34+CY34),BW34-(CQ34+CY34),0),IF((CQ34+CY34)&gt;BW34,(CQ34+CY34)-BW34,0))*BB34,0)</f>
        <v>#VALUE!</v>
      </c>
      <c r="EH34" s="1596" t="e">
        <f aca="false">IF(BQ34,IF(OCallPut,IF(BX34&gt;(CR34+CZ34),BX34-(CR34+CZ34),0),IF((CR34+CZ34)&gt;BX34,(CR34+CZ34)-BX34,0))*BC34,0)</f>
        <v>#VALUE!</v>
      </c>
      <c r="EI34" s="1597" t="e">
        <f aca="false">IF(BQ34,IF(OVolType,IF(OCallPut,IF(BZ34&gt;(CS34+DA34),BZ34-(CS34+DA34),0),IF((CS34+DA34)&gt;BZ34,(CS34+DA34)-BZ34,0))*BQ34,SUM(EE34:EH34)),0)</f>
        <v>#VALUE!</v>
      </c>
      <c r="EJ34" s="1595" t="e">
        <f aca="false">DZ34-EE34</f>
        <v>#VALUE!</v>
      </c>
      <c r="EK34" s="1596" t="e">
        <f aca="false">EA34-EF34</f>
        <v>#VALUE!</v>
      </c>
      <c r="EL34" s="1596" t="e">
        <f aca="false">EB34-EG34</f>
        <v>#VALUE!</v>
      </c>
      <c r="EM34" s="1596" t="e">
        <f aca="false">EC34-EH34</f>
        <v>#VALUE!</v>
      </c>
      <c r="EN34" s="1597" t="e">
        <f aca="false">ED34-EI34</f>
        <v>#VALUE!</v>
      </c>
      <c r="EO34" s="1551" t="e">
        <f aca="false">DH34*BH34</f>
        <v>#VALUE!</v>
      </c>
      <c r="EP34" s="1551" t="e">
        <f aca="false">DI34*BI34</f>
        <v>#VALUE!</v>
      </c>
      <c r="EQ34" s="1551" t="e">
        <f aca="false">DW34*BJ34</f>
        <v>#VALUE!</v>
      </c>
      <c r="ER34" s="1551" t="e">
        <f aca="false">DX34*BK34</f>
        <v>#VALUE!</v>
      </c>
      <c r="ES34" s="1551" t="e">
        <f aca="false">DY34*BS34</f>
        <v>#VALUE!</v>
      </c>
      <c r="ET34" s="1566" t="e">
        <f aca="false">IF(BS34,IF(OCallPut,IF(CA34&gt;(CT34+CW34),CA34-(CT34+CW34),0),IF((CT34+CW34)&gt;CA34,(CT34+CW34)-CA34,0))*BH34,0)</f>
        <v>#VALUE!</v>
      </c>
      <c r="EU34" s="1551" t="e">
        <f aca="false">IF(BS34,IF(OCallPut,IF(CB34&gt;(CT34+CX34),CB34-(CT34+CX34),0),IF((CT34+CX34)&gt;CB34,(CT34+CX34)-CB34,0))*BI34,0)</f>
        <v>#VALUE!</v>
      </c>
      <c r="EV34" s="1551" t="e">
        <f aca="false">IF(BS34,IF(OCallPut,IF(CC34&gt;(CT34+CY34),CC34-(CT34+CY34),0),IF((CT34+CY34)&gt;CC34,(CT34+CY34)-CC34,0))*BJ34,0)</f>
        <v>#VALUE!</v>
      </c>
      <c r="EW34" s="1551" t="e">
        <f aca="false">IF(BS34,IF(OCallPut,IF(CD34&gt;(CT34+CZ34),CD34-(CT34+CZ34),0),IF((CT34+CZ34)&gt;CD34,(CT34+CZ34)-CD34,0))*BK34,0)</f>
        <v>#VALUE!</v>
      </c>
      <c r="EX34" s="1558" t="e">
        <f aca="false">IF(BS34,SUM(ET34:EW34),0)</f>
        <v>#VALUE!</v>
      </c>
      <c r="EY34" s="1551" t="e">
        <f aca="false">EO34-ET34</f>
        <v>#VALUE!</v>
      </c>
      <c r="EZ34" s="1551" t="e">
        <f aca="false">EP34-EU34</f>
        <v>#VALUE!</v>
      </c>
      <c r="FA34" s="1551" t="e">
        <f aca="false">EQ34-EV34</f>
        <v>#VALUE!</v>
      </c>
      <c r="FB34" s="1551" t="e">
        <f aca="false">ER34-EW34</f>
        <v>#VALUE!</v>
      </c>
      <c r="FC34" s="1551" t="e">
        <f aca="false">ES34-EX34</f>
        <v>#VALUE!</v>
      </c>
      <c r="FD34" s="1525" t="n">
        <f aca="false">IF(AX34,IF(VLOOKUP(C34,MAIN!$L$17:$M$28,2)="Yes",VLOOKUP(CALC!B34,MAIN!$H$17:$I$20,2),0),0)</f>
        <v>0</v>
      </c>
      <c r="FE34" s="1552" t="n">
        <f aca="false">$FD34*16*AT34*(1-$AY34)</f>
        <v>0</v>
      </c>
      <c r="FF34" s="1553" t="n">
        <f aca="false">$FD34*16*AU34*(1-$AY34)</f>
        <v>0</v>
      </c>
      <c r="FG34" s="1553" t="n">
        <f aca="false">$FD34*16*(AV34+AW34)*(1-$AY34)</f>
        <v>0</v>
      </c>
      <c r="FH34" s="1554" t="n">
        <f aca="false">$FD34*8*AX34*(1-$AY34)</f>
        <v>0</v>
      </c>
      <c r="FI34" s="1555" t="n">
        <f aca="false">IF(AX34,VLOOKUP(CALC!B34,MAIN!$H$17:$K$20,4),0)</f>
        <v>0</v>
      </c>
      <c r="FJ34" s="1553" t="n">
        <f aca="false">SUM(FE34:FH34)</f>
        <v>0</v>
      </c>
      <c r="FK34" s="1556" t="n">
        <f aca="false">FI34*FJ34</f>
        <v>0</v>
      </c>
      <c r="FL34" s="1551" t="e">
        <f aca="false">IF($EI34&gt;0,MIN(FE34,AZ34*(1+VLOOKUP($C34,WeatherCapacityAdjustment,2))),0)</f>
        <v>#VALUE!</v>
      </c>
      <c r="FM34" s="1551" t="e">
        <f aca="false">IF($EI34&gt;0,MIN(FF34,BA34*(1+VLOOKUP($C34,WeatherCapacityAdjustment,2))),0)</f>
        <v>#VALUE!</v>
      </c>
      <c r="FN34" s="1551" t="e">
        <f aca="false">IF($EI34&gt;0,MIN(FG34,BB34*(1+VLOOKUP($C34,WeatherCapacityAdjustment,2))),0)</f>
        <v>#VALUE!</v>
      </c>
      <c r="FO34" s="1564" t="e">
        <f aca="false">IF($EI34&gt;0,MIN(FH34,BC34*(1+VLOOKUP($C34,WeatherCapacityAdjustment,3))),0)</f>
        <v>#VALUE!</v>
      </c>
      <c r="FP34" s="1551" t="e">
        <f aca="false">IF(ET34&gt;0,MIN(FE34-FL34,BH34*(1+VLOOKUP($C34,WeatherCapacityAdjustment,2))),0)</f>
        <v>#VALUE!</v>
      </c>
      <c r="FQ34" s="1551" t="e">
        <f aca="false">IF(EU34&gt;0,MIN(FF34-FM34,BI34*(1+VLOOKUP($C34,WeatherCapacityAdjustment,2))),0)</f>
        <v>#VALUE!</v>
      </c>
      <c r="FR34" s="1551" t="e">
        <f aca="false">IF(EV34&gt;0,MIN(FG34-FN34,BJ34*(1+VLOOKUP($C34,WeatherCapacityAdjustment,2))),0)</f>
        <v>#VALUE!</v>
      </c>
      <c r="FS34" s="1558" t="e">
        <f aca="false">IF(EW34&gt;0,MIN(FH34-FO34,BK34*(1+VLOOKUP($C34,WeatherCapacityAdjustment,3))),0)</f>
        <v>#VALUE!</v>
      </c>
      <c r="FT34" s="1566" t="n">
        <f aca="false">IF(AND(Assumptions!$H$71="Yes",A34&gt;=Assumptions!$H$72,A34&lt;=Assumptions!$H$73),0,IF(AND($A34&gt;=Assumptions!$C$17,$A34&lt;=Assumptions!$C$18),MAX(AZ34*(1+VLOOKUP($C34,WeatherCapacityAdjustment,2))-FL34,0),0))</f>
        <v>0</v>
      </c>
      <c r="FU34" s="1551" t="n">
        <f aca="false">IF(AND(Assumptions!$H$71="Yes",A34&gt;=Assumptions!$H$72,A34&lt;=Assumptions!$H$73),0,IF(AND($A34&gt;=Assumptions!$C$17,$A34&lt;=Assumptions!$C$18),MAX(BA34*(1+VLOOKUP($C34,WeatherCapacityAdjustment,2))-FM34,0),0))</f>
        <v>0</v>
      </c>
      <c r="FV34" s="1551" t="n">
        <f aca="false">IF(AND(Assumptions!$H$71="Yes",A34&gt;=Assumptions!$H$72,A34&lt;=Assumptions!$H$73),0,IF(AND($A34&gt;=Assumptions!$C$17,$A34&lt;=Assumptions!$C$18),MAX(BB34*(1+VLOOKUP($C34,WeatherCapacityAdjustment,2))-FN34,0),0))</f>
        <v>0</v>
      </c>
      <c r="FW34" s="1564" t="n">
        <f aca="false">IF(AND(Assumptions!$H$71="Yes",A34&gt;=Assumptions!$H$72,A34&lt;=Assumptions!$H$73),0,IF(AND($A34&gt;=Assumptions!$C$17,$A34&lt;=Assumptions!$C$18),MAX(BC34*(1+VLOOKUP($C34,WeatherCapacityAdjustment,3))-FO34,0),0))</f>
        <v>0</v>
      </c>
      <c r="FX34" s="1569" t="e">
        <f aca="false">IF(AND(Assumptions!$H$71="Yes",A34&gt;=Assumptions!$H$72,A34&lt;=Assumptions!$H$73),0,IF(ET34&gt;0,MAX(BH34*(1+VLOOKUP($C34,WeatherCapacityAdjustment,2))-FP34,0),0))</f>
        <v>#VALUE!</v>
      </c>
      <c r="FY34" s="1551" t="e">
        <f aca="false">IF(AND(Assumptions!$H$71="Yes",A34&gt;=Assumptions!$H$72,A34&lt;=Assumptions!$H$73),0,IF(EU34&gt;0,MAX(BI34*(1+VLOOKUP($C34,WeatherCapacityAdjustment,3))-FQ34,0),0))</f>
        <v>#VALUE!</v>
      </c>
      <c r="FZ34" s="1551" t="e">
        <f aca="false">IF(AND(Assumptions!$H$71="Yes",A34&gt;=Assumptions!$H$72,A34&lt;=Assumptions!$H$73),0,IF(EV34&gt;0,MAX(BJ34*(1+VLOOKUP($C34,WeatherCapacityAdjustment,2))-FR34,0),0))</f>
        <v>#VALUE!</v>
      </c>
      <c r="GA34" s="1564" t="e">
        <f aca="false">IF(AND(Assumptions!$H$71="Yes",A34&gt;=Assumptions!$H$72,A34&lt;=Assumptions!$H$73),0,IF(EW34&gt;0,MAX(BK34*(1+VLOOKUP($C34,WeatherCapacityAdjustment,2))-FS34,0),0))</f>
        <v>#VALUE!</v>
      </c>
      <c r="GB34" s="1551" t="e">
        <f aca="false">SUM(FT34:GA34)</f>
        <v>#VALUE!</v>
      </c>
      <c r="GC34" s="1563" t="e">
        <f aca="false">+IF(SUM(FT34:GA34)=0,0,(SUMPRODUCT(BU34:BX34,FT34:FW34)+SUMPRODUCT(CA34:CD34,FX34:GA34))/SUM(FT34:GA34))</f>
        <v>#VALUE!</v>
      </c>
      <c r="GD34" s="1551" t="e">
        <f aca="false">(FT34*BU34+FX34*CA34+FU34*BV34+FY34*CB34+FV34*BW34+FZ34*CC34+FW34*BX34+GA34*CD34)</f>
        <v>#VALUE!</v>
      </c>
      <c r="GE34" s="1561" t="e">
        <f aca="false">+IF(BQ34,((FL34+FM34+FT34+FU34)*HeatRatePeak/1000*(1+VLOOKUP($C34,WeatherHeatRateAdjustment,2))+(FN34+FV34)*IF(EV34&gt;0,HeatRatePeak,HeatRateOffPeak)/1000*(1+VLOOKUP($C34,WeatherHeatRateAdjustment,2))+(FO34+FW34)*IF(EW34&gt;0,HeatRatePeak,HeatRateOffPeak)/1000*(1+VLOOKUP($C34,WeatherHeatRateAdjustment,3)))*(1+VLOOKUP($B34,HeatRateDegradation,$C34+1)),0)</f>
        <v>#VALUE!</v>
      </c>
      <c r="GF34" s="1562" t="e">
        <f aca="false">IF(BQ34,((FP34+FQ34+FR34+FX34+FY34+FZ34)*HeatRatePeak/1000*(1+VLOOKUP($C34,WeatherHeatRateAdjustment,2))+(FS34+GA34)*HeatRatePeak/1000*(1+VLOOKUP($C34,WeatherHeatRateAdjustment,3)))*(1+VLOOKUP($B34,HeatRateDegradation,$C34+1)),0)</f>
        <v>#VALUE!</v>
      </c>
      <c r="GG34" s="1563" t="e">
        <f aca="false">IF(BQ34,VLOOKUP(A34,GasTable,13),0)</f>
        <v>#VALUE!</v>
      </c>
      <c r="GH34" s="1564" t="e">
        <f aca="false">(GE34+GF34)*GG34</f>
        <v>#VALUE!</v>
      </c>
      <c r="GI34" s="1569" t="e">
        <f aca="false">GB34</f>
        <v>#VALUE!</v>
      </c>
      <c r="GJ34" s="1598" t="e">
        <f aca="false">+DA34</f>
        <v>#VALUE!</v>
      </c>
      <c r="GK34" s="1558" t="e">
        <f aca="false">+GI34*GJ34</f>
        <v>#VALUE!</v>
      </c>
      <c r="GL34" s="1566" t="e">
        <f aca="false">MAX(FE34-FL34-FP34,0)</f>
        <v>#VALUE!</v>
      </c>
      <c r="GM34" s="1551" t="e">
        <f aca="false">MAX(FF34-FM34-FQ34,0)</f>
        <v>#VALUE!</v>
      </c>
      <c r="GN34" s="1551" t="e">
        <f aca="false">MAX(FG34-FN34-FR34,0)</f>
        <v>#VALUE!</v>
      </c>
      <c r="GO34" s="1564" t="e">
        <f aca="false">MAX(FH34-FO34-FS34,0)</f>
        <v>#VALUE!</v>
      </c>
      <c r="GP34" s="1551" t="e">
        <f aca="false">SUM(GL34:GO34)</f>
        <v>#VALUE!</v>
      </c>
      <c r="GQ34" s="1563" t="e">
        <f aca="false">IF(SUM(GL34:GO34)=0,0,((GL34*BU34+GM34*BV34+GN34*BW34+GO34*BX34)/SUM(GL34:GO34)))</f>
        <v>#VALUE!</v>
      </c>
      <c r="GR34" s="1558" t="e">
        <f aca="false">(GL34*BU34+GM34*BV34+GN34*BW34+GO34*BX34)</f>
        <v>#VALUE!</v>
      </c>
      <c r="GS34" s="1566" t="n">
        <f aca="false">IF($A34&gt;=BegDate,Assumptions!$C$56*24*($A35-$A34)*(1-VLOOKUP($B34,MAIN!$AA$7:$AM$28,$C34+1))*(1-VLOOKUP($B34,MAIN!$AA$33:$AM$54,$C34+1)),0)*80/168</f>
        <v>0</v>
      </c>
      <c r="GT34" s="286" t="n">
        <f aca="false">J34</f>
        <v>31.914882</v>
      </c>
      <c r="GU34" s="286" t="n">
        <f aca="false">IF($A34&gt;=BegDate,VLOOKUP($A34,GasTable,13)+Assumptions!$C$58,0)</f>
        <v>0</v>
      </c>
      <c r="GV34" s="286" t="n">
        <f aca="false">GU34*Assumptions!$C$57/1000</f>
        <v>0</v>
      </c>
      <c r="GW34" s="1558" t="n">
        <f aca="false">IF(Assumptions!$C$60="Hourly",MAX(0,GS34*(GT34-GV34)),GS34*(GT34-GV34))</f>
        <v>0</v>
      </c>
      <c r="GX34" s="1566" t="n">
        <f aca="false">IF($A34&gt;=BegDate,Assumptions!$C$56*24*($A35-$A34)*(1-VLOOKUP($B34,MAIN!$AA$7:$AM$28,$C34+1))*(1-VLOOKUP($B34,MAIN!$AA$33:$AM$54,$C34+1)),0)*16/168</f>
        <v>0</v>
      </c>
      <c r="GY34" s="286" t="n">
        <f aca="false">M34</f>
        <v>31.914882</v>
      </c>
      <c r="GZ34" s="286" t="n">
        <f aca="false">IF($A34&gt;=BegDate,VLOOKUP($A34,GasTable,13)+Assumptions!$C$58,0)</f>
        <v>0</v>
      </c>
      <c r="HA34" s="286" t="n">
        <f aca="false">GZ34*Assumptions!$C$57/1000</f>
        <v>0</v>
      </c>
      <c r="HB34" s="1558" t="n">
        <f aca="false">IF(Assumptions!$C$60="Hourly",MAX(0,GX34*(GY34-HA34)),GX34*(GY34-HA34))</f>
        <v>0</v>
      </c>
      <c r="HC34" s="1566" t="n">
        <f aca="false">IF($A34&gt;=BegDate,Assumptions!$C$56*24*($A35-$A34)*(1-VLOOKUP($B34,MAIN!$AA$7:$AM$28,$C34+1))*(1-VLOOKUP($B34,MAIN!$AA$33:$AM$54,$C34+1)),0)*16/168</f>
        <v>0</v>
      </c>
      <c r="HD34" s="286" t="n">
        <f aca="false">P34</f>
        <v>21.846462</v>
      </c>
      <c r="HE34" s="286" t="n">
        <f aca="false">IF($A34&gt;=BegDate,VLOOKUP($A34,GasTable,13)+Assumptions!$C$58,0)</f>
        <v>0</v>
      </c>
      <c r="HF34" s="286" t="n">
        <f aca="false">HE34*Assumptions!$C$57/1000</f>
        <v>0</v>
      </c>
      <c r="HG34" s="1558" t="n">
        <f aca="false">IF(Assumptions!$C$60="Hourly",MAX(0,HC34*(HD34-HF34)),HC34*(HD34-HF34))</f>
        <v>0</v>
      </c>
      <c r="HH34" s="1566" t="n">
        <f aca="false">IF($A34&gt;=BegDate,Assumptions!$C$56*24*($A35-$A34)*(1-VLOOKUP($B34,MAIN!$AA$7:$AM$28,$C34+1))*(1-VLOOKUP($B34,MAIN!$AA$33:$AM$54,$C34+1)),0)*56/168</f>
        <v>0</v>
      </c>
      <c r="HI34" s="286" t="n">
        <f aca="false">S34</f>
        <v>21.846462</v>
      </c>
      <c r="HJ34" s="286" t="n">
        <f aca="false">IF($A34&gt;=BegDate,VLOOKUP($A34,GasTable,13)+Assumptions!$C$58,0)</f>
        <v>0</v>
      </c>
      <c r="HK34" s="286" t="n">
        <f aca="false">HJ34*Assumptions!$C$57/1000</f>
        <v>0</v>
      </c>
      <c r="HL34" s="1558" t="n">
        <f aca="false">IF(Assumptions!$C$60="Hourly",MAX(0,HH34*(HI34-HK34)),HH34*(HI34-HK34))</f>
        <v>0</v>
      </c>
      <c r="HM34" s="1566" t="n">
        <f aca="false">IF(AND(Assumptions!$H$71="Yes",A34&gt;=Assumptions!$H$72,A34&lt;=Assumptions!$H$73),Assumptions!$H$74*Assumptions!$C$9*1000,0)</f>
        <v>0</v>
      </c>
      <c r="HN34" s="1558"/>
      <c r="HO34" s="1567" t="n">
        <f aca="false">HO33+1</f>
        <v>2020</v>
      </c>
      <c r="HP34" s="1566" t="e">
        <f aca="false">SUMIF($B$17:$B$292,HO34,$FJ$17:$FJ$292)</f>
        <v>#VALUE!</v>
      </c>
      <c r="HQ34" s="1568" t="e">
        <f aca="false">IF(HR34=0,0,HR34/HP34)</f>
        <v>#VALUE!</v>
      </c>
      <c r="HR34" s="1564" t="e">
        <f aca="false">SUMIF($B$17:$B$292,HO34,$FK$17:$FK$292)</f>
        <v>#VALUE!</v>
      </c>
      <c r="HS34" s="1569" t="e">
        <f aca="false">SUMIF($B$17:$B$292,HO34,$GB$17:$GB$292)</f>
        <v>#VALUE!</v>
      </c>
      <c r="HT34" s="1563" t="e">
        <f aca="false">+IF(HS34&gt;0,HU34/HS34,0)</f>
        <v>#VALUE!</v>
      </c>
      <c r="HU34" s="1551" t="e">
        <f aca="false">SUMIF($B$17:$B$292,HO34,$GD$17:$GD$292)</f>
        <v>#VALUE!</v>
      </c>
      <c r="HV34" s="1569" t="e">
        <f aca="false">HR34+HU34</f>
        <v>#VALUE!</v>
      </c>
      <c r="HW34" s="1551" t="e">
        <f aca="false">SUMIF($B$17:$B$292,$HO34,$EN$17:$EN$292)</f>
        <v>#VALUE!</v>
      </c>
      <c r="HX34" s="1551" t="e">
        <f aca="false">SUMIF($B$17:$B$292,$HO34,$FC$17:$FC$292)</f>
        <v>#VALUE!</v>
      </c>
      <c r="HY34" s="1551" t="n">
        <f aca="false">IF(Assumptions!$L$24="Yes",HW34+HX34,0)</f>
        <v>0</v>
      </c>
      <c r="HZ34" s="1566" t="e">
        <f aca="false">SUMIF($B$17:$B$292,HO34,$GE$17:$GE$292)+SUMIF($B$17:$B$292,HO34,$GF$17:$GF$292)</f>
        <v>#VALUE!</v>
      </c>
      <c r="IA34" s="1563" t="e">
        <f aca="false">IF(IB34=0,0,IB34/HZ34)</f>
        <v>#VALUE!</v>
      </c>
      <c r="IB34" s="1564" t="e">
        <f aca="false">-SUMIF($B$17:$B$292,HO34,$GH$17:$GH$292)</f>
        <v>#VALUE!</v>
      </c>
      <c r="IC34" s="1569" t="e">
        <f aca="false">SUMIF($B$17:$B$292,HO34,$GI$17:$GI$292)</f>
        <v>#VALUE!</v>
      </c>
      <c r="ID34" s="1563" t="e">
        <f aca="false">IF(IE34=0,0,IE34/IC34)</f>
        <v>#VALUE!</v>
      </c>
      <c r="IE34" s="1564" t="e">
        <f aca="false">-SUMIF($B$17:$B$292,HO34,$GK$17:$GK$292)</f>
        <v>#VALUE!</v>
      </c>
      <c r="IF34" s="1551" t="e">
        <f aca="false">SUMIF($B$17:$B$292,HO34,$GP$17:$GP$292)</f>
        <v>#VALUE!</v>
      </c>
      <c r="IG34" s="1563" t="e">
        <f aca="false">IF(IH34=0,0,IH34/IF34)</f>
        <v>#VALUE!</v>
      </c>
      <c r="IH34" s="1564" t="e">
        <f aca="false">-SUMIF($B$17:$B$292,HO34,$GR$17:$GR$292)</f>
        <v>#VALUE!</v>
      </c>
      <c r="II34" s="1570" t="n">
        <f aca="false">(SUMIF($B$17:$B$292,HO34,$GW$17:$GW$292)+SUMIF($B$17:$B$292,HO34,$HB$17:$HB$292)+SUMIF($B$17:$B$292,HO34,$HG$17:$HG$292)+SUMIF($B$17:$B$292,HO34,$HL$17:$HL$292))*Assumptions!$C$59</f>
        <v>1241639.58598746</v>
      </c>
      <c r="IJ34" s="1309" t="n">
        <f aca="false">SUMIF($B$17:$B$292,HO34,$HM$17:$HM$292)</f>
        <v>0</v>
      </c>
      <c r="IK34" s="1309"/>
    </row>
    <row r="35" customFormat="false" ht="12.75" hidden="false" customHeight="false" outlineLevel="0" collapsed="false">
      <c r="A35" s="1571" t="n">
        <f aca="false">EOMONTH(A34,0)+1</f>
        <v>37196</v>
      </c>
      <c r="B35" s="594" t="n">
        <f aca="false">+YEAR(A35)</f>
        <v>2001</v>
      </c>
      <c r="C35" s="238" t="n">
        <f aca="false">MONTH(A35)</f>
        <v>11</v>
      </c>
      <c r="D35" s="1572" t="str">
        <f aca="false">IF(E35="","",Holiday(B35,C35))</f>
        <v/>
      </c>
      <c r="E35" s="1573" t="str">
        <f aca="false">IF(OR(BegDate&gt;=A36,EndDate&lt;A35,AND(VolumeMonthlyOverFlag,INDEX(VolumeMonthlyOver,C35)=0),NOT(INDEX(MonthKnockOutTable,C35))),"",MAX(A35,BegDate))</f>
        <v/>
      </c>
      <c r="F35" s="1574" t="str">
        <f aca="false">IF(E35="","",MIN(A36-1,EndDate))</f>
        <v/>
      </c>
      <c r="G35" s="1575" t="n">
        <v>0</v>
      </c>
      <c r="H35" s="1576" t="n">
        <f aca="false">(1+G35/2)^(-2*(DATE(B36,C36,20)-DateToday)/365.25)</f>
        <v>1</v>
      </c>
      <c r="I35" s="1568" t="n">
        <f aca="false">IF(Assumptions!$L$25=4,VLOOKUP($A35,'Henwood Reference'!$E$9:$R$320,10),(VLOOKUP($A35,PriceTable,2,0)+IF(BasisNumber&lt;&gt;1,VLOOKUP($A35,BasisTable,2,0),0)+I$1)/(1-I$2))</f>
        <v>33.978954</v>
      </c>
      <c r="J35" s="1568" t="n">
        <f aca="false">IF(Assumptions!$L$25=4,VLOOKUP($A35,'Henwood Reference'!$E$9:$R$320,10),(VLOOKUP($A35,PriceTable,3,0)+IF(BasisNumber&lt;&gt;1,VLOOKUP($A35,BasisTable,2,0),0)+J$1)/(1-J$2))</f>
        <v>33.978954</v>
      </c>
      <c r="K35" s="1568" t="n">
        <f aca="false">IF(Assumptions!$L$25=4,VLOOKUP($A35,'Henwood Reference'!$E$9:$R$320,10),(VLOOKUP($A35,PriceTable,4,0)+IF(BasisNumber&lt;&gt;1,VLOOKUP($A35,BasisTable,2,0),0)+K$1)/(1-K$2))</f>
        <v>33.978954</v>
      </c>
      <c r="L35" s="1523" t="n">
        <f aca="false">IF(Assumptions!$L$25=4,VLOOKUP($A35,'Henwood Reference'!$E$9:$R$320,10),(VLOOKUP($A35,PriceTableWeekend,2,0)+IF(BasisNumber&lt;&gt;1,VLOOKUP($A35,BasisTable,2,0),0)+L$1)/(1-L$2))</f>
        <v>33.978954</v>
      </c>
      <c r="M35" s="1568" t="n">
        <f aca="false">IF(Assumptions!$L$25=4,VLOOKUP($A35,'Henwood Reference'!$E$9:$R$320,10),(VLOOKUP($A35,PriceTableWeekend,3,0)+IF(BasisNumber&lt;&gt;1,VLOOKUP($A35,BasisTable,2,0),0)+M$1)/(1-M$2))</f>
        <v>33.978954</v>
      </c>
      <c r="N35" s="1599" t="n">
        <f aca="false">IF(Assumptions!$L$25=4,VLOOKUP($A35,'Henwood Reference'!$E$9:$R$320,10),(VLOOKUP($A35,PriceTableWeekend,4,0)+IF(BasisNumber&lt;&gt;1,VLOOKUP($A35,BasisTable,2,0),0)+N$1)/(1-N$2))</f>
        <v>33.978954</v>
      </c>
      <c r="O35" s="1568" t="n">
        <f aca="false">IF(Assumptions!$L$25=4,VLOOKUP($A35,'Henwood Reference'!$E$9:$R$320,11),(VLOOKUP($A35,PriceTableWeekend,6,0)+IF(BasisNumber&lt;&gt;1,VLOOKUP($A35,BasisTable,3,0),0)+O$1)/(1-O$2))</f>
        <v>24.024264</v>
      </c>
      <c r="P35" s="1568" t="n">
        <f aca="false">IF(Assumptions!$L$25=4,VLOOKUP($A35,'Henwood Reference'!$E$9:$R$320,11),(VLOOKUP($A35,PriceTableWeekend,7,0)+IF(BasisNumber&lt;&gt;1,VLOOKUP($A35,BasisTable,3,0),0)+P$1)/(1-P$2))</f>
        <v>24.024264</v>
      </c>
      <c r="Q35" s="1599" t="n">
        <f aca="false">IF(Assumptions!$L$25=4,VLOOKUP($A35,'Henwood Reference'!$E$9:$R$320,11),(VLOOKUP($A35,PriceTableWeekend,8,0)+IF(BasisNumber&lt;&gt;1,VLOOKUP($A35,BasisTable,3,0),0)+Q$1)/(1-Q$2))</f>
        <v>24.024264</v>
      </c>
      <c r="R35" s="1568" t="n">
        <f aca="false">IF(Assumptions!$L$25=4,VLOOKUP($A35,'Henwood Reference'!$E$9:$R$320,11),(VLOOKUP($A35,PriceTable,6,0)+IF(BasisNumber&lt;&gt;1,VLOOKUP($A35,BasisTable,3,0),0)+R$1)/(1-R$2))</f>
        <v>24.024264</v>
      </c>
      <c r="S35" s="1568" t="n">
        <f aca="false">IF(Assumptions!$L$25=4,VLOOKUP($A35,'Henwood Reference'!$E$9:$R$320,11),(VLOOKUP($A35,PriceTable,7,0)+IF(BasisNumber&lt;&gt;1,VLOOKUP($A35,BasisTable,3,0),0)+S$1)/(1-S$2))</f>
        <v>24.024264</v>
      </c>
      <c r="T35" s="1600" t="n">
        <f aca="false">IF(Assumptions!$L$25=4,VLOOKUP($A35,'Henwood Reference'!$E$9:$R$320,11),(VLOOKUP($A35,PriceTable,8,0)+IF(BasisNumber&lt;&gt;1,VLOOKUP($A35,BasisTable,3,0),0)+T$1)/(1-T$2))</f>
        <v>24.024264</v>
      </c>
      <c r="U35" s="1513" t="n">
        <f aca="false">VLOOKUP($A35,VolatilityTable,14)</f>
        <v>0.165</v>
      </c>
      <c r="V35" s="1513" t="n">
        <f aca="false">VLOOKUP($A35,VolatilityTable,15)</f>
        <v>0.175</v>
      </c>
      <c r="W35" s="1514" t="n">
        <f aca="false">VLOOKUP($A35,VolatilityTable,16)</f>
        <v>0.185</v>
      </c>
      <c r="X35" s="1513" t="n">
        <f aca="false">VLOOKUP($A35,VolatilityTable,14)</f>
        <v>0.165</v>
      </c>
      <c r="Y35" s="1513" t="n">
        <f aca="false">VLOOKUP($A35,VolatilityTable,15)</f>
        <v>0.175</v>
      </c>
      <c r="Z35" s="1514" t="n">
        <f aca="false">VLOOKUP($A35,VolatilityTable,16)</f>
        <v>0.185</v>
      </c>
      <c r="AA35" s="1513" t="n">
        <f aca="false">VLOOKUP($A35,VolatilityTable,18)</f>
        <v>0.09</v>
      </c>
      <c r="AB35" s="1513" t="n">
        <f aca="false">VLOOKUP($A35,VolatilityTable,19)</f>
        <v>0.11</v>
      </c>
      <c r="AC35" s="1514" t="n">
        <f aca="false">VLOOKUP($A35,VolatilityTable,20)</f>
        <v>0.13</v>
      </c>
      <c r="AD35" s="1513" t="n">
        <f aca="false">VLOOKUP($A35,VolatilityTable,18)</f>
        <v>0.09</v>
      </c>
      <c r="AE35" s="1513" t="n">
        <f aca="false">VLOOKUP($A35,VolatilityTable,19)</f>
        <v>0.11</v>
      </c>
      <c r="AF35" s="1514" t="n">
        <f aca="false">VLOOKUP($A35,VolatilityTable,20)</f>
        <v>0.13</v>
      </c>
      <c r="AG35" s="1513" t="n">
        <f aca="false">VLOOKUP($A35,VolatilityTable,22)</f>
        <v>-0.1</v>
      </c>
      <c r="AH35" s="1513" t="n">
        <f aca="false">VLOOKUP($A35,VolatilityTable,23)</f>
        <v>0.6</v>
      </c>
      <c r="AI35" s="1514" t="n">
        <f aca="false">VLOOKUP($A35,VolatilityTable,24)</f>
        <v>0.1</v>
      </c>
      <c r="AJ35" s="1513" t="n">
        <f aca="false">VLOOKUP($A35,VolatilityTable,22)</f>
        <v>-0.1</v>
      </c>
      <c r="AK35" s="1513" t="n">
        <f aca="false">VLOOKUP($A35,VolatilityTable,23)</f>
        <v>0.6</v>
      </c>
      <c r="AL35" s="1514" t="n">
        <f aca="false">VLOOKUP($A35,VolatilityTable,24)</f>
        <v>0.1</v>
      </c>
      <c r="AM35" s="1513" t="n">
        <f aca="false">VLOOKUP($A35,VolatilityTable,26)</f>
        <v>-0.01</v>
      </c>
      <c r="AN35" s="1513" t="n">
        <f aca="false">VLOOKUP($A35,VolatilityTable,27)</f>
        <v>0.16</v>
      </c>
      <c r="AO35" s="1514" t="n">
        <f aca="false">VLOOKUP($A35,VolatilityTable,28)</f>
        <v>0.01</v>
      </c>
      <c r="AP35" s="1513" t="n">
        <f aca="false">VLOOKUP($A35,VolatilityTable,26)</f>
        <v>-0.01</v>
      </c>
      <c r="AQ35" s="1513" t="n">
        <f aca="false">VLOOKUP($A35,VolatilityTable,27)</f>
        <v>0.16</v>
      </c>
      <c r="AR35" s="1515" t="n">
        <f aca="false">VLOOKUP($A35,VolatilityTable,28)</f>
        <v>0.01</v>
      </c>
      <c r="AS35" s="1581" t="n">
        <f aca="false">IF(CorrPeakOffPeakOverFlag,INDEX(CorrPeakOffPeakOver,C35),CorrPeakOffPeak)</f>
        <v>0.5</v>
      </c>
      <c r="AT35" s="594" t="n">
        <f aca="false">AX35-SUM(AU35:AW35)</f>
        <v>0</v>
      </c>
      <c r="AU35" s="238" t="n">
        <f aca="false">IF(E35="",0,INT((F35-MOD(F35,7)-E35)/7)+1-IF(AW35,IF(WEEKDAY(D35)=7,1,0),0))</f>
        <v>0</v>
      </c>
      <c r="AV35" s="238" t="n">
        <f aca="false">IF(E35="",0,INT((F35-MOD(F35-1,7)-E35)/7)+1-IF(AW35,IF(WEEKDAY(D35)=1,1,0),0))</f>
        <v>0</v>
      </c>
      <c r="AW35" s="238" t="n">
        <f aca="false">IF(OR(E35="",D35="",D35&lt;BegDate,D35&gt;EndDate),0,1)</f>
        <v>0</v>
      </c>
      <c r="AX35" s="238" t="n">
        <f aca="false">IF(E35="",0,F35-E35+1)</f>
        <v>0</v>
      </c>
      <c r="AY35" s="1582" t="n">
        <f aca="false">IF(E35="",0,MIN((1-(1-VLOOKUP(B35,MAIN!$AA$7:$AM$28,C35+1))*(1-VLOOKUP(B35,MAIN!$AA$33:$AM$54,C35+1))),1))</f>
        <v>0</v>
      </c>
      <c r="AZ35" s="1519" t="e">
        <v>#VALUE!</v>
      </c>
      <c r="BA35" s="1520" t="e">
        <v>#VALUE!</v>
      </c>
      <c r="BB35" s="1520" t="e">
        <v>#VALUE!</v>
      </c>
      <c r="BC35" s="1583" t="e">
        <v>#VALUE!</v>
      </c>
      <c r="BD35" s="1522" t="e">
        <v>#VALUE!</v>
      </c>
      <c r="BE35" s="1523" t="e">
        <v>#VALUE!</v>
      </c>
      <c r="BF35" s="1523" t="e">
        <v>#VALUE!</v>
      </c>
      <c r="BG35" s="1584" t="e">
        <v>#VALUE!</v>
      </c>
      <c r="BH35" s="1525" t="e">
        <v>#VALUE!</v>
      </c>
      <c r="BI35" s="1520" t="e">
        <v>#VALUE!</v>
      </c>
      <c r="BJ35" s="1520" t="e">
        <v>#VALUE!</v>
      </c>
      <c r="BK35" s="1583" t="e">
        <v>#VALUE!</v>
      </c>
      <c r="BL35" s="1522" t="e">
        <v>#VALUE!</v>
      </c>
      <c r="BM35" s="1523" t="e">
        <v>#VALUE!</v>
      </c>
      <c r="BN35" s="1523" t="e">
        <v>#VALUE!</v>
      </c>
      <c r="BO35" s="1523" t="e">
        <v>#VALUE!</v>
      </c>
      <c r="BP35" s="1525" t="e">
        <f aca="false">SUM(AZ35:BB35)</f>
        <v>#VALUE!</v>
      </c>
      <c r="BQ35" s="1529" t="e">
        <f aca="false">SUM(AZ35:BC35)</f>
        <v>#VALUE!</v>
      </c>
      <c r="BR35" s="1519" t="e">
        <f aca="false">SUM(BH35:BJ35)</f>
        <v>#VALUE!</v>
      </c>
      <c r="BS35" s="1529" t="e">
        <f aca="false">SUM(BH35:BK35)</f>
        <v>#VALUE!</v>
      </c>
      <c r="BT35" s="1316" t="n">
        <f aca="false">(IF(OVolType&lt;&gt;2,A35+14,IF(OptExpDateShift,ShiftBack(A35,OptExpDateShift,D34),A35))-DateToday)/365.25</f>
        <v>1.54962354551677</v>
      </c>
      <c r="BU35" s="1585" t="e">
        <f aca="false">IF(BQ35,IF(OPriceCurve,IF(OBuySell=OCallPut,I35/(1-AY35),K35/(1-AY35)),J35/(1-AY35))*BD35,0)</f>
        <v>#VALUE!</v>
      </c>
      <c r="BV35" s="1316" t="e">
        <f aca="false">IF(BQ35,IF(OPriceCurve,IF(OBuySell=OCallPut,L35/(1-AY35),N35/(1-AY35)),M35/(1-AY35))*BE35,0)</f>
        <v>#VALUE!</v>
      </c>
      <c r="BW35" s="1316" t="e">
        <f aca="false">IF(BQ35,IF(OPriceCurve,IF(OBuySell=OCallPut,O35/(1-AY35),Q35/(1-AY35)),P35/(1-AY35))*BF35,0)</f>
        <v>#VALUE!</v>
      </c>
      <c r="BX35" s="1316" t="e">
        <f aca="false">IF(BQ35,IF(OPriceCurve,IF(OBuySell=OCallPut,R35/(1-AY35),T35/(1-AY35)),S35/(1-AY35))*BG35,0)</f>
        <v>#VALUE!</v>
      </c>
      <c r="BY35" s="1316" t="e">
        <f aca="false">IF(BP35,(BU35*AZ35+BV35*BA35+BW35*BB35)/BP35,0)</f>
        <v>#VALUE!</v>
      </c>
      <c r="BZ35" s="1316" t="e">
        <f aca="false">IF(BQ35,(BY35*BP35+BX35*BC35)/BQ35,0)</f>
        <v>#VALUE!</v>
      </c>
      <c r="CA35" s="1531" t="e">
        <f aca="false">IF(BS35,IF(OPriceCurve,IF(OBuySell=OCallPut,I35/(1-AY35),K35/(1-AY35)),J35/(1-AY35))*BL35,0)</f>
        <v>#VALUE!</v>
      </c>
      <c r="CB35" s="1316" t="e">
        <f aca="false">IF(BS35,IF(OPriceCurve,IF(OBuySell=OCallPut,L35/(1-AY35),N35/(1-AY35)),M35/(1-AY35))*BM35,0)</f>
        <v>#VALUE!</v>
      </c>
      <c r="CC35" s="1316" t="e">
        <f aca="false">IF(BS35,IF(OPriceCurve,IF(OBuySell=OCallPut,O35/(1-AY35),Q35/(1-AY35)),P35/(1-AY35))*BN35,0)</f>
        <v>#VALUE!</v>
      </c>
      <c r="CD35" s="1316" t="e">
        <f aca="false">IF(BS35,IF(OPriceCurve,IF(OBuySell=OCallPut,R35/(1-AY35),T35/(1-AY35)),S35/(1-AY35))*BO35,0)</f>
        <v>#VALUE!</v>
      </c>
      <c r="CE35" s="1316" t="e">
        <f aca="false">IF(BR35,(BU35*BH35+BV35*BI35+BW35*BJ35)/BR35,0)</f>
        <v>#VALUE!</v>
      </c>
      <c r="CF35" s="1532" t="e">
        <f aca="false">IF(BS35,(CE35*BR35+CD35*BK35)/BS35,0)</f>
        <v>#VALUE!</v>
      </c>
      <c r="CG35" s="1586" t="e">
        <f aca="false">IF(OR(BQ35,BS35),IF(OVolType&lt;&gt;2,SQRT(IF(OVolOverMonthlyPeak,OVolOverMonthlyPeak,IF(OVolCurve,IF(OBuySell,U35,W35),V35))^2*(1-15/365.25/BT35)+IF(OVolOverDailyPeak,OVolOverDailyPeak,IF(OVolCurve,IF(OBuySell,AG35,AI35),AH35))^2*15/365.25/BT35),IF(OVolOverMonthlyPeak,OVolOverMonthlyPeak,IF(OVolCurve,IF(OBuySell,U35,W35),V35))),"")</f>
        <v>#VALUE!</v>
      </c>
      <c r="CH35" s="1587" t="e">
        <f aca="false">IF(OR(BQ35,BS35),IF(OVolType&lt;&gt;2,SQRT(IF(OVolOverMonthlyPeak,OVolOverMonthlyPeak,IF(OVolCurve,IF(OBuySell,X35,Z35),Y35))^2*(1-15/365.25/BT35)+IF(OVolOverDailyPeak,OVolOverDailyPeak,IF(OVolCurve,IF(OBuySell,AJ35,AL35),AK35))^2*15/365.25/BT35),IF(OVolOverMonthlyPeak,OVolOverMonthlyPeak,IF(OVolCurve,IF(OBuySell,X35,Z35),Y35))),"")</f>
        <v>#VALUE!</v>
      </c>
      <c r="CI35" s="1587" t="e">
        <f aca="false">IF(OR(BQ35,BS35),IF(OVolType&lt;&gt;2,SQRT(IF(OVolOverMonthlyPeak,OVolOverMonthlyPeak,IF(OVolCurve,IF(OBuySell,AA35,AC35),AB35))^2*(1-15/365.25/BT35)+IF(OVolOverDailyPeak,OVolOverDailyPeak,IF(OVolCurve,IF(OBuySell,AM35,AO35),AN35))^2*15/365.25/BT35),IF(OVolOverMonthlyPeak,OVolOverMonthlyPeak,IF(OVolCurve,IF(OBuySell,AA35,AC35),AB35))),"")</f>
        <v>#VALUE!</v>
      </c>
      <c r="CJ35" s="1587" t="e">
        <f aca="false">IF(BQ35,IF(BP35,SQRT(LN(1+((BU35*AZ35)^2*(EXP(CG35^2*BT35)-1)+(BV35*BA35)^2*(EXP(CH35^2*BT35)-1)+(BW35*BB35)^2*(EXP(CI35^2*BT35)-1)+2*BU35*AZ35*BV35*BA35*(EXP(CG35*CH35*BT35)-1)+2*BV35*BA35*BW35*BB35*(EXP(CH35*CI35*BT35)-1)+2*BW35*BB35*BU35*AZ35*(EXP(CI35*CG35*BT35)-1))/(BY35*BP35)^2)/BT35),0),"")</f>
        <v>#VALUE!</v>
      </c>
      <c r="CK35" s="1587" t="e">
        <f aca="false">IF(BS35,IF(BR35,SQRT(LN(1+((CA35*BH35)^2*(EXP(CG35^2*BT35)-1)+(CB35*BI35)^2*(EXP(CH35^2*BT35)-1)+(CC35*BJ35)^2*(EXP(CI35^2*BT35)-1)+2*CA35*BH35*CB35*BI35*(EXP(CG35*CH35*BT35)-1)+2*CB35*BI35*CC35*BJ35*(EXP(CH35*CI35*BT35)-1)+2*CC35*BJ35*CA35*BH35*(EXP(CI35*CG35*BT35)-1))/(CE35*BR35)^2)/BT35),0),"")</f>
        <v>#VALUE!</v>
      </c>
      <c r="CL35" s="1587" t="e">
        <f aca="false">IF(OR(BQ35,BS35),IF(OVolType&lt;&gt;2,SQRT(IF(OVolOverMonthlyOffPeak,OVolOverMonthlyOffPeak,IF(OVolCurve,IF(OBuySell,AD35,AF35),AE35))^2*(1-15/365.25/BT35)+IF(OVolOverDailyOffPeak,OVolOverDailyOffPeak,IF(OVolCurve,IF(OBuySell,AP35,AR35),AQ35))^2*15/365.25/BT35),IF(OVolOverMonthlyOffPeak,OVolOverMonthlyOffPeak,IF(OVolCurve,IF(OBuySell,AD35,AF35),AE35))),"")</f>
        <v>#VALUE!</v>
      </c>
      <c r="CM35" s="1587" t="e">
        <f aca="false">IF(BQ35,SQRT(LN(1+((BY35*BP35)^2*(EXP(CJ35^2*BT35)-1)+(BX35*BC35)^2*(EXP(CL35^2*BT35)-1)+2*BY35*BP35*BX35*BC35*(EXP(AS35*CJ35*CL35*BT35)-1))/(BY35*BP35+BX35*BC35)^2)/BT35),"")</f>
        <v>#VALUE!</v>
      </c>
      <c r="CN35" s="1588" t="e">
        <f aca="false">IF(BS35,SQRT(LN(1+((CE35*BR35)^2*(EXP(CK35^2*BT35)-1)+(CD35*BK35)^2*(EXP(CL35^2*BT35)-1)+2*CE35*BR35*CD35*BK35*(EXP(AS35*CK35*CL35*BT35)-1))/(CE35*BR35+CD35*BK35)^2)/BT35),"")</f>
        <v>#VALUE!</v>
      </c>
      <c r="CO35" s="1531" t="e">
        <f aca="false">IF(OR(BQ35,BS35),VLOOKUP(A35,GasTable,13)*HeatRatePeak*(1+VLOOKUP($B35,HeatRateDegradation,$C35+1))/1000,0)</f>
        <v>#VALUE!</v>
      </c>
      <c r="CP35" s="1316" t="e">
        <f aca="false">IF(OR(BQ35,BS35),VLOOKUP(A35,GasTable,13)*HeatRatePeak*(1+VLOOKUP($B35,HeatRateDegradation,$C35+1))/1000,0)</f>
        <v>#VALUE!</v>
      </c>
      <c r="CQ35" s="1316" t="e">
        <f aca="false">IF(OR(BQ35,BS35),VLOOKUP(A35,GasTable,13)*IF(EV35,HeatRatePeak,HeatRateOffPeak)*(1+VLOOKUP($B35,HeatRateDegradation,$C35+1))/1000,0)</f>
        <v>#VALUE!</v>
      </c>
      <c r="CR35" s="1316" t="e">
        <f aca="false">IF(OR(BQ35,BS35),VLOOKUP(A35,GasTable,13)*IF(EW35,HeatRatePeak,HeatRateOffPeak)*(1+VLOOKUP($B35,HeatRateDegradation,$C35+1))/1000,0)</f>
        <v>#VALUE!</v>
      </c>
      <c r="CS35" s="1589" t="e">
        <f aca="false">IF(BQ35,(CO35*AZ35+CP35*BA35+CQ35*BB35+CR35*BC35)/BQ35,0)</f>
        <v>#VALUE!</v>
      </c>
      <c r="CT35" s="1316" t="e">
        <f aca="false">IF(BS35,CO35,0)</f>
        <v>#VALUE!</v>
      </c>
      <c r="CU35" s="1590" t="e">
        <f aca="false">IF(OR(BQ35,BS35),VLOOKUP(A35,GasTable,14),"")</f>
        <v>#VALUE!</v>
      </c>
      <c r="CV35" s="1568" t="e">
        <f aca="false">IF(OR(BQ35,BS35),IF(CorrPowerGasOverFlag,INDEX(CorrPowerGasOver,C35),CorrPowerGas),"")</f>
        <v>#VALUE!</v>
      </c>
      <c r="CW35" s="1316" t="e">
        <f aca="false">IF(OR($BQ35,$BS35),SpreadOptPowerMargin,0)*((1+Assumptions!$C$26)^($B35-YEAR(Assumptions!$C$17)))</f>
        <v>#VALUE!</v>
      </c>
      <c r="CX35" s="1316" t="e">
        <f aca="false">IF(OR($BQ35,$BS35),SpreadOptPowerMargin,0)*((1+Assumptions!$C$26)^($B35-YEAR(Assumptions!$C$17)))</f>
        <v>#VALUE!</v>
      </c>
      <c r="CY35" s="1316" t="e">
        <f aca="false">IF(OR($BQ35,$BS35),SpreadOptPowerMargin,0)*((1+Assumptions!$C$26)^($B35-YEAR(Assumptions!$C$17)))</f>
        <v>#VALUE!</v>
      </c>
      <c r="CZ35" s="1316" t="e">
        <f aca="false">IF(OR($BQ35,$BS35),SpreadOptPowerMargin,0)*((1+Assumptions!$C$26)^($B35-YEAR(Assumptions!$C$17)))</f>
        <v>#VALUE!</v>
      </c>
      <c r="DA35" s="1591" t="e">
        <f aca="false">IF(OR(BQ35,BS35),(CW35*(AZ35+BH35)+CX35*(BA35+BI35)+CY35*(BB35+BJ35)+CZ35*(BC35+BK35))/(BQ35+BS35),0)</f>
        <v>#VALUE!</v>
      </c>
      <c r="DB35" s="1592" t="e">
        <f aca="false">IF(OR(BQ35,BS35),CG35+IF(OVolSmile,VLOOKUP(MAX(-5,CO35+CW35-BU35),IF(OVolSmile=1,VolSmileBook,VolSmileModel),2),0),"")</f>
        <v>#VALUE!</v>
      </c>
      <c r="DC35" s="1592" t="e">
        <f aca="false">IF(OR(BQ35,BS35),CH35+IF(OVolSmile,VLOOKUP(MAX(-5,CP35+CW35-BV35),IF(OVolSmile=1,VolSmileBook,VolSmileModel),2),0),"")</f>
        <v>#VALUE!</v>
      </c>
      <c r="DD35" s="1592" t="e">
        <f aca="false">IF(OR(BQ35,BS35),CI35+IF(OVolSmile,VLOOKUP(MAX(-5,CQ35+CW35-BW35),IF(OVolSmile=1,VolSmileBook,VolSmileModel),2),0),"")</f>
        <v>#VALUE!</v>
      </c>
      <c r="DE35" s="1592" t="e">
        <f aca="false">IF(OR(BQ35,BS35),CL35+IF(OVolSmile,VLOOKUP(MAX(-5,CR35+CZ35-BX35),IF(OVolSmile=1,VolSmileBook,VolSmileModel),2),0),"")</f>
        <v>#VALUE!</v>
      </c>
      <c r="DF35" s="1592" t="e">
        <f aca="false">IF(BQ35,CM35+IF(OVolSmile,VLOOKUP(MAX(-5,CS35+DA35-BZ35),IF(OVolSmile=1,VolSmileBook,VolSmileModel),2),0),"")</f>
        <v>#VALUE!</v>
      </c>
      <c r="DG35" s="1593" t="e">
        <f aca="false">IF(BS35,CN35+IF(OVolSmile,VLOOKUP(MAX(-5,CT35+DA35-CF35),IF(OVolSmile=1,VolSmileBook,VolSmileModel),2),0),"")</f>
        <v>#VALUE!</v>
      </c>
      <c r="DH35" s="1316" t="e">
        <f aca="false">IF(AND(BU35&gt;0,CO35&gt;0,DB35&gt;0,CU35&gt;0),newSPRDOPT(BU35,CO35,CW35,0,DB35,CU35,CV35,BT35*365.25,OCallPut,0),0)</f>
        <v>#VALUE!</v>
      </c>
      <c r="DI35" s="1316" t="e">
        <f aca="false">IF(AND(BV35&gt;0,CP35&gt;0,DC35&gt;0,CU35&gt;0),newSPRDOPT(BV35,CP35,CX35,0,DC35,CU35,CV35,BT35*365.25,OCallPut,0),0)</f>
        <v>#VALUE!</v>
      </c>
      <c r="DJ35" s="1316" t="e">
        <f aca="false">IF(AND(BW35&gt;0,CQ35&gt;0,DD35&gt;0,CU35&gt;0),newSPRDOPT(BW35,CQ35,CY35,0,DD35,CU35,CV35,BT35*365.25,OCallPut,0),0)</f>
        <v>#VALUE!</v>
      </c>
      <c r="DK35" s="1316" t="e">
        <f aca="false">IF(AND(BX35&gt;0,CR35&gt;0,DE35&gt;0,CU35&gt;0),newSPRDOPT(BX35,CR35,CZ35,0,DE35,CU35,CV35,BT35*365.25,OCallPut,0),0)</f>
        <v>#VALUE!</v>
      </c>
      <c r="DL35" s="1316" t="e">
        <f aca="false">IF(OVolType,IF(AND(BZ35&gt;0,CS35&gt;0,DF35&gt;0,CU35&gt;0),newSPRDOPT(BZ35,CS35,DA35,0,DF35,CU35,CV35,BT35*365.25,OCallPut,0),0),IF(BQ35,(DH35*AZ35+DI35*BA35+DJ35*BB35+DK35*BC35)/BQ35,0))</f>
        <v>#VALUE!</v>
      </c>
      <c r="DM35" s="1316"/>
      <c r="DN35" s="1316"/>
      <c r="DO35" s="1316"/>
      <c r="DP35" s="1316"/>
      <c r="DQ35" s="1316"/>
      <c r="DR35" s="1316"/>
      <c r="DS35" s="1316"/>
      <c r="DT35" s="1316"/>
      <c r="DU35" s="1316"/>
      <c r="DV35" s="1316"/>
      <c r="DW35" s="1594" t="e">
        <f aca="false">IF(AND(BW35&gt;0,CT35&gt;0,DD35&gt;0,CU35&gt;0),newSPRDOPT(BW35,CT35,CY35,0,DD35,CU35,CV35,BT35*365.25,OCallPut,0),0)</f>
        <v>#VALUE!</v>
      </c>
      <c r="DX35" s="1316" t="e">
        <f aca="false">IF(AND(BX35&gt;0,CT35&gt;0,DE35&gt;0,CU35&gt;0),newSPRDOPT(BX35,CT35,CZ35,0,DE35,CU35,CV35,BT35*365.25,OCallPut,0),0)</f>
        <v>#VALUE!</v>
      </c>
      <c r="DY35" s="1591" t="e">
        <f aca="false">IF(BS35,(DH35*BH35+DI35*BI35+DW35*BJ35+DX35*BK35)/BS35,0)</f>
        <v>#VALUE!</v>
      </c>
      <c r="DZ35" s="1551" t="e">
        <f aca="false">DH35*AZ35</f>
        <v>#VALUE!</v>
      </c>
      <c r="EA35" s="1551" t="e">
        <f aca="false">DI35*BA35</f>
        <v>#VALUE!</v>
      </c>
      <c r="EB35" s="1551" t="e">
        <f aca="false">DJ35*BB35</f>
        <v>#VALUE!</v>
      </c>
      <c r="EC35" s="1551" t="e">
        <f aca="false">DK35*BC35</f>
        <v>#VALUE!</v>
      </c>
      <c r="ED35" s="1551" t="e">
        <f aca="false">DL35*BQ35</f>
        <v>#VALUE!</v>
      </c>
      <c r="EE35" s="1595" t="e">
        <f aca="false">IF(BQ35,IF(OCallPut,IF(BU35&gt;(CO35+CW35),BU35-(CO35+CW35),0),IF((CO35+CW35)&gt;BU35,(CO35+CW35)-BU35,0))*AZ35,0)</f>
        <v>#VALUE!</v>
      </c>
      <c r="EF35" s="1596" t="e">
        <f aca="false">IF(BQ35,IF(OCallPut,IF(BV35&gt;(CP35+CX35),BV35-(CP35+CX35),0),IF((CP35+CX35)&gt;BV35,(CP35+CX35)-BV35,0))*BA35,0)</f>
        <v>#VALUE!</v>
      </c>
      <c r="EG35" s="1596" t="e">
        <f aca="false">IF(BQ35,IF(OCallPut,IF(BW35&gt;(CQ35+CY35),BW35-(CQ35+CY35),0),IF((CQ35+CY35)&gt;BW35,(CQ35+CY35)-BW35,0))*BB35,0)</f>
        <v>#VALUE!</v>
      </c>
      <c r="EH35" s="1596" t="e">
        <f aca="false">IF(BQ35,IF(OCallPut,IF(BX35&gt;(CR35+CZ35),BX35-(CR35+CZ35),0),IF((CR35+CZ35)&gt;BX35,(CR35+CZ35)-BX35,0))*BC35,0)</f>
        <v>#VALUE!</v>
      </c>
      <c r="EI35" s="1597" t="e">
        <f aca="false">IF(BQ35,IF(OVolType,IF(OCallPut,IF(BZ35&gt;(CS35+DA35),BZ35-(CS35+DA35),0),IF((CS35+DA35)&gt;BZ35,(CS35+DA35)-BZ35,0))*BQ35,SUM(EE35:EH35)),0)</f>
        <v>#VALUE!</v>
      </c>
      <c r="EJ35" s="1595" t="e">
        <f aca="false">DZ35-EE35</f>
        <v>#VALUE!</v>
      </c>
      <c r="EK35" s="1596" t="e">
        <f aca="false">EA35-EF35</f>
        <v>#VALUE!</v>
      </c>
      <c r="EL35" s="1596" t="e">
        <f aca="false">EB35-EG35</f>
        <v>#VALUE!</v>
      </c>
      <c r="EM35" s="1596" t="e">
        <f aca="false">EC35-EH35</f>
        <v>#VALUE!</v>
      </c>
      <c r="EN35" s="1597" t="e">
        <f aca="false">ED35-EI35</f>
        <v>#VALUE!</v>
      </c>
      <c r="EO35" s="1551" t="e">
        <f aca="false">DH35*BH35</f>
        <v>#VALUE!</v>
      </c>
      <c r="EP35" s="1551" t="e">
        <f aca="false">DI35*BI35</f>
        <v>#VALUE!</v>
      </c>
      <c r="EQ35" s="1551" t="e">
        <f aca="false">DW35*BJ35</f>
        <v>#VALUE!</v>
      </c>
      <c r="ER35" s="1551" t="e">
        <f aca="false">DX35*BK35</f>
        <v>#VALUE!</v>
      </c>
      <c r="ES35" s="1551" t="e">
        <f aca="false">DY35*BS35</f>
        <v>#VALUE!</v>
      </c>
      <c r="ET35" s="1566" t="e">
        <f aca="false">IF(BS35,IF(OCallPut,IF(CA35&gt;(CT35+CW35),CA35-(CT35+CW35),0),IF((CT35+CW35)&gt;CA35,(CT35+CW35)-CA35,0))*BH35,0)</f>
        <v>#VALUE!</v>
      </c>
      <c r="EU35" s="1551" t="e">
        <f aca="false">IF(BS35,IF(OCallPut,IF(CB35&gt;(CT35+CX35),CB35-(CT35+CX35),0),IF((CT35+CX35)&gt;CB35,(CT35+CX35)-CB35,0))*BI35,0)</f>
        <v>#VALUE!</v>
      </c>
      <c r="EV35" s="1551" t="e">
        <f aca="false">IF(BS35,IF(OCallPut,IF(CC35&gt;(CT35+CY35),CC35-(CT35+CY35),0),IF((CT35+CY35)&gt;CC35,(CT35+CY35)-CC35,0))*BJ35,0)</f>
        <v>#VALUE!</v>
      </c>
      <c r="EW35" s="1551" t="e">
        <f aca="false">IF(BS35,IF(OCallPut,IF(CD35&gt;(CT35+CZ35),CD35-(CT35+CZ35),0),IF((CT35+CZ35)&gt;CD35,(CT35+CZ35)-CD35,0))*BK35,0)</f>
        <v>#VALUE!</v>
      </c>
      <c r="EX35" s="1558" t="e">
        <f aca="false">IF(BS35,SUM(ET35:EW35),0)</f>
        <v>#VALUE!</v>
      </c>
      <c r="EY35" s="1551" t="e">
        <f aca="false">EO35-ET35</f>
        <v>#VALUE!</v>
      </c>
      <c r="EZ35" s="1551" t="e">
        <f aca="false">EP35-EU35</f>
        <v>#VALUE!</v>
      </c>
      <c r="FA35" s="1551" t="e">
        <f aca="false">EQ35-EV35</f>
        <v>#VALUE!</v>
      </c>
      <c r="FB35" s="1551" t="e">
        <f aca="false">ER35-EW35</f>
        <v>#VALUE!</v>
      </c>
      <c r="FC35" s="1551" t="e">
        <f aca="false">ES35-EX35</f>
        <v>#VALUE!</v>
      </c>
      <c r="FD35" s="1525" t="n">
        <f aca="false">IF(AX35,IF(VLOOKUP(C35,MAIN!$L$17:$M$28,2)="Yes",VLOOKUP(CALC!B35,MAIN!$H$17:$I$20,2),0),0)</f>
        <v>0</v>
      </c>
      <c r="FE35" s="1552" t="n">
        <f aca="false">$FD35*16*AT35*(1-$AY35)</f>
        <v>0</v>
      </c>
      <c r="FF35" s="1553" t="n">
        <f aca="false">$FD35*16*AU35*(1-$AY35)</f>
        <v>0</v>
      </c>
      <c r="FG35" s="1553" t="n">
        <f aca="false">$FD35*16*(AV35+AW35)*(1-$AY35)</f>
        <v>0</v>
      </c>
      <c r="FH35" s="1554" t="n">
        <f aca="false">$FD35*8*AX35*(1-$AY35)</f>
        <v>0</v>
      </c>
      <c r="FI35" s="1555" t="n">
        <f aca="false">IF(AX35,VLOOKUP(CALC!B35,MAIN!$H$17:$K$20,4),0)</f>
        <v>0</v>
      </c>
      <c r="FJ35" s="1553" t="n">
        <f aca="false">SUM(FE35:FH35)</f>
        <v>0</v>
      </c>
      <c r="FK35" s="1556" t="n">
        <f aca="false">FI35*FJ35</f>
        <v>0</v>
      </c>
      <c r="FL35" s="1551" t="e">
        <f aca="false">IF($EI35&gt;0,MIN(FE35,AZ35*(1+VLOOKUP($C35,WeatherCapacityAdjustment,2))),0)</f>
        <v>#VALUE!</v>
      </c>
      <c r="FM35" s="1551" t="e">
        <f aca="false">IF($EI35&gt;0,MIN(FF35,BA35*(1+VLOOKUP($C35,WeatherCapacityAdjustment,2))),0)</f>
        <v>#VALUE!</v>
      </c>
      <c r="FN35" s="1551" t="e">
        <f aca="false">IF($EI35&gt;0,MIN(FG35,BB35*(1+VLOOKUP($C35,WeatherCapacityAdjustment,2))),0)</f>
        <v>#VALUE!</v>
      </c>
      <c r="FO35" s="1564" t="e">
        <f aca="false">IF($EI35&gt;0,MIN(FH35,BC35*(1+VLOOKUP($C35,WeatherCapacityAdjustment,3))),0)</f>
        <v>#VALUE!</v>
      </c>
      <c r="FP35" s="1551" t="e">
        <f aca="false">IF(ET35&gt;0,MIN(FE35-FL35,BH35*(1+VLOOKUP($C35,WeatherCapacityAdjustment,2))),0)</f>
        <v>#VALUE!</v>
      </c>
      <c r="FQ35" s="1551" t="e">
        <f aca="false">IF(EU35&gt;0,MIN(FF35-FM35,BI35*(1+VLOOKUP($C35,WeatherCapacityAdjustment,2))),0)</f>
        <v>#VALUE!</v>
      </c>
      <c r="FR35" s="1551" t="e">
        <f aca="false">IF(EV35&gt;0,MIN(FG35-FN35,BJ35*(1+VLOOKUP($C35,WeatherCapacityAdjustment,2))),0)</f>
        <v>#VALUE!</v>
      </c>
      <c r="FS35" s="1558" t="e">
        <f aca="false">IF(EW35&gt;0,MIN(FH35-FO35,BK35*(1+VLOOKUP($C35,WeatherCapacityAdjustment,3))),0)</f>
        <v>#VALUE!</v>
      </c>
      <c r="FT35" s="1566" t="n">
        <f aca="false">IF(AND(Assumptions!$H$71="Yes",A35&gt;=Assumptions!$H$72,A35&lt;=Assumptions!$H$73),0,IF(AND($A35&gt;=Assumptions!$C$17,$A35&lt;=Assumptions!$C$18),MAX(AZ35*(1+VLOOKUP($C35,WeatherCapacityAdjustment,2))-FL35,0),0))</f>
        <v>0</v>
      </c>
      <c r="FU35" s="1551" t="n">
        <f aca="false">IF(AND(Assumptions!$H$71="Yes",A35&gt;=Assumptions!$H$72,A35&lt;=Assumptions!$H$73),0,IF(AND($A35&gt;=Assumptions!$C$17,$A35&lt;=Assumptions!$C$18),MAX(BA35*(1+VLOOKUP($C35,WeatherCapacityAdjustment,2))-FM35,0),0))</f>
        <v>0</v>
      </c>
      <c r="FV35" s="1551" t="n">
        <f aca="false">IF(AND(Assumptions!$H$71="Yes",A35&gt;=Assumptions!$H$72,A35&lt;=Assumptions!$H$73),0,IF(AND($A35&gt;=Assumptions!$C$17,$A35&lt;=Assumptions!$C$18),MAX(BB35*(1+VLOOKUP($C35,WeatherCapacityAdjustment,2))-FN35,0),0))</f>
        <v>0</v>
      </c>
      <c r="FW35" s="1564" t="n">
        <f aca="false">IF(AND(Assumptions!$H$71="Yes",A35&gt;=Assumptions!$H$72,A35&lt;=Assumptions!$H$73),0,IF(AND($A35&gt;=Assumptions!$C$17,$A35&lt;=Assumptions!$C$18),MAX(BC35*(1+VLOOKUP($C35,WeatherCapacityAdjustment,3))-FO35,0),0))</f>
        <v>0</v>
      </c>
      <c r="FX35" s="1569" t="e">
        <f aca="false">IF(AND(Assumptions!$H$71="Yes",A35&gt;=Assumptions!$H$72,A35&lt;=Assumptions!$H$73),0,IF(ET35&gt;0,MAX(BH35*(1+VLOOKUP($C35,WeatherCapacityAdjustment,2))-FP35,0),0))</f>
        <v>#VALUE!</v>
      </c>
      <c r="FY35" s="1551" t="e">
        <f aca="false">IF(AND(Assumptions!$H$71="Yes",A35&gt;=Assumptions!$H$72,A35&lt;=Assumptions!$H$73),0,IF(EU35&gt;0,MAX(BI35*(1+VLOOKUP($C35,WeatherCapacityAdjustment,3))-FQ35,0),0))</f>
        <v>#VALUE!</v>
      </c>
      <c r="FZ35" s="1551" t="e">
        <f aca="false">IF(AND(Assumptions!$H$71="Yes",A35&gt;=Assumptions!$H$72,A35&lt;=Assumptions!$H$73),0,IF(EV35&gt;0,MAX(BJ35*(1+VLOOKUP($C35,WeatherCapacityAdjustment,2))-FR35,0),0))</f>
        <v>#VALUE!</v>
      </c>
      <c r="GA35" s="1564" t="e">
        <f aca="false">IF(AND(Assumptions!$H$71="Yes",A35&gt;=Assumptions!$H$72,A35&lt;=Assumptions!$H$73),0,IF(EW35&gt;0,MAX(BK35*(1+VLOOKUP($C35,WeatherCapacityAdjustment,2))-FS35,0),0))</f>
        <v>#VALUE!</v>
      </c>
      <c r="GB35" s="1551" t="e">
        <f aca="false">SUM(FT35:GA35)</f>
        <v>#VALUE!</v>
      </c>
      <c r="GC35" s="1563" t="e">
        <f aca="false">+IF(SUM(FT35:GA35)=0,0,(SUMPRODUCT(BU35:BX35,FT35:FW35)+SUMPRODUCT(CA35:CD35,FX35:GA35))/SUM(FT35:GA35))</f>
        <v>#VALUE!</v>
      </c>
      <c r="GD35" s="1551" t="e">
        <f aca="false">(FT35*BU35+FX35*CA35+FU35*BV35+FY35*CB35+FV35*BW35+FZ35*CC35+FW35*BX35+GA35*CD35)</f>
        <v>#VALUE!</v>
      </c>
      <c r="GE35" s="1561" t="e">
        <f aca="false">+IF(BQ35,((FL35+FM35+FT35+FU35)*HeatRatePeak/1000*(1+VLOOKUP($C35,WeatherHeatRateAdjustment,2))+(FN35+FV35)*IF(EV35&gt;0,HeatRatePeak,HeatRateOffPeak)/1000*(1+VLOOKUP($C35,WeatherHeatRateAdjustment,2))+(FO35+FW35)*IF(EW35&gt;0,HeatRatePeak,HeatRateOffPeak)/1000*(1+VLOOKUP($C35,WeatherHeatRateAdjustment,3)))*(1+VLOOKUP($B35,HeatRateDegradation,$C35+1)),0)</f>
        <v>#VALUE!</v>
      </c>
      <c r="GF35" s="1562" t="e">
        <f aca="false">IF(BQ35,((FP35+FQ35+FR35+FX35+FY35+FZ35)*HeatRatePeak/1000*(1+VLOOKUP($C35,WeatherHeatRateAdjustment,2))+(FS35+GA35)*HeatRatePeak/1000*(1+VLOOKUP($C35,WeatherHeatRateAdjustment,3)))*(1+VLOOKUP($B35,HeatRateDegradation,$C35+1)),0)</f>
        <v>#VALUE!</v>
      </c>
      <c r="GG35" s="1563" t="e">
        <f aca="false">IF(BQ35,VLOOKUP(A35,GasTable,13),0)</f>
        <v>#VALUE!</v>
      </c>
      <c r="GH35" s="1564" t="e">
        <f aca="false">(GE35+GF35)*GG35</f>
        <v>#VALUE!</v>
      </c>
      <c r="GI35" s="1569" t="e">
        <f aca="false">GB35</f>
        <v>#VALUE!</v>
      </c>
      <c r="GJ35" s="1598" t="e">
        <f aca="false">+DA35</f>
        <v>#VALUE!</v>
      </c>
      <c r="GK35" s="1558" t="e">
        <f aca="false">+GI35*GJ35</f>
        <v>#VALUE!</v>
      </c>
      <c r="GL35" s="1566" t="e">
        <f aca="false">MAX(FE35-FL35-FP35,0)</f>
        <v>#VALUE!</v>
      </c>
      <c r="GM35" s="1551" t="e">
        <f aca="false">MAX(FF35-FM35-FQ35,0)</f>
        <v>#VALUE!</v>
      </c>
      <c r="GN35" s="1551" t="e">
        <f aca="false">MAX(FG35-FN35-FR35,0)</f>
        <v>#VALUE!</v>
      </c>
      <c r="GO35" s="1564" t="e">
        <f aca="false">MAX(FH35-FO35-FS35,0)</f>
        <v>#VALUE!</v>
      </c>
      <c r="GP35" s="1551" t="e">
        <f aca="false">SUM(GL35:GO35)</f>
        <v>#VALUE!</v>
      </c>
      <c r="GQ35" s="1563" t="e">
        <f aca="false">IF(SUM(GL35:GO35)=0,0,((GL35*BU35+GM35*BV35+GN35*BW35+GO35*BX35)/SUM(GL35:GO35)))</f>
        <v>#VALUE!</v>
      </c>
      <c r="GR35" s="1558" t="e">
        <f aca="false">(GL35*BU35+GM35*BV35+GN35*BW35+GO35*BX35)</f>
        <v>#VALUE!</v>
      </c>
      <c r="GS35" s="1566" t="n">
        <f aca="false">IF($A35&gt;=BegDate,Assumptions!$C$56*24*($A36-$A35)*(1-VLOOKUP($B35,MAIN!$AA$7:$AM$28,$C35+1))*(1-VLOOKUP($B35,MAIN!$AA$33:$AM$54,$C35+1)),0)*80/168</f>
        <v>0</v>
      </c>
      <c r="GT35" s="286" t="n">
        <f aca="false">J35</f>
        <v>33.978954</v>
      </c>
      <c r="GU35" s="286" t="n">
        <f aca="false">IF($A35&gt;=BegDate,VLOOKUP($A35,GasTable,13)+Assumptions!$C$58,0)</f>
        <v>0</v>
      </c>
      <c r="GV35" s="286" t="n">
        <f aca="false">GU35*Assumptions!$C$57/1000</f>
        <v>0</v>
      </c>
      <c r="GW35" s="1558" t="n">
        <f aca="false">IF(Assumptions!$C$60="Hourly",MAX(0,GS35*(GT35-GV35)),GS35*(GT35-GV35))</f>
        <v>0</v>
      </c>
      <c r="GX35" s="1566" t="n">
        <f aca="false">IF($A35&gt;=BegDate,Assumptions!$C$56*24*($A36-$A35)*(1-VLOOKUP($B35,MAIN!$AA$7:$AM$28,$C35+1))*(1-VLOOKUP($B35,MAIN!$AA$33:$AM$54,$C35+1)),0)*16/168</f>
        <v>0</v>
      </c>
      <c r="GY35" s="286" t="n">
        <f aca="false">M35</f>
        <v>33.978954</v>
      </c>
      <c r="GZ35" s="286" t="n">
        <f aca="false">IF($A35&gt;=BegDate,VLOOKUP($A35,GasTable,13)+Assumptions!$C$58,0)</f>
        <v>0</v>
      </c>
      <c r="HA35" s="286" t="n">
        <f aca="false">GZ35*Assumptions!$C$57/1000</f>
        <v>0</v>
      </c>
      <c r="HB35" s="1558" t="n">
        <f aca="false">IF(Assumptions!$C$60="Hourly",MAX(0,GX35*(GY35-HA35)),GX35*(GY35-HA35))</f>
        <v>0</v>
      </c>
      <c r="HC35" s="1566" t="n">
        <f aca="false">IF($A35&gt;=BegDate,Assumptions!$C$56*24*($A36-$A35)*(1-VLOOKUP($B35,MAIN!$AA$7:$AM$28,$C35+1))*(1-VLOOKUP($B35,MAIN!$AA$33:$AM$54,$C35+1)),0)*16/168</f>
        <v>0</v>
      </c>
      <c r="HD35" s="286" t="n">
        <f aca="false">P35</f>
        <v>24.024264</v>
      </c>
      <c r="HE35" s="286" t="n">
        <f aca="false">IF($A35&gt;=BegDate,VLOOKUP($A35,GasTable,13)+Assumptions!$C$58,0)</f>
        <v>0</v>
      </c>
      <c r="HF35" s="286" t="n">
        <f aca="false">HE35*Assumptions!$C$57/1000</f>
        <v>0</v>
      </c>
      <c r="HG35" s="1558" t="n">
        <f aca="false">IF(Assumptions!$C$60="Hourly",MAX(0,HC35*(HD35-HF35)),HC35*(HD35-HF35))</f>
        <v>0</v>
      </c>
      <c r="HH35" s="1566" t="n">
        <f aca="false">IF($A35&gt;=BegDate,Assumptions!$C$56*24*($A36-$A35)*(1-VLOOKUP($B35,MAIN!$AA$7:$AM$28,$C35+1))*(1-VLOOKUP($B35,MAIN!$AA$33:$AM$54,$C35+1)),0)*56/168</f>
        <v>0</v>
      </c>
      <c r="HI35" s="286" t="n">
        <f aca="false">S35</f>
        <v>24.024264</v>
      </c>
      <c r="HJ35" s="286" t="n">
        <f aca="false">IF($A35&gt;=BegDate,VLOOKUP($A35,GasTable,13)+Assumptions!$C$58,0)</f>
        <v>0</v>
      </c>
      <c r="HK35" s="286" t="n">
        <f aca="false">HJ35*Assumptions!$C$57/1000</f>
        <v>0</v>
      </c>
      <c r="HL35" s="1558" t="n">
        <f aca="false">IF(Assumptions!$C$60="Hourly",MAX(0,HH35*(HI35-HK35)),HH35*(HI35-HK35))</f>
        <v>0</v>
      </c>
      <c r="HM35" s="1566" t="n">
        <f aca="false">IF(AND(Assumptions!$H$71="Yes",A35&gt;=Assumptions!$H$72,A35&lt;=Assumptions!$H$73),Assumptions!$H$74*Assumptions!$C$9*1000,0)</f>
        <v>0</v>
      </c>
      <c r="HN35" s="1558"/>
      <c r="HO35" s="1567" t="n">
        <f aca="false">HO34+1</f>
        <v>2021</v>
      </c>
      <c r="HP35" s="1566" t="e">
        <f aca="false">SUMIF($B$17:$B$292,HO35,$FJ$17:$FJ$292)</f>
        <v>#VALUE!</v>
      </c>
      <c r="HQ35" s="1568" t="e">
        <f aca="false">IF(HR35=0,0,HR35/HP35)</f>
        <v>#VALUE!</v>
      </c>
      <c r="HR35" s="1564" t="e">
        <f aca="false">SUMIF($B$17:$B$292,HO35,$FK$17:$FK$292)</f>
        <v>#VALUE!</v>
      </c>
      <c r="HS35" s="1569" t="e">
        <f aca="false">SUMIF($B$17:$B$292,HO35,$GB$17:$GB$292)</f>
        <v>#VALUE!</v>
      </c>
      <c r="HT35" s="1563" t="e">
        <f aca="false">+IF(HS35&gt;0,HU35/HS35,0)</f>
        <v>#VALUE!</v>
      </c>
      <c r="HU35" s="1551" t="e">
        <f aca="false">SUMIF($B$17:$B$292,HO35,$GD$17:$GD$292)</f>
        <v>#VALUE!</v>
      </c>
      <c r="HV35" s="1569" t="e">
        <f aca="false">HR35+HU35</f>
        <v>#VALUE!</v>
      </c>
      <c r="HW35" s="1551" t="e">
        <f aca="false">SUMIF($B$17:$B$292,$HO35,$EN$17:$EN$292)</f>
        <v>#VALUE!</v>
      </c>
      <c r="HX35" s="1551" t="e">
        <f aca="false">SUMIF($B$17:$B$292,$HO35,$FC$17:$FC$292)</f>
        <v>#VALUE!</v>
      </c>
      <c r="HY35" s="1551" t="n">
        <f aca="false">IF(Assumptions!$L$24="Yes",HW35+HX35,0)</f>
        <v>0</v>
      </c>
      <c r="HZ35" s="1566" t="e">
        <f aca="false">SUMIF($B$17:$B$292,HO35,$GE$17:$GE$292)+SUMIF($B$17:$B$292,HO35,$GF$17:$GF$292)</f>
        <v>#VALUE!</v>
      </c>
      <c r="IA35" s="1563" t="e">
        <f aca="false">IF(IB35=0,0,IB35/HZ35)</f>
        <v>#VALUE!</v>
      </c>
      <c r="IB35" s="1564" t="e">
        <f aca="false">-SUMIF($B$17:$B$292,HO35,$GH$17:$GH$292)</f>
        <v>#VALUE!</v>
      </c>
      <c r="IC35" s="1569" t="e">
        <f aca="false">SUMIF($B$17:$B$292,HO35,$GI$17:$GI$292)</f>
        <v>#VALUE!</v>
      </c>
      <c r="ID35" s="1563" t="e">
        <f aca="false">IF(IE35=0,0,IE35/IC35)</f>
        <v>#VALUE!</v>
      </c>
      <c r="IE35" s="1564" t="e">
        <f aca="false">-SUMIF($B$17:$B$292,HO35,$GK$17:$GK$292)</f>
        <v>#VALUE!</v>
      </c>
      <c r="IF35" s="1551" t="e">
        <f aca="false">SUMIF($B$17:$B$292,HO35,$GP$17:$GP$292)</f>
        <v>#VALUE!</v>
      </c>
      <c r="IG35" s="1563" t="e">
        <f aca="false">IF(IH35=0,0,IH35/IF35)</f>
        <v>#VALUE!</v>
      </c>
      <c r="IH35" s="1564" t="e">
        <f aca="false">-SUMIF($B$17:$B$292,HO35,$GR$17:$GR$292)</f>
        <v>#VALUE!</v>
      </c>
      <c r="II35" s="1570" t="n">
        <f aca="false">(SUMIF($B$17:$B$292,HO35,$GW$17:$GW$292)+SUMIF($B$17:$B$292,HO35,$HB$17:$HB$292)+SUMIF($B$17:$B$292,HO35,$HG$17:$HG$292)+SUMIF($B$17:$B$292,HO35,$HL$17:$HL$292))*Assumptions!$C$59</f>
        <v>1228686.87982252</v>
      </c>
      <c r="IJ35" s="1309" t="n">
        <f aca="false">SUMIF($B$17:$B$292,HO35,$HM$17:$HM$292)</f>
        <v>0</v>
      </c>
      <c r="IK35" s="1309"/>
    </row>
    <row r="36" customFormat="false" ht="12.75" hidden="false" customHeight="false" outlineLevel="0" collapsed="false">
      <c r="A36" s="1571" t="n">
        <f aca="false">EOMONTH(A35,0)+1</f>
        <v>37226</v>
      </c>
      <c r="B36" s="594" t="n">
        <f aca="false">+YEAR(A36)</f>
        <v>2001</v>
      </c>
      <c r="C36" s="238" t="n">
        <f aca="false">MONTH(A36)</f>
        <v>12</v>
      </c>
      <c r="D36" s="1572" t="str">
        <f aca="false">IF(E36="","",Holiday(B36,C36))</f>
        <v/>
      </c>
      <c r="E36" s="1573" t="str">
        <f aca="false">IF(OR(BegDate&gt;=A37,EndDate&lt;A36,AND(VolumeMonthlyOverFlag,INDEX(VolumeMonthlyOver,C36)=0),NOT(INDEX(MonthKnockOutTable,C36))),"",MAX(A36,BegDate))</f>
        <v/>
      </c>
      <c r="F36" s="1574" t="str">
        <f aca="false">IF(E36="","",MIN(A37-1,EndDate))</f>
        <v/>
      </c>
      <c r="G36" s="1575" t="n">
        <v>0</v>
      </c>
      <c r="H36" s="1576" t="n">
        <f aca="false">(1+G36/2)^(-2*(DATE(B37,C37,20)-DateToday)/365.25)</f>
        <v>1</v>
      </c>
      <c r="I36" s="1568" t="n">
        <f aca="false">IF(Assumptions!$L$25=4,VLOOKUP($A36,'Henwood Reference'!$E$9:$R$320,10),(VLOOKUP($A36,PriceTable,2,0)+IF(BasisNumber&lt;&gt;1,VLOOKUP($A36,BasisTable,2,0),0)+I$1)/(1-I$2))</f>
        <v>34.169796</v>
      </c>
      <c r="J36" s="1568" t="n">
        <f aca="false">IF(Assumptions!$L$25=4,VLOOKUP($A36,'Henwood Reference'!$E$9:$R$320,10),(VLOOKUP($A36,PriceTable,3,0)+IF(BasisNumber&lt;&gt;1,VLOOKUP($A36,BasisTable,2,0),0)+J$1)/(1-J$2))</f>
        <v>34.169796</v>
      </c>
      <c r="K36" s="1568" t="n">
        <f aca="false">IF(Assumptions!$L$25=4,VLOOKUP($A36,'Henwood Reference'!$E$9:$R$320,10),(VLOOKUP($A36,PriceTable,4,0)+IF(BasisNumber&lt;&gt;1,VLOOKUP($A36,BasisTable,2,0),0)+K$1)/(1-K$2))</f>
        <v>34.169796</v>
      </c>
      <c r="L36" s="1523" t="n">
        <f aca="false">IF(Assumptions!$L$25=4,VLOOKUP($A36,'Henwood Reference'!$E$9:$R$320,10),(VLOOKUP($A36,PriceTableWeekend,2,0)+IF(BasisNumber&lt;&gt;1,VLOOKUP($A36,BasisTable,2,0),0)+L$1)/(1-L$2))</f>
        <v>34.169796</v>
      </c>
      <c r="M36" s="1568" t="n">
        <f aca="false">IF(Assumptions!$L$25=4,VLOOKUP($A36,'Henwood Reference'!$E$9:$R$320,10),(VLOOKUP($A36,PriceTableWeekend,3,0)+IF(BasisNumber&lt;&gt;1,VLOOKUP($A36,BasisTable,2,0),0)+M$1)/(1-M$2))</f>
        <v>34.169796</v>
      </c>
      <c r="N36" s="1599" t="n">
        <f aca="false">IF(Assumptions!$L$25=4,VLOOKUP($A36,'Henwood Reference'!$E$9:$R$320,10),(VLOOKUP($A36,PriceTableWeekend,4,0)+IF(BasisNumber&lt;&gt;1,VLOOKUP($A36,BasisTable,2,0),0)+N$1)/(1-N$2))</f>
        <v>34.169796</v>
      </c>
      <c r="O36" s="1568" t="n">
        <f aca="false">IF(Assumptions!$L$25=4,VLOOKUP($A36,'Henwood Reference'!$E$9:$R$320,11),(VLOOKUP($A36,PriceTableWeekend,6,0)+IF(BasisNumber&lt;&gt;1,VLOOKUP($A36,BasisTable,3,0),0)+O$1)/(1-O$2))</f>
        <v>24.427266</v>
      </c>
      <c r="P36" s="1568" t="n">
        <f aca="false">IF(Assumptions!$L$25=4,VLOOKUP($A36,'Henwood Reference'!$E$9:$R$320,11),(VLOOKUP($A36,PriceTableWeekend,7,0)+IF(BasisNumber&lt;&gt;1,VLOOKUP($A36,BasisTable,3,0),0)+P$1)/(1-P$2))</f>
        <v>24.427266</v>
      </c>
      <c r="Q36" s="1599" t="n">
        <f aca="false">IF(Assumptions!$L$25=4,VLOOKUP($A36,'Henwood Reference'!$E$9:$R$320,11),(VLOOKUP($A36,PriceTableWeekend,8,0)+IF(BasisNumber&lt;&gt;1,VLOOKUP($A36,BasisTable,3,0),0)+Q$1)/(1-Q$2))</f>
        <v>24.427266</v>
      </c>
      <c r="R36" s="1568" t="n">
        <f aca="false">IF(Assumptions!$L$25=4,VLOOKUP($A36,'Henwood Reference'!$E$9:$R$320,11),(VLOOKUP($A36,PriceTable,6,0)+IF(BasisNumber&lt;&gt;1,VLOOKUP($A36,BasisTable,3,0),0)+R$1)/(1-R$2))</f>
        <v>24.427266</v>
      </c>
      <c r="S36" s="1568" t="n">
        <f aca="false">IF(Assumptions!$L$25=4,VLOOKUP($A36,'Henwood Reference'!$E$9:$R$320,11),(VLOOKUP($A36,PriceTable,7,0)+IF(BasisNumber&lt;&gt;1,VLOOKUP($A36,BasisTable,3,0),0)+S$1)/(1-S$2))</f>
        <v>24.427266</v>
      </c>
      <c r="T36" s="1600" t="n">
        <f aca="false">IF(Assumptions!$L$25=4,VLOOKUP($A36,'Henwood Reference'!$E$9:$R$320,11),(VLOOKUP($A36,PriceTable,8,0)+IF(BasisNumber&lt;&gt;1,VLOOKUP($A36,BasisTable,3,0),0)+T$1)/(1-T$2))</f>
        <v>24.427266</v>
      </c>
      <c r="U36" s="1513" t="n">
        <f aca="false">VLOOKUP($A36,VolatilityTable,14)</f>
        <v>0.165</v>
      </c>
      <c r="V36" s="1513" t="n">
        <f aca="false">VLOOKUP($A36,VolatilityTable,15)</f>
        <v>0.175</v>
      </c>
      <c r="W36" s="1514" t="n">
        <f aca="false">VLOOKUP($A36,VolatilityTable,16)</f>
        <v>0.185</v>
      </c>
      <c r="X36" s="1513" t="n">
        <f aca="false">VLOOKUP($A36,VolatilityTable,14)</f>
        <v>0.165</v>
      </c>
      <c r="Y36" s="1513" t="n">
        <f aca="false">VLOOKUP($A36,VolatilityTable,15)</f>
        <v>0.175</v>
      </c>
      <c r="Z36" s="1514" t="n">
        <f aca="false">VLOOKUP($A36,VolatilityTable,16)</f>
        <v>0.185</v>
      </c>
      <c r="AA36" s="1513" t="n">
        <f aca="false">VLOOKUP($A36,VolatilityTable,18)</f>
        <v>0.09</v>
      </c>
      <c r="AB36" s="1513" t="n">
        <f aca="false">VLOOKUP($A36,VolatilityTable,19)</f>
        <v>0.11</v>
      </c>
      <c r="AC36" s="1514" t="n">
        <f aca="false">VLOOKUP($A36,VolatilityTable,20)</f>
        <v>0.13</v>
      </c>
      <c r="AD36" s="1513" t="n">
        <f aca="false">VLOOKUP($A36,VolatilityTable,18)</f>
        <v>0.09</v>
      </c>
      <c r="AE36" s="1513" t="n">
        <f aca="false">VLOOKUP($A36,VolatilityTable,19)</f>
        <v>0.11</v>
      </c>
      <c r="AF36" s="1514" t="n">
        <f aca="false">VLOOKUP($A36,VolatilityTable,20)</f>
        <v>0.13</v>
      </c>
      <c r="AG36" s="1513" t="n">
        <f aca="false">VLOOKUP($A36,VolatilityTable,22)</f>
        <v>-0.25</v>
      </c>
      <c r="AH36" s="1513" t="n">
        <f aca="false">VLOOKUP($A36,VolatilityTable,23)</f>
        <v>0.6</v>
      </c>
      <c r="AI36" s="1514" t="n">
        <f aca="false">VLOOKUP($A36,VolatilityTable,24)</f>
        <v>0.25</v>
      </c>
      <c r="AJ36" s="1513" t="n">
        <f aca="false">VLOOKUP($A36,VolatilityTable,22)</f>
        <v>-0.25</v>
      </c>
      <c r="AK36" s="1513" t="n">
        <f aca="false">VLOOKUP($A36,VolatilityTable,23)</f>
        <v>0.6</v>
      </c>
      <c r="AL36" s="1514" t="n">
        <f aca="false">VLOOKUP($A36,VolatilityTable,24)</f>
        <v>0.25</v>
      </c>
      <c r="AM36" s="1513" t="n">
        <f aca="false">VLOOKUP($A36,VolatilityTable,26)</f>
        <v>-0.01</v>
      </c>
      <c r="AN36" s="1513" t="n">
        <f aca="false">VLOOKUP($A36,VolatilityTable,27)</f>
        <v>0.16</v>
      </c>
      <c r="AO36" s="1514" t="n">
        <f aca="false">VLOOKUP($A36,VolatilityTable,28)</f>
        <v>0.01</v>
      </c>
      <c r="AP36" s="1513" t="n">
        <f aca="false">VLOOKUP($A36,VolatilityTable,26)</f>
        <v>-0.01</v>
      </c>
      <c r="AQ36" s="1513" t="n">
        <f aca="false">VLOOKUP($A36,VolatilityTable,27)</f>
        <v>0.16</v>
      </c>
      <c r="AR36" s="1515" t="n">
        <f aca="false">VLOOKUP($A36,VolatilityTable,28)</f>
        <v>0.01</v>
      </c>
      <c r="AS36" s="1581" t="n">
        <f aca="false">IF(CorrPeakOffPeakOverFlag,INDEX(CorrPeakOffPeakOver,C36),CorrPeakOffPeak)</f>
        <v>0.5</v>
      </c>
      <c r="AT36" s="594" t="n">
        <f aca="false">AX36-SUM(AU36:AW36)</f>
        <v>0</v>
      </c>
      <c r="AU36" s="238" t="n">
        <f aca="false">IF(E36="",0,INT((F36-MOD(F36,7)-E36)/7)+1-IF(AW36,IF(WEEKDAY(D36)=7,1,0),0))</f>
        <v>0</v>
      </c>
      <c r="AV36" s="238" t="n">
        <f aca="false">IF(E36="",0,INT((F36-MOD(F36-1,7)-E36)/7)+1-IF(AW36,IF(WEEKDAY(D36)=1,1,0),0))</f>
        <v>0</v>
      </c>
      <c r="AW36" s="238" t="n">
        <f aca="false">IF(OR(E36="",D36="",D36&lt;BegDate,D36&gt;EndDate),0,1)</f>
        <v>0</v>
      </c>
      <c r="AX36" s="238" t="n">
        <f aca="false">IF(E36="",0,F36-E36+1)</f>
        <v>0</v>
      </c>
      <c r="AY36" s="1582" t="n">
        <f aca="false">IF(E36="",0,MIN((1-(1-VLOOKUP(B36,MAIN!$AA$7:$AM$28,C36+1))*(1-VLOOKUP(B36,MAIN!$AA$33:$AM$54,C36+1))),1))</f>
        <v>0</v>
      </c>
      <c r="AZ36" s="1519" t="e">
        <v>#VALUE!</v>
      </c>
      <c r="BA36" s="1520" t="e">
        <v>#VALUE!</v>
      </c>
      <c r="BB36" s="1520" t="e">
        <v>#VALUE!</v>
      </c>
      <c r="BC36" s="1583" t="e">
        <v>#VALUE!</v>
      </c>
      <c r="BD36" s="1522" t="e">
        <v>#VALUE!</v>
      </c>
      <c r="BE36" s="1523" t="e">
        <v>#VALUE!</v>
      </c>
      <c r="BF36" s="1523" t="e">
        <v>#VALUE!</v>
      </c>
      <c r="BG36" s="1584" t="e">
        <v>#VALUE!</v>
      </c>
      <c r="BH36" s="1525" t="e">
        <v>#VALUE!</v>
      </c>
      <c r="BI36" s="1520" t="e">
        <v>#VALUE!</v>
      </c>
      <c r="BJ36" s="1520" t="e">
        <v>#VALUE!</v>
      </c>
      <c r="BK36" s="1583" t="e">
        <v>#VALUE!</v>
      </c>
      <c r="BL36" s="1522" t="e">
        <v>#VALUE!</v>
      </c>
      <c r="BM36" s="1523" t="e">
        <v>#VALUE!</v>
      </c>
      <c r="BN36" s="1523" t="e">
        <v>#VALUE!</v>
      </c>
      <c r="BO36" s="1523" t="e">
        <v>#VALUE!</v>
      </c>
      <c r="BP36" s="1525" t="e">
        <f aca="false">SUM(AZ36:BB36)</f>
        <v>#VALUE!</v>
      </c>
      <c r="BQ36" s="1529" t="e">
        <f aca="false">SUM(AZ36:BC36)</f>
        <v>#VALUE!</v>
      </c>
      <c r="BR36" s="1519" t="e">
        <f aca="false">SUM(BH36:BJ36)</f>
        <v>#VALUE!</v>
      </c>
      <c r="BS36" s="1529" t="e">
        <f aca="false">SUM(BH36:BK36)</f>
        <v>#VALUE!</v>
      </c>
      <c r="BT36" s="1316" t="n">
        <f aca="false">(IF(OVolType&lt;&gt;2,A36+14,IF(OptExpDateShift,ShiftBack(A36,OptExpDateShift,D35),A36))-DateToday)/365.25</f>
        <v>1.63175906913073</v>
      </c>
      <c r="BU36" s="1585" t="e">
        <f aca="false">IF(BQ36,IF(OPriceCurve,IF(OBuySell=OCallPut,I36/(1-AY36),K36/(1-AY36)),J36/(1-AY36))*BD36,0)</f>
        <v>#VALUE!</v>
      </c>
      <c r="BV36" s="1316" t="e">
        <f aca="false">IF(BQ36,IF(OPriceCurve,IF(OBuySell=OCallPut,L36/(1-AY36),N36/(1-AY36)),M36/(1-AY36))*BE36,0)</f>
        <v>#VALUE!</v>
      </c>
      <c r="BW36" s="1316" t="e">
        <f aca="false">IF(BQ36,IF(OPriceCurve,IF(OBuySell=OCallPut,O36/(1-AY36),Q36/(1-AY36)),P36/(1-AY36))*BF36,0)</f>
        <v>#VALUE!</v>
      </c>
      <c r="BX36" s="1316" t="e">
        <f aca="false">IF(BQ36,IF(OPriceCurve,IF(OBuySell=OCallPut,R36/(1-AY36),T36/(1-AY36)),S36/(1-AY36))*BG36,0)</f>
        <v>#VALUE!</v>
      </c>
      <c r="BY36" s="1316" t="e">
        <f aca="false">IF(BP36,(BU36*AZ36+BV36*BA36+BW36*BB36)/BP36,0)</f>
        <v>#VALUE!</v>
      </c>
      <c r="BZ36" s="1316" t="e">
        <f aca="false">IF(BQ36,(BY36*BP36+BX36*BC36)/BQ36,0)</f>
        <v>#VALUE!</v>
      </c>
      <c r="CA36" s="1531" t="e">
        <f aca="false">IF(BS36,IF(OPriceCurve,IF(OBuySell=OCallPut,I36/(1-AY36),K36/(1-AY36)),J36/(1-AY36))*BL36,0)</f>
        <v>#VALUE!</v>
      </c>
      <c r="CB36" s="1316" t="e">
        <f aca="false">IF(BS36,IF(OPriceCurve,IF(OBuySell=OCallPut,L36/(1-AY36),N36/(1-AY36)),M36/(1-AY36))*BM36,0)</f>
        <v>#VALUE!</v>
      </c>
      <c r="CC36" s="1316" t="e">
        <f aca="false">IF(BS36,IF(OPriceCurve,IF(OBuySell=OCallPut,O36/(1-AY36),Q36/(1-AY36)),P36/(1-AY36))*BN36,0)</f>
        <v>#VALUE!</v>
      </c>
      <c r="CD36" s="1316" t="e">
        <f aca="false">IF(BS36,IF(OPriceCurve,IF(OBuySell=OCallPut,R36/(1-AY36),T36/(1-AY36)),S36/(1-AY36))*BO36,0)</f>
        <v>#VALUE!</v>
      </c>
      <c r="CE36" s="1316" t="e">
        <f aca="false">IF(BR36,(BU36*BH36+BV36*BI36+BW36*BJ36)/BR36,0)</f>
        <v>#VALUE!</v>
      </c>
      <c r="CF36" s="1532" t="e">
        <f aca="false">IF(BS36,(CE36*BR36+CD36*BK36)/BS36,0)</f>
        <v>#VALUE!</v>
      </c>
      <c r="CG36" s="1586" t="e">
        <f aca="false">IF(OR(BQ36,BS36),IF(OVolType&lt;&gt;2,SQRT(IF(OVolOverMonthlyPeak,OVolOverMonthlyPeak,IF(OVolCurve,IF(OBuySell,U36,W36),V36))^2*(1-15/365.25/BT36)+IF(OVolOverDailyPeak,OVolOverDailyPeak,IF(OVolCurve,IF(OBuySell,AG36,AI36),AH36))^2*15/365.25/BT36),IF(OVolOverMonthlyPeak,OVolOverMonthlyPeak,IF(OVolCurve,IF(OBuySell,U36,W36),V36))),"")</f>
        <v>#VALUE!</v>
      </c>
      <c r="CH36" s="1587" t="e">
        <f aca="false">IF(OR(BQ36,BS36),IF(OVolType&lt;&gt;2,SQRT(IF(OVolOverMonthlyPeak,OVolOverMonthlyPeak,IF(OVolCurve,IF(OBuySell,X36,Z36),Y36))^2*(1-15/365.25/BT36)+IF(OVolOverDailyPeak,OVolOverDailyPeak,IF(OVolCurve,IF(OBuySell,AJ36,AL36),AK36))^2*15/365.25/BT36),IF(OVolOverMonthlyPeak,OVolOverMonthlyPeak,IF(OVolCurve,IF(OBuySell,X36,Z36),Y36))),"")</f>
        <v>#VALUE!</v>
      </c>
      <c r="CI36" s="1587" t="e">
        <f aca="false">IF(OR(BQ36,BS36),IF(OVolType&lt;&gt;2,SQRT(IF(OVolOverMonthlyPeak,OVolOverMonthlyPeak,IF(OVolCurve,IF(OBuySell,AA36,AC36),AB36))^2*(1-15/365.25/BT36)+IF(OVolOverDailyPeak,OVolOverDailyPeak,IF(OVolCurve,IF(OBuySell,AM36,AO36),AN36))^2*15/365.25/BT36),IF(OVolOverMonthlyPeak,OVolOverMonthlyPeak,IF(OVolCurve,IF(OBuySell,AA36,AC36),AB36))),"")</f>
        <v>#VALUE!</v>
      </c>
      <c r="CJ36" s="1587" t="e">
        <f aca="false">IF(BQ36,IF(BP36,SQRT(LN(1+((BU36*AZ36)^2*(EXP(CG36^2*BT36)-1)+(BV36*BA36)^2*(EXP(CH36^2*BT36)-1)+(BW36*BB36)^2*(EXP(CI36^2*BT36)-1)+2*BU36*AZ36*BV36*BA36*(EXP(CG36*CH36*BT36)-1)+2*BV36*BA36*BW36*BB36*(EXP(CH36*CI36*BT36)-1)+2*BW36*BB36*BU36*AZ36*(EXP(CI36*CG36*BT36)-1))/(BY36*BP36)^2)/BT36),0),"")</f>
        <v>#VALUE!</v>
      </c>
      <c r="CK36" s="1587" t="e">
        <f aca="false">IF(BS36,IF(BR36,SQRT(LN(1+((CA36*BH36)^2*(EXP(CG36^2*BT36)-1)+(CB36*BI36)^2*(EXP(CH36^2*BT36)-1)+(CC36*BJ36)^2*(EXP(CI36^2*BT36)-1)+2*CA36*BH36*CB36*BI36*(EXP(CG36*CH36*BT36)-1)+2*CB36*BI36*CC36*BJ36*(EXP(CH36*CI36*BT36)-1)+2*CC36*BJ36*CA36*BH36*(EXP(CI36*CG36*BT36)-1))/(CE36*BR36)^2)/BT36),0),"")</f>
        <v>#VALUE!</v>
      </c>
      <c r="CL36" s="1587" t="e">
        <f aca="false">IF(OR(BQ36,BS36),IF(OVolType&lt;&gt;2,SQRT(IF(OVolOverMonthlyOffPeak,OVolOverMonthlyOffPeak,IF(OVolCurve,IF(OBuySell,AD36,AF36),AE36))^2*(1-15/365.25/BT36)+IF(OVolOverDailyOffPeak,OVolOverDailyOffPeak,IF(OVolCurve,IF(OBuySell,AP36,AR36),AQ36))^2*15/365.25/BT36),IF(OVolOverMonthlyOffPeak,OVolOverMonthlyOffPeak,IF(OVolCurve,IF(OBuySell,AD36,AF36),AE36))),"")</f>
        <v>#VALUE!</v>
      </c>
      <c r="CM36" s="1587" t="e">
        <f aca="false">IF(BQ36,SQRT(LN(1+((BY36*BP36)^2*(EXP(CJ36^2*BT36)-1)+(BX36*BC36)^2*(EXP(CL36^2*BT36)-1)+2*BY36*BP36*BX36*BC36*(EXP(AS36*CJ36*CL36*BT36)-1))/(BY36*BP36+BX36*BC36)^2)/BT36),"")</f>
        <v>#VALUE!</v>
      </c>
      <c r="CN36" s="1588" t="e">
        <f aca="false">IF(BS36,SQRT(LN(1+((CE36*BR36)^2*(EXP(CK36^2*BT36)-1)+(CD36*BK36)^2*(EXP(CL36^2*BT36)-1)+2*CE36*BR36*CD36*BK36*(EXP(AS36*CK36*CL36*BT36)-1))/(CE36*BR36+CD36*BK36)^2)/BT36),"")</f>
        <v>#VALUE!</v>
      </c>
      <c r="CO36" s="1531" t="e">
        <f aca="false">IF(OR(BQ36,BS36),VLOOKUP(A36,GasTable,13)*HeatRatePeak*(1+VLOOKUP($B36,HeatRateDegradation,$C36+1))/1000,0)</f>
        <v>#VALUE!</v>
      </c>
      <c r="CP36" s="1316" t="e">
        <f aca="false">IF(OR(BQ36,BS36),VLOOKUP(A36,GasTable,13)*HeatRatePeak*(1+VLOOKUP($B36,HeatRateDegradation,$C36+1))/1000,0)</f>
        <v>#VALUE!</v>
      </c>
      <c r="CQ36" s="1316" t="e">
        <f aca="false">IF(OR(BQ36,BS36),VLOOKUP(A36,GasTable,13)*IF(EV36,HeatRatePeak,HeatRateOffPeak)*(1+VLOOKUP($B36,HeatRateDegradation,$C36+1))/1000,0)</f>
        <v>#VALUE!</v>
      </c>
      <c r="CR36" s="1316" t="e">
        <f aca="false">IF(OR(BQ36,BS36),VLOOKUP(A36,GasTable,13)*IF(EW36,HeatRatePeak,HeatRateOffPeak)*(1+VLOOKUP($B36,HeatRateDegradation,$C36+1))/1000,0)</f>
        <v>#VALUE!</v>
      </c>
      <c r="CS36" s="1589" t="e">
        <f aca="false">IF(BQ36,(CO36*AZ36+CP36*BA36+CQ36*BB36+CR36*BC36)/BQ36,0)</f>
        <v>#VALUE!</v>
      </c>
      <c r="CT36" s="1316" t="e">
        <f aca="false">IF(BS36,CO36,0)</f>
        <v>#VALUE!</v>
      </c>
      <c r="CU36" s="1590" t="e">
        <f aca="false">IF(OR(BQ36,BS36),VLOOKUP(A36,GasTable,14),"")</f>
        <v>#VALUE!</v>
      </c>
      <c r="CV36" s="1568" t="e">
        <f aca="false">IF(OR(BQ36,BS36),IF(CorrPowerGasOverFlag,INDEX(CorrPowerGasOver,C36),CorrPowerGas),"")</f>
        <v>#VALUE!</v>
      </c>
      <c r="CW36" s="1316" t="e">
        <f aca="false">IF(OR($BQ36,$BS36),SpreadOptPowerMargin,0)*((1+Assumptions!$C$26)^($B36-YEAR(Assumptions!$C$17)))</f>
        <v>#VALUE!</v>
      </c>
      <c r="CX36" s="1316" t="e">
        <f aca="false">IF(OR($BQ36,$BS36),SpreadOptPowerMargin,0)*((1+Assumptions!$C$26)^($B36-YEAR(Assumptions!$C$17)))</f>
        <v>#VALUE!</v>
      </c>
      <c r="CY36" s="1316" t="e">
        <f aca="false">IF(OR($BQ36,$BS36),SpreadOptPowerMargin,0)*((1+Assumptions!$C$26)^($B36-YEAR(Assumptions!$C$17)))</f>
        <v>#VALUE!</v>
      </c>
      <c r="CZ36" s="1316" t="e">
        <f aca="false">IF(OR($BQ36,$BS36),SpreadOptPowerMargin,0)*((1+Assumptions!$C$26)^($B36-YEAR(Assumptions!$C$17)))</f>
        <v>#VALUE!</v>
      </c>
      <c r="DA36" s="1591" t="e">
        <f aca="false">IF(OR(BQ36,BS36),(CW36*(AZ36+BH36)+CX36*(BA36+BI36)+CY36*(BB36+BJ36)+CZ36*(BC36+BK36))/(BQ36+BS36),0)</f>
        <v>#VALUE!</v>
      </c>
      <c r="DB36" s="1592" t="e">
        <f aca="false">IF(OR(BQ36,BS36),CG36+IF(OVolSmile,VLOOKUP(MAX(-5,CO36+CW36-BU36),IF(OVolSmile=1,VolSmileBook,VolSmileModel),2),0),"")</f>
        <v>#VALUE!</v>
      </c>
      <c r="DC36" s="1592" t="e">
        <f aca="false">IF(OR(BQ36,BS36),CH36+IF(OVolSmile,VLOOKUP(MAX(-5,CP36+CW36-BV36),IF(OVolSmile=1,VolSmileBook,VolSmileModel),2),0),"")</f>
        <v>#VALUE!</v>
      </c>
      <c r="DD36" s="1592" t="e">
        <f aca="false">IF(OR(BQ36,BS36),CI36+IF(OVolSmile,VLOOKUP(MAX(-5,CQ36+CW36-BW36),IF(OVolSmile=1,VolSmileBook,VolSmileModel),2),0),"")</f>
        <v>#VALUE!</v>
      </c>
      <c r="DE36" s="1592" t="e">
        <f aca="false">IF(OR(BQ36,BS36),CL36+IF(OVolSmile,VLOOKUP(MAX(-5,CR36+CZ36-BX36),IF(OVolSmile=1,VolSmileBook,VolSmileModel),2),0),"")</f>
        <v>#VALUE!</v>
      </c>
      <c r="DF36" s="1592" t="e">
        <f aca="false">IF(BQ36,CM36+IF(OVolSmile,VLOOKUP(MAX(-5,CS36+DA36-BZ36),IF(OVolSmile=1,VolSmileBook,VolSmileModel),2),0),"")</f>
        <v>#VALUE!</v>
      </c>
      <c r="DG36" s="1593" t="e">
        <f aca="false">IF(BS36,CN36+IF(OVolSmile,VLOOKUP(MAX(-5,CT36+DA36-CF36),IF(OVolSmile=1,VolSmileBook,VolSmileModel),2),0),"")</f>
        <v>#VALUE!</v>
      </c>
      <c r="DH36" s="1316" t="e">
        <f aca="false">IF(AND(BU36&gt;0,CO36&gt;0,DB36&gt;0,CU36&gt;0),newSPRDOPT(BU36,CO36,CW36,0,DB36,CU36,CV36,BT36*365.25,OCallPut,0),0)</f>
        <v>#VALUE!</v>
      </c>
      <c r="DI36" s="1316" t="e">
        <f aca="false">IF(AND(BV36&gt;0,CP36&gt;0,DC36&gt;0,CU36&gt;0),newSPRDOPT(BV36,CP36,CX36,0,DC36,CU36,CV36,BT36*365.25,OCallPut,0),0)</f>
        <v>#VALUE!</v>
      </c>
      <c r="DJ36" s="1316" t="e">
        <f aca="false">IF(AND(BW36&gt;0,CQ36&gt;0,DD36&gt;0,CU36&gt;0),newSPRDOPT(BW36,CQ36,CY36,0,DD36,CU36,CV36,BT36*365.25,OCallPut,0),0)</f>
        <v>#VALUE!</v>
      </c>
      <c r="DK36" s="1316" t="e">
        <f aca="false">IF(AND(BX36&gt;0,CR36&gt;0,DE36&gt;0,CU36&gt;0),newSPRDOPT(BX36,CR36,CZ36,0,DE36,CU36,CV36,BT36*365.25,OCallPut,0),0)</f>
        <v>#VALUE!</v>
      </c>
      <c r="DL36" s="1316" t="e">
        <f aca="false">IF(OVolType,IF(AND(BZ36&gt;0,CS36&gt;0,DF36&gt;0,CU36&gt;0),newSPRDOPT(BZ36,CS36,DA36,0,DF36,CU36,CV36,BT36*365.25,OCallPut,0),0),IF(BQ36,(DH36*AZ36+DI36*BA36+DJ36*BB36+DK36*BC36)/BQ36,0))</f>
        <v>#VALUE!</v>
      </c>
      <c r="DM36" s="1316"/>
      <c r="DN36" s="1316"/>
      <c r="DO36" s="1316"/>
      <c r="DP36" s="1316"/>
      <c r="DQ36" s="1316"/>
      <c r="DR36" s="1316"/>
      <c r="DS36" s="1316"/>
      <c r="DT36" s="1316"/>
      <c r="DU36" s="1316"/>
      <c r="DV36" s="1316"/>
      <c r="DW36" s="1594" t="e">
        <f aca="false">IF(AND(BW36&gt;0,CT36&gt;0,DD36&gt;0,CU36&gt;0),newSPRDOPT(BW36,CT36,CY36,0,DD36,CU36,CV36,BT36*365.25,OCallPut,0),0)</f>
        <v>#VALUE!</v>
      </c>
      <c r="DX36" s="1316" t="e">
        <f aca="false">IF(AND(BX36&gt;0,CT36&gt;0,DE36&gt;0,CU36&gt;0),newSPRDOPT(BX36,CT36,CZ36,0,DE36,CU36,CV36,BT36*365.25,OCallPut,0),0)</f>
        <v>#VALUE!</v>
      </c>
      <c r="DY36" s="1591" t="e">
        <f aca="false">IF(BS36,(DH36*BH36+DI36*BI36+DW36*BJ36+DX36*BK36)/BS36,0)</f>
        <v>#VALUE!</v>
      </c>
      <c r="DZ36" s="1551" t="e">
        <f aca="false">DH36*AZ36</f>
        <v>#VALUE!</v>
      </c>
      <c r="EA36" s="1551" t="e">
        <f aca="false">DI36*BA36</f>
        <v>#VALUE!</v>
      </c>
      <c r="EB36" s="1551" t="e">
        <f aca="false">DJ36*BB36</f>
        <v>#VALUE!</v>
      </c>
      <c r="EC36" s="1551" t="e">
        <f aca="false">DK36*BC36</f>
        <v>#VALUE!</v>
      </c>
      <c r="ED36" s="1551" t="e">
        <f aca="false">DL36*BQ36</f>
        <v>#VALUE!</v>
      </c>
      <c r="EE36" s="1595" t="e">
        <f aca="false">IF(BQ36,IF(OCallPut,IF(BU36&gt;(CO36+CW36),BU36-(CO36+CW36),0),IF((CO36+CW36)&gt;BU36,(CO36+CW36)-BU36,0))*AZ36,0)</f>
        <v>#VALUE!</v>
      </c>
      <c r="EF36" s="1596" t="e">
        <f aca="false">IF(BQ36,IF(OCallPut,IF(BV36&gt;(CP36+CX36),BV36-(CP36+CX36),0),IF((CP36+CX36)&gt;BV36,(CP36+CX36)-BV36,0))*BA36,0)</f>
        <v>#VALUE!</v>
      </c>
      <c r="EG36" s="1596" t="e">
        <f aca="false">IF(BQ36,IF(OCallPut,IF(BW36&gt;(CQ36+CY36),BW36-(CQ36+CY36),0),IF((CQ36+CY36)&gt;BW36,(CQ36+CY36)-BW36,0))*BB36,0)</f>
        <v>#VALUE!</v>
      </c>
      <c r="EH36" s="1596" t="e">
        <f aca="false">IF(BQ36,IF(OCallPut,IF(BX36&gt;(CR36+CZ36),BX36-(CR36+CZ36),0),IF((CR36+CZ36)&gt;BX36,(CR36+CZ36)-BX36,0))*BC36,0)</f>
        <v>#VALUE!</v>
      </c>
      <c r="EI36" s="1597" t="e">
        <f aca="false">IF(BQ36,IF(OVolType,IF(OCallPut,IF(BZ36&gt;(CS36+DA36),BZ36-(CS36+DA36),0),IF((CS36+DA36)&gt;BZ36,(CS36+DA36)-BZ36,0))*BQ36,SUM(EE36:EH36)),0)</f>
        <v>#VALUE!</v>
      </c>
      <c r="EJ36" s="1595" t="e">
        <f aca="false">DZ36-EE36</f>
        <v>#VALUE!</v>
      </c>
      <c r="EK36" s="1596" t="e">
        <f aca="false">EA36-EF36</f>
        <v>#VALUE!</v>
      </c>
      <c r="EL36" s="1596" t="e">
        <f aca="false">EB36-EG36</f>
        <v>#VALUE!</v>
      </c>
      <c r="EM36" s="1596" t="e">
        <f aca="false">EC36-EH36</f>
        <v>#VALUE!</v>
      </c>
      <c r="EN36" s="1597" t="e">
        <f aca="false">ED36-EI36</f>
        <v>#VALUE!</v>
      </c>
      <c r="EO36" s="1551" t="e">
        <f aca="false">DH36*BH36</f>
        <v>#VALUE!</v>
      </c>
      <c r="EP36" s="1551" t="e">
        <f aca="false">DI36*BI36</f>
        <v>#VALUE!</v>
      </c>
      <c r="EQ36" s="1551" t="e">
        <f aca="false">DW36*BJ36</f>
        <v>#VALUE!</v>
      </c>
      <c r="ER36" s="1551" t="e">
        <f aca="false">DX36*BK36</f>
        <v>#VALUE!</v>
      </c>
      <c r="ES36" s="1551" t="e">
        <f aca="false">DY36*BS36</f>
        <v>#VALUE!</v>
      </c>
      <c r="ET36" s="1566" t="e">
        <f aca="false">IF(BS36,IF(OCallPut,IF(CA36&gt;(CT36+CW36),CA36-(CT36+CW36),0),IF((CT36+CW36)&gt;CA36,(CT36+CW36)-CA36,0))*BH36,0)</f>
        <v>#VALUE!</v>
      </c>
      <c r="EU36" s="1551" t="e">
        <f aca="false">IF(BS36,IF(OCallPut,IF(CB36&gt;(CT36+CX36),CB36-(CT36+CX36),0),IF((CT36+CX36)&gt;CB36,(CT36+CX36)-CB36,0))*BI36,0)</f>
        <v>#VALUE!</v>
      </c>
      <c r="EV36" s="1551" t="e">
        <f aca="false">IF(BS36,IF(OCallPut,IF(CC36&gt;(CT36+CY36),CC36-(CT36+CY36),0),IF((CT36+CY36)&gt;CC36,(CT36+CY36)-CC36,0))*BJ36,0)</f>
        <v>#VALUE!</v>
      </c>
      <c r="EW36" s="1551" t="e">
        <f aca="false">IF(BS36,IF(OCallPut,IF(CD36&gt;(CT36+CZ36),CD36-(CT36+CZ36),0),IF((CT36+CZ36)&gt;CD36,(CT36+CZ36)-CD36,0))*BK36,0)</f>
        <v>#VALUE!</v>
      </c>
      <c r="EX36" s="1558" t="e">
        <f aca="false">IF(BS36,SUM(ET36:EW36),0)</f>
        <v>#VALUE!</v>
      </c>
      <c r="EY36" s="1551" t="e">
        <f aca="false">EO36-ET36</f>
        <v>#VALUE!</v>
      </c>
      <c r="EZ36" s="1551" t="e">
        <f aca="false">EP36-EU36</f>
        <v>#VALUE!</v>
      </c>
      <c r="FA36" s="1551" t="e">
        <f aca="false">EQ36-EV36</f>
        <v>#VALUE!</v>
      </c>
      <c r="FB36" s="1551" t="e">
        <f aca="false">ER36-EW36</f>
        <v>#VALUE!</v>
      </c>
      <c r="FC36" s="1551" t="e">
        <f aca="false">ES36-EX36</f>
        <v>#VALUE!</v>
      </c>
      <c r="FD36" s="1525" t="n">
        <f aca="false">IF(AX36,IF(VLOOKUP(C36,MAIN!$L$17:$M$28,2)="Yes",VLOOKUP(CALC!B36,MAIN!$H$17:$I$20,2),0),0)</f>
        <v>0</v>
      </c>
      <c r="FE36" s="1552" t="n">
        <f aca="false">$FD36*16*AT36*(1-$AY36)</f>
        <v>0</v>
      </c>
      <c r="FF36" s="1553" t="n">
        <f aca="false">$FD36*16*AU36*(1-$AY36)</f>
        <v>0</v>
      </c>
      <c r="FG36" s="1553" t="n">
        <f aca="false">$FD36*16*(AV36+AW36)*(1-$AY36)</f>
        <v>0</v>
      </c>
      <c r="FH36" s="1554" t="n">
        <f aca="false">$FD36*8*AX36*(1-$AY36)</f>
        <v>0</v>
      </c>
      <c r="FI36" s="1555" t="n">
        <f aca="false">IF(AX36,VLOOKUP(CALC!B36,MAIN!$H$17:$K$20,4),0)</f>
        <v>0</v>
      </c>
      <c r="FJ36" s="1553" t="n">
        <f aca="false">SUM(FE36:FH36)</f>
        <v>0</v>
      </c>
      <c r="FK36" s="1556" t="n">
        <f aca="false">FI36*FJ36</f>
        <v>0</v>
      </c>
      <c r="FL36" s="1551" t="e">
        <f aca="false">IF($EI36&gt;0,MIN(FE36,AZ36*(1+VLOOKUP($C36,WeatherCapacityAdjustment,2))),0)</f>
        <v>#VALUE!</v>
      </c>
      <c r="FM36" s="1551" t="e">
        <f aca="false">IF($EI36&gt;0,MIN(FF36,BA36*(1+VLOOKUP($C36,WeatherCapacityAdjustment,2))),0)</f>
        <v>#VALUE!</v>
      </c>
      <c r="FN36" s="1551" t="e">
        <f aca="false">IF($EI36&gt;0,MIN(FG36,BB36*(1+VLOOKUP($C36,WeatherCapacityAdjustment,2))),0)</f>
        <v>#VALUE!</v>
      </c>
      <c r="FO36" s="1564" t="e">
        <f aca="false">IF($EI36&gt;0,MIN(FH36,BC36*(1+VLOOKUP($C36,WeatherCapacityAdjustment,3))),0)</f>
        <v>#VALUE!</v>
      </c>
      <c r="FP36" s="1551" t="e">
        <f aca="false">IF(ET36&gt;0,MIN(FE36-FL36,BH36*(1+VLOOKUP($C36,WeatherCapacityAdjustment,2))),0)</f>
        <v>#VALUE!</v>
      </c>
      <c r="FQ36" s="1551" t="e">
        <f aca="false">IF(EU36&gt;0,MIN(FF36-FM36,BI36*(1+VLOOKUP($C36,WeatherCapacityAdjustment,2))),0)</f>
        <v>#VALUE!</v>
      </c>
      <c r="FR36" s="1551" t="e">
        <f aca="false">IF(EV36&gt;0,MIN(FG36-FN36,BJ36*(1+VLOOKUP($C36,WeatherCapacityAdjustment,2))),0)</f>
        <v>#VALUE!</v>
      </c>
      <c r="FS36" s="1558" t="e">
        <f aca="false">IF(EW36&gt;0,MIN(FH36-FO36,BK36*(1+VLOOKUP($C36,WeatherCapacityAdjustment,3))),0)</f>
        <v>#VALUE!</v>
      </c>
      <c r="FT36" s="1566" t="n">
        <f aca="false">IF(AND(Assumptions!$H$71="Yes",A36&gt;=Assumptions!$H$72,A36&lt;=Assumptions!$H$73),0,IF(AND($A36&gt;=Assumptions!$C$17,$A36&lt;=Assumptions!$C$18),MAX(AZ36*(1+VLOOKUP($C36,WeatherCapacityAdjustment,2))-FL36,0),0))</f>
        <v>0</v>
      </c>
      <c r="FU36" s="1551" t="n">
        <f aca="false">IF(AND(Assumptions!$H$71="Yes",A36&gt;=Assumptions!$H$72,A36&lt;=Assumptions!$H$73),0,IF(AND($A36&gt;=Assumptions!$C$17,$A36&lt;=Assumptions!$C$18),MAX(BA36*(1+VLOOKUP($C36,WeatherCapacityAdjustment,2))-FM36,0),0))</f>
        <v>0</v>
      </c>
      <c r="FV36" s="1551" t="n">
        <f aca="false">IF(AND(Assumptions!$H$71="Yes",A36&gt;=Assumptions!$H$72,A36&lt;=Assumptions!$H$73),0,IF(AND($A36&gt;=Assumptions!$C$17,$A36&lt;=Assumptions!$C$18),MAX(BB36*(1+VLOOKUP($C36,WeatherCapacityAdjustment,2))-FN36,0),0))</f>
        <v>0</v>
      </c>
      <c r="FW36" s="1564" t="n">
        <f aca="false">IF(AND(Assumptions!$H$71="Yes",A36&gt;=Assumptions!$H$72,A36&lt;=Assumptions!$H$73),0,IF(AND($A36&gt;=Assumptions!$C$17,$A36&lt;=Assumptions!$C$18),MAX(BC36*(1+VLOOKUP($C36,WeatherCapacityAdjustment,3))-FO36,0),0))</f>
        <v>0</v>
      </c>
      <c r="FX36" s="1569" t="e">
        <f aca="false">IF(AND(Assumptions!$H$71="Yes",A36&gt;=Assumptions!$H$72,A36&lt;=Assumptions!$H$73),0,IF(ET36&gt;0,MAX(BH36*(1+VLOOKUP($C36,WeatherCapacityAdjustment,2))-FP36,0),0))</f>
        <v>#VALUE!</v>
      </c>
      <c r="FY36" s="1551" t="e">
        <f aca="false">IF(AND(Assumptions!$H$71="Yes",A36&gt;=Assumptions!$H$72,A36&lt;=Assumptions!$H$73),0,IF(EU36&gt;0,MAX(BI36*(1+VLOOKUP($C36,WeatherCapacityAdjustment,3))-FQ36,0),0))</f>
        <v>#VALUE!</v>
      </c>
      <c r="FZ36" s="1551" t="e">
        <f aca="false">IF(AND(Assumptions!$H$71="Yes",A36&gt;=Assumptions!$H$72,A36&lt;=Assumptions!$H$73),0,IF(EV36&gt;0,MAX(BJ36*(1+VLOOKUP($C36,WeatherCapacityAdjustment,2))-FR36,0),0))</f>
        <v>#VALUE!</v>
      </c>
      <c r="GA36" s="1564" t="e">
        <f aca="false">IF(AND(Assumptions!$H$71="Yes",A36&gt;=Assumptions!$H$72,A36&lt;=Assumptions!$H$73),0,IF(EW36&gt;0,MAX(BK36*(1+VLOOKUP($C36,WeatherCapacityAdjustment,2))-FS36,0),0))</f>
        <v>#VALUE!</v>
      </c>
      <c r="GB36" s="1551" t="e">
        <f aca="false">SUM(FT36:GA36)</f>
        <v>#VALUE!</v>
      </c>
      <c r="GC36" s="1563" t="e">
        <f aca="false">+IF(SUM(FT36:GA36)=0,0,(SUMPRODUCT(BU36:BX36,FT36:FW36)+SUMPRODUCT(CA36:CD36,FX36:GA36))/SUM(FT36:GA36))</f>
        <v>#VALUE!</v>
      </c>
      <c r="GD36" s="1551" t="e">
        <f aca="false">(FT36*BU36+FX36*CA36+FU36*BV36+FY36*CB36+FV36*BW36+FZ36*CC36+FW36*BX36+GA36*CD36)</f>
        <v>#VALUE!</v>
      </c>
      <c r="GE36" s="1561" t="e">
        <f aca="false">+IF(BQ36,((FL36+FM36+FT36+FU36)*HeatRatePeak/1000*(1+VLOOKUP($C36,WeatherHeatRateAdjustment,2))+(FN36+FV36)*IF(EV36&gt;0,HeatRatePeak,HeatRateOffPeak)/1000*(1+VLOOKUP($C36,WeatherHeatRateAdjustment,2))+(FO36+FW36)*IF(EW36&gt;0,HeatRatePeak,HeatRateOffPeak)/1000*(1+VLOOKUP($C36,WeatherHeatRateAdjustment,3)))*(1+VLOOKUP($B36,HeatRateDegradation,$C36+1)),0)</f>
        <v>#VALUE!</v>
      </c>
      <c r="GF36" s="1562" t="e">
        <f aca="false">IF(BQ36,((FP36+FQ36+FR36+FX36+FY36+FZ36)*HeatRatePeak/1000*(1+VLOOKUP($C36,WeatherHeatRateAdjustment,2))+(FS36+GA36)*HeatRatePeak/1000*(1+VLOOKUP($C36,WeatherHeatRateAdjustment,3)))*(1+VLOOKUP($B36,HeatRateDegradation,$C36+1)),0)</f>
        <v>#VALUE!</v>
      </c>
      <c r="GG36" s="1563" t="e">
        <f aca="false">IF(BQ36,VLOOKUP(A36,GasTable,13),0)</f>
        <v>#VALUE!</v>
      </c>
      <c r="GH36" s="1564" t="e">
        <f aca="false">(GE36+GF36)*GG36</f>
        <v>#VALUE!</v>
      </c>
      <c r="GI36" s="1569" t="e">
        <f aca="false">GB36</f>
        <v>#VALUE!</v>
      </c>
      <c r="GJ36" s="1598" t="e">
        <f aca="false">+DA36</f>
        <v>#VALUE!</v>
      </c>
      <c r="GK36" s="1558" t="e">
        <f aca="false">+GI36*GJ36</f>
        <v>#VALUE!</v>
      </c>
      <c r="GL36" s="1566" t="e">
        <f aca="false">MAX(FE36-FL36-FP36,0)</f>
        <v>#VALUE!</v>
      </c>
      <c r="GM36" s="1551" t="e">
        <f aca="false">MAX(FF36-FM36-FQ36,0)</f>
        <v>#VALUE!</v>
      </c>
      <c r="GN36" s="1551" t="e">
        <f aca="false">MAX(FG36-FN36-FR36,0)</f>
        <v>#VALUE!</v>
      </c>
      <c r="GO36" s="1564" t="e">
        <f aca="false">MAX(FH36-FO36-FS36,0)</f>
        <v>#VALUE!</v>
      </c>
      <c r="GP36" s="1551" t="e">
        <f aca="false">SUM(GL36:GO36)</f>
        <v>#VALUE!</v>
      </c>
      <c r="GQ36" s="1563" t="e">
        <f aca="false">IF(SUM(GL36:GO36)=0,0,((GL36*BU36+GM36*BV36+GN36*BW36+GO36*BX36)/SUM(GL36:GO36)))</f>
        <v>#VALUE!</v>
      </c>
      <c r="GR36" s="1558" t="e">
        <f aca="false">(GL36*BU36+GM36*BV36+GN36*BW36+GO36*BX36)</f>
        <v>#VALUE!</v>
      </c>
      <c r="GS36" s="1566" t="n">
        <f aca="false">IF($A36&gt;=BegDate,Assumptions!$C$56*24*($A37-$A36)*(1-VLOOKUP($B36,MAIN!$AA$7:$AM$28,$C36+1))*(1-VLOOKUP($B36,MAIN!$AA$33:$AM$54,$C36+1)),0)*80/168</f>
        <v>0</v>
      </c>
      <c r="GT36" s="286" t="n">
        <f aca="false">J36</f>
        <v>34.169796</v>
      </c>
      <c r="GU36" s="286" t="n">
        <f aca="false">IF($A36&gt;=BegDate,VLOOKUP($A36,GasTable,13)+Assumptions!$C$58,0)</f>
        <v>0</v>
      </c>
      <c r="GV36" s="286" t="n">
        <f aca="false">GU36*Assumptions!$C$57/1000</f>
        <v>0</v>
      </c>
      <c r="GW36" s="1558" t="n">
        <f aca="false">IF(Assumptions!$C$60="Hourly",MAX(0,GS36*(GT36-GV36)),GS36*(GT36-GV36))</f>
        <v>0</v>
      </c>
      <c r="GX36" s="1566" t="n">
        <f aca="false">IF($A36&gt;=BegDate,Assumptions!$C$56*24*($A37-$A36)*(1-VLOOKUP($B36,MAIN!$AA$7:$AM$28,$C36+1))*(1-VLOOKUP($B36,MAIN!$AA$33:$AM$54,$C36+1)),0)*16/168</f>
        <v>0</v>
      </c>
      <c r="GY36" s="286" t="n">
        <f aca="false">M36</f>
        <v>34.169796</v>
      </c>
      <c r="GZ36" s="286" t="n">
        <f aca="false">IF($A36&gt;=BegDate,VLOOKUP($A36,GasTable,13)+Assumptions!$C$58,0)</f>
        <v>0</v>
      </c>
      <c r="HA36" s="286" t="n">
        <f aca="false">GZ36*Assumptions!$C$57/1000</f>
        <v>0</v>
      </c>
      <c r="HB36" s="1558" t="n">
        <f aca="false">IF(Assumptions!$C$60="Hourly",MAX(0,GX36*(GY36-HA36)),GX36*(GY36-HA36))</f>
        <v>0</v>
      </c>
      <c r="HC36" s="1566" t="n">
        <f aca="false">IF($A36&gt;=BegDate,Assumptions!$C$56*24*($A37-$A36)*(1-VLOOKUP($B36,MAIN!$AA$7:$AM$28,$C36+1))*(1-VLOOKUP($B36,MAIN!$AA$33:$AM$54,$C36+1)),0)*16/168</f>
        <v>0</v>
      </c>
      <c r="HD36" s="286" t="n">
        <f aca="false">P36</f>
        <v>24.427266</v>
      </c>
      <c r="HE36" s="286" t="n">
        <f aca="false">IF($A36&gt;=BegDate,VLOOKUP($A36,GasTable,13)+Assumptions!$C$58,0)</f>
        <v>0</v>
      </c>
      <c r="HF36" s="286" t="n">
        <f aca="false">HE36*Assumptions!$C$57/1000</f>
        <v>0</v>
      </c>
      <c r="HG36" s="1558" t="n">
        <f aca="false">IF(Assumptions!$C$60="Hourly",MAX(0,HC36*(HD36-HF36)),HC36*(HD36-HF36))</f>
        <v>0</v>
      </c>
      <c r="HH36" s="1566" t="n">
        <f aca="false">IF($A36&gt;=BegDate,Assumptions!$C$56*24*($A37-$A36)*(1-VLOOKUP($B36,MAIN!$AA$7:$AM$28,$C36+1))*(1-VLOOKUP($B36,MAIN!$AA$33:$AM$54,$C36+1)),0)*56/168</f>
        <v>0</v>
      </c>
      <c r="HI36" s="286" t="n">
        <f aca="false">S36</f>
        <v>24.427266</v>
      </c>
      <c r="HJ36" s="286" t="n">
        <f aca="false">IF($A36&gt;=BegDate,VLOOKUP($A36,GasTable,13)+Assumptions!$C$58,0)</f>
        <v>0</v>
      </c>
      <c r="HK36" s="286" t="n">
        <f aca="false">HJ36*Assumptions!$C$57/1000</f>
        <v>0</v>
      </c>
      <c r="HL36" s="1558" t="n">
        <f aca="false">IF(Assumptions!$C$60="Hourly",MAX(0,HH36*(HI36-HK36)),HH36*(HI36-HK36))</f>
        <v>0</v>
      </c>
      <c r="HM36" s="1566" t="n">
        <f aca="false">IF(AND(Assumptions!$H$71="Yes",A36&gt;=Assumptions!$H$72,A36&lt;=Assumptions!$H$73),Assumptions!$H$74*Assumptions!$C$9*1000,0)</f>
        <v>0</v>
      </c>
      <c r="HN36" s="1558"/>
      <c r="HO36" s="1567" t="n">
        <f aca="false">HO35+1</f>
        <v>2022</v>
      </c>
      <c r="HP36" s="1566" t="e">
        <f aca="false">SUMIF($B$17:$B$292,HO36,$FJ$17:$FJ$292)</f>
        <v>#VALUE!</v>
      </c>
      <c r="HQ36" s="1568" t="e">
        <f aca="false">IF(HR36=0,0,HR36/HP36)</f>
        <v>#VALUE!</v>
      </c>
      <c r="HR36" s="1564" t="e">
        <f aca="false">SUMIF($B$17:$B$292,HO36,$FK$17:$FK$292)</f>
        <v>#VALUE!</v>
      </c>
      <c r="HS36" s="1569" t="e">
        <f aca="false">SUMIF($B$17:$B$292,HO36,$GB$17:$GB$292)</f>
        <v>#VALUE!</v>
      </c>
      <c r="HT36" s="1563" t="e">
        <f aca="false">+IF(HS36&gt;0,HU36/HS36,0)</f>
        <v>#VALUE!</v>
      </c>
      <c r="HU36" s="1551" t="e">
        <f aca="false">SUMIF($B$17:$B$292,HO36,$GD$17:$GD$292)</f>
        <v>#VALUE!</v>
      </c>
      <c r="HV36" s="1569" t="e">
        <f aca="false">HR36+HU36</f>
        <v>#VALUE!</v>
      </c>
      <c r="HW36" s="1551" t="e">
        <f aca="false">SUMIF($B$17:$B$292,$HO36,$EN$17:$EN$292)</f>
        <v>#VALUE!</v>
      </c>
      <c r="HX36" s="1551" t="e">
        <f aca="false">SUMIF($B$17:$B$292,$HO36,$FC$17:$FC$292)</f>
        <v>#VALUE!</v>
      </c>
      <c r="HY36" s="1551" t="n">
        <f aca="false">IF(Assumptions!$L$24="Yes",HW36+HX36,0)</f>
        <v>0</v>
      </c>
      <c r="HZ36" s="1566" t="e">
        <f aca="false">SUMIF($B$17:$B$292,HO36,$GE$17:$GE$292)+SUMIF($B$17:$B$292,HO36,$GF$17:$GF$292)</f>
        <v>#VALUE!</v>
      </c>
      <c r="IA36" s="1563" t="e">
        <f aca="false">IF(IB36=0,0,IB36/HZ36)</f>
        <v>#VALUE!</v>
      </c>
      <c r="IB36" s="1564" t="e">
        <f aca="false">-SUMIF($B$17:$B$292,HO36,$GH$17:$GH$292)</f>
        <v>#VALUE!</v>
      </c>
      <c r="IC36" s="1569" t="e">
        <f aca="false">SUMIF($B$17:$B$292,HO36,$GI$17:$GI$292)</f>
        <v>#VALUE!</v>
      </c>
      <c r="ID36" s="1563" t="e">
        <f aca="false">IF(IE36=0,0,IE36/IC36)</f>
        <v>#VALUE!</v>
      </c>
      <c r="IE36" s="1564" t="e">
        <f aca="false">-SUMIF($B$17:$B$292,HO36,$GK$17:$GK$292)</f>
        <v>#VALUE!</v>
      </c>
      <c r="IF36" s="1551" t="e">
        <f aca="false">SUMIF($B$17:$B$292,HO36,$GP$17:$GP$292)</f>
        <v>#VALUE!</v>
      </c>
      <c r="IG36" s="1563" t="e">
        <f aca="false">IF(IH36=0,0,IH36/IF36)</f>
        <v>#VALUE!</v>
      </c>
      <c r="IH36" s="1564" t="e">
        <f aca="false">-SUMIF($B$17:$B$292,HO36,$GR$17:$GR$292)</f>
        <v>#VALUE!</v>
      </c>
      <c r="II36" s="1570" t="n">
        <f aca="false">(SUMIF($B$17:$B$292,HO36,$GW$17:$GW$292)+SUMIF($B$17:$B$292,HO36,$HB$17:$HB$292)+SUMIF($B$17:$B$292,HO36,$HG$17:$HG$292)+SUMIF($B$17:$B$292,HO36,$HL$17:$HL$292))*Assumptions!$C$59</f>
        <v>1089172.58147285</v>
      </c>
      <c r="IJ36" s="1309" t="n">
        <f aca="false">SUMIF($B$17:$B$292,HO36,$HM$17:$HM$292)</f>
        <v>0</v>
      </c>
      <c r="IK36" s="1309"/>
    </row>
    <row r="37" customFormat="false" ht="12.75" hidden="false" customHeight="false" outlineLevel="0" collapsed="false">
      <c r="A37" s="1571" t="n">
        <f aca="false">EOMONTH(A36,0)+1</f>
        <v>37257</v>
      </c>
      <c r="B37" s="594" t="n">
        <f aca="false">+YEAR(A37)</f>
        <v>2002</v>
      </c>
      <c r="C37" s="238" t="n">
        <f aca="false">MONTH(A37)</f>
        <v>1</v>
      </c>
      <c r="D37" s="1572" t="str">
        <f aca="false">IF(E37="","",Holiday(B37,C37))</f>
        <v/>
      </c>
      <c r="E37" s="1573" t="str">
        <f aca="false">IF(OR(BegDate&gt;=A38,EndDate&lt;A37,AND(VolumeMonthlyOverFlag,INDEX(VolumeMonthlyOver,C37)=0),NOT(INDEX(MonthKnockOutTable,C37))),"",MAX(A37,BegDate))</f>
        <v/>
      </c>
      <c r="F37" s="1574" t="str">
        <f aca="false">IF(E37="","",MIN(A38-1,EndDate))</f>
        <v/>
      </c>
      <c r="G37" s="1575" t="n">
        <v>0</v>
      </c>
      <c r="H37" s="1576" t="n">
        <f aca="false">(1+G37/2)^(-2*(DATE(B38,C38,20)-DateToday)/365.25)</f>
        <v>1</v>
      </c>
      <c r="I37" s="1568" t="n">
        <f aca="false">IF(Assumptions!$L$25=4,VLOOKUP($A37,'Henwood Reference'!$E$9:$R$320,10),(VLOOKUP($A37,PriceTable,2,0)+IF(BasisNumber&lt;&gt;1,VLOOKUP($A37,BasisTable,2,0),0)+I$1)/(1-I$2))</f>
        <v>38.32022088</v>
      </c>
      <c r="J37" s="1568" t="n">
        <f aca="false">IF(Assumptions!$L$25=4,VLOOKUP($A37,'Henwood Reference'!$E$9:$R$320,10),(VLOOKUP($A37,PriceTable,3,0)+IF(BasisNumber&lt;&gt;1,VLOOKUP($A37,BasisTable,2,0),0)+J$1)/(1-J$2))</f>
        <v>38.32022088</v>
      </c>
      <c r="K37" s="1568" t="n">
        <f aca="false">IF(Assumptions!$L$25=4,VLOOKUP($A37,'Henwood Reference'!$E$9:$R$320,10),(VLOOKUP($A37,PriceTable,4,0)+IF(BasisNumber&lt;&gt;1,VLOOKUP($A37,BasisTable,2,0),0)+K$1)/(1-K$2))</f>
        <v>38.32022088</v>
      </c>
      <c r="L37" s="1523" t="n">
        <f aca="false">IF(Assumptions!$L$25=4,VLOOKUP($A37,'Henwood Reference'!$E$9:$R$320,10),(VLOOKUP($A37,PriceTableWeekend,2,0)+IF(BasisNumber&lt;&gt;1,VLOOKUP($A37,BasisTable,2,0),0)+L$1)/(1-L$2))</f>
        <v>38.32022088</v>
      </c>
      <c r="M37" s="1568" t="n">
        <f aca="false">IF(Assumptions!$L$25=4,VLOOKUP($A37,'Henwood Reference'!$E$9:$R$320,10),(VLOOKUP($A37,PriceTableWeekend,3,0)+IF(BasisNumber&lt;&gt;1,VLOOKUP($A37,BasisTable,2,0),0)+M$1)/(1-M$2))</f>
        <v>38.32022088</v>
      </c>
      <c r="N37" s="1599" t="n">
        <f aca="false">IF(Assumptions!$L$25=4,VLOOKUP($A37,'Henwood Reference'!$E$9:$R$320,10),(VLOOKUP($A37,PriceTableWeekend,4,0)+IF(BasisNumber&lt;&gt;1,VLOOKUP($A37,BasisTable,2,0),0)+N$1)/(1-N$2))</f>
        <v>38.32022088</v>
      </c>
      <c r="O37" s="1568" t="n">
        <f aca="false">IF(Assumptions!$L$25=4,VLOOKUP($A37,'Henwood Reference'!$E$9:$R$320,11),(VLOOKUP($A37,PriceTableWeekend,6,0)+IF(BasisNumber&lt;&gt;1,VLOOKUP($A37,BasisTable,3,0),0)+O$1)/(1-O$2))</f>
        <v>26.077626</v>
      </c>
      <c r="P37" s="1568" t="n">
        <f aca="false">IF(Assumptions!$L$25=4,VLOOKUP($A37,'Henwood Reference'!$E$9:$R$320,11),(VLOOKUP($A37,PriceTableWeekend,7,0)+IF(BasisNumber&lt;&gt;1,VLOOKUP($A37,BasisTable,3,0),0)+P$1)/(1-P$2))</f>
        <v>26.077626</v>
      </c>
      <c r="Q37" s="1599" t="n">
        <f aca="false">IF(Assumptions!$L$25=4,VLOOKUP($A37,'Henwood Reference'!$E$9:$R$320,11),(VLOOKUP($A37,PriceTableWeekend,8,0)+IF(BasisNumber&lt;&gt;1,VLOOKUP($A37,BasisTable,3,0),0)+Q$1)/(1-Q$2))</f>
        <v>26.077626</v>
      </c>
      <c r="R37" s="1568" t="n">
        <f aca="false">IF(Assumptions!$L$25=4,VLOOKUP($A37,'Henwood Reference'!$E$9:$R$320,11),(VLOOKUP($A37,PriceTable,6,0)+IF(BasisNumber&lt;&gt;1,VLOOKUP($A37,BasisTable,3,0),0)+R$1)/(1-R$2))</f>
        <v>26.077626</v>
      </c>
      <c r="S37" s="1568" t="n">
        <f aca="false">IF(Assumptions!$L$25=4,VLOOKUP($A37,'Henwood Reference'!$E$9:$R$320,11),(VLOOKUP($A37,PriceTable,7,0)+IF(BasisNumber&lt;&gt;1,VLOOKUP($A37,BasisTable,3,0),0)+S$1)/(1-S$2))</f>
        <v>26.077626</v>
      </c>
      <c r="T37" s="1600" t="n">
        <f aca="false">IF(Assumptions!$L$25=4,VLOOKUP($A37,'Henwood Reference'!$E$9:$R$320,11),(VLOOKUP($A37,PriceTable,8,0)+IF(BasisNumber&lt;&gt;1,VLOOKUP($A37,BasisTable,3,0),0)+T$1)/(1-T$2))</f>
        <v>26.077626</v>
      </c>
      <c r="U37" s="1513" t="n">
        <f aca="false">VLOOKUP($A37,VolatilityTable,14)</f>
        <v>0.16</v>
      </c>
      <c r="V37" s="1513" t="n">
        <f aca="false">VLOOKUP($A37,VolatilityTable,15)</f>
        <v>0.17</v>
      </c>
      <c r="W37" s="1514" t="n">
        <f aca="false">VLOOKUP($A37,VolatilityTable,16)</f>
        <v>0.18</v>
      </c>
      <c r="X37" s="1513" t="n">
        <f aca="false">VLOOKUP($A37,VolatilityTable,14)</f>
        <v>0.16</v>
      </c>
      <c r="Y37" s="1513" t="n">
        <f aca="false">VLOOKUP($A37,VolatilityTable,15)</f>
        <v>0.17</v>
      </c>
      <c r="Z37" s="1514" t="n">
        <f aca="false">VLOOKUP($A37,VolatilityTable,16)</f>
        <v>0.18</v>
      </c>
      <c r="AA37" s="1513" t="n">
        <f aca="false">VLOOKUP($A37,VolatilityTable,18)</f>
        <v>0.09</v>
      </c>
      <c r="AB37" s="1513" t="n">
        <f aca="false">VLOOKUP($A37,VolatilityTable,19)</f>
        <v>0.11</v>
      </c>
      <c r="AC37" s="1514" t="n">
        <f aca="false">VLOOKUP($A37,VolatilityTable,20)</f>
        <v>0.13</v>
      </c>
      <c r="AD37" s="1513" t="n">
        <f aca="false">VLOOKUP($A37,VolatilityTable,18)</f>
        <v>0.09</v>
      </c>
      <c r="AE37" s="1513" t="n">
        <f aca="false">VLOOKUP($A37,VolatilityTable,19)</f>
        <v>0.11</v>
      </c>
      <c r="AF37" s="1514" t="n">
        <f aca="false">VLOOKUP($A37,VolatilityTable,20)</f>
        <v>0.13</v>
      </c>
      <c r="AG37" s="1513" t="n">
        <f aca="false">VLOOKUP($A37,VolatilityTable,22)</f>
        <v>-0.25</v>
      </c>
      <c r="AH37" s="1513" t="n">
        <f aca="false">VLOOKUP($A37,VolatilityTable,23)</f>
        <v>0.65</v>
      </c>
      <c r="AI37" s="1514" t="n">
        <f aca="false">VLOOKUP($A37,VolatilityTable,24)</f>
        <v>0.25</v>
      </c>
      <c r="AJ37" s="1513" t="n">
        <f aca="false">VLOOKUP($A37,VolatilityTable,22)</f>
        <v>-0.25</v>
      </c>
      <c r="AK37" s="1513" t="n">
        <f aca="false">VLOOKUP($A37,VolatilityTable,23)</f>
        <v>0.65</v>
      </c>
      <c r="AL37" s="1514" t="n">
        <f aca="false">VLOOKUP($A37,VolatilityTable,24)</f>
        <v>0.25</v>
      </c>
      <c r="AM37" s="1513" t="n">
        <f aca="false">VLOOKUP($A37,VolatilityTable,26)</f>
        <v>-0.01</v>
      </c>
      <c r="AN37" s="1513" t="n">
        <f aca="false">VLOOKUP($A37,VolatilityTable,27)</f>
        <v>0.16</v>
      </c>
      <c r="AO37" s="1514" t="n">
        <f aca="false">VLOOKUP($A37,VolatilityTable,28)</f>
        <v>0.01</v>
      </c>
      <c r="AP37" s="1513" t="n">
        <f aca="false">VLOOKUP($A37,VolatilityTable,26)</f>
        <v>-0.01</v>
      </c>
      <c r="AQ37" s="1513" t="n">
        <f aca="false">VLOOKUP($A37,VolatilityTable,27)</f>
        <v>0.16</v>
      </c>
      <c r="AR37" s="1515" t="n">
        <f aca="false">VLOOKUP($A37,VolatilityTable,28)</f>
        <v>0.01</v>
      </c>
      <c r="AS37" s="1581" t="n">
        <f aca="false">IF(CorrPeakOffPeakOverFlag,INDEX(CorrPeakOffPeakOver,C37),CorrPeakOffPeak)</f>
        <v>0.5</v>
      </c>
      <c r="AT37" s="594" t="n">
        <f aca="false">AX37-SUM(AU37:AW37)</f>
        <v>0</v>
      </c>
      <c r="AU37" s="238" t="n">
        <f aca="false">IF(E37="",0,INT((F37-MOD(F37,7)-E37)/7)+1-IF(AW37,IF(WEEKDAY(D37)=7,1,0),0))</f>
        <v>0</v>
      </c>
      <c r="AV37" s="238" t="n">
        <f aca="false">IF(E37="",0,INT((F37-MOD(F37-1,7)-E37)/7)+1-IF(AW37,IF(WEEKDAY(D37)=1,1,0),0))</f>
        <v>0</v>
      </c>
      <c r="AW37" s="238" t="n">
        <f aca="false">IF(OR(E37="",D37="",D37&lt;BegDate,D37&gt;EndDate),0,1)</f>
        <v>0</v>
      </c>
      <c r="AX37" s="238" t="n">
        <f aca="false">IF(E37="",0,F37-E37+1)</f>
        <v>0</v>
      </c>
      <c r="AY37" s="1582" t="n">
        <f aca="false">IF(E37="",0,MIN((1-(1-VLOOKUP(B37,MAIN!$AA$7:$AM$28,C37+1))*(1-VLOOKUP(B37,MAIN!$AA$33:$AM$54,C37+1))),1))</f>
        <v>0</v>
      </c>
      <c r="AZ37" s="1519" t="e">
        <v>#VALUE!</v>
      </c>
      <c r="BA37" s="1520" t="e">
        <v>#VALUE!</v>
      </c>
      <c r="BB37" s="1520" t="e">
        <v>#VALUE!</v>
      </c>
      <c r="BC37" s="1583" t="e">
        <v>#VALUE!</v>
      </c>
      <c r="BD37" s="1522" t="e">
        <v>#VALUE!</v>
      </c>
      <c r="BE37" s="1523" t="e">
        <v>#VALUE!</v>
      </c>
      <c r="BF37" s="1523" t="e">
        <v>#VALUE!</v>
      </c>
      <c r="BG37" s="1584" t="e">
        <v>#VALUE!</v>
      </c>
      <c r="BH37" s="1525" t="e">
        <v>#VALUE!</v>
      </c>
      <c r="BI37" s="1520" t="e">
        <v>#VALUE!</v>
      </c>
      <c r="BJ37" s="1520" t="e">
        <v>#VALUE!</v>
      </c>
      <c r="BK37" s="1583" t="e">
        <v>#VALUE!</v>
      </c>
      <c r="BL37" s="1522" t="e">
        <v>#VALUE!</v>
      </c>
      <c r="BM37" s="1523" t="e">
        <v>#VALUE!</v>
      </c>
      <c r="BN37" s="1523" t="e">
        <v>#VALUE!</v>
      </c>
      <c r="BO37" s="1523" t="e">
        <v>#VALUE!</v>
      </c>
      <c r="BP37" s="1525" t="e">
        <f aca="false">SUM(AZ37:BB37)</f>
        <v>#VALUE!</v>
      </c>
      <c r="BQ37" s="1529" t="e">
        <f aca="false">SUM(AZ37:BC37)</f>
        <v>#VALUE!</v>
      </c>
      <c r="BR37" s="1519" t="e">
        <f aca="false">SUM(BH37:BJ37)</f>
        <v>#VALUE!</v>
      </c>
      <c r="BS37" s="1529" t="e">
        <f aca="false">SUM(BH37:BK37)</f>
        <v>#VALUE!</v>
      </c>
      <c r="BT37" s="1316" t="n">
        <f aca="false">(IF(OVolType&lt;&gt;2,A37+14,IF(OptExpDateShift,ShiftBack(A37,OptExpDateShift,D36),A37))-DateToday)/365.25</f>
        <v>1.71663244353183</v>
      </c>
      <c r="BU37" s="1585" t="e">
        <f aca="false">IF(BQ37,IF(OPriceCurve,IF(OBuySell=OCallPut,I37/(1-AY37),K37/(1-AY37)),J37/(1-AY37))*BD37,0)</f>
        <v>#VALUE!</v>
      </c>
      <c r="BV37" s="1316" t="e">
        <f aca="false">IF(BQ37,IF(OPriceCurve,IF(OBuySell=OCallPut,L37/(1-AY37),N37/(1-AY37)),M37/(1-AY37))*BE37,0)</f>
        <v>#VALUE!</v>
      </c>
      <c r="BW37" s="1316" t="e">
        <f aca="false">IF(BQ37,IF(OPriceCurve,IF(OBuySell=OCallPut,O37/(1-AY37),Q37/(1-AY37)),P37/(1-AY37))*BF37,0)</f>
        <v>#VALUE!</v>
      </c>
      <c r="BX37" s="1316" t="e">
        <f aca="false">IF(BQ37,IF(OPriceCurve,IF(OBuySell=OCallPut,R37/(1-AY37),T37/(1-AY37)),S37/(1-AY37))*BG37,0)</f>
        <v>#VALUE!</v>
      </c>
      <c r="BY37" s="1316" t="e">
        <f aca="false">IF(BP37,(BU37*AZ37+BV37*BA37+BW37*BB37)/BP37,0)</f>
        <v>#VALUE!</v>
      </c>
      <c r="BZ37" s="1316" t="e">
        <f aca="false">IF(BQ37,(BY37*BP37+BX37*BC37)/BQ37,0)</f>
        <v>#VALUE!</v>
      </c>
      <c r="CA37" s="1531" t="e">
        <f aca="false">IF(BS37,IF(OPriceCurve,IF(OBuySell=OCallPut,I37/(1-AY37),K37/(1-AY37)),J37/(1-AY37))*BL37,0)</f>
        <v>#VALUE!</v>
      </c>
      <c r="CB37" s="1316" t="e">
        <f aca="false">IF(BS37,IF(OPriceCurve,IF(OBuySell=OCallPut,L37/(1-AY37),N37/(1-AY37)),M37/(1-AY37))*BM37,0)</f>
        <v>#VALUE!</v>
      </c>
      <c r="CC37" s="1316" t="e">
        <f aca="false">IF(BS37,IF(OPriceCurve,IF(OBuySell=OCallPut,O37/(1-AY37),Q37/(1-AY37)),P37/(1-AY37))*BN37,0)</f>
        <v>#VALUE!</v>
      </c>
      <c r="CD37" s="1316" t="e">
        <f aca="false">IF(BS37,IF(OPriceCurve,IF(OBuySell=OCallPut,R37/(1-AY37),T37/(1-AY37)),S37/(1-AY37))*BO37,0)</f>
        <v>#VALUE!</v>
      </c>
      <c r="CE37" s="1316" t="e">
        <f aca="false">IF(BR37,(BU37*BH37+BV37*BI37+BW37*BJ37)/BR37,0)</f>
        <v>#VALUE!</v>
      </c>
      <c r="CF37" s="1532" t="e">
        <f aca="false">IF(BS37,(CE37*BR37+CD37*BK37)/BS37,0)</f>
        <v>#VALUE!</v>
      </c>
      <c r="CG37" s="1586" t="e">
        <f aca="false">IF(OR(BQ37,BS37),IF(OVolType&lt;&gt;2,SQRT(IF(OVolOverMonthlyPeak,OVolOverMonthlyPeak,IF(OVolCurve,IF(OBuySell,U37,W37),V37))^2*(1-15/365.25/BT37)+IF(OVolOverDailyPeak,OVolOverDailyPeak,IF(OVolCurve,IF(OBuySell,AG37,AI37),AH37))^2*15/365.25/BT37),IF(OVolOverMonthlyPeak,OVolOverMonthlyPeak,IF(OVolCurve,IF(OBuySell,U37,W37),V37))),"")</f>
        <v>#VALUE!</v>
      </c>
      <c r="CH37" s="1587" t="e">
        <f aca="false">IF(OR(BQ37,BS37),IF(OVolType&lt;&gt;2,SQRT(IF(OVolOverMonthlyPeak,OVolOverMonthlyPeak,IF(OVolCurve,IF(OBuySell,X37,Z37),Y37))^2*(1-15/365.25/BT37)+IF(OVolOverDailyPeak,OVolOverDailyPeak,IF(OVolCurve,IF(OBuySell,AJ37,AL37),AK37))^2*15/365.25/BT37),IF(OVolOverMonthlyPeak,OVolOverMonthlyPeak,IF(OVolCurve,IF(OBuySell,X37,Z37),Y37))),"")</f>
        <v>#VALUE!</v>
      </c>
      <c r="CI37" s="1587" t="e">
        <f aca="false">IF(OR(BQ37,BS37),IF(OVolType&lt;&gt;2,SQRT(IF(OVolOverMonthlyPeak,OVolOverMonthlyPeak,IF(OVolCurve,IF(OBuySell,AA37,AC37),AB37))^2*(1-15/365.25/BT37)+IF(OVolOverDailyPeak,OVolOverDailyPeak,IF(OVolCurve,IF(OBuySell,AM37,AO37),AN37))^2*15/365.25/BT37),IF(OVolOverMonthlyPeak,OVolOverMonthlyPeak,IF(OVolCurve,IF(OBuySell,AA37,AC37),AB37))),"")</f>
        <v>#VALUE!</v>
      </c>
      <c r="CJ37" s="1587" t="e">
        <f aca="false">IF(BQ37,IF(BP37,SQRT(LN(1+((BU37*AZ37)^2*(EXP(CG37^2*BT37)-1)+(BV37*BA37)^2*(EXP(CH37^2*BT37)-1)+(BW37*BB37)^2*(EXP(CI37^2*BT37)-1)+2*BU37*AZ37*BV37*BA37*(EXP(CG37*CH37*BT37)-1)+2*BV37*BA37*BW37*BB37*(EXP(CH37*CI37*BT37)-1)+2*BW37*BB37*BU37*AZ37*(EXP(CI37*CG37*BT37)-1))/(BY37*BP37)^2)/BT37),0),"")</f>
        <v>#VALUE!</v>
      </c>
      <c r="CK37" s="1587" t="e">
        <f aca="false">IF(BS37,IF(BR37,SQRT(LN(1+((CA37*BH37)^2*(EXP(CG37^2*BT37)-1)+(CB37*BI37)^2*(EXP(CH37^2*BT37)-1)+(CC37*BJ37)^2*(EXP(CI37^2*BT37)-1)+2*CA37*BH37*CB37*BI37*(EXP(CG37*CH37*BT37)-1)+2*CB37*BI37*CC37*BJ37*(EXP(CH37*CI37*BT37)-1)+2*CC37*BJ37*CA37*BH37*(EXP(CI37*CG37*BT37)-1))/(CE37*BR37)^2)/BT37),0),"")</f>
        <v>#VALUE!</v>
      </c>
      <c r="CL37" s="1587" t="e">
        <f aca="false">IF(OR(BQ37,BS37),IF(OVolType&lt;&gt;2,SQRT(IF(OVolOverMonthlyOffPeak,OVolOverMonthlyOffPeak,IF(OVolCurve,IF(OBuySell,AD37,AF37),AE37))^2*(1-15/365.25/BT37)+IF(OVolOverDailyOffPeak,OVolOverDailyOffPeak,IF(OVolCurve,IF(OBuySell,AP37,AR37),AQ37))^2*15/365.25/BT37),IF(OVolOverMonthlyOffPeak,OVolOverMonthlyOffPeak,IF(OVolCurve,IF(OBuySell,AD37,AF37),AE37))),"")</f>
        <v>#VALUE!</v>
      </c>
      <c r="CM37" s="1587" t="e">
        <f aca="false">IF(BQ37,SQRT(LN(1+((BY37*BP37)^2*(EXP(CJ37^2*BT37)-1)+(BX37*BC37)^2*(EXP(CL37^2*BT37)-1)+2*BY37*BP37*BX37*BC37*(EXP(AS37*CJ37*CL37*BT37)-1))/(BY37*BP37+BX37*BC37)^2)/BT37),"")</f>
        <v>#VALUE!</v>
      </c>
      <c r="CN37" s="1588" t="e">
        <f aca="false">IF(BS37,SQRT(LN(1+((CE37*BR37)^2*(EXP(CK37^2*BT37)-1)+(CD37*BK37)^2*(EXP(CL37^2*BT37)-1)+2*CE37*BR37*CD37*BK37*(EXP(AS37*CK37*CL37*BT37)-1))/(CE37*BR37+CD37*BK37)^2)/BT37),"")</f>
        <v>#VALUE!</v>
      </c>
      <c r="CO37" s="1531" t="e">
        <f aca="false">IF(OR(BQ37,BS37),VLOOKUP(A37,GasTable,13)*HeatRatePeak*(1+VLOOKUP($B37,HeatRateDegradation,$C37+1))/1000,0)</f>
        <v>#VALUE!</v>
      </c>
      <c r="CP37" s="1316" t="e">
        <f aca="false">IF(OR(BQ37,BS37),VLOOKUP(A37,GasTable,13)*HeatRatePeak*(1+VLOOKUP($B37,HeatRateDegradation,$C37+1))/1000,0)</f>
        <v>#VALUE!</v>
      </c>
      <c r="CQ37" s="1316" t="e">
        <f aca="false">IF(OR(BQ37,BS37),VLOOKUP(A37,GasTable,13)*IF(EV37,HeatRatePeak,HeatRateOffPeak)*(1+VLOOKUP($B37,HeatRateDegradation,$C37+1))/1000,0)</f>
        <v>#VALUE!</v>
      </c>
      <c r="CR37" s="1316" t="e">
        <f aca="false">IF(OR(BQ37,BS37),VLOOKUP(A37,GasTable,13)*IF(EW37,HeatRatePeak,HeatRateOffPeak)*(1+VLOOKUP($B37,HeatRateDegradation,$C37+1))/1000,0)</f>
        <v>#VALUE!</v>
      </c>
      <c r="CS37" s="1589" t="e">
        <f aca="false">IF(BQ37,(CO37*AZ37+CP37*BA37+CQ37*BB37+CR37*BC37)/BQ37,0)</f>
        <v>#VALUE!</v>
      </c>
      <c r="CT37" s="1316" t="e">
        <f aca="false">IF(BS37,CO37,0)</f>
        <v>#VALUE!</v>
      </c>
      <c r="CU37" s="1590" t="e">
        <f aca="false">IF(OR(BQ37,BS37),VLOOKUP(A37,GasTable,14),"")</f>
        <v>#VALUE!</v>
      </c>
      <c r="CV37" s="1568" t="e">
        <f aca="false">IF(OR(BQ37,BS37),IF(CorrPowerGasOverFlag,INDEX(CorrPowerGasOver,C37),CorrPowerGas),"")</f>
        <v>#VALUE!</v>
      </c>
      <c r="CW37" s="1316" t="e">
        <f aca="false">IF(OR($BQ37,$BS37),SpreadOptPowerMargin,0)*((1+Assumptions!$C$26)^($B37-YEAR(Assumptions!$C$17)))</f>
        <v>#VALUE!</v>
      </c>
      <c r="CX37" s="1316" t="e">
        <f aca="false">IF(OR($BQ37,$BS37),SpreadOptPowerMargin,0)*((1+Assumptions!$C$26)^($B37-YEAR(Assumptions!$C$17)))</f>
        <v>#VALUE!</v>
      </c>
      <c r="CY37" s="1316" t="e">
        <f aca="false">IF(OR($BQ37,$BS37),SpreadOptPowerMargin,0)*((1+Assumptions!$C$26)^($B37-YEAR(Assumptions!$C$17)))</f>
        <v>#VALUE!</v>
      </c>
      <c r="CZ37" s="1316" t="e">
        <f aca="false">IF(OR($BQ37,$BS37),SpreadOptPowerMargin,0)*((1+Assumptions!$C$26)^($B37-YEAR(Assumptions!$C$17)))</f>
        <v>#VALUE!</v>
      </c>
      <c r="DA37" s="1591" t="e">
        <f aca="false">IF(OR(BQ37,BS37),(CW37*(AZ37+BH37)+CX37*(BA37+BI37)+CY37*(BB37+BJ37)+CZ37*(BC37+BK37))/(BQ37+BS37),0)</f>
        <v>#VALUE!</v>
      </c>
      <c r="DB37" s="1592" t="e">
        <f aca="false">IF(OR(BQ37,BS37),CG37+IF(OVolSmile,VLOOKUP(MAX(-5,CO37+CW37-BU37),IF(OVolSmile=1,VolSmileBook,VolSmileModel),2),0),"")</f>
        <v>#VALUE!</v>
      </c>
      <c r="DC37" s="1592" t="e">
        <f aca="false">IF(OR(BQ37,BS37),CH37+IF(OVolSmile,VLOOKUP(MAX(-5,CP37+CW37-BV37),IF(OVolSmile=1,VolSmileBook,VolSmileModel),2),0),"")</f>
        <v>#VALUE!</v>
      </c>
      <c r="DD37" s="1592" t="e">
        <f aca="false">IF(OR(BQ37,BS37),CI37+IF(OVolSmile,VLOOKUP(MAX(-5,CQ37+CW37-BW37),IF(OVolSmile=1,VolSmileBook,VolSmileModel),2),0),"")</f>
        <v>#VALUE!</v>
      </c>
      <c r="DE37" s="1592" t="e">
        <f aca="false">IF(OR(BQ37,BS37),CL37+IF(OVolSmile,VLOOKUP(MAX(-5,CR37+CZ37-BX37),IF(OVolSmile=1,VolSmileBook,VolSmileModel),2),0),"")</f>
        <v>#VALUE!</v>
      </c>
      <c r="DF37" s="1592" t="e">
        <f aca="false">IF(BQ37,CM37+IF(OVolSmile,VLOOKUP(MAX(-5,CS37+DA37-BZ37),IF(OVolSmile=1,VolSmileBook,VolSmileModel),2),0),"")</f>
        <v>#VALUE!</v>
      </c>
      <c r="DG37" s="1593" t="e">
        <f aca="false">IF(BS37,CN37+IF(OVolSmile,VLOOKUP(MAX(-5,CT37+DA37-CF37),IF(OVolSmile=1,VolSmileBook,VolSmileModel),2),0),"")</f>
        <v>#VALUE!</v>
      </c>
      <c r="DH37" s="1316" t="e">
        <f aca="false">IF(AND(BU37&gt;0,CO37&gt;0,DB37&gt;0,CU37&gt;0),newSPRDOPT(BU37,CO37,CW37,0,DB37,CU37,CV37,BT37*365.25,OCallPut,0),0)</f>
        <v>#VALUE!</v>
      </c>
      <c r="DI37" s="1316" t="e">
        <f aca="false">IF(AND(BV37&gt;0,CP37&gt;0,DC37&gt;0,CU37&gt;0),newSPRDOPT(BV37,CP37,CX37,0,DC37,CU37,CV37,BT37*365.25,OCallPut,0),0)</f>
        <v>#VALUE!</v>
      </c>
      <c r="DJ37" s="1316" t="e">
        <f aca="false">IF(AND(BW37&gt;0,CQ37&gt;0,DD37&gt;0,CU37&gt;0),newSPRDOPT(BW37,CQ37,CY37,0,DD37,CU37,CV37,BT37*365.25,OCallPut,0),0)</f>
        <v>#VALUE!</v>
      </c>
      <c r="DK37" s="1316" t="e">
        <f aca="false">IF(AND(BX37&gt;0,CR37&gt;0,DE37&gt;0,CU37&gt;0),newSPRDOPT(BX37,CR37,CZ37,0,DE37,CU37,CV37,BT37*365.25,OCallPut,0),0)</f>
        <v>#VALUE!</v>
      </c>
      <c r="DL37" s="1316" t="e">
        <f aca="false">IF(OVolType,IF(AND(BZ37&gt;0,CS37&gt;0,DF37&gt;0,CU37&gt;0),newSPRDOPT(BZ37,CS37,DA37,0,DF37,CU37,CV37,BT37*365.25,OCallPut,0),0),IF(BQ37,(DH37*AZ37+DI37*BA37+DJ37*BB37+DK37*BC37)/BQ37,0))</f>
        <v>#VALUE!</v>
      </c>
      <c r="DM37" s="1316"/>
      <c r="DN37" s="1316"/>
      <c r="DO37" s="1316"/>
      <c r="DP37" s="1316"/>
      <c r="DQ37" s="1316"/>
      <c r="DR37" s="1316"/>
      <c r="DS37" s="1316"/>
      <c r="DT37" s="1316"/>
      <c r="DU37" s="1316"/>
      <c r="DV37" s="1316"/>
      <c r="DW37" s="1594" t="e">
        <f aca="false">IF(AND(BW37&gt;0,CT37&gt;0,DD37&gt;0,CU37&gt;0),newSPRDOPT(BW37,CT37,CY37,0,DD37,CU37,CV37,BT37*365.25,OCallPut,0),0)</f>
        <v>#VALUE!</v>
      </c>
      <c r="DX37" s="1316" t="e">
        <f aca="false">IF(AND(BX37&gt;0,CT37&gt;0,DE37&gt;0,CU37&gt;0),newSPRDOPT(BX37,CT37,CZ37,0,DE37,CU37,CV37,BT37*365.25,OCallPut,0),0)</f>
        <v>#VALUE!</v>
      </c>
      <c r="DY37" s="1591" t="e">
        <f aca="false">IF(BS37,(DH37*BH37+DI37*BI37+DW37*BJ37+DX37*BK37)/BS37,0)</f>
        <v>#VALUE!</v>
      </c>
      <c r="DZ37" s="1551" t="e">
        <f aca="false">DH37*AZ37</f>
        <v>#VALUE!</v>
      </c>
      <c r="EA37" s="1551" t="e">
        <f aca="false">DI37*BA37</f>
        <v>#VALUE!</v>
      </c>
      <c r="EB37" s="1551" t="e">
        <f aca="false">DJ37*BB37</f>
        <v>#VALUE!</v>
      </c>
      <c r="EC37" s="1551" t="e">
        <f aca="false">DK37*BC37</f>
        <v>#VALUE!</v>
      </c>
      <c r="ED37" s="1551" t="e">
        <f aca="false">DL37*BQ37</f>
        <v>#VALUE!</v>
      </c>
      <c r="EE37" s="1595" t="e">
        <f aca="false">IF(BQ37,IF(OCallPut,IF(BU37&gt;(CO37+CW37),BU37-(CO37+CW37),0),IF((CO37+CW37)&gt;BU37,(CO37+CW37)-BU37,0))*AZ37,0)</f>
        <v>#VALUE!</v>
      </c>
      <c r="EF37" s="1596" t="e">
        <f aca="false">IF(BQ37,IF(OCallPut,IF(BV37&gt;(CP37+CX37),BV37-(CP37+CX37),0),IF((CP37+CX37)&gt;BV37,(CP37+CX37)-BV37,0))*BA37,0)</f>
        <v>#VALUE!</v>
      </c>
      <c r="EG37" s="1596" t="e">
        <f aca="false">IF(BQ37,IF(OCallPut,IF(BW37&gt;(CQ37+CY37),BW37-(CQ37+CY37),0),IF((CQ37+CY37)&gt;BW37,(CQ37+CY37)-BW37,0))*BB37,0)</f>
        <v>#VALUE!</v>
      </c>
      <c r="EH37" s="1596" t="e">
        <f aca="false">IF(BQ37,IF(OCallPut,IF(BX37&gt;(CR37+CZ37),BX37-(CR37+CZ37),0),IF((CR37+CZ37)&gt;BX37,(CR37+CZ37)-BX37,0))*BC37,0)</f>
        <v>#VALUE!</v>
      </c>
      <c r="EI37" s="1597" t="e">
        <f aca="false">IF(BQ37,IF(OVolType,IF(OCallPut,IF(BZ37&gt;(CS37+DA37),BZ37-(CS37+DA37),0),IF((CS37+DA37)&gt;BZ37,(CS37+DA37)-BZ37,0))*BQ37,SUM(EE37:EH37)),0)</f>
        <v>#VALUE!</v>
      </c>
      <c r="EJ37" s="1595" t="e">
        <f aca="false">DZ37-EE37</f>
        <v>#VALUE!</v>
      </c>
      <c r="EK37" s="1596" t="e">
        <f aca="false">EA37-EF37</f>
        <v>#VALUE!</v>
      </c>
      <c r="EL37" s="1596" t="e">
        <f aca="false">EB37-EG37</f>
        <v>#VALUE!</v>
      </c>
      <c r="EM37" s="1596" t="e">
        <f aca="false">EC37-EH37</f>
        <v>#VALUE!</v>
      </c>
      <c r="EN37" s="1597" t="e">
        <f aca="false">ED37-EI37</f>
        <v>#VALUE!</v>
      </c>
      <c r="EO37" s="1551" t="e">
        <f aca="false">DH37*BH37</f>
        <v>#VALUE!</v>
      </c>
      <c r="EP37" s="1551" t="e">
        <f aca="false">DI37*BI37</f>
        <v>#VALUE!</v>
      </c>
      <c r="EQ37" s="1551" t="e">
        <f aca="false">DW37*BJ37</f>
        <v>#VALUE!</v>
      </c>
      <c r="ER37" s="1551" t="e">
        <f aca="false">DX37*BK37</f>
        <v>#VALUE!</v>
      </c>
      <c r="ES37" s="1551" t="e">
        <f aca="false">DY37*BS37</f>
        <v>#VALUE!</v>
      </c>
      <c r="ET37" s="1566" t="e">
        <f aca="false">IF(BS37,IF(OCallPut,IF(CA37&gt;(CT37+CW37),CA37-(CT37+CW37),0),IF((CT37+CW37)&gt;CA37,(CT37+CW37)-CA37,0))*BH37,0)</f>
        <v>#VALUE!</v>
      </c>
      <c r="EU37" s="1551" t="e">
        <f aca="false">IF(BS37,IF(OCallPut,IF(CB37&gt;(CT37+CX37),CB37-(CT37+CX37),0),IF((CT37+CX37)&gt;CB37,(CT37+CX37)-CB37,0))*BI37,0)</f>
        <v>#VALUE!</v>
      </c>
      <c r="EV37" s="1551" t="e">
        <f aca="false">IF(BS37,IF(OCallPut,IF(CC37&gt;(CT37+CY37),CC37-(CT37+CY37),0),IF((CT37+CY37)&gt;CC37,(CT37+CY37)-CC37,0))*BJ37,0)</f>
        <v>#VALUE!</v>
      </c>
      <c r="EW37" s="1551" t="e">
        <f aca="false">IF(BS37,IF(OCallPut,IF(CD37&gt;(CT37+CZ37),CD37-(CT37+CZ37),0),IF((CT37+CZ37)&gt;CD37,(CT37+CZ37)-CD37,0))*BK37,0)</f>
        <v>#VALUE!</v>
      </c>
      <c r="EX37" s="1558" t="e">
        <f aca="false">IF(BS37,SUM(ET37:EW37),0)</f>
        <v>#VALUE!</v>
      </c>
      <c r="EY37" s="1551" t="e">
        <f aca="false">EO37-ET37</f>
        <v>#VALUE!</v>
      </c>
      <c r="EZ37" s="1551" t="e">
        <f aca="false">EP37-EU37</f>
        <v>#VALUE!</v>
      </c>
      <c r="FA37" s="1551" t="e">
        <f aca="false">EQ37-EV37</f>
        <v>#VALUE!</v>
      </c>
      <c r="FB37" s="1551" t="e">
        <f aca="false">ER37-EW37</f>
        <v>#VALUE!</v>
      </c>
      <c r="FC37" s="1551" t="e">
        <f aca="false">ES37-EX37</f>
        <v>#VALUE!</v>
      </c>
      <c r="FD37" s="1525" t="n">
        <f aca="false">IF(AX37,IF(VLOOKUP(C37,MAIN!$L$17:$M$28,2)="Yes",VLOOKUP(CALC!B37,MAIN!$H$17:$I$20,2),0),0)</f>
        <v>0</v>
      </c>
      <c r="FE37" s="1552" t="n">
        <f aca="false">$FD37*16*AT37*(1-$AY37)</f>
        <v>0</v>
      </c>
      <c r="FF37" s="1553" t="n">
        <f aca="false">$FD37*16*AU37*(1-$AY37)</f>
        <v>0</v>
      </c>
      <c r="FG37" s="1553" t="n">
        <f aca="false">$FD37*16*(AV37+AW37)*(1-$AY37)</f>
        <v>0</v>
      </c>
      <c r="FH37" s="1554" t="n">
        <f aca="false">$FD37*8*AX37*(1-$AY37)</f>
        <v>0</v>
      </c>
      <c r="FI37" s="1555" t="n">
        <f aca="false">IF(AX37,VLOOKUP(CALC!B37,MAIN!$H$17:$K$20,4),0)</f>
        <v>0</v>
      </c>
      <c r="FJ37" s="1553" t="n">
        <f aca="false">SUM(FE37:FH37)</f>
        <v>0</v>
      </c>
      <c r="FK37" s="1556" t="n">
        <f aca="false">FI37*FJ37</f>
        <v>0</v>
      </c>
      <c r="FL37" s="1551" t="e">
        <f aca="false">IF($EI37&gt;0,MIN(FE37,AZ37*(1+VLOOKUP($C37,WeatherCapacityAdjustment,2))),0)</f>
        <v>#VALUE!</v>
      </c>
      <c r="FM37" s="1551" t="e">
        <f aca="false">IF($EI37&gt;0,MIN(FF37,BA37*(1+VLOOKUP($C37,WeatherCapacityAdjustment,2))),0)</f>
        <v>#VALUE!</v>
      </c>
      <c r="FN37" s="1551" t="e">
        <f aca="false">IF($EI37&gt;0,MIN(FG37,BB37*(1+VLOOKUP($C37,WeatherCapacityAdjustment,2))),0)</f>
        <v>#VALUE!</v>
      </c>
      <c r="FO37" s="1564" t="e">
        <f aca="false">IF($EI37&gt;0,MIN(FH37,BC37*(1+VLOOKUP($C37,WeatherCapacityAdjustment,3))),0)</f>
        <v>#VALUE!</v>
      </c>
      <c r="FP37" s="1551" t="e">
        <f aca="false">IF(ET37&gt;0,MIN(FE37-FL37,BH37*(1+VLOOKUP($C37,WeatherCapacityAdjustment,2))),0)</f>
        <v>#VALUE!</v>
      </c>
      <c r="FQ37" s="1551" t="e">
        <f aca="false">IF(EU37&gt;0,MIN(FF37-FM37,BI37*(1+VLOOKUP($C37,WeatherCapacityAdjustment,2))),0)</f>
        <v>#VALUE!</v>
      </c>
      <c r="FR37" s="1551" t="e">
        <f aca="false">IF(EV37&gt;0,MIN(FG37-FN37,BJ37*(1+VLOOKUP($C37,WeatherCapacityAdjustment,2))),0)</f>
        <v>#VALUE!</v>
      </c>
      <c r="FS37" s="1558" t="e">
        <f aca="false">IF(EW37&gt;0,MIN(FH37-FO37,BK37*(1+VLOOKUP($C37,WeatherCapacityAdjustment,3))),0)</f>
        <v>#VALUE!</v>
      </c>
      <c r="FT37" s="1566" t="n">
        <f aca="false">IF(AND(Assumptions!$H$71="Yes",A37&gt;=Assumptions!$H$72,A37&lt;=Assumptions!$H$73),0,IF(AND($A37&gt;=Assumptions!$C$17,$A37&lt;=Assumptions!$C$18),MAX(AZ37*(1+VLOOKUP($C37,WeatherCapacityAdjustment,2))-FL37,0),0))</f>
        <v>0</v>
      </c>
      <c r="FU37" s="1551" t="n">
        <f aca="false">IF(AND(Assumptions!$H$71="Yes",A37&gt;=Assumptions!$H$72,A37&lt;=Assumptions!$H$73),0,IF(AND($A37&gt;=Assumptions!$C$17,$A37&lt;=Assumptions!$C$18),MAX(BA37*(1+VLOOKUP($C37,WeatherCapacityAdjustment,2))-FM37,0),0))</f>
        <v>0</v>
      </c>
      <c r="FV37" s="1551" t="n">
        <f aca="false">IF(AND(Assumptions!$H$71="Yes",A37&gt;=Assumptions!$H$72,A37&lt;=Assumptions!$H$73),0,IF(AND($A37&gt;=Assumptions!$C$17,$A37&lt;=Assumptions!$C$18),MAX(BB37*(1+VLOOKUP($C37,WeatherCapacityAdjustment,2))-FN37,0),0))</f>
        <v>0</v>
      </c>
      <c r="FW37" s="1564" t="n">
        <f aca="false">IF(AND(Assumptions!$H$71="Yes",A37&gt;=Assumptions!$H$72,A37&lt;=Assumptions!$H$73),0,IF(AND($A37&gt;=Assumptions!$C$17,$A37&lt;=Assumptions!$C$18),MAX(BC37*(1+VLOOKUP($C37,WeatherCapacityAdjustment,3))-FO37,0),0))</f>
        <v>0</v>
      </c>
      <c r="FX37" s="1569" t="e">
        <f aca="false">IF(AND(Assumptions!$H$71="Yes",A37&gt;=Assumptions!$H$72,A37&lt;=Assumptions!$H$73),0,IF(ET37&gt;0,MAX(BH37*(1+VLOOKUP($C37,WeatherCapacityAdjustment,2))-FP37,0),0))</f>
        <v>#VALUE!</v>
      </c>
      <c r="FY37" s="1551" t="e">
        <f aca="false">IF(AND(Assumptions!$H$71="Yes",A37&gt;=Assumptions!$H$72,A37&lt;=Assumptions!$H$73),0,IF(EU37&gt;0,MAX(BI37*(1+VLOOKUP($C37,WeatherCapacityAdjustment,3))-FQ37,0),0))</f>
        <v>#VALUE!</v>
      </c>
      <c r="FZ37" s="1551" t="e">
        <f aca="false">IF(AND(Assumptions!$H$71="Yes",A37&gt;=Assumptions!$H$72,A37&lt;=Assumptions!$H$73),0,IF(EV37&gt;0,MAX(BJ37*(1+VLOOKUP($C37,WeatherCapacityAdjustment,2))-FR37,0),0))</f>
        <v>#VALUE!</v>
      </c>
      <c r="GA37" s="1564" t="e">
        <f aca="false">IF(AND(Assumptions!$H$71="Yes",A37&gt;=Assumptions!$H$72,A37&lt;=Assumptions!$H$73),0,IF(EW37&gt;0,MAX(BK37*(1+VLOOKUP($C37,WeatherCapacityAdjustment,2))-FS37,0),0))</f>
        <v>#VALUE!</v>
      </c>
      <c r="GB37" s="1551" t="e">
        <f aca="false">SUM(FT37:GA37)</f>
        <v>#VALUE!</v>
      </c>
      <c r="GC37" s="1563" t="e">
        <f aca="false">+IF(SUM(FT37:GA37)=0,0,(SUMPRODUCT(BU37:BX37,FT37:FW37)+SUMPRODUCT(CA37:CD37,FX37:GA37))/SUM(FT37:GA37))</f>
        <v>#VALUE!</v>
      </c>
      <c r="GD37" s="1551" t="e">
        <f aca="false">(FT37*BU37+FX37*CA37+FU37*BV37+FY37*CB37+FV37*BW37+FZ37*CC37+FW37*BX37+GA37*CD37)</f>
        <v>#VALUE!</v>
      </c>
      <c r="GE37" s="1561" t="e">
        <f aca="false">+IF(BQ37,((FL37+FM37+FT37+FU37)*HeatRatePeak/1000*(1+VLOOKUP($C37,WeatherHeatRateAdjustment,2))+(FN37+FV37)*IF(EV37&gt;0,HeatRatePeak,HeatRateOffPeak)/1000*(1+VLOOKUP($C37,WeatherHeatRateAdjustment,2))+(FO37+FW37)*IF(EW37&gt;0,HeatRatePeak,HeatRateOffPeak)/1000*(1+VLOOKUP($C37,WeatherHeatRateAdjustment,3)))*(1+VLOOKUP($B37,HeatRateDegradation,$C37+1)),0)</f>
        <v>#VALUE!</v>
      </c>
      <c r="GF37" s="1562" t="e">
        <f aca="false">IF(BQ37,((FP37+FQ37+FR37+FX37+FY37+FZ37)*HeatRatePeak/1000*(1+VLOOKUP($C37,WeatherHeatRateAdjustment,2))+(FS37+GA37)*HeatRatePeak/1000*(1+VLOOKUP($C37,WeatherHeatRateAdjustment,3)))*(1+VLOOKUP($B37,HeatRateDegradation,$C37+1)),0)</f>
        <v>#VALUE!</v>
      </c>
      <c r="GG37" s="1563" t="e">
        <f aca="false">IF(BQ37,VLOOKUP(A37,GasTable,13),0)</f>
        <v>#VALUE!</v>
      </c>
      <c r="GH37" s="1564" t="e">
        <f aca="false">(GE37+GF37)*GG37</f>
        <v>#VALUE!</v>
      </c>
      <c r="GI37" s="1569" t="e">
        <f aca="false">GB37</f>
        <v>#VALUE!</v>
      </c>
      <c r="GJ37" s="1598" t="e">
        <f aca="false">+DA37</f>
        <v>#VALUE!</v>
      </c>
      <c r="GK37" s="1558" t="e">
        <f aca="false">+GI37*GJ37</f>
        <v>#VALUE!</v>
      </c>
      <c r="GL37" s="1566" t="e">
        <f aca="false">MAX(FE37-FL37-FP37,0)</f>
        <v>#VALUE!</v>
      </c>
      <c r="GM37" s="1551" t="e">
        <f aca="false">MAX(FF37-FM37-FQ37,0)</f>
        <v>#VALUE!</v>
      </c>
      <c r="GN37" s="1551" t="e">
        <f aca="false">MAX(FG37-FN37-FR37,0)</f>
        <v>#VALUE!</v>
      </c>
      <c r="GO37" s="1564" t="e">
        <f aca="false">MAX(FH37-FO37-FS37,0)</f>
        <v>#VALUE!</v>
      </c>
      <c r="GP37" s="1551" t="e">
        <f aca="false">SUM(GL37:GO37)</f>
        <v>#VALUE!</v>
      </c>
      <c r="GQ37" s="1563" t="e">
        <f aca="false">IF(SUM(GL37:GO37)=0,0,((GL37*BU37+GM37*BV37+GN37*BW37+GO37*BX37)/SUM(GL37:GO37)))</f>
        <v>#VALUE!</v>
      </c>
      <c r="GR37" s="1558" t="e">
        <f aca="false">(GL37*BU37+GM37*BV37+GN37*BW37+GO37*BX37)</f>
        <v>#VALUE!</v>
      </c>
      <c r="GS37" s="1566" t="n">
        <f aca="false">IF($A37&gt;=BegDate,Assumptions!$C$56*24*($A38-$A37)*(1-VLOOKUP($B37,MAIN!$AA$7:$AM$28,$C37+1))*(1-VLOOKUP($B37,MAIN!$AA$33:$AM$54,$C37+1)),0)*80/168</f>
        <v>0</v>
      </c>
      <c r="GT37" s="286" t="n">
        <f aca="false">J37</f>
        <v>38.32022088</v>
      </c>
      <c r="GU37" s="286" t="n">
        <f aca="false">IF($A37&gt;=BegDate,VLOOKUP($A37,GasTable,13)+Assumptions!$C$58,0)</f>
        <v>0</v>
      </c>
      <c r="GV37" s="286" t="n">
        <f aca="false">GU37*Assumptions!$C$57/1000</f>
        <v>0</v>
      </c>
      <c r="GW37" s="1558" t="n">
        <f aca="false">IF(Assumptions!$C$60="Hourly",MAX(0,GS37*(GT37-GV37)),GS37*(GT37-GV37))</f>
        <v>0</v>
      </c>
      <c r="GX37" s="1566" t="n">
        <f aca="false">IF($A37&gt;=BegDate,Assumptions!$C$56*24*($A38-$A37)*(1-VLOOKUP($B37,MAIN!$AA$7:$AM$28,$C37+1))*(1-VLOOKUP($B37,MAIN!$AA$33:$AM$54,$C37+1)),0)*16/168</f>
        <v>0</v>
      </c>
      <c r="GY37" s="286" t="n">
        <f aca="false">M37</f>
        <v>38.32022088</v>
      </c>
      <c r="GZ37" s="286" t="n">
        <f aca="false">IF($A37&gt;=BegDate,VLOOKUP($A37,GasTable,13)+Assumptions!$C$58,0)</f>
        <v>0</v>
      </c>
      <c r="HA37" s="286" t="n">
        <f aca="false">GZ37*Assumptions!$C$57/1000</f>
        <v>0</v>
      </c>
      <c r="HB37" s="1558" t="n">
        <f aca="false">IF(Assumptions!$C$60="Hourly",MAX(0,GX37*(GY37-HA37)),GX37*(GY37-HA37))</f>
        <v>0</v>
      </c>
      <c r="HC37" s="1566" t="n">
        <f aca="false">IF($A37&gt;=BegDate,Assumptions!$C$56*24*($A38-$A37)*(1-VLOOKUP($B37,MAIN!$AA$7:$AM$28,$C37+1))*(1-VLOOKUP($B37,MAIN!$AA$33:$AM$54,$C37+1)),0)*16/168</f>
        <v>0</v>
      </c>
      <c r="HD37" s="286" t="n">
        <f aca="false">P37</f>
        <v>26.077626</v>
      </c>
      <c r="HE37" s="286" t="n">
        <f aca="false">IF($A37&gt;=BegDate,VLOOKUP($A37,GasTable,13)+Assumptions!$C$58,0)</f>
        <v>0</v>
      </c>
      <c r="HF37" s="286" t="n">
        <f aca="false">HE37*Assumptions!$C$57/1000</f>
        <v>0</v>
      </c>
      <c r="HG37" s="1558" t="n">
        <f aca="false">IF(Assumptions!$C$60="Hourly",MAX(0,HC37*(HD37-HF37)),HC37*(HD37-HF37))</f>
        <v>0</v>
      </c>
      <c r="HH37" s="1566" t="n">
        <f aca="false">IF($A37&gt;=BegDate,Assumptions!$C$56*24*($A38-$A37)*(1-VLOOKUP($B37,MAIN!$AA$7:$AM$28,$C37+1))*(1-VLOOKUP($B37,MAIN!$AA$33:$AM$54,$C37+1)),0)*56/168</f>
        <v>0</v>
      </c>
      <c r="HI37" s="286" t="n">
        <f aca="false">S37</f>
        <v>26.077626</v>
      </c>
      <c r="HJ37" s="286" t="n">
        <f aca="false">IF($A37&gt;=BegDate,VLOOKUP($A37,GasTable,13)+Assumptions!$C$58,0)</f>
        <v>0</v>
      </c>
      <c r="HK37" s="286" t="n">
        <f aca="false">HJ37*Assumptions!$C$57/1000</f>
        <v>0</v>
      </c>
      <c r="HL37" s="1558" t="n">
        <f aca="false">IF(Assumptions!$C$60="Hourly",MAX(0,HH37*(HI37-HK37)),HH37*(HI37-HK37))</f>
        <v>0</v>
      </c>
      <c r="HM37" s="1566" t="n">
        <f aca="false">IF(AND(Assumptions!$H$71="Yes",A37&gt;=Assumptions!$H$72,A37&lt;=Assumptions!$H$73),Assumptions!$H$74*Assumptions!$C$9*1000,0)</f>
        <v>0</v>
      </c>
      <c r="HN37" s="1558"/>
      <c r="HO37" s="1567" t="n">
        <f aca="false">HO36+1</f>
        <v>2023</v>
      </c>
      <c r="HP37" s="1566" t="n">
        <f aca="false">SUMIF($B$17:$B$292,HO37,$FJ$17:$FJ$292)</f>
        <v>0</v>
      </c>
      <c r="HQ37" s="1568" t="n">
        <f aca="false">IF(HR37=0,0,HR37/HP37)</f>
        <v>0</v>
      </c>
      <c r="HR37" s="1564" t="n">
        <f aca="false">SUMIF($B$17:$B$292,HO37,$FK$17:$FK$292)</f>
        <v>0</v>
      </c>
      <c r="HS37" s="1569" t="e">
        <f aca="false">SUMIF($B$17:$B$292,HO37,$GB$17:$GB$292)</f>
        <v>#VALUE!</v>
      </c>
      <c r="HT37" s="1563" t="e">
        <f aca="false">+IF(HS37&gt;0,HU37/HS37,0)</f>
        <v>#VALUE!</v>
      </c>
      <c r="HU37" s="1551" t="e">
        <f aca="false">SUMIF($B$17:$B$292,HO37,$GD$17:$GD$292)</f>
        <v>#VALUE!</v>
      </c>
      <c r="HV37" s="1569" t="e">
        <f aca="false">HR37+HU37</f>
        <v>#VALUE!</v>
      </c>
      <c r="HW37" s="1551" t="e">
        <f aca="false">SUMIF($B$17:$B$292,$HO37,$EN$17:$EN$292)</f>
        <v>#VALUE!</v>
      </c>
      <c r="HX37" s="1551" t="e">
        <f aca="false">SUMIF($B$17:$B$292,$HO37,$FC$17:$FC$292)</f>
        <v>#VALUE!</v>
      </c>
      <c r="HY37" s="1551" t="n">
        <f aca="false">IF(Assumptions!$L$24="Yes",HW37+HX37,0)</f>
        <v>0</v>
      </c>
      <c r="HZ37" s="1566" t="e">
        <f aca="false">SUMIF($B$17:$B$292,HO37,$GE$17:$GE$292)+SUMIF($B$17:$B$292,HO37,$GF$17:$GF$292)</f>
        <v>#VALUE!</v>
      </c>
      <c r="IA37" s="1563" t="e">
        <f aca="false">IF(IB37=0,0,IB37/HZ37)</f>
        <v>#VALUE!</v>
      </c>
      <c r="IB37" s="1564" t="e">
        <f aca="false">-SUMIF($B$17:$B$292,HO37,$GH$17:$GH$292)</f>
        <v>#VALUE!</v>
      </c>
      <c r="IC37" s="1569" t="e">
        <f aca="false">SUMIF($B$17:$B$292,HO37,$GI$17:$GI$292)</f>
        <v>#VALUE!</v>
      </c>
      <c r="ID37" s="1563" t="e">
        <f aca="false">IF(IE37=0,0,IE37/IC37)</f>
        <v>#VALUE!</v>
      </c>
      <c r="IE37" s="1564" t="e">
        <f aca="false">-SUMIF($B$17:$B$292,HO37,$GK$17:$GK$292)</f>
        <v>#VALUE!</v>
      </c>
      <c r="IF37" s="1551" t="e">
        <f aca="false">SUMIF($B$17:$B$292,HO37,$GP$17:$GP$292)</f>
        <v>#VALUE!</v>
      </c>
      <c r="IG37" s="1563" t="e">
        <f aca="false">IF(IH37=0,0,IH37/IF37)</f>
        <v>#VALUE!</v>
      </c>
      <c r="IH37" s="1564" t="e">
        <f aca="false">-SUMIF($B$17:$B$292,HO37,$GR$17:$GR$292)</f>
        <v>#VALUE!</v>
      </c>
      <c r="II37" s="1570" t="n">
        <f aca="false">(SUMIF($B$17:$B$292,HO37,$GW$17:$GW$292)+SUMIF($B$17:$B$292,HO37,$HB$17:$HB$292)+SUMIF($B$17:$B$292,HO37,$HG$17:$HG$292)+SUMIF($B$17:$B$292,HO37,$HL$17:$HL$292))*Assumptions!$C$59</f>
        <v>225505.125592708</v>
      </c>
      <c r="IJ37" s="1309" t="n">
        <f aca="false">SUMIF($B$17:$B$292,HO37,$HM$17:$HM$292)</f>
        <v>0</v>
      </c>
      <c r="IK37" s="1309"/>
    </row>
    <row r="38" customFormat="false" ht="12.75" hidden="false" customHeight="false" outlineLevel="0" collapsed="false">
      <c r="A38" s="1571" t="n">
        <f aca="false">EOMONTH(A37,0)+1</f>
        <v>37288</v>
      </c>
      <c r="B38" s="594" t="n">
        <f aca="false">+YEAR(A38)</f>
        <v>2002</v>
      </c>
      <c r="C38" s="238" t="n">
        <f aca="false">MONTH(A38)</f>
        <v>2</v>
      </c>
      <c r="D38" s="1572" t="str">
        <f aca="false">IF(E38="","",Holiday(B38,C38))</f>
        <v/>
      </c>
      <c r="E38" s="1573" t="str">
        <f aca="false">IF(OR(BegDate&gt;=A39,EndDate&lt;A38,AND(VolumeMonthlyOverFlag,INDEX(VolumeMonthlyOver,C38)=0),NOT(INDEX(MonthKnockOutTable,C38))),"",MAX(A38,BegDate))</f>
        <v/>
      </c>
      <c r="F38" s="1574" t="str">
        <f aca="false">IF(E38="","",MIN(A39-1,EndDate))</f>
        <v/>
      </c>
      <c r="G38" s="1575" t="n">
        <v>0</v>
      </c>
      <c r="H38" s="1576" t="n">
        <f aca="false">(1+G38/2)^(-2*(DATE(B39,C39,20)-DateToday)/365.25)</f>
        <v>1</v>
      </c>
      <c r="I38" s="1568" t="n">
        <f aca="false">IF(Assumptions!$L$25=4,VLOOKUP($A38,'Henwood Reference'!$E$9:$R$320,10),(VLOOKUP($A38,PriceTable,2,0)+IF(BasisNumber&lt;&gt;1,VLOOKUP($A38,BasisTable,2,0),0)+I$1)/(1-I$2))</f>
        <v>34.99395804</v>
      </c>
      <c r="J38" s="1568" t="n">
        <f aca="false">IF(Assumptions!$L$25=4,VLOOKUP($A38,'Henwood Reference'!$E$9:$R$320,10),(VLOOKUP($A38,PriceTable,3,0)+IF(BasisNumber&lt;&gt;1,VLOOKUP($A38,BasisTable,2,0),0)+J$1)/(1-J$2))</f>
        <v>34.99395804</v>
      </c>
      <c r="K38" s="1568" t="n">
        <f aca="false">IF(Assumptions!$L$25=4,VLOOKUP($A38,'Henwood Reference'!$E$9:$R$320,10),(VLOOKUP($A38,PriceTable,4,0)+IF(BasisNumber&lt;&gt;1,VLOOKUP($A38,BasisTable,2,0),0)+K$1)/(1-K$2))</f>
        <v>34.99395804</v>
      </c>
      <c r="L38" s="1523" t="n">
        <f aca="false">IF(Assumptions!$L$25=4,VLOOKUP($A38,'Henwood Reference'!$E$9:$R$320,10),(VLOOKUP($A38,PriceTableWeekend,2,0)+IF(BasisNumber&lt;&gt;1,VLOOKUP($A38,BasisTable,2,0),0)+L$1)/(1-L$2))</f>
        <v>34.99395804</v>
      </c>
      <c r="M38" s="1568" t="n">
        <f aca="false">IF(Assumptions!$L$25=4,VLOOKUP($A38,'Henwood Reference'!$E$9:$R$320,10),(VLOOKUP($A38,PriceTableWeekend,3,0)+IF(BasisNumber&lt;&gt;1,VLOOKUP($A38,BasisTable,2,0),0)+M$1)/(1-M$2))</f>
        <v>34.99395804</v>
      </c>
      <c r="N38" s="1599" t="n">
        <f aca="false">IF(Assumptions!$L$25=4,VLOOKUP($A38,'Henwood Reference'!$E$9:$R$320,10),(VLOOKUP($A38,PriceTableWeekend,4,0)+IF(BasisNumber&lt;&gt;1,VLOOKUP($A38,BasisTable,2,0),0)+N$1)/(1-N$2))</f>
        <v>34.99395804</v>
      </c>
      <c r="O38" s="1568" t="n">
        <f aca="false">IF(Assumptions!$L$25=4,VLOOKUP($A38,'Henwood Reference'!$E$9:$R$320,11),(VLOOKUP($A38,PriceTableWeekend,6,0)+IF(BasisNumber&lt;&gt;1,VLOOKUP($A38,BasisTable,3,0),0)+O$1)/(1-O$2))</f>
        <v>23.27666112</v>
      </c>
      <c r="P38" s="1568" t="n">
        <f aca="false">IF(Assumptions!$L$25=4,VLOOKUP($A38,'Henwood Reference'!$E$9:$R$320,11),(VLOOKUP($A38,PriceTableWeekend,7,0)+IF(BasisNumber&lt;&gt;1,VLOOKUP($A38,BasisTable,3,0),0)+P$1)/(1-P$2))</f>
        <v>23.27666112</v>
      </c>
      <c r="Q38" s="1599" t="n">
        <f aca="false">IF(Assumptions!$L$25=4,VLOOKUP($A38,'Henwood Reference'!$E$9:$R$320,11),(VLOOKUP($A38,PriceTableWeekend,8,0)+IF(BasisNumber&lt;&gt;1,VLOOKUP($A38,BasisTable,3,0),0)+Q$1)/(1-Q$2))</f>
        <v>23.27666112</v>
      </c>
      <c r="R38" s="1568" t="n">
        <f aca="false">IF(Assumptions!$L$25=4,VLOOKUP($A38,'Henwood Reference'!$E$9:$R$320,11),(VLOOKUP($A38,PriceTable,6,0)+IF(BasisNumber&lt;&gt;1,VLOOKUP($A38,BasisTable,3,0),0)+R$1)/(1-R$2))</f>
        <v>23.27666112</v>
      </c>
      <c r="S38" s="1568" t="n">
        <f aca="false">IF(Assumptions!$L$25=4,VLOOKUP($A38,'Henwood Reference'!$E$9:$R$320,11),(VLOOKUP($A38,PriceTable,7,0)+IF(BasisNumber&lt;&gt;1,VLOOKUP($A38,BasisTable,3,0),0)+S$1)/(1-S$2))</f>
        <v>23.27666112</v>
      </c>
      <c r="T38" s="1600" t="n">
        <f aca="false">IF(Assumptions!$L$25=4,VLOOKUP($A38,'Henwood Reference'!$E$9:$R$320,11),(VLOOKUP($A38,PriceTable,8,0)+IF(BasisNumber&lt;&gt;1,VLOOKUP($A38,BasisTable,3,0),0)+T$1)/(1-T$2))</f>
        <v>23.27666112</v>
      </c>
      <c r="U38" s="1513" t="n">
        <f aca="false">VLOOKUP($A38,VolatilityTable,14)</f>
        <v>0.16</v>
      </c>
      <c r="V38" s="1513" t="n">
        <f aca="false">VLOOKUP($A38,VolatilityTable,15)</f>
        <v>0.17</v>
      </c>
      <c r="W38" s="1514" t="n">
        <f aca="false">VLOOKUP($A38,VolatilityTable,16)</f>
        <v>0.18</v>
      </c>
      <c r="X38" s="1513" t="n">
        <f aca="false">VLOOKUP($A38,VolatilityTable,14)</f>
        <v>0.16</v>
      </c>
      <c r="Y38" s="1513" t="n">
        <f aca="false">VLOOKUP($A38,VolatilityTable,15)</f>
        <v>0.17</v>
      </c>
      <c r="Z38" s="1514" t="n">
        <f aca="false">VLOOKUP($A38,VolatilityTable,16)</f>
        <v>0.18</v>
      </c>
      <c r="AA38" s="1513" t="n">
        <f aca="false">VLOOKUP($A38,VolatilityTable,18)</f>
        <v>0.09</v>
      </c>
      <c r="AB38" s="1513" t="n">
        <f aca="false">VLOOKUP($A38,VolatilityTable,19)</f>
        <v>0.11</v>
      </c>
      <c r="AC38" s="1514" t="n">
        <f aca="false">VLOOKUP($A38,VolatilityTable,20)</f>
        <v>0.13</v>
      </c>
      <c r="AD38" s="1513" t="n">
        <f aca="false">VLOOKUP($A38,VolatilityTable,18)</f>
        <v>0.09</v>
      </c>
      <c r="AE38" s="1513" t="n">
        <f aca="false">VLOOKUP($A38,VolatilityTable,19)</f>
        <v>0.11</v>
      </c>
      <c r="AF38" s="1514" t="n">
        <f aca="false">VLOOKUP($A38,VolatilityTable,20)</f>
        <v>0.13</v>
      </c>
      <c r="AG38" s="1513" t="n">
        <f aca="false">VLOOKUP($A38,VolatilityTable,22)</f>
        <v>-0.25</v>
      </c>
      <c r="AH38" s="1513" t="n">
        <f aca="false">VLOOKUP($A38,VolatilityTable,23)</f>
        <v>0.65</v>
      </c>
      <c r="AI38" s="1514" t="n">
        <f aca="false">VLOOKUP($A38,VolatilityTable,24)</f>
        <v>0.25</v>
      </c>
      <c r="AJ38" s="1513" t="n">
        <f aca="false">VLOOKUP($A38,VolatilityTable,22)</f>
        <v>-0.25</v>
      </c>
      <c r="AK38" s="1513" t="n">
        <f aca="false">VLOOKUP($A38,VolatilityTable,23)</f>
        <v>0.65</v>
      </c>
      <c r="AL38" s="1514" t="n">
        <f aca="false">VLOOKUP($A38,VolatilityTable,24)</f>
        <v>0.25</v>
      </c>
      <c r="AM38" s="1513" t="n">
        <f aca="false">VLOOKUP($A38,VolatilityTable,26)</f>
        <v>-0.01</v>
      </c>
      <c r="AN38" s="1513" t="n">
        <f aca="false">VLOOKUP($A38,VolatilityTable,27)</f>
        <v>0.16</v>
      </c>
      <c r="AO38" s="1514" t="n">
        <f aca="false">VLOOKUP($A38,VolatilityTable,28)</f>
        <v>0.01</v>
      </c>
      <c r="AP38" s="1513" t="n">
        <f aca="false">VLOOKUP($A38,VolatilityTable,26)</f>
        <v>-0.01</v>
      </c>
      <c r="AQ38" s="1513" t="n">
        <f aca="false">VLOOKUP($A38,VolatilityTable,27)</f>
        <v>0.16</v>
      </c>
      <c r="AR38" s="1515" t="n">
        <f aca="false">VLOOKUP($A38,VolatilityTable,28)</f>
        <v>0.01</v>
      </c>
      <c r="AS38" s="1581" t="n">
        <f aca="false">IF(CorrPeakOffPeakOverFlag,INDEX(CorrPeakOffPeakOver,C38),CorrPeakOffPeak)</f>
        <v>0.5</v>
      </c>
      <c r="AT38" s="594" t="n">
        <f aca="false">AX38-SUM(AU38:AW38)</f>
        <v>0</v>
      </c>
      <c r="AU38" s="238" t="n">
        <f aca="false">IF(E38="",0,INT((F38-MOD(F38,7)-E38)/7)+1-IF(AW38,IF(WEEKDAY(D38)=7,1,0),0))</f>
        <v>0</v>
      </c>
      <c r="AV38" s="238" t="n">
        <f aca="false">IF(E38="",0,INT((F38-MOD(F38-1,7)-E38)/7)+1-IF(AW38,IF(WEEKDAY(D38)=1,1,0),0))</f>
        <v>0</v>
      </c>
      <c r="AW38" s="238" t="n">
        <f aca="false">IF(OR(E38="",D38="",D38&lt;BegDate,D38&gt;EndDate),0,1)</f>
        <v>0</v>
      </c>
      <c r="AX38" s="238" t="n">
        <f aca="false">IF(E38="",0,F38-E38+1)</f>
        <v>0</v>
      </c>
      <c r="AY38" s="1582" t="n">
        <f aca="false">IF(E38="",0,MIN((1-(1-VLOOKUP(B38,MAIN!$AA$7:$AM$28,C38+1))*(1-VLOOKUP(B38,MAIN!$AA$33:$AM$54,C38+1))),1))</f>
        <v>0</v>
      </c>
      <c r="AZ38" s="1519" t="e">
        <v>#VALUE!</v>
      </c>
      <c r="BA38" s="1520" t="e">
        <v>#VALUE!</v>
      </c>
      <c r="BB38" s="1520" t="e">
        <v>#VALUE!</v>
      </c>
      <c r="BC38" s="1583" t="e">
        <v>#VALUE!</v>
      </c>
      <c r="BD38" s="1522" t="e">
        <v>#VALUE!</v>
      </c>
      <c r="BE38" s="1523" t="e">
        <v>#VALUE!</v>
      </c>
      <c r="BF38" s="1523" t="e">
        <v>#VALUE!</v>
      </c>
      <c r="BG38" s="1584" t="e">
        <v>#VALUE!</v>
      </c>
      <c r="BH38" s="1525" t="e">
        <v>#VALUE!</v>
      </c>
      <c r="BI38" s="1520" t="e">
        <v>#VALUE!</v>
      </c>
      <c r="BJ38" s="1520" t="e">
        <v>#VALUE!</v>
      </c>
      <c r="BK38" s="1583" t="e">
        <v>#VALUE!</v>
      </c>
      <c r="BL38" s="1522" t="e">
        <v>#VALUE!</v>
      </c>
      <c r="BM38" s="1523" t="e">
        <v>#VALUE!</v>
      </c>
      <c r="BN38" s="1523" t="e">
        <v>#VALUE!</v>
      </c>
      <c r="BO38" s="1523" t="e">
        <v>#VALUE!</v>
      </c>
      <c r="BP38" s="1525" t="e">
        <f aca="false">SUM(AZ38:BB38)</f>
        <v>#VALUE!</v>
      </c>
      <c r="BQ38" s="1529" t="e">
        <f aca="false">SUM(AZ38:BC38)</f>
        <v>#VALUE!</v>
      </c>
      <c r="BR38" s="1519" t="e">
        <f aca="false">SUM(BH38:BJ38)</f>
        <v>#VALUE!</v>
      </c>
      <c r="BS38" s="1529" t="e">
        <f aca="false">SUM(BH38:BK38)</f>
        <v>#VALUE!</v>
      </c>
      <c r="BT38" s="1316" t="n">
        <f aca="false">(IF(OVolType&lt;&gt;2,A38+14,IF(OptExpDateShift,ShiftBack(A38,OptExpDateShift,D37),A38))-DateToday)/365.25</f>
        <v>1.80150581793292</v>
      </c>
      <c r="BU38" s="1585" t="e">
        <f aca="false">IF(BQ38,IF(OPriceCurve,IF(OBuySell=OCallPut,I38/(1-AY38),K38/(1-AY38)),J38/(1-AY38))*BD38,0)</f>
        <v>#VALUE!</v>
      </c>
      <c r="BV38" s="1316" t="e">
        <f aca="false">IF(BQ38,IF(OPriceCurve,IF(OBuySell=OCallPut,L38/(1-AY38),N38/(1-AY38)),M38/(1-AY38))*BE38,0)</f>
        <v>#VALUE!</v>
      </c>
      <c r="BW38" s="1316" t="e">
        <f aca="false">IF(BQ38,IF(OPriceCurve,IF(OBuySell=OCallPut,O38/(1-AY38),Q38/(1-AY38)),P38/(1-AY38))*BF38,0)</f>
        <v>#VALUE!</v>
      </c>
      <c r="BX38" s="1316" t="e">
        <f aca="false">IF(BQ38,IF(OPriceCurve,IF(OBuySell=OCallPut,R38/(1-AY38),T38/(1-AY38)),S38/(1-AY38))*BG38,0)</f>
        <v>#VALUE!</v>
      </c>
      <c r="BY38" s="1316" t="e">
        <f aca="false">IF(BP38,(BU38*AZ38+BV38*BA38+BW38*BB38)/BP38,0)</f>
        <v>#VALUE!</v>
      </c>
      <c r="BZ38" s="1316" t="e">
        <f aca="false">IF(BQ38,(BY38*BP38+BX38*BC38)/BQ38,0)</f>
        <v>#VALUE!</v>
      </c>
      <c r="CA38" s="1531" t="e">
        <f aca="false">IF(BS38,IF(OPriceCurve,IF(OBuySell=OCallPut,I38/(1-AY38),K38/(1-AY38)),J38/(1-AY38))*BL38,0)</f>
        <v>#VALUE!</v>
      </c>
      <c r="CB38" s="1316" t="e">
        <f aca="false">IF(BS38,IF(OPriceCurve,IF(OBuySell=OCallPut,L38/(1-AY38),N38/(1-AY38)),M38/(1-AY38))*BM38,0)</f>
        <v>#VALUE!</v>
      </c>
      <c r="CC38" s="1316" t="e">
        <f aca="false">IF(BS38,IF(OPriceCurve,IF(OBuySell=OCallPut,O38/(1-AY38),Q38/(1-AY38)),P38/(1-AY38))*BN38,0)</f>
        <v>#VALUE!</v>
      </c>
      <c r="CD38" s="1316" t="e">
        <f aca="false">IF(BS38,IF(OPriceCurve,IF(OBuySell=OCallPut,R38/(1-AY38),T38/(1-AY38)),S38/(1-AY38))*BO38,0)</f>
        <v>#VALUE!</v>
      </c>
      <c r="CE38" s="1316" t="e">
        <f aca="false">IF(BR38,(BU38*BH38+BV38*BI38+BW38*BJ38)/BR38,0)</f>
        <v>#VALUE!</v>
      </c>
      <c r="CF38" s="1532" t="e">
        <f aca="false">IF(BS38,(CE38*BR38+CD38*BK38)/BS38,0)</f>
        <v>#VALUE!</v>
      </c>
      <c r="CG38" s="1586" t="e">
        <f aca="false">IF(OR(BQ38,BS38),IF(OVolType&lt;&gt;2,SQRT(IF(OVolOverMonthlyPeak,OVolOverMonthlyPeak,IF(OVolCurve,IF(OBuySell,U38,W38),V38))^2*(1-15/365.25/BT38)+IF(OVolOverDailyPeak,OVolOverDailyPeak,IF(OVolCurve,IF(OBuySell,AG38,AI38),AH38))^2*15/365.25/BT38),IF(OVolOverMonthlyPeak,OVolOverMonthlyPeak,IF(OVolCurve,IF(OBuySell,U38,W38),V38))),"")</f>
        <v>#VALUE!</v>
      </c>
      <c r="CH38" s="1587" t="e">
        <f aca="false">IF(OR(BQ38,BS38),IF(OVolType&lt;&gt;2,SQRT(IF(OVolOverMonthlyPeak,OVolOverMonthlyPeak,IF(OVolCurve,IF(OBuySell,X38,Z38),Y38))^2*(1-15/365.25/BT38)+IF(OVolOverDailyPeak,OVolOverDailyPeak,IF(OVolCurve,IF(OBuySell,AJ38,AL38),AK38))^2*15/365.25/BT38),IF(OVolOverMonthlyPeak,OVolOverMonthlyPeak,IF(OVolCurve,IF(OBuySell,X38,Z38),Y38))),"")</f>
        <v>#VALUE!</v>
      </c>
      <c r="CI38" s="1587" t="e">
        <f aca="false">IF(OR(BQ38,BS38),IF(OVolType&lt;&gt;2,SQRT(IF(OVolOverMonthlyPeak,OVolOverMonthlyPeak,IF(OVolCurve,IF(OBuySell,AA38,AC38),AB38))^2*(1-15/365.25/BT38)+IF(OVolOverDailyPeak,OVolOverDailyPeak,IF(OVolCurve,IF(OBuySell,AM38,AO38),AN38))^2*15/365.25/BT38),IF(OVolOverMonthlyPeak,OVolOverMonthlyPeak,IF(OVolCurve,IF(OBuySell,AA38,AC38),AB38))),"")</f>
        <v>#VALUE!</v>
      </c>
      <c r="CJ38" s="1587" t="e">
        <f aca="false">IF(BQ38,IF(BP38,SQRT(LN(1+((BU38*AZ38)^2*(EXP(CG38^2*BT38)-1)+(BV38*BA38)^2*(EXP(CH38^2*BT38)-1)+(BW38*BB38)^2*(EXP(CI38^2*BT38)-1)+2*BU38*AZ38*BV38*BA38*(EXP(CG38*CH38*BT38)-1)+2*BV38*BA38*BW38*BB38*(EXP(CH38*CI38*BT38)-1)+2*BW38*BB38*BU38*AZ38*(EXP(CI38*CG38*BT38)-1))/(BY38*BP38)^2)/BT38),0),"")</f>
        <v>#VALUE!</v>
      </c>
      <c r="CK38" s="1587" t="e">
        <f aca="false">IF(BS38,IF(BR38,SQRT(LN(1+((CA38*BH38)^2*(EXP(CG38^2*BT38)-1)+(CB38*BI38)^2*(EXP(CH38^2*BT38)-1)+(CC38*BJ38)^2*(EXP(CI38^2*BT38)-1)+2*CA38*BH38*CB38*BI38*(EXP(CG38*CH38*BT38)-1)+2*CB38*BI38*CC38*BJ38*(EXP(CH38*CI38*BT38)-1)+2*CC38*BJ38*CA38*BH38*(EXP(CI38*CG38*BT38)-1))/(CE38*BR38)^2)/BT38),0),"")</f>
        <v>#VALUE!</v>
      </c>
      <c r="CL38" s="1587" t="e">
        <f aca="false">IF(OR(BQ38,BS38),IF(OVolType&lt;&gt;2,SQRT(IF(OVolOverMonthlyOffPeak,OVolOverMonthlyOffPeak,IF(OVolCurve,IF(OBuySell,AD38,AF38),AE38))^2*(1-15/365.25/BT38)+IF(OVolOverDailyOffPeak,OVolOverDailyOffPeak,IF(OVolCurve,IF(OBuySell,AP38,AR38),AQ38))^2*15/365.25/BT38),IF(OVolOverMonthlyOffPeak,OVolOverMonthlyOffPeak,IF(OVolCurve,IF(OBuySell,AD38,AF38),AE38))),"")</f>
        <v>#VALUE!</v>
      </c>
      <c r="CM38" s="1587" t="e">
        <f aca="false">IF(BQ38,SQRT(LN(1+((BY38*BP38)^2*(EXP(CJ38^2*BT38)-1)+(BX38*BC38)^2*(EXP(CL38^2*BT38)-1)+2*BY38*BP38*BX38*BC38*(EXP(AS38*CJ38*CL38*BT38)-1))/(BY38*BP38+BX38*BC38)^2)/BT38),"")</f>
        <v>#VALUE!</v>
      </c>
      <c r="CN38" s="1588" t="e">
        <f aca="false">IF(BS38,SQRT(LN(1+((CE38*BR38)^2*(EXP(CK38^2*BT38)-1)+(CD38*BK38)^2*(EXP(CL38^2*BT38)-1)+2*CE38*BR38*CD38*BK38*(EXP(AS38*CK38*CL38*BT38)-1))/(CE38*BR38+CD38*BK38)^2)/BT38),"")</f>
        <v>#VALUE!</v>
      </c>
      <c r="CO38" s="1531" t="e">
        <f aca="false">IF(OR(BQ38,BS38),VLOOKUP(A38,GasTable,13)*HeatRatePeak*(1+VLOOKUP($B38,HeatRateDegradation,$C38+1))/1000,0)</f>
        <v>#VALUE!</v>
      </c>
      <c r="CP38" s="1316" t="e">
        <f aca="false">IF(OR(BQ38,BS38),VLOOKUP(A38,GasTable,13)*HeatRatePeak*(1+VLOOKUP($B38,HeatRateDegradation,$C38+1))/1000,0)</f>
        <v>#VALUE!</v>
      </c>
      <c r="CQ38" s="1316" t="e">
        <f aca="false">IF(OR(BQ38,BS38),VLOOKUP(A38,GasTable,13)*IF(EV38,HeatRatePeak,HeatRateOffPeak)*(1+VLOOKUP($B38,HeatRateDegradation,$C38+1))/1000,0)</f>
        <v>#VALUE!</v>
      </c>
      <c r="CR38" s="1316" t="e">
        <f aca="false">IF(OR(BQ38,BS38),VLOOKUP(A38,GasTable,13)*IF(EW38,HeatRatePeak,HeatRateOffPeak)*(1+VLOOKUP($B38,HeatRateDegradation,$C38+1))/1000,0)</f>
        <v>#VALUE!</v>
      </c>
      <c r="CS38" s="1589" t="e">
        <f aca="false">IF(BQ38,(CO38*AZ38+CP38*BA38+CQ38*BB38+CR38*BC38)/BQ38,0)</f>
        <v>#VALUE!</v>
      </c>
      <c r="CT38" s="1316" t="e">
        <f aca="false">IF(BS38,CO38,0)</f>
        <v>#VALUE!</v>
      </c>
      <c r="CU38" s="1590" t="e">
        <f aca="false">IF(OR(BQ38,BS38),VLOOKUP(A38,GasTable,14),"")</f>
        <v>#VALUE!</v>
      </c>
      <c r="CV38" s="1568" t="e">
        <f aca="false">IF(OR(BQ38,BS38),IF(CorrPowerGasOverFlag,INDEX(CorrPowerGasOver,C38),CorrPowerGas),"")</f>
        <v>#VALUE!</v>
      </c>
      <c r="CW38" s="1316" t="e">
        <f aca="false">IF(OR($BQ38,$BS38),SpreadOptPowerMargin,0)*((1+Assumptions!$C$26)^($B38-YEAR(Assumptions!$C$17)))</f>
        <v>#VALUE!</v>
      </c>
      <c r="CX38" s="1316" t="e">
        <f aca="false">IF(OR($BQ38,$BS38),SpreadOptPowerMargin,0)*((1+Assumptions!$C$26)^($B38-YEAR(Assumptions!$C$17)))</f>
        <v>#VALUE!</v>
      </c>
      <c r="CY38" s="1316" t="e">
        <f aca="false">IF(OR($BQ38,$BS38),SpreadOptPowerMargin,0)*((1+Assumptions!$C$26)^($B38-YEAR(Assumptions!$C$17)))</f>
        <v>#VALUE!</v>
      </c>
      <c r="CZ38" s="1316" t="e">
        <f aca="false">IF(OR($BQ38,$BS38),SpreadOptPowerMargin,0)*((1+Assumptions!$C$26)^($B38-YEAR(Assumptions!$C$17)))</f>
        <v>#VALUE!</v>
      </c>
      <c r="DA38" s="1591" t="e">
        <f aca="false">IF(OR(BQ38,BS38),(CW38*(AZ38+BH38)+CX38*(BA38+BI38)+CY38*(BB38+BJ38)+CZ38*(BC38+BK38))/(BQ38+BS38),0)</f>
        <v>#VALUE!</v>
      </c>
      <c r="DB38" s="1592" t="e">
        <f aca="false">IF(OR(BQ38,BS38),CG38+IF(OVolSmile,VLOOKUP(MAX(-5,CO38+CW38-BU38),IF(OVolSmile=1,VolSmileBook,VolSmileModel),2),0),"")</f>
        <v>#VALUE!</v>
      </c>
      <c r="DC38" s="1592" t="e">
        <f aca="false">IF(OR(BQ38,BS38),CH38+IF(OVolSmile,VLOOKUP(MAX(-5,CP38+CW38-BV38),IF(OVolSmile=1,VolSmileBook,VolSmileModel),2),0),"")</f>
        <v>#VALUE!</v>
      </c>
      <c r="DD38" s="1592" t="e">
        <f aca="false">IF(OR(BQ38,BS38),CI38+IF(OVolSmile,VLOOKUP(MAX(-5,CQ38+CW38-BW38),IF(OVolSmile=1,VolSmileBook,VolSmileModel),2),0),"")</f>
        <v>#VALUE!</v>
      </c>
      <c r="DE38" s="1592" t="e">
        <f aca="false">IF(OR(BQ38,BS38),CL38+IF(OVolSmile,VLOOKUP(MAX(-5,CR38+CZ38-BX38),IF(OVolSmile=1,VolSmileBook,VolSmileModel),2),0),"")</f>
        <v>#VALUE!</v>
      </c>
      <c r="DF38" s="1592" t="e">
        <f aca="false">IF(BQ38,CM38+IF(OVolSmile,VLOOKUP(MAX(-5,CS38+DA38-BZ38),IF(OVolSmile=1,VolSmileBook,VolSmileModel),2),0),"")</f>
        <v>#VALUE!</v>
      </c>
      <c r="DG38" s="1593" t="e">
        <f aca="false">IF(BS38,CN38+IF(OVolSmile,VLOOKUP(MAX(-5,CT38+DA38-CF38),IF(OVolSmile=1,VolSmileBook,VolSmileModel),2),0),"")</f>
        <v>#VALUE!</v>
      </c>
      <c r="DH38" s="1316" t="e">
        <f aca="false">IF(AND(BU38&gt;0,CO38&gt;0,DB38&gt;0,CU38&gt;0),newSPRDOPT(BU38,CO38,CW38,0,DB38,CU38,CV38,BT38*365.25,OCallPut,0),0)</f>
        <v>#VALUE!</v>
      </c>
      <c r="DI38" s="1316" t="e">
        <f aca="false">IF(AND(BV38&gt;0,CP38&gt;0,DC38&gt;0,CU38&gt;0),newSPRDOPT(BV38,CP38,CX38,0,DC38,CU38,CV38,BT38*365.25,OCallPut,0),0)</f>
        <v>#VALUE!</v>
      </c>
      <c r="DJ38" s="1316" t="e">
        <f aca="false">IF(AND(BW38&gt;0,CQ38&gt;0,DD38&gt;0,CU38&gt;0),newSPRDOPT(BW38,CQ38,CY38,0,DD38,CU38,CV38,BT38*365.25,OCallPut,0),0)</f>
        <v>#VALUE!</v>
      </c>
      <c r="DK38" s="1316" t="e">
        <f aca="false">IF(AND(BX38&gt;0,CR38&gt;0,DE38&gt;0,CU38&gt;0),newSPRDOPT(BX38,CR38,CZ38,0,DE38,CU38,CV38,BT38*365.25,OCallPut,0),0)</f>
        <v>#VALUE!</v>
      </c>
      <c r="DL38" s="1316" t="e">
        <f aca="false">IF(OVolType,IF(AND(BZ38&gt;0,CS38&gt;0,DF38&gt;0,CU38&gt;0),newSPRDOPT(BZ38,CS38,DA38,0,DF38,CU38,CV38,BT38*365.25,OCallPut,0),0),IF(BQ38,(DH38*AZ38+DI38*BA38+DJ38*BB38+DK38*BC38)/BQ38,0))</f>
        <v>#VALUE!</v>
      </c>
      <c r="DM38" s="1316"/>
      <c r="DN38" s="1316"/>
      <c r="DO38" s="1316"/>
      <c r="DP38" s="1316"/>
      <c r="DQ38" s="1316"/>
      <c r="DR38" s="1316"/>
      <c r="DS38" s="1316"/>
      <c r="DT38" s="1316"/>
      <c r="DU38" s="1316"/>
      <c r="DV38" s="1316"/>
      <c r="DW38" s="1594" t="e">
        <f aca="false">IF(AND(BW38&gt;0,CT38&gt;0,DD38&gt;0,CU38&gt;0),newSPRDOPT(BW38,CT38,CY38,0,DD38,CU38,CV38,BT38*365.25,OCallPut,0),0)</f>
        <v>#VALUE!</v>
      </c>
      <c r="DX38" s="1316" t="e">
        <f aca="false">IF(AND(BX38&gt;0,CT38&gt;0,DE38&gt;0,CU38&gt;0),newSPRDOPT(BX38,CT38,CZ38,0,DE38,CU38,CV38,BT38*365.25,OCallPut,0),0)</f>
        <v>#VALUE!</v>
      </c>
      <c r="DY38" s="1591" t="e">
        <f aca="false">IF(BS38,(DH38*BH38+DI38*BI38+DW38*BJ38+DX38*BK38)/BS38,0)</f>
        <v>#VALUE!</v>
      </c>
      <c r="DZ38" s="1551" t="e">
        <f aca="false">DH38*AZ38</f>
        <v>#VALUE!</v>
      </c>
      <c r="EA38" s="1551" t="e">
        <f aca="false">DI38*BA38</f>
        <v>#VALUE!</v>
      </c>
      <c r="EB38" s="1551" t="e">
        <f aca="false">DJ38*BB38</f>
        <v>#VALUE!</v>
      </c>
      <c r="EC38" s="1551" t="e">
        <f aca="false">DK38*BC38</f>
        <v>#VALUE!</v>
      </c>
      <c r="ED38" s="1551" t="e">
        <f aca="false">DL38*BQ38</f>
        <v>#VALUE!</v>
      </c>
      <c r="EE38" s="1595" t="e">
        <f aca="false">IF(BQ38,IF(OCallPut,IF(BU38&gt;(CO38+CW38),BU38-(CO38+CW38),0),IF((CO38+CW38)&gt;BU38,(CO38+CW38)-BU38,0))*AZ38,0)</f>
        <v>#VALUE!</v>
      </c>
      <c r="EF38" s="1596" t="e">
        <f aca="false">IF(BQ38,IF(OCallPut,IF(BV38&gt;(CP38+CX38),BV38-(CP38+CX38),0),IF((CP38+CX38)&gt;BV38,(CP38+CX38)-BV38,0))*BA38,0)</f>
        <v>#VALUE!</v>
      </c>
      <c r="EG38" s="1596" t="e">
        <f aca="false">IF(BQ38,IF(OCallPut,IF(BW38&gt;(CQ38+CY38),BW38-(CQ38+CY38),0),IF((CQ38+CY38)&gt;BW38,(CQ38+CY38)-BW38,0))*BB38,0)</f>
        <v>#VALUE!</v>
      </c>
      <c r="EH38" s="1596" t="e">
        <f aca="false">IF(BQ38,IF(OCallPut,IF(BX38&gt;(CR38+CZ38),BX38-(CR38+CZ38),0),IF((CR38+CZ38)&gt;BX38,(CR38+CZ38)-BX38,0))*BC38,0)</f>
        <v>#VALUE!</v>
      </c>
      <c r="EI38" s="1597" t="e">
        <f aca="false">IF(BQ38,IF(OVolType,IF(OCallPut,IF(BZ38&gt;(CS38+DA38),BZ38-(CS38+DA38),0),IF((CS38+DA38)&gt;BZ38,(CS38+DA38)-BZ38,0))*BQ38,SUM(EE38:EH38)),0)</f>
        <v>#VALUE!</v>
      </c>
      <c r="EJ38" s="1595" t="e">
        <f aca="false">DZ38-EE38</f>
        <v>#VALUE!</v>
      </c>
      <c r="EK38" s="1596" t="e">
        <f aca="false">EA38-EF38</f>
        <v>#VALUE!</v>
      </c>
      <c r="EL38" s="1596" t="e">
        <f aca="false">EB38-EG38</f>
        <v>#VALUE!</v>
      </c>
      <c r="EM38" s="1596" t="e">
        <f aca="false">EC38-EH38</f>
        <v>#VALUE!</v>
      </c>
      <c r="EN38" s="1597" t="e">
        <f aca="false">ED38-EI38</f>
        <v>#VALUE!</v>
      </c>
      <c r="EO38" s="1551" t="e">
        <f aca="false">DH38*BH38</f>
        <v>#VALUE!</v>
      </c>
      <c r="EP38" s="1551" t="e">
        <f aca="false">DI38*BI38</f>
        <v>#VALUE!</v>
      </c>
      <c r="EQ38" s="1551" t="e">
        <f aca="false">DW38*BJ38</f>
        <v>#VALUE!</v>
      </c>
      <c r="ER38" s="1551" t="e">
        <f aca="false">DX38*BK38</f>
        <v>#VALUE!</v>
      </c>
      <c r="ES38" s="1551" t="e">
        <f aca="false">DY38*BS38</f>
        <v>#VALUE!</v>
      </c>
      <c r="ET38" s="1566" t="e">
        <f aca="false">IF(BS38,IF(OCallPut,IF(CA38&gt;(CT38+CW38),CA38-(CT38+CW38),0),IF((CT38+CW38)&gt;CA38,(CT38+CW38)-CA38,0))*BH38,0)</f>
        <v>#VALUE!</v>
      </c>
      <c r="EU38" s="1551" t="e">
        <f aca="false">IF(BS38,IF(OCallPut,IF(CB38&gt;(CT38+CX38),CB38-(CT38+CX38),0),IF((CT38+CX38)&gt;CB38,(CT38+CX38)-CB38,0))*BI38,0)</f>
        <v>#VALUE!</v>
      </c>
      <c r="EV38" s="1551" t="e">
        <f aca="false">IF(BS38,IF(OCallPut,IF(CC38&gt;(CT38+CY38),CC38-(CT38+CY38),0),IF((CT38+CY38)&gt;CC38,(CT38+CY38)-CC38,0))*BJ38,0)</f>
        <v>#VALUE!</v>
      </c>
      <c r="EW38" s="1551" t="e">
        <f aca="false">IF(BS38,IF(OCallPut,IF(CD38&gt;(CT38+CZ38),CD38-(CT38+CZ38),0),IF((CT38+CZ38)&gt;CD38,(CT38+CZ38)-CD38,0))*BK38,0)</f>
        <v>#VALUE!</v>
      </c>
      <c r="EX38" s="1558" t="e">
        <f aca="false">IF(BS38,SUM(ET38:EW38),0)</f>
        <v>#VALUE!</v>
      </c>
      <c r="EY38" s="1551" t="e">
        <f aca="false">EO38-ET38</f>
        <v>#VALUE!</v>
      </c>
      <c r="EZ38" s="1551" t="e">
        <f aca="false">EP38-EU38</f>
        <v>#VALUE!</v>
      </c>
      <c r="FA38" s="1551" t="e">
        <f aca="false">EQ38-EV38</f>
        <v>#VALUE!</v>
      </c>
      <c r="FB38" s="1551" t="e">
        <f aca="false">ER38-EW38</f>
        <v>#VALUE!</v>
      </c>
      <c r="FC38" s="1551" t="e">
        <f aca="false">ES38-EX38</f>
        <v>#VALUE!</v>
      </c>
      <c r="FD38" s="1525" t="n">
        <f aca="false">IF(AX38,IF(VLOOKUP(C38,MAIN!$L$17:$M$28,2)="Yes",VLOOKUP(CALC!B38,MAIN!$H$17:$I$20,2),0),0)</f>
        <v>0</v>
      </c>
      <c r="FE38" s="1552" t="n">
        <f aca="false">$FD38*16*AT38*(1-$AY38)</f>
        <v>0</v>
      </c>
      <c r="FF38" s="1553" t="n">
        <f aca="false">$FD38*16*AU38*(1-$AY38)</f>
        <v>0</v>
      </c>
      <c r="FG38" s="1553" t="n">
        <f aca="false">$FD38*16*(AV38+AW38)*(1-$AY38)</f>
        <v>0</v>
      </c>
      <c r="FH38" s="1554" t="n">
        <f aca="false">$FD38*8*AX38*(1-$AY38)</f>
        <v>0</v>
      </c>
      <c r="FI38" s="1555" t="n">
        <f aca="false">IF(AX38,VLOOKUP(CALC!B38,MAIN!$H$17:$K$20,4),0)</f>
        <v>0</v>
      </c>
      <c r="FJ38" s="1553" t="n">
        <f aca="false">SUM(FE38:FH38)</f>
        <v>0</v>
      </c>
      <c r="FK38" s="1556" t="n">
        <f aca="false">FI38*FJ38</f>
        <v>0</v>
      </c>
      <c r="FL38" s="1551" t="e">
        <f aca="false">IF($EI38&gt;0,MIN(FE38,AZ38*(1+VLOOKUP($C38,WeatherCapacityAdjustment,2))),0)</f>
        <v>#VALUE!</v>
      </c>
      <c r="FM38" s="1551" t="e">
        <f aca="false">IF($EI38&gt;0,MIN(FF38,BA38*(1+VLOOKUP($C38,WeatherCapacityAdjustment,2))),0)</f>
        <v>#VALUE!</v>
      </c>
      <c r="FN38" s="1551" t="e">
        <f aca="false">IF($EI38&gt;0,MIN(FG38,BB38*(1+VLOOKUP($C38,WeatherCapacityAdjustment,2))),0)</f>
        <v>#VALUE!</v>
      </c>
      <c r="FO38" s="1564" t="e">
        <f aca="false">IF($EI38&gt;0,MIN(FH38,BC38*(1+VLOOKUP($C38,WeatherCapacityAdjustment,3))),0)</f>
        <v>#VALUE!</v>
      </c>
      <c r="FP38" s="1551" t="e">
        <f aca="false">IF(ET38&gt;0,MIN(FE38-FL38,BH38*(1+VLOOKUP($C38,WeatherCapacityAdjustment,2))),0)</f>
        <v>#VALUE!</v>
      </c>
      <c r="FQ38" s="1551" t="e">
        <f aca="false">IF(EU38&gt;0,MIN(FF38-FM38,BI38*(1+VLOOKUP($C38,WeatherCapacityAdjustment,2))),0)</f>
        <v>#VALUE!</v>
      </c>
      <c r="FR38" s="1551" t="e">
        <f aca="false">IF(EV38&gt;0,MIN(FG38-FN38,BJ38*(1+VLOOKUP($C38,WeatherCapacityAdjustment,2))),0)</f>
        <v>#VALUE!</v>
      </c>
      <c r="FS38" s="1558" t="e">
        <f aca="false">IF(EW38&gt;0,MIN(FH38-FO38,BK38*(1+VLOOKUP($C38,WeatherCapacityAdjustment,3))),0)</f>
        <v>#VALUE!</v>
      </c>
      <c r="FT38" s="1566" t="n">
        <f aca="false">IF(AND(Assumptions!$H$71="Yes",A38&gt;=Assumptions!$H$72,A38&lt;=Assumptions!$H$73),0,IF(AND($A38&gt;=Assumptions!$C$17,$A38&lt;=Assumptions!$C$18),MAX(AZ38*(1+VLOOKUP($C38,WeatherCapacityAdjustment,2))-FL38,0),0))</f>
        <v>0</v>
      </c>
      <c r="FU38" s="1551" t="n">
        <f aca="false">IF(AND(Assumptions!$H$71="Yes",A38&gt;=Assumptions!$H$72,A38&lt;=Assumptions!$H$73),0,IF(AND($A38&gt;=Assumptions!$C$17,$A38&lt;=Assumptions!$C$18),MAX(BA38*(1+VLOOKUP($C38,WeatherCapacityAdjustment,2))-FM38,0),0))</f>
        <v>0</v>
      </c>
      <c r="FV38" s="1551" t="n">
        <f aca="false">IF(AND(Assumptions!$H$71="Yes",A38&gt;=Assumptions!$H$72,A38&lt;=Assumptions!$H$73),0,IF(AND($A38&gt;=Assumptions!$C$17,$A38&lt;=Assumptions!$C$18),MAX(BB38*(1+VLOOKUP($C38,WeatherCapacityAdjustment,2))-FN38,0),0))</f>
        <v>0</v>
      </c>
      <c r="FW38" s="1564" t="n">
        <f aca="false">IF(AND(Assumptions!$H$71="Yes",A38&gt;=Assumptions!$H$72,A38&lt;=Assumptions!$H$73),0,IF(AND($A38&gt;=Assumptions!$C$17,$A38&lt;=Assumptions!$C$18),MAX(BC38*(1+VLOOKUP($C38,WeatherCapacityAdjustment,3))-FO38,0),0))</f>
        <v>0</v>
      </c>
      <c r="FX38" s="1569" t="e">
        <f aca="false">IF(AND(Assumptions!$H$71="Yes",A38&gt;=Assumptions!$H$72,A38&lt;=Assumptions!$H$73),0,IF(ET38&gt;0,MAX(BH38*(1+VLOOKUP($C38,WeatherCapacityAdjustment,2))-FP38,0),0))</f>
        <v>#VALUE!</v>
      </c>
      <c r="FY38" s="1551" t="e">
        <f aca="false">IF(AND(Assumptions!$H$71="Yes",A38&gt;=Assumptions!$H$72,A38&lt;=Assumptions!$H$73),0,IF(EU38&gt;0,MAX(BI38*(1+VLOOKUP($C38,WeatherCapacityAdjustment,3))-FQ38,0),0))</f>
        <v>#VALUE!</v>
      </c>
      <c r="FZ38" s="1551" t="e">
        <f aca="false">IF(AND(Assumptions!$H$71="Yes",A38&gt;=Assumptions!$H$72,A38&lt;=Assumptions!$H$73),0,IF(EV38&gt;0,MAX(BJ38*(1+VLOOKUP($C38,WeatherCapacityAdjustment,2))-FR38,0),0))</f>
        <v>#VALUE!</v>
      </c>
      <c r="GA38" s="1564" t="e">
        <f aca="false">IF(AND(Assumptions!$H$71="Yes",A38&gt;=Assumptions!$H$72,A38&lt;=Assumptions!$H$73),0,IF(EW38&gt;0,MAX(BK38*(1+VLOOKUP($C38,WeatherCapacityAdjustment,2))-FS38,0),0))</f>
        <v>#VALUE!</v>
      </c>
      <c r="GB38" s="1551" t="e">
        <f aca="false">SUM(FT38:GA38)</f>
        <v>#VALUE!</v>
      </c>
      <c r="GC38" s="1563" t="e">
        <f aca="false">+IF(SUM(FT38:GA38)=0,0,(SUMPRODUCT(BU38:BX38,FT38:FW38)+SUMPRODUCT(CA38:CD38,FX38:GA38))/SUM(FT38:GA38))</f>
        <v>#VALUE!</v>
      </c>
      <c r="GD38" s="1551" t="e">
        <f aca="false">(FT38*BU38+FX38*CA38+FU38*BV38+FY38*CB38+FV38*BW38+FZ38*CC38+FW38*BX38+GA38*CD38)</f>
        <v>#VALUE!</v>
      </c>
      <c r="GE38" s="1561" t="e">
        <f aca="false">+IF(BQ38,((FL38+FM38+FT38+FU38)*HeatRatePeak/1000*(1+VLOOKUP($C38,WeatherHeatRateAdjustment,2))+(FN38+FV38)*IF(EV38&gt;0,HeatRatePeak,HeatRateOffPeak)/1000*(1+VLOOKUP($C38,WeatherHeatRateAdjustment,2))+(FO38+FW38)*IF(EW38&gt;0,HeatRatePeak,HeatRateOffPeak)/1000*(1+VLOOKUP($C38,WeatherHeatRateAdjustment,3)))*(1+VLOOKUP($B38,HeatRateDegradation,$C38+1)),0)</f>
        <v>#VALUE!</v>
      </c>
      <c r="GF38" s="1562" t="e">
        <f aca="false">IF(BQ38,((FP38+FQ38+FR38+FX38+FY38+FZ38)*HeatRatePeak/1000*(1+VLOOKUP($C38,WeatherHeatRateAdjustment,2))+(FS38+GA38)*HeatRatePeak/1000*(1+VLOOKUP($C38,WeatherHeatRateAdjustment,3)))*(1+VLOOKUP($B38,HeatRateDegradation,$C38+1)),0)</f>
        <v>#VALUE!</v>
      </c>
      <c r="GG38" s="1563" t="e">
        <f aca="false">IF(BQ38,VLOOKUP(A38,GasTable,13),0)</f>
        <v>#VALUE!</v>
      </c>
      <c r="GH38" s="1564" t="e">
        <f aca="false">(GE38+GF38)*GG38</f>
        <v>#VALUE!</v>
      </c>
      <c r="GI38" s="1569" t="e">
        <f aca="false">GB38</f>
        <v>#VALUE!</v>
      </c>
      <c r="GJ38" s="1598" t="e">
        <f aca="false">+DA38</f>
        <v>#VALUE!</v>
      </c>
      <c r="GK38" s="1558" t="e">
        <f aca="false">+GI38*GJ38</f>
        <v>#VALUE!</v>
      </c>
      <c r="GL38" s="1566" t="e">
        <f aca="false">MAX(FE38-FL38-FP38,0)</f>
        <v>#VALUE!</v>
      </c>
      <c r="GM38" s="1551" t="e">
        <f aca="false">MAX(FF38-FM38-FQ38,0)</f>
        <v>#VALUE!</v>
      </c>
      <c r="GN38" s="1551" t="e">
        <f aca="false">MAX(FG38-FN38-FR38,0)</f>
        <v>#VALUE!</v>
      </c>
      <c r="GO38" s="1564" t="e">
        <f aca="false">MAX(FH38-FO38-FS38,0)</f>
        <v>#VALUE!</v>
      </c>
      <c r="GP38" s="1551" t="e">
        <f aca="false">SUM(GL38:GO38)</f>
        <v>#VALUE!</v>
      </c>
      <c r="GQ38" s="1563" t="e">
        <f aca="false">IF(SUM(GL38:GO38)=0,0,((GL38*BU38+GM38*BV38+GN38*BW38+GO38*BX38)/SUM(GL38:GO38)))</f>
        <v>#VALUE!</v>
      </c>
      <c r="GR38" s="1558" t="e">
        <f aca="false">(GL38*BU38+GM38*BV38+GN38*BW38+GO38*BX38)</f>
        <v>#VALUE!</v>
      </c>
      <c r="GS38" s="1566" t="n">
        <f aca="false">IF($A38&gt;=BegDate,Assumptions!$C$56*24*($A39-$A38)*(1-VLOOKUP($B38,MAIN!$AA$7:$AM$28,$C38+1))*(1-VLOOKUP($B38,MAIN!$AA$33:$AM$54,$C38+1)),0)*80/168</f>
        <v>0</v>
      </c>
      <c r="GT38" s="286" t="n">
        <f aca="false">J38</f>
        <v>34.99395804</v>
      </c>
      <c r="GU38" s="286" t="n">
        <f aca="false">IF($A38&gt;=BegDate,VLOOKUP($A38,GasTable,13)+Assumptions!$C$58,0)</f>
        <v>0</v>
      </c>
      <c r="GV38" s="286" t="n">
        <f aca="false">GU38*Assumptions!$C$57/1000</f>
        <v>0</v>
      </c>
      <c r="GW38" s="1558" t="n">
        <f aca="false">IF(Assumptions!$C$60="Hourly",MAX(0,GS38*(GT38-GV38)),GS38*(GT38-GV38))</f>
        <v>0</v>
      </c>
      <c r="GX38" s="1566" t="n">
        <f aca="false">IF($A38&gt;=BegDate,Assumptions!$C$56*24*($A39-$A38)*(1-VLOOKUP($B38,MAIN!$AA$7:$AM$28,$C38+1))*(1-VLOOKUP($B38,MAIN!$AA$33:$AM$54,$C38+1)),0)*16/168</f>
        <v>0</v>
      </c>
      <c r="GY38" s="286" t="n">
        <f aca="false">M38</f>
        <v>34.99395804</v>
      </c>
      <c r="GZ38" s="286" t="n">
        <f aca="false">IF($A38&gt;=BegDate,VLOOKUP($A38,GasTable,13)+Assumptions!$C$58,0)</f>
        <v>0</v>
      </c>
      <c r="HA38" s="286" t="n">
        <f aca="false">GZ38*Assumptions!$C$57/1000</f>
        <v>0</v>
      </c>
      <c r="HB38" s="1558" t="n">
        <f aca="false">IF(Assumptions!$C$60="Hourly",MAX(0,GX38*(GY38-HA38)),GX38*(GY38-HA38))</f>
        <v>0</v>
      </c>
      <c r="HC38" s="1566" t="n">
        <f aca="false">IF($A38&gt;=BegDate,Assumptions!$C$56*24*($A39-$A38)*(1-VLOOKUP($B38,MAIN!$AA$7:$AM$28,$C38+1))*(1-VLOOKUP($B38,MAIN!$AA$33:$AM$54,$C38+1)),0)*16/168</f>
        <v>0</v>
      </c>
      <c r="HD38" s="286" t="n">
        <f aca="false">P38</f>
        <v>23.27666112</v>
      </c>
      <c r="HE38" s="286" t="n">
        <f aca="false">IF($A38&gt;=BegDate,VLOOKUP($A38,GasTable,13)+Assumptions!$C$58,0)</f>
        <v>0</v>
      </c>
      <c r="HF38" s="286" t="n">
        <f aca="false">HE38*Assumptions!$C$57/1000</f>
        <v>0</v>
      </c>
      <c r="HG38" s="1558" t="n">
        <f aca="false">IF(Assumptions!$C$60="Hourly",MAX(0,HC38*(HD38-HF38)),HC38*(HD38-HF38))</f>
        <v>0</v>
      </c>
      <c r="HH38" s="1566" t="n">
        <f aca="false">IF($A38&gt;=BegDate,Assumptions!$C$56*24*($A39-$A38)*(1-VLOOKUP($B38,MAIN!$AA$7:$AM$28,$C38+1))*(1-VLOOKUP($B38,MAIN!$AA$33:$AM$54,$C38+1)),0)*56/168</f>
        <v>0</v>
      </c>
      <c r="HI38" s="286" t="n">
        <f aca="false">S38</f>
        <v>23.27666112</v>
      </c>
      <c r="HJ38" s="286" t="n">
        <f aca="false">IF($A38&gt;=BegDate,VLOOKUP($A38,GasTable,13)+Assumptions!$C$58,0)</f>
        <v>0</v>
      </c>
      <c r="HK38" s="286" t="n">
        <f aca="false">HJ38*Assumptions!$C$57/1000</f>
        <v>0</v>
      </c>
      <c r="HL38" s="1558" t="n">
        <f aca="false">IF(Assumptions!$C$60="Hourly",MAX(0,HH38*(HI38-HK38)),HH38*(HI38-HK38))</f>
        <v>0</v>
      </c>
      <c r="HM38" s="1566" t="n">
        <f aca="false">IF(AND(Assumptions!$H$71="Yes",A38&gt;=Assumptions!$H$72,A38&lt;=Assumptions!$H$73),Assumptions!$H$74*Assumptions!$C$9*1000,0)</f>
        <v>0</v>
      </c>
      <c r="HN38" s="1558"/>
      <c r="HO38" s="1567" t="n">
        <f aca="false">HO37+1</f>
        <v>2024</v>
      </c>
      <c r="HP38" s="1566" t="n">
        <f aca="false">SUMIF($B$17:$B$292,HO38,$FJ$17:$FJ$292)</f>
        <v>0</v>
      </c>
      <c r="HQ38" s="1568" t="n">
        <f aca="false">IF(HR38=0,0,HR38/HP38)</f>
        <v>0</v>
      </c>
      <c r="HR38" s="1564" t="n">
        <f aca="false">SUMIF($B$17:$B$292,HO38,$FK$17:$FK$292)</f>
        <v>0</v>
      </c>
      <c r="HS38" s="1569" t="n">
        <f aca="false">SUMIF($B$17:$B$292,HO38,$GB$17:$GB$292)</f>
        <v>0</v>
      </c>
      <c r="HT38" s="1563" t="n">
        <f aca="false">+IF(HS38&gt;0,HU38/HS38,0)</f>
        <v>0</v>
      </c>
      <c r="HU38" s="1551" t="n">
        <f aca="false">SUMIF($B$17:$B$292,HO38,$GD$17:$GD$292)</f>
        <v>0</v>
      </c>
      <c r="HV38" s="1569" t="n">
        <f aca="false">HR38+HU38</f>
        <v>0</v>
      </c>
      <c r="HW38" s="1551" t="n">
        <f aca="false">SUMIF($B$17:$B$292,$HO38,$EN$17:$EN$292)</f>
        <v>0</v>
      </c>
      <c r="HX38" s="1551" t="n">
        <f aca="false">SUMIF($B$17:$B$292,$HO38,$FC$17:$FC$292)</f>
        <v>0</v>
      </c>
      <c r="HY38" s="1551" t="n">
        <f aca="false">IF(Assumptions!$L$24="Yes",HW38+HX38,0)</f>
        <v>0</v>
      </c>
      <c r="HZ38" s="1566" t="n">
        <f aca="false">SUMIF($B$17:$B$292,HO38,$GE$17:$GE$292)+SUMIF($B$17:$B$292,HO38,$GF$17:$GF$292)</f>
        <v>0</v>
      </c>
      <c r="IA38" s="1563" t="n">
        <f aca="false">IF(IB38=0,0,IB38/HZ38)</f>
        <v>0</v>
      </c>
      <c r="IB38" s="1564" t="n">
        <f aca="false">-SUMIF($B$17:$B$292,HO38,$GH$17:$GH$292)</f>
        <v>-0</v>
      </c>
      <c r="IC38" s="1569" t="n">
        <f aca="false">SUMIF($B$17:$B$292,HO38,$GI$17:$GI$292)</f>
        <v>0</v>
      </c>
      <c r="ID38" s="1563" t="n">
        <f aca="false">IF(IE38=0,0,IE38/IC38)</f>
        <v>0</v>
      </c>
      <c r="IE38" s="1564" t="n">
        <f aca="false">-SUMIF($B$17:$B$292,HO38,$GK$17:$GK$292)</f>
        <v>-0</v>
      </c>
      <c r="IF38" s="1551" t="n">
        <f aca="false">SUMIF($B$17:$B$292,HO38,$GP$17:$GP$292)</f>
        <v>0</v>
      </c>
      <c r="IG38" s="1563" t="n">
        <f aca="false">IF(IH38=0,0,IH38/IF38)</f>
        <v>0</v>
      </c>
      <c r="IH38" s="1564" t="n">
        <f aca="false">-SUMIF($B$17:$B$292,HO38,$GR$17:$GR$292)</f>
        <v>-0</v>
      </c>
      <c r="II38" s="1570" t="n">
        <f aca="false">(SUMIF($B$17:$B$292,HO38,$GW$17:$GW$292)+SUMIF($B$17:$B$292,HO38,$HB$17:$HB$292)+SUMIF($B$17:$B$292,HO38,$HG$17:$HG$292)+SUMIF($B$17:$B$292,HO38,$HL$17:$HL$292))*Assumptions!$C$59</f>
        <v>0</v>
      </c>
      <c r="IJ38" s="1309" t="n">
        <f aca="false">SUMIF($B$17:$B$292,HO38,$HM$17:$HM$292)</f>
        <v>0</v>
      </c>
      <c r="IK38" s="1309"/>
    </row>
    <row r="39" customFormat="false" ht="12.75" hidden="false" customHeight="false" outlineLevel="0" collapsed="false">
      <c r="A39" s="1571" t="n">
        <f aca="false">EOMONTH(A38,0)+1</f>
        <v>37316</v>
      </c>
      <c r="B39" s="594" t="n">
        <f aca="false">+YEAR(A39)</f>
        <v>2002</v>
      </c>
      <c r="C39" s="238" t="n">
        <f aca="false">MONTH(A39)</f>
        <v>3</v>
      </c>
      <c r="D39" s="1572" t="str">
        <f aca="false">IF(E39="","",Holiday(B39,C39))</f>
        <v/>
      </c>
      <c r="E39" s="1573" t="str">
        <f aca="false">IF(OR(BegDate&gt;=A40,EndDate&lt;A39,AND(VolumeMonthlyOverFlag,INDEX(VolumeMonthlyOver,C39)=0),NOT(INDEX(MonthKnockOutTable,C39))),"",MAX(A39,BegDate))</f>
        <v/>
      </c>
      <c r="F39" s="1574" t="str">
        <f aca="false">IF(E39="","",MIN(A40-1,EndDate))</f>
        <v/>
      </c>
      <c r="G39" s="1575" t="n">
        <v>0</v>
      </c>
      <c r="H39" s="1576" t="n">
        <f aca="false">(1+G39/2)^(-2*(DATE(B40,C40,20)-DateToday)/365.25)</f>
        <v>1</v>
      </c>
      <c r="I39" s="1568" t="n">
        <f aca="false">IF(Assumptions!$L$25=4,VLOOKUP($A39,'Henwood Reference'!$E$9:$R$320,10),(VLOOKUP($A39,PriceTable,2,0)+IF(BasisNumber&lt;&gt;1,VLOOKUP($A39,BasisTable,2,0),0)+I$1)/(1-I$2))</f>
        <v>30.26648448</v>
      </c>
      <c r="J39" s="1568" t="n">
        <f aca="false">IF(Assumptions!$L$25=4,VLOOKUP($A39,'Henwood Reference'!$E$9:$R$320,10),(VLOOKUP($A39,PriceTable,3,0)+IF(BasisNumber&lt;&gt;1,VLOOKUP($A39,BasisTable,2,0),0)+J$1)/(1-J$2))</f>
        <v>30.26648448</v>
      </c>
      <c r="K39" s="1568" t="n">
        <f aca="false">IF(Assumptions!$L$25=4,VLOOKUP($A39,'Henwood Reference'!$E$9:$R$320,10),(VLOOKUP($A39,PriceTable,4,0)+IF(BasisNumber&lt;&gt;1,VLOOKUP($A39,BasisTable,2,0),0)+K$1)/(1-K$2))</f>
        <v>30.26648448</v>
      </c>
      <c r="L39" s="1523" t="n">
        <f aca="false">IF(Assumptions!$L$25=4,VLOOKUP($A39,'Henwood Reference'!$E$9:$R$320,10),(VLOOKUP($A39,PriceTableWeekend,2,0)+IF(BasisNumber&lt;&gt;1,VLOOKUP($A39,BasisTable,2,0),0)+L$1)/(1-L$2))</f>
        <v>30.26648448</v>
      </c>
      <c r="M39" s="1568" t="n">
        <f aca="false">IF(Assumptions!$L$25=4,VLOOKUP($A39,'Henwood Reference'!$E$9:$R$320,10),(VLOOKUP($A39,PriceTableWeekend,3,0)+IF(BasisNumber&lt;&gt;1,VLOOKUP($A39,BasisTable,2,0),0)+M$1)/(1-M$2))</f>
        <v>30.26648448</v>
      </c>
      <c r="N39" s="1599" t="n">
        <f aca="false">IF(Assumptions!$L$25=4,VLOOKUP($A39,'Henwood Reference'!$E$9:$R$320,10),(VLOOKUP($A39,PriceTableWeekend,4,0)+IF(BasisNumber&lt;&gt;1,VLOOKUP($A39,BasisTable,2,0),0)+N$1)/(1-N$2))</f>
        <v>30.26648448</v>
      </c>
      <c r="O39" s="1568" t="n">
        <f aca="false">IF(Assumptions!$L$25=4,VLOOKUP($A39,'Henwood Reference'!$E$9:$R$320,11),(VLOOKUP($A39,PriceTableWeekend,6,0)+IF(BasisNumber&lt;&gt;1,VLOOKUP($A39,BasisTable,3,0),0)+O$1)/(1-O$2))</f>
        <v>21.02429916</v>
      </c>
      <c r="P39" s="1568" t="n">
        <f aca="false">IF(Assumptions!$L$25=4,VLOOKUP($A39,'Henwood Reference'!$E$9:$R$320,11),(VLOOKUP($A39,PriceTableWeekend,7,0)+IF(BasisNumber&lt;&gt;1,VLOOKUP($A39,BasisTable,3,0),0)+P$1)/(1-P$2))</f>
        <v>21.02429916</v>
      </c>
      <c r="Q39" s="1599" t="n">
        <f aca="false">IF(Assumptions!$L$25=4,VLOOKUP($A39,'Henwood Reference'!$E$9:$R$320,11),(VLOOKUP($A39,PriceTableWeekend,8,0)+IF(BasisNumber&lt;&gt;1,VLOOKUP($A39,BasisTable,3,0),0)+Q$1)/(1-Q$2))</f>
        <v>21.02429916</v>
      </c>
      <c r="R39" s="1568" t="n">
        <f aca="false">IF(Assumptions!$L$25=4,VLOOKUP($A39,'Henwood Reference'!$E$9:$R$320,11),(VLOOKUP($A39,PriceTable,6,0)+IF(BasisNumber&lt;&gt;1,VLOOKUP($A39,BasisTable,3,0),0)+R$1)/(1-R$2))</f>
        <v>21.02429916</v>
      </c>
      <c r="S39" s="1568" t="n">
        <f aca="false">IF(Assumptions!$L$25=4,VLOOKUP($A39,'Henwood Reference'!$E$9:$R$320,11),(VLOOKUP($A39,PriceTable,7,0)+IF(BasisNumber&lt;&gt;1,VLOOKUP($A39,BasisTable,3,0),0)+S$1)/(1-S$2))</f>
        <v>21.02429916</v>
      </c>
      <c r="T39" s="1600" t="n">
        <f aca="false">IF(Assumptions!$L$25=4,VLOOKUP($A39,'Henwood Reference'!$E$9:$R$320,11),(VLOOKUP($A39,PriceTable,8,0)+IF(BasisNumber&lt;&gt;1,VLOOKUP($A39,BasisTable,3,0),0)+T$1)/(1-T$2))</f>
        <v>21.02429916</v>
      </c>
      <c r="U39" s="1513" t="n">
        <f aca="false">VLOOKUP($A39,VolatilityTable,14)</f>
        <v>0.16</v>
      </c>
      <c r="V39" s="1513" t="n">
        <f aca="false">VLOOKUP($A39,VolatilityTable,15)</f>
        <v>0.17</v>
      </c>
      <c r="W39" s="1514" t="n">
        <f aca="false">VLOOKUP($A39,VolatilityTable,16)</f>
        <v>0.18</v>
      </c>
      <c r="X39" s="1513" t="n">
        <f aca="false">VLOOKUP($A39,VolatilityTable,14)</f>
        <v>0.16</v>
      </c>
      <c r="Y39" s="1513" t="n">
        <f aca="false">VLOOKUP($A39,VolatilityTable,15)</f>
        <v>0.17</v>
      </c>
      <c r="Z39" s="1514" t="n">
        <f aca="false">VLOOKUP($A39,VolatilityTable,16)</f>
        <v>0.18</v>
      </c>
      <c r="AA39" s="1513" t="n">
        <f aca="false">VLOOKUP($A39,VolatilityTable,18)</f>
        <v>0.09</v>
      </c>
      <c r="AB39" s="1513" t="n">
        <f aca="false">VLOOKUP($A39,VolatilityTable,19)</f>
        <v>0.11</v>
      </c>
      <c r="AC39" s="1514" t="n">
        <f aca="false">VLOOKUP($A39,VolatilityTable,20)</f>
        <v>0.13</v>
      </c>
      <c r="AD39" s="1513" t="n">
        <f aca="false">VLOOKUP($A39,VolatilityTable,18)</f>
        <v>0.09</v>
      </c>
      <c r="AE39" s="1513" t="n">
        <f aca="false">VLOOKUP($A39,VolatilityTable,19)</f>
        <v>0.11</v>
      </c>
      <c r="AF39" s="1514" t="n">
        <f aca="false">VLOOKUP($A39,VolatilityTable,20)</f>
        <v>0.13</v>
      </c>
      <c r="AG39" s="1513" t="n">
        <f aca="false">VLOOKUP($A39,VolatilityTable,22)</f>
        <v>-0.1</v>
      </c>
      <c r="AH39" s="1513" t="n">
        <f aca="false">VLOOKUP($A39,VolatilityTable,23)</f>
        <v>0.65</v>
      </c>
      <c r="AI39" s="1514" t="n">
        <f aca="false">VLOOKUP($A39,VolatilityTable,24)</f>
        <v>0.1</v>
      </c>
      <c r="AJ39" s="1513" t="n">
        <f aca="false">VLOOKUP($A39,VolatilityTable,22)</f>
        <v>-0.1</v>
      </c>
      <c r="AK39" s="1513" t="n">
        <f aca="false">VLOOKUP($A39,VolatilityTable,23)</f>
        <v>0.65</v>
      </c>
      <c r="AL39" s="1514" t="n">
        <f aca="false">VLOOKUP($A39,VolatilityTable,24)</f>
        <v>0.1</v>
      </c>
      <c r="AM39" s="1513" t="n">
        <f aca="false">VLOOKUP($A39,VolatilityTable,26)</f>
        <v>-0.01</v>
      </c>
      <c r="AN39" s="1513" t="n">
        <f aca="false">VLOOKUP($A39,VolatilityTable,27)</f>
        <v>0.16</v>
      </c>
      <c r="AO39" s="1514" t="n">
        <f aca="false">VLOOKUP($A39,VolatilityTable,28)</f>
        <v>0.01</v>
      </c>
      <c r="AP39" s="1513" t="n">
        <f aca="false">VLOOKUP($A39,VolatilityTable,26)</f>
        <v>-0.01</v>
      </c>
      <c r="AQ39" s="1513" t="n">
        <f aca="false">VLOOKUP($A39,VolatilityTable,27)</f>
        <v>0.16</v>
      </c>
      <c r="AR39" s="1515" t="n">
        <f aca="false">VLOOKUP($A39,VolatilityTable,28)</f>
        <v>0.01</v>
      </c>
      <c r="AS39" s="1581" t="n">
        <f aca="false">IF(CorrPeakOffPeakOverFlag,INDEX(CorrPeakOffPeakOver,C39),CorrPeakOffPeak)</f>
        <v>0.5</v>
      </c>
      <c r="AT39" s="594" t="n">
        <f aca="false">AX39-SUM(AU39:AW39)</f>
        <v>0</v>
      </c>
      <c r="AU39" s="238" t="n">
        <f aca="false">IF(E39="",0,INT((F39-MOD(F39,7)-E39)/7)+1-IF(AW39,IF(WEEKDAY(D39)=7,1,0),0))</f>
        <v>0</v>
      </c>
      <c r="AV39" s="238" t="n">
        <f aca="false">IF(E39="",0,INT((F39-MOD(F39-1,7)-E39)/7)+1-IF(AW39,IF(WEEKDAY(D39)=1,1,0),0))</f>
        <v>0</v>
      </c>
      <c r="AW39" s="238" t="n">
        <f aca="false">IF(OR(E39="",D39="",D39&lt;BegDate,D39&gt;EndDate),0,1)</f>
        <v>0</v>
      </c>
      <c r="AX39" s="238" t="n">
        <f aca="false">IF(E39="",0,F39-E39+1)</f>
        <v>0</v>
      </c>
      <c r="AY39" s="1582" t="n">
        <f aca="false">IF(E39="",0,MIN((1-(1-VLOOKUP(B39,MAIN!$AA$7:$AM$28,C39+1))*(1-VLOOKUP(B39,MAIN!$AA$33:$AM$54,C39+1))),1))</f>
        <v>0</v>
      </c>
      <c r="AZ39" s="1519" t="e">
        <v>#VALUE!</v>
      </c>
      <c r="BA39" s="1520" t="e">
        <v>#VALUE!</v>
      </c>
      <c r="BB39" s="1520" t="e">
        <v>#VALUE!</v>
      </c>
      <c r="BC39" s="1583" t="e">
        <v>#VALUE!</v>
      </c>
      <c r="BD39" s="1522" t="e">
        <v>#VALUE!</v>
      </c>
      <c r="BE39" s="1523" t="e">
        <v>#VALUE!</v>
      </c>
      <c r="BF39" s="1523" t="e">
        <v>#VALUE!</v>
      </c>
      <c r="BG39" s="1584" t="e">
        <v>#VALUE!</v>
      </c>
      <c r="BH39" s="1525" t="e">
        <v>#VALUE!</v>
      </c>
      <c r="BI39" s="1520" t="e">
        <v>#VALUE!</v>
      </c>
      <c r="BJ39" s="1520" t="e">
        <v>#VALUE!</v>
      </c>
      <c r="BK39" s="1583" t="e">
        <v>#VALUE!</v>
      </c>
      <c r="BL39" s="1522" t="e">
        <v>#VALUE!</v>
      </c>
      <c r="BM39" s="1523" t="e">
        <v>#VALUE!</v>
      </c>
      <c r="BN39" s="1523" t="e">
        <v>#VALUE!</v>
      </c>
      <c r="BO39" s="1523" t="e">
        <v>#VALUE!</v>
      </c>
      <c r="BP39" s="1525" t="e">
        <f aca="false">SUM(AZ39:BB39)</f>
        <v>#VALUE!</v>
      </c>
      <c r="BQ39" s="1529" t="e">
        <f aca="false">SUM(AZ39:BC39)</f>
        <v>#VALUE!</v>
      </c>
      <c r="BR39" s="1519" t="e">
        <f aca="false">SUM(BH39:BJ39)</f>
        <v>#VALUE!</v>
      </c>
      <c r="BS39" s="1529" t="e">
        <f aca="false">SUM(BH39:BK39)</f>
        <v>#VALUE!</v>
      </c>
      <c r="BT39" s="1316" t="n">
        <f aca="false">(IF(OVolType&lt;&gt;2,A39+14,IF(OptExpDateShift,ShiftBack(A39,OptExpDateShift,D38),A39))-DateToday)/365.25</f>
        <v>1.87816563997262</v>
      </c>
      <c r="BU39" s="1585" t="e">
        <f aca="false">IF(BQ39,IF(OPriceCurve,IF(OBuySell=OCallPut,I39/(1-AY39),K39/(1-AY39)),J39/(1-AY39))*BD39,0)</f>
        <v>#VALUE!</v>
      </c>
      <c r="BV39" s="1316" t="e">
        <f aca="false">IF(BQ39,IF(OPriceCurve,IF(OBuySell=OCallPut,L39/(1-AY39),N39/(1-AY39)),M39/(1-AY39))*BE39,0)</f>
        <v>#VALUE!</v>
      </c>
      <c r="BW39" s="1316" t="e">
        <f aca="false">IF(BQ39,IF(OPriceCurve,IF(OBuySell=OCallPut,O39/(1-AY39),Q39/(1-AY39)),P39/(1-AY39))*BF39,0)</f>
        <v>#VALUE!</v>
      </c>
      <c r="BX39" s="1316" t="e">
        <f aca="false">IF(BQ39,IF(OPriceCurve,IF(OBuySell=OCallPut,R39/(1-AY39),T39/(1-AY39)),S39/(1-AY39))*BG39,0)</f>
        <v>#VALUE!</v>
      </c>
      <c r="BY39" s="1316" t="e">
        <f aca="false">IF(BP39,(BU39*AZ39+BV39*BA39+BW39*BB39)/BP39,0)</f>
        <v>#VALUE!</v>
      </c>
      <c r="BZ39" s="1316" t="e">
        <f aca="false">IF(BQ39,(BY39*BP39+BX39*BC39)/BQ39,0)</f>
        <v>#VALUE!</v>
      </c>
      <c r="CA39" s="1531" t="e">
        <f aca="false">IF(BS39,IF(OPriceCurve,IF(OBuySell=OCallPut,I39/(1-AY39),K39/(1-AY39)),J39/(1-AY39))*BL39,0)</f>
        <v>#VALUE!</v>
      </c>
      <c r="CB39" s="1316" t="e">
        <f aca="false">IF(BS39,IF(OPriceCurve,IF(OBuySell=OCallPut,L39/(1-AY39),N39/(1-AY39)),M39/(1-AY39))*BM39,0)</f>
        <v>#VALUE!</v>
      </c>
      <c r="CC39" s="1316" t="e">
        <f aca="false">IF(BS39,IF(OPriceCurve,IF(OBuySell=OCallPut,O39/(1-AY39),Q39/(1-AY39)),P39/(1-AY39))*BN39,0)</f>
        <v>#VALUE!</v>
      </c>
      <c r="CD39" s="1316" t="e">
        <f aca="false">IF(BS39,IF(OPriceCurve,IF(OBuySell=OCallPut,R39/(1-AY39),T39/(1-AY39)),S39/(1-AY39))*BO39,0)</f>
        <v>#VALUE!</v>
      </c>
      <c r="CE39" s="1316" t="e">
        <f aca="false">IF(BR39,(BU39*BH39+BV39*BI39+BW39*BJ39)/BR39,0)</f>
        <v>#VALUE!</v>
      </c>
      <c r="CF39" s="1532" t="e">
        <f aca="false">IF(BS39,(CE39*BR39+CD39*BK39)/BS39,0)</f>
        <v>#VALUE!</v>
      </c>
      <c r="CG39" s="1586" t="e">
        <f aca="false">IF(OR(BQ39,BS39),IF(OVolType&lt;&gt;2,SQRT(IF(OVolOverMonthlyPeak,OVolOverMonthlyPeak,IF(OVolCurve,IF(OBuySell,U39,W39),V39))^2*(1-15/365.25/BT39)+IF(OVolOverDailyPeak,OVolOverDailyPeak,IF(OVolCurve,IF(OBuySell,AG39,AI39),AH39))^2*15/365.25/BT39),IF(OVolOverMonthlyPeak,OVolOverMonthlyPeak,IF(OVolCurve,IF(OBuySell,U39,W39),V39))),"")</f>
        <v>#VALUE!</v>
      </c>
      <c r="CH39" s="1587" t="e">
        <f aca="false">IF(OR(BQ39,BS39),IF(OVolType&lt;&gt;2,SQRT(IF(OVolOverMonthlyPeak,OVolOverMonthlyPeak,IF(OVolCurve,IF(OBuySell,X39,Z39),Y39))^2*(1-15/365.25/BT39)+IF(OVolOverDailyPeak,OVolOverDailyPeak,IF(OVolCurve,IF(OBuySell,AJ39,AL39),AK39))^2*15/365.25/BT39),IF(OVolOverMonthlyPeak,OVolOverMonthlyPeak,IF(OVolCurve,IF(OBuySell,X39,Z39),Y39))),"")</f>
        <v>#VALUE!</v>
      </c>
      <c r="CI39" s="1587" t="e">
        <f aca="false">IF(OR(BQ39,BS39),IF(OVolType&lt;&gt;2,SQRT(IF(OVolOverMonthlyPeak,OVolOverMonthlyPeak,IF(OVolCurve,IF(OBuySell,AA39,AC39),AB39))^2*(1-15/365.25/BT39)+IF(OVolOverDailyPeak,OVolOverDailyPeak,IF(OVolCurve,IF(OBuySell,AM39,AO39),AN39))^2*15/365.25/BT39),IF(OVolOverMonthlyPeak,OVolOverMonthlyPeak,IF(OVolCurve,IF(OBuySell,AA39,AC39),AB39))),"")</f>
        <v>#VALUE!</v>
      </c>
      <c r="CJ39" s="1587" t="e">
        <f aca="false">IF(BQ39,IF(BP39,SQRT(LN(1+((BU39*AZ39)^2*(EXP(CG39^2*BT39)-1)+(BV39*BA39)^2*(EXP(CH39^2*BT39)-1)+(BW39*BB39)^2*(EXP(CI39^2*BT39)-1)+2*BU39*AZ39*BV39*BA39*(EXP(CG39*CH39*BT39)-1)+2*BV39*BA39*BW39*BB39*(EXP(CH39*CI39*BT39)-1)+2*BW39*BB39*BU39*AZ39*(EXP(CI39*CG39*BT39)-1))/(BY39*BP39)^2)/BT39),0),"")</f>
        <v>#VALUE!</v>
      </c>
      <c r="CK39" s="1587" t="e">
        <f aca="false">IF(BS39,IF(BR39,SQRT(LN(1+((CA39*BH39)^2*(EXP(CG39^2*BT39)-1)+(CB39*BI39)^2*(EXP(CH39^2*BT39)-1)+(CC39*BJ39)^2*(EXP(CI39^2*BT39)-1)+2*CA39*BH39*CB39*BI39*(EXP(CG39*CH39*BT39)-1)+2*CB39*BI39*CC39*BJ39*(EXP(CH39*CI39*BT39)-1)+2*CC39*BJ39*CA39*BH39*(EXP(CI39*CG39*BT39)-1))/(CE39*BR39)^2)/BT39),0),"")</f>
        <v>#VALUE!</v>
      </c>
      <c r="CL39" s="1587" t="e">
        <f aca="false">IF(OR(BQ39,BS39),IF(OVolType&lt;&gt;2,SQRT(IF(OVolOverMonthlyOffPeak,OVolOverMonthlyOffPeak,IF(OVolCurve,IF(OBuySell,AD39,AF39),AE39))^2*(1-15/365.25/BT39)+IF(OVolOverDailyOffPeak,OVolOverDailyOffPeak,IF(OVolCurve,IF(OBuySell,AP39,AR39),AQ39))^2*15/365.25/BT39),IF(OVolOverMonthlyOffPeak,OVolOverMonthlyOffPeak,IF(OVolCurve,IF(OBuySell,AD39,AF39),AE39))),"")</f>
        <v>#VALUE!</v>
      </c>
      <c r="CM39" s="1587" t="e">
        <f aca="false">IF(BQ39,SQRT(LN(1+((BY39*BP39)^2*(EXP(CJ39^2*BT39)-1)+(BX39*BC39)^2*(EXP(CL39^2*BT39)-1)+2*BY39*BP39*BX39*BC39*(EXP(AS39*CJ39*CL39*BT39)-1))/(BY39*BP39+BX39*BC39)^2)/BT39),"")</f>
        <v>#VALUE!</v>
      </c>
      <c r="CN39" s="1588" t="e">
        <f aca="false">IF(BS39,SQRT(LN(1+((CE39*BR39)^2*(EXP(CK39^2*BT39)-1)+(CD39*BK39)^2*(EXP(CL39^2*BT39)-1)+2*CE39*BR39*CD39*BK39*(EXP(AS39*CK39*CL39*BT39)-1))/(CE39*BR39+CD39*BK39)^2)/BT39),"")</f>
        <v>#VALUE!</v>
      </c>
      <c r="CO39" s="1531" t="e">
        <f aca="false">IF(OR(BQ39,BS39),VLOOKUP(A39,GasTable,13)*HeatRatePeak*(1+VLOOKUP($B39,HeatRateDegradation,$C39+1))/1000,0)</f>
        <v>#VALUE!</v>
      </c>
      <c r="CP39" s="1316" t="e">
        <f aca="false">IF(OR(BQ39,BS39),VLOOKUP(A39,GasTable,13)*HeatRatePeak*(1+VLOOKUP($B39,HeatRateDegradation,$C39+1))/1000,0)</f>
        <v>#VALUE!</v>
      </c>
      <c r="CQ39" s="1316" t="e">
        <f aca="false">IF(OR(BQ39,BS39),VLOOKUP(A39,GasTable,13)*IF(EV39,HeatRatePeak,HeatRateOffPeak)*(1+VLOOKUP($B39,HeatRateDegradation,$C39+1))/1000,0)</f>
        <v>#VALUE!</v>
      </c>
      <c r="CR39" s="1316" t="e">
        <f aca="false">IF(OR(BQ39,BS39),VLOOKUP(A39,GasTable,13)*IF(EW39,HeatRatePeak,HeatRateOffPeak)*(1+VLOOKUP($B39,HeatRateDegradation,$C39+1))/1000,0)</f>
        <v>#VALUE!</v>
      </c>
      <c r="CS39" s="1589" t="e">
        <f aca="false">IF(BQ39,(CO39*AZ39+CP39*BA39+CQ39*BB39+CR39*BC39)/BQ39,0)</f>
        <v>#VALUE!</v>
      </c>
      <c r="CT39" s="1316" t="e">
        <f aca="false">IF(BS39,CO39,0)</f>
        <v>#VALUE!</v>
      </c>
      <c r="CU39" s="1590" t="e">
        <f aca="false">IF(OR(BQ39,BS39),VLOOKUP(A39,GasTable,14),"")</f>
        <v>#VALUE!</v>
      </c>
      <c r="CV39" s="1568" t="e">
        <f aca="false">IF(OR(BQ39,BS39),IF(CorrPowerGasOverFlag,INDEX(CorrPowerGasOver,C39),CorrPowerGas),"")</f>
        <v>#VALUE!</v>
      </c>
      <c r="CW39" s="1316" t="e">
        <f aca="false">IF(OR($BQ39,$BS39),SpreadOptPowerMargin,0)*((1+Assumptions!$C$26)^($B39-YEAR(Assumptions!$C$17)))</f>
        <v>#VALUE!</v>
      </c>
      <c r="CX39" s="1316" t="e">
        <f aca="false">IF(OR($BQ39,$BS39),SpreadOptPowerMargin,0)*((1+Assumptions!$C$26)^($B39-YEAR(Assumptions!$C$17)))</f>
        <v>#VALUE!</v>
      </c>
      <c r="CY39" s="1316" t="e">
        <f aca="false">IF(OR($BQ39,$BS39),SpreadOptPowerMargin,0)*((1+Assumptions!$C$26)^($B39-YEAR(Assumptions!$C$17)))</f>
        <v>#VALUE!</v>
      </c>
      <c r="CZ39" s="1316" t="e">
        <f aca="false">IF(OR($BQ39,$BS39),SpreadOptPowerMargin,0)*((1+Assumptions!$C$26)^($B39-YEAR(Assumptions!$C$17)))</f>
        <v>#VALUE!</v>
      </c>
      <c r="DA39" s="1591" t="e">
        <f aca="false">IF(OR(BQ39,BS39),(CW39*(AZ39+BH39)+CX39*(BA39+BI39)+CY39*(BB39+BJ39)+CZ39*(BC39+BK39))/(BQ39+BS39),0)</f>
        <v>#VALUE!</v>
      </c>
      <c r="DB39" s="1592" t="e">
        <f aca="false">IF(OR(BQ39,BS39),CG39+IF(OVolSmile,VLOOKUP(MAX(-5,CO39+CW39-BU39),IF(OVolSmile=1,VolSmileBook,VolSmileModel),2),0),"")</f>
        <v>#VALUE!</v>
      </c>
      <c r="DC39" s="1592" t="e">
        <f aca="false">IF(OR(BQ39,BS39),CH39+IF(OVolSmile,VLOOKUP(MAX(-5,CP39+CW39-BV39),IF(OVolSmile=1,VolSmileBook,VolSmileModel),2),0),"")</f>
        <v>#VALUE!</v>
      </c>
      <c r="DD39" s="1592" t="e">
        <f aca="false">IF(OR(BQ39,BS39),CI39+IF(OVolSmile,VLOOKUP(MAX(-5,CQ39+CW39-BW39),IF(OVolSmile=1,VolSmileBook,VolSmileModel),2),0),"")</f>
        <v>#VALUE!</v>
      </c>
      <c r="DE39" s="1592" t="e">
        <f aca="false">IF(OR(BQ39,BS39),CL39+IF(OVolSmile,VLOOKUP(MAX(-5,CR39+CZ39-BX39),IF(OVolSmile=1,VolSmileBook,VolSmileModel),2),0),"")</f>
        <v>#VALUE!</v>
      </c>
      <c r="DF39" s="1592" t="e">
        <f aca="false">IF(BQ39,CM39+IF(OVolSmile,VLOOKUP(MAX(-5,CS39+DA39-BZ39),IF(OVolSmile=1,VolSmileBook,VolSmileModel),2),0),"")</f>
        <v>#VALUE!</v>
      </c>
      <c r="DG39" s="1593" t="e">
        <f aca="false">IF(BS39,CN39+IF(OVolSmile,VLOOKUP(MAX(-5,CT39+DA39-CF39),IF(OVolSmile=1,VolSmileBook,VolSmileModel),2),0),"")</f>
        <v>#VALUE!</v>
      </c>
      <c r="DH39" s="1316" t="e">
        <f aca="false">IF(AND(BU39&gt;0,CO39&gt;0,DB39&gt;0,CU39&gt;0),newSPRDOPT(BU39,CO39,CW39,0,DB39,CU39,CV39,BT39*365.25,OCallPut,0),0)</f>
        <v>#VALUE!</v>
      </c>
      <c r="DI39" s="1316" t="e">
        <f aca="false">IF(AND(BV39&gt;0,CP39&gt;0,DC39&gt;0,CU39&gt;0),newSPRDOPT(BV39,CP39,CX39,0,DC39,CU39,CV39,BT39*365.25,OCallPut,0),0)</f>
        <v>#VALUE!</v>
      </c>
      <c r="DJ39" s="1316" t="e">
        <f aca="false">IF(AND(BW39&gt;0,CQ39&gt;0,DD39&gt;0,CU39&gt;0),newSPRDOPT(BW39,CQ39,CY39,0,DD39,CU39,CV39,BT39*365.25,OCallPut,0),0)</f>
        <v>#VALUE!</v>
      </c>
      <c r="DK39" s="1316" t="e">
        <f aca="false">IF(AND(BX39&gt;0,CR39&gt;0,DE39&gt;0,CU39&gt;0),newSPRDOPT(BX39,CR39,CZ39,0,DE39,CU39,CV39,BT39*365.25,OCallPut,0),0)</f>
        <v>#VALUE!</v>
      </c>
      <c r="DL39" s="1316" t="e">
        <f aca="false">IF(OVolType,IF(AND(BZ39&gt;0,CS39&gt;0,DF39&gt;0,CU39&gt;0),newSPRDOPT(BZ39,CS39,DA39,0,DF39,CU39,CV39,BT39*365.25,OCallPut,0),0),IF(BQ39,(DH39*AZ39+DI39*BA39+DJ39*BB39+DK39*BC39)/BQ39,0))</f>
        <v>#VALUE!</v>
      </c>
      <c r="DM39" s="1316"/>
      <c r="DN39" s="1316"/>
      <c r="DO39" s="1316"/>
      <c r="DP39" s="1316"/>
      <c r="DQ39" s="1316"/>
      <c r="DR39" s="1316"/>
      <c r="DS39" s="1316"/>
      <c r="DT39" s="1316"/>
      <c r="DU39" s="1316"/>
      <c r="DV39" s="1316"/>
      <c r="DW39" s="1594" t="e">
        <f aca="false">IF(AND(BW39&gt;0,CT39&gt;0,DD39&gt;0,CU39&gt;0),newSPRDOPT(BW39,CT39,CY39,0,DD39,CU39,CV39,BT39*365.25,OCallPut,0),0)</f>
        <v>#VALUE!</v>
      </c>
      <c r="DX39" s="1316" t="e">
        <f aca="false">IF(AND(BX39&gt;0,CT39&gt;0,DE39&gt;0,CU39&gt;0),newSPRDOPT(BX39,CT39,CZ39,0,DE39,CU39,CV39,BT39*365.25,OCallPut,0),0)</f>
        <v>#VALUE!</v>
      </c>
      <c r="DY39" s="1591" t="e">
        <f aca="false">IF(BS39,(DH39*BH39+DI39*BI39+DW39*BJ39+DX39*BK39)/BS39,0)</f>
        <v>#VALUE!</v>
      </c>
      <c r="DZ39" s="1551" t="e">
        <f aca="false">DH39*AZ39</f>
        <v>#VALUE!</v>
      </c>
      <c r="EA39" s="1551" t="e">
        <f aca="false">DI39*BA39</f>
        <v>#VALUE!</v>
      </c>
      <c r="EB39" s="1551" t="e">
        <f aca="false">DJ39*BB39</f>
        <v>#VALUE!</v>
      </c>
      <c r="EC39" s="1551" t="e">
        <f aca="false">DK39*BC39</f>
        <v>#VALUE!</v>
      </c>
      <c r="ED39" s="1551" t="e">
        <f aca="false">DL39*BQ39</f>
        <v>#VALUE!</v>
      </c>
      <c r="EE39" s="1595" t="e">
        <f aca="false">IF(BQ39,IF(OCallPut,IF(BU39&gt;(CO39+CW39),BU39-(CO39+CW39),0),IF((CO39+CW39)&gt;BU39,(CO39+CW39)-BU39,0))*AZ39,0)</f>
        <v>#VALUE!</v>
      </c>
      <c r="EF39" s="1596" t="e">
        <f aca="false">IF(BQ39,IF(OCallPut,IF(BV39&gt;(CP39+CX39),BV39-(CP39+CX39),0),IF((CP39+CX39)&gt;BV39,(CP39+CX39)-BV39,0))*BA39,0)</f>
        <v>#VALUE!</v>
      </c>
      <c r="EG39" s="1596" t="e">
        <f aca="false">IF(BQ39,IF(OCallPut,IF(BW39&gt;(CQ39+CY39),BW39-(CQ39+CY39),0),IF((CQ39+CY39)&gt;BW39,(CQ39+CY39)-BW39,0))*BB39,0)</f>
        <v>#VALUE!</v>
      </c>
      <c r="EH39" s="1596" t="e">
        <f aca="false">IF(BQ39,IF(OCallPut,IF(BX39&gt;(CR39+CZ39),BX39-(CR39+CZ39),0),IF((CR39+CZ39)&gt;BX39,(CR39+CZ39)-BX39,0))*BC39,0)</f>
        <v>#VALUE!</v>
      </c>
      <c r="EI39" s="1597" t="e">
        <f aca="false">IF(BQ39,IF(OVolType,IF(OCallPut,IF(BZ39&gt;(CS39+DA39),BZ39-(CS39+DA39),0),IF((CS39+DA39)&gt;BZ39,(CS39+DA39)-BZ39,0))*BQ39,SUM(EE39:EH39)),0)</f>
        <v>#VALUE!</v>
      </c>
      <c r="EJ39" s="1595" t="e">
        <f aca="false">DZ39-EE39</f>
        <v>#VALUE!</v>
      </c>
      <c r="EK39" s="1596" t="e">
        <f aca="false">EA39-EF39</f>
        <v>#VALUE!</v>
      </c>
      <c r="EL39" s="1596" t="e">
        <f aca="false">EB39-EG39</f>
        <v>#VALUE!</v>
      </c>
      <c r="EM39" s="1596" t="e">
        <f aca="false">EC39-EH39</f>
        <v>#VALUE!</v>
      </c>
      <c r="EN39" s="1597" t="e">
        <f aca="false">ED39-EI39</f>
        <v>#VALUE!</v>
      </c>
      <c r="EO39" s="1551" t="e">
        <f aca="false">DH39*BH39</f>
        <v>#VALUE!</v>
      </c>
      <c r="EP39" s="1551" t="e">
        <f aca="false">DI39*BI39</f>
        <v>#VALUE!</v>
      </c>
      <c r="EQ39" s="1551" t="e">
        <f aca="false">DW39*BJ39</f>
        <v>#VALUE!</v>
      </c>
      <c r="ER39" s="1551" t="e">
        <f aca="false">DX39*BK39</f>
        <v>#VALUE!</v>
      </c>
      <c r="ES39" s="1551" t="e">
        <f aca="false">DY39*BS39</f>
        <v>#VALUE!</v>
      </c>
      <c r="ET39" s="1566" t="e">
        <f aca="false">IF(BS39,IF(OCallPut,IF(CA39&gt;(CT39+CW39),CA39-(CT39+CW39),0),IF((CT39+CW39)&gt;CA39,(CT39+CW39)-CA39,0))*BH39,0)</f>
        <v>#VALUE!</v>
      </c>
      <c r="EU39" s="1551" t="e">
        <f aca="false">IF(BS39,IF(OCallPut,IF(CB39&gt;(CT39+CX39),CB39-(CT39+CX39),0),IF((CT39+CX39)&gt;CB39,(CT39+CX39)-CB39,0))*BI39,0)</f>
        <v>#VALUE!</v>
      </c>
      <c r="EV39" s="1551" t="e">
        <f aca="false">IF(BS39,IF(OCallPut,IF(CC39&gt;(CT39+CY39),CC39-(CT39+CY39),0),IF((CT39+CY39)&gt;CC39,(CT39+CY39)-CC39,0))*BJ39,0)</f>
        <v>#VALUE!</v>
      </c>
      <c r="EW39" s="1551" t="e">
        <f aca="false">IF(BS39,IF(OCallPut,IF(CD39&gt;(CT39+CZ39),CD39-(CT39+CZ39),0),IF((CT39+CZ39)&gt;CD39,(CT39+CZ39)-CD39,0))*BK39,0)</f>
        <v>#VALUE!</v>
      </c>
      <c r="EX39" s="1558" t="e">
        <f aca="false">IF(BS39,IF(OVolType,IF(OCallPut,IF(CF39&gt;(CT39+DA39),CF39-(CT39+DA39),0),IF((CT39+DA39)&gt;CF39,(CT39+DA39)-CF39,0))*BS39,SUM(ET39:EW39)),0)</f>
        <v>#VALUE!</v>
      </c>
      <c r="EY39" s="1551" t="e">
        <f aca="false">EO39-ET39</f>
        <v>#VALUE!</v>
      </c>
      <c r="EZ39" s="1551" t="e">
        <f aca="false">EP39-EU39</f>
        <v>#VALUE!</v>
      </c>
      <c r="FA39" s="1551" t="e">
        <f aca="false">EQ39-EV39</f>
        <v>#VALUE!</v>
      </c>
      <c r="FB39" s="1551" t="e">
        <f aca="false">ER39-EW39</f>
        <v>#VALUE!</v>
      </c>
      <c r="FC39" s="1551" t="e">
        <f aca="false">ES39-EX39</f>
        <v>#VALUE!</v>
      </c>
      <c r="FD39" s="1525" t="n">
        <f aca="false">IF(AX39,IF(VLOOKUP(C39,MAIN!$L$17:$M$28,2)="Yes",VLOOKUP(CALC!B39,MAIN!$H$17:$I$20,2),0),0)</f>
        <v>0</v>
      </c>
      <c r="FE39" s="1552" t="n">
        <f aca="false">$FD39*16*AT39*(1-$AY39)</f>
        <v>0</v>
      </c>
      <c r="FF39" s="1553" t="n">
        <f aca="false">$FD39*16*AU39*(1-$AY39)</f>
        <v>0</v>
      </c>
      <c r="FG39" s="1553" t="n">
        <f aca="false">$FD39*16*(AV39+AW39)*(1-$AY39)</f>
        <v>0</v>
      </c>
      <c r="FH39" s="1554" t="n">
        <f aca="false">$FD39*8*AX39*(1-$AY39)</f>
        <v>0</v>
      </c>
      <c r="FI39" s="1555" t="n">
        <f aca="false">IF(AX39,VLOOKUP(CALC!B39,MAIN!$H$17:$K$20,4),0)</f>
        <v>0</v>
      </c>
      <c r="FJ39" s="1553" t="n">
        <f aca="false">SUM(FE39:FH39)</f>
        <v>0</v>
      </c>
      <c r="FK39" s="1556" t="n">
        <f aca="false">FI39*FJ39</f>
        <v>0</v>
      </c>
      <c r="FL39" s="1551" t="e">
        <f aca="false">IF($EI39&gt;0,MIN(FE39,AZ39*(1+VLOOKUP($C39,WeatherCapacityAdjustment,2))),0)</f>
        <v>#VALUE!</v>
      </c>
      <c r="FM39" s="1551" t="e">
        <f aca="false">IF($EI39&gt;0,MIN(FF39,BA39*(1+VLOOKUP($C39,WeatherCapacityAdjustment,2))),0)</f>
        <v>#VALUE!</v>
      </c>
      <c r="FN39" s="1551" t="e">
        <f aca="false">IF($EI39&gt;0,MIN(FG39,BB39*(1+VLOOKUP($C39,WeatherCapacityAdjustment,2))),0)</f>
        <v>#VALUE!</v>
      </c>
      <c r="FO39" s="1564" t="e">
        <f aca="false">IF($EI39&gt;0,MIN(FH39,BC39*(1+VLOOKUP($C39,WeatherCapacityAdjustment,3))),0)</f>
        <v>#VALUE!</v>
      </c>
      <c r="FP39" s="1551" t="e">
        <f aca="false">IF(ET39&gt;0,MIN(FE39-FL39,BH39*(1+VLOOKUP($C39,WeatherCapacityAdjustment,2))),0)</f>
        <v>#VALUE!</v>
      </c>
      <c r="FQ39" s="1551" t="e">
        <f aca="false">IF(EU39&gt;0,MIN(FF39-FM39,BI39*(1+VLOOKUP($C39,WeatherCapacityAdjustment,2))),0)</f>
        <v>#VALUE!</v>
      </c>
      <c r="FR39" s="1551" t="e">
        <f aca="false">IF(EV39&gt;0,MIN(FG39-FN39,BJ39*(1+VLOOKUP($C39,WeatherCapacityAdjustment,2))),0)</f>
        <v>#VALUE!</v>
      </c>
      <c r="FS39" s="1558" t="e">
        <f aca="false">IF(EW39&gt;0,MIN(FH39-FO39,BK39*(1+VLOOKUP($C39,WeatherCapacityAdjustment,3))),0)</f>
        <v>#VALUE!</v>
      </c>
      <c r="FT39" s="1566" t="n">
        <f aca="false">IF(AND(Assumptions!$H$71="Yes",A39&gt;=Assumptions!$H$72,A39&lt;=Assumptions!$H$73),0,IF(AND($A39&gt;=Assumptions!$C$17,$A39&lt;=Assumptions!$C$18),MAX(AZ39*(1+VLOOKUP($C39,WeatherCapacityAdjustment,2))-FL39,0),0))</f>
        <v>0</v>
      </c>
      <c r="FU39" s="1551" t="n">
        <f aca="false">IF(AND(Assumptions!$H$71="Yes",A39&gt;=Assumptions!$H$72,A39&lt;=Assumptions!$H$73),0,IF(AND($A39&gt;=Assumptions!$C$17,$A39&lt;=Assumptions!$C$18),MAX(BA39*(1+VLOOKUP($C39,WeatherCapacityAdjustment,2))-FM39,0),0))</f>
        <v>0</v>
      </c>
      <c r="FV39" s="1551" t="n">
        <f aca="false">IF(AND(Assumptions!$H$71="Yes",A39&gt;=Assumptions!$H$72,A39&lt;=Assumptions!$H$73),0,IF(AND($A39&gt;=Assumptions!$C$17,$A39&lt;=Assumptions!$C$18),MAX(BB39*(1+VLOOKUP($C39,WeatherCapacityAdjustment,2))-FN39,0),0))</f>
        <v>0</v>
      </c>
      <c r="FW39" s="1564" t="n">
        <f aca="false">IF(AND(Assumptions!$H$71="Yes",A39&gt;=Assumptions!$H$72,A39&lt;=Assumptions!$H$73),0,IF(AND($A39&gt;=Assumptions!$C$17,$A39&lt;=Assumptions!$C$18),MAX(BC39*(1+VLOOKUP($C39,WeatherCapacityAdjustment,3))-FO39,0),0))</f>
        <v>0</v>
      </c>
      <c r="FX39" s="1569" t="e">
        <f aca="false">IF(AND(Assumptions!$H$71="Yes",A39&gt;=Assumptions!$H$72,A39&lt;=Assumptions!$H$73),0,IF(ET39&gt;0,MAX(BH39*(1+VLOOKUP($C39,WeatherCapacityAdjustment,2))-FP39,0),0))</f>
        <v>#VALUE!</v>
      </c>
      <c r="FY39" s="1551" t="e">
        <f aca="false">IF(AND(Assumptions!$H$71="Yes",A39&gt;=Assumptions!$H$72,A39&lt;=Assumptions!$H$73),0,IF(EU39&gt;0,MAX(BI39*(1+VLOOKUP($C39,WeatherCapacityAdjustment,3))-FQ39,0),0))</f>
        <v>#VALUE!</v>
      </c>
      <c r="FZ39" s="1551" t="e">
        <f aca="false">IF(AND(Assumptions!$H$71="Yes",A39&gt;=Assumptions!$H$72,A39&lt;=Assumptions!$H$73),0,IF(EV39&gt;0,MAX(BJ39*(1+VLOOKUP($C39,WeatherCapacityAdjustment,2))-FR39,0),0))</f>
        <v>#VALUE!</v>
      </c>
      <c r="GA39" s="1564" t="e">
        <f aca="false">IF(AND(Assumptions!$H$71="Yes",A39&gt;=Assumptions!$H$72,A39&lt;=Assumptions!$H$73),0,IF(EW39&gt;0,MAX(BK39*(1+VLOOKUP($C39,WeatherCapacityAdjustment,2))-FS39,0),0))</f>
        <v>#VALUE!</v>
      </c>
      <c r="GB39" s="1551" t="e">
        <f aca="false">SUM(FT39:GA39)</f>
        <v>#VALUE!</v>
      </c>
      <c r="GC39" s="1563" t="e">
        <f aca="false">+IF(SUM(FT39:GA39)=0,0,(SUMPRODUCT(BU39:BX39,FT39:FW39)+SUMPRODUCT(CA39:CD39,FX39:GA39))/SUM(FT39:GA39))</f>
        <v>#VALUE!</v>
      </c>
      <c r="GD39" s="1551" t="e">
        <f aca="false">(FT39*BU39+FX39*CA39+FU39*BV39+FY39*CB39+FV39*BW39+FZ39*CC39+FW39*BX39+GA39*CD39)</f>
        <v>#VALUE!</v>
      </c>
      <c r="GE39" s="1561" t="e">
        <f aca="false">+IF(BQ39,((FL39+FM39+FT39+FU39)*HeatRatePeak/1000*(1+VLOOKUP($C39,WeatherHeatRateAdjustment,2))+(FN39+FV39)*IF(EV39&gt;0,HeatRatePeak,HeatRateOffPeak)/1000*(1+VLOOKUP($C39,WeatherHeatRateAdjustment,2))+(FO39+FW39)*IF(EW39&gt;0,HeatRatePeak,HeatRateOffPeak)/1000*(1+VLOOKUP($C39,WeatherHeatRateAdjustment,3)))*(1+VLOOKUP($B39,HeatRateDegradation,$C39+1)),0)</f>
        <v>#VALUE!</v>
      </c>
      <c r="GF39" s="1562" t="e">
        <f aca="false">IF(BQ39,((FP39+FQ39+FR39+FX39+FY39+FZ39)*HeatRatePeak/1000*(1+VLOOKUP($C39,WeatherHeatRateAdjustment,2))+(FS39+GA39)*HeatRatePeak/1000*(1+VLOOKUP($C39,WeatherHeatRateAdjustment,3)))*(1+VLOOKUP($B39,HeatRateDegradation,$C39+1)),0)</f>
        <v>#VALUE!</v>
      </c>
      <c r="GG39" s="1563" t="e">
        <f aca="false">IF(BQ39,VLOOKUP(A39,GasTable,13),0)</f>
        <v>#VALUE!</v>
      </c>
      <c r="GH39" s="1564" t="e">
        <f aca="false">(GE39+GF39)*GG39</f>
        <v>#VALUE!</v>
      </c>
      <c r="GI39" s="1569" t="e">
        <f aca="false">GB39</f>
        <v>#VALUE!</v>
      </c>
      <c r="GJ39" s="1598" t="e">
        <f aca="false">+DA39</f>
        <v>#VALUE!</v>
      </c>
      <c r="GK39" s="1558" t="e">
        <f aca="false">+GI39*GJ39</f>
        <v>#VALUE!</v>
      </c>
      <c r="GL39" s="1566" t="e">
        <f aca="false">MAX(FE39-FL39-FP39,0)</f>
        <v>#VALUE!</v>
      </c>
      <c r="GM39" s="1551" t="e">
        <f aca="false">MAX(FF39-FM39-FQ39,0)</f>
        <v>#VALUE!</v>
      </c>
      <c r="GN39" s="1551" t="e">
        <f aca="false">MAX(FG39-FN39-FR39,0)</f>
        <v>#VALUE!</v>
      </c>
      <c r="GO39" s="1564" t="e">
        <f aca="false">MAX(FH39-FO39-FS39,0)</f>
        <v>#VALUE!</v>
      </c>
      <c r="GP39" s="1551" t="e">
        <f aca="false">SUM(GL39:GO39)</f>
        <v>#VALUE!</v>
      </c>
      <c r="GQ39" s="1563" t="e">
        <f aca="false">IF(SUM(GL39:GO39)=0,0,((GL39*BU39+GM39*BV39+GN39*BW39+GO39*BX39)/SUM(GL39:GO39)))</f>
        <v>#VALUE!</v>
      </c>
      <c r="GR39" s="1558" t="e">
        <f aca="false">(GL39*BU39+GM39*BV39+GN39*BW39+GO39*BX39)</f>
        <v>#VALUE!</v>
      </c>
      <c r="GS39" s="1566" t="n">
        <f aca="false">IF($A39&gt;=BegDate,Assumptions!$C$56*24*($A40-$A39)*(1-VLOOKUP($B39,MAIN!$AA$7:$AM$28,$C39+1))*(1-VLOOKUP($B39,MAIN!$AA$33:$AM$54,$C39+1)),0)*80/168</f>
        <v>0</v>
      </c>
      <c r="GT39" s="286" t="n">
        <f aca="false">J39</f>
        <v>30.26648448</v>
      </c>
      <c r="GU39" s="286" t="n">
        <f aca="false">IF($A39&gt;=BegDate,VLOOKUP($A39,GasTable,13)+Assumptions!$C$58,0)</f>
        <v>0</v>
      </c>
      <c r="GV39" s="286" t="n">
        <f aca="false">GU39*Assumptions!$C$57/1000</f>
        <v>0</v>
      </c>
      <c r="GW39" s="1558" t="n">
        <f aca="false">IF(Assumptions!$C$60="Hourly",MAX(0,GS39*(GT39-GV39)),GS39*(GT39-GV39))</f>
        <v>0</v>
      </c>
      <c r="GX39" s="1566" t="n">
        <f aca="false">IF($A39&gt;=BegDate,Assumptions!$C$56*24*($A40-$A39)*(1-VLOOKUP($B39,MAIN!$AA$7:$AM$28,$C39+1))*(1-VLOOKUP($B39,MAIN!$AA$33:$AM$54,$C39+1)),0)*16/168</f>
        <v>0</v>
      </c>
      <c r="GY39" s="286" t="n">
        <f aca="false">M39</f>
        <v>30.26648448</v>
      </c>
      <c r="GZ39" s="286" t="n">
        <f aca="false">IF($A39&gt;=BegDate,VLOOKUP($A39,GasTable,13)+Assumptions!$C$58,0)</f>
        <v>0</v>
      </c>
      <c r="HA39" s="286" t="n">
        <f aca="false">GZ39*Assumptions!$C$57/1000</f>
        <v>0</v>
      </c>
      <c r="HB39" s="1558" t="n">
        <f aca="false">IF(Assumptions!$C$60="Hourly",MAX(0,GX39*(GY39-HA39)),GX39*(GY39-HA39))</f>
        <v>0</v>
      </c>
      <c r="HC39" s="1566" t="n">
        <f aca="false">IF($A39&gt;=BegDate,Assumptions!$C$56*24*($A40-$A39)*(1-VLOOKUP($B39,MAIN!$AA$7:$AM$28,$C39+1))*(1-VLOOKUP($B39,MAIN!$AA$33:$AM$54,$C39+1)),0)*16/168</f>
        <v>0</v>
      </c>
      <c r="HD39" s="286" t="n">
        <f aca="false">P39</f>
        <v>21.02429916</v>
      </c>
      <c r="HE39" s="286" t="n">
        <f aca="false">IF($A39&gt;=BegDate,VLOOKUP($A39,GasTable,13)+Assumptions!$C$58,0)</f>
        <v>0</v>
      </c>
      <c r="HF39" s="286" t="n">
        <f aca="false">HE39*Assumptions!$C$57/1000</f>
        <v>0</v>
      </c>
      <c r="HG39" s="1558" t="n">
        <f aca="false">IF(Assumptions!$C$60="Hourly",MAX(0,HC39*(HD39-HF39)),HC39*(HD39-HF39))</f>
        <v>0</v>
      </c>
      <c r="HH39" s="1566" t="n">
        <f aca="false">IF($A39&gt;=BegDate,Assumptions!$C$56*24*($A40-$A39)*(1-VLOOKUP($B39,MAIN!$AA$7:$AM$28,$C39+1))*(1-VLOOKUP($B39,MAIN!$AA$33:$AM$54,$C39+1)),0)*56/168</f>
        <v>0</v>
      </c>
      <c r="HI39" s="286" t="n">
        <f aca="false">S39</f>
        <v>21.02429916</v>
      </c>
      <c r="HJ39" s="286" t="n">
        <f aca="false">IF($A39&gt;=BegDate,VLOOKUP($A39,GasTable,13)+Assumptions!$C$58,0)</f>
        <v>0</v>
      </c>
      <c r="HK39" s="286" t="n">
        <f aca="false">HJ39*Assumptions!$C$57/1000</f>
        <v>0</v>
      </c>
      <c r="HL39" s="1558" t="n">
        <f aca="false">IF(Assumptions!$C$60="Hourly",MAX(0,HH39*(HI39-HK39)),HH39*(HI39-HK39))</f>
        <v>0</v>
      </c>
      <c r="HM39" s="1566" t="n">
        <f aca="false">IF(AND(Assumptions!$H$71="Yes",A39&gt;=Assumptions!$H$72,A39&lt;=Assumptions!$H$73),Assumptions!$H$74*Assumptions!$C$9*1000,0)</f>
        <v>0</v>
      </c>
      <c r="HN39" s="1558"/>
      <c r="HO39" s="1567" t="n">
        <f aca="false">HO38+1</f>
        <v>2025</v>
      </c>
      <c r="HP39" s="1566" t="n">
        <f aca="false">SUMIF($B$17:$B$292,HO39,$FJ$17:$FJ$292)</f>
        <v>0</v>
      </c>
      <c r="HQ39" s="1568" t="n">
        <f aca="false">IF(HR39=0,0,HR39/HP39)</f>
        <v>0</v>
      </c>
      <c r="HR39" s="1564" t="n">
        <f aca="false">SUMIF($B$17:$B$292,HO39,$FK$17:$FK$292)</f>
        <v>0</v>
      </c>
      <c r="HS39" s="1569" t="n">
        <f aca="false">SUMIF($B$17:$B$292,HO39,$GB$17:$GB$292)</f>
        <v>0</v>
      </c>
      <c r="HT39" s="1563" t="n">
        <f aca="false">+IF(HS39&gt;0,HU39/HS39,0)</f>
        <v>0</v>
      </c>
      <c r="HU39" s="1551" t="n">
        <f aca="false">SUMIF($B$17:$B$292,HO39,$GD$17:$GD$292)</f>
        <v>0</v>
      </c>
      <c r="HV39" s="1569" t="n">
        <f aca="false">HR39+HU39</f>
        <v>0</v>
      </c>
      <c r="HW39" s="1551" t="n">
        <f aca="false">SUMIF($B$17:$B$292,$HO39,$EN$17:$EN$292)</f>
        <v>0</v>
      </c>
      <c r="HX39" s="1551" t="n">
        <f aca="false">SUMIF($B$17:$B$292,$HO39,$FC$17:$FC$292)</f>
        <v>0</v>
      </c>
      <c r="HY39" s="1551" t="n">
        <f aca="false">IF(Assumptions!$L$24="Yes",HW39+HX39,0)</f>
        <v>0</v>
      </c>
      <c r="HZ39" s="1566" t="n">
        <f aca="false">SUMIF($B$17:$B$292,HO39,$GE$17:$GE$292)+SUMIF($B$17:$B$292,HO39,$GF$17:$GF$292)</f>
        <v>0</v>
      </c>
      <c r="IA39" s="1563" t="n">
        <f aca="false">IF(IB39=0,0,IB39/HZ39)</f>
        <v>0</v>
      </c>
      <c r="IB39" s="1564" t="n">
        <f aca="false">-SUMIF($B$17:$B$292,HO39,$GH$17:$GH$292)</f>
        <v>-0</v>
      </c>
      <c r="IC39" s="1569" t="n">
        <f aca="false">SUMIF($B$17:$B$292,HO39,$GI$17:$GI$292)</f>
        <v>0</v>
      </c>
      <c r="ID39" s="1563" t="n">
        <f aca="false">IF(IE39=0,0,IE39/IC39)</f>
        <v>0</v>
      </c>
      <c r="IE39" s="1564" t="n">
        <f aca="false">-SUMIF($B$17:$B$292,HO39,$GK$17:$GK$292)</f>
        <v>-0</v>
      </c>
      <c r="IF39" s="1551" t="n">
        <f aca="false">SUMIF($B$17:$B$292,HO39,$GP$17:$GP$292)</f>
        <v>0</v>
      </c>
      <c r="IG39" s="1563" t="n">
        <f aca="false">IF(IH39=0,0,IH39/IF39)</f>
        <v>0</v>
      </c>
      <c r="IH39" s="1564" t="n">
        <f aca="false">-SUMIF($B$17:$B$292,HO39,$GR$17:$GR$292)</f>
        <v>-0</v>
      </c>
      <c r="II39" s="1570" t="n">
        <f aca="false">(SUMIF($B$17:$B$292,HO39,$GW$17:$GW$292)+SUMIF($B$17:$B$292,HO39,$HB$17:$HB$292)+SUMIF($B$17:$B$292,HO39,$HG$17:$HG$292)+SUMIF($B$17:$B$292,HO39,$HL$17:$HL$292))*Assumptions!$C$59</f>
        <v>0</v>
      </c>
      <c r="IJ39" s="1309" t="n">
        <f aca="false">SUMIF($B$17:$B$292,HO39,$HM$17:$HM$292)</f>
        <v>0</v>
      </c>
      <c r="IK39" s="1309"/>
    </row>
    <row r="40" customFormat="false" ht="13.5" hidden="false" customHeight="false" outlineLevel="0" collapsed="false">
      <c r="A40" s="1571" t="n">
        <f aca="false">EOMONTH(A39,0)+1</f>
        <v>37347</v>
      </c>
      <c r="B40" s="594" t="n">
        <f aca="false">+YEAR(A40)</f>
        <v>2002</v>
      </c>
      <c r="C40" s="238" t="n">
        <f aca="false">MONTH(A40)</f>
        <v>4</v>
      </c>
      <c r="D40" s="1572" t="str">
        <f aca="false">IF(E40="","",Holiday(B40,C40))</f>
        <v/>
      </c>
      <c r="E40" s="1573" t="str">
        <f aca="false">IF(OR(BegDate&gt;=A41,EndDate&lt;A40,AND(VolumeMonthlyOverFlag,INDEX(VolumeMonthlyOver,C40)=0),NOT(INDEX(MonthKnockOutTable,C40))),"",MAX(A40,BegDate))</f>
        <v/>
      </c>
      <c r="F40" s="1574" t="str">
        <f aca="false">IF(E40="","",MIN(A41-1,EndDate))</f>
        <v/>
      </c>
      <c r="G40" s="1575" t="n">
        <v>0</v>
      </c>
      <c r="H40" s="1576" t="n">
        <f aca="false">(1+G40/2)^(-2*(DATE(B41,C41,20)-DateToday)/365.25)</f>
        <v>1</v>
      </c>
      <c r="I40" s="1568" t="n">
        <f aca="false">IF(Assumptions!$L$25=4,VLOOKUP($A40,'Henwood Reference'!$E$9:$R$320,10),(VLOOKUP($A40,PriceTable,2,0)+IF(BasisNumber&lt;&gt;1,VLOOKUP($A40,BasisTable,2,0),0)+I$1)/(1-I$2))</f>
        <v>28.43402796</v>
      </c>
      <c r="J40" s="1568" t="n">
        <f aca="false">IF(Assumptions!$L$25=4,VLOOKUP($A40,'Henwood Reference'!$E$9:$R$320,10),(VLOOKUP($A40,PriceTable,3,0)+IF(BasisNumber&lt;&gt;1,VLOOKUP($A40,BasisTable,2,0),0)+J$1)/(1-J$2))</f>
        <v>28.43402796</v>
      </c>
      <c r="K40" s="1568" t="n">
        <f aca="false">IF(Assumptions!$L$25=4,VLOOKUP($A40,'Henwood Reference'!$E$9:$R$320,10),(VLOOKUP($A40,PriceTable,4,0)+IF(BasisNumber&lt;&gt;1,VLOOKUP($A40,BasisTable,2,0),0)+K$1)/(1-K$2))</f>
        <v>28.43402796</v>
      </c>
      <c r="L40" s="1523" t="n">
        <f aca="false">IF(Assumptions!$L$25=4,VLOOKUP($A40,'Henwood Reference'!$E$9:$R$320,10),(VLOOKUP($A40,PriceTableWeekend,2,0)+IF(BasisNumber&lt;&gt;1,VLOOKUP($A40,BasisTable,2,0),0)+L$1)/(1-L$2))</f>
        <v>28.43402796</v>
      </c>
      <c r="M40" s="1568" t="n">
        <f aca="false">IF(Assumptions!$L$25=4,VLOOKUP($A40,'Henwood Reference'!$E$9:$R$320,10),(VLOOKUP($A40,PriceTableWeekend,3,0)+IF(BasisNumber&lt;&gt;1,VLOOKUP($A40,BasisTable,2,0),0)+M$1)/(1-M$2))</f>
        <v>28.43402796</v>
      </c>
      <c r="N40" s="1599" t="n">
        <f aca="false">IF(Assumptions!$L$25=4,VLOOKUP($A40,'Henwood Reference'!$E$9:$R$320,10),(VLOOKUP($A40,PriceTableWeekend,4,0)+IF(BasisNumber&lt;&gt;1,VLOOKUP($A40,BasisTable,2,0),0)+N$1)/(1-N$2))</f>
        <v>28.43402796</v>
      </c>
      <c r="O40" s="1568" t="n">
        <f aca="false">IF(Assumptions!$L$25=4,VLOOKUP($A40,'Henwood Reference'!$E$9:$R$320,11),(VLOOKUP($A40,PriceTableWeekend,6,0)+IF(BasisNumber&lt;&gt;1,VLOOKUP($A40,BasisTable,3,0),0)+O$1)/(1-O$2))</f>
        <v>19.14481656</v>
      </c>
      <c r="P40" s="1568" t="n">
        <f aca="false">IF(Assumptions!$L$25=4,VLOOKUP($A40,'Henwood Reference'!$E$9:$R$320,11),(VLOOKUP($A40,PriceTableWeekend,7,0)+IF(BasisNumber&lt;&gt;1,VLOOKUP($A40,BasisTable,3,0),0)+P$1)/(1-P$2))</f>
        <v>19.14481656</v>
      </c>
      <c r="Q40" s="1599" t="n">
        <f aca="false">IF(Assumptions!$L$25=4,VLOOKUP($A40,'Henwood Reference'!$E$9:$R$320,11),(VLOOKUP($A40,PriceTableWeekend,8,0)+IF(BasisNumber&lt;&gt;1,VLOOKUP($A40,BasisTable,3,0),0)+Q$1)/(1-Q$2))</f>
        <v>19.14481656</v>
      </c>
      <c r="R40" s="1568" t="n">
        <f aca="false">IF(Assumptions!$L$25=4,VLOOKUP($A40,'Henwood Reference'!$E$9:$R$320,11),(VLOOKUP($A40,PriceTable,6,0)+IF(BasisNumber&lt;&gt;1,VLOOKUP($A40,BasisTable,3,0),0)+R$1)/(1-R$2))</f>
        <v>19.14481656</v>
      </c>
      <c r="S40" s="1568" t="n">
        <f aca="false">IF(Assumptions!$L$25=4,VLOOKUP($A40,'Henwood Reference'!$E$9:$R$320,11),(VLOOKUP($A40,PriceTable,7,0)+IF(BasisNumber&lt;&gt;1,VLOOKUP($A40,BasisTable,3,0),0)+S$1)/(1-S$2))</f>
        <v>19.14481656</v>
      </c>
      <c r="T40" s="1600" t="n">
        <f aca="false">IF(Assumptions!$L$25=4,VLOOKUP($A40,'Henwood Reference'!$E$9:$R$320,11),(VLOOKUP($A40,PriceTable,8,0)+IF(BasisNumber&lt;&gt;1,VLOOKUP($A40,BasisTable,3,0),0)+T$1)/(1-T$2))</f>
        <v>19.14481656</v>
      </c>
      <c r="U40" s="1513" t="n">
        <f aca="false">VLOOKUP($A40,VolatilityTable,14)</f>
        <v>0.16</v>
      </c>
      <c r="V40" s="1513" t="n">
        <f aca="false">VLOOKUP($A40,VolatilityTable,15)</f>
        <v>0.17</v>
      </c>
      <c r="W40" s="1514" t="n">
        <f aca="false">VLOOKUP($A40,VolatilityTable,16)</f>
        <v>0.18</v>
      </c>
      <c r="X40" s="1513" t="n">
        <f aca="false">VLOOKUP($A40,VolatilityTable,14)</f>
        <v>0.16</v>
      </c>
      <c r="Y40" s="1513" t="n">
        <f aca="false">VLOOKUP($A40,VolatilityTable,15)</f>
        <v>0.17</v>
      </c>
      <c r="Z40" s="1514" t="n">
        <f aca="false">VLOOKUP($A40,VolatilityTable,16)</f>
        <v>0.18</v>
      </c>
      <c r="AA40" s="1513" t="n">
        <f aca="false">VLOOKUP($A40,VolatilityTable,18)</f>
        <v>0.09</v>
      </c>
      <c r="AB40" s="1513" t="n">
        <f aca="false">VLOOKUP($A40,VolatilityTable,19)</f>
        <v>0.11</v>
      </c>
      <c r="AC40" s="1514" t="n">
        <f aca="false">VLOOKUP($A40,VolatilityTable,20)</f>
        <v>0.13</v>
      </c>
      <c r="AD40" s="1513" t="n">
        <f aca="false">VLOOKUP($A40,VolatilityTable,18)</f>
        <v>0.09</v>
      </c>
      <c r="AE40" s="1513" t="n">
        <f aca="false">VLOOKUP($A40,VolatilityTable,19)</f>
        <v>0.11</v>
      </c>
      <c r="AF40" s="1514" t="n">
        <f aca="false">VLOOKUP($A40,VolatilityTable,20)</f>
        <v>0.13</v>
      </c>
      <c r="AG40" s="1513" t="n">
        <f aca="false">VLOOKUP($A40,VolatilityTable,22)</f>
        <v>-0.1</v>
      </c>
      <c r="AH40" s="1513" t="n">
        <f aca="false">VLOOKUP($A40,VolatilityTable,23)</f>
        <v>0.65</v>
      </c>
      <c r="AI40" s="1514" t="n">
        <f aca="false">VLOOKUP($A40,VolatilityTable,24)</f>
        <v>0.1</v>
      </c>
      <c r="AJ40" s="1513" t="n">
        <f aca="false">VLOOKUP($A40,VolatilityTable,22)</f>
        <v>-0.1</v>
      </c>
      <c r="AK40" s="1513" t="n">
        <f aca="false">VLOOKUP($A40,VolatilityTable,23)</f>
        <v>0.65</v>
      </c>
      <c r="AL40" s="1514" t="n">
        <f aca="false">VLOOKUP($A40,VolatilityTable,24)</f>
        <v>0.1</v>
      </c>
      <c r="AM40" s="1513" t="n">
        <f aca="false">VLOOKUP($A40,VolatilityTable,26)</f>
        <v>-0.01</v>
      </c>
      <c r="AN40" s="1513" t="n">
        <f aca="false">VLOOKUP($A40,VolatilityTable,27)</f>
        <v>0.16</v>
      </c>
      <c r="AO40" s="1514" t="n">
        <f aca="false">VLOOKUP($A40,VolatilityTable,28)</f>
        <v>0.01</v>
      </c>
      <c r="AP40" s="1513" t="n">
        <f aca="false">VLOOKUP($A40,VolatilityTable,26)</f>
        <v>-0.01</v>
      </c>
      <c r="AQ40" s="1513" t="n">
        <f aca="false">VLOOKUP($A40,VolatilityTable,27)</f>
        <v>0.16</v>
      </c>
      <c r="AR40" s="1515" t="n">
        <f aca="false">VLOOKUP($A40,VolatilityTable,28)</f>
        <v>0.01</v>
      </c>
      <c r="AS40" s="1581" t="n">
        <f aca="false">IF(CorrPeakOffPeakOverFlag,INDEX(CorrPeakOffPeakOver,C40),CorrPeakOffPeak)</f>
        <v>0.5</v>
      </c>
      <c r="AT40" s="594" t="n">
        <f aca="false">AX40-SUM(AU40:AW40)</f>
        <v>0</v>
      </c>
      <c r="AU40" s="238" t="n">
        <f aca="false">IF(E40="",0,INT((F40-MOD(F40,7)-E40)/7)+1-IF(AW40,IF(WEEKDAY(D40)=7,1,0),0))</f>
        <v>0</v>
      </c>
      <c r="AV40" s="238" t="n">
        <f aca="false">IF(E40="",0,INT((F40-MOD(F40-1,7)-E40)/7)+1-IF(AW40,IF(WEEKDAY(D40)=1,1,0),0))</f>
        <v>0</v>
      </c>
      <c r="AW40" s="238" t="n">
        <f aca="false">IF(OR(E40="",D40="",D40&lt;BegDate,D40&gt;EndDate),0,1)</f>
        <v>0</v>
      </c>
      <c r="AX40" s="238" t="n">
        <f aca="false">IF(E40="",0,F40-E40+1)</f>
        <v>0</v>
      </c>
      <c r="AY40" s="1582" t="n">
        <f aca="false">IF(E40="",0,MIN((1-(1-VLOOKUP(B40,MAIN!$AA$7:$AM$28,C40+1))*(1-VLOOKUP(B40,MAIN!$AA$33:$AM$54,C40+1))),1))</f>
        <v>0</v>
      </c>
      <c r="AZ40" s="1519" t="e">
        <v>#VALUE!</v>
      </c>
      <c r="BA40" s="1520" t="e">
        <v>#VALUE!</v>
      </c>
      <c r="BB40" s="1520" t="e">
        <v>#VALUE!</v>
      </c>
      <c r="BC40" s="1583" t="e">
        <v>#VALUE!</v>
      </c>
      <c r="BD40" s="1522" t="e">
        <v>#VALUE!</v>
      </c>
      <c r="BE40" s="1523" t="e">
        <v>#VALUE!</v>
      </c>
      <c r="BF40" s="1523" t="e">
        <v>#VALUE!</v>
      </c>
      <c r="BG40" s="1584" t="e">
        <v>#VALUE!</v>
      </c>
      <c r="BH40" s="1525" t="e">
        <v>#VALUE!</v>
      </c>
      <c r="BI40" s="1520" t="e">
        <v>#VALUE!</v>
      </c>
      <c r="BJ40" s="1520" t="e">
        <v>#VALUE!</v>
      </c>
      <c r="BK40" s="1583" t="e">
        <v>#VALUE!</v>
      </c>
      <c r="BL40" s="1522" t="e">
        <v>#VALUE!</v>
      </c>
      <c r="BM40" s="1523" t="e">
        <v>#VALUE!</v>
      </c>
      <c r="BN40" s="1523" t="e">
        <v>#VALUE!</v>
      </c>
      <c r="BO40" s="1523" t="e">
        <v>#VALUE!</v>
      </c>
      <c r="BP40" s="1525" t="e">
        <f aca="false">SUM(AZ40:BB40)</f>
        <v>#VALUE!</v>
      </c>
      <c r="BQ40" s="1529" t="e">
        <f aca="false">SUM(AZ40:BC40)</f>
        <v>#VALUE!</v>
      </c>
      <c r="BR40" s="1519" t="e">
        <f aca="false">SUM(BH40:BJ40)</f>
        <v>#VALUE!</v>
      </c>
      <c r="BS40" s="1529" t="e">
        <f aca="false">SUM(BH40:BK40)</f>
        <v>#VALUE!</v>
      </c>
      <c r="BT40" s="1316" t="n">
        <f aca="false">(IF(OVolType&lt;&gt;2,A40+14,IF(OptExpDateShift,ShiftBack(A40,OptExpDateShift,D39),A40))-DateToday)/365.25</f>
        <v>1.96303901437372</v>
      </c>
      <c r="BU40" s="1585" t="e">
        <f aca="false">IF(BQ40,IF(OPriceCurve,IF(OBuySell=OCallPut,I40/(1-AY40),K40/(1-AY40)),J40/(1-AY40))*BD40,0)</f>
        <v>#VALUE!</v>
      </c>
      <c r="BV40" s="1316" t="e">
        <f aca="false">IF(BQ40,IF(OPriceCurve,IF(OBuySell=OCallPut,L40/(1-AY40),N40/(1-AY40)),M40/(1-AY40))*BE40,0)</f>
        <v>#VALUE!</v>
      </c>
      <c r="BW40" s="1316" t="e">
        <f aca="false">IF(BQ40,IF(OPriceCurve,IF(OBuySell=OCallPut,O40/(1-AY40),Q40/(1-AY40)),P40/(1-AY40))*BF40,0)</f>
        <v>#VALUE!</v>
      </c>
      <c r="BX40" s="1316" t="e">
        <f aca="false">IF(BQ40,IF(OPriceCurve,IF(OBuySell=OCallPut,R40/(1-AY40),T40/(1-AY40)),S40/(1-AY40))*BG40,0)</f>
        <v>#VALUE!</v>
      </c>
      <c r="BY40" s="1316" t="e">
        <f aca="false">IF(BP40,(BU40*AZ40+BV40*BA40+BW40*BB40)/BP40,0)</f>
        <v>#VALUE!</v>
      </c>
      <c r="BZ40" s="1316" t="e">
        <f aca="false">IF(BQ40,(BY40*BP40+BX40*BC40)/BQ40,0)</f>
        <v>#VALUE!</v>
      </c>
      <c r="CA40" s="1531" t="e">
        <f aca="false">IF(BS40,IF(OPriceCurve,IF(OBuySell=OCallPut,I40/(1-AY40),K40/(1-AY40)),J40/(1-AY40))*BL40,0)</f>
        <v>#VALUE!</v>
      </c>
      <c r="CB40" s="1316" t="e">
        <f aca="false">IF(BS40,IF(OPriceCurve,IF(OBuySell=OCallPut,L40/(1-AY40),N40/(1-AY40)),M40/(1-AY40))*BM40,0)</f>
        <v>#VALUE!</v>
      </c>
      <c r="CC40" s="1316" t="e">
        <f aca="false">IF(BS40,IF(OPriceCurve,IF(OBuySell=OCallPut,O40/(1-AY40),Q40/(1-AY40)),P40/(1-AY40))*BN40,0)</f>
        <v>#VALUE!</v>
      </c>
      <c r="CD40" s="1316" t="e">
        <f aca="false">IF(BS40,IF(OPriceCurve,IF(OBuySell=OCallPut,R40/(1-AY40),T40/(1-AY40)),S40/(1-AY40))*BO40,0)</f>
        <v>#VALUE!</v>
      </c>
      <c r="CE40" s="1316" t="e">
        <f aca="false">IF(BR40,(BU40*BH40+BV40*BI40+BW40*BJ40)/BR40,0)</f>
        <v>#VALUE!</v>
      </c>
      <c r="CF40" s="1532" t="e">
        <f aca="false">IF(BS40,(CE40*BR40+CD40*BK40)/BS40,0)</f>
        <v>#VALUE!</v>
      </c>
      <c r="CG40" s="1586" t="e">
        <f aca="false">IF(OR(BQ40,BS40),IF(OVolType&lt;&gt;2,SQRT(IF(OVolOverMonthlyPeak,OVolOverMonthlyPeak,IF(OVolCurve,IF(OBuySell,U40,W40),V40))^2*(1-15/365.25/BT40)+IF(OVolOverDailyPeak,OVolOverDailyPeak,IF(OVolCurve,IF(OBuySell,AG40,AI40),AH40))^2*15/365.25/BT40),IF(OVolOverMonthlyPeak,OVolOverMonthlyPeak,IF(OVolCurve,IF(OBuySell,U40,W40),V40))),"")</f>
        <v>#VALUE!</v>
      </c>
      <c r="CH40" s="1587" t="e">
        <f aca="false">IF(OR(BQ40,BS40),IF(OVolType&lt;&gt;2,SQRT(IF(OVolOverMonthlyPeak,OVolOverMonthlyPeak,IF(OVolCurve,IF(OBuySell,X40,Z40),Y40))^2*(1-15/365.25/BT40)+IF(OVolOverDailyPeak,OVolOverDailyPeak,IF(OVolCurve,IF(OBuySell,AJ40,AL40),AK40))^2*15/365.25/BT40),IF(OVolOverMonthlyPeak,OVolOverMonthlyPeak,IF(OVolCurve,IF(OBuySell,X40,Z40),Y40))),"")</f>
        <v>#VALUE!</v>
      </c>
      <c r="CI40" s="1587" t="e">
        <f aca="false">IF(OR(BQ40,BS40),IF(OVolType&lt;&gt;2,SQRT(IF(OVolOverMonthlyPeak,OVolOverMonthlyPeak,IF(OVolCurve,IF(OBuySell,AA40,AC40),AB40))^2*(1-15/365.25/BT40)+IF(OVolOverDailyPeak,OVolOverDailyPeak,IF(OVolCurve,IF(OBuySell,AM40,AO40),AN40))^2*15/365.25/BT40),IF(OVolOverMonthlyPeak,OVolOverMonthlyPeak,IF(OVolCurve,IF(OBuySell,AA40,AC40),AB40))),"")</f>
        <v>#VALUE!</v>
      </c>
      <c r="CJ40" s="1587" t="e">
        <f aca="false">IF(BQ40,IF(BP40,SQRT(LN(1+((BU40*AZ40)^2*(EXP(CG40^2*BT40)-1)+(BV40*BA40)^2*(EXP(CH40^2*BT40)-1)+(BW40*BB40)^2*(EXP(CI40^2*BT40)-1)+2*BU40*AZ40*BV40*BA40*(EXP(CG40*CH40*BT40)-1)+2*BV40*BA40*BW40*BB40*(EXP(CH40*CI40*BT40)-1)+2*BW40*BB40*BU40*AZ40*(EXP(CI40*CG40*BT40)-1))/(BY40*BP40)^2)/BT40),0),"")</f>
        <v>#VALUE!</v>
      </c>
      <c r="CK40" s="1587" t="e">
        <f aca="false">IF(BS40,IF(BR40,SQRT(LN(1+((CA40*BH40)^2*(EXP(CG40^2*BT40)-1)+(CB40*BI40)^2*(EXP(CH40^2*BT40)-1)+(CC40*BJ40)^2*(EXP(CI40^2*BT40)-1)+2*CA40*BH40*CB40*BI40*(EXP(CG40*CH40*BT40)-1)+2*CB40*BI40*CC40*BJ40*(EXP(CH40*CI40*BT40)-1)+2*CC40*BJ40*CA40*BH40*(EXP(CI40*CG40*BT40)-1))/(CE40*BR40)^2)/BT40),0),"")</f>
        <v>#VALUE!</v>
      </c>
      <c r="CL40" s="1587" t="e">
        <f aca="false">IF(OR(BQ40,BS40),IF(OVolType&lt;&gt;2,SQRT(IF(OVolOverMonthlyOffPeak,OVolOverMonthlyOffPeak,IF(OVolCurve,IF(OBuySell,AD40,AF40),AE40))^2*(1-15/365.25/BT40)+IF(OVolOverDailyOffPeak,OVolOverDailyOffPeak,IF(OVolCurve,IF(OBuySell,AP40,AR40),AQ40))^2*15/365.25/BT40),IF(OVolOverMonthlyOffPeak,OVolOverMonthlyOffPeak,IF(OVolCurve,IF(OBuySell,AD40,AF40),AE40))),"")</f>
        <v>#VALUE!</v>
      </c>
      <c r="CM40" s="1587" t="e">
        <f aca="false">IF(BQ40,SQRT(LN(1+((BY40*BP40)^2*(EXP(CJ40^2*BT40)-1)+(BX40*BC40)^2*(EXP(CL40^2*BT40)-1)+2*BY40*BP40*BX40*BC40*(EXP(AS40*CJ40*CL40*BT40)-1))/(BY40*BP40+BX40*BC40)^2)/BT40),"")</f>
        <v>#VALUE!</v>
      </c>
      <c r="CN40" s="1588" t="e">
        <f aca="false">IF(BS40,SQRT(LN(1+((CE40*BR40)^2*(EXP(CK40^2*BT40)-1)+(CD40*BK40)^2*(EXP(CL40^2*BT40)-1)+2*CE40*BR40*CD40*BK40*(EXP(AS40*CK40*CL40*BT40)-1))/(CE40*BR40+CD40*BK40)^2)/BT40),"")</f>
        <v>#VALUE!</v>
      </c>
      <c r="CO40" s="1531" t="e">
        <f aca="false">IF(OR(BQ40,BS40),VLOOKUP(A40,GasTable,13)*HeatRatePeak*(1+VLOOKUP($B40,HeatRateDegradation,$C40+1))/1000,0)</f>
        <v>#VALUE!</v>
      </c>
      <c r="CP40" s="1316" t="e">
        <f aca="false">IF(OR(BQ40,BS40),VLOOKUP(A40,GasTable,13)*HeatRatePeak*(1+VLOOKUP($B40,HeatRateDegradation,$C40+1))/1000,0)</f>
        <v>#VALUE!</v>
      </c>
      <c r="CQ40" s="1316" t="e">
        <f aca="false">IF(OR(BQ40,BS40),VLOOKUP(A40,GasTable,13)*IF(EV40,HeatRatePeak,HeatRateOffPeak)*(1+VLOOKUP($B40,HeatRateDegradation,$C40+1))/1000,0)</f>
        <v>#VALUE!</v>
      </c>
      <c r="CR40" s="1316" t="e">
        <f aca="false">IF(OR(BQ40,BS40),VLOOKUP(A40,GasTable,13)*IF(EW40,HeatRatePeak,HeatRateOffPeak)*(1+VLOOKUP($B40,HeatRateDegradation,$C40+1))/1000,0)</f>
        <v>#VALUE!</v>
      </c>
      <c r="CS40" s="1589" t="e">
        <f aca="false">IF(BQ40,(CO40*AZ40+CP40*BA40+CQ40*BB40+CR40*BC40)/BQ40,0)</f>
        <v>#VALUE!</v>
      </c>
      <c r="CT40" s="1316" t="e">
        <f aca="false">IF(BS40,CO40,0)</f>
        <v>#VALUE!</v>
      </c>
      <c r="CU40" s="1590" t="e">
        <f aca="false">IF(OR(BQ40,BS40),VLOOKUP(A40,GasTable,14),"")</f>
        <v>#VALUE!</v>
      </c>
      <c r="CV40" s="1568" t="e">
        <f aca="false">IF(OR(BQ40,BS40),IF(CorrPowerGasOverFlag,INDEX(CorrPowerGasOver,C40),CorrPowerGas),"")</f>
        <v>#VALUE!</v>
      </c>
      <c r="CW40" s="1316" t="e">
        <f aca="false">IF(OR($BQ40,$BS40),SpreadOptPowerMargin,0)*((1+Assumptions!$C$26)^($B40-YEAR(Assumptions!$C$17)))</f>
        <v>#VALUE!</v>
      </c>
      <c r="CX40" s="1316" t="e">
        <f aca="false">IF(OR($BQ40,$BS40),SpreadOptPowerMargin,0)*((1+Assumptions!$C$26)^($B40-YEAR(Assumptions!$C$17)))</f>
        <v>#VALUE!</v>
      </c>
      <c r="CY40" s="1316" t="e">
        <f aca="false">IF(OR($BQ40,$BS40),SpreadOptPowerMargin,0)*((1+Assumptions!$C$26)^($B40-YEAR(Assumptions!$C$17)))</f>
        <v>#VALUE!</v>
      </c>
      <c r="CZ40" s="1316" t="e">
        <f aca="false">IF(OR($BQ40,$BS40),SpreadOptPowerMargin,0)*((1+Assumptions!$C$26)^($B40-YEAR(Assumptions!$C$17)))</f>
        <v>#VALUE!</v>
      </c>
      <c r="DA40" s="1591" t="e">
        <f aca="false">IF(OR(BQ40,BS40),(CW40*(AZ40+BH40)+CX40*(BA40+BI40)+CY40*(BB40+BJ40)+CZ40*(BC40+BK40))/(BQ40+BS40),0)</f>
        <v>#VALUE!</v>
      </c>
      <c r="DB40" s="1592" t="e">
        <f aca="false">IF(OR(BQ40,BS40),CG40+IF(OVolSmile,VLOOKUP(MAX(-5,CO40+CW40-BU40),IF(OVolSmile=1,VolSmileBook,VolSmileModel),2),0),"")</f>
        <v>#VALUE!</v>
      </c>
      <c r="DC40" s="1592" t="e">
        <f aca="false">IF(OR(BQ40,BS40),CH40+IF(OVolSmile,VLOOKUP(MAX(-5,CP40+CW40-BV40),IF(OVolSmile=1,VolSmileBook,VolSmileModel),2),0),"")</f>
        <v>#VALUE!</v>
      </c>
      <c r="DD40" s="1592" t="e">
        <f aca="false">IF(OR(BQ40,BS40),CI40+IF(OVolSmile,VLOOKUP(MAX(-5,CQ40+CW40-BW40),IF(OVolSmile=1,VolSmileBook,VolSmileModel),2),0),"")</f>
        <v>#VALUE!</v>
      </c>
      <c r="DE40" s="1592" t="e">
        <f aca="false">IF(OR(BQ40,BS40),CL40+IF(OVolSmile,VLOOKUP(MAX(-5,CR40+CZ40-BX40),IF(OVolSmile=1,VolSmileBook,VolSmileModel),2),0),"")</f>
        <v>#VALUE!</v>
      </c>
      <c r="DF40" s="1592" t="e">
        <f aca="false">IF(BQ40,CM40+IF(OVolSmile,VLOOKUP(MAX(-5,CS40+DA40-BZ40),IF(OVolSmile=1,VolSmileBook,VolSmileModel),2),0),"")</f>
        <v>#VALUE!</v>
      </c>
      <c r="DG40" s="1593" t="e">
        <f aca="false">IF(BS40,CN40+IF(OVolSmile,VLOOKUP(MAX(-5,CT40+DA40-CF40),IF(OVolSmile=1,VolSmileBook,VolSmileModel),2),0),"")</f>
        <v>#VALUE!</v>
      </c>
      <c r="DH40" s="1316" t="e">
        <f aca="false">IF(AND(BU40&gt;0,CO40&gt;0,DB40&gt;0,CU40&gt;0),newSPRDOPT(BU40,CO40,CW40,0,DB40,CU40,CV40,BT40*365.25,OCallPut,0),0)</f>
        <v>#VALUE!</v>
      </c>
      <c r="DI40" s="1316" t="e">
        <f aca="false">IF(AND(BV40&gt;0,CP40&gt;0,DC40&gt;0,CU40&gt;0),newSPRDOPT(BV40,CP40,CX40,0,DC40,CU40,CV40,BT40*365.25,OCallPut,0),0)</f>
        <v>#VALUE!</v>
      </c>
      <c r="DJ40" s="1316" t="e">
        <f aca="false">IF(AND(BW40&gt;0,CQ40&gt;0,DD40&gt;0,CU40&gt;0),newSPRDOPT(BW40,CQ40,CY40,0,DD40,CU40,CV40,BT40*365.25,OCallPut,0),0)</f>
        <v>#VALUE!</v>
      </c>
      <c r="DK40" s="1316" t="e">
        <f aca="false">IF(AND(BX40&gt;0,CR40&gt;0,DE40&gt;0,CU40&gt;0),newSPRDOPT(BX40,CR40,CZ40,0,DE40,CU40,CV40,BT40*365.25,OCallPut,0),0)</f>
        <v>#VALUE!</v>
      </c>
      <c r="DL40" s="1316" t="e">
        <f aca="false">IF(OVolType,IF(AND(BZ40&gt;0,CS40&gt;0,DF40&gt;0,CU40&gt;0),newSPRDOPT(BZ40,CS40,DA40,0,DF40,CU40,CV40,BT40*365.25,OCallPut,0),0),IF(BQ40,(DH40*AZ40+DI40*BA40+DJ40*BB40+DK40*BC40)/BQ40,0))</f>
        <v>#VALUE!</v>
      </c>
      <c r="DM40" s="1316"/>
      <c r="DN40" s="1316"/>
      <c r="DO40" s="1316"/>
      <c r="DP40" s="1316"/>
      <c r="DQ40" s="1316"/>
      <c r="DR40" s="1316"/>
      <c r="DS40" s="1316"/>
      <c r="DT40" s="1316"/>
      <c r="DU40" s="1316"/>
      <c r="DV40" s="1316"/>
      <c r="DW40" s="1594" t="e">
        <f aca="false">IF(AND(BW40&gt;0,CT40&gt;0,DD40&gt;0,CU40&gt;0),newSPRDOPT(BW40,CT40,CY40,0,DD40,CU40,CV40,BT40*365.25,OCallPut,0),0)</f>
        <v>#VALUE!</v>
      </c>
      <c r="DX40" s="1316" t="e">
        <f aca="false">IF(AND(BX40&gt;0,CT40&gt;0,DE40&gt;0,CU40&gt;0),newSPRDOPT(BX40,CT40,CZ40,0,DE40,CU40,CV40,BT40*365.25,OCallPut,0),0)</f>
        <v>#VALUE!</v>
      </c>
      <c r="DY40" s="1591" t="e">
        <f aca="false">IF(BS40,(DH40*BH40+DI40*BI40+DW40*BJ40+DX40*BK40)/BS40,0)</f>
        <v>#VALUE!</v>
      </c>
      <c r="DZ40" s="1551" t="e">
        <f aca="false">DH40*AZ40</f>
        <v>#VALUE!</v>
      </c>
      <c r="EA40" s="1551" t="e">
        <f aca="false">DI40*BA40</f>
        <v>#VALUE!</v>
      </c>
      <c r="EB40" s="1551" t="e">
        <f aca="false">DJ40*BB40</f>
        <v>#VALUE!</v>
      </c>
      <c r="EC40" s="1551" t="e">
        <f aca="false">DK40*BC40</f>
        <v>#VALUE!</v>
      </c>
      <c r="ED40" s="1551" t="e">
        <f aca="false">DL40*BQ40</f>
        <v>#VALUE!</v>
      </c>
      <c r="EE40" s="1595" t="e">
        <f aca="false">IF(BQ40,IF(OCallPut,IF(BU40&gt;(CO40+CW40),BU40-(CO40+CW40),0),IF((CO40+CW40)&gt;BU40,(CO40+CW40)-BU40,0))*AZ40,0)</f>
        <v>#VALUE!</v>
      </c>
      <c r="EF40" s="1596" t="e">
        <f aca="false">IF(BQ40,IF(OCallPut,IF(BV40&gt;(CP40+CX40),BV40-(CP40+CX40),0),IF((CP40+CX40)&gt;BV40,(CP40+CX40)-BV40,0))*BA40,0)</f>
        <v>#VALUE!</v>
      </c>
      <c r="EG40" s="1596" t="e">
        <f aca="false">IF(BQ40,IF(OCallPut,IF(BW40&gt;(CQ40+CY40),BW40-(CQ40+CY40),0),IF((CQ40+CY40)&gt;BW40,(CQ40+CY40)-BW40,0))*BB40,0)</f>
        <v>#VALUE!</v>
      </c>
      <c r="EH40" s="1596" t="e">
        <f aca="false">IF(BQ40,IF(OCallPut,IF(BX40&gt;(CR40+CZ40),BX40-(CR40+CZ40),0),IF((CR40+CZ40)&gt;BX40,(CR40+CZ40)-BX40,0))*BC40,0)</f>
        <v>#VALUE!</v>
      </c>
      <c r="EI40" s="1597" t="e">
        <f aca="false">IF(BQ40,IF(OVolType,IF(OCallPut,IF(BZ40&gt;(CS40+DA40),BZ40-(CS40+DA40),0),IF((CS40+DA40)&gt;BZ40,(CS40+DA40)-BZ40,0))*BQ40,SUM(EE40:EH40)),0)</f>
        <v>#VALUE!</v>
      </c>
      <c r="EJ40" s="1595" t="e">
        <f aca="false">DZ40-EE40</f>
        <v>#VALUE!</v>
      </c>
      <c r="EK40" s="1596" t="e">
        <f aca="false">EA40-EF40</f>
        <v>#VALUE!</v>
      </c>
      <c r="EL40" s="1596" t="e">
        <f aca="false">EB40-EG40</f>
        <v>#VALUE!</v>
      </c>
      <c r="EM40" s="1596" t="e">
        <f aca="false">EC40-EH40</f>
        <v>#VALUE!</v>
      </c>
      <c r="EN40" s="1597" t="e">
        <f aca="false">ED40-EI40</f>
        <v>#VALUE!</v>
      </c>
      <c r="EO40" s="1551" t="e">
        <f aca="false">DH40*BH40</f>
        <v>#VALUE!</v>
      </c>
      <c r="EP40" s="1551" t="e">
        <f aca="false">DI40*BI40</f>
        <v>#VALUE!</v>
      </c>
      <c r="EQ40" s="1551" t="e">
        <f aca="false">DW40*BJ40</f>
        <v>#VALUE!</v>
      </c>
      <c r="ER40" s="1551" t="e">
        <f aca="false">DX40*BK40</f>
        <v>#VALUE!</v>
      </c>
      <c r="ES40" s="1551" t="e">
        <f aca="false">DY40*BS40</f>
        <v>#VALUE!</v>
      </c>
      <c r="ET40" s="1566" t="e">
        <f aca="false">IF(BS40,IF(OCallPut,IF(CA40&gt;(CT40+CW40),CA40-(CT40+CW40),0),IF((CT40+CW40)&gt;CA40,(CT40+CW40)-CA40,0))*BH40,0)</f>
        <v>#VALUE!</v>
      </c>
      <c r="EU40" s="1551" t="e">
        <f aca="false">IF(BS40,IF(OCallPut,IF(CB40&gt;(CT40+CX40),CB40-(CT40+CX40),0),IF((CT40+CX40)&gt;CB40,(CT40+CX40)-CB40,0))*BI40,0)</f>
        <v>#VALUE!</v>
      </c>
      <c r="EV40" s="1551" t="e">
        <f aca="false">IF(BS40,IF(OCallPut,IF(CC40&gt;(CT40+CY40),CC40-(CT40+CY40),0),IF((CT40+CY40)&gt;CC40,(CT40+CY40)-CC40,0))*BJ40,0)</f>
        <v>#VALUE!</v>
      </c>
      <c r="EW40" s="1551" t="e">
        <f aca="false">IF(BS40,IF(OCallPut,IF(CD40&gt;(CT40+CZ40),CD40-(CT40+CZ40),0),IF((CT40+CZ40)&gt;CD40,(CT40+CZ40)-CD40,0))*BK40,0)</f>
        <v>#VALUE!</v>
      </c>
      <c r="EX40" s="1558" t="e">
        <f aca="false">IF(BS40,IF(OVolType,IF(OCallPut,IF(CF40&gt;(CT40+DA40),CF40-(CT40+DA40),0),IF((CT40+DA40)&gt;CF40,(CT40+DA40)-CF40,0))*BS40,SUM(ET40:EW40)),0)</f>
        <v>#VALUE!</v>
      </c>
      <c r="EY40" s="1551" t="e">
        <f aca="false">EO40-ET40</f>
        <v>#VALUE!</v>
      </c>
      <c r="EZ40" s="1551" t="e">
        <f aca="false">EP40-EU40</f>
        <v>#VALUE!</v>
      </c>
      <c r="FA40" s="1551" t="e">
        <f aca="false">EQ40-EV40</f>
        <v>#VALUE!</v>
      </c>
      <c r="FB40" s="1551" t="e">
        <f aca="false">ER40-EW40</f>
        <v>#VALUE!</v>
      </c>
      <c r="FC40" s="1551" t="e">
        <f aca="false">ES40-EX40</f>
        <v>#VALUE!</v>
      </c>
      <c r="FD40" s="1525" t="n">
        <f aca="false">IF(AX40,IF(VLOOKUP(C40,MAIN!$L$17:$M$28,2)="Yes",VLOOKUP(CALC!B40,MAIN!$H$17:$I$20,2),0),0)</f>
        <v>0</v>
      </c>
      <c r="FE40" s="1552" t="n">
        <f aca="false">$FD40*16*AT40*(1-$AY40)</f>
        <v>0</v>
      </c>
      <c r="FF40" s="1553" t="n">
        <f aca="false">$FD40*16*AU40*(1-$AY40)</f>
        <v>0</v>
      </c>
      <c r="FG40" s="1553" t="n">
        <f aca="false">$FD40*16*(AV40+AW40)*(1-$AY40)</f>
        <v>0</v>
      </c>
      <c r="FH40" s="1554" t="n">
        <f aca="false">$FD40*8*AX40*(1-$AY40)</f>
        <v>0</v>
      </c>
      <c r="FI40" s="1555" t="n">
        <f aca="false">IF(AX40,VLOOKUP(CALC!B40,MAIN!$H$17:$K$20,4),0)</f>
        <v>0</v>
      </c>
      <c r="FJ40" s="1553" t="n">
        <f aca="false">SUM(FE40:FH40)</f>
        <v>0</v>
      </c>
      <c r="FK40" s="1556" t="n">
        <f aca="false">FI40*FJ40</f>
        <v>0</v>
      </c>
      <c r="FL40" s="1551" t="e">
        <f aca="false">IF($EI40&gt;0,MIN(FE40,AZ40*(1+VLOOKUP($C40,WeatherCapacityAdjustment,2))),0)</f>
        <v>#VALUE!</v>
      </c>
      <c r="FM40" s="1551" t="e">
        <f aca="false">IF($EI40&gt;0,MIN(FF40,BA40*(1+VLOOKUP($C40,WeatherCapacityAdjustment,2))),0)</f>
        <v>#VALUE!</v>
      </c>
      <c r="FN40" s="1551" t="e">
        <f aca="false">IF($EI40&gt;0,MIN(FG40,BB40*(1+VLOOKUP($C40,WeatherCapacityAdjustment,2))),0)</f>
        <v>#VALUE!</v>
      </c>
      <c r="FO40" s="1564" t="e">
        <f aca="false">IF($EI40&gt;0,MIN(FH40,BC40*(1+VLOOKUP($C40,WeatherCapacityAdjustment,3))),0)</f>
        <v>#VALUE!</v>
      </c>
      <c r="FP40" s="1551" t="e">
        <f aca="false">IF(ET40&gt;0,MIN(FE40-FL40,BH40*(1+VLOOKUP($C40,WeatherCapacityAdjustment,2))),0)</f>
        <v>#VALUE!</v>
      </c>
      <c r="FQ40" s="1551" t="e">
        <f aca="false">IF(EU40&gt;0,MIN(FF40-FM40,BI40*(1+VLOOKUP($C40,WeatherCapacityAdjustment,2))),0)</f>
        <v>#VALUE!</v>
      </c>
      <c r="FR40" s="1551" t="e">
        <f aca="false">IF(EV40&gt;0,MIN(FG40-FN40,BJ40*(1+VLOOKUP($C40,WeatherCapacityAdjustment,2))),0)</f>
        <v>#VALUE!</v>
      </c>
      <c r="FS40" s="1558" t="e">
        <f aca="false">IF(EW40&gt;0,MIN(FH40-FO40,BK40*(1+VLOOKUP($C40,WeatherCapacityAdjustment,3))),0)</f>
        <v>#VALUE!</v>
      </c>
      <c r="FT40" s="1566" t="n">
        <f aca="false">IF(AND(Assumptions!$H$71="Yes",A40&gt;=Assumptions!$H$72,A40&lt;=Assumptions!$H$73),0,IF(AND($A40&gt;=Assumptions!$C$17,$A40&lt;=Assumptions!$C$18),MAX(AZ40*(1+VLOOKUP($C40,WeatherCapacityAdjustment,2))-FL40,0),0))</f>
        <v>0</v>
      </c>
      <c r="FU40" s="1551" t="n">
        <f aca="false">IF(AND(Assumptions!$H$71="Yes",A40&gt;=Assumptions!$H$72,A40&lt;=Assumptions!$H$73),0,IF(AND($A40&gt;=Assumptions!$C$17,$A40&lt;=Assumptions!$C$18),MAX(BA40*(1+VLOOKUP($C40,WeatherCapacityAdjustment,2))-FM40,0),0))</f>
        <v>0</v>
      </c>
      <c r="FV40" s="1551" t="n">
        <f aca="false">IF(AND(Assumptions!$H$71="Yes",A40&gt;=Assumptions!$H$72,A40&lt;=Assumptions!$H$73),0,IF(AND($A40&gt;=Assumptions!$C$17,$A40&lt;=Assumptions!$C$18),MAX(BB40*(1+VLOOKUP($C40,WeatherCapacityAdjustment,2))-FN40,0),0))</f>
        <v>0</v>
      </c>
      <c r="FW40" s="1564" t="n">
        <f aca="false">IF(AND(Assumptions!$H$71="Yes",A40&gt;=Assumptions!$H$72,A40&lt;=Assumptions!$H$73),0,IF(AND($A40&gt;=Assumptions!$C$17,$A40&lt;=Assumptions!$C$18),MAX(BC40*(1+VLOOKUP($C40,WeatherCapacityAdjustment,3))-FO40,0),0))</f>
        <v>0</v>
      </c>
      <c r="FX40" s="1569" t="e">
        <f aca="false">IF(AND(Assumptions!$H$71="Yes",A40&gt;=Assumptions!$H$72,A40&lt;=Assumptions!$H$73),0,IF(ET40&gt;0,MAX(BH40*(1+VLOOKUP($C40,WeatherCapacityAdjustment,2))-FP40,0),0))</f>
        <v>#VALUE!</v>
      </c>
      <c r="FY40" s="1551" t="e">
        <f aca="false">IF(AND(Assumptions!$H$71="Yes",A40&gt;=Assumptions!$H$72,A40&lt;=Assumptions!$H$73),0,IF(EU40&gt;0,MAX(BI40*(1+VLOOKUP($C40,WeatherCapacityAdjustment,3))-FQ40,0),0))</f>
        <v>#VALUE!</v>
      </c>
      <c r="FZ40" s="1551" t="e">
        <f aca="false">IF(AND(Assumptions!$H$71="Yes",A40&gt;=Assumptions!$H$72,A40&lt;=Assumptions!$H$73),0,IF(EV40&gt;0,MAX(BJ40*(1+VLOOKUP($C40,WeatherCapacityAdjustment,2))-FR40,0),0))</f>
        <v>#VALUE!</v>
      </c>
      <c r="GA40" s="1564" t="e">
        <f aca="false">IF(AND(Assumptions!$H$71="Yes",A40&gt;=Assumptions!$H$72,A40&lt;=Assumptions!$H$73),0,IF(EW40&gt;0,MAX(BK40*(1+VLOOKUP($C40,WeatherCapacityAdjustment,2))-FS40,0),0))</f>
        <v>#VALUE!</v>
      </c>
      <c r="GB40" s="1551" t="e">
        <f aca="false">SUM(FT40:GA40)</f>
        <v>#VALUE!</v>
      </c>
      <c r="GC40" s="1563" t="e">
        <f aca="false">+IF(SUM(FT40:GA40)=0,0,(SUMPRODUCT(BU40:BX40,FT40:FW40)+SUMPRODUCT(CA40:CD40,FX40:GA40))/SUM(FT40:GA40))</f>
        <v>#VALUE!</v>
      </c>
      <c r="GD40" s="1551" t="e">
        <f aca="false">(FT40*BU40+FX40*CA40+FU40*BV40+FY40*CB40+FV40*BW40+FZ40*CC40+FW40*BX40+GA40*CD40)</f>
        <v>#VALUE!</v>
      </c>
      <c r="GE40" s="1561" t="e">
        <f aca="false">+IF(BQ40,((FL40+FM40+FT40+FU40)*HeatRatePeak/1000*(1+VLOOKUP($C40,WeatherHeatRateAdjustment,2))+(FN40+FV40)*IF(EV40&gt;0,HeatRatePeak,HeatRateOffPeak)/1000*(1+VLOOKUP($C40,WeatherHeatRateAdjustment,2))+(FO40+FW40)*IF(EW40&gt;0,HeatRatePeak,HeatRateOffPeak)/1000*(1+VLOOKUP($C40,WeatherHeatRateAdjustment,3)))*(1+VLOOKUP($B40,HeatRateDegradation,$C40+1)),0)</f>
        <v>#VALUE!</v>
      </c>
      <c r="GF40" s="1562" t="e">
        <f aca="false">IF(BQ40,((FP40+FQ40+FR40+FX40+FY40+FZ40)*HeatRatePeak/1000*(1+VLOOKUP($C40,WeatherHeatRateAdjustment,2))+(FS40+GA40)*HeatRatePeak/1000*(1+VLOOKUP($C40,WeatherHeatRateAdjustment,3)))*(1+VLOOKUP($B40,HeatRateDegradation,$C40+1)),0)</f>
        <v>#VALUE!</v>
      </c>
      <c r="GG40" s="1563" t="e">
        <f aca="false">IF(BQ40,VLOOKUP(A40,GasTable,13),0)</f>
        <v>#VALUE!</v>
      </c>
      <c r="GH40" s="1564" t="e">
        <f aca="false">(GE40+GF40)*GG40</f>
        <v>#VALUE!</v>
      </c>
      <c r="GI40" s="1569" t="e">
        <f aca="false">GB40</f>
        <v>#VALUE!</v>
      </c>
      <c r="GJ40" s="1598" t="e">
        <f aca="false">+DA40</f>
        <v>#VALUE!</v>
      </c>
      <c r="GK40" s="1558" t="e">
        <f aca="false">+GI40*GJ40</f>
        <v>#VALUE!</v>
      </c>
      <c r="GL40" s="1566" t="e">
        <f aca="false">MAX(FE40-FL40-FP40,0)</f>
        <v>#VALUE!</v>
      </c>
      <c r="GM40" s="1551" t="e">
        <f aca="false">MAX(FF40-FM40-FQ40,0)</f>
        <v>#VALUE!</v>
      </c>
      <c r="GN40" s="1551" t="e">
        <f aca="false">MAX(FG40-FN40-FR40,0)</f>
        <v>#VALUE!</v>
      </c>
      <c r="GO40" s="1564" t="e">
        <f aca="false">MAX(FH40-FO40-FS40,0)</f>
        <v>#VALUE!</v>
      </c>
      <c r="GP40" s="1551" t="e">
        <f aca="false">SUM(GL40:GO40)</f>
        <v>#VALUE!</v>
      </c>
      <c r="GQ40" s="1563" t="e">
        <f aca="false">IF(SUM(GL40:GO40)=0,0,((GL40*BU40+GM40*BV40+GN40*BW40+GO40*BX40)/SUM(GL40:GO40)))</f>
        <v>#VALUE!</v>
      </c>
      <c r="GR40" s="1558" t="e">
        <f aca="false">(GL40*BU40+GM40*BV40+GN40*BW40+GO40*BX40)</f>
        <v>#VALUE!</v>
      </c>
      <c r="GS40" s="1566" t="n">
        <f aca="false">IF($A40&gt;=BegDate,Assumptions!$C$56*24*($A41-$A40)*(1-VLOOKUP($B40,MAIN!$AA$7:$AM$28,$C40+1))*(1-VLOOKUP($B40,MAIN!$AA$33:$AM$54,$C40+1)),0)*80/168</f>
        <v>0</v>
      </c>
      <c r="GT40" s="286" t="n">
        <f aca="false">J40</f>
        <v>28.43402796</v>
      </c>
      <c r="GU40" s="286" t="n">
        <f aca="false">IF($A40&gt;=BegDate,VLOOKUP($A40,GasTable,13)+Assumptions!$C$58,0)</f>
        <v>0</v>
      </c>
      <c r="GV40" s="286" t="n">
        <f aca="false">GU40*Assumptions!$C$57/1000</f>
        <v>0</v>
      </c>
      <c r="GW40" s="1558" t="n">
        <f aca="false">IF(Assumptions!$C$60="Hourly",MAX(0,GS40*(GT40-GV40)),GS40*(GT40-GV40))</f>
        <v>0</v>
      </c>
      <c r="GX40" s="1566" t="n">
        <f aca="false">IF($A40&gt;=BegDate,Assumptions!$C$56*24*($A41-$A40)*(1-VLOOKUP($B40,MAIN!$AA$7:$AM$28,$C40+1))*(1-VLOOKUP($B40,MAIN!$AA$33:$AM$54,$C40+1)),0)*16/168</f>
        <v>0</v>
      </c>
      <c r="GY40" s="286" t="n">
        <f aca="false">M40</f>
        <v>28.43402796</v>
      </c>
      <c r="GZ40" s="286" t="n">
        <f aca="false">IF($A40&gt;=BegDate,VLOOKUP($A40,GasTable,13)+Assumptions!$C$58,0)</f>
        <v>0</v>
      </c>
      <c r="HA40" s="286" t="n">
        <f aca="false">GZ40*Assumptions!$C$57/1000</f>
        <v>0</v>
      </c>
      <c r="HB40" s="1558" t="n">
        <f aca="false">IF(Assumptions!$C$60="Hourly",MAX(0,GX40*(GY40-HA40)),GX40*(GY40-HA40))</f>
        <v>0</v>
      </c>
      <c r="HC40" s="1566" t="n">
        <f aca="false">IF($A40&gt;=BegDate,Assumptions!$C$56*24*($A41-$A40)*(1-VLOOKUP($B40,MAIN!$AA$7:$AM$28,$C40+1))*(1-VLOOKUP($B40,MAIN!$AA$33:$AM$54,$C40+1)),0)*16/168</f>
        <v>0</v>
      </c>
      <c r="HD40" s="286" t="n">
        <f aca="false">P40</f>
        <v>19.14481656</v>
      </c>
      <c r="HE40" s="286" t="n">
        <f aca="false">IF($A40&gt;=BegDate,VLOOKUP($A40,GasTable,13)+Assumptions!$C$58,0)</f>
        <v>0</v>
      </c>
      <c r="HF40" s="286" t="n">
        <f aca="false">HE40*Assumptions!$C$57/1000</f>
        <v>0</v>
      </c>
      <c r="HG40" s="1558" t="n">
        <f aca="false">IF(Assumptions!$C$60="Hourly",MAX(0,HC40*(HD40-HF40)),HC40*(HD40-HF40))</f>
        <v>0</v>
      </c>
      <c r="HH40" s="1566" t="n">
        <f aca="false">IF($A40&gt;=BegDate,Assumptions!$C$56*24*($A41-$A40)*(1-VLOOKUP($B40,MAIN!$AA$7:$AM$28,$C40+1))*(1-VLOOKUP($B40,MAIN!$AA$33:$AM$54,$C40+1)),0)*56/168</f>
        <v>0</v>
      </c>
      <c r="HI40" s="286" t="n">
        <f aca="false">S40</f>
        <v>19.14481656</v>
      </c>
      <c r="HJ40" s="286" t="n">
        <f aca="false">IF($A40&gt;=BegDate,VLOOKUP($A40,GasTable,13)+Assumptions!$C$58,0)</f>
        <v>0</v>
      </c>
      <c r="HK40" s="286" t="n">
        <f aca="false">HJ40*Assumptions!$C$57/1000</f>
        <v>0</v>
      </c>
      <c r="HL40" s="1558" t="n">
        <f aca="false">IF(Assumptions!$C$60="Hourly",MAX(0,HH40*(HI40-HK40)),HH40*(HI40-HK40))</f>
        <v>0</v>
      </c>
      <c r="HM40" s="1566" t="n">
        <f aca="false">IF(AND(Assumptions!$H$71="Yes",A40&gt;=Assumptions!$H$72,A40&lt;=Assumptions!$H$73),Assumptions!$H$74*Assumptions!$C$9*1000,0)</f>
        <v>0</v>
      </c>
      <c r="HN40" s="1558"/>
      <c r="HO40" s="1601" t="n">
        <f aca="false">HO39+1</f>
        <v>2026</v>
      </c>
      <c r="HP40" s="1602" t="n">
        <f aca="false">SUMIF($B$17:$B$292,HO40,$FJ$17:$FJ$292)</f>
        <v>0</v>
      </c>
      <c r="HQ40" s="1603" t="n">
        <f aca="false">IF(HR40=0,0,HR40/HP40)</f>
        <v>0</v>
      </c>
      <c r="HR40" s="1604" t="n">
        <f aca="false">SUMIF($B$17:$B$292,HO40,$FK$17:$FK$292)</f>
        <v>0</v>
      </c>
      <c r="HS40" s="1605" t="n">
        <f aca="false">SUMIF($B$17:$B$292,HO40,$GB$17:$GB$292)</f>
        <v>0</v>
      </c>
      <c r="HT40" s="1606" t="n">
        <f aca="false">+IF(HS40&gt;0,HU40/HS40,0)</f>
        <v>0</v>
      </c>
      <c r="HU40" s="1607" t="n">
        <f aca="false">SUMIF($B$17:$B$292,HO40,$GD$17:$GD$292)</f>
        <v>0</v>
      </c>
      <c r="HV40" s="1605" t="n">
        <f aca="false">HR40+HU40</f>
        <v>0</v>
      </c>
      <c r="HW40" s="1607" t="n">
        <f aca="false">SUMIF($B$17:$B$292,$HO40,$EN$17:$EN$292)</f>
        <v>0</v>
      </c>
      <c r="HX40" s="1607" t="n">
        <f aca="false">SUMIF($B$17:$B$292,$HO40,$FC$17:$FC$292)</f>
        <v>0</v>
      </c>
      <c r="HY40" s="1608" t="n">
        <f aca="false">IF(Assumptions!$L$24="Yes",HW40+HX40,0)</f>
        <v>0</v>
      </c>
      <c r="HZ40" s="1602" t="n">
        <f aca="false">SUMIF($B$17:$B$292,HO40,$GE$17:$GE$292)+SUMIF($B$17:$B$292,HO40,$GF$17:$GF$292)</f>
        <v>0</v>
      </c>
      <c r="IA40" s="1606" t="n">
        <f aca="false">IF(IB40=0,0,IB40/HZ40)</f>
        <v>0</v>
      </c>
      <c r="IB40" s="1604" t="n">
        <f aca="false">-SUMIF($B$17:$B$292,HO40,$GH$17:$GH$292)</f>
        <v>-0</v>
      </c>
      <c r="IC40" s="1605" t="n">
        <f aca="false">SUMIF($B$17:$B$292,HO40,$GI$17:$GI$292)</f>
        <v>0</v>
      </c>
      <c r="ID40" s="1606" t="n">
        <f aca="false">IF(IE40=0,0,IE40/IC40)</f>
        <v>0</v>
      </c>
      <c r="IE40" s="1604" t="n">
        <f aca="false">-SUMIF($B$17:$B$292,HO40,$GK$17:$GK$292)</f>
        <v>-0</v>
      </c>
      <c r="IF40" s="1607" t="n">
        <f aca="false">SUMIF($B$17:$B$292,HO40,$GP$17:$GP$292)</f>
        <v>0</v>
      </c>
      <c r="IG40" s="1606" t="n">
        <f aca="false">IF(IH40=0,0,IH40/IF40)</f>
        <v>0</v>
      </c>
      <c r="IH40" s="1604" t="n">
        <f aca="false">-SUMIF($B$17:$B$292,HO40,$GR$17:$GR$292)</f>
        <v>-0</v>
      </c>
      <c r="II40" s="1609" t="n">
        <f aca="false">(SUMIF($B$17:$B$292,HO40,$GW$17:$GW$292)+SUMIF($B$17:$B$292,HO40,$HB$17:$HB$292)+SUMIF($B$17:$B$292,HO40,$HG$17:$HG$292)+SUMIF($B$17:$B$292,HO40,$HL$17:$HL$292))*Assumptions!$C$59</f>
        <v>0</v>
      </c>
      <c r="IJ40" s="1309" t="n">
        <f aca="false">SUMIF($B$17:$B$292,HO40,$HM$17:$HM$292)</f>
        <v>0</v>
      </c>
      <c r="IK40" s="1309"/>
    </row>
    <row r="41" customFormat="false" ht="12.75" hidden="false" customHeight="false" outlineLevel="0" collapsed="false">
      <c r="A41" s="1571" t="n">
        <f aca="false">EOMONTH(A40,0)+1</f>
        <v>37377</v>
      </c>
      <c r="B41" s="594" t="n">
        <f aca="false">+YEAR(A41)</f>
        <v>2002</v>
      </c>
      <c r="C41" s="238" t="n">
        <f aca="false">MONTH(A41)</f>
        <v>5</v>
      </c>
      <c r="D41" s="1572" t="str">
        <f aca="false">IF(E41="","",Holiday(B41,C41))</f>
        <v/>
      </c>
      <c r="E41" s="1573" t="str">
        <f aca="false">IF(OR(BegDate&gt;=A42,EndDate&lt;A41,AND(VolumeMonthlyOverFlag,INDEX(VolumeMonthlyOver,C41)=0),NOT(INDEX(MonthKnockOutTable,C41))),"",MAX(A41,BegDate))</f>
        <v/>
      </c>
      <c r="F41" s="1574" t="str">
        <f aca="false">IF(E41="","",MIN(A42-1,EndDate))</f>
        <v/>
      </c>
      <c r="G41" s="1575" t="n">
        <v>0</v>
      </c>
      <c r="H41" s="1576" t="n">
        <f aca="false">(1+G41/2)^(-2*(DATE(B42,C42,20)-DateToday)/365.25)</f>
        <v>1</v>
      </c>
      <c r="I41" s="1568" t="n">
        <f aca="false">IF(Assumptions!$L$25=4,VLOOKUP($A41,'Henwood Reference'!$E$9:$R$320,10),(VLOOKUP($A41,PriceTable,2,0)+IF(BasisNumber&lt;&gt;1,VLOOKUP($A41,BasisTable,2,0),0)+I$1)/(1-I$2))</f>
        <v>28.63357668</v>
      </c>
      <c r="J41" s="1568" t="n">
        <f aca="false">IF(Assumptions!$L$25=4,VLOOKUP($A41,'Henwood Reference'!$E$9:$R$320,10),(VLOOKUP($A41,PriceTable,3,0)+IF(BasisNumber&lt;&gt;1,VLOOKUP($A41,BasisTable,2,0),0)+J$1)/(1-J$2))</f>
        <v>28.63357668</v>
      </c>
      <c r="K41" s="1568" t="n">
        <f aca="false">IF(Assumptions!$L$25=4,VLOOKUP($A41,'Henwood Reference'!$E$9:$R$320,10),(VLOOKUP($A41,PriceTable,4,0)+IF(BasisNumber&lt;&gt;1,VLOOKUP($A41,BasisTable,2,0),0)+K$1)/(1-K$2))</f>
        <v>28.63357668</v>
      </c>
      <c r="L41" s="1523" t="n">
        <f aca="false">IF(Assumptions!$L$25=4,VLOOKUP($A41,'Henwood Reference'!$E$9:$R$320,10),(VLOOKUP($A41,PriceTableWeekend,2,0)+IF(BasisNumber&lt;&gt;1,VLOOKUP($A41,BasisTable,2,0),0)+L$1)/(1-L$2))</f>
        <v>28.63357668</v>
      </c>
      <c r="M41" s="1568" t="n">
        <f aca="false">IF(Assumptions!$L$25=4,VLOOKUP($A41,'Henwood Reference'!$E$9:$R$320,10),(VLOOKUP($A41,PriceTableWeekend,3,0)+IF(BasisNumber&lt;&gt;1,VLOOKUP($A41,BasisTable,2,0),0)+M$1)/(1-M$2))</f>
        <v>28.63357668</v>
      </c>
      <c r="N41" s="1599" t="n">
        <f aca="false">IF(Assumptions!$L$25=4,VLOOKUP($A41,'Henwood Reference'!$E$9:$R$320,10),(VLOOKUP($A41,PriceTableWeekend,4,0)+IF(BasisNumber&lt;&gt;1,VLOOKUP($A41,BasisTable,2,0),0)+N$1)/(1-N$2))</f>
        <v>28.63357668</v>
      </c>
      <c r="O41" s="1568" t="n">
        <f aca="false">IF(Assumptions!$L$25=4,VLOOKUP($A41,'Henwood Reference'!$E$9:$R$320,11),(VLOOKUP($A41,PriceTableWeekend,6,0)+IF(BasisNumber&lt;&gt;1,VLOOKUP($A41,BasisTable,3,0),0)+O$1)/(1-O$2))</f>
        <v>14.8007304</v>
      </c>
      <c r="P41" s="1568" t="n">
        <f aca="false">IF(Assumptions!$L$25=4,VLOOKUP($A41,'Henwood Reference'!$E$9:$R$320,11),(VLOOKUP($A41,PriceTableWeekend,7,0)+IF(BasisNumber&lt;&gt;1,VLOOKUP($A41,BasisTable,3,0),0)+P$1)/(1-P$2))</f>
        <v>14.8007304</v>
      </c>
      <c r="Q41" s="1599" t="n">
        <f aca="false">IF(Assumptions!$L$25=4,VLOOKUP($A41,'Henwood Reference'!$E$9:$R$320,11),(VLOOKUP($A41,PriceTableWeekend,8,0)+IF(BasisNumber&lt;&gt;1,VLOOKUP($A41,BasisTable,3,0),0)+Q$1)/(1-Q$2))</f>
        <v>14.8007304</v>
      </c>
      <c r="R41" s="1568" t="n">
        <f aca="false">IF(Assumptions!$L$25=4,VLOOKUP($A41,'Henwood Reference'!$E$9:$R$320,11),(VLOOKUP($A41,PriceTable,6,0)+IF(BasisNumber&lt;&gt;1,VLOOKUP($A41,BasisTable,3,0),0)+R$1)/(1-R$2))</f>
        <v>14.8007304</v>
      </c>
      <c r="S41" s="1568" t="n">
        <f aca="false">IF(Assumptions!$L$25=4,VLOOKUP($A41,'Henwood Reference'!$E$9:$R$320,11),(VLOOKUP($A41,PriceTable,7,0)+IF(BasisNumber&lt;&gt;1,VLOOKUP($A41,BasisTable,3,0),0)+S$1)/(1-S$2))</f>
        <v>14.8007304</v>
      </c>
      <c r="T41" s="1600" t="n">
        <f aca="false">IF(Assumptions!$L$25=4,VLOOKUP($A41,'Henwood Reference'!$E$9:$R$320,11),(VLOOKUP($A41,PriceTable,8,0)+IF(BasisNumber&lt;&gt;1,VLOOKUP($A41,BasisTable,3,0),0)+T$1)/(1-T$2))</f>
        <v>14.8007304</v>
      </c>
      <c r="U41" s="1513" t="n">
        <f aca="false">VLOOKUP($A41,VolatilityTable,14)</f>
        <v>0.16</v>
      </c>
      <c r="V41" s="1513" t="n">
        <f aca="false">VLOOKUP($A41,VolatilityTable,15)</f>
        <v>0.17</v>
      </c>
      <c r="W41" s="1514" t="n">
        <f aca="false">VLOOKUP($A41,VolatilityTable,16)</f>
        <v>0.18</v>
      </c>
      <c r="X41" s="1513" t="n">
        <f aca="false">VLOOKUP($A41,VolatilityTable,14)</f>
        <v>0.16</v>
      </c>
      <c r="Y41" s="1513" t="n">
        <f aca="false">VLOOKUP($A41,VolatilityTable,15)</f>
        <v>0.17</v>
      </c>
      <c r="Z41" s="1514" t="n">
        <f aca="false">VLOOKUP($A41,VolatilityTable,16)</f>
        <v>0.18</v>
      </c>
      <c r="AA41" s="1513" t="n">
        <f aca="false">VLOOKUP($A41,VolatilityTable,18)</f>
        <v>0.09</v>
      </c>
      <c r="AB41" s="1513" t="n">
        <f aca="false">VLOOKUP($A41,VolatilityTable,19)</f>
        <v>0.11</v>
      </c>
      <c r="AC41" s="1514" t="n">
        <f aca="false">VLOOKUP($A41,VolatilityTable,20)</f>
        <v>0.13</v>
      </c>
      <c r="AD41" s="1513" t="n">
        <f aca="false">VLOOKUP($A41,VolatilityTable,18)</f>
        <v>0.09</v>
      </c>
      <c r="AE41" s="1513" t="n">
        <f aca="false">VLOOKUP($A41,VolatilityTable,19)</f>
        <v>0.11</v>
      </c>
      <c r="AF41" s="1514" t="n">
        <f aca="false">VLOOKUP($A41,VolatilityTable,20)</f>
        <v>0.13</v>
      </c>
      <c r="AG41" s="1513" t="n">
        <f aca="false">VLOOKUP($A41,VolatilityTable,22)</f>
        <v>-0.1</v>
      </c>
      <c r="AH41" s="1513" t="n">
        <f aca="false">VLOOKUP($A41,VolatilityTable,23)</f>
        <v>0.65</v>
      </c>
      <c r="AI41" s="1514" t="n">
        <f aca="false">VLOOKUP($A41,VolatilityTable,24)</f>
        <v>0.1</v>
      </c>
      <c r="AJ41" s="1513" t="n">
        <f aca="false">VLOOKUP($A41,VolatilityTable,22)</f>
        <v>-0.1</v>
      </c>
      <c r="AK41" s="1513" t="n">
        <f aca="false">VLOOKUP($A41,VolatilityTable,23)</f>
        <v>0.65</v>
      </c>
      <c r="AL41" s="1514" t="n">
        <f aca="false">VLOOKUP($A41,VolatilityTable,24)</f>
        <v>0.1</v>
      </c>
      <c r="AM41" s="1513" t="n">
        <f aca="false">VLOOKUP($A41,VolatilityTable,26)</f>
        <v>-0.01</v>
      </c>
      <c r="AN41" s="1513" t="n">
        <f aca="false">VLOOKUP($A41,VolatilityTable,27)</f>
        <v>0.16</v>
      </c>
      <c r="AO41" s="1514" t="n">
        <f aca="false">VLOOKUP($A41,VolatilityTable,28)</f>
        <v>0.01</v>
      </c>
      <c r="AP41" s="1513" t="n">
        <f aca="false">VLOOKUP($A41,VolatilityTable,26)</f>
        <v>-0.01</v>
      </c>
      <c r="AQ41" s="1513" t="n">
        <f aca="false">VLOOKUP($A41,VolatilityTable,27)</f>
        <v>0.16</v>
      </c>
      <c r="AR41" s="1515" t="n">
        <f aca="false">VLOOKUP($A41,VolatilityTable,28)</f>
        <v>0.01</v>
      </c>
      <c r="AS41" s="1581" t="n">
        <f aca="false">IF(CorrPeakOffPeakOverFlag,INDEX(CorrPeakOffPeakOver,C41),CorrPeakOffPeak)</f>
        <v>0.5</v>
      </c>
      <c r="AT41" s="594" t="n">
        <f aca="false">AX41-SUM(AU41:AW41)</f>
        <v>0</v>
      </c>
      <c r="AU41" s="238" t="n">
        <f aca="false">IF(E41="",0,INT((F41-MOD(F41,7)-E41)/7)+1-IF(AW41,IF(WEEKDAY(D41)=7,1,0),0))</f>
        <v>0</v>
      </c>
      <c r="AV41" s="238" t="n">
        <f aca="false">IF(E41="",0,INT((F41-MOD(F41-1,7)-E41)/7)+1-IF(AW41,IF(WEEKDAY(D41)=1,1,0),0))</f>
        <v>0</v>
      </c>
      <c r="AW41" s="238" t="n">
        <f aca="false">IF(OR(E41="",D41="",D41&lt;BegDate,D41&gt;EndDate),0,1)</f>
        <v>0</v>
      </c>
      <c r="AX41" s="238" t="n">
        <f aca="false">IF(E41="",0,F41-E41+1)</f>
        <v>0</v>
      </c>
      <c r="AY41" s="1582" t="n">
        <f aca="false">IF(E41="",0,MIN((1-(1-VLOOKUP(B41,MAIN!$AA$7:$AM$28,C41+1))*(1-VLOOKUP(B41,MAIN!$AA$33:$AM$54,C41+1))),1))</f>
        <v>0</v>
      </c>
      <c r="AZ41" s="1519" t="e">
        <v>#VALUE!</v>
      </c>
      <c r="BA41" s="1520" t="e">
        <v>#VALUE!</v>
      </c>
      <c r="BB41" s="1520" t="e">
        <v>#VALUE!</v>
      </c>
      <c r="BC41" s="1583" t="e">
        <v>#VALUE!</v>
      </c>
      <c r="BD41" s="1522" t="e">
        <v>#VALUE!</v>
      </c>
      <c r="BE41" s="1523" t="e">
        <v>#VALUE!</v>
      </c>
      <c r="BF41" s="1523" t="e">
        <v>#VALUE!</v>
      </c>
      <c r="BG41" s="1584" t="e">
        <v>#VALUE!</v>
      </c>
      <c r="BH41" s="1525" t="e">
        <v>#VALUE!</v>
      </c>
      <c r="BI41" s="1520" t="e">
        <v>#VALUE!</v>
      </c>
      <c r="BJ41" s="1520" t="e">
        <v>#VALUE!</v>
      </c>
      <c r="BK41" s="1583" t="e">
        <v>#VALUE!</v>
      </c>
      <c r="BL41" s="1522" t="e">
        <v>#VALUE!</v>
      </c>
      <c r="BM41" s="1523" t="e">
        <v>#VALUE!</v>
      </c>
      <c r="BN41" s="1523" t="e">
        <v>#VALUE!</v>
      </c>
      <c r="BO41" s="1523" t="e">
        <v>#VALUE!</v>
      </c>
      <c r="BP41" s="1525" t="e">
        <f aca="false">SUM(AZ41:BB41)</f>
        <v>#VALUE!</v>
      </c>
      <c r="BQ41" s="1529" t="e">
        <f aca="false">SUM(AZ41:BC41)</f>
        <v>#VALUE!</v>
      </c>
      <c r="BR41" s="1519" t="e">
        <f aca="false">SUM(BH41:BJ41)</f>
        <v>#VALUE!</v>
      </c>
      <c r="BS41" s="1529" t="e">
        <f aca="false">SUM(BH41:BK41)</f>
        <v>#VALUE!</v>
      </c>
      <c r="BT41" s="1316" t="n">
        <f aca="false">(IF(OVolType&lt;&gt;2,A41+14,IF(OptExpDateShift,ShiftBack(A41,OptExpDateShift,D40),A41))-DateToday)/365.25</f>
        <v>2.04517453798768</v>
      </c>
      <c r="BU41" s="1585" t="e">
        <f aca="false">IF(BQ41,IF(OPriceCurve,IF(OBuySell=OCallPut,I41/(1-AY41),K41/(1-AY41)),J41/(1-AY41))*BD41,0)</f>
        <v>#VALUE!</v>
      </c>
      <c r="BV41" s="1316" t="e">
        <f aca="false">IF(BQ41,IF(OPriceCurve,IF(OBuySell=OCallPut,L41/(1-AY41),N41/(1-AY41)),M41/(1-AY41))*BE41,0)</f>
        <v>#VALUE!</v>
      </c>
      <c r="BW41" s="1316" t="e">
        <f aca="false">IF(BQ41,IF(OPriceCurve,IF(OBuySell=OCallPut,O41/(1-AY41),Q41/(1-AY41)),P41/(1-AY41))*BF41,0)</f>
        <v>#VALUE!</v>
      </c>
      <c r="BX41" s="1316" t="e">
        <f aca="false">IF(BQ41,IF(OPriceCurve,IF(OBuySell=OCallPut,R41/(1-AY41),T41/(1-AY41)),S41/(1-AY41))*BG41,0)</f>
        <v>#VALUE!</v>
      </c>
      <c r="BY41" s="1316" t="e">
        <f aca="false">IF(BP41,(BU41*AZ41+BV41*BA41+BW41*BB41)/BP41,0)</f>
        <v>#VALUE!</v>
      </c>
      <c r="BZ41" s="1316" t="e">
        <f aca="false">IF(BQ41,(BY41*BP41+BX41*BC41)/BQ41,0)</f>
        <v>#VALUE!</v>
      </c>
      <c r="CA41" s="1531" t="e">
        <f aca="false">IF(BS41,IF(OPriceCurve,IF(OBuySell=OCallPut,I41/(1-AY41),K41/(1-AY41)),J41/(1-AY41))*BL41,0)</f>
        <v>#VALUE!</v>
      </c>
      <c r="CB41" s="1316" t="e">
        <f aca="false">IF(BS41,IF(OPriceCurve,IF(OBuySell=OCallPut,L41/(1-AY41),N41/(1-AY41)),M41/(1-AY41))*BM41,0)</f>
        <v>#VALUE!</v>
      </c>
      <c r="CC41" s="1316" t="e">
        <f aca="false">IF(BS41,IF(OPriceCurve,IF(OBuySell=OCallPut,O41/(1-AY41),Q41/(1-AY41)),P41/(1-AY41))*BN41,0)</f>
        <v>#VALUE!</v>
      </c>
      <c r="CD41" s="1316" t="e">
        <f aca="false">IF(BS41,IF(OPriceCurve,IF(OBuySell=OCallPut,R41/(1-AY41),T41/(1-AY41)),S41/(1-AY41))*BO41,0)</f>
        <v>#VALUE!</v>
      </c>
      <c r="CE41" s="1316" t="e">
        <f aca="false">IF(BR41,(BU41*BH41+BV41*BI41+BW41*BJ41)/BR41,0)</f>
        <v>#VALUE!</v>
      </c>
      <c r="CF41" s="1532" t="e">
        <f aca="false">IF(BS41,(CE41*BR41+CD41*BK41)/BS41,0)</f>
        <v>#VALUE!</v>
      </c>
      <c r="CG41" s="1586" t="e">
        <f aca="false">IF(OR(BQ41,BS41),IF(OVolType&lt;&gt;2,SQRT(IF(OVolOverMonthlyPeak,OVolOverMonthlyPeak,IF(OVolCurve,IF(OBuySell,U41,W41),V41))^2*(1-15/365.25/BT41)+IF(OVolOverDailyPeak,OVolOverDailyPeak,IF(OVolCurve,IF(OBuySell,AG41,AI41),AH41))^2*15/365.25/BT41),IF(OVolOverMonthlyPeak,OVolOverMonthlyPeak,IF(OVolCurve,IF(OBuySell,U41,W41),V41))),"")</f>
        <v>#VALUE!</v>
      </c>
      <c r="CH41" s="1587" t="e">
        <f aca="false">IF(OR(BQ41,BS41),IF(OVolType&lt;&gt;2,SQRT(IF(OVolOverMonthlyPeak,OVolOverMonthlyPeak,IF(OVolCurve,IF(OBuySell,X41,Z41),Y41))^2*(1-15/365.25/BT41)+IF(OVolOverDailyPeak,OVolOverDailyPeak,IF(OVolCurve,IF(OBuySell,AJ41,AL41),AK41))^2*15/365.25/BT41),IF(OVolOverMonthlyPeak,OVolOverMonthlyPeak,IF(OVolCurve,IF(OBuySell,X41,Z41),Y41))),"")</f>
        <v>#VALUE!</v>
      </c>
      <c r="CI41" s="1587" t="e">
        <f aca="false">IF(OR(BQ41,BS41),IF(OVolType&lt;&gt;2,SQRT(IF(OVolOverMonthlyPeak,OVolOverMonthlyPeak,IF(OVolCurve,IF(OBuySell,AA41,AC41),AB41))^2*(1-15/365.25/BT41)+IF(OVolOverDailyPeak,OVolOverDailyPeak,IF(OVolCurve,IF(OBuySell,AM41,AO41),AN41))^2*15/365.25/BT41),IF(OVolOverMonthlyPeak,OVolOverMonthlyPeak,IF(OVolCurve,IF(OBuySell,AA41,AC41),AB41))),"")</f>
        <v>#VALUE!</v>
      </c>
      <c r="CJ41" s="1587" t="e">
        <f aca="false">IF(BQ41,IF(BP41,SQRT(LN(1+((BU41*AZ41)^2*(EXP(CG41^2*BT41)-1)+(BV41*BA41)^2*(EXP(CH41^2*BT41)-1)+(BW41*BB41)^2*(EXP(CI41^2*BT41)-1)+2*BU41*AZ41*BV41*BA41*(EXP(CG41*CH41*BT41)-1)+2*BV41*BA41*BW41*BB41*(EXP(CH41*CI41*BT41)-1)+2*BW41*BB41*BU41*AZ41*(EXP(CI41*CG41*BT41)-1))/(BY41*BP41)^2)/BT41),0),"")</f>
        <v>#VALUE!</v>
      </c>
      <c r="CK41" s="1587" t="e">
        <f aca="false">IF(BS41,IF(BR41,SQRT(LN(1+((CA41*BH41)^2*(EXP(CG41^2*BT41)-1)+(CB41*BI41)^2*(EXP(CH41^2*BT41)-1)+(CC41*BJ41)^2*(EXP(CI41^2*BT41)-1)+2*CA41*BH41*CB41*BI41*(EXP(CG41*CH41*BT41)-1)+2*CB41*BI41*CC41*BJ41*(EXP(CH41*CI41*BT41)-1)+2*CC41*BJ41*CA41*BH41*(EXP(CI41*CG41*BT41)-1))/(CE41*BR41)^2)/BT41),0),"")</f>
        <v>#VALUE!</v>
      </c>
      <c r="CL41" s="1587" t="e">
        <f aca="false">IF(OR(BQ41,BS41),IF(OVolType&lt;&gt;2,SQRT(IF(OVolOverMonthlyOffPeak,OVolOverMonthlyOffPeak,IF(OVolCurve,IF(OBuySell,AD41,AF41),AE41))^2*(1-15/365.25/BT41)+IF(OVolOverDailyOffPeak,OVolOverDailyOffPeak,IF(OVolCurve,IF(OBuySell,AP41,AR41),AQ41))^2*15/365.25/BT41),IF(OVolOverMonthlyOffPeak,OVolOverMonthlyOffPeak,IF(OVolCurve,IF(OBuySell,AD41,AF41),AE41))),"")</f>
        <v>#VALUE!</v>
      </c>
      <c r="CM41" s="1587" t="e">
        <f aca="false">IF(BQ41,SQRT(LN(1+((BY41*BP41)^2*(EXP(CJ41^2*BT41)-1)+(BX41*BC41)^2*(EXP(CL41^2*BT41)-1)+2*BY41*BP41*BX41*BC41*(EXP(AS41*CJ41*CL41*BT41)-1))/(BY41*BP41+BX41*BC41)^2)/BT41),"")</f>
        <v>#VALUE!</v>
      </c>
      <c r="CN41" s="1588" t="e">
        <f aca="false">IF(BS41,SQRT(LN(1+((CE41*BR41)^2*(EXP(CK41^2*BT41)-1)+(CD41*BK41)^2*(EXP(CL41^2*BT41)-1)+2*CE41*BR41*CD41*BK41*(EXP(AS41*CK41*CL41*BT41)-1))/(CE41*BR41+CD41*BK41)^2)/BT41),"")</f>
        <v>#VALUE!</v>
      </c>
      <c r="CO41" s="1531" t="e">
        <f aca="false">IF(OR(BQ41,BS41),VLOOKUP(A41,GasTable,13)*HeatRatePeak*(1+VLOOKUP($B41,HeatRateDegradation,$C41+1))/1000,0)</f>
        <v>#VALUE!</v>
      </c>
      <c r="CP41" s="1316" t="e">
        <f aca="false">IF(OR(BQ41,BS41),VLOOKUP(A41,GasTable,13)*HeatRatePeak*(1+VLOOKUP($B41,HeatRateDegradation,$C41+1))/1000,0)</f>
        <v>#VALUE!</v>
      </c>
      <c r="CQ41" s="1316" t="e">
        <f aca="false">IF(OR(BQ41,BS41),VLOOKUP(A41,GasTable,13)*IF(EV41,HeatRatePeak,HeatRateOffPeak)*(1+VLOOKUP($B41,HeatRateDegradation,$C41+1))/1000,0)</f>
        <v>#VALUE!</v>
      </c>
      <c r="CR41" s="1316" t="e">
        <f aca="false">IF(OR(BQ41,BS41),VLOOKUP(A41,GasTable,13)*IF(EW41,HeatRatePeak,HeatRateOffPeak)*(1+VLOOKUP($B41,HeatRateDegradation,$C41+1))/1000,0)</f>
        <v>#VALUE!</v>
      </c>
      <c r="CS41" s="1589" t="e">
        <f aca="false">IF(BQ41,(CO41*AZ41+CP41*BA41+CQ41*BB41+CR41*BC41)/BQ41,0)</f>
        <v>#VALUE!</v>
      </c>
      <c r="CT41" s="1316" t="e">
        <f aca="false">IF(BS41,CO41,0)</f>
        <v>#VALUE!</v>
      </c>
      <c r="CU41" s="1590" t="e">
        <f aca="false">IF(OR(BQ41,BS41),VLOOKUP(A41,GasTable,14),"")</f>
        <v>#VALUE!</v>
      </c>
      <c r="CV41" s="1568" t="e">
        <f aca="false">IF(OR(BQ41,BS41),IF(CorrPowerGasOverFlag,INDEX(CorrPowerGasOver,C41),CorrPowerGas),"")</f>
        <v>#VALUE!</v>
      </c>
      <c r="CW41" s="1316" t="e">
        <f aca="false">IF(OR($BQ41,$BS41),SpreadOptPowerMargin,0)*((1+Assumptions!$C$26)^($B41-YEAR(Assumptions!$C$17)))</f>
        <v>#VALUE!</v>
      </c>
      <c r="CX41" s="1316" t="e">
        <f aca="false">IF(OR($BQ41,$BS41),SpreadOptPowerMargin,0)*((1+Assumptions!$C$26)^($B41-YEAR(Assumptions!$C$17)))</f>
        <v>#VALUE!</v>
      </c>
      <c r="CY41" s="1316" t="e">
        <f aca="false">IF(OR($BQ41,$BS41),SpreadOptPowerMargin,0)*((1+Assumptions!$C$26)^($B41-YEAR(Assumptions!$C$17)))</f>
        <v>#VALUE!</v>
      </c>
      <c r="CZ41" s="1316" t="e">
        <f aca="false">IF(OR($BQ41,$BS41),SpreadOptPowerMargin,0)*((1+Assumptions!$C$26)^($B41-YEAR(Assumptions!$C$17)))</f>
        <v>#VALUE!</v>
      </c>
      <c r="DA41" s="1591" t="e">
        <f aca="false">IF(OR(BQ41,BS41),(CW41*(AZ41+BH41)+CX41*(BA41+BI41)+CY41*(BB41+BJ41)+CZ41*(BC41+BK41))/(BQ41+BS41),0)</f>
        <v>#VALUE!</v>
      </c>
      <c r="DB41" s="1592" t="e">
        <f aca="false">IF(OR(BQ41,BS41),CG41+IF(OVolSmile,VLOOKUP(MAX(-5,CO41+CW41-BU41),IF(OVolSmile=1,VolSmileBook,VolSmileModel),2),0),"")</f>
        <v>#VALUE!</v>
      </c>
      <c r="DC41" s="1592" t="e">
        <f aca="false">IF(OR(BQ41,BS41),CH41+IF(OVolSmile,VLOOKUP(MAX(-5,CP41+CW41-BV41),IF(OVolSmile=1,VolSmileBook,VolSmileModel),2),0),"")</f>
        <v>#VALUE!</v>
      </c>
      <c r="DD41" s="1592" t="e">
        <f aca="false">IF(OR(BQ41,BS41),CI41+IF(OVolSmile,VLOOKUP(MAX(-5,CQ41+CW41-BW41),IF(OVolSmile=1,VolSmileBook,VolSmileModel),2),0),"")</f>
        <v>#VALUE!</v>
      </c>
      <c r="DE41" s="1592" t="e">
        <f aca="false">IF(OR(BQ41,BS41),CL41+IF(OVolSmile,VLOOKUP(MAX(-5,CR41+CZ41-BX41),IF(OVolSmile=1,VolSmileBook,VolSmileModel),2),0),"")</f>
        <v>#VALUE!</v>
      </c>
      <c r="DF41" s="1592" t="e">
        <f aca="false">IF(BQ41,CM41+IF(OVolSmile,VLOOKUP(MAX(-5,CS41+DA41-BZ41),IF(OVolSmile=1,VolSmileBook,VolSmileModel),2),0),"")</f>
        <v>#VALUE!</v>
      </c>
      <c r="DG41" s="1593" t="e">
        <f aca="false">IF(BS41,CN41+IF(OVolSmile,VLOOKUP(MAX(-5,CT41+DA41-CF41),IF(OVolSmile=1,VolSmileBook,VolSmileModel),2),0),"")</f>
        <v>#VALUE!</v>
      </c>
      <c r="DH41" s="1316" t="e">
        <f aca="false">IF(AND(BU41&gt;0,CO41&gt;0,DB41&gt;0,CU41&gt;0),newSPRDOPT(BU41,CO41,CW41,0,DB41,CU41,CV41,BT41*365.25,OCallPut,0),0)</f>
        <v>#VALUE!</v>
      </c>
      <c r="DI41" s="1316" t="e">
        <f aca="false">IF(AND(BV41&gt;0,CP41&gt;0,DC41&gt;0,CU41&gt;0),newSPRDOPT(BV41,CP41,CX41,0,DC41,CU41,CV41,BT41*365.25,OCallPut,0),0)</f>
        <v>#VALUE!</v>
      </c>
      <c r="DJ41" s="1316" t="e">
        <f aca="false">IF(AND(BW41&gt;0,CQ41&gt;0,DD41&gt;0,CU41&gt;0),newSPRDOPT(BW41,CQ41,CY41,0,DD41,CU41,CV41,BT41*365.25,OCallPut,0),0)</f>
        <v>#VALUE!</v>
      </c>
      <c r="DK41" s="1316" t="e">
        <f aca="false">IF(AND(BX41&gt;0,CR41&gt;0,DE41&gt;0,CU41&gt;0),newSPRDOPT(BX41,CR41,CZ41,0,DE41,CU41,CV41,BT41*365.25,OCallPut,0),0)</f>
        <v>#VALUE!</v>
      </c>
      <c r="DL41" s="1316" t="e">
        <f aca="false">IF(OVolType,IF(AND(BZ41&gt;0,CS41&gt;0,DF41&gt;0,CU41&gt;0),newSPRDOPT(BZ41,CS41,DA41,0,DF41,CU41,CV41,BT41*365.25,OCallPut,0),0),IF(BQ41,(DH41*AZ41+DI41*BA41+DJ41*BB41+DK41*BC41)/BQ41,0))</f>
        <v>#VALUE!</v>
      </c>
      <c r="DM41" s="1316"/>
      <c r="DN41" s="1316"/>
      <c r="DO41" s="1316"/>
      <c r="DP41" s="1316"/>
      <c r="DQ41" s="1316"/>
      <c r="DR41" s="1316"/>
      <c r="DS41" s="1316"/>
      <c r="DT41" s="1316"/>
      <c r="DU41" s="1316"/>
      <c r="DV41" s="1316"/>
      <c r="DW41" s="1594" t="e">
        <f aca="false">IF(AND(BW41&gt;0,CT41&gt;0,DD41&gt;0,CU41&gt;0),newSPRDOPT(BW41,CT41,CY41,0,DD41,CU41,CV41,BT41*365.25,OCallPut,0),0)</f>
        <v>#VALUE!</v>
      </c>
      <c r="DX41" s="1316" t="e">
        <f aca="false">IF(AND(BX41&gt;0,CT41&gt;0,DE41&gt;0,CU41&gt;0),newSPRDOPT(BX41,CT41,CZ41,0,DE41,CU41,CV41,BT41*365.25,OCallPut,0),0)</f>
        <v>#VALUE!</v>
      </c>
      <c r="DY41" s="1591" t="e">
        <f aca="false">IF(BS41,(DH41*BH41+DI41*BI41+DW41*BJ41+DX41*BK41)/BS41,0)</f>
        <v>#VALUE!</v>
      </c>
      <c r="DZ41" s="1551" t="e">
        <f aca="false">DH41*AZ41</f>
        <v>#VALUE!</v>
      </c>
      <c r="EA41" s="1551" t="e">
        <f aca="false">DI41*BA41</f>
        <v>#VALUE!</v>
      </c>
      <c r="EB41" s="1551" t="e">
        <f aca="false">DJ41*BB41</f>
        <v>#VALUE!</v>
      </c>
      <c r="EC41" s="1551" t="e">
        <f aca="false">DK41*BC41</f>
        <v>#VALUE!</v>
      </c>
      <c r="ED41" s="1551" t="e">
        <f aca="false">DL41*BQ41</f>
        <v>#VALUE!</v>
      </c>
      <c r="EE41" s="1595" t="e">
        <f aca="false">IF(BQ41,IF(OCallPut,IF(BU41&gt;(CO41+CW41),BU41-(CO41+CW41),0),IF((CO41+CW41)&gt;BU41,(CO41+CW41)-BU41,0))*AZ41,0)</f>
        <v>#VALUE!</v>
      </c>
      <c r="EF41" s="1596" t="e">
        <f aca="false">IF(BQ41,IF(OCallPut,IF(BV41&gt;(CP41+CX41),BV41-(CP41+CX41),0),IF((CP41+CX41)&gt;BV41,(CP41+CX41)-BV41,0))*BA41,0)</f>
        <v>#VALUE!</v>
      </c>
      <c r="EG41" s="1596" t="e">
        <f aca="false">IF(BQ41,IF(OCallPut,IF(BW41&gt;(CQ41+CY41),BW41-(CQ41+CY41),0),IF((CQ41+CY41)&gt;BW41,(CQ41+CY41)-BW41,0))*BB41,0)</f>
        <v>#VALUE!</v>
      </c>
      <c r="EH41" s="1596" t="e">
        <f aca="false">IF(BQ41,IF(OCallPut,IF(BX41&gt;(CR41+CZ41),BX41-(CR41+CZ41),0),IF((CR41+CZ41)&gt;BX41,(CR41+CZ41)-BX41,0))*BC41,0)</f>
        <v>#VALUE!</v>
      </c>
      <c r="EI41" s="1597" t="e">
        <f aca="false">IF(BQ41,IF(OVolType,IF(OCallPut,IF(BZ41&gt;(CS41+DA41),BZ41-(CS41+DA41),0),IF((CS41+DA41)&gt;BZ41,(CS41+DA41)-BZ41,0))*BQ41,SUM(EE41:EH41)),0)</f>
        <v>#VALUE!</v>
      </c>
      <c r="EJ41" s="1595" t="e">
        <f aca="false">DZ41-EE41</f>
        <v>#VALUE!</v>
      </c>
      <c r="EK41" s="1596" t="e">
        <f aca="false">EA41-EF41</f>
        <v>#VALUE!</v>
      </c>
      <c r="EL41" s="1596" t="e">
        <f aca="false">EB41-EG41</f>
        <v>#VALUE!</v>
      </c>
      <c r="EM41" s="1596" t="e">
        <f aca="false">EC41-EH41</f>
        <v>#VALUE!</v>
      </c>
      <c r="EN41" s="1597" t="e">
        <f aca="false">ED41-EI41</f>
        <v>#VALUE!</v>
      </c>
      <c r="EO41" s="1551" t="e">
        <f aca="false">DH41*BH41</f>
        <v>#VALUE!</v>
      </c>
      <c r="EP41" s="1551" t="e">
        <f aca="false">DI41*BI41</f>
        <v>#VALUE!</v>
      </c>
      <c r="EQ41" s="1551" t="e">
        <f aca="false">DW41*BJ41</f>
        <v>#VALUE!</v>
      </c>
      <c r="ER41" s="1551" t="e">
        <f aca="false">DX41*BK41</f>
        <v>#VALUE!</v>
      </c>
      <c r="ES41" s="1551" t="e">
        <f aca="false">DY41*BS41</f>
        <v>#VALUE!</v>
      </c>
      <c r="ET41" s="1566" t="e">
        <f aca="false">IF(BS41,IF(OCallPut,IF(CA41&gt;(CT41+CW41),CA41-(CT41+CW41),0),IF((CT41+CW41)&gt;CA41,(CT41+CW41)-CA41,0))*BH41,0)</f>
        <v>#VALUE!</v>
      </c>
      <c r="EU41" s="1551" t="e">
        <f aca="false">IF(BS41,IF(OCallPut,IF(CB41&gt;(CT41+CX41),CB41-(CT41+CX41),0),IF((CT41+CX41)&gt;CB41,(CT41+CX41)-CB41,0))*BI41,0)</f>
        <v>#VALUE!</v>
      </c>
      <c r="EV41" s="1551" t="e">
        <f aca="false">IF(BS41,IF(OCallPut,IF(CC41&gt;(CT41+CY41),CC41-(CT41+CY41),0),IF((CT41+CY41)&gt;CC41,(CT41+CY41)-CC41,0))*BJ41,0)</f>
        <v>#VALUE!</v>
      </c>
      <c r="EW41" s="1551" t="e">
        <f aca="false">IF(BS41,IF(OCallPut,IF(CD41&gt;(CT41+CZ41),CD41-(CT41+CZ41),0),IF((CT41+CZ41)&gt;CD41,(CT41+CZ41)-CD41,0))*BK41,0)</f>
        <v>#VALUE!</v>
      </c>
      <c r="EX41" s="1558" t="e">
        <f aca="false">IF(BS41,IF(OVolType,IF(OCallPut,IF(CF41&gt;(CT41+DA41),CF41-(CT41+DA41),0),IF((CT41+DA41)&gt;CF41,(CT41+DA41)-CF41,0))*BS41,SUM(ET41:EW41)),0)</f>
        <v>#VALUE!</v>
      </c>
      <c r="EY41" s="1551" t="e">
        <f aca="false">EO41-ET41</f>
        <v>#VALUE!</v>
      </c>
      <c r="EZ41" s="1551" t="e">
        <f aca="false">EP41-EU41</f>
        <v>#VALUE!</v>
      </c>
      <c r="FA41" s="1551" t="e">
        <f aca="false">EQ41-EV41</f>
        <v>#VALUE!</v>
      </c>
      <c r="FB41" s="1551" t="e">
        <f aca="false">ER41-EW41</f>
        <v>#VALUE!</v>
      </c>
      <c r="FC41" s="1551" t="e">
        <f aca="false">ES41-EX41</f>
        <v>#VALUE!</v>
      </c>
      <c r="FD41" s="1525" t="n">
        <f aca="false">IF(AX41,IF(VLOOKUP(C41,MAIN!$L$17:$M$28,2)="Yes",VLOOKUP(CALC!B41,MAIN!$H$17:$I$20,2),0),0)</f>
        <v>0</v>
      </c>
      <c r="FE41" s="1552" t="n">
        <f aca="false">$FD41*16*AT41*(1-$AY41)</f>
        <v>0</v>
      </c>
      <c r="FF41" s="1553" t="n">
        <f aca="false">$FD41*16*AU41*(1-$AY41)</f>
        <v>0</v>
      </c>
      <c r="FG41" s="1553" t="n">
        <f aca="false">$FD41*16*(AV41+AW41)*(1-$AY41)</f>
        <v>0</v>
      </c>
      <c r="FH41" s="1554" t="n">
        <f aca="false">$FD41*8*AX41*(1-$AY41)</f>
        <v>0</v>
      </c>
      <c r="FI41" s="1555" t="n">
        <f aca="false">IF(AX41,VLOOKUP(CALC!B41,MAIN!$H$17:$K$20,4),0)</f>
        <v>0</v>
      </c>
      <c r="FJ41" s="1553" t="n">
        <f aca="false">SUM(FE41:FH41)</f>
        <v>0</v>
      </c>
      <c r="FK41" s="1556" t="n">
        <f aca="false">FI41*FJ41</f>
        <v>0</v>
      </c>
      <c r="FL41" s="1551" t="e">
        <f aca="false">IF($EI41&gt;0,MIN(FE41,AZ41*(1+VLOOKUP($C41,WeatherCapacityAdjustment,2))),0)</f>
        <v>#VALUE!</v>
      </c>
      <c r="FM41" s="1551" t="e">
        <f aca="false">IF($EI41&gt;0,MIN(FF41,BA41*(1+VLOOKUP($C41,WeatherCapacityAdjustment,2))),0)</f>
        <v>#VALUE!</v>
      </c>
      <c r="FN41" s="1551" t="e">
        <f aca="false">IF($EI41&gt;0,MIN(FG41,BB41*(1+VLOOKUP($C41,WeatherCapacityAdjustment,2))),0)</f>
        <v>#VALUE!</v>
      </c>
      <c r="FO41" s="1564" t="e">
        <f aca="false">IF($EI41&gt;0,MIN(FH41,BC41*(1+VLOOKUP($C41,WeatherCapacityAdjustment,3))),0)</f>
        <v>#VALUE!</v>
      </c>
      <c r="FP41" s="1551" t="e">
        <f aca="false">IF(ET41&gt;0,MIN(FE41-FL41,BH41*(1+VLOOKUP($C41,WeatherCapacityAdjustment,2))),0)</f>
        <v>#VALUE!</v>
      </c>
      <c r="FQ41" s="1551" t="e">
        <f aca="false">IF(EU41&gt;0,MIN(FF41-FM41,BI41*(1+VLOOKUP($C41,WeatherCapacityAdjustment,2))),0)</f>
        <v>#VALUE!</v>
      </c>
      <c r="FR41" s="1551" t="e">
        <f aca="false">IF(EV41&gt;0,MIN(FG41-FN41,BJ41*(1+VLOOKUP($C41,WeatherCapacityAdjustment,2))),0)</f>
        <v>#VALUE!</v>
      </c>
      <c r="FS41" s="1558" t="e">
        <f aca="false">IF(EW41&gt;0,MIN(FH41-FO41,BK41*(1+VLOOKUP($C41,WeatherCapacityAdjustment,3))),0)</f>
        <v>#VALUE!</v>
      </c>
      <c r="FT41" s="1566" t="n">
        <f aca="false">IF(AND(Assumptions!$H$71="Yes",A41&gt;=Assumptions!$H$72,A41&lt;=Assumptions!$H$73),0,IF(AND($A41&gt;=Assumptions!$C$17,$A41&lt;=Assumptions!$C$18),MAX(AZ41*(1+VLOOKUP($C41,WeatherCapacityAdjustment,2))-FL41,0),0))</f>
        <v>0</v>
      </c>
      <c r="FU41" s="1551" t="n">
        <f aca="false">IF(AND(Assumptions!$H$71="Yes",A41&gt;=Assumptions!$H$72,A41&lt;=Assumptions!$H$73),0,IF(AND($A41&gt;=Assumptions!$C$17,$A41&lt;=Assumptions!$C$18),MAX(BA41*(1+VLOOKUP($C41,WeatherCapacityAdjustment,2))-FM41,0),0))</f>
        <v>0</v>
      </c>
      <c r="FV41" s="1551" t="n">
        <f aca="false">IF(AND(Assumptions!$H$71="Yes",A41&gt;=Assumptions!$H$72,A41&lt;=Assumptions!$H$73),0,IF(AND($A41&gt;=Assumptions!$C$17,$A41&lt;=Assumptions!$C$18),MAX(BB41*(1+VLOOKUP($C41,WeatherCapacityAdjustment,2))-FN41,0),0))</f>
        <v>0</v>
      </c>
      <c r="FW41" s="1564" t="n">
        <f aca="false">IF(AND(Assumptions!$H$71="Yes",A41&gt;=Assumptions!$H$72,A41&lt;=Assumptions!$H$73),0,IF(AND($A41&gt;=Assumptions!$C$17,$A41&lt;=Assumptions!$C$18),MAX(BC41*(1+VLOOKUP($C41,WeatherCapacityAdjustment,3))-FO41,0),0))</f>
        <v>0</v>
      </c>
      <c r="FX41" s="1569" t="e">
        <f aca="false">IF(AND(Assumptions!$H$71="Yes",A41&gt;=Assumptions!$H$72,A41&lt;=Assumptions!$H$73),0,IF(ET41&gt;0,MAX(BH41*(1+VLOOKUP($C41,WeatherCapacityAdjustment,2))-FP41,0),0))</f>
        <v>#VALUE!</v>
      </c>
      <c r="FY41" s="1551" t="e">
        <f aca="false">IF(AND(Assumptions!$H$71="Yes",A41&gt;=Assumptions!$H$72,A41&lt;=Assumptions!$H$73),0,IF(EU41&gt;0,MAX(BI41*(1+VLOOKUP($C41,WeatherCapacityAdjustment,3))-FQ41,0),0))</f>
        <v>#VALUE!</v>
      </c>
      <c r="FZ41" s="1551" t="e">
        <f aca="false">IF(AND(Assumptions!$H$71="Yes",A41&gt;=Assumptions!$H$72,A41&lt;=Assumptions!$H$73),0,IF(EV41&gt;0,MAX(BJ41*(1+VLOOKUP($C41,WeatherCapacityAdjustment,2))-FR41,0),0))</f>
        <v>#VALUE!</v>
      </c>
      <c r="GA41" s="1564" t="e">
        <f aca="false">IF(AND(Assumptions!$H$71="Yes",A41&gt;=Assumptions!$H$72,A41&lt;=Assumptions!$H$73),0,IF(EW41&gt;0,MAX(BK41*(1+VLOOKUP($C41,WeatherCapacityAdjustment,2))-FS41,0),0))</f>
        <v>#VALUE!</v>
      </c>
      <c r="GB41" s="1551" t="e">
        <f aca="false">SUM(FT41:GA41)</f>
        <v>#VALUE!</v>
      </c>
      <c r="GC41" s="1563" t="e">
        <f aca="false">+IF(SUM(FT41:GA41)=0,0,(SUMPRODUCT(BU41:BX41,FT41:FW41)+SUMPRODUCT(CA41:CD41,FX41:GA41))/SUM(FT41:GA41))</f>
        <v>#VALUE!</v>
      </c>
      <c r="GD41" s="1551" t="e">
        <f aca="false">(FT41*BU41+FX41*CA41+FU41*BV41+FY41*CB41+FV41*BW41+FZ41*CC41+FW41*BX41+GA41*CD41)</f>
        <v>#VALUE!</v>
      </c>
      <c r="GE41" s="1561" t="e">
        <f aca="false">+IF(BQ41,((FL41+FM41+FT41+FU41)*HeatRatePeak/1000*(1+VLOOKUP($C41,WeatherHeatRateAdjustment,2))+(FN41+FV41)*IF(EV41&gt;0,HeatRatePeak,HeatRateOffPeak)/1000*(1+VLOOKUP($C41,WeatherHeatRateAdjustment,2))+(FO41+FW41)*IF(EW41&gt;0,HeatRatePeak,HeatRateOffPeak)/1000*(1+VLOOKUP($C41,WeatherHeatRateAdjustment,3)))*(1+VLOOKUP($B41,HeatRateDegradation,$C41+1)),0)</f>
        <v>#VALUE!</v>
      </c>
      <c r="GF41" s="1562" t="e">
        <f aca="false">IF(BQ41,((FP41+FQ41+FR41+FX41+FY41+FZ41)*HeatRatePeak/1000*(1+VLOOKUP($C41,WeatherHeatRateAdjustment,2))+(FS41+GA41)*HeatRatePeak/1000*(1+VLOOKUP($C41,WeatherHeatRateAdjustment,3)))*(1+VLOOKUP($B41,HeatRateDegradation,$C41+1)),0)</f>
        <v>#VALUE!</v>
      </c>
      <c r="GG41" s="1563" t="e">
        <f aca="false">IF(BQ41,VLOOKUP(A41,GasTable,13),0)</f>
        <v>#VALUE!</v>
      </c>
      <c r="GH41" s="1564" t="e">
        <f aca="false">(GE41+GF41)*GG41</f>
        <v>#VALUE!</v>
      </c>
      <c r="GI41" s="1569" t="e">
        <f aca="false">GB41</f>
        <v>#VALUE!</v>
      </c>
      <c r="GJ41" s="1598" t="e">
        <f aca="false">+DA41</f>
        <v>#VALUE!</v>
      </c>
      <c r="GK41" s="1558" t="e">
        <f aca="false">+GI41*GJ41</f>
        <v>#VALUE!</v>
      </c>
      <c r="GL41" s="1566" t="e">
        <f aca="false">MAX(FE41-FL41-FP41,0)</f>
        <v>#VALUE!</v>
      </c>
      <c r="GM41" s="1551" t="e">
        <f aca="false">MAX(FF41-FM41-FQ41,0)</f>
        <v>#VALUE!</v>
      </c>
      <c r="GN41" s="1551" t="e">
        <f aca="false">MAX(FG41-FN41-FR41,0)</f>
        <v>#VALUE!</v>
      </c>
      <c r="GO41" s="1564" t="e">
        <f aca="false">MAX(FH41-FO41-FS41,0)</f>
        <v>#VALUE!</v>
      </c>
      <c r="GP41" s="1551" t="e">
        <f aca="false">SUM(GL41:GO41)</f>
        <v>#VALUE!</v>
      </c>
      <c r="GQ41" s="1563" t="e">
        <f aca="false">IF(SUM(GL41:GO41)=0,0,((GL41*BU41+GM41*BV41+GN41*BW41+GO41*BX41)/SUM(GL41:GO41)))</f>
        <v>#VALUE!</v>
      </c>
      <c r="GR41" s="1558" t="e">
        <f aca="false">(GL41*BU41+GM41*BV41+GN41*BW41+GO41*BX41)</f>
        <v>#VALUE!</v>
      </c>
      <c r="GS41" s="1566" t="n">
        <f aca="false">IF($A41&gt;=BegDate,Assumptions!$C$56*24*($A42-$A41)*(1-VLOOKUP($B41,MAIN!$AA$7:$AM$28,$C41+1))*(1-VLOOKUP($B41,MAIN!$AA$33:$AM$54,$C41+1)),0)*80/168</f>
        <v>0</v>
      </c>
      <c r="GT41" s="286" t="n">
        <f aca="false">J41</f>
        <v>28.63357668</v>
      </c>
      <c r="GU41" s="286" t="n">
        <f aca="false">IF($A41&gt;=BegDate,VLOOKUP($A41,GasTable,13)+Assumptions!$C$58,0)</f>
        <v>0</v>
      </c>
      <c r="GV41" s="286" t="n">
        <f aca="false">GU41*Assumptions!$C$57/1000</f>
        <v>0</v>
      </c>
      <c r="GW41" s="1558" t="n">
        <f aca="false">IF(Assumptions!$C$60="Hourly",MAX(0,GS41*(GT41-GV41)),GS41*(GT41-GV41))</f>
        <v>0</v>
      </c>
      <c r="GX41" s="1566" t="n">
        <f aca="false">IF($A41&gt;=BegDate,Assumptions!$C$56*24*($A42-$A41)*(1-VLOOKUP($B41,MAIN!$AA$7:$AM$28,$C41+1))*(1-VLOOKUP($B41,MAIN!$AA$33:$AM$54,$C41+1)),0)*16/168</f>
        <v>0</v>
      </c>
      <c r="GY41" s="286" t="n">
        <f aca="false">M41</f>
        <v>28.63357668</v>
      </c>
      <c r="GZ41" s="286" t="n">
        <f aca="false">IF($A41&gt;=BegDate,VLOOKUP($A41,GasTable,13)+Assumptions!$C$58,0)</f>
        <v>0</v>
      </c>
      <c r="HA41" s="286" t="n">
        <f aca="false">GZ41*Assumptions!$C$57/1000</f>
        <v>0</v>
      </c>
      <c r="HB41" s="1558" t="n">
        <f aca="false">IF(Assumptions!$C$60="Hourly",MAX(0,GX41*(GY41-HA41)),GX41*(GY41-HA41))</f>
        <v>0</v>
      </c>
      <c r="HC41" s="1566" t="n">
        <f aca="false">IF($A41&gt;=BegDate,Assumptions!$C$56*24*($A42-$A41)*(1-VLOOKUP($B41,MAIN!$AA$7:$AM$28,$C41+1))*(1-VLOOKUP($B41,MAIN!$AA$33:$AM$54,$C41+1)),0)*16/168</f>
        <v>0</v>
      </c>
      <c r="HD41" s="286" t="n">
        <f aca="false">P41</f>
        <v>14.8007304</v>
      </c>
      <c r="HE41" s="286" t="n">
        <f aca="false">IF($A41&gt;=BegDate,VLOOKUP($A41,GasTable,13)+Assumptions!$C$58,0)</f>
        <v>0</v>
      </c>
      <c r="HF41" s="286" t="n">
        <f aca="false">HE41*Assumptions!$C$57/1000</f>
        <v>0</v>
      </c>
      <c r="HG41" s="1558" t="n">
        <f aca="false">IF(Assumptions!$C$60="Hourly",MAX(0,HC41*(HD41-HF41)),HC41*(HD41-HF41))</f>
        <v>0</v>
      </c>
      <c r="HH41" s="1566" t="n">
        <f aca="false">IF($A41&gt;=BegDate,Assumptions!$C$56*24*($A42-$A41)*(1-VLOOKUP($B41,MAIN!$AA$7:$AM$28,$C41+1))*(1-VLOOKUP($B41,MAIN!$AA$33:$AM$54,$C41+1)),0)*56/168</f>
        <v>0</v>
      </c>
      <c r="HI41" s="286" t="n">
        <f aca="false">S41</f>
        <v>14.8007304</v>
      </c>
      <c r="HJ41" s="286" t="n">
        <f aca="false">IF($A41&gt;=BegDate,VLOOKUP($A41,GasTable,13)+Assumptions!$C$58,0)</f>
        <v>0</v>
      </c>
      <c r="HK41" s="286" t="n">
        <f aca="false">HJ41*Assumptions!$C$57/1000</f>
        <v>0</v>
      </c>
      <c r="HL41" s="1558" t="n">
        <f aca="false">IF(Assumptions!$C$60="Hourly",MAX(0,HH41*(HI41-HK41)),HH41*(HI41-HK41))</f>
        <v>0</v>
      </c>
      <c r="HM41" s="1566" t="n">
        <f aca="false">IF(AND(Assumptions!$H$71="Yes",A41&gt;=Assumptions!$H$72,A41&lt;=Assumptions!$H$73),Assumptions!$H$74*Assumptions!$C$9*1000,0)</f>
        <v>0</v>
      </c>
      <c r="HN41" s="1551"/>
      <c r="HO41" s="1563"/>
      <c r="HP41" s="1563"/>
      <c r="HQ41" s="1563"/>
      <c r="HR41" s="1563"/>
      <c r="HS41" s="1563"/>
      <c r="HT41" s="1563"/>
      <c r="HU41" s="1563"/>
      <c r="HV41" s="1563"/>
      <c r="HW41" s="1563"/>
      <c r="HX41" s="1563"/>
      <c r="HY41" s="1563"/>
      <c r="HZ41" s="1563"/>
      <c r="IA41" s="1563"/>
      <c r="IB41" s="1563"/>
      <c r="IC41" s="1563"/>
      <c r="ID41" s="1563"/>
      <c r="IE41" s="1563"/>
      <c r="IF41" s="1563"/>
      <c r="IG41" s="1563"/>
      <c r="IH41" s="1563"/>
      <c r="II41" s="1610"/>
      <c r="IJ41" s="1309"/>
      <c r="IK41" s="1309"/>
    </row>
    <row r="42" customFormat="false" ht="12.75" hidden="false" customHeight="false" outlineLevel="0" collapsed="false">
      <c r="A42" s="1571" t="n">
        <f aca="false">EOMONTH(A41,0)+1</f>
        <v>37408</v>
      </c>
      <c r="B42" s="594" t="n">
        <f aca="false">+YEAR(A42)</f>
        <v>2002</v>
      </c>
      <c r="C42" s="238" t="n">
        <f aca="false">MONTH(A42)</f>
        <v>6</v>
      </c>
      <c r="D42" s="1572" t="str">
        <f aca="false">IF(E42="","",Holiday(B42,C42))</f>
        <v/>
      </c>
      <c r="E42" s="1573" t="str">
        <f aca="false">IF(OR(BegDate&gt;=A43,EndDate&lt;A42,AND(VolumeMonthlyOverFlag,INDEX(VolumeMonthlyOver,C42)=0),NOT(INDEX(MonthKnockOutTable,C42))),"",MAX(A42,BegDate))</f>
        <v/>
      </c>
      <c r="F42" s="1574" t="str">
        <f aca="false">IF(E42="","",MIN(A43-1,EndDate))</f>
        <v/>
      </c>
      <c r="G42" s="1575" t="n">
        <v>0</v>
      </c>
      <c r="H42" s="1576" t="n">
        <f aca="false">(1+G42/2)^(-2*(DATE(B43,C43,20)-DateToday)/365.25)</f>
        <v>1</v>
      </c>
      <c r="I42" s="1568" t="n">
        <f aca="false">IF(Assumptions!$L$25=4,VLOOKUP($A42,'Henwood Reference'!$E$9:$R$320,10),(VLOOKUP($A42,PriceTable,2,0)+IF(BasisNumber&lt;&gt;1,VLOOKUP($A42,BasisTable,2,0),0)+I$1)/(1-I$2))</f>
        <v>26.7726132</v>
      </c>
      <c r="J42" s="1568" t="n">
        <f aca="false">IF(Assumptions!$L$25=4,VLOOKUP($A42,'Henwood Reference'!$E$9:$R$320,10),(VLOOKUP($A42,PriceTable,3,0)+IF(BasisNumber&lt;&gt;1,VLOOKUP($A42,BasisTable,2,0),0)+J$1)/(1-J$2))</f>
        <v>26.7726132</v>
      </c>
      <c r="K42" s="1568" t="n">
        <f aca="false">IF(Assumptions!$L$25=4,VLOOKUP($A42,'Henwood Reference'!$E$9:$R$320,10),(VLOOKUP($A42,PriceTable,4,0)+IF(BasisNumber&lt;&gt;1,VLOOKUP($A42,BasisTable,2,0),0)+K$1)/(1-K$2))</f>
        <v>26.7726132</v>
      </c>
      <c r="L42" s="1523" t="n">
        <f aca="false">IF(Assumptions!$L$25=4,VLOOKUP($A42,'Henwood Reference'!$E$9:$R$320,10),(VLOOKUP($A42,PriceTableWeekend,2,0)+IF(BasisNumber&lt;&gt;1,VLOOKUP($A42,BasisTable,2,0),0)+L$1)/(1-L$2))</f>
        <v>26.7726132</v>
      </c>
      <c r="M42" s="1568" t="n">
        <f aca="false">IF(Assumptions!$L$25=4,VLOOKUP($A42,'Henwood Reference'!$E$9:$R$320,10),(VLOOKUP($A42,PriceTableWeekend,3,0)+IF(BasisNumber&lt;&gt;1,VLOOKUP($A42,BasisTable,2,0),0)+M$1)/(1-M$2))</f>
        <v>26.7726132</v>
      </c>
      <c r="N42" s="1599" t="n">
        <f aca="false">IF(Assumptions!$L$25=4,VLOOKUP($A42,'Henwood Reference'!$E$9:$R$320,10),(VLOOKUP($A42,PriceTableWeekend,4,0)+IF(BasisNumber&lt;&gt;1,VLOOKUP($A42,BasisTable,2,0),0)+N$1)/(1-N$2))</f>
        <v>26.7726132</v>
      </c>
      <c r="O42" s="1568" t="n">
        <f aca="false">IF(Assumptions!$L$25=4,VLOOKUP($A42,'Henwood Reference'!$E$9:$R$320,11),(VLOOKUP($A42,PriceTableWeekend,6,0)+IF(BasisNumber&lt;&gt;1,VLOOKUP($A42,BasisTable,3,0),0)+O$1)/(1-O$2))</f>
        <v>12.85996824</v>
      </c>
      <c r="P42" s="1568" t="n">
        <f aca="false">IF(Assumptions!$L$25=4,VLOOKUP($A42,'Henwood Reference'!$E$9:$R$320,11),(VLOOKUP($A42,PriceTableWeekend,7,0)+IF(BasisNumber&lt;&gt;1,VLOOKUP($A42,BasisTable,3,0),0)+P$1)/(1-P$2))</f>
        <v>12.85996824</v>
      </c>
      <c r="Q42" s="1599" t="n">
        <f aca="false">IF(Assumptions!$L$25=4,VLOOKUP($A42,'Henwood Reference'!$E$9:$R$320,11),(VLOOKUP($A42,PriceTableWeekend,8,0)+IF(BasisNumber&lt;&gt;1,VLOOKUP($A42,BasisTable,3,0),0)+Q$1)/(1-Q$2))</f>
        <v>12.85996824</v>
      </c>
      <c r="R42" s="1568" t="n">
        <f aca="false">IF(Assumptions!$L$25=4,VLOOKUP($A42,'Henwood Reference'!$E$9:$R$320,11),(VLOOKUP($A42,PriceTable,6,0)+IF(BasisNumber&lt;&gt;1,VLOOKUP($A42,BasisTable,3,0),0)+R$1)/(1-R$2))</f>
        <v>12.85996824</v>
      </c>
      <c r="S42" s="1568" t="n">
        <f aca="false">IF(Assumptions!$L$25=4,VLOOKUP($A42,'Henwood Reference'!$E$9:$R$320,11),(VLOOKUP($A42,PriceTable,7,0)+IF(BasisNumber&lt;&gt;1,VLOOKUP($A42,BasisTable,3,0),0)+S$1)/(1-S$2))</f>
        <v>12.85996824</v>
      </c>
      <c r="T42" s="1600" t="n">
        <f aca="false">IF(Assumptions!$L$25=4,VLOOKUP($A42,'Henwood Reference'!$E$9:$R$320,11),(VLOOKUP($A42,PriceTable,8,0)+IF(BasisNumber&lt;&gt;1,VLOOKUP($A42,BasisTable,3,0),0)+T$1)/(1-T$2))</f>
        <v>12.85996824</v>
      </c>
      <c r="U42" s="1513" t="n">
        <f aca="false">VLOOKUP($A42,VolatilityTable,14)</f>
        <v>0.16</v>
      </c>
      <c r="V42" s="1513" t="n">
        <f aca="false">VLOOKUP($A42,VolatilityTable,15)</f>
        <v>0.17</v>
      </c>
      <c r="W42" s="1514" t="n">
        <f aca="false">VLOOKUP($A42,VolatilityTable,16)</f>
        <v>0.18</v>
      </c>
      <c r="X42" s="1513" t="n">
        <f aca="false">VLOOKUP($A42,VolatilityTable,14)</f>
        <v>0.16</v>
      </c>
      <c r="Y42" s="1513" t="n">
        <f aca="false">VLOOKUP($A42,VolatilityTable,15)</f>
        <v>0.17</v>
      </c>
      <c r="Z42" s="1514" t="n">
        <f aca="false">VLOOKUP($A42,VolatilityTable,16)</f>
        <v>0.18</v>
      </c>
      <c r="AA42" s="1513" t="n">
        <f aca="false">VLOOKUP($A42,VolatilityTable,18)</f>
        <v>0.09</v>
      </c>
      <c r="AB42" s="1513" t="n">
        <f aca="false">VLOOKUP($A42,VolatilityTable,19)</f>
        <v>0.11</v>
      </c>
      <c r="AC42" s="1514" t="n">
        <f aca="false">VLOOKUP($A42,VolatilityTable,20)</f>
        <v>0.13</v>
      </c>
      <c r="AD42" s="1513" t="n">
        <f aca="false">VLOOKUP($A42,VolatilityTable,18)</f>
        <v>0.09</v>
      </c>
      <c r="AE42" s="1513" t="n">
        <f aca="false">VLOOKUP($A42,VolatilityTable,19)</f>
        <v>0.11</v>
      </c>
      <c r="AF42" s="1514" t="n">
        <f aca="false">VLOOKUP($A42,VolatilityTable,20)</f>
        <v>0.13</v>
      </c>
      <c r="AG42" s="1513" t="n">
        <f aca="false">VLOOKUP($A42,VolatilityTable,22)</f>
        <v>-0.35</v>
      </c>
      <c r="AH42" s="1513" t="n">
        <f aca="false">VLOOKUP($A42,VolatilityTable,23)</f>
        <v>0.65</v>
      </c>
      <c r="AI42" s="1514" t="n">
        <f aca="false">VLOOKUP($A42,VolatilityTable,24)</f>
        <v>0.2</v>
      </c>
      <c r="AJ42" s="1513" t="n">
        <f aca="false">VLOOKUP($A42,VolatilityTable,22)</f>
        <v>-0.35</v>
      </c>
      <c r="AK42" s="1513" t="n">
        <f aca="false">VLOOKUP($A42,VolatilityTable,23)</f>
        <v>0.65</v>
      </c>
      <c r="AL42" s="1514" t="n">
        <f aca="false">VLOOKUP($A42,VolatilityTable,24)</f>
        <v>0.2</v>
      </c>
      <c r="AM42" s="1513" t="n">
        <f aca="false">VLOOKUP($A42,VolatilityTable,26)</f>
        <v>-0.01</v>
      </c>
      <c r="AN42" s="1513" t="n">
        <f aca="false">VLOOKUP($A42,VolatilityTable,27)</f>
        <v>0.16</v>
      </c>
      <c r="AO42" s="1514" t="n">
        <f aca="false">VLOOKUP($A42,VolatilityTable,28)</f>
        <v>0.01</v>
      </c>
      <c r="AP42" s="1513" t="n">
        <f aca="false">VLOOKUP($A42,VolatilityTable,26)</f>
        <v>-0.01</v>
      </c>
      <c r="AQ42" s="1513" t="n">
        <f aca="false">VLOOKUP($A42,VolatilityTable,27)</f>
        <v>0.16</v>
      </c>
      <c r="AR42" s="1515" t="n">
        <f aca="false">VLOOKUP($A42,VolatilityTable,28)</f>
        <v>0.01</v>
      </c>
      <c r="AS42" s="1581" t="n">
        <f aca="false">IF(CorrPeakOffPeakOverFlag,INDEX(CorrPeakOffPeakOver,C42),CorrPeakOffPeak)</f>
        <v>0.5</v>
      </c>
      <c r="AT42" s="594" t="n">
        <f aca="false">AX42-SUM(AU42:AW42)</f>
        <v>0</v>
      </c>
      <c r="AU42" s="238" t="n">
        <f aca="false">IF(E42="",0,INT((F42-MOD(F42,7)-E42)/7)+1-IF(AW42,IF(WEEKDAY(D42)=7,1,0),0))</f>
        <v>0</v>
      </c>
      <c r="AV42" s="238" t="n">
        <f aca="false">IF(E42="",0,INT((F42-MOD(F42-1,7)-E42)/7)+1-IF(AW42,IF(WEEKDAY(D42)=1,1,0),0))</f>
        <v>0</v>
      </c>
      <c r="AW42" s="238" t="n">
        <f aca="false">IF(OR(E42="",D42="",D42&lt;BegDate,D42&gt;EndDate),0,1)</f>
        <v>0</v>
      </c>
      <c r="AX42" s="238" t="n">
        <f aca="false">IF(E42="",0,F42-E42+1)</f>
        <v>0</v>
      </c>
      <c r="AY42" s="1582" t="n">
        <f aca="false">IF(E42="",0,MIN((1-(1-VLOOKUP(B42,MAIN!$AA$7:$AM$28,C42+1))*(1-VLOOKUP(B42,MAIN!$AA$33:$AM$54,C42+1))),1))</f>
        <v>0</v>
      </c>
      <c r="AZ42" s="1519" t="e">
        <v>#VALUE!</v>
      </c>
      <c r="BA42" s="1520" t="e">
        <v>#VALUE!</v>
      </c>
      <c r="BB42" s="1520" t="e">
        <v>#VALUE!</v>
      </c>
      <c r="BC42" s="1583" t="e">
        <v>#VALUE!</v>
      </c>
      <c r="BD42" s="1522" t="e">
        <v>#VALUE!</v>
      </c>
      <c r="BE42" s="1523" t="e">
        <v>#VALUE!</v>
      </c>
      <c r="BF42" s="1523" t="e">
        <v>#VALUE!</v>
      </c>
      <c r="BG42" s="1584" t="e">
        <v>#VALUE!</v>
      </c>
      <c r="BH42" s="1525" t="e">
        <v>#VALUE!</v>
      </c>
      <c r="BI42" s="1520" t="e">
        <v>#VALUE!</v>
      </c>
      <c r="BJ42" s="1520" t="e">
        <v>#VALUE!</v>
      </c>
      <c r="BK42" s="1583" t="e">
        <v>#VALUE!</v>
      </c>
      <c r="BL42" s="1522" t="e">
        <v>#VALUE!</v>
      </c>
      <c r="BM42" s="1523" t="e">
        <v>#VALUE!</v>
      </c>
      <c r="BN42" s="1523" t="e">
        <v>#VALUE!</v>
      </c>
      <c r="BO42" s="1523" t="e">
        <v>#VALUE!</v>
      </c>
      <c r="BP42" s="1525" t="e">
        <f aca="false">SUM(AZ42:BB42)</f>
        <v>#VALUE!</v>
      </c>
      <c r="BQ42" s="1529" t="e">
        <f aca="false">SUM(AZ42:BC42)</f>
        <v>#VALUE!</v>
      </c>
      <c r="BR42" s="1519" t="e">
        <f aca="false">SUM(BH42:BJ42)</f>
        <v>#VALUE!</v>
      </c>
      <c r="BS42" s="1529" t="e">
        <f aca="false">SUM(BH42:BK42)</f>
        <v>#VALUE!</v>
      </c>
      <c r="BT42" s="1316" t="n">
        <f aca="false">(IF(OVolType&lt;&gt;2,A42+14,IF(OptExpDateShift,ShiftBack(A42,OptExpDateShift,D41),A42))-DateToday)/365.25</f>
        <v>2.13004791238878</v>
      </c>
      <c r="BU42" s="1585" t="e">
        <f aca="false">IF(BQ42,IF(OPriceCurve,IF(OBuySell=OCallPut,I42/(1-AY42),K42/(1-AY42)),J42/(1-AY42))*BD42,0)</f>
        <v>#VALUE!</v>
      </c>
      <c r="BV42" s="1316" t="e">
        <f aca="false">IF(BQ42,IF(OPriceCurve,IF(OBuySell=OCallPut,L42/(1-AY42),N42/(1-AY42)),M42/(1-AY42))*BE42,0)</f>
        <v>#VALUE!</v>
      </c>
      <c r="BW42" s="1316" t="e">
        <f aca="false">IF(BQ42,IF(OPriceCurve,IF(OBuySell=OCallPut,O42/(1-AY42),Q42/(1-AY42)),P42/(1-AY42))*BF42,0)</f>
        <v>#VALUE!</v>
      </c>
      <c r="BX42" s="1316" t="e">
        <f aca="false">IF(BQ42,IF(OPriceCurve,IF(OBuySell=OCallPut,R42/(1-AY42),T42/(1-AY42)),S42/(1-AY42))*BG42,0)</f>
        <v>#VALUE!</v>
      </c>
      <c r="BY42" s="1316" t="e">
        <f aca="false">IF(BP42,(BU42*AZ42+BV42*BA42+BW42*BB42)/BP42,0)</f>
        <v>#VALUE!</v>
      </c>
      <c r="BZ42" s="1316" t="e">
        <f aca="false">IF(BQ42,(BY42*BP42+BX42*BC42)/BQ42,0)</f>
        <v>#VALUE!</v>
      </c>
      <c r="CA42" s="1531" t="e">
        <f aca="false">IF(BS42,IF(OPriceCurve,IF(OBuySell=OCallPut,I42/(1-AY42),K42/(1-AY42)),J42/(1-AY42))*BL42,0)</f>
        <v>#VALUE!</v>
      </c>
      <c r="CB42" s="1316" t="e">
        <f aca="false">IF(BS42,IF(OPriceCurve,IF(OBuySell=OCallPut,L42/(1-AY42),N42/(1-AY42)),M42/(1-AY42))*BM42,0)</f>
        <v>#VALUE!</v>
      </c>
      <c r="CC42" s="1316" t="e">
        <f aca="false">IF(BS42,IF(OPriceCurve,IF(OBuySell=OCallPut,O42/(1-AY42),Q42/(1-AY42)),P42/(1-AY42))*BN42,0)</f>
        <v>#VALUE!</v>
      </c>
      <c r="CD42" s="1316" t="e">
        <f aca="false">IF(BS42,IF(OPriceCurve,IF(OBuySell=OCallPut,R42/(1-AY42),T42/(1-AY42)),S42/(1-AY42))*BO42,0)</f>
        <v>#VALUE!</v>
      </c>
      <c r="CE42" s="1316" t="e">
        <f aca="false">IF(BR42,(BU42*BH42+BV42*BI42+BW42*BJ42)/BR42,0)</f>
        <v>#VALUE!</v>
      </c>
      <c r="CF42" s="1532" t="e">
        <f aca="false">IF(BS42,(CE42*BR42+CD42*BK42)/BS42,0)</f>
        <v>#VALUE!</v>
      </c>
      <c r="CG42" s="1586" t="e">
        <f aca="false">IF(OR(BQ42,BS42),IF(OVolType&lt;&gt;2,SQRT(IF(OVolOverMonthlyPeak,OVolOverMonthlyPeak,IF(OVolCurve,IF(OBuySell,U42,W42),V42))^2*(1-15/365.25/BT42)+IF(OVolOverDailyPeak,OVolOverDailyPeak,IF(OVolCurve,IF(OBuySell,AG42,AI42),AH42))^2*15/365.25/BT42),IF(OVolOverMonthlyPeak,OVolOverMonthlyPeak,IF(OVolCurve,IF(OBuySell,U42,W42),V42))),"")</f>
        <v>#VALUE!</v>
      </c>
      <c r="CH42" s="1587" t="e">
        <f aca="false">IF(OR(BQ42,BS42),IF(OVolType&lt;&gt;2,SQRT(IF(OVolOverMonthlyPeak,OVolOverMonthlyPeak,IF(OVolCurve,IF(OBuySell,X42,Z42),Y42))^2*(1-15/365.25/BT42)+IF(OVolOverDailyPeak,OVolOverDailyPeak,IF(OVolCurve,IF(OBuySell,AJ42,AL42),AK42))^2*15/365.25/BT42),IF(OVolOverMonthlyPeak,OVolOverMonthlyPeak,IF(OVolCurve,IF(OBuySell,X42,Z42),Y42))),"")</f>
        <v>#VALUE!</v>
      </c>
      <c r="CI42" s="1587" t="e">
        <f aca="false">IF(OR(BQ42,BS42),IF(OVolType&lt;&gt;2,SQRT(IF(OVolOverMonthlyPeak,OVolOverMonthlyPeak,IF(OVolCurve,IF(OBuySell,AA42,AC42),AB42))^2*(1-15/365.25/BT42)+IF(OVolOverDailyPeak,OVolOverDailyPeak,IF(OVolCurve,IF(OBuySell,AM42,AO42),AN42))^2*15/365.25/BT42),IF(OVolOverMonthlyPeak,OVolOverMonthlyPeak,IF(OVolCurve,IF(OBuySell,AA42,AC42),AB42))),"")</f>
        <v>#VALUE!</v>
      </c>
      <c r="CJ42" s="1587" t="e">
        <f aca="false">IF(BQ42,IF(BP42,SQRT(LN(1+((BU42*AZ42)^2*(EXP(CG42^2*BT42)-1)+(BV42*BA42)^2*(EXP(CH42^2*BT42)-1)+(BW42*BB42)^2*(EXP(CI42^2*BT42)-1)+2*BU42*AZ42*BV42*BA42*(EXP(CG42*CH42*BT42)-1)+2*BV42*BA42*BW42*BB42*(EXP(CH42*CI42*BT42)-1)+2*BW42*BB42*BU42*AZ42*(EXP(CI42*CG42*BT42)-1))/(BY42*BP42)^2)/BT42),0),"")</f>
        <v>#VALUE!</v>
      </c>
      <c r="CK42" s="1587" t="e">
        <f aca="false">IF(BS42,IF(BR42,SQRT(LN(1+((CA42*BH42)^2*(EXP(CG42^2*BT42)-1)+(CB42*BI42)^2*(EXP(CH42^2*BT42)-1)+(CC42*BJ42)^2*(EXP(CI42^2*BT42)-1)+2*CA42*BH42*CB42*BI42*(EXP(CG42*CH42*BT42)-1)+2*CB42*BI42*CC42*BJ42*(EXP(CH42*CI42*BT42)-1)+2*CC42*BJ42*CA42*BH42*(EXP(CI42*CG42*BT42)-1))/(CE42*BR42)^2)/BT42),0),"")</f>
        <v>#VALUE!</v>
      </c>
      <c r="CL42" s="1587" t="e">
        <f aca="false">IF(OR(BQ42,BS42),IF(OVolType&lt;&gt;2,SQRT(IF(OVolOverMonthlyOffPeak,OVolOverMonthlyOffPeak,IF(OVolCurve,IF(OBuySell,AD42,AF42),AE42))^2*(1-15/365.25/BT42)+IF(OVolOverDailyOffPeak,OVolOverDailyOffPeak,IF(OVolCurve,IF(OBuySell,AP42,AR42),AQ42))^2*15/365.25/BT42),IF(OVolOverMonthlyOffPeak,OVolOverMonthlyOffPeak,IF(OVolCurve,IF(OBuySell,AD42,AF42),AE42))),"")</f>
        <v>#VALUE!</v>
      </c>
      <c r="CM42" s="1587" t="e">
        <f aca="false">IF(BQ42,SQRT(LN(1+((BY42*BP42)^2*(EXP(CJ42^2*BT42)-1)+(BX42*BC42)^2*(EXP(CL42^2*BT42)-1)+2*BY42*BP42*BX42*BC42*(EXP(AS42*CJ42*CL42*BT42)-1))/(BY42*BP42+BX42*BC42)^2)/BT42),"")</f>
        <v>#VALUE!</v>
      </c>
      <c r="CN42" s="1588" t="e">
        <f aca="false">IF(BS42,SQRT(LN(1+((CE42*BR42)^2*(EXP(CK42^2*BT42)-1)+(CD42*BK42)^2*(EXP(CL42^2*BT42)-1)+2*CE42*BR42*CD42*BK42*(EXP(AS42*CK42*CL42*BT42)-1))/(CE42*BR42+CD42*BK42)^2)/BT42),"")</f>
        <v>#VALUE!</v>
      </c>
      <c r="CO42" s="1531" t="e">
        <f aca="false">IF(OR(BQ42,BS42),VLOOKUP(A42,GasTable,13)*HeatRatePeak*(1+VLOOKUP($B42,HeatRateDegradation,$C42+1))/1000,0)</f>
        <v>#VALUE!</v>
      </c>
      <c r="CP42" s="1316" t="e">
        <f aca="false">IF(OR(BQ42,BS42),VLOOKUP(A42,GasTable,13)*HeatRatePeak*(1+VLOOKUP($B42,HeatRateDegradation,$C42+1))/1000,0)</f>
        <v>#VALUE!</v>
      </c>
      <c r="CQ42" s="1316" t="e">
        <f aca="false">IF(OR(BQ42,BS42),VLOOKUP(A42,GasTable,13)*IF(EV42,HeatRatePeak,HeatRateOffPeak)*(1+VLOOKUP($B42,HeatRateDegradation,$C42+1))/1000,0)</f>
        <v>#VALUE!</v>
      </c>
      <c r="CR42" s="1316" t="e">
        <f aca="false">IF(OR(BQ42,BS42),VLOOKUP(A42,GasTable,13)*IF(EW42,HeatRatePeak,HeatRateOffPeak)*(1+VLOOKUP($B42,HeatRateDegradation,$C42+1))/1000,0)</f>
        <v>#VALUE!</v>
      </c>
      <c r="CS42" s="1589" t="e">
        <f aca="false">IF(BQ42,(CO42*AZ42+CP42*BA42+CQ42*BB42+CR42*BC42)/BQ42,0)</f>
        <v>#VALUE!</v>
      </c>
      <c r="CT42" s="1316" t="e">
        <f aca="false">IF(BS42,CO42,0)</f>
        <v>#VALUE!</v>
      </c>
      <c r="CU42" s="1590" t="e">
        <f aca="false">IF(OR(BQ42,BS42),VLOOKUP(A42,GasTable,14),"")</f>
        <v>#VALUE!</v>
      </c>
      <c r="CV42" s="1568" t="e">
        <f aca="false">IF(OR(BQ42,BS42),IF(CorrPowerGasOverFlag,INDEX(CorrPowerGasOver,C42),CorrPowerGas),"")</f>
        <v>#VALUE!</v>
      </c>
      <c r="CW42" s="1316" t="e">
        <f aca="false">IF(OR($BQ42,$BS42),SpreadOptPowerMargin,0)*((1+Assumptions!$C$26)^($B42-YEAR(Assumptions!$C$17)))</f>
        <v>#VALUE!</v>
      </c>
      <c r="CX42" s="1316" t="e">
        <f aca="false">IF(OR($BQ42,$BS42),SpreadOptPowerMargin,0)*((1+Assumptions!$C$26)^($B42-YEAR(Assumptions!$C$17)))</f>
        <v>#VALUE!</v>
      </c>
      <c r="CY42" s="1316" t="e">
        <f aca="false">IF(OR($BQ42,$BS42),SpreadOptPowerMargin,0)*((1+Assumptions!$C$26)^($B42-YEAR(Assumptions!$C$17)))</f>
        <v>#VALUE!</v>
      </c>
      <c r="CZ42" s="1316" t="e">
        <f aca="false">IF(OR($BQ42,$BS42),SpreadOptPowerMargin,0)*((1+Assumptions!$C$26)^($B42-YEAR(Assumptions!$C$17)))</f>
        <v>#VALUE!</v>
      </c>
      <c r="DA42" s="1591" t="e">
        <f aca="false">IF(OR(BQ42,BS42),(CW42*(AZ42+BH42)+CX42*(BA42+BI42)+CY42*(BB42+BJ42)+CZ42*(BC42+BK42))/(BQ42+BS42),0)</f>
        <v>#VALUE!</v>
      </c>
      <c r="DB42" s="1592" t="e">
        <f aca="false">IF(OR(BQ42,BS42),CG42+IF(OVolSmile,VLOOKUP(MAX(-5,CO42+CW42-BU42),IF(OVolSmile=1,VolSmileBook,VolSmileModel),2),0),"")</f>
        <v>#VALUE!</v>
      </c>
      <c r="DC42" s="1592" t="e">
        <f aca="false">IF(OR(BQ42,BS42),CH42+IF(OVolSmile,VLOOKUP(MAX(-5,CP42+CW42-BV42),IF(OVolSmile=1,VolSmileBook,VolSmileModel),2),0),"")</f>
        <v>#VALUE!</v>
      </c>
      <c r="DD42" s="1592" t="e">
        <f aca="false">IF(OR(BQ42,BS42),CI42+IF(OVolSmile,VLOOKUP(MAX(-5,CQ42+CW42-BW42),IF(OVolSmile=1,VolSmileBook,VolSmileModel),2),0),"")</f>
        <v>#VALUE!</v>
      </c>
      <c r="DE42" s="1592" t="e">
        <f aca="false">IF(OR(BQ42,BS42),CL42+IF(OVolSmile,VLOOKUP(MAX(-5,CR42+CZ42-BX42),IF(OVolSmile=1,VolSmileBook,VolSmileModel),2),0),"")</f>
        <v>#VALUE!</v>
      </c>
      <c r="DF42" s="1592" t="e">
        <f aca="false">IF(BQ42,CM42+IF(OVolSmile,VLOOKUP(MAX(-5,CS42+DA42-BZ42),IF(OVolSmile=1,VolSmileBook,VolSmileModel),2),0),"")</f>
        <v>#VALUE!</v>
      </c>
      <c r="DG42" s="1593" t="e">
        <f aca="false">IF(BS42,CN42+IF(OVolSmile,VLOOKUP(MAX(-5,CT42+DA42-CF42),IF(OVolSmile=1,VolSmileBook,VolSmileModel),2),0),"")</f>
        <v>#VALUE!</v>
      </c>
      <c r="DH42" s="1316" t="e">
        <f aca="false">IF(AND(BU42&gt;0,CO42&gt;0,DB42&gt;0,CU42&gt;0),newSPRDOPT(BU42,CO42,CW42,0,DB42,CU42,CV42,BT42*365.25,OCallPut,0),0)</f>
        <v>#VALUE!</v>
      </c>
      <c r="DI42" s="1316" t="e">
        <f aca="false">IF(AND(BV42&gt;0,CP42&gt;0,DC42&gt;0,CU42&gt;0),newSPRDOPT(BV42,CP42,CX42,0,DC42,CU42,CV42,BT42*365.25,OCallPut,0),0)</f>
        <v>#VALUE!</v>
      </c>
      <c r="DJ42" s="1316" t="e">
        <f aca="false">IF(AND(BW42&gt;0,CQ42&gt;0,DD42&gt;0,CU42&gt;0),newSPRDOPT(BW42,CQ42,CY42,0,DD42,CU42,CV42,BT42*365.25,OCallPut,0),0)</f>
        <v>#VALUE!</v>
      </c>
      <c r="DK42" s="1316" t="e">
        <f aca="false">IF(AND(BX42&gt;0,CR42&gt;0,DE42&gt;0,CU42&gt;0),newSPRDOPT(BX42,CR42,CZ42,0,DE42,CU42,CV42,BT42*365.25,OCallPut,0),0)</f>
        <v>#VALUE!</v>
      </c>
      <c r="DL42" s="1316" t="e">
        <f aca="false">IF(OVolType,IF(AND(BZ42&gt;0,CS42&gt;0,DF42&gt;0,CU42&gt;0),newSPRDOPT(BZ42,CS42,DA42,0,DF42,CU42,CV42,BT42*365.25,OCallPut,0),0),IF(BQ42,(DH42*AZ42+DI42*BA42+DJ42*BB42+DK42*BC42)/BQ42,0))</f>
        <v>#VALUE!</v>
      </c>
      <c r="DM42" s="1316"/>
      <c r="DN42" s="1316"/>
      <c r="DO42" s="1316"/>
      <c r="DP42" s="1316"/>
      <c r="DQ42" s="1316"/>
      <c r="DR42" s="1316"/>
      <c r="DS42" s="1316"/>
      <c r="DT42" s="1316"/>
      <c r="DU42" s="1316"/>
      <c r="DV42" s="1316"/>
      <c r="DW42" s="1594" t="e">
        <f aca="false">IF(AND(BW42&gt;0,CT42&gt;0,DD42&gt;0,CU42&gt;0),newSPRDOPT(BW42,CT42,CY42,0,DD42,CU42,CV42,BT42*365.25,OCallPut,0),0)</f>
        <v>#VALUE!</v>
      </c>
      <c r="DX42" s="1316" t="e">
        <f aca="false">IF(AND(BX42&gt;0,CT42&gt;0,DE42&gt;0,CU42&gt;0),newSPRDOPT(BX42,CT42,CZ42,0,DE42,CU42,CV42,BT42*365.25,OCallPut,0),0)</f>
        <v>#VALUE!</v>
      </c>
      <c r="DY42" s="1591" t="e">
        <f aca="false">IF(BS42,(DH42*BH42+DI42*BI42+DW42*BJ42+DX42*BK42)/BS42,0)</f>
        <v>#VALUE!</v>
      </c>
      <c r="DZ42" s="1551" t="e">
        <f aca="false">DH42*AZ42</f>
        <v>#VALUE!</v>
      </c>
      <c r="EA42" s="1551" t="e">
        <f aca="false">DI42*BA42</f>
        <v>#VALUE!</v>
      </c>
      <c r="EB42" s="1551" t="e">
        <f aca="false">DJ42*BB42</f>
        <v>#VALUE!</v>
      </c>
      <c r="EC42" s="1551" t="e">
        <f aca="false">DK42*BC42</f>
        <v>#VALUE!</v>
      </c>
      <c r="ED42" s="1551" t="e">
        <f aca="false">DL42*BQ42</f>
        <v>#VALUE!</v>
      </c>
      <c r="EE42" s="1595" t="e">
        <f aca="false">IF(BQ42,IF(OCallPut,IF(BU42&gt;(CO42+CW42),BU42-(CO42+CW42),0),IF((CO42+CW42)&gt;BU42,(CO42+CW42)-BU42,0))*AZ42,0)</f>
        <v>#VALUE!</v>
      </c>
      <c r="EF42" s="1596" t="e">
        <f aca="false">IF(BQ42,IF(OCallPut,IF(BV42&gt;(CP42+CX42),BV42-(CP42+CX42),0),IF((CP42+CX42)&gt;BV42,(CP42+CX42)-BV42,0))*BA42,0)</f>
        <v>#VALUE!</v>
      </c>
      <c r="EG42" s="1596" t="e">
        <f aca="false">IF(BQ42,IF(OCallPut,IF(BW42&gt;(CQ42+CY42),BW42-(CQ42+CY42),0),IF((CQ42+CY42)&gt;BW42,(CQ42+CY42)-BW42,0))*BB42,0)</f>
        <v>#VALUE!</v>
      </c>
      <c r="EH42" s="1596" t="e">
        <f aca="false">IF(BQ42,IF(OCallPut,IF(BX42&gt;(CR42+CZ42),BX42-(CR42+CZ42),0),IF((CR42+CZ42)&gt;BX42,(CR42+CZ42)-BX42,0))*BC42,0)</f>
        <v>#VALUE!</v>
      </c>
      <c r="EI42" s="1597" t="e">
        <f aca="false">IF(BQ42,IF(OVolType,IF(OCallPut,IF(BZ42&gt;(CS42+DA42),BZ42-(CS42+DA42),0),IF((CS42+DA42)&gt;BZ42,(CS42+DA42)-BZ42,0))*BQ42,SUM(EE42:EH42)),0)</f>
        <v>#VALUE!</v>
      </c>
      <c r="EJ42" s="1595" t="e">
        <f aca="false">DZ42-EE42</f>
        <v>#VALUE!</v>
      </c>
      <c r="EK42" s="1596" t="e">
        <f aca="false">EA42-EF42</f>
        <v>#VALUE!</v>
      </c>
      <c r="EL42" s="1596" t="e">
        <f aca="false">EB42-EG42</f>
        <v>#VALUE!</v>
      </c>
      <c r="EM42" s="1596" t="e">
        <f aca="false">EC42-EH42</f>
        <v>#VALUE!</v>
      </c>
      <c r="EN42" s="1597" t="e">
        <f aca="false">ED42-EI42</f>
        <v>#VALUE!</v>
      </c>
      <c r="EO42" s="1551" t="e">
        <f aca="false">DH42*BH42</f>
        <v>#VALUE!</v>
      </c>
      <c r="EP42" s="1551" t="e">
        <f aca="false">DI42*BI42</f>
        <v>#VALUE!</v>
      </c>
      <c r="EQ42" s="1551" t="e">
        <f aca="false">DW42*BJ42</f>
        <v>#VALUE!</v>
      </c>
      <c r="ER42" s="1551" t="e">
        <f aca="false">DX42*BK42</f>
        <v>#VALUE!</v>
      </c>
      <c r="ES42" s="1551" t="e">
        <f aca="false">DY42*BS42</f>
        <v>#VALUE!</v>
      </c>
      <c r="ET42" s="1566" t="e">
        <f aca="false">IF(EI42,IF(OCallPut,IF(CA42&gt;(CT42+CW42),CA42-(CT42+CW42),0),IF((CT42+CW42)&gt;CA42,(CT42+CW42)-CA42,0))*BH42,0)</f>
        <v>#VALUE!</v>
      </c>
      <c r="EU42" s="1551" t="e">
        <f aca="false">IF(EI42,IF(OCallPut,IF(CB42&gt;(CT42+CX42),CB42-(CT42+CX42),0),IF((CT42+CX42)&gt;CB42,(CT42+CX42)-CB42,0))*BI42,0)</f>
        <v>#VALUE!</v>
      </c>
      <c r="EV42" s="1551" t="e">
        <f aca="false">IF(EI42,IF(OCallPut,IF(CC42&gt;(CT42+CY42),CC42-(CT42+CY42),0),IF((CT42+CY42)&gt;CC42,(CT42+CY42)-CC42,0))*BJ42,0)</f>
        <v>#VALUE!</v>
      </c>
      <c r="EW42" s="1551" t="e">
        <f aca="false">IF(EI42,IF(OCallPut,IF(CD42&gt;(CT42+CZ42),CD42-(CT42+CZ42),0),IF((CT42+CZ42)&gt;CD42,(CT42+CZ42)-CD42,0))*BK42,0)</f>
        <v>#VALUE!</v>
      </c>
      <c r="EX42" s="1558" t="e">
        <f aca="false">IF(EI42,SUM(ET42:EW42),0)</f>
        <v>#VALUE!</v>
      </c>
      <c r="EY42" s="1551" t="e">
        <f aca="false">EO42-ET42</f>
        <v>#VALUE!</v>
      </c>
      <c r="EZ42" s="1551" t="e">
        <f aca="false">EP42-EU42</f>
        <v>#VALUE!</v>
      </c>
      <c r="FA42" s="1551" t="e">
        <f aca="false">EQ42-EV42</f>
        <v>#VALUE!</v>
      </c>
      <c r="FB42" s="1551" t="e">
        <f aca="false">ER42-EW42</f>
        <v>#VALUE!</v>
      </c>
      <c r="FC42" s="1551" t="e">
        <f aca="false">ES42-EX42</f>
        <v>#VALUE!</v>
      </c>
      <c r="FD42" s="1525" t="n">
        <f aca="false">IF(AX42,IF(VLOOKUP(C42,MAIN!$L$17:$M$28,2)="Yes",VLOOKUP(CALC!B42,MAIN!$H$17:$I$20,2),0),0)</f>
        <v>0</v>
      </c>
      <c r="FE42" s="1552" t="n">
        <f aca="false">$FD42*16*AT42*(1-$AY42)</f>
        <v>0</v>
      </c>
      <c r="FF42" s="1553" t="n">
        <f aca="false">$FD42*16*AU42*(1-$AY42)</f>
        <v>0</v>
      </c>
      <c r="FG42" s="1553" t="n">
        <f aca="false">$FD42*16*(AV42+AW42)*(1-$AY42)</f>
        <v>0</v>
      </c>
      <c r="FH42" s="1554" t="n">
        <f aca="false">$FD42*8*AX42*(1-$AY42)</f>
        <v>0</v>
      </c>
      <c r="FI42" s="1555" t="n">
        <f aca="false">IF(AX42,VLOOKUP(CALC!B42,MAIN!$H$17:$K$20,4),0)</f>
        <v>0</v>
      </c>
      <c r="FJ42" s="1553" t="n">
        <f aca="false">SUM(FE42:FH42)</f>
        <v>0</v>
      </c>
      <c r="FK42" s="1556" t="n">
        <f aca="false">FI42*FJ42</f>
        <v>0</v>
      </c>
      <c r="FL42" s="1566" t="e">
        <f aca="false">IF($EI42&gt;0,MIN(FE42,AZ42*(1+VLOOKUP($C42,WeatherCapacityAdjustment,2))),0)</f>
        <v>#VALUE!</v>
      </c>
      <c r="FM42" s="1551" t="e">
        <f aca="false">IF($EI42&gt;0,MIN(FF42,BA42*(1+VLOOKUP($C42,WeatherCapacityAdjustment,2))),0)</f>
        <v>#VALUE!</v>
      </c>
      <c r="FN42" s="1551" t="e">
        <f aca="false">IF($EI42&gt;0,MIN(FG42,BB42*(1+VLOOKUP($C42,WeatherCapacityAdjustment,2))),0)</f>
        <v>#VALUE!</v>
      </c>
      <c r="FO42" s="1564" t="e">
        <f aca="false">IF($EI42&gt;0,MIN(FH42,BC42*(1+VLOOKUP($C42,WeatherCapacityAdjustment,3))),0)</f>
        <v>#VALUE!</v>
      </c>
      <c r="FP42" s="1551" t="e">
        <f aca="false">IF(ET42&gt;0,MIN(FE42-FL42,BH42*(1+VLOOKUP($C42,WeatherCapacityAdjustment,2))),0)</f>
        <v>#VALUE!</v>
      </c>
      <c r="FQ42" s="1551" t="e">
        <f aca="false">IF(EU42&gt;0,MIN(FF42-FM42,BI42*(1+VLOOKUP($C42,WeatherCapacityAdjustment,2))),0)</f>
        <v>#VALUE!</v>
      </c>
      <c r="FR42" s="1551" t="e">
        <f aca="false">IF(EV42&gt;0,MIN(FG42-FN42,BJ42*(1+VLOOKUP($C42,WeatherCapacityAdjustment,2))),0)</f>
        <v>#VALUE!</v>
      </c>
      <c r="FS42" s="1558" t="e">
        <f aca="false">IF(EW42&gt;0,MIN(FH42-FO42,BK42*(1+VLOOKUP($C42,WeatherCapacityAdjustment,3))),0)</f>
        <v>#VALUE!</v>
      </c>
      <c r="FT42" s="1566" t="n">
        <f aca="false">IF(AND(Assumptions!$H$71="Yes",A42&gt;=Assumptions!$H$72,A42&lt;=Assumptions!$H$73),0,IF(AND($A42&gt;=Assumptions!$C$17,$A42&lt;=Assumptions!$C$18),MAX(AZ42*(1+VLOOKUP($C42,WeatherCapacityAdjustment,2))-FL42,0),0))</f>
        <v>0</v>
      </c>
      <c r="FU42" s="1551" t="n">
        <f aca="false">IF(AND(Assumptions!$H$71="Yes",A42&gt;=Assumptions!$H$72,A42&lt;=Assumptions!$H$73),0,IF(AND($A42&gt;=Assumptions!$C$17,$A42&lt;=Assumptions!$C$18),MAX(BA42*(1+VLOOKUP($C42,WeatherCapacityAdjustment,2))-FM42,0),0))</f>
        <v>0</v>
      </c>
      <c r="FV42" s="1551" t="n">
        <f aca="false">IF(AND(Assumptions!$H$71="Yes",A42&gt;=Assumptions!$H$72,A42&lt;=Assumptions!$H$73),0,IF(AND($A42&gt;=Assumptions!$C$17,$A42&lt;=Assumptions!$C$18),MAX(BB42*(1+VLOOKUP($C42,WeatherCapacityAdjustment,2))-FN42,0),0))</f>
        <v>0</v>
      </c>
      <c r="FW42" s="1564" t="n">
        <f aca="false">IF(AND(Assumptions!$H$71="Yes",A42&gt;=Assumptions!$H$72,A42&lt;=Assumptions!$H$73),0,IF(AND($A42&gt;=Assumptions!$C$17,$A42&lt;=Assumptions!$C$18),MAX(BC42*(1+VLOOKUP($C42,WeatherCapacityAdjustment,3))-FO42,0),0))</f>
        <v>0</v>
      </c>
      <c r="FX42" s="1569" t="e">
        <f aca="false">IF(AND(Assumptions!$H$71="Yes",A42&gt;=Assumptions!$H$72,A42&lt;=Assumptions!$H$73),0,IF(ET42&gt;0,MAX(BH42*(1+VLOOKUP($C42,WeatherCapacityAdjustment,2))-FP42,0),0))</f>
        <v>#VALUE!</v>
      </c>
      <c r="FY42" s="1551" t="e">
        <f aca="false">IF(AND(Assumptions!$H$71="Yes",A42&gt;=Assumptions!$H$72,A42&lt;=Assumptions!$H$73),0,IF(EU42&gt;0,MAX(BI42*(1+VLOOKUP($C42,WeatherCapacityAdjustment,3))-FQ42,0),0))</f>
        <v>#VALUE!</v>
      </c>
      <c r="FZ42" s="1551" t="e">
        <f aca="false">IF(AND(Assumptions!$H$71="Yes",A42&gt;=Assumptions!$H$72,A42&lt;=Assumptions!$H$73),0,IF(EV42&gt;0,MAX(BJ42*(1+VLOOKUP($C42,WeatherCapacityAdjustment,2))-FR42,0),0))</f>
        <v>#VALUE!</v>
      </c>
      <c r="GA42" s="1564" t="e">
        <f aca="false">IF(AND(Assumptions!$H$71="Yes",A42&gt;=Assumptions!$H$72,A42&lt;=Assumptions!$H$73),0,IF(EW42&gt;0,MAX(BK42*(1+VLOOKUP($C42,WeatherCapacityAdjustment,2))-FS42,0),0))</f>
        <v>#VALUE!</v>
      </c>
      <c r="GB42" s="1551" t="e">
        <f aca="false">SUM(FT42:GA42)</f>
        <v>#VALUE!</v>
      </c>
      <c r="GC42" s="1563" t="e">
        <f aca="false">+IF(SUM(FT42:GA42)=0,0,(SUMPRODUCT(BU42:BX42,FT42:FW42)+SUMPRODUCT(CA42:CD42,FX42:GA42))/SUM(FT42:GA42))</f>
        <v>#VALUE!</v>
      </c>
      <c r="GD42" s="1551" t="e">
        <f aca="false">(FT42*BU42+FX42*CA42+FU42*BV42+FY42*CB42+FV42*BW42+FZ42*CC42+FW42*BX42+GA42*CD42)</f>
        <v>#VALUE!</v>
      </c>
      <c r="GE42" s="1561" t="e">
        <f aca="false">+IF(BQ42,((FL42+FM42+FT42+FU42)*HeatRatePeak/1000*(1+VLOOKUP($C42,WeatherHeatRateAdjustment,2))+(FN42+FV42)*IF(EV42&gt;0,HeatRatePeak,HeatRateOffPeak)/1000*(1+VLOOKUP($C42,WeatherHeatRateAdjustment,2))+(FO42+FW42)*IF(EW42&gt;0,HeatRatePeak,HeatRateOffPeak)/1000*(1+VLOOKUP($C42,WeatherHeatRateAdjustment,3)))*(1+VLOOKUP($B42,HeatRateDegradation,$C42+1)),0)</f>
        <v>#VALUE!</v>
      </c>
      <c r="GF42" s="1562" t="e">
        <f aca="false">IF(BQ42,((FP42+FQ42+FR42+FX42+FY42+FZ42)*HeatRatePeak/1000*(1+VLOOKUP($C42,WeatherHeatRateAdjustment,2))+(FS42+GA42)*HeatRatePeak/1000*(1+VLOOKUP($C42,WeatherHeatRateAdjustment,3)))*(1+VLOOKUP($B42,HeatRateDegradation,$C42+1)),0)</f>
        <v>#VALUE!</v>
      </c>
      <c r="GG42" s="1563" t="e">
        <f aca="false">IF(BQ42,VLOOKUP(A42,GasTable,13),0)</f>
        <v>#VALUE!</v>
      </c>
      <c r="GH42" s="1564" t="e">
        <f aca="false">(GE42+GF42)*GG42</f>
        <v>#VALUE!</v>
      </c>
      <c r="GI42" s="1569" t="e">
        <f aca="false">GB42</f>
        <v>#VALUE!</v>
      </c>
      <c r="GJ42" s="1598" t="e">
        <f aca="false">+DA42</f>
        <v>#VALUE!</v>
      </c>
      <c r="GK42" s="1558" t="e">
        <f aca="false">+GI42*GJ42</f>
        <v>#VALUE!</v>
      </c>
      <c r="GL42" s="1566" t="e">
        <f aca="false">MAX(FE42-FL42-FP42,0)</f>
        <v>#VALUE!</v>
      </c>
      <c r="GM42" s="1551" t="e">
        <f aca="false">MAX(FF42-FM42-FQ42,0)</f>
        <v>#VALUE!</v>
      </c>
      <c r="GN42" s="1551" t="e">
        <f aca="false">MAX(FG42-FN42-FR42,0)</f>
        <v>#VALUE!</v>
      </c>
      <c r="GO42" s="1564" t="e">
        <f aca="false">MAX(FH42-FO42-FS42,0)</f>
        <v>#VALUE!</v>
      </c>
      <c r="GP42" s="1551" t="e">
        <f aca="false">SUM(GL42:GO42)</f>
        <v>#VALUE!</v>
      </c>
      <c r="GQ42" s="1563" t="e">
        <f aca="false">IF(SUM(GL42:GO42)=0,0,((GL42*BU42+GM42*BV42+GN42*BW42+GO42*BX42)/SUM(GL42:GO42)))</f>
        <v>#VALUE!</v>
      </c>
      <c r="GR42" s="1558" t="e">
        <f aca="false">(GL42*BU42+GM42*BV42+GN42*BW42+GO42*BX42)</f>
        <v>#VALUE!</v>
      </c>
      <c r="GS42" s="1566" t="n">
        <f aca="false">IF($A42&gt;=BegDate,Assumptions!$C$56*24*($A43-$A42)*(1-VLOOKUP($B42,MAIN!$AA$7:$AM$28,$C42+1))*(1-VLOOKUP($B42,MAIN!$AA$33:$AM$54,$C42+1)),0)*80/168</f>
        <v>0</v>
      </c>
      <c r="GT42" s="286" t="n">
        <f aca="false">J42</f>
        <v>26.7726132</v>
      </c>
      <c r="GU42" s="286" t="n">
        <f aca="false">IF($A42&gt;=BegDate,VLOOKUP($A42,GasTable,13)+Assumptions!$C$58,0)</f>
        <v>0</v>
      </c>
      <c r="GV42" s="286" t="n">
        <f aca="false">GU42*Assumptions!$C$57/1000</f>
        <v>0</v>
      </c>
      <c r="GW42" s="1558" t="n">
        <f aca="false">IF(Assumptions!$C$60="Hourly",MAX(0,GS42*(GT42-GV42)),GS42*(GT42-GV42))</f>
        <v>0</v>
      </c>
      <c r="GX42" s="1566" t="n">
        <f aca="false">IF($A42&gt;=BegDate,Assumptions!$C$56*24*($A43-$A42)*(1-VLOOKUP($B42,MAIN!$AA$7:$AM$28,$C42+1))*(1-VLOOKUP($B42,MAIN!$AA$33:$AM$54,$C42+1)),0)*16/168</f>
        <v>0</v>
      </c>
      <c r="GY42" s="286" t="n">
        <f aca="false">M42</f>
        <v>26.7726132</v>
      </c>
      <c r="GZ42" s="286" t="n">
        <f aca="false">IF($A42&gt;=BegDate,VLOOKUP($A42,GasTable,13)+Assumptions!$C$58,0)</f>
        <v>0</v>
      </c>
      <c r="HA42" s="286" t="n">
        <f aca="false">GZ42*Assumptions!$C$57/1000</f>
        <v>0</v>
      </c>
      <c r="HB42" s="1558" t="n">
        <f aca="false">IF(Assumptions!$C$60="Hourly",MAX(0,GX42*(GY42-HA42)),GX42*(GY42-HA42))</f>
        <v>0</v>
      </c>
      <c r="HC42" s="1566" t="n">
        <f aca="false">IF($A42&gt;=BegDate,Assumptions!$C$56*24*($A43-$A42)*(1-VLOOKUP($B42,MAIN!$AA$7:$AM$28,$C42+1))*(1-VLOOKUP($B42,MAIN!$AA$33:$AM$54,$C42+1)),0)*16/168</f>
        <v>0</v>
      </c>
      <c r="HD42" s="286" t="n">
        <f aca="false">P42</f>
        <v>12.85996824</v>
      </c>
      <c r="HE42" s="286" t="n">
        <f aca="false">IF($A42&gt;=BegDate,VLOOKUP($A42,GasTable,13)+Assumptions!$C$58,0)</f>
        <v>0</v>
      </c>
      <c r="HF42" s="286" t="n">
        <f aca="false">HE42*Assumptions!$C$57/1000</f>
        <v>0</v>
      </c>
      <c r="HG42" s="1558" t="n">
        <f aca="false">IF(Assumptions!$C$60="Hourly",MAX(0,HC42*(HD42-HF42)),HC42*(HD42-HF42))</f>
        <v>0</v>
      </c>
      <c r="HH42" s="1566" t="n">
        <f aca="false">IF($A42&gt;=BegDate,Assumptions!$C$56*24*($A43-$A42)*(1-VLOOKUP($B42,MAIN!$AA$7:$AM$28,$C42+1))*(1-VLOOKUP($B42,MAIN!$AA$33:$AM$54,$C42+1)),0)*56/168</f>
        <v>0</v>
      </c>
      <c r="HI42" s="286" t="n">
        <f aca="false">S42</f>
        <v>12.85996824</v>
      </c>
      <c r="HJ42" s="286" t="n">
        <f aca="false">IF($A42&gt;=BegDate,VLOOKUP($A42,GasTable,13)+Assumptions!$C$58,0)</f>
        <v>0</v>
      </c>
      <c r="HK42" s="286" t="n">
        <f aca="false">HJ42*Assumptions!$C$57/1000</f>
        <v>0</v>
      </c>
      <c r="HL42" s="1558" t="n">
        <f aca="false">IF(Assumptions!$C$60="Hourly",MAX(0,HH42*(HI42-HK42)),HH42*(HI42-HK42))</f>
        <v>0</v>
      </c>
      <c r="HM42" s="1566" t="n">
        <f aca="false">IF(AND(Assumptions!$H$71="Yes",A42&gt;=Assumptions!$H$72,A42&lt;=Assumptions!$H$73),Assumptions!$H$74*Assumptions!$C$9*1000,0)</f>
        <v>0</v>
      </c>
      <c r="HN42" s="1551"/>
      <c r="HO42" s="1563"/>
      <c r="HP42" s="1563"/>
      <c r="HQ42" s="1563"/>
      <c r="HR42" s="1563"/>
      <c r="HS42" s="1563"/>
      <c r="HT42" s="1563"/>
      <c r="HU42" s="1563"/>
      <c r="HV42" s="1563"/>
      <c r="HW42" s="1563"/>
      <c r="HX42" s="1563"/>
      <c r="HY42" s="1563"/>
      <c r="HZ42" s="1563"/>
      <c r="IA42" s="1563"/>
      <c r="IB42" s="1563"/>
      <c r="IC42" s="1563"/>
      <c r="ID42" s="1563"/>
      <c r="IE42" s="1563"/>
      <c r="IF42" s="1563"/>
      <c r="IG42" s="1563"/>
      <c r="IH42" s="1563"/>
      <c r="II42" s="1610"/>
      <c r="IJ42" s="1309"/>
      <c r="IK42" s="1309"/>
    </row>
    <row r="43" customFormat="false" ht="12.75" hidden="false" customHeight="false" outlineLevel="0" collapsed="false">
      <c r="A43" s="1571" t="n">
        <f aca="false">EOMONTH(A42,0)+1</f>
        <v>37438</v>
      </c>
      <c r="B43" s="594" t="n">
        <f aca="false">+YEAR(A43)</f>
        <v>2002</v>
      </c>
      <c r="C43" s="238" t="n">
        <f aca="false">MONTH(A43)</f>
        <v>7</v>
      </c>
      <c r="D43" s="1572" t="str">
        <f aca="false">IF(E43="","",Holiday(B43,C43))</f>
        <v/>
      </c>
      <c r="E43" s="1573" t="str">
        <f aca="false">IF(OR(BegDate&gt;=A44,EndDate&lt;A43,AND(VolumeMonthlyOverFlag,INDEX(VolumeMonthlyOver,C43)=0),NOT(INDEX(MonthKnockOutTable,C43))),"",MAX(A43,BegDate))</f>
        <v/>
      </c>
      <c r="F43" s="1574" t="str">
        <f aca="false">IF(E43="","",MIN(A44-1,EndDate))</f>
        <v/>
      </c>
      <c r="G43" s="1575" t="n">
        <v>0</v>
      </c>
      <c r="H43" s="1576" t="n">
        <f aca="false">(1+G43/2)^(-2*(DATE(B44,C44,20)-DateToday)/365.25)</f>
        <v>1</v>
      </c>
      <c r="I43" s="1568" t="n">
        <f aca="false">IF(Assumptions!$L$25=4,VLOOKUP($A43,'Henwood Reference'!$E$9:$R$320,10),(VLOOKUP($A43,PriceTable,2,0)+IF(BasisNumber&lt;&gt;1,VLOOKUP($A43,BasisTable,2,0),0)+I$1)/(1-I$2))</f>
        <v>37.55552688</v>
      </c>
      <c r="J43" s="1568" t="n">
        <f aca="false">IF(Assumptions!$L$25=4,VLOOKUP($A43,'Henwood Reference'!$E$9:$R$320,10),(VLOOKUP($A43,PriceTable,3,0)+IF(BasisNumber&lt;&gt;1,VLOOKUP($A43,BasisTable,2,0),0)+J$1)/(1-J$2))</f>
        <v>37.55552688</v>
      </c>
      <c r="K43" s="1568" t="n">
        <f aca="false">IF(Assumptions!$L$25=4,VLOOKUP($A43,'Henwood Reference'!$E$9:$R$320,10),(VLOOKUP($A43,PriceTable,4,0)+IF(BasisNumber&lt;&gt;1,VLOOKUP($A43,BasisTable,2,0),0)+K$1)/(1-K$2))</f>
        <v>37.55552688</v>
      </c>
      <c r="L43" s="1523" t="n">
        <f aca="false">IF(Assumptions!$L$25=4,VLOOKUP($A43,'Henwood Reference'!$E$9:$R$320,10),(VLOOKUP($A43,PriceTableWeekend,2,0)+IF(BasisNumber&lt;&gt;1,VLOOKUP($A43,BasisTable,2,0),0)+L$1)/(1-L$2))</f>
        <v>37.55552688</v>
      </c>
      <c r="M43" s="1568" t="n">
        <f aca="false">IF(Assumptions!$L$25=4,VLOOKUP($A43,'Henwood Reference'!$E$9:$R$320,10),(VLOOKUP($A43,PriceTableWeekend,3,0)+IF(BasisNumber&lt;&gt;1,VLOOKUP($A43,BasisTable,2,0),0)+M$1)/(1-M$2))</f>
        <v>37.55552688</v>
      </c>
      <c r="N43" s="1599" t="n">
        <f aca="false">IF(Assumptions!$L$25=4,VLOOKUP($A43,'Henwood Reference'!$E$9:$R$320,10),(VLOOKUP($A43,PriceTableWeekend,4,0)+IF(BasisNumber&lt;&gt;1,VLOOKUP($A43,BasisTable,2,0),0)+N$1)/(1-N$2))</f>
        <v>37.55552688</v>
      </c>
      <c r="O43" s="1568" t="n">
        <f aca="false">IF(Assumptions!$L$25=4,VLOOKUP($A43,'Henwood Reference'!$E$9:$R$320,11),(VLOOKUP($A43,PriceTableWeekend,6,0)+IF(BasisNumber&lt;&gt;1,VLOOKUP($A43,BasisTable,3,0),0)+O$1)/(1-O$2))</f>
        <v>19.2198294</v>
      </c>
      <c r="P43" s="1568" t="n">
        <f aca="false">IF(Assumptions!$L$25=4,VLOOKUP($A43,'Henwood Reference'!$E$9:$R$320,11),(VLOOKUP($A43,PriceTableWeekend,7,0)+IF(BasisNumber&lt;&gt;1,VLOOKUP($A43,BasisTable,3,0),0)+P$1)/(1-P$2))</f>
        <v>19.2198294</v>
      </c>
      <c r="Q43" s="1599" t="n">
        <f aca="false">IF(Assumptions!$L$25=4,VLOOKUP($A43,'Henwood Reference'!$E$9:$R$320,11),(VLOOKUP($A43,PriceTableWeekend,8,0)+IF(BasisNumber&lt;&gt;1,VLOOKUP($A43,BasisTable,3,0),0)+Q$1)/(1-Q$2))</f>
        <v>19.2198294</v>
      </c>
      <c r="R43" s="1568" t="n">
        <f aca="false">IF(Assumptions!$L$25=4,VLOOKUP($A43,'Henwood Reference'!$E$9:$R$320,11),(VLOOKUP($A43,PriceTable,6,0)+IF(BasisNumber&lt;&gt;1,VLOOKUP($A43,BasisTable,3,0),0)+R$1)/(1-R$2))</f>
        <v>19.2198294</v>
      </c>
      <c r="S43" s="1568" t="n">
        <f aca="false">IF(Assumptions!$L$25=4,VLOOKUP($A43,'Henwood Reference'!$E$9:$R$320,11),(VLOOKUP($A43,PriceTable,7,0)+IF(BasisNumber&lt;&gt;1,VLOOKUP($A43,BasisTable,3,0),0)+S$1)/(1-S$2))</f>
        <v>19.2198294</v>
      </c>
      <c r="T43" s="1600" t="n">
        <f aca="false">IF(Assumptions!$L$25=4,VLOOKUP($A43,'Henwood Reference'!$E$9:$R$320,11),(VLOOKUP($A43,PriceTable,8,0)+IF(BasisNumber&lt;&gt;1,VLOOKUP($A43,BasisTable,3,0),0)+T$1)/(1-T$2))</f>
        <v>19.2198294</v>
      </c>
      <c r="U43" s="1513" t="n">
        <f aca="false">VLOOKUP($A43,VolatilityTable,14)</f>
        <v>0.16</v>
      </c>
      <c r="V43" s="1513" t="n">
        <f aca="false">VLOOKUP($A43,VolatilityTable,15)</f>
        <v>0.17</v>
      </c>
      <c r="W43" s="1514" t="n">
        <f aca="false">VLOOKUP($A43,VolatilityTable,16)</f>
        <v>0.18</v>
      </c>
      <c r="X43" s="1513" t="n">
        <f aca="false">VLOOKUP($A43,VolatilityTable,14)</f>
        <v>0.16</v>
      </c>
      <c r="Y43" s="1513" t="n">
        <f aca="false">VLOOKUP($A43,VolatilityTable,15)</f>
        <v>0.17</v>
      </c>
      <c r="Z43" s="1514" t="n">
        <f aca="false">VLOOKUP($A43,VolatilityTable,16)</f>
        <v>0.18</v>
      </c>
      <c r="AA43" s="1513" t="n">
        <f aca="false">VLOOKUP($A43,VolatilityTable,18)</f>
        <v>0.09</v>
      </c>
      <c r="AB43" s="1513" t="n">
        <f aca="false">VLOOKUP($A43,VolatilityTable,19)</f>
        <v>0.11</v>
      </c>
      <c r="AC43" s="1514" t="n">
        <f aca="false">VLOOKUP($A43,VolatilityTable,20)</f>
        <v>0.13</v>
      </c>
      <c r="AD43" s="1513" t="n">
        <f aca="false">VLOOKUP($A43,VolatilityTable,18)</f>
        <v>0.09</v>
      </c>
      <c r="AE43" s="1513" t="n">
        <f aca="false">VLOOKUP($A43,VolatilityTable,19)</f>
        <v>0.11</v>
      </c>
      <c r="AF43" s="1514" t="n">
        <f aca="false">VLOOKUP($A43,VolatilityTable,20)</f>
        <v>0.13</v>
      </c>
      <c r="AG43" s="1513" t="n">
        <f aca="false">VLOOKUP($A43,VolatilityTable,22)</f>
        <v>-0.35</v>
      </c>
      <c r="AH43" s="1513" t="n">
        <f aca="false">VLOOKUP($A43,VolatilityTable,23)</f>
        <v>3</v>
      </c>
      <c r="AI43" s="1514" t="n">
        <f aca="false">VLOOKUP($A43,VolatilityTable,24)</f>
        <v>0.35</v>
      </c>
      <c r="AJ43" s="1513" t="n">
        <f aca="false">VLOOKUP($A43,VolatilityTable,22)</f>
        <v>-0.35</v>
      </c>
      <c r="AK43" s="1513" t="n">
        <f aca="false">VLOOKUP($A43,VolatilityTable,23)</f>
        <v>3</v>
      </c>
      <c r="AL43" s="1514" t="n">
        <f aca="false">VLOOKUP($A43,VolatilityTable,24)</f>
        <v>0.35</v>
      </c>
      <c r="AM43" s="1513" t="n">
        <f aca="false">VLOOKUP($A43,VolatilityTable,26)</f>
        <v>-0.01</v>
      </c>
      <c r="AN43" s="1513" t="n">
        <f aca="false">VLOOKUP($A43,VolatilityTable,27)</f>
        <v>0.16</v>
      </c>
      <c r="AO43" s="1514" t="n">
        <f aca="false">VLOOKUP($A43,VolatilityTable,28)</f>
        <v>0.01</v>
      </c>
      <c r="AP43" s="1513" t="n">
        <f aca="false">VLOOKUP($A43,VolatilityTable,26)</f>
        <v>-0.01</v>
      </c>
      <c r="AQ43" s="1513" t="n">
        <f aca="false">VLOOKUP($A43,VolatilityTable,27)</f>
        <v>0.16</v>
      </c>
      <c r="AR43" s="1515" t="n">
        <f aca="false">VLOOKUP($A43,VolatilityTable,28)</f>
        <v>0.01</v>
      </c>
      <c r="AS43" s="1581" t="n">
        <f aca="false">IF(CorrPeakOffPeakOverFlag,INDEX(CorrPeakOffPeakOver,C43),CorrPeakOffPeak)</f>
        <v>0.5</v>
      </c>
      <c r="AT43" s="594" t="n">
        <f aca="false">AX43-SUM(AU43:AW43)</f>
        <v>0</v>
      </c>
      <c r="AU43" s="238" t="n">
        <f aca="false">IF(E43="",0,INT((F43-MOD(F43,7)-E43)/7)+1-IF(AW43,IF(WEEKDAY(D43)=7,1,0),0))</f>
        <v>0</v>
      </c>
      <c r="AV43" s="238" t="n">
        <f aca="false">IF(E43="",0,INT((F43-MOD(F43-1,7)-E43)/7)+1-IF(AW43,IF(WEEKDAY(D43)=1,1,0),0))</f>
        <v>0</v>
      </c>
      <c r="AW43" s="238" t="n">
        <f aca="false">IF(OR(E43="",D43="",D43&lt;BegDate,D43&gt;EndDate),0,1)</f>
        <v>0</v>
      </c>
      <c r="AX43" s="238" t="n">
        <f aca="false">IF(E43="",0,F43-E43+1)</f>
        <v>0</v>
      </c>
      <c r="AY43" s="1582" t="n">
        <f aca="false">IF(E43="",0,MIN((1-(1-VLOOKUP(B43,MAIN!$AA$7:$AM$28,C43+1))*(1-VLOOKUP(B43,MAIN!$AA$33:$AM$54,C43+1))),1))</f>
        <v>0</v>
      </c>
      <c r="AZ43" s="1519" t="e">
        <v>#VALUE!</v>
      </c>
      <c r="BA43" s="1520" t="e">
        <v>#VALUE!</v>
      </c>
      <c r="BB43" s="1520" t="e">
        <v>#VALUE!</v>
      </c>
      <c r="BC43" s="1583" t="e">
        <v>#VALUE!</v>
      </c>
      <c r="BD43" s="1522" t="e">
        <v>#VALUE!</v>
      </c>
      <c r="BE43" s="1523" t="e">
        <v>#VALUE!</v>
      </c>
      <c r="BF43" s="1523" t="e">
        <v>#VALUE!</v>
      </c>
      <c r="BG43" s="1584" t="e">
        <v>#VALUE!</v>
      </c>
      <c r="BH43" s="1525" t="e">
        <v>#VALUE!</v>
      </c>
      <c r="BI43" s="1520" t="e">
        <v>#VALUE!</v>
      </c>
      <c r="BJ43" s="1520" t="e">
        <v>#VALUE!</v>
      </c>
      <c r="BK43" s="1583" t="e">
        <v>#VALUE!</v>
      </c>
      <c r="BL43" s="1522" t="e">
        <v>#VALUE!</v>
      </c>
      <c r="BM43" s="1523" t="e">
        <v>#VALUE!</v>
      </c>
      <c r="BN43" s="1523" t="e">
        <v>#VALUE!</v>
      </c>
      <c r="BO43" s="1523" t="e">
        <v>#VALUE!</v>
      </c>
      <c r="BP43" s="1525" t="e">
        <f aca="false">SUM(AZ43:BB43)</f>
        <v>#VALUE!</v>
      </c>
      <c r="BQ43" s="1529" t="e">
        <f aca="false">SUM(AZ43:BC43)</f>
        <v>#VALUE!</v>
      </c>
      <c r="BR43" s="1519" t="e">
        <f aca="false">SUM(BH43:BJ43)</f>
        <v>#VALUE!</v>
      </c>
      <c r="BS43" s="1529" t="e">
        <f aca="false">SUM(BH43:BK43)</f>
        <v>#VALUE!</v>
      </c>
      <c r="BT43" s="1316" t="n">
        <f aca="false">(IF(OVolType&lt;&gt;2,A43+14,IF(OptExpDateShift,ShiftBack(A43,OptExpDateShift,D42),A43))-DateToday)/365.25</f>
        <v>2.21218343600274</v>
      </c>
      <c r="BU43" s="1585" t="e">
        <f aca="false">IF(BQ43,IF(OPriceCurve,IF(OBuySell=OCallPut,I43/(1-AY43),K43/(1-AY43)),J43/(1-AY43))*BD43,0)</f>
        <v>#VALUE!</v>
      </c>
      <c r="BV43" s="1316" t="e">
        <f aca="false">IF(BQ43,IF(OPriceCurve,IF(OBuySell=OCallPut,L43/(1-AY43),N43/(1-AY43)),M43/(1-AY43))*BE43,0)</f>
        <v>#VALUE!</v>
      </c>
      <c r="BW43" s="1316" t="e">
        <f aca="false">IF(BQ43,IF(OPriceCurve,IF(OBuySell=OCallPut,O43/(1-AY43),Q43/(1-AY43)),P43/(1-AY43))*BF43,0)</f>
        <v>#VALUE!</v>
      </c>
      <c r="BX43" s="1316" t="e">
        <f aca="false">IF(BQ43,IF(OPriceCurve,IF(OBuySell=OCallPut,R43/(1-AY43),T43/(1-AY43)),S43/(1-AY43))*BG43,0)</f>
        <v>#VALUE!</v>
      </c>
      <c r="BY43" s="1316" t="e">
        <f aca="false">IF(BP43,(BU43*AZ43+BV43*BA43+BW43*BB43)/BP43,0)</f>
        <v>#VALUE!</v>
      </c>
      <c r="BZ43" s="1316" t="e">
        <f aca="false">IF(BQ43,(BY43*BP43+BX43*BC43)/BQ43,0)</f>
        <v>#VALUE!</v>
      </c>
      <c r="CA43" s="1531" t="e">
        <f aca="false">IF(BS43,IF(OPriceCurve,IF(OBuySell=OCallPut,I43/(1-AY43),K43/(1-AY43)),J43/(1-AY43))*BL43,0)</f>
        <v>#VALUE!</v>
      </c>
      <c r="CB43" s="1316" t="e">
        <f aca="false">IF(BS43,IF(OPriceCurve,IF(OBuySell=OCallPut,L43/(1-AY43),N43/(1-AY43)),M43/(1-AY43))*BM43,0)</f>
        <v>#VALUE!</v>
      </c>
      <c r="CC43" s="1316" t="e">
        <f aca="false">IF(BS43,IF(OPriceCurve,IF(OBuySell=OCallPut,O43/(1-AY43),Q43/(1-AY43)),P43/(1-AY43))*BN43,0)</f>
        <v>#VALUE!</v>
      </c>
      <c r="CD43" s="1316" t="e">
        <f aca="false">IF(BS43,IF(OPriceCurve,IF(OBuySell=OCallPut,R43/(1-AY43),T43/(1-AY43)),S43/(1-AY43))*BO43,0)</f>
        <v>#VALUE!</v>
      </c>
      <c r="CE43" s="1316" t="e">
        <f aca="false">IF(BR43,(BU43*BH43+BV43*BI43+BW43*BJ43)/BR43,0)</f>
        <v>#VALUE!</v>
      </c>
      <c r="CF43" s="1532" t="e">
        <f aca="false">IF(BS43,(CE43*BR43+CD43*BK43)/BS43,0)</f>
        <v>#VALUE!</v>
      </c>
      <c r="CG43" s="1586" t="e">
        <f aca="false">IF(OR(BQ43,BS43),IF(OVolType&lt;&gt;2,SQRT(IF(OVolOverMonthlyPeak,OVolOverMonthlyPeak,IF(OVolCurve,IF(OBuySell,U43,W43),V43))^2*(1-15/365.25/BT43)+IF(OVolOverDailyPeak,OVolOverDailyPeak,IF(OVolCurve,IF(OBuySell,AG43,AI43),AH43))^2*15/365.25/BT43),IF(OVolOverMonthlyPeak,OVolOverMonthlyPeak,IF(OVolCurve,IF(OBuySell,U43,W43),V43))),"")</f>
        <v>#VALUE!</v>
      </c>
      <c r="CH43" s="1587" t="e">
        <f aca="false">IF(OR(BQ43,BS43),IF(OVolType&lt;&gt;2,SQRT(IF(OVolOverMonthlyPeak,OVolOverMonthlyPeak,IF(OVolCurve,IF(OBuySell,X43,Z43),Y43))^2*(1-15/365.25/BT43)+IF(OVolOverDailyPeak,OVolOverDailyPeak,IF(OVolCurve,IF(OBuySell,AJ43,AL43),AK43))^2*15/365.25/BT43),IF(OVolOverMonthlyPeak,OVolOverMonthlyPeak,IF(OVolCurve,IF(OBuySell,X43,Z43),Y43))),"")</f>
        <v>#VALUE!</v>
      </c>
      <c r="CI43" s="1587" t="e">
        <f aca="false">IF(OR(BQ43,BS43),IF(OVolType&lt;&gt;2,SQRT(IF(OVolOverMonthlyPeak,OVolOverMonthlyPeak,IF(OVolCurve,IF(OBuySell,AA43,AC43),AB43))^2*(1-15/365.25/BT43)+IF(OVolOverDailyPeak,OVolOverDailyPeak,IF(OVolCurve,IF(OBuySell,AM43,AO43),AN43))^2*15/365.25/BT43),IF(OVolOverMonthlyPeak,OVolOverMonthlyPeak,IF(OVolCurve,IF(OBuySell,AA43,AC43),AB43))),"")</f>
        <v>#VALUE!</v>
      </c>
      <c r="CJ43" s="1587" t="e">
        <f aca="false">IF(BQ43,IF(BP43,SQRT(LN(1+((BU43*AZ43)^2*(EXP(CG43^2*BT43)-1)+(BV43*BA43)^2*(EXP(CH43^2*BT43)-1)+(BW43*BB43)^2*(EXP(CI43^2*BT43)-1)+2*BU43*AZ43*BV43*BA43*(EXP(CG43*CH43*BT43)-1)+2*BV43*BA43*BW43*BB43*(EXP(CH43*CI43*BT43)-1)+2*BW43*BB43*BU43*AZ43*(EXP(CI43*CG43*BT43)-1))/(BY43*BP43)^2)/BT43),0),"")</f>
        <v>#VALUE!</v>
      </c>
      <c r="CK43" s="1587" t="e">
        <f aca="false">IF(BS43,IF(BR43,SQRT(LN(1+((CA43*BH43)^2*(EXP(CG43^2*BT43)-1)+(CB43*BI43)^2*(EXP(CH43^2*BT43)-1)+(CC43*BJ43)^2*(EXP(CI43^2*BT43)-1)+2*CA43*BH43*CB43*BI43*(EXP(CG43*CH43*BT43)-1)+2*CB43*BI43*CC43*BJ43*(EXP(CH43*CI43*BT43)-1)+2*CC43*BJ43*CA43*BH43*(EXP(CI43*CG43*BT43)-1))/(CE43*BR43)^2)/BT43),0),"")</f>
        <v>#VALUE!</v>
      </c>
      <c r="CL43" s="1587" t="e">
        <f aca="false">IF(OR(BQ43,BS43),IF(OVolType&lt;&gt;2,SQRT(IF(OVolOverMonthlyOffPeak,OVolOverMonthlyOffPeak,IF(OVolCurve,IF(OBuySell,AD43,AF43),AE43))^2*(1-15/365.25/BT43)+IF(OVolOverDailyOffPeak,OVolOverDailyOffPeak,IF(OVolCurve,IF(OBuySell,AP43,AR43),AQ43))^2*15/365.25/BT43),IF(OVolOverMonthlyOffPeak,OVolOverMonthlyOffPeak,IF(OVolCurve,IF(OBuySell,AD43,AF43),AE43))),"")</f>
        <v>#VALUE!</v>
      </c>
      <c r="CM43" s="1587" t="e">
        <f aca="false">IF(BQ43,SQRT(LN(1+((BY43*BP43)^2*(EXP(CJ43^2*BT43)-1)+(BX43*BC43)^2*(EXP(CL43^2*BT43)-1)+2*BY43*BP43*BX43*BC43*(EXP(AS43*CJ43*CL43*BT43)-1))/(BY43*BP43+BX43*BC43)^2)/BT43),"")</f>
        <v>#VALUE!</v>
      </c>
      <c r="CN43" s="1588" t="e">
        <f aca="false">IF(BS43,SQRT(LN(1+((CE43*BR43)^2*(EXP(CK43^2*BT43)-1)+(CD43*BK43)^2*(EXP(CL43^2*BT43)-1)+2*CE43*BR43*CD43*BK43*(EXP(AS43*CK43*CL43*BT43)-1))/(CE43*BR43+CD43*BK43)^2)/BT43),"")</f>
        <v>#VALUE!</v>
      </c>
      <c r="CO43" s="1531" t="e">
        <f aca="false">IF(OR(BQ43,BS43),VLOOKUP(A43,GasTable,13)*HeatRatePeak*(1+VLOOKUP($B43,HeatRateDegradation,$C43+1))/1000,0)</f>
        <v>#VALUE!</v>
      </c>
      <c r="CP43" s="1316" t="e">
        <f aca="false">IF(OR(BQ43,BS43),VLOOKUP(A43,GasTable,13)*HeatRatePeak*(1+VLOOKUP($B43,HeatRateDegradation,$C43+1))/1000,0)</f>
        <v>#VALUE!</v>
      </c>
      <c r="CQ43" s="1316" t="e">
        <f aca="false">IF(OR(BQ43,BS43),VLOOKUP(A43,GasTable,13)*IF(EV43,HeatRatePeak,HeatRateOffPeak)*(1+VLOOKUP($B43,HeatRateDegradation,$C43+1))/1000,0)</f>
        <v>#VALUE!</v>
      </c>
      <c r="CR43" s="1316" t="e">
        <f aca="false">IF(OR(BQ43,BS43),VLOOKUP(A43,GasTable,13)*IF(EW43,HeatRatePeak,HeatRateOffPeak)*(1+VLOOKUP($B43,HeatRateDegradation,$C43+1))/1000,0)</f>
        <v>#VALUE!</v>
      </c>
      <c r="CS43" s="1589" t="e">
        <f aca="false">IF(BQ43,(CO43*AZ43+CP43*BA43+CQ43*BB43+CR43*BC43)/BQ43,0)</f>
        <v>#VALUE!</v>
      </c>
      <c r="CT43" s="1316" t="e">
        <f aca="false">IF(BS43,CO43,0)</f>
        <v>#VALUE!</v>
      </c>
      <c r="CU43" s="1590" t="e">
        <f aca="false">IF(OR(BQ43,BS43),VLOOKUP(A43,GasTable,14),"")</f>
        <v>#VALUE!</v>
      </c>
      <c r="CV43" s="1568" t="e">
        <f aca="false">IF(OR(BQ43,BS43),IF(CorrPowerGasOverFlag,INDEX(CorrPowerGasOver,C43),CorrPowerGas),"")</f>
        <v>#VALUE!</v>
      </c>
      <c r="CW43" s="1316" t="e">
        <f aca="false">IF(OR($BQ43,$BS43),SpreadOptPowerMargin,0)*((1+Assumptions!$C$26)^($B43-YEAR(Assumptions!$C$17)))</f>
        <v>#VALUE!</v>
      </c>
      <c r="CX43" s="1316" t="e">
        <f aca="false">IF(OR($BQ43,$BS43),SpreadOptPowerMargin,0)*((1+Assumptions!$C$26)^($B43-YEAR(Assumptions!$C$17)))</f>
        <v>#VALUE!</v>
      </c>
      <c r="CY43" s="1316" t="e">
        <f aca="false">IF(OR($BQ43,$BS43),SpreadOptPowerMargin,0)*((1+Assumptions!$C$26)^($B43-YEAR(Assumptions!$C$17)))</f>
        <v>#VALUE!</v>
      </c>
      <c r="CZ43" s="1316" t="e">
        <f aca="false">IF(OR($BQ43,$BS43),SpreadOptPowerMargin,0)*((1+Assumptions!$C$26)^($B43-YEAR(Assumptions!$C$17)))</f>
        <v>#VALUE!</v>
      </c>
      <c r="DA43" s="1591" t="e">
        <f aca="false">IF(OR(BQ43,BS43),(CW43*(AZ43+BH43)+CX43*(BA43+BI43)+CY43*(BB43+BJ43)+CZ43*(BC43+BK43))/(BQ43+BS43),0)</f>
        <v>#VALUE!</v>
      </c>
      <c r="DB43" s="1592" t="e">
        <f aca="false">IF(OR(BQ43,BS43),CG43+IF(OVolSmile,VLOOKUP(MAX(-5,CO43+CW43-BU43),IF(OVolSmile=1,VolSmileBook,VolSmileModel),2),0),"")</f>
        <v>#VALUE!</v>
      </c>
      <c r="DC43" s="1592" t="e">
        <f aca="false">IF(OR(BQ43,BS43),CH43+IF(OVolSmile,VLOOKUP(MAX(-5,CP43+CW43-BV43),IF(OVolSmile=1,VolSmileBook,VolSmileModel),2),0),"")</f>
        <v>#VALUE!</v>
      </c>
      <c r="DD43" s="1592" t="e">
        <f aca="false">IF(OR(BQ43,BS43),CI43+IF(OVolSmile,VLOOKUP(MAX(-5,CQ43+CW43-BW43),IF(OVolSmile=1,VolSmileBook,VolSmileModel),2),0),"")</f>
        <v>#VALUE!</v>
      </c>
      <c r="DE43" s="1592" t="e">
        <f aca="false">IF(OR(BQ43,BS43),CL43+IF(OVolSmile,VLOOKUP(MAX(-5,CR43+CZ43-BX43),IF(OVolSmile=1,VolSmileBook,VolSmileModel),2),0),"")</f>
        <v>#VALUE!</v>
      </c>
      <c r="DF43" s="1592" t="e">
        <f aca="false">IF(BQ43,CM43+IF(OVolSmile,VLOOKUP(MAX(-5,CS43+DA43-BZ43),IF(OVolSmile=1,VolSmileBook,VolSmileModel),2),0),"")</f>
        <v>#VALUE!</v>
      </c>
      <c r="DG43" s="1593" t="e">
        <f aca="false">IF(BS43,CN43+IF(OVolSmile,VLOOKUP(MAX(-5,CT43+DA43-CF43),IF(OVolSmile=1,VolSmileBook,VolSmileModel),2),0),"")</f>
        <v>#VALUE!</v>
      </c>
      <c r="DH43" s="1316" t="e">
        <f aca="false">IF(AND(BU43&gt;0,CO43&gt;0,DB43&gt;0,CU43&gt;0),newSPRDOPT(BU43,CO43,CW43,0,DB43,CU43,CV43,BT43*365.25,OCallPut,0),0)</f>
        <v>#VALUE!</v>
      </c>
      <c r="DI43" s="1316" t="e">
        <f aca="false">IF(AND(BV43&gt;0,CP43&gt;0,DC43&gt;0,CU43&gt;0),newSPRDOPT(BV43,CP43,CX43,0,DC43,CU43,CV43,BT43*365.25,OCallPut,0),0)</f>
        <v>#VALUE!</v>
      </c>
      <c r="DJ43" s="1316" t="e">
        <f aca="false">IF(AND(BW43&gt;0,CQ43&gt;0,DD43&gt;0,CU43&gt;0),newSPRDOPT(BW43,CQ43,CY43,0,DD43,CU43,CV43,BT43*365.25,OCallPut,0),0)</f>
        <v>#VALUE!</v>
      </c>
      <c r="DK43" s="1316" t="e">
        <f aca="false">IF(AND(BX43&gt;0,CR43&gt;0,DE43&gt;0,CU43&gt;0),newSPRDOPT(BX43,CR43,CZ43,0,DE43,CU43,CV43,BT43*365.25,OCallPut,0),0)</f>
        <v>#VALUE!</v>
      </c>
      <c r="DL43" s="1316" t="e">
        <f aca="false">IF(OVolType,IF(AND(BZ43&gt;0,CS43&gt;0,DF43&gt;0,CU43&gt;0),newSPRDOPT(BZ43,CS43,DA43,0,DF43,CU43,CV43,BT43*365.25,OCallPut,0),0),IF(BQ43,(DH43*AZ43+DI43*BA43+DJ43*BB43+DK43*BC43)/BQ43,0))</f>
        <v>#VALUE!</v>
      </c>
      <c r="DM43" s="1316"/>
      <c r="DN43" s="1316"/>
      <c r="DO43" s="1316"/>
      <c r="DP43" s="1316"/>
      <c r="DQ43" s="1316"/>
      <c r="DR43" s="1316"/>
      <c r="DS43" s="1316"/>
      <c r="DT43" s="1316"/>
      <c r="DU43" s="1316"/>
      <c r="DV43" s="1316"/>
      <c r="DW43" s="1594" t="e">
        <f aca="false">IF(AND(BW43&gt;0,CT43&gt;0,DD43&gt;0,CU43&gt;0),newSPRDOPT(BW43,CT43,CY43,0,DD43,CU43,CV43,BT43*365.25,OCallPut,0),0)</f>
        <v>#VALUE!</v>
      </c>
      <c r="DX43" s="1316" t="e">
        <f aca="false">IF(AND(BX43&gt;0,CT43&gt;0,DE43&gt;0,CU43&gt;0),newSPRDOPT(BX43,CT43,CZ43,0,DE43,CU43,CV43,BT43*365.25,OCallPut,0),0)</f>
        <v>#VALUE!</v>
      </c>
      <c r="DY43" s="1591" t="e">
        <f aca="false">IF(BS43,(DH43*BH43+DI43*BI43+DW43*BJ43+DX43*BK43)/BS43,0)</f>
        <v>#VALUE!</v>
      </c>
      <c r="DZ43" s="1551" t="e">
        <f aca="false">DH43*AZ43</f>
        <v>#VALUE!</v>
      </c>
      <c r="EA43" s="1551" t="e">
        <f aca="false">DI43*BA43</f>
        <v>#VALUE!</v>
      </c>
      <c r="EB43" s="1551" t="e">
        <f aca="false">DJ43*BB43</f>
        <v>#VALUE!</v>
      </c>
      <c r="EC43" s="1551" t="e">
        <f aca="false">DK43*BC43</f>
        <v>#VALUE!</v>
      </c>
      <c r="ED43" s="1551" t="e">
        <f aca="false">DL43*BQ43</f>
        <v>#VALUE!</v>
      </c>
      <c r="EE43" s="1595" t="e">
        <f aca="false">IF(BQ43,IF(OCallPut,IF(BU43&gt;(CO43+CW43),BU43-(CO43+CW43),0),IF((CO43+CW43)&gt;BU43,(CO43+CW43)-BU43,0))*AZ43,0)</f>
        <v>#VALUE!</v>
      </c>
      <c r="EF43" s="1596" t="e">
        <f aca="false">IF(BQ43,IF(OCallPut,IF(BV43&gt;(CP43+CX43),BV43-(CP43+CX43),0),IF((CP43+CX43)&gt;BV43,(CP43+CX43)-BV43,0))*BA43,0)</f>
        <v>#VALUE!</v>
      </c>
      <c r="EG43" s="1596" t="e">
        <f aca="false">IF(BQ43,IF(OCallPut,IF(BW43&gt;(CQ43+CY43),BW43-(CQ43+CY43),0),IF((CQ43+CY43)&gt;BW43,(CQ43+CY43)-BW43,0))*BB43,0)</f>
        <v>#VALUE!</v>
      </c>
      <c r="EH43" s="1596" t="e">
        <f aca="false">IF(BQ43,IF(OCallPut,IF(BX43&gt;(CR43+CZ43),BX43-(CR43+CZ43),0),IF((CR43+CZ43)&gt;BX43,(CR43+CZ43)-BX43,0))*BC43,0)</f>
        <v>#VALUE!</v>
      </c>
      <c r="EI43" s="1597" t="e">
        <f aca="false">IF(BQ43,IF(OVolType,IF(OCallPut,IF(BZ43&gt;(CS43+DA43),BZ43-(CS43+DA43),0),IF((CS43+DA43)&gt;BZ43,(CS43+DA43)-BZ43,0))*BQ43,SUM(EE43:EH43)),0)</f>
        <v>#VALUE!</v>
      </c>
      <c r="EJ43" s="1595" t="e">
        <f aca="false">DZ43-EE43</f>
        <v>#VALUE!</v>
      </c>
      <c r="EK43" s="1596" t="e">
        <f aca="false">EA43-EF43</f>
        <v>#VALUE!</v>
      </c>
      <c r="EL43" s="1596" t="e">
        <f aca="false">EB43-EG43</f>
        <v>#VALUE!</v>
      </c>
      <c r="EM43" s="1596" t="e">
        <f aca="false">EC43-EH43</f>
        <v>#VALUE!</v>
      </c>
      <c r="EN43" s="1597" t="e">
        <f aca="false">ED43-EI43</f>
        <v>#VALUE!</v>
      </c>
      <c r="EO43" s="1551" t="e">
        <f aca="false">DH43*BH43</f>
        <v>#VALUE!</v>
      </c>
      <c r="EP43" s="1551" t="e">
        <f aca="false">DI43*BI43</f>
        <v>#VALUE!</v>
      </c>
      <c r="EQ43" s="1551" t="e">
        <f aca="false">DW43*BJ43</f>
        <v>#VALUE!</v>
      </c>
      <c r="ER43" s="1551" t="e">
        <f aca="false">DX43*BK43</f>
        <v>#VALUE!</v>
      </c>
      <c r="ES43" s="1551" t="e">
        <f aca="false">DY43*BS43</f>
        <v>#VALUE!</v>
      </c>
      <c r="ET43" s="1566" t="e">
        <f aca="false">IF(EI43,IF(OCallPut,IF(CA43&gt;(CT43+CW43),CA43-(CT43+CW43),0),IF((CT43+CW43)&gt;CA43,(CT43+CW43)-CA43,0))*BH43,0)</f>
        <v>#VALUE!</v>
      </c>
      <c r="EU43" s="1551" t="e">
        <f aca="false">IF(EI43,IF(OCallPut,IF(CB43&gt;(CT43+CX43),CB43-(CT43+CX43),0),IF((CT43+CX43)&gt;CB43,(CT43+CX43)-CB43,0))*BI43,0)</f>
        <v>#VALUE!</v>
      </c>
      <c r="EV43" s="1551" t="e">
        <f aca="false">IF(EI43,IF(OCallPut,IF(CC43&gt;(CT43+CY43),CC43-(CT43+CY43),0),IF((CT43+CY43)&gt;CC43,(CT43+CY43)-CC43,0))*BJ43,0)</f>
        <v>#VALUE!</v>
      </c>
      <c r="EW43" s="1551" t="e">
        <f aca="false">IF(EI43,IF(OCallPut,IF(CD43&gt;(CT43+CZ43),CD43-(CT43+CZ43),0),IF((CT43+CZ43)&gt;CD43,(CT43+CZ43)-CD43,0))*BK43,0)</f>
        <v>#VALUE!</v>
      </c>
      <c r="EX43" s="1558" t="e">
        <f aca="false">IF(EI43,SUM(ET43:EW43),0)</f>
        <v>#VALUE!</v>
      </c>
      <c r="EY43" s="1551" t="e">
        <f aca="false">EO43-ET43</f>
        <v>#VALUE!</v>
      </c>
      <c r="EZ43" s="1551" t="e">
        <f aca="false">EP43-EU43</f>
        <v>#VALUE!</v>
      </c>
      <c r="FA43" s="1551" t="e">
        <f aca="false">EQ43-EV43</f>
        <v>#VALUE!</v>
      </c>
      <c r="FB43" s="1551" t="e">
        <f aca="false">ER43-EW43</f>
        <v>#VALUE!</v>
      </c>
      <c r="FC43" s="1551" t="e">
        <f aca="false">ES43-EX43</f>
        <v>#VALUE!</v>
      </c>
      <c r="FD43" s="1525" t="n">
        <f aca="false">IF(AX43,IF(VLOOKUP(C43,MAIN!$L$17:$M$28,2)="Yes",VLOOKUP(CALC!B43,MAIN!$H$17:$I$20,2),0),0)</f>
        <v>0</v>
      </c>
      <c r="FE43" s="1552" t="n">
        <f aca="false">$FD43*16*AT43*(1-$AY43)</f>
        <v>0</v>
      </c>
      <c r="FF43" s="1553" t="n">
        <f aca="false">$FD43*16*AU43*(1-$AY43)</f>
        <v>0</v>
      </c>
      <c r="FG43" s="1553" t="n">
        <f aca="false">$FD43*16*(AV43+AW43)*(1-$AY43)</f>
        <v>0</v>
      </c>
      <c r="FH43" s="1554" t="n">
        <f aca="false">$FD43*8*AX43*(1-$AY43)</f>
        <v>0</v>
      </c>
      <c r="FI43" s="1555" t="n">
        <f aca="false">IF(AX43,VLOOKUP(CALC!B43,MAIN!$H$17:$K$20,4),0)</f>
        <v>0</v>
      </c>
      <c r="FJ43" s="1553" t="n">
        <f aca="false">SUM(FE43:FH43)</f>
        <v>0</v>
      </c>
      <c r="FK43" s="1556" t="n">
        <f aca="false">FI43*FJ43</f>
        <v>0</v>
      </c>
      <c r="FL43" s="1551" t="e">
        <f aca="false">IF($EI43&gt;0,MIN(FE43,AZ43*(1+VLOOKUP($C43,WeatherCapacityAdjustment,2))),0)</f>
        <v>#VALUE!</v>
      </c>
      <c r="FM43" s="1551" t="e">
        <f aca="false">IF($EI43&gt;0,MIN(FF43,BA43*(1+VLOOKUP($C43,WeatherCapacityAdjustment,2))),0)</f>
        <v>#VALUE!</v>
      </c>
      <c r="FN43" s="1551" t="e">
        <f aca="false">IF($EI43&gt;0,MIN(FG43,BB43*(1+VLOOKUP($C43,WeatherCapacityAdjustment,2))),0)</f>
        <v>#VALUE!</v>
      </c>
      <c r="FO43" s="1564" t="e">
        <f aca="false">IF($EI43&gt;0,MIN(FH43,BC43*(1+VLOOKUP($C43,WeatherCapacityAdjustment,3))),0)</f>
        <v>#VALUE!</v>
      </c>
      <c r="FP43" s="1551" t="e">
        <f aca="false">IF(ET43&gt;0,MIN(FE43-FL43,BH43*(1+VLOOKUP($C43,WeatherCapacityAdjustment,2))),0)</f>
        <v>#VALUE!</v>
      </c>
      <c r="FQ43" s="1551" t="e">
        <f aca="false">IF(EU43&gt;0,MIN(FF43-FM43,BI43*(1+VLOOKUP($C43,WeatherCapacityAdjustment,2))),0)</f>
        <v>#VALUE!</v>
      </c>
      <c r="FR43" s="1551" t="e">
        <f aca="false">IF(EV43&gt;0,MIN(FG43-FN43,BJ43*(1+VLOOKUP($C43,WeatherCapacityAdjustment,2))),0)</f>
        <v>#VALUE!</v>
      </c>
      <c r="FS43" s="1558" t="e">
        <f aca="false">IF(EW43&gt;0,MIN(FH43-FO43,BK43*(1+VLOOKUP($C43,WeatherCapacityAdjustment,3))),0)</f>
        <v>#VALUE!</v>
      </c>
      <c r="FT43" s="1566" t="n">
        <f aca="false">IF(AND(Assumptions!$H$71="Yes",A43&gt;=Assumptions!$H$72,A43&lt;=Assumptions!$H$73),0,IF(AND($A43&gt;=Assumptions!$C$17,$A43&lt;=Assumptions!$C$18),MAX(AZ43*(1+VLOOKUP($C43,WeatherCapacityAdjustment,2))-FL43,0),0))</f>
        <v>0</v>
      </c>
      <c r="FU43" s="1551" t="n">
        <f aca="false">IF(AND(Assumptions!$H$71="Yes",A43&gt;=Assumptions!$H$72,A43&lt;=Assumptions!$H$73),0,IF(AND($A43&gt;=Assumptions!$C$17,$A43&lt;=Assumptions!$C$18),MAX(BA43*(1+VLOOKUP($C43,WeatherCapacityAdjustment,2))-FM43,0),0))</f>
        <v>0</v>
      </c>
      <c r="FV43" s="1551" t="n">
        <f aca="false">IF(AND(Assumptions!$H$71="Yes",A43&gt;=Assumptions!$H$72,A43&lt;=Assumptions!$H$73),0,IF(AND($A43&gt;=Assumptions!$C$17,$A43&lt;=Assumptions!$C$18),MAX(BB43*(1+VLOOKUP($C43,WeatherCapacityAdjustment,2))-FN43,0),0))</f>
        <v>0</v>
      </c>
      <c r="FW43" s="1564" t="n">
        <f aca="false">IF(AND(Assumptions!$H$71="Yes",A43&gt;=Assumptions!$H$72,A43&lt;=Assumptions!$H$73),0,IF(AND($A43&gt;=Assumptions!$C$17,$A43&lt;=Assumptions!$C$18),MAX(BC43*(1+VLOOKUP($C43,WeatherCapacityAdjustment,3))-FO43,0),0))</f>
        <v>0</v>
      </c>
      <c r="FX43" s="1569" t="e">
        <f aca="false">IF(AND(Assumptions!$H$71="Yes",A43&gt;=Assumptions!$H$72,A43&lt;=Assumptions!$H$73),0,IF(ET43&gt;0,MAX(BH43*(1+VLOOKUP($C43,WeatherCapacityAdjustment,2))-FP43,0),0))</f>
        <v>#VALUE!</v>
      </c>
      <c r="FY43" s="1551" t="e">
        <f aca="false">IF(AND(Assumptions!$H$71="Yes",A43&gt;=Assumptions!$H$72,A43&lt;=Assumptions!$H$73),0,IF(EU43&gt;0,MAX(BI43*(1+VLOOKUP($C43,WeatherCapacityAdjustment,3))-FQ43,0),0))</f>
        <v>#VALUE!</v>
      </c>
      <c r="FZ43" s="1551" t="e">
        <f aca="false">IF(AND(Assumptions!$H$71="Yes",A43&gt;=Assumptions!$H$72,A43&lt;=Assumptions!$H$73),0,IF(EV43&gt;0,MAX(BJ43*(1+VLOOKUP($C43,WeatherCapacityAdjustment,2))-FR43,0),0))</f>
        <v>#VALUE!</v>
      </c>
      <c r="GA43" s="1564" t="e">
        <f aca="false">IF(AND(Assumptions!$H$71="Yes",A43&gt;=Assumptions!$H$72,A43&lt;=Assumptions!$H$73),0,IF(EW43&gt;0,MAX(BK43*(1+VLOOKUP($C43,WeatherCapacityAdjustment,2))-FS43,0),0))</f>
        <v>#VALUE!</v>
      </c>
      <c r="GB43" s="1551" t="e">
        <f aca="false">SUM(FT43:GA43)</f>
        <v>#VALUE!</v>
      </c>
      <c r="GC43" s="1563" t="e">
        <f aca="false">+IF(SUM(FT43:GA43)=0,0,(SUMPRODUCT(BU43:BX43,FT43:FW43)+SUMPRODUCT(CA43:CD43,FX43:GA43))/SUM(FT43:GA43))</f>
        <v>#VALUE!</v>
      </c>
      <c r="GD43" s="1551" t="e">
        <f aca="false">(FT43*BU43+FX43*CA43+FU43*BV43+FY43*CB43+FV43*BW43+FZ43*CC43+FW43*BX43+GA43*CD43)</f>
        <v>#VALUE!</v>
      </c>
      <c r="GE43" s="1561" t="e">
        <f aca="false">+IF(BQ43,((FL43+FM43+FT43+FU43)*HeatRatePeak/1000*(1+VLOOKUP($C43,WeatherHeatRateAdjustment,2))+(FN43+FV43)*IF(EV43&gt;0,HeatRatePeak,HeatRateOffPeak)/1000*(1+VLOOKUP($C43,WeatherHeatRateAdjustment,2))+(FO43+FW43)*IF(EW43&gt;0,HeatRatePeak,HeatRateOffPeak)/1000*(1+VLOOKUP($C43,WeatherHeatRateAdjustment,3)))*(1+VLOOKUP($B43,HeatRateDegradation,$C43+1)),0)</f>
        <v>#VALUE!</v>
      </c>
      <c r="GF43" s="1562" t="e">
        <f aca="false">IF(BQ43,((FP43+FQ43+FR43+FX43+FY43+FZ43)*HeatRatePeak/1000*(1+VLOOKUP($C43,WeatherHeatRateAdjustment,2))+(FS43+GA43)*HeatRatePeak/1000*(1+VLOOKUP($C43,WeatherHeatRateAdjustment,3)))*(1+VLOOKUP($B43,HeatRateDegradation,$C43+1)),0)</f>
        <v>#VALUE!</v>
      </c>
      <c r="GG43" s="1563" t="e">
        <f aca="false">IF(BQ43,VLOOKUP(A43,GasTable,13),0)</f>
        <v>#VALUE!</v>
      </c>
      <c r="GH43" s="1564" t="e">
        <f aca="false">(GE43+GF43)*GG43</f>
        <v>#VALUE!</v>
      </c>
      <c r="GI43" s="1569" t="e">
        <f aca="false">GB43</f>
        <v>#VALUE!</v>
      </c>
      <c r="GJ43" s="1598" t="e">
        <f aca="false">+DA43</f>
        <v>#VALUE!</v>
      </c>
      <c r="GK43" s="1558" t="e">
        <f aca="false">+GI43*GJ43</f>
        <v>#VALUE!</v>
      </c>
      <c r="GL43" s="1566" t="e">
        <f aca="false">MAX(FE43-FL43-FP43,0)</f>
        <v>#VALUE!</v>
      </c>
      <c r="GM43" s="1551" t="e">
        <f aca="false">MAX(FF43-FM43-FQ43,0)</f>
        <v>#VALUE!</v>
      </c>
      <c r="GN43" s="1551" t="e">
        <f aca="false">MAX(FG43-FN43-FR43,0)</f>
        <v>#VALUE!</v>
      </c>
      <c r="GO43" s="1564" t="e">
        <f aca="false">MAX(FH43-FO43-FS43,0)</f>
        <v>#VALUE!</v>
      </c>
      <c r="GP43" s="1551" t="e">
        <f aca="false">SUM(GL43:GO43)</f>
        <v>#VALUE!</v>
      </c>
      <c r="GQ43" s="1563" t="e">
        <f aca="false">IF(SUM(GL43:GO43)=0,0,((GL43*BU43+GM43*BV43+GN43*BW43+GO43*BX43)/SUM(GL43:GO43)))</f>
        <v>#VALUE!</v>
      </c>
      <c r="GR43" s="1558" t="e">
        <f aca="false">(GL43*BU43+GM43*BV43+GN43*BW43+GO43*BX43)</f>
        <v>#VALUE!</v>
      </c>
      <c r="GS43" s="1566" t="n">
        <f aca="false">IF($A43&gt;=BegDate,Assumptions!$C$56*24*($A44-$A43)*(1-VLOOKUP($B43,MAIN!$AA$7:$AM$28,$C43+1))*(1-VLOOKUP($B43,MAIN!$AA$33:$AM$54,$C43+1)),0)*80/168</f>
        <v>0</v>
      </c>
      <c r="GT43" s="286" t="n">
        <f aca="false">J43</f>
        <v>37.55552688</v>
      </c>
      <c r="GU43" s="286" t="n">
        <f aca="false">IF($A43&gt;=BegDate,VLOOKUP($A43,GasTable,13)+Assumptions!$C$58,0)</f>
        <v>0</v>
      </c>
      <c r="GV43" s="286" t="n">
        <f aca="false">GU43*Assumptions!$C$57/1000</f>
        <v>0</v>
      </c>
      <c r="GW43" s="1558" t="n">
        <f aca="false">IF(Assumptions!$C$60="Hourly",MAX(0,GS43*(GT43-GV43)),GS43*(GT43-GV43))</f>
        <v>0</v>
      </c>
      <c r="GX43" s="1566" t="n">
        <f aca="false">IF($A43&gt;=BegDate,Assumptions!$C$56*24*($A44-$A43)*(1-VLOOKUP($B43,MAIN!$AA$7:$AM$28,$C43+1))*(1-VLOOKUP($B43,MAIN!$AA$33:$AM$54,$C43+1)),0)*16/168</f>
        <v>0</v>
      </c>
      <c r="GY43" s="286" t="n">
        <f aca="false">M43</f>
        <v>37.55552688</v>
      </c>
      <c r="GZ43" s="286" t="n">
        <f aca="false">IF($A43&gt;=BegDate,VLOOKUP($A43,GasTable,13)+Assumptions!$C$58,0)</f>
        <v>0</v>
      </c>
      <c r="HA43" s="286" t="n">
        <f aca="false">GZ43*Assumptions!$C$57/1000</f>
        <v>0</v>
      </c>
      <c r="HB43" s="1558" t="n">
        <f aca="false">IF(Assumptions!$C$60="Hourly",MAX(0,GX43*(GY43-HA43)),GX43*(GY43-HA43))</f>
        <v>0</v>
      </c>
      <c r="HC43" s="1566" t="n">
        <f aca="false">IF($A43&gt;=BegDate,Assumptions!$C$56*24*($A44-$A43)*(1-VLOOKUP($B43,MAIN!$AA$7:$AM$28,$C43+1))*(1-VLOOKUP($B43,MAIN!$AA$33:$AM$54,$C43+1)),0)*16/168</f>
        <v>0</v>
      </c>
      <c r="HD43" s="286" t="n">
        <f aca="false">P43</f>
        <v>19.2198294</v>
      </c>
      <c r="HE43" s="286" t="n">
        <f aca="false">IF($A43&gt;=BegDate,VLOOKUP($A43,GasTable,13)+Assumptions!$C$58,0)</f>
        <v>0</v>
      </c>
      <c r="HF43" s="286" t="n">
        <f aca="false">HE43*Assumptions!$C$57/1000</f>
        <v>0</v>
      </c>
      <c r="HG43" s="1558" t="n">
        <f aca="false">IF(Assumptions!$C$60="Hourly",MAX(0,HC43*(HD43-HF43)),HC43*(HD43-HF43))</f>
        <v>0</v>
      </c>
      <c r="HH43" s="1566" t="n">
        <f aca="false">IF($A43&gt;=BegDate,Assumptions!$C$56*24*($A44-$A43)*(1-VLOOKUP($B43,MAIN!$AA$7:$AM$28,$C43+1))*(1-VLOOKUP($B43,MAIN!$AA$33:$AM$54,$C43+1)),0)*56/168</f>
        <v>0</v>
      </c>
      <c r="HI43" s="286" t="n">
        <f aca="false">S43</f>
        <v>19.2198294</v>
      </c>
      <c r="HJ43" s="286" t="n">
        <f aca="false">IF($A43&gt;=BegDate,VLOOKUP($A43,GasTable,13)+Assumptions!$C$58,0)</f>
        <v>0</v>
      </c>
      <c r="HK43" s="286" t="n">
        <f aca="false">HJ43*Assumptions!$C$57/1000</f>
        <v>0</v>
      </c>
      <c r="HL43" s="1558" t="n">
        <f aca="false">IF(Assumptions!$C$60="Hourly",MAX(0,HH43*(HI43-HK43)),HH43*(HI43-HK43))</f>
        <v>0</v>
      </c>
      <c r="HM43" s="1566" t="n">
        <f aca="false">IF(AND(Assumptions!$H$71="Yes",A43&gt;=Assumptions!$H$72,A43&lt;=Assumptions!$H$73),Assumptions!$H$74*Assumptions!$C$9*1000,0)</f>
        <v>0</v>
      </c>
      <c r="HN43" s="1551"/>
      <c r="HO43" s="1563"/>
      <c r="HP43" s="1563"/>
      <c r="HQ43" s="1563"/>
      <c r="HR43" s="1563"/>
      <c r="HS43" s="1563"/>
      <c r="HT43" s="1563"/>
      <c r="HU43" s="1563"/>
      <c r="HV43" s="1563"/>
      <c r="HW43" s="1563"/>
      <c r="HX43" s="1563"/>
      <c r="HY43" s="1563"/>
      <c r="HZ43" s="1563"/>
      <c r="IA43" s="1563"/>
      <c r="IB43" s="1563"/>
      <c r="IC43" s="1563"/>
      <c r="ID43" s="1563"/>
      <c r="IE43" s="1563"/>
      <c r="IF43" s="1563"/>
      <c r="IG43" s="1563"/>
      <c r="IH43" s="1563"/>
      <c r="II43" s="1610"/>
      <c r="IJ43" s="1309"/>
      <c r="IK43" s="1309"/>
    </row>
    <row r="44" customFormat="false" ht="12.75" hidden="false" customHeight="false" outlineLevel="0" collapsed="false">
      <c r="A44" s="1571" t="n">
        <f aca="false">EOMONTH(A43,0)+1</f>
        <v>37469</v>
      </c>
      <c r="B44" s="594" t="n">
        <f aca="false">+YEAR(A44)</f>
        <v>2002</v>
      </c>
      <c r="C44" s="238" t="n">
        <f aca="false">MONTH(A44)</f>
        <v>8</v>
      </c>
      <c r="D44" s="1572" t="str">
        <f aca="false">IF(E44="","",Holiday(B44,C44))</f>
        <v/>
      </c>
      <c r="E44" s="1573" t="str">
        <f aca="false">IF(OR(BegDate&gt;=A45,EndDate&lt;A44,AND(VolumeMonthlyOverFlag,INDEX(VolumeMonthlyOver,C44)=0),NOT(INDEX(MonthKnockOutTable,C44))),"",MAX(A44,BegDate))</f>
        <v/>
      </c>
      <c r="F44" s="1574" t="str">
        <f aca="false">IF(E44="","",MIN(A45-1,EndDate))</f>
        <v/>
      </c>
      <c r="G44" s="1575" t="n">
        <v>0</v>
      </c>
      <c r="H44" s="1576" t="n">
        <f aca="false">(1+G44/2)^(-2*(DATE(B45,C45,20)-DateToday)/365.25)</f>
        <v>1</v>
      </c>
      <c r="I44" s="1568" t="n">
        <f aca="false">IF(Assumptions!$L$25=4,VLOOKUP($A44,'Henwood Reference'!$E$9:$R$320,10),(VLOOKUP($A44,PriceTable,2,0)+IF(BasisNumber&lt;&gt;1,VLOOKUP($A44,BasisTable,2,0),0)+I$1)/(1-I$2))</f>
        <v>53.9515026</v>
      </c>
      <c r="J44" s="1568" t="n">
        <f aca="false">IF(Assumptions!$L$25=4,VLOOKUP($A44,'Henwood Reference'!$E$9:$R$320,10),(VLOOKUP($A44,PriceTable,3,0)+IF(BasisNumber&lt;&gt;1,VLOOKUP($A44,BasisTable,2,0),0)+J$1)/(1-J$2))</f>
        <v>53.9515026</v>
      </c>
      <c r="K44" s="1568" t="n">
        <f aca="false">IF(Assumptions!$L$25=4,VLOOKUP($A44,'Henwood Reference'!$E$9:$R$320,10),(VLOOKUP($A44,PriceTable,4,0)+IF(BasisNumber&lt;&gt;1,VLOOKUP($A44,BasisTable,2,0),0)+K$1)/(1-K$2))</f>
        <v>53.9515026</v>
      </c>
      <c r="L44" s="1523" t="n">
        <f aca="false">IF(Assumptions!$L$25=4,VLOOKUP($A44,'Henwood Reference'!$E$9:$R$320,10),(VLOOKUP($A44,PriceTableWeekend,2,0)+IF(BasisNumber&lt;&gt;1,VLOOKUP($A44,BasisTable,2,0),0)+L$1)/(1-L$2))</f>
        <v>53.9515026</v>
      </c>
      <c r="M44" s="1568" t="n">
        <f aca="false">IF(Assumptions!$L$25=4,VLOOKUP($A44,'Henwood Reference'!$E$9:$R$320,10),(VLOOKUP($A44,PriceTableWeekend,3,0)+IF(BasisNumber&lt;&gt;1,VLOOKUP($A44,BasisTable,2,0),0)+M$1)/(1-M$2))</f>
        <v>53.9515026</v>
      </c>
      <c r="N44" s="1599" t="n">
        <f aca="false">IF(Assumptions!$L$25=4,VLOOKUP($A44,'Henwood Reference'!$E$9:$R$320,10),(VLOOKUP($A44,PriceTableWeekend,4,0)+IF(BasisNumber&lt;&gt;1,VLOOKUP($A44,BasisTable,2,0),0)+N$1)/(1-N$2))</f>
        <v>53.9515026</v>
      </c>
      <c r="O44" s="1568" t="n">
        <f aca="false">IF(Assumptions!$L$25=4,VLOOKUP($A44,'Henwood Reference'!$E$9:$R$320,11),(VLOOKUP($A44,PriceTableWeekend,6,0)+IF(BasisNumber&lt;&gt;1,VLOOKUP($A44,BasisTable,3,0),0)+O$1)/(1-O$2))</f>
        <v>25.99449804</v>
      </c>
      <c r="P44" s="1568" t="n">
        <f aca="false">IF(Assumptions!$L$25=4,VLOOKUP($A44,'Henwood Reference'!$E$9:$R$320,11),(VLOOKUP($A44,PriceTableWeekend,7,0)+IF(BasisNumber&lt;&gt;1,VLOOKUP($A44,BasisTable,3,0),0)+P$1)/(1-P$2))</f>
        <v>25.99449804</v>
      </c>
      <c r="Q44" s="1599" t="n">
        <f aca="false">IF(Assumptions!$L$25=4,VLOOKUP($A44,'Henwood Reference'!$E$9:$R$320,11),(VLOOKUP($A44,PriceTableWeekend,8,0)+IF(BasisNumber&lt;&gt;1,VLOOKUP($A44,BasisTable,3,0),0)+Q$1)/(1-Q$2))</f>
        <v>25.99449804</v>
      </c>
      <c r="R44" s="1568" t="n">
        <f aca="false">IF(Assumptions!$L$25=4,VLOOKUP($A44,'Henwood Reference'!$E$9:$R$320,11),(VLOOKUP($A44,PriceTable,6,0)+IF(BasisNumber&lt;&gt;1,VLOOKUP($A44,BasisTable,3,0),0)+R$1)/(1-R$2))</f>
        <v>25.99449804</v>
      </c>
      <c r="S44" s="1568" t="n">
        <f aca="false">IF(Assumptions!$L$25=4,VLOOKUP($A44,'Henwood Reference'!$E$9:$R$320,11),(VLOOKUP($A44,PriceTable,7,0)+IF(BasisNumber&lt;&gt;1,VLOOKUP($A44,BasisTable,3,0),0)+S$1)/(1-S$2))</f>
        <v>25.99449804</v>
      </c>
      <c r="T44" s="1600" t="n">
        <f aca="false">IF(Assumptions!$L$25=4,VLOOKUP($A44,'Henwood Reference'!$E$9:$R$320,11),(VLOOKUP($A44,PriceTable,8,0)+IF(BasisNumber&lt;&gt;1,VLOOKUP($A44,BasisTable,3,0),0)+T$1)/(1-T$2))</f>
        <v>25.99449804</v>
      </c>
      <c r="U44" s="1513" t="n">
        <f aca="false">VLOOKUP($A44,VolatilityTable,14)</f>
        <v>0.16</v>
      </c>
      <c r="V44" s="1513" t="n">
        <f aca="false">VLOOKUP($A44,VolatilityTable,15)</f>
        <v>0.17</v>
      </c>
      <c r="W44" s="1514" t="n">
        <f aca="false">VLOOKUP($A44,VolatilityTable,16)</f>
        <v>0.18</v>
      </c>
      <c r="X44" s="1513" t="n">
        <f aca="false">VLOOKUP($A44,VolatilityTable,14)</f>
        <v>0.16</v>
      </c>
      <c r="Y44" s="1513" t="n">
        <f aca="false">VLOOKUP($A44,VolatilityTable,15)</f>
        <v>0.17</v>
      </c>
      <c r="Z44" s="1514" t="n">
        <f aca="false">VLOOKUP($A44,VolatilityTable,16)</f>
        <v>0.18</v>
      </c>
      <c r="AA44" s="1513" t="n">
        <f aca="false">VLOOKUP($A44,VolatilityTable,18)</f>
        <v>0.09</v>
      </c>
      <c r="AB44" s="1513" t="n">
        <f aca="false">VLOOKUP($A44,VolatilityTable,19)</f>
        <v>0.11</v>
      </c>
      <c r="AC44" s="1514" t="n">
        <f aca="false">VLOOKUP($A44,VolatilityTable,20)</f>
        <v>0.13</v>
      </c>
      <c r="AD44" s="1513" t="n">
        <f aca="false">VLOOKUP($A44,VolatilityTable,18)</f>
        <v>0.09</v>
      </c>
      <c r="AE44" s="1513" t="n">
        <f aca="false">VLOOKUP($A44,VolatilityTable,19)</f>
        <v>0.11</v>
      </c>
      <c r="AF44" s="1514" t="n">
        <f aca="false">VLOOKUP($A44,VolatilityTable,20)</f>
        <v>0.13</v>
      </c>
      <c r="AG44" s="1513" t="n">
        <f aca="false">VLOOKUP($A44,VolatilityTable,22)</f>
        <v>-0.35</v>
      </c>
      <c r="AH44" s="1513" t="n">
        <f aca="false">VLOOKUP($A44,VolatilityTable,23)</f>
        <v>3</v>
      </c>
      <c r="AI44" s="1514" t="n">
        <f aca="false">VLOOKUP($A44,VolatilityTable,24)</f>
        <v>0.35</v>
      </c>
      <c r="AJ44" s="1513" t="n">
        <f aca="false">VLOOKUP($A44,VolatilityTable,22)</f>
        <v>-0.35</v>
      </c>
      <c r="AK44" s="1513" t="n">
        <f aca="false">VLOOKUP($A44,VolatilityTable,23)</f>
        <v>3</v>
      </c>
      <c r="AL44" s="1514" t="n">
        <f aca="false">VLOOKUP($A44,VolatilityTable,24)</f>
        <v>0.35</v>
      </c>
      <c r="AM44" s="1513" t="n">
        <f aca="false">VLOOKUP($A44,VolatilityTable,26)</f>
        <v>-0.01</v>
      </c>
      <c r="AN44" s="1513" t="n">
        <f aca="false">VLOOKUP($A44,VolatilityTable,27)</f>
        <v>0.16</v>
      </c>
      <c r="AO44" s="1514" t="n">
        <f aca="false">VLOOKUP($A44,VolatilityTable,28)</f>
        <v>0.01</v>
      </c>
      <c r="AP44" s="1513" t="n">
        <f aca="false">VLOOKUP($A44,VolatilityTable,26)</f>
        <v>-0.01</v>
      </c>
      <c r="AQ44" s="1513" t="n">
        <f aca="false">VLOOKUP($A44,VolatilityTable,27)</f>
        <v>0.16</v>
      </c>
      <c r="AR44" s="1515" t="n">
        <f aca="false">VLOOKUP($A44,VolatilityTable,28)</f>
        <v>0.01</v>
      </c>
      <c r="AS44" s="1581" t="n">
        <f aca="false">IF(CorrPeakOffPeakOverFlag,INDEX(CorrPeakOffPeakOver,C44),CorrPeakOffPeak)</f>
        <v>0.5</v>
      </c>
      <c r="AT44" s="594" t="n">
        <f aca="false">AX44-SUM(AU44:AW44)</f>
        <v>0</v>
      </c>
      <c r="AU44" s="238" t="n">
        <f aca="false">IF(E44="",0,INT((F44-MOD(F44,7)-E44)/7)+1-IF(AW44,IF(WEEKDAY(D44)=7,1,0),0))</f>
        <v>0</v>
      </c>
      <c r="AV44" s="238" t="n">
        <f aca="false">IF(E44="",0,INT((F44-MOD(F44-1,7)-E44)/7)+1-IF(AW44,IF(WEEKDAY(D44)=1,1,0),0))</f>
        <v>0</v>
      </c>
      <c r="AW44" s="238" t="n">
        <f aca="false">IF(OR(E44="",D44="",D44&lt;BegDate,D44&gt;EndDate),0,1)</f>
        <v>0</v>
      </c>
      <c r="AX44" s="238" t="n">
        <f aca="false">IF(E44="",0,F44-E44+1)</f>
        <v>0</v>
      </c>
      <c r="AY44" s="1582" t="n">
        <f aca="false">IF(E44="",0,MIN((1-(1-VLOOKUP(B44,MAIN!$AA$7:$AM$28,C44+1))*(1-VLOOKUP(B44,MAIN!$AA$33:$AM$54,C44+1))),1))</f>
        <v>0</v>
      </c>
      <c r="AZ44" s="1519" t="e">
        <v>#VALUE!</v>
      </c>
      <c r="BA44" s="1520" t="e">
        <v>#VALUE!</v>
      </c>
      <c r="BB44" s="1520" t="e">
        <v>#VALUE!</v>
      </c>
      <c r="BC44" s="1583" t="e">
        <v>#VALUE!</v>
      </c>
      <c r="BD44" s="1522" t="e">
        <v>#VALUE!</v>
      </c>
      <c r="BE44" s="1523" t="e">
        <v>#VALUE!</v>
      </c>
      <c r="BF44" s="1523" t="e">
        <v>#VALUE!</v>
      </c>
      <c r="BG44" s="1584" t="e">
        <v>#VALUE!</v>
      </c>
      <c r="BH44" s="1525" t="e">
        <v>#VALUE!</v>
      </c>
      <c r="BI44" s="1520" t="e">
        <v>#VALUE!</v>
      </c>
      <c r="BJ44" s="1520" t="e">
        <v>#VALUE!</v>
      </c>
      <c r="BK44" s="1583" t="e">
        <v>#VALUE!</v>
      </c>
      <c r="BL44" s="1522" t="e">
        <v>#VALUE!</v>
      </c>
      <c r="BM44" s="1523" t="e">
        <v>#VALUE!</v>
      </c>
      <c r="BN44" s="1523" t="e">
        <v>#VALUE!</v>
      </c>
      <c r="BO44" s="1523" t="e">
        <v>#VALUE!</v>
      </c>
      <c r="BP44" s="1525" t="e">
        <f aca="false">SUM(AZ44:BB44)</f>
        <v>#VALUE!</v>
      </c>
      <c r="BQ44" s="1529" t="e">
        <f aca="false">SUM(AZ44:BC44)</f>
        <v>#VALUE!</v>
      </c>
      <c r="BR44" s="1519" t="e">
        <f aca="false">SUM(BH44:BJ44)</f>
        <v>#VALUE!</v>
      </c>
      <c r="BS44" s="1529" t="e">
        <f aca="false">SUM(BH44:BK44)</f>
        <v>#VALUE!</v>
      </c>
      <c r="BT44" s="1316" t="n">
        <f aca="false">(IF(OVolType&lt;&gt;2,A44+14,IF(OptExpDateShift,ShiftBack(A44,OptExpDateShift,D43),A44))-DateToday)/365.25</f>
        <v>2.29705681040383</v>
      </c>
      <c r="BU44" s="1585" t="e">
        <f aca="false">IF(BQ44,IF(OPriceCurve,IF(OBuySell=OCallPut,I44/(1-AY44),K44/(1-AY44)),J44/(1-AY44))*BD44,0)</f>
        <v>#VALUE!</v>
      </c>
      <c r="BV44" s="1316" t="e">
        <f aca="false">IF(BQ44,IF(OPriceCurve,IF(OBuySell=OCallPut,L44/(1-AY44),N44/(1-AY44)),M44/(1-AY44))*BE44,0)</f>
        <v>#VALUE!</v>
      </c>
      <c r="BW44" s="1316" t="e">
        <f aca="false">IF(BQ44,IF(OPriceCurve,IF(OBuySell=OCallPut,O44/(1-AY44),Q44/(1-AY44)),P44/(1-AY44))*BF44,0)</f>
        <v>#VALUE!</v>
      </c>
      <c r="BX44" s="1316" t="e">
        <f aca="false">IF(BQ44,IF(OPriceCurve,IF(OBuySell=OCallPut,R44/(1-AY44),T44/(1-AY44)),S44/(1-AY44))*BG44,0)</f>
        <v>#VALUE!</v>
      </c>
      <c r="BY44" s="1316" t="e">
        <f aca="false">IF(BP44,(BU44*AZ44+BV44*BA44+BW44*BB44)/BP44,0)</f>
        <v>#VALUE!</v>
      </c>
      <c r="BZ44" s="1316" t="e">
        <f aca="false">IF(BQ44,(BY44*BP44+BX44*BC44)/BQ44,0)</f>
        <v>#VALUE!</v>
      </c>
      <c r="CA44" s="1531" t="e">
        <f aca="false">IF(BS44,IF(OPriceCurve,IF(OBuySell=OCallPut,I44/(1-AY44),K44/(1-AY44)),J44/(1-AY44))*BL44,0)</f>
        <v>#VALUE!</v>
      </c>
      <c r="CB44" s="1316" t="e">
        <f aca="false">IF(BS44,IF(OPriceCurve,IF(OBuySell=OCallPut,L44/(1-AY44),N44/(1-AY44)),M44/(1-AY44))*BM44,0)</f>
        <v>#VALUE!</v>
      </c>
      <c r="CC44" s="1316" t="e">
        <f aca="false">IF(BS44,IF(OPriceCurve,IF(OBuySell=OCallPut,O44/(1-AY44),Q44/(1-AY44)),P44/(1-AY44))*BN44,0)</f>
        <v>#VALUE!</v>
      </c>
      <c r="CD44" s="1316" t="e">
        <f aca="false">IF(BS44,IF(OPriceCurve,IF(OBuySell=OCallPut,R44/(1-AY44),T44/(1-AY44)),S44/(1-AY44))*BO44,0)</f>
        <v>#VALUE!</v>
      </c>
      <c r="CE44" s="1316" t="e">
        <f aca="false">IF(BR44,(BU44*BH44+BV44*BI44+BW44*BJ44)/BR44,0)</f>
        <v>#VALUE!</v>
      </c>
      <c r="CF44" s="1532" t="e">
        <f aca="false">IF(BS44,(CE44*BR44+CD44*BK44)/BS44,0)</f>
        <v>#VALUE!</v>
      </c>
      <c r="CG44" s="1586" t="e">
        <f aca="false">IF(OR(BQ44,BS44),IF(OVolType&lt;&gt;2,SQRT(IF(OVolOverMonthlyPeak,OVolOverMonthlyPeak,IF(OVolCurve,IF(OBuySell,U44,W44),V44))^2*(1-15/365.25/BT44)+IF(OVolOverDailyPeak,OVolOverDailyPeak,IF(OVolCurve,IF(OBuySell,AG44,AI44),AH44))^2*15/365.25/BT44),IF(OVolOverMonthlyPeak,OVolOverMonthlyPeak,IF(OVolCurve,IF(OBuySell,U44,W44),V44))),"")</f>
        <v>#VALUE!</v>
      </c>
      <c r="CH44" s="1587" t="e">
        <f aca="false">IF(OR(BQ44,BS44),IF(OVolType&lt;&gt;2,SQRT(IF(OVolOverMonthlyPeak,OVolOverMonthlyPeak,IF(OVolCurve,IF(OBuySell,X44,Z44),Y44))^2*(1-15/365.25/BT44)+IF(OVolOverDailyPeak,OVolOverDailyPeak,IF(OVolCurve,IF(OBuySell,AJ44,AL44),AK44))^2*15/365.25/BT44),IF(OVolOverMonthlyPeak,OVolOverMonthlyPeak,IF(OVolCurve,IF(OBuySell,X44,Z44),Y44))),"")</f>
        <v>#VALUE!</v>
      </c>
      <c r="CI44" s="1587" t="e">
        <f aca="false">IF(OR(BQ44,BS44),IF(OVolType&lt;&gt;2,SQRT(IF(OVolOverMonthlyPeak,OVolOverMonthlyPeak,IF(OVolCurve,IF(OBuySell,AA44,AC44),AB44))^2*(1-15/365.25/BT44)+IF(OVolOverDailyPeak,OVolOverDailyPeak,IF(OVolCurve,IF(OBuySell,AM44,AO44),AN44))^2*15/365.25/BT44),IF(OVolOverMonthlyPeak,OVolOverMonthlyPeak,IF(OVolCurve,IF(OBuySell,AA44,AC44),AB44))),"")</f>
        <v>#VALUE!</v>
      </c>
      <c r="CJ44" s="1587" t="e">
        <f aca="false">IF(BQ44,IF(BP44,SQRT(LN(1+((BU44*AZ44)^2*(EXP(CG44^2*BT44)-1)+(BV44*BA44)^2*(EXP(CH44^2*BT44)-1)+(BW44*BB44)^2*(EXP(CI44^2*BT44)-1)+2*BU44*AZ44*BV44*BA44*(EXP(CG44*CH44*BT44)-1)+2*BV44*BA44*BW44*BB44*(EXP(CH44*CI44*BT44)-1)+2*BW44*BB44*BU44*AZ44*(EXP(CI44*CG44*BT44)-1))/(BY44*BP44)^2)/BT44),0),"")</f>
        <v>#VALUE!</v>
      </c>
      <c r="CK44" s="1587" t="e">
        <f aca="false">IF(BS44,IF(BR44,SQRT(LN(1+((CA44*BH44)^2*(EXP(CG44^2*BT44)-1)+(CB44*BI44)^2*(EXP(CH44^2*BT44)-1)+(CC44*BJ44)^2*(EXP(CI44^2*BT44)-1)+2*CA44*BH44*CB44*BI44*(EXP(CG44*CH44*BT44)-1)+2*CB44*BI44*CC44*BJ44*(EXP(CH44*CI44*BT44)-1)+2*CC44*BJ44*CA44*BH44*(EXP(CI44*CG44*BT44)-1))/(CE44*BR44)^2)/BT44),0),"")</f>
        <v>#VALUE!</v>
      </c>
      <c r="CL44" s="1587" t="e">
        <f aca="false">IF(OR(BQ44,BS44),IF(OVolType&lt;&gt;2,SQRT(IF(OVolOverMonthlyOffPeak,OVolOverMonthlyOffPeak,IF(OVolCurve,IF(OBuySell,AD44,AF44),AE44))^2*(1-15/365.25/BT44)+IF(OVolOverDailyOffPeak,OVolOverDailyOffPeak,IF(OVolCurve,IF(OBuySell,AP44,AR44),AQ44))^2*15/365.25/BT44),IF(OVolOverMonthlyOffPeak,OVolOverMonthlyOffPeak,IF(OVolCurve,IF(OBuySell,AD44,AF44),AE44))),"")</f>
        <v>#VALUE!</v>
      </c>
      <c r="CM44" s="1587" t="e">
        <f aca="false">IF(BQ44,SQRT(LN(1+((BY44*BP44)^2*(EXP(CJ44^2*BT44)-1)+(BX44*BC44)^2*(EXP(CL44^2*BT44)-1)+2*BY44*BP44*BX44*BC44*(EXP(AS44*CJ44*CL44*BT44)-1))/(BY44*BP44+BX44*BC44)^2)/BT44),"")</f>
        <v>#VALUE!</v>
      </c>
      <c r="CN44" s="1588" t="e">
        <f aca="false">IF(BS44,SQRT(LN(1+((CE44*BR44)^2*(EXP(CK44^2*BT44)-1)+(CD44*BK44)^2*(EXP(CL44^2*BT44)-1)+2*CE44*BR44*CD44*BK44*(EXP(AS44*CK44*CL44*BT44)-1))/(CE44*BR44+CD44*BK44)^2)/BT44),"")</f>
        <v>#VALUE!</v>
      </c>
      <c r="CO44" s="1531" t="e">
        <f aca="false">IF(OR(BQ44,BS44),VLOOKUP(A44,GasTable,13)*HeatRatePeak*(1+VLOOKUP($B44,HeatRateDegradation,$C44+1))/1000,0)</f>
        <v>#VALUE!</v>
      </c>
      <c r="CP44" s="1316" t="e">
        <f aca="false">IF(OR(BQ44,BS44),VLOOKUP(A44,GasTable,13)*HeatRatePeak*(1+VLOOKUP($B44,HeatRateDegradation,$C44+1))/1000,0)</f>
        <v>#VALUE!</v>
      </c>
      <c r="CQ44" s="1316" t="e">
        <f aca="false">IF(OR(BQ44,BS44),VLOOKUP(A44,GasTable,13)*IF(EV44,HeatRatePeak,HeatRateOffPeak)*(1+VLOOKUP($B44,HeatRateDegradation,$C44+1))/1000,0)</f>
        <v>#VALUE!</v>
      </c>
      <c r="CR44" s="1316" t="e">
        <f aca="false">IF(OR(BQ44,BS44),VLOOKUP(A44,GasTable,13)*IF(EW44,HeatRatePeak,HeatRateOffPeak)*(1+VLOOKUP($B44,HeatRateDegradation,$C44+1))/1000,0)</f>
        <v>#VALUE!</v>
      </c>
      <c r="CS44" s="1589" t="e">
        <f aca="false">IF(BQ44,(CO44*AZ44+CP44*BA44+CQ44*BB44+CR44*BC44)/BQ44,0)</f>
        <v>#VALUE!</v>
      </c>
      <c r="CT44" s="1316" t="e">
        <f aca="false">IF(BS44,CO44,0)</f>
        <v>#VALUE!</v>
      </c>
      <c r="CU44" s="1590" t="e">
        <f aca="false">IF(OR(BQ44,BS44),VLOOKUP(A44,GasTable,14),"")</f>
        <v>#VALUE!</v>
      </c>
      <c r="CV44" s="1568" t="e">
        <f aca="false">IF(OR(BQ44,BS44),IF(CorrPowerGasOverFlag,INDEX(CorrPowerGasOver,C44),CorrPowerGas),"")</f>
        <v>#VALUE!</v>
      </c>
      <c r="CW44" s="1316" t="e">
        <f aca="false">IF(OR($BQ44,$BS44),SpreadOptPowerMargin,0)*((1+Assumptions!$C$26)^($B44-YEAR(Assumptions!$C$17)))</f>
        <v>#VALUE!</v>
      </c>
      <c r="CX44" s="1316" t="e">
        <f aca="false">IF(OR($BQ44,$BS44),SpreadOptPowerMargin,0)*((1+Assumptions!$C$26)^($B44-YEAR(Assumptions!$C$17)))</f>
        <v>#VALUE!</v>
      </c>
      <c r="CY44" s="1316" t="e">
        <f aca="false">IF(OR($BQ44,$BS44),SpreadOptPowerMargin,0)*((1+Assumptions!$C$26)^($B44-YEAR(Assumptions!$C$17)))</f>
        <v>#VALUE!</v>
      </c>
      <c r="CZ44" s="1316" t="e">
        <f aca="false">IF(OR($BQ44,$BS44),SpreadOptPowerMargin,0)*((1+Assumptions!$C$26)^($B44-YEAR(Assumptions!$C$17)))</f>
        <v>#VALUE!</v>
      </c>
      <c r="DA44" s="1591" t="e">
        <f aca="false">IF(OR(BQ44,BS44),(CW44*(AZ44+BH44)+CX44*(BA44+BI44)+CY44*(BB44+BJ44)+CZ44*(BC44+BK44))/(BQ44+BS44),0)</f>
        <v>#VALUE!</v>
      </c>
      <c r="DB44" s="1592" t="e">
        <f aca="false">IF(OR(BQ44,BS44),CG44+IF(OVolSmile,VLOOKUP(MAX(-5,CO44+CW44-BU44),IF(OVolSmile=1,VolSmileBook,VolSmileModel),2),0),"")</f>
        <v>#VALUE!</v>
      </c>
      <c r="DC44" s="1592" t="e">
        <f aca="false">IF(OR(BQ44,BS44),CH44+IF(OVolSmile,VLOOKUP(MAX(-5,CP44+CW44-BV44),IF(OVolSmile=1,VolSmileBook,VolSmileModel),2),0),"")</f>
        <v>#VALUE!</v>
      </c>
      <c r="DD44" s="1592" t="e">
        <f aca="false">IF(OR(BQ44,BS44),CI44+IF(OVolSmile,VLOOKUP(MAX(-5,CQ44+CW44-BW44),IF(OVolSmile=1,VolSmileBook,VolSmileModel),2),0),"")</f>
        <v>#VALUE!</v>
      </c>
      <c r="DE44" s="1592" t="e">
        <f aca="false">IF(OR(BQ44,BS44),CL44+IF(OVolSmile,VLOOKUP(MAX(-5,CR44+CZ44-BX44),IF(OVolSmile=1,VolSmileBook,VolSmileModel),2),0),"")</f>
        <v>#VALUE!</v>
      </c>
      <c r="DF44" s="1592" t="e">
        <f aca="false">IF(BQ44,CM44+IF(OVolSmile,VLOOKUP(MAX(-5,CS44+DA44-BZ44),IF(OVolSmile=1,VolSmileBook,VolSmileModel),2),0),"")</f>
        <v>#VALUE!</v>
      </c>
      <c r="DG44" s="1593" t="e">
        <f aca="false">IF(BS44,CN44+IF(OVolSmile,VLOOKUP(MAX(-5,CT44+DA44-CF44),IF(OVolSmile=1,VolSmileBook,VolSmileModel),2),0),"")</f>
        <v>#VALUE!</v>
      </c>
      <c r="DH44" s="1316" t="e">
        <f aca="false">IF(AND(BU44&gt;0,CO44&gt;0,DB44&gt;0,CU44&gt;0),newSPRDOPT(BU44,CO44,CW44,0,DB44,CU44,CV44,BT44*365.25,OCallPut,0),0)</f>
        <v>#VALUE!</v>
      </c>
      <c r="DI44" s="1316" t="e">
        <f aca="false">IF(AND(BV44&gt;0,CP44&gt;0,DC44&gt;0,CU44&gt;0),newSPRDOPT(BV44,CP44,CX44,0,DC44,CU44,CV44,BT44*365.25,OCallPut,0),0)</f>
        <v>#VALUE!</v>
      </c>
      <c r="DJ44" s="1316" t="e">
        <f aca="false">IF(AND(BW44&gt;0,CQ44&gt;0,DD44&gt;0,CU44&gt;0),newSPRDOPT(BW44,CQ44,CY44,0,DD44,CU44,CV44,BT44*365.25,OCallPut,0),0)</f>
        <v>#VALUE!</v>
      </c>
      <c r="DK44" s="1316" t="e">
        <f aca="false">IF(AND(BX44&gt;0,CR44&gt;0,DE44&gt;0,CU44&gt;0),newSPRDOPT(BX44,CR44,CZ44,0,DE44,CU44,CV44,BT44*365.25,OCallPut,0),0)</f>
        <v>#VALUE!</v>
      </c>
      <c r="DL44" s="1316" t="e">
        <f aca="false">IF(OVolType,IF(AND(BZ44&gt;0,CS44&gt;0,DF44&gt;0,CU44&gt;0),newSPRDOPT(BZ44,CS44,DA44,0,DF44,CU44,CV44,BT44*365.25,OCallPut,0),0),IF(BQ44,(DH44*AZ44+DI44*BA44+DJ44*BB44+DK44*BC44)/BQ44,0))</f>
        <v>#VALUE!</v>
      </c>
      <c r="DM44" s="1316"/>
      <c r="DN44" s="1316"/>
      <c r="DO44" s="1316"/>
      <c r="DP44" s="1316"/>
      <c r="DQ44" s="1316"/>
      <c r="DR44" s="1316"/>
      <c r="DS44" s="1316"/>
      <c r="DT44" s="1316"/>
      <c r="DU44" s="1316"/>
      <c r="DV44" s="1316"/>
      <c r="DW44" s="1594" t="e">
        <f aca="false">IF(AND(BW44&gt;0,CT44&gt;0,DD44&gt;0,CU44&gt;0),newSPRDOPT(BW44,CT44,CY44,0,DD44,CU44,CV44,BT44*365.25,OCallPut,0),0)</f>
        <v>#VALUE!</v>
      </c>
      <c r="DX44" s="1316" t="e">
        <f aca="false">IF(AND(BX44&gt;0,CT44&gt;0,DE44&gt;0,CU44&gt;0),newSPRDOPT(BX44,CT44,CZ44,0,DE44,CU44,CV44,BT44*365.25,OCallPut,0),0)</f>
        <v>#VALUE!</v>
      </c>
      <c r="DY44" s="1591" t="e">
        <f aca="false">IF(BS44,(DH44*BH44+DI44*BI44+DW44*BJ44+DX44*BK44)/BS44,0)</f>
        <v>#VALUE!</v>
      </c>
      <c r="DZ44" s="1551" t="e">
        <f aca="false">DH44*AZ44</f>
        <v>#VALUE!</v>
      </c>
      <c r="EA44" s="1551" t="e">
        <f aca="false">DI44*BA44</f>
        <v>#VALUE!</v>
      </c>
      <c r="EB44" s="1551" t="e">
        <f aca="false">DJ44*BB44</f>
        <v>#VALUE!</v>
      </c>
      <c r="EC44" s="1551" t="e">
        <f aca="false">DK44*BC44</f>
        <v>#VALUE!</v>
      </c>
      <c r="ED44" s="1551" t="e">
        <f aca="false">DL44*BQ44</f>
        <v>#VALUE!</v>
      </c>
      <c r="EE44" s="1595" t="e">
        <f aca="false">IF(BQ44,IF(OCallPut,IF(BU44&gt;(CO44+CW44),BU44-(CO44+CW44),0),IF((CO44+CW44)&gt;BU44,(CO44+CW44)-BU44,0))*AZ44,0)</f>
        <v>#VALUE!</v>
      </c>
      <c r="EF44" s="1596" t="e">
        <f aca="false">IF(BQ44,IF(OCallPut,IF(BV44&gt;(CP44+CX44),BV44-(CP44+CX44),0),IF((CP44+CX44)&gt;BV44,(CP44+CX44)-BV44,0))*BA44,0)</f>
        <v>#VALUE!</v>
      </c>
      <c r="EG44" s="1596" t="e">
        <f aca="false">IF(BQ44,IF(OCallPut,IF(BW44&gt;(CQ44+CY44),BW44-(CQ44+CY44),0),IF((CQ44+CY44)&gt;BW44,(CQ44+CY44)-BW44,0))*BB44,0)</f>
        <v>#VALUE!</v>
      </c>
      <c r="EH44" s="1596" t="e">
        <f aca="false">IF(BQ44,IF(OCallPut,IF(BX44&gt;(CR44+CZ44),BX44-(CR44+CZ44),0),IF((CR44+CZ44)&gt;BX44,(CR44+CZ44)-BX44,0))*BC44,0)</f>
        <v>#VALUE!</v>
      </c>
      <c r="EI44" s="1597" t="e">
        <f aca="false">IF(BQ44,IF(OVolType,IF(OCallPut,IF(BZ44&gt;(CS44+DA44),BZ44-(CS44+DA44),0),IF((CS44+DA44)&gt;BZ44,(CS44+DA44)-BZ44,0))*BQ44,SUM(EE44:EH44)),0)</f>
        <v>#VALUE!</v>
      </c>
      <c r="EJ44" s="1595" t="e">
        <f aca="false">DZ44-EE44</f>
        <v>#VALUE!</v>
      </c>
      <c r="EK44" s="1596" t="e">
        <f aca="false">EA44-EF44</f>
        <v>#VALUE!</v>
      </c>
      <c r="EL44" s="1596" t="e">
        <f aca="false">EB44-EG44</f>
        <v>#VALUE!</v>
      </c>
      <c r="EM44" s="1596" t="e">
        <f aca="false">EC44-EH44</f>
        <v>#VALUE!</v>
      </c>
      <c r="EN44" s="1597" t="e">
        <f aca="false">ED44-EI44</f>
        <v>#VALUE!</v>
      </c>
      <c r="EO44" s="1551" t="e">
        <f aca="false">DH44*BH44</f>
        <v>#VALUE!</v>
      </c>
      <c r="EP44" s="1551" t="e">
        <f aca="false">DI44*BI44</f>
        <v>#VALUE!</v>
      </c>
      <c r="EQ44" s="1551" t="e">
        <f aca="false">DW44*BJ44</f>
        <v>#VALUE!</v>
      </c>
      <c r="ER44" s="1551" t="e">
        <f aca="false">DX44*BK44</f>
        <v>#VALUE!</v>
      </c>
      <c r="ES44" s="1551" t="e">
        <f aca="false">DY44*BS44</f>
        <v>#VALUE!</v>
      </c>
      <c r="ET44" s="1566" t="e">
        <f aca="false">IF(EI44,IF(OCallPut,IF(CA44&gt;(CT44+CW44),CA44-(CT44+CW44),0),IF((CT44+CW44)&gt;CA44,(CT44+CW44)-CA44,0))*BH44,0)</f>
        <v>#VALUE!</v>
      </c>
      <c r="EU44" s="1551" t="e">
        <f aca="false">IF(EI44,IF(OCallPut,IF(CB44&gt;(CT44+CX44),CB44-(CT44+CX44),0),IF((CT44+CX44)&gt;CB44,(CT44+CX44)-CB44,0))*BI44,0)</f>
        <v>#VALUE!</v>
      </c>
      <c r="EV44" s="1551" t="e">
        <f aca="false">IF(EI44,IF(OCallPut,IF(CC44&gt;(CT44+CY44),CC44-(CT44+CY44),0),IF((CT44+CY44)&gt;CC44,(CT44+CY44)-CC44,0))*BJ44,0)</f>
        <v>#VALUE!</v>
      </c>
      <c r="EW44" s="1551" t="e">
        <f aca="false">IF(EI44,IF(OCallPut,IF(CD44&gt;(CT44+CZ44),CD44-(CT44+CZ44),0),IF((CT44+CZ44)&gt;CD44,(CT44+CZ44)-CD44,0))*BK44,0)</f>
        <v>#VALUE!</v>
      </c>
      <c r="EX44" s="1558" t="e">
        <f aca="false">IF(EI44,SUM(ET44:EW44),0)</f>
        <v>#VALUE!</v>
      </c>
      <c r="EY44" s="1551" t="e">
        <f aca="false">EO44-ET44</f>
        <v>#VALUE!</v>
      </c>
      <c r="EZ44" s="1551" t="e">
        <f aca="false">EP44-EU44</f>
        <v>#VALUE!</v>
      </c>
      <c r="FA44" s="1551" t="e">
        <f aca="false">EQ44-EV44</f>
        <v>#VALUE!</v>
      </c>
      <c r="FB44" s="1551" t="e">
        <f aca="false">ER44-EW44</f>
        <v>#VALUE!</v>
      </c>
      <c r="FC44" s="1551" t="e">
        <f aca="false">ES44-EX44</f>
        <v>#VALUE!</v>
      </c>
      <c r="FD44" s="1525" t="n">
        <f aca="false">IF(AX44,IF(VLOOKUP(C44,MAIN!$L$17:$M$28,2)="Yes",VLOOKUP(CALC!B44,MAIN!$H$17:$I$20,2),0),0)</f>
        <v>0</v>
      </c>
      <c r="FE44" s="1552" t="n">
        <f aca="false">$FD44*16*AT44*(1-$AY44)</f>
        <v>0</v>
      </c>
      <c r="FF44" s="1553" t="n">
        <f aca="false">$FD44*16*AU44*(1-$AY44)</f>
        <v>0</v>
      </c>
      <c r="FG44" s="1553" t="n">
        <f aca="false">$FD44*16*(AV44+AW44)*(1-$AY44)</f>
        <v>0</v>
      </c>
      <c r="FH44" s="1554" t="n">
        <f aca="false">$FD44*8*AX44*(1-$AY44)</f>
        <v>0</v>
      </c>
      <c r="FI44" s="1555" t="n">
        <f aca="false">IF(AX44,VLOOKUP(CALC!B44,MAIN!$H$17:$K$20,4),0)</f>
        <v>0</v>
      </c>
      <c r="FJ44" s="1553" t="n">
        <f aca="false">SUM(FE44:FH44)</f>
        <v>0</v>
      </c>
      <c r="FK44" s="1556" t="n">
        <f aca="false">FI44*FJ44</f>
        <v>0</v>
      </c>
      <c r="FL44" s="1551" t="e">
        <f aca="false">IF($EI44&gt;0,MIN(FE44,AZ44*(1+VLOOKUP($C44,WeatherCapacityAdjustment,2))),0)</f>
        <v>#VALUE!</v>
      </c>
      <c r="FM44" s="1551" t="e">
        <f aca="false">IF($EI44&gt;0,MIN(FF44,BA44*(1+VLOOKUP($C44,WeatherCapacityAdjustment,2))),0)</f>
        <v>#VALUE!</v>
      </c>
      <c r="FN44" s="1551" t="e">
        <f aca="false">IF($EI44&gt;0,MIN(FG44,BB44*(1+VLOOKUP($C44,WeatherCapacityAdjustment,2))),0)</f>
        <v>#VALUE!</v>
      </c>
      <c r="FO44" s="1564" t="e">
        <f aca="false">IF($EI44&gt;0,MIN(FH44,BC44*(1+VLOOKUP($C44,WeatherCapacityAdjustment,3))),0)</f>
        <v>#VALUE!</v>
      </c>
      <c r="FP44" s="1551" t="e">
        <f aca="false">IF(ET44&gt;0,MIN(FE44-FL44,BH44*(1+VLOOKUP($C44,WeatherCapacityAdjustment,2))),0)</f>
        <v>#VALUE!</v>
      </c>
      <c r="FQ44" s="1551" t="e">
        <f aca="false">IF(EU44&gt;0,MIN(FF44-FM44,BI44*(1+VLOOKUP($C44,WeatherCapacityAdjustment,2))),0)</f>
        <v>#VALUE!</v>
      </c>
      <c r="FR44" s="1551" t="e">
        <f aca="false">IF(EV44&gt;0,MIN(FG44-FN44,BJ44*(1+VLOOKUP($C44,WeatherCapacityAdjustment,2))),0)</f>
        <v>#VALUE!</v>
      </c>
      <c r="FS44" s="1558" t="e">
        <f aca="false">IF(EW44&gt;0,MIN(FH44-FO44,BK44*(1+VLOOKUP($C44,WeatherCapacityAdjustment,3))),0)</f>
        <v>#VALUE!</v>
      </c>
      <c r="FT44" s="1566" t="n">
        <f aca="false">IF(AND(Assumptions!$H$71="Yes",A44&gt;=Assumptions!$H$72,A44&lt;=Assumptions!$H$73),0,IF(AND($A44&gt;=Assumptions!$C$17,$A44&lt;=Assumptions!$C$18),MAX(AZ44*(1+VLOOKUP($C44,WeatherCapacityAdjustment,2))-FL44,0),0))</f>
        <v>0</v>
      </c>
      <c r="FU44" s="1551" t="n">
        <f aca="false">IF(AND(Assumptions!$H$71="Yes",A44&gt;=Assumptions!$H$72,A44&lt;=Assumptions!$H$73),0,IF(AND($A44&gt;=Assumptions!$C$17,$A44&lt;=Assumptions!$C$18),MAX(BA44*(1+VLOOKUP($C44,WeatherCapacityAdjustment,2))-FM44,0),0))</f>
        <v>0</v>
      </c>
      <c r="FV44" s="1551" t="n">
        <f aca="false">IF(AND(Assumptions!$H$71="Yes",A44&gt;=Assumptions!$H$72,A44&lt;=Assumptions!$H$73),0,IF(AND($A44&gt;=Assumptions!$C$17,$A44&lt;=Assumptions!$C$18),MAX(BB44*(1+VLOOKUP($C44,WeatherCapacityAdjustment,2))-FN44,0),0))</f>
        <v>0</v>
      </c>
      <c r="FW44" s="1564" t="n">
        <f aca="false">IF(AND(Assumptions!$H$71="Yes",A44&gt;=Assumptions!$H$72,A44&lt;=Assumptions!$H$73),0,IF(AND($A44&gt;=Assumptions!$C$17,$A44&lt;=Assumptions!$C$18),MAX(BC44*(1+VLOOKUP($C44,WeatherCapacityAdjustment,3))-FO44,0),0))</f>
        <v>0</v>
      </c>
      <c r="FX44" s="1569" t="e">
        <f aca="false">IF(AND(Assumptions!$H$71="Yes",A44&gt;=Assumptions!$H$72,A44&lt;=Assumptions!$H$73),0,IF(ET44&gt;0,MAX(BH44*(1+VLOOKUP($C44,WeatherCapacityAdjustment,2))-FP44,0),0))</f>
        <v>#VALUE!</v>
      </c>
      <c r="FY44" s="1551" t="e">
        <f aca="false">IF(AND(Assumptions!$H$71="Yes",A44&gt;=Assumptions!$H$72,A44&lt;=Assumptions!$H$73),0,IF(EU44&gt;0,MAX(BI44*(1+VLOOKUP($C44,WeatherCapacityAdjustment,3))-FQ44,0),0))</f>
        <v>#VALUE!</v>
      </c>
      <c r="FZ44" s="1551" t="e">
        <f aca="false">IF(AND(Assumptions!$H$71="Yes",A44&gt;=Assumptions!$H$72,A44&lt;=Assumptions!$H$73),0,IF(EV44&gt;0,MAX(BJ44*(1+VLOOKUP($C44,WeatherCapacityAdjustment,2))-FR44,0),0))</f>
        <v>#VALUE!</v>
      </c>
      <c r="GA44" s="1564" t="e">
        <f aca="false">IF(AND(Assumptions!$H$71="Yes",A44&gt;=Assumptions!$H$72,A44&lt;=Assumptions!$H$73),0,IF(EW44&gt;0,MAX(BK44*(1+VLOOKUP($C44,WeatherCapacityAdjustment,2))-FS44,0),0))</f>
        <v>#VALUE!</v>
      </c>
      <c r="GB44" s="1551" t="e">
        <f aca="false">SUM(FT44:GA44)</f>
        <v>#VALUE!</v>
      </c>
      <c r="GC44" s="1563" t="e">
        <f aca="false">+IF(SUM(FT44:GA44)=0,0,(SUMPRODUCT(BU44:BX44,FT44:FW44)+SUMPRODUCT(CA44:CD44,FX44:GA44))/SUM(FT44:GA44))</f>
        <v>#VALUE!</v>
      </c>
      <c r="GD44" s="1551" t="e">
        <f aca="false">(FT44*BU44+FX44*CA44+FU44*BV44+FY44*CB44+FV44*BW44+FZ44*CC44+FW44*BX44+GA44*CD44)</f>
        <v>#VALUE!</v>
      </c>
      <c r="GE44" s="1561" t="e">
        <f aca="false">+IF(BQ44,((FL44+FM44+FT44+FU44)*HeatRatePeak/1000*(1+VLOOKUP($C44,WeatherHeatRateAdjustment,2))+(FN44+FV44)*IF(EV44&gt;0,HeatRatePeak,HeatRateOffPeak)/1000*(1+VLOOKUP($C44,WeatherHeatRateAdjustment,2))+(FO44+FW44)*IF(EW44&gt;0,HeatRatePeak,HeatRateOffPeak)/1000*(1+VLOOKUP($C44,WeatherHeatRateAdjustment,3)))*(1+VLOOKUP($B44,HeatRateDegradation,$C44+1)),0)</f>
        <v>#VALUE!</v>
      </c>
      <c r="GF44" s="1562" t="e">
        <f aca="false">IF(BQ44,((FP44+FQ44+FR44+FX44+FY44+FZ44)*HeatRatePeak/1000*(1+VLOOKUP($C44,WeatherHeatRateAdjustment,2))+(FS44+GA44)*HeatRatePeak/1000*(1+VLOOKUP($C44,WeatherHeatRateAdjustment,3)))*(1+VLOOKUP($B44,HeatRateDegradation,$C44+1)),0)</f>
        <v>#VALUE!</v>
      </c>
      <c r="GG44" s="1563" t="e">
        <f aca="false">IF(BQ44,VLOOKUP(A44,GasTable,13),0)</f>
        <v>#VALUE!</v>
      </c>
      <c r="GH44" s="1564" t="e">
        <f aca="false">(GE44+GF44)*GG44</f>
        <v>#VALUE!</v>
      </c>
      <c r="GI44" s="1569" t="e">
        <f aca="false">GB44</f>
        <v>#VALUE!</v>
      </c>
      <c r="GJ44" s="1598" t="e">
        <f aca="false">+DA44</f>
        <v>#VALUE!</v>
      </c>
      <c r="GK44" s="1558" t="e">
        <f aca="false">+GI44*GJ44</f>
        <v>#VALUE!</v>
      </c>
      <c r="GL44" s="1566" t="e">
        <f aca="false">MAX(FE44-FL44-FP44,0)</f>
        <v>#VALUE!</v>
      </c>
      <c r="GM44" s="1551" t="e">
        <f aca="false">MAX(FF44-FM44-FQ44,0)</f>
        <v>#VALUE!</v>
      </c>
      <c r="GN44" s="1551" t="e">
        <f aca="false">MAX(FG44-FN44-FR44,0)</f>
        <v>#VALUE!</v>
      </c>
      <c r="GO44" s="1564" t="e">
        <f aca="false">MAX(FH44-FO44-FS44,0)</f>
        <v>#VALUE!</v>
      </c>
      <c r="GP44" s="1551" t="e">
        <f aca="false">SUM(GL44:GO44)</f>
        <v>#VALUE!</v>
      </c>
      <c r="GQ44" s="1563" t="e">
        <f aca="false">IF(SUM(GL44:GO44)=0,0,((GL44*BU44+GM44*BV44+GN44*BW44+GO44*BX44)/SUM(GL44:GO44)))</f>
        <v>#VALUE!</v>
      </c>
      <c r="GR44" s="1558" t="e">
        <f aca="false">(GL44*BU44+GM44*BV44+GN44*BW44+GO44*BX44)</f>
        <v>#VALUE!</v>
      </c>
      <c r="GS44" s="1566" t="n">
        <f aca="false">IF($A44&gt;=BegDate,Assumptions!$C$56*24*($A45-$A44)*(1-VLOOKUP($B44,MAIN!$AA$7:$AM$28,$C44+1))*(1-VLOOKUP($B44,MAIN!$AA$33:$AM$54,$C44+1)),0)*80/168</f>
        <v>0</v>
      </c>
      <c r="GT44" s="286" t="n">
        <f aca="false">J44</f>
        <v>53.9515026</v>
      </c>
      <c r="GU44" s="286" t="n">
        <f aca="false">IF($A44&gt;=BegDate,VLOOKUP($A44,GasTable,13)+Assumptions!$C$58,0)</f>
        <v>0</v>
      </c>
      <c r="GV44" s="286" t="n">
        <f aca="false">GU44*Assumptions!$C$57/1000</f>
        <v>0</v>
      </c>
      <c r="GW44" s="1558" t="n">
        <f aca="false">IF(Assumptions!$C$60="Hourly",MAX(0,GS44*(GT44-GV44)),GS44*(GT44-GV44))</f>
        <v>0</v>
      </c>
      <c r="GX44" s="1566" t="n">
        <f aca="false">IF($A44&gt;=BegDate,Assumptions!$C$56*24*($A45-$A44)*(1-VLOOKUP($B44,MAIN!$AA$7:$AM$28,$C44+1))*(1-VLOOKUP($B44,MAIN!$AA$33:$AM$54,$C44+1)),0)*16/168</f>
        <v>0</v>
      </c>
      <c r="GY44" s="286" t="n">
        <f aca="false">M44</f>
        <v>53.9515026</v>
      </c>
      <c r="GZ44" s="286" t="n">
        <f aca="false">IF($A44&gt;=BegDate,VLOOKUP($A44,GasTable,13)+Assumptions!$C$58,0)</f>
        <v>0</v>
      </c>
      <c r="HA44" s="286" t="n">
        <f aca="false">GZ44*Assumptions!$C$57/1000</f>
        <v>0</v>
      </c>
      <c r="HB44" s="1558" t="n">
        <f aca="false">IF(Assumptions!$C$60="Hourly",MAX(0,GX44*(GY44-HA44)),GX44*(GY44-HA44))</f>
        <v>0</v>
      </c>
      <c r="HC44" s="1566" t="n">
        <f aca="false">IF($A44&gt;=BegDate,Assumptions!$C$56*24*($A45-$A44)*(1-VLOOKUP($B44,MAIN!$AA$7:$AM$28,$C44+1))*(1-VLOOKUP($B44,MAIN!$AA$33:$AM$54,$C44+1)),0)*16/168</f>
        <v>0</v>
      </c>
      <c r="HD44" s="286" t="n">
        <f aca="false">P44</f>
        <v>25.99449804</v>
      </c>
      <c r="HE44" s="286" t="n">
        <f aca="false">IF($A44&gt;=BegDate,VLOOKUP($A44,GasTable,13)+Assumptions!$C$58,0)</f>
        <v>0</v>
      </c>
      <c r="HF44" s="286" t="n">
        <f aca="false">HE44*Assumptions!$C$57/1000</f>
        <v>0</v>
      </c>
      <c r="HG44" s="1558" t="n">
        <f aca="false">IF(Assumptions!$C$60="Hourly",MAX(0,HC44*(HD44-HF44)),HC44*(HD44-HF44))</f>
        <v>0</v>
      </c>
      <c r="HH44" s="1566" t="n">
        <f aca="false">IF($A44&gt;=BegDate,Assumptions!$C$56*24*($A45-$A44)*(1-VLOOKUP($B44,MAIN!$AA$7:$AM$28,$C44+1))*(1-VLOOKUP($B44,MAIN!$AA$33:$AM$54,$C44+1)),0)*56/168</f>
        <v>0</v>
      </c>
      <c r="HI44" s="286" t="n">
        <f aca="false">S44</f>
        <v>25.99449804</v>
      </c>
      <c r="HJ44" s="286" t="n">
        <f aca="false">IF($A44&gt;=BegDate,VLOOKUP($A44,GasTable,13)+Assumptions!$C$58,0)</f>
        <v>0</v>
      </c>
      <c r="HK44" s="286" t="n">
        <f aca="false">HJ44*Assumptions!$C$57/1000</f>
        <v>0</v>
      </c>
      <c r="HL44" s="1558" t="n">
        <f aca="false">IF(Assumptions!$C$60="Hourly",MAX(0,HH44*(HI44-HK44)),HH44*(HI44-HK44))</f>
        <v>0</v>
      </c>
      <c r="HM44" s="1566" t="n">
        <f aca="false">IF(AND(Assumptions!$H$71="Yes",A44&gt;=Assumptions!$H$72,A44&lt;=Assumptions!$H$73),Assumptions!$H$74*Assumptions!$C$9*1000,0)</f>
        <v>0</v>
      </c>
      <c r="HN44" s="1551"/>
      <c r="HO44" s="1563"/>
      <c r="HP44" s="1563"/>
      <c r="HQ44" s="1563"/>
      <c r="HR44" s="1563"/>
      <c r="HS44" s="1563"/>
      <c r="HT44" s="1563"/>
      <c r="HU44" s="1563"/>
      <c r="HV44" s="1563"/>
      <c r="HW44" s="1563"/>
      <c r="HX44" s="1563"/>
      <c r="HY44" s="1563"/>
      <c r="HZ44" s="1563"/>
      <c r="IA44" s="1563"/>
      <c r="IB44" s="1563"/>
      <c r="IC44" s="1563"/>
      <c r="ID44" s="1563"/>
      <c r="IE44" s="1563"/>
      <c r="IF44" s="1563"/>
      <c r="IG44" s="1563"/>
      <c r="IH44" s="1563"/>
      <c r="II44" s="1610"/>
      <c r="IJ44" s="1309"/>
      <c r="IK44" s="1309"/>
    </row>
    <row r="45" customFormat="false" ht="12.75" hidden="false" customHeight="false" outlineLevel="0" collapsed="false">
      <c r="A45" s="1571" t="n">
        <f aca="false">EOMONTH(A44,0)+1</f>
        <v>37500</v>
      </c>
      <c r="B45" s="594" t="n">
        <f aca="false">+YEAR(A45)</f>
        <v>2002</v>
      </c>
      <c r="C45" s="238" t="n">
        <f aca="false">MONTH(A45)</f>
        <v>9</v>
      </c>
      <c r="D45" s="1572" t="str">
        <f aca="false">IF(E45="","",Holiday(B45,C45))</f>
        <v/>
      </c>
      <c r="E45" s="1573" t="str">
        <f aca="false">IF(OR(BegDate&gt;=A46,EndDate&lt;A45,AND(VolumeMonthlyOverFlag,INDEX(VolumeMonthlyOver,C45)=0),NOT(INDEX(MonthKnockOutTable,C45))),"",MAX(A45,BegDate))</f>
        <v/>
      </c>
      <c r="F45" s="1574" t="str">
        <f aca="false">IF(E45="","",MIN(A46-1,EndDate))</f>
        <v/>
      </c>
      <c r="G45" s="1575" t="n">
        <v>0</v>
      </c>
      <c r="H45" s="1576" t="n">
        <f aca="false">(1+G45/2)^(-2*(DATE(B46,C46,20)-DateToday)/365.25)</f>
        <v>1</v>
      </c>
      <c r="I45" s="1568" t="n">
        <f aca="false">IF(Assumptions!$L$25=4,VLOOKUP($A45,'Henwood Reference'!$E$9:$R$320,10),(VLOOKUP($A45,PriceTable,2,0)+IF(BasisNumber&lt;&gt;1,VLOOKUP($A45,BasisTable,2,0),0)+I$1)/(1-I$2))</f>
        <v>45.5414292</v>
      </c>
      <c r="J45" s="1568" t="n">
        <f aca="false">IF(Assumptions!$L$25=4,VLOOKUP($A45,'Henwood Reference'!$E$9:$R$320,10),(VLOOKUP($A45,PriceTable,3,0)+IF(BasisNumber&lt;&gt;1,VLOOKUP($A45,BasisTable,2,0),0)+J$1)/(1-J$2))</f>
        <v>45.5414292</v>
      </c>
      <c r="K45" s="1568" t="n">
        <f aca="false">IF(Assumptions!$L$25=4,VLOOKUP($A45,'Henwood Reference'!$E$9:$R$320,10),(VLOOKUP($A45,PriceTable,4,0)+IF(BasisNumber&lt;&gt;1,VLOOKUP($A45,BasisTable,2,0),0)+K$1)/(1-K$2))</f>
        <v>45.5414292</v>
      </c>
      <c r="L45" s="1523" t="n">
        <f aca="false">IF(Assumptions!$L$25=4,VLOOKUP($A45,'Henwood Reference'!$E$9:$R$320,10),(VLOOKUP($A45,PriceTableWeekend,2,0)+IF(BasisNumber&lt;&gt;1,VLOOKUP($A45,BasisTable,2,0),0)+L$1)/(1-L$2))</f>
        <v>45.5414292</v>
      </c>
      <c r="M45" s="1568" t="n">
        <f aca="false">IF(Assumptions!$L$25=4,VLOOKUP($A45,'Henwood Reference'!$E$9:$R$320,10),(VLOOKUP($A45,PriceTableWeekend,3,0)+IF(BasisNumber&lt;&gt;1,VLOOKUP($A45,BasisTable,2,0),0)+M$1)/(1-M$2))</f>
        <v>45.5414292</v>
      </c>
      <c r="N45" s="1599" t="n">
        <f aca="false">IF(Assumptions!$L$25=4,VLOOKUP($A45,'Henwood Reference'!$E$9:$R$320,10),(VLOOKUP($A45,PriceTableWeekend,4,0)+IF(BasisNumber&lt;&gt;1,VLOOKUP($A45,BasisTable,2,0),0)+N$1)/(1-N$2))</f>
        <v>45.5414292</v>
      </c>
      <c r="O45" s="1568" t="n">
        <f aca="false">IF(Assumptions!$L$25=4,VLOOKUP($A45,'Henwood Reference'!$E$9:$R$320,11),(VLOOKUP($A45,PriceTableWeekend,6,0)+IF(BasisNumber&lt;&gt;1,VLOOKUP($A45,BasisTable,3,0),0)+O$1)/(1-O$2))</f>
        <v>26.21360628</v>
      </c>
      <c r="P45" s="1568" t="n">
        <f aca="false">IF(Assumptions!$L$25=4,VLOOKUP($A45,'Henwood Reference'!$E$9:$R$320,11),(VLOOKUP($A45,PriceTableWeekend,7,0)+IF(BasisNumber&lt;&gt;1,VLOOKUP($A45,BasisTable,3,0),0)+P$1)/(1-P$2))</f>
        <v>26.21360628</v>
      </c>
      <c r="Q45" s="1599" t="n">
        <f aca="false">IF(Assumptions!$L$25=4,VLOOKUP($A45,'Henwood Reference'!$E$9:$R$320,11),(VLOOKUP($A45,PriceTableWeekend,8,0)+IF(BasisNumber&lt;&gt;1,VLOOKUP($A45,BasisTable,3,0),0)+Q$1)/(1-Q$2))</f>
        <v>26.21360628</v>
      </c>
      <c r="R45" s="1568" t="n">
        <f aca="false">IF(Assumptions!$L$25=4,VLOOKUP($A45,'Henwood Reference'!$E$9:$R$320,11),(VLOOKUP($A45,PriceTable,6,0)+IF(BasisNumber&lt;&gt;1,VLOOKUP($A45,BasisTable,3,0),0)+R$1)/(1-R$2))</f>
        <v>26.21360628</v>
      </c>
      <c r="S45" s="1568" t="n">
        <f aca="false">IF(Assumptions!$L$25=4,VLOOKUP($A45,'Henwood Reference'!$E$9:$R$320,11),(VLOOKUP($A45,PriceTable,7,0)+IF(BasisNumber&lt;&gt;1,VLOOKUP($A45,BasisTable,3,0),0)+S$1)/(1-S$2))</f>
        <v>26.21360628</v>
      </c>
      <c r="T45" s="1600" t="n">
        <f aca="false">IF(Assumptions!$L$25=4,VLOOKUP($A45,'Henwood Reference'!$E$9:$R$320,11),(VLOOKUP($A45,PriceTable,8,0)+IF(BasisNumber&lt;&gt;1,VLOOKUP($A45,BasisTable,3,0),0)+T$1)/(1-T$2))</f>
        <v>26.21360628</v>
      </c>
      <c r="U45" s="1513" t="n">
        <f aca="false">VLOOKUP($A45,VolatilityTable,14)</f>
        <v>0.16</v>
      </c>
      <c r="V45" s="1513" t="n">
        <f aca="false">VLOOKUP($A45,VolatilityTable,15)</f>
        <v>0.17</v>
      </c>
      <c r="W45" s="1514" t="n">
        <f aca="false">VLOOKUP($A45,VolatilityTable,16)</f>
        <v>0.18</v>
      </c>
      <c r="X45" s="1513" t="n">
        <f aca="false">VLOOKUP($A45,VolatilityTable,14)</f>
        <v>0.16</v>
      </c>
      <c r="Y45" s="1513" t="n">
        <f aca="false">VLOOKUP($A45,VolatilityTable,15)</f>
        <v>0.17</v>
      </c>
      <c r="Z45" s="1514" t="n">
        <f aca="false">VLOOKUP($A45,VolatilityTable,16)</f>
        <v>0.18</v>
      </c>
      <c r="AA45" s="1513" t="n">
        <f aca="false">VLOOKUP($A45,VolatilityTable,18)</f>
        <v>0.09</v>
      </c>
      <c r="AB45" s="1513" t="n">
        <f aca="false">VLOOKUP($A45,VolatilityTable,19)</f>
        <v>0.11</v>
      </c>
      <c r="AC45" s="1514" t="n">
        <f aca="false">VLOOKUP($A45,VolatilityTable,20)</f>
        <v>0.13</v>
      </c>
      <c r="AD45" s="1513" t="n">
        <f aca="false">VLOOKUP($A45,VolatilityTable,18)</f>
        <v>0.09</v>
      </c>
      <c r="AE45" s="1513" t="n">
        <f aca="false">VLOOKUP($A45,VolatilityTable,19)</f>
        <v>0.11</v>
      </c>
      <c r="AF45" s="1514" t="n">
        <f aca="false">VLOOKUP($A45,VolatilityTable,20)</f>
        <v>0.13</v>
      </c>
      <c r="AG45" s="1513" t="n">
        <f aca="false">VLOOKUP($A45,VolatilityTable,22)</f>
        <v>-0.35</v>
      </c>
      <c r="AH45" s="1513" t="n">
        <f aca="false">VLOOKUP($A45,VolatilityTable,23)</f>
        <v>3</v>
      </c>
      <c r="AI45" s="1514" t="n">
        <f aca="false">VLOOKUP($A45,VolatilityTable,24)</f>
        <v>0.2</v>
      </c>
      <c r="AJ45" s="1513" t="n">
        <f aca="false">VLOOKUP($A45,VolatilityTable,22)</f>
        <v>-0.35</v>
      </c>
      <c r="AK45" s="1513" t="n">
        <f aca="false">VLOOKUP($A45,VolatilityTable,23)</f>
        <v>3</v>
      </c>
      <c r="AL45" s="1514" t="n">
        <f aca="false">VLOOKUP($A45,VolatilityTable,24)</f>
        <v>0.2</v>
      </c>
      <c r="AM45" s="1513" t="n">
        <f aca="false">VLOOKUP($A45,VolatilityTable,26)</f>
        <v>-0.01</v>
      </c>
      <c r="AN45" s="1513" t="n">
        <f aca="false">VLOOKUP($A45,VolatilityTable,27)</f>
        <v>0.16</v>
      </c>
      <c r="AO45" s="1514" t="n">
        <f aca="false">VLOOKUP($A45,VolatilityTable,28)</f>
        <v>0.01</v>
      </c>
      <c r="AP45" s="1513" t="n">
        <f aca="false">VLOOKUP($A45,VolatilityTable,26)</f>
        <v>-0.01</v>
      </c>
      <c r="AQ45" s="1513" t="n">
        <f aca="false">VLOOKUP($A45,VolatilityTable,27)</f>
        <v>0.16</v>
      </c>
      <c r="AR45" s="1515" t="n">
        <f aca="false">VLOOKUP($A45,VolatilityTable,28)</f>
        <v>0.01</v>
      </c>
      <c r="AS45" s="1581" t="n">
        <f aca="false">IF(CorrPeakOffPeakOverFlag,INDEX(CorrPeakOffPeakOver,C45),CorrPeakOffPeak)</f>
        <v>0.5</v>
      </c>
      <c r="AT45" s="594" t="n">
        <f aca="false">AX45-SUM(AU45:AW45)</f>
        <v>0</v>
      </c>
      <c r="AU45" s="238" t="n">
        <f aca="false">IF(E45="",0,INT((F45-MOD(F45,7)-E45)/7)+1-IF(AW45,IF(WEEKDAY(D45)=7,1,0),0))</f>
        <v>0</v>
      </c>
      <c r="AV45" s="238" t="n">
        <f aca="false">IF(E45="",0,INT((F45-MOD(F45-1,7)-E45)/7)+1-IF(AW45,IF(WEEKDAY(D45)=1,1,0),0))</f>
        <v>0</v>
      </c>
      <c r="AW45" s="238" t="n">
        <f aca="false">IF(OR(E45="",D45="",D45&lt;BegDate,D45&gt;EndDate),0,1)</f>
        <v>0</v>
      </c>
      <c r="AX45" s="238" t="n">
        <f aca="false">IF(E45="",0,F45-E45+1)</f>
        <v>0</v>
      </c>
      <c r="AY45" s="1582" t="n">
        <f aca="false">IF(E45="",0,MIN((1-(1-VLOOKUP(B45,MAIN!$AA$7:$AM$28,C45+1))*(1-VLOOKUP(B45,MAIN!$AA$33:$AM$54,C45+1))),1))</f>
        <v>0</v>
      </c>
      <c r="AZ45" s="1519" t="e">
        <v>#VALUE!</v>
      </c>
      <c r="BA45" s="1520" t="e">
        <v>#VALUE!</v>
      </c>
      <c r="BB45" s="1520" t="e">
        <v>#VALUE!</v>
      </c>
      <c r="BC45" s="1583" t="e">
        <v>#VALUE!</v>
      </c>
      <c r="BD45" s="1522" t="e">
        <v>#VALUE!</v>
      </c>
      <c r="BE45" s="1523" t="e">
        <v>#VALUE!</v>
      </c>
      <c r="BF45" s="1523" t="e">
        <v>#VALUE!</v>
      </c>
      <c r="BG45" s="1584" t="e">
        <v>#VALUE!</v>
      </c>
      <c r="BH45" s="1525" t="e">
        <v>#VALUE!</v>
      </c>
      <c r="BI45" s="1520" t="e">
        <v>#VALUE!</v>
      </c>
      <c r="BJ45" s="1520" t="e">
        <v>#VALUE!</v>
      </c>
      <c r="BK45" s="1583" t="e">
        <v>#VALUE!</v>
      </c>
      <c r="BL45" s="1522" t="e">
        <v>#VALUE!</v>
      </c>
      <c r="BM45" s="1523" t="e">
        <v>#VALUE!</v>
      </c>
      <c r="BN45" s="1523" t="e">
        <v>#VALUE!</v>
      </c>
      <c r="BO45" s="1523" t="e">
        <v>#VALUE!</v>
      </c>
      <c r="BP45" s="1525" t="e">
        <f aca="false">SUM(AZ45:BB45)</f>
        <v>#VALUE!</v>
      </c>
      <c r="BQ45" s="1529" t="e">
        <f aca="false">SUM(AZ45:BC45)</f>
        <v>#VALUE!</v>
      </c>
      <c r="BR45" s="1519" t="e">
        <f aca="false">SUM(BH45:BJ45)</f>
        <v>#VALUE!</v>
      </c>
      <c r="BS45" s="1529" t="e">
        <f aca="false">SUM(BH45:BK45)</f>
        <v>#VALUE!</v>
      </c>
      <c r="BT45" s="1316" t="n">
        <f aca="false">(IF(OVolType&lt;&gt;2,A45+14,IF(OptExpDateShift,ShiftBack(A45,OptExpDateShift,D44),A45))-DateToday)/365.25</f>
        <v>2.38193018480493</v>
      </c>
      <c r="BU45" s="1585" t="e">
        <f aca="false">IF(BQ45,IF(OPriceCurve,IF(OBuySell=OCallPut,I45/(1-AY45),K45/(1-AY45)),J45/(1-AY45))*BD45,0)</f>
        <v>#VALUE!</v>
      </c>
      <c r="BV45" s="1316" t="e">
        <f aca="false">IF(BQ45,IF(OPriceCurve,IF(OBuySell=OCallPut,L45/(1-AY45),N45/(1-AY45)),M45/(1-AY45))*BE45,0)</f>
        <v>#VALUE!</v>
      </c>
      <c r="BW45" s="1316" t="e">
        <f aca="false">IF(BQ45,IF(OPriceCurve,IF(OBuySell=OCallPut,O45/(1-AY45),Q45/(1-AY45)),P45/(1-AY45))*BF45,0)</f>
        <v>#VALUE!</v>
      </c>
      <c r="BX45" s="1316" t="e">
        <f aca="false">IF(BQ45,IF(OPriceCurve,IF(OBuySell=OCallPut,R45/(1-AY45),T45/(1-AY45)),S45/(1-AY45))*BG45,0)</f>
        <v>#VALUE!</v>
      </c>
      <c r="BY45" s="1316" t="e">
        <f aca="false">IF(BP45,(BU45*AZ45+BV45*BA45+BW45*BB45)/BP45,0)</f>
        <v>#VALUE!</v>
      </c>
      <c r="BZ45" s="1316" t="e">
        <f aca="false">IF(BQ45,(BY45*BP45+BX45*BC45)/BQ45,0)</f>
        <v>#VALUE!</v>
      </c>
      <c r="CA45" s="1531" t="e">
        <f aca="false">IF(BS45,IF(OPriceCurve,IF(OBuySell=OCallPut,I45/(1-AY45),K45/(1-AY45)),J45/(1-AY45))*BL45,0)</f>
        <v>#VALUE!</v>
      </c>
      <c r="CB45" s="1316" t="e">
        <f aca="false">IF(BS45,IF(OPriceCurve,IF(OBuySell=OCallPut,L45/(1-AY45),N45/(1-AY45)),M45/(1-AY45))*BM45,0)</f>
        <v>#VALUE!</v>
      </c>
      <c r="CC45" s="1316" t="e">
        <f aca="false">IF(BS45,IF(OPriceCurve,IF(OBuySell=OCallPut,O45/(1-AY45),Q45/(1-AY45)),P45/(1-AY45))*BN45,0)</f>
        <v>#VALUE!</v>
      </c>
      <c r="CD45" s="1316" t="e">
        <f aca="false">IF(BS45,IF(OPriceCurve,IF(OBuySell=OCallPut,R45/(1-AY45),T45/(1-AY45)),S45/(1-AY45))*BO45,0)</f>
        <v>#VALUE!</v>
      </c>
      <c r="CE45" s="1316" t="e">
        <f aca="false">IF(BR45,(BU45*BH45+BV45*BI45+BW45*BJ45)/BR45,0)</f>
        <v>#VALUE!</v>
      </c>
      <c r="CF45" s="1532" t="e">
        <f aca="false">IF(BS45,(CE45*BR45+CD45*BK45)/BS45,0)</f>
        <v>#VALUE!</v>
      </c>
      <c r="CG45" s="1586" t="e">
        <f aca="false">IF(OR(BQ45,BS45),IF(OVolType&lt;&gt;2,SQRT(IF(OVolOverMonthlyPeak,OVolOverMonthlyPeak,IF(OVolCurve,IF(OBuySell,U45,W45),V45))^2*(1-15/365.25/BT45)+IF(OVolOverDailyPeak,OVolOverDailyPeak,IF(OVolCurve,IF(OBuySell,AG45,AI45),AH45))^2*15/365.25/BT45),IF(OVolOverMonthlyPeak,OVolOverMonthlyPeak,IF(OVolCurve,IF(OBuySell,U45,W45),V45))),"")</f>
        <v>#VALUE!</v>
      </c>
      <c r="CH45" s="1587" t="e">
        <f aca="false">IF(OR(BQ45,BS45),IF(OVolType&lt;&gt;2,SQRT(IF(OVolOverMonthlyPeak,OVolOverMonthlyPeak,IF(OVolCurve,IF(OBuySell,X45,Z45),Y45))^2*(1-15/365.25/BT45)+IF(OVolOverDailyPeak,OVolOverDailyPeak,IF(OVolCurve,IF(OBuySell,AJ45,AL45),AK45))^2*15/365.25/BT45),IF(OVolOverMonthlyPeak,OVolOverMonthlyPeak,IF(OVolCurve,IF(OBuySell,X45,Z45),Y45))),"")</f>
        <v>#VALUE!</v>
      </c>
      <c r="CI45" s="1587" t="e">
        <f aca="false">IF(OR(BQ45,BS45),IF(OVolType&lt;&gt;2,SQRT(IF(OVolOverMonthlyPeak,OVolOverMonthlyPeak,IF(OVolCurve,IF(OBuySell,AA45,AC45),AB45))^2*(1-15/365.25/BT45)+IF(OVolOverDailyPeak,OVolOverDailyPeak,IF(OVolCurve,IF(OBuySell,AM45,AO45),AN45))^2*15/365.25/BT45),IF(OVolOverMonthlyPeak,OVolOverMonthlyPeak,IF(OVolCurve,IF(OBuySell,AA45,AC45),AB45))),"")</f>
        <v>#VALUE!</v>
      </c>
      <c r="CJ45" s="1587" t="e">
        <f aca="false">IF(BQ45,IF(BP45,SQRT(LN(1+((BU45*AZ45)^2*(EXP(CG45^2*BT45)-1)+(BV45*BA45)^2*(EXP(CH45^2*BT45)-1)+(BW45*BB45)^2*(EXP(CI45^2*BT45)-1)+2*BU45*AZ45*BV45*BA45*(EXP(CG45*CH45*BT45)-1)+2*BV45*BA45*BW45*BB45*(EXP(CH45*CI45*BT45)-1)+2*BW45*BB45*BU45*AZ45*(EXP(CI45*CG45*BT45)-1))/(BY45*BP45)^2)/BT45),0),"")</f>
        <v>#VALUE!</v>
      </c>
      <c r="CK45" s="1587" t="e">
        <f aca="false">IF(BS45,IF(BR45,SQRT(LN(1+((CA45*BH45)^2*(EXP(CG45^2*BT45)-1)+(CB45*BI45)^2*(EXP(CH45^2*BT45)-1)+(CC45*BJ45)^2*(EXP(CI45^2*BT45)-1)+2*CA45*BH45*CB45*BI45*(EXP(CG45*CH45*BT45)-1)+2*CB45*BI45*CC45*BJ45*(EXP(CH45*CI45*BT45)-1)+2*CC45*BJ45*CA45*BH45*(EXP(CI45*CG45*BT45)-1))/(CE45*BR45)^2)/BT45),0),"")</f>
        <v>#VALUE!</v>
      </c>
      <c r="CL45" s="1587" t="e">
        <f aca="false">IF(OR(BQ45,BS45),IF(OVolType&lt;&gt;2,SQRT(IF(OVolOverMonthlyOffPeak,OVolOverMonthlyOffPeak,IF(OVolCurve,IF(OBuySell,AD45,AF45),AE45))^2*(1-15/365.25/BT45)+IF(OVolOverDailyOffPeak,OVolOverDailyOffPeak,IF(OVolCurve,IF(OBuySell,AP45,AR45),AQ45))^2*15/365.25/BT45),IF(OVolOverMonthlyOffPeak,OVolOverMonthlyOffPeak,IF(OVolCurve,IF(OBuySell,AD45,AF45),AE45))),"")</f>
        <v>#VALUE!</v>
      </c>
      <c r="CM45" s="1587" t="e">
        <f aca="false">IF(BQ45,SQRT(LN(1+((BY45*BP45)^2*(EXP(CJ45^2*BT45)-1)+(BX45*BC45)^2*(EXP(CL45^2*BT45)-1)+2*BY45*BP45*BX45*BC45*(EXP(AS45*CJ45*CL45*BT45)-1))/(BY45*BP45+BX45*BC45)^2)/BT45),"")</f>
        <v>#VALUE!</v>
      </c>
      <c r="CN45" s="1588" t="e">
        <f aca="false">IF(BS45,SQRT(LN(1+((CE45*BR45)^2*(EXP(CK45^2*BT45)-1)+(CD45*BK45)^2*(EXP(CL45^2*BT45)-1)+2*CE45*BR45*CD45*BK45*(EXP(AS45*CK45*CL45*BT45)-1))/(CE45*BR45+CD45*BK45)^2)/BT45),"")</f>
        <v>#VALUE!</v>
      </c>
      <c r="CO45" s="1531" t="e">
        <f aca="false">IF(OR(BQ45,BS45),VLOOKUP(A45,GasTable,13)*HeatRatePeak*(1+VLOOKUP($B45,HeatRateDegradation,$C45+1))/1000,0)</f>
        <v>#VALUE!</v>
      </c>
      <c r="CP45" s="1316" t="e">
        <f aca="false">IF(OR(BQ45,BS45),VLOOKUP(A45,GasTable,13)*HeatRatePeak*(1+VLOOKUP($B45,HeatRateDegradation,$C45+1))/1000,0)</f>
        <v>#VALUE!</v>
      </c>
      <c r="CQ45" s="1316" t="e">
        <f aca="false">IF(OR(BQ45,BS45),VLOOKUP(A45,GasTable,13)*IF(EV45,HeatRatePeak,HeatRateOffPeak)*(1+VLOOKUP($B45,HeatRateDegradation,$C45+1))/1000,0)</f>
        <v>#VALUE!</v>
      </c>
      <c r="CR45" s="1316" t="e">
        <f aca="false">IF(OR(BQ45,BS45),VLOOKUP(A45,GasTable,13)*IF(EW45,HeatRatePeak,HeatRateOffPeak)*(1+VLOOKUP($B45,HeatRateDegradation,$C45+1))/1000,0)</f>
        <v>#VALUE!</v>
      </c>
      <c r="CS45" s="1589" t="e">
        <f aca="false">IF(BQ45,(CO45*AZ45+CP45*BA45+CQ45*BB45+CR45*BC45)/BQ45,0)</f>
        <v>#VALUE!</v>
      </c>
      <c r="CT45" s="1316" t="e">
        <f aca="false">IF(BS45,CO45,0)</f>
        <v>#VALUE!</v>
      </c>
      <c r="CU45" s="1590" t="e">
        <f aca="false">IF(OR(BQ45,BS45),VLOOKUP(A45,GasTable,14),"")</f>
        <v>#VALUE!</v>
      </c>
      <c r="CV45" s="1568" t="e">
        <f aca="false">IF(OR(BQ45,BS45),IF(CorrPowerGasOverFlag,INDEX(CorrPowerGasOver,C45),CorrPowerGas),"")</f>
        <v>#VALUE!</v>
      </c>
      <c r="CW45" s="1316" t="e">
        <f aca="false">IF(OR($BQ45,$BS45),SpreadOptPowerMargin,0)*((1+Assumptions!$C$26)^($B45-YEAR(Assumptions!$C$17)))</f>
        <v>#VALUE!</v>
      </c>
      <c r="CX45" s="1316" t="e">
        <f aca="false">IF(OR($BQ45,$BS45),SpreadOptPowerMargin,0)*((1+Assumptions!$C$26)^($B45-YEAR(Assumptions!$C$17)))</f>
        <v>#VALUE!</v>
      </c>
      <c r="CY45" s="1316" t="e">
        <f aca="false">IF(OR($BQ45,$BS45),SpreadOptPowerMargin,0)*((1+Assumptions!$C$26)^($B45-YEAR(Assumptions!$C$17)))</f>
        <v>#VALUE!</v>
      </c>
      <c r="CZ45" s="1316" t="e">
        <f aca="false">IF(OR($BQ45,$BS45),SpreadOptPowerMargin,0)*((1+Assumptions!$C$26)^($B45-YEAR(Assumptions!$C$17)))</f>
        <v>#VALUE!</v>
      </c>
      <c r="DA45" s="1591" t="e">
        <f aca="false">IF(OR(BQ45,BS45),(CW45*(AZ45+BH45)+CX45*(BA45+BI45)+CY45*(BB45+BJ45)+CZ45*(BC45+BK45))/(BQ45+BS45),0)</f>
        <v>#VALUE!</v>
      </c>
      <c r="DB45" s="1592" t="e">
        <f aca="false">IF(OR(BQ45,BS45),CG45+IF(OVolSmile,VLOOKUP(MAX(-5,CO45+CW45-BU45),IF(OVolSmile=1,VolSmileBook,VolSmileModel),2),0),"")</f>
        <v>#VALUE!</v>
      </c>
      <c r="DC45" s="1592" t="e">
        <f aca="false">IF(OR(BQ45,BS45),CH45+IF(OVolSmile,VLOOKUP(MAX(-5,CP45+CW45-BV45),IF(OVolSmile=1,VolSmileBook,VolSmileModel),2),0),"")</f>
        <v>#VALUE!</v>
      </c>
      <c r="DD45" s="1592" t="e">
        <f aca="false">IF(OR(BQ45,BS45),CI45+IF(OVolSmile,VLOOKUP(MAX(-5,CQ45+CW45-BW45),IF(OVolSmile=1,VolSmileBook,VolSmileModel),2),0),"")</f>
        <v>#VALUE!</v>
      </c>
      <c r="DE45" s="1592" t="e">
        <f aca="false">IF(OR(BQ45,BS45),CL45+IF(OVolSmile,VLOOKUP(MAX(-5,CR45+CZ45-BX45),IF(OVolSmile=1,VolSmileBook,VolSmileModel),2),0),"")</f>
        <v>#VALUE!</v>
      </c>
      <c r="DF45" s="1592" t="e">
        <f aca="false">IF(BQ45,CM45+IF(OVolSmile,VLOOKUP(MAX(-5,CS45+DA45-BZ45),IF(OVolSmile=1,VolSmileBook,VolSmileModel),2),0),"")</f>
        <v>#VALUE!</v>
      </c>
      <c r="DG45" s="1593" t="e">
        <f aca="false">IF(BS45,CN45+IF(OVolSmile,VLOOKUP(MAX(-5,CT45+DA45-CF45),IF(OVolSmile=1,VolSmileBook,VolSmileModel),2),0),"")</f>
        <v>#VALUE!</v>
      </c>
      <c r="DH45" s="1316" t="e">
        <f aca="false">IF(AND(BU45&gt;0,CO45&gt;0,DB45&gt;0,CU45&gt;0),newSPRDOPT(BU45,CO45,CW45,0,DB45,CU45,CV45,BT45*365.25,OCallPut,0),0)</f>
        <v>#VALUE!</v>
      </c>
      <c r="DI45" s="1316" t="e">
        <f aca="false">IF(AND(BV45&gt;0,CP45&gt;0,DC45&gt;0,CU45&gt;0),newSPRDOPT(BV45,CP45,CX45,0,DC45,CU45,CV45,BT45*365.25,OCallPut,0),0)</f>
        <v>#VALUE!</v>
      </c>
      <c r="DJ45" s="1316" t="e">
        <f aca="false">IF(AND(BW45&gt;0,CQ45&gt;0,DD45&gt;0,CU45&gt;0),newSPRDOPT(BW45,CQ45,CY45,0,DD45,CU45,CV45,BT45*365.25,OCallPut,0),0)</f>
        <v>#VALUE!</v>
      </c>
      <c r="DK45" s="1316" t="e">
        <f aca="false">IF(AND(BX45&gt;0,CR45&gt;0,DE45&gt;0,CU45&gt;0),newSPRDOPT(BX45,CR45,CZ45,0,DE45,CU45,CV45,BT45*365.25,OCallPut,0),0)</f>
        <v>#VALUE!</v>
      </c>
      <c r="DL45" s="1316" t="e">
        <f aca="false">IF(OVolType,IF(AND(BZ45&gt;0,CS45&gt;0,DF45&gt;0,CU45&gt;0),newSPRDOPT(BZ45,CS45,DA45,0,DF45,CU45,CV45,BT45*365.25,OCallPut,0),0),IF(BQ45,(DH45*AZ45+DI45*BA45+DJ45*BB45+DK45*BC45)/BQ45,0))</f>
        <v>#VALUE!</v>
      </c>
      <c r="DM45" s="1316"/>
      <c r="DN45" s="1316"/>
      <c r="DO45" s="1316"/>
      <c r="DP45" s="1316"/>
      <c r="DQ45" s="1316"/>
      <c r="DR45" s="1316"/>
      <c r="DS45" s="1316"/>
      <c r="DT45" s="1316"/>
      <c r="DU45" s="1316"/>
      <c r="DV45" s="1316"/>
      <c r="DW45" s="1594" t="e">
        <f aca="false">IF(AND(BW45&gt;0,CT45&gt;0,DD45&gt;0,CU45&gt;0),newSPRDOPT(BW45,CT45,CY45,0,DD45,CU45,CV45,BT45*365.25,OCallPut,0),0)</f>
        <v>#VALUE!</v>
      </c>
      <c r="DX45" s="1316" t="e">
        <f aca="false">IF(AND(BX45&gt;0,CT45&gt;0,DE45&gt;0,CU45&gt;0),newSPRDOPT(BX45,CT45,CZ45,0,DE45,CU45,CV45,BT45*365.25,OCallPut,0),0)</f>
        <v>#VALUE!</v>
      </c>
      <c r="DY45" s="1591" t="e">
        <f aca="false">IF(BS45,(DH45*BH45+DI45*BI45+DW45*BJ45+DX45*BK45)/BS45,0)</f>
        <v>#VALUE!</v>
      </c>
      <c r="DZ45" s="1551" t="e">
        <f aca="false">DH45*AZ45</f>
        <v>#VALUE!</v>
      </c>
      <c r="EA45" s="1551" t="e">
        <f aca="false">DI45*BA45</f>
        <v>#VALUE!</v>
      </c>
      <c r="EB45" s="1551" t="e">
        <f aca="false">DJ45*BB45</f>
        <v>#VALUE!</v>
      </c>
      <c r="EC45" s="1551" t="e">
        <f aca="false">DK45*BC45</f>
        <v>#VALUE!</v>
      </c>
      <c r="ED45" s="1551" t="e">
        <f aca="false">DL45*BQ45</f>
        <v>#VALUE!</v>
      </c>
      <c r="EE45" s="1595" t="e">
        <f aca="false">IF(BQ45,IF(OCallPut,IF(BU45&gt;(CO45+CW45),BU45-(CO45+CW45),0),IF((CO45+CW45)&gt;BU45,(CO45+CW45)-BU45,0))*AZ45,0)</f>
        <v>#VALUE!</v>
      </c>
      <c r="EF45" s="1596" t="e">
        <f aca="false">IF(BQ45,IF(OCallPut,IF(BV45&gt;(CP45+CX45),BV45-(CP45+CX45),0),IF((CP45+CX45)&gt;BV45,(CP45+CX45)-BV45,0))*BA45,0)</f>
        <v>#VALUE!</v>
      </c>
      <c r="EG45" s="1596" t="e">
        <f aca="false">IF(BQ45,IF(OCallPut,IF(BW45&gt;(CQ45+CY45),BW45-(CQ45+CY45),0),IF((CQ45+CY45)&gt;BW45,(CQ45+CY45)-BW45,0))*BB45,0)</f>
        <v>#VALUE!</v>
      </c>
      <c r="EH45" s="1596" t="e">
        <f aca="false">IF(BQ45,IF(OCallPut,IF(BX45&gt;(CR45+CZ45),BX45-(CR45+CZ45),0),IF((CR45+CZ45)&gt;BX45,(CR45+CZ45)-BX45,0))*BC45,0)</f>
        <v>#VALUE!</v>
      </c>
      <c r="EI45" s="1597" t="e">
        <f aca="false">IF(BQ45,IF(OVolType,IF(OCallPut,IF(BZ45&gt;(CS45+DA45),BZ45-(CS45+DA45),0),IF((CS45+DA45)&gt;BZ45,(CS45+DA45)-BZ45,0))*BQ45,SUM(EE45:EH45)),0)</f>
        <v>#VALUE!</v>
      </c>
      <c r="EJ45" s="1595" t="e">
        <f aca="false">DZ45-EE45</f>
        <v>#VALUE!</v>
      </c>
      <c r="EK45" s="1596" t="e">
        <f aca="false">EA45-EF45</f>
        <v>#VALUE!</v>
      </c>
      <c r="EL45" s="1596" t="e">
        <f aca="false">EB45-EG45</f>
        <v>#VALUE!</v>
      </c>
      <c r="EM45" s="1596" t="e">
        <f aca="false">EC45-EH45</f>
        <v>#VALUE!</v>
      </c>
      <c r="EN45" s="1597" t="e">
        <f aca="false">ED45-EI45</f>
        <v>#VALUE!</v>
      </c>
      <c r="EO45" s="1551" t="e">
        <f aca="false">DH45*BH45</f>
        <v>#VALUE!</v>
      </c>
      <c r="EP45" s="1551" t="e">
        <f aca="false">DI45*BI45</f>
        <v>#VALUE!</v>
      </c>
      <c r="EQ45" s="1551" t="e">
        <f aca="false">DW45*BJ45</f>
        <v>#VALUE!</v>
      </c>
      <c r="ER45" s="1551" t="e">
        <f aca="false">DX45*BK45</f>
        <v>#VALUE!</v>
      </c>
      <c r="ES45" s="1551" t="e">
        <f aca="false">DY45*BS45</f>
        <v>#VALUE!</v>
      </c>
      <c r="ET45" s="1566" t="e">
        <f aca="false">IF(EI45,IF(OCallPut,IF(CA45&gt;(CT45+CW45),CA45-(CT45+CW45),0),IF((CT45+CW45)&gt;CA45,(CT45+CW45)-CA45,0))*BH45,0)</f>
        <v>#VALUE!</v>
      </c>
      <c r="EU45" s="1551" t="e">
        <f aca="false">IF(EI45,IF(OCallPut,IF(CB45&gt;(CT45+CX45),CB45-(CT45+CX45),0),IF((CT45+CX45)&gt;CB45,(CT45+CX45)-CB45,0))*BI45,0)</f>
        <v>#VALUE!</v>
      </c>
      <c r="EV45" s="1551" t="e">
        <f aca="false">IF(EI45,IF(OCallPut,IF(CC45&gt;(CT45+CY45),CC45-(CT45+CY45),0),IF((CT45+CY45)&gt;CC45,(CT45+CY45)-CC45,0))*BJ45,0)</f>
        <v>#VALUE!</v>
      </c>
      <c r="EW45" s="1551" t="e">
        <f aca="false">IF(EI45,IF(OCallPut,IF(CD45&gt;(CT45+CZ45),CD45-(CT45+CZ45),0),IF((CT45+CZ45)&gt;CD45,(CT45+CZ45)-CD45,0))*BK45,0)</f>
        <v>#VALUE!</v>
      </c>
      <c r="EX45" s="1558" t="e">
        <f aca="false">IF(EI45,SUM(ET45:EW45),0)</f>
        <v>#VALUE!</v>
      </c>
      <c r="EY45" s="1551" t="e">
        <f aca="false">EO45-ET45</f>
        <v>#VALUE!</v>
      </c>
      <c r="EZ45" s="1551" t="e">
        <f aca="false">EP45-EU45</f>
        <v>#VALUE!</v>
      </c>
      <c r="FA45" s="1551" t="e">
        <f aca="false">EQ45-EV45</f>
        <v>#VALUE!</v>
      </c>
      <c r="FB45" s="1551" t="e">
        <f aca="false">ER45-EW45</f>
        <v>#VALUE!</v>
      </c>
      <c r="FC45" s="1551" t="e">
        <f aca="false">ES45-EX45</f>
        <v>#VALUE!</v>
      </c>
      <c r="FD45" s="1525" t="n">
        <f aca="false">IF(AX45,IF(VLOOKUP(C45,MAIN!$L$17:$M$28,2)="Yes",VLOOKUP(CALC!B45,MAIN!$H$17:$I$20,2),0),0)</f>
        <v>0</v>
      </c>
      <c r="FE45" s="1552" t="n">
        <f aca="false">$FD45*16*AT45*(1-$AY45)</f>
        <v>0</v>
      </c>
      <c r="FF45" s="1553" t="n">
        <f aca="false">$FD45*16*AU45*(1-$AY45)</f>
        <v>0</v>
      </c>
      <c r="FG45" s="1553" t="n">
        <f aca="false">$FD45*16*(AV45+AW45)*(1-$AY45)</f>
        <v>0</v>
      </c>
      <c r="FH45" s="1554" t="n">
        <f aca="false">$FD45*8*AX45*(1-$AY45)</f>
        <v>0</v>
      </c>
      <c r="FI45" s="1555" t="n">
        <f aca="false">IF(AX45,VLOOKUP(CALC!B45,MAIN!$H$17:$K$20,4),0)</f>
        <v>0</v>
      </c>
      <c r="FJ45" s="1553" t="n">
        <f aca="false">SUM(FE45:FH45)</f>
        <v>0</v>
      </c>
      <c r="FK45" s="1556" t="n">
        <f aca="false">FI45*FJ45</f>
        <v>0</v>
      </c>
      <c r="FL45" s="1551" t="e">
        <f aca="false">IF($EI45&gt;0,MIN(FE45,AZ45*(1+VLOOKUP($C45,WeatherCapacityAdjustment,2))),0)</f>
        <v>#VALUE!</v>
      </c>
      <c r="FM45" s="1551" t="e">
        <f aca="false">IF($EI45&gt;0,MIN(FF45,BA45*(1+VLOOKUP($C45,WeatherCapacityAdjustment,2))),0)</f>
        <v>#VALUE!</v>
      </c>
      <c r="FN45" s="1551" t="e">
        <f aca="false">IF($EI45&gt;0,MIN(FG45,BB45*(1+VLOOKUP($C45,WeatherCapacityAdjustment,2))),0)</f>
        <v>#VALUE!</v>
      </c>
      <c r="FO45" s="1564" t="e">
        <f aca="false">IF($EI45&gt;0,MIN(FH45,BC45*(1+VLOOKUP($C45,WeatherCapacityAdjustment,3))),0)</f>
        <v>#VALUE!</v>
      </c>
      <c r="FP45" s="1551" t="e">
        <f aca="false">IF(ET45&gt;0,MIN(FE45-FL45,BH45*(1+VLOOKUP($C45,WeatherCapacityAdjustment,2))),0)</f>
        <v>#VALUE!</v>
      </c>
      <c r="FQ45" s="1551" t="e">
        <f aca="false">IF(EU45&gt;0,MIN(FF45-FM45,BI45*(1+VLOOKUP($C45,WeatherCapacityAdjustment,2))),0)</f>
        <v>#VALUE!</v>
      </c>
      <c r="FR45" s="1551" t="e">
        <f aca="false">IF(EV45&gt;0,MIN(FG45-FN45,BJ45*(1+VLOOKUP($C45,WeatherCapacityAdjustment,2))),0)</f>
        <v>#VALUE!</v>
      </c>
      <c r="FS45" s="1558" t="e">
        <f aca="false">IF(EW45&gt;0,MIN(FH45-FO45,BK45*(1+VLOOKUP($C45,WeatherCapacityAdjustment,3))),0)</f>
        <v>#VALUE!</v>
      </c>
      <c r="FT45" s="1566" t="n">
        <f aca="false">IF(AND(Assumptions!$H$71="Yes",A45&gt;=Assumptions!$H$72,A45&lt;=Assumptions!$H$73),0,IF(AND($A45&gt;=Assumptions!$C$17,$A45&lt;=Assumptions!$C$18),MAX(AZ45*(1+VLOOKUP($C45,WeatherCapacityAdjustment,2))-FL45,0),0))</f>
        <v>0</v>
      </c>
      <c r="FU45" s="1551" t="n">
        <f aca="false">IF(AND(Assumptions!$H$71="Yes",A45&gt;=Assumptions!$H$72,A45&lt;=Assumptions!$H$73),0,IF(AND($A45&gt;=Assumptions!$C$17,$A45&lt;=Assumptions!$C$18),MAX(BA45*(1+VLOOKUP($C45,WeatherCapacityAdjustment,2))-FM45,0),0))</f>
        <v>0</v>
      </c>
      <c r="FV45" s="1551" t="n">
        <f aca="false">IF(AND(Assumptions!$H$71="Yes",A45&gt;=Assumptions!$H$72,A45&lt;=Assumptions!$H$73),0,IF(AND($A45&gt;=Assumptions!$C$17,$A45&lt;=Assumptions!$C$18),MAX(BB45*(1+VLOOKUP($C45,WeatherCapacityAdjustment,2))-FN45,0),0))</f>
        <v>0</v>
      </c>
      <c r="FW45" s="1564" t="n">
        <f aca="false">IF(AND(Assumptions!$H$71="Yes",A45&gt;=Assumptions!$H$72,A45&lt;=Assumptions!$H$73),0,IF(AND($A45&gt;=Assumptions!$C$17,$A45&lt;=Assumptions!$C$18),MAX(BC45*(1+VLOOKUP($C45,WeatherCapacityAdjustment,3))-FO45,0),0))</f>
        <v>0</v>
      </c>
      <c r="FX45" s="1569" t="e">
        <f aca="false">IF(AND(Assumptions!$H$71="Yes",A45&gt;=Assumptions!$H$72,A45&lt;=Assumptions!$H$73),0,IF(ET45&gt;0,MAX(BH45*(1+VLOOKUP($C45,WeatherCapacityAdjustment,2))-FP45,0),0))</f>
        <v>#VALUE!</v>
      </c>
      <c r="FY45" s="1551" t="e">
        <f aca="false">IF(AND(Assumptions!$H$71="Yes",A45&gt;=Assumptions!$H$72,A45&lt;=Assumptions!$H$73),0,IF(EU45&gt;0,MAX(BI45*(1+VLOOKUP($C45,WeatherCapacityAdjustment,3))-FQ45,0),0))</f>
        <v>#VALUE!</v>
      </c>
      <c r="FZ45" s="1551" t="e">
        <f aca="false">IF(AND(Assumptions!$H$71="Yes",A45&gt;=Assumptions!$H$72,A45&lt;=Assumptions!$H$73),0,IF(EV45&gt;0,MAX(BJ45*(1+VLOOKUP($C45,WeatherCapacityAdjustment,2))-FR45,0),0))</f>
        <v>#VALUE!</v>
      </c>
      <c r="GA45" s="1564" t="e">
        <f aca="false">IF(AND(Assumptions!$H$71="Yes",A45&gt;=Assumptions!$H$72,A45&lt;=Assumptions!$H$73),0,IF(EW45&gt;0,MAX(BK45*(1+VLOOKUP($C45,WeatherCapacityAdjustment,2))-FS45,0),0))</f>
        <v>#VALUE!</v>
      </c>
      <c r="GB45" s="1551" t="e">
        <f aca="false">SUM(FT45:GA45)</f>
        <v>#VALUE!</v>
      </c>
      <c r="GC45" s="1563" t="e">
        <f aca="false">+IF(SUM(FT45:GA45)=0,0,(SUMPRODUCT(BU45:BX45,FT45:FW45)+SUMPRODUCT(CA45:CD45,FX45:GA45))/SUM(FT45:GA45))</f>
        <v>#VALUE!</v>
      </c>
      <c r="GD45" s="1551" t="e">
        <f aca="false">(FT45*BU45+FX45*CA45+FU45*BV45+FY45*CB45+FV45*BW45+FZ45*CC45+FW45*BX45+GA45*CD45)</f>
        <v>#VALUE!</v>
      </c>
      <c r="GE45" s="1561" t="e">
        <f aca="false">+IF(BQ45,((FL45+FM45+FT45+FU45)*HeatRatePeak/1000*(1+VLOOKUP($C45,WeatherHeatRateAdjustment,2))+(FN45+FV45)*IF(EV45&gt;0,HeatRatePeak,HeatRateOffPeak)/1000*(1+VLOOKUP($C45,WeatherHeatRateAdjustment,2))+(FO45+FW45)*IF(EW45&gt;0,HeatRatePeak,HeatRateOffPeak)/1000*(1+VLOOKUP($C45,WeatherHeatRateAdjustment,3)))*(1+VLOOKUP($B45,HeatRateDegradation,$C45+1)),0)</f>
        <v>#VALUE!</v>
      </c>
      <c r="GF45" s="1562" t="e">
        <f aca="false">IF(BQ45,((FP45+FQ45+FR45+FX45+FY45+FZ45)*HeatRatePeak/1000*(1+VLOOKUP($C45,WeatherHeatRateAdjustment,2))+(FS45+GA45)*HeatRatePeak/1000*(1+VLOOKUP($C45,WeatherHeatRateAdjustment,3)))*(1+VLOOKUP($B45,HeatRateDegradation,$C45+1)),0)</f>
        <v>#VALUE!</v>
      </c>
      <c r="GG45" s="1563" t="e">
        <f aca="false">IF(BQ45,VLOOKUP(A45,GasTable,13),0)</f>
        <v>#VALUE!</v>
      </c>
      <c r="GH45" s="1564" t="e">
        <f aca="false">(GE45+GF45)*GG45</f>
        <v>#VALUE!</v>
      </c>
      <c r="GI45" s="1569" t="e">
        <f aca="false">GB45</f>
        <v>#VALUE!</v>
      </c>
      <c r="GJ45" s="1598" t="e">
        <f aca="false">+DA45</f>
        <v>#VALUE!</v>
      </c>
      <c r="GK45" s="1558" t="e">
        <f aca="false">+GI45*GJ45</f>
        <v>#VALUE!</v>
      </c>
      <c r="GL45" s="1566" t="e">
        <f aca="false">MAX(FE45-FL45-FP45,0)</f>
        <v>#VALUE!</v>
      </c>
      <c r="GM45" s="1551" t="e">
        <f aca="false">MAX(FF45-FM45-FQ45,0)</f>
        <v>#VALUE!</v>
      </c>
      <c r="GN45" s="1551" t="e">
        <f aca="false">MAX(FG45-FN45-FR45,0)</f>
        <v>#VALUE!</v>
      </c>
      <c r="GO45" s="1564" t="e">
        <f aca="false">MAX(FH45-FO45-FS45,0)</f>
        <v>#VALUE!</v>
      </c>
      <c r="GP45" s="1551" t="e">
        <f aca="false">SUM(GL45:GO45)</f>
        <v>#VALUE!</v>
      </c>
      <c r="GQ45" s="1563" t="e">
        <f aca="false">IF(SUM(GL45:GO45)=0,0,((GL45*BU45+GM45*BV45+GN45*BW45+GO45*BX45)/SUM(GL45:GO45)))</f>
        <v>#VALUE!</v>
      </c>
      <c r="GR45" s="1558" t="e">
        <f aca="false">(GL45*BU45+GM45*BV45+GN45*BW45+GO45*BX45)</f>
        <v>#VALUE!</v>
      </c>
      <c r="GS45" s="1566" t="n">
        <f aca="false">IF($A45&gt;=BegDate,Assumptions!$C$56*24*($A46-$A45)*(1-VLOOKUP($B45,MAIN!$AA$7:$AM$28,$C45+1))*(1-VLOOKUP($B45,MAIN!$AA$33:$AM$54,$C45+1)),0)*80/168</f>
        <v>0</v>
      </c>
      <c r="GT45" s="286" t="n">
        <f aca="false">J45</f>
        <v>45.5414292</v>
      </c>
      <c r="GU45" s="286" t="n">
        <f aca="false">IF($A45&gt;=BegDate,VLOOKUP($A45,GasTable,13)+Assumptions!$C$58,0)</f>
        <v>0</v>
      </c>
      <c r="GV45" s="286" t="n">
        <f aca="false">GU45*Assumptions!$C$57/1000</f>
        <v>0</v>
      </c>
      <c r="GW45" s="1558" t="n">
        <f aca="false">IF(Assumptions!$C$60="Hourly",MAX(0,GS45*(GT45-GV45)),GS45*(GT45-GV45))</f>
        <v>0</v>
      </c>
      <c r="GX45" s="1566" t="n">
        <f aca="false">IF($A45&gt;=BegDate,Assumptions!$C$56*24*($A46-$A45)*(1-VLOOKUP($B45,MAIN!$AA$7:$AM$28,$C45+1))*(1-VLOOKUP($B45,MAIN!$AA$33:$AM$54,$C45+1)),0)*16/168</f>
        <v>0</v>
      </c>
      <c r="GY45" s="286" t="n">
        <f aca="false">M45</f>
        <v>45.5414292</v>
      </c>
      <c r="GZ45" s="286" t="n">
        <f aca="false">IF($A45&gt;=BegDate,VLOOKUP($A45,GasTable,13)+Assumptions!$C$58,0)</f>
        <v>0</v>
      </c>
      <c r="HA45" s="286" t="n">
        <f aca="false">GZ45*Assumptions!$C$57/1000</f>
        <v>0</v>
      </c>
      <c r="HB45" s="1558" t="n">
        <f aca="false">IF(Assumptions!$C$60="Hourly",MAX(0,GX45*(GY45-HA45)),GX45*(GY45-HA45))</f>
        <v>0</v>
      </c>
      <c r="HC45" s="1566" t="n">
        <f aca="false">IF($A45&gt;=BegDate,Assumptions!$C$56*24*($A46-$A45)*(1-VLOOKUP($B45,MAIN!$AA$7:$AM$28,$C45+1))*(1-VLOOKUP($B45,MAIN!$AA$33:$AM$54,$C45+1)),0)*16/168</f>
        <v>0</v>
      </c>
      <c r="HD45" s="286" t="n">
        <f aca="false">P45</f>
        <v>26.21360628</v>
      </c>
      <c r="HE45" s="286" t="n">
        <f aca="false">IF($A45&gt;=BegDate,VLOOKUP($A45,GasTable,13)+Assumptions!$C$58,0)</f>
        <v>0</v>
      </c>
      <c r="HF45" s="286" t="n">
        <f aca="false">HE45*Assumptions!$C$57/1000</f>
        <v>0</v>
      </c>
      <c r="HG45" s="1558" t="n">
        <f aca="false">IF(Assumptions!$C$60="Hourly",MAX(0,HC45*(HD45-HF45)),HC45*(HD45-HF45))</f>
        <v>0</v>
      </c>
      <c r="HH45" s="1566" t="n">
        <f aca="false">IF($A45&gt;=BegDate,Assumptions!$C$56*24*($A46-$A45)*(1-VLOOKUP($B45,MAIN!$AA$7:$AM$28,$C45+1))*(1-VLOOKUP($B45,MAIN!$AA$33:$AM$54,$C45+1)),0)*56/168</f>
        <v>0</v>
      </c>
      <c r="HI45" s="286" t="n">
        <f aca="false">S45</f>
        <v>26.21360628</v>
      </c>
      <c r="HJ45" s="286" t="n">
        <f aca="false">IF($A45&gt;=BegDate,VLOOKUP($A45,GasTable,13)+Assumptions!$C$58,0)</f>
        <v>0</v>
      </c>
      <c r="HK45" s="286" t="n">
        <f aca="false">HJ45*Assumptions!$C$57/1000</f>
        <v>0</v>
      </c>
      <c r="HL45" s="1558" t="n">
        <f aca="false">IF(Assumptions!$C$60="Hourly",MAX(0,HH45*(HI45-HK45)),HH45*(HI45-HK45))</f>
        <v>0</v>
      </c>
      <c r="HM45" s="1566" t="n">
        <f aca="false">IF(AND(Assumptions!$H$71="Yes",A45&gt;=Assumptions!$H$72,A45&lt;=Assumptions!$H$73),Assumptions!$H$74*Assumptions!$C$9*1000,0)</f>
        <v>0</v>
      </c>
      <c r="HN45" s="1551"/>
      <c r="HO45" s="1563"/>
      <c r="HP45" s="1563"/>
      <c r="HQ45" s="1563"/>
      <c r="HR45" s="1563"/>
      <c r="HS45" s="1563"/>
      <c r="HT45" s="1563"/>
      <c r="HU45" s="1563"/>
      <c r="HV45" s="1563"/>
      <c r="HW45" s="1563"/>
      <c r="HX45" s="1563"/>
      <c r="HY45" s="1563"/>
      <c r="HZ45" s="1563"/>
      <c r="IA45" s="1563"/>
      <c r="IB45" s="1563"/>
      <c r="IC45" s="1563"/>
      <c r="ID45" s="1563"/>
      <c r="IE45" s="1563"/>
      <c r="IF45" s="1563"/>
      <c r="IG45" s="1563"/>
      <c r="IH45" s="1563"/>
      <c r="II45" s="1610"/>
      <c r="IJ45" s="1309"/>
      <c r="IK45" s="1309"/>
    </row>
    <row r="46" customFormat="false" ht="12.75" hidden="false" customHeight="false" outlineLevel="0" collapsed="false">
      <c r="A46" s="1571" t="n">
        <f aca="false">EOMONTH(A45,0)+1</f>
        <v>37530</v>
      </c>
      <c r="B46" s="594" t="n">
        <f aca="false">+YEAR(A46)</f>
        <v>2002</v>
      </c>
      <c r="C46" s="238" t="n">
        <f aca="false">MONTH(A46)</f>
        <v>10</v>
      </c>
      <c r="D46" s="1572" t="str">
        <f aca="false">IF(E46="","",Holiday(B46,C46))</f>
        <v/>
      </c>
      <c r="E46" s="1573" t="str">
        <f aca="false">IF(OR(BegDate&gt;=A47,EndDate&lt;A46,AND(VolumeMonthlyOverFlag,INDEX(VolumeMonthlyOver,C46)=0),NOT(INDEX(MonthKnockOutTable,C46))),"",MAX(A46,BegDate))</f>
        <v/>
      </c>
      <c r="F46" s="1574" t="str">
        <f aca="false">IF(E46="","",MIN(A47-1,EndDate))</f>
        <v/>
      </c>
      <c r="G46" s="1575" t="n">
        <v>0</v>
      </c>
      <c r="H46" s="1576" t="n">
        <f aca="false">(1+G46/2)^(-2*(DATE(B47,C47,20)-DateToday)/365.25)</f>
        <v>1</v>
      </c>
      <c r="I46" s="1568" t="n">
        <f aca="false">IF(Assumptions!$L$25=4,VLOOKUP($A46,'Henwood Reference'!$E$9:$R$320,10),(VLOOKUP($A46,PriceTable,2,0)+IF(BasisNumber&lt;&gt;1,VLOOKUP($A46,BasisTable,2,0),0)+I$1)/(1-I$2))</f>
        <v>35.52144084</v>
      </c>
      <c r="J46" s="1568" t="n">
        <f aca="false">IF(Assumptions!$L$25=4,VLOOKUP($A46,'Henwood Reference'!$E$9:$R$320,10),(VLOOKUP($A46,PriceTable,3,0)+IF(BasisNumber&lt;&gt;1,VLOOKUP($A46,BasisTable,2,0),0)+J$1)/(1-J$2))</f>
        <v>35.52144084</v>
      </c>
      <c r="K46" s="1568" t="n">
        <f aca="false">IF(Assumptions!$L$25=4,VLOOKUP($A46,'Henwood Reference'!$E$9:$R$320,10),(VLOOKUP($A46,PriceTable,4,0)+IF(BasisNumber&lt;&gt;1,VLOOKUP($A46,BasisTable,2,0),0)+K$1)/(1-K$2))</f>
        <v>35.52144084</v>
      </c>
      <c r="L46" s="1523" t="n">
        <f aca="false">IF(Assumptions!$L$25=4,VLOOKUP($A46,'Henwood Reference'!$E$9:$R$320,10),(VLOOKUP($A46,PriceTableWeekend,2,0)+IF(BasisNumber&lt;&gt;1,VLOOKUP($A46,BasisTable,2,0),0)+L$1)/(1-L$2))</f>
        <v>35.52144084</v>
      </c>
      <c r="M46" s="1568" t="n">
        <f aca="false">IF(Assumptions!$L$25=4,VLOOKUP($A46,'Henwood Reference'!$E$9:$R$320,10),(VLOOKUP($A46,PriceTableWeekend,3,0)+IF(BasisNumber&lt;&gt;1,VLOOKUP($A46,BasisTable,2,0),0)+M$1)/(1-M$2))</f>
        <v>35.52144084</v>
      </c>
      <c r="N46" s="1599" t="n">
        <f aca="false">IF(Assumptions!$L$25=4,VLOOKUP($A46,'Henwood Reference'!$E$9:$R$320,10),(VLOOKUP($A46,PriceTableWeekend,4,0)+IF(BasisNumber&lt;&gt;1,VLOOKUP($A46,BasisTable,2,0),0)+N$1)/(1-N$2))</f>
        <v>35.52144084</v>
      </c>
      <c r="O46" s="1568" t="n">
        <f aca="false">IF(Assumptions!$L$25=4,VLOOKUP($A46,'Henwood Reference'!$E$9:$R$320,11),(VLOOKUP($A46,PriceTableWeekend,6,0)+IF(BasisNumber&lt;&gt;1,VLOOKUP($A46,BasisTable,3,0),0)+O$1)/(1-O$2))</f>
        <v>23.29705296</v>
      </c>
      <c r="P46" s="1568" t="n">
        <f aca="false">IF(Assumptions!$L$25=4,VLOOKUP($A46,'Henwood Reference'!$E$9:$R$320,11),(VLOOKUP($A46,PriceTableWeekend,7,0)+IF(BasisNumber&lt;&gt;1,VLOOKUP($A46,BasisTable,3,0),0)+P$1)/(1-P$2))</f>
        <v>23.29705296</v>
      </c>
      <c r="Q46" s="1599" t="n">
        <f aca="false">IF(Assumptions!$L$25=4,VLOOKUP($A46,'Henwood Reference'!$E$9:$R$320,11),(VLOOKUP($A46,PriceTableWeekend,8,0)+IF(BasisNumber&lt;&gt;1,VLOOKUP($A46,BasisTable,3,0),0)+Q$1)/(1-Q$2))</f>
        <v>23.29705296</v>
      </c>
      <c r="R46" s="1568" t="n">
        <f aca="false">IF(Assumptions!$L$25=4,VLOOKUP($A46,'Henwood Reference'!$E$9:$R$320,11),(VLOOKUP($A46,PriceTable,6,0)+IF(BasisNumber&lt;&gt;1,VLOOKUP($A46,BasisTable,3,0),0)+R$1)/(1-R$2))</f>
        <v>23.29705296</v>
      </c>
      <c r="S46" s="1568" t="n">
        <f aca="false">IF(Assumptions!$L$25=4,VLOOKUP($A46,'Henwood Reference'!$E$9:$R$320,11),(VLOOKUP($A46,PriceTable,7,0)+IF(BasisNumber&lt;&gt;1,VLOOKUP($A46,BasisTable,3,0),0)+S$1)/(1-S$2))</f>
        <v>23.29705296</v>
      </c>
      <c r="T46" s="1600" t="n">
        <f aca="false">IF(Assumptions!$L$25=4,VLOOKUP($A46,'Henwood Reference'!$E$9:$R$320,11),(VLOOKUP($A46,PriceTable,8,0)+IF(BasisNumber&lt;&gt;1,VLOOKUP($A46,BasisTable,3,0),0)+T$1)/(1-T$2))</f>
        <v>23.29705296</v>
      </c>
      <c r="U46" s="1513" t="n">
        <f aca="false">VLOOKUP($A46,VolatilityTable,14)</f>
        <v>0.16</v>
      </c>
      <c r="V46" s="1513" t="n">
        <f aca="false">VLOOKUP($A46,VolatilityTable,15)</f>
        <v>0.17</v>
      </c>
      <c r="W46" s="1514" t="n">
        <f aca="false">VLOOKUP($A46,VolatilityTable,16)</f>
        <v>0.18</v>
      </c>
      <c r="X46" s="1513" t="n">
        <f aca="false">VLOOKUP($A46,VolatilityTable,14)</f>
        <v>0.16</v>
      </c>
      <c r="Y46" s="1513" t="n">
        <f aca="false">VLOOKUP($A46,VolatilityTable,15)</f>
        <v>0.17</v>
      </c>
      <c r="Z46" s="1514" t="n">
        <f aca="false">VLOOKUP($A46,VolatilityTable,16)</f>
        <v>0.18</v>
      </c>
      <c r="AA46" s="1513" t="n">
        <f aca="false">VLOOKUP($A46,VolatilityTable,18)</f>
        <v>0.09</v>
      </c>
      <c r="AB46" s="1513" t="n">
        <f aca="false">VLOOKUP($A46,VolatilityTable,19)</f>
        <v>0.11</v>
      </c>
      <c r="AC46" s="1514" t="n">
        <f aca="false">VLOOKUP($A46,VolatilityTable,20)</f>
        <v>0.13</v>
      </c>
      <c r="AD46" s="1513" t="n">
        <f aca="false">VLOOKUP($A46,VolatilityTable,18)</f>
        <v>0.09</v>
      </c>
      <c r="AE46" s="1513" t="n">
        <f aca="false">VLOOKUP($A46,VolatilityTable,19)</f>
        <v>0.11</v>
      </c>
      <c r="AF46" s="1514" t="n">
        <f aca="false">VLOOKUP($A46,VolatilityTable,20)</f>
        <v>0.13</v>
      </c>
      <c r="AG46" s="1513" t="n">
        <f aca="false">VLOOKUP($A46,VolatilityTable,22)</f>
        <v>-0.1</v>
      </c>
      <c r="AH46" s="1513" t="n">
        <f aca="false">VLOOKUP($A46,VolatilityTable,23)</f>
        <v>0.6</v>
      </c>
      <c r="AI46" s="1514" t="n">
        <f aca="false">VLOOKUP($A46,VolatilityTable,24)</f>
        <v>0.1</v>
      </c>
      <c r="AJ46" s="1513" t="n">
        <f aca="false">VLOOKUP($A46,VolatilityTable,22)</f>
        <v>-0.1</v>
      </c>
      <c r="AK46" s="1513" t="n">
        <f aca="false">VLOOKUP($A46,VolatilityTable,23)</f>
        <v>0.6</v>
      </c>
      <c r="AL46" s="1514" t="n">
        <f aca="false">VLOOKUP($A46,VolatilityTable,24)</f>
        <v>0.1</v>
      </c>
      <c r="AM46" s="1513" t="n">
        <f aca="false">VLOOKUP($A46,VolatilityTable,26)</f>
        <v>-0.01</v>
      </c>
      <c r="AN46" s="1513" t="n">
        <f aca="false">VLOOKUP($A46,VolatilityTable,27)</f>
        <v>0.16</v>
      </c>
      <c r="AO46" s="1514" t="n">
        <f aca="false">VLOOKUP($A46,VolatilityTable,28)</f>
        <v>0.01</v>
      </c>
      <c r="AP46" s="1513" t="n">
        <f aca="false">VLOOKUP($A46,VolatilityTable,26)</f>
        <v>-0.01</v>
      </c>
      <c r="AQ46" s="1513" t="n">
        <f aca="false">VLOOKUP($A46,VolatilityTable,27)</f>
        <v>0.16</v>
      </c>
      <c r="AR46" s="1515" t="n">
        <f aca="false">VLOOKUP($A46,VolatilityTable,28)</f>
        <v>0.01</v>
      </c>
      <c r="AS46" s="1581" t="n">
        <f aca="false">IF(CorrPeakOffPeakOverFlag,INDEX(CorrPeakOffPeakOver,C46),CorrPeakOffPeak)</f>
        <v>0.5</v>
      </c>
      <c r="AT46" s="594" t="n">
        <f aca="false">AX46-SUM(AU46:AW46)</f>
        <v>0</v>
      </c>
      <c r="AU46" s="238" t="n">
        <f aca="false">IF(E46="",0,INT((F46-MOD(F46,7)-E46)/7)+1-IF(AW46,IF(WEEKDAY(D46)=7,1,0),0))</f>
        <v>0</v>
      </c>
      <c r="AV46" s="238" t="n">
        <f aca="false">IF(E46="",0,INT((F46-MOD(F46-1,7)-E46)/7)+1-IF(AW46,IF(WEEKDAY(D46)=1,1,0),0))</f>
        <v>0</v>
      </c>
      <c r="AW46" s="238" t="n">
        <f aca="false">IF(OR(E46="",D46="",D46&lt;BegDate,D46&gt;EndDate),0,1)</f>
        <v>0</v>
      </c>
      <c r="AX46" s="238" t="n">
        <f aca="false">IF(E46="",0,F46-E46+1)</f>
        <v>0</v>
      </c>
      <c r="AY46" s="1582" t="n">
        <f aca="false">IF(E46="",0,MIN((1-(1-VLOOKUP(B46,MAIN!$AA$7:$AM$28,C46+1))*(1-VLOOKUP(B46,MAIN!$AA$33:$AM$54,C46+1))),1))</f>
        <v>0</v>
      </c>
      <c r="AZ46" s="1519" t="e">
        <v>#VALUE!</v>
      </c>
      <c r="BA46" s="1520" t="e">
        <v>#VALUE!</v>
      </c>
      <c r="BB46" s="1520" t="e">
        <v>#VALUE!</v>
      </c>
      <c r="BC46" s="1583" t="e">
        <v>#VALUE!</v>
      </c>
      <c r="BD46" s="1522" t="e">
        <v>#VALUE!</v>
      </c>
      <c r="BE46" s="1523" t="e">
        <v>#VALUE!</v>
      </c>
      <c r="BF46" s="1523" t="e">
        <v>#VALUE!</v>
      </c>
      <c r="BG46" s="1584" t="e">
        <v>#VALUE!</v>
      </c>
      <c r="BH46" s="1525" t="e">
        <v>#VALUE!</v>
      </c>
      <c r="BI46" s="1520" t="e">
        <v>#VALUE!</v>
      </c>
      <c r="BJ46" s="1520" t="e">
        <v>#VALUE!</v>
      </c>
      <c r="BK46" s="1583" t="e">
        <v>#VALUE!</v>
      </c>
      <c r="BL46" s="1522" t="e">
        <v>#VALUE!</v>
      </c>
      <c r="BM46" s="1523" t="e">
        <v>#VALUE!</v>
      </c>
      <c r="BN46" s="1523" t="e">
        <v>#VALUE!</v>
      </c>
      <c r="BO46" s="1523" t="e">
        <v>#VALUE!</v>
      </c>
      <c r="BP46" s="1525" t="e">
        <f aca="false">SUM(AZ46:BB46)</f>
        <v>#VALUE!</v>
      </c>
      <c r="BQ46" s="1529" t="e">
        <f aca="false">SUM(AZ46:BC46)</f>
        <v>#VALUE!</v>
      </c>
      <c r="BR46" s="1519" t="e">
        <f aca="false">SUM(BH46:BJ46)</f>
        <v>#VALUE!</v>
      </c>
      <c r="BS46" s="1529" t="e">
        <f aca="false">SUM(BH46:BK46)</f>
        <v>#VALUE!</v>
      </c>
      <c r="BT46" s="1316" t="n">
        <f aca="false">(IF(OVolType&lt;&gt;2,A46+14,IF(OptExpDateShift,ShiftBack(A46,OptExpDateShift,D45),A46))-DateToday)/365.25</f>
        <v>2.46406570841889</v>
      </c>
      <c r="BU46" s="1585" t="e">
        <f aca="false">IF(BQ46,IF(OPriceCurve,IF(OBuySell=OCallPut,I46/(1-AY46),K46/(1-AY46)),J46/(1-AY46))*BD46,0)</f>
        <v>#VALUE!</v>
      </c>
      <c r="BV46" s="1316" t="e">
        <f aca="false">IF(BQ46,IF(OPriceCurve,IF(OBuySell=OCallPut,L46/(1-AY46),N46/(1-AY46)),M46/(1-AY46))*BE46,0)</f>
        <v>#VALUE!</v>
      </c>
      <c r="BW46" s="1316" t="e">
        <f aca="false">IF(BQ46,IF(OPriceCurve,IF(OBuySell=OCallPut,O46/(1-AY46),Q46/(1-AY46)),P46/(1-AY46))*BF46,0)</f>
        <v>#VALUE!</v>
      </c>
      <c r="BX46" s="1316" t="e">
        <f aca="false">IF(BQ46,IF(OPriceCurve,IF(OBuySell=OCallPut,R46/(1-AY46),T46/(1-AY46)),S46/(1-AY46))*BG46,0)</f>
        <v>#VALUE!</v>
      </c>
      <c r="BY46" s="1316" t="e">
        <f aca="false">IF(BP46,(BU46*AZ46+BV46*BA46+BW46*BB46)/BP46,0)</f>
        <v>#VALUE!</v>
      </c>
      <c r="BZ46" s="1316" t="e">
        <f aca="false">IF(BQ46,(BY46*BP46+BX46*BC46)/BQ46,0)</f>
        <v>#VALUE!</v>
      </c>
      <c r="CA46" s="1531" t="e">
        <f aca="false">IF(BS46,IF(OPriceCurve,IF(OBuySell=OCallPut,I46/(1-AY46),K46/(1-AY46)),J46/(1-AY46))*BL46,0)</f>
        <v>#VALUE!</v>
      </c>
      <c r="CB46" s="1316" t="e">
        <f aca="false">IF(BS46,IF(OPriceCurve,IF(OBuySell=OCallPut,L46/(1-AY46),N46/(1-AY46)),M46/(1-AY46))*BM46,0)</f>
        <v>#VALUE!</v>
      </c>
      <c r="CC46" s="1316" t="e">
        <f aca="false">IF(BS46,IF(OPriceCurve,IF(OBuySell=OCallPut,O46/(1-AY46),Q46/(1-AY46)),P46/(1-AY46))*BN46,0)</f>
        <v>#VALUE!</v>
      </c>
      <c r="CD46" s="1316" t="e">
        <f aca="false">IF(BS46,IF(OPriceCurve,IF(OBuySell=OCallPut,R46/(1-AY46),T46/(1-AY46)),S46/(1-AY46))*BO46,0)</f>
        <v>#VALUE!</v>
      </c>
      <c r="CE46" s="1316" t="e">
        <f aca="false">IF(BR46,(BU46*BH46+BV46*BI46+BW46*BJ46)/BR46,0)</f>
        <v>#VALUE!</v>
      </c>
      <c r="CF46" s="1532" t="e">
        <f aca="false">IF(BS46,(CE46*BR46+CD46*BK46)/BS46,0)</f>
        <v>#VALUE!</v>
      </c>
      <c r="CG46" s="1586" t="e">
        <f aca="false">IF(OR(BQ46,BS46),IF(OVolType&lt;&gt;2,SQRT(IF(OVolOverMonthlyPeak,OVolOverMonthlyPeak,IF(OVolCurve,IF(OBuySell,U46,W46),V46))^2*(1-15/365.25/BT46)+IF(OVolOverDailyPeak,OVolOverDailyPeak,IF(OVolCurve,IF(OBuySell,AG46,AI46),AH46))^2*15/365.25/BT46),IF(OVolOverMonthlyPeak,OVolOverMonthlyPeak,IF(OVolCurve,IF(OBuySell,U46,W46),V46))),"")</f>
        <v>#VALUE!</v>
      </c>
      <c r="CH46" s="1587" t="e">
        <f aca="false">IF(OR(BQ46,BS46),IF(OVolType&lt;&gt;2,SQRT(IF(OVolOverMonthlyPeak,OVolOverMonthlyPeak,IF(OVolCurve,IF(OBuySell,X46,Z46),Y46))^2*(1-15/365.25/BT46)+IF(OVolOverDailyPeak,OVolOverDailyPeak,IF(OVolCurve,IF(OBuySell,AJ46,AL46),AK46))^2*15/365.25/BT46),IF(OVolOverMonthlyPeak,OVolOverMonthlyPeak,IF(OVolCurve,IF(OBuySell,X46,Z46),Y46))),"")</f>
        <v>#VALUE!</v>
      </c>
      <c r="CI46" s="1587" t="e">
        <f aca="false">IF(OR(BQ46,BS46),IF(OVolType&lt;&gt;2,SQRT(IF(OVolOverMonthlyPeak,OVolOverMonthlyPeak,IF(OVolCurve,IF(OBuySell,AA46,AC46),AB46))^2*(1-15/365.25/BT46)+IF(OVolOverDailyPeak,OVolOverDailyPeak,IF(OVolCurve,IF(OBuySell,AM46,AO46),AN46))^2*15/365.25/BT46),IF(OVolOverMonthlyPeak,OVolOverMonthlyPeak,IF(OVolCurve,IF(OBuySell,AA46,AC46),AB46))),"")</f>
        <v>#VALUE!</v>
      </c>
      <c r="CJ46" s="1587" t="e">
        <f aca="false">IF(BQ46,IF(BP46,SQRT(LN(1+((BU46*AZ46)^2*(EXP(CG46^2*BT46)-1)+(BV46*BA46)^2*(EXP(CH46^2*BT46)-1)+(BW46*BB46)^2*(EXP(CI46^2*BT46)-1)+2*BU46*AZ46*BV46*BA46*(EXP(CG46*CH46*BT46)-1)+2*BV46*BA46*BW46*BB46*(EXP(CH46*CI46*BT46)-1)+2*BW46*BB46*BU46*AZ46*(EXP(CI46*CG46*BT46)-1))/(BY46*BP46)^2)/BT46),0),"")</f>
        <v>#VALUE!</v>
      </c>
      <c r="CK46" s="1587" t="e">
        <f aca="false">IF(BS46,IF(BR46,SQRT(LN(1+((CA46*BH46)^2*(EXP(CG46^2*BT46)-1)+(CB46*BI46)^2*(EXP(CH46^2*BT46)-1)+(CC46*BJ46)^2*(EXP(CI46^2*BT46)-1)+2*CA46*BH46*CB46*BI46*(EXP(CG46*CH46*BT46)-1)+2*CB46*BI46*CC46*BJ46*(EXP(CH46*CI46*BT46)-1)+2*CC46*BJ46*CA46*BH46*(EXP(CI46*CG46*BT46)-1))/(CE46*BR46)^2)/BT46),0),"")</f>
        <v>#VALUE!</v>
      </c>
      <c r="CL46" s="1587" t="e">
        <f aca="false">IF(OR(BQ46,BS46),IF(OVolType&lt;&gt;2,SQRT(IF(OVolOverMonthlyOffPeak,OVolOverMonthlyOffPeak,IF(OVolCurve,IF(OBuySell,AD46,AF46),AE46))^2*(1-15/365.25/BT46)+IF(OVolOverDailyOffPeak,OVolOverDailyOffPeak,IF(OVolCurve,IF(OBuySell,AP46,AR46),AQ46))^2*15/365.25/BT46),IF(OVolOverMonthlyOffPeak,OVolOverMonthlyOffPeak,IF(OVolCurve,IF(OBuySell,AD46,AF46),AE46))),"")</f>
        <v>#VALUE!</v>
      </c>
      <c r="CM46" s="1587" t="e">
        <f aca="false">IF(BQ46,SQRT(LN(1+((BY46*BP46)^2*(EXP(CJ46^2*BT46)-1)+(BX46*BC46)^2*(EXP(CL46^2*BT46)-1)+2*BY46*BP46*BX46*BC46*(EXP(AS46*CJ46*CL46*BT46)-1))/(BY46*BP46+BX46*BC46)^2)/BT46),"")</f>
        <v>#VALUE!</v>
      </c>
      <c r="CN46" s="1588" t="e">
        <f aca="false">IF(BS46,SQRT(LN(1+((CE46*BR46)^2*(EXP(CK46^2*BT46)-1)+(CD46*BK46)^2*(EXP(CL46^2*BT46)-1)+2*CE46*BR46*CD46*BK46*(EXP(AS46*CK46*CL46*BT46)-1))/(CE46*BR46+CD46*BK46)^2)/BT46),"")</f>
        <v>#VALUE!</v>
      </c>
      <c r="CO46" s="1531" t="e">
        <f aca="false">IF(OR(BQ46,BS46),VLOOKUP(A46,GasTable,13)*HeatRatePeak*(1+VLOOKUP($B46,HeatRateDegradation,$C46+1))/1000,0)</f>
        <v>#VALUE!</v>
      </c>
      <c r="CP46" s="1316" t="e">
        <f aca="false">IF(OR(BQ46,BS46),VLOOKUP(A46,GasTable,13)*HeatRatePeak*(1+VLOOKUP($B46,HeatRateDegradation,$C46+1))/1000,0)</f>
        <v>#VALUE!</v>
      </c>
      <c r="CQ46" s="1316" t="e">
        <f aca="false">IF(OR(BQ46,BS46),VLOOKUP(A46,GasTable,13)*IF(EV46,HeatRatePeak,HeatRateOffPeak)*(1+VLOOKUP($B46,HeatRateDegradation,$C46+1))/1000,0)</f>
        <v>#VALUE!</v>
      </c>
      <c r="CR46" s="1316" t="e">
        <f aca="false">IF(OR(BQ46,BS46),VLOOKUP(A46,GasTable,13)*IF(EW46,HeatRatePeak,HeatRateOffPeak)*(1+VLOOKUP($B46,HeatRateDegradation,$C46+1))/1000,0)</f>
        <v>#VALUE!</v>
      </c>
      <c r="CS46" s="1589" t="e">
        <f aca="false">IF(BQ46,(CO46*AZ46+CP46*BA46+CQ46*BB46+CR46*BC46)/BQ46,0)</f>
        <v>#VALUE!</v>
      </c>
      <c r="CT46" s="1316" t="e">
        <f aca="false">IF(BS46,CO46,0)</f>
        <v>#VALUE!</v>
      </c>
      <c r="CU46" s="1590" t="e">
        <f aca="false">IF(OR(BQ46,BS46),VLOOKUP(A46,GasTable,14),"")</f>
        <v>#VALUE!</v>
      </c>
      <c r="CV46" s="1568" t="e">
        <f aca="false">IF(OR(BQ46,BS46),IF(CorrPowerGasOverFlag,INDEX(CorrPowerGasOver,C46),CorrPowerGas),"")</f>
        <v>#VALUE!</v>
      </c>
      <c r="CW46" s="1316" t="e">
        <f aca="false">IF(OR($BQ46,$BS46),SpreadOptPowerMargin,0)*((1+Assumptions!$C$26)^($B46-YEAR(Assumptions!$C$17)))</f>
        <v>#VALUE!</v>
      </c>
      <c r="CX46" s="1316" t="e">
        <f aca="false">IF(OR($BQ46,$BS46),SpreadOptPowerMargin,0)*((1+Assumptions!$C$26)^($B46-YEAR(Assumptions!$C$17)))</f>
        <v>#VALUE!</v>
      </c>
      <c r="CY46" s="1316" t="e">
        <f aca="false">IF(OR($BQ46,$BS46),SpreadOptPowerMargin,0)*((1+Assumptions!$C$26)^($B46-YEAR(Assumptions!$C$17)))</f>
        <v>#VALUE!</v>
      </c>
      <c r="CZ46" s="1316" t="e">
        <f aca="false">IF(OR($BQ46,$BS46),SpreadOptPowerMargin,0)*((1+Assumptions!$C$26)^($B46-YEAR(Assumptions!$C$17)))</f>
        <v>#VALUE!</v>
      </c>
      <c r="DA46" s="1591" t="e">
        <f aca="false">IF(OR(BQ46,BS46),(CW46*(AZ46+BH46)+CX46*(BA46+BI46)+CY46*(BB46+BJ46)+CZ46*(BC46+BK46))/(BQ46+BS46),0)</f>
        <v>#VALUE!</v>
      </c>
      <c r="DB46" s="1592" t="e">
        <f aca="false">IF(OR(BQ46,BS46),CG46+IF(OVolSmile,VLOOKUP(MAX(-5,CO46+CW46-BU46),IF(OVolSmile=1,VolSmileBook,VolSmileModel),2),0),"")</f>
        <v>#VALUE!</v>
      </c>
      <c r="DC46" s="1592" t="e">
        <f aca="false">IF(OR(BQ46,BS46),CH46+IF(OVolSmile,VLOOKUP(MAX(-5,CP46+CW46-BV46),IF(OVolSmile=1,VolSmileBook,VolSmileModel),2),0),"")</f>
        <v>#VALUE!</v>
      </c>
      <c r="DD46" s="1592" t="e">
        <f aca="false">IF(OR(BQ46,BS46),CI46+IF(OVolSmile,VLOOKUP(MAX(-5,CQ46+CW46-BW46),IF(OVolSmile=1,VolSmileBook,VolSmileModel),2),0),"")</f>
        <v>#VALUE!</v>
      </c>
      <c r="DE46" s="1592" t="e">
        <f aca="false">IF(OR(BQ46,BS46),CL46+IF(OVolSmile,VLOOKUP(MAX(-5,CR46+CZ46-BX46),IF(OVolSmile=1,VolSmileBook,VolSmileModel),2),0),"")</f>
        <v>#VALUE!</v>
      </c>
      <c r="DF46" s="1592" t="e">
        <f aca="false">IF(BQ46,CM46+IF(OVolSmile,VLOOKUP(MAX(-5,CS46+DA46-BZ46),IF(OVolSmile=1,VolSmileBook,VolSmileModel),2),0),"")</f>
        <v>#VALUE!</v>
      </c>
      <c r="DG46" s="1593" t="e">
        <f aca="false">IF(BS46,CN46+IF(OVolSmile,VLOOKUP(MAX(-5,CT46+DA46-CF46),IF(OVolSmile=1,VolSmileBook,VolSmileModel),2),0),"")</f>
        <v>#VALUE!</v>
      </c>
      <c r="DH46" s="1316" t="e">
        <f aca="false">IF(AND(BU46&gt;0,CO46&gt;0,DB46&gt;0,CU46&gt;0),newSPRDOPT(BU46,CO46,CW46,0,DB46,CU46,CV46,BT46*365.25,OCallPut,0),0)</f>
        <v>#VALUE!</v>
      </c>
      <c r="DI46" s="1316" t="e">
        <f aca="false">IF(AND(BV46&gt;0,CP46&gt;0,DC46&gt;0,CU46&gt;0),newSPRDOPT(BV46,CP46,CX46,0,DC46,CU46,CV46,BT46*365.25,OCallPut,0),0)</f>
        <v>#VALUE!</v>
      </c>
      <c r="DJ46" s="1316" t="e">
        <f aca="false">IF(AND(BW46&gt;0,CQ46&gt;0,DD46&gt;0,CU46&gt;0),newSPRDOPT(BW46,CQ46,CY46,0,DD46,CU46,CV46,BT46*365.25,OCallPut,0),0)</f>
        <v>#VALUE!</v>
      </c>
      <c r="DK46" s="1316" t="e">
        <f aca="false">IF(AND(BX46&gt;0,CR46&gt;0,DE46&gt;0,CU46&gt;0),newSPRDOPT(BX46,CR46,CZ46,0,DE46,CU46,CV46,BT46*365.25,OCallPut,0),0)</f>
        <v>#VALUE!</v>
      </c>
      <c r="DL46" s="1316" t="e">
        <f aca="false">IF(OVolType,IF(AND(BZ46&gt;0,CS46&gt;0,DF46&gt;0,CU46&gt;0),newSPRDOPT(BZ46,CS46,DA46,0,DF46,CU46,CV46,BT46*365.25,OCallPut,0),0),IF(BQ46,(DH46*AZ46+DI46*BA46+DJ46*BB46+DK46*BC46)/BQ46,0))</f>
        <v>#VALUE!</v>
      </c>
      <c r="DM46" s="1316"/>
      <c r="DN46" s="1316"/>
      <c r="DO46" s="1316"/>
      <c r="DP46" s="1316"/>
      <c r="DQ46" s="1316"/>
      <c r="DR46" s="1316"/>
      <c r="DS46" s="1316"/>
      <c r="DT46" s="1316"/>
      <c r="DU46" s="1316"/>
      <c r="DV46" s="1316"/>
      <c r="DW46" s="1594" t="e">
        <f aca="false">IF(AND(BW46&gt;0,CT46&gt;0,DD46&gt;0,CU46&gt;0),newSPRDOPT(BW46,CT46,CY46,0,DD46,CU46,CV46,BT46*365.25,OCallPut,0),0)</f>
        <v>#VALUE!</v>
      </c>
      <c r="DX46" s="1316" t="e">
        <f aca="false">IF(AND(BX46&gt;0,CT46&gt;0,DE46&gt;0,CU46&gt;0),newSPRDOPT(BX46,CT46,CZ46,0,DE46,CU46,CV46,BT46*365.25,OCallPut,0),0)</f>
        <v>#VALUE!</v>
      </c>
      <c r="DY46" s="1591" t="e">
        <f aca="false">IF(BS46,(DH46*BH46+DI46*BI46+DW46*BJ46+DX46*BK46)/BS46,0)</f>
        <v>#VALUE!</v>
      </c>
      <c r="DZ46" s="1551" t="e">
        <f aca="false">DH46*AZ46</f>
        <v>#VALUE!</v>
      </c>
      <c r="EA46" s="1551" t="e">
        <f aca="false">DI46*BA46</f>
        <v>#VALUE!</v>
      </c>
      <c r="EB46" s="1551" t="e">
        <f aca="false">DJ46*BB46</f>
        <v>#VALUE!</v>
      </c>
      <c r="EC46" s="1551" t="e">
        <f aca="false">DK46*BC46</f>
        <v>#VALUE!</v>
      </c>
      <c r="ED46" s="1551" t="e">
        <f aca="false">DL46*BQ46</f>
        <v>#VALUE!</v>
      </c>
      <c r="EE46" s="1595" t="e">
        <f aca="false">IF(BQ46,IF(OCallPut,IF(BU46&gt;(CO46+CW46),BU46-(CO46+CW46),0),IF((CO46+CW46)&gt;BU46,(CO46+CW46)-BU46,0))*AZ46,0)</f>
        <v>#VALUE!</v>
      </c>
      <c r="EF46" s="1596" t="e">
        <f aca="false">IF(BQ46,IF(OCallPut,IF(BV46&gt;(CP46+CX46),BV46-(CP46+CX46),0),IF((CP46+CX46)&gt;BV46,(CP46+CX46)-BV46,0))*BA46,0)</f>
        <v>#VALUE!</v>
      </c>
      <c r="EG46" s="1596" t="e">
        <f aca="false">IF(BQ46,IF(OCallPut,IF(BW46&gt;(CQ46+CY46),BW46-(CQ46+CY46),0),IF((CQ46+CY46)&gt;BW46,(CQ46+CY46)-BW46,0))*BB46,0)</f>
        <v>#VALUE!</v>
      </c>
      <c r="EH46" s="1596" t="e">
        <f aca="false">IF(BQ46,IF(OCallPut,IF(BX46&gt;(CR46+CZ46),BX46-(CR46+CZ46),0),IF((CR46+CZ46)&gt;BX46,(CR46+CZ46)-BX46,0))*BC46,0)</f>
        <v>#VALUE!</v>
      </c>
      <c r="EI46" s="1597" t="e">
        <f aca="false">IF(BQ46,IF(OVolType,IF(OCallPut,IF(BZ46&gt;(CS46+DA46),BZ46-(CS46+DA46),0),IF((CS46+DA46)&gt;BZ46,(CS46+DA46)-BZ46,0))*BQ46,SUM(EE46:EH46)),0)</f>
        <v>#VALUE!</v>
      </c>
      <c r="EJ46" s="1595" t="e">
        <f aca="false">DZ46-EE46</f>
        <v>#VALUE!</v>
      </c>
      <c r="EK46" s="1596" t="e">
        <f aca="false">EA46-EF46</f>
        <v>#VALUE!</v>
      </c>
      <c r="EL46" s="1596" t="e">
        <f aca="false">EB46-EG46</f>
        <v>#VALUE!</v>
      </c>
      <c r="EM46" s="1596" t="e">
        <f aca="false">EC46-EH46</f>
        <v>#VALUE!</v>
      </c>
      <c r="EN46" s="1597" t="e">
        <f aca="false">ED46-EI46</f>
        <v>#VALUE!</v>
      </c>
      <c r="EO46" s="1551" t="e">
        <f aca="false">DH46*BH46</f>
        <v>#VALUE!</v>
      </c>
      <c r="EP46" s="1551" t="e">
        <f aca="false">DI46*BI46</f>
        <v>#VALUE!</v>
      </c>
      <c r="EQ46" s="1551" t="e">
        <f aca="false">DW46*BJ46</f>
        <v>#VALUE!</v>
      </c>
      <c r="ER46" s="1551" t="e">
        <f aca="false">DX46*BK46</f>
        <v>#VALUE!</v>
      </c>
      <c r="ES46" s="1551" t="e">
        <f aca="false">DY46*BS46</f>
        <v>#VALUE!</v>
      </c>
      <c r="ET46" s="1566" t="e">
        <f aca="false">IF(EI46,IF(OCallPut,IF(CA46&gt;(CT46+CW46),CA46-(CT46+CW46),0),IF((CT46+CW46)&gt;CA46,(CT46+CW46)-CA46,0))*BH46,0)</f>
        <v>#VALUE!</v>
      </c>
      <c r="EU46" s="1551" t="e">
        <f aca="false">IF(EI46,IF(OCallPut,IF(CB46&gt;(CT46+CX46),CB46-(CT46+CX46),0),IF((CT46+CX46)&gt;CB46,(CT46+CX46)-CB46,0))*BI46,0)</f>
        <v>#VALUE!</v>
      </c>
      <c r="EV46" s="1551" t="e">
        <f aca="false">IF(EI46,IF(OCallPut,IF(CC46&gt;(CT46+CY46),CC46-(CT46+CY46),0),IF((CT46+CY46)&gt;CC46,(CT46+CY46)-CC46,0))*BJ46,0)</f>
        <v>#VALUE!</v>
      </c>
      <c r="EW46" s="1551" t="e">
        <f aca="false">IF(EI46,IF(OCallPut,IF(CD46&gt;(CT46+CZ46),CD46-(CT46+CZ46),0),IF((CT46+CZ46)&gt;CD46,(CT46+CZ46)-CD46,0))*BK46,0)</f>
        <v>#VALUE!</v>
      </c>
      <c r="EX46" s="1558" t="e">
        <f aca="false">IF(EI46,SUM(ET46:EW46),0)</f>
        <v>#VALUE!</v>
      </c>
      <c r="EY46" s="1551" t="e">
        <f aca="false">EO46-ET46</f>
        <v>#VALUE!</v>
      </c>
      <c r="EZ46" s="1551" t="e">
        <f aca="false">EP46-EU46</f>
        <v>#VALUE!</v>
      </c>
      <c r="FA46" s="1551" t="e">
        <f aca="false">EQ46-EV46</f>
        <v>#VALUE!</v>
      </c>
      <c r="FB46" s="1551" t="e">
        <f aca="false">ER46-EW46</f>
        <v>#VALUE!</v>
      </c>
      <c r="FC46" s="1551" t="e">
        <f aca="false">ES46-EX46</f>
        <v>#VALUE!</v>
      </c>
      <c r="FD46" s="1525" t="n">
        <f aca="false">IF(AX46,IF(VLOOKUP(C46,MAIN!$L$17:$M$28,2)="Yes",VLOOKUP(CALC!B46,MAIN!$H$17:$I$20,2),0),0)</f>
        <v>0</v>
      </c>
      <c r="FE46" s="1552" t="n">
        <f aca="false">$FD46*16*AT46*(1-$AY46)</f>
        <v>0</v>
      </c>
      <c r="FF46" s="1553" t="n">
        <f aca="false">$FD46*16*AU46*(1-$AY46)</f>
        <v>0</v>
      </c>
      <c r="FG46" s="1553" t="n">
        <f aca="false">$FD46*16*(AV46+AW46)*(1-$AY46)</f>
        <v>0</v>
      </c>
      <c r="FH46" s="1554" t="n">
        <f aca="false">$FD46*8*AX46*(1-$AY46)</f>
        <v>0</v>
      </c>
      <c r="FI46" s="1555" t="n">
        <f aca="false">IF(AX46,VLOOKUP(CALC!B46,MAIN!$H$17:$K$20,4),0)</f>
        <v>0</v>
      </c>
      <c r="FJ46" s="1553" t="n">
        <f aca="false">SUM(FE46:FH46)</f>
        <v>0</v>
      </c>
      <c r="FK46" s="1556" t="n">
        <f aca="false">FI46*FJ46</f>
        <v>0</v>
      </c>
      <c r="FL46" s="1551" t="e">
        <f aca="false">IF($EI46&gt;0,MIN(FE46,AZ46*(1+VLOOKUP($C46,WeatherCapacityAdjustment,2))),0)</f>
        <v>#VALUE!</v>
      </c>
      <c r="FM46" s="1551" t="e">
        <f aca="false">IF($EI46&gt;0,MIN(FF46,BA46*(1+VLOOKUP($C46,WeatherCapacityAdjustment,2))),0)</f>
        <v>#VALUE!</v>
      </c>
      <c r="FN46" s="1551" t="e">
        <f aca="false">IF($EI46&gt;0,MIN(FG46,BB46*(1+VLOOKUP($C46,WeatherCapacityAdjustment,2))),0)</f>
        <v>#VALUE!</v>
      </c>
      <c r="FO46" s="1564" t="e">
        <f aca="false">IF($EI46&gt;0,MIN(FH46,BC46*(1+VLOOKUP($C46,WeatherCapacityAdjustment,3))),0)</f>
        <v>#VALUE!</v>
      </c>
      <c r="FP46" s="1551" t="e">
        <f aca="false">IF(ET46&gt;0,MIN(FE46-FL46,BH46*(1+VLOOKUP($C46,WeatherCapacityAdjustment,2))),0)</f>
        <v>#VALUE!</v>
      </c>
      <c r="FQ46" s="1551" t="e">
        <f aca="false">IF(EU46&gt;0,MIN(FF46-FM46,BI46*(1+VLOOKUP($C46,WeatherCapacityAdjustment,2))),0)</f>
        <v>#VALUE!</v>
      </c>
      <c r="FR46" s="1551" t="e">
        <f aca="false">IF(EV46&gt;0,MIN(FG46-FN46,BJ46*(1+VLOOKUP($C46,WeatherCapacityAdjustment,2))),0)</f>
        <v>#VALUE!</v>
      </c>
      <c r="FS46" s="1558" t="e">
        <f aca="false">IF(EW46&gt;0,MIN(FH46-FO46,BK46*(1+VLOOKUP($C46,WeatherCapacityAdjustment,3))),0)</f>
        <v>#VALUE!</v>
      </c>
      <c r="FT46" s="1566" t="n">
        <f aca="false">IF(AND(Assumptions!$H$71="Yes",A46&gt;=Assumptions!$H$72,A46&lt;=Assumptions!$H$73),0,IF(AND($A46&gt;=Assumptions!$C$17,$A46&lt;=Assumptions!$C$18),MAX(AZ46*(1+VLOOKUP($C46,WeatherCapacityAdjustment,2))-FL46,0),0))</f>
        <v>0</v>
      </c>
      <c r="FU46" s="1551" t="n">
        <f aca="false">IF(AND(Assumptions!$H$71="Yes",A46&gt;=Assumptions!$H$72,A46&lt;=Assumptions!$H$73),0,IF(AND($A46&gt;=Assumptions!$C$17,$A46&lt;=Assumptions!$C$18),MAX(BA46*(1+VLOOKUP($C46,WeatherCapacityAdjustment,2))-FM46,0),0))</f>
        <v>0</v>
      </c>
      <c r="FV46" s="1551" t="n">
        <f aca="false">IF(AND(Assumptions!$H$71="Yes",A46&gt;=Assumptions!$H$72,A46&lt;=Assumptions!$H$73),0,IF(AND($A46&gt;=Assumptions!$C$17,$A46&lt;=Assumptions!$C$18),MAX(BB46*(1+VLOOKUP($C46,WeatherCapacityAdjustment,2))-FN46,0),0))</f>
        <v>0</v>
      </c>
      <c r="FW46" s="1564" t="n">
        <f aca="false">IF(AND(Assumptions!$H$71="Yes",A46&gt;=Assumptions!$H$72,A46&lt;=Assumptions!$H$73),0,IF(AND($A46&gt;=Assumptions!$C$17,$A46&lt;=Assumptions!$C$18),MAX(BC46*(1+VLOOKUP($C46,WeatherCapacityAdjustment,3))-FO46,0),0))</f>
        <v>0</v>
      </c>
      <c r="FX46" s="1569" t="e">
        <f aca="false">IF(AND(Assumptions!$H$71="Yes",A46&gt;=Assumptions!$H$72,A46&lt;=Assumptions!$H$73),0,IF(ET46&gt;0,MAX(BH46*(1+VLOOKUP($C46,WeatherCapacityAdjustment,2))-FP46,0),0))</f>
        <v>#VALUE!</v>
      </c>
      <c r="FY46" s="1551" t="e">
        <f aca="false">IF(AND(Assumptions!$H$71="Yes",A46&gt;=Assumptions!$H$72,A46&lt;=Assumptions!$H$73),0,IF(EU46&gt;0,MAX(BI46*(1+VLOOKUP($C46,WeatherCapacityAdjustment,3))-FQ46,0),0))</f>
        <v>#VALUE!</v>
      </c>
      <c r="FZ46" s="1551" t="e">
        <f aca="false">IF(AND(Assumptions!$H$71="Yes",A46&gt;=Assumptions!$H$72,A46&lt;=Assumptions!$H$73),0,IF(EV46&gt;0,MAX(BJ46*(1+VLOOKUP($C46,WeatherCapacityAdjustment,2))-FR46,0),0))</f>
        <v>#VALUE!</v>
      </c>
      <c r="GA46" s="1564" t="e">
        <f aca="false">IF(AND(Assumptions!$H$71="Yes",A46&gt;=Assumptions!$H$72,A46&lt;=Assumptions!$H$73),0,IF(EW46&gt;0,MAX(BK46*(1+VLOOKUP($C46,WeatherCapacityAdjustment,2))-FS46,0),0))</f>
        <v>#VALUE!</v>
      </c>
      <c r="GB46" s="1551" t="e">
        <f aca="false">SUM(FT46:GA46)</f>
        <v>#VALUE!</v>
      </c>
      <c r="GC46" s="1563" t="e">
        <f aca="false">+IF(SUM(FT46:GA46)=0,0,(SUMPRODUCT(BU46:BX46,FT46:FW46)+SUMPRODUCT(CA46:CD46,FX46:GA46))/SUM(FT46:GA46))</f>
        <v>#VALUE!</v>
      </c>
      <c r="GD46" s="1551" t="e">
        <f aca="false">(FT46*BU46+FX46*CA46+FU46*BV46+FY46*CB46+FV46*BW46+FZ46*CC46+FW46*BX46+GA46*CD46)</f>
        <v>#VALUE!</v>
      </c>
      <c r="GE46" s="1561" t="e">
        <f aca="false">+IF(BQ46,((FL46+FM46+FT46+FU46)*HeatRatePeak/1000*(1+VLOOKUP($C46,WeatherHeatRateAdjustment,2))+(FN46+FV46)*IF(EV46&gt;0,HeatRatePeak,HeatRateOffPeak)/1000*(1+VLOOKUP($C46,WeatherHeatRateAdjustment,2))+(FO46+FW46)*IF(EW46&gt;0,HeatRatePeak,HeatRateOffPeak)/1000*(1+VLOOKUP($C46,WeatherHeatRateAdjustment,3)))*(1+VLOOKUP($B46,HeatRateDegradation,$C46+1)),0)</f>
        <v>#VALUE!</v>
      </c>
      <c r="GF46" s="1562" t="e">
        <f aca="false">IF(BQ46,((FP46+FQ46+FR46+FX46+FY46+FZ46)*HeatRatePeak/1000*(1+VLOOKUP($C46,WeatherHeatRateAdjustment,2))+(FS46+GA46)*HeatRatePeak/1000*(1+VLOOKUP($C46,WeatherHeatRateAdjustment,3)))*(1+VLOOKUP($B46,HeatRateDegradation,$C46+1)),0)</f>
        <v>#VALUE!</v>
      </c>
      <c r="GG46" s="1563" t="e">
        <f aca="false">IF(BQ46,VLOOKUP(A46,GasTable,13),0)</f>
        <v>#VALUE!</v>
      </c>
      <c r="GH46" s="1564" t="e">
        <f aca="false">(GE46+GF46)*GG46</f>
        <v>#VALUE!</v>
      </c>
      <c r="GI46" s="1569" t="e">
        <f aca="false">GB46</f>
        <v>#VALUE!</v>
      </c>
      <c r="GJ46" s="1598" t="e">
        <f aca="false">+DA46</f>
        <v>#VALUE!</v>
      </c>
      <c r="GK46" s="1558" t="e">
        <f aca="false">+GI46*GJ46</f>
        <v>#VALUE!</v>
      </c>
      <c r="GL46" s="1566" t="e">
        <f aca="false">MAX(FE46-FL46-FP46,0)</f>
        <v>#VALUE!</v>
      </c>
      <c r="GM46" s="1551" t="e">
        <f aca="false">MAX(FF46-FM46-FQ46,0)</f>
        <v>#VALUE!</v>
      </c>
      <c r="GN46" s="1551" t="e">
        <f aca="false">MAX(FG46-FN46-FR46,0)</f>
        <v>#VALUE!</v>
      </c>
      <c r="GO46" s="1564" t="e">
        <f aca="false">MAX(FH46-FO46-FS46,0)</f>
        <v>#VALUE!</v>
      </c>
      <c r="GP46" s="1551" t="e">
        <f aca="false">SUM(GL46:GO46)</f>
        <v>#VALUE!</v>
      </c>
      <c r="GQ46" s="1563" t="e">
        <f aca="false">IF(SUM(GL46:GO46)=0,0,((GL46*BU46+GM46*BV46+GN46*BW46+GO46*BX46)/SUM(GL46:GO46)))</f>
        <v>#VALUE!</v>
      </c>
      <c r="GR46" s="1558" t="e">
        <f aca="false">(GL46*BU46+GM46*BV46+GN46*BW46+GO46*BX46)</f>
        <v>#VALUE!</v>
      </c>
      <c r="GS46" s="1566" t="n">
        <f aca="false">IF($A46&gt;=BegDate,Assumptions!$C$56*24*($A47-$A46)*(1-VLOOKUP($B46,MAIN!$AA$7:$AM$28,$C46+1))*(1-VLOOKUP($B46,MAIN!$AA$33:$AM$54,$C46+1)),0)*80/168</f>
        <v>0</v>
      </c>
      <c r="GT46" s="286" t="n">
        <f aca="false">J46</f>
        <v>35.52144084</v>
      </c>
      <c r="GU46" s="286" t="n">
        <f aca="false">IF($A46&gt;=BegDate,VLOOKUP($A46,GasTable,13)+Assumptions!$C$58,0)</f>
        <v>0</v>
      </c>
      <c r="GV46" s="286" t="n">
        <f aca="false">GU46*Assumptions!$C$57/1000</f>
        <v>0</v>
      </c>
      <c r="GW46" s="1558" t="n">
        <f aca="false">IF(Assumptions!$C$60="Hourly",MAX(0,GS46*(GT46-GV46)),GS46*(GT46-GV46))</f>
        <v>0</v>
      </c>
      <c r="GX46" s="1566" t="n">
        <f aca="false">IF($A46&gt;=BegDate,Assumptions!$C$56*24*($A47-$A46)*(1-VLOOKUP($B46,MAIN!$AA$7:$AM$28,$C46+1))*(1-VLOOKUP($B46,MAIN!$AA$33:$AM$54,$C46+1)),0)*16/168</f>
        <v>0</v>
      </c>
      <c r="GY46" s="286" t="n">
        <f aca="false">M46</f>
        <v>35.52144084</v>
      </c>
      <c r="GZ46" s="286" t="n">
        <f aca="false">IF($A46&gt;=BegDate,VLOOKUP($A46,GasTable,13)+Assumptions!$C$58,0)</f>
        <v>0</v>
      </c>
      <c r="HA46" s="286" t="n">
        <f aca="false">GZ46*Assumptions!$C$57/1000</f>
        <v>0</v>
      </c>
      <c r="HB46" s="1558" t="n">
        <f aca="false">IF(Assumptions!$C$60="Hourly",MAX(0,GX46*(GY46-HA46)),GX46*(GY46-HA46))</f>
        <v>0</v>
      </c>
      <c r="HC46" s="1566" t="n">
        <f aca="false">IF($A46&gt;=BegDate,Assumptions!$C$56*24*($A47-$A46)*(1-VLOOKUP($B46,MAIN!$AA$7:$AM$28,$C46+1))*(1-VLOOKUP($B46,MAIN!$AA$33:$AM$54,$C46+1)),0)*16/168</f>
        <v>0</v>
      </c>
      <c r="HD46" s="286" t="n">
        <f aca="false">P46</f>
        <v>23.29705296</v>
      </c>
      <c r="HE46" s="286" t="n">
        <f aca="false">IF($A46&gt;=BegDate,VLOOKUP($A46,GasTable,13)+Assumptions!$C$58,0)</f>
        <v>0</v>
      </c>
      <c r="HF46" s="286" t="n">
        <f aca="false">HE46*Assumptions!$C$57/1000</f>
        <v>0</v>
      </c>
      <c r="HG46" s="1558" t="n">
        <f aca="false">IF(Assumptions!$C$60="Hourly",MAX(0,HC46*(HD46-HF46)),HC46*(HD46-HF46))</f>
        <v>0</v>
      </c>
      <c r="HH46" s="1566" t="n">
        <f aca="false">IF($A46&gt;=BegDate,Assumptions!$C$56*24*($A47-$A46)*(1-VLOOKUP($B46,MAIN!$AA$7:$AM$28,$C46+1))*(1-VLOOKUP($B46,MAIN!$AA$33:$AM$54,$C46+1)),0)*56/168</f>
        <v>0</v>
      </c>
      <c r="HI46" s="286" t="n">
        <f aca="false">S46</f>
        <v>23.29705296</v>
      </c>
      <c r="HJ46" s="286" t="n">
        <f aca="false">IF($A46&gt;=BegDate,VLOOKUP($A46,GasTable,13)+Assumptions!$C$58,0)</f>
        <v>0</v>
      </c>
      <c r="HK46" s="286" t="n">
        <f aca="false">HJ46*Assumptions!$C$57/1000</f>
        <v>0</v>
      </c>
      <c r="HL46" s="1558" t="n">
        <f aca="false">IF(Assumptions!$C$60="Hourly",MAX(0,HH46*(HI46-HK46)),HH46*(HI46-HK46))</f>
        <v>0</v>
      </c>
      <c r="HM46" s="1566" t="n">
        <f aca="false">IF(AND(Assumptions!$H$71="Yes",A46&gt;=Assumptions!$H$72,A46&lt;=Assumptions!$H$73),Assumptions!$H$74*Assumptions!$C$9*1000,0)</f>
        <v>0</v>
      </c>
      <c r="HN46" s="1551"/>
      <c r="HO46" s="1563"/>
      <c r="HP46" s="1563"/>
      <c r="HQ46" s="1563"/>
      <c r="HR46" s="1563"/>
      <c r="HS46" s="1563"/>
      <c r="HT46" s="1563"/>
      <c r="HU46" s="1563"/>
      <c r="HV46" s="1563"/>
      <c r="HW46" s="1563"/>
      <c r="HX46" s="1563"/>
      <c r="HY46" s="1563"/>
      <c r="HZ46" s="1563"/>
      <c r="IA46" s="1563"/>
      <c r="IB46" s="1563"/>
      <c r="IC46" s="1563"/>
      <c r="ID46" s="1563"/>
      <c r="IE46" s="1563"/>
      <c r="IF46" s="1563"/>
      <c r="IG46" s="1563"/>
      <c r="IH46" s="1563"/>
      <c r="II46" s="1610"/>
      <c r="IJ46" s="1309"/>
      <c r="IK46" s="1309"/>
    </row>
    <row r="47" customFormat="false" ht="12.75" hidden="false" customHeight="false" outlineLevel="0" collapsed="false">
      <c r="A47" s="1571" t="n">
        <f aca="false">EOMONTH(A46,0)+1</f>
        <v>37561</v>
      </c>
      <c r="B47" s="594" t="n">
        <f aca="false">+YEAR(A47)</f>
        <v>2002</v>
      </c>
      <c r="C47" s="238" t="n">
        <f aca="false">MONTH(A47)</f>
        <v>11</v>
      </c>
      <c r="D47" s="1572" t="str">
        <f aca="false">IF(E47="","",Holiday(B47,C47))</f>
        <v/>
      </c>
      <c r="E47" s="1573" t="str">
        <f aca="false">IF(OR(BegDate&gt;=A48,EndDate&lt;A47,AND(VolumeMonthlyOverFlag,INDEX(VolumeMonthlyOver,C47)=0),NOT(INDEX(MonthKnockOutTable,C47))),"",MAX(A47,BegDate))</f>
        <v/>
      </c>
      <c r="F47" s="1574" t="str">
        <f aca="false">IF(E47="","",MIN(A48-1,EndDate))</f>
        <v/>
      </c>
      <c r="G47" s="1575" t="n">
        <v>0</v>
      </c>
      <c r="H47" s="1576" t="n">
        <f aca="false">(1+G47/2)^(-2*(DATE(B48,C48,20)-DateToday)/365.25)</f>
        <v>1</v>
      </c>
      <c r="I47" s="1568" t="n">
        <f aca="false">IF(Assumptions!$L$25=4,VLOOKUP($A47,'Henwood Reference'!$E$9:$R$320,10),(VLOOKUP($A47,PriceTable,2,0)+IF(BasisNumber&lt;&gt;1,VLOOKUP($A47,BasisTable,2,0),0)+I$1)/(1-I$2))</f>
        <v>36.48755628</v>
      </c>
      <c r="J47" s="1568" t="n">
        <f aca="false">IF(Assumptions!$L$25=4,VLOOKUP($A47,'Henwood Reference'!$E$9:$R$320,10),(VLOOKUP($A47,PriceTable,3,0)+IF(BasisNumber&lt;&gt;1,VLOOKUP($A47,BasisTable,2,0),0)+J$1)/(1-J$2))</f>
        <v>36.48755628</v>
      </c>
      <c r="K47" s="1568" t="n">
        <f aca="false">IF(Assumptions!$L$25=4,VLOOKUP($A47,'Henwood Reference'!$E$9:$R$320,10),(VLOOKUP($A47,PriceTable,4,0)+IF(BasisNumber&lt;&gt;1,VLOOKUP($A47,BasisTable,2,0),0)+K$1)/(1-K$2))</f>
        <v>36.48755628</v>
      </c>
      <c r="L47" s="1523" t="n">
        <f aca="false">IF(Assumptions!$L$25=4,VLOOKUP($A47,'Henwood Reference'!$E$9:$R$320,10),(VLOOKUP($A47,PriceTableWeekend,2,0)+IF(BasisNumber&lt;&gt;1,VLOOKUP($A47,BasisTable,2,0),0)+L$1)/(1-L$2))</f>
        <v>36.48755628</v>
      </c>
      <c r="M47" s="1568" t="n">
        <f aca="false">IF(Assumptions!$L$25=4,VLOOKUP($A47,'Henwood Reference'!$E$9:$R$320,10),(VLOOKUP($A47,PriceTableWeekend,3,0)+IF(BasisNumber&lt;&gt;1,VLOOKUP($A47,BasisTable,2,0),0)+M$1)/(1-M$2))</f>
        <v>36.48755628</v>
      </c>
      <c r="N47" s="1599" t="n">
        <f aca="false">IF(Assumptions!$L$25=4,VLOOKUP($A47,'Henwood Reference'!$E$9:$R$320,10),(VLOOKUP($A47,PriceTableWeekend,4,0)+IF(BasisNumber&lt;&gt;1,VLOOKUP($A47,BasisTable,2,0),0)+N$1)/(1-N$2))</f>
        <v>36.48755628</v>
      </c>
      <c r="O47" s="1568" t="n">
        <f aca="false">IF(Assumptions!$L$25=4,VLOOKUP($A47,'Henwood Reference'!$E$9:$R$320,11),(VLOOKUP($A47,PriceTableWeekend,6,0)+IF(BasisNumber&lt;&gt;1,VLOOKUP($A47,BasisTable,3,0),0)+O$1)/(1-O$2))</f>
        <v>25.9772274</v>
      </c>
      <c r="P47" s="1568" t="n">
        <f aca="false">IF(Assumptions!$L$25=4,VLOOKUP($A47,'Henwood Reference'!$E$9:$R$320,11),(VLOOKUP($A47,PriceTableWeekend,7,0)+IF(BasisNumber&lt;&gt;1,VLOOKUP($A47,BasisTable,3,0),0)+P$1)/(1-P$2))</f>
        <v>25.9772274</v>
      </c>
      <c r="Q47" s="1599" t="n">
        <f aca="false">IF(Assumptions!$L$25=4,VLOOKUP($A47,'Henwood Reference'!$E$9:$R$320,11),(VLOOKUP($A47,PriceTableWeekend,8,0)+IF(BasisNumber&lt;&gt;1,VLOOKUP($A47,BasisTable,3,0),0)+Q$1)/(1-Q$2))</f>
        <v>25.9772274</v>
      </c>
      <c r="R47" s="1568" t="n">
        <f aca="false">IF(Assumptions!$L$25=4,VLOOKUP($A47,'Henwood Reference'!$E$9:$R$320,11),(VLOOKUP($A47,PriceTable,6,0)+IF(BasisNumber&lt;&gt;1,VLOOKUP($A47,BasisTable,3,0),0)+R$1)/(1-R$2))</f>
        <v>25.9772274</v>
      </c>
      <c r="S47" s="1568" t="n">
        <f aca="false">IF(Assumptions!$L$25=4,VLOOKUP($A47,'Henwood Reference'!$E$9:$R$320,11),(VLOOKUP($A47,PriceTable,7,0)+IF(BasisNumber&lt;&gt;1,VLOOKUP($A47,BasisTable,3,0),0)+S$1)/(1-S$2))</f>
        <v>25.9772274</v>
      </c>
      <c r="T47" s="1600" t="n">
        <f aca="false">IF(Assumptions!$L$25=4,VLOOKUP($A47,'Henwood Reference'!$E$9:$R$320,11),(VLOOKUP($A47,PriceTable,8,0)+IF(BasisNumber&lt;&gt;1,VLOOKUP($A47,BasisTable,3,0),0)+T$1)/(1-T$2))</f>
        <v>25.9772274</v>
      </c>
      <c r="U47" s="1513" t="n">
        <f aca="false">VLOOKUP($A47,VolatilityTable,14)</f>
        <v>0.16</v>
      </c>
      <c r="V47" s="1513" t="n">
        <f aca="false">VLOOKUP($A47,VolatilityTable,15)</f>
        <v>0.17</v>
      </c>
      <c r="W47" s="1514" t="n">
        <f aca="false">VLOOKUP($A47,VolatilityTable,16)</f>
        <v>0.18</v>
      </c>
      <c r="X47" s="1513" t="n">
        <f aca="false">VLOOKUP($A47,VolatilityTable,14)</f>
        <v>0.16</v>
      </c>
      <c r="Y47" s="1513" t="n">
        <f aca="false">VLOOKUP($A47,VolatilityTable,15)</f>
        <v>0.17</v>
      </c>
      <c r="Z47" s="1514" t="n">
        <f aca="false">VLOOKUP($A47,VolatilityTable,16)</f>
        <v>0.18</v>
      </c>
      <c r="AA47" s="1513" t="n">
        <f aca="false">VLOOKUP($A47,VolatilityTable,18)</f>
        <v>0.09</v>
      </c>
      <c r="AB47" s="1513" t="n">
        <f aca="false">VLOOKUP($A47,VolatilityTable,19)</f>
        <v>0.11</v>
      </c>
      <c r="AC47" s="1514" t="n">
        <f aca="false">VLOOKUP($A47,VolatilityTable,20)</f>
        <v>0.13</v>
      </c>
      <c r="AD47" s="1513" t="n">
        <f aca="false">VLOOKUP($A47,VolatilityTable,18)</f>
        <v>0.09</v>
      </c>
      <c r="AE47" s="1513" t="n">
        <f aca="false">VLOOKUP($A47,VolatilityTable,19)</f>
        <v>0.11</v>
      </c>
      <c r="AF47" s="1514" t="n">
        <f aca="false">VLOOKUP($A47,VolatilityTable,20)</f>
        <v>0.13</v>
      </c>
      <c r="AG47" s="1513" t="n">
        <f aca="false">VLOOKUP($A47,VolatilityTable,22)</f>
        <v>-0.1</v>
      </c>
      <c r="AH47" s="1513" t="n">
        <f aca="false">VLOOKUP($A47,VolatilityTable,23)</f>
        <v>0.6</v>
      </c>
      <c r="AI47" s="1514" t="n">
        <f aca="false">VLOOKUP($A47,VolatilityTable,24)</f>
        <v>0.1</v>
      </c>
      <c r="AJ47" s="1513" t="n">
        <f aca="false">VLOOKUP($A47,VolatilityTable,22)</f>
        <v>-0.1</v>
      </c>
      <c r="AK47" s="1513" t="n">
        <f aca="false">VLOOKUP($A47,VolatilityTable,23)</f>
        <v>0.6</v>
      </c>
      <c r="AL47" s="1514" t="n">
        <f aca="false">VLOOKUP($A47,VolatilityTable,24)</f>
        <v>0.1</v>
      </c>
      <c r="AM47" s="1513" t="n">
        <f aca="false">VLOOKUP($A47,VolatilityTable,26)</f>
        <v>-0.01</v>
      </c>
      <c r="AN47" s="1513" t="n">
        <f aca="false">VLOOKUP($A47,VolatilityTable,27)</f>
        <v>0.16</v>
      </c>
      <c r="AO47" s="1514" t="n">
        <f aca="false">VLOOKUP($A47,VolatilityTable,28)</f>
        <v>0.01</v>
      </c>
      <c r="AP47" s="1513" t="n">
        <f aca="false">VLOOKUP($A47,VolatilityTable,26)</f>
        <v>-0.01</v>
      </c>
      <c r="AQ47" s="1513" t="n">
        <f aca="false">VLOOKUP($A47,VolatilityTable,27)</f>
        <v>0.16</v>
      </c>
      <c r="AR47" s="1515" t="n">
        <f aca="false">VLOOKUP($A47,VolatilityTable,28)</f>
        <v>0.01</v>
      </c>
      <c r="AS47" s="1581" t="n">
        <f aca="false">IF(CorrPeakOffPeakOverFlag,INDEX(CorrPeakOffPeakOver,C47),CorrPeakOffPeak)</f>
        <v>0.5</v>
      </c>
      <c r="AT47" s="594" t="n">
        <f aca="false">AX47-SUM(AU47:AW47)</f>
        <v>0</v>
      </c>
      <c r="AU47" s="238" t="n">
        <f aca="false">IF(E47="",0,INT((F47-MOD(F47,7)-E47)/7)+1-IF(AW47,IF(WEEKDAY(D47)=7,1,0),0))</f>
        <v>0</v>
      </c>
      <c r="AV47" s="238" t="n">
        <f aca="false">IF(E47="",0,INT((F47-MOD(F47-1,7)-E47)/7)+1-IF(AW47,IF(WEEKDAY(D47)=1,1,0),0))</f>
        <v>0</v>
      </c>
      <c r="AW47" s="238" t="n">
        <f aca="false">IF(OR(E47="",D47="",D47&lt;BegDate,D47&gt;EndDate),0,1)</f>
        <v>0</v>
      </c>
      <c r="AX47" s="238" t="n">
        <f aca="false">IF(E47="",0,F47-E47+1)</f>
        <v>0</v>
      </c>
      <c r="AY47" s="1582" t="n">
        <f aca="false">IF(E47="",0,MIN((1-(1-VLOOKUP(B47,MAIN!$AA$7:$AM$28,C47+1))*(1-VLOOKUP(B47,MAIN!$AA$33:$AM$54,C47+1))),1))</f>
        <v>0</v>
      </c>
      <c r="AZ47" s="1519" t="e">
        <v>#VALUE!</v>
      </c>
      <c r="BA47" s="1520" t="e">
        <v>#VALUE!</v>
      </c>
      <c r="BB47" s="1520" t="e">
        <v>#VALUE!</v>
      </c>
      <c r="BC47" s="1583" t="e">
        <v>#VALUE!</v>
      </c>
      <c r="BD47" s="1522" t="e">
        <v>#VALUE!</v>
      </c>
      <c r="BE47" s="1523" t="e">
        <v>#VALUE!</v>
      </c>
      <c r="BF47" s="1523" t="e">
        <v>#VALUE!</v>
      </c>
      <c r="BG47" s="1584" t="e">
        <v>#VALUE!</v>
      </c>
      <c r="BH47" s="1525" t="e">
        <v>#VALUE!</v>
      </c>
      <c r="BI47" s="1520" t="e">
        <v>#VALUE!</v>
      </c>
      <c r="BJ47" s="1520" t="e">
        <v>#VALUE!</v>
      </c>
      <c r="BK47" s="1583" t="e">
        <v>#VALUE!</v>
      </c>
      <c r="BL47" s="1522" t="e">
        <v>#VALUE!</v>
      </c>
      <c r="BM47" s="1523" t="e">
        <v>#VALUE!</v>
      </c>
      <c r="BN47" s="1523" t="e">
        <v>#VALUE!</v>
      </c>
      <c r="BO47" s="1523" t="e">
        <v>#VALUE!</v>
      </c>
      <c r="BP47" s="1525" t="e">
        <f aca="false">SUM(AZ47:BB47)</f>
        <v>#VALUE!</v>
      </c>
      <c r="BQ47" s="1529" t="e">
        <f aca="false">SUM(AZ47:BC47)</f>
        <v>#VALUE!</v>
      </c>
      <c r="BR47" s="1519" t="e">
        <f aca="false">SUM(BH47:BJ47)</f>
        <v>#VALUE!</v>
      </c>
      <c r="BS47" s="1529" t="e">
        <f aca="false">SUM(BH47:BK47)</f>
        <v>#VALUE!</v>
      </c>
      <c r="BT47" s="1316" t="n">
        <f aca="false">(IF(OVolType&lt;&gt;2,A47+14,IF(OptExpDateShift,ShiftBack(A47,OptExpDateShift,D46),A47))-DateToday)/365.25</f>
        <v>2.54893908281999</v>
      </c>
      <c r="BU47" s="1585" t="e">
        <f aca="false">IF(BQ47,IF(OPriceCurve,IF(OBuySell=OCallPut,I47/(1-AY47),K47/(1-AY47)),J47/(1-AY47))*BD47,0)</f>
        <v>#VALUE!</v>
      </c>
      <c r="BV47" s="1316" t="e">
        <f aca="false">IF(BQ47,IF(OPriceCurve,IF(OBuySell=OCallPut,L47/(1-AY47),N47/(1-AY47)),M47/(1-AY47))*BE47,0)</f>
        <v>#VALUE!</v>
      </c>
      <c r="BW47" s="1316" t="e">
        <f aca="false">IF(BQ47,IF(OPriceCurve,IF(OBuySell=OCallPut,O47/(1-AY47),Q47/(1-AY47)),P47/(1-AY47))*BF47,0)</f>
        <v>#VALUE!</v>
      </c>
      <c r="BX47" s="1316" t="e">
        <f aca="false">IF(BQ47,IF(OPriceCurve,IF(OBuySell=OCallPut,R47/(1-AY47),T47/(1-AY47)),S47/(1-AY47))*BG47,0)</f>
        <v>#VALUE!</v>
      </c>
      <c r="BY47" s="1316" t="e">
        <f aca="false">IF(BP47,(BU47*AZ47+BV47*BA47+BW47*BB47)/BP47,0)</f>
        <v>#VALUE!</v>
      </c>
      <c r="BZ47" s="1316" t="e">
        <f aca="false">IF(BQ47,(BY47*BP47+BX47*BC47)/BQ47,0)</f>
        <v>#VALUE!</v>
      </c>
      <c r="CA47" s="1531" t="e">
        <f aca="false">IF(BS47,IF(OPriceCurve,IF(OBuySell=OCallPut,I47/(1-AY47),K47/(1-AY47)),J47/(1-AY47))*BL47,0)</f>
        <v>#VALUE!</v>
      </c>
      <c r="CB47" s="1316" t="e">
        <f aca="false">IF(BS47,IF(OPriceCurve,IF(OBuySell=OCallPut,L47/(1-AY47),N47/(1-AY47)),M47/(1-AY47))*BM47,0)</f>
        <v>#VALUE!</v>
      </c>
      <c r="CC47" s="1316" t="e">
        <f aca="false">IF(BS47,IF(OPriceCurve,IF(OBuySell=OCallPut,O47/(1-AY47),Q47/(1-AY47)),P47/(1-AY47))*BN47,0)</f>
        <v>#VALUE!</v>
      </c>
      <c r="CD47" s="1316" t="e">
        <f aca="false">IF(BS47,IF(OPriceCurve,IF(OBuySell=OCallPut,R47/(1-AY47),T47/(1-AY47)),S47/(1-AY47))*BO47,0)</f>
        <v>#VALUE!</v>
      </c>
      <c r="CE47" s="1316" t="e">
        <f aca="false">IF(BR47,(BU47*BH47+BV47*BI47+BW47*BJ47)/BR47,0)</f>
        <v>#VALUE!</v>
      </c>
      <c r="CF47" s="1532" t="e">
        <f aca="false">IF(BS47,(CE47*BR47+CD47*BK47)/BS47,0)</f>
        <v>#VALUE!</v>
      </c>
      <c r="CG47" s="1586" t="e">
        <f aca="false">IF(OR(BQ47,BS47),IF(OVolType&lt;&gt;2,SQRT(IF(OVolOverMonthlyPeak,OVolOverMonthlyPeak,IF(OVolCurve,IF(OBuySell,U47,W47),V47))^2*(1-15/365.25/BT47)+IF(OVolOverDailyPeak,OVolOverDailyPeak,IF(OVolCurve,IF(OBuySell,AG47,AI47),AH47))^2*15/365.25/BT47),IF(OVolOverMonthlyPeak,OVolOverMonthlyPeak,IF(OVolCurve,IF(OBuySell,U47,W47),V47))),"")</f>
        <v>#VALUE!</v>
      </c>
      <c r="CH47" s="1587" t="e">
        <f aca="false">IF(OR(BQ47,BS47),IF(OVolType&lt;&gt;2,SQRT(IF(OVolOverMonthlyPeak,OVolOverMonthlyPeak,IF(OVolCurve,IF(OBuySell,X47,Z47),Y47))^2*(1-15/365.25/BT47)+IF(OVolOverDailyPeak,OVolOverDailyPeak,IF(OVolCurve,IF(OBuySell,AJ47,AL47),AK47))^2*15/365.25/BT47),IF(OVolOverMonthlyPeak,OVolOverMonthlyPeak,IF(OVolCurve,IF(OBuySell,X47,Z47),Y47))),"")</f>
        <v>#VALUE!</v>
      </c>
      <c r="CI47" s="1587" t="e">
        <f aca="false">IF(OR(BQ47,BS47),IF(OVolType&lt;&gt;2,SQRT(IF(OVolOverMonthlyPeak,OVolOverMonthlyPeak,IF(OVolCurve,IF(OBuySell,AA47,AC47),AB47))^2*(1-15/365.25/BT47)+IF(OVolOverDailyPeak,OVolOverDailyPeak,IF(OVolCurve,IF(OBuySell,AM47,AO47),AN47))^2*15/365.25/BT47),IF(OVolOverMonthlyPeak,OVolOverMonthlyPeak,IF(OVolCurve,IF(OBuySell,AA47,AC47),AB47))),"")</f>
        <v>#VALUE!</v>
      </c>
      <c r="CJ47" s="1587" t="e">
        <f aca="false">IF(BQ47,IF(BP47,SQRT(LN(1+((BU47*AZ47)^2*(EXP(CG47^2*BT47)-1)+(BV47*BA47)^2*(EXP(CH47^2*BT47)-1)+(BW47*BB47)^2*(EXP(CI47^2*BT47)-1)+2*BU47*AZ47*BV47*BA47*(EXP(CG47*CH47*BT47)-1)+2*BV47*BA47*BW47*BB47*(EXP(CH47*CI47*BT47)-1)+2*BW47*BB47*BU47*AZ47*(EXP(CI47*CG47*BT47)-1))/(BY47*BP47)^2)/BT47),0),"")</f>
        <v>#VALUE!</v>
      </c>
      <c r="CK47" s="1587" t="e">
        <f aca="false">IF(BS47,IF(BR47,SQRT(LN(1+((CA47*BH47)^2*(EXP(CG47^2*BT47)-1)+(CB47*BI47)^2*(EXP(CH47^2*BT47)-1)+(CC47*BJ47)^2*(EXP(CI47^2*BT47)-1)+2*CA47*BH47*CB47*BI47*(EXP(CG47*CH47*BT47)-1)+2*CB47*BI47*CC47*BJ47*(EXP(CH47*CI47*BT47)-1)+2*CC47*BJ47*CA47*BH47*(EXP(CI47*CG47*BT47)-1))/(CE47*BR47)^2)/BT47),0),"")</f>
        <v>#VALUE!</v>
      </c>
      <c r="CL47" s="1587" t="e">
        <f aca="false">IF(OR(BQ47,BS47),IF(OVolType&lt;&gt;2,SQRT(IF(OVolOverMonthlyOffPeak,OVolOverMonthlyOffPeak,IF(OVolCurve,IF(OBuySell,AD47,AF47),AE47))^2*(1-15/365.25/BT47)+IF(OVolOverDailyOffPeak,OVolOverDailyOffPeak,IF(OVolCurve,IF(OBuySell,AP47,AR47),AQ47))^2*15/365.25/BT47),IF(OVolOverMonthlyOffPeak,OVolOverMonthlyOffPeak,IF(OVolCurve,IF(OBuySell,AD47,AF47),AE47))),"")</f>
        <v>#VALUE!</v>
      </c>
      <c r="CM47" s="1587" t="e">
        <f aca="false">IF(BQ47,SQRT(LN(1+((BY47*BP47)^2*(EXP(CJ47^2*BT47)-1)+(BX47*BC47)^2*(EXP(CL47^2*BT47)-1)+2*BY47*BP47*BX47*BC47*(EXP(AS47*CJ47*CL47*BT47)-1))/(BY47*BP47+BX47*BC47)^2)/BT47),"")</f>
        <v>#VALUE!</v>
      </c>
      <c r="CN47" s="1588" t="e">
        <f aca="false">IF(BS47,SQRT(LN(1+((CE47*BR47)^2*(EXP(CK47^2*BT47)-1)+(CD47*BK47)^2*(EXP(CL47^2*BT47)-1)+2*CE47*BR47*CD47*BK47*(EXP(AS47*CK47*CL47*BT47)-1))/(CE47*BR47+CD47*BK47)^2)/BT47),"")</f>
        <v>#VALUE!</v>
      </c>
      <c r="CO47" s="1531" t="e">
        <f aca="false">IF(OR(BQ47,BS47),VLOOKUP(A47,GasTable,13)*HeatRatePeak*(1+VLOOKUP($B47,HeatRateDegradation,$C47+1))/1000,0)</f>
        <v>#VALUE!</v>
      </c>
      <c r="CP47" s="1316" t="e">
        <f aca="false">IF(OR(BQ47,BS47),VLOOKUP(A47,GasTable,13)*HeatRatePeak*(1+VLOOKUP($B47,HeatRateDegradation,$C47+1))/1000,0)</f>
        <v>#VALUE!</v>
      </c>
      <c r="CQ47" s="1316" t="e">
        <f aca="false">IF(OR(BQ47,BS47),VLOOKUP(A47,GasTable,13)*IF(EV47,HeatRatePeak,HeatRateOffPeak)*(1+VLOOKUP($B47,HeatRateDegradation,$C47+1))/1000,0)</f>
        <v>#VALUE!</v>
      </c>
      <c r="CR47" s="1316" t="e">
        <f aca="false">IF(OR(BQ47,BS47),VLOOKUP(A47,GasTable,13)*IF(EW47,HeatRatePeak,HeatRateOffPeak)*(1+VLOOKUP($B47,HeatRateDegradation,$C47+1))/1000,0)</f>
        <v>#VALUE!</v>
      </c>
      <c r="CS47" s="1589" t="e">
        <f aca="false">IF(BQ47,(CO47*AZ47+CP47*BA47+CQ47*BB47+CR47*BC47)/BQ47,0)</f>
        <v>#VALUE!</v>
      </c>
      <c r="CT47" s="1316" t="e">
        <f aca="false">IF(BS47,CO47,0)</f>
        <v>#VALUE!</v>
      </c>
      <c r="CU47" s="1590" t="e">
        <f aca="false">IF(OR(BQ47,BS47),VLOOKUP(A47,GasTable,14),"")</f>
        <v>#VALUE!</v>
      </c>
      <c r="CV47" s="1568" t="e">
        <f aca="false">IF(OR(BQ47,BS47),IF(CorrPowerGasOverFlag,INDEX(CorrPowerGasOver,C47),CorrPowerGas),"")</f>
        <v>#VALUE!</v>
      </c>
      <c r="CW47" s="1316" t="e">
        <f aca="false">IF(OR($BQ47,$BS47),SpreadOptPowerMargin,0)*((1+Assumptions!$C$26)^($B47-YEAR(Assumptions!$C$17)))</f>
        <v>#VALUE!</v>
      </c>
      <c r="CX47" s="1316" t="e">
        <f aca="false">IF(OR($BQ47,$BS47),SpreadOptPowerMargin,0)*((1+Assumptions!$C$26)^($B47-YEAR(Assumptions!$C$17)))</f>
        <v>#VALUE!</v>
      </c>
      <c r="CY47" s="1316" t="e">
        <f aca="false">IF(OR($BQ47,$BS47),SpreadOptPowerMargin,0)*((1+Assumptions!$C$26)^($B47-YEAR(Assumptions!$C$17)))</f>
        <v>#VALUE!</v>
      </c>
      <c r="CZ47" s="1316" t="e">
        <f aca="false">IF(OR($BQ47,$BS47),SpreadOptPowerMargin,0)*((1+Assumptions!$C$26)^($B47-YEAR(Assumptions!$C$17)))</f>
        <v>#VALUE!</v>
      </c>
      <c r="DA47" s="1591" t="e">
        <f aca="false">IF(OR(BQ47,BS47),(CW47*(AZ47+BH47)+CX47*(BA47+BI47)+CY47*(BB47+BJ47)+CZ47*(BC47+BK47))/(BQ47+BS47),0)</f>
        <v>#VALUE!</v>
      </c>
      <c r="DB47" s="1592" t="e">
        <f aca="false">IF(OR(BQ47,BS47),CG47+IF(OVolSmile,VLOOKUP(MAX(-5,CO47+CW47-BU47),IF(OVolSmile=1,VolSmileBook,VolSmileModel),2),0),"")</f>
        <v>#VALUE!</v>
      </c>
      <c r="DC47" s="1592" t="e">
        <f aca="false">IF(OR(BQ47,BS47),CH47+IF(OVolSmile,VLOOKUP(MAX(-5,CP47+CW47-BV47),IF(OVolSmile=1,VolSmileBook,VolSmileModel),2),0),"")</f>
        <v>#VALUE!</v>
      </c>
      <c r="DD47" s="1592" t="e">
        <f aca="false">IF(OR(BQ47,BS47),CI47+IF(OVolSmile,VLOOKUP(MAX(-5,CQ47+CW47-BW47),IF(OVolSmile=1,VolSmileBook,VolSmileModel),2),0),"")</f>
        <v>#VALUE!</v>
      </c>
      <c r="DE47" s="1592" t="e">
        <f aca="false">IF(OR(BQ47,BS47),CL47+IF(OVolSmile,VLOOKUP(MAX(-5,CR47+CZ47-BX47),IF(OVolSmile=1,VolSmileBook,VolSmileModel),2),0),"")</f>
        <v>#VALUE!</v>
      </c>
      <c r="DF47" s="1592" t="e">
        <f aca="false">IF(BQ47,CM47+IF(OVolSmile,VLOOKUP(MAX(-5,CS47+DA47-BZ47),IF(OVolSmile=1,VolSmileBook,VolSmileModel),2),0),"")</f>
        <v>#VALUE!</v>
      </c>
      <c r="DG47" s="1593" t="e">
        <f aca="false">IF(BS47,CN47+IF(OVolSmile,VLOOKUP(MAX(-5,CT47+DA47-CF47),IF(OVolSmile=1,VolSmileBook,VolSmileModel),2),0),"")</f>
        <v>#VALUE!</v>
      </c>
      <c r="DH47" s="1316" t="e">
        <f aca="false">IF(AND(BU47&gt;0,CO47&gt;0,DB47&gt;0,CU47&gt;0),newSPRDOPT(BU47,CO47,CW47,0,DB47,CU47,CV47,BT47*365.25,OCallPut,0),0)</f>
        <v>#VALUE!</v>
      </c>
      <c r="DI47" s="1316" t="e">
        <f aca="false">IF(AND(BV47&gt;0,CP47&gt;0,DC47&gt;0,CU47&gt;0),newSPRDOPT(BV47,CP47,CX47,0,DC47,CU47,CV47,BT47*365.25,OCallPut,0),0)</f>
        <v>#VALUE!</v>
      </c>
      <c r="DJ47" s="1316" t="e">
        <f aca="false">IF(AND(BW47&gt;0,CQ47&gt;0,DD47&gt;0,CU47&gt;0),newSPRDOPT(BW47,CQ47,CY47,0,DD47,CU47,CV47,BT47*365.25,OCallPut,0),0)</f>
        <v>#VALUE!</v>
      </c>
      <c r="DK47" s="1316" t="e">
        <f aca="false">IF(AND(BX47&gt;0,CR47&gt;0,DE47&gt;0,CU47&gt;0),newSPRDOPT(BX47,CR47,CZ47,0,DE47,CU47,CV47,BT47*365.25,OCallPut,0),0)</f>
        <v>#VALUE!</v>
      </c>
      <c r="DL47" s="1316" t="e">
        <f aca="false">IF(OVolType,IF(AND(BZ47&gt;0,CS47&gt;0,DF47&gt;0,CU47&gt;0),newSPRDOPT(BZ47,CS47,DA47,0,DF47,CU47,CV47,BT47*365.25,OCallPut,0),0),IF(BQ47,(DH47*AZ47+DI47*BA47+DJ47*BB47+DK47*BC47)/BQ47,0))</f>
        <v>#VALUE!</v>
      </c>
      <c r="DM47" s="1316"/>
      <c r="DN47" s="1316"/>
      <c r="DO47" s="1316"/>
      <c r="DP47" s="1316"/>
      <c r="DQ47" s="1316"/>
      <c r="DR47" s="1316"/>
      <c r="DS47" s="1316"/>
      <c r="DT47" s="1316"/>
      <c r="DU47" s="1316"/>
      <c r="DV47" s="1316"/>
      <c r="DW47" s="1594" t="e">
        <f aca="false">IF(AND(BW47&gt;0,CT47&gt;0,DD47&gt;0,CU47&gt;0),newSPRDOPT(BW47,CT47,CY47,0,DD47,CU47,CV47,BT47*365.25,OCallPut,0),0)</f>
        <v>#VALUE!</v>
      </c>
      <c r="DX47" s="1316" t="e">
        <f aca="false">IF(AND(BX47&gt;0,CT47&gt;0,DE47&gt;0,CU47&gt;0),newSPRDOPT(BX47,CT47,CZ47,0,DE47,CU47,CV47,BT47*365.25,OCallPut,0),0)</f>
        <v>#VALUE!</v>
      </c>
      <c r="DY47" s="1591" t="e">
        <f aca="false">IF(BS47,(DH47*BH47+DI47*BI47+DW47*BJ47+DX47*BK47)/BS47,0)</f>
        <v>#VALUE!</v>
      </c>
      <c r="DZ47" s="1551" t="e">
        <f aca="false">DH47*AZ47</f>
        <v>#VALUE!</v>
      </c>
      <c r="EA47" s="1551" t="e">
        <f aca="false">DI47*BA47</f>
        <v>#VALUE!</v>
      </c>
      <c r="EB47" s="1551" t="e">
        <f aca="false">DJ47*BB47</f>
        <v>#VALUE!</v>
      </c>
      <c r="EC47" s="1551" t="e">
        <f aca="false">DK47*BC47</f>
        <v>#VALUE!</v>
      </c>
      <c r="ED47" s="1551" t="e">
        <f aca="false">DL47*BQ47</f>
        <v>#VALUE!</v>
      </c>
      <c r="EE47" s="1595" t="e">
        <f aca="false">IF(BQ47,IF(OCallPut,IF(BU47&gt;(CO47+CW47),BU47-(CO47+CW47),0),IF((CO47+CW47)&gt;BU47,(CO47+CW47)-BU47,0))*AZ47,0)</f>
        <v>#VALUE!</v>
      </c>
      <c r="EF47" s="1596" t="e">
        <f aca="false">IF(BQ47,IF(OCallPut,IF(BV47&gt;(CP47+CX47),BV47-(CP47+CX47),0),IF((CP47+CX47)&gt;BV47,(CP47+CX47)-BV47,0))*BA47,0)</f>
        <v>#VALUE!</v>
      </c>
      <c r="EG47" s="1596" t="e">
        <f aca="false">IF(BQ47,IF(OCallPut,IF(BW47&gt;(CQ47+CY47),BW47-(CQ47+CY47),0),IF((CQ47+CY47)&gt;BW47,(CQ47+CY47)-BW47,0))*BB47,0)</f>
        <v>#VALUE!</v>
      </c>
      <c r="EH47" s="1596" t="e">
        <f aca="false">IF(BQ47,IF(OCallPut,IF(BX47&gt;(CR47+CZ47),BX47-(CR47+CZ47),0),IF((CR47+CZ47)&gt;BX47,(CR47+CZ47)-BX47,0))*BC47,0)</f>
        <v>#VALUE!</v>
      </c>
      <c r="EI47" s="1597" t="e">
        <f aca="false">IF(BQ47,IF(OVolType,IF(OCallPut,IF(BZ47&gt;(CS47+DA47),BZ47-(CS47+DA47),0),IF((CS47+DA47)&gt;BZ47,(CS47+DA47)-BZ47,0))*BQ47,SUM(EE47:EH47)),0)</f>
        <v>#VALUE!</v>
      </c>
      <c r="EJ47" s="1595" t="e">
        <f aca="false">DZ47-EE47</f>
        <v>#VALUE!</v>
      </c>
      <c r="EK47" s="1596" t="e">
        <f aca="false">EA47-EF47</f>
        <v>#VALUE!</v>
      </c>
      <c r="EL47" s="1596" t="e">
        <f aca="false">EB47-EG47</f>
        <v>#VALUE!</v>
      </c>
      <c r="EM47" s="1596" t="e">
        <f aca="false">EC47-EH47</f>
        <v>#VALUE!</v>
      </c>
      <c r="EN47" s="1597" t="e">
        <f aca="false">ED47-EI47</f>
        <v>#VALUE!</v>
      </c>
      <c r="EO47" s="1551" t="e">
        <f aca="false">DH47*BH47</f>
        <v>#VALUE!</v>
      </c>
      <c r="EP47" s="1551" t="e">
        <f aca="false">DI47*BI47</f>
        <v>#VALUE!</v>
      </c>
      <c r="EQ47" s="1551" t="e">
        <f aca="false">DW47*BJ47</f>
        <v>#VALUE!</v>
      </c>
      <c r="ER47" s="1551" t="e">
        <f aca="false">DX47*BK47</f>
        <v>#VALUE!</v>
      </c>
      <c r="ES47" s="1551" t="e">
        <f aca="false">DY47*BS47</f>
        <v>#VALUE!</v>
      </c>
      <c r="ET47" s="1566" t="e">
        <f aca="false">IF(EI47,IF(OCallPut,IF(CA47&gt;(CT47+CW47),CA47-(CT47+CW47),0),IF((CT47+CW47)&gt;CA47,(CT47+CW47)-CA47,0))*BH47,0)</f>
        <v>#VALUE!</v>
      </c>
      <c r="EU47" s="1551" t="e">
        <f aca="false">IF(EI47,IF(OCallPut,IF(CB47&gt;(CT47+CX47),CB47-(CT47+CX47),0),IF((CT47+CX47)&gt;CB47,(CT47+CX47)-CB47,0))*BI47,0)</f>
        <v>#VALUE!</v>
      </c>
      <c r="EV47" s="1551" t="e">
        <f aca="false">IF(EI47,IF(OCallPut,IF(CC47&gt;(CT47+CY47),CC47-(CT47+CY47),0),IF((CT47+CY47)&gt;CC47,(CT47+CY47)-CC47,0))*BJ47,0)</f>
        <v>#VALUE!</v>
      </c>
      <c r="EW47" s="1551" t="e">
        <f aca="false">IF(EI47,IF(OCallPut,IF(CD47&gt;(CT47+CZ47),CD47-(CT47+CZ47),0),IF((CT47+CZ47)&gt;CD47,(CT47+CZ47)-CD47,0))*BK47,0)</f>
        <v>#VALUE!</v>
      </c>
      <c r="EX47" s="1558" t="e">
        <f aca="false">IF(EI47,SUM(ET47:EW47),0)</f>
        <v>#VALUE!</v>
      </c>
      <c r="EY47" s="1551" t="e">
        <f aca="false">EO47-ET47</f>
        <v>#VALUE!</v>
      </c>
      <c r="EZ47" s="1551" t="e">
        <f aca="false">EP47-EU47</f>
        <v>#VALUE!</v>
      </c>
      <c r="FA47" s="1551" t="e">
        <f aca="false">EQ47-EV47</f>
        <v>#VALUE!</v>
      </c>
      <c r="FB47" s="1551" t="e">
        <f aca="false">ER47-EW47</f>
        <v>#VALUE!</v>
      </c>
      <c r="FC47" s="1551" t="e">
        <f aca="false">ES47-EX47</f>
        <v>#VALUE!</v>
      </c>
      <c r="FD47" s="1525" t="n">
        <f aca="false">IF(AX47,IF(VLOOKUP(C47,MAIN!$L$17:$M$28,2)="Yes",VLOOKUP(CALC!B47,MAIN!$H$17:$I$20,2),0),0)</f>
        <v>0</v>
      </c>
      <c r="FE47" s="1552" t="n">
        <f aca="false">$FD47*16*AT47*(1-$AY47)</f>
        <v>0</v>
      </c>
      <c r="FF47" s="1553" t="n">
        <f aca="false">$FD47*16*AU47*(1-$AY47)</f>
        <v>0</v>
      </c>
      <c r="FG47" s="1553" t="n">
        <f aca="false">$FD47*16*(AV47+AW47)*(1-$AY47)</f>
        <v>0</v>
      </c>
      <c r="FH47" s="1554" t="n">
        <f aca="false">$FD47*8*AX47*(1-$AY47)</f>
        <v>0</v>
      </c>
      <c r="FI47" s="1555" t="n">
        <f aca="false">IF(AX47,VLOOKUP(CALC!B47,MAIN!$H$17:$K$20,4),0)</f>
        <v>0</v>
      </c>
      <c r="FJ47" s="1553" t="n">
        <f aca="false">SUM(FE47:FH47)</f>
        <v>0</v>
      </c>
      <c r="FK47" s="1556" t="n">
        <f aca="false">FI47*FJ47</f>
        <v>0</v>
      </c>
      <c r="FL47" s="1551" t="e">
        <f aca="false">IF($EI47&gt;0,MIN(FE47,AZ47*(1+VLOOKUP($C47,WeatherCapacityAdjustment,2))),0)</f>
        <v>#VALUE!</v>
      </c>
      <c r="FM47" s="1551" t="e">
        <f aca="false">IF($EI47&gt;0,MIN(FF47,BA47*(1+VLOOKUP($C47,WeatherCapacityAdjustment,2))),0)</f>
        <v>#VALUE!</v>
      </c>
      <c r="FN47" s="1551" t="e">
        <f aca="false">IF($EI47&gt;0,MIN(FG47,BB47*(1+VLOOKUP($C47,WeatherCapacityAdjustment,2))),0)</f>
        <v>#VALUE!</v>
      </c>
      <c r="FO47" s="1564" t="e">
        <f aca="false">IF($EI47&gt;0,MIN(FH47,BC47*(1+VLOOKUP($C47,WeatherCapacityAdjustment,3))),0)</f>
        <v>#VALUE!</v>
      </c>
      <c r="FP47" s="1551" t="e">
        <f aca="false">IF(ET47&gt;0,MIN(FE47-FL47,BH47*(1+VLOOKUP($C47,WeatherCapacityAdjustment,2))),0)</f>
        <v>#VALUE!</v>
      </c>
      <c r="FQ47" s="1551" t="e">
        <f aca="false">IF(EU47&gt;0,MIN(FF47-FM47,BI47*(1+VLOOKUP($C47,WeatherCapacityAdjustment,2))),0)</f>
        <v>#VALUE!</v>
      </c>
      <c r="FR47" s="1551" t="e">
        <f aca="false">IF(EV47&gt;0,MIN(FG47-FN47,BJ47*(1+VLOOKUP($C47,WeatherCapacityAdjustment,2))),0)</f>
        <v>#VALUE!</v>
      </c>
      <c r="FS47" s="1558" t="e">
        <f aca="false">IF(EW47&gt;0,MIN(FH47-FO47,BK47*(1+VLOOKUP($C47,WeatherCapacityAdjustment,3))),0)</f>
        <v>#VALUE!</v>
      </c>
      <c r="FT47" s="1566" t="n">
        <f aca="false">IF(AND(Assumptions!$H$71="Yes",A47&gt;=Assumptions!$H$72,A47&lt;=Assumptions!$H$73),0,IF(AND($A47&gt;=Assumptions!$C$17,$A47&lt;=Assumptions!$C$18),MAX(AZ47*(1+VLOOKUP($C47,WeatherCapacityAdjustment,2))-FL47,0),0))</f>
        <v>0</v>
      </c>
      <c r="FU47" s="1551" t="n">
        <f aca="false">IF(AND(Assumptions!$H$71="Yes",A47&gt;=Assumptions!$H$72,A47&lt;=Assumptions!$H$73),0,IF(AND($A47&gt;=Assumptions!$C$17,$A47&lt;=Assumptions!$C$18),MAX(BA47*(1+VLOOKUP($C47,WeatherCapacityAdjustment,2))-FM47,0),0))</f>
        <v>0</v>
      </c>
      <c r="FV47" s="1551" t="n">
        <f aca="false">IF(AND(Assumptions!$H$71="Yes",A47&gt;=Assumptions!$H$72,A47&lt;=Assumptions!$H$73),0,IF(AND($A47&gt;=Assumptions!$C$17,$A47&lt;=Assumptions!$C$18),MAX(BB47*(1+VLOOKUP($C47,WeatherCapacityAdjustment,2))-FN47,0),0))</f>
        <v>0</v>
      </c>
      <c r="FW47" s="1564" t="n">
        <f aca="false">IF(AND(Assumptions!$H$71="Yes",A47&gt;=Assumptions!$H$72,A47&lt;=Assumptions!$H$73),0,IF(AND($A47&gt;=Assumptions!$C$17,$A47&lt;=Assumptions!$C$18),MAX(BC47*(1+VLOOKUP($C47,WeatherCapacityAdjustment,3))-FO47,0),0))</f>
        <v>0</v>
      </c>
      <c r="FX47" s="1569" t="e">
        <f aca="false">IF(AND(Assumptions!$H$71="Yes",A47&gt;=Assumptions!$H$72,A47&lt;=Assumptions!$H$73),0,IF(ET47&gt;0,MAX(BH47*(1+VLOOKUP($C47,WeatherCapacityAdjustment,2))-FP47,0),0))</f>
        <v>#VALUE!</v>
      </c>
      <c r="FY47" s="1551" t="e">
        <f aca="false">IF(AND(Assumptions!$H$71="Yes",A47&gt;=Assumptions!$H$72,A47&lt;=Assumptions!$H$73),0,IF(EU47&gt;0,MAX(BI47*(1+VLOOKUP($C47,WeatherCapacityAdjustment,3))-FQ47,0),0))</f>
        <v>#VALUE!</v>
      </c>
      <c r="FZ47" s="1551" t="e">
        <f aca="false">IF(AND(Assumptions!$H$71="Yes",A47&gt;=Assumptions!$H$72,A47&lt;=Assumptions!$H$73),0,IF(EV47&gt;0,MAX(BJ47*(1+VLOOKUP($C47,WeatherCapacityAdjustment,2))-FR47,0),0))</f>
        <v>#VALUE!</v>
      </c>
      <c r="GA47" s="1564" t="e">
        <f aca="false">IF(AND(Assumptions!$H$71="Yes",A47&gt;=Assumptions!$H$72,A47&lt;=Assumptions!$H$73),0,IF(EW47&gt;0,MAX(BK47*(1+VLOOKUP($C47,WeatherCapacityAdjustment,2))-FS47,0),0))</f>
        <v>#VALUE!</v>
      </c>
      <c r="GB47" s="1551" t="e">
        <f aca="false">SUM(FT47:GA47)</f>
        <v>#VALUE!</v>
      </c>
      <c r="GC47" s="1563" t="e">
        <f aca="false">+IF(SUM(FT47:GA47)=0,0,(SUMPRODUCT(BU47:BX47,FT47:FW47)+SUMPRODUCT(CA47:CD47,FX47:GA47))/SUM(FT47:GA47))</f>
        <v>#VALUE!</v>
      </c>
      <c r="GD47" s="1551" t="e">
        <f aca="false">(FT47*BU47+FX47*CA47+FU47*BV47+FY47*CB47+FV47*BW47+FZ47*CC47+FW47*BX47+GA47*CD47)</f>
        <v>#VALUE!</v>
      </c>
      <c r="GE47" s="1561" t="e">
        <f aca="false">+IF(BQ47,((FL47+FM47+FT47+FU47)*HeatRatePeak/1000*(1+VLOOKUP($C47,WeatherHeatRateAdjustment,2))+(FN47+FV47)*IF(EV47&gt;0,HeatRatePeak,HeatRateOffPeak)/1000*(1+VLOOKUP($C47,WeatherHeatRateAdjustment,2))+(FO47+FW47)*IF(EW47&gt;0,HeatRatePeak,HeatRateOffPeak)/1000*(1+VLOOKUP($C47,WeatherHeatRateAdjustment,3)))*(1+VLOOKUP($B47,HeatRateDegradation,$C47+1)),0)</f>
        <v>#VALUE!</v>
      </c>
      <c r="GF47" s="1562" t="e">
        <f aca="false">IF(BQ47,((FP47+FQ47+FR47+FX47+FY47+FZ47)*HeatRatePeak/1000*(1+VLOOKUP($C47,WeatherHeatRateAdjustment,2))+(FS47+GA47)*HeatRatePeak/1000*(1+VLOOKUP($C47,WeatherHeatRateAdjustment,3)))*(1+VLOOKUP($B47,HeatRateDegradation,$C47+1)),0)</f>
        <v>#VALUE!</v>
      </c>
      <c r="GG47" s="1563" t="e">
        <f aca="false">IF(BQ47,VLOOKUP(A47,GasTable,13),0)</f>
        <v>#VALUE!</v>
      </c>
      <c r="GH47" s="1564" t="e">
        <f aca="false">(GE47+GF47)*GG47</f>
        <v>#VALUE!</v>
      </c>
      <c r="GI47" s="1569" t="e">
        <f aca="false">GB47</f>
        <v>#VALUE!</v>
      </c>
      <c r="GJ47" s="1598" t="e">
        <f aca="false">+DA47</f>
        <v>#VALUE!</v>
      </c>
      <c r="GK47" s="1558" t="e">
        <f aca="false">+GI47*GJ47</f>
        <v>#VALUE!</v>
      </c>
      <c r="GL47" s="1566" t="e">
        <f aca="false">MAX(FE47-FL47-FP47,0)</f>
        <v>#VALUE!</v>
      </c>
      <c r="GM47" s="1551" t="e">
        <f aca="false">MAX(FF47-FM47-FQ47,0)</f>
        <v>#VALUE!</v>
      </c>
      <c r="GN47" s="1551" t="e">
        <f aca="false">MAX(FG47-FN47-FR47,0)</f>
        <v>#VALUE!</v>
      </c>
      <c r="GO47" s="1564" t="e">
        <f aca="false">MAX(FH47-FO47-FS47,0)</f>
        <v>#VALUE!</v>
      </c>
      <c r="GP47" s="1551" t="e">
        <f aca="false">SUM(GL47:GO47)</f>
        <v>#VALUE!</v>
      </c>
      <c r="GQ47" s="1563" t="e">
        <f aca="false">IF(SUM(GL47:GO47)=0,0,((GL47*BU47+GM47*BV47+GN47*BW47+GO47*BX47)/SUM(GL47:GO47)))</f>
        <v>#VALUE!</v>
      </c>
      <c r="GR47" s="1558" t="e">
        <f aca="false">(GL47*BU47+GM47*BV47+GN47*BW47+GO47*BX47)</f>
        <v>#VALUE!</v>
      </c>
      <c r="GS47" s="1566" t="n">
        <f aca="false">IF($A47&gt;=BegDate,Assumptions!$C$56*24*($A48-$A47)*(1-VLOOKUP($B47,MAIN!$AA$7:$AM$28,$C47+1))*(1-VLOOKUP($B47,MAIN!$AA$33:$AM$54,$C47+1)),0)*80/168</f>
        <v>0</v>
      </c>
      <c r="GT47" s="286" t="n">
        <f aca="false">J47</f>
        <v>36.48755628</v>
      </c>
      <c r="GU47" s="286" t="n">
        <f aca="false">IF($A47&gt;=BegDate,VLOOKUP($A47,GasTable,13)+Assumptions!$C$58,0)</f>
        <v>0</v>
      </c>
      <c r="GV47" s="286" t="n">
        <f aca="false">GU47*Assumptions!$C$57/1000</f>
        <v>0</v>
      </c>
      <c r="GW47" s="1558" t="n">
        <f aca="false">IF(Assumptions!$C$60="Hourly",MAX(0,GS47*(GT47-GV47)),GS47*(GT47-GV47))</f>
        <v>0</v>
      </c>
      <c r="GX47" s="1566" t="n">
        <f aca="false">IF($A47&gt;=BegDate,Assumptions!$C$56*24*($A48-$A47)*(1-VLOOKUP($B47,MAIN!$AA$7:$AM$28,$C47+1))*(1-VLOOKUP($B47,MAIN!$AA$33:$AM$54,$C47+1)),0)*16/168</f>
        <v>0</v>
      </c>
      <c r="GY47" s="286" t="n">
        <f aca="false">M47</f>
        <v>36.48755628</v>
      </c>
      <c r="GZ47" s="286" t="n">
        <f aca="false">IF($A47&gt;=BegDate,VLOOKUP($A47,GasTable,13)+Assumptions!$C$58,0)</f>
        <v>0</v>
      </c>
      <c r="HA47" s="286" t="n">
        <f aca="false">GZ47*Assumptions!$C$57/1000</f>
        <v>0</v>
      </c>
      <c r="HB47" s="1558" t="n">
        <f aca="false">IF(Assumptions!$C$60="Hourly",MAX(0,GX47*(GY47-HA47)),GX47*(GY47-HA47))</f>
        <v>0</v>
      </c>
      <c r="HC47" s="1566" t="n">
        <f aca="false">IF($A47&gt;=BegDate,Assumptions!$C$56*24*($A48-$A47)*(1-VLOOKUP($B47,MAIN!$AA$7:$AM$28,$C47+1))*(1-VLOOKUP($B47,MAIN!$AA$33:$AM$54,$C47+1)),0)*16/168</f>
        <v>0</v>
      </c>
      <c r="HD47" s="286" t="n">
        <f aca="false">P47</f>
        <v>25.9772274</v>
      </c>
      <c r="HE47" s="286" t="n">
        <f aca="false">IF($A47&gt;=BegDate,VLOOKUP($A47,GasTable,13)+Assumptions!$C$58,0)</f>
        <v>0</v>
      </c>
      <c r="HF47" s="286" t="n">
        <f aca="false">HE47*Assumptions!$C$57/1000</f>
        <v>0</v>
      </c>
      <c r="HG47" s="1558" t="n">
        <f aca="false">IF(Assumptions!$C$60="Hourly",MAX(0,HC47*(HD47-HF47)),HC47*(HD47-HF47))</f>
        <v>0</v>
      </c>
      <c r="HH47" s="1566" t="n">
        <f aca="false">IF($A47&gt;=BegDate,Assumptions!$C$56*24*($A48-$A47)*(1-VLOOKUP($B47,MAIN!$AA$7:$AM$28,$C47+1))*(1-VLOOKUP($B47,MAIN!$AA$33:$AM$54,$C47+1)),0)*56/168</f>
        <v>0</v>
      </c>
      <c r="HI47" s="286" t="n">
        <f aca="false">S47</f>
        <v>25.9772274</v>
      </c>
      <c r="HJ47" s="286" t="n">
        <f aca="false">IF($A47&gt;=BegDate,VLOOKUP($A47,GasTable,13)+Assumptions!$C$58,0)</f>
        <v>0</v>
      </c>
      <c r="HK47" s="286" t="n">
        <f aca="false">HJ47*Assumptions!$C$57/1000</f>
        <v>0</v>
      </c>
      <c r="HL47" s="1558" t="n">
        <f aca="false">IF(Assumptions!$C$60="Hourly",MAX(0,HH47*(HI47-HK47)),HH47*(HI47-HK47))</f>
        <v>0</v>
      </c>
      <c r="HM47" s="1566" t="n">
        <f aca="false">IF(AND(Assumptions!$H$71="Yes",A47&gt;=Assumptions!$H$72,A47&lt;=Assumptions!$H$73),Assumptions!$H$74*Assumptions!$C$9*1000,0)</f>
        <v>0</v>
      </c>
      <c r="HN47" s="1551"/>
      <c r="HO47" s="1563"/>
      <c r="HP47" s="1563"/>
      <c r="HQ47" s="1563" t="s">
        <v>3</v>
      </c>
      <c r="HR47" s="1563"/>
      <c r="HS47" s="1563"/>
      <c r="HT47" s="1563"/>
      <c r="HU47" s="1563"/>
      <c r="HV47" s="1563"/>
      <c r="HW47" s="1563"/>
      <c r="HX47" s="1563"/>
      <c r="HY47" s="1563"/>
      <c r="HZ47" s="1563"/>
      <c r="IA47" s="1563"/>
      <c r="IB47" s="1563"/>
      <c r="IC47" s="1563"/>
      <c r="ID47" s="1563"/>
      <c r="IE47" s="1563"/>
      <c r="IF47" s="1563"/>
      <c r="IG47" s="1563"/>
      <c r="IH47" s="1563"/>
      <c r="II47" s="1610"/>
      <c r="IJ47" s="1309"/>
      <c r="IK47" s="1309"/>
    </row>
    <row r="48" customFormat="false" ht="12.75" hidden="false" customHeight="false" outlineLevel="0" collapsed="false">
      <c r="A48" s="1571" t="n">
        <f aca="false">EOMONTH(A47,0)+1</f>
        <v>37591</v>
      </c>
      <c r="B48" s="594" t="n">
        <f aca="false">+YEAR(A48)</f>
        <v>2002</v>
      </c>
      <c r="C48" s="238" t="n">
        <f aca="false">MONTH(A48)</f>
        <v>12</v>
      </c>
      <c r="D48" s="1572" t="str">
        <f aca="false">IF(E48="","",Holiday(B48,C48))</f>
        <v/>
      </c>
      <c r="E48" s="1573" t="str">
        <f aca="false">IF(OR(BegDate&gt;=A49,EndDate&lt;A48,AND(VolumeMonthlyOverFlag,INDEX(VolumeMonthlyOver,C48)=0),NOT(INDEX(MonthKnockOutTable,C48))),"",MAX(A48,BegDate))</f>
        <v/>
      </c>
      <c r="F48" s="1574" t="str">
        <f aca="false">IF(E48="","",MIN(A49-1,EndDate))</f>
        <v/>
      </c>
      <c r="G48" s="1575" t="n">
        <v>0</v>
      </c>
      <c r="H48" s="1576" t="n">
        <f aca="false">(1+G48/2)^(-2*(DATE(B49,C49,20)-DateToday)/365.25)</f>
        <v>1</v>
      </c>
      <c r="I48" s="1568" t="n">
        <f aca="false">IF(Assumptions!$L$25=4,VLOOKUP($A48,'Henwood Reference'!$E$9:$R$320,10),(VLOOKUP($A48,PriceTable,2,0)+IF(BasisNumber&lt;&gt;1,VLOOKUP($A48,BasisTable,2,0),0)+I$1)/(1-I$2))</f>
        <v>35.94883716</v>
      </c>
      <c r="J48" s="1568" t="n">
        <f aca="false">IF(Assumptions!$L$25=4,VLOOKUP($A48,'Henwood Reference'!$E$9:$R$320,10),(VLOOKUP($A48,PriceTable,3,0)+IF(BasisNumber&lt;&gt;1,VLOOKUP($A48,BasisTable,2,0),0)+J$1)/(1-J$2))</f>
        <v>35.94883716</v>
      </c>
      <c r="K48" s="1568" t="n">
        <f aca="false">IF(Assumptions!$L$25=4,VLOOKUP($A48,'Henwood Reference'!$E$9:$R$320,10),(VLOOKUP($A48,PriceTable,4,0)+IF(BasisNumber&lt;&gt;1,VLOOKUP($A48,BasisTable,2,0),0)+K$1)/(1-K$2))</f>
        <v>35.94883716</v>
      </c>
      <c r="L48" s="1523" t="n">
        <f aca="false">IF(Assumptions!$L$25=4,VLOOKUP($A48,'Henwood Reference'!$E$9:$R$320,10),(VLOOKUP($A48,PriceTableWeekend,2,0)+IF(BasisNumber&lt;&gt;1,VLOOKUP($A48,BasisTable,2,0),0)+L$1)/(1-L$2))</f>
        <v>35.94883716</v>
      </c>
      <c r="M48" s="1568" t="n">
        <f aca="false">IF(Assumptions!$L$25=4,VLOOKUP($A48,'Henwood Reference'!$E$9:$R$320,10),(VLOOKUP($A48,PriceTableWeekend,3,0)+IF(BasisNumber&lt;&gt;1,VLOOKUP($A48,BasisTable,2,0),0)+M$1)/(1-M$2))</f>
        <v>35.94883716</v>
      </c>
      <c r="N48" s="1599" t="n">
        <f aca="false">IF(Assumptions!$L$25=4,VLOOKUP($A48,'Henwood Reference'!$E$9:$R$320,10),(VLOOKUP($A48,PriceTableWeekend,4,0)+IF(BasisNumber&lt;&gt;1,VLOOKUP($A48,BasisTable,2,0),0)+N$1)/(1-N$2))</f>
        <v>35.94883716</v>
      </c>
      <c r="O48" s="1568" t="n">
        <f aca="false">IF(Assumptions!$L$25=4,VLOOKUP($A48,'Henwood Reference'!$E$9:$R$320,11),(VLOOKUP($A48,PriceTableWeekend,6,0)+IF(BasisNumber&lt;&gt;1,VLOOKUP($A48,BasisTable,3,0),0)+O$1)/(1-O$2))</f>
        <v>25.81606944</v>
      </c>
      <c r="P48" s="1568" t="n">
        <f aca="false">IF(Assumptions!$L$25=4,VLOOKUP($A48,'Henwood Reference'!$E$9:$R$320,11),(VLOOKUP($A48,PriceTableWeekend,7,0)+IF(BasisNumber&lt;&gt;1,VLOOKUP($A48,BasisTable,3,0),0)+P$1)/(1-P$2))</f>
        <v>25.81606944</v>
      </c>
      <c r="Q48" s="1599" t="n">
        <f aca="false">IF(Assumptions!$L$25=4,VLOOKUP($A48,'Henwood Reference'!$E$9:$R$320,11),(VLOOKUP($A48,PriceTableWeekend,8,0)+IF(BasisNumber&lt;&gt;1,VLOOKUP($A48,BasisTable,3,0),0)+Q$1)/(1-Q$2))</f>
        <v>25.81606944</v>
      </c>
      <c r="R48" s="1568" t="n">
        <f aca="false">IF(Assumptions!$L$25=4,VLOOKUP($A48,'Henwood Reference'!$E$9:$R$320,11),(VLOOKUP($A48,PriceTable,6,0)+IF(BasisNumber&lt;&gt;1,VLOOKUP($A48,BasisTable,3,0),0)+R$1)/(1-R$2))</f>
        <v>25.81606944</v>
      </c>
      <c r="S48" s="1568" t="n">
        <f aca="false">IF(Assumptions!$L$25=4,VLOOKUP($A48,'Henwood Reference'!$E$9:$R$320,11),(VLOOKUP($A48,PriceTable,7,0)+IF(BasisNumber&lt;&gt;1,VLOOKUP($A48,BasisTable,3,0),0)+S$1)/(1-S$2))</f>
        <v>25.81606944</v>
      </c>
      <c r="T48" s="1600" t="n">
        <f aca="false">IF(Assumptions!$L$25=4,VLOOKUP($A48,'Henwood Reference'!$E$9:$R$320,11),(VLOOKUP($A48,PriceTable,8,0)+IF(BasisNumber&lt;&gt;1,VLOOKUP($A48,BasisTable,3,0),0)+T$1)/(1-T$2))</f>
        <v>25.81606944</v>
      </c>
      <c r="U48" s="1513" t="n">
        <f aca="false">VLOOKUP($A48,VolatilityTable,14)</f>
        <v>0.16</v>
      </c>
      <c r="V48" s="1513" t="n">
        <f aca="false">VLOOKUP($A48,VolatilityTable,15)</f>
        <v>0.17</v>
      </c>
      <c r="W48" s="1514" t="n">
        <f aca="false">VLOOKUP($A48,VolatilityTable,16)</f>
        <v>0.18</v>
      </c>
      <c r="X48" s="1513" t="n">
        <f aca="false">VLOOKUP($A48,VolatilityTable,14)</f>
        <v>0.16</v>
      </c>
      <c r="Y48" s="1513" t="n">
        <f aca="false">VLOOKUP($A48,VolatilityTable,15)</f>
        <v>0.17</v>
      </c>
      <c r="Z48" s="1514" t="n">
        <f aca="false">VLOOKUP($A48,VolatilityTable,16)</f>
        <v>0.18</v>
      </c>
      <c r="AA48" s="1513" t="n">
        <f aca="false">VLOOKUP($A48,VolatilityTable,18)</f>
        <v>0.09</v>
      </c>
      <c r="AB48" s="1513" t="n">
        <f aca="false">VLOOKUP($A48,VolatilityTable,19)</f>
        <v>0.11</v>
      </c>
      <c r="AC48" s="1514" t="n">
        <f aca="false">VLOOKUP($A48,VolatilityTable,20)</f>
        <v>0.13</v>
      </c>
      <c r="AD48" s="1513" t="n">
        <f aca="false">VLOOKUP($A48,VolatilityTable,18)</f>
        <v>0.09</v>
      </c>
      <c r="AE48" s="1513" t="n">
        <f aca="false">VLOOKUP($A48,VolatilityTable,19)</f>
        <v>0.11</v>
      </c>
      <c r="AF48" s="1514" t="n">
        <f aca="false">VLOOKUP($A48,VolatilityTable,20)</f>
        <v>0.13</v>
      </c>
      <c r="AG48" s="1513" t="n">
        <f aca="false">VLOOKUP($A48,VolatilityTable,22)</f>
        <v>-0.25</v>
      </c>
      <c r="AH48" s="1513" t="n">
        <f aca="false">VLOOKUP($A48,VolatilityTable,23)</f>
        <v>0.6</v>
      </c>
      <c r="AI48" s="1514" t="n">
        <f aca="false">VLOOKUP($A48,VolatilityTable,24)</f>
        <v>0.25</v>
      </c>
      <c r="AJ48" s="1513" t="n">
        <f aca="false">VLOOKUP($A48,VolatilityTable,22)</f>
        <v>-0.25</v>
      </c>
      <c r="AK48" s="1513" t="n">
        <f aca="false">VLOOKUP($A48,VolatilityTable,23)</f>
        <v>0.6</v>
      </c>
      <c r="AL48" s="1514" t="n">
        <f aca="false">VLOOKUP($A48,VolatilityTable,24)</f>
        <v>0.25</v>
      </c>
      <c r="AM48" s="1513" t="n">
        <f aca="false">VLOOKUP($A48,VolatilityTable,26)</f>
        <v>-0.01</v>
      </c>
      <c r="AN48" s="1513" t="n">
        <f aca="false">VLOOKUP($A48,VolatilityTable,27)</f>
        <v>0.16</v>
      </c>
      <c r="AO48" s="1514" t="n">
        <f aca="false">VLOOKUP($A48,VolatilityTable,28)</f>
        <v>0.01</v>
      </c>
      <c r="AP48" s="1513" t="n">
        <f aca="false">VLOOKUP($A48,VolatilityTable,26)</f>
        <v>-0.01</v>
      </c>
      <c r="AQ48" s="1513" t="n">
        <f aca="false">VLOOKUP($A48,VolatilityTable,27)</f>
        <v>0.16</v>
      </c>
      <c r="AR48" s="1515" t="n">
        <f aca="false">VLOOKUP($A48,VolatilityTable,28)</f>
        <v>0.01</v>
      </c>
      <c r="AS48" s="1581" t="n">
        <f aca="false">IF(CorrPeakOffPeakOverFlag,INDEX(CorrPeakOffPeakOver,C48),CorrPeakOffPeak)</f>
        <v>0.5</v>
      </c>
      <c r="AT48" s="594" t="n">
        <f aca="false">AX48-SUM(AU48:AW48)</f>
        <v>0</v>
      </c>
      <c r="AU48" s="238" t="n">
        <f aca="false">IF(E48="",0,INT((F48-MOD(F48,7)-E48)/7)+1-IF(AW48,IF(WEEKDAY(D48)=7,1,0),0))</f>
        <v>0</v>
      </c>
      <c r="AV48" s="238" t="n">
        <f aca="false">IF(E48="",0,INT((F48-MOD(F48-1,7)-E48)/7)+1-IF(AW48,IF(WEEKDAY(D48)=1,1,0),0))</f>
        <v>0</v>
      </c>
      <c r="AW48" s="238" t="n">
        <f aca="false">IF(OR(E48="",D48="",D48&lt;BegDate,D48&gt;EndDate),0,1)</f>
        <v>0</v>
      </c>
      <c r="AX48" s="238" t="n">
        <f aca="false">IF(E48="",0,F48-E48+1)</f>
        <v>0</v>
      </c>
      <c r="AY48" s="1582" t="n">
        <f aca="false">IF(E48="",0,MIN((1-(1-VLOOKUP(B48,MAIN!$AA$7:$AM$28,C48+1))*(1-VLOOKUP(B48,MAIN!$AA$33:$AM$54,C48+1))),1))</f>
        <v>0</v>
      </c>
      <c r="AZ48" s="1519" t="e">
        <v>#VALUE!</v>
      </c>
      <c r="BA48" s="1520" t="e">
        <v>#VALUE!</v>
      </c>
      <c r="BB48" s="1520" t="e">
        <v>#VALUE!</v>
      </c>
      <c r="BC48" s="1583" t="e">
        <v>#VALUE!</v>
      </c>
      <c r="BD48" s="1522" t="e">
        <v>#VALUE!</v>
      </c>
      <c r="BE48" s="1523" t="e">
        <v>#VALUE!</v>
      </c>
      <c r="BF48" s="1523" t="e">
        <v>#VALUE!</v>
      </c>
      <c r="BG48" s="1584" t="e">
        <v>#VALUE!</v>
      </c>
      <c r="BH48" s="1525" t="e">
        <v>#VALUE!</v>
      </c>
      <c r="BI48" s="1520" t="e">
        <v>#VALUE!</v>
      </c>
      <c r="BJ48" s="1520" t="e">
        <v>#VALUE!</v>
      </c>
      <c r="BK48" s="1583" t="e">
        <v>#VALUE!</v>
      </c>
      <c r="BL48" s="1522" t="e">
        <v>#VALUE!</v>
      </c>
      <c r="BM48" s="1523" t="e">
        <v>#VALUE!</v>
      </c>
      <c r="BN48" s="1523" t="e">
        <v>#VALUE!</v>
      </c>
      <c r="BO48" s="1523" t="e">
        <v>#VALUE!</v>
      </c>
      <c r="BP48" s="1525" t="e">
        <f aca="false">SUM(AZ48:BB48)</f>
        <v>#VALUE!</v>
      </c>
      <c r="BQ48" s="1529" t="e">
        <f aca="false">SUM(AZ48:BC48)</f>
        <v>#VALUE!</v>
      </c>
      <c r="BR48" s="1519" t="e">
        <f aca="false">SUM(BH48:BJ48)</f>
        <v>#VALUE!</v>
      </c>
      <c r="BS48" s="1529" t="e">
        <f aca="false">SUM(BH48:BK48)</f>
        <v>#VALUE!</v>
      </c>
      <c r="BT48" s="1316" t="n">
        <f aca="false">(IF(OVolType&lt;&gt;2,A48+14,IF(OptExpDateShift,ShiftBack(A48,OptExpDateShift,D47),A48))-DateToday)/365.25</f>
        <v>2.63107460643395</v>
      </c>
      <c r="BU48" s="1585" t="e">
        <f aca="false">IF(BQ48,IF(OPriceCurve,IF(OBuySell=OCallPut,I48/(1-AY48),K48/(1-AY48)),J48/(1-AY48))*BD48,0)</f>
        <v>#VALUE!</v>
      </c>
      <c r="BV48" s="1316" t="e">
        <f aca="false">IF(BQ48,IF(OPriceCurve,IF(OBuySell=OCallPut,L48/(1-AY48),N48/(1-AY48)),M48/(1-AY48))*BE48,0)</f>
        <v>#VALUE!</v>
      </c>
      <c r="BW48" s="1316" t="e">
        <f aca="false">IF(BQ48,IF(OPriceCurve,IF(OBuySell=OCallPut,O48/(1-AY48),Q48/(1-AY48)),P48/(1-AY48))*BF48,0)</f>
        <v>#VALUE!</v>
      </c>
      <c r="BX48" s="1316" t="e">
        <f aca="false">IF(BQ48,IF(OPriceCurve,IF(OBuySell=OCallPut,R48/(1-AY48),T48/(1-AY48)),S48/(1-AY48))*BG48,0)</f>
        <v>#VALUE!</v>
      </c>
      <c r="BY48" s="1316" t="e">
        <f aca="false">IF(BP48,(BU48*AZ48+BV48*BA48+BW48*BB48)/BP48,0)</f>
        <v>#VALUE!</v>
      </c>
      <c r="BZ48" s="1316" t="e">
        <f aca="false">IF(BQ48,(BY48*BP48+BX48*BC48)/BQ48,0)</f>
        <v>#VALUE!</v>
      </c>
      <c r="CA48" s="1531" t="e">
        <f aca="false">IF(BS48,IF(OPriceCurve,IF(OBuySell=OCallPut,I48/(1-AY48),K48/(1-AY48)),J48/(1-AY48))*BL48,0)</f>
        <v>#VALUE!</v>
      </c>
      <c r="CB48" s="1316" t="e">
        <f aca="false">IF(BS48,IF(OPriceCurve,IF(OBuySell=OCallPut,L48/(1-AY48),N48/(1-AY48)),M48/(1-AY48))*BM48,0)</f>
        <v>#VALUE!</v>
      </c>
      <c r="CC48" s="1316" t="e">
        <f aca="false">IF(BS48,IF(OPriceCurve,IF(OBuySell=OCallPut,O48/(1-AY48),Q48/(1-AY48)),P48/(1-AY48))*BN48,0)</f>
        <v>#VALUE!</v>
      </c>
      <c r="CD48" s="1316" t="e">
        <f aca="false">IF(BS48,IF(OPriceCurve,IF(OBuySell=OCallPut,R48/(1-AY48),T48/(1-AY48)),S48/(1-AY48))*BO48,0)</f>
        <v>#VALUE!</v>
      </c>
      <c r="CE48" s="1316" t="e">
        <f aca="false">IF(BR48,(BU48*BH48+BV48*BI48+BW48*BJ48)/BR48,0)</f>
        <v>#VALUE!</v>
      </c>
      <c r="CF48" s="1532" t="e">
        <f aca="false">IF(BS48,(CE48*BR48+CD48*BK48)/BS48,0)</f>
        <v>#VALUE!</v>
      </c>
      <c r="CG48" s="1586" t="e">
        <f aca="false">IF(OR(BQ48,BS48),IF(OVolType&lt;&gt;2,SQRT(IF(OVolOverMonthlyPeak,OVolOverMonthlyPeak,IF(OVolCurve,IF(OBuySell,U48,W48),V48))^2*(1-15/365.25/BT48)+IF(OVolOverDailyPeak,OVolOverDailyPeak,IF(OVolCurve,IF(OBuySell,AG48,AI48),AH48))^2*15/365.25/BT48),IF(OVolOverMonthlyPeak,OVolOverMonthlyPeak,IF(OVolCurve,IF(OBuySell,U48,W48),V48))),"")</f>
        <v>#VALUE!</v>
      </c>
      <c r="CH48" s="1587" t="e">
        <f aca="false">IF(OR(BQ48,BS48),IF(OVolType&lt;&gt;2,SQRT(IF(OVolOverMonthlyPeak,OVolOverMonthlyPeak,IF(OVolCurve,IF(OBuySell,X48,Z48),Y48))^2*(1-15/365.25/BT48)+IF(OVolOverDailyPeak,OVolOverDailyPeak,IF(OVolCurve,IF(OBuySell,AJ48,AL48),AK48))^2*15/365.25/BT48),IF(OVolOverMonthlyPeak,OVolOverMonthlyPeak,IF(OVolCurve,IF(OBuySell,X48,Z48),Y48))),"")</f>
        <v>#VALUE!</v>
      </c>
      <c r="CI48" s="1587" t="e">
        <f aca="false">IF(OR(BQ48,BS48),IF(OVolType&lt;&gt;2,SQRT(IF(OVolOverMonthlyPeak,OVolOverMonthlyPeak,IF(OVolCurve,IF(OBuySell,AA48,AC48),AB48))^2*(1-15/365.25/BT48)+IF(OVolOverDailyPeak,OVolOverDailyPeak,IF(OVolCurve,IF(OBuySell,AM48,AO48),AN48))^2*15/365.25/BT48),IF(OVolOverMonthlyPeak,OVolOverMonthlyPeak,IF(OVolCurve,IF(OBuySell,AA48,AC48),AB48))),"")</f>
        <v>#VALUE!</v>
      </c>
      <c r="CJ48" s="1587" t="e">
        <f aca="false">IF(BQ48,IF(BP48,SQRT(LN(1+((BU48*AZ48)^2*(EXP(CG48^2*BT48)-1)+(BV48*BA48)^2*(EXP(CH48^2*BT48)-1)+(BW48*BB48)^2*(EXP(CI48^2*BT48)-1)+2*BU48*AZ48*BV48*BA48*(EXP(CG48*CH48*BT48)-1)+2*BV48*BA48*BW48*BB48*(EXP(CH48*CI48*BT48)-1)+2*BW48*BB48*BU48*AZ48*(EXP(CI48*CG48*BT48)-1))/(BY48*BP48)^2)/BT48),0),"")</f>
        <v>#VALUE!</v>
      </c>
      <c r="CK48" s="1587" t="e">
        <f aca="false">IF(BS48,IF(BR48,SQRT(LN(1+((CA48*BH48)^2*(EXP(CG48^2*BT48)-1)+(CB48*BI48)^2*(EXP(CH48^2*BT48)-1)+(CC48*BJ48)^2*(EXP(CI48^2*BT48)-1)+2*CA48*BH48*CB48*BI48*(EXP(CG48*CH48*BT48)-1)+2*CB48*BI48*CC48*BJ48*(EXP(CH48*CI48*BT48)-1)+2*CC48*BJ48*CA48*BH48*(EXP(CI48*CG48*BT48)-1))/(CE48*BR48)^2)/BT48),0),"")</f>
        <v>#VALUE!</v>
      </c>
      <c r="CL48" s="1587" t="e">
        <f aca="false">IF(OR(BQ48,BS48),IF(OVolType&lt;&gt;2,SQRT(IF(OVolOverMonthlyOffPeak,OVolOverMonthlyOffPeak,IF(OVolCurve,IF(OBuySell,AD48,AF48),AE48))^2*(1-15/365.25/BT48)+IF(OVolOverDailyOffPeak,OVolOverDailyOffPeak,IF(OVolCurve,IF(OBuySell,AP48,AR48),AQ48))^2*15/365.25/BT48),IF(OVolOverMonthlyOffPeak,OVolOverMonthlyOffPeak,IF(OVolCurve,IF(OBuySell,AD48,AF48),AE48))),"")</f>
        <v>#VALUE!</v>
      </c>
      <c r="CM48" s="1587" t="e">
        <f aca="false">IF(BQ48,SQRT(LN(1+((BY48*BP48)^2*(EXP(CJ48^2*BT48)-1)+(BX48*BC48)^2*(EXP(CL48^2*BT48)-1)+2*BY48*BP48*BX48*BC48*(EXP(AS48*CJ48*CL48*BT48)-1))/(BY48*BP48+BX48*BC48)^2)/BT48),"")</f>
        <v>#VALUE!</v>
      </c>
      <c r="CN48" s="1588" t="e">
        <f aca="false">IF(BS48,SQRT(LN(1+((CE48*BR48)^2*(EXP(CK48^2*BT48)-1)+(CD48*BK48)^2*(EXP(CL48^2*BT48)-1)+2*CE48*BR48*CD48*BK48*(EXP(AS48*CK48*CL48*BT48)-1))/(CE48*BR48+CD48*BK48)^2)/BT48),"")</f>
        <v>#VALUE!</v>
      </c>
      <c r="CO48" s="1531" t="e">
        <f aca="false">IF(OR(BQ48,BS48),VLOOKUP(A48,GasTable,13)*HeatRatePeak*(1+VLOOKUP($B48,HeatRateDegradation,$C48+1))/1000,0)</f>
        <v>#VALUE!</v>
      </c>
      <c r="CP48" s="1316" t="e">
        <f aca="false">IF(OR(BQ48,BS48),VLOOKUP(A48,GasTable,13)*HeatRatePeak*(1+VLOOKUP($B48,HeatRateDegradation,$C48+1))/1000,0)</f>
        <v>#VALUE!</v>
      </c>
      <c r="CQ48" s="1316" t="e">
        <f aca="false">IF(OR(BQ48,BS48),VLOOKUP(A48,GasTable,13)*IF(EV48,HeatRatePeak,HeatRateOffPeak)*(1+VLOOKUP($B48,HeatRateDegradation,$C48+1))/1000,0)</f>
        <v>#VALUE!</v>
      </c>
      <c r="CR48" s="1316" t="e">
        <f aca="false">IF(OR(BQ48,BS48),VLOOKUP(A48,GasTable,13)*IF(EW48,HeatRatePeak,HeatRateOffPeak)*(1+VLOOKUP($B48,HeatRateDegradation,$C48+1))/1000,0)</f>
        <v>#VALUE!</v>
      </c>
      <c r="CS48" s="1589" t="e">
        <f aca="false">IF(BQ48,(CO48*AZ48+CP48*BA48+CQ48*BB48+CR48*BC48)/BQ48,0)</f>
        <v>#VALUE!</v>
      </c>
      <c r="CT48" s="1316" t="e">
        <f aca="false">IF(BS48,CO48,0)</f>
        <v>#VALUE!</v>
      </c>
      <c r="CU48" s="1590" t="e">
        <f aca="false">IF(OR(BQ48,BS48),VLOOKUP(A48,GasTable,14),"")</f>
        <v>#VALUE!</v>
      </c>
      <c r="CV48" s="1568" t="e">
        <f aca="false">IF(OR(BQ48,BS48),IF(CorrPowerGasOverFlag,INDEX(CorrPowerGasOver,C48),CorrPowerGas),"")</f>
        <v>#VALUE!</v>
      </c>
      <c r="CW48" s="1316" t="e">
        <f aca="false">IF(OR($BQ48,$BS48),SpreadOptPowerMargin,0)*((1+Assumptions!$C$26)^($B48-YEAR(Assumptions!$C$17)))</f>
        <v>#VALUE!</v>
      </c>
      <c r="CX48" s="1316" t="e">
        <f aca="false">IF(OR($BQ48,$BS48),SpreadOptPowerMargin,0)*((1+Assumptions!$C$26)^($B48-YEAR(Assumptions!$C$17)))</f>
        <v>#VALUE!</v>
      </c>
      <c r="CY48" s="1316" t="e">
        <f aca="false">IF(OR($BQ48,$BS48),SpreadOptPowerMargin,0)*((1+Assumptions!$C$26)^($B48-YEAR(Assumptions!$C$17)))</f>
        <v>#VALUE!</v>
      </c>
      <c r="CZ48" s="1316" t="e">
        <f aca="false">IF(OR($BQ48,$BS48),SpreadOptPowerMargin,0)*((1+Assumptions!$C$26)^($B48-YEAR(Assumptions!$C$17)))</f>
        <v>#VALUE!</v>
      </c>
      <c r="DA48" s="1591" t="e">
        <f aca="false">IF(OR(BQ48,BS48),(CW48*(AZ48+BH48)+CX48*(BA48+BI48)+CY48*(BB48+BJ48)+CZ48*(BC48+BK48))/(BQ48+BS48),0)</f>
        <v>#VALUE!</v>
      </c>
      <c r="DB48" s="1592" t="e">
        <f aca="false">IF(OR(BQ48,BS48),CG48+IF(OVolSmile,VLOOKUP(MAX(-5,CO48+CW48-BU48),IF(OVolSmile=1,VolSmileBook,VolSmileModel),2),0),"")</f>
        <v>#VALUE!</v>
      </c>
      <c r="DC48" s="1592" t="e">
        <f aca="false">IF(OR(BQ48,BS48),CH48+IF(OVolSmile,VLOOKUP(MAX(-5,CP48+CW48-BV48),IF(OVolSmile=1,VolSmileBook,VolSmileModel),2),0),"")</f>
        <v>#VALUE!</v>
      </c>
      <c r="DD48" s="1592" t="e">
        <f aca="false">IF(OR(BQ48,BS48),CI48+IF(OVolSmile,VLOOKUP(MAX(-5,CQ48+CW48-BW48),IF(OVolSmile=1,VolSmileBook,VolSmileModel),2),0),"")</f>
        <v>#VALUE!</v>
      </c>
      <c r="DE48" s="1592" t="e">
        <f aca="false">IF(OR(BQ48,BS48),CL48+IF(OVolSmile,VLOOKUP(MAX(-5,CR48+CZ48-BX48),IF(OVolSmile=1,VolSmileBook,VolSmileModel),2),0),"")</f>
        <v>#VALUE!</v>
      </c>
      <c r="DF48" s="1592" t="e">
        <f aca="false">IF(BQ48,CM48+IF(OVolSmile,VLOOKUP(MAX(-5,CS48+DA48-BZ48),IF(OVolSmile=1,VolSmileBook,VolSmileModel),2),0),"")</f>
        <v>#VALUE!</v>
      </c>
      <c r="DG48" s="1593" t="e">
        <f aca="false">IF(BS48,CN48+IF(OVolSmile,VLOOKUP(MAX(-5,CT48+DA48-CF48),IF(OVolSmile=1,VolSmileBook,VolSmileModel),2),0),"")</f>
        <v>#VALUE!</v>
      </c>
      <c r="DH48" s="1316" t="e">
        <f aca="false">IF(AND(BU48&gt;0,CO48&gt;0,DB48&gt;0,CU48&gt;0),newSPRDOPT(BU48,CO48,CW48,0,DB48,CU48,CV48,BT48*365.25,OCallPut,0),0)</f>
        <v>#VALUE!</v>
      </c>
      <c r="DI48" s="1316" t="e">
        <f aca="false">IF(AND(BV48&gt;0,CP48&gt;0,DC48&gt;0,CU48&gt;0),newSPRDOPT(BV48,CP48,CX48,0,DC48,CU48,CV48,BT48*365.25,OCallPut,0),0)</f>
        <v>#VALUE!</v>
      </c>
      <c r="DJ48" s="1316" t="e">
        <f aca="false">IF(AND(BW48&gt;0,CQ48&gt;0,DD48&gt;0,CU48&gt;0),newSPRDOPT(BW48,CQ48,CY48,0,DD48,CU48,CV48,BT48*365.25,OCallPut,0),0)</f>
        <v>#VALUE!</v>
      </c>
      <c r="DK48" s="1316" t="e">
        <f aca="false">IF(AND(BX48&gt;0,CR48&gt;0,DE48&gt;0,CU48&gt;0),newSPRDOPT(BX48,CR48,CZ48,0,DE48,CU48,CV48,BT48*365.25,OCallPut,0),0)</f>
        <v>#VALUE!</v>
      </c>
      <c r="DL48" s="1316" t="e">
        <f aca="false">IF(OVolType,IF(AND(BZ48&gt;0,CS48&gt;0,DF48&gt;0,CU48&gt;0),newSPRDOPT(BZ48,CS48,DA48,0,DF48,CU48,CV48,BT48*365.25,OCallPut,0),0),IF(BQ48,(DH48*AZ48+DI48*BA48+DJ48*BB48+DK48*BC48)/BQ48,0))</f>
        <v>#VALUE!</v>
      </c>
      <c r="DM48" s="1316"/>
      <c r="DN48" s="1316"/>
      <c r="DO48" s="1316"/>
      <c r="DP48" s="1316"/>
      <c r="DQ48" s="1316"/>
      <c r="DR48" s="1316"/>
      <c r="DS48" s="1316"/>
      <c r="DT48" s="1316"/>
      <c r="DU48" s="1316"/>
      <c r="DV48" s="1316"/>
      <c r="DW48" s="1594" t="e">
        <f aca="false">IF(AND(BW48&gt;0,CT48&gt;0,DD48&gt;0,CU48&gt;0),newSPRDOPT(BW48,CT48,CY48,0,DD48,CU48,CV48,BT48*365.25,OCallPut,0),0)</f>
        <v>#VALUE!</v>
      </c>
      <c r="DX48" s="1316" t="e">
        <f aca="false">IF(AND(BX48&gt;0,CT48&gt;0,DE48&gt;0,CU48&gt;0),newSPRDOPT(BX48,CT48,CZ48,0,DE48,CU48,CV48,BT48*365.25,OCallPut,0),0)</f>
        <v>#VALUE!</v>
      </c>
      <c r="DY48" s="1591" t="e">
        <f aca="false">IF(BS48,(DH48*BH48+DI48*BI48+DW48*BJ48+DX48*BK48)/BS48,0)</f>
        <v>#VALUE!</v>
      </c>
      <c r="DZ48" s="1551" t="e">
        <f aca="false">DH48*AZ48</f>
        <v>#VALUE!</v>
      </c>
      <c r="EA48" s="1551" t="e">
        <f aca="false">DI48*BA48</f>
        <v>#VALUE!</v>
      </c>
      <c r="EB48" s="1551" t="e">
        <f aca="false">DJ48*BB48</f>
        <v>#VALUE!</v>
      </c>
      <c r="EC48" s="1551" t="e">
        <f aca="false">DK48*BC48</f>
        <v>#VALUE!</v>
      </c>
      <c r="ED48" s="1551" t="e">
        <f aca="false">DL48*BQ48</f>
        <v>#VALUE!</v>
      </c>
      <c r="EE48" s="1595" t="e">
        <f aca="false">IF(BQ48,IF(OCallPut,IF(BU48&gt;(CO48+CW48),BU48-(CO48+CW48),0),IF((CO48+CW48)&gt;BU48,(CO48+CW48)-BU48,0))*AZ48,0)</f>
        <v>#VALUE!</v>
      </c>
      <c r="EF48" s="1596" t="e">
        <f aca="false">IF(BQ48,IF(OCallPut,IF(BV48&gt;(CP48+CX48),BV48-(CP48+CX48),0),IF((CP48+CX48)&gt;BV48,(CP48+CX48)-BV48,0))*BA48,0)</f>
        <v>#VALUE!</v>
      </c>
      <c r="EG48" s="1596" t="e">
        <f aca="false">IF(BQ48,IF(OCallPut,IF(BW48&gt;(CQ48+CY48),BW48-(CQ48+CY48),0),IF((CQ48+CY48)&gt;BW48,(CQ48+CY48)-BW48,0))*BB48,0)</f>
        <v>#VALUE!</v>
      </c>
      <c r="EH48" s="1596" t="e">
        <f aca="false">IF(BQ48,IF(OCallPut,IF(BX48&gt;(CR48+CZ48),BX48-(CR48+CZ48),0),IF((CR48+CZ48)&gt;BX48,(CR48+CZ48)-BX48,0))*BC48,0)</f>
        <v>#VALUE!</v>
      </c>
      <c r="EI48" s="1597" t="e">
        <f aca="false">IF(BQ48,IF(OVolType,IF(OCallPut,IF(BZ48&gt;(CS48+DA48),BZ48-(CS48+DA48),0),IF((CS48+DA48)&gt;BZ48,(CS48+DA48)-BZ48,0))*BQ48,SUM(EE48:EH48)),0)</f>
        <v>#VALUE!</v>
      </c>
      <c r="EJ48" s="1595" t="e">
        <f aca="false">DZ48-EE48</f>
        <v>#VALUE!</v>
      </c>
      <c r="EK48" s="1596" t="e">
        <f aca="false">EA48-EF48</f>
        <v>#VALUE!</v>
      </c>
      <c r="EL48" s="1596" t="e">
        <f aca="false">EB48-EG48</f>
        <v>#VALUE!</v>
      </c>
      <c r="EM48" s="1596" t="e">
        <f aca="false">EC48-EH48</f>
        <v>#VALUE!</v>
      </c>
      <c r="EN48" s="1597" t="e">
        <f aca="false">ED48-EI48</f>
        <v>#VALUE!</v>
      </c>
      <c r="EO48" s="1551" t="e">
        <f aca="false">DH48*BH48</f>
        <v>#VALUE!</v>
      </c>
      <c r="EP48" s="1551" t="e">
        <f aca="false">DI48*BI48</f>
        <v>#VALUE!</v>
      </c>
      <c r="EQ48" s="1551" t="e">
        <f aca="false">DW48*BJ48</f>
        <v>#VALUE!</v>
      </c>
      <c r="ER48" s="1551" t="e">
        <f aca="false">DX48*BK48</f>
        <v>#VALUE!</v>
      </c>
      <c r="ES48" s="1551" t="e">
        <f aca="false">DY48*BS48</f>
        <v>#VALUE!</v>
      </c>
      <c r="ET48" s="1566" t="e">
        <f aca="false">IF(EI48,IF(OCallPut,IF(CA48&gt;(CT48+CW48),CA48-(CT48+CW48),0),IF((CT48+CW48)&gt;CA48,(CT48+CW48)-CA48,0))*BH48,0)</f>
        <v>#VALUE!</v>
      </c>
      <c r="EU48" s="1551" t="e">
        <f aca="false">IF(EI48,IF(OCallPut,IF(CB48&gt;(CT48+CX48),CB48-(CT48+CX48),0),IF((CT48+CX48)&gt;CB48,(CT48+CX48)-CB48,0))*BI48,0)</f>
        <v>#VALUE!</v>
      </c>
      <c r="EV48" s="1551" t="e">
        <f aca="false">IF(EI48,IF(OCallPut,IF(CC48&gt;(CT48+CY48),CC48-(CT48+CY48),0),IF((CT48+CY48)&gt;CC48,(CT48+CY48)-CC48,0))*BJ48,0)</f>
        <v>#VALUE!</v>
      </c>
      <c r="EW48" s="1551" t="e">
        <f aca="false">IF(EI48,IF(OCallPut,IF(CD48&gt;(CT48+CZ48),CD48-(CT48+CZ48),0),IF((CT48+CZ48)&gt;CD48,(CT48+CZ48)-CD48,0))*BK48,0)</f>
        <v>#VALUE!</v>
      </c>
      <c r="EX48" s="1558" t="e">
        <f aca="false">IF(EI48,SUM(ET48:EW48),0)</f>
        <v>#VALUE!</v>
      </c>
      <c r="EY48" s="1551" t="e">
        <f aca="false">EO48-ET48</f>
        <v>#VALUE!</v>
      </c>
      <c r="EZ48" s="1551" t="e">
        <f aca="false">EP48-EU48</f>
        <v>#VALUE!</v>
      </c>
      <c r="FA48" s="1551" t="e">
        <f aca="false">EQ48-EV48</f>
        <v>#VALUE!</v>
      </c>
      <c r="FB48" s="1551" t="e">
        <f aca="false">ER48-EW48</f>
        <v>#VALUE!</v>
      </c>
      <c r="FC48" s="1551" t="e">
        <f aca="false">ES48-EX48</f>
        <v>#VALUE!</v>
      </c>
      <c r="FD48" s="1525" t="n">
        <f aca="false">IF(AX48,IF(VLOOKUP(C48,MAIN!$L$17:$M$28,2)="Yes",VLOOKUP(CALC!B48,MAIN!$H$17:$I$20,2),0),0)</f>
        <v>0</v>
      </c>
      <c r="FE48" s="1552" t="n">
        <f aca="false">$FD48*16*AT48*(1-$AY48)</f>
        <v>0</v>
      </c>
      <c r="FF48" s="1553" t="n">
        <f aca="false">$FD48*16*AU48*(1-$AY48)</f>
        <v>0</v>
      </c>
      <c r="FG48" s="1553" t="n">
        <f aca="false">$FD48*16*(AV48+AW48)*(1-$AY48)</f>
        <v>0</v>
      </c>
      <c r="FH48" s="1554" t="n">
        <f aca="false">$FD48*8*AX48*(1-$AY48)</f>
        <v>0</v>
      </c>
      <c r="FI48" s="1555" t="n">
        <f aca="false">IF(AX48,VLOOKUP(CALC!B48,MAIN!$H$17:$K$20,4),0)</f>
        <v>0</v>
      </c>
      <c r="FJ48" s="1553" t="n">
        <f aca="false">SUM(FE48:FH48)</f>
        <v>0</v>
      </c>
      <c r="FK48" s="1556" t="n">
        <f aca="false">FI48*FJ48</f>
        <v>0</v>
      </c>
      <c r="FL48" s="1551" t="e">
        <f aca="false">IF($EI48&gt;0,MIN(FE48,AZ48*(1+VLOOKUP($C48,WeatherCapacityAdjustment,2))),0)</f>
        <v>#VALUE!</v>
      </c>
      <c r="FM48" s="1551" t="e">
        <f aca="false">IF($EI48&gt;0,MIN(FF48,BA48*(1+VLOOKUP($C48,WeatherCapacityAdjustment,2))),0)</f>
        <v>#VALUE!</v>
      </c>
      <c r="FN48" s="1551" t="e">
        <f aca="false">IF($EI48&gt;0,MIN(FG48,BB48*(1+VLOOKUP($C48,WeatherCapacityAdjustment,2))),0)</f>
        <v>#VALUE!</v>
      </c>
      <c r="FO48" s="1564" t="e">
        <f aca="false">IF($EI48&gt;0,MIN(FH48,BC48*(1+VLOOKUP($C48,WeatherCapacityAdjustment,3))),0)</f>
        <v>#VALUE!</v>
      </c>
      <c r="FP48" s="1551" t="e">
        <f aca="false">IF(ET48&gt;0,MIN(FE48-FL48,BH48*(1+VLOOKUP($C48,WeatherCapacityAdjustment,2))),0)</f>
        <v>#VALUE!</v>
      </c>
      <c r="FQ48" s="1551" t="e">
        <f aca="false">IF(EU48&gt;0,MIN(FF48-FM48,BI48*(1+VLOOKUP($C48,WeatherCapacityAdjustment,2))),0)</f>
        <v>#VALUE!</v>
      </c>
      <c r="FR48" s="1551" t="e">
        <f aca="false">IF(EV48&gt;0,MIN(FG48-FN48,BJ48*(1+VLOOKUP($C48,WeatherCapacityAdjustment,2))),0)</f>
        <v>#VALUE!</v>
      </c>
      <c r="FS48" s="1558" t="e">
        <f aca="false">IF(EW48&gt;0,MIN(FH48-FO48,BK48*(1+VLOOKUP($C48,WeatherCapacityAdjustment,3))),0)</f>
        <v>#VALUE!</v>
      </c>
      <c r="FT48" s="1566" t="n">
        <f aca="false">IF(AND(Assumptions!$H$71="Yes",A48&gt;=Assumptions!$H$72,A48&lt;=Assumptions!$H$73),0,IF(AND($A48&gt;=Assumptions!$C$17,$A48&lt;=Assumptions!$C$18),MAX(AZ48*(1+VLOOKUP($C48,WeatherCapacityAdjustment,2))-FL48,0),0))</f>
        <v>0</v>
      </c>
      <c r="FU48" s="1551" t="n">
        <f aca="false">IF(AND(Assumptions!$H$71="Yes",A48&gt;=Assumptions!$H$72,A48&lt;=Assumptions!$H$73),0,IF(AND($A48&gt;=Assumptions!$C$17,$A48&lt;=Assumptions!$C$18),MAX(BA48*(1+VLOOKUP($C48,WeatherCapacityAdjustment,2))-FM48,0),0))</f>
        <v>0</v>
      </c>
      <c r="FV48" s="1551" t="n">
        <f aca="false">IF(AND(Assumptions!$H$71="Yes",A48&gt;=Assumptions!$H$72,A48&lt;=Assumptions!$H$73),0,IF(AND($A48&gt;=Assumptions!$C$17,$A48&lt;=Assumptions!$C$18),MAX(BB48*(1+VLOOKUP($C48,WeatherCapacityAdjustment,2))-FN48,0),0))</f>
        <v>0</v>
      </c>
      <c r="FW48" s="1564" t="n">
        <f aca="false">IF(AND(Assumptions!$H$71="Yes",A48&gt;=Assumptions!$H$72,A48&lt;=Assumptions!$H$73),0,IF(AND($A48&gt;=Assumptions!$C$17,$A48&lt;=Assumptions!$C$18),MAX(BC48*(1+VLOOKUP($C48,WeatherCapacityAdjustment,3))-FO48,0),0))</f>
        <v>0</v>
      </c>
      <c r="FX48" s="1569" t="e">
        <f aca="false">IF(AND(Assumptions!$H$71="Yes",A48&gt;=Assumptions!$H$72,A48&lt;=Assumptions!$H$73),0,IF(ET48&gt;0,MAX(BH48*(1+VLOOKUP($C48,WeatherCapacityAdjustment,2))-FP48,0),0))</f>
        <v>#VALUE!</v>
      </c>
      <c r="FY48" s="1551" t="e">
        <f aca="false">IF(AND(Assumptions!$H$71="Yes",A48&gt;=Assumptions!$H$72,A48&lt;=Assumptions!$H$73),0,IF(EU48&gt;0,MAX(BI48*(1+VLOOKUP($C48,WeatherCapacityAdjustment,3))-FQ48,0),0))</f>
        <v>#VALUE!</v>
      </c>
      <c r="FZ48" s="1551" t="e">
        <f aca="false">IF(AND(Assumptions!$H$71="Yes",A48&gt;=Assumptions!$H$72,A48&lt;=Assumptions!$H$73),0,IF(EV48&gt;0,MAX(BJ48*(1+VLOOKUP($C48,WeatherCapacityAdjustment,2))-FR48,0),0))</f>
        <v>#VALUE!</v>
      </c>
      <c r="GA48" s="1564" t="e">
        <f aca="false">IF(AND(Assumptions!$H$71="Yes",A48&gt;=Assumptions!$H$72,A48&lt;=Assumptions!$H$73),0,IF(EW48&gt;0,MAX(BK48*(1+VLOOKUP($C48,WeatherCapacityAdjustment,2))-FS48,0),0))</f>
        <v>#VALUE!</v>
      </c>
      <c r="GB48" s="1551" t="e">
        <f aca="false">SUM(FT48:GA48)</f>
        <v>#VALUE!</v>
      </c>
      <c r="GC48" s="1563" t="e">
        <f aca="false">+IF(SUM(FT48:GA48)=0,0,(SUMPRODUCT(BU48:BX48,FT48:FW48)+SUMPRODUCT(CA48:CD48,FX48:GA48))/SUM(FT48:GA48))</f>
        <v>#VALUE!</v>
      </c>
      <c r="GD48" s="1551" t="e">
        <f aca="false">(FT48*BU48+FX48*CA48+FU48*BV48+FY48*CB48+FV48*BW48+FZ48*CC48+FW48*BX48+GA48*CD48)</f>
        <v>#VALUE!</v>
      </c>
      <c r="GE48" s="1561" t="e">
        <f aca="false">+IF(BQ48,((FL48+FM48+FT48+FU48)*HeatRatePeak/1000*(1+VLOOKUP($C48,WeatherHeatRateAdjustment,2))+(FN48+FV48)*IF(EV48&gt;0,HeatRatePeak,HeatRateOffPeak)/1000*(1+VLOOKUP($C48,WeatherHeatRateAdjustment,2))+(FO48+FW48)*IF(EW48&gt;0,HeatRatePeak,HeatRateOffPeak)/1000*(1+VLOOKUP($C48,WeatherHeatRateAdjustment,3)))*(1+VLOOKUP($B48,HeatRateDegradation,$C48+1)),0)</f>
        <v>#VALUE!</v>
      </c>
      <c r="GF48" s="1562" t="e">
        <f aca="false">IF(BQ48,((FP48+FQ48+FR48+FX48+FY48+FZ48)*HeatRatePeak/1000*(1+VLOOKUP($C48,WeatherHeatRateAdjustment,2))+(FS48+GA48)*HeatRatePeak/1000*(1+VLOOKUP($C48,WeatherHeatRateAdjustment,3)))*(1+VLOOKUP($B48,HeatRateDegradation,$C48+1)),0)</f>
        <v>#VALUE!</v>
      </c>
      <c r="GG48" s="1563" t="e">
        <f aca="false">IF(BQ48,VLOOKUP(A48,GasTable,13),0)</f>
        <v>#VALUE!</v>
      </c>
      <c r="GH48" s="1564" t="e">
        <f aca="false">(GE48+GF48)*GG48</f>
        <v>#VALUE!</v>
      </c>
      <c r="GI48" s="1569" t="e">
        <f aca="false">GB48</f>
        <v>#VALUE!</v>
      </c>
      <c r="GJ48" s="1598" t="e">
        <f aca="false">+DA48</f>
        <v>#VALUE!</v>
      </c>
      <c r="GK48" s="1558" t="e">
        <f aca="false">+GI48*GJ48</f>
        <v>#VALUE!</v>
      </c>
      <c r="GL48" s="1566" t="e">
        <f aca="false">MAX(FE48-FL48-FP48,0)</f>
        <v>#VALUE!</v>
      </c>
      <c r="GM48" s="1551" t="e">
        <f aca="false">MAX(FF48-FM48-FQ48,0)</f>
        <v>#VALUE!</v>
      </c>
      <c r="GN48" s="1551" t="e">
        <f aca="false">MAX(FG48-FN48-FR48,0)</f>
        <v>#VALUE!</v>
      </c>
      <c r="GO48" s="1564" t="e">
        <f aca="false">MAX(FH48-FO48-FS48,0)</f>
        <v>#VALUE!</v>
      </c>
      <c r="GP48" s="1551" t="e">
        <f aca="false">SUM(GL48:GO48)</f>
        <v>#VALUE!</v>
      </c>
      <c r="GQ48" s="1563" t="e">
        <f aca="false">IF(SUM(GL48:GO48)=0,0,((GL48*BU48+GM48*BV48+GN48*BW48+GO48*BX48)/SUM(GL48:GO48)))</f>
        <v>#VALUE!</v>
      </c>
      <c r="GR48" s="1558" t="e">
        <f aca="false">(GL48*BU48+GM48*BV48+GN48*BW48+GO48*BX48)</f>
        <v>#VALUE!</v>
      </c>
      <c r="GS48" s="1566" t="n">
        <f aca="false">IF($A48&gt;=BegDate,Assumptions!$C$56*24*($A49-$A48)*(1-VLOOKUP($B48,MAIN!$AA$7:$AM$28,$C48+1))*(1-VLOOKUP($B48,MAIN!$AA$33:$AM$54,$C48+1)),0)*80/168</f>
        <v>0</v>
      </c>
      <c r="GT48" s="286" t="n">
        <f aca="false">J48</f>
        <v>35.94883716</v>
      </c>
      <c r="GU48" s="286" t="n">
        <f aca="false">IF($A48&gt;=BegDate,VLOOKUP($A48,GasTable,13)+Assumptions!$C$58,0)</f>
        <v>0</v>
      </c>
      <c r="GV48" s="286" t="n">
        <f aca="false">GU48*Assumptions!$C$57/1000</f>
        <v>0</v>
      </c>
      <c r="GW48" s="1558" t="n">
        <f aca="false">IF(Assumptions!$C$60="Hourly",MAX(0,GS48*(GT48-GV48)),GS48*(GT48-GV48))</f>
        <v>0</v>
      </c>
      <c r="GX48" s="1566" t="n">
        <f aca="false">IF($A48&gt;=BegDate,Assumptions!$C$56*24*($A49-$A48)*(1-VLOOKUP($B48,MAIN!$AA$7:$AM$28,$C48+1))*(1-VLOOKUP($B48,MAIN!$AA$33:$AM$54,$C48+1)),0)*16/168</f>
        <v>0</v>
      </c>
      <c r="GY48" s="286" t="n">
        <f aca="false">M48</f>
        <v>35.94883716</v>
      </c>
      <c r="GZ48" s="286" t="n">
        <f aca="false">IF($A48&gt;=BegDate,VLOOKUP($A48,GasTable,13)+Assumptions!$C$58,0)</f>
        <v>0</v>
      </c>
      <c r="HA48" s="286" t="n">
        <f aca="false">GZ48*Assumptions!$C$57/1000</f>
        <v>0</v>
      </c>
      <c r="HB48" s="1558" t="n">
        <f aca="false">IF(Assumptions!$C$60="Hourly",MAX(0,GX48*(GY48-HA48)),GX48*(GY48-HA48))</f>
        <v>0</v>
      </c>
      <c r="HC48" s="1566" t="n">
        <f aca="false">IF($A48&gt;=BegDate,Assumptions!$C$56*24*($A49-$A48)*(1-VLOOKUP($B48,MAIN!$AA$7:$AM$28,$C48+1))*(1-VLOOKUP($B48,MAIN!$AA$33:$AM$54,$C48+1)),0)*16/168</f>
        <v>0</v>
      </c>
      <c r="HD48" s="286" t="n">
        <f aca="false">P48</f>
        <v>25.81606944</v>
      </c>
      <c r="HE48" s="286" t="n">
        <f aca="false">IF($A48&gt;=BegDate,VLOOKUP($A48,GasTable,13)+Assumptions!$C$58,0)</f>
        <v>0</v>
      </c>
      <c r="HF48" s="286" t="n">
        <f aca="false">HE48*Assumptions!$C$57/1000</f>
        <v>0</v>
      </c>
      <c r="HG48" s="1558" t="n">
        <f aca="false">IF(Assumptions!$C$60="Hourly",MAX(0,HC48*(HD48-HF48)),HC48*(HD48-HF48))</f>
        <v>0</v>
      </c>
      <c r="HH48" s="1566" t="n">
        <f aca="false">IF($A48&gt;=BegDate,Assumptions!$C$56*24*($A49-$A48)*(1-VLOOKUP($B48,MAIN!$AA$7:$AM$28,$C48+1))*(1-VLOOKUP($B48,MAIN!$AA$33:$AM$54,$C48+1)),0)*56/168</f>
        <v>0</v>
      </c>
      <c r="HI48" s="286" t="n">
        <f aca="false">S48</f>
        <v>25.81606944</v>
      </c>
      <c r="HJ48" s="286" t="n">
        <f aca="false">IF($A48&gt;=BegDate,VLOOKUP($A48,GasTable,13)+Assumptions!$C$58,0)</f>
        <v>0</v>
      </c>
      <c r="HK48" s="286" t="n">
        <f aca="false">HJ48*Assumptions!$C$57/1000</f>
        <v>0</v>
      </c>
      <c r="HL48" s="1558" t="n">
        <f aca="false">IF(Assumptions!$C$60="Hourly",MAX(0,HH48*(HI48-HK48)),HH48*(HI48-HK48))</f>
        <v>0</v>
      </c>
      <c r="HM48" s="1566" t="n">
        <f aca="false">IF(AND(Assumptions!$H$71="Yes",A48&gt;=Assumptions!$H$72,A48&lt;=Assumptions!$H$73),Assumptions!$H$74*Assumptions!$C$9*1000,0)</f>
        <v>0</v>
      </c>
      <c r="HN48" s="1551"/>
      <c r="HO48" s="1563"/>
      <c r="HP48" s="1563"/>
      <c r="HQ48" s="1563"/>
      <c r="HR48" s="1563"/>
      <c r="HS48" s="1563"/>
      <c r="HT48" s="1563"/>
      <c r="HU48" s="1563"/>
      <c r="HV48" s="1563"/>
      <c r="HW48" s="1563"/>
      <c r="HX48" s="1563"/>
      <c r="HY48" s="1563"/>
      <c r="HZ48" s="1563"/>
      <c r="IA48" s="1563"/>
      <c r="IB48" s="1563"/>
      <c r="IC48" s="1563"/>
      <c r="ID48" s="1563"/>
      <c r="IE48" s="1563"/>
      <c r="IF48" s="1563"/>
      <c r="IG48" s="1563"/>
      <c r="IH48" s="1563"/>
      <c r="II48" s="1610"/>
      <c r="IJ48" s="1309"/>
      <c r="IK48" s="1309"/>
    </row>
    <row r="49" customFormat="false" ht="12.75" hidden="false" customHeight="false" outlineLevel="0" collapsed="false">
      <c r="A49" s="1571" t="n">
        <f aca="false">EOMONTH(A48,0)+1</f>
        <v>37622</v>
      </c>
      <c r="B49" s="594" t="n">
        <f aca="false">+YEAR(A49)</f>
        <v>2003</v>
      </c>
      <c r="C49" s="238" t="n">
        <f aca="false">MONTH(A49)</f>
        <v>1</v>
      </c>
      <c r="D49" s="1572" t="str">
        <f aca="false">IF(E49="","",Holiday(B49,C49))</f>
        <v/>
      </c>
      <c r="E49" s="1573" t="str">
        <f aca="false">IF(OR(BegDate&gt;=A50,EndDate&lt;A49,AND(VolumeMonthlyOverFlag,INDEX(VolumeMonthlyOver,C49)=0),NOT(INDEX(MonthKnockOutTable,C49))),"",MAX(A49,BegDate))</f>
        <v/>
      </c>
      <c r="F49" s="1574" t="str">
        <f aca="false">IF(E49="","",MIN(A50-1,EndDate))</f>
        <v/>
      </c>
      <c r="G49" s="1575" t="n">
        <v>0</v>
      </c>
      <c r="H49" s="1576" t="n">
        <f aca="false">(1+G49/2)^(-2*(DATE(B50,C50,20)-DateToday)/365.25)</f>
        <v>1</v>
      </c>
      <c r="I49" s="1568" t="n">
        <f aca="false">IF(Assumptions!$L$25=4,VLOOKUP($A49,'Henwood Reference'!$E$9:$R$320,10),(VLOOKUP($A49,PriceTable,2,0)+IF(BasisNumber&lt;&gt;1,VLOOKUP($A49,BasisTable,2,0),0)+I$1)/(1-I$2))</f>
        <v>38.2929478344</v>
      </c>
      <c r="J49" s="1568" t="n">
        <f aca="false">IF(Assumptions!$L$25=4,VLOOKUP($A49,'Henwood Reference'!$E$9:$R$320,10),(VLOOKUP($A49,PriceTable,3,0)+IF(BasisNumber&lt;&gt;1,VLOOKUP($A49,BasisTable,2,0),0)+J$1)/(1-J$2))</f>
        <v>38.2929478344</v>
      </c>
      <c r="K49" s="1568" t="n">
        <f aca="false">IF(Assumptions!$L$25=4,VLOOKUP($A49,'Henwood Reference'!$E$9:$R$320,10),(VLOOKUP($A49,PriceTable,4,0)+IF(BasisNumber&lt;&gt;1,VLOOKUP($A49,BasisTable,2,0),0)+K$1)/(1-K$2))</f>
        <v>38.2929478344</v>
      </c>
      <c r="L49" s="1523" t="n">
        <f aca="false">IF(Assumptions!$L$25=4,VLOOKUP($A49,'Henwood Reference'!$E$9:$R$320,10),(VLOOKUP($A49,PriceTableWeekend,2,0)+IF(BasisNumber&lt;&gt;1,VLOOKUP($A49,BasisTable,2,0),0)+L$1)/(1-L$2))</f>
        <v>38.2929478344</v>
      </c>
      <c r="M49" s="1568" t="n">
        <f aca="false">IF(Assumptions!$L$25=4,VLOOKUP($A49,'Henwood Reference'!$E$9:$R$320,10),(VLOOKUP($A49,PriceTableWeekend,3,0)+IF(BasisNumber&lt;&gt;1,VLOOKUP($A49,BasisTable,2,0),0)+M$1)/(1-M$2))</f>
        <v>38.2929478344</v>
      </c>
      <c r="N49" s="1599" t="n">
        <f aca="false">IF(Assumptions!$L$25=4,VLOOKUP($A49,'Henwood Reference'!$E$9:$R$320,10),(VLOOKUP($A49,PriceTableWeekend,4,0)+IF(BasisNumber&lt;&gt;1,VLOOKUP($A49,BasisTable,2,0),0)+N$1)/(1-N$2))</f>
        <v>38.2929478344</v>
      </c>
      <c r="O49" s="1568" t="n">
        <f aca="false">IF(Assumptions!$L$25=4,VLOOKUP($A49,'Henwood Reference'!$E$9:$R$320,11),(VLOOKUP($A49,PriceTableWeekend,6,0)+IF(BasisNumber&lt;&gt;1,VLOOKUP($A49,BasisTable,3,0),0)+O$1)/(1-O$2))</f>
        <v>26.4243975624</v>
      </c>
      <c r="P49" s="1568" t="n">
        <f aca="false">IF(Assumptions!$L$25=4,VLOOKUP($A49,'Henwood Reference'!$E$9:$R$320,11),(VLOOKUP($A49,PriceTableWeekend,7,0)+IF(BasisNumber&lt;&gt;1,VLOOKUP($A49,BasisTable,3,0),0)+P$1)/(1-P$2))</f>
        <v>26.4243975624</v>
      </c>
      <c r="Q49" s="1599" t="n">
        <f aca="false">IF(Assumptions!$L$25=4,VLOOKUP($A49,'Henwood Reference'!$E$9:$R$320,11),(VLOOKUP($A49,PriceTableWeekend,8,0)+IF(BasisNumber&lt;&gt;1,VLOOKUP($A49,BasisTable,3,0),0)+Q$1)/(1-Q$2))</f>
        <v>26.4243975624</v>
      </c>
      <c r="R49" s="1568" t="n">
        <f aca="false">IF(Assumptions!$L$25=4,VLOOKUP($A49,'Henwood Reference'!$E$9:$R$320,11),(VLOOKUP($A49,PriceTable,6,0)+IF(BasisNumber&lt;&gt;1,VLOOKUP($A49,BasisTable,3,0),0)+R$1)/(1-R$2))</f>
        <v>26.4243975624</v>
      </c>
      <c r="S49" s="1568" t="n">
        <f aca="false">IF(Assumptions!$L$25=4,VLOOKUP($A49,'Henwood Reference'!$E$9:$R$320,11),(VLOOKUP($A49,PriceTable,7,0)+IF(BasisNumber&lt;&gt;1,VLOOKUP($A49,BasisTable,3,0),0)+S$1)/(1-S$2))</f>
        <v>26.4243975624</v>
      </c>
      <c r="T49" s="1600" t="n">
        <f aca="false">IF(Assumptions!$L$25=4,VLOOKUP($A49,'Henwood Reference'!$E$9:$R$320,11),(VLOOKUP($A49,PriceTable,8,0)+IF(BasisNumber&lt;&gt;1,VLOOKUP($A49,BasisTable,3,0),0)+T$1)/(1-T$2))</f>
        <v>26.4243975624</v>
      </c>
      <c r="U49" s="1513" t="n">
        <f aca="false">VLOOKUP($A49,VolatilityTable,14)</f>
        <v>0.155</v>
      </c>
      <c r="V49" s="1513" t="n">
        <f aca="false">VLOOKUP($A49,VolatilityTable,15)</f>
        <v>0.165</v>
      </c>
      <c r="W49" s="1514" t="n">
        <f aca="false">VLOOKUP($A49,VolatilityTable,16)</f>
        <v>0.175</v>
      </c>
      <c r="X49" s="1513" t="n">
        <f aca="false">VLOOKUP($A49,VolatilityTable,14)</f>
        <v>0.155</v>
      </c>
      <c r="Y49" s="1513" t="n">
        <f aca="false">VLOOKUP($A49,VolatilityTable,15)</f>
        <v>0.165</v>
      </c>
      <c r="Z49" s="1514" t="n">
        <f aca="false">VLOOKUP($A49,VolatilityTable,16)</f>
        <v>0.175</v>
      </c>
      <c r="AA49" s="1513" t="n">
        <f aca="false">VLOOKUP($A49,VolatilityTable,18)</f>
        <v>0.09</v>
      </c>
      <c r="AB49" s="1513" t="n">
        <f aca="false">VLOOKUP($A49,VolatilityTable,19)</f>
        <v>0.11</v>
      </c>
      <c r="AC49" s="1514" t="n">
        <f aca="false">VLOOKUP($A49,VolatilityTable,20)</f>
        <v>0.13</v>
      </c>
      <c r="AD49" s="1513" t="n">
        <f aca="false">VLOOKUP($A49,VolatilityTable,18)</f>
        <v>0.09</v>
      </c>
      <c r="AE49" s="1513" t="n">
        <f aca="false">VLOOKUP($A49,VolatilityTable,19)</f>
        <v>0.11</v>
      </c>
      <c r="AF49" s="1514" t="n">
        <f aca="false">VLOOKUP($A49,VolatilityTable,20)</f>
        <v>0.13</v>
      </c>
      <c r="AG49" s="1513" t="n">
        <f aca="false">VLOOKUP($A49,VolatilityTable,22)</f>
        <v>-0.25</v>
      </c>
      <c r="AH49" s="1513" t="n">
        <f aca="false">VLOOKUP($A49,VolatilityTable,23)</f>
        <v>0.65</v>
      </c>
      <c r="AI49" s="1514" t="n">
        <f aca="false">VLOOKUP($A49,VolatilityTable,24)</f>
        <v>0.25</v>
      </c>
      <c r="AJ49" s="1513" t="n">
        <f aca="false">VLOOKUP($A49,VolatilityTable,22)</f>
        <v>-0.25</v>
      </c>
      <c r="AK49" s="1513" t="n">
        <f aca="false">VLOOKUP($A49,VolatilityTable,23)</f>
        <v>0.65</v>
      </c>
      <c r="AL49" s="1514" t="n">
        <f aca="false">VLOOKUP($A49,VolatilityTable,24)</f>
        <v>0.25</v>
      </c>
      <c r="AM49" s="1513" t="n">
        <f aca="false">VLOOKUP($A49,VolatilityTable,26)</f>
        <v>-0.01</v>
      </c>
      <c r="AN49" s="1513" t="n">
        <f aca="false">VLOOKUP($A49,VolatilityTable,27)</f>
        <v>0.16</v>
      </c>
      <c r="AO49" s="1514" t="n">
        <f aca="false">VLOOKUP($A49,VolatilityTable,28)</f>
        <v>0.01</v>
      </c>
      <c r="AP49" s="1513" t="n">
        <f aca="false">VLOOKUP($A49,VolatilityTable,26)</f>
        <v>-0.01</v>
      </c>
      <c r="AQ49" s="1513" t="n">
        <f aca="false">VLOOKUP($A49,VolatilityTable,27)</f>
        <v>0.16</v>
      </c>
      <c r="AR49" s="1515" t="n">
        <f aca="false">VLOOKUP($A49,VolatilityTable,28)</f>
        <v>0.01</v>
      </c>
      <c r="AS49" s="1581" t="n">
        <f aca="false">IF(CorrPeakOffPeakOverFlag,INDEX(CorrPeakOffPeakOver,C49),CorrPeakOffPeak)</f>
        <v>0.5</v>
      </c>
      <c r="AT49" s="594" t="n">
        <f aca="false">AX49-SUM(AU49:AW49)</f>
        <v>0</v>
      </c>
      <c r="AU49" s="238" t="n">
        <f aca="false">IF(E49="",0,INT((F49-MOD(F49,7)-E49)/7)+1-IF(AW49,IF(WEEKDAY(D49)=7,1,0),0))</f>
        <v>0</v>
      </c>
      <c r="AV49" s="238" t="n">
        <f aca="false">IF(E49="",0,INT((F49-MOD(F49-1,7)-E49)/7)+1-IF(AW49,IF(WEEKDAY(D49)=1,1,0),0))</f>
        <v>0</v>
      </c>
      <c r="AW49" s="238" t="n">
        <f aca="false">IF(OR(E49="",D49="",D49&lt;BegDate,D49&gt;EndDate),0,1)</f>
        <v>0</v>
      </c>
      <c r="AX49" s="238" t="n">
        <f aca="false">IF(E49="",0,F49-E49+1)</f>
        <v>0</v>
      </c>
      <c r="AY49" s="1582" t="n">
        <f aca="false">IF(E49="",0,MIN((1-(1-VLOOKUP(B49,MAIN!$AA$7:$AM$28,C49+1))*(1-VLOOKUP(B49,MAIN!$AA$33:$AM$54,C49+1))),1))</f>
        <v>0</v>
      </c>
      <c r="AZ49" s="1519" t="e">
        <v>#VALUE!</v>
      </c>
      <c r="BA49" s="1520" t="e">
        <v>#VALUE!</v>
      </c>
      <c r="BB49" s="1520" t="e">
        <v>#VALUE!</v>
      </c>
      <c r="BC49" s="1583" t="e">
        <v>#VALUE!</v>
      </c>
      <c r="BD49" s="1522" t="e">
        <v>#VALUE!</v>
      </c>
      <c r="BE49" s="1523" t="e">
        <v>#VALUE!</v>
      </c>
      <c r="BF49" s="1523" t="e">
        <v>#VALUE!</v>
      </c>
      <c r="BG49" s="1584" t="e">
        <v>#VALUE!</v>
      </c>
      <c r="BH49" s="1525" t="e">
        <v>#VALUE!</v>
      </c>
      <c r="BI49" s="1520" t="e">
        <v>#VALUE!</v>
      </c>
      <c r="BJ49" s="1520" t="e">
        <v>#VALUE!</v>
      </c>
      <c r="BK49" s="1583" t="e">
        <v>#VALUE!</v>
      </c>
      <c r="BL49" s="1522" t="e">
        <v>#VALUE!</v>
      </c>
      <c r="BM49" s="1523" t="e">
        <v>#VALUE!</v>
      </c>
      <c r="BN49" s="1523" t="e">
        <v>#VALUE!</v>
      </c>
      <c r="BO49" s="1523" t="e">
        <v>#VALUE!</v>
      </c>
      <c r="BP49" s="1525" t="e">
        <f aca="false">SUM(AZ49:BB49)</f>
        <v>#VALUE!</v>
      </c>
      <c r="BQ49" s="1529" t="e">
        <f aca="false">SUM(AZ49:BC49)</f>
        <v>#VALUE!</v>
      </c>
      <c r="BR49" s="1519" t="e">
        <f aca="false">SUM(BH49:BJ49)</f>
        <v>#VALUE!</v>
      </c>
      <c r="BS49" s="1529" t="e">
        <f aca="false">SUM(BH49:BK49)</f>
        <v>#VALUE!</v>
      </c>
      <c r="BT49" s="1316" t="n">
        <f aca="false">(IF(OVolType&lt;&gt;2,A49+14,IF(OptExpDateShift,ShiftBack(A49,OptExpDateShift,D48),A49))-DateToday)/365.25</f>
        <v>2.71594798083504</v>
      </c>
      <c r="BU49" s="1585" t="e">
        <f aca="false">IF(BQ49,IF(OPriceCurve,IF(OBuySell=OCallPut,I49/(1-AY49),K49/(1-AY49)),J49/(1-AY49))*BD49,0)</f>
        <v>#VALUE!</v>
      </c>
      <c r="BV49" s="1316" t="e">
        <f aca="false">IF(BQ49,IF(OPriceCurve,IF(OBuySell=OCallPut,L49/(1-AY49),N49/(1-AY49)),M49/(1-AY49))*BE49,0)</f>
        <v>#VALUE!</v>
      </c>
      <c r="BW49" s="1316" t="e">
        <f aca="false">IF(BQ49,IF(OPriceCurve,IF(OBuySell=OCallPut,O49/(1-AY49),Q49/(1-AY49)),P49/(1-AY49))*BF49,0)</f>
        <v>#VALUE!</v>
      </c>
      <c r="BX49" s="1316" t="e">
        <f aca="false">IF(BQ49,IF(OPriceCurve,IF(OBuySell=OCallPut,R49/(1-AY49),T49/(1-AY49)),S49/(1-AY49))*BG49,0)</f>
        <v>#VALUE!</v>
      </c>
      <c r="BY49" s="1316" t="e">
        <f aca="false">IF(BP49,(BU49*AZ49+BV49*BA49+BW49*BB49)/BP49,0)</f>
        <v>#VALUE!</v>
      </c>
      <c r="BZ49" s="1316" t="e">
        <f aca="false">IF(BQ49,(BY49*BP49+BX49*BC49)/BQ49,0)</f>
        <v>#VALUE!</v>
      </c>
      <c r="CA49" s="1531" t="e">
        <f aca="false">IF(BS49,IF(OPriceCurve,IF(OBuySell=OCallPut,I49/(1-AY49),K49/(1-AY49)),J49/(1-AY49))*BL49,0)</f>
        <v>#VALUE!</v>
      </c>
      <c r="CB49" s="1316" t="e">
        <f aca="false">IF(BS49,IF(OPriceCurve,IF(OBuySell=OCallPut,L49/(1-AY49),N49/(1-AY49)),M49/(1-AY49))*BM49,0)</f>
        <v>#VALUE!</v>
      </c>
      <c r="CC49" s="1316" t="e">
        <f aca="false">IF(BS49,IF(OPriceCurve,IF(OBuySell=OCallPut,O49/(1-AY49),Q49/(1-AY49)),P49/(1-AY49))*BN49,0)</f>
        <v>#VALUE!</v>
      </c>
      <c r="CD49" s="1316" t="e">
        <f aca="false">IF(BS49,IF(OPriceCurve,IF(OBuySell=OCallPut,R49/(1-AY49),T49/(1-AY49)),S49/(1-AY49))*BO49,0)</f>
        <v>#VALUE!</v>
      </c>
      <c r="CE49" s="1316" t="e">
        <f aca="false">IF(BR49,(BU49*BH49+BV49*BI49+BW49*BJ49)/BR49,0)</f>
        <v>#VALUE!</v>
      </c>
      <c r="CF49" s="1532" t="e">
        <f aca="false">IF(BS49,(CE49*BR49+CD49*BK49)/BS49,0)</f>
        <v>#VALUE!</v>
      </c>
      <c r="CG49" s="1586" t="e">
        <f aca="false">IF(OR(BQ49,BS49),IF(OVolType&lt;&gt;2,SQRT(IF(OVolOverMonthlyPeak,OVolOverMonthlyPeak,IF(OVolCurve,IF(OBuySell,U49,W49),V49))^2*(1-15/365.25/BT49)+IF(OVolOverDailyPeak,OVolOverDailyPeak,IF(OVolCurve,IF(OBuySell,AG49,AI49),AH49))^2*15/365.25/BT49),IF(OVolOverMonthlyPeak,OVolOverMonthlyPeak,IF(OVolCurve,IF(OBuySell,U49,W49),V49))),"")</f>
        <v>#VALUE!</v>
      </c>
      <c r="CH49" s="1587" t="e">
        <f aca="false">IF(OR(BQ49,BS49),IF(OVolType&lt;&gt;2,SQRT(IF(OVolOverMonthlyPeak,OVolOverMonthlyPeak,IF(OVolCurve,IF(OBuySell,X49,Z49),Y49))^2*(1-15/365.25/BT49)+IF(OVolOverDailyPeak,OVolOverDailyPeak,IF(OVolCurve,IF(OBuySell,AJ49,AL49),AK49))^2*15/365.25/BT49),IF(OVolOverMonthlyPeak,OVolOverMonthlyPeak,IF(OVolCurve,IF(OBuySell,X49,Z49),Y49))),"")</f>
        <v>#VALUE!</v>
      </c>
      <c r="CI49" s="1587" t="e">
        <f aca="false">IF(OR(BQ49,BS49),IF(OVolType&lt;&gt;2,SQRT(IF(OVolOverMonthlyPeak,OVolOverMonthlyPeak,IF(OVolCurve,IF(OBuySell,AA49,AC49),AB49))^2*(1-15/365.25/BT49)+IF(OVolOverDailyPeak,OVolOverDailyPeak,IF(OVolCurve,IF(OBuySell,AM49,AO49),AN49))^2*15/365.25/BT49),IF(OVolOverMonthlyPeak,OVolOverMonthlyPeak,IF(OVolCurve,IF(OBuySell,AA49,AC49),AB49))),"")</f>
        <v>#VALUE!</v>
      </c>
      <c r="CJ49" s="1587" t="e">
        <f aca="false">IF(BQ49,IF(BP49,SQRT(LN(1+((BU49*AZ49)^2*(EXP(CG49^2*BT49)-1)+(BV49*BA49)^2*(EXP(CH49^2*BT49)-1)+(BW49*BB49)^2*(EXP(CI49^2*BT49)-1)+2*BU49*AZ49*BV49*BA49*(EXP(CG49*CH49*BT49)-1)+2*BV49*BA49*BW49*BB49*(EXP(CH49*CI49*BT49)-1)+2*BW49*BB49*BU49*AZ49*(EXP(CI49*CG49*BT49)-1))/(BY49*BP49)^2)/BT49),0),"")</f>
        <v>#VALUE!</v>
      </c>
      <c r="CK49" s="1587" t="e">
        <f aca="false">IF(BS49,IF(BR49,SQRT(LN(1+((CA49*BH49)^2*(EXP(CG49^2*BT49)-1)+(CB49*BI49)^2*(EXP(CH49^2*BT49)-1)+(CC49*BJ49)^2*(EXP(CI49^2*BT49)-1)+2*CA49*BH49*CB49*BI49*(EXP(CG49*CH49*BT49)-1)+2*CB49*BI49*CC49*BJ49*(EXP(CH49*CI49*BT49)-1)+2*CC49*BJ49*CA49*BH49*(EXP(CI49*CG49*BT49)-1))/(CE49*BR49)^2)/BT49),0),"")</f>
        <v>#VALUE!</v>
      </c>
      <c r="CL49" s="1587" t="e">
        <f aca="false">IF(OR(BQ49,BS49),IF(OVolType&lt;&gt;2,SQRT(IF(OVolOverMonthlyOffPeak,OVolOverMonthlyOffPeak,IF(OVolCurve,IF(OBuySell,AD49,AF49),AE49))^2*(1-15/365.25/BT49)+IF(OVolOverDailyOffPeak,OVolOverDailyOffPeak,IF(OVolCurve,IF(OBuySell,AP49,AR49),AQ49))^2*15/365.25/BT49),IF(OVolOverMonthlyOffPeak,OVolOverMonthlyOffPeak,IF(OVolCurve,IF(OBuySell,AD49,AF49),AE49))),"")</f>
        <v>#VALUE!</v>
      </c>
      <c r="CM49" s="1587" t="e">
        <f aca="false">IF(BQ49,SQRT(LN(1+((BY49*BP49)^2*(EXP(CJ49^2*BT49)-1)+(BX49*BC49)^2*(EXP(CL49^2*BT49)-1)+2*BY49*BP49*BX49*BC49*(EXP(AS49*CJ49*CL49*BT49)-1))/(BY49*BP49+BX49*BC49)^2)/BT49),"")</f>
        <v>#VALUE!</v>
      </c>
      <c r="CN49" s="1588" t="e">
        <f aca="false">IF(BS49,SQRT(LN(1+((CE49*BR49)^2*(EXP(CK49^2*BT49)-1)+(CD49*BK49)^2*(EXP(CL49^2*BT49)-1)+2*CE49*BR49*CD49*BK49*(EXP(AS49*CK49*CL49*BT49)-1))/(CE49*BR49+CD49*BK49)^2)/BT49),"")</f>
        <v>#VALUE!</v>
      </c>
      <c r="CO49" s="1531" t="e">
        <f aca="false">IF(OR(BQ49,BS49),VLOOKUP(A49,GasTable,13)*HeatRatePeak*(1+VLOOKUP($B49,HeatRateDegradation,$C49+1))/1000,0)</f>
        <v>#VALUE!</v>
      </c>
      <c r="CP49" s="1316" t="e">
        <f aca="false">IF(OR(BQ49,BS49),VLOOKUP(A49,GasTable,13)*HeatRatePeak*(1+VLOOKUP($B49,HeatRateDegradation,$C49+1))/1000,0)</f>
        <v>#VALUE!</v>
      </c>
      <c r="CQ49" s="1316" t="e">
        <f aca="false">IF(OR(BQ49,BS49),VLOOKUP(A49,GasTable,13)*IF(EV49,HeatRatePeak,HeatRateOffPeak)*(1+VLOOKUP($B49,HeatRateDegradation,$C49+1))/1000,0)</f>
        <v>#VALUE!</v>
      </c>
      <c r="CR49" s="1316" t="e">
        <f aca="false">IF(OR(BQ49,BS49),VLOOKUP(A49,GasTable,13)*IF(EW49,HeatRatePeak,HeatRateOffPeak)*(1+VLOOKUP($B49,HeatRateDegradation,$C49+1))/1000,0)</f>
        <v>#VALUE!</v>
      </c>
      <c r="CS49" s="1589" t="e">
        <f aca="false">IF(BQ49,(CO49*AZ49+CP49*BA49+CQ49*BB49+CR49*BC49)/BQ49,0)</f>
        <v>#VALUE!</v>
      </c>
      <c r="CT49" s="1316" t="e">
        <f aca="false">IF(BS49,CO49,0)</f>
        <v>#VALUE!</v>
      </c>
      <c r="CU49" s="1590" t="e">
        <f aca="false">IF(OR(BQ49,BS49),VLOOKUP(A49,GasTable,14),"")</f>
        <v>#VALUE!</v>
      </c>
      <c r="CV49" s="1568" t="e">
        <f aca="false">IF(OR(BQ49,BS49),IF(CorrPowerGasOverFlag,INDEX(CorrPowerGasOver,C49),CorrPowerGas),"")</f>
        <v>#VALUE!</v>
      </c>
      <c r="CW49" s="1316" t="e">
        <f aca="false">IF(OR($BQ49,$BS49),SpreadOptPowerMargin,0)*((1+Assumptions!$C$26)^($B49-YEAR(Assumptions!$C$17)))</f>
        <v>#VALUE!</v>
      </c>
      <c r="CX49" s="1316" t="e">
        <f aca="false">IF(OR($BQ49,$BS49),SpreadOptPowerMargin,0)*((1+Assumptions!$C$26)^($B49-YEAR(Assumptions!$C$17)))</f>
        <v>#VALUE!</v>
      </c>
      <c r="CY49" s="1316" t="e">
        <f aca="false">IF(OR($BQ49,$BS49),SpreadOptPowerMargin,0)*((1+Assumptions!$C$26)^($B49-YEAR(Assumptions!$C$17)))</f>
        <v>#VALUE!</v>
      </c>
      <c r="CZ49" s="1316" t="e">
        <f aca="false">IF(OR($BQ49,$BS49),SpreadOptPowerMargin,0)*((1+Assumptions!$C$26)^($B49-YEAR(Assumptions!$C$17)))</f>
        <v>#VALUE!</v>
      </c>
      <c r="DA49" s="1591" t="e">
        <f aca="false">IF(OR(BQ49,BS49),(CW49*(AZ49+BH49)+CX49*(BA49+BI49)+CY49*(BB49+BJ49)+CZ49*(BC49+BK49))/(BQ49+BS49),0)</f>
        <v>#VALUE!</v>
      </c>
      <c r="DB49" s="1592" t="e">
        <f aca="false">IF(OR(BQ49,BS49),CG49+IF(OVolSmile,VLOOKUP(MAX(-5,CO49+CW49-BU49),IF(OVolSmile=1,VolSmileBook,VolSmileModel),2),0),"")</f>
        <v>#VALUE!</v>
      </c>
      <c r="DC49" s="1592" t="e">
        <f aca="false">IF(OR(BQ49,BS49),CH49+IF(OVolSmile,VLOOKUP(MAX(-5,CP49+CW49-BV49),IF(OVolSmile=1,VolSmileBook,VolSmileModel),2),0),"")</f>
        <v>#VALUE!</v>
      </c>
      <c r="DD49" s="1592" t="e">
        <f aca="false">IF(OR(BQ49,BS49),CI49+IF(OVolSmile,VLOOKUP(MAX(-5,CQ49+CW49-BW49),IF(OVolSmile=1,VolSmileBook,VolSmileModel),2),0),"")</f>
        <v>#VALUE!</v>
      </c>
      <c r="DE49" s="1592" t="e">
        <f aca="false">IF(OR(BQ49,BS49),CL49+IF(OVolSmile,VLOOKUP(MAX(-5,CR49+CZ49-BX49),IF(OVolSmile=1,VolSmileBook,VolSmileModel),2),0),"")</f>
        <v>#VALUE!</v>
      </c>
      <c r="DF49" s="1592" t="e">
        <f aca="false">IF(BQ49,CM49+IF(OVolSmile,VLOOKUP(MAX(-5,CS49+DA49-BZ49),IF(OVolSmile=1,VolSmileBook,VolSmileModel),2),0),"")</f>
        <v>#VALUE!</v>
      </c>
      <c r="DG49" s="1593" t="e">
        <f aca="false">IF(BS49,CN49+IF(OVolSmile,VLOOKUP(MAX(-5,CT49+DA49-CF49),IF(OVolSmile=1,VolSmileBook,VolSmileModel),2),0),"")</f>
        <v>#VALUE!</v>
      </c>
      <c r="DH49" s="1316" t="e">
        <f aca="false">IF(AND(BU49&gt;0,CO49&gt;0,DB49&gt;0,CU49&gt;0),newSPRDOPT(BU49,CO49,CW49,0,DB49,CU49,CV49,BT49*365.25,OCallPut,0),0)</f>
        <v>#VALUE!</v>
      </c>
      <c r="DI49" s="1316" t="e">
        <f aca="false">IF(AND(BV49&gt;0,CP49&gt;0,DC49&gt;0,CU49&gt;0),newSPRDOPT(BV49,CP49,CX49,0,DC49,CU49,CV49,BT49*365.25,OCallPut,0),0)</f>
        <v>#VALUE!</v>
      </c>
      <c r="DJ49" s="1316" t="e">
        <f aca="false">IF(AND(BW49&gt;0,CQ49&gt;0,DD49&gt;0,CU49&gt;0),newSPRDOPT(BW49,CQ49,CY49,0,DD49,CU49,CV49,BT49*365.25,OCallPut,0),0)</f>
        <v>#VALUE!</v>
      </c>
      <c r="DK49" s="1316" t="e">
        <f aca="false">IF(AND(BX49&gt;0,CR49&gt;0,DE49&gt;0,CU49&gt;0),newSPRDOPT(BX49,CR49,CZ49,0,DE49,CU49,CV49,BT49*365.25,OCallPut,0),0)</f>
        <v>#VALUE!</v>
      </c>
      <c r="DL49" s="1316" t="e">
        <f aca="false">IF(OVolType,IF(AND(BZ49&gt;0,CS49&gt;0,DF49&gt;0,CU49&gt;0),newSPRDOPT(BZ49,CS49,DA49,0,DF49,CU49,CV49,BT49*365.25,OCallPut,0),0),IF(BQ49,(DH49*AZ49+DI49*BA49+DJ49*BB49+DK49*BC49)/BQ49,0))</f>
        <v>#VALUE!</v>
      </c>
      <c r="DM49" s="1316"/>
      <c r="DN49" s="1316"/>
      <c r="DO49" s="1316"/>
      <c r="DP49" s="1316"/>
      <c r="DQ49" s="1316"/>
      <c r="DR49" s="1316"/>
      <c r="DS49" s="1316"/>
      <c r="DT49" s="1316"/>
      <c r="DU49" s="1316"/>
      <c r="DV49" s="1316"/>
      <c r="DW49" s="1594" t="e">
        <f aca="false">IF(AND(BW49&gt;0,CT49&gt;0,DD49&gt;0,CU49&gt;0),newSPRDOPT(BW49,CT49,CY49,0,DD49,CU49,CV49,BT49*365.25,OCallPut,0),0)</f>
        <v>#VALUE!</v>
      </c>
      <c r="DX49" s="1316" t="e">
        <f aca="false">IF(AND(BX49&gt;0,CT49&gt;0,DE49&gt;0,CU49&gt;0),newSPRDOPT(BX49,CT49,CZ49,0,DE49,CU49,CV49,BT49*365.25,OCallPut,0),0)</f>
        <v>#VALUE!</v>
      </c>
      <c r="DY49" s="1591" t="e">
        <f aca="false">IF(BS49,(DH49*BH49+DI49*BI49+DW49*BJ49+DX49*BK49)/BS49,0)</f>
        <v>#VALUE!</v>
      </c>
      <c r="DZ49" s="1551" t="e">
        <f aca="false">DH49*AZ49</f>
        <v>#VALUE!</v>
      </c>
      <c r="EA49" s="1551" t="e">
        <f aca="false">DI49*BA49</f>
        <v>#VALUE!</v>
      </c>
      <c r="EB49" s="1551" t="e">
        <f aca="false">DJ49*BB49</f>
        <v>#VALUE!</v>
      </c>
      <c r="EC49" s="1551" t="e">
        <f aca="false">DK49*BC49</f>
        <v>#VALUE!</v>
      </c>
      <c r="ED49" s="1551" t="e">
        <f aca="false">DL49*BQ49</f>
        <v>#VALUE!</v>
      </c>
      <c r="EE49" s="1595" t="e">
        <f aca="false">IF(BQ49,IF(OCallPut,IF(BU49&gt;(CO49+CW49),BU49-(CO49+CW49),0),IF((CO49+CW49)&gt;BU49,(CO49+CW49)-BU49,0))*AZ49,0)</f>
        <v>#VALUE!</v>
      </c>
      <c r="EF49" s="1596" t="e">
        <f aca="false">IF(BQ49,IF(OCallPut,IF(BV49&gt;(CP49+CX49),BV49-(CP49+CX49),0),IF((CP49+CX49)&gt;BV49,(CP49+CX49)-BV49,0))*BA49,0)</f>
        <v>#VALUE!</v>
      </c>
      <c r="EG49" s="1596" t="e">
        <f aca="false">IF(BQ49,IF(OCallPut,IF(BW49&gt;(CQ49+CY49),BW49-(CQ49+CY49),0),IF((CQ49+CY49)&gt;BW49,(CQ49+CY49)-BW49,0))*BB49,0)</f>
        <v>#VALUE!</v>
      </c>
      <c r="EH49" s="1596" t="e">
        <f aca="false">IF(BQ49,IF(OCallPut,IF(BX49&gt;(CR49+CZ49),BX49-(CR49+CZ49),0),IF((CR49+CZ49)&gt;BX49,(CR49+CZ49)-BX49,0))*BC49,0)</f>
        <v>#VALUE!</v>
      </c>
      <c r="EI49" s="1597" t="e">
        <f aca="false">IF(BQ49,IF(OVolType,IF(OCallPut,IF(BZ49&gt;(CS49+DA49),BZ49-(CS49+DA49),0),IF((CS49+DA49)&gt;BZ49,(CS49+DA49)-BZ49,0))*BQ49,SUM(EE49:EH49)),0)</f>
        <v>#VALUE!</v>
      </c>
      <c r="EJ49" s="1595" t="e">
        <f aca="false">DZ49-EE49</f>
        <v>#VALUE!</v>
      </c>
      <c r="EK49" s="1596" t="e">
        <f aca="false">EA49-EF49</f>
        <v>#VALUE!</v>
      </c>
      <c r="EL49" s="1596" t="e">
        <f aca="false">EB49-EG49</f>
        <v>#VALUE!</v>
      </c>
      <c r="EM49" s="1596" t="e">
        <f aca="false">EC49-EH49</f>
        <v>#VALUE!</v>
      </c>
      <c r="EN49" s="1597" t="e">
        <f aca="false">ED49-EI49</f>
        <v>#VALUE!</v>
      </c>
      <c r="EO49" s="1551" t="e">
        <f aca="false">DH49*BH49</f>
        <v>#VALUE!</v>
      </c>
      <c r="EP49" s="1551" t="e">
        <f aca="false">DI49*BI49</f>
        <v>#VALUE!</v>
      </c>
      <c r="EQ49" s="1551" t="e">
        <f aca="false">DW49*BJ49</f>
        <v>#VALUE!</v>
      </c>
      <c r="ER49" s="1551" t="e">
        <f aca="false">DX49*BK49</f>
        <v>#VALUE!</v>
      </c>
      <c r="ES49" s="1551" t="e">
        <f aca="false">DY49*BS49</f>
        <v>#VALUE!</v>
      </c>
      <c r="ET49" s="1566" t="e">
        <f aca="false">IF(EI49,IF(OCallPut,IF(CA49&gt;(CT49+CW49),CA49-(CT49+CW49),0),IF((CT49+CW49)&gt;CA49,(CT49+CW49)-CA49,0))*BH49,0)</f>
        <v>#VALUE!</v>
      </c>
      <c r="EU49" s="1551" t="e">
        <f aca="false">IF(EI49,IF(OCallPut,IF(CB49&gt;(CT49+CX49),CB49-(CT49+CX49),0),IF((CT49+CX49)&gt;CB49,(CT49+CX49)-CB49,0))*BI49,0)</f>
        <v>#VALUE!</v>
      </c>
      <c r="EV49" s="1551" t="e">
        <f aca="false">IF(EI49,IF(OCallPut,IF(CC49&gt;(CT49+CY49),CC49-(CT49+CY49),0),IF((CT49+CY49)&gt;CC49,(CT49+CY49)-CC49,0))*BJ49,0)</f>
        <v>#VALUE!</v>
      </c>
      <c r="EW49" s="1551" t="e">
        <f aca="false">IF(EI49,IF(OCallPut,IF(CD49&gt;(CT49+CZ49),CD49-(CT49+CZ49),0),IF((CT49+CZ49)&gt;CD49,(CT49+CZ49)-CD49,0))*BK49,0)</f>
        <v>#VALUE!</v>
      </c>
      <c r="EX49" s="1558" t="e">
        <f aca="false">IF(EI49,SUM(ET49:EW49),0)</f>
        <v>#VALUE!</v>
      </c>
      <c r="EY49" s="1551" t="e">
        <f aca="false">EO49-ET49</f>
        <v>#VALUE!</v>
      </c>
      <c r="EZ49" s="1551" t="e">
        <f aca="false">EP49-EU49</f>
        <v>#VALUE!</v>
      </c>
      <c r="FA49" s="1551" t="e">
        <f aca="false">EQ49-EV49</f>
        <v>#VALUE!</v>
      </c>
      <c r="FB49" s="1551" t="e">
        <f aca="false">ER49-EW49</f>
        <v>#VALUE!</v>
      </c>
      <c r="FC49" s="1551" t="e">
        <f aca="false">ES49-EX49</f>
        <v>#VALUE!</v>
      </c>
      <c r="FD49" s="1525" t="n">
        <f aca="false">IF(AX49,IF(VLOOKUP(C49,MAIN!$L$17:$M$28,2)="Yes",VLOOKUP(CALC!B49,MAIN!$H$17:$I$20,2),0),0)</f>
        <v>0</v>
      </c>
      <c r="FE49" s="1552" t="n">
        <f aca="false">$FD49*16*AT49*(1-$AY49)</f>
        <v>0</v>
      </c>
      <c r="FF49" s="1553" t="n">
        <f aca="false">$FD49*16*AU49*(1-$AY49)</f>
        <v>0</v>
      </c>
      <c r="FG49" s="1553" t="n">
        <f aca="false">$FD49*16*(AV49+AW49)*(1-$AY49)</f>
        <v>0</v>
      </c>
      <c r="FH49" s="1554" t="n">
        <f aca="false">$FD49*8*AX49*(1-$AY49)</f>
        <v>0</v>
      </c>
      <c r="FI49" s="1555" t="n">
        <f aca="false">IF(AX49,VLOOKUP(CALC!B49,MAIN!$H$17:$K$20,4),0)</f>
        <v>0</v>
      </c>
      <c r="FJ49" s="1553" t="n">
        <f aca="false">SUM(FE49:FH49)</f>
        <v>0</v>
      </c>
      <c r="FK49" s="1556" t="n">
        <f aca="false">FI49*FJ49</f>
        <v>0</v>
      </c>
      <c r="FL49" s="1551" t="e">
        <f aca="false">IF($EI49&gt;0,MIN(FE49,AZ49*(1+VLOOKUP($C49,WeatherCapacityAdjustment,2))),0)</f>
        <v>#VALUE!</v>
      </c>
      <c r="FM49" s="1551" t="e">
        <f aca="false">IF($EI49&gt;0,MIN(FF49,BA49*(1+VLOOKUP($C49,WeatherCapacityAdjustment,2))),0)</f>
        <v>#VALUE!</v>
      </c>
      <c r="FN49" s="1551" t="e">
        <f aca="false">IF($EI49&gt;0,MIN(FG49,BB49*(1+VLOOKUP($C49,WeatherCapacityAdjustment,2))),0)</f>
        <v>#VALUE!</v>
      </c>
      <c r="FO49" s="1564" t="e">
        <f aca="false">IF($EI49&gt;0,MIN(FH49,BC49*(1+VLOOKUP($C49,WeatherCapacityAdjustment,3))),0)</f>
        <v>#VALUE!</v>
      </c>
      <c r="FP49" s="1551" t="e">
        <f aca="false">IF(ET49&gt;0,MIN(FE49-FL49,BH49*(1+VLOOKUP($C49,WeatherCapacityAdjustment,2))),0)</f>
        <v>#VALUE!</v>
      </c>
      <c r="FQ49" s="1551" t="e">
        <f aca="false">IF(EU49&gt;0,MIN(FF49-FM49,BI49*(1+VLOOKUP($C49,WeatherCapacityAdjustment,2))),0)</f>
        <v>#VALUE!</v>
      </c>
      <c r="FR49" s="1551" t="e">
        <f aca="false">IF(EV49&gt;0,MIN(FG49-FN49,BJ49*(1+VLOOKUP($C49,WeatherCapacityAdjustment,2))),0)</f>
        <v>#VALUE!</v>
      </c>
      <c r="FS49" s="1558" t="e">
        <f aca="false">IF(EW49&gt;0,MIN(FH49-FO49,BK49*(1+VLOOKUP($C49,WeatherCapacityAdjustment,3))),0)</f>
        <v>#VALUE!</v>
      </c>
      <c r="FT49" s="1566" t="n">
        <f aca="false">IF(AND(Assumptions!$H$71="Yes",A49&gt;=Assumptions!$H$72,A49&lt;=Assumptions!$H$73),0,IF(AND($A49&gt;=Assumptions!$C$17,$A49&lt;=Assumptions!$C$18),MAX(AZ49*(1+VLOOKUP($C49,WeatherCapacityAdjustment,2))-FL49,0),0))</f>
        <v>0</v>
      </c>
      <c r="FU49" s="1551" t="n">
        <f aca="false">IF(AND(Assumptions!$H$71="Yes",A49&gt;=Assumptions!$H$72,A49&lt;=Assumptions!$H$73),0,IF(AND($A49&gt;=Assumptions!$C$17,$A49&lt;=Assumptions!$C$18),MAX(BA49*(1+VLOOKUP($C49,WeatherCapacityAdjustment,2))-FM49,0),0))</f>
        <v>0</v>
      </c>
      <c r="FV49" s="1551" t="n">
        <f aca="false">IF(AND(Assumptions!$H$71="Yes",A49&gt;=Assumptions!$H$72,A49&lt;=Assumptions!$H$73),0,IF(AND($A49&gt;=Assumptions!$C$17,$A49&lt;=Assumptions!$C$18),MAX(BB49*(1+VLOOKUP($C49,WeatherCapacityAdjustment,2))-FN49,0),0))</f>
        <v>0</v>
      </c>
      <c r="FW49" s="1564" t="n">
        <f aca="false">IF(AND(Assumptions!$H$71="Yes",A49&gt;=Assumptions!$H$72,A49&lt;=Assumptions!$H$73),0,IF(AND($A49&gt;=Assumptions!$C$17,$A49&lt;=Assumptions!$C$18),MAX(BC49*(1+VLOOKUP($C49,WeatherCapacityAdjustment,3))-FO49,0),0))</f>
        <v>0</v>
      </c>
      <c r="FX49" s="1569" t="e">
        <f aca="false">IF(AND(Assumptions!$H$71="Yes",A49&gt;=Assumptions!$H$72,A49&lt;=Assumptions!$H$73),0,IF(ET49&gt;0,MAX(BH49*(1+VLOOKUP($C49,WeatherCapacityAdjustment,2))-FP49,0),0))</f>
        <v>#VALUE!</v>
      </c>
      <c r="FY49" s="1551" t="e">
        <f aca="false">IF(AND(Assumptions!$H$71="Yes",A49&gt;=Assumptions!$H$72,A49&lt;=Assumptions!$H$73),0,IF(EU49&gt;0,MAX(BI49*(1+VLOOKUP($C49,WeatherCapacityAdjustment,3))-FQ49,0),0))</f>
        <v>#VALUE!</v>
      </c>
      <c r="FZ49" s="1551" t="e">
        <f aca="false">IF(AND(Assumptions!$H$71="Yes",A49&gt;=Assumptions!$H$72,A49&lt;=Assumptions!$H$73),0,IF(EV49&gt;0,MAX(BJ49*(1+VLOOKUP($C49,WeatherCapacityAdjustment,2))-FR49,0),0))</f>
        <v>#VALUE!</v>
      </c>
      <c r="GA49" s="1564" t="e">
        <f aca="false">IF(AND(Assumptions!$H$71="Yes",A49&gt;=Assumptions!$H$72,A49&lt;=Assumptions!$H$73),0,IF(EW49&gt;0,MAX(BK49*(1+VLOOKUP($C49,WeatherCapacityAdjustment,2))-FS49,0),0))</f>
        <v>#VALUE!</v>
      </c>
      <c r="GB49" s="1551" t="e">
        <f aca="false">SUM(FT49:GA49)</f>
        <v>#VALUE!</v>
      </c>
      <c r="GC49" s="1563" t="e">
        <f aca="false">+IF(SUM(FT49:GA49)=0,0,(SUMPRODUCT(BU49:BX49,FT49:FW49)+SUMPRODUCT(CA49:CD49,FX49:GA49))/SUM(FT49:GA49))</f>
        <v>#VALUE!</v>
      </c>
      <c r="GD49" s="1551" t="e">
        <f aca="false">(FT49*BU49+FX49*CA49+FU49*BV49+FY49*CB49+FV49*BW49+FZ49*CC49+FW49*BX49+GA49*CD49)</f>
        <v>#VALUE!</v>
      </c>
      <c r="GE49" s="1561" t="e">
        <f aca="false">+IF(BQ49,((FL49+FM49+FT49+FU49)*HeatRatePeak/1000*(1+VLOOKUP($C49,WeatherHeatRateAdjustment,2))+(FN49+FV49)*IF(EV49&gt;0,HeatRatePeak,HeatRateOffPeak)/1000*(1+VLOOKUP($C49,WeatherHeatRateAdjustment,2))+(FO49+FW49)*IF(EW49&gt;0,HeatRatePeak,HeatRateOffPeak)/1000*(1+VLOOKUP($C49,WeatherHeatRateAdjustment,3)))*(1+VLOOKUP($B49,HeatRateDegradation,$C49+1)),0)</f>
        <v>#VALUE!</v>
      </c>
      <c r="GF49" s="1562" t="e">
        <f aca="false">IF(BQ49,((FP49+FQ49+FR49+FX49+FY49+FZ49)*HeatRatePeak/1000*(1+VLOOKUP($C49,WeatherHeatRateAdjustment,2))+(FS49+GA49)*HeatRatePeak/1000*(1+VLOOKUP($C49,WeatherHeatRateAdjustment,3)))*(1+VLOOKUP($B49,HeatRateDegradation,$C49+1)),0)</f>
        <v>#VALUE!</v>
      </c>
      <c r="GG49" s="1563" t="e">
        <f aca="false">IF(BQ49,VLOOKUP(A49,GasTable,13),0)</f>
        <v>#VALUE!</v>
      </c>
      <c r="GH49" s="1564" t="e">
        <f aca="false">(GE49+GF49)*GG49</f>
        <v>#VALUE!</v>
      </c>
      <c r="GI49" s="1569" t="e">
        <f aca="false">GB49</f>
        <v>#VALUE!</v>
      </c>
      <c r="GJ49" s="1598" t="e">
        <f aca="false">+DA49</f>
        <v>#VALUE!</v>
      </c>
      <c r="GK49" s="1558" t="e">
        <f aca="false">+GI49*GJ49</f>
        <v>#VALUE!</v>
      </c>
      <c r="GL49" s="1566" t="e">
        <f aca="false">MAX(FE49-FL49-FP49,0)</f>
        <v>#VALUE!</v>
      </c>
      <c r="GM49" s="1551" t="e">
        <f aca="false">MAX(FF49-FM49-FQ49,0)</f>
        <v>#VALUE!</v>
      </c>
      <c r="GN49" s="1551" t="e">
        <f aca="false">MAX(FG49-FN49-FR49,0)</f>
        <v>#VALUE!</v>
      </c>
      <c r="GO49" s="1564" t="e">
        <f aca="false">MAX(FH49-FO49-FS49,0)</f>
        <v>#VALUE!</v>
      </c>
      <c r="GP49" s="1551" t="e">
        <f aca="false">SUM(GL49:GO49)</f>
        <v>#VALUE!</v>
      </c>
      <c r="GQ49" s="1563" t="e">
        <f aca="false">IF(SUM(GL49:GO49)=0,0,((GL49*BU49+GM49*BV49+GN49*BW49+GO49*BX49)/SUM(GL49:GO49)))</f>
        <v>#VALUE!</v>
      </c>
      <c r="GR49" s="1558" t="e">
        <f aca="false">(GL49*BU49+GM49*BV49+GN49*BW49+GO49*BX49)</f>
        <v>#VALUE!</v>
      </c>
      <c r="GS49" s="1566" t="n">
        <f aca="false">IF($A49&gt;=BegDate,Assumptions!$C$56*24*($A50-$A49)*(1-VLOOKUP($B49,MAIN!$AA$7:$AM$28,$C49+1))*(1-VLOOKUP($B49,MAIN!$AA$33:$AM$54,$C49+1)),0)*80/168</f>
        <v>0</v>
      </c>
      <c r="GT49" s="286" t="n">
        <f aca="false">J49</f>
        <v>38.2929478344</v>
      </c>
      <c r="GU49" s="286" t="n">
        <f aca="false">IF($A49&gt;=BegDate,VLOOKUP($A49,GasTable,13)+Assumptions!$C$58,0)</f>
        <v>0</v>
      </c>
      <c r="GV49" s="286" t="n">
        <f aca="false">GU49*Assumptions!$C$57/1000</f>
        <v>0</v>
      </c>
      <c r="GW49" s="1558" t="n">
        <f aca="false">IF(Assumptions!$C$60="Hourly",MAX(0,GS49*(GT49-GV49)),GS49*(GT49-GV49))</f>
        <v>0</v>
      </c>
      <c r="GX49" s="1566" t="n">
        <f aca="false">IF($A49&gt;=BegDate,Assumptions!$C$56*24*($A50-$A49)*(1-VLOOKUP($B49,MAIN!$AA$7:$AM$28,$C49+1))*(1-VLOOKUP($B49,MAIN!$AA$33:$AM$54,$C49+1)),0)*16/168</f>
        <v>0</v>
      </c>
      <c r="GY49" s="286" t="n">
        <f aca="false">M49</f>
        <v>38.2929478344</v>
      </c>
      <c r="GZ49" s="286" t="n">
        <f aca="false">IF($A49&gt;=BegDate,VLOOKUP($A49,GasTable,13)+Assumptions!$C$58,0)</f>
        <v>0</v>
      </c>
      <c r="HA49" s="286" t="n">
        <f aca="false">GZ49*Assumptions!$C$57/1000</f>
        <v>0</v>
      </c>
      <c r="HB49" s="1558" t="n">
        <f aca="false">IF(Assumptions!$C$60="Hourly",MAX(0,GX49*(GY49-HA49)),GX49*(GY49-HA49))</f>
        <v>0</v>
      </c>
      <c r="HC49" s="1566" t="n">
        <f aca="false">IF($A49&gt;=BegDate,Assumptions!$C$56*24*($A50-$A49)*(1-VLOOKUP($B49,MAIN!$AA$7:$AM$28,$C49+1))*(1-VLOOKUP($B49,MAIN!$AA$33:$AM$54,$C49+1)),0)*16/168</f>
        <v>0</v>
      </c>
      <c r="HD49" s="286" t="n">
        <f aca="false">P49</f>
        <v>26.4243975624</v>
      </c>
      <c r="HE49" s="286" t="n">
        <f aca="false">IF($A49&gt;=BegDate,VLOOKUP($A49,GasTable,13)+Assumptions!$C$58,0)</f>
        <v>0</v>
      </c>
      <c r="HF49" s="286" t="n">
        <f aca="false">HE49*Assumptions!$C$57/1000</f>
        <v>0</v>
      </c>
      <c r="HG49" s="1558" t="n">
        <f aca="false">IF(Assumptions!$C$60="Hourly",MAX(0,HC49*(HD49-HF49)),HC49*(HD49-HF49))</f>
        <v>0</v>
      </c>
      <c r="HH49" s="1566" t="n">
        <f aca="false">IF($A49&gt;=BegDate,Assumptions!$C$56*24*($A50-$A49)*(1-VLOOKUP($B49,MAIN!$AA$7:$AM$28,$C49+1))*(1-VLOOKUP($B49,MAIN!$AA$33:$AM$54,$C49+1)),0)*56/168</f>
        <v>0</v>
      </c>
      <c r="HI49" s="286" t="n">
        <f aca="false">S49</f>
        <v>26.4243975624</v>
      </c>
      <c r="HJ49" s="286" t="n">
        <f aca="false">IF($A49&gt;=BegDate,VLOOKUP($A49,GasTable,13)+Assumptions!$C$58,0)</f>
        <v>0</v>
      </c>
      <c r="HK49" s="286" t="n">
        <f aca="false">HJ49*Assumptions!$C$57/1000</f>
        <v>0</v>
      </c>
      <c r="HL49" s="1558" t="n">
        <f aca="false">IF(Assumptions!$C$60="Hourly",MAX(0,HH49*(HI49-HK49)),HH49*(HI49-HK49))</f>
        <v>0</v>
      </c>
      <c r="HM49" s="1566" t="n">
        <f aca="false">IF(AND(Assumptions!$H$71="Yes",A49&gt;=Assumptions!$H$72,A49&lt;=Assumptions!$H$73),Assumptions!$H$74*Assumptions!$C$9*1000,0)</f>
        <v>0</v>
      </c>
      <c r="HN49" s="1551"/>
      <c r="HO49" s="1563"/>
      <c r="HP49" s="1563"/>
      <c r="HQ49" s="1563"/>
      <c r="HR49" s="1563"/>
      <c r="HS49" s="1563"/>
      <c r="HT49" s="1563"/>
      <c r="HU49" s="1563"/>
      <c r="HV49" s="1563"/>
      <c r="HW49" s="1563"/>
      <c r="HX49" s="1563"/>
      <c r="HY49" s="1563"/>
      <c r="HZ49" s="1563"/>
      <c r="IA49" s="1563"/>
      <c r="IB49" s="1563"/>
      <c r="IC49" s="1563"/>
      <c r="ID49" s="1563"/>
      <c r="IE49" s="1563"/>
      <c r="IF49" s="1563"/>
      <c r="IG49" s="1563"/>
      <c r="IH49" s="1563"/>
      <c r="II49" s="1610"/>
      <c r="IJ49" s="1309"/>
      <c r="IK49" s="1309"/>
    </row>
    <row r="50" customFormat="false" ht="12.75" hidden="false" customHeight="false" outlineLevel="0" collapsed="false">
      <c r="A50" s="1571" t="n">
        <f aca="false">EOMONTH(A49,0)+1</f>
        <v>37653</v>
      </c>
      <c r="B50" s="594" t="n">
        <f aca="false">+YEAR(A50)</f>
        <v>2003</v>
      </c>
      <c r="C50" s="238" t="n">
        <f aca="false">MONTH(A50)</f>
        <v>2</v>
      </c>
      <c r="D50" s="1572" t="str">
        <f aca="false">IF(E50="","",Holiday(B50,C50))</f>
        <v/>
      </c>
      <c r="E50" s="1573" t="str">
        <f aca="false">IF(OR(BegDate&gt;=A51,EndDate&lt;A50,AND(VolumeMonthlyOverFlag,INDEX(VolumeMonthlyOver,C50)=0),NOT(INDEX(MonthKnockOutTable,C50))),"",MAX(A50,BegDate))</f>
        <v/>
      </c>
      <c r="F50" s="1574" t="str">
        <f aca="false">IF(E50="","",MIN(A51-1,EndDate))</f>
        <v/>
      </c>
      <c r="G50" s="1575" t="n">
        <v>0</v>
      </c>
      <c r="H50" s="1576" t="n">
        <f aca="false">(1+G50/2)^(-2*(DATE(B51,C51,20)-DateToday)/365.25)</f>
        <v>1</v>
      </c>
      <c r="I50" s="1568" t="n">
        <f aca="false">IF(Assumptions!$L$25=4,VLOOKUP($A50,'Henwood Reference'!$E$9:$R$320,10),(VLOOKUP($A50,PriceTable,2,0)+IF(BasisNumber&lt;&gt;1,VLOOKUP($A50,BasisTable,2,0),0)+I$1)/(1-I$2))</f>
        <v>33.7898178072</v>
      </c>
      <c r="J50" s="1568" t="n">
        <f aca="false">IF(Assumptions!$L$25=4,VLOOKUP($A50,'Henwood Reference'!$E$9:$R$320,10),(VLOOKUP($A50,PriceTable,3,0)+IF(BasisNumber&lt;&gt;1,VLOOKUP($A50,BasisTable,2,0),0)+J$1)/(1-J$2))</f>
        <v>33.7898178072</v>
      </c>
      <c r="K50" s="1568" t="n">
        <f aca="false">IF(Assumptions!$L$25=4,VLOOKUP($A50,'Henwood Reference'!$E$9:$R$320,10),(VLOOKUP($A50,PriceTable,4,0)+IF(BasisNumber&lt;&gt;1,VLOOKUP($A50,BasisTable,2,0),0)+K$1)/(1-K$2))</f>
        <v>33.7898178072</v>
      </c>
      <c r="L50" s="1523" t="n">
        <f aca="false">IF(Assumptions!$L$25=4,VLOOKUP($A50,'Henwood Reference'!$E$9:$R$320,10),(VLOOKUP($A50,PriceTableWeekend,2,0)+IF(BasisNumber&lt;&gt;1,VLOOKUP($A50,BasisTable,2,0),0)+L$1)/(1-L$2))</f>
        <v>33.7898178072</v>
      </c>
      <c r="M50" s="1568" t="n">
        <f aca="false">IF(Assumptions!$L$25=4,VLOOKUP($A50,'Henwood Reference'!$E$9:$R$320,10),(VLOOKUP($A50,PriceTableWeekend,3,0)+IF(BasisNumber&lt;&gt;1,VLOOKUP($A50,BasisTable,2,0),0)+M$1)/(1-M$2))</f>
        <v>33.7898178072</v>
      </c>
      <c r="N50" s="1599" t="n">
        <f aca="false">IF(Assumptions!$L$25=4,VLOOKUP($A50,'Henwood Reference'!$E$9:$R$320,10),(VLOOKUP($A50,PriceTableWeekend,4,0)+IF(BasisNumber&lt;&gt;1,VLOOKUP($A50,BasisTable,2,0),0)+N$1)/(1-N$2))</f>
        <v>33.7898178072</v>
      </c>
      <c r="O50" s="1568" t="n">
        <f aca="false">IF(Assumptions!$L$25=4,VLOOKUP($A50,'Henwood Reference'!$E$9:$R$320,11),(VLOOKUP($A50,PriceTableWeekend,6,0)+IF(BasisNumber&lt;&gt;1,VLOOKUP($A50,BasisTable,3,0),0)+O$1)/(1-O$2))</f>
        <v>24.0019780608</v>
      </c>
      <c r="P50" s="1568" t="n">
        <f aca="false">IF(Assumptions!$L$25=4,VLOOKUP($A50,'Henwood Reference'!$E$9:$R$320,11),(VLOOKUP($A50,PriceTableWeekend,7,0)+IF(BasisNumber&lt;&gt;1,VLOOKUP($A50,BasisTable,3,0),0)+P$1)/(1-P$2))</f>
        <v>24.0019780608</v>
      </c>
      <c r="Q50" s="1599" t="n">
        <f aca="false">IF(Assumptions!$L$25=4,VLOOKUP($A50,'Henwood Reference'!$E$9:$R$320,11),(VLOOKUP($A50,PriceTableWeekend,8,0)+IF(BasisNumber&lt;&gt;1,VLOOKUP($A50,BasisTable,3,0),0)+Q$1)/(1-Q$2))</f>
        <v>24.0019780608</v>
      </c>
      <c r="R50" s="1568" t="n">
        <f aca="false">IF(Assumptions!$L$25=4,VLOOKUP($A50,'Henwood Reference'!$E$9:$R$320,11),(VLOOKUP($A50,PriceTable,6,0)+IF(BasisNumber&lt;&gt;1,VLOOKUP($A50,BasisTable,3,0),0)+R$1)/(1-R$2))</f>
        <v>24.0019780608</v>
      </c>
      <c r="S50" s="1568" t="n">
        <f aca="false">IF(Assumptions!$L$25=4,VLOOKUP($A50,'Henwood Reference'!$E$9:$R$320,11),(VLOOKUP($A50,PriceTable,7,0)+IF(BasisNumber&lt;&gt;1,VLOOKUP($A50,BasisTable,3,0),0)+S$1)/(1-S$2))</f>
        <v>24.0019780608</v>
      </c>
      <c r="T50" s="1600" t="n">
        <f aca="false">IF(Assumptions!$L$25=4,VLOOKUP($A50,'Henwood Reference'!$E$9:$R$320,11),(VLOOKUP($A50,PriceTable,8,0)+IF(BasisNumber&lt;&gt;1,VLOOKUP($A50,BasisTable,3,0),0)+T$1)/(1-T$2))</f>
        <v>24.0019780608</v>
      </c>
      <c r="U50" s="1513" t="n">
        <f aca="false">VLOOKUP($A50,VolatilityTable,14)</f>
        <v>0.155</v>
      </c>
      <c r="V50" s="1513" t="n">
        <f aca="false">VLOOKUP($A50,VolatilityTable,15)</f>
        <v>0.165</v>
      </c>
      <c r="W50" s="1514" t="n">
        <f aca="false">VLOOKUP($A50,VolatilityTable,16)</f>
        <v>0.175</v>
      </c>
      <c r="X50" s="1513" t="n">
        <f aca="false">VLOOKUP($A50,VolatilityTable,14)</f>
        <v>0.155</v>
      </c>
      <c r="Y50" s="1513" t="n">
        <f aca="false">VLOOKUP($A50,VolatilityTable,15)</f>
        <v>0.165</v>
      </c>
      <c r="Z50" s="1514" t="n">
        <f aca="false">VLOOKUP($A50,VolatilityTable,16)</f>
        <v>0.175</v>
      </c>
      <c r="AA50" s="1513" t="n">
        <f aca="false">VLOOKUP($A50,VolatilityTable,18)</f>
        <v>0.09</v>
      </c>
      <c r="AB50" s="1513" t="n">
        <f aca="false">VLOOKUP($A50,VolatilityTable,19)</f>
        <v>0.11</v>
      </c>
      <c r="AC50" s="1514" t="n">
        <f aca="false">VLOOKUP($A50,VolatilityTable,20)</f>
        <v>0.13</v>
      </c>
      <c r="AD50" s="1513" t="n">
        <f aca="false">VLOOKUP($A50,VolatilityTable,18)</f>
        <v>0.09</v>
      </c>
      <c r="AE50" s="1513" t="n">
        <f aca="false">VLOOKUP($A50,VolatilityTable,19)</f>
        <v>0.11</v>
      </c>
      <c r="AF50" s="1514" t="n">
        <f aca="false">VLOOKUP($A50,VolatilityTable,20)</f>
        <v>0.13</v>
      </c>
      <c r="AG50" s="1513" t="n">
        <f aca="false">VLOOKUP($A50,VolatilityTable,22)</f>
        <v>-0.25</v>
      </c>
      <c r="AH50" s="1513" t="n">
        <f aca="false">VLOOKUP($A50,VolatilityTable,23)</f>
        <v>0.65</v>
      </c>
      <c r="AI50" s="1514" t="n">
        <f aca="false">VLOOKUP($A50,VolatilityTable,24)</f>
        <v>0.25</v>
      </c>
      <c r="AJ50" s="1513" t="n">
        <f aca="false">VLOOKUP($A50,VolatilityTable,22)</f>
        <v>-0.25</v>
      </c>
      <c r="AK50" s="1513" t="n">
        <f aca="false">VLOOKUP($A50,VolatilityTable,23)</f>
        <v>0.65</v>
      </c>
      <c r="AL50" s="1514" t="n">
        <f aca="false">VLOOKUP($A50,VolatilityTable,24)</f>
        <v>0.25</v>
      </c>
      <c r="AM50" s="1513" t="n">
        <f aca="false">VLOOKUP($A50,VolatilityTable,26)</f>
        <v>-0.01</v>
      </c>
      <c r="AN50" s="1513" t="n">
        <f aca="false">VLOOKUP($A50,VolatilityTable,27)</f>
        <v>0.16</v>
      </c>
      <c r="AO50" s="1514" t="n">
        <f aca="false">VLOOKUP($A50,VolatilityTable,28)</f>
        <v>0.01</v>
      </c>
      <c r="AP50" s="1513" t="n">
        <f aca="false">VLOOKUP($A50,VolatilityTable,26)</f>
        <v>-0.01</v>
      </c>
      <c r="AQ50" s="1513" t="n">
        <f aca="false">VLOOKUP($A50,VolatilityTable,27)</f>
        <v>0.16</v>
      </c>
      <c r="AR50" s="1515" t="n">
        <f aca="false">VLOOKUP($A50,VolatilityTable,28)</f>
        <v>0.01</v>
      </c>
      <c r="AS50" s="1581" t="n">
        <f aca="false">IF(CorrPeakOffPeakOverFlag,INDEX(CorrPeakOffPeakOver,C50),CorrPeakOffPeak)</f>
        <v>0.5</v>
      </c>
      <c r="AT50" s="594" t="n">
        <f aca="false">AX50-SUM(AU50:AW50)</f>
        <v>0</v>
      </c>
      <c r="AU50" s="238" t="n">
        <f aca="false">IF(E50="",0,INT((F50-MOD(F50,7)-E50)/7)+1-IF(AW50,IF(WEEKDAY(D50)=7,1,0),0))</f>
        <v>0</v>
      </c>
      <c r="AV50" s="238" t="n">
        <f aca="false">IF(E50="",0,INT((F50-MOD(F50-1,7)-E50)/7)+1-IF(AW50,IF(WEEKDAY(D50)=1,1,0),0))</f>
        <v>0</v>
      </c>
      <c r="AW50" s="238" t="n">
        <f aca="false">IF(OR(E50="",D50="",D50&lt;BegDate,D50&gt;EndDate),0,1)</f>
        <v>0</v>
      </c>
      <c r="AX50" s="238" t="n">
        <f aca="false">IF(E50="",0,F50-E50+1)</f>
        <v>0</v>
      </c>
      <c r="AY50" s="1582" t="n">
        <f aca="false">IF(E50="",0,MIN((1-(1-VLOOKUP(B50,MAIN!$AA$7:$AM$28,C50+1))*(1-VLOOKUP(B50,MAIN!$AA$33:$AM$54,C50+1))),1))</f>
        <v>0</v>
      </c>
      <c r="AZ50" s="1519" t="e">
        <v>#VALUE!</v>
      </c>
      <c r="BA50" s="1520" t="e">
        <v>#VALUE!</v>
      </c>
      <c r="BB50" s="1520" t="e">
        <v>#VALUE!</v>
      </c>
      <c r="BC50" s="1583" t="e">
        <v>#VALUE!</v>
      </c>
      <c r="BD50" s="1522" t="e">
        <v>#VALUE!</v>
      </c>
      <c r="BE50" s="1523" t="e">
        <v>#VALUE!</v>
      </c>
      <c r="BF50" s="1523" t="e">
        <v>#VALUE!</v>
      </c>
      <c r="BG50" s="1584" t="e">
        <v>#VALUE!</v>
      </c>
      <c r="BH50" s="1525" t="e">
        <v>#VALUE!</v>
      </c>
      <c r="BI50" s="1520" t="e">
        <v>#VALUE!</v>
      </c>
      <c r="BJ50" s="1520" t="e">
        <v>#VALUE!</v>
      </c>
      <c r="BK50" s="1583" t="e">
        <v>#VALUE!</v>
      </c>
      <c r="BL50" s="1522" t="e">
        <v>#VALUE!</v>
      </c>
      <c r="BM50" s="1523" t="e">
        <v>#VALUE!</v>
      </c>
      <c r="BN50" s="1523" t="e">
        <v>#VALUE!</v>
      </c>
      <c r="BO50" s="1523" t="e">
        <v>#VALUE!</v>
      </c>
      <c r="BP50" s="1525" t="e">
        <f aca="false">SUM(AZ50:BB50)</f>
        <v>#VALUE!</v>
      </c>
      <c r="BQ50" s="1529" t="e">
        <f aca="false">SUM(AZ50:BC50)</f>
        <v>#VALUE!</v>
      </c>
      <c r="BR50" s="1519" t="e">
        <f aca="false">SUM(BH50:BJ50)</f>
        <v>#VALUE!</v>
      </c>
      <c r="BS50" s="1529" t="e">
        <f aca="false">SUM(BH50:BK50)</f>
        <v>#VALUE!</v>
      </c>
      <c r="BT50" s="1316" t="n">
        <f aca="false">(IF(OVolType&lt;&gt;2,A50+14,IF(OptExpDateShift,ShiftBack(A50,OptExpDateShift,D49),A50))-DateToday)/365.25</f>
        <v>2.80082135523614</v>
      </c>
      <c r="BU50" s="1585" t="e">
        <f aca="false">IF(BQ50,IF(OPriceCurve,IF(OBuySell=OCallPut,I50/(1-AY50),K50/(1-AY50)),J50/(1-AY50))*BD50,0)</f>
        <v>#VALUE!</v>
      </c>
      <c r="BV50" s="1316" t="e">
        <f aca="false">IF(BQ50,IF(OPriceCurve,IF(OBuySell=OCallPut,L50/(1-AY50),N50/(1-AY50)),M50/(1-AY50))*BE50,0)</f>
        <v>#VALUE!</v>
      </c>
      <c r="BW50" s="1316" t="e">
        <f aca="false">IF(BQ50,IF(OPriceCurve,IF(OBuySell=OCallPut,O50/(1-AY50),Q50/(1-AY50)),P50/(1-AY50))*BF50,0)</f>
        <v>#VALUE!</v>
      </c>
      <c r="BX50" s="1316" t="e">
        <f aca="false">IF(BQ50,IF(OPriceCurve,IF(OBuySell=OCallPut,R50/(1-AY50),T50/(1-AY50)),S50/(1-AY50))*BG50,0)</f>
        <v>#VALUE!</v>
      </c>
      <c r="BY50" s="1316" t="e">
        <f aca="false">IF(BP50,(BU50*AZ50+BV50*BA50+BW50*BB50)/BP50,0)</f>
        <v>#VALUE!</v>
      </c>
      <c r="BZ50" s="1316" t="e">
        <f aca="false">IF(BQ50,(BY50*BP50+BX50*BC50)/BQ50,0)</f>
        <v>#VALUE!</v>
      </c>
      <c r="CA50" s="1531" t="e">
        <f aca="false">IF(BS50,IF(OPriceCurve,IF(OBuySell=OCallPut,I50/(1-AY50),K50/(1-AY50)),J50/(1-AY50))*BL50,0)</f>
        <v>#VALUE!</v>
      </c>
      <c r="CB50" s="1316" t="e">
        <f aca="false">IF(BS50,IF(OPriceCurve,IF(OBuySell=OCallPut,L50/(1-AY50),N50/(1-AY50)),M50/(1-AY50))*BM50,0)</f>
        <v>#VALUE!</v>
      </c>
      <c r="CC50" s="1316" t="e">
        <f aca="false">IF(BS50,IF(OPriceCurve,IF(OBuySell=OCallPut,O50/(1-AY50),Q50/(1-AY50)),P50/(1-AY50))*BN50,0)</f>
        <v>#VALUE!</v>
      </c>
      <c r="CD50" s="1316" t="e">
        <f aca="false">IF(BS50,IF(OPriceCurve,IF(OBuySell=OCallPut,R50/(1-AY50),T50/(1-AY50)),S50/(1-AY50))*BO50,0)</f>
        <v>#VALUE!</v>
      </c>
      <c r="CE50" s="1316" t="e">
        <f aca="false">IF(BR50,(BU50*BH50+BV50*BI50+BW50*BJ50)/BR50,0)</f>
        <v>#VALUE!</v>
      </c>
      <c r="CF50" s="1532" t="e">
        <f aca="false">IF(BS50,(CE50*BR50+CD50*BK50)/BS50,0)</f>
        <v>#VALUE!</v>
      </c>
      <c r="CG50" s="1586" t="e">
        <f aca="false">IF(OR(BQ50,BS50),IF(OVolType&lt;&gt;2,SQRT(IF(OVolOverMonthlyPeak,OVolOverMonthlyPeak,IF(OVolCurve,IF(OBuySell,U50,W50),V50))^2*(1-15/365.25/BT50)+IF(OVolOverDailyPeak,OVolOverDailyPeak,IF(OVolCurve,IF(OBuySell,AG50,AI50),AH50))^2*15/365.25/BT50),IF(OVolOverMonthlyPeak,OVolOverMonthlyPeak,IF(OVolCurve,IF(OBuySell,U50,W50),V50))),"")</f>
        <v>#VALUE!</v>
      </c>
      <c r="CH50" s="1587" t="e">
        <f aca="false">IF(OR(BQ50,BS50),IF(OVolType&lt;&gt;2,SQRT(IF(OVolOverMonthlyPeak,OVolOverMonthlyPeak,IF(OVolCurve,IF(OBuySell,X50,Z50),Y50))^2*(1-15/365.25/BT50)+IF(OVolOverDailyPeak,OVolOverDailyPeak,IF(OVolCurve,IF(OBuySell,AJ50,AL50),AK50))^2*15/365.25/BT50),IF(OVolOverMonthlyPeak,OVolOverMonthlyPeak,IF(OVolCurve,IF(OBuySell,X50,Z50),Y50))),"")</f>
        <v>#VALUE!</v>
      </c>
      <c r="CI50" s="1587" t="e">
        <f aca="false">IF(OR(BQ50,BS50),IF(OVolType&lt;&gt;2,SQRT(IF(OVolOverMonthlyPeak,OVolOverMonthlyPeak,IF(OVolCurve,IF(OBuySell,AA50,AC50),AB50))^2*(1-15/365.25/BT50)+IF(OVolOverDailyPeak,OVolOverDailyPeak,IF(OVolCurve,IF(OBuySell,AM50,AO50),AN50))^2*15/365.25/BT50),IF(OVolOverMonthlyPeak,OVolOverMonthlyPeak,IF(OVolCurve,IF(OBuySell,AA50,AC50),AB50))),"")</f>
        <v>#VALUE!</v>
      </c>
      <c r="CJ50" s="1587" t="e">
        <f aca="false">IF(BQ50,IF(BP50,SQRT(LN(1+((BU50*AZ50)^2*(EXP(CG50^2*BT50)-1)+(BV50*BA50)^2*(EXP(CH50^2*BT50)-1)+(BW50*BB50)^2*(EXP(CI50^2*BT50)-1)+2*BU50*AZ50*BV50*BA50*(EXP(CG50*CH50*BT50)-1)+2*BV50*BA50*BW50*BB50*(EXP(CH50*CI50*BT50)-1)+2*BW50*BB50*BU50*AZ50*(EXP(CI50*CG50*BT50)-1))/(BY50*BP50)^2)/BT50),0),"")</f>
        <v>#VALUE!</v>
      </c>
      <c r="CK50" s="1587" t="e">
        <f aca="false">IF(BS50,IF(BR50,SQRT(LN(1+((CA50*BH50)^2*(EXP(CG50^2*BT50)-1)+(CB50*BI50)^2*(EXP(CH50^2*BT50)-1)+(CC50*BJ50)^2*(EXP(CI50^2*BT50)-1)+2*CA50*BH50*CB50*BI50*(EXP(CG50*CH50*BT50)-1)+2*CB50*BI50*CC50*BJ50*(EXP(CH50*CI50*BT50)-1)+2*CC50*BJ50*CA50*BH50*(EXP(CI50*CG50*BT50)-1))/(CE50*BR50)^2)/BT50),0),"")</f>
        <v>#VALUE!</v>
      </c>
      <c r="CL50" s="1587" t="e">
        <f aca="false">IF(OR(BQ50,BS50),IF(OVolType&lt;&gt;2,SQRT(IF(OVolOverMonthlyOffPeak,OVolOverMonthlyOffPeak,IF(OVolCurve,IF(OBuySell,AD50,AF50),AE50))^2*(1-15/365.25/BT50)+IF(OVolOverDailyOffPeak,OVolOverDailyOffPeak,IF(OVolCurve,IF(OBuySell,AP50,AR50),AQ50))^2*15/365.25/BT50),IF(OVolOverMonthlyOffPeak,OVolOverMonthlyOffPeak,IF(OVolCurve,IF(OBuySell,AD50,AF50),AE50))),"")</f>
        <v>#VALUE!</v>
      </c>
      <c r="CM50" s="1587" t="e">
        <f aca="false">IF(BQ50,SQRT(LN(1+((BY50*BP50)^2*(EXP(CJ50^2*BT50)-1)+(BX50*BC50)^2*(EXP(CL50^2*BT50)-1)+2*BY50*BP50*BX50*BC50*(EXP(AS50*CJ50*CL50*BT50)-1))/(BY50*BP50+BX50*BC50)^2)/BT50),"")</f>
        <v>#VALUE!</v>
      </c>
      <c r="CN50" s="1588" t="e">
        <f aca="false">IF(BS50,SQRT(LN(1+((CE50*BR50)^2*(EXP(CK50^2*BT50)-1)+(CD50*BK50)^2*(EXP(CL50^2*BT50)-1)+2*CE50*BR50*CD50*BK50*(EXP(AS50*CK50*CL50*BT50)-1))/(CE50*BR50+CD50*BK50)^2)/BT50),"")</f>
        <v>#VALUE!</v>
      </c>
      <c r="CO50" s="1531" t="e">
        <f aca="false">IF(OR(BQ50,BS50),VLOOKUP(A50,GasTable,13)*HeatRatePeak*(1+VLOOKUP($B50,HeatRateDegradation,$C50+1))/1000,0)</f>
        <v>#VALUE!</v>
      </c>
      <c r="CP50" s="1316" t="e">
        <f aca="false">IF(OR(BQ50,BS50),VLOOKUP(A50,GasTable,13)*HeatRatePeak*(1+VLOOKUP($B50,HeatRateDegradation,$C50+1))/1000,0)</f>
        <v>#VALUE!</v>
      </c>
      <c r="CQ50" s="1316" t="e">
        <f aca="false">IF(OR(BQ50,BS50),VLOOKUP(A50,GasTable,13)*IF(EV50,HeatRatePeak,HeatRateOffPeak)*(1+VLOOKUP($B50,HeatRateDegradation,$C50+1))/1000,0)</f>
        <v>#VALUE!</v>
      </c>
      <c r="CR50" s="1316" t="e">
        <f aca="false">IF(OR(BQ50,BS50),VLOOKUP(A50,GasTable,13)*IF(EW50,HeatRatePeak,HeatRateOffPeak)*(1+VLOOKUP($B50,HeatRateDegradation,$C50+1))/1000,0)</f>
        <v>#VALUE!</v>
      </c>
      <c r="CS50" s="1589" t="e">
        <f aca="false">IF(BQ50,(CO50*AZ50+CP50*BA50+CQ50*BB50+CR50*BC50)/BQ50,0)</f>
        <v>#VALUE!</v>
      </c>
      <c r="CT50" s="1316" t="e">
        <f aca="false">IF(BS50,CO50,0)</f>
        <v>#VALUE!</v>
      </c>
      <c r="CU50" s="1590" t="e">
        <f aca="false">IF(OR(BQ50,BS50),VLOOKUP(A50,GasTable,14),"")</f>
        <v>#VALUE!</v>
      </c>
      <c r="CV50" s="1568" t="e">
        <f aca="false">IF(OR(BQ50,BS50),IF(CorrPowerGasOverFlag,INDEX(CorrPowerGasOver,C50),CorrPowerGas),"")</f>
        <v>#VALUE!</v>
      </c>
      <c r="CW50" s="1316" t="e">
        <f aca="false">IF(OR($BQ50,$BS50),SpreadOptPowerMargin,0)*((1+Assumptions!$C$26)^($B50-YEAR(Assumptions!$C$17)))</f>
        <v>#VALUE!</v>
      </c>
      <c r="CX50" s="1316" t="e">
        <f aca="false">IF(OR($BQ50,$BS50),SpreadOptPowerMargin,0)*((1+Assumptions!$C$26)^($B50-YEAR(Assumptions!$C$17)))</f>
        <v>#VALUE!</v>
      </c>
      <c r="CY50" s="1316" t="e">
        <f aca="false">IF(OR($BQ50,$BS50),SpreadOptPowerMargin,0)*((1+Assumptions!$C$26)^($B50-YEAR(Assumptions!$C$17)))</f>
        <v>#VALUE!</v>
      </c>
      <c r="CZ50" s="1316" t="e">
        <f aca="false">IF(OR($BQ50,$BS50),SpreadOptPowerMargin,0)*((1+Assumptions!$C$26)^($B50-YEAR(Assumptions!$C$17)))</f>
        <v>#VALUE!</v>
      </c>
      <c r="DA50" s="1591" t="e">
        <f aca="false">IF(OR(BQ50,BS50),(CW50*(AZ50+BH50)+CX50*(BA50+BI50)+CY50*(BB50+BJ50)+CZ50*(BC50+BK50))/(BQ50+BS50),0)</f>
        <v>#VALUE!</v>
      </c>
      <c r="DB50" s="1592" t="e">
        <f aca="false">IF(OR(BQ50,BS50),CG50+IF(OVolSmile,VLOOKUP(MAX(-5,CO50+CW50-BU50),IF(OVolSmile=1,VolSmileBook,VolSmileModel),2),0),"")</f>
        <v>#VALUE!</v>
      </c>
      <c r="DC50" s="1592" t="e">
        <f aca="false">IF(OR(BQ50,BS50),CH50+IF(OVolSmile,VLOOKUP(MAX(-5,CP50+CW50-BV50),IF(OVolSmile=1,VolSmileBook,VolSmileModel),2),0),"")</f>
        <v>#VALUE!</v>
      </c>
      <c r="DD50" s="1592" t="e">
        <f aca="false">IF(OR(BQ50,BS50),CI50+IF(OVolSmile,VLOOKUP(MAX(-5,CQ50+CW50-BW50),IF(OVolSmile=1,VolSmileBook,VolSmileModel),2),0),"")</f>
        <v>#VALUE!</v>
      </c>
      <c r="DE50" s="1592" t="e">
        <f aca="false">IF(OR(BQ50,BS50),CL50+IF(OVolSmile,VLOOKUP(MAX(-5,CR50+CZ50-BX50),IF(OVolSmile=1,VolSmileBook,VolSmileModel),2),0),"")</f>
        <v>#VALUE!</v>
      </c>
      <c r="DF50" s="1592" t="e">
        <f aca="false">IF(BQ50,CM50+IF(OVolSmile,VLOOKUP(MAX(-5,CS50+DA50-BZ50),IF(OVolSmile=1,VolSmileBook,VolSmileModel),2),0),"")</f>
        <v>#VALUE!</v>
      </c>
      <c r="DG50" s="1593" t="e">
        <f aca="false">IF(BS50,CN50+IF(OVolSmile,VLOOKUP(MAX(-5,CT50+DA50-CF50),IF(OVolSmile=1,VolSmileBook,VolSmileModel),2),0),"")</f>
        <v>#VALUE!</v>
      </c>
      <c r="DH50" s="1316" t="e">
        <f aca="false">IF(AND(BU50&gt;0,CO50&gt;0,DB50&gt;0,CU50&gt;0),newSPRDOPT(BU50,CO50,CW50,0,DB50,CU50,CV50,BT50*365.25,OCallPut,0),0)</f>
        <v>#VALUE!</v>
      </c>
      <c r="DI50" s="1316" t="e">
        <f aca="false">IF(AND(BV50&gt;0,CP50&gt;0,DC50&gt;0,CU50&gt;0),newSPRDOPT(BV50,CP50,CX50,0,DC50,CU50,CV50,BT50*365.25,OCallPut,0),0)</f>
        <v>#VALUE!</v>
      </c>
      <c r="DJ50" s="1316" t="e">
        <f aca="false">IF(AND(BW50&gt;0,CQ50&gt;0,DD50&gt;0,CU50&gt;0),newSPRDOPT(BW50,CQ50,CY50,0,DD50,CU50,CV50,BT50*365.25,OCallPut,0),0)</f>
        <v>#VALUE!</v>
      </c>
      <c r="DK50" s="1316" t="e">
        <f aca="false">IF(AND(BX50&gt;0,CR50&gt;0,DE50&gt;0,CU50&gt;0),newSPRDOPT(BX50,CR50,CZ50,0,DE50,CU50,CV50,BT50*365.25,OCallPut,0),0)</f>
        <v>#VALUE!</v>
      </c>
      <c r="DL50" s="1316" t="e">
        <f aca="false">IF(OVolType,IF(AND(BZ50&gt;0,CS50&gt;0,DF50&gt;0,CU50&gt;0),newSPRDOPT(BZ50,CS50,DA50,0,DF50,CU50,CV50,BT50*365.25,OCallPut,0),0),IF(BQ50,(DH50*AZ50+DI50*BA50+DJ50*BB50+DK50*BC50)/BQ50,0))</f>
        <v>#VALUE!</v>
      </c>
      <c r="DM50" s="1316"/>
      <c r="DN50" s="1316"/>
      <c r="DO50" s="1316"/>
      <c r="DP50" s="1316"/>
      <c r="DQ50" s="1316"/>
      <c r="DR50" s="1316"/>
      <c r="DS50" s="1316"/>
      <c r="DT50" s="1316"/>
      <c r="DU50" s="1316"/>
      <c r="DV50" s="1316"/>
      <c r="DW50" s="1594" t="e">
        <f aca="false">IF(AND(BW50&gt;0,CT50&gt;0,DD50&gt;0,CU50&gt;0),newSPRDOPT(BW50,CT50,CY50,0,DD50,CU50,CV50,BT50*365.25,OCallPut,0),0)</f>
        <v>#VALUE!</v>
      </c>
      <c r="DX50" s="1316" t="e">
        <f aca="false">IF(AND(BX50&gt;0,CT50&gt;0,DE50&gt;0,CU50&gt;0),newSPRDOPT(BX50,CT50,CZ50,0,DE50,CU50,CV50,BT50*365.25,OCallPut,0),0)</f>
        <v>#VALUE!</v>
      </c>
      <c r="DY50" s="1591" t="e">
        <f aca="false">IF(BS50,(DH50*BH50+DI50*BI50+DW50*BJ50+DX50*BK50)/BS50,0)</f>
        <v>#VALUE!</v>
      </c>
      <c r="DZ50" s="1551" t="e">
        <f aca="false">DH50*AZ50</f>
        <v>#VALUE!</v>
      </c>
      <c r="EA50" s="1551" t="e">
        <f aca="false">DI50*BA50</f>
        <v>#VALUE!</v>
      </c>
      <c r="EB50" s="1551" t="e">
        <f aca="false">DJ50*BB50</f>
        <v>#VALUE!</v>
      </c>
      <c r="EC50" s="1551" t="e">
        <f aca="false">DK50*BC50</f>
        <v>#VALUE!</v>
      </c>
      <c r="ED50" s="1551" t="e">
        <f aca="false">DL50*BQ50</f>
        <v>#VALUE!</v>
      </c>
      <c r="EE50" s="1595" t="e">
        <f aca="false">IF(BQ50,IF(OCallPut,IF(BU50&gt;(CO50+CW50),BU50-(CO50+CW50),0),IF((CO50+CW50)&gt;BU50,(CO50+CW50)-BU50,0))*AZ50,0)</f>
        <v>#VALUE!</v>
      </c>
      <c r="EF50" s="1596" t="e">
        <f aca="false">IF(BQ50,IF(OCallPut,IF(BV50&gt;(CP50+CX50),BV50-(CP50+CX50),0),IF((CP50+CX50)&gt;BV50,(CP50+CX50)-BV50,0))*BA50,0)</f>
        <v>#VALUE!</v>
      </c>
      <c r="EG50" s="1596" t="e">
        <f aca="false">IF(BQ50,IF(OCallPut,IF(BW50&gt;(CQ50+CY50),BW50-(CQ50+CY50),0),IF((CQ50+CY50)&gt;BW50,(CQ50+CY50)-BW50,0))*BB50,0)</f>
        <v>#VALUE!</v>
      </c>
      <c r="EH50" s="1596" t="e">
        <f aca="false">IF(BQ50,IF(OCallPut,IF(BX50&gt;(CR50+CZ50),BX50-(CR50+CZ50),0),IF((CR50+CZ50)&gt;BX50,(CR50+CZ50)-BX50,0))*BC50,0)</f>
        <v>#VALUE!</v>
      </c>
      <c r="EI50" s="1597" t="e">
        <f aca="false">IF(BQ50,IF(OVolType,IF(OCallPut,IF(BZ50&gt;(CS50+DA50),BZ50-(CS50+DA50),0),IF((CS50+DA50)&gt;BZ50,(CS50+DA50)-BZ50,0))*BQ50,SUM(EE50:EH50)),0)</f>
        <v>#VALUE!</v>
      </c>
      <c r="EJ50" s="1595" t="e">
        <f aca="false">DZ50-EE50</f>
        <v>#VALUE!</v>
      </c>
      <c r="EK50" s="1596" t="e">
        <f aca="false">EA50-EF50</f>
        <v>#VALUE!</v>
      </c>
      <c r="EL50" s="1596" t="e">
        <f aca="false">EB50-EG50</f>
        <v>#VALUE!</v>
      </c>
      <c r="EM50" s="1596" t="e">
        <f aca="false">EC50-EH50</f>
        <v>#VALUE!</v>
      </c>
      <c r="EN50" s="1597" t="e">
        <f aca="false">ED50-EI50</f>
        <v>#VALUE!</v>
      </c>
      <c r="EO50" s="1551" t="e">
        <f aca="false">DH50*BH50</f>
        <v>#VALUE!</v>
      </c>
      <c r="EP50" s="1551" t="e">
        <f aca="false">DI50*BI50</f>
        <v>#VALUE!</v>
      </c>
      <c r="EQ50" s="1551" t="e">
        <f aca="false">DW50*BJ50</f>
        <v>#VALUE!</v>
      </c>
      <c r="ER50" s="1551" t="e">
        <f aca="false">DX50*BK50</f>
        <v>#VALUE!</v>
      </c>
      <c r="ES50" s="1551" t="e">
        <f aca="false">DY50*BS50</f>
        <v>#VALUE!</v>
      </c>
      <c r="ET50" s="1566" t="e">
        <f aca="false">IF(EI50,IF(OCallPut,IF(CA50&gt;(CT50+CW50),CA50-(CT50+CW50),0),IF((CT50+CW50)&gt;CA50,(CT50+CW50)-CA50,0))*BH50,0)</f>
        <v>#VALUE!</v>
      </c>
      <c r="EU50" s="1551" t="e">
        <f aca="false">IF(EI50,IF(OCallPut,IF(CB50&gt;(CT50+CX50),CB50-(CT50+CX50),0),IF((CT50+CX50)&gt;CB50,(CT50+CX50)-CB50,0))*BI50,0)</f>
        <v>#VALUE!</v>
      </c>
      <c r="EV50" s="1551" t="e">
        <f aca="false">IF(EI50,IF(OCallPut,IF(CC50&gt;(CT50+CY50),CC50-(CT50+CY50),0),IF((CT50+CY50)&gt;CC50,(CT50+CY50)-CC50,0))*BJ50,0)</f>
        <v>#VALUE!</v>
      </c>
      <c r="EW50" s="1551" t="e">
        <f aca="false">IF(EI50,IF(OCallPut,IF(CD50&gt;(CT50+CZ50),CD50-(CT50+CZ50),0),IF((CT50+CZ50)&gt;CD50,(CT50+CZ50)-CD50,0))*BK50,0)</f>
        <v>#VALUE!</v>
      </c>
      <c r="EX50" s="1558" t="e">
        <f aca="false">IF(EI50,SUM(ET50:EW50),0)</f>
        <v>#VALUE!</v>
      </c>
      <c r="EY50" s="1551" t="e">
        <f aca="false">EO50-ET50</f>
        <v>#VALUE!</v>
      </c>
      <c r="EZ50" s="1551" t="e">
        <f aca="false">EP50-EU50</f>
        <v>#VALUE!</v>
      </c>
      <c r="FA50" s="1551" t="e">
        <f aca="false">EQ50-EV50</f>
        <v>#VALUE!</v>
      </c>
      <c r="FB50" s="1551" t="e">
        <f aca="false">ER50-EW50</f>
        <v>#VALUE!</v>
      </c>
      <c r="FC50" s="1551" t="e">
        <f aca="false">ES50-EX50</f>
        <v>#VALUE!</v>
      </c>
      <c r="FD50" s="1525" t="n">
        <f aca="false">IF(AX50,IF(VLOOKUP(C50,MAIN!$L$17:$M$28,2)="Yes",VLOOKUP(CALC!B50,MAIN!$H$17:$I$20,2),0),0)</f>
        <v>0</v>
      </c>
      <c r="FE50" s="1552" t="n">
        <f aca="false">$FD50*16*AT50*(1-$AY50)</f>
        <v>0</v>
      </c>
      <c r="FF50" s="1553" t="n">
        <f aca="false">$FD50*16*AU50*(1-$AY50)</f>
        <v>0</v>
      </c>
      <c r="FG50" s="1553" t="n">
        <f aca="false">$FD50*16*(AV50+AW50)*(1-$AY50)</f>
        <v>0</v>
      </c>
      <c r="FH50" s="1554" t="n">
        <f aca="false">$FD50*8*AX50*(1-$AY50)</f>
        <v>0</v>
      </c>
      <c r="FI50" s="1555" t="n">
        <f aca="false">IF(AX50,VLOOKUP(CALC!B50,MAIN!$H$17:$K$20,4),0)</f>
        <v>0</v>
      </c>
      <c r="FJ50" s="1553" t="n">
        <f aca="false">SUM(FE50:FH50)</f>
        <v>0</v>
      </c>
      <c r="FK50" s="1556" t="n">
        <f aca="false">FI50*FJ50</f>
        <v>0</v>
      </c>
      <c r="FL50" s="1551" t="e">
        <f aca="false">IF($EI50&gt;0,MIN(FE50,AZ50*(1+VLOOKUP($C50,WeatherCapacityAdjustment,2))),0)</f>
        <v>#VALUE!</v>
      </c>
      <c r="FM50" s="1551" t="e">
        <f aca="false">IF($EI50&gt;0,MIN(FF50,BA50*(1+VLOOKUP($C50,WeatherCapacityAdjustment,2))),0)</f>
        <v>#VALUE!</v>
      </c>
      <c r="FN50" s="1551" t="e">
        <f aca="false">IF($EI50&gt;0,MIN(FG50,BB50*(1+VLOOKUP($C50,WeatherCapacityAdjustment,2))),0)</f>
        <v>#VALUE!</v>
      </c>
      <c r="FO50" s="1564" t="e">
        <f aca="false">IF($EI50&gt;0,MIN(FH50,BC50*(1+VLOOKUP($C50,WeatherCapacityAdjustment,3))),0)</f>
        <v>#VALUE!</v>
      </c>
      <c r="FP50" s="1551" t="e">
        <f aca="false">IF(ET50&gt;0,MIN(FE50-FL50,BH50*(1+VLOOKUP($C50,WeatherCapacityAdjustment,2))),0)</f>
        <v>#VALUE!</v>
      </c>
      <c r="FQ50" s="1551" t="e">
        <f aca="false">IF(EU50&gt;0,MIN(FF50-FM50,BI50*(1+VLOOKUP($C50,WeatherCapacityAdjustment,2))),0)</f>
        <v>#VALUE!</v>
      </c>
      <c r="FR50" s="1551" t="e">
        <f aca="false">IF(EV50&gt;0,MIN(FG50-FN50,BJ50*(1+VLOOKUP($C50,WeatherCapacityAdjustment,2))),0)</f>
        <v>#VALUE!</v>
      </c>
      <c r="FS50" s="1558" t="e">
        <f aca="false">IF(EW50&gt;0,MIN(FH50-FO50,BK50*(1+VLOOKUP($C50,WeatherCapacityAdjustment,3))),0)</f>
        <v>#VALUE!</v>
      </c>
      <c r="FT50" s="1566" t="n">
        <f aca="false">IF(AND(Assumptions!$H$71="Yes",A50&gt;=Assumptions!$H$72,A50&lt;=Assumptions!$H$73),0,IF(AND($A50&gt;=Assumptions!$C$17,$A50&lt;=Assumptions!$C$18),MAX(AZ50*(1+VLOOKUP($C50,WeatherCapacityAdjustment,2))-FL50,0),0))</f>
        <v>0</v>
      </c>
      <c r="FU50" s="1551" t="n">
        <f aca="false">IF(AND(Assumptions!$H$71="Yes",A50&gt;=Assumptions!$H$72,A50&lt;=Assumptions!$H$73),0,IF(AND($A50&gt;=Assumptions!$C$17,$A50&lt;=Assumptions!$C$18),MAX(BA50*(1+VLOOKUP($C50,WeatherCapacityAdjustment,2))-FM50,0),0))</f>
        <v>0</v>
      </c>
      <c r="FV50" s="1551" t="n">
        <f aca="false">IF(AND(Assumptions!$H$71="Yes",A50&gt;=Assumptions!$H$72,A50&lt;=Assumptions!$H$73),0,IF(AND($A50&gt;=Assumptions!$C$17,$A50&lt;=Assumptions!$C$18),MAX(BB50*(1+VLOOKUP($C50,WeatherCapacityAdjustment,2))-FN50,0),0))</f>
        <v>0</v>
      </c>
      <c r="FW50" s="1564" t="n">
        <f aca="false">IF(AND(Assumptions!$H$71="Yes",A50&gt;=Assumptions!$H$72,A50&lt;=Assumptions!$H$73),0,IF(AND($A50&gt;=Assumptions!$C$17,$A50&lt;=Assumptions!$C$18),MAX(BC50*(1+VLOOKUP($C50,WeatherCapacityAdjustment,3))-FO50,0),0))</f>
        <v>0</v>
      </c>
      <c r="FX50" s="1569" t="e">
        <f aca="false">IF(AND(Assumptions!$H$71="Yes",A50&gt;=Assumptions!$H$72,A50&lt;=Assumptions!$H$73),0,IF(ET50&gt;0,MAX(BH50*(1+VLOOKUP($C50,WeatherCapacityAdjustment,2))-FP50,0),0))</f>
        <v>#VALUE!</v>
      </c>
      <c r="FY50" s="1551" t="e">
        <f aca="false">IF(AND(Assumptions!$H$71="Yes",A50&gt;=Assumptions!$H$72,A50&lt;=Assumptions!$H$73),0,IF(EU50&gt;0,MAX(BI50*(1+VLOOKUP($C50,WeatherCapacityAdjustment,3))-FQ50,0),0))</f>
        <v>#VALUE!</v>
      </c>
      <c r="FZ50" s="1551" t="e">
        <f aca="false">IF(AND(Assumptions!$H$71="Yes",A50&gt;=Assumptions!$H$72,A50&lt;=Assumptions!$H$73),0,IF(EV50&gt;0,MAX(BJ50*(1+VLOOKUP($C50,WeatherCapacityAdjustment,2))-FR50,0),0))</f>
        <v>#VALUE!</v>
      </c>
      <c r="GA50" s="1564" t="e">
        <f aca="false">IF(AND(Assumptions!$H$71="Yes",A50&gt;=Assumptions!$H$72,A50&lt;=Assumptions!$H$73),0,IF(EW50&gt;0,MAX(BK50*(1+VLOOKUP($C50,WeatherCapacityAdjustment,2))-FS50,0),0))</f>
        <v>#VALUE!</v>
      </c>
      <c r="GB50" s="1551" t="e">
        <f aca="false">SUM(FT50:GA50)</f>
        <v>#VALUE!</v>
      </c>
      <c r="GC50" s="1563" t="e">
        <f aca="false">+IF(SUM(FT50:GA50)=0,0,(SUMPRODUCT(BU50:BX50,FT50:FW50)+SUMPRODUCT(CA50:CD50,FX50:GA50))/SUM(FT50:GA50))</f>
        <v>#VALUE!</v>
      </c>
      <c r="GD50" s="1551" t="e">
        <f aca="false">(FT50*BU50+FX50*CA50+FU50*BV50+FY50*CB50+FV50*BW50+FZ50*CC50+FW50*BX50+GA50*CD50)</f>
        <v>#VALUE!</v>
      </c>
      <c r="GE50" s="1561" t="e">
        <f aca="false">+IF(BQ50,((FL50+FM50+FT50+FU50)*HeatRatePeak/1000*(1+VLOOKUP($C50,WeatherHeatRateAdjustment,2))+(FN50+FV50)*IF(EV50&gt;0,HeatRatePeak,HeatRateOffPeak)/1000*(1+VLOOKUP($C50,WeatherHeatRateAdjustment,2))+(FO50+FW50)*IF(EW50&gt;0,HeatRatePeak,HeatRateOffPeak)/1000*(1+VLOOKUP($C50,WeatherHeatRateAdjustment,3)))*(1+VLOOKUP($B50,HeatRateDegradation,$C50+1)),0)</f>
        <v>#VALUE!</v>
      </c>
      <c r="GF50" s="1562" t="e">
        <f aca="false">IF(BQ50,((FP50+FQ50+FR50+FX50+FY50+FZ50)*HeatRatePeak/1000*(1+VLOOKUP($C50,WeatherHeatRateAdjustment,2))+(FS50+GA50)*HeatRatePeak/1000*(1+VLOOKUP($C50,WeatherHeatRateAdjustment,3)))*(1+VLOOKUP($B50,HeatRateDegradation,$C50+1)),0)</f>
        <v>#VALUE!</v>
      </c>
      <c r="GG50" s="1563" t="e">
        <f aca="false">IF(BQ50,VLOOKUP(A50,GasTable,13),0)</f>
        <v>#VALUE!</v>
      </c>
      <c r="GH50" s="1564" t="e">
        <f aca="false">(GE50+GF50)*GG50</f>
        <v>#VALUE!</v>
      </c>
      <c r="GI50" s="1569" t="e">
        <f aca="false">GB50</f>
        <v>#VALUE!</v>
      </c>
      <c r="GJ50" s="1598" t="e">
        <f aca="false">+DA50</f>
        <v>#VALUE!</v>
      </c>
      <c r="GK50" s="1558" t="e">
        <f aca="false">+GI50*GJ50</f>
        <v>#VALUE!</v>
      </c>
      <c r="GL50" s="1566" t="e">
        <f aca="false">MAX(FE50-FL50-FP50,0)</f>
        <v>#VALUE!</v>
      </c>
      <c r="GM50" s="1551" t="e">
        <f aca="false">MAX(FF50-FM50-FQ50,0)</f>
        <v>#VALUE!</v>
      </c>
      <c r="GN50" s="1551" t="e">
        <f aca="false">MAX(FG50-FN50-FR50,0)</f>
        <v>#VALUE!</v>
      </c>
      <c r="GO50" s="1564" t="e">
        <f aca="false">MAX(FH50-FO50-FS50,0)</f>
        <v>#VALUE!</v>
      </c>
      <c r="GP50" s="1551" t="e">
        <f aca="false">SUM(GL50:GO50)</f>
        <v>#VALUE!</v>
      </c>
      <c r="GQ50" s="1563" t="e">
        <f aca="false">IF(SUM(GL50:GO50)=0,0,((GL50*BU50+GM50*BV50+GN50*BW50+GO50*BX50)/SUM(GL50:GO50)))</f>
        <v>#VALUE!</v>
      </c>
      <c r="GR50" s="1558" t="e">
        <f aca="false">(GL50*BU50+GM50*BV50+GN50*BW50+GO50*BX50)</f>
        <v>#VALUE!</v>
      </c>
      <c r="GS50" s="1566" t="n">
        <f aca="false">IF($A50&gt;=BegDate,Assumptions!$C$56*24*($A51-$A50)*(1-VLOOKUP($B50,MAIN!$AA$7:$AM$28,$C50+1))*(1-VLOOKUP($B50,MAIN!$AA$33:$AM$54,$C50+1)),0)*80/168</f>
        <v>0</v>
      </c>
      <c r="GT50" s="286" t="n">
        <f aca="false">J50</f>
        <v>33.7898178072</v>
      </c>
      <c r="GU50" s="286" t="n">
        <f aca="false">IF($A50&gt;=BegDate,VLOOKUP($A50,GasTable,13)+Assumptions!$C$58,0)</f>
        <v>0</v>
      </c>
      <c r="GV50" s="286" t="n">
        <f aca="false">GU50*Assumptions!$C$57/1000</f>
        <v>0</v>
      </c>
      <c r="GW50" s="1558" t="n">
        <f aca="false">IF(Assumptions!$C$60="Hourly",MAX(0,GS50*(GT50-GV50)),GS50*(GT50-GV50))</f>
        <v>0</v>
      </c>
      <c r="GX50" s="1566" t="n">
        <f aca="false">IF($A50&gt;=BegDate,Assumptions!$C$56*24*($A51-$A50)*(1-VLOOKUP($B50,MAIN!$AA$7:$AM$28,$C50+1))*(1-VLOOKUP($B50,MAIN!$AA$33:$AM$54,$C50+1)),0)*16/168</f>
        <v>0</v>
      </c>
      <c r="GY50" s="286" t="n">
        <f aca="false">M50</f>
        <v>33.7898178072</v>
      </c>
      <c r="GZ50" s="286" t="n">
        <f aca="false">IF($A50&gt;=BegDate,VLOOKUP($A50,GasTable,13)+Assumptions!$C$58,0)</f>
        <v>0</v>
      </c>
      <c r="HA50" s="286" t="n">
        <f aca="false">GZ50*Assumptions!$C$57/1000</f>
        <v>0</v>
      </c>
      <c r="HB50" s="1558" t="n">
        <f aca="false">IF(Assumptions!$C$60="Hourly",MAX(0,GX50*(GY50-HA50)),GX50*(GY50-HA50))</f>
        <v>0</v>
      </c>
      <c r="HC50" s="1566" t="n">
        <f aca="false">IF($A50&gt;=BegDate,Assumptions!$C$56*24*($A51-$A50)*(1-VLOOKUP($B50,MAIN!$AA$7:$AM$28,$C50+1))*(1-VLOOKUP($B50,MAIN!$AA$33:$AM$54,$C50+1)),0)*16/168</f>
        <v>0</v>
      </c>
      <c r="HD50" s="286" t="n">
        <f aca="false">P50</f>
        <v>24.0019780608</v>
      </c>
      <c r="HE50" s="286" t="n">
        <f aca="false">IF($A50&gt;=BegDate,VLOOKUP($A50,GasTable,13)+Assumptions!$C$58,0)</f>
        <v>0</v>
      </c>
      <c r="HF50" s="286" t="n">
        <f aca="false">HE50*Assumptions!$C$57/1000</f>
        <v>0</v>
      </c>
      <c r="HG50" s="1558" t="n">
        <f aca="false">IF(Assumptions!$C$60="Hourly",MAX(0,HC50*(HD50-HF50)),HC50*(HD50-HF50))</f>
        <v>0</v>
      </c>
      <c r="HH50" s="1566" t="n">
        <f aca="false">IF($A50&gt;=BegDate,Assumptions!$C$56*24*($A51-$A50)*(1-VLOOKUP($B50,MAIN!$AA$7:$AM$28,$C50+1))*(1-VLOOKUP($B50,MAIN!$AA$33:$AM$54,$C50+1)),0)*56/168</f>
        <v>0</v>
      </c>
      <c r="HI50" s="286" t="n">
        <f aca="false">S50</f>
        <v>24.0019780608</v>
      </c>
      <c r="HJ50" s="286" t="n">
        <f aca="false">IF($A50&gt;=BegDate,VLOOKUP($A50,GasTable,13)+Assumptions!$C$58,0)</f>
        <v>0</v>
      </c>
      <c r="HK50" s="286" t="n">
        <f aca="false">HJ50*Assumptions!$C$57/1000</f>
        <v>0</v>
      </c>
      <c r="HL50" s="1558" t="n">
        <f aca="false">IF(Assumptions!$C$60="Hourly",MAX(0,HH50*(HI50-HK50)),HH50*(HI50-HK50))</f>
        <v>0</v>
      </c>
      <c r="HM50" s="1566" t="n">
        <f aca="false">IF(AND(Assumptions!$H$71="Yes",A50&gt;=Assumptions!$H$72,A50&lt;=Assumptions!$H$73),Assumptions!$H$74*Assumptions!$C$9*1000,0)</f>
        <v>0</v>
      </c>
      <c r="HN50" s="1551"/>
      <c r="HO50" s="1563"/>
      <c r="HP50" s="1563"/>
      <c r="HQ50" s="1563"/>
      <c r="HR50" s="1563"/>
      <c r="HS50" s="1563"/>
      <c r="HT50" s="1563"/>
      <c r="HU50" s="1563"/>
      <c r="HV50" s="1563"/>
      <c r="HW50" s="1563"/>
      <c r="HX50" s="1563"/>
      <c r="HY50" s="1563"/>
      <c r="HZ50" s="1563"/>
      <c r="IA50" s="1563"/>
      <c r="IB50" s="1563"/>
      <c r="IC50" s="1563"/>
      <c r="ID50" s="1563"/>
      <c r="IE50" s="1563"/>
      <c r="IF50" s="1563"/>
      <c r="IG50" s="1563"/>
      <c r="IH50" s="1563"/>
      <c r="II50" s="1610"/>
      <c r="IJ50" s="1309"/>
      <c r="IK50" s="1309"/>
    </row>
    <row r="51" customFormat="false" ht="12.75" hidden="false" customHeight="false" outlineLevel="0" collapsed="false">
      <c r="A51" s="1571" t="n">
        <f aca="false">EOMONTH(A50,0)+1</f>
        <v>37681</v>
      </c>
      <c r="B51" s="594" t="n">
        <f aca="false">+YEAR(A51)</f>
        <v>2003</v>
      </c>
      <c r="C51" s="238" t="n">
        <f aca="false">MONTH(A51)</f>
        <v>3</v>
      </c>
      <c r="D51" s="1572" t="str">
        <f aca="false">IF(E51="","",Holiday(B51,C51))</f>
        <v/>
      </c>
      <c r="E51" s="1573" t="str">
        <f aca="false">IF(OR(BegDate&gt;=A52,EndDate&lt;A51,AND(VolumeMonthlyOverFlag,INDEX(VolumeMonthlyOver,C51)=0),NOT(INDEX(MonthKnockOutTable,C51))),"",MAX(A51,BegDate))</f>
        <v/>
      </c>
      <c r="F51" s="1574" t="str">
        <f aca="false">IF(E51="","",MIN(A52-1,EndDate))</f>
        <v/>
      </c>
      <c r="G51" s="1575" t="n">
        <v>0</v>
      </c>
      <c r="H51" s="1576" t="n">
        <f aca="false">(1+G51/2)^(-2*(DATE(B52,C52,20)-DateToday)/365.25)</f>
        <v>1</v>
      </c>
      <c r="I51" s="1568" t="n">
        <f aca="false">IF(Assumptions!$L$25=4,VLOOKUP($A51,'Henwood Reference'!$E$9:$R$320,10),(VLOOKUP($A51,PriceTable,2,0)+IF(BasisNumber&lt;&gt;1,VLOOKUP($A51,BasisTable,2,0),0)+I$1)/(1-I$2))</f>
        <v>30.6499155768</v>
      </c>
      <c r="J51" s="1568" t="n">
        <f aca="false">IF(Assumptions!$L$25=4,VLOOKUP($A51,'Henwood Reference'!$E$9:$R$320,10),(VLOOKUP($A51,PriceTable,3,0)+IF(BasisNumber&lt;&gt;1,VLOOKUP($A51,BasisTable,2,0),0)+J$1)/(1-J$2))</f>
        <v>30.6499155768</v>
      </c>
      <c r="K51" s="1568" t="n">
        <f aca="false">IF(Assumptions!$L$25=4,VLOOKUP($A51,'Henwood Reference'!$E$9:$R$320,10),(VLOOKUP($A51,PriceTable,4,0)+IF(BasisNumber&lt;&gt;1,VLOOKUP($A51,BasisTable,2,0),0)+K$1)/(1-K$2))</f>
        <v>30.6499155768</v>
      </c>
      <c r="L51" s="1523" t="n">
        <f aca="false">IF(Assumptions!$L$25=4,VLOOKUP($A51,'Henwood Reference'!$E$9:$R$320,10),(VLOOKUP($A51,PriceTableWeekend,2,0)+IF(BasisNumber&lt;&gt;1,VLOOKUP($A51,BasisTable,2,0),0)+L$1)/(1-L$2))</f>
        <v>30.6499155768</v>
      </c>
      <c r="M51" s="1568" t="n">
        <f aca="false">IF(Assumptions!$L$25=4,VLOOKUP($A51,'Henwood Reference'!$E$9:$R$320,10),(VLOOKUP($A51,PriceTableWeekend,3,0)+IF(BasisNumber&lt;&gt;1,VLOOKUP($A51,BasisTable,2,0),0)+M$1)/(1-M$2))</f>
        <v>30.6499155768</v>
      </c>
      <c r="N51" s="1599" t="n">
        <f aca="false">IF(Assumptions!$L$25=4,VLOOKUP($A51,'Henwood Reference'!$E$9:$R$320,10),(VLOOKUP($A51,PriceTableWeekend,4,0)+IF(BasisNumber&lt;&gt;1,VLOOKUP($A51,BasisTable,2,0),0)+N$1)/(1-N$2))</f>
        <v>30.6499155768</v>
      </c>
      <c r="O51" s="1568" t="n">
        <f aca="false">IF(Assumptions!$L$25=4,VLOOKUP($A51,'Henwood Reference'!$E$9:$R$320,11),(VLOOKUP($A51,PriceTableWeekend,6,0)+IF(BasisNumber&lt;&gt;1,VLOOKUP($A51,BasisTable,3,0),0)+O$1)/(1-O$2))</f>
        <v>21.7485028728</v>
      </c>
      <c r="P51" s="1568" t="n">
        <f aca="false">IF(Assumptions!$L$25=4,VLOOKUP($A51,'Henwood Reference'!$E$9:$R$320,11),(VLOOKUP($A51,PriceTableWeekend,7,0)+IF(BasisNumber&lt;&gt;1,VLOOKUP($A51,BasisTable,3,0),0)+P$1)/(1-P$2))</f>
        <v>21.7485028728</v>
      </c>
      <c r="Q51" s="1599" t="n">
        <f aca="false">IF(Assumptions!$L$25=4,VLOOKUP($A51,'Henwood Reference'!$E$9:$R$320,11),(VLOOKUP($A51,PriceTableWeekend,8,0)+IF(BasisNumber&lt;&gt;1,VLOOKUP($A51,BasisTable,3,0),0)+Q$1)/(1-Q$2))</f>
        <v>21.7485028728</v>
      </c>
      <c r="R51" s="1568" t="n">
        <f aca="false">IF(Assumptions!$L$25=4,VLOOKUP($A51,'Henwood Reference'!$E$9:$R$320,11),(VLOOKUP($A51,PriceTable,6,0)+IF(BasisNumber&lt;&gt;1,VLOOKUP($A51,BasisTable,3,0),0)+R$1)/(1-R$2))</f>
        <v>21.7485028728</v>
      </c>
      <c r="S51" s="1568" t="n">
        <f aca="false">IF(Assumptions!$L$25=4,VLOOKUP($A51,'Henwood Reference'!$E$9:$R$320,11),(VLOOKUP($A51,PriceTable,7,0)+IF(BasisNumber&lt;&gt;1,VLOOKUP($A51,BasisTable,3,0),0)+S$1)/(1-S$2))</f>
        <v>21.7485028728</v>
      </c>
      <c r="T51" s="1600" t="n">
        <f aca="false">IF(Assumptions!$L$25=4,VLOOKUP($A51,'Henwood Reference'!$E$9:$R$320,11),(VLOOKUP($A51,PriceTable,8,0)+IF(BasisNumber&lt;&gt;1,VLOOKUP($A51,BasisTable,3,0),0)+T$1)/(1-T$2))</f>
        <v>21.7485028728</v>
      </c>
      <c r="U51" s="1513" t="n">
        <f aca="false">VLOOKUP($A51,VolatilityTable,14)</f>
        <v>0.155</v>
      </c>
      <c r="V51" s="1513" t="n">
        <f aca="false">VLOOKUP($A51,VolatilityTable,15)</f>
        <v>0.165</v>
      </c>
      <c r="W51" s="1514" t="n">
        <f aca="false">VLOOKUP($A51,VolatilityTable,16)</f>
        <v>0.175</v>
      </c>
      <c r="X51" s="1513" t="n">
        <f aca="false">VLOOKUP($A51,VolatilityTable,14)</f>
        <v>0.155</v>
      </c>
      <c r="Y51" s="1513" t="n">
        <f aca="false">VLOOKUP($A51,VolatilityTable,15)</f>
        <v>0.165</v>
      </c>
      <c r="Z51" s="1514" t="n">
        <f aca="false">VLOOKUP($A51,VolatilityTable,16)</f>
        <v>0.175</v>
      </c>
      <c r="AA51" s="1513" t="n">
        <f aca="false">VLOOKUP($A51,VolatilityTable,18)</f>
        <v>0.09</v>
      </c>
      <c r="AB51" s="1513" t="n">
        <f aca="false">VLOOKUP($A51,VolatilityTable,19)</f>
        <v>0.11</v>
      </c>
      <c r="AC51" s="1514" t="n">
        <f aca="false">VLOOKUP($A51,VolatilityTable,20)</f>
        <v>0.13</v>
      </c>
      <c r="AD51" s="1513" t="n">
        <f aca="false">VLOOKUP($A51,VolatilityTable,18)</f>
        <v>0.09</v>
      </c>
      <c r="AE51" s="1513" t="n">
        <f aca="false">VLOOKUP($A51,VolatilityTable,19)</f>
        <v>0.11</v>
      </c>
      <c r="AF51" s="1514" t="n">
        <f aca="false">VLOOKUP($A51,VolatilityTable,20)</f>
        <v>0.13</v>
      </c>
      <c r="AG51" s="1513" t="n">
        <f aca="false">VLOOKUP($A51,VolatilityTable,22)</f>
        <v>-0.1</v>
      </c>
      <c r="AH51" s="1513" t="n">
        <f aca="false">VLOOKUP($A51,VolatilityTable,23)</f>
        <v>0.65</v>
      </c>
      <c r="AI51" s="1514" t="n">
        <f aca="false">VLOOKUP($A51,VolatilityTable,24)</f>
        <v>0.1</v>
      </c>
      <c r="AJ51" s="1513" t="n">
        <f aca="false">VLOOKUP($A51,VolatilityTable,22)</f>
        <v>-0.1</v>
      </c>
      <c r="AK51" s="1513" t="n">
        <f aca="false">VLOOKUP($A51,VolatilityTable,23)</f>
        <v>0.65</v>
      </c>
      <c r="AL51" s="1514" t="n">
        <f aca="false">VLOOKUP($A51,VolatilityTable,24)</f>
        <v>0.1</v>
      </c>
      <c r="AM51" s="1513" t="n">
        <f aca="false">VLOOKUP($A51,VolatilityTable,26)</f>
        <v>-0.01</v>
      </c>
      <c r="AN51" s="1513" t="n">
        <f aca="false">VLOOKUP($A51,VolatilityTable,27)</f>
        <v>0.16</v>
      </c>
      <c r="AO51" s="1514" t="n">
        <f aca="false">VLOOKUP($A51,VolatilityTable,28)</f>
        <v>0.01</v>
      </c>
      <c r="AP51" s="1513" t="n">
        <f aca="false">VLOOKUP($A51,VolatilityTable,26)</f>
        <v>-0.01</v>
      </c>
      <c r="AQ51" s="1513" t="n">
        <f aca="false">VLOOKUP($A51,VolatilityTable,27)</f>
        <v>0.16</v>
      </c>
      <c r="AR51" s="1515" t="n">
        <f aca="false">VLOOKUP($A51,VolatilityTable,28)</f>
        <v>0.01</v>
      </c>
      <c r="AS51" s="1581" t="n">
        <f aca="false">IF(CorrPeakOffPeakOverFlag,INDEX(CorrPeakOffPeakOver,C51),CorrPeakOffPeak)</f>
        <v>0.5</v>
      </c>
      <c r="AT51" s="594" t="n">
        <f aca="false">AX51-SUM(AU51:AW51)</f>
        <v>0</v>
      </c>
      <c r="AU51" s="238" t="n">
        <f aca="false">IF(E51="",0,INT((F51-MOD(F51,7)-E51)/7)+1-IF(AW51,IF(WEEKDAY(D51)=7,1,0),0))</f>
        <v>0</v>
      </c>
      <c r="AV51" s="238" t="n">
        <f aca="false">IF(E51="",0,INT((F51-MOD(F51-1,7)-E51)/7)+1-IF(AW51,IF(WEEKDAY(D51)=1,1,0),0))</f>
        <v>0</v>
      </c>
      <c r="AW51" s="238" t="n">
        <f aca="false">IF(OR(E51="",D51="",D51&lt;BegDate,D51&gt;EndDate),0,1)</f>
        <v>0</v>
      </c>
      <c r="AX51" s="238" t="n">
        <f aca="false">IF(E51="",0,F51-E51+1)</f>
        <v>0</v>
      </c>
      <c r="AY51" s="1582" t="n">
        <f aca="false">IF(E51="",0,MIN((1-(1-VLOOKUP(B51,MAIN!$AA$7:$AM$28,C51+1))*(1-VLOOKUP(B51,MAIN!$AA$33:$AM$54,C51+1))),1))</f>
        <v>0</v>
      </c>
      <c r="AZ51" s="1519" t="e">
        <v>#VALUE!</v>
      </c>
      <c r="BA51" s="1520" t="e">
        <v>#VALUE!</v>
      </c>
      <c r="BB51" s="1520" t="e">
        <v>#VALUE!</v>
      </c>
      <c r="BC51" s="1583" t="e">
        <v>#VALUE!</v>
      </c>
      <c r="BD51" s="1522" t="e">
        <v>#VALUE!</v>
      </c>
      <c r="BE51" s="1523" t="e">
        <v>#VALUE!</v>
      </c>
      <c r="BF51" s="1523" t="e">
        <v>#VALUE!</v>
      </c>
      <c r="BG51" s="1584" t="e">
        <v>#VALUE!</v>
      </c>
      <c r="BH51" s="1525" t="e">
        <v>#VALUE!</v>
      </c>
      <c r="BI51" s="1520" t="e">
        <v>#VALUE!</v>
      </c>
      <c r="BJ51" s="1520" t="e">
        <v>#VALUE!</v>
      </c>
      <c r="BK51" s="1583" t="e">
        <v>#VALUE!</v>
      </c>
      <c r="BL51" s="1522" t="e">
        <v>#VALUE!</v>
      </c>
      <c r="BM51" s="1523" t="e">
        <v>#VALUE!</v>
      </c>
      <c r="BN51" s="1523" t="e">
        <v>#VALUE!</v>
      </c>
      <c r="BO51" s="1523" t="e">
        <v>#VALUE!</v>
      </c>
      <c r="BP51" s="1525" t="e">
        <f aca="false">SUM(AZ51:BB51)</f>
        <v>#VALUE!</v>
      </c>
      <c r="BQ51" s="1529" t="e">
        <f aca="false">SUM(AZ51:BC51)</f>
        <v>#VALUE!</v>
      </c>
      <c r="BR51" s="1519" t="e">
        <f aca="false">SUM(BH51:BJ51)</f>
        <v>#VALUE!</v>
      </c>
      <c r="BS51" s="1529" t="e">
        <f aca="false">SUM(BH51:BK51)</f>
        <v>#VALUE!</v>
      </c>
      <c r="BT51" s="1316" t="n">
        <f aca="false">(IF(OVolType&lt;&gt;2,A51+14,IF(OptExpDateShift,ShiftBack(A51,OptExpDateShift,D50),A51))-DateToday)/365.25</f>
        <v>2.87748117727584</v>
      </c>
      <c r="BU51" s="1585" t="e">
        <f aca="false">IF(BQ51,IF(OPriceCurve,IF(OBuySell=OCallPut,I51/(1-AY51),K51/(1-AY51)),J51/(1-AY51))*BD51,0)</f>
        <v>#VALUE!</v>
      </c>
      <c r="BV51" s="1316" t="e">
        <f aca="false">IF(BQ51,IF(OPriceCurve,IF(OBuySell=OCallPut,L51/(1-AY51),N51/(1-AY51)),M51/(1-AY51))*BE51,0)</f>
        <v>#VALUE!</v>
      </c>
      <c r="BW51" s="1316" t="e">
        <f aca="false">IF(BQ51,IF(OPriceCurve,IF(OBuySell=OCallPut,O51/(1-AY51),Q51/(1-AY51)),P51/(1-AY51))*BF51,0)</f>
        <v>#VALUE!</v>
      </c>
      <c r="BX51" s="1316" t="e">
        <f aca="false">IF(BQ51,IF(OPriceCurve,IF(OBuySell=OCallPut,R51/(1-AY51),T51/(1-AY51)),S51/(1-AY51))*BG51,0)</f>
        <v>#VALUE!</v>
      </c>
      <c r="BY51" s="1316" t="e">
        <f aca="false">IF(BP51,(BU51*AZ51+BV51*BA51+BW51*BB51)/BP51,0)</f>
        <v>#VALUE!</v>
      </c>
      <c r="BZ51" s="1316" t="e">
        <f aca="false">IF(BQ51,(BY51*BP51+BX51*BC51)/BQ51,0)</f>
        <v>#VALUE!</v>
      </c>
      <c r="CA51" s="1531" t="e">
        <f aca="false">IF(BS51,IF(OPriceCurve,IF(OBuySell=OCallPut,I51/(1-AY51),K51/(1-AY51)),J51/(1-AY51))*BL51,0)</f>
        <v>#VALUE!</v>
      </c>
      <c r="CB51" s="1316" t="e">
        <f aca="false">IF(BS51,IF(OPriceCurve,IF(OBuySell=OCallPut,L51/(1-AY51),N51/(1-AY51)),M51/(1-AY51))*BM51,0)</f>
        <v>#VALUE!</v>
      </c>
      <c r="CC51" s="1316" t="e">
        <f aca="false">IF(BS51,IF(OPriceCurve,IF(OBuySell=OCallPut,O51/(1-AY51),Q51/(1-AY51)),P51/(1-AY51))*BN51,0)</f>
        <v>#VALUE!</v>
      </c>
      <c r="CD51" s="1316" t="e">
        <f aca="false">IF(BS51,IF(OPriceCurve,IF(OBuySell=OCallPut,R51/(1-AY51),T51/(1-AY51)),S51/(1-AY51))*BO51,0)</f>
        <v>#VALUE!</v>
      </c>
      <c r="CE51" s="1316" t="e">
        <f aca="false">IF(BR51,(BU51*BH51+BV51*BI51+BW51*BJ51)/BR51,0)</f>
        <v>#VALUE!</v>
      </c>
      <c r="CF51" s="1532" t="e">
        <f aca="false">IF(BS51,(CE51*BR51+CD51*BK51)/BS51,0)</f>
        <v>#VALUE!</v>
      </c>
      <c r="CG51" s="1586" t="e">
        <f aca="false">IF(OR(BQ51,BS51),IF(OVolType&lt;&gt;2,SQRT(IF(OVolOverMonthlyPeak,OVolOverMonthlyPeak,IF(OVolCurve,IF(OBuySell,U51,W51),V51))^2*(1-15/365.25/BT51)+IF(OVolOverDailyPeak,OVolOverDailyPeak,IF(OVolCurve,IF(OBuySell,AG51,AI51),AH51))^2*15/365.25/BT51),IF(OVolOverMonthlyPeak,OVolOverMonthlyPeak,IF(OVolCurve,IF(OBuySell,U51,W51),V51))),"")</f>
        <v>#VALUE!</v>
      </c>
      <c r="CH51" s="1587" t="e">
        <f aca="false">IF(OR(BQ51,BS51),IF(OVolType&lt;&gt;2,SQRT(IF(OVolOverMonthlyPeak,OVolOverMonthlyPeak,IF(OVolCurve,IF(OBuySell,X51,Z51),Y51))^2*(1-15/365.25/BT51)+IF(OVolOverDailyPeak,OVolOverDailyPeak,IF(OVolCurve,IF(OBuySell,AJ51,AL51),AK51))^2*15/365.25/BT51),IF(OVolOverMonthlyPeak,OVolOverMonthlyPeak,IF(OVolCurve,IF(OBuySell,X51,Z51),Y51))),"")</f>
        <v>#VALUE!</v>
      </c>
      <c r="CI51" s="1587" t="e">
        <f aca="false">IF(OR(BQ51,BS51),IF(OVolType&lt;&gt;2,SQRT(IF(OVolOverMonthlyPeak,OVolOverMonthlyPeak,IF(OVolCurve,IF(OBuySell,AA51,AC51),AB51))^2*(1-15/365.25/BT51)+IF(OVolOverDailyPeak,OVolOverDailyPeak,IF(OVolCurve,IF(OBuySell,AM51,AO51),AN51))^2*15/365.25/BT51),IF(OVolOverMonthlyPeak,OVolOverMonthlyPeak,IF(OVolCurve,IF(OBuySell,AA51,AC51),AB51))),"")</f>
        <v>#VALUE!</v>
      </c>
      <c r="CJ51" s="1587" t="e">
        <f aca="false">IF(BQ51,IF(BP51,SQRT(LN(1+((BU51*AZ51)^2*(EXP(CG51^2*BT51)-1)+(BV51*BA51)^2*(EXP(CH51^2*BT51)-1)+(BW51*BB51)^2*(EXP(CI51^2*BT51)-1)+2*BU51*AZ51*BV51*BA51*(EXP(CG51*CH51*BT51)-1)+2*BV51*BA51*BW51*BB51*(EXP(CH51*CI51*BT51)-1)+2*BW51*BB51*BU51*AZ51*(EXP(CI51*CG51*BT51)-1))/(BY51*BP51)^2)/BT51),0),"")</f>
        <v>#VALUE!</v>
      </c>
      <c r="CK51" s="1587" t="e">
        <f aca="false">IF(BS51,IF(BR51,SQRT(LN(1+((CA51*BH51)^2*(EXP(CG51^2*BT51)-1)+(CB51*BI51)^2*(EXP(CH51^2*BT51)-1)+(CC51*BJ51)^2*(EXP(CI51^2*BT51)-1)+2*CA51*BH51*CB51*BI51*(EXP(CG51*CH51*BT51)-1)+2*CB51*BI51*CC51*BJ51*(EXP(CH51*CI51*BT51)-1)+2*CC51*BJ51*CA51*BH51*(EXP(CI51*CG51*BT51)-1))/(CE51*BR51)^2)/BT51),0),"")</f>
        <v>#VALUE!</v>
      </c>
      <c r="CL51" s="1587" t="e">
        <f aca="false">IF(OR(BQ51,BS51),IF(OVolType&lt;&gt;2,SQRT(IF(OVolOverMonthlyOffPeak,OVolOverMonthlyOffPeak,IF(OVolCurve,IF(OBuySell,AD51,AF51),AE51))^2*(1-15/365.25/BT51)+IF(OVolOverDailyOffPeak,OVolOverDailyOffPeak,IF(OVolCurve,IF(OBuySell,AP51,AR51),AQ51))^2*15/365.25/BT51),IF(OVolOverMonthlyOffPeak,OVolOverMonthlyOffPeak,IF(OVolCurve,IF(OBuySell,AD51,AF51),AE51))),"")</f>
        <v>#VALUE!</v>
      </c>
      <c r="CM51" s="1587" t="e">
        <f aca="false">IF(BQ51,SQRT(LN(1+((BY51*BP51)^2*(EXP(CJ51^2*BT51)-1)+(BX51*BC51)^2*(EXP(CL51^2*BT51)-1)+2*BY51*BP51*BX51*BC51*(EXP(AS51*CJ51*CL51*BT51)-1))/(BY51*BP51+BX51*BC51)^2)/BT51),"")</f>
        <v>#VALUE!</v>
      </c>
      <c r="CN51" s="1588" t="e">
        <f aca="false">IF(BS51,SQRT(LN(1+((CE51*BR51)^2*(EXP(CK51^2*BT51)-1)+(CD51*BK51)^2*(EXP(CL51^2*BT51)-1)+2*CE51*BR51*CD51*BK51*(EXP(AS51*CK51*CL51*BT51)-1))/(CE51*BR51+CD51*BK51)^2)/BT51),"")</f>
        <v>#VALUE!</v>
      </c>
      <c r="CO51" s="1531" t="e">
        <f aca="false">IF(OR(BQ51,BS51),VLOOKUP(A51,GasTable,13)*HeatRatePeak*(1+VLOOKUP($B51,HeatRateDegradation,$C51+1))/1000,0)</f>
        <v>#VALUE!</v>
      </c>
      <c r="CP51" s="1316" t="e">
        <f aca="false">IF(OR(BQ51,BS51),VLOOKUP(A51,GasTable,13)*HeatRatePeak*(1+VLOOKUP($B51,HeatRateDegradation,$C51+1))/1000,0)</f>
        <v>#VALUE!</v>
      </c>
      <c r="CQ51" s="1316" t="e">
        <f aca="false">IF(OR(BQ51,BS51),VLOOKUP(A51,GasTable,13)*IF(EV51,HeatRatePeak,HeatRateOffPeak)*(1+VLOOKUP($B51,HeatRateDegradation,$C51+1))/1000,0)</f>
        <v>#VALUE!</v>
      </c>
      <c r="CR51" s="1316" t="e">
        <f aca="false">IF(OR(BQ51,BS51),VLOOKUP(A51,GasTable,13)*IF(EW51,HeatRatePeak,HeatRateOffPeak)*(1+VLOOKUP($B51,HeatRateDegradation,$C51+1))/1000,0)</f>
        <v>#VALUE!</v>
      </c>
      <c r="CS51" s="1589" t="e">
        <f aca="false">IF(BQ51,(CO51*AZ51+CP51*BA51+CQ51*BB51+CR51*BC51)/BQ51,0)</f>
        <v>#VALUE!</v>
      </c>
      <c r="CT51" s="1316" t="e">
        <f aca="false">IF(BS51,CO51,0)</f>
        <v>#VALUE!</v>
      </c>
      <c r="CU51" s="1590" t="e">
        <f aca="false">IF(OR(BQ51,BS51),VLOOKUP(A51,GasTable,14),"")</f>
        <v>#VALUE!</v>
      </c>
      <c r="CV51" s="1568" t="e">
        <f aca="false">IF(OR(BQ51,BS51),IF(CorrPowerGasOverFlag,INDEX(CorrPowerGasOver,C51),CorrPowerGas),"")</f>
        <v>#VALUE!</v>
      </c>
      <c r="CW51" s="1316" t="e">
        <f aca="false">IF(OR($BQ51,$BS51),SpreadOptPowerMargin,0)*((1+Assumptions!$C$26)^($B51-YEAR(Assumptions!$C$17)))</f>
        <v>#VALUE!</v>
      </c>
      <c r="CX51" s="1316" t="e">
        <f aca="false">IF(OR($BQ51,$BS51),SpreadOptPowerMargin,0)*((1+Assumptions!$C$26)^($B51-YEAR(Assumptions!$C$17)))</f>
        <v>#VALUE!</v>
      </c>
      <c r="CY51" s="1316" t="e">
        <f aca="false">IF(OR($BQ51,$BS51),SpreadOptPowerMargin,0)*((1+Assumptions!$C$26)^($B51-YEAR(Assumptions!$C$17)))</f>
        <v>#VALUE!</v>
      </c>
      <c r="CZ51" s="1316" t="e">
        <f aca="false">IF(OR($BQ51,$BS51),SpreadOptPowerMargin,0)*((1+Assumptions!$C$26)^($B51-YEAR(Assumptions!$C$17)))</f>
        <v>#VALUE!</v>
      </c>
      <c r="DA51" s="1591" t="e">
        <f aca="false">IF(OR(BQ51,BS51),(CW51*(AZ51+BH51)+CX51*(BA51+BI51)+CY51*(BB51+BJ51)+CZ51*(BC51+BK51))/(BQ51+BS51),0)</f>
        <v>#VALUE!</v>
      </c>
      <c r="DB51" s="1592" t="e">
        <f aca="false">IF(OR(BQ51,BS51),CG51+IF(OVolSmile,VLOOKUP(MAX(-5,CO51+CW51-BU51),IF(OVolSmile=1,VolSmileBook,VolSmileModel),2),0),"")</f>
        <v>#VALUE!</v>
      </c>
      <c r="DC51" s="1592" t="e">
        <f aca="false">IF(OR(BQ51,BS51),CH51+IF(OVolSmile,VLOOKUP(MAX(-5,CP51+CW51-BV51),IF(OVolSmile=1,VolSmileBook,VolSmileModel),2),0),"")</f>
        <v>#VALUE!</v>
      </c>
      <c r="DD51" s="1592" t="e">
        <f aca="false">IF(OR(BQ51,BS51),CI51+IF(OVolSmile,VLOOKUP(MAX(-5,CQ51+CW51-BW51),IF(OVolSmile=1,VolSmileBook,VolSmileModel),2),0),"")</f>
        <v>#VALUE!</v>
      </c>
      <c r="DE51" s="1592" t="e">
        <f aca="false">IF(OR(BQ51,BS51),CL51+IF(OVolSmile,VLOOKUP(MAX(-5,CR51+CZ51-BX51),IF(OVolSmile=1,VolSmileBook,VolSmileModel),2),0),"")</f>
        <v>#VALUE!</v>
      </c>
      <c r="DF51" s="1592" t="e">
        <f aca="false">IF(BQ51,CM51+IF(OVolSmile,VLOOKUP(MAX(-5,CS51+DA51-BZ51),IF(OVolSmile=1,VolSmileBook,VolSmileModel),2),0),"")</f>
        <v>#VALUE!</v>
      </c>
      <c r="DG51" s="1593" t="e">
        <f aca="false">IF(BS51,CN51+IF(OVolSmile,VLOOKUP(MAX(-5,CT51+DA51-CF51),IF(OVolSmile=1,VolSmileBook,VolSmileModel),2),0),"")</f>
        <v>#VALUE!</v>
      </c>
      <c r="DH51" s="1316" t="e">
        <f aca="false">IF(AND(BU51&gt;0,CO51&gt;0,DB51&gt;0,CU51&gt;0),newSPRDOPT(BU51,CO51,CW51,0,DB51,CU51,CV51,BT51*365.25,OCallPut,0),0)</f>
        <v>#VALUE!</v>
      </c>
      <c r="DI51" s="1316" t="e">
        <f aca="false">IF(AND(BV51&gt;0,CP51&gt;0,DC51&gt;0,CU51&gt;0),newSPRDOPT(BV51,CP51,CX51,0,DC51,CU51,CV51,BT51*365.25,OCallPut,0),0)</f>
        <v>#VALUE!</v>
      </c>
      <c r="DJ51" s="1316" t="e">
        <f aca="false">IF(AND(BW51&gt;0,CQ51&gt;0,DD51&gt;0,CU51&gt;0),newSPRDOPT(BW51,CQ51,CY51,0,DD51,CU51,CV51,BT51*365.25,OCallPut,0),0)</f>
        <v>#VALUE!</v>
      </c>
      <c r="DK51" s="1316" t="e">
        <f aca="false">IF(AND(BX51&gt;0,CR51&gt;0,DE51&gt;0,CU51&gt;0),newSPRDOPT(BX51,CR51,CZ51,0,DE51,CU51,CV51,BT51*365.25,OCallPut,0),0)</f>
        <v>#VALUE!</v>
      </c>
      <c r="DL51" s="1316" t="e">
        <f aca="false">IF(OVolType,IF(AND(BZ51&gt;0,CS51&gt;0,DF51&gt;0,CU51&gt;0),newSPRDOPT(BZ51,CS51,DA51,0,DF51,CU51,CV51,BT51*365.25,OCallPut,0),0),IF(BQ51,(DH51*AZ51+DI51*BA51+DJ51*BB51+DK51*BC51)/BQ51,0))</f>
        <v>#VALUE!</v>
      </c>
      <c r="DM51" s="1316"/>
      <c r="DN51" s="1316"/>
      <c r="DO51" s="1316"/>
      <c r="DP51" s="1316"/>
      <c r="DQ51" s="1316"/>
      <c r="DR51" s="1316"/>
      <c r="DS51" s="1316"/>
      <c r="DT51" s="1316"/>
      <c r="DU51" s="1316"/>
      <c r="DV51" s="1316"/>
      <c r="DW51" s="1594" t="e">
        <f aca="false">IF(AND(BW51&gt;0,CT51&gt;0,DD51&gt;0,CU51&gt;0),newSPRDOPT(BW51,CT51,CY51,0,DD51,CU51,CV51,BT51*365.25,OCallPut,0),0)</f>
        <v>#VALUE!</v>
      </c>
      <c r="DX51" s="1316" t="e">
        <f aca="false">IF(AND(BX51&gt;0,CT51&gt;0,DE51&gt;0,CU51&gt;0),newSPRDOPT(BX51,CT51,CZ51,0,DE51,CU51,CV51,BT51*365.25,OCallPut,0),0)</f>
        <v>#VALUE!</v>
      </c>
      <c r="DY51" s="1591" t="e">
        <f aca="false">IF(BS51,(DH51*BH51+DI51*BI51+DW51*BJ51+DX51*BK51)/BS51,0)</f>
        <v>#VALUE!</v>
      </c>
      <c r="DZ51" s="1551" t="e">
        <f aca="false">DH51*AZ51</f>
        <v>#VALUE!</v>
      </c>
      <c r="EA51" s="1551" t="e">
        <f aca="false">DI51*BA51</f>
        <v>#VALUE!</v>
      </c>
      <c r="EB51" s="1551" t="e">
        <f aca="false">DJ51*BB51</f>
        <v>#VALUE!</v>
      </c>
      <c r="EC51" s="1551" t="e">
        <f aca="false">DK51*BC51</f>
        <v>#VALUE!</v>
      </c>
      <c r="ED51" s="1551" t="e">
        <f aca="false">DL51*BQ51</f>
        <v>#VALUE!</v>
      </c>
      <c r="EE51" s="1595" t="e">
        <f aca="false">IF(BQ51,IF(OCallPut,IF(BU51&gt;(CO51+CW51),BU51-(CO51+CW51),0),IF((CO51+CW51)&gt;BU51,(CO51+CW51)-BU51,0))*AZ51,0)</f>
        <v>#VALUE!</v>
      </c>
      <c r="EF51" s="1596" t="e">
        <f aca="false">IF(BQ51,IF(OCallPut,IF(BV51&gt;(CP51+CX51),BV51-(CP51+CX51),0),IF((CP51+CX51)&gt;BV51,(CP51+CX51)-BV51,0))*BA51,0)</f>
        <v>#VALUE!</v>
      </c>
      <c r="EG51" s="1596" t="e">
        <f aca="false">IF(BQ51,IF(OCallPut,IF(BW51&gt;(CQ51+CY51),BW51-(CQ51+CY51),0),IF((CQ51+CY51)&gt;BW51,(CQ51+CY51)-BW51,0))*BB51,0)</f>
        <v>#VALUE!</v>
      </c>
      <c r="EH51" s="1596" t="e">
        <f aca="false">IF(BQ51,IF(OCallPut,IF(BX51&gt;(CR51+CZ51),BX51-(CR51+CZ51),0),IF((CR51+CZ51)&gt;BX51,(CR51+CZ51)-BX51,0))*BC51,0)</f>
        <v>#VALUE!</v>
      </c>
      <c r="EI51" s="1597" t="e">
        <f aca="false">IF(BQ51,IF(OVolType,IF(OCallPut,IF(BZ51&gt;(CS51+DA51),BZ51-(CS51+DA51),0),IF((CS51+DA51)&gt;BZ51,(CS51+DA51)-BZ51,0))*BQ51,SUM(EE51:EH51)),0)</f>
        <v>#VALUE!</v>
      </c>
      <c r="EJ51" s="1595" t="e">
        <f aca="false">DZ51-EE51</f>
        <v>#VALUE!</v>
      </c>
      <c r="EK51" s="1596" t="e">
        <f aca="false">EA51-EF51</f>
        <v>#VALUE!</v>
      </c>
      <c r="EL51" s="1596" t="e">
        <f aca="false">EB51-EG51</f>
        <v>#VALUE!</v>
      </c>
      <c r="EM51" s="1596" t="e">
        <f aca="false">EC51-EH51</f>
        <v>#VALUE!</v>
      </c>
      <c r="EN51" s="1597" t="e">
        <f aca="false">ED51-EI51</f>
        <v>#VALUE!</v>
      </c>
      <c r="EO51" s="1551" t="e">
        <f aca="false">DH51*BH51</f>
        <v>#VALUE!</v>
      </c>
      <c r="EP51" s="1551" t="e">
        <f aca="false">DI51*BI51</f>
        <v>#VALUE!</v>
      </c>
      <c r="EQ51" s="1551" t="e">
        <f aca="false">DW51*BJ51</f>
        <v>#VALUE!</v>
      </c>
      <c r="ER51" s="1551" t="e">
        <f aca="false">DX51*BK51</f>
        <v>#VALUE!</v>
      </c>
      <c r="ES51" s="1551" t="e">
        <f aca="false">DY51*BS51</f>
        <v>#VALUE!</v>
      </c>
      <c r="ET51" s="1566" t="e">
        <f aca="false">IF(EI51,IF(OCallPut,IF(CA51&gt;(CT51+CW51),CA51-(CT51+CW51),0),IF((CT51+CW51)&gt;CA51,(CT51+CW51)-CA51,0))*BH51,0)</f>
        <v>#VALUE!</v>
      </c>
      <c r="EU51" s="1551" t="e">
        <f aca="false">IF(EI51,IF(OCallPut,IF(CB51&gt;(CT51+CX51),CB51-(CT51+CX51),0),IF((CT51+CX51)&gt;CB51,(CT51+CX51)-CB51,0))*BI51,0)</f>
        <v>#VALUE!</v>
      </c>
      <c r="EV51" s="1551" t="e">
        <f aca="false">IF(EI51,IF(OCallPut,IF(CC51&gt;(CT51+CY51),CC51-(CT51+CY51),0),IF((CT51+CY51)&gt;CC51,(CT51+CY51)-CC51,0))*BJ51,0)</f>
        <v>#VALUE!</v>
      </c>
      <c r="EW51" s="1551" t="e">
        <f aca="false">IF(EI51,IF(OCallPut,IF(CD51&gt;(CT51+CZ51),CD51-(CT51+CZ51),0),IF((CT51+CZ51)&gt;CD51,(CT51+CZ51)-CD51,0))*BK51,0)</f>
        <v>#VALUE!</v>
      </c>
      <c r="EX51" s="1558" t="e">
        <f aca="false">IF(EI51,SUM(ET51:EW51),0)</f>
        <v>#VALUE!</v>
      </c>
      <c r="EY51" s="1551" t="e">
        <f aca="false">EO51-ET51</f>
        <v>#VALUE!</v>
      </c>
      <c r="EZ51" s="1551" t="e">
        <f aca="false">EP51-EU51</f>
        <v>#VALUE!</v>
      </c>
      <c r="FA51" s="1551" t="e">
        <f aca="false">EQ51-EV51</f>
        <v>#VALUE!</v>
      </c>
      <c r="FB51" s="1551" t="e">
        <f aca="false">ER51-EW51</f>
        <v>#VALUE!</v>
      </c>
      <c r="FC51" s="1551" t="e">
        <f aca="false">ES51-EX51</f>
        <v>#VALUE!</v>
      </c>
      <c r="FD51" s="1525" t="n">
        <f aca="false">IF(AX51,IF(VLOOKUP(C51,MAIN!$L$17:$M$28,2)="Yes",VLOOKUP(CALC!B51,MAIN!$H$17:$I$20,2),0),0)</f>
        <v>0</v>
      </c>
      <c r="FE51" s="1552" t="n">
        <f aca="false">$FD51*16*AT51*(1-$AY51)</f>
        <v>0</v>
      </c>
      <c r="FF51" s="1553" t="n">
        <f aca="false">$FD51*16*AU51*(1-$AY51)</f>
        <v>0</v>
      </c>
      <c r="FG51" s="1553" t="n">
        <f aca="false">$FD51*16*(AV51+AW51)*(1-$AY51)</f>
        <v>0</v>
      </c>
      <c r="FH51" s="1554" t="n">
        <f aca="false">$FD51*8*AX51*(1-$AY51)</f>
        <v>0</v>
      </c>
      <c r="FI51" s="1555" t="n">
        <f aca="false">IF(AX51,VLOOKUP(CALC!B51,MAIN!$H$17:$K$20,4),0)</f>
        <v>0</v>
      </c>
      <c r="FJ51" s="1553" t="n">
        <f aca="false">SUM(FE51:FH51)</f>
        <v>0</v>
      </c>
      <c r="FK51" s="1556" t="n">
        <f aca="false">FI51*FJ51</f>
        <v>0</v>
      </c>
      <c r="FL51" s="1551" t="e">
        <f aca="false">IF($EI51&gt;0,MIN(FE51,AZ51*(1+VLOOKUP($C51,WeatherCapacityAdjustment,2))),0)</f>
        <v>#VALUE!</v>
      </c>
      <c r="FM51" s="1551" t="e">
        <f aca="false">IF($EI51&gt;0,MIN(FF51,BA51*(1+VLOOKUP($C51,WeatherCapacityAdjustment,2))),0)</f>
        <v>#VALUE!</v>
      </c>
      <c r="FN51" s="1551" t="e">
        <f aca="false">IF($EI51&gt;0,MIN(FG51,BB51*(1+VLOOKUP($C51,WeatherCapacityAdjustment,2))),0)</f>
        <v>#VALUE!</v>
      </c>
      <c r="FO51" s="1564" t="e">
        <f aca="false">IF($EI51&gt;0,MIN(FH51,BC51*(1+VLOOKUP($C51,WeatherCapacityAdjustment,3))),0)</f>
        <v>#VALUE!</v>
      </c>
      <c r="FP51" s="1551" t="e">
        <f aca="false">IF(ET51&gt;0,MIN(FE51-FL51,BH51*(1+VLOOKUP($C51,WeatherCapacityAdjustment,2))),0)</f>
        <v>#VALUE!</v>
      </c>
      <c r="FQ51" s="1551" t="e">
        <f aca="false">IF(EU51&gt;0,MIN(FF51-FM51,BI51*(1+VLOOKUP($C51,WeatherCapacityAdjustment,2))),0)</f>
        <v>#VALUE!</v>
      </c>
      <c r="FR51" s="1551" t="e">
        <f aca="false">IF(EV51&gt;0,MIN(FG51-FN51,BJ51*(1+VLOOKUP($C51,WeatherCapacityAdjustment,2))),0)</f>
        <v>#VALUE!</v>
      </c>
      <c r="FS51" s="1558" t="e">
        <f aca="false">IF(EW51&gt;0,MIN(FH51-FO51,BK51*(1+VLOOKUP($C51,WeatherCapacityAdjustment,3))),0)</f>
        <v>#VALUE!</v>
      </c>
      <c r="FT51" s="1566" t="n">
        <f aca="false">IF(AND(Assumptions!$H$71="Yes",A51&gt;=Assumptions!$H$72,A51&lt;=Assumptions!$H$73),0,IF(AND($A51&gt;=Assumptions!$C$17,$A51&lt;=Assumptions!$C$18),MAX(AZ51*(1+VLOOKUP($C51,WeatherCapacityAdjustment,2))-FL51,0),0))</f>
        <v>0</v>
      </c>
      <c r="FU51" s="1551" t="n">
        <f aca="false">IF(AND(Assumptions!$H$71="Yes",A51&gt;=Assumptions!$H$72,A51&lt;=Assumptions!$H$73),0,IF(AND($A51&gt;=Assumptions!$C$17,$A51&lt;=Assumptions!$C$18),MAX(BA51*(1+VLOOKUP($C51,WeatherCapacityAdjustment,2))-FM51,0),0))</f>
        <v>0</v>
      </c>
      <c r="FV51" s="1551" t="n">
        <f aca="false">IF(AND(Assumptions!$H$71="Yes",A51&gt;=Assumptions!$H$72,A51&lt;=Assumptions!$H$73),0,IF(AND($A51&gt;=Assumptions!$C$17,$A51&lt;=Assumptions!$C$18),MAX(BB51*(1+VLOOKUP($C51,WeatherCapacityAdjustment,2))-FN51,0),0))</f>
        <v>0</v>
      </c>
      <c r="FW51" s="1564" t="n">
        <f aca="false">IF(AND(Assumptions!$H$71="Yes",A51&gt;=Assumptions!$H$72,A51&lt;=Assumptions!$H$73),0,IF(AND($A51&gt;=Assumptions!$C$17,$A51&lt;=Assumptions!$C$18),MAX(BC51*(1+VLOOKUP($C51,WeatherCapacityAdjustment,3))-FO51,0),0))</f>
        <v>0</v>
      </c>
      <c r="FX51" s="1569" t="e">
        <f aca="false">IF(AND(Assumptions!$H$71="Yes",A51&gt;=Assumptions!$H$72,A51&lt;=Assumptions!$H$73),0,IF(ET51&gt;0,MAX(BH51*(1+VLOOKUP($C51,WeatherCapacityAdjustment,2))-FP51,0),0))</f>
        <v>#VALUE!</v>
      </c>
      <c r="FY51" s="1551" t="e">
        <f aca="false">IF(AND(Assumptions!$H$71="Yes",A51&gt;=Assumptions!$H$72,A51&lt;=Assumptions!$H$73),0,IF(EU51&gt;0,MAX(BI51*(1+VLOOKUP($C51,WeatherCapacityAdjustment,3))-FQ51,0),0))</f>
        <v>#VALUE!</v>
      </c>
      <c r="FZ51" s="1551" t="e">
        <f aca="false">IF(AND(Assumptions!$H$71="Yes",A51&gt;=Assumptions!$H$72,A51&lt;=Assumptions!$H$73),0,IF(EV51&gt;0,MAX(BJ51*(1+VLOOKUP($C51,WeatherCapacityAdjustment,2))-FR51,0),0))</f>
        <v>#VALUE!</v>
      </c>
      <c r="GA51" s="1564" t="e">
        <f aca="false">IF(AND(Assumptions!$H$71="Yes",A51&gt;=Assumptions!$H$72,A51&lt;=Assumptions!$H$73),0,IF(EW51&gt;0,MAX(BK51*(1+VLOOKUP($C51,WeatherCapacityAdjustment,2))-FS51,0),0))</f>
        <v>#VALUE!</v>
      </c>
      <c r="GB51" s="1551" t="e">
        <f aca="false">SUM(FT51:GA51)</f>
        <v>#VALUE!</v>
      </c>
      <c r="GC51" s="1563" t="e">
        <f aca="false">+IF(SUM(FT51:GA51)=0,0,(SUMPRODUCT(BU51:BX51,FT51:FW51)+SUMPRODUCT(CA51:CD51,FX51:GA51))/SUM(FT51:GA51))</f>
        <v>#VALUE!</v>
      </c>
      <c r="GD51" s="1551" t="e">
        <f aca="false">(FT51*BU51+FX51*CA51+FU51*BV51+FY51*CB51+FV51*BW51+FZ51*CC51+FW51*BX51+GA51*CD51)</f>
        <v>#VALUE!</v>
      </c>
      <c r="GE51" s="1561" t="e">
        <f aca="false">+IF(BQ51,((FL51+FM51+FT51+FU51)*HeatRatePeak/1000*(1+VLOOKUP($C51,WeatherHeatRateAdjustment,2))+(FN51+FV51)*IF(EV51&gt;0,HeatRatePeak,HeatRateOffPeak)/1000*(1+VLOOKUP($C51,WeatherHeatRateAdjustment,2))+(FO51+FW51)*IF(EW51&gt;0,HeatRatePeak,HeatRateOffPeak)/1000*(1+VLOOKUP($C51,WeatherHeatRateAdjustment,3)))*(1+VLOOKUP($B51,HeatRateDegradation,$C51+1)),0)</f>
        <v>#VALUE!</v>
      </c>
      <c r="GF51" s="1562" t="e">
        <f aca="false">IF(BQ51,((FP51+FQ51+FR51+FX51+FY51+FZ51)*HeatRatePeak/1000*(1+VLOOKUP($C51,WeatherHeatRateAdjustment,2))+(FS51+GA51)*HeatRatePeak/1000*(1+VLOOKUP($C51,WeatherHeatRateAdjustment,3)))*(1+VLOOKUP($B51,HeatRateDegradation,$C51+1)),0)</f>
        <v>#VALUE!</v>
      </c>
      <c r="GG51" s="1563" t="e">
        <f aca="false">IF(BQ51,VLOOKUP(A51,GasTable,13),0)</f>
        <v>#VALUE!</v>
      </c>
      <c r="GH51" s="1564" t="e">
        <f aca="false">(GE51+GF51)*GG51</f>
        <v>#VALUE!</v>
      </c>
      <c r="GI51" s="1569" t="e">
        <f aca="false">GB51</f>
        <v>#VALUE!</v>
      </c>
      <c r="GJ51" s="1598" t="e">
        <f aca="false">+DA51</f>
        <v>#VALUE!</v>
      </c>
      <c r="GK51" s="1558" t="e">
        <f aca="false">+GI51*GJ51</f>
        <v>#VALUE!</v>
      </c>
      <c r="GL51" s="1566" t="e">
        <f aca="false">MAX(FE51-FL51-FP51,0)</f>
        <v>#VALUE!</v>
      </c>
      <c r="GM51" s="1551" t="e">
        <f aca="false">MAX(FF51-FM51-FQ51,0)</f>
        <v>#VALUE!</v>
      </c>
      <c r="GN51" s="1551" t="e">
        <f aca="false">MAX(FG51-FN51-FR51,0)</f>
        <v>#VALUE!</v>
      </c>
      <c r="GO51" s="1564" t="e">
        <f aca="false">MAX(FH51-FO51-FS51,0)</f>
        <v>#VALUE!</v>
      </c>
      <c r="GP51" s="1551" t="e">
        <f aca="false">SUM(GL51:GO51)</f>
        <v>#VALUE!</v>
      </c>
      <c r="GQ51" s="1563" t="e">
        <f aca="false">IF(SUM(GL51:GO51)=0,0,((GL51*BU51+GM51*BV51+GN51*BW51+GO51*BX51)/SUM(GL51:GO51)))</f>
        <v>#VALUE!</v>
      </c>
      <c r="GR51" s="1558" t="e">
        <f aca="false">(GL51*BU51+GM51*BV51+GN51*BW51+GO51*BX51)</f>
        <v>#VALUE!</v>
      </c>
      <c r="GS51" s="1566" t="n">
        <f aca="false">IF($A51&gt;=BegDate,Assumptions!$C$56*24*($A52-$A51)*(1-VLOOKUP($B51,MAIN!$AA$7:$AM$28,$C51+1))*(1-VLOOKUP($B51,MAIN!$AA$33:$AM$54,$C51+1)),0)*80/168</f>
        <v>0</v>
      </c>
      <c r="GT51" s="286" t="n">
        <f aca="false">J51</f>
        <v>30.6499155768</v>
      </c>
      <c r="GU51" s="286" t="n">
        <f aca="false">IF($A51&gt;=BegDate,VLOOKUP($A51,GasTable,13)+Assumptions!$C$58,0)</f>
        <v>0</v>
      </c>
      <c r="GV51" s="286" t="n">
        <f aca="false">GU51*Assumptions!$C$57/1000</f>
        <v>0</v>
      </c>
      <c r="GW51" s="1558" t="n">
        <f aca="false">IF(Assumptions!$C$60="Hourly",MAX(0,GS51*(GT51-GV51)),GS51*(GT51-GV51))</f>
        <v>0</v>
      </c>
      <c r="GX51" s="1566" t="n">
        <f aca="false">IF($A51&gt;=BegDate,Assumptions!$C$56*24*($A52-$A51)*(1-VLOOKUP($B51,MAIN!$AA$7:$AM$28,$C51+1))*(1-VLOOKUP($B51,MAIN!$AA$33:$AM$54,$C51+1)),0)*16/168</f>
        <v>0</v>
      </c>
      <c r="GY51" s="286" t="n">
        <f aca="false">M51</f>
        <v>30.6499155768</v>
      </c>
      <c r="GZ51" s="286" t="n">
        <f aca="false">IF($A51&gt;=BegDate,VLOOKUP($A51,GasTable,13)+Assumptions!$C$58,0)</f>
        <v>0</v>
      </c>
      <c r="HA51" s="286" t="n">
        <f aca="false">GZ51*Assumptions!$C$57/1000</f>
        <v>0</v>
      </c>
      <c r="HB51" s="1558" t="n">
        <f aca="false">IF(Assumptions!$C$60="Hourly",MAX(0,GX51*(GY51-HA51)),GX51*(GY51-HA51))</f>
        <v>0</v>
      </c>
      <c r="HC51" s="1566" t="n">
        <f aca="false">IF($A51&gt;=BegDate,Assumptions!$C$56*24*($A52-$A51)*(1-VLOOKUP($B51,MAIN!$AA$7:$AM$28,$C51+1))*(1-VLOOKUP($B51,MAIN!$AA$33:$AM$54,$C51+1)),0)*16/168</f>
        <v>0</v>
      </c>
      <c r="HD51" s="286" t="n">
        <f aca="false">P51</f>
        <v>21.7485028728</v>
      </c>
      <c r="HE51" s="286" t="n">
        <f aca="false">IF($A51&gt;=BegDate,VLOOKUP($A51,GasTable,13)+Assumptions!$C$58,0)</f>
        <v>0</v>
      </c>
      <c r="HF51" s="286" t="n">
        <f aca="false">HE51*Assumptions!$C$57/1000</f>
        <v>0</v>
      </c>
      <c r="HG51" s="1558" t="n">
        <f aca="false">IF(Assumptions!$C$60="Hourly",MAX(0,HC51*(HD51-HF51)),HC51*(HD51-HF51))</f>
        <v>0</v>
      </c>
      <c r="HH51" s="1566" t="n">
        <f aca="false">IF($A51&gt;=BegDate,Assumptions!$C$56*24*($A52-$A51)*(1-VLOOKUP($B51,MAIN!$AA$7:$AM$28,$C51+1))*(1-VLOOKUP($B51,MAIN!$AA$33:$AM$54,$C51+1)),0)*56/168</f>
        <v>0</v>
      </c>
      <c r="HI51" s="286" t="n">
        <f aca="false">S51</f>
        <v>21.7485028728</v>
      </c>
      <c r="HJ51" s="286" t="n">
        <f aca="false">IF($A51&gt;=BegDate,VLOOKUP($A51,GasTable,13)+Assumptions!$C$58,0)</f>
        <v>0</v>
      </c>
      <c r="HK51" s="286" t="n">
        <f aca="false">HJ51*Assumptions!$C$57/1000</f>
        <v>0</v>
      </c>
      <c r="HL51" s="1558" t="n">
        <f aca="false">IF(Assumptions!$C$60="Hourly",MAX(0,HH51*(HI51-HK51)),HH51*(HI51-HK51))</f>
        <v>0</v>
      </c>
      <c r="HM51" s="1566" t="n">
        <f aca="false">IF(AND(Assumptions!$H$71="Yes",A51&gt;=Assumptions!$H$72,A51&lt;=Assumptions!$H$73),Assumptions!$H$74*Assumptions!$C$9*1000,0)</f>
        <v>0</v>
      </c>
      <c r="HN51" s="1551"/>
      <c r="HO51" s="1563"/>
      <c r="HP51" s="1563"/>
      <c r="HQ51" s="1563"/>
      <c r="HR51" s="1563"/>
      <c r="HS51" s="1563"/>
      <c r="HT51" s="1563"/>
      <c r="HU51" s="1563"/>
      <c r="HV51" s="1563"/>
      <c r="HW51" s="1563"/>
      <c r="HX51" s="1563"/>
      <c r="HY51" s="1563"/>
      <c r="HZ51" s="1563"/>
      <c r="IA51" s="1563"/>
      <c r="IB51" s="1563"/>
      <c r="IC51" s="1563"/>
      <c r="ID51" s="1563"/>
      <c r="IE51" s="1563"/>
      <c r="IF51" s="1563"/>
      <c r="IG51" s="1563"/>
      <c r="IH51" s="1563"/>
      <c r="II51" s="1610"/>
      <c r="IJ51" s="1309"/>
      <c r="IK51" s="1309"/>
    </row>
    <row r="52" customFormat="false" ht="12.75" hidden="false" customHeight="false" outlineLevel="0" collapsed="false">
      <c r="A52" s="1571" t="n">
        <f aca="false">EOMONTH(A51,0)+1</f>
        <v>37712</v>
      </c>
      <c r="B52" s="594" t="n">
        <f aca="false">+YEAR(A52)</f>
        <v>2003</v>
      </c>
      <c r="C52" s="238" t="n">
        <f aca="false">MONTH(A52)</f>
        <v>4</v>
      </c>
      <c r="D52" s="1572" t="str">
        <f aca="false">IF(E52="","",Holiday(B52,C52))</f>
        <v/>
      </c>
      <c r="E52" s="1573" t="str">
        <f aca="false">IF(OR(BegDate&gt;=A53,EndDate&lt;A52,AND(VolumeMonthlyOverFlag,INDEX(VolumeMonthlyOver,C52)=0),NOT(INDEX(MonthKnockOutTable,C52))),"",MAX(A52,BegDate))</f>
        <v/>
      </c>
      <c r="F52" s="1574" t="str">
        <f aca="false">IF(E52="","",MIN(A53-1,EndDate))</f>
        <v/>
      </c>
      <c r="G52" s="1575" t="n">
        <v>0</v>
      </c>
      <c r="H52" s="1576" t="n">
        <f aca="false">(1+G52/2)^(-2*(DATE(B53,C53,20)-DateToday)/365.25)</f>
        <v>1</v>
      </c>
      <c r="I52" s="1568" t="n">
        <f aca="false">IF(Assumptions!$L$25=4,VLOOKUP($A52,'Henwood Reference'!$E$9:$R$320,10),(VLOOKUP($A52,PriceTable,2,0)+IF(BasisNumber&lt;&gt;1,VLOOKUP($A52,BasisTable,2,0),0)+I$1)/(1-I$2))</f>
        <v>29.121669936</v>
      </c>
      <c r="J52" s="1568" t="n">
        <f aca="false">IF(Assumptions!$L$25=4,VLOOKUP($A52,'Henwood Reference'!$E$9:$R$320,10),(VLOOKUP($A52,PriceTable,3,0)+IF(BasisNumber&lt;&gt;1,VLOOKUP($A52,BasisTable,2,0),0)+J$1)/(1-J$2))</f>
        <v>29.121669936</v>
      </c>
      <c r="K52" s="1568" t="n">
        <f aca="false">IF(Assumptions!$L$25=4,VLOOKUP($A52,'Henwood Reference'!$E$9:$R$320,10),(VLOOKUP($A52,PriceTable,4,0)+IF(BasisNumber&lt;&gt;1,VLOOKUP($A52,BasisTable,2,0),0)+K$1)/(1-K$2))</f>
        <v>29.121669936</v>
      </c>
      <c r="L52" s="1523" t="n">
        <f aca="false">IF(Assumptions!$L$25=4,VLOOKUP($A52,'Henwood Reference'!$E$9:$R$320,10),(VLOOKUP($A52,PriceTableWeekend,2,0)+IF(BasisNumber&lt;&gt;1,VLOOKUP($A52,BasisTable,2,0),0)+L$1)/(1-L$2))</f>
        <v>29.121669936</v>
      </c>
      <c r="M52" s="1568" t="n">
        <f aca="false">IF(Assumptions!$L$25=4,VLOOKUP($A52,'Henwood Reference'!$E$9:$R$320,10),(VLOOKUP($A52,PriceTableWeekend,3,0)+IF(BasisNumber&lt;&gt;1,VLOOKUP($A52,BasisTable,2,0),0)+M$1)/(1-M$2))</f>
        <v>29.121669936</v>
      </c>
      <c r="N52" s="1599" t="n">
        <f aca="false">IF(Assumptions!$L$25=4,VLOOKUP($A52,'Henwood Reference'!$E$9:$R$320,10),(VLOOKUP($A52,PriceTableWeekend,4,0)+IF(BasisNumber&lt;&gt;1,VLOOKUP($A52,BasisTable,2,0),0)+N$1)/(1-N$2))</f>
        <v>29.121669936</v>
      </c>
      <c r="O52" s="1568" t="n">
        <f aca="false">IF(Assumptions!$L$25=4,VLOOKUP($A52,'Henwood Reference'!$E$9:$R$320,11),(VLOOKUP($A52,PriceTableWeekend,6,0)+IF(BasisNumber&lt;&gt;1,VLOOKUP($A52,BasisTable,3,0),0)+O$1)/(1-O$2))</f>
        <v>19.8117982728</v>
      </c>
      <c r="P52" s="1568" t="n">
        <f aca="false">IF(Assumptions!$L$25=4,VLOOKUP($A52,'Henwood Reference'!$E$9:$R$320,11),(VLOOKUP($A52,PriceTableWeekend,7,0)+IF(BasisNumber&lt;&gt;1,VLOOKUP($A52,BasisTable,3,0),0)+P$1)/(1-P$2))</f>
        <v>19.8117982728</v>
      </c>
      <c r="Q52" s="1599" t="n">
        <f aca="false">IF(Assumptions!$L$25=4,VLOOKUP($A52,'Henwood Reference'!$E$9:$R$320,11),(VLOOKUP($A52,PriceTableWeekend,8,0)+IF(BasisNumber&lt;&gt;1,VLOOKUP($A52,BasisTable,3,0),0)+Q$1)/(1-Q$2))</f>
        <v>19.8117982728</v>
      </c>
      <c r="R52" s="1568" t="n">
        <f aca="false">IF(Assumptions!$L$25=4,VLOOKUP($A52,'Henwood Reference'!$E$9:$R$320,11),(VLOOKUP($A52,PriceTable,6,0)+IF(BasisNumber&lt;&gt;1,VLOOKUP($A52,BasisTable,3,0),0)+R$1)/(1-R$2))</f>
        <v>19.8117982728</v>
      </c>
      <c r="S52" s="1568" t="n">
        <f aca="false">IF(Assumptions!$L$25=4,VLOOKUP($A52,'Henwood Reference'!$E$9:$R$320,11),(VLOOKUP($A52,PriceTable,7,0)+IF(BasisNumber&lt;&gt;1,VLOOKUP($A52,BasisTable,3,0),0)+S$1)/(1-S$2))</f>
        <v>19.8117982728</v>
      </c>
      <c r="T52" s="1600" t="n">
        <f aca="false">IF(Assumptions!$L$25=4,VLOOKUP($A52,'Henwood Reference'!$E$9:$R$320,11),(VLOOKUP($A52,PriceTable,8,0)+IF(BasisNumber&lt;&gt;1,VLOOKUP($A52,BasisTable,3,0),0)+T$1)/(1-T$2))</f>
        <v>19.8117982728</v>
      </c>
      <c r="U52" s="1513" t="n">
        <f aca="false">VLOOKUP($A52,VolatilityTable,14)</f>
        <v>0.155</v>
      </c>
      <c r="V52" s="1513" t="n">
        <f aca="false">VLOOKUP($A52,VolatilityTable,15)</f>
        <v>0.165</v>
      </c>
      <c r="W52" s="1514" t="n">
        <f aca="false">VLOOKUP($A52,VolatilityTable,16)</f>
        <v>0.175</v>
      </c>
      <c r="X52" s="1513" t="n">
        <f aca="false">VLOOKUP($A52,VolatilityTable,14)</f>
        <v>0.155</v>
      </c>
      <c r="Y52" s="1513" t="n">
        <f aca="false">VLOOKUP($A52,VolatilityTable,15)</f>
        <v>0.165</v>
      </c>
      <c r="Z52" s="1514" t="n">
        <f aca="false">VLOOKUP($A52,VolatilityTable,16)</f>
        <v>0.175</v>
      </c>
      <c r="AA52" s="1513" t="n">
        <f aca="false">VLOOKUP($A52,VolatilityTable,18)</f>
        <v>0.09</v>
      </c>
      <c r="AB52" s="1513" t="n">
        <f aca="false">VLOOKUP($A52,VolatilityTable,19)</f>
        <v>0.11</v>
      </c>
      <c r="AC52" s="1514" t="n">
        <f aca="false">VLOOKUP($A52,VolatilityTable,20)</f>
        <v>0.13</v>
      </c>
      <c r="AD52" s="1513" t="n">
        <f aca="false">VLOOKUP($A52,VolatilityTable,18)</f>
        <v>0.09</v>
      </c>
      <c r="AE52" s="1513" t="n">
        <f aca="false">VLOOKUP($A52,VolatilityTable,19)</f>
        <v>0.11</v>
      </c>
      <c r="AF52" s="1514" t="n">
        <f aca="false">VLOOKUP($A52,VolatilityTable,20)</f>
        <v>0.13</v>
      </c>
      <c r="AG52" s="1513" t="n">
        <f aca="false">VLOOKUP($A52,VolatilityTable,22)</f>
        <v>-0.1</v>
      </c>
      <c r="AH52" s="1513" t="n">
        <f aca="false">VLOOKUP($A52,VolatilityTable,23)</f>
        <v>0.65</v>
      </c>
      <c r="AI52" s="1514" t="n">
        <f aca="false">VLOOKUP($A52,VolatilityTable,24)</f>
        <v>0.1</v>
      </c>
      <c r="AJ52" s="1513" t="n">
        <f aca="false">VLOOKUP($A52,VolatilityTable,22)</f>
        <v>-0.1</v>
      </c>
      <c r="AK52" s="1513" t="n">
        <f aca="false">VLOOKUP($A52,VolatilityTable,23)</f>
        <v>0.65</v>
      </c>
      <c r="AL52" s="1514" t="n">
        <f aca="false">VLOOKUP($A52,VolatilityTable,24)</f>
        <v>0.1</v>
      </c>
      <c r="AM52" s="1513" t="n">
        <f aca="false">VLOOKUP($A52,VolatilityTable,26)</f>
        <v>-0.01</v>
      </c>
      <c r="AN52" s="1513" t="n">
        <f aca="false">VLOOKUP($A52,VolatilityTable,27)</f>
        <v>0.16</v>
      </c>
      <c r="AO52" s="1514" t="n">
        <f aca="false">VLOOKUP($A52,VolatilityTable,28)</f>
        <v>0.01</v>
      </c>
      <c r="AP52" s="1513" t="n">
        <f aca="false">VLOOKUP($A52,VolatilityTable,26)</f>
        <v>-0.01</v>
      </c>
      <c r="AQ52" s="1513" t="n">
        <f aca="false">VLOOKUP($A52,VolatilityTable,27)</f>
        <v>0.16</v>
      </c>
      <c r="AR52" s="1515" t="n">
        <f aca="false">VLOOKUP($A52,VolatilityTable,28)</f>
        <v>0.01</v>
      </c>
      <c r="AS52" s="1581" t="n">
        <f aca="false">IF(CorrPeakOffPeakOverFlag,INDEX(CorrPeakOffPeakOver,C52),CorrPeakOffPeak)</f>
        <v>0.5</v>
      </c>
      <c r="AT52" s="594" t="n">
        <f aca="false">AX52-SUM(AU52:AW52)</f>
        <v>0</v>
      </c>
      <c r="AU52" s="238" t="n">
        <f aca="false">IF(E52="",0,INT((F52-MOD(F52,7)-E52)/7)+1-IF(AW52,IF(WEEKDAY(D52)=7,1,0),0))</f>
        <v>0</v>
      </c>
      <c r="AV52" s="238" t="n">
        <f aca="false">IF(E52="",0,INT((F52-MOD(F52-1,7)-E52)/7)+1-IF(AW52,IF(WEEKDAY(D52)=1,1,0),0))</f>
        <v>0</v>
      </c>
      <c r="AW52" s="238" t="n">
        <f aca="false">IF(OR(E52="",D52="",D52&lt;BegDate,D52&gt;EndDate),0,1)</f>
        <v>0</v>
      </c>
      <c r="AX52" s="238" t="n">
        <f aca="false">IF(E52="",0,F52-E52+1)</f>
        <v>0</v>
      </c>
      <c r="AY52" s="1582" t="n">
        <f aca="false">IF(E52="",0,MIN((1-(1-VLOOKUP(B52,MAIN!$AA$7:$AM$28,C52+1))*(1-VLOOKUP(B52,MAIN!$AA$33:$AM$54,C52+1))),1))</f>
        <v>0</v>
      </c>
      <c r="AZ52" s="1519" t="e">
        <v>#VALUE!</v>
      </c>
      <c r="BA52" s="1520" t="e">
        <v>#VALUE!</v>
      </c>
      <c r="BB52" s="1520" t="e">
        <v>#VALUE!</v>
      </c>
      <c r="BC52" s="1583" t="e">
        <v>#VALUE!</v>
      </c>
      <c r="BD52" s="1522" t="e">
        <v>#VALUE!</v>
      </c>
      <c r="BE52" s="1523" t="e">
        <v>#VALUE!</v>
      </c>
      <c r="BF52" s="1523" t="e">
        <v>#VALUE!</v>
      </c>
      <c r="BG52" s="1584" t="e">
        <v>#VALUE!</v>
      </c>
      <c r="BH52" s="1525" t="e">
        <v>#VALUE!</v>
      </c>
      <c r="BI52" s="1520" t="e">
        <v>#VALUE!</v>
      </c>
      <c r="BJ52" s="1520" t="e">
        <v>#VALUE!</v>
      </c>
      <c r="BK52" s="1583" t="e">
        <v>#VALUE!</v>
      </c>
      <c r="BL52" s="1522" t="e">
        <v>#VALUE!</v>
      </c>
      <c r="BM52" s="1523" t="e">
        <v>#VALUE!</v>
      </c>
      <c r="BN52" s="1523" t="e">
        <v>#VALUE!</v>
      </c>
      <c r="BO52" s="1523" t="e">
        <v>#VALUE!</v>
      </c>
      <c r="BP52" s="1525" t="e">
        <f aca="false">SUM(AZ52:BB52)</f>
        <v>#VALUE!</v>
      </c>
      <c r="BQ52" s="1529" t="e">
        <f aca="false">SUM(AZ52:BC52)</f>
        <v>#VALUE!</v>
      </c>
      <c r="BR52" s="1519" t="e">
        <f aca="false">SUM(BH52:BJ52)</f>
        <v>#VALUE!</v>
      </c>
      <c r="BS52" s="1529" t="e">
        <f aca="false">SUM(BH52:BK52)</f>
        <v>#VALUE!</v>
      </c>
      <c r="BT52" s="1316" t="n">
        <f aca="false">(IF(OVolType&lt;&gt;2,A52+14,IF(OptExpDateShift,ShiftBack(A52,OptExpDateShift,D51),A52))-DateToday)/365.25</f>
        <v>2.96235455167693</v>
      </c>
      <c r="BU52" s="1585" t="e">
        <f aca="false">IF(BQ52,IF(OPriceCurve,IF(OBuySell=OCallPut,I52/(1-AY52),K52/(1-AY52)),J52/(1-AY52))*BD52,0)</f>
        <v>#VALUE!</v>
      </c>
      <c r="BV52" s="1316" t="e">
        <f aca="false">IF(BQ52,IF(OPriceCurve,IF(OBuySell=OCallPut,L52/(1-AY52),N52/(1-AY52)),M52/(1-AY52))*BE52,0)</f>
        <v>#VALUE!</v>
      </c>
      <c r="BW52" s="1316" t="e">
        <f aca="false">IF(BQ52,IF(OPriceCurve,IF(OBuySell=OCallPut,O52/(1-AY52),Q52/(1-AY52)),P52/(1-AY52))*BF52,0)</f>
        <v>#VALUE!</v>
      </c>
      <c r="BX52" s="1316" t="e">
        <f aca="false">IF(BQ52,IF(OPriceCurve,IF(OBuySell=OCallPut,R52/(1-AY52),T52/(1-AY52)),S52/(1-AY52))*BG52,0)</f>
        <v>#VALUE!</v>
      </c>
      <c r="BY52" s="1316" t="e">
        <f aca="false">IF(BP52,(BU52*AZ52+BV52*BA52+BW52*BB52)/BP52,0)</f>
        <v>#VALUE!</v>
      </c>
      <c r="BZ52" s="1316" t="e">
        <f aca="false">IF(BQ52,(BY52*BP52+BX52*BC52)/BQ52,0)</f>
        <v>#VALUE!</v>
      </c>
      <c r="CA52" s="1531" t="e">
        <f aca="false">IF(BS52,IF(OPriceCurve,IF(OBuySell=OCallPut,I52/(1-AY52),K52/(1-AY52)),J52/(1-AY52))*BL52,0)</f>
        <v>#VALUE!</v>
      </c>
      <c r="CB52" s="1316" t="e">
        <f aca="false">IF(BS52,IF(OPriceCurve,IF(OBuySell=OCallPut,L52/(1-AY52),N52/(1-AY52)),M52/(1-AY52))*BM52,0)</f>
        <v>#VALUE!</v>
      </c>
      <c r="CC52" s="1316" t="e">
        <f aca="false">IF(BS52,IF(OPriceCurve,IF(OBuySell=OCallPut,O52/(1-AY52),Q52/(1-AY52)),P52/(1-AY52))*BN52,0)</f>
        <v>#VALUE!</v>
      </c>
      <c r="CD52" s="1316" t="e">
        <f aca="false">IF(BS52,IF(OPriceCurve,IF(OBuySell=OCallPut,R52/(1-AY52),T52/(1-AY52)),S52/(1-AY52))*BO52,0)</f>
        <v>#VALUE!</v>
      </c>
      <c r="CE52" s="1316" t="e">
        <f aca="false">IF(BR52,(BU52*BH52+BV52*BI52+BW52*BJ52)/BR52,0)</f>
        <v>#VALUE!</v>
      </c>
      <c r="CF52" s="1532" t="e">
        <f aca="false">IF(BS52,(CE52*BR52+CD52*BK52)/BS52,0)</f>
        <v>#VALUE!</v>
      </c>
      <c r="CG52" s="1586" t="e">
        <f aca="false">IF(OR(BQ52,BS52),IF(OVolType&lt;&gt;2,SQRT(IF(OVolOverMonthlyPeak,OVolOverMonthlyPeak,IF(OVolCurve,IF(OBuySell,U52,W52),V52))^2*(1-15/365.25/BT52)+IF(OVolOverDailyPeak,OVolOverDailyPeak,IF(OVolCurve,IF(OBuySell,AG52,AI52),AH52))^2*15/365.25/BT52),IF(OVolOverMonthlyPeak,OVolOverMonthlyPeak,IF(OVolCurve,IF(OBuySell,U52,W52),V52))),"")</f>
        <v>#VALUE!</v>
      </c>
      <c r="CH52" s="1587" t="e">
        <f aca="false">IF(OR(BQ52,BS52),IF(OVolType&lt;&gt;2,SQRT(IF(OVolOverMonthlyPeak,OVolOverMonthlyPeak,IF(OVolCurve,IF(OBuySell,X52,Z52),Y52))^2*(1-15/365.25/BT52)+IF(OVolOverDailyPeak,OVolOverDailyPeak,IF(OVolCurve,IF(OBuySell,AJ52,AL52),AK52))^2*15/365.25/BT52),IF(OVolOverMonthlyPeak,OVolOverMonthlyPeak,IF(OVolCurve,IF(OBuySell,X52,Z52),Y52))),"")</f>
        <v>#VALUE!</v>
      </c>
      <c r="CI52" s="1587" t="e">
        <f aca="false">IF(OR(BQ52,BS52),IF(OVolType&lt;&gt;2,SQRT(IF(OVolOverMonthlyPeak,OVolOverMonthlyPeak,IF(OVolCurve,IF(OBuySell,AA52,AC52),AB52))^2*(1-15/365.25/BT52)+IF(OVolOverDailyPeak,OVolOverDailyPeak,IF(OVolCurve,IF(OBuySell,AM52,AO52),AN52))^2*15/365.25/BT52),IF(OVolOverMonthlyPeak,OVolOverMonthlyPeak,IF(OVolCurve,IF(OBuySell,AA52,AC52),AB52))),"")</f>
        <v>#VALUE!</v>
      </c>
      <c r="CJ52" s="1587" t="e">
        <f aca="false">IF(BQ52,IF(BP52,SQRT(LN(1+((BU52*AZ52)^2*(EXP(CG52^2*BT52)-1)+(BV52*BA52)^2*(EXP(CH52^2*BT52)-1)+(BW52*BB52)^2*(EXP(CI52^2*BT52)-1)+2*BU52*AZ52*BV52*BA52*(EXP(CG52*CH52*BT52)-1)+2*BV52*BA52*BW52*BB52*(EXP(CH52*CI52*BT52)-1)+2*BW52*BB52*BU52*AZ52*(EXP(CI52*CG52*BT52)-1))/(BY52*BP52)^2)/BT52),0),"")</f>
        <v>#VALUE!</v>
      </c>
      <c r="CK52" s="1587" t="e">
        <f aca="false">IF(BS52,IF(BR52,SQRT(LN(1+((CA52*BH52)^2*(EXP(CG52^2*BT52)-1)+(CB52*BI52)^2*(EXP(CH52^2*BT52)-1)+(CC52*BJ52)^2*(EXP(CI52^2*BT52)-1)+2*CA52*BH52*CB52*BI52*(EXP(CG52*CH52*BT52)-1)+2*CB52*BI52*CC52*BJ52*(EXP(CH52*CI52*BT52)-1)+2*CC52*BJ52*CA52*BH52*(EXP(CI52*CG52*BT52)-1))/(CE52*BR52)^2)/BT52),0),"")</f>
        <v>#VALUE!</v>
      </c>
      <c r="CL52" s="1587" t="e">
        <f aca="false">IF(OR(BQ52,BS52),IF(OVolType&lt;&gt;2,SQRT(IF(OVolOverMonthlyOffPeak,OVolOverMonthlyOffPeak,IF(OVolCurve,IF(OBuySell,AD52,AF52),AE52))^2*(1-15/365.25/BT52)+IF(OVolOverDailyOffPeak,OVolOverDailyOffPeak,IF(OVolCurve,IF(OBuySell,AP52,AR52),AQ52))^2*15/365.25/BT52),IF(OVolOverMonthlyOffPeak,OVolOverMonthlyOffPeak,IF(OVolCurve,IF(OBuySell,AD52,AF52),AE52))),"")</f>
        <v>#VALUE!</v>
      </c>
      <c r="CM52" s="1587" t="e">
        <f aca="false">IF(BQ52,SQRT(LN(1+((BY52*BP52)^2*(EXP(CJ52^2*BT52)-1)+(BX52*BC52)^2*(EXP(CL52^2*BT52)-1)+2*BY52*BP52*BX52*BC52*(EXP(AS52*CJ52*CL52*BT52)-1))/(BY52*BP52+BX52*BC52)^2)/BT52),"")</f>
        <v>#VALUE!</v>
      </c>
      <c r="CN52" s="1588" t="e">
        <f aca="false">IF(BS52,SQRT(LN(1+((CE52*BR52)^2*(EXP(CK52^2*BT52)-1)+(CD52*BK52)^2*(EXP(CL52^2*BT52)-1)+2*CE52*BR52*CD52*BK52*(EXP(AS52*CK52*CL52*BT52)-1))/(CE52*BR52+CD52*BK52)^2)/BT52),"")</f>
        <v>#VALUE!</v>
      </c>
      <c r="CO52" s="1531" t="e">
        <f aca="false">IF(OR(BQ52,BS52),VLOOKUP(A52,GasTable,13)*HeatRatePeak*(1+VLOOKUP($B52,HeatRateDegradation,$C52+1))/1000,0)</f>
        <v>#VALUE!</v>
      </c>
      <c r="CP52" s="1316" t="e">
        <f aca="false">IF(OR(BQ52,BS52),VLOOKUP(A52,GasTable,13)*HeatRatePeak*(1+VLOOKUP($B52,HeatRateDegradation,$C52+1))/1000,0)</f>
        <v>#VALUE!</v>
      </c>
      <c r="CQ52" s="1316" t="e">
        <f aca="false">IF(OR(BQ52,BS52),VLOOKUP(A52,GasTable,13)*IF(EV52,HeatRatePeak,HeatRateOffPeak)*(1+VLOOKUP($B52,HeatRateDegradation,$C52+1))/1000,0)</f>
        <v>#VALUE!</v>
      </c>
      <c r="CR52" s="1316" t="e">
        <f aca="false">IF(OR(BQ52,BS52),VLOOKUP(A52,GasTable,13)*IF(EW52,HeatRatePeak,HeatRateOffPeak)*(1+VLOOKUP($B52,HeatRateDegradation,$C52+1))/1000,0)</f>
        <v>#VALUE!</v>
      </c>
      <c r="CS52" s="1589" t="e">
        <f aca="false">IF(BQ52,(CO52*AZ52+CP52*BA52+CQ52*BB52+CR52*BC52)/BQ52,0)</f>
        <v>#VALUE!</v>
      </c>
      <c r="CT52" s="1316" t="e">
        <f aca="false">IF(BS52,CO52,0)</f>
        <v>#VALUE!</v>
      </c>
      <c r="CU52" s="1590" t="e">
        <f aca="false">IF(OR(BQ52,BS52),VLOOKUP(A52,GasTable,14),"")</f>
        <v>#VALUE!</v>
      </c>
      <c r="CV52" s="1568" t="e">
        <f aca="false">IF(OR(BQ52,BS52),IF(CorrPowerGasOverFlag,INDEX(CorrPowerGasOver,C52),CorrPowerGas),"")</f>
        <v>#VALUE!</v>
      </c>
      <c r="CW52" s="1316" t="e">
        <f aca="false">IF(OR($BQ52,$BS52),SpreadOptPowerMargin,0)*((1+Assumptions!$C$26)^($B52-YEAR(Assumptions!$C$17)))</f>
        <v>#VALUE!</v>
      </c>
      <c r="CX52" s="1316" t="e">
        <f aca="false">IF(OR($BQ52,$BS52),SpreadOptPowerMargin,0)*((1+Assumptions!$C$26)^($B52-YEAR(Assumptions!$C$17)))</f>
        <v>#VALUE!</v>
      </c>
      <c r="CY52" s="1316" t="e">
        <f aca="false">IF(OR($BQ52,$BS52),SpreadOptPowerMargin,0)*((1+Assumptions!$C$26)^($B52-YEAR(Assumptions!$C$17)))</f>
        <v>#VALUE!</v>
      </c>
      <c r="CZ52" s="1316" t="e">
        <f aca="false">IF(OR($BQ52,$BS52),SpreadOptPowerMargin,0)*((1+Assumptions!$C$26)^($B52-YEAR(Assumptions!$C$17)))</f>
        <v>#VALUE!</v>
      </c>
      <c r="DA52" s="1591" t="e">
        <f aca="false">IF(OR(BQ52,BS52),(CW52*(AZ52+BH52)+CX52*(BA52+BI52)+CY52*(BB52+BJ52)+CZ52*(BC52+BK52))/(BQ52+BS52),0)</f>
        <v>#VALUE!</v>
      </c>
      <c r="DB52" s="1592" t="e">
        <f aca="false">IF(OR(BQ52,BS52),CG52+IF(OVolSmile,VLOOKUP(MAX(-5,CO52+CW52-BU52),IF(OVolSmile=1,VolSmileBook,VolSmileModel),2),0),"")</f>
        <v>#VALUE!</v>
      </c>
      <c r="DC52" s="1592" t="e">
        <f aca="false">IF(OR(BQ52,BS52),CH52+IF(OVolSmile,VLOOKUP(MAX(-5,CP52+CW52-BV52),IF(OVolSmile=1,VolSmileBook,VolSmileModel),2),0),"")</f>
        <v>#VALUE!</v>
      </c>
      <c r="DD52" s="1592" t="e">
        <f aca="false">IF(OR(BQ52,BS52),CI52+IF(OVolSmile,VLOOKUP(MAX(-5,CQ52+CW52-BW52),IF(OVolSmile=1,VolSmileBook,VolSmileModel),2),0),"")</f>
        <v>#VALUE!</v>
      </c>
      <c r="DE52" s="1592" t="e">
        <f aca="false">IF(OR(BQ52,BS52),CL52+IF(OVolSmile,VLOOKUP(MAX(-5,CR52+CZ52-BX52),IF(OVolSmile=1,VolSmileBook,VolSmileModel),2),0),"")</f>
        <v>#VALUE!</v>
      </c>
      <c r="DF52" s="1592" t="e">
        <f aca="false">IF(BQ52,CM52+IF(OVolSmile,VLOOKUP(MAX(-5,CS52+DA52-BZ52),IF(OVolSmile=1,VolSmileBook,VolSmileModel),2),0),"")</f>
        <v>#VALUE!</v>
      </c>
      <c r="DG52" s="1593" t="e">
        <f aca="false">IF(BS52,CN52+IF(OVolSmile,VLOOKUP(MAX(-5,CT52+DA52-CF52),IF(OVolSmile=1,VolSmileBook,VolSmileModel),2),0),"")</f>
        <v>#VALUE!</v>
      </c>
      <c r="DH52" s="1316" t="e">
        <f aca="false">IF(AND(BU52&gt;0,CO52&gt;0,DB52&gt;0,CU52&gt;0),newSPRDOPT(BU52,CO52,CW52,0,DB52,CU52,CV52,BT52*365.25,OCallPut,0),0)</f>
        <v>#VALUE!</v>
      </c>
      <c r="DI52" s="1316" t="e">
        <f aca="false">IF(AND(BV52&gt;0,CP52&gt;0,DC52&gt;0,CU52&gt;0),newSPRDOPT(BV52,CP52,CX52,0,DC52,CU52,CV52,BT52*365.25,OCallPut,0),0)</f>
        <v>#VALUE!</v>
      </c>
      <c r="DJ52" s="1316" t="e">
        <f aca="false">IF(AND(BW52&gt;0,CQ52&gt;0,DD52&gt;0,CU52&gt;0),newSPRDOPT(BW52,CQ52,CY52,0,DD52,CU52,CV52,BT52*365.25,OCallPut,0),0)</f>
        <v>#VALUE!</v>
      </c>
      <c r="DK52" s="1316" t="e">
        <f aca="false">IF(AND(BX52&gt;0,CR52&gt;0,DE52&gt;0,CU52&gt;0),newSPRDOPT(BX52,CR52,CZ52,0,DE52,CU52,CV52,BT52*365.25,OCallPut,0),0)</f>
        <v>#VALUE!</v>
      </c>
      <c r="DL52" s="1316" t="e">
        <f aca="false">IF(OVolType,IF(AND(BZ52&gt;0,CS52&gt;0,DF52&gt;0,CU52&gt;0),newSPRDOPT(BZ52,CS52,DA52,0,DF52,CU52,CV52,BT52*365.25,OCallPut,0),0),IF(BQ52,(DH52*AZ52+DI52*BA52+DJ52*BB52+DK52*BC52)/BQ52,0))</f>
        <v>#VALUE!</v>
      </c>
      <c r="DM52" s="1316"/>
      <c r="DN52" s="1316"/>
      <c r="DO52" s="1316"/>
      <c r="DP52" s="1316"/>
      <c r="DQ52" s="1316"/>
      <c r="DR52" s="1316"/>
      <c r="DS52" s="1316"/>
      <c r="DT52" s="1316"/>
      <c r="DU52" s="1316"/>
      <c r="DV52" s="1316"/>
      <c r="DW52" s="1594" t="e">
        <f aca="false">IF(AND(BW52&gt;0,CT52&gt;0,DD52&gt;0,CU52&gt;0),newSPRDOPT(BW52,CT52,CY52,0,DD52,CU52,CV52,BT52*365.25,OCallPut,0),0)</f>
        <v>#VALUE!</v>
      </c>
      <c r="DX52" s="1316" t="e">
        <f aca="false">IF(AND(BX52&gt;0,CT52&gt;0,DE52&gt;0,CU52&gt;0),newSPRDOPT(BX52,CT52,CZ52,0,DE52,CU52,CV52,BT52*365.25,OCallPut,0),0)</f>
        <v>#VALUE!</v>
      </c>
      <c r="DY52" s="1591" t="e">
        <f aca="false">IF(BS52,(DH52*BH52+DI52*BI52+DW52*BJ52+DX52*BK52)/BS52,0)</f>
        <v>#VALUE!</v>
      </c>
      <c r="DZ52" s="1551" t="e">
        <f aca="false">DH52*AZ52</f>
        <v>#VALUE!</v>
      </c>
      <c r="EA52" s="1551" t="e">
        <f aca="false">DI52*BA52</f>
        <v>#VALUE!</v>
      </c>
      <c r="EB52" s="1551" t="e">
        <f aca="false">DJ52*BB52</f>
        <v>#VALUE!</v>
      </c>
      <c r="EC52" s="1551" t="e">
        <f aca="false">DK52*BC52</f>
        <v>#VALUE!</v>
      </c>
      <c r="ED52" s="1551" t="e">
        <f aca="false">DL52*BQ52</f>
        <v>#VALUE!</v>
      </c>
      <c r="EE52" s="1595" t="e">
        <f aca="false">IF(BQ52,IF(OCallPut,IF(BU52&gt;(CO52+CW52),BU52-(CO52+CW52),0),IF((CO52+CW52)&gt;BU52,(CO52+CW52)-BU52,0))*AZ52,0)</f>
        <v>#VALUE!</v>
      </c>
      <c r="EF52" s="1596" t="e">
        <f aca="false">IF(BQ52,IF(OCallPut,IF(BV52&gt;(CP52+CX52),BV52-(CP52+CX52),0),IF((CP52+CX52)&gt;BV52,(CP52+CX52)-BV52,0))*BA52,0)</f>
        <v>#VALUE!</v>
      </c>
      <c r="EG52" s="1596" t="e">
        <f aca="false">IF(BQ52,IF(OCallPut,IF(BW52&gt;(CQ52+CY52),BW52-(CQ52+CY52),0),IF((CQ52+CY52)&gt;BW52,(CQ52+CY52)-BW52,0))*BB52,0)</f>
        <v>#VALUE!</v>
      </c>
      <c r="EH52" s="1596" t="e">
        <f aca="false">IF(BQ52,IF(OCallPut,IF(BX52&gt;(CR52+CZ52),BX52-(CR52+CZ52),0),IF((CR52+CZ52)&gt;BX52,(CR52+CZ52)-BX52,0))*BC52,0)</f>
        <v>#VALUE!</v>
      </c>
      <c r="EI52" s="1597" t="e">
        <f aca="false">IF(BQ52,IF(OVolType,IF(OCallPut,IF(BZ52&gt;(CS52+DA52),BZ52-(CS52+DA52),0),IF((CS52+DA52)&gt;BZ52,(CS52+DA52)-BZ52,0))*BQ52,SUM(EE52:EH52)),0)</f>
        <v>#VALUE!</v>
      </c>
      <c r="EJ52" s="1595" t="e">
        <f aca="false">DZ52-EE52</f>
        <v>#VALUE!</v>
      </c>
      <c r="EK52" s="1596" t="e">
        <f aca="false">EA52-EF52</f>
        <v>#VALUE!</v>
      </c>
      <c r="EL52" s="1596" t="e">
        <f aca="false">EB52-EG52</f>
        <v>#VALUE!</v>
      </c>
      <c r="EM52" s="1596" t="e">
        <f aca="false">EC52-EH52</f>
        <v>#VALUE!</v>
      </c>
      <c r="EN52" s="1597" t="e">
        <f aca="false">ED52-EI52</f>
        <v>#VALUE!</v>
      </c>
      <c r="EO52" s="1551" t="e">
        <f aca="false">DH52*BH52</f>
        <v>#VALUE!</v>
      </c>
      <c r="EP52" s="1551" t="e">
        <f aca="false">DI52*BI52</f>
        <v>#VALUE!</v>
      </c>
      <c r="EQ52" s="1551" t="e">
        <f aca="false">DW52*BJ52</f>
        <v>#VALUE!</v>
      </c>
      <c r="ER52" s="1551" t="e">
        <f aca="false">DX52*BK52</f>
        <v>#VALUE!</v>
      </c>
      <c r="ES52" s="1551" t="e">
        <f aca="false">DY52*BS52</f>
        <v>#VALUE!</v>
      </c>
      <c r="ET52" s="1566" t="e">
        <f aca="false">IF(EI52,IF(OCallPut,IF(CA52&gt;(CT52+CW52),CA52-(CT52+CW52),0),IF((CT52+CW52)&gt;CA52,(CT52+CW52)-CA52,0))*BH52,0)</f>
        <v>#VALUE!</v>
      </c>
      <c r="EU52" s="1551" t="e">
        <f aca="false">IF(EI52,IF(OCallPut,IF(CB52&gt;(CT52+CX52),CB52-(CT52+CX52),0),IF((CT52+CX52)&gt;CB52,(CT52+CX52)-CB52,0))*BI52,0)</f>
        <v>#VALUE!</v>
      </c>
      <c r="EV52" s="1551" t="e">
        <f aca="false">IF(EI52,IF(OCallPut,IF(CC52&gt;(CT52+CY52),CC52-(CT52+CY52),0),IF((CT52+CY52)&gt;CC52,(CT52+CY52)-CC52,0))*BJ52,0)</f>
        <v>#VALUE!</v>
      </c>
      <c r="EW52" s="1551" t="e">
        <f aca="false">IF(EI52,IF(OCallPut,IF(CD52&gt;(CT52+CZ52),CD52-(CT52+CZ52),0),IF((CT52+CZ52)&gt;CD52,(CT52+CZ52)-CD52,0))*BK52,0)</f>
        <v>#VALUE!</v>
      </c>
      <c r="EX52" s="1558" t="e">
        <f aca="false">IF(EI52,SUM(ET52:EW52),0)</f>
        <v>#VALUE!</v>
      </c>
      <c r="EY52" s="1551" t="e">
        <f aca="false">EO52-ET52</f>
        <v>#VALUE!</v>
      </c>
      <c r="EZ52" s="1551" t="e">
        <f aca="false">EP52-EU52</f>
        <v>#VALUE!</v>
      </c>
      <c r="FA52" s="1551" t="e">
        <f aca="false">EQ52-EV52</f>
        <v>#VALUE!</v>
      </c>
      <c r="FB52" s="1551" t="e">
        <f aca="false">ER52-EW52</f>
        <v>#VALUE!</v>
      </c>
      <c r="FC52" s="1551" t="e">
        <f aca="false">ES52-EX52</f>
        <v>#VALUE!</v>
      </c>
      <c r="FD52" s="1525" t="n">
        <f aca="false">IF(AX52,IF(VLOOKUP(C52,MAIN!$L$17:$M$28,2)="Yes",VLOOKUP(CALC!B52,MAIN!$H$17:$I$20,2),0),0)</f>
        <v>0</v>
      </c>
      <c r="FE52" s="1552" t="n">
        <f aca="false">$FD52*16*AT52*(1-$AY52)</f>
        <v>0</v>
      </c>
      <c r="FF52" s="1553" t="n">
        <f aca="false">$FD52*16*AU52*(1-$AY52)</f>
        <v>0</v>
      </c>
      <c r="FG52" s="1553" t="n">
        <f aca="false">$FD52*16*(AV52+AW52)*(1-$AY52)</f>
        <v>0</v>
      </c>
      <c r="FH52" s="1554" t="n">
        <f aca="false">$FD52*8*AX52*(1-$AY52)</f>
        <v>0</v>
      </c>
      <c r="FI52" s="1555" t="n">
        <f aca="false">IF(AX52,VLOOKUP(CALC!B52,MAIN!$H$17:$K$20,4),0)</f>
        <v>0</v>
      </c>
      <c r="FJ52" s="1553" t="n">
        <f aca="false">SUM(FE52:FH52)</f>
        <v>0</v>
      </c>
      <c r="FK52" s="1556" t="n">
        <f aca="false">FI52*FJ52</f>
        <v>0</v>
      </c>
      <c r="FL52" s="1551" t="e">
        <f aca="false">IF($EI52&gt;0,MIN(FE52,AZ52*(1+VLOOKUP($C52,WeatherCapacityAdjustment,2))),0)</f>
        <v>#VALUE!</v>
      </c>
      <c r="FM52" s="1551" t="e">
        <f aca="false">IF($EI52&gt;0,MIN(FF52,BA52*(1+VLOOKUP($C52,WeatherCapacityAdjustment,2))),0)</f>
        <v>#VALUE!</v>
      </c>
      <c r="FN52" s="1551" t="e">
        <f aca="false">IF($EI52&gt;0,MIN(FG52,BB52*(1+VLOOKUP($C52,WeatherCapacityAdjustment,2))),0)</f>
        <v>#VALUE!</v>
      </c>
      <c r="FO52" s="1564" t="e">
        <f aca="false">IF($EI52&gt;0,MIN(FH52,BC52*(1+VLOOKUP($C52,WeatherCapacityAdjustment,3))),0)</f>
        <v>#VALUE!</v>
      </c>
      <c r="FP52" s="1551" t="e">
        <f aca="false">IF(ET52&gt;0,MIN(FE52-FL52,BH52*(1+VLOOKUP($C52,WeatherCapacityAdjustment,2))),0)</f>
        <v>#VALUE!</v>
      </c>
      <c r="FQ52" s="1551" t="e">
        <f aca="false">IF(EU52&gt;0,MIN(FF52-FM52,BI52*(1+VLOOKUP($C52,WeatherCapacityAdjustment,2))),0)</f>
        <v>#VALUE!</v>
      </c>
      <c r="FR52" s="1551" t="e">
        <f aca="false">IF(EV52&gt;0,MIN(FG52-FN52,BJ52*(1+VLOOKUP($C52,WeatherCapacityAdjustment,2))),0)</f>
        <v>#VALUE!</v>
      </c>
      <c r="FS52" s="1558" t="e">
        <f aca="false">IF(EW52&gt;0,MIN(FH52-FO52,BK52*(1+VLOOKUP($C52,WeatherCapacityAdjustment,3))),0)</f>
        <v>#VALUE!</v>
      </c>
      <c r="FT52" s="1566" t="n">
        <f aca="false">IF(AND(Assumptions!$H$71="Yes",A52&gt;=Assumptions!$H$72,A52&lt;=Assumptions!$H$73),0,IF(AND($A52&gt;=Assumptions!$C$17,$A52&lt;=Assumptions!$C$18),MAX(AZ52*(1+VLOOKUP($C52,WeatherCapacityAdjustment,2))-FL52,0),0))</f>
        <v>0</v>
      </c>
      <c r="FU52" s="1551" t="n">
        <f aca="false">IF(AND(Assumptions!$H$71="Yes",A52&gt;=Assumptions!$H$72,A52&lt;=Assumptions!$H$73),0,IF(AND($A52&gt;=Assumptions!$C$17,$A52&lt;=Assumptions!$C$18),MAX(BA52*(1+VLOOKUP($C52,WeatherCapacityAdjustment,2))-FM52,0),0))</f>
        <v>0</v>
      </c>
      <c r="FV52" s="1551" t="n">
        <f aca="false">IF(AND(Assumptions!$H$71="Yes",A52&gt;=Assumptions!$H$72,A52&lt;=Assumptions!$H$73),0,IF(AND($A52&gt;=Assumptions!$C$17,$A52&lt;=Assumptions!$C$18),MAX(BB52*(1+VLOOKUP($C52,WeatherCapacityAdjustment,2))-FN52,0),0))</f>
        <v>0</v>
      </c>
      <c r="FW52" s="1564" t="n">
        <f aca="false">IF(AND(Assumptions!$H$71="Yes",A52&gt;=Assumptions!$H$72,A52&lt;=Assumptions!$H$73),0,IF(AND($A52&gt;=Assumptions!$C$17,$A52&lt;=Assumptions!$C$18),MAX(BC52*(1+VLOOKUP($C52,WeatherCapacityAdjustment,3))-FO52,0),0))</f>
        <v>0</v>
      </c>
      <c r="FX52" s="1569" t="e">
        <f aca="false">IF(AND(Assumptions!$H$71="Yes",A52&gt;=Assumptions!$H$72,A52&lt;=Assumptions!$H$73),0,IF(ET52&gt;0,MAX(BH52*(1+VLOOKUP($C52,WeatherCapacityAdjustment,2))-FP52,0),0))</f>
        <v>#VALUE!</v>
      </c>
      <c r="FY52" s="1551" t="e">
        <f aca="false">IF(AND(Assumptions!$H$71="Yes",A52&gt;=Assumptions!$H$72,A52&lt;=Assumptions!$H$73),0,IF(EU52&gt;0,MAX(BI52*(1+VLOOKUP($C52,WeatherCapacityAdjustment,3))-FQ52,0),0))</f>
        <v>#VALUE!</v>
      </c>
      <c r="FZ52" s="1551" t="e">
        <f aca="false">IF(AND(Assumptions!$H$71="Yes",A52&gt;=Assumptions!$H$72,A52&lt;=Assumptions!$H$73),0,IF(EV52&gt;0,MAX(BJ52*(1+VLOOKUP($C52,WeatherCapacityAdjustment,2))-FR52,0),0))</f>
        <v>#VALUE!</v>
      </c>
      <c r="GA52" s="1564" t="e">
        <f aca="false">IF(AND(Assumptions!$H$71="Yes",A52&gt;=Assumptions!$H$72,A52&lt;=Assumptions!$H$73),0,IF(EW52&gt;0,MAX(BK52*(1+VLOOKUP($C52,WeatherCapacityAdjustment,2))-FS52,0),0))</f>
        <v>#VALUE!</v>
      </c>
      <c r="GB52" s="1551" t="e">
        <f aca="false">SUM(FT52:GA52)</f>
        <v>#VALUE!</v>
      </c>
      <c r="GC52" s="1563" t="e">
        <f aca="false">+IF(SUM(FT52:GA52)=0,0,(SUMPRODUCT(BU52:BX52,FT52:FW52)+SUMPRODUCT(CA52:CD52,FX52:GA52))/SUM(FT52:GA52))</f>
        <v>#VALUE!</v>
      </c>
      <c r="GD52" s="1551" t="e">
        <f aca="false">(FT52*BU52+FX52*CA52+FU52*BV52+FY52*CB52+FV52*BW52+FZ52*CC52+FW52*BX52+GA52*CD52)</f>
        <v>#VALUE!</v>
      </c>
      <c r="GE52" s="1561" t="e">
        <f aca="false">+IF(BQ52,((FL52+FM52+FT52+FU52)*HeatRatePeak/1000*(1+VLOOKUP($C52,WeatherHeatRateAdjustment,2))+(FN52+FV52)*IF(EV52&gt;0,HeatRatePeak,HeatRateOffPeak)/1000*(1+VLOOKUP($C52,WeatherHeatRateAdjustment,2))+(FO52+FW52)*IF(EW52&gt;0,HeatRatePeak,HeatRateOffPeak)/1000*(1+VLOOKUP($C52,WeatherHeatRateAdjustment,3)))*(1+VLOOKUP($B52,HeatRateDegradation,$C52+1)),0)</f>
        <v>#VALUE!</v>
      </c>
      <c r="GF52" s="1562" t="e">
        <f aca="false">IF(BQ52,((FP52+FQ52+FR52+FX52+FY52+FZ52)*HeatRatePeak/1000*(1+VLOOKUP($C52,WeatherHeatRateAdjustment,2))+(FS52+GA52)*HeatRatePeak/1000*(1+VLOOKUP($C52,WeatherHeatRateAdjustment,3)))*(1+VLOOKUP($B52,HeatRateDegradation,$C52+1)),0)</f>
        <v>#VALUE!</v>
      </c>
      <c r="GG52" s="1563" t="e">
        <f aca="false">IF(BQ52,VLOOKUP(A52,GasTable,13),0)</f>
        <v>#VALUE!</v>
      </c>
      <c r="GH52" s="1564" t="e">
        <f aca="false">(GE52+GF52)*GG52</f>
        <v>#VALUE!</v>
      </c>
      <c r="GI52" s="1569" t="e">
        <f aca="false">GB52</f>
        <v>#VALUE!</v>
      </c>
      <c r="GJ52" s="1598" t="e">
        <f aca="false">+DA52</f>
        <v>#VALUE!</v>
      </c>
      <c r="GK52" s="1558" t="e">
        <f aca="false">+GI52*GJ52</f>
        <v>#VALUE!</v>
      </c>
      <c r="GL52" s="1566" t="e">
        <f aca="false">MAX(FE52-FL52-FP52,0)</f>
        <v>#VALUE!</v>
      </c>
      <c r="GM52" s="1551" t="e">
        <f aca="false">MAX(FF52-FM52-FQ52,0)</f>
        <v>#VALUE!</v>
      </c>
      <c r="GN52" s="1551" t="e">
        <f aca="false">MAX(FG52-FN52-FR52,0)</f>
        <v>#VALUE!</v>
      </c>
      <c r="GO52" s="1564" t="e">
        <f aca="false">MAX(FH52-FO52-FS52,0)</f>
        <v>#VALUE!</v>
      </c>
      <c r="GP52" s="1551" t="e">
        <f aca="false">SUM(GL52:GO52)</f>
        <v>#VALUE!</v>
      </c>
      <c r="GQ52" s="1563" t="e">
        <f aca="false">IF(SUM(GL52:GO52)=0,0,((GL52*BU52+GM52*BV52+GN52*BW52+GO52*BX52)/SUM(GL52:GO52)))</f>
        <v>#VALUE!</v>
      </c>
      <c r="GR52" s="1558" t="e">
        <f aca="false">(GL52*BU52+GM52*BV52+GN52*BW52+GO52*BX52)</f>
        <v>#VALUE!</v>
      </c>
      <c r="GS52" s="1566" t="n">
        <f aca="false">IF($A52&gt;=BegDate,Assumptions!$C$56*24*($A53-$A52)*(1-VLOOKUP($B52,MAIN!$AA$7:$AM$28,$C52+1))*(1-VLOOKUP($B52,MAIN!$AA$33:$AM$54,$C52+1)),0)*80/168</f>
        <v>0</v>
      </c>
      <c r="GT52" s="286" t="n">
        <f aca="false">J52</f>
        <v>29.121669936</v>
      </c>
      <c r="GU52" s="286" t="n">
        <f aca="false">IF($A52&gt;=BegDate,VLOOKUP($A52,GasTable,13)+Assumptions!$C$58,0)</f>
        <v>0</v>
      </c>
      <c r="GV52" s="286" t="n">
        <f aca="false">GU52*Assumptions!$C$57/1000</f>
        <v>0</v>
      </c>
      <c r="GW52" s="1558" t="n">
        <f aca="false">IF(Assumptions!$C$60="Hourly",MAX(0,GS52*(GT52-GV52)),GS52*(GT52-GV52))</f>
        <v>0</v>
      </c>
      <c r="GX52" s="1566" t="n">
        <f aca="false">IF($A52&gt;=BegDate,Assumptions!$C$56*24*($A53-$A52)*(1-VLOOKUP($B52,MAIN!$AA$7:$AM$28,$C52+1))*(1-VLOOKUP($B52,MAIN!$AA$33:$AM$54,$C52+1)),0)*16/168</f>
        <v>0</v>
      </c>
      <c r="GY52" s="286" t="n">
        <f aca="false">M52</f>
        <v>29.121669936</v>
      </c>
      <c r="GZ52" s="286" t="n">
        <f aca="false">IF($A52&gt;=BegDate,VLOOKUP($A52,GasTable,13)+Assumptions!$C$58,0)</f>
        <v>0</v>
      </c>
      <c r="HA52" s="286" t="n">
        <f aca="false">GZ52*Assumptions!$C$57/1000</f>
        <v>0</v>
      </c>
      <c r="HB52" s="1558" t="n">
        <f aca="false">IF(Assumptions!$C$60="Hourly",MAX(0,GX52*(GY52-HA52)),GX52*(GY52-HA52))</f>
        <v>0</v>
      </c>
      <c r="HC52" s="1566" t="n">
        <f aca="false">IF($A52&gt;=BegDate,Assumptions!$C$56*24*($A53-$A52)*(1-VLOOKUP($B52,MAIN!$AA$7:$AM$28,$C52+1))*(1-VLOOKUP($B52,MAIN!$AA$33:$AM$54,$C52+1)),0)*16/168</f>
        <v>0</v>
      </c>
      <c r="HD52" s="286" t="n">
        <f aca="false">P52</f>
        <v>19.8117982728</v>
      </c>
      <c r="HE52" s="286" t="n">
        <f aca="false">IF($A52&gt;=BegDate,VLOOKUP($A52,GasTable,13)+Assumptions!$C$58,0)</f>
        <v>0</v>
      </c>
      <c r="HF52" s="286" t="n">
        <f aca="false">HE52*Assumptions!$C$57/1000</f>
        <v>0</v>
      </c>
      <c r="HG52" s="1558" t="n">
        <f aca="false">IF(Assumptions!$C$60="Hourly",MAX(0,HC52*(HD52-HF52)),HC52*(HD52-HF52))</f>
        <v>0</v>
      </c>
      <c r="HH52" s="1566" t="n">
        <f aca="false">IF($A52&gt;=BegDate,Assumptions!$C$56*24*($A53-$A52)*(1-VLOOKUP($B52,MAIN!$AA$7:$AM$28,$C52+1))*(1-VLOOKUP($B52,MAIN!$AA$33:$AM$54,$C52+1)),0)*56/168</f>
        <v>0</v>
      </c>
      <c r="HI52" s="286" t="n">
        <f aca="false">S52</f>
        <v>19.8117982728</v>
      </c>
      <c r="HJ52" s="286" t="n">
        <f aca="false">IF($A52&gt;=BegDate,VLOOKUP($A52,GasTable,13)+Assumptions!$C$58,0)</f>
        <v>0</v>
      </c>
      <c r="HK52" s="286" t="n">
        <f aca="false">HJ52*Assumptions!$C$57/1000</f>
        <v>0</v>
      </c>
      <c r="HL52" s="1558" t="n">
        <f aca="false">IF(Assumptions!$C$60="Hourly",MAX(0,HH52*(HI52-HK52)),HH52*(HI52-HK52))</f>
        <v>0</v>
      </c>
      <c r="HM52" s="1566" t="n">
        <f aca="false">IF(AND(Assumptions!$H$71="Yes",A52&gt;=Assumptions!$H$72,A52&lt;=Assumptions!$H$73),Assumptions!$H$74*Assumptions!$C$9*1000,0)</f>
        <v>0</v>
      </c>
      <c r="HN52" s="1551"/>
      <c r="HO52" s="1563"/>
      <c r="HP52" s="1563"/>
      <c r="HQ52" s="1563"/>
      <c r="HR52" s="1563"/>
      <c r="HS52" s="1563"/>
      <c r="HT52" s="1563"/>
      <c r="HU52" s="1563"/>
      <c r="HV52" s="1563"/>
      <c r="HW52" s="1563"/>
      <c r="HX52" s="1563"/>
      <c r="HY52" s="1563"/>
      <c r="HZ52" s="1563"/>
      <c r="IA52" s="1563"/>
      <c r="IB52" s="1563"/>
      <c r="IC52" s="1563"/>
      <c r="ID52" s="1563"/>
      <c r="IE52" s="1563"/>
      <c r="IF52" s="1563"/>
      <c r="IG52" s="1563"/>
      <c r="IH52" s="1563"/>
      <c r="II52" s="1610"/>
      <c r="IJ52" s="1309"/>
      <c r="IK52" s="1309"/>
    </row>
    <row r="53" customFormat="false" ht="12.75" hidden="false" customHeight="false" outlineLevel="0" collapsed="false">
      <c r="A53" s="1571" t="n">
        <f aca="false">EOMONTH(A52,0)+1</f>
        <v>37742</v>
      </c>
      <c r="B53" s="594" t="n">
        <f aca="false">+YEAR(A53)</f>
        <v>2003</v>
      </c>
      <c r="C53" s="238" t="n">
        <f aca="false">MONTH(A53)</f>
        <v>5</v>
      </c>
      <c r="D53" s="1572" t="str">
        <f aca="false">IF(E53="","",Holiday(B53,C53))</f>
        <v/>
      </c>
      <c r="E53" s="1573" t="str">
        <f aca="false">IF(OR(BegDate&gt;=A54,EndDate&lt;A53,AND(VolumeMonthlyOverFlag,INDEX(VolumeMonthlyOver,C53)=0),NOT(INDEX(MonthKnockOutTable,C53))),"",MAX(A53,BegDate))</f>
        <v/>
      </c>
      <c r="F53" s="1574" t="str">
        <f aca="false">IF(E53="","",MIN(A54-1,EndDate))</f>
        <v/>
      </c>
      <c r="G53" s="1575" t="n">
        <v>0</v>
      </c>
      <c r="H53" s="1576" t="n">
        <f aca="false">(1+G53/2)^(-2*(DATE(B54,C54,20)-DateToday)/365.25)</f>
        <v>1</v>
      </c>
      <c r="I53" s="1568" t="n">
        <f aca="false">IF(Assumptions!$L$25=4,VLOOKUP($A53,'Henwood Reference'!$E$9:$R$320,10),(VLOOKUP($A53,PriceTable,2,0)+IF(BasisNumber&lt;&gt;1,VLOOKUP($A53,BasisTable,2,0),0)+I$1)/(1-I$2))</f>
        <v>29.5841443824</v>
      </c>
      <c r="J53" s="1568" t="n">
        <f aca="false">IF(Assumptions!$L$25=4,VLOOKUP($A53,'Henwood Reference'!$E$9:$R$320,10),(VLOOKUP($A53,PriceTable,3,0)+IF(BasisNumber&lt;&gt;1,VLOOKUP($A53,BasisTable,2,0),0)+J$1)/(1-J$2))</f>
        <v>29.5841443824</v>
      </c>
      <c r="K53" s="1568" t="n">
        <f aca="false">IF(Assumptions!$L$25=4,VLOOKUP($A53,'Henwood Reference'!$E$9:$R$320,10),(VLOOKUP($A53,PriceTable,4,0)+IF(BasisNumber&lt;&gt;1,VLOOKUP($A53,BasisTable,2,0),0)+K$1)/(1-K$2))</f>
        <v>29.5841443824</v>
      </c>
      <c r="L53" s="1523" t="n">
        <f aca="false">IF(Assumptions!$L$25=4,VLOOKUP($A53,'Henwood Reference'!$E$9:$R$320,10),(VLOOKUP($A53,PriceTableWeekend,2,0)+IF(BasisNumber&lt;&gt;1,VLOOKUP($A53,BasisTable,2,0),0)+L$1)/(1-L$2))</f>
        <v>29.5841443824</v>
      </c>
      <c r="M53" s="1568" t="n">
        <f aca="false">IF(Assumptions!$L$25=4,VLOOKUP($A53,'Henwood Reference'!$E$9:$R$320,10),(VLOOKUP($A53,PriceTableWeekend,3,0)+IF(BasisNumber&lt;&gt;1,VLOOKUP($A53,BasisTable,2,0),0)+M$1)/(1-M$2))</f>
        <v>29.5841443824</v>
      </c>
      <c r="N53" s="1599" t="n">
        <f aca="false">IF(Assumptions!$L$25=4,VLOOKUP($A53,'Henwood Reference'!$E$9:$R$320,10),(VLOOKUP($A53,PriceTableWeekend,4,0)+IF(BasisNumber&lt;&gt;1,VLOOKUP($A53,BasisTable,2,0),0)+N$1)/(1-N$2))</f>
        <v>29.5841443824</v>
      </c>
      <c r="O53" s="1568" t="n">
        <f aca="false">IF(Assumptions!$L$25=4,VLOOKUP($A53,'Henwood Reference'!$E$9:$R$320,11),(VLOOKUP($A53,PriceTableWeekend,6,0)+IF(BasisNumber&lt;&gt;1,VLOOKUP($A53,BasisTable,3,0),0)+O$1)/(1-O$2))</f>
        <v>16.227992736</v>
      </c>
      <c r="P53" s="1568" t="n">
        <f aca="false">IF(Assumptions!$L$25=4,VLOOKUP($A53,'Henwood Reference'!$E$9:$R$320,11),(VLOOKUP($A53,PriceTableWeekend,7,0)+IF(BasisNumber&lt;&gt;1,VLOOKUP($A53,BasisTable,3,0),0)+P$1)/(1-P$2))</f>
        <v>16.227992736</v>
      </c>
      <c r="Q53" s="1599" t="n">
        <f aca="false">IF(Assumptions!$L$25=4,VLOOKUP($A53,'Henwood Reference'!$E$9:$R$320,11),(VLOOKUP($A53,PriceTableWeekend,8,0)+IF(BasisNumber&lt;&gt;1,VLOOKUP($A53,BasisTable,3,0),0)+Q$1)/(1-Q$2))</f>
        <v>16.227992736</v>
      </c>
      <c r="R53" s="1568" t="n">
        <f aca="false">IF(Assumptions!$L$25=4,VLOOKUP($A53,'Henwood Reference'!$E$9:$R$320,11),(VLOOKUP($A53,PriceTable,6,0)+IF(BasisNumber&lt;&gt;1,VLOOKUP($A53,BasisTable,3,0),0)+R$1)/(1-R$2))</f>
        <v>16.227992736</v>
      </c>
      <c r="S53" s="1568" t="n">
        <f aca="false">IF(Assumptions!$L$25=4,VLOOKUP($A53,'Henwood Reference'!$E$9:$R$320,11),(VLOOKUP($A53,PriceTable,7,0)+IF(BasisNumber&lt;&gt;1,VLOOKUP($A53,BasisTable,3,0),0)+S$1)/(1-S$2))</f>
        <v>16.227992736</v>
      </c>
      <c r="T53" s="1600" t="n">
        <f aca="false">IF(Assumptions!$L$25=4,VLOOKUP($A53,'Henwood Reference'!$E$9:$R$320,11),(VLOOKUP($A53,PriceTable,8,0)+IF(BasisNumber&lt;&gt;1,VLOOKUP($A53,BasisTable,3,0),0)+T$1)/(1-T$2))</f>
        <v>16.227992736</v>
      </c>
      <c r="U53" s="1513" t="n">
        <f aca="false">VLOOKUP($A53,VolatilityTable,14)</f>
        <v>0.155</v>
      </c>
      <c r="V53" s="1513" t="n">
        <f aca="false">VLOOKUP($A53,VolatilityTable,15)</f>
        <v>0.165</v>
      </c>
      <c r="W53" s="1514" t="n">
        <f aca="false">VLOOKUP($A53,VolatilityTable,16)</f>
        <v>0.175</v>
      </c>
      <c r="X53" s="1513" t="n">
        <f aca="false">VLOOKUP($A53,VolatilityTable,14)</f>
        <v>0.155</v>
      </c>
      <c r="Y53" s="1513" t="n">
        <f aca="false">VLOOKUP($A53,VolatilityTable,15)</f>
        <v>0.165</v>
      </c>
      <c r="Z53" s="1514" t="n">
        <f aca="false">VLOOKUP($A53,VolatilityTable,16)</f>
        <v>0.175</v>
      </c>
      <c r="AA53" s="1513" t="n">
        <f aca="false">VLOOKUP($A53,VolatilityTable,18)</f>
        <v>0.09</v>
      </c>
      <c r="AB53" s="1513" t="n">
        <f aca="false">VLOOKUP($A53,VolatilityTable,19)</f>
        <v>0.11</v>
      </c>
      <c r="AC53" s="1514" t="n">
        <f aca="false">VLOOKUP($A53,VolatilityTable,20)</f>
        <v>0.13</v>
      </c>
      <c r="AD53" s="1513" t="n">
        <f aca="false">VLOOKUP($A53,VolatilityTable,18)</f>
        <v>0.09</v>
      </c>
      <c r="AE53" s="1513" t="n">
        <f aca="false">VLOOKUP($A53,VolatilityTable,19)</f>
        <v>0.11</v>
      </c>
      <c r="AF53" s="1514" t="n">
        <f aca="false">VLOOKUP($A53,VolatilityTable,20)</f>
        <v>0.13</v>
      </c>
      <c r="AG53" s="1513" t="n">
        <f aca="false">VLOOKUP($A53,VolatilityTable,22)</f>
        <v>-0.1</v>
      </c>
      <c r="AH53" s="1513" t="n">
        <f aca="false">VLOOKUP($A53,VolatilityTable,23)</f>
        <v>0.65</v>
      </c>
      <c r="AI53" s="1514" t="n">
        <f aca="false">VLOOKUP($A53,VolatilityTable,24)</f>
        <v>0.1</v>
      </c>
      <c r="AJ53" s="1513" t="n">
        <f aca="false">VLOOKUP($A53,VolatilityTable,22)</f>
        <v>-0.1</v>
      </c>
      <c r="AK53" s="1513" t="n">
        <f aca="false">VLOOKUP($A53,VolatilityTable,23)</f>
        <v>0.65</v>
      </c>
      <c r="AL53" s="1514" t="n">
        <f aca="false">VLOOKUP($A53,VolatilityTable,24)</f>
        <v>0.1</v>
      </c>
      <c r="AM53" s="1513" t="n">
        <f aca="false">VLOOKUP($A53,VolatilityTable,26)</f>
        <v>-0.01</v>
      </c>
      <c r="AN53" s="1513" t="n">
        <f aca="false">VLOOKUP($A53,VolatilityTable,27)</f>
        <v>0.16</v>
      </c>
      <c r="AO53" s="1514" t="n">
        <f aca="false">VLOOKUP($A53,VolatilityTable,28)</f>
        <v>0.01</v>
      </c>
      <c r="AP53" s="1513" t="n">
        <f aca="false">VLOOKUP($A53,VolatilityTable,26)</f>
        <v>-0.01</v>
      </c>
      <c r="AQ53" s="1513" t="n">
        <f aca="false">VLOOKUP($A53,VolatilityTable,27)</f>
        <v>0.16</v>
      </c>
      <c r="AR53" s="1515" t="n">
        <f aca="false">VLOOKUP($A53,VolatilityTable,28)</f>
        <v>0.01</v>
      </c>
      <c r="AS53" s="1581" t="n">
        <f aca="false">IF(CorrPeakOffPeakOverFlag,INDEX(CorrPeakOffPeakOver,C53),CorrPeakOffPeak)</f>
        <v>0.5</v>
      </c>
      <c r="AT53" s="594" t="n">
        <f aca="false">AX53-SUM(AU53:AW53)</f>
        <v>0</v>
      </c>
      <c r="AU53" s="238" t="n">
        <f aca="false">IF(E53="",0,INT((F53-MOD(F53,7)-E53)/7)+1-IF(AW53,IF(WEEKDAY(D53)=7,1,0),0))</f>
        <v>0</v>
      </c>
      <c r="AV53" s="238" t="n">
        <f aca="false">IF(E53="",0,INT((F53-MOD(F53-1,7)-E53)/7)+1-IF(AW53,IF(WEEKDAY(D53)=1,1,0),0))</f>
        <v>0</v>
      </c>
      <c r="AW53" s="238" t="n">
        <f aca="false">IF(OR(E53="",D53="",D53&lt;BegDate,D53&gt;EndDate),0,1)</f>
        <v>0</v>
      </c>
      <c r="AX53" s="238" t="n">
        <f aca="false">IF(E53="",0,F53-E53+1)</f>
        <v>0</v>
      </c>
      <c r="AY53" s="1582" t="n">
        <f aca="false">IF(E53="",0,MIN((1-(1-VLOOKUP(B53,MAIN!$AA$7:$AM$28,C53+1))*(1-VLOOKUP(B53,MAIN!$AA$33:$AM$54,C53+1))),1))</f>
        <v>0</v>
      </c>
      <c r="AZ53" s="1519" t="e">
        <v>#VALUE!</v>
      </c>
      <c r="BA53" s="1520" t="e">
        <v>#VALUE!</v>
      </c>
      <c r="BB53" s="1520" t="e">
        <v>#VALUE!</v>
      </c>
      <c r="BC53" s="1583" t="e">
        <v>#VALUE!</v>
      </c>
      <c r="BD53" s="1522" t="e">
        <v>#VALUE!</v>
      </c>
      <c r="BE53" s="1523" t="e">
        <v>#VALUE!</v>
      </c>
      <c r="BF53" s="1523" t="e">
        <v>#VALUE!</v>
      </c>
      <c r="BG53" s="1584" t="e">
        <v>#VALUE!</v>
      </c>
      <c r="BH53" s="1525" t="e">
        <v>#VALUE!</v>
      </c>
      <c r="BI53" s="1520" t="e">
        <v>#VALUE!</v>
      </c>
      <c r="BJ53" s="1520" t="e">
        <v>#VALUE!</v>
      </c>
      <c r="BK53" s="1583" t="e">
        <v>#VALUE!</v>
      </c>
      <c r="BL53" s="1522" t="e">
        <v>#VALUE!</v>
      </c>
      <c r="BM53" s="1523" t="e">
        <v>#VALUE!</v>
      </c>
      <c r="BN53" s="1523" t="e">
        <v>#VALUE!</v>
      </c>
      <c r="BO53" s="1523" t="e">
        <v>#VALUE!</v>
      </c>
      <c r="BP53" s="1525" t="e">
        <f aca="false">SUM(AZ53:BB53)</f>
        <v>#VALUE!</v>
      </c>
      <c r="BQ53" s="1529" t="e">
        <f aca="false">SUM(AZ53:BC53)</f>
        <v>#VALUE!</v>
      </c>
      <c r="BR53" s="1519" t="e">
        <f aca="false">SUM(BH53:BJ53)</f>
        <v>#VALUE!</v>
      </c>
      <c r="BS53" s="1529" t="e">
        <f aca="false">SUM(BH53:BK53)</f>
        <v>#VALUE!</v>
      </c>
      <c r="BT53" s="1316" t="n">
        <f aca="false">(IF(OVolType&lt;&gt;2,A53+14,IF(OptExpDateShift,ShiftBack(A53,OptExpDateShift,D52),A53))-DateToday)/365.25</f>
        <v>3.0444900752909</v>
      </c>
      <c r="BU53" s="1585" t="e">
        <f aca="false">IF(BQ53,IF(OPriceCurve,IF(OBuySell=OCallPut,I53/(1-AY53),K53/(1-AY53)),J53/(1-AY53))*BD53,0)</f>
        <v>#VALUE!</v>
      </c>
      <c r="BV53" s="1316" t="e">
        <f aca="false">IF(BQ53,IF(OPriceCurve,IF(OBuySell=OCallPut,L53/(1-AY53),N53/(1-AY53)),M53/(1-AY53))*BE53,0)</f>
        <v>#VALUE!</v>
      </c>
      <c r="BW53" s="1316" t="e">
        <f aca="false">IF(BQ53,IF(OPriceCurve,IF(OBuySell=OCallPut,O53/(1-AY53),Q53/(1-AY53)),P53/(1-AY53))*BF53,0)</f>
        <v>#VALUE!</v>
      </c>
      <c r="BX53" s="1316" t="e">
        <f aca="false">IF(BQ53,IF(OPriceCurve,IF(OBuySell=OCallPut,R53/(1-AY53),T53/(1-AY53)),S53/(1-AY53))*BG53,0)</f>
        <v>#VALUE!</v>
      </c>
      <c r="BY53" s="1316" t="e">
        <f aca="false">IF(BP53,(BU53*AZ53+BV53*BA53+BW53*BB53)/BP53,0)</f>
        <v>#VALUE!</v>
      </c>
      <c r="BZ53" s="1316" t="e">
        <f aca="false">IF(BQ53,(BY53*BP53+BX53*BC53)/BQ53,0)</f>
        <v>#VALUE!</v>
      </c>
      <c r="CA53" s="1531" t="e">
        <f aca="false">IF(BS53,IF(OPriceCurve,IF(OBuySell=OCallPut,I53/(1-AY53),K53/(1-AY53)),J53/(1-AY53))*BL53,0)</f>
        <v>#VALUE!</v>
      </c>
      <c r="CB53" s="1316" t="e">
        <f aca="false">IF(BS53,IF(OPriceCurve,IF(OBuySell=OCallPut,L53/(1-AY53),N53/(1-AY53)),M53/(1-AY53))*BM53,0)</f>
        <v>#VALUE!</v>
      </c>
      <c r="CC53" s="1316" t="e">
        <f aca="false">IF(BS53,IF(OPriceCurve,IF(OBuySell=OCallPut,O53/(1-AY53),Q53/(1-AY53)),P53/(1-AY53))*BN53,0)</f>
        <v>#VALUE!</v>
      </c>
      <c r="CD53" s="1316" t="e">
        <f aca="false">IF(BS53,IF(OPriceCurve,IF(OBuySell=OCallPut,R53/(1-AY53),T53/(1-AY53)),S53/(1-AY53))*BO53,0)</f>
        <v>#VALUE!</v>
      </c>
      <c r="CE53" s="1316" t="e">
        <f aca="false">IF(BR53,(BU53*BH53+BV53*BI53+BW53*BJ53)/BR53,0)</f>
        <v>#VALUE!</v>
      </c>
      <c r="CF53" s="1532" t="e">
        <f aca="false">IF(BS53,(CE53*BR53+CD53*BK53)/BS53,0)</f>
        <v>#VALUE!</v>
      </c>
      <c r="CG53" s="1586" t="e">
        <f aca="false">IF(OR(BQ53,BS53),IF(OVolType&lt;&gt;2,SQRT(IF(OVolOverMonthlyPeak,OVolOverMonthlyPeak,IF(OVolCurve,IF(OBuySell,U53,W53),V53))^2*(1-15/365.25/BT53)+IF(OVolOverDailyPeak,OVolOverDailyPeak,IF(OVolCurve,IF(OBuySell,AG53,AI53),AH53))^2*15/365.25/BT53),IF(OVolOverMonthlyPeak,OVolOverMonthlyPeak,IF(OVolCurve,IF(OBuySell,U53,W53),V53))),"")</f>
        <v>#VALUE!</v>
      </c>
      <c r="CH53" s="1587" t="e">
        <f aca="false">IF(OR(BQ53,BS53),IF(OVolType&lt;&gt;2,SQRT(IF(OVolOverMonthlyPeak,OVolOverMonthlyPeak,IF(OVolCurve,IF(OBuySell,X53,Z53),Y53))^2*(1-15/365.25/BT53)+IF(OVolOverDailyPeak,OVolOverDailyPeak,IF(OVolCurve,IF(OBuySell,AJ53,AL53),AK53))^2*15/365.25/BT53),IF(OVolOverMonthlyPeak,OVolOverMonthlyPeak,IF(OVolCurve,IF(OBuySell,X53,Z53),Y53))),"")</f>
        <v>#VALUE!</v>
      </c>
      <c r="CI53" s="1587" t="e">
        <f aca="false">IF(OR(BQ53,BS53),IF(OVolType&lt;&gt;2,SQRT(IF(OVolOverMonthlyPeak,OVolOverMonthlyPeak,IF(OVolCurve,IF(OBuySell,AA53,AC53),AB53))^2*(1-15/365.25/BT53)+IF(OVolOverDailyPeak,OVolOverDailyPeak,IF(OVolCurve,IF(OBuySell,AM53,AO53),AN53))^2*15/365.25/BT53),IF(OVolOverMonthlyPeak,OVolOverMonthlyPeak,IF(OVolCurve,IF(OBuySell,AA53,AC53),AB53))),"")</f>
        <v>#VALUE!</v>
      </c>
      <c r="CJ53" s="1587" t="e">
        <f aca="false">IF(BQ53,IF(BP53,SQRT(LN(1+((BU53*AZ53)^2*(EXP(CG53^2*BT53)-1)+(BV53*BA53)^2*(EXP(CH53^2*BT53)-1)+(BW53*BB53)^2*(EXP(CI53^2*BT53)-1)+2*BU53*AZ53*BV53*BA53*(EXP(CG53*CH53*BT53)-1)+2*BV53*BA53*BW53*BB53*(EXP(CH53*CI53*BT53)-1)+2*BW53*BB53*BU53*AZ53*(EXP(CI53*CG53*BT53)-1))/(BY53*BP53)^2)/BT53),0),"")</f>
        <v>#VALUE!</v>
      </c>
      <c r="CK53" s="1587" t="e">
        <f aca="false">IF(BS53,IF(BR53,SQRT(LN(1+((CA53*BH53)^2*(EXP(CG53^2*BT53)-1)+(CB53*BI53)^2*(EXP(CH53^2*BT53)-1)+(CC53*BJ53)^2*(EXP(CI53^2*BT53)-1)+2*CA53*BH53*CB53*BI53*(EXP(CG53*CH53*BT53)-1)+2*CB53*BI53*CC53*BJ53*(EXP(CH53*CI53*BT53)-1)+2*CC53*BJ53*CA53*BH53*(EXP(CI53*CG53*BT53)-1))/(CE53*BR53)^2)/BT53),0),"")</f>
        <v>#VALUE!</v>
      </c>
      <c r="CL53" s="1587" t="e">
        <f aca="false">IF(OR(BQ53,BS53),IF(OVolType&lt;&gt;2,SQRT(IF(OVolOverMonthlyOffPeak,OVolOverMonthlyOffPeak,IF(OVolCurve,IF(OBuySell,AD53,AF53),AE53))^2*(1-15/365.25/BT53)+IF(OVolOverDailyOffPeak,OVolOverDailyOffPeak,IF(OVolCurve,IF(OBuySell,AP53,AR53),AQ53))^2*15/365.25/BT53),IF(OVolOverMonthlyOffPeak,OVolOverMonthlyOffPeak,IF(OVolCurve,IF(OBuySell,AD53,AF53),AE53))),"")</f>
        <v>#VALUE!</v>
      </c>
      <c r="CM53" s="1587" t="e">
        <f aca="false">IF(BQ53,SQRT(LN(1+((BY53*BP53)^2*(EXP(CJ53^2*BT53)-1)+(BX53*BC53)^2*(EXP(CL53^2*BT53)-1)+2*BY53*BP53*BX53*BC53*(EXP(AS53*CJ53*CL53*BT53)-1))/(BY53*BP53+BX53*BC53)^2)/BT53),"")</f>
        <v>#VALUE!</v>
      </c>
      <c r="CN53" s="1588" t="e">
        <f aca="false">IF(BS53,SQRT(LN(1+((CE53*BR53)^2*(EXP(CK53^2*BT53)-1)+(CD53*BK53)^2*(EXP(CL53^2*BT53)-1)+2*CE53*BR53*CD53*BK53*(EXP(AS53*CK53*CL53*BT53)-1))/(CE53*BR53+CD53*BK53)^2)/BT53),"")</f>
        <v>#VALUE!</v>
      </c>
      <c r="CO53" s="1531" t="e">
        <f aca="false">IF(OR(BQ53,BS53),VLOOKUP(A53,GasTable,13)*HeatRatePeak*(1+VLOOKUP($B53,HeatRateDegradation,$C53+1))/1000,0)</f>
        <v>#VALUE!</v>
      </c>
      <c r="CP53" s="1316" t="e">
        <f aca="false">IF(OR(BQ53,BS53),VLOOKUP(A53,GasTable,13)*HeatRatePeak*(1+VLOOKUP($B53,HeatRateDegradation,$C53+1))/1000,0)</f>
        <v>#VALUE!</v>
      </c>
      <c r="CQ53" s="1316" t="e">
        <f aca="false">IF(OR(BQ53,BS53),VLOOKUP(A53,GasTable,13)*IF(EV53,HeatRatePeak,HeatRateOffPeak)*(1+VLOOKUP($B53,HeatRateDegradation,$C53+1))/1000,0)</f>
        <v>#VALUE!</v>
      </c>
      <c r="CR53" s="1316" t="e">
        <f aca="false">IF(OR(BQ53,BS53),VLOOKUP(A53,GasTable,13)*IF(EW53,HeatRatePeak,HeatRateOffPeak)*(1+VLOOKUP($B53,HeatRateDegradation,$C53+1))/1000,0)</f>
        <v>#VALUE!</v>
      </c>
      <c r="CS53" s="1589" t="e">
        <f aca="false">IF(BQ53,(CO53*AZ53+CP53*BA53+CQ53*BB53+CR53*BC53)/BQ53,0)</f>
        <v>#VALUE!</v>
      </c>
      <c r="CT53" s="1316" t="e">
        <f aca="false">IF(BS53,CO53,0)</f>
        <v>#VALUE!</v>
      </c>
      <c r="CU53" s="1590" t="e">
        <f aca="false">IF(OR(BQ53,BS53),VLOOKUP(A53,GasTable,14),"")</f>
        <v>#VALUE!</v>
      </c>
      <c r="CV53" s="1568" t="e">
        <f aca="false">IF(OR(BQ53,BS53),IF(CorrPowerGasOverFlag,INDEX(CorrPowerGasOver,C53),CorrPowerGas),"")</f>
        <v>#VALUE!</v>
      </c>
      <c r="CW53" s="1316" t="e">
        <f aca="false">IF(OR($BQ53,$BS53),SpreadOptPowerMargin,0)*((1+Assumptions!$C$26)^($B53-YEAR(Assumptions!$C$17)))</f>
        <v>#VALUE!</v>
      </c>
      <c r="CX53" s="1316" t="e">
        <f aca="false">IF(OR($BQ53,$BS53),SpreadOptPowerMargin,0)*((1+Assumptions!$C$26)^($B53-YEAR(Assumptions!$C$17)))</f>
        <v>#VALUE!</v>
      </c>
      <c r="CY53" s="1316" t="e">
        <f aca="false">IF(OR($BQ53,$BS53),SpreadOptPowerMargin,0)*((1+Assumptions!$C$26)^($B53-YEAR(Assumptions!$C$17)))</f>
        <v>#VALUE!</v>
      </c>
      <c r="CZ53" s="1316" t="e">
        <f aca="false">IF(OR($BQ53,$BS53),SpreadOptPowerMargin,0)*((1+Assumptions!$C$26)^($B53-YEAR(Assumptions!$C$17)))</f>
        <v>#VALUE!</v>
      </c>
      <c r="DA53" s="1591" t="e">
        <f aca="false">IF(OR(BQ53,BS53),(CW53*(AZ53+BH53)+CX53*(BA53+BI53)+CY53*(BB53+BJ53)+CZ53*(BC53+BK53))/(BQ53+BS53),0)</f>
        <v>#VALUE!</v>
      </c>
      <c r="DB53" s="1592" t="e">
        <f aca="false">IF(OR(BQ53,BS53),CG53+IF(OVolSmile,VLOOKUP(MAX(-5,CO53+CW53-BU53),IF(OVolSmile=1,VolSmileBook,VolSmileModel),2),0),"")</f>
        <v>#VALUE!</v>
      </c>
      <c r="DC53" s="1592" t="e">
        <f aca="false">IF(OR(BQ53,BS53),CH53+IF(OVolSmile,VLOOKUP(MAX(-5,CP53+CW53-BV53),IF(OVolSmile=1,VolSmileBook,VolSmileModel),2),0),"")</f>
        <v>#VALUE!</v>
      </c>
      <c r="DD53" s="1592" t="e">
        <f aca="false">IF(OR(BQ53,BS53),CI53+IF(OVolSmile,VLOOKUP(MAX(-5,CQ53+CW53-BW53),IF(OVolSmile=1,VolSmileBook,VolSmileModel),2),0),"")</f>
        <v>#VALUE!</v>
      </c>
      <c r="DE53" s="1592" t="e">
        <f aca="false">IF(OR(BQ53,BS53),CL53+IF(OVolSmile,VLOOKUP(MAX(-5,CR53+CZ53-BX53),IF(OVolSmile=1,VolSmileBook,VolSmileModel),2),0),"")</f>
        <v>#VALUE!</v>
      </c>
      <c r="DF53" s="1592" t="e">
        <f aca="false">IF(BQ53,CM53+IF(OVolSmile,VLOOKUP(MAX(-5,CS53+DA53-BZ53),IF(OVolSmile=1,VolSmileBook,VolSmileModel),2),0),"")</f>
        <v>#VALUE!</v>
      </c>
      <c r="DG53" s="1593" t="e">
        <f aca="false">IF(BS53,CN53+IF(OVolSmile,VLOOKUP(MAX(-5,CT53+DA53-CF53),IF(OVolSmile=1,VolSmileBook,VolSmileModel),2),0),"")</f>
        <v>#VALUE!</v>
      </c>
      <c r="DH53" s="1316" t="e">
        <f aca="false">IF(AND(BU53&gt;0,CO53&gt;0,DB53&gt;0,CU53&gt;0),newSPRDOPT(BU53,CO53,CW53,0,DB53,CU53,CV53,BT53*365.25,OCallPut,0),0)</f>
        <v>#VALUE!</v>
      </c>
      <c r="DI53" s="1316" t="e">
        <f aca="false">IF(AND(BV53&gt;0,CP53&gt;0,DC53&gt;0,CU53&gt;0),newSPRDOPT(BV53,CP53,CX53,0,DC53,CU53,CV53,BT53*365.25,OCallPut,0),0)</f>
        <v>#VALUE!</v>
      </c>
      <c r="DJ53" s="1316" t="e">
        <f aca="false">IF(AND(BW53&gt;0,CQ53&gt;0,DD53&gt;0,CU53&gt;0),newSPRDOPT(BW53,CQ53,CY53,0,DD53,CU53,CV53,BT53*365.25,OCallPut,0),0)</f>
        <v>#VALUE!</v>
      </c>
      <c r="DK53" s="1316" t="e">
        <f aca="false">IF(AND(BX53&gt;0,CR53&gt;0,DE53&gt;0,CU53&gt;0),newSPRDOPT(BX53,CR53,CZ53,0,DE53,CU53,CV53,BT53*365.25,OCallPut,0),0)</f>
        <v>#VALUE!</v>
      </c>
      <c r="DL53" s="1316" t="e">
        <f aca="false">IF(OVolType,IF(AND(BZ53&gt;0,CS53&gt;0,DF53&gt;0,CU53&gt;0),newSPRDOPT(BZ53,CS53,DA53,0,DF53,CU53,CV53,BT53*365.25,OCallPut,0),0),IF(BQ53,(DH53*AZ53+DI53*BA53+DJ53*BB53+DK53*BC53)/BQ53,0))</f>
        <v>#VALUE!</v>
      </c>
      <c r="DM53" s="1316"/>
      <c r="DN53" s="1316"/>
      <c r="DO53" s="1316"/>
      <c r="DP53" s="1316"/>
      <c r="DQ53" s="1316"/>
      <c r="DR53" s="1316"/>
      <c r="DS53" s="1316"/>
      <c r="DT53" s="1316"/>
      <c r="DU53" s="1316"/>
      <c r="DV53" s="1316"/>
      <c r="DW53" s="1594" t="e">
        <f aca="false">IF(AND(BW53&gt;0,CT53&gt;0,DD53&gt;0,CU53&gt;0),newSPRDOPT(BW53,CT53,CY53,0,DD53,CU53,CV53,BT53*365.25,OCallPut,0),0)</f>
        <v>#VALUE!</v>
      </c>
      <c r="DX53" s="1316" t="e">
        <f aca="false">IF(AND(BX53&gt;0,CT53&gt;0,DE53&gt;0,CU53&gt;0),newSPRDOPT(BX53,CT53,CZ53,0,DE53,CU53,CV53,BT53*365.25,OCallPut,0),0)</f>
        <v>#VALUE!</v>
      </c>
      <c r="DY53" s="1591" t="e">
        <f aca="false">IF(BS53,(DH53*BH53+DI53*BI53+DW53*BJ53+DX53*BK53)/BS53,0)</f>
        <v>#VALUE!</v>
      </c>
      <c r="DZ53" s="1551" t="e">
        <f aca="false">DH53*AZ53</f>
        <v>#VALUE!</v>
      </c>
      <c r="EA53" s="1551" t="e">
        <f aca="false">DI53*BA53</f>
        <v>#VALUE!</v>
      </c>
      <c r="EB53" s="1551" t="e">
        <f aca="false">DJ53*BB53</f>
        <v>#VALUE!</v>
      </c>
      <c r="EC53" s="1551" t="e">
        <f aca="false">DK53*BC53</f>
        <v>#VALUE!</v>
      </c>
      <c r="ED53" s="1551" t="e">
        <f aca="false">DL53*BQ53</f>
        <v>#VALUE!</v>
      </c>
      <c r="EE53" s="1595" t="e">
        <f aca="false">IF(BQ53,IF(OCallPut,IF(BU53&gt;(CO53+CW53),BU53-(CO53+CW53),0),IF((CO53+CW53)&gt;BU53,(CO53+CW53)-BU53,0))*AZ53,0)</f>
        <v>#VALUE!</v>
      </c>
      <c r="EF53" s="1596" t="e">
        <f aca="false">IF(BQ53,IF(OCallPut,IF(BV53&gt;(CP53+CX53),BV53-(CP53+CX53),0),IF((CP53+CX53)&gt;BV53,(CP53+CX53)-BV53,0))*BA53,0)</f>
        <v>#VALUE!</v>
      </c>
      <c r="EG53" s="1596" t="e">
        <f aca="false">IF(BQ53,IF(OCallPut,IF(BW53&gt;(CQ53+CY53),BW53-(CQ53+CY53),0),IF((CQ53+CY53)&gt;BW53,(CQ53+CY53)-BW53,0))*BB53,0)</f>
        <v>#VALUE!</v>
      </c>
      <c r="EH53" s="1596" t="e">
        <f aca="false">IF(BQ53,IF(OCallPut,IF(BX53&gt;(CR53+CZ53),BX53-(CR53+CZ53),0),IF((CR53+CZ53)&gt;BX53,(CR53+CZ53)-BX53,0))*BC53,0)</f>
        <v>#VALUE!</v>
      </c>
      <c r="EI53" s="1597" t="e">
        <f aca="false">IF(BQ53,IF(OVolType,IF(OCallPut,IF(BZ53&gt;(CS53+DA53),BZ53-(CS53+DA53),0),IF((CS53+DA53)&gt;BZ53,(CS53+DA53)-BZ53,0))*BQ53,SUM(EE53:EH53)),0)</f>
        <v>#VALUE!</v>
      </c>
      <c r="EJ53" s="1595" t="e">
        <f aca="false">DZ53-EE53</f>
        <v>#VALUE!</v>
      </c>
      <c r="EK53" s="1596" t="e">
        <f aca="false">EA53-EF53</f>
        <v>#VALUE!</v>
      </c>
      <c r="EL53" s="1596" t="e">
        <f aca="false">EB53-EG53</f>
        <v>#VALUE!</v>
      </c>
      <c r="EM53" s="1596" t="e">
        <f aca="false">EC53-EH53</f>
        <v>#VALUE!</v>
      </c>
      <c r="EN53" s="1597" t="e">
        <f aca="false">ED53-EI53</f>
        <v>#VALUE!</v>
      </c>
      <c r="EO53" s="1551" t="e">
        <f aca="false">DH53*BH53</f>
        <v>#VALUE!</v>
      </c>
      <c r="EP53" s="1551" t="e">
        <f aca="false">DI53*BI53</f>
        <v>#VALUE!</v>
      </c>
      <c r="EQ53" s="1551" t="e">
        <f aca="false">DW53*BJ53</f>
        <v>#VALUE!</v>
      </c>
      <c r="ER53" s="1551" t="e">
        <f aca="false">DX53*BK53</f>
        <v>#VALUE!</v>
      </c>
      <c r="ES53" s="1551" t="e">
        <f aca="false">DY53*BS53</f>
        <v>#VALUE!</v>
      </c>
      <c r="ET53" s="1566" t="e">
        <f aca="false">IF(EI53,IF(OCallPut,IF(CA53&gt;(CT53+CW53),CA53-(CT53+CW53),0),IF((CT53+CW53)&gt;CA53,(CT53+CW53)-CA53,0))*BH53,0)</f>
        <v>#VALUE!</v>
      </c>
      <c r="EU53" s="1551" t="e">
        <f aca="false">IF(EI53,IF(OCallPut,IF(CB53&gt;(CT53+CX53),CB53-(CT53+CX53),0),IF((CT53+CX53)&gt;CB53,(CT53+CX53)-CB53,0))*BI53,0)</f>
        <v>#VALUE!</v>
      </c>
      <c r="EV53" s="1551" t="e">
        <f aca="false">IF(EI53,IF(OCallPut,IF(CC53&gt;(CT53+CY53),CC53-(CT53+CY53),0),IF((CT53+CY53)&gt;CC53,(CT53+CY53)-CC53,0))*BJ53,0)</f>
        <v>#VALUE!</v>
      </c>
      <c r="EW53" s="1551" t="e">
        <f aca="false">IF(EI53,IF(OCallPut,IF(CD53&gt;(CT53+CZ53),CD53-(CT53+CZ53),0),IF((CT53+CZ53)&gt;CD53,(CT53+CZ53)-CD53,0))*BK53,0)</f>
        <v>#VALUE!</v>
      </c>
      <c r="EX53" s="1558" t="e">
        <f aca="false">IF(EI53,SUM(ET53:EW53),0)</f>
        <v>#VALUE!</v>
      </c>
      <c r="EY53" s="1551" t="e">
        <f aca="false">EO53-ET53</f>
        <v>#VALUE!</v>
      </c>
      <c r="EZ53" s="1551" t="e">
        <f aca="false">EP53-EU53</f>
        <v>#VALUE!</v>
      </c>
      <c r="FA53" s="1551" t="e">
        <f aca="false">EQ53-EV53</f>
        <v>#VALUE!</v>
      </c>
      <c r="FB53" s="1551" t="e">
        <f aca="false">ER53-EW53</f>
        <v>#VALUE!</v>
      </c>
      <c r="FC53" s="1551" t="e">
        <f aca="false">ES53-EX53</f>
        <v>#VALUE!</v>
      </c>
      <c r="FD53" s="1525" t="n">
        <f aca="false">IF(AX53,IF(VLOOKUP(C53,MAIN!$L$17:$M$28,2)="Yes",VLOOKUP(CALC!B53,MAIN!$H$17:$I$20,2),0),0)</f>
        <v>0</v>
      </c>
      <c r="FE53" s="1552" t="n">
        <f aca="false">$FD53*16*AT53*(1-$AY53)</f>
        <v>0</v>
      </c>
      <c r="FF53" s="1553" t="n">
        <f aca="false">$FD53*16*AU53*(1-$AY53)</f>
        <v>0</v>
      </c>
      <c r="FG53" s="1553" t="n">
        <f aca="false">$FD53*16*(AV53+AW53)*(1-$AY53)</f>
        <v>0</v>
      </c>
      <c r="FH53" s="1554" t="n">
        <f aca="false">$FD53*8*AX53*(1-$AY53)</f>
        <v>0</v>
      </c>
      <c r="FI53" s="1555" t="n">
        <f aca="false">IF(AX53,VLOOKUP(CALC!B53,MAIN!$H$17:$K$20,4),0)</f>
        <v>0</v>
      </c>
      <c r="FJ53" s="1553" t="n">
        <f aca="false">SUM(FE53:FH53)</f>
        <v>0</v>
      </c>
      <c r="FK53" s="1556" t="n">
        <f aca="false">FI53*FJ53</f>
        <v>0</v>
      </c>
      <c r="FL53" s="1551" t="e">
        <f aca="false">IF($EI53&gt;0,MIN(FE53,AZ53*(1+VLOOKUP($C53,WeatherCapacityAdjustment,2))),0)</f>
        <v>#VALUE!</v>
      </c>
      <c r="FM53" s="1551" t="e">
        <f aca="false">IF($EI53&gt;0,MIN(FF53,BA53*(1+VLOOKUP($C53,WeatherCapacityAdjustment,2))),0)</f>
        <v>#VALUE!</v>
      </c>
      <c r="FN53" s="1551" t="e">
        <f aca="false">IF($EI53&gt;0,MIN(FG53,BB53*(1+VLOOKUP($C53,WeatherCapacityAdjustment,2))),0)</f>
        <v>#VALUE!</v>
      </c>
      <c r="FO53" s="1564" t="e">
        <f aca="false">IF($EI53&gt;0,MIN(FH53,BC53*(1+VLOOKUP($C53,WeatherCapacityAdjustment,3))),0)</f>
        <v>#VALUE!</v>
      </c>
      <c r="FP53" s="1551" t="e">
        <f aca="false">IF(ET53&gt;0,MIN(FE53-FL53,BH53*(1+VLOOKUP($C53,WeatherCapacityAdjustment,2))),0)</f>
        <v>#VALUE!</v>
      </c>
      <c r="FQ53" s="1551" t="e">
        <f aca="false">IF(EU53&gt;0,MIN(FF53-FM53,BI53*(1+VLOOKUP($C53,WeatherCapacityAdjustment,2))),0)</f>
        <v>#VALUE!</v>
      </c>
      <c r="FR53" s="1551" t="e">
        <f aca="false">IF(EV53&gt;0,MIN(FG53-FN53,BJ53*(1+VLOOKUP($C53,WeatherCapacityAdjustment,2))),0)</f>
        <v>#VALUE!</v>
      </c>
      <c r="FS53" s="1558" t="e">
        <f aca="false">IF(EW53&gt;0,MIN(FH53-FO53,BK53*(1+VLOOKUP($C53,WeatherCapacityAdjustment,3))),0)</f>
        <v>#VALUE!</v>
      </c>
      <c r="FT53" s="1566" t="n">
        <f aca="false">IF(AND(Assumptions!$H$71="Yes",A53&gt;=Assumptions!$H$72,A53&lt;=Assumptions!$H$73),0,IF(AND($A53&gt;=Assumptions!$C$17,$A53&lt;=Assumptions!$C$18),MAX(AZ53*(1+VLOOKUP($C53,WeatherCapacityAdjustment,2))-FL53,0),0))</f>
        <v>0</v>
      </c>
      <c r="FU53" s="1551" t="n">
        <f aca="false">IF(AND(Assumptions!$H$71="Yes",A53&gt;=Assumptions!$H$72,A53&lt;=Assumptions!$H$73),0,IF(AND($A53&gt;=Assumptions!$C$17,$A53&lt;=Assumptions!$C$18),MAX(BA53*(1+VLOOKUP($C53,WeatherCapacityAdjustment,2))-FM53,0),0))</f>
        <v>0</v>
      </c>
      <c r="FV53" s="1551" t="n">
        <f aca="false">IF(AND(Assumptions!$H$71="Yes",A53&gt;=Assumptions!$H$72,A53&lt;=Assumptions!$H$73),0,IF(AND($A53&gt;=Assumptions!$C$17,$A53&lt;=Assumptions!$C$18),MAX(BB53*(1+VLOOKUP($C53,WeatherCapacityAdjustment,2))-FN53,0),0))</f>
        <v>0</v>
      </c>
      <c r="FW53" s="1564" t="n">
        <f aca="false">IF(AND(Assumptions!$H$71="Yes",A53&gt;=Assumptions!$H$72,A53&lt;=Assumptions!$H$73),0,IF(AND($A53&gt;=Assumptions!$C$17,$A53&lt;=Assumptions!$C$18),MAX(BC53*(1+VLOOKUP($C53,WeatherCapacityAdjustment,3))-FO53,0),0))</f>
        <v>0</v>
      </c>
      <c r="FX53" s="1569" t="e">
        <f aca="false">IF(AND(Assumptions!$H$71="Yes",A53&gt;=Assumptions!$H$72,A53&lt;=Assumptions!$H$73),0,IF(ET53&gt;0,MAX(BH53*(1+VLOOKUP($C53,WeatherCapacityAdjustment,2))-FP53,0),0))</f>
        <v>#VALUE!</v>
      </c>
      <c r="FY53" s="1551" t="e">
        <f aca="false">IF(AND(Assumptions!$H$71="Yes",A53&gt;=Assumptions!$H$72,A53&lt;=Assumptions!$H$73),0,IF(EU53&gt;0,MAX(BI53*(1+VLOOKUP($C53,WeatherCapacityAdjustment,3))-FQ53,0),0))</f>
        <v>#VALUE!</v>
      </c>
      <c r="FZ53" s="1551" t="e">
        <f aca="false">IF(AND(Assumptions!$H$71="Yes",A53&gt;=Assumptions!$H$72,A53&lt;=Assumptions!$H$73),0,IF(EV53&gt;0,MAX(BJ53*(1+VLOOKUP($C53,WeatherCapacityAdjustment,2))-FR53,0),0))</f>
        <v>#VALUE!</v>
      </c>
      <c r="GA53" s="1564" t="e">
        <f aca="false">IF(AND(Assumptions!$H$71="Yes",A53&gt;=Assumptions!$H$72,A53&lt;=Assumptions!$H$73),0,IF(EW53&gt;0,MAX(BK53*(1+VLOOKUP($C53,WeatherCapacityAdjustment,2))-FS53,0),0))</f>
        <v>#VALUE!</v>
      </c>
      <c r="GB53" s="1551" t="e">
        <f aca="false">SUM(FT53:GA53)</f>
        <v>#VALUE!</v>
      </c>
      <c r="GC53" s="1563" t="e">
        <f aca="false">+IF(SUM(FT53:GA53)=0,0,(SUMPRODUCT(BU53:BX53,FT53:FW53)+SUMPRODUCT(CA53:CD53,FX53:GA53))/SUM(FT53:GA53))</f>
        <v>#VALUE!</v>
      </c>
      <c r="GD53" s="1551" t="e">
        <f aca="false">(FT53*BU53+FX53*CA53+FU53*BV53+FY53*CB53+FV53*BW53+FZ53*CC53+FW53*BX53+GA53*CD53)</f>
        <v>#VALUE!</v>
      </c>
      <c r="GE53" s="1561" t="e">
        <f aca="false">+IF(BQ53,((FL53+FM53+FT53+FU53)*HeatRatePeak/1000*(1+VLOOKUP($C53,WeatherHeatRateAdjustment,2))+(FN53+FV53)*IF(EV53&gt;0,HeatRatePeak,HeatRateOffPeak)/1000*(1+VLOOKUP($C53,WeatherHeatRateAdjustment,2))+(FO53+FW53)*IF(EW53&gt;0,HeatRatePeak,HeatRateOffPeak)/1000*(1+VLOOKUP($C53,WeatherHeatRateAdjustment,3)))*(1+VLOOKUP($B53,HeatRateDegradation,$C53+1)),0)</f>
        <v>#VALUE!</v>
      </c>
      <c r="GF53" s="1562" t="e">
        <f aca="false">IF(BQ53,((FP53+FQ53+FR53+FX53+FY53+FZ53)*HeatRatePeak/1000*(1+VLOOKUP($C53,WeatherHeatRateAdjustment,2))+(FS53+GA53)*HeatRatePeak/1000*(1+VLOOKUP($C53,WeatherHeatRateAdjustment,3)))*(1+VLOOKUP($B53,HeatRateDegradation,$C53+1)),0)</f>
        <v>#VALUE!</v>
      </c>
      <c r="GG53" s="1563" t="e">
        <f aca="false">IF(BQ53,VLOOKUP(A53,GasTable,13),0)</f>
        <v>#VALUE!</v>
      </c>
      <c r="GH53" s="1564" t="e">
        <f aca="false">(GE53+GF53)*GG53</f>
        <v>#VALUE!</v>
      </c>
      <c r="GI53" s="1569" t="e">
        <f aca="false">GB53</f>
        <v>#VALUE!</v>
      </c>
      <c r="GJ53" s="1598" t="e">
        <f aca="false">+DA53</f>
        <v>#VALUE!</v>
      </c>
      <c r="GK53" s="1558" t="e">
        <f aca="false">+GI53*GJ53</f>
        <v>#VALUE!</v>
      </c>
      <c r="GL53" s="1566" t="e">
        <f aca="false">MAX(FE53-FL53-FP53,0)</f>
        <v>#VALUE!</v>
      </c>
      <c r="GM53" s="1551" t="e">
        <f aca="false">MAX(FF53-FM53-FQ53,0)</f>
        <v>#VALUE!</v>
      </c>
      <c r="GN53" s="1551" t="e">
        <f aca="false">MAX(FG53-FN53-FR53,0)</f>
        <v>#VALUE!</v>
      </c>
      <c r="GO53" s="1564" t="e">
        <f aca="false">MAX(FH53-FO53-FS53,0)</f>
        <v>#VALUE!</v>
      </c>
      <c r="GP53" s="1551" t="e">
        <f aca="false">SUM(GL53:GO53)</f>
        <v>#VALUE!</v>
      </c>
      <c r="GQ53" s="1563" t="e">
        <f aca="false">IF(SUM(GL53:GO53)=0,0,((GL53*BU53+GM53*BV53+GN53*BW53+GO53*BX53)/SUM(GL53:GO53)))</f>
        <v>#VALUE!</v>
      </c>
      <c r="GR53" s="1558" t="e">
        <f aca="false">(GL53*BU53+GM53*BV53+GN53*BW53+GO53*BX53)</f>
        <v>#VALUE!</v>
      </c>
      <c r="GS53" s="1566" t="n">
        <f aca="false">IF($A53&gt;=BegDate,Assumptions!$C$56*24*($A54-$A53)*(1-VLOOKUP($B53,MAIN!$AA$7:$AM$28,$C53+1))*(1-VLOOKUP($B53,MAIN!$AA$33:$AM$54,$C53+1)),0)*80/168</f>
        <v>0</v>
      </c>
      <c r="GT53" s="286" t="n">
        <f aca="false">J53</f>
        <v>29.5841443824</v>
      </c>
      <c r="GU53" s="286" t="n">
        <f aca="false">IF($A53&gt;=BegDate,VLOOKUP($A53,GasTable,13)+Assumptions!$C$58,0)</f>
        <v>0</v>
      </c>
      <c r="GV53" s="286" t="n">
        <f aca="false">GU53*Assumptions!$C$57/1000</f>
        <v>0</v>
      </c>
      <c r="GW53" s="1558" t="n">
        <f aca="false">IF(Assumptions!$C$60="Hourly",MAX(0,GS53*(GT53-GV53)),GS53*(GT53-GV53))</f>
        <v>0</v>
      </c>
      <c r="GX53" s="1566" t="n">
        <f aca="false">IF($A53&gt;=BegDate,Assumptions!$C$56*24*($A54-$A53)*(1-VLOOKUP($B53,MAIN!$AA$7:$AM$28,$C53+1))*(1-VLOOKUP($B53,MAIN!$AA$33:$AM$54,$C53+1)),0)*16/168</f>
        <v>0</v>
      </c>
      <c r="GY53" s="286" t="n">
        <f aca="false">M53</f>
        <v>29.5841443824</v>
      </c>
      <c r="GZ53" s="286" t="n">
        <f aca="false">IF($A53&gt;=BegDate,VLOOKUP($A53,GasTable,13)+Assumptions!$C$58,0)</f>
        <v>0</v>
      </c>
      <c r="HA53" s="286" t="n">
        <f aca="false">GZ53*Assumptions!$C$57/1000</f>
        <v>0</v>
      </c>
      <c r="HB53" s="1558" t="n">
        <f aca="false">IF(Assumptions!$C$60="Hourly",MAX(0,GX53*(GY53-HA53)),GX53*(GY53-HA53))</f>
        <v>0</v>
      </c>
      <c r="HC53" s="1566" t="n">
        <f aca="false">IF($A53&gt;=BegDate,Assumptions!$C$56*24*($A54-$A53)*(1-VLOOKUP($B53,MAIN!$AA$7:$AM$28,$C53+1))*(1-VLOOKUP($B53,MAIN!$AA$33:$AM$54,$C53+1)),0)*16/168</f>
        <v>0</v>
      </c>
      <c r="HD53" s="286" t="n">
        <f aca="false">P53</f>
        <v>16.227992736</v>
      </c>
      <c r="HE53" s="286" t="n">
        <f aca="false">IF($A53&gt;=BegDate,VLOOKUP($A53,GasTable,13)+Assumptions!$C$58,0)</f>
        <v>0</v>
      </c>
      <c r="HF53" s="286" t="n">
        <f aca="false">HE53*Assumptions!$C$57/1000</f>
        <v>0</v>
      </c>
      <c r="HG53" s="1558" t="n">
        <f aca="false">IF(Assumptions!$C$60="Hourly",MAX(0,HC53*(HD53-HF53)),HC53*(HD53-HF53))</f>
        <v>0</v>
      </c>
      <c r="HH53" s="1566" t="n">
        <f aca="false">IF($A53&gt;=BegDate,Assumptions!$C$56*24*($A54-$A53)*(1-VLOOKUP($B53,MAIN!$AA$7:$AM$28,$C53+1))*(1-VLOOKUP($B53,MAIN!$AA$33:$AM$54,$C53+1)),0)*56/168</f>
        <v>0</v>
      </c>
      <c r="HI53" s="286" t="n">
        <f aca="false">S53</f>
        <v>16.227992736</v>
      </c>
      <c r="HJ53" s="286" t="n">
        <f aca="false">IF($A53&gt;=BegDate,VLOOKUP($A53,GasTable,13)+Assumptions!$C$58,0)</f>
        <v>0</v>
      </c>
      <c r="HK53" s="286" t="n">
        <f aca="false">HJ53*Assumptions!$C$57/1000</f>
        <v>0</v>
      </c>
      <c r="HL53" s="1558" t="n">
        <f aca="false">IF(Assumptions!$C$60="Hourly",MAX(0,HH53*(HI53-HK53)),HH53*(HI53-HK53))</f>
        <v>0</v>
      </c>
      <c r="HM53" s="1566" t="n">
        <f aca="false">IF(AND(Assumptions!$H$71="Yes",A53&gt;=Assumptions!$H$72,A53&lt;=Assumptions!$H$73),Assumptions!$H$74*Assumptions!$C$9*1000,0)</f>
        <v>0</v>
      </c>
      <c r="HN53" s="1551"/>
      <c r="HO53" s="1563"/>
      <c r="HP53" s="1563"/>
      <c r="HQ53" s="1563"/>
      <c r="HR53" s="1563"/>
      <c r="HS53" s="1563"/>
      <c r="HT53" s="1563"/>
      <c r="HU53" s="1563"/>
      <c r="HV53" s="1563"/>
      <c r="HW53" s="1563"/>
      <c r="HX53" s="1563"/>
      <c r="HY53" s="1563"/>
      <c r="HZ53" s="1563"/>
      <c r="IA53" s="1563"/>
      <c r="IB53" s="1563"/>
      <c r="IC53" s="1563"/>
      <c r="ID53" s="1563"/>
      <c r="IE53" s="1563"/>
      <c r="IF53" s="1563"/>
      <c r="IG53" s="1563"/>
      <c r="IH53" s="1563"/>
      <c r="II53" s="1610"/>
      <c r="IJ53" s="1309"/>
      <c r="IK53" s="1309"/>
    </row>
    <row r="54" customFormat="false" ht="12.75" hidden="false" customHeight="false" outlineLevel="0" collapsed="false">
      <c r="A54" s="1571" t="n">
        <f aca="false">EOMONTH(A53,0)+1</f>
        <v>37773</v>
      </c>
      <c r="B54" s="594" t="n">
        <f aca="false">+YEAR(A54)</f>
        <v>2003</v>
      </c>
      <c r="C54" s="238" t="n">
        <f aca="false">MONTH(A54)</f>
        <v>6</v>
      </c>
      <c r="D54" s="1572" t="str">
        <f aca="false">IF(E54="","",Holiday(B54,C54))</f>
        <v/>
      </c>
      <c r="E54" s="1573" t="str">
        <f aca="false">IF(OR(BegDate&gt;=A55,EndDate&lt;A54,AND(VolumeMonthlyOverFlag,INDEX(VolumeMonthlyOver,C54)=0),NOT(INDEX(MonthKnockOutTable,C54))),"",MAX(A54,BegDate))</f>
        <v/>
      </c>
      <c r="F54" s="1574" t="str">
        <f aca="false">IF(E54="","",MIN(A55-1,EndDate))</f>
        <v/>
      </c>
      <c r="G54" s="1575" t="n">
        <v>0</v>
      </c>
      <c r="H54" s="1576" t="n">
        <f aca="false">(1+G54/2)^(-2*(DATE(B55,C55,20)-DateToday)/365.25)</f>
        <v>1</v>
      </c>
      <c r="I54" s="1568" t="n">
        <f aca="false">IF(Assumptions!$L$25=4,VLOOKUP($A54,'Henwood Reference'!$E$9:$R$320,10),(VLOOKUP($A54,PriceTable,2,0)+IF(BasisNumber&lt;&gt;1,VLOOKUP($A54,BasisTable,2,0),0)+I$1)/(1-I$2))</f>
        <v>28.1621256624</v>
      </c>
      <c r="J54" s="1568" t="n">
        <f aca="false">IF(Assumptions!$L$25=4,VLOOKUP($A54,'Henwood Reference'!$E$9:$R$320,10),(VLOOKUP($A54,PriceTable,3,0)+IF(BasisNumber&lt;&gt;1,VLOOKUP($A54,BasisTable,2,0),0)+J$1)/(1-J$2))</f>
        <v>28.1621256624</v>
      </c>
      <c r="K54" s="1568" t="n">
        <f aca="false">IF(Assumptions!$L$25=4,VLOOKUP($A54,'Henwood Reference'!$E$9:$R$320,10),(VLOOKUP($A54,PriceTable,4,0)+IF(BasisNumber&lt;&gt;1,VLOOKUP($A54,BasisTable,2,0),0)+K$1)/(1-K$2))</f>
        <v>28.1621256624</v>
      </c>
      <c r="L54" s="1523" t="n">
        <f aca="false">IF(Assumptions!$L$25=4,VLOOKUP($A54,'Henwood Reference'!$E$9:$R$320,10),(VLOOKUP($A54,PriceTableWeekend,2,0)+IF(BasisNumber&lt;&gt;1,VLOOKUP($A54,BasisTable,2,0),0)+L$1)/(1-L$2))</f>
        <v>28.1621256624</v>
      </c>
      <c r="M54" s="1568" t="n">
        <f aca="false">IF(Assumptions!$L$25=4,VLOOKUP($A54,'Henwood Reference'!$E$9:$R$320,10),(VLOOKUP($A54,PriceTableWeekend,3,0)+IF(BasisNumber&lt;&gt;1,VLOOKUP($A54,BasisTable,2,0),0)+M$1)/(1-M$2))</f>
        <v>28.1621256624</v>
      </c>
      <c r="N54" s="1599" t="n">
        <f aca="false">IF(Assumptions!$L$25=4,VLOOKUP($A54,'Henwood Reference'!$E$9:$R$320,10),(VLOOKUP($A54,PriceTableWeekend,4,0)+IF(BasisNumber&lt;&gt;1,VLOOKUP($A54,BasisTable,2,0),0)+N$1)/(1-N$2))</f>
        <v>28.1621256624</v>
      </c>
      <c r="O54" s="1568" t="n">
        <f aca="false">IF(Assumptions!$L$25=4,VLOOKUP($A54,'Henwood Reference'!$E$9:$R$320,11),(VLOOKUP($A54,PriceTableWeekend,6,0)+IF(BasisNumber&lt;&gt;1,VLOOKUP($A54,BasisTable,3,0),0)+O$1)/(1-O$2))</f>
        <v>13.8089691</v>
      </c>
      <c r="P54" s="1568" t="n">
        <f aca="false">IF(Assumptions!$L$25=4,VLOOKUP($A54,'Henwood Reference'!$E$9:$R$320,11),(VLOOKUP($A54,PriceTableWeekend,7,0)+IF(BasisNumber&lt;&gt;1,VLOOKUP($A54,BasisTable,3,0),0)+P$1)/(1-P$2))</f>
        <v>13.8089691</v>
      </c>
      <c r="Q54" s="1599" t="n">
        <f aca="false">IF(Assumptions!$L$25=4,VLOOKUP($A54,'Henwood Reference'!$E$9:$R$320,11),(VLOOKUP($A54,PriceTableWeekend,8,0)+IF(BasisNumber&lt;&gt;1,VLOOKUP($A54,BasisTable,3,0),0)+Q$1)/(1-Q$2))</f>
        <v>13.8089691</v>
      </c>
      <c r="R54" s="1568" t="n">
        <f aca="false">IF(Assumptions!$L$25=4,VLOOKUP($A54,'Henwood Reference'!$E$9:$R$320,11),(VLOOKUP($A54,PriceTable,6,0)+IF(BasisNumber&lt;&gt;1,VLOOKUP($A54,BasisTable,3,0),0)+R$1)/(1-R$2))</f>
        <v>13.8089691</v>
      </c>
      <c r="S54" s="1568" t="n">
        <f aca="false">IF(Assumptions!$L$25=4,VLOOKUP($A54,'Henwood Reference'!$E$9:$R$320,11),(VLOOKUP($A54,PriceTable,7,0)+IF(BasisNumber&lt;&gt;1,VLOOKUP($A54,BasisTable,3,0),0)+S$1)/(1-S$2))</f>
        <v>13.8089691</v>
      </c>
      <c r="T54" s="1600" t="n">
        <f aca="false">IF(Assumptions!$L$25=4,VLOOKUP($A54,'Henwood Reference'!$E$9:$R$320,11),(VLOOKUP($A54,PriceTable,8,0)+IF(BasisNumber&lt;&gt;1,VLOOKUP($A54,BasisTable,3,0),0)+T$1)/(1-T$2))</f>
        <v>13.8089691</v>
      </c>
      <c r="U54" s="1513" t="n">
        <f aca="false">VLOOKUP($A54,VolatilityTable,14)</f>
        <v>0.155</v>
      </c>
      <c r="V54" s="1513" t="n">
        <f aca="false">VLOOKUP($A54,VolatilityTable,15)</f>
        <v>0.165</v>
      </c>
      <c r="W54" s="1514" t="n">
        <f aca="false">VLOOKUP($A54,VolatilityTable,16)</f>
        <v>0.175</v>
      </c>
      <c r="X54" s="1513" t="n">
        <f aca="false">VLOOKUP($A54,VolatilityTable,14)</f>
        <v>0.155</v>
      </c>
      <c r="Y54" s="1513" t="n">
        <f aca="false">VLOOKUP($A54,VolatilityTable,15)</f>
        <v>0.165</v>
      </c>
      <c r="Z54" s="1514" t="n">
        <f aca="false">VLOOKUP($A54,VolatilityTable,16)</f>
        <v>0.175</v>
      </c>
      <c r="AA54" s="1513" t="n">
        <f aca="false">VLOOKUP($A54,VolatilityTable,18)</f>
        <v>0.09</v>
      </c>
      <c r="AB54" s="1513" t="n">
        <f aca="false">VLOOKUP($A54,VolatilityTable,19)</f>
        <v>0.11</v>
      </c>
      <c r="AC54" s="1514" t="n">
        <f aca="false">VLOOKUP($A54,VolatilityTable,20)</f>
        <v>0.13</v>
      </c>
      <c r="AD54" s="1513" t="n">
        <f aca="false">VLOOKUP($A54,VolatilityTable,18)</f>
        <v>0.09</v>
      </c>
      <c r="AE54" s="1513" t="n">
        <f aca="false">VLOOKUP($A54,VolatilityTable,19)</f>
        <v>0.11</v>
      </c>
      <c r="AF54" s="1514" t="n">
        <f aca="false">VLOOKUP($A54,VolatilityTable,20)</f>
        <v>0.13</v>
      </c>
      <c r="AG54" s="1513" t="n">
        <f aca="false">VLOOKUP($A54,VolatilityTable,22)</f>
        <v>-0.35</v>
      </c>
      <c r="AH54" s="1513" t="n">
        <f aca="false">VLOOKUP($A54,VolatilityTable,23)</f>
        <v>0.65</v>
      </c>
      <c r="AI54" s="1514" t="n">
        <f aca="false">VLOOKUP($A54,VolatilityTable,24)</f>
        <v>0.2</v>
      </c>
      <c r="AJ54" s="1513" t="n">
        <f aca="false">VLOOKUP($A54,VolatilityTable,22)</f>
        <v>-0.35</v>
      </c>
      <c r="AK54" s="1513" t="n">
        <f aca="false">VLOOKUP($A54,VolatilityTable,23)</f>
        <v>0.65</v>
      </c>
      <c r="AL54" s="1514" t="n">
        <f aca="false">VLOOKUP($A54,VolatilityTable,24)</f>
        <v>0.2</v>
      </c>
      <c r="AM54" s="1513" t="n">
        <f aca="false">VLOOKUP($A54,VolatilityTable,26)</f>
        <v>-0.01</v>
      </c>
      <c r="AN54" s="1513" t="n">
        <f aca="false">VLOOKUP($A54,VolatilityTable,27)</f>
        <v>0.16</v>
      </c>
      <c r="AO54" s="1514" t="n">
        <f aca="false">VLOOKUP($A54,VolatilityTable,28)</f>
        <v>0.01</v>
      </c>
      <c r="AP54" s="1513" t="n">
        <f aca="false">VLOOKUP($A54,VolatilityTable,26)</f>
        <v>-0.01</v>
      </c>
      <c r="AQ54" s="1513" t="n">
        <f aca="false">VLOOKUP($A54,VolatilityTable,27)</f>
        <v>0.16</v>
      </c>
      <c r="AR54" s="1515" t="n">
        <f aca="false">VLOOKUP($A54,VolatilityTable,28)</f>
        <v>0.01</v>
      </c>
      <c r="AS54" s="1581" t="n">
        <f aca="false">IF(CorrPeakOffPeakOverFlag,INDEX(CorrPeakOffPeakOver,C54),CorrPeakOffPeak)</f>
        <v>0.5</v>
      </c>
      <c r="AT54" s="594" t="n">
        <f aca="false">AX54-SUM(AU54:AW54)</f>
        <v>0</v>
      </c>
      <c r="AU54" s="238" t="n">
        <f aca="false">IF(E54="",0,INT((F54-MOD(F54,7)-E54)/7)+1-IF(AW54,IF(WEEKDAY(D54)=7,1,0),0))</f>
        <v>0</v>
      </c>
      <c r="AV54" s="238" t="n">
        <f aca="false">IF(E54="",0,INT((F54-MOD(F54-1,7)-E54)/7)+1-IF(AW54,IF(WEEKDAY(D54)=1,1,0),0))</f>
        <v>0</v>
      </c>
      <c r="AW54" s="238" t="n">
        <f aca="false">IF(OR(E54="",D54="",D54&lt;BegDate,D54&gt;EndDate),0,1)</f>
        <v>0</v>
      </c>
      <c r="AX54" s="238" t="n">
        <f aca="false">IF(E54="",0,F54-E54+1)</f>
        <v>0</v>
      </c>
      <c r="AY54" s="1582" t="n">
        <f aca="false">IF(E54="",0,MIN((1-(1-VLOOKUP(B54,MAIN!$AA$7:$AM$28,C54+1))*(1-VLOOKUP(B54,MAIN!$AA$33:$AM$54,C54+1))),1))</f>
        <v>0</v>
      </c>
      <c r="AZ54" s="1519" t="e">
        <v>#VALUE!</v>
      </c>
      <c r="BA54" s="1520" t="e">
        <v>#VALUE!</v>
      </c>
      <c r="BB54" s="1520" t="e">
        <v>#VALUE!</v>
      </c>
      <c r="BC54" s="1583" t="e">
        <v>#VALUE!</v>
      </c>
      <c r="BD54" s="1522" t="e">
        <v>#VALUE!</v>
      </c>
      <c r="BE54" s="1523" t="e">
        <v>#VALUE!</v>
      </c>
      <c r="BF54" s="1523" t="e">
        <v>#VALUE!</v>
      </c>
      <c r="BG54" s="1584" t="e">
        <v>#VALUE!</v>
      </c>
      <c r="BH54" s="1525" t="e">
        <v>#VALUE!</v>
      </c>
      <c r="BI54" s="1520" t="e">
        <v>#VALUE!</v>
      </c>
      <c r="BJ54" s="1520" t="e">
        <v>#VALUE!</v>
      </c>
      <c r="BK54" s="1583" t="e">
        <v>#VALUE!</v>
      </c>
      <c r="BL54" s="1522" t="e">
        <v>#VALUE!</v>
      </c>
      <c r="BM54" s="1523" t="e">
        <v>#VALUE!</v>
      </c>
      <c r="BN54" s="1523" t="e">
        <v>#VALUE!</v>
      </c>
      <c r="BO54" s="1523" t="e">
        <v>#VALUE!</v>
      </c>
      <c r="BP54" s="1525" t="e">
        <f aca="false">SUM(AZ54:BB54)</f>
        <v>#VALUE!</v>
      </c>
      <c r="BQ54" s="1529" t="e">
        <f aca="false">SUM(AZ54:BC54)</f>
        <v>#VALUE!</v>
      </c>
      <c r="BR54" s="1519" t="e">
        <f aca="false">SUM(BH54:BJ54)</f>
        <v>#VALUE!</v>
      </c>
      <c r="BS54" s="1529" t="e">
        <f aca="false">SUM(BH54:BK54)</f>
        <v>#VALUE!</v>
      </c>
      <c r="BT54" s="1316" t="n">
        <f aca="false">(IF(OVolType&lt;&gt;2,A54+14,IF(OptExpDateShift,ShiftBack(A54,OptExpDateShift,D53),A54))-DateToday)/365.25</f>
        <v>3.12936344969199</v>
      </c>
      <c r="BU54" s="1585" t="e">
        <f aca="false">IF(BQ54,IF(OPriceCurve,IF(OBuySell=OCallPut,I54/(1-AY54),K54/(1-AY54)),J54/(1-AY54))*BD54,0)</f>
        <v>#VALUE!</v>
      </c>
      <c r="BV54" s="1316" t="e">
        <f aca="false">IF(BQ54,IF(OPriceCurve,IF(OBuySell=OCallPut,L54/(1-AY54),N54/(1-AY54)),M54/(1-AY54))*BE54,0)</f>
        <v>#VALUE!</v>
      </c>
      <c r="BW54" s="1316" t="e">
        <f aca="false">IF(BQ54,IF(OPriceCurve,IF(OBuySell=OCallPut,O54/(1-AY54),Q54/(1-AY54)),P54/(1-AY54))*BF54,0)</f>
        <v>#VALUE!</v>
      </c>
      <c r="BX54" s="1316" t="e">
        <f aca="false">IF(BQ54,IF(OPriceCurve,IF(OBuySell=OCallPut,R54/(1-AY54),T54/(1-AY54)),S54/(1-AY54))*BG54,0)</f>
        <v>#VALUE!</v>
      </c>
      <c r="BY54" s="1316" t="e">
        <f aca="false">IF(BP54,(BU54*AZ54+BV54*BA54+BW54*BB54)/BP54,0)</f>
        <v>#VALUE!</v>
      </c>
      <c r="BZ54" s="1316" t="e">
        <f aca="false">IF(BQ54,(BY54*BP54+BX54*BC54)/BQ54,0)</f>
        <v>#VALUE!</v>
      </c>
      <c r="CA54" s="1531" t="e">
        <f aca="false">IF(BS54,IF(OPriceCurve,IF(OBuySell=OCallPut,I54/(1-AY54),K54/(1-AY54)),J54/(1-AY54))*BL54,0)</f>
        <v>#VALUE!</v>
      </c>
      <c r="CB54" s="1316" t="e">
        <f aca="false">IF(BS54,IF(OPriceCurve,IF(OBuySell=OCallPut,L54/(1-AY54),N54/(1-AY54)),M54/(1-AY54))*BM54,0)</f>
        <v>#VALUE!</v>
      </c>
      <c r="CC54" s="1316" t="e">
        <f aca="false">IF(BS54,IF(OPriceCurve,IF(OBuySell=OCallPut,O54/(1-AY54),Q54/(1-AY54)),P54/(1-AY54))*BN54,0)</f>
        <v>#VALUE!</v>
      </c>
      <c r="CD54" s="1316" t="e">
        <f aca="false">IF(BS54,IF(OPriceCurve,IF(OBuySell=OCallPut,R54/(1-AY54),T54/(1-AY54)),S54/(1-AY54))*BO54,0)</f>
        <v>#VALUE!</v>
      </c>
      <c r="CE54" s="1316" t="e">
        <f aca="false">IF(BR54,(BU54*BH54+BV54*BI54+BW54*BJ54)/BR54,0)</f>
        <v>#VALUE!</v>
      </c>
      <c r="CF54" s="1532" t="e">
        <f aca="false">IF(BS54,(CE54*BR54+CD54*BK54)/BS54,0)</f>
        <v>#VALUE!</v>
      </c>
      <c r="CG54" s="1586" t="e">
        <f aca="false">IF(OR(BQ54,BS54),IF(OVolType&lt;&gt;2,SQRT(IF(OVolOverMonthlyPeak,OVolOverMonthlyPeak,IF(OVolCurve,IF(OBuySell,U54,W54),V54))^2*(1-15/365.25/BT54)+IF(OVolOverDailyPeak,OVolOverDailyPeak,IF(OVolCurve,IF(OBuySell,AG54,AI54),AH54))^2*15/365.25/BT54),IF(OVolOverMonthlyPeak,OVolOverMonthlyPeak,IF(OVolCurve,IF(OBuySell,U54,W54),V54))),"")</f>
        <v>#VALUE!</v>
      </c>
      <c r="CH54" s="1587" t="e">
        <f aca="false">IF(OR(BQ54,BS54),IF(OVolType&lt;&gt;2,SQRT(IF(OVolOverMonthlyPeak,OVolOverMonthlyPeak,IF(OVolCurve,IF(OBuySell,X54,Z54),Y54))^2*(1-15/365.25/BT54)+IF(OVolOverDailyPeak,OVolOverDailyPeak,IF(OVolCurve,IF(OBuySell,AJ54,AL54),AK54))^2*15/365.25/BT54),IF(OVolOverMonthlyPeak,OVolOverMonthlyPeak,IF(OVolCurve,IF(OBuySell,X54,Z54),Y54))),"")</f>
        <v>#VALUE!</v>
      </c>
      <c r="CI54" s="1587" t="e">
        <f aca="false">IF(OR(BQ54,BS54),IF(OVolType&lt;&gt;2,SQRT(IF(OVolOverMonthlyPeak,OVolOverMonthlyPeak,IF(OVolCurve,IF(OBuySell,AA54,AC54),AB54))^2*(1-15/365.25/BT54)+IF(OVolOverDailyPeak,OVolOverDailyPeak,IF(OVolCurve,IF(OBuySell,AM54,AO54),AN54))^2*15/365.25/BT54),IF(OVolOverMonthlyPeak,OVolOverMonthlyPeak,IF(OVolCurve,IF(OBuySell,AA54,AC54),AB54))),"")</f>
        <v>#VALUE!</v>
      </c>
      <c r="CJ54" s="1587" t="e">
        <f aca="false">IF(BQ54,IF(BP54,SQRT(LN(1+((BU54*AZ54)^2*(EXP(CG54^2*BT54)-1)+(BV54*BA54)^2*(EXP(CH54^2*BT54)-1)+(BW54*BB54)^2*(EXP(CI54^2*BT54)-1)+2*BU54*AZ54*BV54*BA54*(EXP(CG54*CH54*BT54)-1)+2*BV54*BA54*BW54*BB54*(EXP(CH54*CI54*BT54)-1)+2*BW54*BB54*BU54*AZ54*(EXP(CI54*CG54*BT54)-1))/(BY54*BP54)^2)/BT54),0),"")</f>
        <v>#VALUE!</v>
      </c>
      <c r="CK54" s="1587" t="e">
        <f aca="false">IF(BS54,IF(BR54,SQRT(LN(1+((CA54*BH54)^2*(EXP(CG54^2*BT54)-1)+(CB54*BI54)^2*(EXP(CH54^2*BT54)-1)+(CC54*BJ54)^2*(EXP(CI54^2*BT54)-1)+2*CA54*BH54*CB54*BI54*(EXP(CG54*CH54*BT54)-1)+2*CB54*BI54*CC54*BJ54*(EXP(CH54*CI54*BT54)-1)+2*CC54*BJ54*CA54*BH54*(EXP(CI54*CG54*BT54)-1))/(CE54*BR54)^2)/BT54),0),"")</f>
        <v>#VALUE!</v>
      </c>
      <c r="CL54" s="1587" t="e">
        <f aca="false">IF(OR(BQ54,BS54),IF(OVolType&lt;&gt;2,SQRT(IF(OVolOverMonthlyOffPeak,OVolOverMonthlyOffPeak,IF(OVolCurve,IF(OBuySell,AD54,AF54),AE54))^2*(1-15/365.25/BT54)+IF(OVolOverDailyOffPeak,OVolOverDailyOffPeak,IF(OVolCurve,IF(OBuySell,AP54,AR54),AQ54))^2*15/365.25/BT54),IF(OVolOverMonthlyOffPeak,OVolOverMonthlyOffPeak,IF(OVolCurve,IF(OBuySell,AD54,AF54),AE54))),"")</f>
        <v>#VALUE!</v>
      </c>
      <c r="CM54" s="1587" t="e">
        <f aca="false">IF(BQ54,SQRT(LN(1+((BY54*BP54)^2*(EXP(CJ54^2*BT54)-1)+(BX54*BC54)^2*(EXP(CL54^2*BT54)-1)+2*BY54*BP54*BX54*BC54*(EXP(AS54*CJ54*CL54*BT54)-1))/(BY54*BP54+BX54*BC54)^2)/BT54),"")</f>
        <v>#VALUE!</v>
      </c>
      <c r="CN54" s="1588" t="e">
        <f aca="false">IF(BS54,SQRT(LN(1+((CE54*BR54)^2*(EXP(CK54^2*BT54)-1)+(CD54*BK54)^2*(EXP(CL54^2*BT54)-1)+2*CE54*BR54*CD54*BK54*(EXP(AS54*CK54*CL54*BT54)-1))/(CE54*BR54+CD54*BK54)^2)/BT54),"")</f>
        <v>#VALUE!</v>
      </c>
      <c r="CO54" s="1531" t="e">
        <f aca="false">IF(OR(BQ54,BS54),VLOOKUP(A54,GasTable,13)*HeatRatePeak*(1+VLOOKUP($B54,HeatRateDegradation,$C54+1))/1000,0)</f>
        <v>#VALUE!</v>
      </c>
      <c r="CP54" s="1316" t="e">
        <f aca="false">IF(OR(BQ54,BS54),VLOOKUP(A54,GasTable,13)*HeatRatePeak*(1+VLOOKUP($B54,HeatRateDegradation,$C54+1))/1000,0)</f>
        <v>#VALUE!</v>
      </c>
      <c r="CQ54" s="1316" t="e">
        <f aca="false">IF(OR(BQ54,BS54),VLOOKUP(A54,GasTable,13)*IF(EV54,HeatRatePeak,HeatRateOffPeak)*(1+VLOOKUP($B54,HeatRateDegradation,$C54+1))/1000,0)</f>
        <v>#VALUE!</v>
      </c>
      <c r="CR54" s="1316" t="e">
        <f aca="false">IF(OR(BQ54,BS54),VLOOKUP(A54,GasTable,13)*IF(EW54,HeatRatePeak,HeatRateOffPeak)*(1+VLOOKUP($B54,HeatRateDegradation,$C54+1))/1000,0)</f>
        <v>#VALUE!</v>
      </c>
      <c r="CS54" s="1589" t="e">
        <f aca="false">IF(BQ54,(CO54*AZ54+CP54*BA54+CQ54*BB54+CR54*BC54)/BQ54,0)</f>
        <v>#VALUE!</v>
      </c>
      <c r="CT54" s="1316" t="e">
        <f aca="false">IF(BS54,CO54,0)</f>
        <v>#VALUE!</v>
      </c>
      <c r="CU54" s="1590" t="e">
        <f aca="false">IF(OR(BQ54,BS54),VLOOKUP(A54,GasTable,14),"")</f>
        <v>#VALUE!</v>
      </c>
      <c r="CV54" s="1568" t="e">
        <f aca="false">IF(OR(BQ54,BS54),IF(CorrPowerGasOverFlag,INDEX(CorrPowerGasOver,C54),CorrPowerGas),"")</f>
        <v>#VALUE!</v>
      </c>
      <c r="CW54" s="1316" t="e">
        <f aca="false">IF(OR($BQ54,$BS54),SpreadOptPowerMargin,0)*((1+Assumptions!$C$26)^($B54-YEAR(Assumptions!$C$17)))</f>
        <v>#VALUE!</v>
      </c>
      <c r="CX54" s="1316" t="e">
        <f aca="false">IF(OR($BQ54,$BS54),SpreadOptPowerMargin,0)*((1+Assumptions!$C$26)^($B54-YEAR(Assumptions!$C$17)))</f>
        <v>#VALUE!</v>
      </c>
      <c r="CY54" s="1316" t="e">
        <f aca="false">IF(OR($BQ54,$BS54),SpreadOptPowerMargin,0)*((1+Assumptions!$C$26)^($B54-YEAR(Assumptions!$C$17)))</f>
        <v>#VALUE!</v>
      </c>
      <c r="CZ54" s="1316" t="e">
        <f aca="false">IF(OR($BQ54,$BS54),SpreadOptPowerMargin,0)*((1+Assumptions!$C$26)^($B54-YEAR(Assumptions!$C$17)))</f>
        <v>#VALUE!</v>
      </c>
      <c r="DA54" s="1591" t="e">
        <f aca="false">IF(OR(BQ54,BS54),(CW54*(AZ54+BH54)+CX54*(BA54+BI54)+CY54*(BB54+BJ54)+CZ54*(BC54+BK54))/(BQ54+BS54),0)</f>
        <v>#VALUE!</v>
      </c>
      <c r="DB54" s="1592" t="e">
        <f aca="false">IF(OR(BQ54,BS54),CG54+IF(OVolSmile,VLOOKUP(MAX(-5,CO54+CW54-BU54),IF(OVolSmile=1,VolSmileBook,VolSmileModel),2),0),"")</f>
        <v>#VALUE!</v>
      </c>
      <c r="DC54" s="1592" t="e">
        <f aca="false">IF(OR(BQ54,BS54),CH54+IF(OVolSmile,VLOOKUP(MAX(-5,CP54+CW54-BV54),IF(OVolSmile=1,VolSmileBook,VolSmileModel),2),0),"")</f>
        <v>#VALUE!</v>
      </c>
      <c r="DD54" s="1592" t="e">
        <f aca="false">IF(OR(BQ54,BS54),CI54+IF(OVolSmile,VLOOKUP(MAX(-5,CQ54+CW54-BW54),IF(OVolSmile=1,VolSmileBook,VolSmileModel),2),0),"")</f>
        <v>#VALUE!</v>
      </c>
      <c r="DE54" s="1592" t="e">
        <f aca="false">IF(OR(BQ54,BS54),CL54+IF(OVolSmile,VLOOKUP(MAX(-5,CR54+CZ54-BX54),IF(OVolSmile=1,VolSmileBook,VolSmileModel),2),0),"")</f>
        <v>#VALUE!</v>
      </c>
      <c r="DF54" s="1592" t="e">
        <f aca="false">IF(BQ54,CM54+IF(OVolSmile,VLOOKUP(MAX(-5,CS54+DA54-BZ54),IF(OVolSmile=1,VolSmileBook,VolSmileModel),2),0),"")</f>
        <v>#VALUE!</v>
      </c>
      <c r="DG54" s="1593" t="e">
        <f aca="false">IF(BS54,CN54+IF(OVolSmile,VLOOKUP(MAX(-5,CT54+DA54-CF54),IF(OVolSmile=1,VolSmileBook,VolSmileModel),2),0),"")</f>
        <v>#VALUE!</v>
      </c>
      <c r="DH54" s="1316" t="e">
        <f aca="false">IF(AND(BU54&gt;0,CO54&gt;0,DB54&gt;0,CU54&gt;0),newSPRDOPT(BU54,CO54,CW54,0,DB54,CU54,CV54,BT54*365.25,OCallPut,0),0)</f>
        <v>#VALUE!</v>
      </c>
      <c r="DI54" s="1316" t="e">
        <f aca="false">IF(AND(BV54&gt;0,CP54&gt;0,DC54&gt;0,CU54&gt;0),newSPRDOPT(BV54,CP54,CX54,0,DC54,CU54,CV54,BT54*365.25,OCallPut,0),0)</f>
        <v>#VALUE!</v>
      </c>
      <c r="DJ54" s="1316" t="e">
        <f aca="false">IF(AND(BW54&gt;0,CQ54&gt;0,DD54&gt;0,CU54&gt;0),newSPRDOPT(BW54,CQ54,CY54,0,DD54,CU54,CV54,BT54*365.25,OCallPut,0),0)</f>
        <v>#VALUE!</v>
      </c>
      <c r="DK54" s="1316" t="e">
        <f aca="false">IF(AND(BX54&gt;0,CR54&gt;0,DE54&gt;0,CU54&gt;0),newSPRDOPT(BX54,CR54,CZ54,0,DE54,CU54,CV54,BT54*365.25,OCallPut,0),0)</f>
        <v>#VALUE!</v>
      </c>
      <c r="DL54" s="1316" t="e">
        <f aca="false">IF(OVolType,IF(AND(BZ54&gt;0,CS54&gt;0,DF54&gt;0,CU54&gt;0),newSPRDOPT(BZ54,CS54,DA54,0,DF54,CU54,CV54,BT54*365.25,OCallPut,0),0),IF(BQ54,(DH54*AZ54+DI54*BA54+DJ54*BB54+DK54*BC54)/BQ54,0))</f>
        <v>#VALUE!</v>
      </c>
      <c r="DM54" s="1316"/>
      <c r="DN54" s="1316"/>
      <c r="DO54" s="1316"/>
      <c r="DP54" s="1316"/>
      <c r="DQ54" s="1316"/>
      <c r="DR54" s="1316"/>
      <c r="DS54" s="1316"/>
      <c r="DT54" s="1316"/>
      <c r="DU54" s="1316"/>
      <c r="DV54" s="1316"/>
      <c r="DW54" s="1594" t="e">
        <f aca="false">IF(AND(BW54&gt;0,CT54&gt;0,DD54&gt;0,CU54&gt;0),newSPRDOPT(BW54,CT54,CY54,0,DD54,CU54,CV54,BT54*365.25,OCallPut,0),0)</f>
        <v>#VALUE!</v>
      </c>
      <c r="DX54" s="1316" t="e">
        <f aca="false">IF(AND(BX54&gt;0,CT54&gt;0,DE54&gt;0,CU54&gt;0),newSPRDOPT(BX54,CT54,CZ54,0,DE54,CU54,CV54,BT54*365.25,OCallPut,0),0)</f>
        <v>#VALUE!</v>
      </c>
      <c r="DY54" s="1591" t="e">
        <f aca="false">IF(BS54,(DH54*BH54+DI54*BI54+DW54*BJ54+DX54*BK54)/BS54,0)</f>
        <v>#VALUE!</v>
      </c>
      <c r="DZ54" s="1551" t="e">
        <f aca="false">DH54*AZ54</f>
        <v>#VALUE!</v>
      </c>
      <c r="EA54" s="1551" t="e">
        <f aca="false">DI54*BA54</f>
        <v>#VALUE!</v>
      </c>
      <c r="EB54" s="1551" t="e">
        <f aca="false">DJ54*BB54</f>
        <v>#VALUE!</v>
      </c>
      <c r="EC54" s="1551" t="e">
        <f aca="false">DK54*BC54</f>
        <v>#VALUE!</v>
      </c>
      <c r="ED54" s="1551" t="e">
        <f aca="false">DL54*BQ54</f>
        <v>#VALUE!</v>
      </c>
      <c r="EE54" s="1595" t="e">
        <f aca="false">IF(BQ54,IF(OCallPut,IF(BU54&gt;(CO54+CW54),BU54-(CO54+CW54),0),IF((CO54+CW54)&gt;BU54,(CO54+CW54)-BU54,0))*AZ54,0)</f>
        <v>#VALUE!</v>
      </c>
      <c r="EF54" s="1596" t="e">
        <f aca="false">IF(BQ54,IF(OCallPut,IF(BV54&gt;(CP54+CX54),BV54-(CP54+CX54),0),IF((CP54+CX54)&gt;BV54,(CP54+CX54)-BV54,0))*BA54,0)</f>
        <v>#VALUE!</v>
      </c>
      <c r="EG54" s="1596" t="e">
        <f aca="false">IF(BQ54,IF(OCallPut,IF(BW54&gt;(CQ54+CY54),BW54-(CQ54+CY54),0),IF((CQ54+CY54)&gt;BW54,(CQ54+CY54)-BW54,0))*BB54,0)</f>
        <v>#VALUE!</v>
      </c>
      <c r="EH54" s="1596" t="e">
        <f aca="false">IF(BQ54,IF(OCallPut,IF(BX54&gt;(CR54+CZ54),BX54-(CR54+CZ54),0),IF((CR54+CZ54)&gt;BX54,(CR54+CZ54)-BX54,0))*BC54,0)</f>
        <v>#VALUE!</v>
      </c>
      <c r="EI54" s="1597" t="e">
        <f aca="false">IF(BQ54,IF(OVolType,IF(OCallPut,IF(BZ54&gt;(CS54+DA54),BZ54-(CS54+DA54),0),IF((CS54+DA54)&gt;BZ54,(CS54+DA54)-BZ54,0))*BQ54,SUM(EE54:EH54)),0)</f>
        <v>#VALUE!</v>
      </c>
      <c r="EJ54" s="1595" t="e">
        <f aca="false">DZ54-EE54</f>
        <v>#VALUE!</v>
      </c>
      <c r="EK54" s="1596" t="e">
        <f aca="false">EA54-EF54</f>
        <v>#VALUE!</v>
      </c>
      <c r="EL54" s="1596" t="e">
        <f aca="false">EB54-EG54</f>
        <v>#VALUE!</v>
      </c>
      <c r="EM54" s="1596" t="e">
        <f aca="false">EC54-EH54</f>
        <v>#VALUE!</v>
      </c>
      <c r="EN54" s="1597" t="e">
        <f aca="false">ED54-EI54</f>
        <v>#VALUE!</v>
      </c>
      <c r="EO54" s="1551" t="e">
        <f aca="false">DH54*BH54</f>
        <v>#VALUE!</v>
      </c>
      <c r="EP54" s="1551" t="e">
        <f aca="false">DI54*BI54</f>
        <v>#VALUE!</v>
      </c>
      <c r="EQ54" s="1551" t="e">
        <f aca="false">DW54*BJ54</f>
        <v>#VALUE!</v>
      </c>
      <c r="ER54" s="1551" t="e">
        <f aca="false">DX54*BK54</f>
        <v>#VALUE!</v>
      </c>
      <c r="ES54" s="1551" t="e">
        <f aca="false">DY54*BS54</f>
        <v>#VALUE!</v>
      </c>
      <c r="ET54" s="1566" t="e">
        <f aca="false">IF(EI54,IF(OCallPut,IF(CA54&gt;(CT54+CW54),CA54-(CT54+CW54),0),IF((CT54+CW54)&gt;CA54,(CT54+CW54)-CA54,0))*BH54,0)</f>
        <v>#VALUE!</v>
      </c>
      <c r="EU54" s="1551" t="e">
        <f aca="false">IF(EI54,IF(OCallPut,IF(CB54&gt;(CT54+CX54),CB54-(CT54+CX54),0),IF((CT54+CX54)&gt;CB54,(CT54+CX54)-CB54,0))*BI54,0)</f>
        <v>#VALUE!</v>
      </c>
      <c r="EV54" s="1551" t="e">
        <f aca="false">IF(EI54,IF(OCallPut,IF(CC54&gt;(CT54+CY54),CC54-(CT54+CY54),0),IF((CT54+CY54)&gt;CC54,(CT54+CY54)-CC54,0))*BJ54,0)</f>
        <v>#VALUE!</v>
      </c>
      <c r="EW54" s="1551" t="e">
        <f aca="false">IF(EI54,IF(OCallPut,IF(CD54&gt;(CT54+CZ54),CD54-(CT54+CZ54),0),IF((CT54+CZ54)&gt;CD54,(CT54+CZ54)-CD54,0))*BK54,0)</f>
        <v>#VALUE!</v>
      </c>
      <c r="EX54" s="1558" t="e">
        <f aca="false">IF(EI54,SUM(ET54:EW54),0)</f>
        <v>#VALUE!</v>
      </c>
      <c r="EY54" s="1551" t="e">
        <f aca="false">EO54-ET54</f>
        <v>#VALUE!</v>
      </c>
      <c r="EZ54" s="1551" t="e">
        <f aca="false">EP54-EU54</f>
        <v>#VALUE!</v>
      </c>
      <c r="FA54" s="1551" t="e">
        <f aca="false">EQ54-EV54</f>
        <v>#VALUE!</v>
      </c>
      <c r="FB54" s="1551" t="e">
        <f aca="false">ER54-EW54</f>
        <v>#VALUE!</v>
      </c>
      <c r="FC54" s="1551" t="e">
        <f aca="false">ES54-EX54</f>
        <v>#VALUE!</v>
      </c>
      <c r="FD54" s="1525" t="n">
        <f aca="false">IF(AX54,IF(VLOOKUP(C54,MAIN!$L$17:$M$28,2)="Yes",VLOOKUP(CALC!B54,MAIN!$H$17:$I$20,2),0),0)</f>
        <v>0</v>
      </c>
      <c r="FE54" s="1552" t="n">
        <f aca="false">$FD54*16*AT54*(1-$AY54)</f>
        <v>0</v>
      </c>
      <c r="FF54" s="1553" t="n">
        <f aca="false">$FD54*16*AU54*(1-$AY54)</f>
        <v>0</v>
      </c>
      <c r="FG54" s="1553" t="n">
        <f aca="false">$FD54*16*(AV54+AW54)*(1-$AY54)</f>
        <v>0</v>
      </c>
      <c r="FH54" s="1554" t="n">
        <f aca="false">$FD54*8*AX54*(1-$AY54)</f>
        <v>0</v>
      </c>
      <c r="FI54" s="1555" t="n">
        <f aca="false">IF(AX54,VLOOKUP(CALC!B54,MAIN!$H$17:$K$20,4),0)</f>
        <v>0</v>
      </c>
      <c r="FJ54" s="1553" t="n">
        <f aca="false">SUM(FE54:FH54)</f>
        <v>0</v>
      </c>
      <c r="FK54" s="1556" t="n">
        <f aca="false">FI54*FJ54</f>
        <v>0</v>
      </c>
      <c r="FL54" s="1551" t="e">
        <f aca="false">IF($EI54&gt;0,MIN(FE54,AZ54*(1+VLOOKUP($C54,WeatherCapacityAdjustment,2))),0)</f>
        <v>#VALUE!</v>
      </c>
      <c r="FM54" s="1551" t="e">
        <f aca="false">IF($EI54&gt;0,MIN(FF54,BA54*(1+VLOOKUP($C54,WeatherCapacityAdjustment,2))),0)</f>
        <v>#VALUE!</v>
      </c>
      <c r="FN54" s="1551" t="e">
        <f aca="false">IF($EI54&gt;0,MIN(FG54,BB54*(1+VLOOKUP($C54,WeatherCapacityAdjustment,2))),0)</f>
        <v>#VALUE!</v>
      </c>
      <c r="FO54" s="1564" t="e">
        <f aca="false">IF($EI54&gt;0,MIN(FH54,BC54*(1+VLOOKUP($C54,WeatherCapacityAdjustment,3))),0)</f>
        <v>#VALUE!</v>
      </c>
      <c r="FP54" s="1551" t="e">
        <f aca="false">IF(ET54&gt;0,MIN(FE54-FL54,BH54*(1+VLOOKUP($C54,WeatherCapacityAdjustment,2))),0)</f>
        <v>#VALUE!</v>
      </c>
      <c r="FQ54" s="1551" t="e">
        <f aca="false">IF(EU54&gt;0,MIN(FF54-FM54,BI54*(1+VLOOKUP($C54,WeatherCapacityAdjustment,2))),0)</f>
        <v>#VALUE!</v>
      </c>
      <c r="FR54" s="1551" t="e">
        <f aca="false">IF(EV54&gt;0,MIN(FG54-FN54,BJ54*(1+VLOOKUP($C54,WeatherCapacityAdjustment,2))),0)</f>
        <v>#VALUE!</v>
      </c>
      <c r="FS54" s="1558" t="e">
        <f aca="false">IF(EW54&gt;0,MIN(FH54-FO54,BK54*(1+VLOOKUP($C54,WeatherCapacityAdjustment,3))),0)</f>
        <v>#VALUE!</v>
      </c>
      <c r="FT54" s="1566" t="n">
        <f aca="false">IF(AND(Assumptions!$H$71="Yes",A54&gt;=Assumptions!$H$72,A54&lt;=Assumptions!$H$73),0,IF(AND($A54&gt;=Assumptions!$C$17,$A54&lt;=Assumptions!$C$18),MAX(AZ54*(1+VLOOKUP($C54,WeatherCapacityAdjustment,2))-FL54,0),0))</f>
        <v>0</v>
      </c>
      <c r="FU54" s="1551" t="n">
        <f aca="false">IF(AND(Assumptions!$H$71="Yes",A54&gt;=Assumptions!$H$72,A54&lt;=Assumptions!$H$73),0,IF(AND($A54&gt;=Assumptions!$C$17,$A54&lt;=Assumptions!$C$18),MAX(BA54*(1+VLOOKUP($C54,WeatherCapacityAdjustment,2))-FM54,0),0))</f>
        <v>0</v>
      </c>
      <c r="FV54" s="1551" t="n">
        <f aca="false">IF(AND(Assumptions!$H$71="Yes",A54&gt;=Assumptions!$H$72,A54&lt;=Assumptions!$H$73),0,IF(AND($A54&gt;=Assumptions!$C$17,$A54&lt;=Assumptions!$C$18),MAX(BB54*(1+VLOOKUP($C54,WeatherCapacityAdjustment,2))-FN54,0),0))</f>
        <v>0</v>
      </c>
      <c r="FW54" s="1564" t="n">
        <f aca="false">IF(AND(Assumptions!$H$71="Yes",A54&gt;=Assumptions!$H$72,A54&lt;=Assumptions!$H$73),0,IF(AND($A54&gt;=Assumptions!$C$17,$A54&lt;=Assumptions!$C$18),MAX(BC54*(1+VLOOKUP($C54,WeatherCapacityAdjustment,3))-FO54,0),0))</f>
        <v>0</v>
      </c>
      <c r="FX54" s="1569" t="e">
        <f aca="false">IF(AND(Assumptions!$H$71="Yes",A54&gt;=Assumptions!$H$72,A54&lt;=Assumptions!$H$73),0,IF(ET54&gt;0,MAX(BH54*(1+VLOOKUP($C54,WeatherCapacityAdjustment,2))-FP54,0),0))</f>
        <v>#VALUE!</v>
      </c>
      <c r="FY54" s="1551" t="e">
        <f aca="false">IF(AND(Assumptions!$H$71="Yes",A54&gt;=Assumptions!$H$72,A54&lt;=Assumptions!$H$73),0,IF(EU54&gt;0,MAX(BI54*(1+VLOOKUP($C54,WeatherCapacityAdjustment,3))-FQ54,0),0))</f>
        <v>#VALUE!</v>
      </c>
      <c r="FZ54" s="1551" t="e">
        <f aca="false">IF(AND(Assumptions!$H$71="Yes",A54&gt;=Assumptions!$H$72,A54&lt;=Assumptions!$H$73),0,IF(EV54&gt;0,MAX(BJ54*(1+VLOOKUP($C54,WeatherCapacityAdjustment,2))-FR54,0),0))</f>
        <v>#VALUE!</v>
      </c>
      <c r="GA54" s="1564" t="e">
        <f aca="false">IF(AND(Assumptions!$H$71="Yes",A54&gt;=Assumptions!$H$72,A54&lt;=Assumptions!$H$73),0,IF(EW54&gt;0,MAX(BK54*(1+VLOOKUP($C54,WeatherCapacityAdjustment,2))-FS54,0),0))</f>
        <v>#VALUE!</v>
      </c>
      <c r="GB54" s="1551" t="e">
        <f aca="false">SUM(FT54:GA54)</f>
        <v>#VALUE!</v>
      </c>
      <c r="GC54" s="1563" t="e">
        <f aca="false">+IF(SUM(FT54:GA54)=0,0,(SUMPRODUCT(BU54:BX54,FT54:FW54)+SUMPRODUCT(CA54:CD54,FX54:GA54))/SUM(FT54:GA54))</f>
        <v>#VALUE!</v>
      </c>
      <c r="GD54" s="1551" t="e">
        <f aca="false">(FT54*BU54+FX54*CA54+FU54*BV54+FY54*CB54+FV54*BW54+FZ54*CC54+FW54*BX54+GA54*CD54)</f>
        <v>#VALUE!</v>
      </c>
      <c r="GE54" s="1561" t="e">
        <f aca="false">+IF(BQ54,((FL54+FM54+FT54+FU54)*HeatRatePeak/1000*(1+VLOOKUP($C54,WeatherHeatRateAdjustment,2))+(FN54+FV54)*IF(EV54&gt;0,HeatRatePeak,HeatRateOffPeak)/1000*(1+VLOOKUP($C54,WeatherHeatRateAdjustment,2))+(FO54+FW54)*IF(EW54&gt;0,HeatRatePeak,HeatRateOffPeak)/1000*(1+VLOOKUP($C54,WeatherHeatRateAdjustment,3)))*(1+VLOOKUP($B54,HeatRateDegradation,$C54+1)),0)</f>
        <v>#VALUE!</v>
      </c>
      <c r="GF54" s="1562" t="e">
        <f aca="false">IF(BQ54,((FP54+FQ54+FR54+FX54+FY54+FZ54)*HeatRatePeak/1000*(1+VLOOKUP($C54,WeatherHeatRateAdjustment,2))+(FS54+GA54)*HeatRatePeak/1000*(1+VLOOKUP($C54,WeatherHeatRateAdjustment,3)))*(1+VLOOKUP($B54,HeatRateDegradation,$C54+1)),0)</f>
        <v>#VALUE!</v>
      </c>
      <c r="GG54" s="1563" t="e">
        <f aca="false">IF(BQ54,VLOOKUP(A54,GasTable,13),0)</f>
        <v>#VALUE!</v>
      </c>
      <c r="GH54" s="1564" t="e">
        <f aca="false">(GE54+GF54)*GG54</f>
        <v>#VALUE!</v>
      </c>
      <c r="GI54" s="1569" t="e">
        <f aca="false">GB54</f>
        <v>#VALUE!</v>
      </c>
      <c r="GJ54" s="1598" t="e">
        <f aca="false">+DA54</f>
        <v>#VALUE!</v>
      </c>
      <c r="GK54" s="1558" t="e">
        <f aca="false">+GI54*GJ54</f>
        <v>#VALUE!</v>
      </c>
      <c r="GL54" s="1566" t="e">
        <f aca="false">MAX(FE54-FL54-FP54,0)</f>
        <v>#VALUE!</v>
      </c>
      <c r="GM54" s="1551" t="e">
        <f aca="false">MAX(FF54-FM54-FQ54,0)</f>
        <v>#VALUE!</v>
      </c>
      <c r="GN54" s="1551" t="e">
        <f aca="false">MAX(FG54-FN54-FR54,0)</f>
        <v>#VALUE!</v>
      </c>
      <c r="GO54" s="1564" t="e">
        <f aca="false">MAX(FH54-FO54-FS54,0)</f>
        <v>#VALUE!</v>
      </c>
      <c r="GP54" s="1551" t="e">
        <f aca="false">SUM(GL54:GO54)</f>
        <v>#VALUE!</v>
      </c>
      <c r="GQ54" s="1563" t="e">
        <f aca="false">IF(SUM(GL54:GO54)=0,0,((GL54*BU54+GM54*BV54+GN54*BW54+GO54*BX54)/SUM(GL54:GO54)))</f>
        <v>#VALUE!</v>
      </c>
      <c r="GR54" s="1558" t="e">
        <f aca="false">(GL54*BU54+GM54*BV54+GN54*BW54+GO54*BX54)</f>
        <v>#VALUE!</v>
      </c>
      <c r="GS54" s="1566" t="n">
        <f aca="false">IF($A54&gt;=BegDate,Assumptions!$C$56*24*($A55-$A54)*(1-VLOOKUP($B54,MAIN!$AA$7:$AM$28,$C54+1))*(1-VLOOKUP($B54,MAIN!$AA$33:$AM$54,$C54+1)),0)*80/168</f>
        <v>0</v>
      </c>
      <c r="GT54" s="286" t="n">
        <f aca="false">J54</f>
        <v>28.1621256624</v>
      </c>
      <c r="GU54" s="286" t="n">
        <f aca="false">IF($A54&gt;=BegDate,VLOOKUP($A54,GasTable,13)+Assumptions!$C$58,0)</f>
        <v>0</v>
      </c>
      <c r="GV54" s="286" t="n">
        <f aca="false">GU54*Assumptions!$C$57/1000</f>
        <v>0</v>
      </c>
      <c r="GW54" s="1558" t="n">
        <f aca="false">IF(Assumptions!$C$60="Hourly",MAX(0,GS54*(GT54-GV54)),GS54*(GT54-GV54))</f>
        <v>0</v>
      </c>
      <c r="GX54" s="1566" t="n">
        <f aca="false">IF($A54&gt;=BegDate,Assumptions!$C$56*24*($A55-$A54)*(1-VLOOKUP($B54,MAIN!$AA$7:$AM$28,$C54+1))*(1-VLOOKUP($B54,MAIN!$AA$33:$AM$54,$C54+1)),0)*16/168</f>
        <v>0</v>
      </c>
      <c r="GY54" s="286" t="n">
        <f aca="false">M54</f>
        <v>28.1621256624</v>
      </c>
      <c r="GZ54" s="286" t="n">
        <f aca="false">IF($A54&gt;=BegDate,VLOOKUP($A54,GasTable,13)+Assumptions!$C$58,0)</f>
        <v>0</v>
      </c>
      <c r="HA54" s="286" t="n">
        <f aca="false">GZ54*Assumptions!$C$57/1000</f>
        <v>0</v>
      </c>
      <c r="HB54" s="1558" t="n">
        <f aca="false">IF(Assumptions!$C$60="Hourly",MAX(0,GX54*(GY54-HA54)),GX54*(GY54-HA54))</f>
        <v>0</v>
      </c>
      <c r="HC54" s="1566" t="n">
        <f aca="false">IF($A54&gt;=BegDate,Assumptions!$C$56*24*($A55-$A54)*(1-VLOOKUP($B54,MAIN!$AA$7:$AM$28,$C54+1))*(1-VLOOKUP($B54,MAIN!$AA$33:$AM$54,$C54+1)),0)*16/168</f>
        <v>0</v>
      </c>
      <c r="HD54" s="286" t="n">
        <f aca="false">P54</f>
        <v>13.8089691</v>
      </c>
      <c r="HE54" s="286" t="n">
        <f aca="false">IF($A54&gt;=BegDate,VLOOKUP($A54,GasTable,13)+Assumptions!$C$58,0)</f>
        <v>0</v>
      </c>
      <c r="HF54" s="286" t="n">
        <f aca="false">HE54*Assumptions!$C$57/1000</f>
        <v>0</v>
      </c>
      <c r="HG54" s="1558" t="n">
        <f aca="false">IF(Assumptions!$C$60="Hourly",MAX(0,HC54*(HD54-HF54)),HC54*(HD54-HF54))</f>
        <v>0</v>
      </c>
      <c r="HH54" s="1566" t="n">
        <f aca="false">IF($A54&gt;=BegDate,Assumptions!$C$56*24*($A55-$A54)*(1-VLOOKUP($B54,MAIN!$AA$7:$AM$28,$C54+1))*(1-VLOOKUP($B54,MAIN!$AA$33:$AM$54,$C54+1)),0)*56/168</f>
        <v>0</v>
      </c>
      <c r="HI54" s="286" t="n">
        <f aca="false">S54</f>
        <v>13.8089691</v>
      </c>
      <c r="HJ54" s="286" t="n">
        <f aca="false">IF($A54&gt;=BegDate,VLOOKUP($A54,GasTable,13)+Assumptions!$C$58,0)</f>
        <v>0</v>
      </c>
      <c r="HK54" s="286" t="n">
        <f aca="false">HJ54*Assumptions!$C$57/1000</f>
        <v>0</v>
      </c>
      <c r="HL54" s="1558" t="n">
        <f aca="false">IF(Assumptions!$C$60="Hourly",MAX(0,HH54*(HI54-HK54)),HH54*(HI54-HK54))</f>
        <v>0</v>
      </c>
      <c r="HM54" s="1566" t="n">
        <f aca="false">IF(AND(Assumptions!$H$71="Yes",A54&gt;=Assumptions!$H$72,A54&lt;=Assumptions!$H$73),Assumptions!$H$74*Assumptions!$C$9*1000,0)</f>
        <v>0</v>
      </c>
      <c r="HN54" s="1551"/>
      <c r="HO54" s="1563"/>
      <c r="HP54" s="1563"/>
      <c r="HQ54" s="1563"/>
      <c r="HR54" s="1563"/>
      <c r="HS54" s="1563"/>
      <c r="HT54" s="1563"/>
      <c r="HU54" s="1563"/>
      <c r="HV54" s="1563"/>
      <c r="HW54" s="1563"/>
      <c r="HX54" s="1563"/>
      <c r="HY54" s="1563"/>
      <c r="HZ54" s="1563"/>
      <c r="IA54" s="1563"/>
      <c r="IB54" s="1563"/>
      <c r="IC54" s="1563"/>
      <c r="ID54" s="1563"/>
      <c r="IE54" s="1563"/>
      <c r="IF54" s="1563"/>
      <c r="IG54" s="1563"/>
      <c r="IH54" s="1563"/>
      <c r="II54" s="1610"/>
      <c r="IJ54" s="1309"/>
      <c r="IK54" s="1309"/>
    </row>
    <row r="55" customFormat="false" ht="12.75" hidden="false" customHeight="false" outlineLevel="0" collapsed="false">
      <c r="A55" s="1571" t="n">
        <f aca="false">EOMONTH(A54,0)+1</f>
        <v>37803</v>
      </c>
      <c r="B55" s="594" t="n">
        <f aca="false">+YEAR(A55)</f>
        <v>2003</v>
      </c>
      <c r="C55" s="238" t="n">
        <f aca="false">MONTH(A55)</f>
        <v>7</v>
      </c>
      <c r="D55" s="1572" t="e">
        <f aca="false">IF(E55="","",Holiday(B55,C55))</f>
        <v>#VALUE!</v>
      </c>
      <c r="E55" s="1573" t="n">
        <f aca="false">IF(OR(BegDate&gt;=A56,EndDate&lt;A55,AND(VolumeMonthlyOverFlag,INDEX(VolumeMonthlyOver,C55)=0),NOT(INDEX(MonthKnockOutTable,C55))),"",MAX(A55,BegDate))</f>
        <v>37803</v>
      </c>
      <c r="F55" s="1574" t="n">
        <f aca="false">IF(E55="","",MIN(A56-1,EndDate))</f>
        <v>37833</v>
      </c>
      <c r="G55" s="1575" t="n">
        <v>0</v>
      </c>
      <c r="H55" s="1576" t="n">
        <f aca="false">(1+G55/2)^(-2*(DATE(B56,C56,20)-DateToday)/365.25)</f>
        <v>1</v>
      </c>
      <c r="I55" s="1568" t="n">
        <f aca="false">IF(Assumptions!$L$25=4,VLOOKUP($A55,'Henwood Reference'!$E$9:$R$320,10),(VLOOKUP($A55,PriceTable,2,0)+IF(BasisNumber&lt;&gt;1,VLOOKUP($A55,BasisTable,2,0),0)+I$1)/(1-I$2))</f>
        <v>40.1426333784</v>
      </c>
      <c r="J55" s="1568" t="n">
        <f aca="false">IF(Assumptions!$L$25=4,VLOOKUP($A55,'Henwood Reference'!$E$9:$R$320,10),(VLOOKUP($A55,PriceTable,3,0)+IF(BasisNumber&lt;&gt;1,VLOOKUP($A55,BasisTable,2,0),0)+J$1)/(1-J$2))</f>
        <v>40.1426333784</v>
      </c>
      <c r="K55" s="1568" t="n">
        <f aca="false">IF(Assumptions!$L$25=4,VLOOKUP($A55,'Henwood Reference'!$E$9:$R$320,10),(VLOOKUP($A55,PriceTable,4,0)+IF(BasisNumber&lt;&gt;1,VLOOKUP($A55,BasisTable,2,0),0)+K$1)/(1-K$2))</f>
        <v>40.1426333784</v>
      </c>
      <c r="L55" s="1523" t="n">
        <f aca="false">IF(Assumptions!$L$25=4,VLOOKUP($A55,'Henwood Reference'!$E$9:$R$320,10),(VLOOKUP($A55,PriceTableWeekend,2,0)+IF(BasisNumber&lt;&gt;1,VLOOKUP($A55,BasisTable,2,0),0)+L$1)/(1-L$2))</f>
        <v>40.1426333784</v>
      </c>
      <c r="M55" s="1568" t="n">
        <f aca="false">IF(Assumptions!$L$25=4,VLOOKUP($A55,'Henwood Reference'!$E$9:$R$320,10),(VLOOKUP($A55,PriceTableWeekend,3,0)+IF(BasisNumber&lt;&gt;1,VLOOKUP($A55,BasisTable,2,0),0)+M$1)/(1-M$2))</f>
        <v>40.1426333784</v>
      </c>
      <c r="N55" s="1599" t="n">
        <f aca="false">IF(Assumptions!$L$25=4,VLOOKUP($A55,'Henwood Reference'!$E$9:$R$320,10),(VLOOKUP($A55,PriceTableWeekend,4,0)+IF(BasisNumber&lt;&gt;1,VLOOKUP($A55,BasisTable,2,0),0)+N$1)/(1-N$2))</f>
        <v>40.1426333784</v>
      </c>
      <c r="O55" s="1568" t="n">
        <f aca="false">IF(Assumptions!$L$25=4,VLOOKUP($A55,'Henwood Reference'!$E$9:$R$320,11),(VLOOKUP($A55,PriceTableWeekend,6,0)+IF(BasisNumber&lt;&gt;1,VLOOKUP($A55,BasisTable,3,0),0)+O$1)/(1-O$2))</f>
        <v>20.7876851496</v>
      </c>
      <c r="P55" s="1568" t="n">
        <f aca="false">IF(Assumptions!$L$25=4,VLOOKUP($A55,'Henwood Reference'!$E$9:$R$320,11),(VLOOKUP($A55,PriceTableWeekend,7,0)+IF(BasisNumber&lt;&gt;1,VLOOKUP($A55,BasisTable,3,0),0)+P$1)/(1-P$2))</f>
        <v>20.7876851496</v>
      </c>
      <c r="Q55" s="1599" t="n">
        <f aca="false">IF(Assumptions!$L$25=4,VLOOKUP($A55,'Henwood Reference'!$E$9:$R$320,11),(VLOOKUP($A55,PriceTableWeekend,8,0)+IF(BasisNumber&lt;&gt;1,VLOOKUP($A55,BasisTable,3,0),0)+Q$1)/(1-Q$2))</f>
        <v>20.7876851496</v>
      </c>
      <c r="R55" s="1568" t="n">
        <f aca="false">IF(Assumptions!$L$25=4,VLOOKUP($A55,'Henwood Reference'!$E$9:$R$320,11),(VLOOKUP($A55,PriceTable,6,0)+IF(BasisNumber&lt;&gt;1,VLOOKUP($A55,BasisTable,3,0),0)+R$1)/(1-R$2))</f>
        <v>20.7876851496</v>
      </c>
      <c r="S55" s="1568" t="n">
        <f aca="false">IF(Assumptions!$L$25=4,VLOOKUP($A55,'Henwood Reference'!$E$9:$R$320,11),(VLOOKUP($A55,PriceTable,7,0)+IF(BasisNumber&lt;&gt;1,VLOOKUP($A55,BasisTable,3,0),0)+S$1)/(1-S$2))</f>
        <v>20.7876851496</v>
      </c>
      <c r="T55" s="1600" t="n">
        <f aca="false">IF(Assumptions!$L$25=4,VLOOKUP($A55,'Henwood Reference'!$E$9:$R$320,11),(VLOOKUP($A55,PriceTable,8,0)+IF(BasisNumber&lt;&gt;1,VLOOKUP($A55,BasisTable,3,0),0)+T$1)/(1-T$2))</f>
        <v>20.7876851496</v>
      </c>
      <c r="U55" s="1513" t="n">
        <f aca="false">VLOOKUP($A55,VolatilityTable,14)</f>
        <v>0.155</v>
      </c>
      <c r="V55" s="1513" t="n">
        <f aca="false">VLOOKUP($A55,VolatilityTable,15)</f>
        <v>0.165</v>
      </c>
      <c r="W55" s="1514" t="n">
        <f aca="false">VLOOKUP($A55,VolatilityTable,16)</f>
        <v>0.175</v>
      </c>
      <c r="X55" s="1513" t="n">
        <f aca="false">VLOOKUP($A55,VolatilityTable,14)</f>
        <v>0.155</v>
      </c>
      <c r="Y55" s="1513" t="n">
        <f aca="false">VLOOKUP($A55,VolatilityTable,15)</f>
        <v>0.165</v>
      </c>
      <c r="Z55" s="1514" t="n">
        <f aca="false">VLOOKUP($A55,VolatilityTable,16)</f>
        <v>0.175</v>
      </c>
      <c r="AA55" s="1513" t="n">
        <f aca="false">VLOOKUP($A55,VolatilityTable,18)</f>
        <v>0.09</v>
      </c>
      <c r="AB55" s="1513" t="n">
        <f aca="false">VLOOKUP($A55,VolatilityTable,19)</f>
        <v>0.11</v>
      </c>
      <c r="AC55" s="1514" t="n">
        <f aca="false">VLOOKUP($A55,VolatilityTable,20)</f>
        <v>0.13</v>
      </c>
      <c r="AD55" s="1513" t="n">
        <f aca="false">VLOOKUP($A55,VolatilityTable,18)</f>
        <v>0.09</v>
      </c>
      <c r="AE55" s="1513" t="n">
        <f aca="false">VLOOKUP($A55,VolatilityTable,19)</f>
        <v>0.11</v>
      </c>
      <c r="AF55" s="1514" t="n">
        <f aca="false">VLOOKUP($A55,VolatilityTable,20)</f>
        <v>0.13</v>
      </c>
      <c r="AG55" s="1513" t="n">
        <f aca="false">VLOOKUP($A55,VolatilityTable,22)</f>
        <v>-0.35</v>
      </c>
      <c r="AH55" s="1513" t="n">
        <f aca="false">VLOOKUP($A55,VolatilityTable,23)</f>
        <v>3</v>
      </c>
      <c r="AI55" s="1514" t="n">
        <f aca="false">VLOOKUP($A55,VolatilityTable,24)</f>
        <v>0.35</v>
      </c>
      <c r="AJ55" s="1513" t="n">
        <f aca="false">VLOOKUP($A55,VolatilityTable,22)</f>
        <v>-0.35</v>
      </c>
      <c r="AK55" s="1513" t="n">
        <f aca="false">VLOOKUP($A55,VolatilityTable,23)</f>
        <v>3</v>
      </c>
      <c r="AL55" s="1514" t="n">
        <f aca="false">VLOOKUP($A55,VolatilityTable,24)</f>
        <v>0.35</v>
      </c>
      <c r="AM55" s="1513" t="n">
        <f aca="false">VLOOKUP($A55,VolatilityTable,26)</f>
        <v>-0.01</v>
      </c>
      <c r="AN55" s="1513" t="n">
        <f aca="false">VLOOKUP($A55,VolatilityTable,27)</f>
        <v>0.16</v>
      </c>
      <c r="AO55" s="1514" t="n">
        <f aca="false">VLOOKUP($A55,VolatilityTable,28)</f>
        <v>0.01</v>
      </c>
      <c r="AP55" s="1513" t="n">
        <f aca="false">VLOOKUP($A55,VolatilityTable,26)</f>
        <v>-0.01</v>
      </c>
      <c r="AQ55" s="1513" t="n">
        <f aca="false">VLOOKUP($A55,VolatilityTable,27)</f>
        <v>0.16</v>
      </c>
      <c r="AR55" s="1515" t="n">
        <f aca="false">VLOOKUP($A55,VolatilityTable,28)</f>
        <v>0.01</v>
      </c>
      <c r="AS55" s="1581" t="n">
        <f aca="false">IF(CorrPeakOffPeakOverFlag,INDEX(CorrPeakOffPeakOver,C55),CorrPeakOffPeak)</f>
        <v>0.5</v>
      </c>
      <c r="AT55" s="594" t="e">
        <f aca="false">AX55-SUM(AU55:AW55)</f>
        <v>#VALUE!</v>
      </c>
      <c r="AU55" s="238" t="e">
        <f aca="false">IF(E55="",0,INT((F55-MOD(F55,7)-E55)/7)+1-IF(AW55,IF(WEEKDAY(D55)=7,1,0),0))</f>
        <v>#VALUE!</v>
      </c>
      <c r="AV55" s="238" t="e">
        <f aca="false">IF(E55="",0,INT((F55-MOD(F55-1,7)-E55)/7)+1-IF(AW55,IF(WEEKDAY(D55)=1,1,0),0))</f>
        <v>#VALUE!</v>
      </c>
      <c r="AW55" s="238" t="e">
        <f aca="false">IF(OR(E55="",D55="",D55&lt;BegDate,D55&gt;EndDate),0,1)</f>
        <v>#VALUE!</v>
      </c>
      <c r="AX55" s="238" t="n">
        <f aca="false">IF(E55="",0,F55-E55+1)</f>
        <v>31</v>
      </c>
      <c r="AY55" s="1582" t="n">
        <f aca="false">IF(E55="",0,MIN((1-(1-VLOOKUP(B55,MAIN!$AA$7:$AM$28,C55+1))*(1-VLOOKUP(B55,MAIN!$AA$33:$AM$54,C55+1))),1))</f>
        <v>0.03</v>
      </c>
      <c r="AZ55" s="1519" t="e">
        <v>#VALUE!</v>
      </c>
      <c r="BA55" s="1520" t="e">
        <v>#VALUE!</v>
      </c>
      <c r="BB55" s="1520" t="e">
        <v>#VALUE!</v>
      </c>
      <c r="BC55" s="1583" t="e">
        <v>#VALUE!</v>
      </c>
      <c r="BD55" s="1522" t="e">
        <v>#VALUE!</v>
      </c>
      <c r="BE55" s="1523" t="e">
        <v>#VALUE!</v>
      </c>
      <c r="BF55" s="1523" t="e">
        <v>#VALUE!</v>
      </c>
      <c r="BG55" s="1584" t="e">
        <v>#VALUE!</v>
      </c>
      <c r="BH55" s="1525" t="e">
        <v>#VALUE!</v>
      </c>
      <c r="BI55" s="1520" t="e">
        <v>#VALUE!</v>
      </c>
      <c r="BJ55" s="1520" t="e">
        <v>#VALUE!</v>
      </c>
      <c r="BK55" s="1583" t="e">
        <v>#VALUE!</v>
      </c>
      <c r="BL55" s="1522" t="e">
        <v>#VALUE!</v>
      </c>
      <c r="BM55" s="1523" t="e">
        <v>#VALUE!</v>
      </c>
      <c r="BN55" s="1523" t="e">
        <v>#VALUE!</v>
      </c>
      <c r="BO55" s="1523" t="e">
        <v>#VALUE!</v>
      </c>
      <c r="BP55" s="1525" t="e">
        <f aca="false">SUM(AZ55:BB55)</f>
        <v>#VALUE!</v>
      </c>
      <c r="BQ55" s="1529" t="e">
        <f aca="false">SUM(AZ55:BC55)</f>
        <v>#VALUE!</v>
      </c>
      <c r="BR55" s="1519" t="e">
        <f aca="false">SUM(BH55:BJ55)</f>
        <v>#VALUE!</v>
      </c>
      <c r="BS55" s="1529" t="e">
        <f aca="false">SUM(BH55:BK55)</f>
        <v>#VALUE!</v>
      </c>
      <c r="BT55" s="1316" t="n">
        <f aca="false">(IF(OVolType&lt;&gt;2,A55+14,IF(OptExpDateShift,ShiftBack(A55,OptExpDateShift,D54),A55))-DateToday)/365.25</f>
        <v>3.21149897330595</v>
      </c>
      <c r="BU55" s="1585" t="e">
        <f aca="false">IF(BQ55,IF(OPriceCurve,IF(OBuySell=OCallPut,I55/(1-AY55),K55/(1-AY55)),J55/(1-AY55))*BD55,0)</f>
        <v>#VALUE!</v>
      </c>
      <c r="BV55" s="1316" t="e">
        <f aca="false">IF(BQ55,IF(OPriceCurve,IF(OBuySell=OCallPut,L55/(1-AY55),N55/(1-AY55)),M55/(1-AY55))*BE55,0)</f>
        <v>#VALUE!</v>
      </c>
      <c r="BW55" s="1316" t="e">
        <f aca="false">IF(BQ55,IF(OPriceCurve,IF(OBuySell=OCallPut,O55/(1-AY55),Q55/(1-AY55)),P55/(1-AY55))*BF55,0)</f>
        <v>#VALUE!</v>
      </c>
      <c r="BX55" s="1316" t="e">
        <f aca="false">IF(BQ55,IF(OPriceCurve,IF(OBuySell=OCallPut,R55/(1-AY55),T55/(1-AY55)),S55/(1-AY55))*BG55,0)</f>
        <v>#VALUE!</v>
      </c>
      <c r="BY55" s="1316" t="e">
        <f aca="false">IF(BP55,(BU55*AZ55+BV55*BA55+BW55*BB55)/BP55,0)</f>
        <v>#VALUE!</v>
      </c>
      <c r="BZ55" s="1316" t="e">
        <f aca="false">IF(BQ55,(BY55*BP55+BX55*BC55)/BQ55,0)</f>
        <v>#VALUE!</v>
      </c>
      <c r="CA55" s="1531" t="e">
        <f aca="false">IF(BS55,IF(OPriceCurve,IF(OBuySell=OCallPut,I55/(1-AY55),K55/(1-AY55)),J55/(1-AY55))*BL55,0)</f>
        <v>#VALUE!</v>
      </c>
      <c r="CB55" s="1316" t="e">
        <f aca="false">IF(BS55,IF(OPriceCurve,IF(OBuySell=OCallPut,L55/(1-AY55),N55/(1-AY55)),M55/(1-AY55))*BM55,0)</f>
        <v>#VALUE!</v>
      </c>
      <c r="CC55" s="1316" t="e">
        <f aca="false">IF(BS55,IF(OPriceCurve,IF(OBuySell=OCallPut,O55/(1-AY55),Q55/(1-AY55)),P55/(1-AY55))*BN55,0)</f>
        <v>#VALUE!</v>
      </c>
      <c r="CD55" s="1316" t="e">
        <f aca="false">IF(BS55,IF(OPriceCurve,IF(OBuySell=OCallPut,R55/(1-AY55),T55/(1-AY55)),S55/(1-AY55))*BO55,0)</f>
        <v>#VALUE!</v>
      </c>
      <c r="CE55" s="1316" t="e">
        <f aca="false">IF(BR55,(BU55*BH55+BV55*BI55+BW55*BJ55)/BR55,0)</f>
        <v>#VALUE!</v>
      </c>
      <c r="CF55" s="1532" t="e">
        <f aca="false">IF(BS55,(CE55*BR55+CD55*BK55)/BS55,0)</f>
        <v>#VALUE!</v>
      </c>
      <c r="CG55" s="1586" t="e">
        <f aca="false">IF(OR(BQ55,BS55),IF(OVolType&lt;&gt;2,SQRT(IF(OVolOverMonthlyPeak,OVolOverMonthlyPeak,IF(OVolCurve,IF(OBuySell,U55,W55),V55))^2*(1-15/365.25/BT55)+IF(OVolOverDailyPeak,OVolOverDailyPeak,IF(OVolCurve,IF(OBuySell,AG55,AI55),AH55))^2*15/365.25/BT55),IF(OVolOverMonthlyPeak,OVolOverMonthlyPeak,IF(OVolCurve,IF(OBuySell,U55,W55),V55))),"")</f>
        <v>#VALUE!</v>
      </c>
      <c r="CH55" s="1587" t="e">
        <f aca="false">IF(OR(BQ55,BS55),IF(OVolType&lt;&gt;2,SQRT(IF(OVolOverMonthlyPeak,OVolOverMonthlyPeak,IF(OVolCurve,IF(OBuySell,X55,Z55),Y55))^2*(1-15/365.25/BT55)+IF(OVolOverDailyPeak,OVolOverDailyPeak,IF(OVolCurve,IF(OBuySell,AJ55,AL55),AK55))^2*15/365.25/BT55),IF(OVolOverMonthlyPeak,OVolOverMonthlyPeak,IF(OVolCurve,IF(OBuySell,X55,Z55),Y55))),"")</f>
        <v>#VALUE!</v>
      </c>
      <c r="CI55" s="1587" t="e">
        <f aca="false">IF(OR(BQ55,BS55),IF(OVolType&lt;&gt;2,SQRT(IF(OVolOverMonthlyPeak,OVolOverMonthlyPeak,IF(OVolCurve,IF(OBuySell,AA55,AC55),AB55))^2*(1-15/365.25/BT55)+IF(OVolOverDailyPeak,OVolOverDailyPeak,IF(OVolCurve,IF(OBuySell,AM55,AO55),AN55))^2*15/365.25/BT55),IF(OVolOverMonthlyPeak,OVolOverMonthlyPeak,IF(OVolCurve,IF(OBuySell,AA55,AC55),AB55))),"")</f>
        <v>#VALUE!</v>
      </c>
      <c r="CJ55" s="1587" t="e">
        <f aca="false">IF(BQ55,IF(BP55,SQRT(LN(1+((BU55*AZ55)^2*(EXP(CG55^2*BT55)-1)+(BV55*BA55)^2*(EXP(CH55^2*BT55)-1)+(BW55*BB55)^2*(EXP(CI55^2*BT55)-1)+2*BU55*AZ55*BV55*BA55*(EXP(CG55*CH55*BT55)-1)+2*BV55*BA55*BW55*BB55*(EXP(CH55*CI55*BT55)-1)+2*BW55*BB55*BU55*AZ55*(EXP(CI55*CG55*BT55)-1))/(BY55*BP55)^2)/BT55),0),"")</f>
        <v>#VALUE!</v>
      </c>
      <c r="CK55" s="1587" t="e">
        <f aca="false">IF(BS55,IF(BR55,SQRT(LN(1+((CA55*BH55)^2*(EXP(CG55^2*BT55)-1)+(CB55*BI55)^2*(EXP(CH55^2*BT55)-1)+(CC55*BJ55)^2*(EXP(CI55^2*BT55)-1)+2*CA55*BH55*CB55*BI55*(EXP(CG55*CH55*BT55)-1)+2*CB55*BI55*CC55*BJ55*(EXP(CH55*CI55*BT55)-1)+2*CC55*BJ55*CA55*BH55*(EXP(CI55*CG55*BT55)-1))/(CE55*BR55)^2)/BT55),0),"")</f>
        <v>#VALUE!</v>
      </c>
      <c r="CL55" s="1587" t="e">
        <f aca="false">IF(OR(BQ55,BS55),IF(OVolType&lt;&gt;2,SQRT(IF(OVolOverMonthlyOffPeak,OVolOverMonthlyOffPeak,IF(OVolCurve,IF(OBuySell,AD55,AF55),AE55))^2*(1-15/365.25/BT55)+IF(OVolOverDailyOffPeak,OVolOverDailyOffPeak,IF(OVolCurve,IF(OBuySell,AP55,AR55),AQ55))^2*15/365.25/BT55),IF(OVolOverMonthlyOffPeak,OVolOverMonthlyOffPeak,IF(OVolCurve,IF(OBuySell,AD55,AF55),AE55))),"")</f>
        <v>#VALUE!</v>
      </c>
      <c r="CM55" s="1587" t="e">
        <f aca="false">IF(BQ55,SQRT(LN(1+((BY55*BP55)^2*(EXP(CJ55^2*BT55)-1)+(BX55*BC55)^2*(EXP(CL55^2*BT55)-1)+2*BY55*BP55*BX55*BC55*(EXP(AS55*CJ55*CL55*BT55)-1))/(BY55*BP55+BX55*BC55)^2)/BT55),"")</f>
        <v>#VALUE!</v>
      </c>
      <c r="CN55" s="1588" t="e">
        <f aca="false">IF(BS55,SQRT(LN(1+((CE55*BR55)^2*(EXP(CK55^2*BT55)-1)+(CD55*BK55)^2*(EXP(CL55^2*BT55)-1)+2*CE55*BR55*CD55*BK55*(EXP(AS55*CK55*CL55*BT55)-1))/(CE55*BR55+CD55*BK55)^2)/BT55),"")</f>
        <v>#VALUE!</v>
      </c>
      <c r="CO55" s="1531" t="e">
        <f aca="false">IF(OR(BQ55,BS55),VLOOKUP(A55,GasTable,13)*HeatRatePeak*(1+VLOOKUP($B55,HeatRateDegradation,$C55+1))/1000,0)</f>
        <v>#VALUE!</v>
      </c>
      <c r="CP55" s="1316" t="e">
        <f aca="false">IF(OR(BQ55,BS55),VLOOKUP(A55,GasTable,13)*HeatRatePeak*(1+VLOOKUP($B55,HeatRateDegradation,$C55+1))/1000,0)</f>
        <v>#VALUE!</v>
      </c>
      <c r="CQ55" s="1316" t="e">
        <f aca="false">IF(OR(BQ55,BS55),VLOOKUP(A55,GasTable,13)*IF(EV55,HeatRatePeak,HeatRateOffPeak)*(1+VLOOKUP($B55,HeatRateDegradation,$C55+1))/1000,0)</f>
        <v>#VALUE!</v>
      </c>
      <c r="CR55" s="1316" t="e">
        <f aca="false">IF(OR(BQ55,BS55),VLOOKUP(A55,GasTable,13)*IF(EW55,HeatRatePeak,HeatRateOffPeak)*(1+VLOOKUP($B55,HeatRateDegradation,$C55+1))/1000,0)</f>
        <v>#VALUE!</v>
      </c>
      <c r="CS55" s="1589" t="e">
        <f aca="false">IF(BQ55,(CO55*AZ55+CP55*BA55+CQ55*BB55+CR55*BC55)/BQ55,0)</f>
        <v>#VALUE!</v>
      </c>
      <c r="CT55" s="1316" t="e">
        <f aca="false">IF(BS55,CO55,0)</f>
        <v>#VALUE!</v>
      </c>
      <c r="CU55" s="1590" t="e">
        <f aca="false">IF(OR(BQ55,BS55),VLOOKUP(A55,GasTable,14),"")</f>
        <v>#VALUE!</v>
      </c>
      <c r="CV55" s="1568" t="e">
        <f aca="false">IF(OR(BQ55,BS55),IF(CorrPowerGasOverFlag,INDEX(CorrPowerGasOver,C55),CorrPowerGas),"")</f>
        <v>#VALUE!</v>
      </c>
      <c r="CW55" s="1316" t="e">
        <f aca="false">IF(OR($BQ55,$BS55),SpreadOptPowerMargin,0)*((1+Assumptions!$C$26)^($B55-YEAR(Assumptions!$C$17)))</f>
        <v>#VALUE!</v>
      </c>
      <c r="CX55" s="1316" t="e">
        <f aca="false">IF(OR($BQ55,$BS55),SpreadOptPowerMargin,0)*((1+Assumptions!$C$26)^($B55-YEAR(Assumptions!$C$17)))</f>
        <v>#VALUE!</v>
      </c>
      <c r="CY55" s="1316" t="e">
        <f aca="false">IF(OR($BQ55,$BS55),SpreadOptPowerMargin,0)*((1+Assumptions!$C$26)^($B55-YEAR(Assumptions!$C$17)))</f>
        <v>#VALUE!</v>
      </c>
      <c r="CZ55" s="1316" t="e">
        <f aca="false">IF(OR($BQ55,$BS55),SpreadOptPowerMargin,0)*((1+Assumptions!$C$26)^($B55-YEAR(Assumptions!$C$17)))</f>
        <v>#VALUE!</v>
      </c>
      <c r="DA55" s="1591" t="e">
        <f aca="false">IF(OR(BQ55,BS55),(CW55*(AZ55+BH55)+CX55*(BA55+BI55)+CY55*(BB55+BJ55)+CZ55*(BC55+BK55))/(BQ55+BS55),0)</f>
        <v>#VALUE!</v>
      </c>
      <c r="DB55" s="1592" t="e">
        <f aca="false">IF(OR(BQ55,BS55),CG55+IF(OVolSmile,VLOOKUP(MAX(-5,CO55+CW55-BU55),IF(OVolSmile=1,VolSmileBook,VolSmileModel),2),0),"")</f>
        <v>#VALUE!</v>
      </c>
      <c r="DC55" s="1592" t="e">
        <f aca="false">IF(OR(BQ55,BS55),CH55+IF(OVolSmile,VLOOKUP(MAX(-5,CP55+CW55-BV55),IF(OVolSmile=1,VolSmileBook,VolSmileModel),2),0),"")</f>
        <v>#VALUE!</v>
      </c>
      <c r="DD55" s="1592" t="e">
        <f aca="false">IF(OR(BQ55,BS55),CI55+IF(OVolSmile,VLOOKUP(MAX(-5,CQ55+CW55-BW55),IF(OVolSmile=1,VolSmileBook,VolSmileModel),2),0),"")</f>
        <v>#VALUE!</v>
      </c>
      <c r="DE55" s="1592" t="e">
        <f aca="false">IF(OR(BQ55,BS55),CL55+IF(OVolSmile,VLOOKUP(MAX(-5,CR55+CZ55-BX55),IF(OVolSmile=1,VolSmileBook,VolSmileModel),2),0),"")</f>
        <v>#VALUE!</v>
      </c>
      <c r="DF55" s="1592" t="e">
        <f aca="false">IF(BQ55,CM55+IF(OVolSmile,VLOOKUP(MAX(-5,CS55+DA55-BZ55),IF(OVolSmile=1,VolSmileBook,VolSmileModel),2),0),"")</f>
        <v>#VALUE!</v>
      </c>
      <c r="DG55" s="1593" t="e">
        <f aca="false">IF(BS55,CN55+IF(OVolSmile,VLOOKUP(MAX(-5,CT55+DA55-CF55),IF(OVolSmile=1,VolSmileBook,VolSmileModel),2),0),"")</f>
        <v>#VALUE!</v>
      </c>
      <c r="DH55" s="1316" t="e">
        <f aca="false">IF(AND(BU55&gt;0,CO55&gt;0,DB55&gt;0,CU55&gt;0),newSPRDOPT(BU55,CO55,CW55,0,DB55,CU55,CV55,BT55*365.25,OCallPut,0),0)</f>
        <v>#VALUE!</v>
      </c>
      <c r="DI55" s="1316" t="e">
        <f aca="false">IF(AND(BV55&gt;0,CP55&gt;0,DC55&gt;0,CU55&gt;0),newSPRDOPT(BV55,CP55,CX55,0,DC55,CU55,CV55,BT55*365.25,OCallPut,0),0)</f>
        <v>#VALUE!</v>
      </c>
      <c r="DJ55" s="1316" t="e">
        <f aca="false">IF(AND(BW55&gt;0,CQ55&gt;0,DD55&gt;0,CU55&gt;0),newSPRDOPT(BW55,CQ55,CY55,0,DD55,CU55,CV55,BT55*365.25,OCallPut,0),0)</f>
        <v>#VALUE!</v>
      </c>
      <c r="DK55" s="1316" t="e">
        <f aca="false">IF(AND(BX55&gt;0,CR55&gt;0,DE55&gt;0,CU55&gt;0),newSPRDOPT(BX55,CR55,CZ55,0,DE55,CU55,CV55,BT55*365.25,OCallPut,0),0)</f>
        <v>#VALUE!</v>
      </c>
      <c r="DL55" s="1316" t="e">
        <f aca="false">IF(OVolType,IF(AND(BZ55&gt;0,CS55&gt;0,DF55&gt;0,CU55&gt;0),newSPRDOPT(BZ55,CS55,DA55,0,DF55,CU55,CV55,BT55*365.25,OCallPut,0),0),IF(BQ55,(DH55*AZ55+DI55*BA55+DJ55*BB55+DK55*BC55)/BQ55,0))</f>
        <v>#VALUE!</v>
      </c>
      <c r="DM55" s="1316"/>
      <c r="DN55" s="1316"/>
      <c r="DO55" s="1316"/>
      <c r="DP55" s="1316"/>
      <c r="DQ55" s="1316"/>
      <c r="DR55" s="1316"/>
      <c r="DS55" s="1316"/>
      <c r="DT55" s="1316"/>
      <c r="DU55" s="1316"/>
      <c r="DV55" s="1316"/>
      <c r="DW55" s="1594" t="e">
        <f aca="false">IF(AND(BW55&gt;0,CT55&gt;0,DD55&gt;0,CU55&gt;0),newSPRDOPT(BW55,CT55,CY55,0,DD55,CU55,CV55,BT55*365.25,OCallPut,0),0)</f>
        <v>#VALUE!</v>
      </c>
      <c r="DX55" s="1316" t="e">
        <f aca="false">IF(AND(BX55&gt;0,CT55&gt;0,DE55&gt;0,CU55&gt;0),newSPRDOPT(BX55,CT55,CZ55,0,DE55,CU55,CV55,BT55*365.25,OCallPut,0),0)</f>
        <v>#VALUE!</v>
      </c>
      <c r="DY55" s="1591" t="e">
        <f aca="false">IF(BS55,(DH55*BH55+DI55*BI55+DW55*BJ55+DX55*BK55)/BS55,0)</f>
        <v>#VALUE!</v>
      </c>
      <c r="DZ55" s="1551" t="e">
        <f aca="false">DH55*AZ55</f>
        <v>#VALUE!</v>
      </c>
      <c r="EA55" s="1551" t="e">
        <f aca="false">DI55*BA55</f>
        <v>#VALUE!</v>
      </c>
      <c r="EB55" s="1551" t="e">
        <f aca="false">DJ55*BB55</f>
        <v>#VALUE!</v>
      </c>
      <c r="EC55" s="1551" t="e">
        <f aca="false">DK55*BC55</f>
        <v>#VALUE!</v>
      </c>
      <c r="ED55" s="1551" t="e">
        <f aca="false">DL55*BQ55</f>
        <v>#VALUE!</v>
      </c>
      <c r="EE55" s="1595" t="e">
        <f aca="false">IF(BQ55,IF(OCallPut,IF(BU55&gt;(CO55+CW55),BU55-(CO55+CW55),0),IF((CO55+CW55)&gt;BU55,(CO55+CW55)-BU55,0))*AZ55,0)</f>
        <v>#VALUE!</v>
      </c>
      <c r="EF55" s="1596" t="e">
        <f aca="false">IF(BQ55,IF(OCallPut,IF(BV55&gt;(CP55+CX55),BV55-(CP55+CX55),0),IF((CP55+CX55)&gt;BV55,(CP55+CX55)-BV55,0))*BA55,0)</f>
        <v>#VALUE!</v>
      </c>
      <c r="EG55" s="1596" t="e">
        <f aca="false">IF(BQ55,IF(OCallPut,IF(BW55&gt;(CQ55+CY55),BW55-(CQ55+CY55),0),IF((CQ55+CY55)&gt;BW55,(CQ55+CY55)-BW55,0))*BB55,0)</f>
        <v>#VALUE!</v>
      </c>
      <c r="EH55" s="1596" t="e">
        <f aca="false">IF(BQ55,IF(OCallPut,IF(BX55&gt;(CR55+CZ55),BX55-(CR55+CZ55),0),IF((CR55+CZ55)&gt;BX55,(CR55+CZ55)-BX55,0))*BC55,0)</f>
        <v>#VALUE!</v>
      </c>
      <c r="EI55" s="1597" t="e">
        <f aca="false">IF(BQ55,IF(OVolType,IF(OCallPut,IF(BZ55&gt;(CS55+DA55),BZ55-(CS55+DA55),0),IF((CS55+DA55)&gt;BZ55,(CS55+DA55)-BZ55,0))*BQ55,SUM(EE55:EH55)),0)</f>
        <v>#VALUE!</v>
      </c>
      <c r="EJ55" s="1595" t="e">
        <f aca="false">DZ55-EE55</f>
        <v>#VALUE!</v>
      </c>
      <c r="EK55" s="1596" t="e">
        <f aca="false">EA55-EF55</f>
        <v>#VALUE!</v>
      </c>
      <c r="EL55" s="1596" t="e">
        <f aca="false">EB55-EG55</f>
        <v>#VALUE!</v>
      </c>
      <c r="EM55" s="1596" t="e">
        <f aca="false">EC55-EH55</f>
        <v>#VALUE!</v>
      </c>
      <c r="EN55" s="1597" t="e">
        <f aca="false">ED55-EI55</f>
        <v>#VALUE!</v>
      </c>
      <c r="EO55" s="1551" t="e">
        <f aca="false">DH55*BH55</f>
        <v>#VALUE!</v>
      </c>
      <c r="EP55" s="1551" t="e">
        <f aca="false">DI55*BI55</f>
        <v>#VALUE!</v>
      </c>
      <c r="EQ55" s="1551" t="e">
        <f aca="false">DW55*BJ55</f>
        <v>#VALUE!</v>
      </c>
      <c r="ER55" s="1551" t="e">
        <f aca="false">DX55*BK55</f>
        <v>#VALUE!</v>
      </c>
      <c r="ES55" s="1551" t="e">
        <f aca="false">DY55*BS55</f>
        <v>#VALUE!</v>
      </c>
      <c r="ET55" s="1566" t="e">
        <f aca="false">IF(EI55,IF(OCallPut,IF(CA55&gt;(CT55+CW55),CA55-(CT55+CW55),0),IF((CT55+CW55)&gt;CA55,(CT55+CW55)-CA55,0))*BH55,0)</f>
        <v>#VALUE!</v>
      </c>
      <c r="EU55" s="1551" t="e">
        <f aca="false">IF(EI55,IF(OCallPut,IF(CB55&gt;(CT55+CX55),CB55-(CT55+CX55),0),IF((CT55+CX55)&gt;CB55,(CT55+CX55)-CB55,0))*BI55,0)</f>
        <v>#VALUE!</v>
      </c>
      <c r="EV55" s="1551" t="e">
        <f aca="false">IF(EI55,IF(OCallPut,IF(CC55&gt;(CT55+CY55),CC55-(CT55+CY55),0),IF((CT55+CY55)&gt;CC55,(CT55+CY55)-CC55,0))*BJ55,0)</f>
        <v>#VALUE!</v>
      </c>
      <c r="EW55" s="1551" t="e">
        <f aca="false">IF(EI55,IF(OCallPut,IF(CD55&gt;(CT55+CZ55),CD55-(CT55+CZ55),0),IF((CT55+CZ55)&gt;CD55,(CT55+CZ55)-CD55,0))*BK55,0)</f>
        <v>#VALUE!</v>
      </c>
      <c r="EX55" s="1558" t="e">
        <f aca="false">IF(EI55,SUM(ET55:EW55),0)</f>
        <v>#VALUE!</v>
      </c>
      <c r="EY55" s="1551" t="e">
        <f aca="false">EO55-ET55</f>
        <v>#VALUE!</v>
      </c>
      <c r="EZ55" s="1551" t="e">
        <f aca="false">EP55-EU55</f>
        <v>#VALUE!</v>
      </c>
      <c r="FA55" s="1551" t="e">
        <f aca="false">EQ55-EV55</f>
        <v>#VALUE!</v>
      </c>
      <c r="FB55" s="1551" t="e">
        <f aca="false">ER55-EW55</f>
        <v>#VALUE!</v>
      </c>
      <c r="FC55" s="1551" t="e">
        <f aca="false">ES55-EX55</f>
        <v>#VALUE!</v>
      </c>
      <c r="FD55" s="1525" t="n">
        <f aca="false">IF(AX55,IF(VLOOKUP(C55,MAIN!$L$17:$M$28,2)="Yes",VLOOKUP(CALC!B55,MAIN!$H$17:$I$20,2),0),0)</f>
        <v>0</v>
      </c>
      <c r="FE55" s="1552" t="e">
        <f aca="false">$FD55*16*AT55*(1-$AY55)</f>
        <v>#VALUE!</v>
      </c>
      <c r="FF55" s="1553" t="e">
        <f aca="false">$FD55*16*AU55*(1-$AY55)</f>
        <v>#VALUE!</v>
      </c>
      <c r="FG55" s="1553" t="e">
        <f aca="false">$FD55*16*(AV55+AW55)*(1-$AY55)</f>
        <v>#VALUE!</v>
      </c>
      <c r="FH55" s="1554" t="n">
        <f aca="false">$FD55*8*AX55*(1-$AY55)</f>
        <v>0</v>
      </c>
      <c r="FI55" s="1555" t="n">
        <f aca="false">IF(AX55,VLOOKUP(CALC!B55,MAIN!$H$17:$K$20,4),0)</f>
        <v>0</v>
      </c>
      <c r="FJ55" s="1553" t="e">
        <f aca="false">SUM(FE55:FH55)</f>
        <v>#VALUE!</v>
      </c>
      <c r="FK55" s="1556" t="e">
        <f aca="false">FI55*FJ55</f>
        <v>#VALUE!</v>
      </c>
      <c r="FL55" s="1551" t="e">
        <f aca="false">IF($EI55&gt;0,MIN(FE55,AZ55*(1+VLOOKUP($C55,WeatherCapacityAdjustment,2))),0)</f>
        <v>#VALUE!</v>
      </c>
      <c r="FM55" s="1551" t="e">
        <f aca="false">IF($EI55&gt;0,MIN(FF55,BA55*(1+VLOOKUP($C55,WeatherCapacityAdjustment,2))),0)</f>
        <v>#VALUE!</v>
      </c>
      <c r="FN55" s="1551" t="e">
        <f aca="false">IF($EI55&gt;0,MIN(FG55,BB55*(1+VLOOKUP($C55,WeatherCapacityAdjustment,2))),0)</f>
        <v>#VALUE!</v>
      </c>
      <c r="FO55" s="1564" t="e">
        <f aca="false">IF($EI55&gt;0,MIN(FH55,BC55*(1+VLOOKUP($C55,WeatherCapacityAdjustment,3))),0)</f>
        <v>#VALUE!</v>
      </c>
      <c r="FP55" s="1551" t="e">
        <f aca="false">IF(ET55&gt;0,MIN(FE55-FL55,BH55*(1+VLOOKUP($C55,WeatherCapacityAdjustment,2))),0)</f>
        <v>#VALUE!</v>
      </c>
      <c r="FQ55" s="1551" t="e">
        <f aca="false">IF(EU55&gt;0,MIN(FF55-FM55,BI55*(1+VLOOKUP($C55,WeatherCapacityAdjustment,2))),0)</f>
        <v>#VALUE!</v>
      </c>
      <c r="FR55" s="1551" t="e">
        <f aca="false">IF(EV55&gt;0,MIN(FG55-FN55,BJ55*(1+VLOOKUP($C55,WeatherCapacityAdjustment,2))),0)</f>
        <v>#VALUE!</v>
      </c>
      <c r="FS55" s="1558" t="e">
        <f aca="false">IF(EW55&gt;0,MIN(FH55-FO55,BK55*(1+VLOOKUP($C55,WeatherCapacityAdjustment,3))),0)</f>
        <v>#VALUE!</v>
      </c>
      <c r="FT55" s="1566" t="e">
        <f aca="false">IF(AND(Assumptions!$H$71="Yes",A55&gt;=Assumptions!$H$72,A55&lt;=Assumptions!$H$73),0,IF(AND($A55&gt;=Assumptions!$C$17,$A55&lt;=Assumptions!$C$18),MAX(AZ55*(1+VLOOKUP($C55,WeatherCapacityAdjustment,2))-FL55,0),0))</f>
        <v>#VALUE!</v>
      </c>
      <c r="FU55" s="1551" t="e">
        <f aca="false">IF(AND(Assumptions!$H$71="Yes",A55&gt;=Assumptions!$H$72,A55&lt;=Assumptions!$H$73),0,IF(AND($A55&gt;=Assumptions!$C$17,$A55&lt;=Assumptions!$C$18),MAX(BA55*(1+VLOOKUP($C55,WeatherCapacityAdjustment,2))-FM55,0),0))</f>
        <v>#VALUE!</v>
      </c>
      <c r="FV55" s="1551" t="e">
        <f aca="false">IF(AND(Assumptions!$H$71="Yes",A55&gt;=Assumptions!$H$72,A55&lt;=Assumptions!$H$73),0,IF(AND($A55&gt;=Assumptions!$C$17,$A55&lt;=Assumptions!$C$18),MAX(BB55*(1+VLOOKUP($C55,WeatherCapacityAdjustment,2))-FN55,0),0))</f>
        <v>#VALUE!</v>
      </c>
      <c r="FW55" s="1564" t="e">
        <f aca="false">IF(AND(Assumptions!$H$71="Yes",A55&gt;=Assumptions!$H$72,A55&lt;=Assumptions!$H$73),0,IF(AND($A55&gt;=Assumptions!$C$17,$A55&lt;=Assumptions!$C$18),MAX(BC55*(1+VLOOKUP($C55,WeatherCapacityAdjustment,3))-FO55,0),0))</f>
        <v>#VALUE!</v>
      </c>
      <c r="FX55" s="1569" t="e">
        <f aca="false">IF(AND(Assumptions!$H$71="Yes",A55&gt;=Assumptions!$H$72,A55&lt;=Assumptions!$H$73),0,IF(ET55&gt;0,MAX(BH55*(1+VLOOKUP($C55,WeatherCapacityAdjustment,2))-FP55,0),0))</f>
        <v>#VALUE!</v>
      </c>
      <c r="FY55" s="1551" t="e">
        <f aca="false">IF(AND(Assumptions!$H$71="Yes",A55&gt;=Assumptions!$H$72,A55&lt;=Assumptions!$H$73),0,IF(EU55&gt;0,MAX(BI55*(1+VLOOKUP($C55,WeatherCapacityAdjustment,3))-FQ55,0),0))</f>
        <v>#VALUE!</v>
      </c>
      <c r="FZ55" s="1551" t="e">
        <f aca="false">IF(AND(Assumptions!$H$71="Yes",A55&gt;=Assumptions!$H$72,A55&lt;=Assumptions!$H$73),0,IF(EV55&gt;0,MAX(BJ55*(1+VLOOKUP($C55,WeatherCapacityAdjustment,2))-FR55,0),0))</f>
        <v>#VALUE!</v>
      </c>
      <c r="GA55" s="1564" t="e">
        <f aca="false">IF(AND(Assumptions!$H$71="Yes",A55&gt;=Assumptions!$H$72,A55&lt;=Assumptions!$H$73),0,IF(EW55&gt;0,MAX(BK55*(1+VLOOKUP($C55,WeatherCapacityAdjustment,2))-FS55,0),0))</f>
        <v>#VALUE!</v>
      </c>
      <c r="GB55" s="1551" t="e">
        <f aca="false">SUM(FT55:GA55)</f>
        <v>#VALUE!</v>
      </c>
      <c r="GC55" s="1563" t="e">
        <f aca="false">+IF(SUM(FT55:GA55)=0,0,(SUMPRODUCT(BU55:BX55,FT55:FW55)+SUMPRODUCT(CA55:CD55,FX55:GA55))/SUM(FT55:GA55))</f>
        <v>#VALUE!</v>
      </c>
      <c r="GD55" s="1551" t="e">
        <f aca="false">(FT55*BU55+FX55*CA55+FU55*BV55+FY55*CB55+FV55*BW55+FZ55*CC55+FW55*BX55+GA55*CD55)</f>
        <v>#VALUE!</v>
      </c>
      <c r="GE55" s="1561" t="e">
        <f aca="false">+IF(BQ55,((FL55+FM55+FT55+FU55)*HeatRatePeak/1000*(1+VLOOKUP($C55,WeatherHeatRateAdjustment,2))+(FN55+FV55)*IF(EV55&gt;0,HeatRatePeak,HeatRateOffPeak)/1000*(1+VLOOKUP($C55,WeatherHeatRateAdjustment,2))+(FO55+FW55)*IF(EW55&gt;0,HeatRatePeak,HeatRateOffPeak)/1000*(1+VLOOKUP($C55,WeatherHeatRateAdjustment,3)))*(1+VLOOKUP($B55,HeatRateDegradation,$C55+1)),0)</f>
        <v>#VALUE!</v>
      </c>
      <c r="GF55" s="1562" t="e">
        <f aca="false">IF(BQ55,((FP55+FQ55+FR55+FX55+FY55+FZ55)*HeatRatePeak/1000*(1+VLOOKUP($C55,WeatherHeatRateAdjustment,2))+(FS55+GA55)*HeatRatePeak/1000*(1+VLOOKUP($C55,WeatherHeatRateAdjustment,3)))*(1+VLOOKUP($B55,HeatRateDegradation,$C55+1)),0)</f>
        <v>#VALUE!</v>
      </c>
      <c r="GG55" s="1563" t="e">
        <f aca="false">IF(BQ55,VLOOKUP(A55,GasTable,13),0)</f>
        <v>#VALUE!</v>
      </c>
      <c r="GH55" s="1564" t="e">
        <f aca="false">(GE55+GF55)*GG55</f>
        <v>#VALUE!</v>
      </c>
      <c r="GI55" s="1569" t="e">
        <f aca="false">GB55</f>
        <v>#VALUE!</v>
      </c>
      <c r="GJ55" s="1598" t="e">
        <f aca="false">+DA55</f>
        <v>#VALUE!</v>
      </c>
      <c r="GK55" s="1558" t="e">
        <f aca="false">+GI55*GJ55</f>
        <v>#VALUE!</v>
      </c>
      <c r="GL55" s="1566" t="e">
        <f aca="false">MAX(FE55-FL55-FP55,0)</f>
        <v>#VALUE!</v>
      </c>
      <c r="GM55" s="1551" t="e">
        <f aca="false">MAX(FF55-FM55-FQ55,0)</f>
        <v>#VALUE!</v>
      </c>
      <c r="GN55" s="1551" t="e">
        <f aca="false">MAX(FG55-FN55-FR55,0)</f>
        <v>#VALUE!</v>
      </c>
      <c r="GO55" s="1564" t="e">
        <f aca="false">MAX(FH55-FO55-FS55,0)</f>
        <v>#VALUE!</v>
      </c>
      <c r="GP55" s="1551" t="e">
        <f aca="false">SUM(GL55:GO55)</f>
        <v>#VALUE!</v>
      </c>
      <c r="GQ55" s="1563" t="e">
        <f aca="false">IF(SUM(GL55:GO55)=0,0,((GL55*BU55+GM55*BV55+GN55*BW55+GO55*BX55)/SUM(GL55:GO55)))</f>
        <v>#VALUE!</v>
      </c>
      <c r="GR55" s="1558" t="e">
        <f aca="false">(GL55*BU55+GM55*BV55+GN55*BW55+GO55*BX55)</f>
        <v>#VALUE!</v>
      </c>
      <c r="GS55" s="1566" t="n">
        <f aca="false">IF($A55&gt;=BegDate,Assumptions!$C$56*24*($A56-$A55)*(1-VLOOKUP($B55,MAIN!$AA$7:$AM$28,$C55+1))*(1-VLOOKUP($B55,MAIN!$AA$33:$AM$54,$C55+1)),0)*80/168</f>
        <v>257742.857142857</v>
      </c>
      <c r="GT55" s="286" t="n">
        <f aca="false">J55</f>
        <v>40.1426333784</v>
      </c>
      <c r="GU55" s="286" t="n">
        <f aca="false">IF($A55&gt;=BegDate,VLOOKUP($A55,GasTable,13)+Assumptions!$C$58,0)</f>
        <v>2.31780474142936</v>
      </c>
      <c r="GV55" s="286" t="n">
        <f aca="false">GU55*Assumptions!$C$57/1000</f>
        <v>16.8040843753629</v>
      </c>
      <c r="GW55" s="1558" t="n">
        <f aca="false">IF(Assumptions!$C$60="Hourly",MAX(0,GS55*(GT55-GV55)),GS55*(GT55-GV55))</f>
        <v>6015344.30161138</v>
      </c>
      <c r="GX55" s="1566" t="n">
        <f aca="false">IF($A55&gt;=BegDate,Assumptions!$C$56*24*($A56-$A55)*(1-VLOOKUP($B55,MAIN!$AA$7:$AM$28,$C55+1))*(1-VLOOKUP($B55,MAIN!$AA$33:$AM$54,$C55+1)),0)*16/168</f>
        <v>51548.5714285714</v>
      </c>
      <c r="GY55" s="286" t="n">
        <f aca="false">M55</f>
        <v>40.1426333784</v>
      </c>
      <c r="GZ55" s="286" t="n">
        <f aca="false">IF($A55&gt;=BegDate,VLOOKUP($A55,GasTable,13)+Assumptions!$C$58,0)</f>
        <v>2.31780474142936</v>
      </c>
      <c r="HA55" s="286" t="n">
        <f aca="false">GZ55*Assumptions!$C$57/1000</f>
        <v>16.8040843753629</v>
      </c>
      <c r="HB55" s="1558" t="n">
        <f aca="false">IF(Assumptions!$C$60="Hourly",MAX(0,GX55*(GY55-HA55)),GX55*(GY55-HA55))</f>
        <v>1203068.86032228</v>
      </c>
      <c r="HC55" s="1566" t="n">
        <f aca="false">IF($A55&gt;=BegDate,Assumptions!$C$56*24*($A56-$A55)*(1-VLOOKUP($B55,MAIN!$AA$7:$AM$28,$C55+1))*(1-VLOOKUP($B55,MAIN!$AA$33:$AM$54,$C55+1)),0)*16/168</f>
        <v>51548.5714285714</v>
      </c>
      <c r="HD55" s="286" t="n">
        <f aca="false">P55</f>
        <v>20.7876851496</v>
      </c>
      <c r="HE55" s="286" t="n">
        <f aca="false">IF($A55&gt;=BegDate,VLOOKUP($A55,GasTable,13)+Assumptions!$C$58,0)</f>
        <v>2.31780474142936</v>
      </c>
      <c r="HF55" s="286" t="n">
        <f aca="false">HE55*Assumptions!$C$57/1000</f>
        <v>16.8040843753629</v>
      </c>
      <c r="HG55" s="1558" t="n">
        <f aca="false">IF(Assumptions!$C$60="Hourly",MAX(0,HC55*(HD55-HF55)),HC55*(HD55-HF55))</f>
        <v>205348.929053676</v>
      </c>
      <c r="HH55" s="1566" t="n">
        <f aca="false">IF($A55&gt;=BegDate,Assumptions!$C$56*24*($A56-$A55)*(1-VLOOKUP($B55,MAIN!$AA$7:$AM$28,$C55+1))*(1-VLOOKUP($B55,MAIN!$AA$33:$AM$54,$C55+1)),0)*56/168</f>
        <v>180420</v>
      </c>
      <c r="HI55" s="286" t="n">
        <f aca="false">S55</f>
        <v>20.7876851496</v>
      </c>
      <c r="HJ55" s="286" t="n">
        <f aca="false">IF($A55&gt;=BegDate,VLOOKUP($A55,GasTable,13)+Assumptions!$C$58,0)</f>
        <v>2.31780474142936</v>
      </c>
      <c r="HK55" s="286" t="n">
        <f aca="false">HJ55*Assumptions!$C$57/1000</f>
        <v>16.8040843753629</v>
      </c>
      <c r="HL55" s="1558" t="n">
        <f aca="false">IF(Assumptions!$C$60="Hourly",MAX(0,HH55*(HI55-HK55)),HH55*(HI55-HK55))</f>
        <v>718721.251687866</v>
      </c>
      <c r="HM55" s="1566" t="n">
        <f aca="false">IF(AND(Assumptions!$H$71="Yes",A55&gt;=Assumptions!$H$72,A55&lt;=Assumptions!$H$73),Assumptions!$H$74*Assumptions!$C$9*1000,0)</f>
        <v>0</v>
      </c>
      <c r="HN55" s="1551"/>
      <c r="HO55" s="1563"/>
      <c r="HP55" s="1563"/>
      <c r="HQ55" s="1563"/>
      <c r="HR55" s="1563"/>
      <c r="HS55" s="1563"/>
      <c r="HT55" s="1563"/>
      <c r="HU55" s="1563"/>
      <c r="HV55" s="1563"/>
      <c r="HW55" s="1563"/>
      <c r="HX55" s="1563"/>
      <c r="HY55" s="1563"/>
      <c r="HZ55" s="1563"/>
      <c r="IA55" s="1563"/>
      <c r="IB55" s="1563"/>
      <c r="IC55" s="1563"/>
      <c r="ID55" s="1563"/>
      <c r="IE55" s="1563"/>
      <c r="IF55" s="1563"/>
      <c r="IG55" s="1563"/>
      <c r="IH55" s="1563"/>
      <c r="II55" s="1610"/>
      <c r="IJ55" s="1309"/>
      <c r="IK55" s="1309"/>
    </row>
    <row r="56" customFormat="false" ht="12.75" hidden="false" customHeight="false" outlineLevel="0" collapsed="false">
      <c r="A56" s="1571" t="n">
        <f aca="false">EOMONTH(A55,0)+1</f>
        <v>37834</v>
      </c>
      <c r="B56" s="594" t="n">
        <f aca="false">+YEAR(A56)</f>
        <v>2003</v>
      </c>
      <c r="C56" s="238" t="n">
        <f aca="false">MONTH(A56)</f>
        <v>8</v>
      </c>
      <c r="D56" s="1572" t="e">
        <f aca="false">IF(E56="","",Holiday(B56,C56))</f>
        <v>#VALUE!</v>
      </c>
      <c r="E56" s="1573" t="n">
        <f aca="false">IF(OR(BegDate&gt;=A57,EndDate&lt;A56,AND(VolumeMonthlyOverFlag,INDEX(VolumeMonthlyOver,C56)=0),NOT(INDEX(MonthKnockOutTable,C56))),"",MAX(A56,BegDate))</f>
        <v>37834</v>
      </c>
      <c r="F56" s="1574" t="n">
        <f aca="false">IF(E56="","",MIN(A57-1,EndDate))</f>
        <v>37864</v>
      </c>
      <c r="G56" s="1575" t="n">
        <v>0</v>
      </c>
      <c r="H56" s="1576" t="n">
        <f aca="false">(1+G56/2)^(-2*(DATE(B57,C57,20)-DateToday)/365.25)</f>
        <v>1</v>
      </c>
      <c r="I56" s="1568" t="n">
        <f aca="false">IF(Assumptions!$L$25=4,VLOOKUP($A56,'Henwood Reference'!$E$9:$R$320,10),(VLOOKUP($A56,PriceTable,2,0)+IF(BasisNumber&lt;&gt;1,VLOOKUP($A56,BasisTable,2,0),0)+I$1)/(1-I$2))</f>
        <v>62.6235820128</v>
      </c>
      <c r="J56" s="1568" t="n">
        <f aca="false">IF(Assumptions!$L$25=4,VLOOKUP($A56,'Henwood Reference'!$E$9:$R$320,10),(VLOOKUP($A56,PriceTable,3,0)+IF(BasisNumber&lt;&gt;1,VLOOKUP($A56,BasisTable,2,0),0)+J$1)/(1-J$2))</f>
        <v>62.6235820128</v>
      </c>
      <c r="K56" s="1568" t="n">
        <f aca="false">IF(Assumptions!$L$25=4,VLOOKUP($A56,'Henwood Reference'!$E$9:$R$320,10),(VLOOKUP($A56,PriceTable,4,0)+IF(BasisNumber&lt;&gt;1,VLOOKUP($A56,BasisTable,2,0),0)+K$1)/(1-K$2))</f>
        <v>62.6235820128</v>
      </c>
      <c r="L56" s="1523" t="n">
        <f aca="false">IF(Assumptions!$L$25=4,VLOOKUP($A56,'Henwood Reference'!$E$9:$R$320,10),(VLOOKUP($A56,PriceTableWeekend,2,0)+IF(BasisNumber&lt;&gt;1,VLOOKUP($A56,BasisTable,2,0),0)+L$1)/(1-L$2))</f>
        <v>62.6235820128</v>
      </c>
      <c r="M56" s="1568" t="n">
        <f aca="false">IF(Assumptions!$L$25=4,VLOOKUP($A56,'Henwood Reference'!$E$9:$R$320,10),(VLOOKUP($A56,PriceTableWeekend,3,0)+IF(BasisNumber&lt;&gt;1,VLOOKUP($A56,BasisTable,2,0),0)+M$1)/(1-M$2))</f>
        <v>62.6235820128</v>
      </c>
      <c r="N56" s="1599" t="n">
        <f aca="false">IF(Assumptions!$L$25=4,VLOOKUP($A56,'Henwood Reference'!$E$9:$R$320,10),(VLOOKUP($A56,PriceTableWeekend,4,0)+IF(BasisNumber&lt;&gt;1,VLOOKUP($A56,BasisTable,2,0),0)+N$1)/(1-N$2))</f>
        <v>62.6235820128</v>
      </c>
      <c r="O56" s="1568" t="n">
        <f aca="false">IF(Assumptions!$L$25=4,VLOOKUP($A56,'Henwood Reference'!$E$9:$R$320,11),(VLOOKUP($A56,PriceTableWeekend,6,0)+IF(BasisNumber&lt;&gt;1,VLOOKUP($A56,BasisTable,3,0),0)+O$1)/(1-O$2))</f>
        <v>26.4798987408</v>
      </c>
      <c r="P56" s="1568" t="n">
        <f aca="false">IF(Assumptions!$L$25=4,VLOOKUP($A56,'Henwood Reference'!$E$9:$R$320,11),(VLOOKUP($A56,PriceTableWeekend,7,0)+IF(BasisNumber&lt;&gt;1,VLOOKUP($A56,BasisTable,3,0),0)+P$1)/(1-P$2))</f>
        <v>26.4798987408</v>
      </c>
      <c r="Q56" s="1599" t="n">
        <f aca="false">IF(Assumptions!$L$25=4,VLOOKUP($A56,'Henwood Reference'!$E$9:$R$320,11),(VLOOKUP($A56,PriceTableWeekend,8,0)+IF(BasisNumber&lt;&gt;1,VLOOKUP($A56,BasisTable,3,0),0)+Q$1)/(1-Q$2))</f>
        <v>26.4798987408</v>
      </c>
      <c r="R56" s="1568" t="n">
        <f aca="false">IF(Assumptions!$L$25=4,VLOOKUP($A56,'Henwood Reference'!$E$9:$R$320,11),(VLOOKUP($A56,PriceTable,6,0)+IF(BasisNumber&lt;&gt;1,VLOOKUP($A56,BasisTable,3,0),0)+R$1)/(1-R$2))</f>
        <v>26.4798987408</v>
      </c>
      <c r="S56" s="1568" t="n">
        <f aca="false">IF(Assumptions!$L$25=4,VLOOKUP($A56,'Henwood Reference'!$E$9:$R$320,11),(VLOOKUP($A56,PriceTable,7,0)+IF(BasisNumber&lt;&gt;1,VLOOKUP($A56,BasisTable,3,0),0)+S$1)/(1-S$2))</f>
        <v>26.4798987408</v>
      </c>
      <c r="T56" s="1600" t="n">
        <f aca="false">IF(Assumptions!$L$25=4,VLOOKUP($A56,'Henwood Reference'!$E$9:$R$320,11),(VLOOKUP($A56,PriceTable,8,0)+IF(BasisNumber&lt;&gt;1,VLOOKUP($A56,BasisTable,3,0),0)+T$1)/(1-T$2))</f>
        <v>26.4798987408</v>
      </c>
      <c r="U56" s="1513" t="n">
        <f aca="false">VLOOKUP($A56,VolatilityTable,14)</f>
        <v>0.155</v>
      </c>
      <c r="V56" s="1513" t="n">
        <f aca="false">VLOOKUP($A56,VolatilityTable,15)</f>
        <v>0.165</v>
      </c>
      <c r="W56" s="1514" t="n">
        <f aca="false">VLOOKUP($A56,VolatilityTable,16)</f>
        <v>0.175</v>
      </c>
      <c r="X56" s="1513" t="n">
        <f aca="false">VLOOKUP($A56,VolatilityTable,14)</f>
        <v>0.155</v>
      </c>
      <c r="Y56" s="1513" t="n">
        <f aca="false">VLOOKUP($A56,VolatilityTable,15)</f>
        <v>0.165</v>
      </c>
      <c r="Z56" s="1514" t="n">
        <f aca="false">VLOOKUP($A56,VolatilityTable,16)</f>
        <v>0.175</v>
      </c>
      <c r="AA56" s="1513" t="n">
        <f aca="false">VLOOKUP($A56,VolatilityTable,18)</f>
        <v>0.09</v>
      </c>
      <c r="AB56" s="1513" t="n">
        <f aca="false">VLOOKUP($A56,VolatilityTable,19)</f>
        <v>0.11</v>
      </c>
      <c r="AC56" s="1514" t="n">
        <f aca="false">VLOOKUP($A56,VolatilityTable,20)</f>
        <v>0.13</v>
      </c>
      <c r="AD56" s="1513" t="n">
        <f aca="false">VLOOKUP($A56,VolatilityTable,18)</f>
        <v>0.09</v>
      </c>
      <c r="AE56" s="1513" t="n">
        <f aca="false">VLOOKUP($A56,VolatilityTable,19)</f>
        <v>0.11</v>
      </c>
      <c r="AF56" s="1514" t="n">
        <f aca="false">VLOOKUP($A56,VolatilityTable,20)</f>
        <v>0.13</v>
      </c>
      <c r="AG56" s="1513" t="n">
        <f aca="false">VLOOKUP($A56,VolatilityTable,22)</f>
        <v>-0.35</v>
      </c>
      <c r="AH56" s="1513" t="n">
        <f aca="false">VLOOKUP($A56,VolatilityTable,23)</f>
        <v>3</v>
      </c>
      <c r="AI56" s="1514" t="n">
        <f aca="false">VLOOKUP($A56,VolatilityTable,24)</f>
        <v>0.35</v>
      </c>
      <c r="AJ56" s="1513" t="n">
        <f aca="false">VLOOKUP($A56,VolatilityTable,22)</f>
        <v>-0.35</v>
      </c>
      <c r="AK56" s="1513" t="n">
        <f aca="false">VLOOKUP($A56,VolatilityTable,23)</f>
        <v>3</v>
      </c>
      <c r="AL56" s="1514" t="n">
        <f aca="false">VLOOKUP($A56,VolatilityTable,24)</f>
        <v>0.35</v>
      </c>
      <c r="AM56" s="1513" t="n">
        <f aca="false">VLOOKUP($A56,VolatilityTable,26)</f>
        <v>-0.01</v>
      </c>
      <c r="AN56" s="1513" t="n">
        <f aca="false">VLOOKUP($A56,VolatilityTable,27)</f>
        <v>0.16</v>
      </c>
      <c r="AO56" s="1514" t="n">
        <f aca="false">VLOOKUP($A56,VolatilityTable,28)</f>
        <v>0.01</v>
      </c>
      <c r="AP56" s="1513" t="n">
        <f aca="false">VLOOKUP($A56,VolatilityTable,26)</f>
        <v>-0.01</v>
      </c>
      <c r="AQ56" s="1513" t="n">
        <f aca="false">VLOOKUP($A56,VolatilityTable,27)</f>
        <v>0.16</v>
      </c>
      <c r="AR56" s="1515" t="n">
        <f aca="false">VLOOKUP($A56,VolatilityTable,28)</f>
        <v>0.01</v>
      </c>
      <c r="AS56" s="1581" t="n">
        <f aca="false">IF(CorrPeakOffPeakOverFlag,INDEX(CorrPeakOffPeakOver,C56),CorrPeakOffPeak)</f>
        <v>0.5</v>
      </c>
      <c r="AT56" s="594" t="e">
        <f aca="false">AX56-SUM(AU56:AW56)</f>
        <v>#VALUE!</v>
      </c>
      <c r="AU56" s="238" t="e">
        <f aca="false">IF(E56="",0,INT((F56-MOD(F56,7)-E56)/7)+1-IF(AW56,IF(WEEKDAY(D56)=7,1,0),0))</f>
        <v>#VALUE!</v>
      </c>
      <c r="AV56" s="238" t="e">
        <f aca="false">IF(E56="",0,INT((F56-MOD(F56-1,7)-E56)/7)+1-IF(AW56,IF(WEEKDAY(D56)=1,1,0),0))</f>
        <v>#VALUE!</v>
      </c>
      <c r="AW56" s="238" t="e">
        <f aca="false">IF(OR(E56="",D56="",D56&lt;BegDate,D56&gt;EndDate),0,1)</f>
        <v>#VALUE!</v>
      </c>
      <c r="AX56" s="238" t="n">
        <f aca="false">IF(E56="",0,F56-E56+1)</f>
        <v>31</v>
      </c>
      <c r="AY56" s="1582" t="n">
        <f aca="false">IF(E56="",0,MIN((1-(1-VLOOKUP(B56,MAIN!$AA$7:$AM$28,C56+1))*(1-VLOOKUP(B56,MAIN!$AA$33:$AM$54,C56+1))),1))</f>
        <v>0.03</v>
      </c>
      <c r="AZ56" s="1519" t="e">
        <v>#VALUE!</v>
      </c>
      <c r="BA56" s="1520" t="e">
        <v>#VALUE!</v>
      </c>
      <c r="BB56" s="1520" t="e">
        <v>#VALUE!</v>
      </c>
      <c r="BC56" s="1583" t="e">
        <v>#VALUE!</v>
      </c>
      <c r="BD56" s="1522" t="e">
        <v>#VALUE!</v>
      </c>
      <c r="BE56" s="1523" t="e">
        <v>#VALUE!</v>
      </c>
      <c r="BF56" s="1523" t="e">
        <v>#VALUE!</v>
      </c>
      <c r="BG56" s="1584" t="e">
        <v>#VALUE!</v>
      </c>
      <c r="BH56" s="1525" t="e">
        <v>#VALUE!</v>
      </c>
      <c r="BI56" s="1520" t="e">
        <v>#VALUE!</v>
      </c>
      <c r="BJ56" s="1520" t="e">
        <v>#VALUE!</v>
      </c>
      <c r="BK56" s="1583" t="e">
        <v>#VALUE!</v>
      </c>
      <c r="BL56" s="1522" t="e">
        <v>#VALUE!</v>
      </c>
      <c r="BM56" s="1523" t="e">
        <v>#VALUE!</v>
      </c>
      <c r="BN56" s="1523" t="e">
        <v>#VALUE!</v>
      </c>
      <c r="BO56" s="1523" t="e">
        <v>#VALUE!</v>
      </c>
      <c r="BP56" s="1525" t="e">
        <f aca="false">SUM(AZ56:BB56)</f>
        <v>#VALUE!</v>
      </c>
      <c r="BQ56" s="1529" t="e">
        <f aca="false">SUM(AZ56:BC56)</f>
        <v>#VALUE!</v>
      </c>
      <c r="BR56" s="1519" t="e">
        <f aca="false">SUM(BH56:BJ56)</f>
        <v>#VALUE!</v>
      </c>
      <c r="BS56" s="1529" t="e">
        <f aca="false">SUM(BH56:BK56)</f>
        <v>#VALUE!</v>
      </c>
      <c r="BT56" s="1316" t="n">
        <f aca="false">(IF(OVolType&lt;&gt;2,A56+14,IF(OptExpDateShift,ShiftBack(A56,OptExpDateShift,D55),A56))-DateToday)/365.25</f>
        <v>3.29637234770705</v>
      </c>
      <c r="BU56" s="1585" t="e">
        <f aca="false">IF(BQ56,IF(OPriceCurve,IF(OBuySell=OCallPut,I56/(1-AY56),K56/(1-AY56)),J56/(1-AY56))*BD56,0)</f>
        <v>#VALUE!</v>
      </c>
      <c r="BV56" s="1316" t="e">
        <f aca="false">IF(BQ56,IF(OPriceCurve,IF(OBuySell=OCallPut,L56/(1-AY56),N56/(1-AY56)),M56/(1-AY56))*BE56,0)</f>
        <v>#VALUE!</v>
      </c>
      <c r="BW56" s="1316" t="e">
        <f aca="false">IF(BQ56,IF(OPriceCurve,IF(OBuySell=OCallPut,O56/(1-AY56),Q56/(1-AY56)),P56/(1-AY56))*BF56,0)</f>
        <v>#VALUE!</v>
      </c>
      <c r="BX56" s="1316" t="e">
        <f aca="false">IF(BQ56,IF(OPriceCurve,IF(OBuySell=OCallPut,R56/(1-AY56),T56/(1-AY56)),S56/(1-AY56))*BG56,0)</f>
        <v>#VALUE!</v>
      </c>
      <c r="BY56" s="1316" t="e">
        <f aca="false">IF(BP56,(BU56*AZ56+BV56*BA56+BW56*BB56)/BP56,0)</f>
        <v>#VALUE!</v>
      </c>
      <c r="BZ56" s="1316" t="e">
        <f aca="false">IF(BQ56,(BY56*BP56+BX56*BC56)/BQ56,0)</f>
        <v>#VALUE!</v>
      </c>
      <c r="CA56" s="1531" t="e">
        <f aca="false">IF(BS56,IF(OPriceCurve,IF(OBuySell=OCallPut,I56/(1-AY56),K56/(1-AY56)),J56/(1-AY56))*BL56,0)</f>
        <v>#VALUE!</v>
      </c>
      <c r="CB56" s="1316" t="e">
        <f aca="false">IF(BS56,IF(OPriceCurve,IF(OBuySell=OCallPut,L56/(1-AY56),N56/(1-AY56)),M56/(1-AY56))*BM56,0)</f>
        <v>#VALUE!</v>
      </c>
      <c r="CC56" s="1316" t="e">
        <f aca="false">IF(BS56,IF(OPriceCurve,IF(OBuySell=OCallPut,O56/(1-AY56),Q56/(1-AY56)),P56/(1-AY56))*BN56,0)</f>
        <v>#VALUE!</v>
      </c>
      <c r="CD56" s="1316" t="e">
        <f aca="false">IF(BS56,IF(OPriceCurve,IF(OBuySell=OCallPut,R56/(1-AY56),T56/(1-AY56)),S56/(1-AY56))*BO56,0)</f>
        <v>#VALUE!</v>
      </c>
      <c r="CE56" s="1316" t="e">
        <f aca="false">IF(BR56,(BU56*BH56+BV56*BI56+BW56*BJ56)/BR56,0)</f>
        <v>#VALUE!</v>
      </c>
      <c r="CF56" s="1532" t="e">
        <f aca="false">IF(BS56,(CE56*BR56+CD56*BK56)/BS56,0)</f>
        <v>#VALUE!</v>
      </c>
      <c r="CG56" s="1586" t="e">
        <f aca="false">IF(OR(BQ56,BS56),IF(OVolType&lt;&gt;2,SQRT(IF(OVolOverMonthlyPeak,OVolOverMonthlyPeak,IF(OVolCurve,IF(OBuySell,U56,W56),V56))^2*(1-15/365.25/BT56)+IF(OVolOverDailyPeak,OVolOverDailyPeak,IF(OVolCurve,IF(OBuySell,AG56,AI56),AH56))^2*15/365.25/BT56),IF(OVolOverMonthlyPeak,OVolOverMonthlyPeak,IF(OVolCurve,IF(OBuySell,U56,W56),V56))),"")</f>
        <v>#VALUE!</v>
      </c>
      <c r="CH56" s="1587" t="e">
        <f aca="false">IF(OR(BQ56,BS56),IF(OVolType&lt;&gt;2,SQRT(IF(OVolOverMonthlyPeak,OVolOverMonthlyPeak,IF(OVolCurve,IF(OBuySell,X56,Z56),Y56))^2*(1-15/365.25/BT56)+IF(OVolOverDailyPeak,OVolOverDailyPeak,IF(OVolCurve,IF(OBuySell,AJ56,AL56),AK56))^2*15/365.25/BT56),IF(OVolOverMonthlyPeak,OVolOverMonthlyPeak,IF(OVolCurve,IF(OBuySell,X56,Z56),Y56))),"")</f>
        <v>#VALUE!</v>
      </c>
      <c r="CI56" s="1587" t="e">
        <f aca="false">IF(OR(BQ56,BS56),IF(OVolType&lt;&gt;2,SQRT(IF(OVolOverMonthlyPeak,OVolOverMonthlyPeak,IF(OVolCurve,IF(OBuySell,AA56,AC56),AB56))^2*(1-15/365.25/BT56)+IF(OVolOverDailyPeak,OVolOverDailyPeak,IF(OVolCurve,IF(OBuySell,AM56,AO56),AN56))^2*15/365.25/BT56),IF(OVolOverMonthlyPeak,OVolOverMonthlyPeak,IF(OVolCurve,IF(OBuySell,AA56,AC56),AB56))),"")</f>
        <v>#VALUE!</v>
      </c>
      <c r="CJ56" s="1587" t="e">
        <f aca="false">IF(BQ56,IF(BP56,SQRT(LN(1+((BU56*AZ56)^2*(EXP(CG56^2*BT56)-1)+(BV56*BA56)^2*(EXP(CH56^2*BT56)-1)+(BW56*BB56)^2*(EXP(CI56^2*BT56)-1)+2*BU56*AZ56*BV56*BA56*(EXP(CG56*CH56*BT56)-1)+2*BV56*BA56*BW56*BB56*(EXP(CH56*CI56*BT56)-1)+2*BW56*BB56*BU56*AZ56*(EXP(CI56*CG56*BT56)-1))/(BY56*BP56)^2)/BT56),0),"")</f>
        <v>#VALUE!</v>
      </c>
      <c r="CK56" s="1587" t="e">
        <f aca="false">IF(BS56,IF(BR56,SQRT(LN(1+((CA56*BH56)^2*(EXP(CG56^2*BT56)-1)+(CB56*BI56)^2*(EXP(CH56^2*BT56)-1)+(CC56*BJ56)^2*(EXP(CI56^2*BT56)-1)+2*CA56*BH56*CB56*BI56*(EXP(CG56*CH56*BT56)-1)+2*CB56*BI56*CC56*BJ56*(EXP(CH56*CI56*BT56)-1)+2*CC56*BJ56*CA56*BH56*(EXP(CI56*CG56*BT56)-1))/(CE56*BR56)^2)/BT56),0),"")</f>
        <v>#VALUE!</v>
      </c>
      <c r="CL56" s="1587" t="e">
        <f aca="false">IF(OR(BQ56,BS56),IF(OVolType&lt;&gt;2,SQRT(IF(OVolOverMonthlyOffPeak,OVolOverMonthlyOffPeak,IF(OVolCurve,IF(OBuySell,AD56,AF56),AE56))^2*(1-15/365.25/BT56)+IF(OVolOverDailyOffPeak,OVolOverDailyOffPeak,IF(OVolCurve,IF(OBuySell,AP56,AR56),AQ56))^2*15/365.25/BT56),IF(OVolOverMonthlyOffPeak,OVolOverMonthlyOffPeak,IF(OVolCurve,IF(OBuySell,AD56,AF56),AE56))),"")</f>
        <v>#VALUE!</v>
      </c>
      <c r="CM56" s="1587" t="e">
        <f aca="false">IF(BQ56,SQRT(LN(1+((BY56*BP56)^2*(EXP(CJ56^2*BT56)-1)+(BX56*BC56)^2*(EXP(CL56^2*BT56)-1)+2*BY56*BP56*BX56*BC56*(EXP(AS56*CJ56*CL56*BT56)-1))/(BY56*BP56+BX56*BC56)^2)/BT56),"")</f>
        <v>#VALUE!</v>
      </c>
      <c r="CN56" s="1588" t="e">
        <f aca="false">IF(BS56,SQRT(LN(1+((CE56*BR56)^2*(EXP(CK56^2*BT56)-1)+(CD56*BK56)^2*(EXP(CL56^2*BT56)-1)+2*CE56*BR56*CD56*BK56*(EXP(AS56*CK56*CL56*BT56)-1))/(CE56*BR56+CD56*BK56)^2)/BT56),"")</f>
        <v>#VALUE!</v>
      </c>
      <c r="CO56" s="1531" t="e">
        <f aca="false">IF(OR(BQ56,BS56),VLOOKUP(A56,GasTable,13)*HeatRatePeak*(1+VLOOKUP($B56,HeatRateDegradation,$C56+1))/1000,0)</f>
        <v>#VALUE!</v>
      </c>
      <c r="CP56" s="1316" t="e">
        <f aca="false">IF(OR(BQ56,BS56),VLOOKUP(A56,GasTable,13)*HeatRatePeak*(1+VLOOKUP($B56,HeatRateDegradation,$C56+1))/1000,0)</f>
        <v>#VALUE!</v>
      </c>
      <c r="CQ56" s="1316" t="e">
        <f aca="false">IF(OR(BQ56,BS56),VLOOKUP(A56,GasTable,13)*IF(EV56,HeatRatePeak,HeatRateOffPeak)*(1+VLOOKUP($B56,HeatRateDegradation,$C56+1))/1000,0)</f>
        <v>#VALUE!</v>
      </c>
      <c r="CR56" s="1316" t="e">
        <f aca="false">IF(OR(BQ56,BS56),VLOOKUP(A56,GasTable,13)*IF(EW56,HeatRatePeak,HeatRateOffPeak)*(1+VLOOKUP($B56,HeatRateDegradation,$C56+1))/1000,0)</f>
        <v>#VALUE!</v>
      </c>
      <c r="CS56" s="1589" t="e">
        <f aca="false">IF(BQ56,(CO56*AZ56+CP56*BA56+CQ56*BB56+CR56*BC56)/BQ56,0)</f>
        <v>#VALUE!</v>
      </c>
      <c r="CT56" s="1316" t="e">
        <f aca="false">IF(BS56,CO56,0)</f>
        <v>#VALUE!</v>
      </c>
      <c r="CU56" s="1590" t="e">
        <f aca="false">IF(OR(BQ56,BS56),VLOOKUP(A56,GasTable,14),"")</f>
        <v>#VALUE!</v>
      </c>
      <c r="CV56" s="1568" t="e">
        <f aca="false">IF(OR(BQ56,BS56),IF(CorrPowerGasOverFlag,INDEX(CorrPowerGasOver,C56),CorrPowerGas),"")</f>
        <v>#VALUE!</v>
      </c>
      <c r="CW56" s="1316" t="e">
        <f aca="false">IF(OR($BQ56,$BS56),SpreadOptPowerMargin,0)*((1+Assumptions!$C$26)^($B56-YEAR(Assumptions!$C$17)))</f>
        <v>#VALUE!</v>
      </c>
      <c r="CX56" s="1316" t="e">
        <f aca="false">IF(OR($BQ56,$BS56),SpreadOptPowerMargin,0)*((1+Assumptions!$C$26)^($B56-YEAR(Assumptions!$C$17)))</f>
        <v>#VALUE!</v>
      </c>
      <c r="CY56" s="1316" t="e">
        <f aca="false">IF(OR($BQ56,$BS56),SpreadOptPowerMargin,0)*((1+Assumptions!$C$26)^($B56-YEAR(Assumptions!$C$17)))</f>
        <v>#VALUE!</v>
      </c>
      <c r="CZ56" s="1316" t="e">
        <f aca="false">IF(OR($BQ56,$BS56),SpreadOptPowerMargin,0)*((1+Assumptions!$C$26)^($B56-YEAR(Assumptions!$C$17)))</f>
        <v>#VALUE!</v>
      </c>
      <c r="DA56" s="1591" t="e">
        <f aca="false">IF(OR(BQ56,BS56),(CW56*(AZ56+BH56)+CX56*(BA56+BI56)+CY56*(BB56+BJ56)+CZ56*(BC56+BK56))/(BQ56+BS56),0)</f>
        <v>#VALUE!</v>
      </c>
      <c r="DB56" s="1592" t="e">
        <f aca="false">IF(OR(BQ56,BS56),CG56+IF(OVolSmile,VLOOKUP(MAX(-5,CO56+CW56-BU56),IF(OVolSmile=1,VolSmileBook,VolSmileModel),2),0),"")</f>
        <v>#VALUE!</v>
      </c>
      <c r="DC56" s="1592" t="e">
        <f aca="false">IF(OR(BQ56,BS56),CH56+IF(OVolSmile,VLOOKUP(MAX(-5,CP56+CW56-BV56),IF(OVolSmile=1,VolSmileBook,VolSmileModel),2),0),"")</f>
        <v>#VALUE!</v>
      </c>
      <c r="DD56" s="1592" t="e">
        <f aca="false">IF(OR(BQ56,BS56),CI56+IF(OVolSmile,VLOOKUP(MAX(-5,CQ56+CW56-BW56),IF(OVolSmile=1,VolSmileBook,VolSmileModel),2),0),"")</f>
        <v>#VALUE!</v>
      </c>
      <c r="DE56" s="1592" t="e">
        <f aca="false">IF(OR(BQ56,BS56),CL56+IF(OVolSmile,VLOOKUP(MAX(-5,CR56+CZ56-BX56),IF(OVolSmile=1,VolSmileBook,VolSmileModel),2),0),"")</f>
        <v>#VALUE!</v>
      </c>
      <c r="DF56" s="1592" t="e">
        <f aca="false">IF(BQ56,CM56+IF(OVolSmile,VLOOKUP(MAX(-5,CS56+DA56-BZ56),IF(OVolSmile=1,VolSmileBook,VolSmileModel),2),0),"")</f>
        <v>#VALUE!</v>
      </c>
      <c r="DG56" s="1593" t="e">
        <f aca="false">IF(BS56,CN56+IF(OVolSmile,VLOOKUP(MAX(-5,CT56+DA56-CF56),IF(OVolSmile=1,VolSmileBook,VolSmileModel),2),0),"")</f>
        <v>#VALUE!</v>
      </c>
      <c r="DH56" s="1316" t="e">
        <f aca="false">IF(AND(BU56&gt;0,CO56&gt;0,DB56&gt;0,CU56&gt;0),newSPRDOPT(BU56,CO56,CW56,0,DB56,CU56,CV56,BT56*365.25,OCallPut,0),0)</f>
        <v>#VALUE!</v>
      </c>
      <c r="DI56" s="1316" t="e">
        <f aca="false">IF(AND(BV56&gt;0,CP56&gt;0,DC56&gt;0,CU56&gt;0),newSPRDOPT(BV56,CP56,CX56,0,DC56,CU56,CV56,BT56*365.25,OCallPut,0),0)</f>
        <v>#VALUE!</v>
      </c>
      <c r="DJ56" s="1316" t="e">
        <f aca="false">IF(AND(BW56&gt;0,CQ56&gt;0,DD56&gt;0,CU56&gt;0),newSPRDOPT(BW56,CQ56,CY56,0,DD56,CU56,CV56,BT56*365.25,OCallPut,0),0)</f>
        <v>#VALUE!</v>
      </c>
      <c r="DK56" s="1316" t="e">
        <f aca="false">IF(AND(BX56&gt;0,CR56&gt;0,DE56&gt;0,CU56&gt;0),newSPRDOPT(BX56,CR56,CZ56,0,DE56,CU56,CV56,BT56*365.25,OCallPut,0),0)</f>
        <v>#VALUE!</v>
      </c>
      <c r="DL56" s="1316" t="e">
        <f aca="false">IF(OVolType,IF(AND(BZ56&gt;0,CS56&gt;0,DF56&gt;0,CU56&gt;0),newSPRDOPT(BZ56,CS56,DA56,0,DF56,CU56,CV56,BT56*365.25,OCallPut,0),0),IF(BQ56,(DH56*AZ56+DI56*BA56+DJ56*BB56+DK56*BC56)/BQ56,0))</f>
        <v>#VALUE!</v>
      </c>
      <c r="DM56" s="1316"/>
      <c r="DN56" s="1316"/>
      <c r="DO56" s="1316"/>
      <c r="DP56" s="1316"/>
      <c r="DQ56" s="1316"/>
      <c r="DR56" s="1316"/>
      <c r="DS56" s="1316"/>
      <c r="DT56" s="1316"/>
      <c r="DU56" s="1316"/>
      <c r="DV56" s="1316"/>
      <c r="DW56" s="1594" t="e">
        <f aca="false">IF(AND(BW56&gt;0,CT56&gt;0,DD56&gt;0,CU56&gt;0),newSPRDOPT(BW56,CT56,CY56,0,DD56,CU56,CV56,BT56*365.25,OCallPut,0),0)</f>
        <v>#VALUE!</v>
      </c>
      <c r="DX56" s="1316" t="e">
        <f aca="false">IF(AND(BX56&gt;0,CT56&gt;0,DE56&gt;0,CU56&gt;0),newSPRDOPT(BX56,CT56,CZ56,0,DE56,CU56,CV56,BT56*365.25,OCallPut,0),0)</f>
        <v>#VALUE!</v>
      </c>
      <c r="DY56" s="1591" t="e">
        <f aca="false">IF(BS56,(DH56*BH56+DI56*BI56+DW56*BJ56+DX56*BK56)/BS56,0)</f>
        <v>#VALUE!</v>
      </c>
      <c r="DZ56" s="1551" t="e">
        <f aca="false">DH56*AZ56</f>
        <v>#VALUE!</v>
      </c>
      <c r="EA56" s="1551" t="e">
        <f aca="false">DI56*BA56</f>
        <v>#VALUE!</v>
      </c>
      <c r="EB56" s="1551" t="e">
        <f aca="false">DJ56*BB56</f>
        <v>#VALUE!</v>
      </c>
      <c r="EC56" s="1551" t="e">
        <f aca="false">DK56*BC56</f>
        <v>#VALUE!</v>
      </c>
      <c r="ED56" s="1551" t="e">
        <f aca="false">DL56*BQ56</f>
        <v>#VALUE!</v>
      </c>
      <c r="EE56" s="1595" t="e">
        <f aca="false">IF(BQ56,IF(OCallPut,IF(BU56&gt;(CO56+CW56),BU56-(CO56+CW56),0),IF((CO56+CW56)&gt;BU56,(CO56+CW56)-BU56,0))*AZ56,0)</f>
        <v>#VALUE!</v>
      </c>
      <c r="EF56" s="1596" t="e">
        <f aca="false">IF(BQ56,IF(OCallPut,IF(BV56&gt;(CP56+CX56),BV56-(CP56+CX56),0),IF((CP56+CX56)&gt;BV56,(CP56+CX56)-BV56,0))*BA56,0)</f>
        <v>#VALUE!</v>
      </c>
      <c r="EG56" s="1596" t="e">
        <f aca="false">IF(BQ56,IF(OCallPut,IF(BW56&gt;(CQ56+CY56),BW56-(CQ56+CY56),0),IF((CQ56+CY56)&gt;BW56,(CQ56+CY56)-BW56,0))*BB56,0)</f>
        <v>#VALUE!</v>
      </c>
      <c r="EH56" s="1596" t="e">
        <f aca="false">IF(BQ56,IF(OCallPut,IF(BX56&gt;(CR56+CZ56),BX56-(CR56+CZ56),0),IF((CR56+CZ56)&gt;BX56,(CR56+CZ56)-BX56,0))*BC56,0)</f>
        <v>#VALUE!</v>
      </c>
      <c r="EI56" s="1597" t="e">
        <f aca="false">IF(BQ56,IF(OVolType,IF(OCallPut,IF(BZ56&gt;(CS56+DA56),BZ56-(CS56+DA56),0),IF((CS56+DA56)&gt;BZ56,(CS56+DA56)-BZ56,0))*BQ56,SUM(EE56:EH56)),0)</f>
        <v>#VALUE!</v>
      </c>
      <c r="EJ56" s="1595" t="e">
        <f aca="false">DZ56-EE56</f>
        <v>#VALUE!</v>
      </c>
      <c r="EK56" s="1596" t="e">
        <f aca="false">EA56-EF56</f>
        <v>#VALUE!</v>
      </c>
      <c r="EL56" s="1596" t="e">
        <f aca="false">EB56-EG56</f>
        <v>#VALUE!</v>
      </c>
      <c r="EM56" s="1596" t="e">
        <f aca="false">EC56-EH56</f>
        <v>#VALUE!</v>
      </c>
      <c r="EN56" s="1597" t="e">
        <f aca="false">ED56-EI56</f>
        <v>#VALUE!</v>
      </c>
      <c r="EO56" s="1551" t="e">
        <f aca="false">DH56*BH56</f>
        <v>#VALUE!</v>
      </c>
      <c r="EP56" s="1551" t="e">
        <f aca="false">DI56*BI56</f>
        <v>#VALUE!</v>
      </c>
      <c r="EQ56" s="1551" t="e">
        <f aca="false">DW56*BJ56</f>
        <v>#VALUE!</v>
      </c>
      <c r="ER56" s="1551" t="e">
        <f aca="false">DX56*BK56</f>
        <v>#VALUE!</v>
      </c>
      <c r="ES56" s="1551" t="e">
        <f aca="false">DY56*BS56</f>
        <v>#VALUE!</v>
      </c>
      <c r="ET56" s="1566" t="e">
        <f aca="false">IF(EI56,IF(OCallPut,IF(CA56&gt;(CT56+CW56),CA56-(CT56+CW56),0),IF((CT56+CW56)&gt;CA56,(CT56+CW56)-CA56,0))*BH56,0)</f>
        <v>#VALUE!</v>
      </c>
      <c r="EU56" s="1551" t="e">
        <f aca="false">IF(EI56,IF(OCallPut,IF(CB56&gt;(CT56+CX56),CB56-(CT56+CX56),0),IF((CT56+CX56)&gt;CB56,(CT56+CX56)-CB56,0))*BI56,0)</f>
        <v>#VALUE!</v>
      </c>
      <c r="EV56" s="1551" t="e">
        <f aca="false">IF(EI56,IF(OCallPut,IF(CC56&gt;(CT56+CY56),CC56-(CT56+CY56),0),IF((CT56+CY56)&gt;CC56,(CT56+CY56)-CC56,0))*BJ56,0)</f>
        <v>#VALUE!</v>
      </c>
      <c r="EW56" s="1551" t="e">
        <f aca="false">IF(EI56,IF(OCallPut,IF(CD56&gt;(CT56+CZ56),CD56-(CT56+CZ56),0),IF((CT56+CZ56)&gt;CD56,(CT56+CZ56)-CD56,0))*BK56,0)</f>
        <v>#VALUE!</v>
      </c>
      <c r="EX56" s="1558" t="e">
        <f aca="false">IF(EI56,SUM(ET56:EW56),0)</f>
        <v>#VALUE!</v>
      </c>
      <c r="EY56" s="1551" t="e">
        <f aca="false">EO56-ET56</f>
        <v>#VALUE!</v>
      </c>
      <c r="EZ56" s="1551" t="e">
        <f aca="false">EP56-EU56</f>
        <v>#VALUE!</v>
      </c>
      <c r="FA56" s="1551" t="e">
        <f aca="false">EQ56-EV56</f>
        <v>#VALUE!</v>
      </c>
      <c r="FB56" s="1551" t="e">
        <f aca="false">ER56-EW56</f>
        <v>#VALUE!</v>
      </c>
      <c r="FC56" s="1551" t="e">
        <f aca="false">ES56-EX56</f>
        <v>#VALUE!</v>
      </c>
      <c r="FD56" s="1525" t="n">
        <f aca="false">IF(AX56,IF(VLOOKUP(C56,MAIN!$L$17:$M$28,2)="Yes",VLOOKUP(CALC!B56,MAIN!$H$17:$I$20,2),0),0)</f>
        <v>0</v>
      </c>
      <c r="FE56" s="1552" t="e">
        <f aca="false">$FD56*16*AT56*(1-$AY56)</f>
        <v>#VALUE!</v>
      </c>
      <c r="FF56" s="1553" t="e">
        <f aca="false">$FD56*16*AU56*(1-$AY56)</f>
        <v>#VALUE!</v>
      </c>
      <c r="FG56" s="1553" t="e">
        <f aca="false">$FD56*16*(AV56+AW56)*(1-$AY56)</f>
        <v>#VALUE!</v>
      </c>
      <c r="FH56" s="1554" t="n">
        <f aca="false">$FD56*8*AX56*(1-$AY56)</f>
        <v>0</v>
      </c>
      <c r="FI56" s="1555" t="n">
        <f aca="false">IF(AX56,VLOOKUP(CALC!B56,MAIN!$H$17:$K$20,4),0)</f>
        <v>0</v>
      </c>
      <c r="FJ56" s="1553" t="e">
        <f aca="false">SUM(FE56:FH56)</f>
        <v>#VALUE!</v>
      </c>
      <c r="FK56" s="1556" t="e">
        <f aca="false">FI56*FJ56</f>
        <v>#VALUE!</v>
      </c>
      <c r="FL56" s="1551" t="e">
        <f aca="false">IF($EI56&gt;0,MIN(FE56,AZ56*(1+VLOOKUP($C56,WeatherCapacityAdjustment,2))),0)</f>
        <v>#VALUE!</v>
      </c>
      <c r="FM56" s="1551" t="e">
        <f aca="false">IF($EI56&gt;0,MIN(FF56,BA56*(1+VLOOKUP($C56,WeatherCapacityAdjustment,2))),0)</f>
        <v>#VALUE!</v>
      </c>
      <c r="FN56" s="1551" t="e">
        <f aca="false">IF($EI56&gt;0,MIN(FG56,BB56*(1+VLOOKUP($C56,WeatherCapacityAdjustment,2))),0)</f>
        <v>#VALUE!</v>
      </c>
      <c r="FO56" s="1564" t="e">
        <f aca="false">IF($EI56&gt;0,MIN(FH56,BC56*(1+VLOOKUP($C56,WeatherCapacityAdjustment,3))),0)</f>
        <v>#VALUE!</v>
      </c>
      <c r="FP56" s="1551" t="e">
        <f aca="false">IF(ET56&gt;0,MIN(FE56-FL56,BH56*(1+VLOOKUP($C56,WeatherCapacityAdjustment,2))),0)</f>
        <v>#VALUE!</v>
      </c>
      <c r="FQ56" s="1551" t="e">
        <f aca="false">IF(EU56&gt;0,MIN(FF56-FM56,BI56*(1+VLOOKUP($C56,WeatherCapacityAdjustment,2))),0)</f>
        <v>#VALUE!</v>
      </c>
      <c r="FR56" s="1551" t="e">
        <f aca="false">IF(EV56&gt;0,MIN(FG56-FN56,BJ56*(1+VLOOKUP($C56,WeatherCapacityAdjustment,2))),0)</f>
        <v>#VALUE!</v>
      </c>
      <c r="FS56" s="1558" t="e">
        <f aca="false">IF(EW56&gt;0,MIN(FH56-FO56,BK56*(1+VLOOKUP($C56,WeatherCapacityAdjustment,3))),0)</f>
        <v>#VALUE!</v>
      </c>
      <c r="FT56" s="1566" t="e">
        <f aca="false">IF(AND(Assumptions!$H$71="Yes",A56&gt;=Assumptions!$H$72,A56&lt;=Assumptions!$H$73),0,IF(AND($A56&gt;=Assumptions!$C$17,$A56&lt;=Assumptions!$C$18),MAX(AZ56*(1+VLOOKUP($C56,WeatherCapacityAdjustment,2))-FL56,0),0))</f>
        <v>#VALUE!</v>
      </c>
      <c r="FU56" s="1551" t="e">
        <f aca="false">IF(AND(Assumptions!$H$71="Yes",A56&gt;=Assumptions!$H$72,A56&lt;=Assumptions!$H$73),0,IF(AND($A56&gt;=Assumptions!$C$17,$A56&lt;=Assumptions!$C$18),MAX(BA56*(1+VLOOKUP($C56,WeatherCapacityAdjustment,2))-FM56,0),0))</f>
        <v>#VALUE!</v>
      </c>
      <c r="FV56" s="1551" t="e">
        <f aca="false">IF(AND(Assumptions!$H$71="Yes",A56&gt;=Assumptions!$H$72,A56&lt;=Assumptions!$H$73),0,IF(AND($A56&gt;=Assumptions!$C$17,$A56&lt;=Assumptions!$C$18),MAX(BB56*(1+VLOOKUP($C56,WeatherCapacityAdjustment,2))-FN56,0),0))</f>
        <v>#VALUE!</v>
      </c>
      <c r="FW56" s="1564" t="e">
        <f aca="false">IF(AND(Assumptions!$H$71="Yes",A56&gt;=Assumptions!$H$72,A56&lt;=Assumptions!$H$73),0,IF(AND($A56&gt;=Assumptions!$C$17,$A56&lt;=Assumptions!$C$18),MAX(BC56*(1+VLOOKUP($C56,WeatherCapacityAdjustment,3))-FO56,0),0))</f>
        <v>#VALUE!</v>
      </c>
      <c r="FX56" s="1569" t="e">
        <f aca="false">IF(AND(Assumptions!$H$71="Yes",A56&gt;=Assumptions!$H$72,A56&lt;=Assumptions!$H$73),0,IF(ET56&gt;0,MAX(BH56*(1+VLOOKUP($C56,WeatherCapacityAdjustment,2))-FP56,0),0))</f>
        <v>#VALUE!</v>
      </c>
      <c r="FY56" s="1551" t="e">
        <f aca="false">IF(AND(Assumptions!$H$71="Yes",A56&gt;=Assumptions!$H$72,A56&lt;=Assumptions!$H$73),0,IF(EU56&gt;0,MAX(BI56*(1+VLOOKUP($C56,WeatherCapacityAdjustment,3))-FQ56,0),0))</f>
        <v>#VALUE!</v>
      </c>
      <c r="FZ56" s="1551" t="e">
        <f aca="false">IF(AND(Assumptions!$H$71="Yes",A56&gt;=Assumptions!$H$72,A56&lt;=Assumptions!$H$73),0,IF(EV56&gt;0,MAX(BJ56*(1+VLOOKUP($C56,WeatherCapacityAdjustment,2))-FR56,0),0))</f>
        <v>#VALUE!</v>
      </c>
      <c r="GA56" s="1564" t="e">
        <f aca="false">IF(AND(Assumptions!$H$71="Yes",A56&gt;=Assumptions!$H$72,A56&lt;=Assumptions!$H$73),0,IF(EW56&gt;0,MAX(BK56*(1+VLOOKUP($C56,WeatherCapacityAdjustment,2))-FS56,0),0))</f>
        <v>#VALUE!</v>
      </c>
      <c r="GB56" s="1551" t="e">
        <f aca="false">SUM(FT56:GA56)</f>
        <v>#VALUE!</v>
      </c>
      <c r="GC56" s="1563" t="e">
        <f aca="false">+IF(SUM(FT56:GA56)=0,0,(SUMPRODUCT(BU56:BX56,FT56:FW56)+SUMPRODUCT(CA56:CD56,FX56:GA56))/SUM(FT56:GA56))</f>
        <v>#VALUE!</v>
      </c>
      <c r="GD56" s="1551" t="e">
        <f aca="false">(FT56*BU56+FX56*CA56+FU56*BV56+FY56*CB56+FV56*BW56+FZ56*CC56+FW56*BX56+GA56*CD56)</f>
        <v>#VALUE!</v>
      </c>
      <c r="GE56" s="1561" t="e">
        <f aca="false">+IF(BQ56,((FL56+FM56+FT56+FU56)*HeatRatePeak/1000*(1+VLOOKUP($C56,WeatherHeatRateAdjustment,2))+(FN56+FV56)*IF(EV56&gt;0,HeatRatePeak,HeatRateOffPeak)/1000*(1+VLOOKUP($C56,WeatherHeatRateAdjustment,2))+(FO56+FW56)*IF(EW56&gt;0,HeatRatePeak,HeatRateOffPeak)/1000*(1+VLOOKUP($C56,WeatherHeatRateAdjustment,3)))*(1+VLOOKUP($B56,HeatRateDegradation,$C56+1)),0)</f>
        <v>#VALUE!</v>
      </c>
      <c r="GF56" s="1562" t="e">
        <f aca="false">IF(BQ56,((FP56+FQ56+FR56+FX56+FY56+FZ56)*HeatRatePeak/1000*(1+VLOOKUP($C56,WeatherHeatRateAdjustment,2))+(FS56+GA56)*HeatRatePeak/1000*(1+VLOOKUP($C56,WeatherHeatRateAdjustment,3)))*(1+VLOOKUP($B56,HeatRateDegradation,$C56+1)),0)</f>
        <v>#VALUE!</v>
      </c>
      <c r="GG56" s="1563" t="e">
        <f aca="false">IF(BQ56,VLOOKUP(A56,GasTable,13),0)</f>
        <v>#VALUE!</v>
      </c>
      <c r="GH56" s="1564" t="e">
        <f aca="false">(GE56+GF56)*GG56</f>
        <v>#VALUE!</v>
      </c>
      <c r="GI56" s="1569" t="e">
        <f aca="false">GB56</f>
        <v>#VALUE!</v>
      </c>
      <c r="GJ56" s="1598" t="e">
        <f aca="false">+DA56</f>
        <v>#VALUE!</v>
      </c>
      <c r="GK56" s="1558" t="e">
        <f aca="false">+GI56*GJ56</f>
        <v>#VALUE!</v>
      </c>
      <c r="GL56" s="1566" t="e">
        <f aca="false">MAX(FE56-FL56-FP56,0)</f>
        <v>#VALUE!</v>
      </c>
      <c r="GM56" s="1551" t="e">
        <f aca="false">MAX(FF56-FM56-FQ56,0)</f>
        <v>#VALUE!</v>
      </c>
      <c r="GN56" s="1551" t="e">
        <f aca="false">MAX(FG56-FN56-FR56,0)</f>
        <v>#VALUE!</v>
      </c>
      <c r="GO56" s="1564" t="e">
        <f aca="false">MAX(FH56-FO56-FS56,0)</f>
        <v>#VALUE!</v>
      </c>
      <c r="GP56" s="1551" t="e">
        <f aca="false">SUM(GL56:GO56)</f>
        <v>#VALUE!</v>
      </c>
      <c r="GQ56" s="1563" t="e">
        <f aca="false">IF(SUM(GL56:GO56)=0,0,((GL56*BU56+GM56*BV56+GN56*BW56+GO56*BX56)/SUM(GL56:GO56)))</f>
        <v>#VALUE!</v>
      </c>
      <c r="GR56" s="1558" t="e">
        <f aca="false">(GL56*BU56+GM56*BV56+GN56*BW56+GO56*BX56)</f>
        <v>#VALUE!</v>
      </c>
      <c r="GS56" s="1566" t="n">
        <f aca="false">IF($A56&gt;=BegDate,Assumptions!$C$56*24*($A57-$A56)*(1-VLOOKUP($B56,MAIN!$AA$7:$AM$28,$C56+1))*(1-VLOOKUP($B56,MAIN!$AA$33:$AM$54,$C56+1)),0)*80/168</f>
        <v>257742.857142857</v>
      </c>
      <c r="GT56" s="286" t="n">
        <f aca="false">J56</f>
        <v>62.6235820128</v>
      </c>
      <c r="GU56" s="286" t="n">
        <f aca="false">IF($A56&gt;=BegDate,VLOOKUP($A56,GasTable,13)+Assumptions!$C$58,0)</f>
        <v>2.40123040465967</v>
      </c>
      <c r="GV56" s="286" t="n">
        <f aca="false">GU56*Assumptions!$C$57/1000</f>
        <v>17.4089204337826</v>
      </c>
      <c r="GW56" s="1558" t="n">
        <f aca="false">IF(Assumptions!$C$60="Hourly",MAX(0,GS56*(GT56-GV56)),GS56*(GT56-GV56))</f>
        <v>11653756.0601233</v>
      </c>
      <c r="GX56" s="1566" t="n">
        <f aca="false">IF($A56&gt;=BegDate,Assumptions!$C$56*24*($A57-$A56)*(1-VLOOKUP($B56,MAIN!$AA$7:$AM$28,$C56+1))*(1-VLOOKUP($B56,MAIN!$AA$33:$AM$54,$C56+1)),0)*16/168</f>
        <v>51548.5714285714</v>
      </c>
      <c r="GY56" s="286" t="n">
        <f aca="false">M56</f>
        <v>62.6235820128</v>
      </c>
      <c r="GZ56" s="286" t="n">
        <f aca="false">IF($A56&gt;=BegDate,VLOOKUP($A56,GasTable,13)+Assumptions!$C$58,0)</f>
        <v>2.40123040465967</v>
      </c>
      <c r="HA56" s="286" t="n">
        <f aca="false">GZ56*Assumptions!$C$57/1000</f>
        <v>17.4089204337826</v>
      </c>
      <c r="HB56" s="1558" t="n">
        <f aca="false">IF(Assumptions!$C$60="Hourly",MAX(0,GX56*(GY56-HA56)),GX56*(GY56-HA56))</f>
        <v>2330751.21202466</v>
      </c>
      <c r="HC56" s="1566" t="n">
        <f aca="false">IF($A56&gt;=BegDate,Assumptions!$C$56*24*($A57-$A56)*(1-VLOOKUP($B56,MAIN!$AA$7:$AM$28,$C56+1))*(1-VLOOKUP($B56,MAIN!$AA$33:$AM$54,$C56+1)),0)*16/168</f>
        <v>51548.5714285714</v>
      </c>
      <c r="HD56" s="286" t="n">
        <f aca="false">P56</f>
        <v>26.4798987408</v>
      </c>
      <c r="HE56" s="286" t="n">
        <f aca="false">IF($A56&gt;=BegDate,VLOOKUP($A56,GasTable,13)+Assumptions!$C$58,0)</f>
        <v>2.40123040465967</v>
      </c>
      <c r="HF56" s="286" t="n">
        <f aca="false">HE56*Assumptions!$C$57/1000</f>
        <v>17.4089204337826</v>
      </c>
      <c r="HG56" s="1558" t="n">
        <f aca="false">IF(Assumptions!$C$60="Hourly",MAX(0,HC56*(HD56-HF56)),HC56*(HD56-HF56))</f>
        <v>467595.973186307</v>
      </c>
      <c r="HH56" s="1566" t="n">
        <f aca="false">IF($A56&gt;=BegDate,Assumptions!$C$56*24*($A57-$A56)*(1-VLOOKUP($B56,MAIN!$AA$7:$AM$28,$C56+1))*(1-VLOOKUP($B56,MAIN!$AA$33:$AM$54,$C56+1)),0)*56/168</f>
        <v>180420</v>
      </c>
      <c r="HI56" s="286" t="n">
        <f aca="false">S56</f>
        <v>26.4798987408</v>
      </c>
      <c r="HJ56" s="286" t="n">
        <f aca="false">IF($A56&gt;=BegDate,VLOOKUP($A56,GasTable,13)+Assumptions!$C$58,0)</f>
        <v>2.40123040465967</v>
      </c>
      <c r="HK56" s="286" t="n">
        <f aca="false">HJ56*Assumptions!$C$57/1000</f>
        <v>17.4089204337826</v>
      </c>
      <c r="HL56" s="1558" t="n">
        <f aca="false">IF(Assumptions!$C$60="Hourly",MAX(0,HH56*(HI56-HK56)),HH56*(HI56-HK56))</f>
        <v>1636585.90615207</v>
      </c>
      <c r="HM56" s="1566" t="n">
        <f aca="false">IF(AND(Assumptions!$H$71="Yes",A56&gt;=Assumptions!$H$72,A56&lt;=Assumptions!$H$73),Assumptions!$H$74*Assumptions!$C$9*1000,0)</f>
        <v>0</v>
      </c>
      <c r="HN56" s="1551"/>
      <c r="HO56" s="1563"/>
      <c r="HP56" s="1563"/>
      <c r="HQ56" s="1563"/>
      <c r="HR56" s="1563"/>
      <c r="HS56" s="1563"/>
      <c r="HT56" s="1563"/>
      <c r="HU56" s="1563"/>
      <c r="HV56" s="1563"/>
      <c r="HW56" s="1563"/>
      <c r="HX56" s="1563"/>
      <c r="HY56" s="1563"/>
      <c r="HZ56" s="1563"/>
      <c r="IA56" s="1563"/>
      <c r="IB56" s="1563"/>
      <c r="IC56" s="1563"/>
      <c r="ID56" s="1563"/>
      <c r="IE56" s="1563"/>
      <c r="IF56" s="1563"/>
      <c r="IG56" s="1563"/>
      <c r="IH56" s="1563"/>
      <c r="II56" s="1610"/>
      <c r="IJ56" s="1309"/>
      <c r="IK56" s="1309"/>
    </row>
    <row r="57" customFormat="false" ht="12.75" hidden="false" customHeight="false" outlineLevel="0" collapsed="false">
      <c r="A57" s="1571" t="n">
        <f aca="false">EOMONTH(A56,0)+1</f>
        <v>37865</v>
      </c>
      <c r="B57" s="594" t="n">
        <f aca="false">+YEAR(A57)</f>
        <v>2003</v>
      </c>
      <c r="C57" s="238" t="n">
        <f aca="false">MONTH(A57)</f>
        <v>9</v>
      </c>
      <c r="D57" s="1572" t="e">
        <f aca="false">IF(E57="","",Holiday(B57,C57))</f>
        <v>#VALUE!</v>
      </c>
      <c r="E57" s="1573" t="n">
        <f aca="false">IF(OR(BegDate&gt;=A58,EndDate&lt;A57,AND(VolumeMonthlyOverFlag,INDEX(VolumeMonthlyOver,C57)=0),NOT(INDEX(MonthKnockOutTable,C57))),"",MAX(A57,BegDate))</f>
        <v>37865</v>
      </c>
      <c r="F57" s="1574" t="n">
        <f aca="false">IF(E57="","",MIN(A58-1,EndDate))</f>
        <v>37894</v>
      </c>
      <c r="G57" s="1575" t="n">
        <v>0</v>
      </c>
      <c r="H57" s="1576" t="n">
        <f aca="false">(1+G57/2)^(-2*(DATE(B58,C58,20)-DateToday)/365.25)</f>
        <v>1</v>
      </c>
      <c r="I57" s="1568" t="n">
        <f aca="false">IF(Assumptions!$L$25=4,VLOOKUP($A57,'Henwood Reference'!$E$9:$R$320,10),(VLOOKUP($A57,PriceTable,2,0)+IF(BasisNumber&lt;&gt;1,VLOOKUP($A57,BasisTable,2,0),0)+I$1)/(1-I$2))</f>
        <v>48.0312291672</v>
      </c>
      <c r="J57" s="1568" t="n">
        <f aca="false">IF(Assumptions!$L$25=4,VLOOKUP($A57,'Henwood Reference'!$E$9:$R$320,10),(VLOOKUP($A57,PriceTable,3,0)+IF(BasisNumber&lt;&gt;1,VLOOKUP($A57,BasisTable,2,0),0)+J$1)/(1-J$2))</f>
        <v>48.0312291672</v>
      </c>
      <c r="K57" s="1568" t="n">
        <f aca="false">IF(Assumptions!$L$25=4,VLOOKUP($A57,'Henwood Reference'!$E$9:$R$320,10),(VLOOKUP($A57,PriceTable,4,0)+IF(BasisNumber&lt;&gt;1,VLOOKUP($A57,BasisTable,2,0),0)+K$1)/(1-K$2))</f>
        <v>48.0312291672</v>
      </c>
      <c r="L57" s="1523" t="n">
        <f aca="false">IF(Assumptions!$L$25=4,VLOOKUP($A57,'Henwood Reference'!$E$9:$R$320,10),(VLOOKUP($A57,PriceTableWeekend,2,0)+IF(BasisNumber&lt;&gt;1,VLOOKUP($A57,BasisTable,2,0),0)+L$1)/(1-L$2))</f>
        <v>48.0312291672</v>
      </c>
      <c r="M57" s="1568" t="n">
        <f aca="false">IF(Assumptions!$L$25=4,VLOOKUP($A57,'Henwood Reference'!$E$9:$R$320,10),(VLOOKUP($A57,PriceTableWeekend,3,0)+IF(BasisNumber&lt;&gt;1,VLOOKUP($A57,BasisTable,2,0),0)+M$1)/(1-M$2))</f>
        <v>48.0312291672</v>
      </c>
      <c r="N57" s="1599" t="n">
        <f aca="false">IF(Assumptions!$L$25=4,VLOOKUP($A57,'Henwood Reference'!$E$9:$R$320,10),(VLOOKUP($A57,PriceTableWeekend,4,0)+IF(BasisNumber&lt;&gt;1,VLOOKUP($A57,BasisTable,2,0),0)+N$1)/(1-N$2))</f>
        <v>48.0312291672</v>
      </c>
      <c r="O57" s="1568" t="n">
        <f aca="false">IF(Assumptions!$L$25=4,VLOOKUP($A57,'Henwood Reference'!$E$9:$R$320,11),(VLOOKUP($A57,PriceTableWeekend,6,0)+IF(BasisNumber&lt;&gt;1,VLOOKUP($A57,BasisTable,3,0),0)+O$1)/(1-O$2))</f>
        <v>25.720498296</v>
      </c>
      <c r="P57" s="1568" t="n">
        <f aca="false">IF(Assumptions!$L$25=4,VLOOKUP($A57,'Henwood Reference'!$E$9:$R$320,11),(VLOOKUP($A57,PriceTableWeekend,7,0)+IF(BasisNumber&lt;&gt;1,VLOOKUP($A57,BasisTable,3,0),0)+P$1)/(1-P$2))</f>
        <v>25.720498296</v>
      </c>
      <c r="Q57" s="1599" t="n">
        <f aca="false">IF(Assumptions!$L$25=4,VLOOKUP($A57,'Henwood Reference'!$E$9:$R$320,11),(VLOOKUP($A57,PriceTableWeekend,8,0)+IF(BasisNumber&lt;&gt;1,VLOOKUP($A57,BasisTable,3,0),0)+Q$1)/(1-Q$2))</f>
        <v>25.720498296</v>
      </c>
      <c r="R57" s="1568" t="n">
        <f aca="false">IF(Assumptions!$L$25=4,VLOOKUP($A57,'Henwood Reference'!$E$9:$R$320,11),(VLOOKUP($A57,PriceTable,6,0)+IF(BasisNumber&lt;&gt;1,VLOOKUP($A57,BasisTable,3,0),0)+R$1)/(1-R$2))</f>
        <v>25.720498296</v>
      </c>
      <c r="S57" s="1568" t="n">
        <f aca="false">IF(Assumptions!$L$25=4,VLOOKUP($A57,'Henwood Reference'!$E$9:$R$320,11),(VLOOKUP($A57,PriceTable,7,0)+IF(BasisNumber&lt;&gt;1,VLOOKUP($A57,BasisTable,3,0),0)+S$1)/(1-S$2))</f>
        <v>25.720498296</v>
      </c>
      <c r="T57" s="1600" t="n">
        <f aca="false">IF(Assumptions!$L$25=4,VLOOKUP($A57,'Henwood Reference'!$E$9:$R$320,11),(VLOOKUP($A57,PriceTable,8,0)+IF(BasisNumber&lt;&gt;1,VLOOKUP($A57,BasisTable,3,0),0)+T$1)/(1-T$2))</f>
        <v>25.720498296</v>
      </c>
      <c r="U57" s="1513" t="n">
        <f aca="false">VLOOKUP($A57,VolatilityTable,14)</f>
        <v>0.155</v>
      </c>
      <c r="V57" s="1513" t="n">
        <f aca="false">VLOOKUP($A57,VolatilityTable,15)</f>
        <v>0.165</v>
      </c>
      <c r="W57" s="1514" t="n">
        <f aca="false">VLOOKUP($A57,VolatilityTable,16)</f>
        <v>0.175</v>
      </c>
      <c r="X57" s="1513" t="n">
        <f aca="false">VLOOKUP($A57,VolatilityTable,14)</f>
        <v>0.155</v>
      </c>
      <c r="Y57" s="1513" t="n">
        <f aca="false">VLOOKUP($A57,VolatilityTable,15)</f>
        <v>0.165</v>
      </c>
      <c r="Z57" s="1514" t="n">
        <f aca="false">VLOOKUP($A57,VolatilityTable,16)</f>
        <v>0.175</v>
      </c>
      <c r="AA57" s="1513" t="n">
        <f aca="false">VLOOKUP($A57,VolatilityTable,18)</f>
        <v>0.09</v>
      </c>
      <c r="AB57" s="1513" t="n">
        <f aca="false">VLOOKUP($A57,VolatilityTable,19)</f>
        <v>0.11</v>
      </c>
      <c r="AC57" s="1514" t="n">
        <f aca="false">VLOOKUP($A57,VolatilityTable,20)</f>
        <v>0.13</v>
      </c>
      <c r="AD57" s="1513" t="n">
        <f aca="false">VLOOKUP($A57,VolatilityTable,18)</f>
        <v>0.09</v>
      </c>
      <c r="AE57" s="1513" t="n">
        <f aca="false">VLOOKUP($A57,VolatilityTable,19)</f>
        <v>0.11</v>
      </c>
      <c r="AF57" s="1514" t="n">
        <f aca="false">VLOOKUP($A57,VolatilityTable,20)</f>
        <v>0.13</v>
      </c>
      <c r="AG57" s="1513" t="n">
        <f aca="false">VLOOKUP($A57,VolatilityTable,22)</f>
        <v>-0.35</v>
      </c>
      <c r="AH57" s="1513" t="n">
        <f aca="false">VLOOKUP($A57,VolatilityTable,23)</f>
        <v>3</v>
      </c>
      <c r="AI57" s="1514" t="n">
        <f aca="false">VLOOKUP($A57,VolatilityTable,24)</f>
        <v>0.2</v>
      </c>
      <c r="AJ57" s="1513" t="n">
        <f aca="false">VLOOKUP($A57,VolatilityTable,22)</f>
        <v>-0.35</v>
      </c>
      <c r="AK57" s="1513" t="n">
        <f aca="false">VLOOKUP($A57,VolatilityTable,23)</f>
        <v>3</v>
      </c>
      <c r="AL57" s="1514" t="n">
        <f aca="false">VLOOKUP($A57,VolatilityTable,24)</f>
        <v>0.2</v>
      </c>
      <c r="AM57" s="1513" t="n">
        <f aca="false">VLOOKUP($A57,VolatilityTable,26)</f>
        <v>-0.01</v>
      </c>
      <c r="AN57" s="1513" t="n">
        <f aca="false">VLOOKUP($A57,VolatilityTable,27)</f>
        <v>0.16</v>
      </c>
      <c r="AO57" s="1514" t="n">
        <f aca="false">VLOOKUP($A57,VolatilityTable,28)</f>
        <v>0.01</v>
      </c>
      <c r="AP57" s="1513" t="n">
        <f aca="false">VLOOKUP($A57,VolatilityTable,26)</f>
        <v>-0.01</v>
      </c>
      <c r="AQ57" s="1513" t="n">
        <f aca="false">VLOOKUP($A57,VolatilityTable,27)</f>
        <v>0.16</v>
      </c>
      <c r="AR57" s="1515" t="n">
        <f aca="false">VLOOKUP($A57,VolatilityTable,28)</f>
        <v>0.01</v>
      </c>
      <c r="AS57" s="1581" t="n">
        <f aca="false">IF(CorrPeakOffPeakOverFlag,INDEX(CorrPeakOffPeakOver,C57),CorrPeakOffPeak)</f>
        <v>0.5</v>
      </c>
      <c r="AT57" s="594" t="e">
        <f aca="false">AX57-SUM(AU57:AW57)</f>
        <v>#VALUE!</v>
      </c>
      <c r="AU57" s="238" t="e">
        <f aca="false">IF(E57="",0,INT((F57-MOD(F57,7)-E57)/7)+1-IF(AW57,IF(WEEKDAY(D57)=7,1,0),0))</f>
        <v>#VALUE!</v>
      </c>
      <c r="AV57" s="238" t="e">
        <f aca="false">IF(E57="",0,INT((F57-MOD(F57-1,7)-E57)/7)+1-IF(AW57,IF(WEEKDAY(D57)=1,1,0),0))</f>
        <v>#VALUE!</v>
      </c>
      <c r="AW57" s="238" t="e">
        <f aca="false">IF(OR(E57="",D57="",D57&lt;BegDate,D57&gt;EndDate),0,1)</f>
        <v>#VALUE!</v>
      </c>
      <c r="AX57" s="238" t="n">
        <f aca="false">IF(E57="",0,F57-E57+1)</f>
        <v>30</v>
      </c>
      <c r="AY57" s="1582" t="n">
        <f aca="false">IF(E57="",0,MIN((1-(1-VLOOKUP(B57,MAIN!$AA$7:$AM$28,C57+1))*(1-VLOOKUP(B57,MAIN!$AA$33:$AM$54,C57+1))),1))</f>
        <v>0.03</v>
      </c>
      <c r="AZ57" s="1519" t="e">
        <v>#VALUE!</v>
      </c>
      <c r="BA57" s="1520" t="e">
        <v>#VALUE!</v>
      </c>
      <c r="BB57" s="1520" t="e">
        <v>#VALUE!</v>
      </c>
      <c r="BC57" s="1583" t="e">
        <v>#VALUE!</v>
      </c>
      <c r="BD57" s="1522" t="e">
        <v>#VALUE!</v>
      </c>
      <c r="BE57" s="1523" t="e">
        <v>#VALUE!</v>
      </c>
      <c r="BF57" s="1523" t="e">
        <v>#VALUE!</v>
      </c>
      <c r="BG57" s="1584" t="e">
        <v>#VALUE!</v>
      </c>
      <c r="BH57" s="1525" t="e">
        <v>#VALUE!</v>
      </c>
      <c r="BI57" s="1520" t="e">
        <v>#VALUE!</v>
      </c>
      <c r="BJ57" s="1520" t="e">
        <v>#VALUE!</v>
      </c>
      <c r="BK57" s="1583" t="e">
        <v>#VALUE!</v>
      </c>
      <c r="BL57" s="1522" t="e">
        <v>#VALUE!</v>
      </c>
      <c r="BM57" s="1523" t="e">
        <v>#VALUE!</v>
      </c>
      <c r="BN57" s="1523" t="e">
        <v>#VALUE!</v>
      </c>
      <c r="BO57" s="1523" t="e">
        <v>#VALUE!</v>
      </c>
      <c r="BP57" s="1525" t="e">
        <f aca="false">SUM(AZ57:BB57)</f>
        <v>#VALUE!</v>
      </c>
      <c r="BQ57" s="1529" t="e">
        <f aca="false">SUM(AZ57:BC57)</f>
        <v>#VALUE!</v>
      </c>
      <c r="BR57" s="1519" t="e">
        <f aca="false">SUM(BH57:BJ57)</f>
        <v>#VALUE!</v>
      </c>
      <c r="BS57" s="1529" t="e">
        <f aca="false">SUM(BH57:BK57)</f>
        <v>#VALUE!</v>
      </c>
      <c r="BT57" s="1316" t="n">
        <f aca="false">(IF(OVolType&lt;&gt;2,A57+14,IF(OptExpDateShift,ShiftBack(A57,OptExpDateShift,D56),A57))-DateToday)/365.25</f>
        <v>3.38124572210815</v>
      </c>
      <c r="BU57" s="1585" t="e">
        <f aca="false">IF(BQ57,IF(OPriceCurve,IF(OBuySell=OCallPut,I57/(1-AY57),K57/(1-AY57)),J57/(1-AY57))*BD57,0)</f>
        <v>#VALUE!</v>
      </c>
      <c r="BV57" s="1316" t="e">
        <f aca="false">IF(BQ57,IF(OPriceCurve,IF(OBuySell=OCallPut,L57/(1-AY57),N57/(1-AY57)),M57/(1-AY57))*BE57,0)</f>
        <v>#VALUE!</v>
      </c>
      <c r="BW57" s="1316" t="e">
        <f aca="false">IF(BQ57,IF(OPriceCurve,IF(OBuySell=OCallPut,O57/(1-AY57),Q57/(1-AY57)),P57/(1-AY57))*BF57,0)</f>
        <v>#VALUE!</v>
      </c>
      <c r="BX57" s="1316" t="e">
        <f aca="false">IF(BQ57,IF(OPriceCurve,IF(OBuySell=OCallPut,R57/(1-AY57),T57/(1-AY57)),S57/(1-AY57))*BG57,0)</f>
        <v>#VALUE!</v>
      </c>
      <c r="BY57" s="1316" t="e">
        <f aca="false">IF(BP57,(BU57*AZ57+BV57*BA57+BW57*BB57)/BP57,0)</f>
        <v>#VALUE!</v>
      </c>
      <c r="BZ57" s="1316" t="e">
        <f aca="false">IF(BQ57,(BY57*BP57+BX57*BC57)/BQ57,0)</f>
        <v>#VALUE!</v>
      </c>
      <c r="CA57" s="1531" t="e">
        <f aca="false">IF(BS57,IF(OPriceCurve,IF(OBuySell=OCallPut,I57/(1-AY57),K57/(1-AY57)),J57/(1-AY57))*BL57,0)</f>
        <v>#VALUE!</v>
      </c>
      <c r="CB57" s="1316" t="e">
        <f aca="false">IF(BS57,IF(OPriceCurve,IF(OBuySell=OCallPut,L57/(1-AY57),N57/(1-AY57)),M57/(1-AY57))*BM57,0)</f>
        <v>#VALUE!</v>
      </c>
      <c r="CC57" s="1316" t="e">
        <f aca="false">IF(BS57,IF(OPriceCurve,IF(OBuySell=OCallPut,O57/(1-AY57),Q57/(1-AY57)),P57/(1-AY57))*BN57,0)</f>
        <v>#VALUE!</v>
      </c>
      <c r="CD57" s="1316" t="e">
        <f aca="false">IF(BS57,IF(OPriceCurve,IF(OBuySell=OCallPut,R57/(1-AY57),T57/(1-AY57)),S57/(1-AY57))*BO57,0)</f>
        <v>#VALUE!</v>
      </c>
      <c r="CE57" s="1316" t="e">
        <f aca="false">IF(BR57,(BU57*BH57+BV57*BI57+BW57*BJ57)/BR57,0)</f>
        <v>#VALUE!</v>
      </c>
      <c r="CF57" s="1532" t="e">
        <f aca="false">IF(BS57,(CE57*BR57+CD57*BK57)/BS57,0)</f>
        <v>#VALUE!</v>
      </c>
      <c r="CG57" s="1586" t="e">
        <f aca="false">IF(OR(BQ57,BS57),IF(OVolType&lt;&gt;2,SQRT(IF(OVolOverMonthlyPeak,OVolOverMonthlyPeak,IF(OVolCurve,IF(OBuySell,U57,W57),V57))^2*(1-15/365.25/BT57)+IF(OVolOverDailyPeak,OVolOverDailyPeak,IF(OVolCurve,IF(OBuySell,AG57,AI57),AH57))^2*15/365.25/BT57),IF(OVolOverMonthlyPeak,OVolOverMonthlyPeak,IF(OVolCurve,IF(OBuySell,U57,W57),V57))),"")</f>
        <v>#VALUE!</v>
      </c>
      <c r="CH57" s="1587" t="e">
        <f aca="false">IF(OR(BQ57,BS57),IF(OVolType&lt;&gt;2,SQRT(IF(OVolOverMonthlyPeak,OVolOverMonthlyPeak,IF(OVolCurve,IF(OBuySell,X57,Z57),Y57))^2*(1-15/365.25/BT57)+IF(OVolOverDailyPeak,OVolOverDailyPeak,IF(OVolCurve,IF(OBuySell,AJ57,AL57),AK57))^2*15/365.25/BT57),IF(OVolOverMonthlyPeak,OVolOverMonthlyPeak,IF(OVolCurve,IF(OBuySell,X57,Z57),Y57))),"")</f>
        <v>#VALUE!</v>
      </c>
      <c r="CI57" s="1587" t="e">
        <f aca="false">IF(OR(BQ57,BS57),IF(OVolType&lt;&gt;2,SQRT(IF(OVolOverMonthlyPeak,OVolOverMonthlyPeak,IF(OVolCurve,IF(OBuySell,AA57,AC57),AB57))^2*(1-15/365.25/BT57)+IF(OVolOverDailyPeak,OVolOverDailyPeak,IF(OVolCurve,IF(OBuySell,AM57,AO57),AN57))^2*15/365.25/BT57),IF(OVolOverMonthlyPeak,OVolOverMonthlyPeak,IF(OVolCurve,IF(OBuySell,AA57,AC57),AB57))),"")</f>
        <v>#VALUE!</v>
      </c>
      <c r="CJ57" s="1587" t="e">
        <f aca="false">IF(BQ57,IF(BP57,SQRT(LN(1+((BU57*AZ57)^2*(EXP(CG57^2*BT57)-1)+(BV57*BA57)^2*(EXP(CH57^2*BT57)-1)+(BW57*BB57)^2*(EXP(CI57^2*BT57)-1)+2*BU57*AZ57*BV57*BA57*(EXP(CG57*CH57*BT57)-1)+2*BV57*BA57*BW57*BB57*(EXP(CH57*CI57*BT57)-1)+2*BW57*BB57*BU57*AZ57*(EXP(CI57*CG57*BT57)-1))/(BY57*BP57)^2)/BT57),0),"")</f>
        <v>#VALUE!</v>
      </c>
      <c r="CK57" s="1587" t="e">
        <f aca="false">IF(BS57,IF(BR57,SQRT(LN(1+((CA57*BH57)^2*(EXP(CG57^2*BT57)-1)+(CB57*BI57)^2*(EXP(CH57^2*BT57)-1)+(CC57*BJ57)^2*(EXP(CI57^2*BT57)-1)+2*CA57*BH57*CB57*BI57*(EXP(CG57*CH57*BT57)-1)+2*CB57*BI57*CC57*BJ57*(EXP(CH57*CI57*BT57)-1)+2*CC57*BJ57*CA57*BH57*(EXP(CI57*CG57*BT57)-1))/(CE57*BR57)^2)/BT57),0),"")</f>
        <v>#VALUE!</v>
      </c>
      <c r="CL57" s="1587" t="e">
        <f aca="false">IF(OR(BQ57,BS57),IF(OVolType&lt;&gt;2,SQRT(IF(OVolOverMonthlyOffPeak,OVolOverMonthlyOffPeak,IF(OVolCurve,IF(OBuySell,AD57,AF57),AE57))^2*(1-15/365.25/BT57)+IF(OVolOverDailyOffPeak,OVolOverDailyOffPeak,IF(OVolCurve,IF(OBuySell,AP57,AR57),AQ57))^2*15/365.25/BT57),IF(OVolOverMonthlyOffPeak,OVolOverMonthlyOffPeak,IF(OVolCurve,IF(OBuySell,AD57,AF57),AE57))),"")</f>
        <v>#VALUE!</v>
      </c>
      <c r="CM57" s="1587" t="e">
        <f aca="false">IF(BQ57,SQRT(LN(1+((BY57*BP57)^2*(EXP(CJ57^2*BT57)-1)+(BX57*BC57)^2*(EXP(CL57^2*BT57)-1)+2*BY57*BP57*BX57*BC57*(EXP(AS57*CJ57*CL57*BT57)-1))/(BY57*BP57+BX57*BC57)^2)/BT57),"")</f>
        <v>#VALUE!</v>
      </c>
      <c r="CN57" s="1588" t="e">
        <f aca="false">IF(BS57,SQRT(LN(1+((CE57*BR57)^2*(EXP(CK57^2*BT57)-1)+(CD57*BK57)^2*(EXP(CL57^2*BT57)-1)+2*CE57*BR57*CD57*BK57*(EXP(AS57*CK57*CL57*BT57)-1))/(CE57*BR57+CD57*BK57)^2)/BT57),"")</f>
        <v>#VALUE!</v>
      </c>
      <c r="CO57" s="1531" t="e">
        <f aca="false">IF(OR(BQ57,BS57),VLOOKUP(A57,GasTable,13)*HeatRatePeak*(1+VLOOKUP($B57,HeatRateDegradation,$C57+1))/1000,0)</f>
        <v>#VALUE!</v>
      </c>
      <c r="CP57" s="1316" t="e">
        <f aca="false">IF(OR(BQ57,BS57),VLOOKUP(A57,GasTable,13)*HeatRatePeak*(1+VLOOKUP($B57,HeatRateDegradation,$C57+1))/1000,0)</f>
        <v>#VALUE!</v>
      </c>
      <c r="CQ57" s="1316" t="e">
        <f aca="false">IF(OR(BQ57,BS57),VLOOKUP(A57,GasTable,13)*IF(EV57,HeatRatePeak,HeatRateOffPeak)*(1+VLOOKUP($B57,HeatRateDegradation,$C57+1))/1000,0)</f>
        <v>#VALUE!</v>
      </c>
      <c r="CR57" s="1316" t="e">
        <f aca="false">IF(OR(BQ57,BS57),VLOOKUP(A57,GasTable,13)*IF(EW57,HeatRatePeak,HeatRateOffPeak)*(1+VLOOKUP($B57,HeatRateDegradation,$C57+1))/1000,0)</f>
        <v>#VALUE!</v>
      </c>
      <c r="CS57" s="1589" t="e">
        <f aca="false">IF(BQ57,(CO57*AZ57+CP57*BA57+CQ57*BB57+CR57*BC57)/BQ57,0)</f>
        <v>#VALUE!</v>
      </c>
      <c r="CT57" s="1316" t="e">
        <f aca="false">IF(BS57,CO57,0)</f>
        <v>#VALUE!</v>
      </c>
      <c r="CU57" s="1590" t="e">
        <f aca="false">IF(OR(BQ57,BS57),VLOOKUP(A57,GasTable,14),"")</f>
        <v>#VALUE!</v>
      </c>
      <c r="CV57" s="1568" t="e">
        <f aca="false">IF(OR(BQ57,BS57),IF(CorrPowerGasOverFlag,INDEX(CorrPowerGasOver,C57),CorrPowerGas),"")</f>
        <v>#VALUE!</v>
      </c>
      <c r="CW57" s="1316" t="e">
        <f aca="false">IF(OR($BQ57,$BS57),SpreadOptPowerMargin,0)*((1+Assumptions!$C$26)^($B57-YEAR(Assumptions!$C$17)))</f>
        <v>#VALUE!</v>
      </c>
      <c r="CX57" s="1316" t="e">
        <f aca="false">IF(OR($BQ57,$BS57),SpreadOptPowerMargin,0)*((1+Assumptions!$C$26)^($B57-YEAR(Assumptions!$C$17)))</f>
        <v>#VALUE!</v>
      </c>
      <c r="CY57" s="1316" t="e">
        <f aca="false">IF(OR($BQ57,$BS57),SpreadOptPowerMargin,0)*((1+Assumptions!$C$26)^($B57-YEAR(Assumptions!$C$17)))</f>
        <v>#VALUE!</v>
      </c>
      <c r="CZ57" s="1316" t="e">
        <f aca="false">IF(OR($BQ57,$BS57),SpreadOptPowerMargin,0)*((1+Assumptions!$C$26)^($B57-YEAR(Assumptions!$C$17)))</f>
        <v>#VALUE!</v>
      </c>
      <c r="DA57" s="1591" t="e">
        <f aca="false">IF(OR(BQ57,BS57),(CW57*(AZ57+BH57)+CX57*(BA57+BI57)+CY57*(BB57+BJ57)+CZ57*(BC57+BK57))/(BQ57+BS57),0)</f>
        <v>#VALUE!</v>
      </c>
      <c r="DB57" s="1592" t="e">
        <f aca="false">IF(OR(BQ57,BS57),CG57+IF(OVolSmile,VLOOKUP(MAX(-5,CO57+CW57-BU57),IF(OVolSmile=1,VolSmileBook,VolSmileModel),2),0),"")</f>
        <v>#VALUE!</v>
      </c>
      <c r="DC57" s="1592" t="e">
        <f aca="false">IF(OR(BQ57,BS57),CH57+IF(OVolSmile,VLOOKUP(MAX(-5,CP57+CW57-BV57),IF(OVolSmile=1,VolSmileBook,VolSmileModel),2),0),"")</f>
        <v>#VALUE!</v>
      </c>
      <c r="DD57" s="1592" t="e">
        <f aca="false">IF(OR(BQ57,BS57),CI57+IF(OVolSmile,VLOOKUP(MAX(-5,CQ57+CW57-BW57),IF(OVolSmile=1,VolSmileBook,VolSmileModel),2),0),"")</f>
        <v>#VALUE!</v>
      </c>
      <c r="DE57" s="1592" t="e">
        <f aca="false">IF(OR(BQ57,BS57),CL57+IF(OVolSmile,VLOOKUP(MAX(-5,CR57+CZ57-BX57),IF(OVolSmile=1,VolSmileBook,VolSmileModel),2),0),"")</f>
        <v>#VALUE!</v>
      </c>
      <c r="DF57" s="1592" t="e">
        <f aca="false">IF(BQ57,CM57+IF(OVolSmile,VLOOKUP(MAX(-5,CS57+DA57-BZ57),IF(OVolSmile=1,VolSmileBook,VolSmileModel),2),0),"")</f>
        <v>#VALUE!</v>
      </c>
      <c r="DG57" s="1593" t="e">
        <f aca="false">IF(BS57,CN57+IF(OVolSmile,VLOOKUP(MAX(-5,CT57+DA57-CF57),IF(OVolSmile=1,VolSmileBook,VolSmileModel),2),0),"")</f>
        <v>#VALUE!</v>
      </c>
      <c r="DH57" s="1316" t="e">
        <f aca="false">IF(AND(BU57&gt;0,CO57&gt;0,DB57&gt;0,CU57&gt;0),newSPRDOPT(BU57,CO57,CW57,0,DB57,CU57,CV57,BT57*365.25,OCallPut,0),0)</f>
        <v>#VALUE!</v>
      </c>
      <c r="DI57" s="1316" t="e">
        <f aca="false">IF(AND(BV57&gt;0,CP57&gt;0,DC57&gt;0,CU57&gt;0),newSPRDOPT(BV57,CP57,CX57,0,DC57,CU57,CV57,BT57*365.25,OCallPut,0),0)</f>
        <v>#VALUE!</v>
      </c>
      <c r="DJ57" s="1316" t="e">
        <f aca="false">IF(AND(BW57&gt;0,CQ57&gt;0,DD57&gt;0,CU57&gt;0),newSPRDOPT(BW57,CQ57,CY57,0,DD57,CU57,CV57,BT57*365.25,OCallPut,0),0)</f>
        <v>#VALUE!</v>
      </c>
      <c r="DK57" s="1316" t="e">
        <f aca="false">IF(AND(BX57&gt;0,CR57&gt;0,DE57&gt;0,CU57&gt;0),newSPRDOPT(BX57,CR57,CZ57,0,DE57,CU57,CV57,BT57*365.25,OCallPut,0),0)</f>
        <v>#VALUE!</v>
      </c>
      <c r="DL57" s="1316" t="e">
        <f aca="false">IF(OVolType,IF(AND(BZ57&gt;0,CS57&gt;0,DF57&gt;0,CU57&gt;0),newSPRDOPT(BZ57,CS57,DA57,0,DF57,CU57,CV57,BT57*365.25,OCallPut,0),0),IF(BQ57,(DH57*AZ57+DI57*BA57+DJ57*BB57+DK57*BC57)/BQ57,0))</f>
        <v>#VALUE!</v>
      </c>
      <c r="DM57" s="1316"/>
      <c r="DN57" s="1316"/>
      <c r="DO57" s="1316"/>
      <c r="DP57" s="1316"/>
      <c r="DQ57" s="1316"/>
      <c r="DR57" s="1316"/>
      <c r="DS57" s="1316"/>
      <c r="DT57" s="1316"/>
      <c r="DU57" s="1316"/>
      <c r="DV57" s="1316"/>
      <c r="DW57" s="1594" t="e">
        <f aca="false">IF(AND(BW57&gt;0,CT57&gt;0,DD57&gt;0,CU57&gt;0),newSPRDOPT(BW57,CT57,CY57,0,DD57,CU57,CV57,BT57*365.25,OCallPut,0),0)</f>
        <v>#VALUE!</v>
      </c>
      <c r="DX57" s="1316" t="e">
        <f aca="false">IF(AND(BX57&gt;0,CT57&gt;0,DE57&gt;0,CU57&gt;0),newSPRDOPT(BX57,CT57,CZ57,0,DE57,CU57,CV57,BT57*365.25,OCallPut,0),0)</f>
        <v>#VALUE!</v>
      </c>
      <c r="DY57" s="1591" t="e">
        <f aca="false">IF(BS57,(DH57*BH57+DI57*BI57+DW57*BJ57+DX57*BK57)/BS57,0)</f>
        <v>#VALUE!</v>
      </c>
      <c r="DZ57" s="1551" t="e">
        <f aca="false">DH57*AZ57</f>
        <v>#VALUE!</v>
      </c>
      <c r="EA57" s="1551" t="e">
        <f aca="false">DI57*BA57</f>
        <v>#VALUE!</v>
      </c>
      <c r="EB57" s="1551" t="e">
        <f aca="false">DJ57*BB57</f>
        <v>#VALUE!</v>
      </c>
      <c r="EC57" s="1551" t="e">
        <f aca="false">DK57*BC57</f>
        <v>#VALUE!</v>
      </c>
      <c r="ED57" s="1551" t="e">
        <f aca="false">DL57*BQ57</f>
        <v>#VALUE!</v>
      </c>
      <c r="EE57" s="1595" t="e">
        <f aca="false">IF(BQ57,IF(OCallPut,IF(BU57&gt;(CO57+CW57),BU57-(CO57+CW57),0),IF((CO57+CW57)&gt;BU57,(CO57+CW57)-BU57,0))*AZ57,0)</f>
        <v>#VALUE!</v>
      </c>
      <c r="EF57" s="1596" t="e">
        <f aca="false">IF(BQ57,IF(OCallPut,IF(BV57&gt;(CP57+CX57),BV57-(CP57+CX57),0),IF((CP57+CX57)&gt;BV57,(CP57+CX57)-BV57,0))*BA57,0)</f>
        <v>#VALUE!</v>
      </c>
      <c r="EG57" s="1596" t="e">
        <f aca="false">IF(BQ57,IF(OCallPut,IF(BW57&gt;(CQ57+CY57),BW57-(CQ57+CY57),0),IF((CQ57+CY57)&gt;BW57,(CQ57+CY57)-BW57,0))*BB57,0)</f>
        <v>#VALUE!</v>
      </c>
      <c r="EH57" s="1596" t="e">
        <f aca="false">IF(BQ57,IF(OCallPut,IF(BX57&gt;(CR57+CZ57),BX57-(CR57+CZ57),0),IF((CR57+CZ57)&gt;BX57,(CR57+CZ57)-BX57,0))*BC57,0)</f>
        <v>#VALUE!</v>
      </c>
      <c r="EI57" s="1597" t="e">
        <f aca="false">IF(BQ57,IF(OVolType,IF(OCallPut,IF(BZ57&gt;(CS57+DA57),BZ57-(CS57+DA57),0),IF((CS57+DA57)&gt;BZ57,(CS57+DA57)-BZ57,0))*BQ57,SUM(EE57:EH57)),0)</f>
        <v>#VALUE!</v>
      </c>
      <c r="EJ57" s="1595" t="e">
        <f aca="false">DZ57-EE57</f>
        <v>#VALUE!</v>
      </c>
      <c r="EK57" s="1596" t="e">
        <f aca="false">EA57-EF57</f>
        <v>#VALUE!</v>
      </c>
      <c r="EL57" s="1596" t="e">
        <f aca="false">EB57-EG57</f>
        <v>#VALUE!</v>
      </c>
      <c r="EM57" s="1596" t="e">
        <f aca="false">EC57-EH57</f>
        <v>#VALUE!</v>
      </c>
      <c r="EN57" s="1597" t="e">
        <f aca="false">ED57-EI57</f>
        <v>#VALUE!</v>
      </c>
      <c r="EO57" s="1551" t="e">
        <f aca="false">DH57*BH57</f>
        <v>#VALUE!</v>
      </c>
      <c r="EP57" s="1551" t="e">
        <f aca="false">DI57*BI57</f>
        <v>#VALUE!</v>
      </c>
      <c r="EQ57" s="1551" t="e">
        <f aca="false">DW57*BJ57</f>
        <v>#VALUE!</v>
      </c>
      <c r="ER57" s="1551" t="e">
        <f aca="false">DX57*BK57</f>
        <v>#VALUE!</v>
      </c>
      <c r="ES57" s="1551" t="e">
        <f aca="false">DY57*BS57</f>
        <v>#VALUE!</v>
      </c>
      <c r="ET57" s="1566" t="e">
        <f aca="false">IF(EI57,IF(OCallPut,IF(CA57&gt;(CT57+CW57),CA57-(CT57+CW57),0),IF((CT57+CW57)&gt;CA57,(CT57+CW57)-CA57,0))*BH57,0)</f>
        <v>#VALUE!</v>
      </c>
      <c r="EU57" s="1551" t="e">
        <f aca="false">IF(EI57,IF(OCallPut,IF(CB57&gt;(CT57+CX57),CB57-(CT57+CX57),0),IF((CT57+CX57)&gt;CB57,(CT57+CX57)-CB57,0))*BI57,0)</f>
        <v>#VALUE!</v>
      </c>
      <c r="EV57" s="1551" t="e">
        <f aca="false">IF(EI57,IF(OCallPut,IF(CC57&gt;(CT57+CY57),CC57-(CT57+CY57),0),IF((CT57+CY57)&gt;CC57,(CT57+CY57)-CC57,0))*BJ57,0)</f>
        <v>#VALUE!</v>
      </c>
      <c r="EW57" s="1551" t="e">
        <f aca="false">IF(EI57,IF(OCallPut,IF(CD57&gt;(CT57+CZ57),CD57-(CT57+CZ57),0),IF((CT57+CZ57)&gt;CD57,(CT57+CZ57)-CD57,0))*BK57,0)</f>
        <v>#VALUE!</v>
      </c>
      <c r="EX57" s="1558" t="e">
        <f aca="false">IF(EI57,SUM(ET57:EW57),0)</f>
        <v>#VALUE!</v>
      </c>
      <c r="EY57" s="1551" t="e">
        <f aca="false">EO57-ET57</f>
        <v>#VALUE!</v>
      </c>
      <c r="EZ57" s="1551" t="e">
        <f aca="false">EP57-EU57</f>
        <v>#VALUE!</v>
      </c>
      <c r="FA57" s="1551" t="e">
        <f aca="false">EQ57-EV57</f>
        <v>#VALUE!</v>
      </c>
      <c r="FB57" s="1551" t="e">
        <f aca="false">ER57-EW57</f>
        <v>#VALUE!</v>
      </c>
      <c r="FC57" s="1551" t="e">
        <f aca="false">ES57-EX57</f>
        <v>#VALUE!</v>
      </c>
      <c r="FD57" s="1525" t="n">
        <f aca="false">IF(AX57,IF(VLOOKUP(C57,MAIN!$L$17:$M$28,2)="Yes",VLOOKUP(CALC!B57,MAIN!$H$17:$I$20,2),0),0)</f>
        <v>0</v>
      </c>
      <c r="FE57" s="1552" t="e">
        <f aca="false">$FD57*16*AT57*(1-$AY57)</f>
        <v>#VALUE!</v>
      </c>
      <c r="FF57" s="1553" t="e">
        <f aca="false">$FD57*16*AU57*(1-$AY57)</f>
        <v>#VALUE!</v>
      </c>
      <c r="FG57" s="1553" t="e">
        <f aca="false">$FD57*16*(AV57+AW57)*(1-$AY57)</f>
        <v>#VALUE!</v>
      </c>
      <c r="FH57" s="1554" t="n">
        <f aca="false">$FD57*8*AX57*(1-$AY57)</f>
        <v>0</v>
      </c>
      <c r="FI57" s="1555" t="n">
        <f aca="false">IF(AX57,VLOOKUP(CALC!B57,MAIN!$H$17:$K$20,4),0)</f>
        <v>0</v>
      </c>
      <c r="FJ57" s="1553" t="e">
        <f aca="false">SUM(FE57:FH57)</f>
        <v>#VALUE!</v>
      </c>
      <c r="FK57" s="1556" t="e">
        <f aca="false">FI57*FJ57</f>
        <v>#VALUE!</v>
      </c>
      <c r="FL57" s="1551" t="e">
        <f aca="false">IF($EI57&gt;0,MIN(FE57,AZ57*(1+VLOOKUP($C57,WeatherCapacityAdjustment,2))),0)</f>
        <v>#VALUE!</v>
      </c>
      <c r="FM57" s="1551" t="e">
        <f aca="false">IF($EI57&gt;0,MIN(FF57,BA57*(1+VLOOKUP($C57,WeatherCapacityAdjustment,2))),0)</f>
        <v>#VALUE!</v>
      </c>
      <c r="FN57" s="1551" t="e">
        <f aca="false">IF($EI57&gt;0,MIN(FG57,BB57*(1+VLOOKUP($C57,WeatherCapacityAdjustment,2))),0)</f>
        <v>#VALUE!</v>
      </c>
      <c r="FO57" s="1564" t="e">
        <f aca="false">IF($EI57&gt;0,MIN(FH57,BC57*(1+VLOOKUP($C57,WeatherCapacityAdjustment,3))),0)</f>
        <v>#VALUE!</v>
      </c>
      <c r="FP57" s="1551" t="e">
        <f aca="false">IF(ET57&gt;0,MIN(FE57-FL57,BH57*(1+VLOOKUP($C57,WeatherCapacityAdjustment,2))),0)</f>
        <v>#VALUE!</v>
      </c>
      <c r="FQ57" s="1551" t="e">
        <f aca="false">IF(EU57&gt;0,MIN(FF57-FM57,BI57*(1+VLOOKUP($C57,WeatherCapacityAdjustment,2))),0)</f>
        <v>#VALUE!</v>
      </c>
      <c r="FR57" s="1551" t="e">
        <f aca="false">IF(EV57&gt;0,MIN(FG57-FN57,BJ57*(1+VLOOKUP($C57,WeatherCapacityAdjustment,2))),0)</f>
        <v>#VALUE!</v>
      </c>
      <c r="FS57" s="1558" t="e">
        <f aca="false">IF(EW57&gt;0,MIN(FH57-FO57,BK57*(1+VLOOKUP($C57,WeatherCapacityAdjustment,3))),0)</f>
        <v>#VALUE!</v>
      </c>
      <c r="FT57" s="1566" t="e">
        <f aca="false">IF(AND(Assumptions!$H$71="Yes",A57&gt;=Assumptions!$H$72,A57&lt;=Assumptions!$H$73),0,IF(AND($A57&gt;=Assumptions!$C$17,$A57&lt;=Assumptions!$C$18),MAX(AZ57*(1+VLOOKUP($C57,WeatherCapacityAdjustment,2))-FL57,0),0))</f>
        <v>#VALUE!</v>
      </c>
      <c r="FU57" s="1551" t="e">
        <f aca="false">IF(AND(Assumptions!$H$71="Yes",A57&gt;=Assumptions!$H$72,A57&lt;=Assumptions!$H$73),0,IF(AND($A57&gt;=Assumptions!$C$17,$A57&lt;=Assumptions!$C$18),MAX(BA57*(1+VLOOKUP($C57,WeatherCapacityAdjustment,2))-FM57,0),0))</f>
        <v>#VALUE!</v>
      </c>
      <c r="FV57" s="1551" t="e">
        <f aca="false">IF(AND(Assumptions!$H$71="Yes",A57&gt;=Assumptions!$H$72,A57&lt;=Assumptions!$H$73),0,IF(AND($A57&gt;=Assumptions!$C$17,$A57&lt;=Assumptions!$C$18),MAX(BB57*(1+VLOOKUP($C57,WeatherCapacityAdjustment,2))-FN57,0),0))</f>
        <v>#VALUE!</v>
      </c>
      <c r="FW57" s="1564" t="e">
        <f aca="false">IF(AND(Assumptions!$H$71="Yes",A57&gt;=Assumptions!$H$72,A57&lt;=Assumptions!$H$73),0,IF(AND($A57&gt;=Assumptions!$C$17,$A57&lt;=Assumptions!$C$18),MAX(BC57*(1+VLOOKUP($C57,WeatherCapacityAdjustment,3))-FO57,0),0))</f>
        <v>#VALUE!</v>
      </c>
      <c r="FX57" s="1569" t="e">
        <f aca="false">IF(AND(Assumptions!$H$71="Yes",A57&gt;=Assumptions!$H$72,A57&lt;=Assumptions!$H$73),0,IF(ET57&gt;0,MAX(BH57*(1+VLOOKUP($C57,WeatherCapacityAdjustment,2))-FP57,0),0))</f>
        <v>#VALUE!</v>
      </c>
      <c r="FY57" s="1551" t="e">
        <f aca="false">IF(AND(Assumptions!$H$71="Yes",A57&gt;=Assumptions!$H$72,A57&lt;=Assumptions!$H$73),0,IF(EU57&gt;0,MAX(BI57*(1+VLOOKUP($C57,WeatherCapacityAdjustment,3))-FQ57,0),0))</f>
        <v>#VALUE!</v>
      </c>
      <c r="FZ57" s="1551" t="e">
        <f aca="false">IF(AND(Assumptions!$H$71="Yes",A57&gt;=Assumptions!$H$72,A57&lt;=Assumptions!$H$73),0,IF(EV57&gt;0,MAX(BJ57*(1+VLOOKUP($C57,WeatherCapacityAdjustment,2))-FR57,0),0))</f>
        <v>#VALUE!</v>
      </c>
      <c r="GA57" s="1564" t="e">
        <f aca="false">IF(AND(Assumptions!$H$71="Yes",A57&gt;=Assumptions!$H$72,A57&lt;=Assumptions!$H$73),0,IF(EW57&gt;0,MAX(BK57*(1+VLOOKUP($C57,WeatherCapacityAdjustment,2))-FS57,0),0))</f>
        <v>#VALUE!</v>
      </c>
      <c r="GB57" s="1551" t="e">
        <f aca="false">SUM(FT57:GA57)</f>
        <v>#VALUE!</v>
      </c>
      <c r="GC57" s="1563" t="e">
        <f aca="false">+IF(SUM(FT57:GA57)=0,0,(SUMPRODUCT(BU57:BX57,FT57:FW57)+SUMPRODUCT(CA57:CD57,FX57:GA57))/SUM(FT57:GA57))</f>
        <v>#VALUE!</v>
      </c>
      <c r="GD57" s="1551" t="e">
        <f aca="false">(FT57*BU57+FX57*CA57+FU57*BV57+FY57*CB57+FV57*BW57+FZ57*CC57+FW57*BX57+GA57*CD57)</f>
        <v>#VALUE!</v>
      </c>
      <c r="GE57" s="1561" t="e">
        <f aca="false">+IF(BQ57,((FL57+FM57+FT57+FU57)*HeatRatePeak/1000*(1+VLOOKUP($C57,WeatherHeatRateAdjustment,2))+(FN57+FV57)*IF(EV57&gt;0,HeatRatePeak,HeatRateOffPeak)/1000*(1+VLOOKUP($C57,WeatherHeatRateAdjustment,2))+(FO57+FW57)*IF(EW57&gt;0,HeatRatePeak,HeatRateOffPeak)/1000*(1+VLOOKUP($C57,WeatherHeatRateAdjustment,3)))*(1+VLOOKUP($B57,HeatRateDegradation,$C57+1)),0)</f>
        <v>#VALUE!</v>
      </c>
      <c r="GF57" s="1562" t="e">
        <f aca="false">IF(BQ57,((FP57+FQ57+FR57+FX57+FY57+FZ57)*HeatRatePeak/1000*(1+VLOOKUP($C57,WeatherHeatRateAdjustment,2))+(FS57+GA57)*HeatRatePeak/1000*(1+VLOOKUP($C57,WeatherHeatRateAdjustment,3)))*(1+VLOOKUP($B57,HeatRateDegradation,$C57+1)),0)</f>
        <v>#VALUE!</v>
      </c>
      <c r="GG57" s="1563" t="e">
        <f aca="false">IF(BQ57,VLOOKUP(A57,GasTable,13),0)</f>
        <v>#VALUE!</v>
      </c>
      <c r="GH57" s="1564" t="e">
        <f aca="false">(GE57+GF57)*GG57</f>
        <v>#VALUE!</v>
      </c>
      <c r="GI57" s="1569" t="e">
        <f aca="false">GB57</f>
        <v>#VALUE!</v>
      </c>
      <c r="GJ57" s="1598" t="e">
        <f aca="false">+DA57</f>
        <v>#VALUE!</v>
      </c>
      <c r="GK57" s="1558" t="e">
        <f aca="false">+GI57*GJ57</f>
        <v>#VALUE!</v>
      </c>
      <c r="GL57" s="1566" t="e">
        <f aca="false">MAX(FE57-FL57-FP57,0)</f>
        <v>#VALUE!</v>
      </c>
      <c r="GM57" s="1551" t="e">
        <f aca="false">MAX(FF57-FM57-FQ57,0)</f>
        <v>#VALUE!</v>
      </c>
      <c r="GN57" s="1551" t="e">
        <f aca="false">MAX(FG57-FN57-FR57,0)</f>
        <v>#VALUE!</v>
      </c>
      <c r="GO57" s="1564" t="e">
        <f aca="false">MAX(FH57-FO57-FS57,0)</f>
        <v>#VALUE!</v>
      </c>
      <c r="GP57" s="1551" t="e">
        <f aca="false">SUM(GL57:GO57)</f>
        <v>#VALUE!</v>
      </c>
      <c r="GQ57" s="1563" t="e">
        <f aca="false">IF(SUM(GL57:GO57)=0,0,((GL57*BU57+GM57*BV57+GN57*BW57+GO57*BX57)/SUM(GL57:GO57)))</f>
        <v>#VALUE!</v>
      </c>
      <c r="GR57" s="1558" t="e">
        <f aca="false">(GL57*BU57+GM57*BV57+GN57*BW57+GO57*BX57)</f>
        <v>#VALUE!</v>
      </c>
      <c r="GS57" s="1566" t="n">
        <f aca="false">IF($A57&gt;=BegDate,Assumptions!$C$56*24*($A58-$A57)*(1-VLOOKUP($B57,MAIN!$AA$7:$AM$28,$C57+1))*(1-VLOOKUP($B57,MAIN!$AA$33:$AM$54,$C57+1)),0)*80/168</f>
        <v>249428.571428571</v>
      </c>
      <c r="GT57" s="286" t="n">
        <f aca="false">J57</f>
        <v>48.0312291672</v>
      </c>
      <c r="GU57" s="286" t="n">
        <f aca="false">IF($A57&gt;=BegDate,VLOOKUP($A57,GasTable,13)+Assumptions!$C$58,0)</f>
        <v>2.50098402644271</v>
      </c>
      <c r="GV57" s="286" t="n">
        <f aca="false">GU57*Assumptions!$C$57/1000</f>
        <v>18.1321341917096</v>
      </c>
      <c r="GW57" s="1558" t="n">
        <f aca="false">IF(Assumptions!$C$60="Hourly",MAX(0,GS57*(GT57-GV57)),GS57*(GT57-GV57))</f>
        <v>7457688.54674374</v>
      </c>
      <c r="GX57" s="1566" t="n">
        <f aca="false">IF($A57&gt;=BegDate,Assumptions!$C$56*24*($A58-$A57)*(1-VLOOKUP($B57,MAIN!$AA$7:$AM$28,$C57+1))*(1-VLOOKUP($B57,MAIN!$AA$33:$AM$54,$C57+1)),0)*16/168</f>
        <v>49885.7142857143</v>
      </c>
      <c r="GY57" s="286" t="n">
        <f aca="false">M57</f>
        <v>48.0312291672</v>
      </c>
      <c r="GZ57" s="286" t="n">
        <f aca="false">IF($A57&gt;=BegDate,VLOOKUP($A57,GasTable,13)+Assumptions!$C$58,0)</f>
        <v>2.50098402644271</v>
      </c>
      <c r="HA57" s="286" t="n">
        <f aca="false">GZ57*Assumptions!$C$57/1000</f>
        <v>18.1321341917096</v>
      </c>
      <c r="HB57" s="1558" t="n">
        <f aca="false">IF(Assumptions!$C$60="Hourly",MAX(0,GX57*(GY57-HA57)),GX57*(GY57-HA57))</f>
        <v>1491537.70934875</v>
      </c>
      <c r="HC57" s="1566" t="n">
        <f aca="false">IF($A57&gt;=BegDate,Assumptions!$C$56*24*($A58-$A57)*(1-VLOOKUP($B57,MAIN!$AA$7:$AM$28,$C57+1))*(1-VLOOKUP($B57,MAIN!$AA$33:$AM$54,$C57+1)),0)*16/168</f>
        <v>49885.7142857143</v>
      </c>
      <c r="HD57" s="286" t="n">
        <f aca="false">P57</f>
        <v>25.720498296</v>
      </c>
      <c r="HE57" s="286" t="n">
        <f aca="false">IF($A57&gt;=BegDate,VLOOKUP($A57,GasTable,13)+Assumptions!$C$58,0)</f>
        <v>2.50098402644271</v>
      </c>
      <c r="HF57" s="286" t="n">
        <f aca="false">HE57*Assumptions!$C$57/1000</f>
        <v>18.1321341917096</v>
      </c>
      <c r="HG57" s="1558" t="n">
        <f aca="false">IF(Assumptions!$C$60="Hourly",MAX(0,HC57*(HD57-HF57)),HC57*(HD57-HF57))</f>
        <v>378550.963602599</v>
      </c>
      <c r="HH57" s="1566" t="n">
        <f aca="false">IF($A57&gt;=BegDate,Assumptions!$C$56*24*($A58-$A57)*(1-VLOOKUP($B57,MAIN!$AA$7:$AM$28,$C57+1))*(1-VLOOKUP($B57,MAIN!$AA$33:$AM$54,$C57+1)),0)*56/168</f>
        <v>174600</v>
      </c>
      <c r="HI57" s="286" t="n">
        <f aca="false">S57</f>
        <v>25.720498296</v>
      </c>
      <c r="HJ57" s="286" t="n">
        <f aca="false">IF($A57&gt;=BegDate,VLOOKUP($A57,GasTable,13)+Assumptions!$C$58,0)</f>
        <v>2.50098402644271</v>
      </c>
      <c r="HK57" s="286" t="n">
        <f aca="false">HJ57*Assumptions!$C$57/1000</f>
        <v>18.1321341917096</v>
      </c>
      <c r="HL57" s="1558" t="n">
        <f aca="false">IF(Assumptions!$C$60="Hourly",MAX(0,HH57*(HI57-HK57)),HH57*(HI57-HK57))</f>
        <v>1324928.3726091</v>
      </c>
      <c r="HM57" s="1566" t="n">
        <f aca="false">IF(AND(Assumptions!$H$71="Yes",A57&gt;=Assumptions!$H$72,A57&lt;=Assumptions!$H$73),Assumptions!$H$74*Assumptions!$C$9*1000,0)</f>
        <v>0</v>
      </c>
      <c r="HN57" s="1551"/>
      <c r="HO57" s="1563"/>
      <c r="HP57" s="1563"/>
      <c r="HQ57" s="1563"/>
      <c r="HR57" s="1563"/>
      <c r="HS57" s="1563"/>
      <c r="HT57" s="1563"/>
      <c r="HU57" s="1563"/>
      <c r="HV57" s="1563"/>
      <c r="HW57" s="1563"/>
      <c r="HX57" s="1563"/>
      <c r="HY57" s="1563"/>
      <c r="HZ57" s="1563"/>
      <c r="IA57" s="1563"/>
      <c r="IB57" s="1563"/>
      <c r="IC57" s="1563"/>
      <c r="ID57" s="1563"/>
      <c r="IE57" s="1563"/>
      <c r="IF57" s="1563"/>
      <c r="IG57" s="1563"/>
      <c r="IH57" s="1563"/>
      <c r="II57" s="1610"/>
      <c r="IJ57" s="1309"/>
      <c r="IK57" s="1309"/>
    </row>
    <row r="58" customFormat="false" ht="12.75" hidden="false" customHeight="false" outlineLevel="0" collapsed="false">
      <c r="A58" s="1571" t="n">
        <f aca="false">EOMONTH(A57,0)+1</f>
        <v>37895</v>
      </c>
      <c r="B58" s="594" t="n">
        <f aca="false">+YEAR(A58)</f>
        <v>2003</v>
      </c>
      <c r="C58" s="238" t="n">
        <f aca="false">MONTH(A58)</f>
        <v>10</v>
      </c>
      <c r="D58" s="1572" t="e">
        <f aca="false">IF(E58="","",Holiday(B58,C58))</f>
        <v>#VALUE!</v>
      </c>
      <c r="E58" s="1573" t="n">
        <f aca="false">IF(OR(BegDate&gt;=A59,EndDate&lt;A58,AND(VolumeMonthlyOverFlag,INDEX(VolumeMonthlyOver,C58)=0),NOT(INDEX(MonthKnockOutTable,C58))),"",MAX(A58,BegDate))</f>
        <v>37895</v>
      </c>
      <c r="F58" s="1574" t="n">
        <f aca="false">IF(E58="","",MIN(A59-1,EndDate))</f>
        <v>37925</v>
      </c>
      <c r="G58" s="1575" t="n">
        <v>0</v>
      </c>
      <c r="H58" s="1576" t="n">
        <f aca="false">(1+G58/2)^(-2*(DATE(B59,C59,20)-DateToday)/365.25)</f>
        <v>1</v>
      </c>
      <c r="I58" s="1568" t="n">
        <f aca="false">IF(Assumptions!$L$25=4,VLOOKUP($A58,'Henwood Reference'!$E$9:$R$320,10),(VLOOKUP($A58,PriceTable,2,0)+IF(BasisNumber&lt;&gt;1,VLOOKUP($A58,BasisTable,2,0),0)+I$1)/(1-I$2))</f>
        <v>37.662802524</v>
      </c>
      <c r="J58" s="1568" t="n">
        <f aca="false">IF(Assumptions!$L$25=4,VLOOKUP($A58,'Henwood Reference'!$E$9:$R$320,10),(VLOOKUP($A58,PriceTable,3,0)+IF(BasisNumber&lt;&gt;1,VLOOKUP($A58,BasisTable,2,0),0)+J$1)/(1-J$2))</f>
        <v>37.662802524</v>
      </c>
      <c r="K58" s="1568" t="n">
        <f aca="false">IF(Assumptions!$L$25=4,VLOOKUP($A58,'Henwood Reference'!$E$9:$R$320,10),(VLOOKUP($A58,PriceTable,4,0)+IF(BasisNumber&lt;&gt;1,VLOOKUP($A58,BasisTable,2,0),0)+K$1)/(1-K$2))</f>
        <v>37.662802524</v>
      </c>
      <c r="L58" s="1523" t="n">
        <f aca="false">IF(Assumptions!$L$25=4,VLOOKUP($A58,'Henwood Reference'!$E$9:$R$320,10),(VLOOKUP($A58,PriceTableWeekend,2,0)+IF(BasisNumber&lt;&gt;1,VLOOKUP($A58,BasisTable,2,0),0)+L$1)/(1-L$2))</f>
        <v>37.662802524</v>
      </c>
      <c r="M58" s="1568" t="n">
        <f aca="false">IF(Assumptions!$L$25=4,VLOOKUP($A58,'Henwood Reference'!$E$9:$R$320,10),(VLOOKUP($A58,PriceTableWeekend,3,0)+IF(BasisNumber&lt;&gt;1,VLOOKUP($A58,BasisTable,2,0),0)+M$1)/(1-M$2))</f>
        <v>37.662802524</v>
      </c>
      <c r="N58" s="1599" t="n">
        <f aca="false">IF(Assumptions!$L$25=4,VLOOKUP($A58,'Henwood Reference'!$E$9:$R$320,10),(VLOOKUP($A58,PriceTableWeekend,4,0)+IF(BasisNumber&lt;&gt;1,VLOOKUP($A58,BasisTable,2,0),0)+N$1)/(1-N$2))</f>
        <v>37.662802524</v>
      </c>
      <c r="O58" s="1568" t="n">
        <f aca="false">IF(Assumptions!$L$25=4,VLOOKUP($A58,'Henwood Reference'!$E$9:$R$320,11),(VLOOKUP($A58,PriceTableWeekend,6,0)+IF(BasisNumber&lt;&gt;1,VLOOKUP($A58,BasisTable,3,0),0)+O$1)/(1-O$2))</f>
        <v>24.1272006048</v>
      </c>
      <c r="P58" s="1568" t="n">
        <f aca="false">IF(Assumptions!$L$25=4,VLOOKUP($A58,'Henwood Reference'!$E$9:$R$320,11),(VLOOKUP($A58,PriceTableWeekend,7,0)+IF(BasisNumber&lt;&gt;1,VLOOKUP($A58,BasisTable,3,0),0)+P$1)/(1-P$2))</f>
        <v>24.1272006048</v>
      </c>
      <c r="Q58" s="1599" t="n">
        <f aca="false">IF(Assumptions!$L$25=4,VLOOKUP($A58,'Henwood Reference'!$E$9:$R$320,11),(VLOOKUP($A58,PriceTableWeekend,8,0)+IF(BasisNumber&lt;&gt;1,VLOOKUP($A58,BasisTable,3,0),0)+Q$1)/(1-Q$2))</f>
        <v>24.1272006048</v>
      </c>
      <c r="R58" s="1568" t="n">
        <f aca="false">IF(Assumptions!$L$25=4,VLOOKUP($A58,'Henwood Reference'!$E$9:$R$320,11),(VLOOKUP($A58,PriceTable,6,0)+IF(BasisNumber&lt;&gt;1,VLOOKUP($A58,BasisTable,3,0),0)+R$1)/(1-R$2))</f>
        <v>24.1272006048</v>
      </c>
      <c r="S58" s="1568" t="n">
        <f aca="false">IF(Assumptions!$L$25=4,VLOOKUP($A58,'Henwood Reference'!$E$9:$R$320,11),(VLOOKUP($A58,PriceTable,7,0)+IF(BasisNumber&lt;&gt;1,VLOOKUP($A58,BasisTable,3,0),0)+S$1)/(1-S$2))</f>
        <v>24.1272006048</v>
      </c>
      <c r="T58" s="1600" t="n">
        <f aca="false">IF(Assumptions!$L$25=4,VLOOKUP($A58,'Henwood Reference'!$E$9:$R$320,11),(VLOOKUP($A58,PriceTable,8,0)+IF(BasisNumber&lt;&gt;1,VLOOKUP($A58,BasisTable,3,0),0)+T$1)/(1-T$2))</f>
        <v>24.1272006048</v>
      </c>
      <c r="U58" s="1513" t="n">
        <f aca="false">VLOOKUP($A58,VolatilityTable,14)</f>
        <v>0.155</v>
      </c>
      <c r="V58" s="1513" t="n">
        <f aca="false">VLOOKUP($A58,VolatilityTable,15)</f>
        <v>0.165</v>
      </c>
      <c r="W58" s="1514" t="n">
        <f aca="false">VLOOKUP($A58,VolatilityTable,16)</f>
        <v>0.175</v>
      </c>
      <c r="X58" s="1513" t="n">
        <f aca="false">VLOOKUP($A58,VolatilityTable,14)</f>
        <v>0.155</v>
      </c>
      <c r="Y58" s="1513" t="n">
        <f aca="false">VLOOKUP($A58,VolatilityTable,15)</f>
        <v>0.165</v>
      </c>
      <c r="Z58" s="1514" t="n">
        <f aca="false">VLOOKUP($A58,VolatilityTable,16)</f>
        <v>0.175</v>
      </c>
      <c r="AA58" s="1513" t="n">
        <f aca="false">VLOOKUP($A58,VolatilityTable,18)</f>
        <v>0.09</v>
      </c>
      <c r="AB58" s="1513" t="n">
        <f aca="false">VLOOKUP($A58,VolatilityTable,19)</f>
        <v>0.11</v>
      </c>
      <c r="AC58" s="1514" t="n">
        <f aca="false">VLOOKUP($A58,VolatilityTable,20)</f>
        <v>0.13</v>
      </c>
      <c r="AD58" s="1513" t="n">
        <f aca="false">VLOOKUP($A58,VolatilityTable,18)</f>
        <v>0.09</v>
      </c>
      <c r="AE58" s="1513" t="n">
        <f aca="false">VLOOKUP($A58,VolatilityTable,19)</f>
        <v>0.11</v>
      </c>
      <c r="AF58" s="1514" t="n">
        <f aca="false">VLOOKUP($A58,VolatilityTable,20)</f>
        <v>0.13</v>
      </c>
      <c r="AG58" s="1513" t="n">
        <f aca="false">VLOOKUP($A58,VolatilityTable,22)</f>
        <v>-0.1</v>
      </c>
      <c r="AH58" s="1513" t="n">
        <f aca="false">VLOOKUP($A58,VolatilityTable,23)</f>
        <v>0.6</v>
      </c>
      <c r="AI58" s="1514" t="n">
        <f aca="false">VLOOKUP($A58,VolatilityTable,24)</f>
        <v>0.1</v>
      </c>
      <c r="AJ58" s="1513" t="n">
        <f aca="false">VLOOKUP($A58,VolatilityTable,22)</f>
        <v>-0.1</v>
      </c>
      <c r="AK58" s="1513" t="n">
        <f aca="false">VLOOKUP($A58,VolatilityTable,23)</f>
        <v>0.6</v>
      </c>
      <c r="AL58" s="1514" t="n">
        <f aca="false">VLOOKUP($A58,VolatilityTable,24)</f>
        <v>0.1</v>
      </c>
      <c r="AM58" s="1513" t="n">
        <f aca="false">VLOOKUP($A58,VolatilityTable,26)</f>
        <v>-0.01</v>
      </c>
      <c r="AN58" s="1513" t="n">
        <f aca="false">VLOOKUP($A58,VolatilityTable,27)</f>
        <v>0.16</v>
      </c>
      <c r="AO58" s="1514" t="n">
        <f aca="false">VLOOKUP($A58,VolatilityTable,28)</f>
        <v>0.01</v>
      </c>
      <c r="AP58" s="1513" t="n">
        <f aca="false">VLOOKUP($A58,VolatilityTable,26)</f>
        <v>-0.01</v>
      </c>
      <c r="AQ58" s="1513" t="n">
        <f aca="false">VLOOKUP($A58,VolatilityTable,27)</f>
        <v>0.16</v>
      </c>
      <c r="AR58" s="1515" t="n">
        <f aca="false">VLOOKUP($A58,VolatilityTable,28)</f>
        <v>0.01</v>
      </c>
      <c r="AS58" s="1581" t="n">
        <f aca="false">IF(CorrPeakOffPeakOverFlag,INDEX(CorrPeakOffPeakOver,C58),CorrPeakOffPeak)</f>
        <v>0.5</v>
      </c>
      <c r="AT58" s="594" t="e">
        <f aca="false">AX58-SUM(AU58:AW58)</f>
        <v>#VALUE!</v>
      </c>
      <c r="AU58" s="238" t="e">
        <f aca="false">IF(E58="",0,INT((F58-MOD(F58,7)-E58)/7)+1-IF(AW58,IF(WEEKDAY(D58)=7,1,0),0))</f>
        <v>#VALUE!</v>
      </c>
      <c r="AV58" s="238" t="e">
        <f aca="false">IF(E58="",0,INT((F58-MOD(F58-1,7)-E58)/7)+1-IF(AW58,IF(WEEKDAY(D58)=1,1,0),0))</f>
        <v>#VALUE!</v>
      </c>
      <c r="AW58" s="238" t="e">
        <f aca="false">IF(OR(E58="",D58="",D58&lt;BegDate,D58&gt;EndDate),0,1)</f>
        <v>#VALUE!</v>
      </c>
      <c r="AX58" s="238" t="n">
        <f aca="false">IF(E58="",0,F58-E58+1)</f>
        <v>31</v>
      </c>
      <c r="AY58" s="1582" t="n">
        <f aca="false">IF(E58="",0,MIN((1-(1-VLOOKUP(B58,MAIN!$AA$7:$AM$28,C58+1))*(1-VLOOKUP(B58,MAIN!$AA$33:$AM$54,C58+1))),1))</f>
        <v>0.03</v>
      </c>
      <c r="AZ58" s="1519" t="e">
        <v>#VALUE!</v>
      </c>
      <c r="BA58" s="1520" t="e">
        <v>#VALUE!</v>
      </c>
      <c r="BB58" s="1520" t="e">
        <v>#VALUE!</v>
      </c>
      <c r="BC58" s="1583" t="e">
        <v>#VALUE!</v>
      </c>
      <c r="BD58" s="1522" t="e">
        <v>#VALUE!</v>
      </c>
      <c r="BE58" s="1523" t="e">
        <v>#VALUE!</v>
      </c>
      <c r="BF58" s="1523" t="e">
        <v>#VALUE!</v>
      </c>
      <c r="BG58" s="1584" t="e">
        <v>#VALUE!</v>
      </c>
      <c r="BH58" s="1525" t="e">
        <v>#VALUE!</v>
      </c>
      <c r="BI58" s="1520" t="e">
        <v>#VALUE!</v>
      </c>
      <c r="BJ58" s="1520" t="e">
        <v>#VALUE!</v>
      </c>
      <c r="BK58" s="1583" t="e">
        <v>#VALUE!</v>
      </c>
      <c r="BL58" s="1522" t="e">
        <v>#VALUE!</v>
      </c>
      <c r="BM58" s="1523" t="e">
        <v>#VALUE!</v>
      </c>
      <c r="BN58" s="1523" t="e">
        <v>#VALUE!</v>
      </c>
      <c r="BO58" s="1523" t="e">
        <v>#VALUE!</v>
      </c>
      <c r="BP58" s="1525" t="e">
        <f aca="false">SUM(AZ58:BB58)</f>
        <v>#VALUE!</v>
      </c>
      <c r="BQ58" s="1529" t="e">
        <f aca="false">SUM(AZ58:BC58)</f>
        <v>#VALUE!</v>
      </c>
      <c r="BR58" s="1519" t="e">
        <f aca="false">SUM(BH58:BJ58)</f>
        <v>#VALUE!</v>
      </c>
      <c r="BS58" s="1529" t="e">
        <f aca="false">SUM(BH58:BK58)</f>
        <v>#VALUE!</v>
      </c>
      <c r="BT58" s="1316" t="n">
        <f aca="false">(IF(OVolType&lt;&gt;2,A58+14,IF(OptExpDateShift,ShiftBack(A58,OptExpDateShift,D57),A58))-DateToday)/365.25</f>
        <v>3.46338124572211</v>
      </c>
      <c r="BU58" s="1585" t="e">
        <f aca="false">IF(BQ58,IF(OPriceCurve,IF(OBuySell=OCallPut,I58/(1-AY58),K58/(1-AY58)),J58/(1-AY58))*BD58,0)</f>
        <v>#VALUE!</v>
      </c>
      <c r="BV58" s="1316" t="e">
        <f aca="false">IF(BQ58,IF(OPriceCurve,IF(OBuySell=OCallPut,L58/(1-AY58),N58/(1-AY58)),M58/(1-AY58))*BE58,0)</f>
        <v>#VALUE!</v>
      </c>
      <c r="BW58" s="1316" t="e">
        <f aca="false">IF(BQ58,IF(OPriceCurve,IF(OBuySell=OCallPut,O58/(1-AY58),Q58/(1-AY58)),P58/(1-AY58))*BF58,0)</f>
        <v>#VALUE!</v>
      </c>
      <c r="BX58" s="1316" t="e">
        <f aca="false">IF(BQ58,IF(OPriceCurve,IF(OBuySell=OCallPut,R58/(1-AY58),T58/(1-AY58)),S58/(1-AY58))*BG58,0)</f>
        <v>#VALUE!</v>
      </c>
      <c r="BY58" s="1316" t="e">
        <f aca="false">IF(BP58,(BU58*AZ58+BV58*BA58+BW58*BB58)/BP58,0)</f>
        <v>#VALUE!</v>
      </c>
      <c r="BZ58" s="1316" t="e">
        <f aca="false">IF(BQ58,(BY58*BP58+BX58*BC58)/BQ58,0)</f>
        <v>#VALUE!</v>
      </c>
      <c r="CA58" s="1531" t="e">
        <f aca="false">IF(BS58,IF(OPriceCurve,IF(OBuySell=OCallPut,I58/(1-AY58),K58/(1-AY58)),J58/(1-AY58))*BL58,0)</f>
        <v>#VALUE!</v>
      </c>
      <c r="CB58" s="1316" t="e">
        <f aca="false">IF(BS58,IF(OPriceCurve,IF(OBuySell=OCallPut,L58/(1-AY58),N58/(1-AY58)),M58/(1-AY58))*BM58,0)</f>
        <v>#VALUE!</v>
      </c>
      <c r="CC58" s="1316" t="e">
        <f aca="false">IF(BS58,IF(OPriceCurve,IF(OBuySell=OCallPut,O58/(1-AY58),Q58/(1-AY58)),P58/(1-AY58))*BN58,0)</f>
        <v>#VALUE!</v>
      </c>
      <c r="CD58" s="1316" t="e">
        <f aca="false">IF(BS58,IF(OPriceCurve,IF(OBuySell=OCallPut,R58/(1-AY58),T58/(1-AY58)),S58/(1-AY58))*BO58,0)</f>
        <v>#VALUE!</v>
      </c>
      <c r="CE58" s="1316" t="e">
        <f aca="false">IF(BR58,(BU58*BH58+BV58*BI58+BW58*BJ58)/BR58,0)</f>
        <v>#VALUE!</v>
      </c>
      <c r="CF58" s="1532" t="e">
        <f aca="false">IF(BS58,(CE58*BR58+CD58*BK58)/BS58,0)</f>
        <v>#VALUE!</v>
      </c>
      <c r="CG58" s="1586" t="e">
        <f aca="false">IF(OR(BQ58,BS58),IF(OVolType&lt;&gt;2,SQRT(IF(OVolOverMonthlyPeak,OVolOverMonthlyPeak,IF(OVolCurve,IF(OBuySell,U58,W58),V58))^2*(1-15/365.25/BT58)+IF(OVolOverDailyPeak,OVolOverDailyPeak,IF(OVolCurve,IF(OBuySell,AG58,AI58),AH58))^2*15/365.25/BT58),IF(OVolOverMonthlyPeak,OVolOverMonthlyPeak,IF(OVolCurve,IF(OBuySell,U58,W58),V58))),"")</f>
        <v>#VALUE!</v>
      </c>
      <c r="CH58" s="1587" t="e">
        <f aca="false">IF(OR(BQ58,BS58),IF(OVolType&lt;&gt;2,SQRT(IF(OVolOverMonthlyPeak,OVolOverMonthlyPeak,IF(OVolCurve,IF(OBuySell,X58,Z58),Y58))^2*(1-15/365.25/BT58)+IF(OVolOverDailyPeak,OVolOverDailyPeak,IF(OVolCurve,IF(OBuySell,AJ58,AL58),AK58))^2*15/365.25/BT58),IF(OVolOverMonthlyPeak,OVolOverMonthlyPeak,IF(OVolCurve,IF(OBuySell,X58,Z58),Y58))),"")</f>
        <v>#VALUE!</v>
      </c>
      <c r="CI58" s="1587" t="e">
        <f aca="false">IF(OR(BQ58,BS58),IF(OVolType&lt;&gt;2,SQRT(IF(OVolOverMonthlyPeak,OVolOverMonthlyPeak,IF(OVolCurve,IF(OBuySell,AA58,AC58),AB58))^2*(1-15/365.25/BT58)+IF(OVolOverDailyPeak,OVolOverDailyPeak,IF(OVolCurve,IF(OBuySell,AM58,AO58),AN58))^2*15/365.25/BT58),IF(OVolOverMonthlyPeak,OVolOverMonthlyPeak,IF(OVolCurve,IF(OBuySell,AA58,AC58),AB58))),"")</f>
        <v>#VALUE!</v>
      </c>
      <c r="CJ58" s="1587" t="e">
        <f aca="false">IF(BQ58,IF(BP58,SQRT(LN(1+((BU58*AZ58)^2*(EXP(CG58^2*BT58)-1)+(BV58*BA58)^2*(EXP(CH58^2*BT58)-1)+(BW58*BB58)^2*(EXP(CI58^2*BT58)-1)+2*BU58*AZ58*BV58*BA58*(EXP(CG58*CH58*BT58)-1)+2*BV58*BA58*BW58*BB58*(EXP(CH58*CI58*BT58)-1)+2*BW58*BB58*BU58*AZ58*(EXP(CI58*CG58*BT58)-1))/(BY58*BP58)^2)/BT58),0),"")</f>
        <v>#VALUE!</v>
      </c>
      <c r="CK58" s="1587" t="e">
        <f aca="false">IF(BS58,IF(BR58,SQRT(LN(1+((CA58*BH58)^2*(EXP(CG58^2*BT58)-1)+(CB58*BI58)^2*(EXP(CH58^2*BT58)-1)+(CC58*BJ58)^2*(EXP(CI58^2*BT58)-1)+2*CA58*BH58*CB58*BI58*(EXP(CG58*CH58*BT58)-1)+2*CB58*BI58*CC58*BJ58*(EXP(CH58*CI58*BT58)-1)+2*CC58*BJ58*CA58*BH58*(EXP(CI58*CG58*BT58)-1))/(CE58*BR58)^2)/BT58),0),"")</f>
        <v>#VALUE!</v>
      </c>
      <c r="CL58" s="1587" t="e">
        <f aca="false">IF(OR(BQ58,BS58),IF(OVolType&lt;&gt;2,SQRT(IF(OVolOverMonthlyOffPeak,OVolOverMonthlyOffPeak,IF(OVolCurve,IF(OBuySell,AD58,AF58),AE58))^2*(1-15/365.25/BT58)+IF(OVolOverDailyOffPeak,OVolOverDailyOffPeak,IF(OVolCurve,IF(OBuySell,AP58,AR58),AQ58))^2*15/365.25/BT58),IF(OVolOverMonthlyOffPeak,OVolOverMonthlyOffPeak,IF(OVolCurve,IF(OBuySell,AD58,AF58),AE58))),"")</f>
        <v>#VALUE!</v>
      </c>
      <c r="CM58" s="1587" t="e">
        <f aca="false">IF(BQ58,SQRT(LN(1+((BY58*BP58)^2*(EXP(CJ58^2*BT58)-1)+(BX58*BC58)^2*(EXP(CL58^2*BT58)-1)+2*BY58*BP58*BX58*BC58*(EXP(AS58*CJ58*CL58*BT58)-1))/(BY58*BP58+BX58*BC58)^2)/BT58),"")</f>
        <v>#VALUE!</v>
      </c>
      <c r="CN58" s="1588" t="e">
        <f aca="false">IF(BS58,SQRT(LN(1+((CE58*BR58)^2*(EXP(CK58^2*BT58)-1)+(CD58*BK58)^2*(EXP(CL58^2*BT58)-1)+2*CE58*BR58*CD58*BK58*(EXP(AS58*CK58*CL58*BT58)-1))/(CE58*BR58+CD58*BK58)^2)/BT58),"")</f>
        <v>#VALUE!</v>
      </c>
      <c r="CO58" s="1531" t="e">
        <f aca="false">IF(OR(BQ58,BS58),VLOOKUP(A58,GasTable,13)*HeatRatePeak*(1+VLOOKUP($B58,HeatRateDegradation,$C58+1))/1000,0)</f>
        <v>#VALUE!</v>
      </c>
      <c r="CP58" s="1316" t="e">
        <f aca="false">IF(OR(BQ58,BS58),VLOOKUP(A58,GasTable,13)*HeatRatePeak*(1+VLOOKUP($B58,HeatRateDegradation,$C58+1))/1000,0)</f>
        <v>#VALUE!</v>
      </c>
      <c r="CQ58" s="1316" t="e">
        <f aca="false">IF(OR(BQ58,BS58),VLOOKUP(A58,GasTable,13)*IF(EV58,HeatRatePeak,HeatRateOffPeak)*(1+VLOOKUP($B58,HeatRateDegradation,$C58+1))/1000,0)</f>
        <v>#VALUE!</v>
      </c>
      <c r="CR58" s="1316" t="e">
        <f aca="false">IF(OR(BQ58,BS58),VLOOKUP(A58,GasTable,13)*IF(EW58,HeatRatePeak,HeatRateOffPeak)*(1+VLOOKUP($B58,HeatRateDegradation,$C58+1))/1000,0)</f>
        <v>#VALUE!</v>
      </c>
      <c r="CS58" s="1589" t="e">
        <f aca="false">IF(BQ58,(CO58*AZ58+CP58*BA58+CQ58*BB58+CR58*BC58)/BQ58,0)</f>
        <v>#VALUE!</v>
      </c>
      <c r="CT58" s="1316" t="e">
        <f aca="false">IF(BS58,CO58,0)</f>
        <v>#VALUE!</v>
      </c>
      <c r="CU58" s="1590" t="e">
        <f aca="false">IF(OR(BQ58,BS58),VLOOKUP(A58,GasTable,14),"")</f>
        <v>#VALUE!</v>
      </c>
      <c r="CV58" s="1568" t="e">
        <f aca="false">IF(OR(BQ58,BS58),IF(CorrPowerGasOverFlag,INDEX(CorrPowerGasOver,C58),CorrPowerGas),"")</f>
        <v>#VALUE!</v>
      </c>
      <c r="CW58" s="1316" t="e">
        <f aca="false">IF(OR($BQ58,$BS58),SpreadOptPowerMargin,0)*((1+Assumptions!$C$26)^($B58-YEAR(Assumptions!$C$17)))</f>
        <v>#VALUE!</v>
      </c>
      <c r="CX58" s="1316" t="e">
        <f aca="false">IF(OR($BQ58,$BS58),SpreadOptPowerMargin,0)*((1+Assumptions!$C$26)^($B58-YEAR(Assumptions!$C$17)))</f>
        <v>#VALUE!</v>
      </c>
      <c r="CY58" s="1316" t="e">
        <f aca="false">IF(OR($BQ58,$BS58),SpreadOptPowerMargin,0)*((1+Assumptions!$C$26)^($B58-YEAR(Assumptions!$C$17)))</f>
        <v>#VALUE!</v>
      </c>
      <c r="CZ58" s="1316" t="e">
        <f aca="false">IF(OR($BQ58,$BS58),SpreadOptPowerMargin,0)*((1+Assumptions!$C$26)^($B58-YEAR(Assumptions!$C$17)))</f>
        <v>#VALUE!</v>
      </c>
      <c r="DA58" s="1591" t="e">
        <f aca="false">IF(OR(BQ58,BS58),(CW58*(AZ58+BH58)+CX58*(BA58+BI58)+CY58*(BB58+BJ58)+CZ58*(BC58+BK58))/(BQ58+BS58),0)</f>
        <v>#VALUE!</v>
      </c>
      <c r="DB58" s="1592" t="e">
        <f aca="false">IF(OR(BQ58,BS58),CG58+IF(OVolSmile,VLOOKUP(MAX(-5,CO58+CW58-BU58),IF(OVolSmile=1,VolSmileBook,VolSmileModel),2),0),"")</f>
        <v>#VALUE!</v>
      </c>
      <c r="DC58" s="1592" t="e">
        <f aca="false">IF(OR(BQ58,BS58),CH58+IF(OVolSmile,VLOOKUP(MAX(-5,CP58+CW58-BV58),IF(OVolSmile=1,VolSmileBook,VolSmileModel),2),0),"")</f>
        <v>#VALUE!</v>
      </c>
      <c r="DD58" s="1592" t="e">
        <f aca="false">IF(OR(BQ58,BS58),CI58+IF(OVolSmile,VLOOKUP(MAX(-5,CQ58+CW58-BW58),IF(OVolSmile=1,VolSmileBook,VolSmileModel),2),0),"")</f>
        <v>#VALUE!</v>
      </c>
      <c r="DE58" s="1592" t="e">
        <f aca="false">IF(OR(BQ58,BS58),CL58+IF(OVolSmile,VLOOKUP(MAX(-5,CR58+CZ58-BX58),IF(OVolSmile=1,VolSmileBook,VolSmileModel),2),0),"")</f>
        <v>#VALUE!</v>
      </c>
      <c r="DF58" s="1592" t="e">
        <f aca="false">IF(BQ58,CM58+IF(OVolSmile,VLOOKUP(MAX(-5,CS58+DA58-BZ58),IF(OVolSmile=1,VolSmileBook,VolSmileModel),2),0),"")</f>
        <v>#VALUE!</v>
      </c>
      <c r="DG58" s="1593" t="e">
        <f aca="false">IF(BS58,CN58+IF(OVolSmile,VLOOKUP(MAX(-5,CT58+DA58-CF58),IF(OVolSmile=1,VolSmileBook,VolSmileModel),2),0),"")</f>
        <v>#VALUE!</v>
      </c>
      <c r="DH58" s="1316" t="e">
        <f aca="false">IF(AND(BU58&gt;0,CO58&gt;0,DB58&gt;0,CU58&gt;0),newSPRDOPT(BU58,CO58,CW58,0,DB58,CU58,CV58,BT58*365.25,OCallPut,0),0)</f>
        <v>#VALUE!</v>
      </c>
      <c r="DI58" s="1316" t="e">
        <f aca="false">IF(AND(BV58&gt;0,CP58&gt;0,DC58&gt;0,CU58&gt;0),newSPRDOPT(BV58,CP58,CX58,0,DC58,CU58,CV58,BT58*365.25,OCallPut,0),0)</f>
        <v>#VALUE!</v>
      </c>
      <c r="DJ58" s="1316" t="e">
        <f aca="false">IF(AND(BW58&gt;0,CQ58&gt;0,DD58&gt;0,CU58&gt;0),newSPRDOPT(BW58,CQ58,CY58,0,DD58,CU58,CV58,BT58*365.25,OCallPut,0),0)</f>
        <v>#VALUE!</v>
      </c>
      <c r="DK58" s="1316" t="e">
        <f aca="false">IF(AND(BX58&gt;0,CR58&gt;0,DE58&gt;0,CU58&gt;0),newSPRDOPT(BX58,CR58,CZ58,0,DE58,CU58,CV58,BT58*365.25,OCallPut,0),0)</f>
        <v>#VALUE!</v>
      </c>
      <c r="DL58" s="1316" t="e">
        <f aca="false">IF(OVolType,IF(AND(BZ58&gt;0,CS58&gt;0,DF58&gt;0,CU58&gt;0),newSPRDOPT(BZ58,CS58,DA58,0,DF58,CU58,CV58,BT58*365.25,OCallPut,0),0),IF(BQ58,(DH58*AZ58+DI58*BA58+DJ58*BB58+DK58*BC58)/BQ58,0))</f>
        <v>#VALUE!</v>
      </c>
      <c r="DM58" s="1316"/>
      <c r="DN58" s="1316"/>
      <c r="DO58" s="1316"/>
      <c r="DP58" s="1316"/>
      <c r="DQ58" s="1316"/>
      <c r="DR58" s="1316"/>
      <c r="DS58" s="1316"/>
      <c r="DT58" s="1316"/>
      <c r="DU58" s="1316"/>
      <c r="DV58" s="1316"/>
      <c r="DW58" s="1594" t="e">
        <f aca="false">IF(AND(BW58&gt;0,CT58&gt;0,DD58&gt;0,CU58&gt;0),newSPRDOPT(BW58,CT58,CY58,0,DD58,CU58,CV58,BT58*365.25,OCallPut,0),0)</f>
        <v>#VALUE!</v>
      </c>
      <c r="DX58" s="1316" t="e">
        <f aca="false">IF(AND(BX58&gt;0,CT58&gt;0,DE58&gt;0,CU58&gt;0),newSPRDOPT(BX58,CT58,CZ58,0,DE58,CU58,CV58,BT58*365.25,OCallPut,0),0)</f>
        <v>#VALUE!</v>
      </c>
      <c r="DY58" s="1591" t="e">
        <f aca="false">IF(BS58,(DH58*BH58+DI58*BI58+DW58*BJ58+DX58*BK58)/BS58,0)</f>
        <v>#VALUE!</v>
      </c>
      <c r="DZ58" s="1551" t="e">
        <f aca="false">DH58*AZ58</f>
        <v>#VALUE!</v>
      </c>
      <c r="EA58" s="1551" t="e">
        <f aca="false">DI58*BA58</f>
        <v>#VALUE!</v>
      </c>
      <c r="EB58" s="1551" t="e">
        <f aca="false">DJ58*BB58</f>
        <v>#VALUE!</v>
      </c>
      <c r="EC58" s="1551" t="e">
        <f aca="false">DK58*BC58</f>
        <v>#VALUE!</v>
      </c>
      <c r="ED58" s="1551" t="e">
        <f aca="false">DL58*BQ58</f>
        <v>#VALUE!</v>
      </c>
      <c r="EE58" s="1595" t="e">
        <f aca="false">IF(BQ58,IF(OCallPut,IF(BU58&gt;(CO58+CW58),BU58-(CO58+CW58),0),IF((CO58+CW58)&gt;BU58,(CO58+CW58)-BU58,0))*AZ58,0)</f>
        <v>#VALUE!</v>
      </c>
      <c r="EF58" s="1596" t="e">
        <f aca="false">IF(BQ58,IF(OCallPut,IF(BV58&gt;(CP58+CX58),BV58-(CP58+CX58),0),IF((CP58+CX58)&gt;BV58,(CP58+CX58)-BV58,0))*BA58,0)</f>
        <v>#VALUE!</v>
      </c>
      <c r="EG58" s="1596" t="e">
        <f aca="false">IF(BQ58,IF(OCallPut,IF(BW58&gt;(CQ58+CY58),BW58-(CQ58+CY58),0),IF((CQ58+CY58)&gt;BW58,(CQ58+CY58)-BW58,0))*BB58,0)</f>
        <v>#VALUE!</v>
      </c>
      <c r="EH58" s="1596" t="e">
        <f aca="false">IF(BQ58,IF(OCallPut,IF(BX58&gt;(CR58+CZ58),BX58-(CR58+CZ58),0),IF((CR58+CZ58)&gt;BX58,(CR58+CZ58)-BX58,0))*BC58,0)</f>
        <v>#VALUE!</v>
      </c>
      <c r="EI58" s="1597" t="e">
        <f aca="false">IF(BQ58,IF(OVolType,IF(OCallPut,IF(BZ58&gt;(CS58+DA58),BZ58-(CS58+DA58),0),IF((CS58+DA58)&gt;BZ58,(CS58+DA58)-BZ58,0))*BQ58,SUM(EE58:EH58)),0)</f>
        <v>#VALUE!</v>
      </c>
      <c r="EJ58" s="1595" t="e">
        <f aca="false">DZ58-EE58</f>
        <v>#VALUE!</v>
      </c>
      <c r="EK58" s="1596" t="e">
        <f aca="false">EA58-EF58</f>
        <v>#VALUE!</v>
      </c>
      <c r="EL58" s="1596" t="e">
        <f aca="false">EB58-EG58</f>
        <v>#VALUE!</v>
      </c>
      <c r="EM58" s="1596" t="e">
        <f aca="false">EC58-EH58</f>
        <v>#VALUE!</v>
      </c>
      <c r="EN58" s="1597" t="e">
        <f aca="false">ED58-EI58</f>
        <v>#VALUE!</v>
      </c>
      <c r="EO58" s="1551" t="e">
        <f aca="false">DH58*BH58</f>
        <v>#VALUE!</v>
      </c>
      <c r="EP58" s="1551" t="e">
        <f aca="false">DI58*BI58</f>
        <v>#VALUE!</v>
      </c>
      <c r="EQ58" s="1551" t="e">
        <f aca="false">DW58*BJ58</f>
        <v>#VALUE!</v>
      </c>
      <c r="ER58" s="1551" t="e">
        <f aca="false">DX58*BK58</f>
        <v>#VALUE!</v>
      </c>
      <c r="ES58" s="1551" t="e">
        <f aca="false">DY58*BS58</f>
        <v>#VALUE!</v>
      </c>
      <c r="ET58" s="1566" t="e">
        <f aca="false">IF(EI58,IF(OCallPut,IF(CA58&gt;(CT58+CW58),CA58-(CT58+CW58),0),IF((CT58+CW58)&gt;CA58,(CT58+CW58)-CA58,0))*BH58,0)</f>
        <v>#VALUE!</v>
      </c>
      <c r="EU58" s="1551" t="e">
        <f aca="false">IF(EI58,IF(OCallPut,IF(CB58&gt;(CT58+CX58),CB58-(CT58+CX58),0),IF((CT58+CX58)&gt;CB58,(CT58+CX58)-CB58,0))*BI58,0)</f>
        <v>#VALUE!</v>
      </c>
      <c r="EV58" s="1551" t="e">
        <f aca="false">IF(EI58,IF(OCallPut,IF(CC58&gt;(CT58+CY58),CC58-(CT58+CY58),0),IF((CT58+CY58)&gt;CC58,(CT58+CY58)-CC58,0))*BJ58,0)</f>
        <v>#VALUE!</v>
      </c>
      <c r="EW58" s="1551" t="e">
        <f aca="false">IF(EI58,IF(OCallPut,IF(CD58&gt;(CT58+CZ58),CD58-(CT58+CZ58),0),IF((CT58+CZ58)&gt;CD58,(CT58+CZ58)-CD58,0))*BK58,0)</f>
        <v>#VALUE!</v>
      </c>
      <c r="EX58" s="1558" t="e">
        <f aca="false">IF(EI58,SUM(ET58:EW58),0)</f>
        <v>#VALUE!</v>
      </c>
      <c r="EY58" s="1551" t="e">
        <f aca="false">EO58-ET58</f>
        <v>#VALUE!</v>
      </c>
      <c r="EZ58" s="1551" t="e">
        <f aca="false">EP58-EU58</f>
        <v>#VALUE!</v>
      </c>
      <c r="FA58" s="1551" t="e">
        <f aca="false">EQ58-EV58</f>
        <v>#VALUE!</v>
      </c>
      <c r="FB58" s="1551" t="e">
        <f aca="false">ER58-EW58</f>
        <v>#VALUE!</v>
      </c>
      <c r="FC58" s="1551" t="e">
        <f aca="false">ES58-EX58</f>
        <v>#VALUE!</v>
      </c>
      <c r="FD58" s="1525" t="n">
        <f aca="false">IF(AX58,IF(VLOOKUP(C58,MAIN!$L$17:$M$28,2)="Yes",VLOOKUP(CALC!B58,MAIN!$H$17:$I$20,2),0),0)</f>
        <v>0</v>
      </c>
      <c r="FE58" s="1552" t="e">
        <f aca="false">$FD58*16*AT58*(1-$AY58)</f>
        <v>#VALUE!</v>
      </c>
      <c r="FF58" s="1553" t="e">
        <f aca="false">$FD58*16*AU58*(1-$AY58)</f>
        <v>#VALUE!</v>
      </c>
      <c r="FG58" s="1553" t="e">
        <f aca="false">$FD58*16*(AV58+AW58)*(1-$AY58)</f>
        <v>#VALUE!</v>
      </c>
      <c r="FH58" s="1554" t="n">
        <f aca="false">$FD58*8*AX58*(1-$AY58)</f>
        <v>0</v>
      </c>
      <c r="FI58" s="1555" t="n">
        <f aca="false">IF(AX58,VLOOKUP(CALC!B58,MAIN!$H$17:$K$20,4),0)</f>
        <v>0</v>
      </c>
      <c r="FJ58" s="1553" t="e">
        <f aca="false">SUM(FE58:FH58)</f>
        <v>#VALUE!</v>
      </c>
      <c r="FK58" s="1556" t="e">
        <f aca="false">FI58*FJ58</f>
        <v>#VALUE!</v>
      </c>
      <c r="FL58" s="1551" t="e">
        <f aca="false">IF($EI58&gt;0,MIN(FE58,AZ58*(1+VLOOKUP($C58,WeatherCapacityAdjustment,2))),0)</f>
        <v>#VALUE!</v>
      </c>
      <c r="FM58" s="1551" t="e">
        <f aca="false">IF($EI58&gt;0,MIN(FF58,BA58*(1+VLOOKUP($C58,WeatherCapacityAdjustment,2))),0)</f>
        <v>#VALUE!</v>
      </c>
      <c r="FN58" s="1551" t="e">
        <f aca="false">IF($EI58&gt;0,MIN(FG58,BB58*(1+VLOOKUP($C58,WeatherCapacityAdjustment,2))),0)</f>
        <v>#VALUE!</v>
      </c>
      <c r="FO58" s="1564" t="e">
        <f aca="false">IF($EI58&gt;0,MIN(FH58,BC58*(1+VLOOKUP($C58,WeatherCapacityAdjustment,3))),0)</f>
        <v>#VALUE!</v>
      </c>
      <c r="FP58" s="1551" t="e">
        <f aca="false">IF(ET58&gt;0,MIN(FE58-FL58,BH58*(1+VLOOKUP($C58,WeatherCapacityAdjustment,2))),0)</f>
        <v>#VALUE!</v>
      </c>
      <c r="FQ58" s="1551" t="e">
        <f aca="false">IF(EU58&gt;0,MIN(FF58-FM58,BI58*(1+VLOOKUP($C58,WeatherCapacityAdjustment,2))),0)</f>
        <v>#VALUE!</v>
      </c>
      <c r="FR58" s="1551" t="e">
        <f aca="false">IF(EV58&gt;0,MIN(FG58-FN58,BJ58*(1+VLOOKUP($C58,WeatherCapacityAdjustment,2))),0)</f>
        <v>#VALUE!</v>
      </c>
      <c r="FS58" s="1558" t="e">
        <f aca="false">IF(EW58&gt;0,MIN(FH58-FO58,BK58*(1+VLOOKUP($C58,WeatherCapacityAdjustment,3))),0)</f>
        <v>#VALUE!</v>
      </c>
      <c r="FT58" s="1566" t="e">
        <f aca="false">IF(AND(Assumptions!$H$71="Yes",A58&gt;=Assumptions!$H$72,A58&lt;=Assumptions!$H$73),0,IF(AND($A58&gt;=Assumptions!$C$17,$A58&lt;=Assumptions!$C$18),MAX(AZ58*(1+VLOOKUP($C58,WeatherCapacityAdjustment,2))-FL58,0),0))</f>
        <v>#VALUE!</v>
      </c>
      <c r="FU58" s="1551" t="e">
        <f aca="false">IF(AND(Assumptions!$H$71="Yes",A58&gt;=Assumptions!$H$72,A58&lt;=Assumptions!$H$73),0,IF(AND($A58&gt;=Assumptions!$C$17,$A58&lt;=Assumptions!$C$18),MAX(BA58*(1+VLOOKUP($C58,WeatherCapacityAdjustment,2))-FM58,0),0))</f>
        <v>#VALUE!</v>
      </c>
      <c r="FV58" s="1551" t="e">
        <f aca="false">IF(AND(Assumptions!$H$71="Yes",A58&gt;=Assumptions!$H$72,A58&lt;=Assumptions!$H$73),0,IF(AND($A58&gt;=Assumptions!$C$17,$A58&lt;=Assumptions!$C$18),MAX(BB58*(1+VLOOKUP($C58,WeatherCapacityAdjustment,2))-FN58,0),0))</f>
        <v>#VALUE!</v>
      </c>
      <c r="FW58" s="1564" t="e">
        <f aca="false">IF(AND(Assumptions!$H$71="Yes",A58&gt;=Assumptions!$H$72,A58&lt;=Assumptions!$H$73),0,IF(AND($A58&gt;=Assumptions!$C$17,$A58&lt;=Assumptions!$C$18),MAX(BC58*(1+VLOOKUP($C58,WeatherCapacityAdjustment,3))-FO58,0),0))</f>
        <v>#VALUE!</v>
      </c>
      <c r="FX58" s="1569" t="e">
        <f aca="false">IF(AND(Assumptions!$H$71="Yes",A58&gt;=Assumptions!$H$72,A58&lt;=Assumptions!$H$73),0,IF(ET58&gt;0,MAX(BH58*(1+VLOOKUP($C58,WeatherCapacityAdjustment,2))-FP58,0),0))</f>
        <v>#VALUE!</v>
      </c>
      <c r="FY58" s="1551" t="e">
        <f aca="false">IF(AND(Assumptions!$H$71="Yes",A58&gt;=Assumptions!$H$72,A58&lt;=Assumptions!$H$73),0,IF(EU58&gt;0,MAX(BI58*(1+VLOOKUP($C58,WeatherCapacityAdjustment,3))-FQ58,0),0))</f>
        <v>#VALUE!</v>
      </c>
      <c r="FZ58" s="1551" t="e">
        <f aca="false">IF(AND(Assumptions!$H$71="Yes",A58&gt;=Assumptions!$H$72,A58&lt;=Assumptions!$H$73),0,IF(EV58&gt;0,MAX(BJ58*(1+VLOOKUP($C58,WeatherCapacityAdjustment,2))-FR58,0),0))</f>
        <v>#VALUE!</v>
      </c>
      <c r="GA58" s="1564" t="e">
        <f aca="false">IF(AND(Assumptions!$H$71="Yes",A58&gt;=Assumptions!$H$72,A58&lt;=Assumptions!$H$73),0,IF(EW58&gt;0,MAX(BK58*(1+VLOOKUP($C58,WeatherCapacityAdjustment,2))-FS58,0),0))</f>
        <v>#VALUE!</v>
      </c>
      <c r="GB58" s="1551" t="e">
        <f aca="false">SUM(FT58:GA58)</f>
        <v>#VALUE!</v>
      </c>
      <c r="GC58" s="1563" t="e">
        <f aca="false">+IF(SUM(FT58:GA58)=0,0,(SUMPRODUCT(BU58:BX58,FT58:FW58)+SUMPRODUCT(CA58:CD58,FX58:GA58))/SUM(FT58:GA58))</f>
        <v>#VALUE!</v>
      </c>
      <c r="GD58" s="1551" t="e">
        <f aca="false">(FT58*BU58+FX58*CA58+FU58*BV58+FY58*CB58+FV58*BW58+FZ58*CC58+FW58*BX58+GA58*CD58)</f>
        <v>#VALUE!</v>
      </c>
      <c r="GE58" s="1561" t="e">
        <f aca="false">+IF(BQ58,((FL58+FM58+FT58+FU58)*HeatRatePeak/1000*(1+VLOOKUP($C58,WeatherHeatRateAdjustment,2))+(FN58+FV58)*IF(EV58&gt;0,HeatRatePeak,HeatRateOffPeak)/1000*(1+VLOOKUP($C58,WeatherHeatRateAdjustment,2))+(FO58+FW58)*IF(EW58&gt;0,HeatRatePeak,HeatRateOffPeak)/1000*(1+VLOOKUP($C58,WeatherHeatRateAdjustment,3)))*(1+VLOOKUP($B58,HeatRateDegradation,$C58+1)),0)</f>
        <v>#VALUE!</v>
      </c>
      <c r="GF58" s="1562" t="e">
        <f aca="false">IF(BQ58,((FP58+FQ58+FR58+FX58+FY58+FZ58)*HeatRatePeak/1000*(1+VLOOKUP($C58,WeatherHeatRateAdjustment,2))+(FS58+GA58)*HeatRatePeak/1000*(1+VLOOKUP($C58,WeatherHeatRateAdjustment,3)))*(1+VLOOKUP($B58,HeatRateDegradation,$C58+1)),0)</f>
        <v>#VALUE!</v>
      </c>
      <c r="GG58" s="1563" t="e">
        <f aca="false">IF(BQ58,VLOOKUP(A58,GasTable,13),0)</f>
        <v>#VALUE!</v>
      </c>
      <c r="GH58" s="1564" t="e">
        <f aca="false">(GE58+GF58)*GG58</f>
        <v>#VALUE!</v>
      </c>
      <c r="GI58" s="1569" t="e">
        <f aca="false">GB58</f>
        <v>#VALUE!</v>
      </c>
      <c r="GJ58" s="1598" t="e">
        <f aca="false">+DA58</f>
        <v>#VALUE!</v>
      </c>
      <c r="GK58" s="1558" t="e">
        <f aca="false">+GI58*GJ58</f>
        <v>#VALUE!</v>
      </c>
      <c r="GL58" s="1566" t="e">
        <f aca="false">MAX(FE58-FL58-FP58,0)</f>
        <v>#VALUE!</v>
      </c>
      <c r="GM58" s="1551" t="e">
        <f aca="false">MAX(FF58-FM58-FQ58,0)</f>
        <v>#VALUE!</v>
      </c>
      <c r="GN58" s="1551" t="e">
        <f aca="false">MAX(FG58-FN58-FR58,0)</f>
        <v>#VALUE!</v>
      </c>
      <c r="GO58" s="1564" t="e">
        <f aca="false">MAX(FH58-FO58-FS58,0)</f>
        <v>#VALUE!</v>
      </c>
      <c r="GP58" s="1551" t="e">
        <f aca="false">SUM(GL58:GO58)</f>
        <v>#VALUE!</v>
      </c>
      <c r="GQ58" s="1563" t="e">
        <f aca="false">IF(SUM(GL58:GO58)=0,0,((GL58*BU58+GM58*BV58+GN58*BW58+GO58*BX58)/SUM(GL58:GO58)))</f>
        <v>#VALUE!</v>
      </c>
      <c r="GR58" s="1558" t="e">
        <f aca="false">(GL58*BU58+GM58*BV58+GN58*BW58+GO58*BX58)</f>
        <v>#VALUE!</v>
      </c>
      <c r="GS58" s="1566" t="n">
        <f aca="false">IF($A58&gt;=BegDate,Assumptions!$C$56*24*($A59-$A58)*(1-VLOOKUP($B58,MAIN!$AA$7:$AM$28,$C58+1))*(1-VLOOKUP($B58,MAIN!$AA$33:$AM$54,$C58+1)),0)*80/168</f>
        <v>257742.857142857</v>
      </c>
      <c r="GT58" s="286" t="n">
        <f aca="false">J58</f>
        <v>37.662802524</v>
      </c>
      <c r="GU58" s="286" t="n">
        <f aca="false">IF($A58&gt;=BegDate,VLOOKUP($A58,GasTable,13)+Assumptions!$C$58,0)</f>
        <v>2.60788113009256</v>
      </c>
      <c r="GV58" s="286" t="n">
        <f aca="false">GU58*Assumptions!$C$57/1000</f>
        <v>18.9071381931711</v>
      </c>
      <c r="GW58" s="1558" t="n">
        <f aca="false">IF(Assumptions!$C$60="Hourly",MAX(0,GS58*(GT58-GV58)),GS58*(GT58-GV58))</f>
        <v>4834138.51224022</v>
      </c>
      <c r="GX58" s="1566" t="n">
        <f aca="false">IF($A58&gt;=BegDate,Assumptions!$C$56*24*($A59-$A58)*(1-VLOOKUP($B58,MAIN!$AA$7:$AM$28,$C58+1))*(1-VLOOKUP($B58,MAIN!$AA$33:$AM$54,$C58+1)),0)*16/168</f>
        <v>51548.5714285714</v>
      </c>
      <c r="GY58" s="286" t="n">
        <f aca="false">M58</f>
        <v>37.662802524</v>
      </c>
      <c r="GZ58" s="286" t="n">
        <f aca="false">IF($A58&gt;=BegDate,VLOOKUP($A58,GasTable,13)+Assumptions!$C$58,0)</f>
        <v>2.60788113009256</v>
      </c>
      <c r="HA58" s="286" t="n">
        <f aca="false">GZ58*Assumptions!$C$57/1000</f>
        <v>18.9071381931711</v>
      </c>
      <c r="HB58" s="1558" t="n">
        <f aca="false">IF(Assumptions!$C$60="Hourly",MAX(0,GX58*(GY58-HA58)),GX58*(GY58-HA58))</f>
        <v>966827.702448045</v>
      </c>
      <c r="HC58" s="1566" t="n">
        <f aca="false">IF($A58&gt;=BegDate,Assumptions!$C$56*24*($A59-$A58)*(1-VLOOKUP($B58,MAIN!$AA$7:$AM$28,$C58+1))*(1-VLOOKUP($B58,MAIN!$AA$33:$AM$54,$C58+1)),0)*16/168</f>
        <v>51548.5714285714</v>
      </c>
      <c r="HD58" s="286" t="n">
        <f aca="false">P58</f>
        <v>24.1272006048</v>
      </c>
      <c r="HE58" s="286" t="n">
        <f aca="false">IF($A58&gt;=BegDate,VLOOKUP($A58,GasTable,13)+Assumptions!$C$58,0)</f>
        <v>2.60788113009256</v>
      </c>
      <c r="HF58" s="286" t="n">
        <f aca="false">HE58*Assumptions!$C$57/1000</f>
        <v>18.9071381931711</v>
      </c>
      <c r="HG58" s="1558" t="n">
        <f aca="false">IF(Assumptions!$C$60="Hourly",MAX(0,HC58*(HD58-HF58)),HC58*(HD58-HF58))</f>
        <v>269086.760087455</v>
      </c>
      <c r="HH58" s="1566" t="n">
        <f aca="false">IF($A58&gt;=BegDate,Assumptions!$C$56*24*($A59-$A58)*(1-VLOOKUP($B58,MAIN!$AA$7:$AM$28,$C58+1))*(1-VLOOKUP($B58,MAIN!$AA$33:$AM$54,$C58+1)),0)*56/168</f>
        <v>180420</v>
      </c>
      <c r="HI58" s="286" t="n">
        <f aca="false">S58</f>
        <v>24.1272006048</v>
      </c>
      <c r="HJ58" s="286" t="n">
        <f aca="false">IF($A58&gt;=BegDate,VLOOKUP($A58,GasTable,13)+Assumptions!$C$58,0)</f>
        <v>2.60788113009256</v>
      </c>
      <c r="HK58" s="286" t="n">
        <f aca="false">HJ58*Assumptions!$C$57/1000</f>
        <v>18.9071381931711</v>
      </c>
      <c r="HL58" s="1558" t="n">
        <f aca="false">IF(Assumptions!$C$60="Hourly",MAX(0,HH58*(HI58-HK58)),HH58*(HI58-HK58))</f>
        <v>941803.660306094</v>
      </c>
      <c r="HM58" s="1566" t="n">
        <f aca="false">IF(AND(Assumptions!$H$71="Yes",A58&gt;=Assumptions!$H$72,A58&lt;=Assumptions!$H$73),Assumptions!$H$74*Assumptions!$C$9*1000,0)</f>
        <v>0</v>
      </c>
      <c r="HN58" s="1551"/>
      <c r="HO58" s="1563"/>
      <c r="HP58" s="1563"/>
      <c r="HQ58" s="1563"/>
      <c r="HR58" s="1563"/>
      <c r="HS58" s="1563"/>
      <c r="HT58" s="1563"/>
      <c r="HU58" s="1563"/>
      <c r="HV58" s="1563"/>
      <c r="HW58" s="1563"/>
      <c r="HX58" s="1563"/>
      <c r="HY58" s="1563"/>
      <c r="HZ58" s="1563"/>
      <c r="IA58" s="1563"/>
      <c r="IB58" s="1563"/>
      <c r="IC58" s="1563"/>
      <c r="ID58" s="1563"/>
      <c r="IE58" s="1563"/>
      <c r="IF58" s="1563"/>
      <c r="IG58" s="1563"/>
      <c r="IH58" s="1563"/>
      <c r="II58" s="1610"/>
      <c r="IJ58" s="1309"/>
      <c r="IK58" s="1309"/>
    </row>
    <row r="59" customFormat="false" ht="12.75" hidden="false" customHeight="false" outlineLevel="0" collapsed="false">
      <c r="A59" s="1571" t="n">
        <f aca="false">EOMONTH(A58,0)+1</f>
        <v>37926</v>
      </c>
      <c r="B59" s="594" t="n">
        <f aca="false">+YEAR(A59)</f>
        <v>2003</v>
      </c>
      <c r="C59" s="238" t="n">
        <f aca="false">MONTH(A59)</f>
        <v>11</v>
      </c>
      <c r="D59" s="1572" t="e">
        <f aca="false">IF(E59="","",Holiday(B59,C59))</f>
        <v>#VALUE!</v>
      </c>
      <c r="E59" s="1573" t="n">
        <f aca="false">IF(OR(BegDate&gt;=A60,EndDate&lt;A59,AND(VolumeMonthlyOverFlag,INDEX(VolumeMonthlyOver,C59)=0),NOT(INDEX(MonthKnockOutTable,C59))),"",MAX(A59,BegDate))</f>
        <v>37926</v>
      </c>
      <c r="F59" s="1574" t="n">
        <f aca="false">IF(E59="","",MIN(A60-1,EndDate))</f>
        <v>37955</v>
      </c>
      <c r="G59" s="1575" t="n">
        <v>0</v>
      </c>
      <c r="H59" s="1576" t="n">
        <f aca="false">(1+G59/2)^(-2*(DATE(B60,C60,20)-DateToday)/365.25)</f>
        <v>1</v>
      </c>
      <c r="I59" s="1568" t="n">
        <f aca="false">IF(Assumptions!$L$25=4,VLOOKUP($A59,'Henwood Reference'!$E$9:$R$320,10),(VLOOKUP($A59,PriceTable,2,0)+IF(BasisNumber&lt;&gt;1,VLOOKUP($A59,BasisTable,2,0),0)+I$1)/(1-I$2))</f>
        <v>39.5330755032</v>
      </c>
      <c r="J59" s="1568" t="n">
        <f aca="false">IF(Assumptions!$L$25=4,VLOOKUP($A59,'Henwood Reference'!$E$9:$R$320,10),(VLOOKUP($A59,PriceTable,3,0)+IF(BasisNumber&lt;&gt;1,VLOOKUP($A59,BasisTable,2,0),0)+J$1)/(1-J$2))</f>
        <v>39.5330755032</v>
      </c>
      <c r="K59" s="1568" t="n">
        <f aca="false">IF(Assumptions!$L$25=4,VLOOKUP($A59,'Henwood Reference'!$E$9:$R$320,10),(VLOOKUP($A59,PriceTable,4,0)+IF(BasisNumber&lt;&gt;1,VLOOKUP($A59,BasisTable,2,0),0)+K$1)/(1-K$2))</f>
        <v>39.5330755032</v>
      </c>
      <c r="L59" s="1523" t="n">
        <f aca="false">IF(Assumptions!$L$25=4,VLOOKUP($A59,'Henwood Reference'!$E$9:$R$320,10),(VLOOKUP($A59,PriceTableWeekend,2,0)+IF(BasisNumber&lt;&gt;1,VLOOKUP($A59,BasisTable,2,0),0)+L$1)/(1-L$2))</f>
        <v>39.5330755032</v>
      </c>
      <c r="M59" s="1568" t="n">
        <f aca="false">IF(Assumptions!$L$25=4,VLOOKUP($A59,'Henwood Reference'!$E$9:$R$320,10),(VLOOKUP($A59,PriceTableWeekend,3,0)+IF(BasisNumber&lt;&gt;1,VLOOKUP($A59,BasisTable,2,0),0)+M$1)/(1-M$2))</f>
        <v>39.5330755032</v>
      </c>
      <c r="N59" s="1599" t="n">
        <f aca="false">IF(Assumptions!$L$25=4,VLOOKUP($A59,'Henwood Reference'!$E$9:$R$320,10),(VLOOKUP($A59,PriceTableWeekend,4,0)+IF(BasisNumber&lt;&gt;1,VLOOKUP($A59,BasisTable,2,0),0)+N$1)/(1-N$2))</f>
        <v>39.5330755032</v>
      </c>
      <c r="O59" s="1568" t="n">
        <f aca="false">IF(Assumptions!$L$25=4,VLOOKUP($A59,'Henwood Reference'!$E$9:$R$320,11),(VLOOKUP($A59,PriceTableWeekend,6,0)+IF(BasisNumber&lt;&gt;1,VLOOKUP($A59,BasisTable,3,0),0)+O$1)/(1-O$2))</f>
        <v>26.1235450944</v>
      </c>
      <c r="P59" s="1568" t="n">
        <f aca="false">IF(Assumptions!$L$25=4,VLOOKUP($A59,'Henwood Reference'!$E$9:$R$320,11),(VLOOKUP($A59,PriceTableWeekend,7,0)+IF(BasisNumber&lt;&gt;1,VLOOKUP($A59,BasisTable,3,0),0)+P$1)/(1-P$2))</f>
        <v>26.1235450944</v>
      </c>
      <c r="Q59" s="1599" t="n">
        <f aca="false">IF(Assumptions!$L$25=4,VLOOKUP($A59,'Henwood Reference'!$E$9:$R$320,11),(VLOOKUP($A59,PriceTableWeekend,8,0)+IF(BasisNumber&lt;&gt;1,VLOOKUP($A59,BasisTable,3,0),0)+Q$1)/(1-Q$2))</f>
        <v>26.1235450944</v>
      </c>
      <c r="R59" s="1568" t="n">
        <f aca="false">IF(Assumptions!$L$25=4,VLOOKUP($A59,'Henwood Reference'!$E$9:$R$320,11),(VLOOKUP($A59,PriceTable,6,0)+IF(BasisNumber&lt;&gt;1,VLOOKUP($A59,BasisTable,3,0),0)+R$1)/(1-R$2))</f>
        <v>26.1235450944</v>
      </c>
      <c r="S59" s="1568" t="n">
        <f aca="false">IF(Assumptions!$L$25=4,VLOOKUP($A59,'Henwood Reference'!$E$9:$R$320,11),(VLOOKUP($A59,PriceTable,7,0)+IF(BasisNumber&lt;&gt;1,VLOOKUP($A59,BasisTable,3,0),0)+S$1)/(1-S$2))</f>
        <v>26.1235450944</v>
      </c>
      <c r="T59" s="1600" t="n">
        <f aca="false">IF(Assumptions!$L$25=4,VLOOKUP($A59,'Henwood Reference'!$E$9:$R$320,11),(VLOOKUP($A59,PriceTable,8,0)+IF(BasisNumber&lt;&gt;1,VLOOKUP($A59,BasisTable,3,0),0)+T$1)/(1-T$2))</f>
        <v>26.1235450944</v>
      </c>
      <c r="U59" s="1513" t="n">
        <f aca="false">VLOOKUP($A59,VolatilityTable,14)</f>
        <v>0.155</v>
      </c>
      <c r="V59" s="1513" t="n">
        <f aca="false">VLOOKUP($A59,VolatilityTable,15)</f>
        <v>0.165</v>
      </c>
      <c r="W59" s="1514" t="n">
        <f aca="false">VLOOKUP($A59,VolatilityTable,16)</f>
        <v>0.175</v>
      </c>
      <c r="X59" s="1513" t="n">
        <f aca="false">VLOOKUP($A59,VolatilityTable,14)</f>
        <v>0.155</v>
      </c>
      <c r="Y59" s="1513" t="n">
        <f aca="false">VLOOKUP($A59,VolatilityTable,15)</f>
        <v>0.165</v>
      </c>
      <c r="Z59" s="1514" t="n">
        <f aca="false">VLOOKUP($A59,VolatilityTable,16)</f>
        <v>0.175</v>
      </c>
      <c r="AA59" s="1513" t="n">
        <f aca="false">VLOOKUP($A59,VolatilityTable,18)</f>
        <v>0.09</v>
      </c>
      <c r="AB59" s="1513" t="n">
        <f aca="false">VLOOKUP($A59,VolatilityTable,19)</f>
        <v>0.11</v>
      </c>
      <c r="AC59" s="1514" t="n">
        <f aca="false">VLOOKUP($A59,VolatilityTable,20)</f>
        <v>0.13</v>
      </c>
      <c r="AD59" s="1513" t="n">
        <f aca="false">VLOOKUP($A59,VolatilityTable,18)</f>
        <v>0.09</v>
      </c>
      <c r="AE59" s="1513" t="n">
        <f aca="false">VLOOKUP($A59,VolatilityTable,19)</f>
        <v>0.11</v>
      </c>
      <c r="AF59" s="1514" t="n">
        <f aca="false">VLOOKUP($A59,VolatilityTable,20)</f>
        <v>0.13</v>
      </c>
      <c r="AG59" s="1513" t="n">
        <f aca="false">VLOOKUP($A59,VolatilityTable,22)</f>
        <v>-0.1</v>
      </c>
      <c r="AH59" s="1513" t="n">
        <f aca="false">VLOOKUP($A59,VolatilityTable,23)</f>
        <v>0.6</v>
      </c>
      <c r="AI59" s="1514" t="n">
        <f aca="false">VLOOKUP($A59,VolatilityTable,24)</f>
        <v>0.1</v>
      </c>
      <c r="AJ59" s="1513" t="n">
        <f aca="false">VLOOKUP($A59,VolatilityTable,22)</f>
        <v>-0.1</v>
      </c>
      <c r="AK59" s="1513" t="n">
        <f aca="false">VLOOKUP($A59,VolatilityTable,23)</f>
        <v>0.6</v>
      </c>
      <c r="AL59" s="1514" t="n">
        <f aca="false">VLOOKUP($A59,VolatilityTable,24)</f>
        <v>0.1</v>
      </c>
      <c r="AM59" s="1513" t="n">
        <f aca="false">VLOOKUP($A59,VolatilityTable,26)</f>
        <v>-0.01</v>
      </c>
      <c r="AN59" s="1513" t="n">
        <f aca="false">VLOOKUP($A59,VolatilityTable,27)</f>
        <v>0.16</v>
      </c>
      <c r="AO59" s="1514" t="n">
        <f aca="false">VLOOKUP($A59,VolatilityTable,28)</f>
        <v>0.01</v>
      </c>
      <c r="AP59" s="1513" t="n">
        <f aca="false">VLOOKUP($A59,VolatilityTable,26)</f>
        <v>-0.01</v>
      </c>
      <c r="AQ59" s="1513" t="n">
        <f aca="false">VLOOKUP($A59,VolatilityTable,27)</f>
        <v>0.16</v>
      </c>
      <c r="AR59" s="1515" t="n">
        <f aca="false">VLOOKUP($A59,VolatilityTable,28)</f>
        <v>0.01</v>
      </c>
      <c r="AS59" s="1581" t="n">
        <f aca="false">IF(CorrPeakOffPeakOverFlag,INDEX(CorrPeakOffPeakOver,C59),CorrPeakOffPeak)</f>
        <v>0.5</v>
      </c>
      <c r="AT59" s="594" t="e">
        <f aca="false">AX59-SUM(AU59:AW59)</f>
        <v>#VALUE!</v>
      </c>
      <c r="AU59" s="238" t="e">
        <f aca="false">IF(E59="",0,INT((F59-MOD(F59,7)-E59)/7)+1-IF(AW59,IF(WEEKDAY(D59)=7,1,0),0))</f>
        <v>#VALUE!</v>
      </c>
      <c r="AV59" s="238" t="e">
        <f aca="false">IF(E59="",0,INT((F59-MOD(F59-1,7)-E59)/7)+1-IF(AW59,IF(WEEKDAY(D59)=1,1,0),0))</f>
        <v>#VALUE!</v>
      </c>
      <c r="AW59" s="238" t="e">
        <f aca="false">IF(OR(E59="",D59="",D59&lt;BegDate,D59&gt;EndDate),0,1)</f>
        <v>#VALUE!</v>
      </c>
      <c r="AX59" s="238" t="n">
        <f aca="false">IF(E59="",0,F59-E59+1)</f>
        <v>30</v>
      </c>
      <c r="AY59" s="1582" t="n">
        <f aca="false">IF(E59="",0,MIN((1-(1-VLOOKUP(B59,MAIN!$AA$7:$AM$28,C59+1))*(1-VLOOKUP(B59,MAIN!$AA$33:$AM$54,C59+1))),1))</f>
        <v>0.03</v>
      </c>
      <c r="AZ59" s="1519" t="e">
        <v>#VALUE!</v>
      </c>
      <c r="BA59" s="1520" t="e">
        <v>#VALUE!</v>
      </c>
      <c r="BB59" s="1520" t="e">
        <v>#VALUE!</v>
      </c>
      <c r="BC59" s="1583" t="e">
        <v>#VALUE!</v>
      </c>
      <c r="BD59" s="1522" t="e">
        <v>#VALUE!</v>
      </c>
      <c r="BE59" s="1523" t="e">
        <v>#VALUE!</v>
      </c>
      <c r="BF59" s="1523" t="e">
        <v>#VALUE!</v>
      </c>
      <c r="BG59" s="1584" t="e">
        <v>#VALUE!</v>
      </c>
      <c r="BH59" s="1525" t="e">
        <v>#VALUE!</v>
      </c>
      <c r="BI59" s="1520" t="e">
        <v>#VALUE!</v>
      </c>
      <c r="BJ59" s="1520" t="e">
        <v>#VALUE!</v>
      </c>
      <c r="BK59" s="1583" t="e">
        <v>#VALUE!</v>
      </c>
      <c r="BL59" s="1522" t="e">
        <v>#VALUE!</v>
      </c>
      <c r="BM59" s="1523" t="e">
        <v>#VALUE!</v>
      </c>
      <c r="BN59" s="1523" t="e">
        <v>#VALUE!</v>
      </c>
      <c r="BO59" s="1523" t="e">
        <v>#VALUE!</v>
      </c>
      <c r="BP59" s="1525" t="e">
        <f aca="false">SUM(AZ59:BB59)</f>
        <v>#VALUE!</v>
      </c>
      <c r="BQ59" s="1529" t="e">
        <f aca="false">SUM(AZ59:BC59)</f>
        <v>#VALUE!</v>
      </c>
      <c r="BR59" s="1519" t="e">
        <f aca="false">SUM(BH59:BJ59)</f>
        <v>#VALUE!</v>
      </c>
      <c r="BS59" s="1529" t="e">
        <f aca="false">SUM(BH59:BK59)</f>
        <v>#VALUE!</v>
      </c>
      <c r="BT59" s="1316" t="n">
        <f aca="false">(IF(OVolType&lt;&gt;2,A59+14,IF(OptExpDateShift,ShiftBack(A59,OptExpDateShift,D58),A59))-DateToday)/365.25</f>
        <v>3.5482546201232</v>
      </c>
      <c r="BU59" s="1585" t="e">
        <f aca="false">IF(BQ59,IF(OPriceCurve,IF(OBuySell=OCallPut,I59/(1-AY59),K59/(1-AY59)),J59/(1-AY59))*BD59,0)</f>
        <v>#VALUE!</v>
      </c>
      <c r="BV59" s="1316" t="e">
        <f aca="false">IF(BQ59,IF(OPriceCurve,IF(OBuySell=OCallPut,L59/(1-AY59),N59/(1-AY59)),M59/(1-AY59))*BE59,0)</f>
        <v>#VALUE!</v>
      </c>
      <c r="BW59" s="1316" t="e">
        <f aca="false">IF(BQ59,IF(OPriceCurve,IF(OBuySell=OCallPut,O59/(1-AY59),Q59/(1-AY59)),P59/(1-AY59))*BF59,0)</f>
        <v>#VALUE!</v>
      </c>
      <c r="BX59" s="1316" t="e">
        <f aca="false">IF(BQ59,IF(OPriceCurve,IF(OBuySell=OCallPut,R59/(1-AY59),T59/(1-AY59)),S59/(1-AY59))*BG59,0)</f>
        <v>#VALUE!</v>
      </c>
      <c r="BY59" s="1316" t="e">
        <f aca="false">IF(BP59,(BU59*AZ59+BV59*BA59+BW59*BB59)/BP59,0)</f>
        <v>#VALUE!</v>
      </c>
      <c r="BZ59" s="1316" t="e">
        <f aca="false">IF(BQ59,(BY59*BP59+BX59*BC59)/BQ59,0)</f>
        <v>#VALUE!</v>
      </c>
      <c r="CA59" s="1531" t="e">
        <f aca="false">IF(BS59,IF(OPriceCurve,IF(OBuySell=OCallPut,I59/(1-AY59),K59/(1-AY59)),J59/(1-AY59))*BL59,0)</f>
        <v>#VALUE!</v>
      </c>
      <c r="CB59" s="1316" t="e">
        <f aca="false">IF(BS59,IF(OPriceCurve,IF(OBuySell=OCallPut,L59/(1-AY59),N59/(1-AY59)),M59/(1-AY59))*BM59,0)</f>
        <v>#VALUE!</v>
      </c>
      <c r="CC59" s="1316" t="e">
        <f aca="false">IF(BS59,IF(OPriceCurve,IF(OBuySell=OCallPut,O59/(1-AY59),Q59/(1-AY59)),P59/(1-AY59))*BN59,0)</f>
        <v>#VALUE!</v>
      </c>
      <c r="CD59" s="1316" t="e">
        <f aca="false">IF(BS59,IF(OPriceCurve,IF(OBuySell=OCallPut,R59/(1-AY59),T59/(1-AY59)),S59/(1-AY59))*BO59,0)</f>
        <v>#VALUE!</v>
      </c>
      <c r="CE59" s="1316" t="e">
        <f aca="false">IF(BR59,(BU59*BH59+BV59*BI59+BW59*BJ59)/BR59,0)</f>
        <v>#VALUE!</v>
      </c>
      <c r="CF59" s="1532" t="e">
        <f aca="false">IF(BS59,(CE59*BR59+CD59*BK59)/BS59,0)</f>
        <v>#VALUE!</v>
      </c>
      <c r="CG59" s="1586" t="e">
        <f aca="false">IF(OR(BQ59,BS59),IF(OVolType&lt;&gt;2,SQRT(IF(OVolOverMonthlyPeak,OVolOverMonthlyPeak,IF(OVolCurve,IF(OBuySell,U59,W59),V59))^2*(1-15/365.25/BT59)+IF(OVolOverDailyPeak,OVolOverDailyPeak,IF(OVolCurve,IF(OBuySell,AG59,AI59),AH59))^2*15/365.25/BT59),IF(OVolOverMonthlyPeak,OVolOverMonthlyPeak,IF(OVolCurve,IF(OBuySell,U59,W59),V59))),"")</f>
        <v>#VALUE!</v>
      </c>
      <c r="CH59" s="1587" t="e">
        <f aca="false">IF(OR(BQ59,BS59),IF(OVolType&lt;&gt;2,SQRT(IF(OVolOverMonthlyPeak,OVolOverMonthlyPeak,IF(OVolCurve,IF(OBuySell,X59,Z59),Y59))^2*(1-15/365.25/BT59)+IF(OVolOverDailyPeak,OVolOverDailyPeak,IF(OVolCurve,IF(OBuySell,AJ59,AL59),AK59))^2*15/365.25/BT59),IF(OVolOverMonthlyPeak,OVolOverMonthlyPeak,IF(OVolCurve,IF(OBuySell,X59,Z59),Y59))),"")</f>
        <v>#VALUE!</v>
      </c>
      <c r="CI59" s="1587" t="e">
        <f aca="false">IF(OR(BQ59,BS59),IF(OVolType&lt;&gt;2,SQRT(IF(OVolOverMonthlyPeak,OVolOverMonthlyPeak,IF(OVolCurve,IF(OBuySell,AA59,AC59),AB59))^2*(1-15/365.25/BT59)+IF(OVolOverDailyPeak,OVolOverDailyPeak,IF(OVolCurve,IF(OBuySell,AM59,AO59),AN59))^2*15/365.25/BT59),IF(OVolOverMonthlyPeak,OVolOverMonthlyPeak,IF(OVolCurve,IF(OBuySell,AA59,AC59),AB59))),"")</f>
        <v>#VALUE!</v>
      </c>
      <c r="CJ59" s="1587" t="e">
        <f aca="false">IF(BQ59,IF(BP59,SQRT(LN(1+((BU59*AZ59)^2*(EXP(CG59^2*BT59)-1)+(BV59*BA59)^2*(EXP(CH59^2*BT59)-1)+(BW59*BB59)^2*(EXP(CI59^2*BT59)-1)+2*BU59*AZ59*BV59*BA59*(EXP(CG59*CH59*BT59)-1)+2*BV59*BA59*BW59*BB59*(EXP(CH59*CI59*BT59)-1)+2*BW59*BB59*BU59*AZ59*(EXP(CI59*CG59*BT59)-1))/(BY59*BP59)^2)/BT59),0),"")</f>
        <v>#VALUE!</v>
      </c>
      <c r="CK59" s="1587" t="e">
        <f aca="false">IF(BS59,IF(BR59,SQRT(LN(1+((CA59*BH59)^2*(EXP(CG59^2*BT59)-1)+(CB59*BI59)^2*(EXP(CH59^2*BT59)-1)+(CC59*BJ59)^2*(EXP(CI59^2*BT59)-1)+2*CA59*BH59*CB59*BI59*(EXP(CG59*CH59*BT59)-1)+2*CB59*BI59*CC59*BJ59*(EXP(CH59*CI59*BT59)-1)+2*CC59*BJ59*CA59*BH59*(EXP(CI59*CG59*BT59)-1))/(CE59*BR59)^2)/BT59),0),"")</f>
        <v>#VALUE!</v>
      </c>
      <c r="CL59" s="1587" t="e">
        <f aca="false">IF(OR(BQ59,BS59),IF(OVolType&lt;&gt;2,SQRT(IF(OVolOverMonthlyOffPeak,OVolOverMonthlyOffPeak,IF(OVolCurve,IF(OBuySell,AD59,AF59),AE59))^2*(1-15/365.25/BT59)+IF(OVolOverDailyOffPeak,OVolOverDailyOffPeak,IF(OVolCurve,IF(OBuySell,AP59,AR59),AQ59))^2*15/365.25/BT59),IF(OVolOverMonthlyOffPeak,OVolOverMonthlyOffPeak,IF(OVolCurve,IF(OBuySell,AD59,AF59),AE59))),"")</f>
        <v>#VALUE!</v>
      </c>
      <c r="CM59" s="1587" t="e">
        <f aca="false">IF(BQ59,SQRT(LN(1+((BY59*BP59)^2*(EXP(CJ59^2*BT59)-1)+(BX59*BC59)^2*(EXP(CL59^2*BT59)-1)+2*BY59*BP59*BX59*BC59*(EXP(AS59*CJ59*CL59*BT59)-1))/(BY59*BP59+BX59*BC59)^2)/BT59),"")</f>
        <v>#VALUE!</v>
      </c>
      <c r="CN59" s="1588" t="e">
        <f aca="false">IF(BS59,SQRT(LN(1+((CE59*BR59)^2*(EXP(CK59^2*BT59)-1)+(CD59*BK59)^2*(EXP(CL59^2*BT59)-1)+2*CE59*BR59*CD59*BK59*(EXP(AS59*CK59*CL59*BT59)-1))/(CE59*BR59+CD59*BK59)^2)/BT59),"")</f>
        <v>#VALUE!</v>
      </c>
      <c r="CO59" s="1531" t="e">
        <f aca="false">IF(OR(BQ59,BS59),VLOOKUP(A59,GasTable,13)*HeatRatePeak*(1+VLOOKUP($B59,HeatRateDegradation,$C59+1))/1000,0)</f>
        <v>#VALUE!</v>
      </c>
      <c r="CP59" s="1316" t="e">
        <f aca="false">IF(OR(BQ59,BS59),VLOOKUP(A59,GasTable,13)*HeatRatePeak*(1+VLOOKUP($B59,HeatRateDegradation,$C59+1))/1000,0)</f>
        <v>#VALUE!</v>
      </c>
      <c r="CQ59" s="1316" t="e">
        <f aca="false">IF(OR(BQ59,BS59),VLOOKUP(A59,GasTable,13)*IF(EV59,HeatRatePeak,HeatRateOffPeak)*(1+VLOOKUP($B59,HeatRateDegradation,$C59+1))/1000,0)</f>
        <v>#VALUE!</v>
      </c>
      <c r="CR59" s="1316" t="e">
        <f aca="false">IF(OR(BQ59,BS59),VLOOKUP(A59,GasTable,13)*IF(EW59,HeatRatePeak,HeatRateOffPeak)*(1+VLOOKUP($B59,HeatRateDegradation,$C59+1))/1000,0)</f>
        <v>#VALUE!</v>
      </c>
      <c r="CS59" s="1589" t="e">
        <f aca="false">IF(BQ59,(CO59*AZ59+CP59*BA59+CQ59*BB59+CR59*BC59)/BQ59,0)</f>
        <v>#VALUE!</v>
      </c>
      <c r="CT59" s="1316" t="e">
        <f aca="false">IF(BS59,CO59,0)</f>
        <v>#VALUE!</v>
      </c>
      <c r="CU59" s="1590" t="e">
        <f aca="false">IF(OR(BQ59,BS59),VLOOKUP(A59,GasTable,14),"")</f>
        <v>#VALUE!</v>
      </c>
      <c r="CV59" s="1568" t="e">
        <f aca="false">IF(OR(BQ59,BS59),IF(CorrPowerGasOverFlag,INDEX(CorrPowerGasOver,C59),CorrPowerGas),"")</f>
        <v>#VALUE!</v>
      </c>
      <c r="CW59" s="1316" t="e">
        <f aca="false">IF(OR($BQ59,$BS59),SpreadOptPowerMargin,0)*((1+Assumptions!$C$26)^($B59-YEAR(Assumptions!$C$17)))</f>
        <v>#VALUE!</v>
      </c>
      <c r="CX59" s="1316" t="e">
        <f aca="false">IF(OR($BQ59,$BS59),SpreadOptPowerMargin,0)*((1+Assumptions!$C$26)^($B59-YEAR(Assumptions!$C$17)))</f>
        <v>#VALUE!</v>
      </c>
      <c r="CY59" s="1316" t="e">
        <f aca="false">IF(OR($BQ59,$BS59),SpreadOptPowerMargin,0)*((1+Assumptions!$C$26)^($B59-YEAR(Assumptions!$C$17)))</f>
        <v>#VALUE!</v>
      </c>
      <c r="CZ59" s="1316" t="e">
        <f aca="false">IF(OR($BQ59,$BS59),SpreadOptPowerMargin,0)*((1+Assumptions!$C$26)^($B59-YEAR(Assumptions!$C$17)))</f>
        <v>#VALUE!</v>
      </c>
      <c r="DA59" s="1591" t="e">
        <f aca="false">IF(OR(BQ59,BS59),(CW59*(AZ59+BH59)+CX59*(BA59+BI59)+CY59*(BB59+BJ59)+CZ59*(BC59+BK59))/(BQ59+BS59),0)</f>
        <v>#VALUE!</v>
      </c>
      <c r="DB59" s="1592" t="e">
        <f aca="false">IF(OR(BQ59,BS59),CG59+IF(OVolSmile,VLOOKUP(MAX(-5,CO59+CW59-BU59),IF(OVolSmile=1,VolSmileBook,VolSmileModel),2),0),"")</f>
        <v>#VALUE!</v>
      </c>
      <c r="DC59" s="1592" t="e">
        <f aca="false">IF(OR(BQ59,BS59),CH59+IF(OVolSmile,VLOOKUP(MAX(-5,CP59+CW59-BV59),IF(OVolSmile=1,VolSmileBook,VolSmileModel),2),0),"")</f>
        <v>#VALUE!</v>
      </c>
      <c r="DD59" s="1592" t="e">
        <f aca="false">IF(OR(BQ59,BS59),CI59+IF(OVolSmile,VLOOKUP(MAX(-5,CQ59+CW59-BW59),IF(OVolSmile=1,VolSmileBook,VolSmileModel),2),0),"")</f>
        <v>#VALUE!</v>
      </c>
      <c r="DE59" s="1592" t="e">
        <f aca="false">IF(OR(BQ59,BS59),CL59+IF(OVolSmile,VLOOKUP(MAX(-5,CR59+CZ59-BX59),IF(OVolSmile=1,VolSmileBook,VolSmileModel),2),0),"")</f>
        <v>#VALUE!</v>
      </c>
      <c r="DF59" s="1592" t="e">
        <f aca="false">IF(BQ59,CM59+IF(OVolSmile,VLOOKUP(MAX(-5,CS59+DA59-BZ59),IF(OVolSmile=1,VolSmileBook,VolSmileModel),2),0),"")</f>
        <v>#VALUE!</v>
      </c>
      <c r="DG59" s="1593" t="e">
        <f aca="false">IF(BS59,CN59+IF(OVolSmile,VLOOKUP(MAX(-5,CT59+DA59-CF59),IF(OVolSmile=1,VolSmileBook,VolSmileModel),2),0),"")</f>
        <v>#VALUE!</v>
      </c>
      <c r="DH59" s="1316" t="e">
        <f aca="false">IF(AND(BU59&gt;0,CO59&gt;0,DB59&gt;0,CU59&gt;0),newSPRDOPT(BU59,CO59,CW59,0,DB59,CU59,CV59,BT59*365.25,OCallPut,0),0)</f>
        <v>#VALUE!</v>
      </c>
      <c r="DI59" s="1316" t="e">
        <f aca="false">IF(AND(BV59&gt;0,CP59&gt;0,DC59&gt;0,CU59&gt;0),newSPRDOPT(BV59,CP59,CX59,0,DC59,CU59,CV59,BT59*365.25,OCallPut,0),0)</f>
        <v>#VALUE!</v>
      </c>
      <c r="DJ59" s="1316" t="e">
        <f aca="false">IF(AND(BW59&gt;0,CQ59&gt;0,DD59&gt;0,CU59&gt;0),newSPRDOPT(BW59,CQ59,CY59,0,DD59,CU59,CV59,BT59*365.25,OCallPut,0),0)</f>
        <v>#VALUE!</v>
      </c>
      <c r="DK59" s="1316" t="e">
        <f aca="false">IF(AND(BX59&gt;0,CR59&gt;0,DE59&gt;0,CU59&gt;0),newSPRDOPT(BX59,CR59,CZ59,0,DE59,CU59,CV59,BT59*365.25,OCallPut,0),0)</f>
        <v>#VALUE!</v>
      </c>
      <c r="DL59" s="1316" t="e">
        <f aca="false">IF(OVolType,IF(AND(BZ59&gt;0,CS59&gt;0,DF59&gt;0,CU59&gt;0),newSPRDOPT(BZ59,CS59,DA59,0,DF59,CU59,CV59,BT59*365.25,OCallPut,0),0),IF(BQ59,(DH59*AZ59+DI59*BA59+DJ59*BB59+DK59*BC59)/BQ59,0))</f>
        <v>#VALUE!</v>
      </c>
      <c r="DM59" s="1316"/>
      <c r="DN59" s="1316"/>
      <c r="DO59" s="1316"/>
      <c r="DP59" s="1316"/>
      <c r="DQ59" s="1316"/>
      <c r="DR59" s="1316"/>
      <c r="DS59" s="1316"/>
      <c r="DT59" s="1316"/>
      <c r="DU59" s="1316"/>
      <c r="DV59" s="1316"/>
      <c r="DW59" s="1594" t="e">
        <f aca="false">IF(AND(BW59&gt;0,CT59&gt;0,DD59&gt;0,CU59&gt;0),newSPRDOPT(BW59,CT59,CY59,0,DD59,CU59,CV59,BT59*365.25,OCallPut,0),0)</f>
        <v>#VALUE!</v>
      </c>
      <c r="DX59" s="1316" t="e">
        <f aca="false">IF(AND(BX59&gt;0,CT59&gt;0,DE59&gt;0,CU59&gt;0),newSPRDOPT(BX59,CT59,CZ59,0,DE59,CU59,CV59,BT59*365.25,OCallPut,0),0)</f>
        <v>#VALUE!</v>
      </c>
      <c r="DY59" s="1591" t="e">
        <f aca="false">IF(BS59,(DH59*BH59+DI59*BI59+DW59*BJ59+DX59*BK59)/BS59,0)</f>
        <v>#VALUE!</v>
      </c>
      <c r="DZ59" s="1551" t="e">
        <f aca="false">DH59*AZ59</f>
        <v>#VALUE!</v>
      </c>
      <c r="EA59" s="1551" t="e">
        <f aca="false">DI59*BA59</f>
        <v>#VALUE!</v>
      </c>
      <c r="EB59" s="1551" t="e">
        <f aca="false">DJ59*BB59</f>
        <v>#VALUE!</v>
      </c>
      <c r="EC59" s="1551" t="e">
        <f aca="false">DK59*BC59</f>
        <v>#VALUE!</v>
      </c>
      <c r="ED59" s="1551" t="e">
        <f aca="false">DL59*BQ59</f>
        <v>#VALUE!</v>
      </c>
      <c r="EE59" s="1595" t="e">
        <f aca="false">IF(BQ59,IF(OCallPut,IF(BU59&gt;(CO59+CW59),BU59-(CO59+CW59),0),IF((CO59+CW59)&gt;BU59,(CO59+CW59)-BU59,0))*AZ59,0)</f>
        <v>#VALUE!</v>
      </c>
      <c r="EF59" s="1596" t="e">
        <f aca="false">IF(BQ59,IF(OCallPut,IF(BV59&gt;(CP59+CX59),BV59-(CP59+CX59),0),IF((CP59+CX59)&gt;BV59,(CP59+CX59)-BV59,0))*BA59,0)</f>
        <v>#VALUE!</v>
      </c>
      <c r="EG59" s="1596" t="e">
        <f aca="false">IF(BQ59,IF(OCallPut,IF(BW59&gt;(CQ59+CY59),BW59-(CQ59+CY59),0),IF((CQ59+CY59)&gt;BW59,(CQ59+CY59)-BW59,0))*BB59,0)</f>
        <v>#VALUE!</v>
      </c>
      <c r="EH59" s="1596" t="e">
        <f aca="false">IF(BQ59,IF(OCallPut,IF(BX59&gt;(CR59+CZ59),BX59-(CR59+CZ59),0),IF((CR59+CZ59)&gt;BX59,(CR59+CZ59)-BX59,0))*BC59,0)</f>
        <v>#VALUE!</v>
      </c>
      <c r="EI59" s="1597" t="e">
        <f aca="false">IF(BQ59,IF(OVolType,IF(OCallPut,IF(BZ59&gt;(CS59+DA59),BZ59-(CS59+DA59),0),IF((CS59+DA59)&gt;BZ59,(CS59+DA59)-BZ59,0))*BQ59,SUM(EE59:EH59)),0)</f>
        <v>#VALUE!</v>
      </c>
      <c r="EJ59" s="1595" t="e">
        <f aca="false">DZ59-EE59</f>
        <v>#VALUE!</v>
      </c>
      <c r="EK59" s="1596" t="e">
        <f aca="false">EA59-EF59</f>
        <v>#VALUE!</v>
      </c>
      <c r="EL59" s="1596" t="e">
        <f aca="false">EB59-EG59</f>
        <v>#VALUE!</v>
      </c>
      <c r="EM59" s="1596" t="e">
        <f aca="false">EC59-EH59</f>
        <v>#VALUE!</v>
      </c>
      <c r="EN59" s="1597" t="e">
        <f aca="false">ED59-EI59</f>
        <v>#VALUE!</v>
      </c>
      <c r="EO59" s="1551" t="e">
        <f aca="false">DH59*BH59</f>
        <v>#VALUE!</v>
      </c>
      <c r="EP59" s="1551" t="e">
        <f aca="false">DI59*BI59</f>
        <v>#VALUE!</v>
      </c>
      <c r="EQ59" s="1551" t="e">
        <f aca="false">DW59*BJ59</f>
        <v>#VALUE!</v>
      </c>
      <c r="ER59" s="1551" t="e">
        <f aca="false">DX59*BK59</f>
        <v>#VALUE!</v>
      </c>
      <c r="ES59" s="1551" t="e">
        <f aca="false">DY59*BS59</f>
        <v>#VALUE!</v>
      </c>
      <c r="ET59" s="1566" t="e">
        <f aca="false">IF(EI59,IF(OCallPut,IF(CA59&gt;(CT59+CW59),CA59-(CT59+CW59),0),IF((CT59+CW59)&gt;CA59,(CT59+CW59)-CA59,0))*BH59,0)</f>
        <v>#VALUE!</v>
      </c>
      <c r="EU59" s="1551" t="e">
        <f aca="false">IF(EI59,IF(OCallPut,IF(CB59&gt;(CT59+CX59),CB59-(CT59+CX59),0),IF((CT59+CX59)&gt;CB59,(CT59+CX59)-CB59,0))*BI59,0)</f>
        <v>#VALUE!</v>
      </c>
      <c r="EV59" s="1551" t="e">
        <f aca="false">IF(EI59,IF(OCallPut,IF(CC59&gt;(CT59+CY59),CC59-(CT59+CY59),0),IF((CT59+CY59)&gt;CC59,(CT59+CY59)-CC59,0))*BJ59,0)</f>
        <v>#VALUE!</v>
      </c>
      <c r="EW59" s="1551" t="e">
        <f aca="false">IF(EI59,IF(OCallPut,IF(CD59&gt;(CT59+CZ59),CD59-(CT59+CZ59),0),IF((CT59+CZ59)&gt;CD59,(CT59+CZ59)-CD59,0))*BK59,0)</f>
        <v>#VALUE!</v>
      </c>
      <c r="EX59" s="1558" t="e">
        <f aca="false">IF(EI59,SUM(ET59:EW59),0)</f>
        <v>#VALUE!</v>
      </c>
      <c r="EY59" s="1551" t="e">
        <f aca="false">EO59-ET59</f>
        <v>#VALUE!</v>
      </c>
      <c r="EZ59" s="1551" t="e">
        <f aca="false">EP59-EU59</f>
        <v>#VALUE!</v>
      </c>
      <c r="FA59" s="1551" t="e">
        <f aca="false">EQ59-EV59</f>
        <v>#VALUE!</v>
      </c>
      <c r="FB59" s="1551" t="e">
        <f aca="false">ER59-EW59</f>
        <v>#VALUE!</v>
      </c>
      <c r="FC59" s="1551" t="e">
        <f aca="false">ES59-EX59</f>
        <v>#VALUE!</v>
      </c>
      <c r="FD59" s="1525" t="n">
        <f aca="false">IF(AX59,IF(VLOOKUP(C59,MAIN!$L$17:$M$28,2)="Yes",VLOOKUP(CALC!B59,MAIN!$H$17:$I$20,2),0),0)</f>
        <v>0</v>
      </c>
      <c r="FE59" s="1552" t="e">
        <f aca="false">$FD59*16*AT59*(1-$AY59)</f>
        <v>#VALUE!</v>
      </c>
      <c r="FF59" s="1553" t="e">
        <f aca="false">$FD59*16*AU59*(1-$AY59)</f>
        <v>#VALUE!</v>
      </c>
      <c r="FG59" s="1553" t="e">
        <f aca="false">$FD59*16*(AV59+AW59)*(1-$AY59)</f>
        <v>#VALUE!</v>
      </c>
      <c r="FH59" s="1554" t="n">
        <f aca="false">$FD59*8*AX59*(1-$AY59)</f>
        <v>0</v>
      </c>
      <c r="FI59" s="1555" t="n">
        <f aca="false">IF(AX59,VLOOKUP(CALC!B59,MAIN!$H$17:$K$20,4),0)</f>
        <v>0</v>
      </c>
      <c r="FJ59" s="1553" t="e">
        <f aca="false">SUM(FE59:FH59)</f>
        <v>#VALUE!</v>
      </c>
      <c r="FK59" s="1556" t="e">
        <f aca="false">FI59*FJ59</f>
        <v>#VALUE!</v>
      </c>
      <c r="FL59" s="1551" t="e">
        <f aca="false">IF($EI59&gt;0,MIN(FE59,AZ59*(1+VLOOKUP($C59,WeatherCapacityAdjustment,2))),0)</f>
        <v>#VALUE!</v>
      </c>
      <c r="FM59" s="1551" t="e">
        <f aca="false">IF($EI59&gt;0,MIN(FF59,BA59*(1+VLOOKUP($C59,WeatherCapacityAdjustment,2))),0)</f>
        <v>#VALUE!</v>
      </c>
      <c r="FN59" s="1551" t="e">
        <f aca="false">IF($EI59&gt;0,MIN(FG59,BB59*(1+VLOOKUP($C59,WeatherCapacityAdjustment,2))),0)</f>
        <v>#VALUE!</v>
      </c>
      <c r="FO59" s="1564" t="e">
        <f aca="false">IF($EI59&gt;0,MIN(FH59,BC59*(1+VLOOKUP($C59,WeatherCapacityAdjustment,3))),0)</f>
        <v>#VALUE!</v>
      </c>
      <c r="FP59" s="1551" t="e">
        <f aca="false">IF(ET59&gt;0,MIN(FE59-FL59,BH59*(1+VLOOKUP($C59,WeatherCapacityAdjustment,2))),0)</f>
        <v>#VALUE!</v>
      </c>
      <c r="FQ59" s="1551" t="e">
        <f aca="false">IF(EU59&gt;0,MIN(FF59-FM59,BI59*(1+VLOOKUP($C59,WeatherCapacityAdjustment,2))),0)</f>
        <v>#VALUE!</v>
      </c>
      <c r="FR59" s="1551" t="e">
        <f aca="false">IF(EV59&gt;0,MIN(FG59-FN59,BJ59*(1+VLOOKUP($C59,WeatherCapacityAdjustment,2))),0)</f>
        <v>#VALUE!</v>
      </c>
      <c r="FS59" s="1558" t="e">
        <f aca="false">IF(EW59&gt;0,MIN(FH59-FO59,BK59*(1+VLOOKUP($C59,WeatherCapacityAdjustment,3))),0)</f>
        <v>#VALUE!</v>
      </c>
      <c r="FT59" s="1566" t="e">
        <f aca="false">IF(AND(Assumptions!$H$71="Yes",A59&gt;=Assumptions!$H$72,A59&lt;=Assumptions!$H$73),0,IF(AND($A59&gt;=Assumptions!$C$17,$A59&lt;=Assumptions!$C$18),MAX(AZ59*(1+VLOOKUP($C59,WeatherCapacityAdjustment,2))-FL59,0),0))</f>
        <v>#VALUE!</v>
      </c>
      <c r="FU59" s="1551" t="e">
        <f aca="false">IF(AND(Assumptions!$H$71="Yes",A59&gt;=Assumptions!$H$72,A59&lt;=Assumptions!$H$73),0,IF(AND($A59&gt;=Assumptions!$C$17,$A59&lt;=Assumptions!$C$18),MAX(BA59*(1+VLOOKUP($C59,WeatherCapacityAdjustment,2))-FM59,0),0))</f>
        <v>#VALUE!</v>
      </c>
      <c r="FV59" s="1551" t="e">
        <f aca="false">IF(AND(Assumptions!$H$71="Yes",A59&gt;=Assumptions!$H$72,A59&lt;=Assumptions!$H$73),0,IF(AND($A59&gt;=Assumptions!$C$17,$A59&lt;=Assumptions!$C$18),MAX(BB59*(1+VLOOKUP($C59,WeatherCapacityAdjustment,2))-FN59,0),0))</f>
        <v>#VALUE!</v>
      </c>
      <c r="FW59" s="1564" t="e">
        <f aca="false">IF(AND(Assumptions!$H$71="Yes",A59&gt;=Assumptions!$H$72,A59&lt;=Assumptions!$H$73),0,IF(AND($A59&gt;=Assumptions!$C$17,$A59&lt;=Assumptions!$C$18),MAX(BC59*(1+VLOOKUP($C59,WeatherCapacityAdjustment,3))-FO59,0),0))</f>
        <v>#VALUE!</v>
      </c>
      <c r="FX59" s="1569" t="e">
        <f aca="false">IF(AND(Assumptions!$H$71="Yes",A59&gt;=Assumptions!$H$72,A59&lt;=Assumptions!$H$73),0,IF(ET59&gt;0,MAX(BH59*(1+VLOOKUP($C59,WeatherCapacityAdjustment,2))-FP59,0),0))</f>
        <v>#VALUE!</v>
      </c>
      <c r="FY59" s="1551" t="e">
        <f aca="false">IF(AND(Assumptions!$H$71="Yes",A59&gt;=Assumptions!$H$72,A59&lt;=Assumptions!$H$73),0,IF(EU59&gt;0,MAX(BI59*(1+VLOOKUP($C59,WeatherCapacityAdjustment,3))-FQ59,0),0))</f>
        <v>#VALUE!</v>
      </c>
      <c r="FZ59" s="1551" t="e">
        <f aca="false">IF(AND(Assumptions!$H$71="Yes",A59&gt;=Assumptions!$H$72,A59&lt;=Assumptions!$H$73),0,IF(EV59&gt;0,MAX(BJ59*(1+VLOOKUP($C59,WeatherCapacityAdjustment,2))-FR59,0),0))</f>
        <v>#VALUE!</v>
      </c>
      <c r="GA59" s="1564" t="e">
        <f aca="false">IF(AND(Assumptions!$H$71="Yes",A59&gt;=Assumptions!$H$72,A59&lt;=Assumptions!$H$73),0,IF(EW59&gt;0,MAX(BK59*(1+VLOOKUP($C59,WeatherCapacityAdjustment,2))-FS59,0),0))</f>
        <v>#VALUE!</v>
      </c>
      <c r="GB59" s="1551" t="e">
        <f aca="false">SUM(FT59:GA59)</f>
        <v>#VALUE!</v>
      </c>
      <c r="GC59" s="1563" t="e">
        <f aca="false">+IF(SUM(FT59:GA59)=0,0,(SUMPRODUCT(BU59:BX59,FT59:FW59)+SUMPRODUCT(CA59:CD59,FX59:GA59))/SUM(FT59:GA59))</f>
        <v>#VALUE!</v>
      </c>
      <c r="GD59" s="1551" t="e">
        <f aca="false">(FT59*BU59+FX59*CA59+FU59*BV59+FY59*CB59+FV59*BW59+FZ59*CC59+FW59*BX59+GA59*CD59)</f>
        <v>#VALUE!</v>
      </c>
      <c r="GE59" s="1561" t="e">
        <f aca="false">+IF(BQ59,((FL59+FM59+FT59+FU59)*HeatRatePeak/1000*(1+VLOOKUP($C59,WeatherHeatRateAdjustment,2))+(FN59+FV59)*IF(EV59&gt;0,HeatRatePeak,HeatRateOffPeak)/1000*(1+VLOOKUP($C59,WeatherHeatRateAdjustment,2))+(FO59+FW59)*IF(EW59&gt;0,HeatRatePeak,HeatRateOffPeak)/1000*(1+VLOOKUP($C59,WeatherHeatRateAdjustment,3)))*(1+VLOOKUP($B59,HeatRateDegradation,$C59+1)),0)</f>
        <v>#VALUE!</v>
      </c>
      <c r="GF59" s="1562" t="e">
        <f aca="false">IF(BQ59,((FP59+FQ59+FR59+FX59+FY59+FZ59)*HeatRatePeak/1000*(1+VLOOKUP($C59,WeatherHeatRateAdjustment,2))+(FS59+GA59)*HeatRatePeak/1000*(1+VLOOKUP($C59,WeatherHeatRateAdjustment,3)))*(1+VLOOKUP($B59,HeatRateDegradation,$C59+1)),0)</f>
        <v>#VALUE!</v>
      </c>
      <c r="GG59" s="1563" t="e">
        <f aca="false">IF(BQ59,VLOOKUP(A59,GasTable,13),0)</f>
        <v>#VALUE!</v>
      </c>
      <c r="GH59" s="1564" t="e">
        <f aca="false">(GE59+GF59)*GG59</f>
        <v>#VALUE!</v>
      </c>
      <c r="GI59" s="1569" t="e">
        <f aca="false">GB59</f>
        <v>#VALUE!</v>
      </c>
      <c r="GJ59" s="1598" t="e">
        <f aca="false">+DA59</f>
        <v>#VALUE!</v>
      </c>
      <c r="GK59" s="1558" t="e">
        <f aca="false">+GI59*GJ59</f>
        <v>#VALUE!</v>
      </c>
      <c r="GL59" s="1566" t="e">
        <f aca="false">MAX(FE59-FL59-FP59,0)</f>
        <v>#VALUE!</v>
      </c>
      <c r="GM59" s="1551" t="e">
        <f aca="false">MAX(FF59-FM59-FQ59,0)</f>
        <v>#VALUE!</v>
      </c>
      <c r="GN59" s="1551" t="e">
        <f aca="false">MAX(FG59-FN59-FR59,0)</f>
        <v>#VALUE!</v>
      </c>
      <c r="GO59" s="1564" t="e">
        <f aca="false">MAX(FH59-FO59-FS59,0)</f>
        <v>#VALUE!</v>
      </c>
      <c r="GP59" s="1551" t="e">
        <f aca="false">SUM(GL59:GO59)</f>
        <v>#VALUE!</v>
      </c>
      <c r="GQ59" s="1563" t="e">
        <f aca="false">IF(SUM(GL59:GO59)=0,0,((GL59*BU59+GM59*BV59+GN59*BW59+GO59*BX59)/SUM(GL59:GO59)))</f>
        <v>#VALUE!</v>
      </c>
      <c r="GR59" s="1558" t="e">
        <f aca="false">(GL59*BU59+GM59*BV59+GN59*BW59+GO59*BX59)</f>
        <v>#VALUE!</v>
      </c>
      <c r="GS59" s="1566" t="n">
        <f aca="false">IF($A59&gt;=BegDate,Assumptions!$C$56*24*($A60-$A59)*(1-VLOOKUP($B59,MAIN!$AA$7:$AM$28,$C59+1))*(1-VLOOKUP($B59,MAIN!$AA$33:$AM$54,$C59+1)),0)*80/168</f>
        <v>249428.571428571</v>
      </c>
      <c r="GT59" s="286" t="n">
        <f aca="false">J59</f>
        <v>39.5330755032</v>
      </c>
      <c r="GU59" s="286" t="n">
        <f aca="false">IF($A59&gt;=BegDate,VLOOKUP($A59,GasTable,13)+Assumptions!$C$58,0)</f>
        <v>2.71273723892332</v>
      </c>
      <c r="GV59" s="286" t="n">
        <f aca="false">GU59*Assumptions!$C$57/1000</f>
        <v>19.6673449821941</v>
      </c>
      <c r="GW59" s="1558" t="n">
        <f aca="false">IF(Assumptions!$C$60="Hourly",MAX(0,GS59*(GT59-GV59)),GS59*(GT59-GV59))</f>
        <v>4955080.78423948</v>
      </c>
      <c r="GX59" s="1566" t="n">
        <f aca="false">IF($A59&gt;=BegDate,Assumptions!$C$56*24*($A60-$A59)*(1-VLOOKUP($B59,MAIN!$AA$7:$AM$28,$C59+1))*(1-VLOOKUP($B59,MAIN!$AA$33:$AM$54,$C59+1)),0)*16/168</f>
        <v>49885.7142857143</v>
      </c>
      <c r="GY59" s="286" t="n">
        <f aca="false">M59</f>
        <v>39.5330755032</v>
      </c>
      <c r="GZ59" s="286" t="n">
        <f aca="false">IF($A59&gt;=BegDate,VLOOKUP($A59,GasTable,13)+Assumptions!$C$58,0)</f>
        <v>2.71273723892332</v>
      </c>
      <c r="HA59" s="286" t="n">
        <f aca="false">GZ59*Assumptions!$C$57/1000</f>
        <v>19.6673449821941</v>
      </c>
      <c r="HB59" s="1558" t="n">
        <f aca="false">IF(Assumptions!$C$60="Hourly",MAX(0,GX59*(GY59-HA59)),GX59*(GY59-HA59))</f>
        <v>991016.156847895</v>
      </c>
      <c r="HC59" s="1566" t="n">
        <f aca="false">IF($A59&gt;=BegDate,Assumptions!$C$56*24*($A60-$A59)*(1-VLOOKUP($B59,MAIN!$AA$7:$AM$28,$C59+1))*(1-VLOOKUP($B59,MAIN!$AA$33:$AM$54,$C59+1)),0)*16/168</f>
        <v>49885.7142857143</v>
      </c>
      <c r="HD59" s="286" t="n">
        <f aca="false">P59</f>
        <v>26.1235450944</v>
      </c>
      <c r="HE59" s="286" t="n">
        <f aca="false">IF($A59&gt;=BegDate,VLOOKUP($A59,GasTable,13)+Assumptions!$C$58,0)</f>
        <v>2.71273723892332</v>
      </c>
      <c r="HF59" s="286" t="n">
        <f aca="false">HE59*Assumptions!$C$57/1000</f>
        <v>19.6673449821941</v>
      </c>
      <c r="HG59" s="1558" t="n">
        <f aca="false">IF(Assumptions!$C$60="Hourly",MAX(0,HC59*(HD59-HF59)),HC59*(HD59-HF59))</f>
        <v>322072.154168901</v>
      </c>
      <c r="HH59" s="1566" t="n">
        <f aca="false">IF($A59&gt;=BegDate,Assumptions!$C$56*24*($A60-$A59)*(1-VLOOKUP($B59,MAIN!$AA$7:$AM$28,$C59+1))*(1-VLOOKUP($B59,MAIN!$AA$33:$AM$54,$C59+1)),0)*56/168</f>
        <v>174600</v>
      </c>
      <c r="HI59" s="286" t="n">
        <f aca="false">S59</f>
        <v>26.1235450944</v>
      </c>
      <c r="HJ59" s="286" t="n">
        <f aca="false">IF($A59&gt;=BegDate,VLOOKUP($A59,GasTable,13)+Assumptions!$C$58,0)</f>
        <v>2.71273723892332</v>
      </c>
      <c r="HK59" s="286" t="n">
        <f aca="false">HJ59*Assumptions!$C$57/1000</f>
        <v>19.6673449821941</v>
      </c>
      <c r="HL59" s="1558" t="n">
        <f aca="false">IF(Assumptions!$C$60="Hourly",MAX(0,HH59*(HI59-HK59)),HH59*(HI59-HK59))</f>
        <v>1127252.53959115</v>
      </c>
      <c r="HM59" s="1566" t="n">
        <f aca="false">IF(AND(Assumptions!$H$71="Yes",A59&gt;=Assumptions!$H$72,A59&lt;=Assumptions!$H$73),Assumptions!$H$74*Assumptions!$C$9*1000,0)</f>
        <v>0</v>
      </c>
      <c r="HN59" s="1551"/>
      <c r="HO59" s="1563"/>
      <c r="HP59" s="1563"/>
      <c r="HQ59" s="1563"/>
      <c r="HR59" s="1563"/>
      <c r="HS59" s="1563"/>
      <c r="HT59" s="1563"/>
      <c r="HU59" s="1563"/>
      <c r="HV59" s="1563"/>
      <c r="HW59" s="1563"/>
      <c r="HX59" s="1563"/>
      <c r="HY59" s="1563"/>
      <c r="HZ59" s="1563"/>
      <c r="IA59" s="1563"/>
      <c r="IB59" s="1563"/>
      <c r="IC59" s="1563"/>
      <c r="ID59" s="1563"/>
      <c r="IE59" s="1563"/>
      <c r="IF59" s="1563"/>
      <c r="IG59" s="1563"/>
      <c r="IH59" s="1563"/>
      <c r="II59" s="1610"/>
      <c r="IJ59" s="1309"/>
      <c r="IK59" s="1309"/>
    </row>
    <row r="60" customFormat="false" ht="12.75" hidden="false" customHeight="false" outlineLevel="0" collapsed="false">
      <c r="A60" s="1571" t="n">
        <f aca="false">EOMONTH(A59,0)+1</f>
        <v>37956</v>
      </c>
      <c r="B60" s="594" t="n">
        <f aca="false">+YEAR(A60)</f>
        <v>2003</v>
      </c>
      <c r="C60" s="238" t="n">
        <f aca="false">MONTH(A60)</f>
        <v>12</v>
      </c>
      <c r="D60" s="1572" t="e">
        <f aca="false">IF(E60="","",Holiday(B60,C60))</f>
        <v>#VALUE!</v>
      </c>
      <c r="E60" s="1573" t="n">
        <f aca="false">IF(OR(BegDate&gt;=A61,EndDate&lt;A60,AND(VolumeMonthlyOverFlag,INDEX(VolumeMonthlyOver,C60)=0),NOT(INDEX(MonthKnockOutTable,C60))),"",MAX(A60,BegDate))</f>
        <v>37956</v>
      </c>
      <c r="F60" s="1574" t="n">
        <f aca="false">IF(E60="","",MIN(A61-1,EndDate))</f>
        <v>37986</v>
      </c>
      <c r="G60" s="1575" t="n">
        <v>0</v>
      </c>
      <c r="H60" s="1576" t="n">
        <f aca="false">(1+G60/2)^(-2*(DATE(B61,C61,20)-DateToday)/365.25)</f>
        <v>1</v>
      </c>
      <c r="I60" s="1568" t="n">
        <f aca="false">IF(Assumptions!$L$25=4,VLOOKUP($A60,'Henwood Reference'!$E$9:$R$320,10),(VLOOKUP($A60,PriceTable,2,0)+IF(BasisNumber&lt;&gt;1,VLOOKUP($A60,BasisTable,2,0),0)+I$1)/(1-I$2))</f>
        <v>38.2376588976</v>
      </c>
      <c r="J60" s="1568" t="n">
        <f aca="false">IF(Assumptions!$L$25=4,VLOOKUP($A60,'Henwood Reference'!$E$9:$R$320,10),(VLOOKUP($A60,PriceTable,3,0)+IF(BasisNumber&lt;&gt;1,VLOOKUP($A60,BasisTable,2,0),0)+J$1)/(1-J$2))</f>
        <v>38.2376588976</v>
      </c>
      <c r="K60" s="1568" t="n">
        <f aca="false">IF(Assumptions!$L$25=4,VLOOKUP($A60,'Henwood Reference'!$E$9:$R$320,10),(VLOOKUP($A60,PriceTable,4,0)+IF(BasisNumber&lt;&gt;1,VLOOKUP($A60,BasisTable,2,0),0)+K$1)/(1-K$2))</f>
        <v>38.2376588976</v>
      </c>
      <c r="L60" s="1523" t="n">
        <f aca="false">IF(Assumptions!$L$25=4,VLOOKUP($A60,'Henwood Reference'!$E$9:$R$320,10),(VLOOKUP($A60,PriceTableWeekend,2,0)+IF(BasisNumber&lt;&gt;1,VLOOKUP($A60,BasisTable,2,0),0)+L$1)/(1-L$2))</f>
        <v>38.2376588976</v>
      </c>
      <c r="M60" s="1568" t="n">
        <f aca="false">IF(Assumptions!$L$25=4,VLOOKUP($A60,'Henwood Reference'!$E$9:$R$320,10),(VLOOKUP($A60,PriceTableWeekend,3,0)+IF(BasisNumber&lt;&gt;1,VLOOKUP($A60,BasisTable,2,0),0)+M$1)/(1-M$2))</f>
        <v>38.2376588976</v>
      </c>
      <c r="N60" s="1599" t="n">
        <f aca="false">IF(Assumptions!$L$25=4,VLOOKUP($A60,'Henwood Reference'!$E$9:$R$320,10),(VLOOKUP($A60,PriceTableWeekend,4,0)+IF(BasisNumber&lt;&gt;1,VLOOKUP($A60,BasisTable,2,0),0)+N$1)/(1-N$2))</f>
        <v>38.2376588976</v>
      </c>
      <c r="O60" s="1568" t="n">
        <f aca="false">IF(Assumptions!$L$25=4,VLOOKUP($A60,'Henwood Reference'!$E$9:$R$320,11),(VLOOKUP($A60,PriceTableWeekend,6,0)+IF(BasisNumber&lt;&gt;1,VLOOKUP($A60,BasisTable,3,0),0)+O$1)/(1-O$2))</f>
        <v>27.1386966672</v>
      </c>
      <c r="P60" s="1568" t="n">
        <f aca="false">IF(Assumptions!$L$25=4,VLOOKUP($A60,'Henwood Reference'!$E$9:$R$320,11),(VLOOKUP($A60,PriceTableWeekend,7,0)+IF(BasisNumber&lt;&gt;1,VLOOKUP($A60,BasisTable,3,0),0)+P$1)/(1-P$2))</f>
        <v>27.1386966672</v>
      </c>
      <c r="Q60" s="1599" t="n">
        <f aca="false">IF(Assumptions!$L$25=4,VLOOKUP($A60,'Henwood Reference'!$E$9:$R$320,11),(VLOOKUP($A60,PriceTableWeekend,8,0)+IF(BasisNumber&lt;&gt;1,VLOOKUP($A60,BasisTable,3,0),0)+Q$1)/(1-Q$2))</f>
        <v>27.1386966672</v>
      </c>
      <c r="R60" s="1568" t="n">
        <f aca="false">IF(Assumptions!$L$25=4,VLOOKUP($A60,'Henwood Reference'!$E$9:$R$320,11),(VLOOKUP($A60,PriceTable,6,0)+IF(BasisNumber&lt;&gt;1,VLOOKUP($A60,BasisTable,3,0),0)+R$1)/(1-R$2))</f>
        <v>27.1386966672</v>
      </c>
      <c r="S60" s="1568" t="n">
        <f aca="false">IF(Assumptions!$L$25=4,VLOOKUP($A60,'Henwood Reference'!$E$9:$R$320,11),(VLOOKUP($A60,PriceTable,7,0)+IF(BasisNumber&lt;&gt;1,VLOOKUP($A60,BasisTable,3,0),0)+S$1)/(1-S$2))</f>
        <v>27.1386966672</v>
      </c>
      <c r="T60" s="1600" t="n">
        <f aca="false">IF(Assumptions!$L$25=4,VLOOKUP($A60,'Henwood Reference'!$E$9:$R$320,11),(VLOOKUP($A60,PriceTable,8,0)+IF(BasisNumber&lt;&gt;1,VLOOKUP($A60,BasisTable,3,0),0)+T$1)/(1-T$2))</f>
        <v>27.1386966672</v>
      </c>
      <c r="U60" s="1513" t="n">
        <f aca="false">VLOOKUP($A60,VolatilityTable,14)</f>
        <v>0.155</v>
      </c>
      <c r="V60" s="1513" t="n">
        <f aca="false">VLOOKUP($A60,VolatilityTable,15)</f>
        <v>0.165</v>
      </c>
      <c r="W60" s="1514" t="n">
        <f aca="false">VLOOKUP($A60,VolatilityTable,16)</f>
        <v>0.175</v>
      </c>
      <c r="X60" s="1513" t="n">
        <f aca="false">VLOOKUP($A60,VolatilityTable,14)</f>
        <v>0.155</v>
      </c>
      <c r="Y60" s="1513" t="n">
        <f aca="false">VLOOKUP($A60,VolatilityTable,15)</f>
        <v>0.165</v>
      </c>
      <c r="Z60" s="1514" t="n">
        <f aca="false">VLOOKUP($A60,VolatilityTable,16)</f>
        <v>0.175</v>
      </c>
      <c r="AA60" s="1513" t="n">
        <f aca="false">VLOOKUP($A60,VolatilityTable,18)</f>
        <v>0.09</v>
      </c>
      <c r="AB60" s="1513" t="n">
        <f aca="false">VLOOKUP($A60,VolatilityTable,19)</f>
        <v>0.11</v>
      </c>
      <c r="AC60" s="1514" t="n">
        <f aca="false">VLOOKUP($A60,VolatilityTable,20)</f>
        <v>0.13</v>
      </c>
      <c r="AD60" s="1513" t="n">
        <f aca="false">VLOOKUP($A60,VolatilityTable,18)</f>
        <v>0.09</v>
      </c>
      <c r="AE60" s="1513" t="n">
        <f aca="false">VLOOKUP($A60,VolatilityTable,19)</f>
        <v>0.11</v>
      </c>
      <c r="AF60" s="1514" t="n">
        <f aca="false">VLOOKUP($A60,VolatilityTable,20)</f>
        <v>0.13</v>
      </c>
      <c r="AG60" s="1513" t="n">
        <f aca="false">VLOOKUP($A60,VolatilityTable,22)</f>
        <v>-0.25</v>
      </c>
      <c r="AH60" s="1513" t="n">
        <f aca="false">VLOOKUP($A60,VolatilityTable,23)</f>
        <v>0.6</v>
      </c>
      <c r="AI60" s="1514" t="n">
        <f aca="false">VLOOKUP($A60,VolatilityTable,24)</f>
        <v>0.25</v>
      </c>
      <c r="AJ60" s="1513" t="n">
        <f aca="false">VLOOKUP($A60,VolatilityTable,22)</f>
        <v>-0.25</v>
      </c>
      <c r="AK60" s="1513" t="n">
        <f aca="false">VLOOKUP($A60,VolatilityTable,23)</f>
        <v>0.6</v>
      </c>
      <c r="AL60" s="1514" t="n">
        <f aca="false">VLOOKUP($A60,VolatilityTable,24)</f>
        <v>0.25</v>
      </c>
      <c r="AM60" s="1513" t="n">
        <f aca="false">VLOOKUP($A60,VolatilityTable,26)</f>
        <v>-0.01</v>
      </c>
      <c r="AN60" s="1513" t="n">
        <f aca="false">VLOOKUP($A60,VolatilityTable,27)</f>
        <v>0.16</v>
      </c>
      <c r="AO60" s="1514" t="n">
        <f aca="false">VLOOKUP($A60,VolatilityTable,28)</f>
        <v>0.01</v>
      </c>
      <c r="AP60" s="1513" t="n">
        <f aca="false">VLOOKUP($A60,VolatilityTable,26)</f>
        <v>-0.01</v>
      </c>
      <c r="AQ60" s="1513" t="n">
        <f aca="false">VLOOKUP($A60,VolatilityTable,27)</f>
        <v>0.16</v>
      </c>
      <c r="AR60" s="1515" t="n">
        <f aca="false">VLOOKUP($A60,VolatilityTable,28)</f>
        <v>0.01</v>
      </c>
      <c r="AS60" s="1581" t="n">
        <f aca="false">IF(CorrPeakOffPeakOverFlag,INDEX(CorrPeakOffPeakOver,C60),CorrPeakOffPeak)</f>
        <v>0.5</v>
      </c>
      <c r="AT60" s="594" t="e">
        <f aca="false">AX60-SUM(AU60:AW60)</f>
        <v>#VALUE!</v>
      </c>
      <c r="AU60" s="238" t="e">
        <f aca="false">IF(E60="",0,INT((F60-MOD(F60,7)-E60)/7)+1-IF(AW60,IF(WEEKDAY(D60)=7,1,0),0))</f>
        <v>#VALUE!</v>
      </c>
      <c r="AV60" s="238" t="e">
        <f aca="false">IF(E60="",0,INT((F60-MOD(F60-1,7)-E60)/7)+1-IF(AW60,IF(WEEKDAY(D60)=1,1,0),0))</f>
        <v>#VALUE!</v>
      </c>
      <c r="AW60" s="238" t="e">
        <f aca="false">IF(OR(E60="",D60="",D60&lt;BegDate,D60&gt;EndDate),0,1)</f>
        <v>#VALUE!</v>
      </c>
      <c r="AX60" s="238" t="n">
        <f aca="false">IF(E60="",0,F60-E60+1)</f>
        <v>31</v>
      </c>
      <c r="AY60" s="1582" t="n">
        <f aca="false">IF(E60="",0,MIN((1-(1-VLOOKUP(B60,MAIN!$AA$7:$AM$28,C60+1))*(1-VLOOKUP(B60,MAIN!$AA$33:$AM$54,C60+1))),1))</f>
        <v>0.03</v>
      </c>
      <c r="AZ60" s="1519" t="e">
        <v>#VALUE!</v>
      </c>
      <c r="BA60" s="1520" t="e">
        <v>#VALUE!</v>
      </c>
      <c r="BB60" s="1520" t="e">
        <v>#VALUE!</v>
      </c>
      <c r="BC60" s="1583" t="e">
        <v>#VALUE!</v>
      </c>
      <c r="BD60" s="1522" t="e">
        <v>#VALUE!</v>
      </c>
      <c r="BE60" s="1523" t="e">
        <v>#VALUE!</v>
      </c>
      <c r="BF60" s="1523" t="e">
        <v>#VALUE!</v>
      </c>
      <c r="BG60" s="1584" t="e">
        <v>#VALUE!</v>
      </c>
      <c r="BH60" s="1525" t="e">
        <v>#VALUE!</v>
      </c>
      <c r="BI60" s="1520" t="e">
        <v>#VALUE!</v>
      </c>
      <c r="BJ60" s="1520" t="e">
        <v>#VALUE!</v>
      </c>
      <c r="BK60" s="1583" t="e">
        <v>#VALUE!</v>
      </c>
      <c r="BL60" s="1522" t="e">
        <v>#VALUE!</v>
      </c>
      <c r="BM60" s="1523" t="e">
        <v>#VALUE!</v>
      </c>
      <c r="BN60" s="1523" t="e">
        <v>#VALUE!</v>
      </c>
      <c r="BO60" s="1523" t="e">
        <v>#VALUE!</v>
      </c>
      <c r="BP60" s="1525" t="e">
        <f aca="false">SUM(AZ60:BB60)</f>
        <v>#VALUE!</v>
      </c>
      <c r="BQ60" s="1529" t="e">
        <f aca="false">SUM(AZ60:BC60)</f>
        <v>#VALUE!</v>
      </c>
      <c r="BR60" s="1519" t="e">
        <f aca="false">SUM(BH60:BJ60)</f>
        <v>#VALUE!</v>
      </c>
      <c r="BS60" s="1529" t="e">
        <f aca="false">SUM(BH60:BK60)</f>
        <v>#VALUE!</v>
      </c>
      <c r="BT60" s="1316" t="n">
        <f aca="false">(IF(OVolType&lt;&gt;2,A60+14,IF(OptExpDateShift,ShiftBack(A60,OptExpDateShift,D59),A60))-DateToday)/365.25</f>
        <v>3.63039014373717</v>
      </c>
      <c r="BU60" s="1585" t="e">
        <f aca="false">IF(BQ60,IF(OPriceCurve,IF(OBuySell=OCallPut,I60/(1-AY60),K60/(1-AY60)),J60/(1-AY60))*BD60,0)</f>
        <v>#VALUE!</v>
      </c>
      <c r="BV60" s="1316" t="e">
        <f aca="false">IF(BQ60,IF(OPriceCurve,IF(OBuySell=OCallPut,L60/(1-AY60),N60/(1-AY60)),M60/(1-AY60))*BE60,0)</f>
        <v>#VALUE!</v>
      </c>
      <c r="BW60" s="1316" t="e">
        <f aca="false">IF(BQ60,IF(OPriceCurve,IF(OBuySell=OCallPut,O60/(1-AY60),Q60/(1-AY60)),P60/(1-AY60))*BF60,0)</f>
        <v>#VALUE!</v>
      </c>
      <c r="BX60" s="1316" t="e">
        <f aca="false">IF(BQ60,IF(OPriceCurve,IF(OBuySell=OCallPut,R60/(1-AY60),T60/(1-AY60)),S60/(1-AY60))*BG60,0)</f>
        <v>#VALUE!</v>
      </c>
      <c r="BY60" s="1316" t="e">
        <f aca="false">IF(BP60,(BU60*AZ60+BV60*BA60+BW60*BB60)/BP60,0)</f>
        <v>#VALUE!</v>
      </c>
      <c r="BZ60" s="1316" t="e">
        <f aca="false">IF(BQ60,(BY60*BP60+BX60*BC60)/BQ60,0)</f>
        <v>#VALUE!</v>
      </c>
      <c r="CA60" s="1531" t="e">
        <f aca="false">IF(BS60,IF(OPriceCurve,IF(OBuySell=OCallPut,I60/(1-AY60),K60/(1-AY60)),J60/(1-AY60))*BL60,0)</f>
        <v>#VALUE!</v>
      </c>
      <c r="CB60" s="1316" t="e">
        <f aca="false">IF(BS60,IF(OPriceCurve,IF(OBuySell=OCallPut,L60/(1-AY60),N60/(1-AY60)),M60/(1-AY60))*BM60,0)</f>
        <v>#VALUE!</v>
      </c>
      <c r="CC60" s="1316" t="e">
        <f aca="false">IF(BS60,IF(OPriceCurve,IF(OBuySell=OCallPut,O60/(1-AY60),Q60/(1-AY60)),P60/(1-AY60))*BN60,0)</f>
        <v>#VALUE!</v>
      </c>
      <c r="CD60" s="1316" t="e">
        <f aca="false">IF(BS60,IF(OPriceCurve,IF(OBuySell=OCallPut,R60/(1-AY60),T60/(1-AY60)),S60/(1-AY60))*BO60,0)</f>
        <v>#VALUE!</v>
      </c>
      <c r="CE60" s="1316" t="e">
        <f aca="false">IF(BR60,(BU60*BH60+BV60*BI60+BW60*BJ60)/BR60,0)</f>
        <v>#VALUE!</v>
      </c>
      <c r="CF60" s="1532" t="e">
        <f aca="false">IF(BS60,(CE60*BR60+CD60*BK60)/BS60,0)</f>
        <v>#VALUE!</v>
      </c>
      <c r="CG60" s="1586" t="e">
        <f aca="false">IF(OR(BQ60,BS60),IF(OVolType&lt;&gt;2,SQRT(IF(OVolOverMonthlyPeak,OVolOverMonthlyPeak,IF(OVolCurve,IF(OBuySell,U60,W60),V60))^2*(1-15/365.25/BT60)+IF(OVolOverDailyPeak,OVolOverDailyPeak,IF(OVolCurve,IF(OBuySell,AG60,AI60),AH60))^2*15/365.25/BT60),IF(OVolOverMonthlyPeak,OVolOverMonthlyPeak,IF(OVolCurve,IF(OBuySell,U60,W60),V60))),"")</f>
        <v>#VALUE!</v>
      </c>
      <c r="CH60" s="1587" t="e">
        <f aca="false">IF(OR(BQ60,BS60),IF(OVolType&lt;&gt;2,SQRT(IF(OVolOverMonthlyPeak,OVolOverMonthlyPeak,IF(OVolCurve,IF(OBuySell,X60,Z60),Y60))^2*(1-15/365.25/BT60)+IF(OVolOverDailyPeak,OVolOverDailyPeak,IF(OVolCurve,IF(OBuySell,AJ60,AL60),AK60))^2*15/365.25/BT60),IF(OVolOverMonthlyPeak,OVolOverMonthlyPeak,IF(OVolCurve,IF(OBuySell,X60,Z60),Y60))),"")</f>
        <v>#VALUE!</v>
      </c>
      <c r="CI60" s="1587" t="e">
        <f aca="false">IF(OR(BQ60,BS60),IF(OVolType&lt;&gt;2,SQRT(IF(OVolOverMonthlyPeak,OVolOverMonthlyPeak,IF(OVolCurve,IF(OBuySell,AA60,AC60),AB60))^2*(1-15/365.25/BT60)+IF(OVolOverDailyPeak,OVolOverDailyPeak,IF(OVolCurve,IF(OBuySell,AM60,AO60),AN60))^2*15/365.25/BT60),IF(OVolOverMonthlyPeak,OVolOverMonthlyPeak,IF(OVolCurve,IF(OBuySell,AA60,AC60),AB60))),"")</f>
        <v>#VALUE!</v>
      </c>
      <c r="CJ60" s="1587" t="e">
        <f aca="false">IF(BQ60,IF(BP60,SQRT(LN(1+((BU60*AZ60)^2*(EXP(CG60^2*BT60)-1)+(BV60*BA60)^2*(EXP(CH60^2*BT60)-1)+(BW60*BB60)^2*(EXP(CI60^2*BT60)-1)+2*BU60*AZ60*BV60*BA60*(EXP(CG60*CH60*BT60)-1)+2*BV60*BA60*BW60*BB60*(EXP(CH60*CI60*BT60)-1)+2*BW60*BB60*BU60*AZ60*(EXP(CI60*CG60*BT60)-1))/(BY60*BP60)^2)/BT60),0),"")</f>
        <v>#VALUE!</v>
      </c>
      <c r="CK60" s="1587" t="e">
        <f aca="false">IF(BS60,IF(BR60,SQRT(LN(1+((CA60*BH60)^2*(EXP(CG60^2*BT60)-1)+(CB60*BI60)^2*(EXP(CH60^2*BT60)-1)+(CC60*BJ60)^2*(EXP(CI60^2*BT60)-1)+2*CA60*BH60*CB60*BI60*(EXP(CG60*CH60*BT60)-1)+2*CB60*BI60*CC60*BJ60*(EXP(CH60*CI60*BT60)-1)+2*CC60*BJ60*CA60*BH60*(EXP(CI60*CG60*BT60)-1))/(CE60*BR60)^2)/BT60),0),"")</f>
        <v>#VALUE!</v>
      </c>
      <c r="CL60" s="1587" t="e">
        <f aca="false">IF(OR(BQ60,BS60),IF(OVolType&lt;&gt;2,SQRT(IF(OVolOverMonthlyOffPeak,OVolOverMonthlyOffPeak,IF(OVolCurve,IF(OBuySell,AD60,AF60),AE60))^2*(1-15/365.25/BT60)+IF(OVolOverDailyOffPeak,OVolOverDailyOffPeak,IF(OVolCurve,IF(OBuySell,AP60,AR60),AQ60))^2*15/365.25/BT60),IF(OVolOverMonthlyOffPeak,OVolOverMonthlyOffPeak,IF(OVolCurve,IF(OBuySell,AD60,AF60),AE60))),"")</f>
        <v>#VALUE!</v>
      </c>
      <c r="CM60" s="1587" t="e">
        <f aca="false">IF(BQ60,SQRT(LN(1+((BY60*BP60)^2*(EXP(CJ60^2*BT60)-1)+(BX60*BC60)^2*(EXP(CL60^2*BT60)-1)+2*BY60*BP60*BX60*BC60*(EXP(AS60*CJ60*CL60*BT60)-1))/(BY60*BP60+BX60*BC60)^2)/BT60),"")</f>
        <v>#VALUE!</v>
      </c>
      <c r="CN60" s="1588" t="e">
        <f aca="false">IF(BS60,SQRT(LN(1+((CE60*BR60)^2*(EXP(CK60^2*BT60)-1)+(CD60*BK60)^2*(EXP(CL60^2*BT60)-1)+2*CE60*BR60*CD60*BK60*(EXP(AS60*CK60*CL60*BT60)-1))/(CE60*BR60+CD60*BK60)^2)/BT60),"")</f>
        <v>#VALUE!</v>
      </c>
      <c r="CO60" s="1531" t="e">
        <f aca="false">IF(OR(BQ60,BS60),VLOOKUP(A60,GasTable,13)*HeatRatePeak*(1+VLOOKUP($B60,HeatRateDegradation,$C60+1))/1000,0)</f>
        <v>#VALUE!</v>
      </c>
      <c r="CP60" s="1316" t="e">
        <f aca="false">IF(OR(BQ60,BS60),VLOOKUP(A60,GasTable,13)*HeatRatePeak*(1+VLOOKUP($B60,HeatRateDegradation,$C60+1))/1000,0)</f>
        <v>#VALUE!</v>
      </c>
      <c r="CQ60" s="1316" t="e">
        <f aca="false">IF(OR(BQ60,BS60),VLOOKUP(A60,GasTable,13)*IF(EV60,HeatRatePeak,HeatRateOffPeak)*(1+VLOOKUP($B60,HeatRateDegradation,$C60+1))/1000,0)</f>
        <v>#VALUE!</v>
      </c>
      <c r="CR60" s="1316" t="e">
        <f aca="false">IF(OR(BQ60,BS60),VLOOKUP(A60,GasTable,13)*IF(EW60,HeatRatePeak,HeatRateOffPeak)*(1+VLOOKUP($B60,HeatRateDegradation,$C60+1))/1000,0)</f>
        <v>#VALUE!</v>
      </c>
      <c r="CS60" s="1589" t="e">
        <f aca="false">IF(BQ60,(CO60*AZ60+CP60*BA60+CQ60*BB60+CR60*BC60)/BQ60,0)</f>
        <v>#VALUE!</v>
      </c>
      <c r="CT60" s="1316" t="e">
        <f aca="false">IF(BS60,CO60,0)</f>
        <v>#VALUE!</v>
      </c>
      <c r="CU60" s="1590" t="e">
        <f aca="false">IF(OR(BQ60,BS60),VLOOKUP(A60,GasTable,14),"")</f>
        <v>#VALUE!</v>
      </c>
      <c r="CV60" s="1568" t="e">
        <f aca="false">IF(OR(BQ60,BS60),IF(CorrPowerGasOverFlag,INDEX(CorrPowerGasOver,C60),CorrPowerGas),"")</f>
        <v>#VALUE!</v>
      </c>
      <c r="CW60" s="1316" t="e">
        <f aca="false">IF(OR($BQ60,$BS60),SpreadOptPowerMargin,0)*((1+Assumptions!$C$26)^($B60-YEAR(Assumptions!$C$17)))</f>
        <v>#VALUE!</v>
      </c>
      <c r="CX60" s="1316" t="e">
        <f aca="false">IF(OR($BQ60,$BS60),SpreadOptPowerMargin,0)*((1+Assumptions!$C$26)^($B60-YEAR(Assumptions!$C$17)))</f>
        <v>#VALUE!</v>
      </c>
      <c r="CY60" s="1316" t="e">
        <f aca="false">IF(OR($BQ60,$BS60),SpreadOptPowerMargin,0)*((1+Assumptions!$C$26)^($B60-YEAR(Assumptions!$C$17)))</f>
        <v>#VALUE!</v>
      </c>
      <c r="CZ60" s="1316" t="e">
        <f aca="false">IF(OR($BQ60,$BS60),SpreadOptPowerMargin,0)*((1+Assumptions!$C$26)^($B60-YEAR(Assumptions!$C$17)))</f>
        <v>#VALUE!</v>
      </c>
      <c r="DA60" s="1591" t="e">
        <f aca="false">IF(OR(BQ60,BS60),(CW60*(AZ60+BH60)+CX60*(BA60+BI60)+CY60*(BB60+BJ60)+CZ60*(BC60+BK60))/(BQ60+BS60),0)</f>
        <v>#VALUE!</v>
      </c>
      <c r="DB60" s="1592" t="e">
        <f aca="false">IF(OR(BQ60,BS60),CG60+IF(OVolSmile,VLOOKUP(MAX(-5,CO60+CW60-BU60),IF(OVolSmile=1,VolSmileBook,VolSmileModel),2),0),"")</f>
        <v>#VALUE!</v>
      </c>
      <c r="DC60" s="1592" t="e">
        <f aca="false">IF(OR(BQ60,BS60),CH60+IF(OVolSmile,VLOOKUP(MAX(-5,CP60+CW60-BV60),IF(OVolSmile=1,VolSmileBook,VolSmileModel),2),0),"")</f>
        <v>#VALUE!</v>
      </c>
      <c r="DD60" s="1592" t="e">
        <f aca="false">IF(OR(BQ60,BS60),CI60+IF(OVolSmile,VLOOKUP(MAX(-5,CQ60+CW60-BW60),IF(OVolSmile=1,VolSmileBook,VolSmileModel),2),0),"")</f>
        <v>#VALUE!</v>
      </c>
      <c r="DE60" s="1592" t="e">
        <f aca="false">IF(OR(BQ60,BS60),CL60+IF(OVolSmile,VLOOKUP(MAX(-5,CR60+CZ60-BX60),IF(OVolSmile=1,VolSmileBook,VolSmileModel),2),0),"")</f>
        <v>#VALUE!</v>
      </c>
      <c r="DF60" s="1592" t="e">
        <f aca="false">IF(BQ60,CM60+IF(OVolSmile,VLOOKUP(MAX(-5,CS60+DA60-BZ60),IF(OVolSmile=1,VolSmileBook,VolSmileModel),2),0),"")</f>
        <v>#VALUE!</v>
      </c>
      <c r="DG60" s="1593" t="e">
        <f aca="false">IF(BS60,CN60+IF(OVolSmile,VLOOKUP(MAX(-5,CT60+DA60-CF60),IF(OVolSmile=1,VolSmileBook,VolSmileModel),2),0),"")</f>
        <v>#VALUE!</v>
      </c>
      <c r="DH60" s="1316" t="e">
        <f aca="false">IF(AND(BU60&gt;0,CO60&gt;0,DB60&gt;0,CU60&gt;0),newSPRDOPT(BU60,CO60,CW60,0,DB60,CU60,CV60,BT60*365.25,OCallPut,0),0)</f>
        <v>#VALUE!</v>
      </c>
      <c r="DI60" s="1316" t="e">
        <f aca="false">IF(AND(BV60&gt;0,CP60&gt;0,DC60&gt;0,CU60&gt;0),newSPRDOPT(BV60,CP60,CX60,0,DC60,CU60,CV60,BT60*365.25,OCallPut,0),0)</f>
        <v>#VALUE!</v>
      </c>
      <c r="DJ60" s="1316" t="e">
        <f aca="false">IF(AND(BW60&gt;0,CQ60&gt;0,DD60&gt;0,CU60&gt;0),newSPRDOPT(BW60,CQ60,CY60,0,DD60,CU60,CV60,BT60*365.25,OCallPut,0),0)</f>
        <v>#VALUE!</v>
      </c>
      <c r="DK60" s="1316" t="e">
        <f aca="false">IF(AND(BX60&gt;0,CR60&gt;0,DE60&gt;0,CU60&gt;0),newSPRDOPT(BX60,CR60,CZ60,0,DE60,CU60,CV60,BT60*365.25,OCallPut,0),0)</f>
        <v>#VALUE!</v>
      </c>
      <c r="DL60" s="1316" t="e">
        <f aca="false">IF(OVolType,IF(AND(BZ60&gt;0,CS60&gt;0,DF60&gt;0,CU60&gt;0),newSPRDOPT(BZ60,CS60,DA60,0,DF60,CU60,CV60,BT60*365.25,OCallPut,0),0),IF(BQ60,(DH60*AZ60+DI60*BA60+DJ60*BB60+DK60*BC60)/BQ60,0))</f>
        <v>#VALUE!</v>
      </c>
      <c r="DM60" s="1316"/>
      <c r="DN60" s="1316"/>
      <c r="DO60" s="1316"/>
      <c r="DP60" s="1316"/>
      <c r="DQ60" s="1316"/>
      <c r="DR60" s="1316"/>
      <c r="DS60" s="1316"/>
      <c r="DT60" s="1316"/>
      <c r="DU60" s="1316"/>
      <c r="DV60" s="1316"/>
      <c r="DW60" s="1594" t="e">
        <f aca="false">IF(AND(BW60&gt;0,CT60&gt;0,DD60&gt;0,CU60&gt;0),newSPRDOPT(BW60,CT60,CY60,0,DD60,CU60,CV60,BT60*365.25,OCallPut,0),0)</f>
        <v>#VALUE!</v>
      </c>
      <c r="DX60" s="1316" t="e">
        <f aca="false">IF(AND(BX60&gt;0,CT60&gt;0,DE60&gt;0,CU60&gt;0),newSPRDOPT(BX60,CT60,CZ60,0,DE60,CU60,CV60,BT60*365.25,OCallPut,0),0)</f>
        <v>#VALUE!</v>
      </c>
      <c r="DY60" s="1591" t="e">
        <f aca="false">IF(BS60,(DH60*BH60+DI60*BI60+DW60*BJ60+DX60*BK60)/BS60,0)</f>
        <v>#VALUE!</v>
      </c>
      <c r="DZ60" s="1551" t="e">
        <f aca="false">DH60*AZ60</f>
        <v>#VALUE!</v>
      </c>
      <c r="EA60" s="1551" t="e">
        <f aca="false">DI60*BA60</f>
        <v>#VALUE!</v>
      </c>
      <c r="EB60" s="1551" t="e">
        <f aca="false">DJ60*BB60</f>
        <v>#VALUE!</v>
      </c>
      <c r="EC60" s="1551" t="e">
        <f aca="false">DK60*BC60</f>
        <v>#VALUE!</v>
      </c>
      <c r="ED60" s="1551" t="e">
        <f aca="false">DL60*BQ60</f>
        <v>#VALUE!</v>
      </c>
      <c r="EE60" s="1595" t="e">
        <f aca="false">IF(BQ60,IF(OCallPut,IF(BU60&gt;(CO60+CW60),BU60-(CO60+CW60),0),IF((CO60+CW60)&gt;BU60,(CO60+CW60)-BU60,0))*AZ60,0)</f>
        <v>#VALUE!</v>
      </c>
      <c r="EF60" s="1596" t="e">
        <f aca="false">IF(BQ60,IF(OCallPut,IF(BV60&gt;(CP60+CX60),BV60-(CP60+CX60),0),IF((CP60+CX60)&gt;BV60,(CP60+CX60)-BV60,0))*BA60,0)</f>
        <v>#VALUE!</v>
      </c>
      <c r="EG60" s="1596" t="e">
        <f aca="false">IF(BQ60,IF(OCallPut,IF(BW60&gt;(CQ60+CY60),BW60-(CQ60+CY60),0),IF((CQ60+CY60)&gt;BW60,(CQ60+CY60)-BW60,0))*BB60,0)</f>
        <v>#VALUE!</v>
      </c>
      <c r="EH60" s="1596" t="e">
        <f aca="false">IF(BQ60,IF(OCallPut,IF(BX60&gt;(CR60+CZ60),BX60-(CR60+CZ60),0),IF((CR60+CZ60)&gt;BX60,(CR60+CZ60)-BX60,0))*BC60,0)</f>
        <v>#VALUE!</v>
      </c>
      <c r="EI60" s="1597" t="e">
        <f aca="false">IF(BQ60,IF(OVolType,IF(OCallPut,IF(BZ60&gt;(CS60+DA60),BZ60-(CS60+DA60),0),IF((CS60+DA60)&gt;BZ60,(CS60+DA60)-BZ60,0))*BQ60,SUM(EE60:EH60)),0)</f>
        <v>#VALUE!</v>
      </c>
      <c r="EJ60" s="1595" t="e">
        <f aca="false">DZ60-EE60</f>
        <v>#VALUE!</v>
      </c>
      <c r="EK60" s="1596" t="e">
        <f aca="false">EA60-EF60</f>
        <v>#VALUE!</v>
      </c>
      <c r="EL60" s="1596" t="e">
        <f aca="false">EB60-EG60</f>
        <v>#VALUE!</v>
      </c>
      <c r="EM60" s="1596" t="e">
        <f aca="false">EC60-EH60</f>
        <v>#VALUE!</v>
      </c>
      <c r="EN60" s="1597" t="e">
        <f aca="false">ED60-EI60</f>
        <v>#VALUE!</v>
      </c>
      <c r="EO60" s="1551" t="e">
        <f aca="false">DH60*BH60</f>
        <v>#VALUE!</v>
      </c>
      <c r="EP60" s="1551" t="e">
        <f aca="false">DI60*BI60</f>
        <v>#VALUE!</v>
      </c>
      <c r="EQ60" s="1551" t="e">
        <f aca="false">DW60*BJ60</f>
        <v>#VALUE!</v>
      </c>
      <c r="ER60" s="1551" t="e">
        <f aca="false">DX60*BK60</f>
        <v>#VALUE!</v>
      </c>
      <c r="ES60" s="1551" t="e">
        <f aca="false">DY60*BS60</f>
        <v>#VALUE!</v>
      </c>
      <c r="ET60" s="1566" t="e">
        <f aca="false">IF(EI60,IF(OCallPut,IF(CA60&gt;(CT60+CW60),CA60-(CT60+CW60),0),IF((CT60+CW60)&gt;CA60,(CT60+CW60)-CA60,0))*BH60,0)</f>
        <v>#VALUE!</v>
      </c>
      <c r="EU60" s="1551" t="e">
        <f aca="false">IF(EI60,IF(OCallPut,IF(CB60&gt;(CT60+CX60),CB60-(CT60+CX60),0),IF((CT60+CX60)&gt;CB60,(CT60+CX60)-CB60,0))*BI60,0)</f>
        <v>#VALUE!</v>
      </c>
      <c r="EV60" s="1551" t="e">
        <f aca="false">IF(EI60,IF(OCallPut,IF(CC60&gt;(CT60+CY60),CC60-(CT60+CY60),0),IF((CT60+CY60)&gt;CC60,(CT60+CY60)-CC60,0))*BJ60,0)</f>
        <v>#VALUE!</v>
      </c>
      <c r="EW60" s="1551" t="e">
        <f aca="false">IF(EI60,IF(OCallPut,IF(CD60&gt;(CT60+CZ60),CD60-(CT60+CZ60),0),IF((CT60+CZ60)&gt;CD60,(CT60+CZ60)-CD60,0))*BK60,0)</f>
        <v>#VALUE!</v>
      </c>
      <c r="EX60" s="1558" t="e">
        <f aca="false">IF(EI60,SUM(ET60:EW60),0)</f>
        <v>#VALUE!</v>
      </c>
      <c r="EY60" s="1551" t="e">
        <f aca="false">EO60-ET60</f>
        <v>#VALUE!</v>
      </c>
      <c r="EZ60" s="1551" t="e">
        <f aca="false">EP60-EU60</f>
        <v>#VALUE!</v>
      </c>
      <c r="FA60" s="1551" t="e">
        <f aca="false">EQ60-EV60</f>
        <v>#VALUE!</v>
      </c>
      <c r="FB60" s="1551" t="e">
        <f aca="false">ER60-EW60</f>
        <v>#VALUE!</v>
      </c>
      <c r="FC60" s="1551" t="e">
        <f aca="false">ES60-EX60</f>
        <v>#VALUE!</v>
      </c>
      <c r="FD60" s="1525" t="n">
        <f aca="false">IF(AX60,IF(VLOOKUP(C60,MAIN!$L$17:$M$28,2)="Yes",VLOOKUP(CALC!B60,MAIN!$H$17:$I$20,2),0),0)</f>
        <v>0</v>
      </c>
      <c r="FE60" s="1552" t="e">
        <f aca="false">$FD60*16*AT60*(1-$AY60)</f>
        <v>#VALUE!</v>
      </c>
      <c r="FF60" s="1553" t="e">
        <f aca="false">$FD60*16*AU60*(1-$AY60)</f>
        <v>#VALUE!</v>
      </c>
      <c r="FG60" s="1553" t="e">
        <f aca="false">$FD60*16*(AV60+AW60)*(1-$AY60)</f>
        <v>#VALUE!</v>
      </c>
      <c r="FH60" s="1554" t="n">
        <f aca="false">$FD60*8*AX60*(1-$AY60)</f>
        <v>0</v>
      </c>
      <c r="FI60" s="1555" t="n">
        <f aca="false">IF(AX60,VLOOKUP(CALC!B60,MAIN!$H$17:$K$20,4),0)</f>
        <v>0</v>
      </c>
      <c r="FJ60" s="1553" t="e">
        <f aca="false">SUM(FE60:FH60)</f>
        <v>#VALUE!</v>
      </c>
      <c r="FK60" s="1556" t="e">
        <f aca="false">FI60*FJ60</f>
        <v>#VALUE!</v>
      </c>
      <c r="FL60" s="1551" t="e">
        <f aca="false">IF($EI60&gt;0,MIN(FE60,AZ60*(1+VLOOKUP($C60,WeatherCapacityAdjustment,2))),0)</f>
        <v>#VALUE!</v>
      </c>
      <c r="FM60" s="1551" t="e">
        <f aca="false">IF($EI60&gt;0,MIN(FF60,BA60*(1+VLOOKUP($C60,WeatherCapacityAdjustment,2))),0)</f>
        <v>#VALUE!</v>
      </c>
      <c r="FN60" s="1551" t="e">
        <f aca="false">IF($EI60&gt;0,MIN(FG60,BB60*(1+VLOOKUP($C60,WeatherCapacityAdjustment,2))),0)</f>
        <v>#VALUE!</v>
      </c>
      <c r="FO60" s="1564" t="e">
        <f aca="false">IF($EI60&gt;0,MIN(FH60,BC60*(1+VLOOKUP($C60,WeatherCapacityAdjustment,3))),0)</f>
        <v>#VALUE!</v>
      </c>
      <c r="FP60" s="1551" t="e">
        <f aca="false">IF(ET60&gt;0,MIN(FE60-FL60,BH60*(1+VLOOKUP($C60,WeatherCapacityAdjustment,2))),0)</f>
        <v>#VALUE!</v>
      </c>
      <c r="FQ60" s="1551" t="e">
        <f aca="false">IF(EU60&gt;0,MIN(FF60-FM60,BI60*(1+VLOOKUP($C60,WeatherCapacityAdjustment,2))),0)</f>
        <v>#VALUE!</v>
      </c>
      <c r="FR60" s="1551" t="e">
        <f aca="false">IF(EV60&gt;0,MIN(FG60-FN60,BJ60*(1+VLOOKUP($C60,WeatherCapacityAdjustment,2))),0)</f>
        <v>#VALUE!</v>
      </c>
      <c r="FS60" s="1558" t="e">
        <f aca="false">IF(EW60&gt;0,MIN(FH60-FO60,BK60*(1+VLOOKUP($C60,WeatherCapacityAdjustment,3))),0)</f>
        <v>#VALUE!</v>
      </c>
      <c r="FT60" s="1566" t="e">
        <f aca="false">IF(AND(Assumptions!$H$71="Yes",A60&gt;=Assumptions!$H$72,A60&lt;=Assumptions!$H$73),0,IF(AND($A60&gt;=Assumptions!$C$17,$A60&lt;=Assumptions!$C$18),MAX(AZ60*(1+VLOOKUP($C60,WeatherCapacityAdjustment,2))-FL60,0),0))</f>
        <v>#VALUE!</v>
      </c>
      <c r="FU60" s="1551" t="e">
        <f aca="false">IF(AND(Assumptions!$H$71="Yes",A60&gt;=Assumptions!$H$72,A60&lt;=Assumptions!$H$73),0,IF(AND($A60&gt;=Assumptions!$C$17,$A60&lt;=Assumptions!$C$18),MAX(BA60*(1+VLOOKUP($C60,WeatherCapacityAdjustment,2))-FM60,0),0))</f>
        <v>#VALUE!</v>
      </c>
      <c r="FV60" s="1551" t="e">
        <f aca="false">IF(AND(Assumptions!$H$71="Yes",A60&gt;=Assumptions!$H$72,A60&lt;=Assumptions!$H$73),0,IF(AND($A60&gt;=Assumptions!$C$17,$A60&lt;=Assumptions!$C$18),MAX(BB60*(1+VLOOKUP($C60,WeatherCapacityAdjustment,2))-FN60,0),0))</f>
        <v>#VALUE!</v>
      </c>
      <c r="FW60" s="1564" t="e">
        <f aca="false">IF(AND(Assumptions!$H$71="Yes",A60&gt;=Assumptions!$H$72,A60&lt;=Assumptions!$H$73),0,IF(AND($A60&gt;=Assumptions!$C$17,$A60&lt;=Assumptions!$C$18),MAX(BC60*(1+VLOOKUP($C60,WeatherCapacityAdjustment,3))-FO60,0),0))</f>
        <v>#VALUE!</v>
      </c>
      <c r="FX60" s="1569" t="e">
        <f aca="false">IF(AND(Assumptions!$H$71="Yes",A60&gt;=Assumptions!$H$72,A60&lt;=Assumptions!$H$73),0,IF(ET60&gt;0,MAX(BH60*(1+VLOOKUP($C60,WeatherCapacityAdjustment,2))-FP60,0),0))</f>
        <v>#VALUE!</v>
      </c>
      <c r="FY60" s="1551" t="e">
        <f aca="false">IF(AND(Assumptions!$H$71="Yes",A60&gt;=Assumptions!$H$72,A60&lt;=Assumptions!$H$73),0,IF(EU60&gt;0,MAX(BI60*(1+VLOOKUP($C60,WeatherCapacityAdjustment,3))-FQ60,0),0))</f>
        <v>#VALUE!</v>
      </c>
      <c r="FZ60" s="1551" t="e">
        <f aca="false">IF(AND(Assumptions!$H$71="Yes",A60&gt;=Assumptions!$H$72,A60&lt;=Assumptions!$H$73),0,IF(EV60&gt;0,MAX(BJ60*(1+VLOOKUP($C60,WeatherCapacityAdjustment,2))-FR60,0),0))</f>
        <v>#VALUE!</v>
      </c>
      <c r="GA60" s="1564" t="e">
        <f aca="false">IF(AND(Assumptions!$H$71="Yes",A60&gt;=Assumptions!$H$72,A60&lt;=Assumptions!$H$73),0,IF(EW60&gt;0,MAX(BK60*(1+VLOOKUP($C60,WeatherCapacityAdjustment,2))-FS60,0),0))</f>
        <v>#VALUE!</v>
      </c>
      <c r="GB60" s="1551" t="e">
        <f aca="false">SUM(FT60:GA60)</f>
        <v>#VALUE!</v>
      </c>
      <c r="GC60" s="1563" t="e">
        <f aca="false">+IF(SUM(FT60:GA60)=0,0,(SUMPRODUCT(BU60:BX60,FT60:FW60)+SUMPRODUCT(CA60:CD60,FX60:GA60))/SUM(FT60:GA60))</f>
        <v>#VALUE!</v>
      </c>
      <c r="GD60" s="1551" t="e">
        <f aca="false">(FT60*BU60+FX60*CA60+FU60*BV60+FY60*CB60+FV60*BW60+FZ60*CC60+FW60*BX60+GA60*CD60)</f>
        <v>#VALUE!</v>
      </c>
      <c r="GE60" s="1561" t="e">
        <f aca="false">+IF(BQ60,((FL60+FM60+FT60+FU60)*HeatRatePeak/1000*(1+VLOOKUP($C60,WeatherHeatRateAdjustment,2))+(FN60+FV60)*IF(EV60&gt;0,HeatRatePeak,HeatRateOffPeak)/1000*(1+VLOOKUP($C60,WeatherHeatRateAdjustment,2))+(FO60+FW60)*IF(EW60&gt;0,HeatRatePeak,HeatRateOffPeak)/1000*(1+VLOOKUP($C60,WeatherHeatRateAdjustment,3)))*(1+VLOOKUP($B60,HeatRateDegradation,$C60+1)),0)</f>
        <v>#VALUE!</v>
      </c>
      <c r="GF60" s="1562" t="e">
        <f aca="false">IF(BQ60,((FP60+FQ60+FR60+FX60+FY60+FZ60)*HeatRatePeak/1000*(1+VLOOKUP($C60,WeatherHeatRateAdjustment,2))+(FS60+GA60)*HeatRatePeak/1000*(1+VLOOKUP($C60,WeatherHeatRateAdjustment,3)))*(1+VLOOKUP($B60,HeatRateDegradation,$C60+1)),0)</f>
        <v>#VALUE!</v>
      </c>
      <c r="GG60" s="1563" t="e">
        <f aca="false">IF(BQ60,VLOOKUP(A60,GasTable,13),0)</f>
        <v>#VALUE!</v>
      </c>
      <c r="GH60" s="1564" t="e">
        <f aca="false">(GE60+GF60)*GG60</f>
        <v>#VALUE!</v>
      </c>
      <c r="GI60" s="1569" t="e">
        <f aca="false">GB60</f>
        <v>#VALUE!</v>
      </c>
      <c r="GJ60" s="1598" t="e">
        <f aca="false">+DA60</f>
        <v>#VALUE!</v>
      </c>
      <c r="GK60" s="1558" t="e">
        <f aca="false">+GI60*GJ60</f>
        <v>#VALUE!</v>
      </c>
      <c r="GL60" s="1566" t="e">
        <f aca="false">MAX(FE60-FL60-FP60,0)</f>
        <v>#VALUE!</v>
      </c>
      <c r="GM60" s="1551" t="e">
        <f aca="false">MAX(FF60-FM60-FQ60,0)</f>
        <v>#VALUE!</v>
      </c>
      <c r="GN60" s="1551" t="e">
        <f aca="false">MAX(FG60-FN60-FR60,0)</f>
        <v>#VALUE!</v>
      </c>
      <c r="GO60" s="1564" t="e">
        <f aca="false">MAX(FH60-FO60-FS60,0)</f>
        <v>#VALUE!</v>
      </c>
      <c r="GP60" s="1551" t="e">
        <f aca="false">SUM(GL60:GO60)</f>
        <v>#VALUE!</v>
      </c>
      <c r="GQ60" s="1563" t="e">
        <f aca="false">IF(SUM(GL60:GO60)=0,0,((GL60*BU60+GM60*BV60+GN60*BW60+GO60*BX60)/SUM(GL60:GO60)))</f>
        <v>#VALUE!</v>
      </c>
      <c r="GR60" s="1558" t="e">
        <f aca="false">(GL60*BU60+GM60*BV60+GN60*BW60+GO60*BX60)</f>
        <v>#VALUE!</v>
      </c>
      <c r="GS60" s="1566" t="n">
        <f aca="false">IF($A60&gt;=BegDate,Assumptions!$C$56*24*($A61-$A60)*(1-VLOOKUP($B60,MAIN!$AA$7:$AM$28,$C60+1))*(1-VLOOKUP($B60,MAIN!$AA$33:$AM$54,$C60+1)),0)*80/168</f>
        <v>257742.857142857</v>
      </c>
      <c r="GT60" s="286" t="n">
        <f aca="false">J60</f>
        <v>38.2376588976</v>
      </c>
      <c r="GU60" s="286" t="n">
        <f aca="false">IF($A60&gt;=BegDate,VLOOKUP($A60,GasTable,13)+Assumptions!$C$58,0)</f>
        <v>2.82352759003828</v>
      </c>
      <c r="GV60" s="286" t="n">
        <f aca="false">GU60*Assumptions!$C$57/1000</f>
        <v>20.4705750277775</v>
      </c>
      <c r="GW60" s="1558" t="n">
        <f aca="false">IF(Assumptions!$C$60="Hourly",MAX(0,GS60*(GT60-GV60)),GS60*(GT60-GV60))</f>
        <v>4579338.95970482</v>
      </c>
      <c r="GX60" s="1566" t="n">
        <f aca="false">IF($A60&gt;=BegDate,Assumptions!$C$56*24*($A61-$A60)*(1-VLOOKUP($B60,MAIN!$AA$7:$AM$28,$C60+1))*(1-VLOOKUP($B60,MAIN!$AA$33:$AM$54,$C60+1)),0)*16/168</f>
        <v>51548.5714285714</v>
      </c>
      <c r="GY60" s="286" t="n">
        <f aca="false">M60</f>
        <v>38.2376588976</v>
      </c>
      <c r="GZ60" s="286" t="n">
        <f aca="false">IF($A60&gt;=BegDate,VLOOKUP($A60,GasTable,13)+Assumptions!$C$58,0)</f>
        <v>2.82352759003828</v>
      </c>
      <c r="HA60" s="286" t="n">
        <f aca="false">GZ60*Assumptions!$C$57/1000</f>
        <v>20.4705750277775</v>
      </c>
      <c r="HB60" s="1558" t="n">
        <f aca="false">IF(Assumptions!$C$60="Hourly",MAX(0,GX60*(GY60-HA60)),GX60*(GY60-HA60))</f>
        <v>915867.791940964</v>
      </c>
      <c r="HC60" s="1566" t="n">
        <f aca="false">IF($A60&gt;=BegDate,Assumptions!$C$56*24*($A61-$A60)*(1-VLOOKUP($B60,MAIN!$AA$7:$AM$28,$C60+1))*(1-VLOOKUP($B60,MAIN!$AA$33:$AM$54,$C60+1)),0)*16/168</f>
        <v>51548.5714285714</v>
      </c>
      <c r="HD60" s="286" t="n">
        <f aca="false">P60</f>
        <v>27.1386966672</v>
      </c>
      <c r="HE60" s="286" t="n">
        <f aca="false">IF($A60&gt;=BegDate,VLOOKUP($A60,GasTable,13)+Assumptions!$C$58,0)</f>
        <v>2.82352759003828</v>
      </c>
      <c r="HF60" s="286" t="n">
        <f aca="false">HE60*Assumptions!$C$57/1000</f>
        <v>20.4705750277775</v>
      </c>
      <c r="HG60" s="1558" t="n">
        <f aca="false">IF(Assumptions!$C$60="Hourly",MAX(0,HC60*(HD60-HF60)),HC60*(HD60-HF60))</f>
        <v>343732.144624173</v>
      </c>
      <c r="HH60" s="1566" t="n">
        <f aca="false">IF($A60&gt;=BegDate,Assumptions!$C$56*24*($A61-$A60)*(1-VLOOKUP($B60,MAIN!$AA$7:$AM$28,$C60+1))*(1-VLOOKUP($B60,MAIN!$AA$33:$AM$54,$C60+1)),0)*56/168</f>
        <v>180420</v>
      </c>
      <c r="HI60" s="286" t="n">
        <f aca="false">S60</f>
        <v>27.1386966672</v>
      </c>
      <c r="HJ60" s="286" t="n">
        <f aca="false">IF($A60&gt;=BegDate,VLOOKUP($A60,GasTable,13)+Assumptions!$C$58,0)</f>
        <v>2.82352759003828</v>
      </c>
      <c r="HK60" s="286" t="n">
        <f aca="false">HJ60*Assumptions!$C$57/1000</f>
        <v>20.4705750277775</v>
      </c>
      <c r="HL60" s="1558" t="n">
        <f aca="false">IF(Assumptions!$C$60="Hourly",MAX(0,HH60*(HI60-HK60)),HH60*(HI60-HK60))</f>
        <v>1203062.50618461</v>
      </c>
      <c r="HM60" s="1566" t="n">
        <f aca="false">IF(AND(Assumptions!$H$71="Yes",A60&gt;=Assumptions!$H$72,A60&lt;=Assumptions!$H$73),Assumptions!$H$74*Assumptions!$C$9*1000,0)</f>
        <v>0</v>
      </c>
      <c r="HN60" s="1551"/>
      <c r="HO60" s="1563"/>
      <c r="HP60" s="1563"/>
      <c r="HQ60" s="1563"/>
      <c r="HR60" s="1563"/>
      <c r="HS60" s="1563"/>
      <c r="HT60" s="1563"/>
      <c r="HU60" s="1563"/>
      <c r="HV60" s="1563"/>
      <c r="HW60" s="1563"/>
      <c r="HX60" s="1563"/>
      <c r="HY60" s="1563"/>
      <c r="HZ60" s="1563"/>
      <c r="IA60" s="1563"/>
      <c r="IB60" s="1563"/>
      <c r="IC60" s="1563"/>
      <c r="ID60" s="1563"/>
      <c r="IE60" s="1563"/>
      <c r="IF60" s="1563"/>
      <c r="IG60" s="1563"/>
      <c r="IH60" s="1563"/>
      <c r="II60" s="1610"/>
      <c r="IJ60" s="1309"/>
      <c r="IK60" s="1309"/>
    </row>
    <row r="61" customFormat="false" ht="12.75" hidden="false" customHeight="false" outlineLevel="0" collapsed="false">
      <c r="A61" s="1571" t="n">
        <f aca="false">EOMONTH(A60,0)+1</f>
        <v>37987</v>
      </c>
      <c r="B61" s="594" t="n">
        <f aca="false">+YEAR(A61)</f>
        <v>2004</v>
      </c>
      <c r="C61" s="238" t="n">
        <f aca="false">MONTH(A61)</f>
        <v>1</v>
      </c>
      <c r="D61" s="1572" t="e">
        <f aca="false">IF(E61="","",Holiday(B61,C61))</f>
        <v>#VALUE!</v>
      </c>
      <c r="E61" s="1573" t="n">
        <f aca="false">IF(OR(BegDate&gt;=A62,EndDate&lt;A61,AND(VolumeMonthlyOverFlag,INDEX(VolumeMonthlyOver,C61)=0),NOT(INDEX(MonthKnockOutTable,C61))),"",MAX(A61,BegDate))</f>
        <v>37987</v>
      </c>
      <c r="F61" s="1574" t="n">
        <f aca="false">IF(E61="","",MIN(A62-1,EndDate))</f>
        <v>38017</v>
      </c>
      <c r="G61" s="1575" t="n">
        <v>0</v>
      </c>
      <c r="H61" s="1576" t="n">
        <f aca="false">(1+G61/2)^(-2*(DATE(B62,C62,20)-DateToday)/365.25)</f>
        <v>1</v>
      </c>
      <c r="I61" s="1568" t="n">
        <f aca="false">IF(Assumptions!$L$25=4,VLOOKUP($A61,'Henwood Reference'!$E$9:$R$320,10),(VLOOKUP($A61,PriceTable,2,0)+IF(BasisNumber&lt;&gt;1,VLOOKUP($A61,BasisTable,2,0),0)+I$1)/(1-I$2))</f>
        <v>41.251597860816</v>
      </c>
      <c r="J61" s="1568" t="n">
        <f aca="false">IF(Assumptions!$L$25=4,VLOOKUP($A61,'Henwood Reference'!$E$9:$R$320,10),(VLOOKUP($A61,PriceTable,3,0)+IF(BasisNumber&lt;&gt;1,VLOOKUP($A61,BasisTable,2,0),0)+J$1)/(1-J$2))</f>
        <v>41.251597860816</v>
      </c>
      <c r="K61" s="1568" t="n">
        <f aca="false">IF(Assumptions!$L$25=4,VLOOKUP($A61,'Henwood Reference'!$E$9:$R$320,10),(VLOOKUP($A61,PriceTable,4,0)+IF(BasisNumber&lt;&gt;1,VLOOKUP($A61,BasisTable,2,0),0)+K$1)/(1-K$2))</f>
        <v>41.251597860816</v>
      </c>
      <c r="L61" s="1523" t="n">
        <f aca="false">IF(Assumptions!$L$25=4,VLOOKUP($A61,'Henwood Reference'!$E$9:$R$320,10),(VLOOKUP($A61,PriceTableWeekend,2,0)+IF(BasisNumber&lt;&gt;1,VLOOKUP($A61,BasisTable,2,0),0)+L$1)/(1-L$2))</f>
        <v>41.251597860816</v>
      </c>
      <c r="M61" s="1568" t="n">
        <f aca="false">IF(Assumptions!$L$25=4,VLOOKUP($A61,'Henwood Reference'!$E$9:$R$320,10),(VLOOKUP($A61,PriceTableWeekend,3,0)+IF(BasisNumber&lt;&gt;1,VLOOKUP($A61,BasisTable,2,0),0)+M$1)/(1-M$2))</f>
        <v>41.251597860816</v>
      </c>
      <c r="N61" s="1599" t="n">
        <f aca="false">IF(Assumptions!$L$25=4,VLOOKUP($A61,'Henwood Reference'!$E$9:$R$320,10),(VLOOKUP($A61,PriceTableWeekend,4,0)+IF(BasisNumber&lt;&gt;1,VLOOKUP($A61,BasisTable,2,0),0)+N$1)/(1-N$2))</f>
        <v>41.251597860816</v>
      </c>
      <c r="O61" s="1568" t="n">
        <f aca="false">IF(Assumptions!$L$25=4,VLOOKUP($A61,'Henwood Reference'!$E$9:$R$320,11),(VLOOKUP($A61,PriceTableWeekend,6,0)+IF(BasisNumber&lt;&gt;1,VLOOKUP($A61,BasisTable,3,0),0)+O$1)/(1-O$2))</f>
        <v>26.86217769864</v>
      </c>
      <c r="P61" s="1568" t="n">
        <f aca="false">IF(Assumptions!$L$25=4,VLOOKUP($A61,'Henwood Reference'!$E$9:$R$320,11),(VLOOKUP($A61,PriceTableWeekend,7,0)+IF(BasisNumber&lt;&gt;1,VLOOKUP($A61,BasisTable,3,0),0)+P$1)/(1-P$2))</f>
        <v>26.86217769864</v>
      </c>
      <c r="Q61" s="1599" t="n">
        <f aca="false">IF(Assumptions!$L$25=4,VLOOKUP($A61,'Henwood Reference'!$E$9:$R$320,11),(VLOOKUP($A61,PriceTableWeekend,8,0)+IF(BasisNumber&lt;&gt;1,VLOOKUP($A61,BasisTable,3,0),0)+Q$1)/(1-Q$2))</f>
        <v>26.86217769864</v>
      </c>
      <c r="R61" s="1568" t="n">
        <f aca="false">IF(Assumptions!$L$25=4,VLOOKUP($A61,'Henwood Reference'!$E$9:$R$320,11),(VLOOKUP($A61,PriceTable,6,0)+IF(BasisNumber&lt;&gt;1,VLOOKUP($A61,BasisTable,3,0),0)+R$1)/(1-R$2))</f>
        <v>26.86217769864</v>
      </c>
      <c r="S61" s="1568" t="n">
        <f aca="false">IF(Assumptions!$L$25=4,VLOOKUP($A61,'Henwood Reference'!$E$9:$R$320,11),(VLOOKUP($A61,PriceTable,7,0)+IF(BasisNumber&lt;&gt;1,VLOOKUP($A61,BasisTable,3,0),0)+S$1)/(1-S$2))</f>
        <v>26.86217769864</v>
      </c>
      <c r="T61" s="1600" t="n">
        <f aca="false">IF(Assumptions!$L$25=4,VLOOKUP($A61,'Henwood Reference'!$E$9:$R$320,11),(VLOOKUP($A61,PriceTable,8,0)+IF(BasisNumber&lt;&gt;1,VLOOKUP($A61,BasisTable,3,0),0)+T$1)/(1-T$2))</f>
        <v>26.86217769864</v>
      </c>
      <c r="U61" s="1513" t="n">
        <f aca="false">VLOOKUP($A61,VolatilityTable,14)</f>
        <v>0.15</v>
      </c>
      <c r="V61" s="1513" t="n">
        <f aca="false">VLOOKUP($A61,VolatilityTable,15)</f>
        <v>0.16</v>
      </c>
      <c r="W61" s="1514" t="n">
        <f aca="false">VLOOKUP($A61,VolatilityTable,16)</f>
        <v>0.17</v>
      </c>
      <c r="X61" s="1513" t="n">
        <f aca="false">VLOOKUP($A61,VolatilityTable,14)</f>
        <v>0.15</v>
      </c>
      <c r="Y61" s="1513" t="n">
        <f aca="false">VLOOKUP($A61,VolatilityTable,15)</f>
        <v>0.16</v>
      </c>
      <c r="Z61" s="1514" t="n">
        <f aca="false">VLOOKUP($A61,VolatilityTable,16)</f>
        <v>0.17</v>
      </c>
      <c r="AA61" s="1513" t="n">
        <f aca="false">VLOOKUP($A61,VolatilityTable,18)</f>
        <v>0.09</v>
      </c>
      <c r="AB61" s="1513" t="n">
        <f aca="false">VLOOKUP($A61,VolatilityTable,19)</f>
        <v>0.11</v>
      </c>
      <c r="AC61" s="1514" t="n">
        <f aca="false">VLOOKUP($A61,VolatilityTable,20)</f>
        <v>0.13</v>
      </c>
      <c r="AD61" s="1513" t="n">
        <f aca="false">VLOOKUP($A61,VolatilityTable,18)</f>
        <v>0.09</v>
      </c>
      <c r="AE61" s="1513" t="n">
        <f aca="false">VLOOKUP($A61,VolatilityTable,19)</f>
        <v>0.11</v>
      </c>
      <c r="AF61" s="1514" t="n">
        <f aca="false">VLOOKUP($A61,VolatilityTable,20)</f>
        <v>0.13</v>
      </c>
      <c r="AG61" s="1513" t="n">
        <f aca="false">VLOOKUP($A61,VolatilityTable,22)</f>
        <v>-0.25</v>
      </c>
      <c r="AH61" s="1513" t="n">
        <f aca="false">VLOOKUP($A61,VolatilityTable,23)</f>
        <v>0.65</v>
      </c>
      <c r="AI61" s="1514" t="n">
        <f aca="false">VLOOKUP($A61,VolatilityTable,24)</f>
        <v>0.25</v>
      </c>
      <c r="AJ61" s="1513" t="n">
        <f aca="false">VLOOKUP($A61,VolatilityTable,22)</f>
        <v>-0.25</v>
      </c>
      <c r="AK61" s="1513" t="n">
        <f aca="false">VLOOKUP($A61,VolatilityTable,23)</f>
        <v>0.65</v>
      </c>
      <c r="AL61" s="1514" t="n">
        <f aca="false">VLOOKUP($A61,VolatilityTable,24)</f>
        <v>0.25</v>
      </c>
      <c r="AM61" s="1513" t="n">
        <f aca="false">VLOOKUP($A61,VolatilityTable,26)</f>
        <v>-0.01</v>
      </c>
      <c r="AN61" s="1513" t="n">
        <f aca="false">VLOOKUP($A61,VolatilityTable,27)</f>
        <v>0.16</v>
      </c>
      <c r="AO61" s="1514" t="n">
        <f aca="false">VLOOKUP($A61,VolatilityTable,28)</f>
        <v>0.01</v>
      </c>
      <c r="AP61" s="1513" t="n">
        <f aca="false">VLOOKUP($A61,VolatilityTable,26)</f>
        <v>-0.01</v>
      </c>
      <c r="AQ61" s="1513" t="n">
        <f aca="false">VLOOKUP($A61,VolatilityTable,27)</f>
        <v>0.16</v>
      </c>
      <c r="AR61" s="1515" t="n">
        <f aca="false">VLOOKUP($A61,VolatilityTable,28)</f>
        <v>0.01</v>
      </c>
      <c r="AS61" s="1581" t="n">
        <f aca="false">IF(CorrPeakOffPeakOverFlag,INDEX(CorrPeakOffPeakOver,C61),CorrPeakOffPeak)</f>
        <v>0.5</v>
      </c>
      <c r="AT61" s="594" t="e">
        <f aca="false">AX61-SUM(AU61:AW61)</f>
        <v>#VALUE!</v>
      </c>
      <c r="AU61" s="238" t="e">
        <f aca="false">IF(E61="",0,INT((F61-MOD(F61,7)-E61)/7)+1-IF(AW61,IF(WEEKDAY(D61)=7,1,0),0))</f>
        <v>#VALUE!</v>
      </c>
      <c r="AV61" s="238" t="e">
        <f aca="false">IF(E61="",0,INT((F61-MOD(F61-1,7)-E61)/7)+1-IF(AW61,IF(WEEKDAY(D61)=1,1,0),0))</f>
        <v>#VALUE!</v>
      </c>
      <c r="AW61" s="238" t="e">
        <f aca="false">IF(OR(E61="",D61="",D61&lt;BegDate,D61&gt;EndDate),0,1)</f>
        <v>#VALUE!</v>
      </c>
      <c r="AX61" s="238" t="n">
        <f aca="false">IF(E61="",0,F61-E61+1)</f>
        <v>31</v>
      </c>
      <c r="AY61" s="1582" t="n">
        <f aca="false">IF(E61="",0,MIN((1-(1-VLOOKUP(B61,MAIN!$AA$7:$AM$28,C61+1))*(1-VLOOKUP(B61,MAIN!$AA$33:$AM$54,C61+1))),1))</f>
        <v>0.03</v>
      </c>
      <c r="AZ61" s="1519" t="e">
        <v>#VALUE!</v>
      </c>
      <c r="BA61" s="1520" t="e">
        <v>#VALUE!</v>
      </c>
      <c r="BB61" s="1520" t="e">
        <v>#VALUE!</v>
      </c>
      <c r="BC61" s="1583" t="e">
        <v>#VALUE!</v>
      </c>
      <c r="BD61" s="1522" t="e">
        <v>#VALUE!</v>
      </c>
      <c r="BE61" s="1523" t="e">
        <v>#VALUE!</v>
      </c>
      <c r="BF61" s="1523" t="e">
        <v>#VALUE!</v>
      </c>
      <c r="BG61" s="1584" t="e">
        <v>#VALUE!</v>
      </c>
      <c r="BH61" s="1525" t="e">
        <v>#VALUE!</v>
      </c>
      <c r="BI61" s="1520" t="e">
        <v>#VALUE!</v>
      </c>
      <c r="BJ61" s="1520" t="e">
        <v>#VALUE!</v>
      </c>
      <c r="BK61" s="1583" t="e">
        <v>#VALUE!</v>
      </c>
      <c r="BL61" s="1522" t="e">
        <v>#VALUE!</v>
      </c>
      <c r="BM61" s="1523" t="e">
        <v>#VALUE!</v>
      </c>
      <c r="BN61" s="1523" t="e">
        <v>#VALUE!</v>
      </c>
      <c r="BO61" s="1523" t="e">
        <v>#VALUE!</v>
      </c>
      <c r="BP61" s="1525" t="e">
        <f aca="false">SUM(AZ61:BB61)</f>
        <v>#VALUE!</v>
      </c>
      <c r="BQ61" s="1529" t="e">
        <f aca="false">SUM(AZ61:BC61)</f>
        <v>#VALUE!</v>
      </c>
      <c r="BR61" s="1519" t="e">
        <f aca="false">SUM(BH61:BJ61)</f>
        <v>#VALUE!</v>
      </c>
      <c r="BS61" s="1529" t="e">
        <f aca="false">SUM(BH61:BK61)</f>
        <v>#VALUE!</v>
      </c>
      <c r="BT61" s="1316" t="n">
        <f aca="false">(IF(OVolType&lt;&gt;2,A61+14,IF(OptExpDateShift,ShiftBack(A61,OptExpDateShift,D60),A61))-DateToday)/365.25</f>
        <v>3.71526351813826</v>
      </c>
      <c r="BU61" s="1585" t="e">
        <f aca="false">IF(BQ61,IF(OPriceCurve,IF(OBuySell=OCallPut,I61/(1-AY61),K61/(1-AY61)),J61/(1-AY61))*BD61,0)</f>
        <v>#VALUE!</v>
      </c>
      <c r="BV61" s="1316" t="e">
        <f aca="false">IF(BQ61,IF(OPriceCurve,IF(OBuySell=OCallPut,L61/(1-AY61),N61/(1-AY61)),M61/(1-AY61))*BE61,0)</f>
        <v>#VALUE!</v>
      </c>
      <c r="BW61" s="1316" t="e">
        <f aca="false">IF(BQ61,IF(OPriceCurve,IF(OBuySell=OCallPut,O61/(1-AY61),Q61/(1-AY61)),P61/(1-AY61))*BF61,0)</f>
        <v>#VALUE!</v>
      </c>
      <c r="BX61" s="1316" t="e">
        <f aca="false">IF(BQ61,IF(OPriceCurve,IF(OBuySell=OCallPut,R61/(1-AY61),T61/(1-AY61)),S61/(1-AY61))*BG61,0)</f>
        <v>#VALUE!</v>
      </c>
      <c r="BY61" s="1316" t="e">
        <f aca="false">IF(BP61,(BU61*AZ61+BV61*BA61+BW61*BB61)/BP61,0)</f>
        <v>#VALUE!</v>
      </c>
      <c r="BZ61" s="1316" t="e">
        <f aca="false">IF(BQ61,(BY61*BP61+BX61*BC61)/BQ61,0)</f>
        <v>#VALUE!</v>
      </c>
      <c r="CA61" s="1531" t="e">
        <f aca="false">IF(BS61,IF(OPriceCurve,IF(OBuySell=OCallPut,I61/(1-AY61),K61/(1-AY61)),J61/(1-AY61))*BL61,0)</f>
        <v>#VALUE!</v>
      </c>
      <c r="CB61" s="1316" t="e">
        <f aca="false">IF(BS61,IF(OPriceCurve,IF(OBuySell=OCallPut,L61/(1-AY61),N61/(1-AY61)),M61/(1-AY61))*BM61,0)</f>
        <v>#VALUE!</v>
      </c>
      <c r="CC61" s="1316" t="e">
        <f aca="false">IF(BS61,IF(OPriceCurve,IF(OBuySell=OCallPut,O61/(1-AY61),Q61/(1-AY61)),P61/(1-AY61))*BN61,0)</f>
        <v>#VALUE!</v>
      </c>
      <c r="CD61" s="1316" t="e">
        <f aca="false">IF(BS61,IF(OPriceCurve,IF(OBuySell=OCallPut,R61/(1-AY61),T61/(1-AY61)),S61/(1-AY61))*BO61,0)</f>
        <v>#VALUE!</v>
      </c>
      <c r="CE61" s="1316" t="e">
        <f aca="false">IF(BR61,(BU61*BH61+BV61*BI61+BW61*BJ61)/BR61,0)</f>
        <v>#VALUE!</v>
      </c>
      <c r="CF61" s="1532" t="e">
        <f aca="false">IF(BS61,(CE61*BR61+CD61*BK61)/BS61,0)</f>
        <v>#VALUE!</v>
      </c>
      <c r="CG61" s="1586" t="e">
        <f aca="false">IF(OR(BQ61,BS61),IF(OVolType&lt;&gt;2,SQRT(IF(OVolOverMonthlyPeak,OVolOverMonthlyPeak,IF(OVolCurve,IF(OBuySell,U61,W61),V61))^2*(1-15/365.25/BT61)+IF(OVolOverDailyPeak,OVolOverDailyPeak,IF(OVolCurve,IF(OBuySell,AG61,AI61),AH61))^2*15/365.25/BT61),IF(OVolOverMonthlyPeak,OVolOverMonthlyPeak,IF(OVolCurve,IF(OBuySell,U61,W61),V61))),"")</f>
        <v>#VALUE!</v>
      </c>
      <c r="CH61" s="1587" t="e">
        <f aca="false">IF(OR(BQ61,BS61),IF(OVolType&lt;&gt;2,SQRT(IF(OVolOverMonthlyPeak,OVolOverMonthlyPeak,IF(OVolCurve,IF(OBuySell,X61,Z61),Y61))^2*(1-15/365.25/BT61)+IF(OVolOverDailyPeak,OVolOverDailyPeak,IF(OVolCurve,IF(OBuySell,AJ61,AL61),AK61))^2*15/365.25/BT61),IF(OVolOverMonthlyPeak,OVolOverMonthlyPeak,IF(OVolCurve,IF(OBuySell,X61,Z61),Y61))),"")</f>
        <v>#VALUE!</v>
      </c>
      <c r="CI61" s="1587" t="e">
        <f aca="false">IF(OR(BQ61,BS61),IF(OVolType&lt;&gt;2,SQRT(IF(OVolOverMonthlyPeak,OVolOverMonthlyPeak,IF(OVolCurve,IF(OBuySell,AA61,AC61),AB61))^2*(1-15/365.25/BT61)+IF(OVolOverDailyPeak,OVolOverDailyPeak,IF(OVolCurve,IF(OBuySell,AM61,AO61),AN61))^2*15/365.25/BT61),IF(OVolOverMonthlyPeak,OVolOverMonthlyPeak,IF(OVolCurve,IF(OBuySell,AA61,AC61),AB61))),"")</f>
        <v>#VALUE!</v>
      </c>
      <c r="CJ61" s="1587" t="e">
        <f aca="false">IF(BQ61,IF(BP61,SQRT(LN(1+((BU61*AZ61)^2*(EXP(CG61^2*BT61)-1)+(BV61*BA61)^2*(EXP(CH61^2*BT61)-1)+(BW61*BB61)^2*(EXP(CI61^2*BT61)-1)+2*BU61*AZ61*BV61*BA61*(EXP(CG61*CH61*BT61)-1)+2*BV61*BA61*BW61*BB61*(EXP(CH61*CI61*BT61)-1)+2*BW61*BB61*BU61*AZ61*(EXP(CI61*CG61*BT61)-1))/(BY61*BP61)^2)/BT61),0),"")</f>
        <v>#VALUE!</v>
      </c>
      <c r="CK61" s="1587" t="e">
        <f aca="false">IF(BS61,IF(BR61,SQRT(LN(1+((CA61*BH61)^2*(EXP(CG61^2*BT61)-1)+(CB61*BI61)^2*(EXP(CH61^2*BT61)-1)+(CC61*BJ61)^2*(EXP(CI61^2*BT61)-1)+2*CA61*BH61*CB61*BI61*(EXP(CG61*CH61*BT61)-1)+2*CB61*BI61*CC61*BJ61*(EXP(CH61*CI61*BT61)-1)+2*CC61*BJ61*CA61*BH61*(EXP(CI61*CG61*BT61)-1))/(CE61*BR61)^2)/BT61),0),"")</f>
        <v>#VALUE!</v>
      </c>
      <c r="CL61" s="1587" t="e">
        <f aca="false">IF(OR(BQ61,BS61),IF(OVolType&lt;&gt;2,SQRT(IF(OVolOverMonthlyOffPeak,OVolOverMonthlyOffPeak,IF(OVolCurve,IF(OBuySell,AD61,AF61),AE61))^2*(1-15/365.25/BT61)+IF(OVolOverDailyOffPeak,OVolOverDailyOffPeak,IF(OVolCurve,IF(OBuySell,AP61,AR61),AQ61))^2*15/365.25/BT61),IF(OVolOverMonthlyOffPeak,OVolOverMonthlyOffPeak,IF(OVolCurve,IF(OBuySell,AD61,AF61),AE61))),"")</f>
        <v>#VALUE!</v>
      </c>
      <c r="CM61" s="1587" t="e">
        <f aca="false">IF(BQ61,SQRT(LN(1+((BY61*BP61)^2*(EXP(CJ61^2*BT61)-1)+(BX61*BC61)^2*(EXP(CL61^2*BT61)-1)+2*BY61*BP61*BX61*BC61*(EXP(AS61*CJ61*CL61*BT61)-1))/(BY61*BP61+BX61*BC61)^2)/BT61),"")</f>
        <v>#VALUE!</v>
      </c>
      <c r="CN61" s="1588" t="e">
        <f aca="false">IF(BS61,SQRT(LN(1+((CE61*BR61)^2*(EXP(CK61^2*BT61)-1)+(CD61*BK61)^2*(EXP(CL61^2*BT61)-1)+2*CE61*BR61*CD61*BK61*(EXP(AS61*CK61*CL61*BT61)-1))/(CE61*BR61+CD61*BK61)^2)/BT61),"")</f>
        <v>#VALUE!</v>
      </c>
      <c r="CO61" s="1531" t="e">
        <f aca="false">IF(OR(BQ61,BS61),VLOOKUP(A61,GasTable,13)*HeatRatePeak*(1+VLOOKUP($B61,HeatRateDegradation,$C61+1))/1000,0)</f>
        <v>#VALUE!</v>
      </c>
      <c r="CP61" s="1316" t="e">
        <f aca="false">IF(OR(BQ61,BS61),VLOOKUP(A61,GasTable,13)*HeatRatePeak*(1+VLOOKUP($B61,HeatRateDegradation,$C61+1))/1000,0)</f>
        <v>#VALUE!</v>
      </c>
      <c r="CQ61" s="1316" t="e">
        <f aca="false">IF(OR(BQ61,BS61),VLOOKUP(A61,GasTable,13)*IF(EV61,HeatRatePeak,HeatRateOffPeak)*(1+VLOOKUP($B61,HeatRateDegradation,$C61+1))/1000,0)</f>
        <v>#VALUE!</v>
      </c>
      <c r="CR61" s="1316" t="e">
        <f aca="false">IF(OR(BQ61,BS61),VLOOKUP(A61,GasTable,13)*IF(EW61,HeatRatePeak,HeatRateOffPeak)*(1+VLOOKUP($B61,HeatRateDegradation,$C61+1))/1000,0)</f>
        <v>#VALUE!</v>
      </c>
      <c r="CS61" s="1589" t="e">
        <f aca="false">IF(BQ61,(CO61*AZ61+CP61*BA61+CQ61*BB61+CR61*BC61)/BQ61,0)</f>
        <v>#VALUE!</v>
      </c>
      <c r="CT61" s="1316" t="e">
        <f aca="false">IF(BS61,CO61,0)</f>
        <v>#VALUE!</v>
      </c>
      <c r="CU61" s="1590" t="e">
        <f aca="false">IF(OR(BQ61,BS61),VLOOKUP(A61,GasTable,14),"")</f>
        <v>#VALUE!</v>
      </c>
      <c r="CV61" s="1568" t="e">
        <f aca="false">IF(OR(BQ61,BS61),IF(CorrPowerGasOverFlag,INDEX(CorrPowerGasOver,C61),CorrPowerGas),"")</f>
        <v>#VALUE!</v>
      </c>
      <c r="CW61" s="1316" t="e">
        <f aca="false">IF(OR($BQ61,$BS61),SpreadOptPowerMargin,0)*((1+Assumptions!$C$26)^($B61-YEAR(Assumptions!$C$17)))</f>
        <v>#VALUE!</v>
      </c>
      <c r="CX61" s="1316" t="e">
        <f aca="false">IF(OR($BQ61,$BS61),SpreadOptPowerMargin,0)*((1+Assumptions!$C$26)^($B61-YEAR(Assumptions!$C$17)))</f>
        <v>#VALUE!</v>
      </c>
      <c r="CY61" s="1316" t="e">
        <f aca="false">IF(OR($BQ61,$BS61),SpreadOptPowerMargin,0)*((1+Assumptions!$C$26)^($B61-YEAR(Assumptions!$C$17)))</f>
        <v>#VALUE!</v>
      </c>
      <c r="CZ61" s="1316" t="e">
        <f aca="false">IF(OR($BQ61,$BS61),SpreadOptPowerMargin,0)*((1+Assumptions!$C$26)^($B61-YEAR(Assumptions!$C$17)))</f>
        <v>#VALUE!</v>
      </c>
      <c r="DA61" s="1591" t="e">
        <f aca="false">IF(OR(BQ61,BS61),(CW61*(AZ61+BH61)+CX61*(BA61+BI61)+CY61*(BB61+BJ61)+CZ61*(BC61+BK61))/(BQ61+BS61),0)</f>
        <v>#VALUE!</v>
      </c>
      <c r="DB61" s="1592" t="e">
        <f aca="false">IF(OR(BQ61,BS61),CG61+IF(OVolSmile,VLOOKUP(MAX(-5,CO61+CW61-BU61),IF(OVolSmile=1,VolSmileBook,VolSmileModel),2),0),"")</f>
        <v>#VALUE!</v>
      </c>
      <c r="DC61" s="1592" t="e">
        <f aca="false">IF(OR(BQ61,BS61),CH61+IF(OVolSmile,VLOOKUP(MAX(-5,CP61+CW61-BV61),IF(OVolSmile=1,VolSmileBook,VolSmileModel),2),0),"")</f>
        <v>#VALUE!</v>
      </c>
      <c r="DD61" s="1592" t="e">
        <f aca="false">IF(OR(BQ61,BS61),CI61+IF(OVolSmile,VLOOKUP(MAX(-5,CQ61+CW61-BW61),IF(OVolSmile=1,VolSmileBook,VolSmileModel),2),0),"")</f>
        <v>#VALUE!</v>
      </c>
      <c r="DE61" s="1592" t="e">
        <f aca="false">IF(OR(BQ61,BS61),CL61+IF(OVolSmile,VLOOKUP(MAX(-5,CR61+CZ61-BX61),IF(OVolSmile=1,VolSmileBook,VolSmileModel),2),0),"")</f>
        <v>#VALUE!</v>
      </c>
      <c r="DF61" s="1592" t="e">
        <f aca="false">IF(BQ61,CM61+IF(OVolSmile,VLOOKUP(MAX(-5,CS61+DA61-BZ61),IF(OVolSmile=1,VolSmileBook,VolSmileModel),2),0),"")</f>
        <v>#VALUE!</v>
      </c>
      <c r="DG61" s="1593" t="e">
        <f aca="false">IF(BS61,CN61+IF(OVolSmile,VLOOKUP(MAX(-5,CT61+DA61-CF61),IF(OVolSmile=1,VolSmileBook,VolSmileModel),2),0),"")</f>
        <v>#VALUE!</v>
      </c>
      <c r="DH61" s="1316" t="e">
        <f aca="false">IF(AND(BU61&gt;0,CO61&gt;0,DB61&gt;0,CU61&gt;0),newSPRDOPT(BU61,CO61,CW61,0,DB61,CU61,CV61,BT61*365.25,OCallPut,0),0)</f>
        <v>#VALUE!</v>
      </c>
      <c r="DI61" s="1316" t="e">
        <f aca="false">IF(AND(BV61&gt;0,CP61&gt;0,DC61&gt;0,CU61&gt;0),newSPRDOPT(BV61,CP61,CX61,0,DC61,CU61,CV61,BT61*365.25,OCallPut,0),0)</f>
        <v>#VALUE!</v>
      </c>
      <c r="DJ61" s="1316" t="e">
        <f aca="false">IF(AND(BW61&gt;0,CQ61&gt;0,DD61&gt;0,CU61&gt;0),newSPRDOPT(BW61,CQ61,CY61,0,DD61,CU61,CV61,BT61*365.25,OCallPut,0),0)</f>
        <v>#VALUE!</v>
      </c>
      <c r="DK61" s="1316" t="e">
        <f aca="false">IF(AND(BX61&gt;0,CR61&gt;0,DE61&gt;0,CU61&gt;0),newSPRDOPT(BX61,CR61,CZ61,0,DE61,CU61,CV61,BT61*365.25,OCallPut,0),0)</f>
        <v>#VALUE!</v>
      </c>
      <c r="DL61" s="1316" t="e">
        <f aca="false">IF(OVolType,IF(AND(BZ61&gt;0,CS61&gt;0,DF61&gt;0,CU61&gt;0),newSPRDOPT(BZ61,CS61,DA61,0,DF61,CU61,CV61,BT61*365.25,OCallPut,0),0),IF(BQ61,(DH61*AZ61+DI61*BA61+DJ61*BB61+DK61*BC61)/BQ61,0))</f>
        <v>#VALUE!</v>
      </c>
      <c r="DM61" s="1316"/>
      <c r="DN61" s="1316"/>
      <c r="DO61" s="1316"/>
      <c r="DP61" s="1316"/>
      <c r="DQ61" s="1316"/>
      <c r="DR61" s="1316"/>
      <c r="DS61" s="1316"/>
      <c r="DT61" s="1316"/>
      <c r="DU61" s="1316"/>
      <c r="DV61" s="1316"/>
      <c r="DW61" s="1594" t="e">
        <f aca="false">IF(AND(BW61&gt;0,CT61&gt;0,DD61&gt;0,CU61&gt;0),newSPRDOPT(BW61,CT61,CY61,0,DD61,CU61,CV61,BT61*365.25,OCallPut,0),0)</f>
        <v>#VALUE!</v>
      </c>
      <c r="DX61" s="1316" t="e">
        <f aca="false">IF(AND(BX61&gt;0,CT61&gt;0,DE61&gt;0,CU61&gt;0),newSPRDOPT(BX61,CT61,CZ61,0,DE61,CU61,CV61,BT61*365.25,OCallPut,0),0)</f>
        <v>#VALUE!</v>
      </c>
      <c r="DY61" s="1591" t="e">
        <f aca="false">IF(BS61,(DH61*BH61+DI61*BI61+DW61*BJ61+DX61*BK61)/BS61,0)</f>
        <v>#VALUE!</v>
      </c>
      <c r="DZ61" s="1551" t="e">
        <f aca="false">DH61*AZ61</f>
        <v>#VALUE!</v>
      </c>
      <c r="EA61" s="1551" t="e">
        <f aca="false">DI61*BA61</f>
        <v>#VALUE!</v>
      </c>
      <c r="EB61" s="1551" t="e">
        <f aca="false">DJ61*BB61</f>
        <v>#VALUE!</v>
      </c>
      <c r="EC61" s="1551" t="e">
        <f aca="false">DK61*BC61</f>
        <v>#VALUE!</v>
      </c>
      <c r="ED61" s="1551" t="e">
        <f aca="false">DL61*BQ61</f>
        <v>#VALUE!</v>
      </c>
      <c r="EE61" s="1595" t="e">
        <f aca="false">IF(BQ61,IF(OCallPut,IF(BU61&gt;(CO61+CW61),BU61-(CO61+CW61),0),IF((CO61+CW61)&gt;BU61,(CO61+CW61)-BU61,0))*AZ61,0)</f>
        <v>#VALUE!</v>
      </c>
      <c r="EF61" s="1596" t="e">
        <f aca="false">IF(BQ61,IF(OCallPut,IF(BV61&gt;(CP61+CX61),BV61-(CP61+CX61),0),IF((CP61+CX61)&gt;BV61,(CP61+CX61)-BV61,0))*BA61,0)</f>
        <v>#VALUE!</v>
      </c>
      <c r="EG61" s="1596" t="e">
        <f aca="false">IF(BQ61,IF(OCallPut,IF(BW61&gt;(CQ61+CY61),BW61-(CQ61+CY61),0),IF((CQ61+CY61)&gt;BW61,(CQ61+CY61)-BW61,0))*BB61,0)</f>
        <v>#VALUE!</v>
      </c>
      <c r="EH61" s="1596" t="e">
        <f aca="false">IF(BQ61,IF(OCallPut,IF(BX61&gt;(CR61+CZ61),BX61-(CR61+CZ61),0),IF((CR61+CZ61)&gt;BX61,(CR61+CZ61)-BX61,0))*BC61,0)</f>
        <v>#VALUE!</v>
      </c>
      <c r="EI61" s="1597" t="e">
        <f aca="false">IF(BQ61,IF(OVolType,IF(OCallPut,IF(BZ61&gt;(CS61+DA61),BZ61-(CS61+DA61),0),IF((CS61+DA61)&gt;BZ61,(CS61+DA61)-BZ61,0))*BQ61,SUM(EE61:EH61)),0)</f>
        <v>#VALUE!</v>
      </c>
      <c r="EJ61" s="1595" t="e">
        <f aca="false">DZ61-EE61</f>
        <v>#VALUE!</v>
      </c>
      <c r="EK61" s="1596" t="e">
        <f aca="false">EA61-EF61</f>
        <v>#VALUE!</v>
      </c>
      <c r="EL61" s="1596" t="e">
        <f aca="false">EB61-EG61</f>
        <v>#VALUE!</v>
      </c>
      <c r="EM61" s="1596" t="e">
        <f aca="false">EC61-EH61</f>
        <v>#VALUE!</v>
      </c>
      <c r="EN61" s="1597" t="e">
        <f aca="false">ED61-EI61</f>
        <v>#VALUE!</v>
      </c>
      <c r="EO61" s="1551" t="e">
        <f aca="false">DH61*BH61</f>
        <v>#VALUE!</v>
      </c>
      <c r="EP61" s="1551" t="e">
        <f aca="false">DI61*BI61</f>
        <v>#VALUE!</v>
      </c>
      <c r="EQ61" s="1551" t="e">
        <f aca="false">DW61*BJ61</f>
        <v>#VALUE!</v>
      </c>
      <c r="ER61" s="1551" t="e">
        <f aca="false">DX61*BK61</f>
        <v>#VALUE!</v>
      </c>
      <c r="ES61" s="1551" t="e">
        <f aca="false">DY61*BS61</f>
        <v>#VALUE!</v>
      </c>
      <c r="ET61" s="1566" t="e">
        <f aca="false">IF(EI61,IF(OCallPut,IF(CA61&gt;(CT61+CW61),CA61-(CT61+CW61),0),IF((CT61+CW61)&gt;CA61,(CT61+CW61)-CA61,0))*BH61,0)</f>
        <v>#VALUE!</v>
      </c>
      <c r="EU61" s="1551" t="e">
        <f aca="false">IF(EI61,IF(OCallPut,IF(CB61&gt;(CT61+CX61),CB61-(CT61+CX61),0),IF((CT61+CX61)&gt;CB61,(CT61+CX61)-CB61,0))*BI61,0)</f>
        <v>#VALUE!</v>
      </c>
      <c r="EV61" s="1551" t="e">
        <f aca="false">IF(EI61,IF(OCallPut,IF(CC61&gt;(CT61+CY61),CC61-(CT61+CY61),0),IF((CT61+CY61)&gt;CC61,(CT61+CY61)-CC61,0))*BJ61,0)</f>
        <v>#VALUE!</v>
      </c>
      <c r="EW61" s="1551" t="e">
        <f aca="false">IF(EI61,IF(OCallPut,IF(CD61&gt;(CT61+CZ61),CD61-(CT61+CZ61),0),IF((CT61+CZ61)&gt;CD61,(CT61+CZ61)-CD61,0))*BK61,0)</f>
        <v>#VALUE!</v>
      </c>
      <c r="EX61" s="1558" t="e">
        <f aca="false">IF(EI61,SUM(ET61:EW61),0)</f>
        <v>#VALUE!</v>
      </c>
      <c r="EY61" s="1551" t="e">
        <f aca="false">EO61-ET61</f>
        <v>#VALUE!</v>
      </c>
      <c r="EZ61" s="1551" t="e">
        <f aca="false">EP61-EU61</f>
        <v>#VALUE!</v>
      </c>
      <c r="FA61" s="1551" t="e">
        <f aca="false">EQ61-EV61</f>
        <v>#VALUE!</v>
      </c>
      <c r="FB61" s="1551" t="e">
        <f aca="false">ER61-EW61</f>
        <v>#VALUE!</v>
      </c>
      <c r="FC61" s="1551" t="e">
        <f aca="false">ES61-EX61</f>
        <v>#VALUE!</v>
      </c>
      <c r="FD61" s="1525" t="n">
        <f aca="false">IF(AX61,IF(VLOOKUP(C61,MAIN!$L$17:$M$28,2)="Yes",VLOOKUP(CALC!B61,MAIN!$H$17:$I$20,2),0),0)</f>
        <v>0</v>
      </c>
      <c r="FE61" s="1552" t="e">
        <f aca="false">$FD61*16*AT61*(1-$AY61)</f>
        <v>#VALUE!</v>
      </c>
      <c r="FF61" s="1553" t="e">
        <f aca="false">$FD61*16*AU61*(1-$AY61)</f>
        <v>#VALUE!</v>
      </c>
      <c r="FG61" s="1553" t="e">
        <f aca="false">$FD61*16*(AV61+AW61)*(1-$AY61)</f>
        <v>#VALUE!</v>
      </c>
      <c r="FH61" s="1554" t="n">
        <f aca="false">$FD61*8*AX61*(1-$AY61)</f>
        <v>0</v>
      </c>
      <c r="FI61" s="1555" t="n">
        <f aca="false">IF(AX61,VLOOKUP(CALC!B61,MAIN!$H$17:$K$20,4),0)</f>
        <v>0</v>
      </c>
      <c r="FJ61" s="1553" t="e">
        <f aca="false">SUM(FE61:FH61)</f>
        <v>#VALUE!</v>
      </c>
      <c r="FK61" s="1556" t="e">
        <f aca="false">FI61*FJ61</f>
        <v>#VALUE!</v>
      </c>
      <c r="FL61" s="1551" t="e">
        <f aca="false">IF($EI61&gt;0,MIN(FE61,AZ61*(1+VLOOKUP($C61,WeatherCapacityAdjustment,2))),0)</f>
        <v>#VALUE!</v>
      </c>
      <c r="FM61" s="1551" t="e">
        <f aca="false">IF($EI61&gt;0,MIN(FF61,BA61*(1+VLOOKUP($C61,WeatherCapacityAdjustment,2))),0)</f>
        <v>#VALUE!</v>
      </c>
      <c r="FN61" s="1551" t="e">
        <f aca="false">IF($EI61&gt;0,MIN(FG61,BB61*(1+VLOOKUP($C61,WeatherCapacityAdjustment,2))),0)</f>
        <v>#VALUE!</v>
      </c>
      <c r="FO61" s="1564" t="e">
        <f aca="false">IF($EI61&gt;0,MIN(FH61,BC61*(1+VLOOKUP($C61,WeatherCapacityAdjustment,3))),0)</f>
        <v>#VALUE!</v>
      </c>
      <c r="FP61" s="1551" t="e">
        <f aca="false">IF(ET61&gt;0,MIN(FE61-FL61,BH61*(1+VLOOKUP($C61,WeatherCapacityAdjustment,2))),0)</f>
        <v>#VALUE!</v>
      </c>
      <c r="FQ61" s="1551" t="e">
        <f aca="false">IF(EU61&gt;0,MIN(FF61-FM61,BI61*(1+VLOOKUP($C61,WeatherCapacityAdjustment,2))),0)</f>
        <v>#VALUE!</v>
      </c>
      <c r="FR61" s="1551" t="e">
        <f aca="false">IF(EV61&gt;0,MIN(FG61-FN61,BJ61*(1+VLOOKUP($C61,WeatherCapacityAdjustment,2))),0)</f>
        <v>#VALUE!</v>
      </c>
      <c r="FS61" s="1558" t="e">
        <f aca="false">IF(EW61&gt;0,MIN(FH61-FO61,BK61*(1+VLOOKUP($C61,WeatherCapacityAdjustment,3))),0)</f>
        <v>#VALUE!</v>
      </c>
      <c r="FT61" s="1566" t="e">
        <f aca="false">IF(AND(Assumptions!$H$71="Yes",A61&gt;=Assumptions!$H$72,A61&lt;=Assumptions!$H$73),0,IF(AND($A61&gt;=Assumptions!$C$17,$A61&lt;=Assumptions!$C$18),MAX(AZ61*(1+VLOOKUP($C61,WeatherCapacityAdjustment,2))-FL61,0),0))</f>
        <v>#VALUE!</v>
      </c>
      <c r="FU61" s="1551" t="e">
        <f aca="false">IF(AND(Assumptions!$H$71="Yes",A61&gt;=Assumptions!$H$72,A61&lt;=Assumptions!$H$73),0,IF(AND($A61&gt;=Assumptions!$C$17,$A61&lt;=Assumptions!$C$18),MAX(BA61*(1+VLOOKUP($C61,WeatherCapacityAdjustment,2))-FM61,0),0))</f>
        <v>#VALUE!</v>
      </c>
      <c r="FV61" s="1551" t="e">
        <f aca="false">IF(AND(Assumptions!$H$71="Yes",A61&gt;=Assumptions!$H$72,A61&lt;=Assumptions!$H$73),0,IF(AND($A61&gt;=Assumptions!$C$17,$A61&lt;=Assumptions!$C$18),MAX(BB61*(1+VLOOKUP($C61,WeatherCapacityAdjustment,2))-FN61,0),0))</f>
        <v>#VALUE!</v>
      </c>
      <c r="FW61" s="1564" t="e">
        <f aca="false">IF(AND(Assumptions!$H$71="Yes",A61&gt;=Assumptions!$H$72,A61&lt;=Assumptions!$H$73),0,IF(AND($A61&gt;=Assumptions!$C$17,$A61&lt;=Assumptions!$C$18),MAX(BC61*(1+VLOOKUP($C61,WeatherCapacityAdjustment,3))-FO61,0),0))</f>
        <v>#VALUE!</v>
      </c>
      <c r="FX61" s="1569" t="e">
        <f aca="false">IF(AND(Assumptions!$H$71="Yes",A61&gt;=Assumptions!$H$72,A61&lt;=Assumptions!$H$73),0,IF(ET61&gt;0,MAX(BH61*(1+VLOOKUP($C61,WeatherCapacityAdjustment,2))-FP61,0),0))</f>
        <v>#VALUE!</v>
      </c>
      <c r="FY61" s="1551" t="e">
        <f aca="false">IF(AND(Assumptions!$H$71="Yes",A61&gt;=Assumptions!$H$72,A61&lt;=Assumptions!$H$73),0,IF(EU61&gt;0,MAX(BI61*(1+VLOOKUP($C61,WeatherCapacityAdjustment,3))-FQ61,0),0))</f>
        <v>#VALUE!</v>
      </c>
      <c r="FZ61" s="1551" t="e">
        <f aca="false">IF(AND(Assumptions!$H$71="Yes",A61&gt;=Assumptions!$H$72,A61&lt;=Assumptions!$H$73),0,IF(EV61&gt;0,MAX(BJ61*(1+VLOOKUP($C61,WeatherCapacityAdjustment,2))-FR61,0),0))</f>
        <v>#VALUE!</v>
      </c>
      <c r="GA61" s="1564" t="e">
        <f aca="false">IF(AND(Assumptions!$H$71="Yes",A61&gt;=Assumptions!$H$72,A61&lt;=Assumptions!$H$73),0,IF(EW61&gt;0,MAX(BK61*(1+VLOOKUP($C61,WeatherCapacityAdjustment,2))-FS61,0),0))</f>
        <v>#VALUE!</v>
      </c>
      <c r="GB61" s="1551" t="e">
        <f aca="false">SUM(FT61:GA61)</f>
        <v>#VALUE!</v>
      </c>
      <c r="GC61" s="1563" t="e">
        <f aca="false">+IF(SUM(FT61:GA61)=0,0,(SUMPRODUCT(BU61:BX61,FT61:FW61)+SUMPRODUCT(CA61:CD61,FX61:GA61))/SUM(FT61:GA61))</f>
        <v>#VALUE!</v>
      </c>
      <c r="GD61" s="1551" t="e">
        <f aca="false">(FT61*BU61+FX61*CA61+FU61*BV61+FY61*CB61+FV61*BW61+FZ61*CC61+FW61*BX61+GA61*CD61)</f>
        <v>#VALUE!</v>
      </c>
      <c r="GE61" s="1561" t="e">
        <f aca="false">+IF(BQ61,((FL61+FM61+FT61+FU61)*HeatRatePeak/1000*(1+VLOOKUP($C61,WeatherHeatRateAdjustment,2))+(FN61+FV61)*IF(EV61&gt;0,HeatRatePeak,HeatRateOffPeak)/1000*(1+VLOOKUP($C61,WeatherHeatRateAdjustment,2))+(FO61+FW61)*IF(EW61&gt;0,HeatRatePeak,HeatRateOffPeak)/1000*(1+VLOOKUP($C61,WeatherHeatRateAdjustment,3)))*(1+VLOOKUP($B61,HeatRateDegradation,$C61+1)),0)</f>
        <v>#VALUE!</v>
      </c>
      <c r="GF61" s="1562" t="e">
        <f aca="false">IF(BQ61,((FP61+FQ61+FR61+FX61+FY61+FZ61)*HeatRatePeak/1000*(1+VLOOKUP($C61,WeatherHeatRateAdjustment,2))+(FS61+GA61)*HeatRatePeak/1000*(1+VLOOKUP($C61,WeatherHeatRateAdjustment,3)))*(1+VLOOKUP($B61,HeatRateDegradation,$C61+1)),0)</f>
        <v>#VALUE!</v>
      </c>
      <c r="GG61" s="1563" t="e">
        <f aca="false">IF(BQ61,VLOOKUP(A61,GasTable,13),0)</f>
        <v>#VALUE!</v>
      </c>
      <c r="GH61" s="1564" t="e">
        <f aca="false">(GE61+GF61)*GG61</f>
        <v>#VALUE!</v>
      </c>
      <c r="GI61" s="1569" t="e">
        <f aca="false">GB61</f>
        <v>#VALUE!</v>
      </c>
      <c r="GJ61" s="1598" t="e">
        <f aca="false">+DA61</f>
        <v>#VALUE!</v>
      </c>
      <c r="GK61" s="1558" t="e">
        <f aca="false">+GI61*GJ61</f>
        <v>#VALUE!</v>
      </c>
      <c r="GL61" s="1566" t="e">
        <f aca="false">MAX(FE61-FL61-FP61,0)</f>
        <v>#VALUE!</v>
      </c>
      <c r="GM61" s="1551" t="e">
        <f aca="false">MAX(FF61-FM61-FQ61,0)</f>
        <v>#VALUE!</v>
      </c>
      <c r="GN61" s="1551" t="e">
        <f aca="false">MAX(FG61-FN61-FR61,0)</f>
        <v>#VALUE!</v>
      </c>
      <c r="GO61" s="1564" t="e">
        <f aca="false">MAX(FH61-FO61-FS61,0)</f>
        <v>#VALUE!</v>
      </c>
      <c r="GP61" s="1551" t="e">
        <f aca="false">SUM(GL61:GO61)</f>
        <v>#VALUE!</v>
      </c>
      <c r="GQ61" s="1563" t="e">
        <f aca="false">IF(SUM(GL61:GO61)=0,0,((GL61*BU61+GM61*BV61+GN61*BW61+GO61*BX61)/SUM(GL61:GO61)))</f>
        <v>#VALUE!</v>
      </c>
      <c r="GR61" s="1558" t="e">
        <f aca="false">(GL61*BU61+GM61*BV61+GN61*BW61+GO61*BX61)</f>
        <v>#VALUE!</v>
      </c>
      <c r="GS61" s="1566" t="n">
        <f aca="false">IF($A61&gt;=BegDate,Assumptions!$C$56*24*($A62-$A61)*(1-VLOOKUP($B61,MAIN!$AA$7:$AM$28,$C61+1))*(1-VLOOKUP($B61,MAIN!$AA$33:$AM$54,$C61+1)),0)*80/168</f>
        <v>257742.857142857</v>
      </c>
      <c r="GT61" s="286" t="n">
        <f aca="false">J61</f>
        <v>41.251597860816</v>
      </c>
      <c r="GU61" s="286" t="n">
        <f aca="false">IF($A61&gt;=BegDate,VLOOKUP($A61,GasTable,13)+Assumptions!$C$58,0)</f>
        <v>2.75275234026125</v>
      </c>
      <c r="GV61" s="286" t="n">
        <f aca="false">GU61*Assumptions!$C$57/1000</f>
        <v>19.9574544668941</v>
      </c>
      <c r="GW61" s="1558" t="n">
        <f aca="false">IF(Assumptions!$C$60="Hourly",MAX(0,GS61*(GT61-GV61)),GS61*(GT61-GV61))</f>
        <v>5488413.35875914</v>
      </c>
      <c r="GX61" s="1566" t="n">
        <f aca="false">IF($A61&gt;=BegDate,Assumptions!$C$56*24*($A62-$A61)*(1-VLOOKUP($B61,MAIN!$AA$7:$AM$28,$C61+1))*(1-VLOOKUP($B61,MAIN!$AA$33:$AM$54,$C61+1)),0)*16/168</f>
        <v>51548.5714285714</v>
      </c>
      <c r="GY61" s="286" t="n">
        <f aca="false">M61</f>
        <v>41.251597860816</v>
      </c>
      <c r="GZ61" s="286" t="n">
        <f aca="false">IF($A61&gt;=BegDate,VLOOKUP($A61,GasTable,13)+Assumptions!$C$58,0)</f>
        <v>2.75275234026125</v>
      </c>
      <c r="HA61" s="286" t="n">
        <f aca="false">GZ61*Assumptions!$C$57/1000</f>
        <v>19.9574544668941</v>
      </c>
      <c r="HB61" s="1558" t="n">
        <f aca="false">IF(Assumptions!$C$60="Hourly",MAX(0,GX61*(GY61-HA61)),GX61*(GY61-HA61))</f>
        <v>1097682.67175183</v>
      </c>
      <c r="HC61" s="1566" t="n">
        <f aca="false">IF($A61&gt;=BegDate,Assumptions!$C$56*24*($A62-$A61)*(1-VLOOKUP($B61,MAIN!$AA$7:$AM$28,$C61+1))*(1-VLOOKUP($B61,MAIN!$AA$33:$AM$54,$C61+1)),0)*16/168</f>
        <v>51548.5714285714</v>
      </c>
      <c r="HD61" s="286" t="n">
        <f aca="false">P61</f>
        <v>26.86217769864</v>
      </c>
      <c r="HE61" s="286" t="n">
        <f aca="false">IF($A61&gt;=BegDate,VLOOKUP($A61,GasTable,13)+Assumptions!$C$58,0)</f>
        <v>2.75275234026125</v>
      </c>
      <c r="HF61" s="286" t="n">
        <f aca="false">HE61*Assumptions!$C$57/1000</f>
        <v>19.9574544668941</v>
      </c>
      <c r="HG61" s="1558" t="n">
        <f aca="false">IF(Assumptions!$C$60="Hourly",MAX(0,HC61*(HD61-HF61)),HC61*(HD61-HF61))</f>
        <v>355928.618706172</v>
      </c>
      <c r="HH61" s="1566" t="n">
        <f aca="false">IF($A61&gt;=BegDate,Assumptions!$C$56*24*($A62-$A61)*(1-VLOOKUP($B61,MAIN!$AA$7:$AM$28,$C61+1))*(1-VLOOKUP($B61,MAIN!$AA$33:$AM$54,$C61+1)),0)*56/168</f>
        <v>180420</v>
      </c>
      <c r="HI61" s="286" t="n">
        <f aca="false">S61</f>
        <v>26.86217769864</v>
      </c>
      <c r="HJ61" s="286" t="n">
        <f aca="false">IF($A61&gt;=BegDate,VLOOKUP($A61,GasTable,13)+Assumptions!$C$58,0)</f>
        <v>2.75275234026125</v>
      </c>
      <c r="HK61" s="286" t="n">
        <f aca="false">HJ61*Assumptions!$C$57/1000</f>
        <v>19.9574544668941</v>
      </c>
      <c r="HL61" s="1558" t="n">
        <f aca="false">IF(Assumptions!$C$60="Hourly",MAX(0,HH61*(HI61-HK61)),HH61*(HI61-HK61))</f>
        <v>1245750.1654716</v>
      </c>
      <c r="HM61" s="1566" t="n">
        <f aca="false">IF(AND(Assumptions!$H$71="Yes",A61&gt;=Assumptions!$H$72,A61&lt;=Assumptions!$H$73),Assumptions!$H$74*Assumptions!$C$9*1000,0)</f>
        <v>0</v>
      </c>
      <c r="HN61" s="1551"/>
      <c r="HO61" s="1563"/>
      <c r="HP61" s="1563"/>
      <c r="HQ61" s="1563"/>
      <c r="HR61" s="1563"/>
      <c r="HS61" s="1563"/>
      <c r="HT61" s="1563"/>
      <c r="HU61" s="1563"/>
      <c r="HV61" s="1563"/>
      <c r="HW61" s="1563"/>
      <c r="HX61" s="1563"/>
      <c r="HY61" s="1563"/>
      <c r="HZ61" s="1563"/>
      <c r="IA61" s="1563"/>
      <c r="IB61" s="1563"/>
      <c r="IC61" s="1563"/>
      <c r="ID61" s="1563"/>
      <c r="IE61" s="1563"/>
      <c r="IF61" s="1563"/>
      <c r="IG61" s="1563"/>
      <c r="IH61" s="1563"/>
      <c r="II61" s="1610"/>
      <c r="IJ61" s="1309"/>
      <c r="IK61" s="1309"/>
    </row>
    <row r="62" customFormat="false" ht="12.75" hidden="false" customHeight="false" outlineLevel="0" collapsed="false">
      <c r="A62" s="1571" t="n">
        <f aca="false">EOMONTH(A61,0)+1</f>
        <v>38018</v>
      </c>
      <c r="B62" s="594" t="n">
        <f aca="false">+YEAR(A62)</f>
        <v>2004</v>
      </c>
      <c r="C62" s="238" t="n">
        <f aca="false">MONTH(A62)</f>
        <v>2</v>
      </c>
      <c r="D62" s="1572" t="e">
        <f aca="false">IF(E62="","",Holiday(B62,C62))</f>
        <v>#VALUE!</v>
      </c>
      <c r="E62" s="1573" t="n">
        <f aca="false">IF(OR(BegDate&gt;=A63,EndDate&lt;A62,AND(VolumeMonthlyOverFlag,INDEX(VolumeMonthlyOver,C62)=0),NOT(INDEX(MonthKnockOutTable,C62))),"",MAX(A62,BegDate))</f>
        <v>38018</v>
      </c>
      <c r="F62" s="1574" t="n">
        <f aca="false">IF(E62="","",MIN(A63-1,EndDate))</f>
        <v>38046</v>
      </c>
      <c r="G62" s="1575" t="n">
        <v>0</v>
      </c>
      <c r="H62" s="1576" t="n">
        <f aca="false">(1+G62/2)^(-2*(DATE(B63,C63,20)-DateToday)/365.25)</f>
        <v>1</v>
      </c>
      <c r="I62" s="1568" t="n">
        <f aca="false">IF(Assumptions!$L$25=4,VLOOKUP($A62,'Henwood Reference'!$E$9:$R$320,10),(VLOOKUP($A62,PriceTable,2,0)+IF(BasisNumber&lt;&gt;1,VLOOKUP($A62,BasisTable,2,0),0)+I$1)/(1-I$2))</f>
        <v>33.318236073744</v>
      </c>
      <c r="J62" s="1568" t="n">
        <f aca="false">IF(Assumptions!$L$25=4,VLOOKUP($A62,'Henwood Reference'!$E$9:$R$320,10),(VLOOKUP($A62,PriceTable,3,0)+IF(BasisNumber&lt;&gt;1,VLOOKUP($A62,BasisTable,2,0),0)+J$1)/(1-J$2))</f>
        <v>33.318236073744</v>
      </c>
      <c r="K62" s="1568" t="n">
        <f aca="false">IF(Assumptions!$L$25=4,VLOOKUP($A62,'Henwood Reference'!$E$9:$R$320,10),(VLOOKUP($A62,PriceTable,4,0)+IF(BasisNumber&lt;&gt;1,VLOOKUP($A62,BasisTable,2,0),0)+K$1)/(1-K$2))</f>
        <v>33.318236073744</v>
      </c>
      <c r="L62" s="1523" t="n">
        <f aca="false">IF(Assumptions!$L$25=4,VLOOKUP($A62,'Henwood Reference'!$E$9:$R$320,10),(VLOOKUP($A62,PriceTableWeekend,2,0)+IF(BasisNumber&lt;&gt;1,VLOOKUP($A62,BasisTable,2,0),0)+L$1)/(1-L$2))</f>
        <v>33.318236073744</v>
      </c>
      <c r="M62" s="1568" t="n">
        <f aca="false">IF(Assumptions!$L$25=4,VLOOKUP($A62,'Henwood Reference'!$E$9:$R$320,10),(VLOOKUP($A62,PriceTableWeekend,3,0)+IF(BasisNumber&lt;&gt;1,VLOOKUP($A62,BasisTable,2,0),0)+M$1)/(1-M$2))</f>
        <v>33.318236073744</v>
      </c>
      <c r="N62" s="1599" t="n">
        <f aca="false">IF(Assumptions!$L$25=4,VLOOKUP($A62,'Henwood Reference'!$E$9:$R$320,10),(VLOOKUP($A62,PriceTableWeekend,4,0)+IF(BasisNumber&lt;&gt;1,VLOOKUP($A62,BasisTable,2,0),0)+N$1)/(1-N$2))</f>
        <v>33.318236073744</v>
      </c>
      <c r="O62" s="1568" t="n">
        <f aca="false">IF(Assumptions!$L$25=4,VLOOKUP($A62,'Henwood Reference'!$E$9:$R$320,11),(VLOOKUP($A62,PriceTableWeekend,6,0)+IF(BasisNumber&lt;&gt;1,VLOOKUP($A62,BasisTable,3,0),0)+O$1)/(1-O$2))</f>
        <v>22.97029286736</v>
      </c>
      <c r="P62" s="1568" t="n">
        <f aca="false">IF(Assumptions!$L$25=4,VLOOKUP($A62,'Henwood Reference'!$E$9:$R$320,11),(VLOOKUP($A62,PriceTableWeekend,7,0)+IF(BasisNumber&lt;&gt;1,VLOOKUP($A62,BasisTable,3,0),0)+P$1)/(1-P$2))</f>
        <v>22.97029286736</v>
      </c>
      <c r="Q62" s="1599" t="n">
        <f aca="false">IF(Assumptions!$L$25=4,VLOOKUP($A62,'Henwood Reference'!$E$9:$R$320,11),(VLOOKUP($A62,PriceTableWeekend,8,0)+IF(BasisNumber&lt;&gt;1,VLOOKUP($A62,BasisTable,3,0),0)+Q$1)/(1-Q$2))</f>
        <v>22.97029286736</v>
      </c>
      <c r="R62" s="1568" t="n">
        <f aca="false">IF(Assumptions!$L$25=4,VLOOKUP($A62,'Henwood Reference'!$E$9:$R$320,11),(VLOOKUP($A62,PriceTable,6,0)+IF(BasisNumber&lt;&gt;1,VLOOKUP($A62,BasisTable,3,0),0)+R$1)/(1-R$2))</f>
        <v>22.97029286736</v>
      </c>
      <c r="S62" s="1568" t="n">
        <f aca="false">IF(Assumptions!$L$25=4,VLOOKUP($A62,'Henwood Reference'!$E$9:$R$320,11),(VLOOKUP($A62,PriceTable,7,0)+IF(BasisNumber&lt;&gt;1,VLOOKUP($A62,BasisTable,3,0),0)+S$1)/(1-S$2))</f>
        <v>22.97029286736</v>
      </c>
      <c r="T62" s="1600" t="n">
        <f aca="false">IF(Assumptions!$L$25=4,VLOOKUP($A62,'Henwood Reference'!$E$9:$R$320,11),(VLOOKUP($A62,PriceTable,8,0)+IF(BasisNumber&lt;&gt;1,VLOOKUP($A62,BasisTable,3,0),0)+T$1)/(1-T$2))</f>
        <v>22.97029286736</v>
      </c>
      <c r="U62" s="1513" t="n">
        <f aca="false">VLOOKUP($A62,VolatilityTable,14)</f>
        <v>0.15</v>
      </c>
      <c r="V62" s="1513" t="n">
        <f aca="false">VLOOKUP($A62,VolatilityTable,15)</f>
        <v>0.16</v>
      </c>
      <c r="W62" s="1514" t="n">
        <f aca="false">VLOOKUP($A62,VolatilityTable,16)</f>
        <v>0.17</v>
      </c>
      <c r="X62" s="1513" t="n">
        <f aca="false">VLOOKUP($A62,VolatilityTable,14)</f>
        <v>0.15</v>
      </c>
      <c r="Y62" s="1513" t="n">
        <f aca="false">VLOOKUP($A62,VolatilityTable,15)</f>
        <v>0.16</v>
      </c>
      <c r="Z62" s="1514" t="n">
        <f aca="false">VLOOKUP($A62,VolatilityTable,16)</f>
        <v>0.17</v>
      </c>
      <c r="AA62" s="1513" t="n">
        <f aca="false">VLOOKUP($A62,VolatilityTable,18)</f>
        <v>0.09</v>
      </c>
      <c r="AB62" s="1513" t="n">
        <f aca="false">VLOOKUP($A62,VolatilityTable,19)</f>
        <v>0.11</v>
      </c>
      <c r="AC62" s="1514" t="n">
        <f aca="false">VLOOKUP($A62,VolatilityTable,20)</f>
        <v>0.13</v>
      </c>
      <c r="AD62" s="1513" t="n">
        <f aca="false">VLOOKUP($A62,VolatilityTable,18)</f>
        <v>0.09</v>
      </c>
      <c r="AE62" s="1513" t="n">
        <f aca="false">VLOOKUP($A62,VolatilityTable,19)</f>
        <v>0.11</v>
      </c>
      <c r="AF62" s="1514" t="n">
        <f aca="false">VLOOKUP($A62,VolatilityTable,20)</f>
        <v>0.13</v>
      </c>
      <c r="AG62" s="1513" t="n">
        <f aca="false">VLOOKUP($A62,VolatilityTable,22)</f>
        <v>-0.25</v>
      </c>
      <c r="AH62" s="1513" t="n">
        <f aca="false">VLOOKUP($A62,VolatilityTable,23)</f>
        <v>0.65</v>
      </c>
      <c r="AI62" s="1514" t="n">
        <f aca="false">VLOOKUP($A62,VolatilityTable,24)</f>
        <v>0.25</v>
      </c>
      <c r="AJ62" s="1513" t="n">
        <f aca="false">VLOOKUP($A62,VolatilityTable,22)</f>
        <v>-0.25</v>
      </c>
      <c r="AK62" s="1513" t="n">
        <f aca="false">VLOOKUP($A62,VolatilityTable,23)</f>
        <v>0.65</v>
      </c>
      <c r="AL62" s="1514" t="n">
        <f aca="false">VLOOKUP($A62,VolatilityTable,24)</f>
        <v>0.25</v>
      </c>
      <c r="AM62" s="1513" t="n">
        <f aca="false">VLOOKUP($A62,VolatilityTable,26)</f>
        <v>-0.01</v>
      </c>
      <c r="AN62" s="1513" t="n">
        <f aca="false">VLOOKUP($A62,VolatilityTable,27)</f>
        <v>0.16</v>
      </c>
      <c r="AO62" s="1514" t="n">
        <f aca="false">VLOOKUP($A62,VolatilityTable,28)</f>
        <v>0.01</v>
      </c>
      <c r="AP62" s="1513" t="n">
        <f aca="false">VLOOKUP($A62,VolatilityTable,26)</f>
        <v>-0.01</v>
      </c>
      <c r="AQ62" s="1513" t="n">
        <f aca="false">VLOOKUP($A62,VolatilityTable,27)</f>
        <v>0.16</v>
      </c>
      <c r="AR62" s="1515" t="n">
        <f aca="false">VLOOKUP($A62,VolatilityTable,28)</f>
        <v>0.01</v>
      </c>
      <c r="AS62" s="1581" t="n">
        <f aca="false">IF(CorrPeakOffPeakOverFlag,INDEX(CorrPeakOffPeakOver,C62),CorrPeakOffPeak)</f>
        <v>0.5</v>
      </c>
      <c r="AT62" s="594" t="e">
        <f aca="false">AX62-SUM(AU62:AW62)</f>
        <v>#VALUE!</v>
      </c>
      <c r="AU62" s="238" t="e">
        <f aca="false">IF(E62="",0,INT((F62-MOD(F62,7)-E62)/7)+1-IF(AW62,IF(WEEKDAY(D62)=7,1,0),0))</f>
        <v>#VALUE!</v>
      </c>
      <c r="AV62" s="238" t="e">
        <f aca="false">IF(E62="",0,INT((F62-MOD(F62-1,7)-E62)/7)+1-IF(AW62,IF(WEEKDAY(D62)=1,1,0),0))</f>
        <v>#VALUE!</v>
      </c>
      <c r="AW62" s="238" t="e">
        <f aca="false">IF(OR(E62="",D62="",D62&lt;BegDate,D62&gt;EndDate),0,1)</f>
        <v>#VALUE!</v>
      </c>
      <c r="AX62" s="238" t="n">
        <f aca="false">IF(E62="",0,F62-E62+1)</f>
        <v>29</v>
      </c>
      <c r="AY62" s="1582" t="n">
        <f aca="false">IF(E62="",0,MIN((1-(1-VLOOKUP(B62,MAIN!$AA$7:$AM$28,C62+1))*(1-VLOOKUP(B62,MAIN!$AA$33:$AM$54,C62+1))),1))</f>
        <v>0.03</v>
      </c>
      <c r="AZ62" s="1519" t="e">
        <v>#VALUE!</v>
      </c>
      <c r="BA62" s="1520" t="e">
        <v>#VALUE!</v>
      </c>
      <c r="BB62" s="1520" t="e">
        <v>#VALUE!</v>
      </c>
      <c r="BC62" s="1583" t="e">
        <v>#VALUE!</v>
      </c>
      <c r="BD62" s="1522" t="e">
        <v>#VALUE!</v>
      </c>
      <c r="BE62" s="1523" t="e">
        <v>#VALUE!</v>
      </c>
      <c r="BF62" s="1523" t="e">
        <v>#VALUE!</v>
      </c>
      <c r="BG62" s="1584" t="e">
        <v>#VALUE!</v>
      </c>
      <c r="BH62" s="1525" t="e">
        <v>#VALUE!</v>
      </c>
      <c r="BI62" s="1520" t="e">
        <v>#VALUE!</v>
      </c>
      <c r="BJ62" s="1520" t="e">
        <v>#VALUE!</v>
      </c>
      <c r="BK62" s="1583" t="e">
        <v>#VALUE!</v>
      </c>
      <c r="BL62" s="1522" t="e">
        <v>#VALUE!</v>
      </c>
      <c r="BM62" s="1523" t="e">
        <v>#VALUE!</v>
      </c>
      <c r="BN62" s="1523" t="e">
        <v>#VALUE!</v>
      </c>
      <c r="BO62" s="1523" t="e">
        <v>#VALUE!</v>
      </c>
      <c r="BP62" s="1525" t="e">
        <f aca="false">SUM(AZ62:BB62)</f>
        <v>#VALUE!</v>
      </c>
      <c r="BQ62" s="1529" t="e">
        <f aca="false">SUM(AZ62:BC62)</f>
        <v>#VALUE!</v>
      </c>
      <c r="BR62" s="1519" t="e">
        <f aca="false">SUM(BH62:BJ62)</f>
        <v>#VALUE!</v>
      </c>
      <c r="BS62" s="1529" t="e">
        <f aca="false">SUM(BH62:BK62)</f>
        <v>#VALUE!</v>
      </c>
      <c r="BT62" s="1316" t="n">
        <f aca="false">(IF(OVolType&lt;&gt;2,A62+14,IF(OptExpDateShift,ShiftBack(A62,OptExpDateShift,D61),A62))-DateToday)/365.25</f>
        <v>3.80013689253936</v>
      </c>
      <c r="BU62" s="1585" t="e">
        <f aca="false">IF(BQ62,IF(OPriceCurve,IF(OBuySell=OCallPut,I62/(1-AY62),K62/(1-AY62)),J62/(1-AY62))*BD62,0)</f>
        <v>#VALUE!</v>
      </c>
      <c r="BV62" s="1316" t="e">
        <f aca="false">IF(BQ62,IF(OPriceCurve,IF(OBuySell=OCallPut,L62/(1-AY62),N62/(1-AY62)),M62/(1-AY62))*BE62,0)</f>
        <v>#VALUE!</v>
      </c>
      <c r="BW62" s="1316" t="e">
        <f aca="false">IF(BQ62,IF(OPriceCurve,IF(OBuySell=OCallPut,O62/(1-AY62),Q62/(1-AY62)),P62/(1-AY62))*BF62,0)</f>
        <v>#VALUE!</v>
      </c>
      <c r="BX62" s="1316" t="e">
        <f aca="false">IF(BQ62,IF(OPriceCurve,IF(OBuySell=OCallPut,R62/(1-AY62),T62/(1-AY62)),S62/(1-AY62))*BG62,0)</f>
        <v>#VALUE!</v>
      </c>
      <c r="BY62" s="1316" t="e">
        <f aca="false">IF(BP62,(BU62*AZ62+BV62*BA62+BW62*BB62)/BP62,0)</f>
        <v>#VALUE!</v>
      </c>
      <c r="BZ62" s="1316" t="e">
        <f aca="false">IF(BQ62,(BY62*BP62+BX62*BC62)/BQ62,0)</f>
        <v>#VALUE!</v>
      </c>
      <c r="CA62" s="1531" t="e">
        <f aca="false">IF(BS62,IF(OPriceCurve,IF(OBuySell=OCallPut,I62/(1-AY62),K62/(1-AY62)),J62/(1-AY62))*BL62,0)</f>
        <v>#VALUE!</v>
      </c>
      <c r="CB62" s="1316" t="e">
        <f aca="false">IF(BS62,IF(OPriceCurve,IF(OBuySell=OCallPut,L62/(1-AY62),N62/(1-AY62)),M62/(1-AY62))*BM62,0)</f>
        <v>#VALUE!</v>
      </c>
      <c r="CC62" s="1316" t="e">
        <f aca="false">IF(BS62,IF(OPriceCurve,IF(OBuySell=OCallPut,O62/(1-AY62),Q62/(1-AY62)),P62/(1-AY62))*BN62,0)</f>
        <v>#VALUE!</v>
      </c>
      <c r="CD62" s="1316" t="e">
        <f aca="false">IF(BS62,IF(OPriceCurve,IF(OBuySell=OCallPut,R62/(1-AY62),T62/(1-AY62)),S62/(1-AY62))*BO62,0)</f>
        <v>#VALUE!</v>
      </c>
      <c r="CE62" s="1316" t="e">
        <f aca="false">IF(BR62,(BU62*BH62+BV62*BI62+BW62*BJ62)/BR62,0)</f>
        <v>#VALUE!</v>
      </c>
      <c r="CF62" s="1532" t="e">
        <f aca="false">IF(BS62,(CE62*BR62+CD62*BK62)/BS62,0)</f>
        <v>#VALUE!</v>
      </c>
      <c r="CG62" s="1586" t="e">
        <f aca="false">IF(OR(BQ62,BS62),IF(OVolType&lt;&gt;2,SQRT(IF(OVolOverMonthlyPeak,OVolOverMonthlyPeak,IF(OVolCurve,IF(OBuySell,U62,W62),V62))^2*(1-15/365.25/BT62)+IF(OVolOverDailyPeak,OVolOverDailyPeak,IF(OVolCurve,IF(OBuySell,AG62,AI62),AH62))^2*15/365.25/BT62),IF(OVolOverMonthlyPeak,OVolOverMonthlyPeak,IF(OVolCurve,IF(OBuySell,U62,W62),V62))),"")</f>
        <v>#VALUE!</v>
      </c>
      <c r="CH62" s="1587" t="e">
        <f aca="false">IF(OR(BQ62,BS62),IF(OVolType&lt;&gt;2,SQRT(IF(OVolOverMonthlyPeak,OVolOverMonthlyPeak,IF(OVolCurve,IF(OBuySell,X62,Z62),Y62))^2*(1-15/365.25/BT62)+IF(OVolOverDailyPeak,OVolOverDailyPeak,IF(OVolCurve,IF(OBuySell,AJ62,AL62),AK62))^2*15/365.25/BT62),IF(OVolOverMonthlyPeak,OVolOverMonthlyPeak,IF(OVolCurve,IF(OBuySell,X62,Z62),Y62))),"")</f>
        <v>#VALUE!</v>
      </c>
      <c r="CI62" s="1587" t="e">
        <f aca="false">IF(OR(BQ62,BS62),IF(OVolType&lt;&gt;2,SQRT(IF(OVolOverMonthlyPeak,OVolOverMonthlyPeak,IF(OVolCurve,IF(OBuySell,AA62,AC62),AB62))^2*(1-15/365.25/BT62)+IF(OVolOverDailyPeak,OVolOverDailyPeak,IF(OVolCurve,IF(OBuySell,AM62,AO62),AN62))^2*15/365.25/BT62),IF(OVolOverMonthlyPeak,OVolOverMonthlyPeak,IF(OVolCurve,IF(OBuySell,AA62,AC62),AB62))),"")</f>
        <v>#VALUE!</v>
      </c>
      <c r="CJ62" s="1587" t="e">
        <f aca="false">IF(BQ62,IF(BP62,SQRT(LN(1+((BU62*AZ62)^2*(EXP(CG62^2*BT62)-1)+(BV62*BA62)^2*(EXP(CH62^2*BT62)-1)+(BW62*BB62)^2*(EXP(CI62^2*BT62)-1)+2*BU62*AZ62*BV62*BA62*(EXP(CG62*CH62*BT62)-1)+2*BV62*BA62*BW62*BB62*(EXP(CH62*CI62*BT62)-1)+2*BW62*BB62*BU62*AZ62*(EXP(CI62*CG62*BT62)-1))/(BY62*BP62)^2)/BT62),0),"")</f>
        <v>#VALUE!</v>
      </c>
      <c r="CK62" s="1587" t="e">
        <f aca="false">IF(BS62,IF(BR62,SQRT(LN(1+((CA62*BH62)^2*(EXP(CG62^2*BT62)-1)+(CB62*BI62)^2*(EXP(CH62^2*BT62)-1)+(CC62*BJ62)^2*(EXP(CI62^2*BT62)-1)+2*CA62*BH62*CB62*BI62*(EXP(CG62*CH62*BT62)-1)+2*CB62*BI62*CC62*BJ62*(EXP(CH62*CI62*BT62)-1)+2*CC62*BJ62*CA62*BH62*(EXP(CI62*CG62*BT62)-1))/(CE62*BR62)^2)/BT62),0),"")</f>
        <v>#VALUE!</v>
      </c>
      <c r="CL62" s="1587" t="e">
        <f aca="false">IF(OR(BQ62,BS62),IF(OVolType&lt;&gt;2,SQRT(IF(OVolOverMonthlyOffPeak,OVolOverMonthlyOffPeak,IF(OVolCurve,IF(OBuySell,AD62,AF62),AE62))^2*(1-15/365.25/BT62)+IF(OVolOverDailyOffPeak,OVolOverDailyOffPeak,IF(OVolCurve,IF(OBuySell,AP62,AR62),AQ62))^2*15/365.25/BT62),IF(OVolOverMonthlyOffPeak,OVolOverMonthlyOffPeak,IF(OVolCurve,IF(OBuySell,AD62,AF62),AE62))),"")</f>
        <v>#VALUE!</v>
      </c>
      <c r="CM62" s="1587" t="e">
        <f aca="false">IF(BQ62,SQRT(LN(1+((BY62*BP62)^2*(EXP(CJ62^2*BT62)-1)+(BX62*BC62)^2*(EXP(CL62^2*BT62)-1)+2*BY62*BP62*BX62*BC62*(EXP(AS62*CJ62*CL62*BT62)-1))/(BY62*BP62+BX62*BC62)^2)/BT62),"")</f>
        <v>#VALUE!</v>
      </c>
      <c r="CN62" s="1588" t="e">
        <f aca="false">IF(BS62,SQRT(LN(1+((CE62*BR62)^2*(EXP(CK62^2*BT62)-1)+(CD62*BK62)^2*(EXP(CL62^2*BT62)-1)+2*CE62*BR62*CD62*BK62*(EXP(AS62*CK62*CL62*BT62)-1))/(CE62*BR62+CD62*BK62)^2)/BT62),"")</f>
        <v>#VALUE!</v>
      </c>
      <c r="CO62" s="1531" t="e">
        <f aca="false">IF(OR(BQ62,BS62),VLOOKUP(A62,GasTable,13)*HeatRatePeak*(1+VLOOKUP($B62,HeatRateDegradation,$C62+1))/1000,0)</f>
        <v>#VALUE!</v>
      </c>
      <c r="CP62" s="1316" t="e">
        <f aca="false">IF(OR(BQ62,BS62),VLOOKUP(A62,GasTable,13)*HeatRatePeak*(1+VLOOKUP($B62,HeatRateDegradation,$C62+1))/1000,0)</f>
        <v>#VALUE!</v>
      </c>
      <c r="CQ62" s="1316" t="e">
        <f aca="false">IF(OR(BQ62,BS62),VLOOKUP(A62,GasTable,13)*IF(EV62,HeatRatePeak,HeatRateOffPeak)*(1+VLOOKUP($B62,HeatRateDegradation,$C62+1))/1000,0)</f>
        <v>#VALUE!</v>
      </c>
      <c r="CR62" s="1316" t="e">
        <f aca="false">IF(OR(BQ62,BS62),VLOOKUP(A62,GasTable,13)*IF(EW62,HeatRatePeak,HeatRateOffPeak)*(1+VLOOKUP($B62,HeatRateDegradation,$C62+1))/1000,0)</f>
        <v>#VALUE!</v>
      </c>
      <c r="CS62" s="1589" t="e">
        <f aca="false">IF(BQ62,(CO62*AZ62+CP62*BA62+CQ62*BB62+CR62*BC62)/BQ62,0)</f>
        <v>#VALUE!</v>
      </c>
      <c r="CT62" s="1316" t="e">
        <f aca="false">IF(BS62,CO62,0)</f>
        <v>#VALUE!</v>
      </c>
      <c r="CU62" s="1590" t="e">
        <f aca="false">IF(OR(BQ62,BS62),VLOOKUP(A62,GasTable,14),"")</f>
        <v>#VALUE!</v>
      </c>
      <c r="CV62" s="1568" t="e">
        <f aca="false">IF(OR(BQ62,BS62),IF(CorrPowerGasOverFlag,INDEX(CorrPowerGasOver,C62),CorrPowerGas),"")</f>
        <v>#VALUE!</v>
      </c>
      <c r="CW62" s="1316" t="e">
        <f aca="false">IF(OR($BQ62,$BS62),SpreadOptPowerMargin,0)*((1+Assumptions!$C$26)^($B62-YEAR(Assumptions!$C$17)))</f>
        <v>#VALUE!</v>
      </c>
      <c r="CX62" s="1316" t="e">
        <f aca="false">IF(OR($BQ62,$BS62),SpreadOptPowerMargin,0)*((1+Assumptions!$C$26)^($B62-YEAR(Assumptions!$C$17)))</f>
        <v>#VALUE!</v>
      </c>
      <c r="CY62" s="1316" t="e">
        <f aca="false">IF(OR($BQ62,$BS62),SpreadOptPowerMargin,0)*((1+Assumptions!$C$26)^($B62-YEAR(Assumptions!$C$17)))</f>
        <v>#VALUE!</v>
      </c>
      <c r="CZ62" s="1316" t="e">
        <f aca="false">IF(OR($BQ62,$BS62),SpreadOptPowerMargin,0)*((1+Assumptions!$C$26)^($B62-YEAR(Assumptions!$C$17)))</f>
        <v>#VALUE!</v>
      </c>
      <c r="DA62" s="1591" t="e">
        <f aca="false">IF(OR(BQ62,BS62),(CW62*(AZ62+BH62)+CX62*(BA62+BI62)+CY62*(BB62+BJ62)+CZ62*(BC62+BK62))/(BQ62+BS62),0)</f>
        <v>#VALUE!</v>
      </c>
      <c r="DB62" s="1592" t="e">
        <f aca="false">IF(OR(BQ62,BS62),CG62+IF(OVolSmile,VLOOKUP(MAX(-5,CO62+CW62-BU62),IF(OVolSmile=1,VolSmileBook,VolSmileModel),2),0),"")</f>
        <v>#VALUE!</v>
      </c>
      <c r="DC62" s="1592" t="e">
        <f aca="false">IF(OR(BQ62,BS62),CH62+IF(OVolSmile,VLOOKUP(MAX(-5,CP62+CW62-BV62),IF(OVolSmile=1,VolSmileBook,VolSmileModel),2),0),"")</f>
        <v>#VALUE!</v>
      </c>
      <c r="DD62" s="1592" t="e">
        <f aca="false">IF(OR(BQ62,BS62),CI62+IF(OVolSmile,VLOOKUP(MAX(-5,CQ62+CW62-BW62),IF(OVolSmile=1,VolSmileBook,VolSmileModel),2),0),"")</f>
        <v>#VALUE!</v>
      </c>
      <c r="DE62" s="1592" t="e">
        <f aca="false">IF(OR(BQ62,BS62),CL62+IF(OVolSmile,VLOOKUP(MAX(-5,CR62+CZ62-BX62),IF(OVolSmile=1,VolSmileBook,VolSmileModel),2),0),"")</f>
        <v>#VALUE!</v>
      </c>
      <c r="DF62" s="1592" t="e">
        <f aca="false">IF(BQ62,CM62+IF(OVolSmile,VLOOKUP(MAX(-5,CS62+DA62-BZ62),IF(OVolSmile=1,VolSmileBook,VolSmileModel),2),0),"")</f>
        <v>#VALUE!</v>
      </c>
      <c r="DG62" s="1593" t="e">
        <f aca="false">IF(BS62,CN62+IF(OVolSmile,VLOOKUP(MAX(-5,CT62+DA62-CF62),IF(OVolSmile=1,VolSmileBook,VolSmileModel),2),0),"")</f>
        <v>#VALUE!</v>
      </c>
      <c r="DH62" s="1316" t="e">
        <f aca="false">IF(AND(BU62&gt;0,CO62&gt;0,DB62&gt;0,CU62&gt;0),newSPRDOPT(BU62,CO62,CW62,0,DB62,CU62,CV62,BT62*365.25,OCallPut,0),0)</f>
        <v>#VALUE!</v>
      </c>
      <c r="DI62" s="1316" t="e">
        <f aca="false">IF(AND(BV62&gt;0,CP62&gt;0,DC62&gt;0,CU62&gt;0),newSPRDOPT(BV62,CP62,CX62,0,DC62,CU62,CV62,BT62*365.25,OCallPut,0),0)</f>
        <v>#VALUE!</v>
      </c>
      <c r="DJ62" s="1316" t="e">
        <f aca="false">IF(AND(BW62&gt;0,CQ62&gt;0,DD62&gt;0,CU62&gt;0),newSPRDOPT(BW62,CQ62,CY62,0,DD62,CU62,CV62,BT62*365.25,OCallPut,0),0)</f>
        <v>#VALUE!</v>
      </c>
      <c r="DK62" s="1316" t="e">
        <f aca="false">IF(AND(BX62&gt;0,CR62&gt;0,DE62&gt;0,CU62&gt;0),newSPRDOPT(BX62,CR62,CZ62,0,DE62,CU62,CV62,BT62*365.25,OCallPut,0),0)</f>
        <v>#VALUE!</v>
      </c>
      <c r="DL62" s="1316" t="e">
        <f aca="false">IF(OVolType,IF(AND(BZ62&gt;0,CS62&gt;0,DF62&gt;0,CU62&gt;0),newSPRDOPT(BZ62,CS62,DA62,0,DF62,CU62,CV62,BT62*365.25,OCallPut,0),0),IF(BQ62,(DH62*AZ62+DI62*BA62+DJ62*BB62+DK62*BC62)/BQ62,0))</f>
        <v>#VALUE!</v>
      </c>
      <c r="DM62" s="1316"/>
      <c r="DN62" s="1316"/>
      <c r="DO62" s="1316"/>
      <c r="DP62" s="1316"/>
      <c r="DQ62" s="1316"/>
      <c r="DR62" s="1316"/>
      <c r="DS62" s="1316"/>
      <c r="DT62" s="1316"/>
      <c r="DU62" s="1316"/>
      <c r="DV62" s="1316"/>
      <c r="DW62" s="1594" t="e">
        <f aca="false">IF(AND(BW62&gt;0,CT62&gt;0,DD62&gt;0,CU62&gt;0),newSPRDOPT(BW62,CT62,CY62,0,DD62,CU62,CV62,BT62*365.25,OCallPut,0),0)</f>
        <v>#VALUE!</v>
      </c>
      <c r="DX62" s="1316" t="e">
        <f aca="false">IF(AND(BX62&gt;0,CT62&gt;0,DE62&gt;0,CU62&gt;0),newSPRDOPT(BX62,CT62,CZ62,0,DE62,CU62,CV62,BT62*365.25,OCallPut,0),0)</f>
        <v>#VALUE!</v>
      </c>
      <c r="DY62" s="1591" t="e">
        <f aca="false">IF(BS62,(DH62*BH62+DI62*BI62+DW62*BJ62+DX62*BK62)/BS62,0)</f>
        <v>#VALUE!</v>
      </c>
      <c r="DZ62" s="1551" t="e">
        <f aca="false">DH62*AZ62</f>
        <v>#VALUE!</v>
      </c>
      <c r="EA62" s="1551" t="e">
        <f aca="false">DI62*BA62</f>
        <v>#VALUE!</v>
      </c>
      <c r="EB62" s="1551" t="e">
        <f aca="false">DJ62*BB62</f>
        <v>#VALUE!</v>
      </c>
      <c r="EC62" s="1551" t="e">
        <f aca="false">DK62*BC62</f>
        <v>#VALUE!</v>
      </c>
      <c r="ED62" s="1551" t="e">
        <f aca="false">DL62*BQ62</f>
        <v>#VALUE!</v>
      </c>
      <c r="EE62" s="1595" t="e">
        <f aca="false">IF(BQ62,IF(OCallPut,IF(BU62&gt;(CO62+CW62),BU62-(CO62+CW62),0),IF((CO62+CW62)&gt;BU62,(CO62+CW62)-BU62,0))*AZ62,0)</f>
        <v>#VALUE!</v>
      </c>
      <c r="EF62" s="1596" t="e">
        <f aca="false">IF(BQ62,IF(OCallPut,IF(BV62&gt;(CP62+CX62),BV62-(CP62+CX62),0),IF((CP62+CX62)&gt;BV62,(CP62+CX62)-BV62,0))*BA62,0)</f>
        <v>#VALUE!</v>
      </c>
      <c r="EG62" s="1596" t="e">
        <f aca="false">IF(BQ62,IF(OCallPut,IF(BW62&gt;(CQ62+CY62),BW62-(CQ62+CY62),0),IF((CQ62+CY62)&gt;BW62,(CQ62+CY62)-BW62,0))*BB62,0)</f>
        <v>#VALUE!</v>
      </c>
      <c r="EH62" s="1596" t="e">
        <f aca="false">IF(BQ62,IF(OCallPut,IF(BX62&gt;(CR62+CZ62),BX62-(CR62+CZ62),0),IF((CR62+CZ62)&gt;BX62,(CR62+CZ62)-BX62,0))*BC62,0)</f>
        <v>#VALUE!</v>
      </c>
      <c r="EI62" s="1597" t="e">
        <f aca="false">IF(BQ62,IF(OVolType,IF(OCallPut,IF(BZ62&gt;(CS62+DA62),BZ62-(CS62+DA62),0),IF((CS62+DA62)&gt;BZ62,(CS62+DA62)-BZ62,0))*BQ62,SUM(EE62:EH62)),0)</f>
        <v>#VALUE!</v>
      </c>
      <c r="EJ62" s="1595" t="e">
        <f aca="false">DZ62-EE62</f>
        <v>#VALUE!</v>
      </c>
      <c r="EK62" s="1596" t="e">
        <f aca="false">EA62-EF62</f>
        <v>#VALUE!</v>
      </c>
      <c r="EL62" s="1596" t="e">
        <f aca="false">EB62-EG62</f>
        <v>#VALUE!</v>
      </c>
      <c r="EM62" s="1596" t="e">
        <f aca="false">EC62-EH62</f>
        <v>#VALUE!</v>
      </c>
      <c r="EN62" s="1597" t="e">
        <f aca="false">ED62-EI62</f>
        <v>#VALUE!</v>
      </c>
      <c r="EO62" s="1551" t="e">
        <f aca="false">DH62*BH62</f>
        <v>#VALUE!</v>
      </c>
      <c r="EP62" s="1551" t="e">
        <f aca="false">DI62*BI62</f>
        <v>#VALUE!</v>
      </c>
      <c r="EQ62" s="1551" t="e">
        <f aca="false">DW62*BJ62</f>
        <v>#VALUE!</v>
      </c>
      <c r="ER62" s="1551" t="e">
        <f aca="false">DX62*BK62</f>
        <v>#VALUE!</v>
      </c>
      <c r="ES62" s="1551" t="e">
        <f aca="false">DY62*BS62</f>
        <v>#VALUE!</v>
      </c>
      <c r="ET62" s="1566" t="e">
        <f aca="false">IF(EI62,IF(OCallPut,IF(CA62&gt;(CT62+CW62),CA62-(CT62+CW62),0),IF((CT62+CW62)&gt;CA62,(CT62+CW62)-CA62,0))*BH62,0)</f>
        <v>#VALUE!</v>
      </c>
      <c r="EU62" s="1551" t="e">
        <f aca="false">IF(EI62,IF(OCallPut,IF(CB62&gt;(CT62+CX62),CB62-(CT62+CX62),0),IF((CT62+CX62)&gt;CB62,(CT62+CX62)-CB62,0))*BI62,0)</f>
        <v>#VALUE!</v>
      </c>
      <c r="EV62" s="1551" t="e">
        <f aca="false">IF(EI62,IF(OCallPut,IF(CC62&gt;(CT62+CY62),CC62-(CT62+CY62),0),IF((CT62+CY62)&gt;CC62,(CT62+CY62)-CC62,0))*BJ62,0)</f>
        <v>#VALUE!</v>
      </c>
      <c r="EW62" s="1551" t="e">
        <f aca="false">IF(EI62,IF(OCallPut,IF(CD62&gt;(CT62+CZ62),CD62-(CT62+CZ62),0),IF((CT62+CZ62)&gt;CD62,(CT62+CZ62)-CD62,0))*BK62,0)</f>
        <v>#VALUE!</v>
      </c>
      <c r="EX62" s="1558" t="e">
        <f aca="false">IF(EI62,SUM(ET62:EW62),0)</f>
        <v>#VALUE!</v>
      </c>
      <c r="EY62" s="1551" t="e">
        <f aca="false">EO62-ET62</f>
        <v>#VALUE!</v>
      </c>
      <c r="EZ62" s="1551" t="e">
        <f aca="false">EP62-EU62</f>
        <v>#VALUE!</v>
      </c>
      <c r="FA62" s="1551" t="e">
        <f aca="false">EQ62-EV62</f>
        <v>#VALUE!</v>
      </c>
      <c r="FB62" s="1551" t="e">
        <f aca="false">ER62-EW62</f>
        <v>#VALUE!</v>
      </c>
      <c r="FC62" s="1551" t="e">
        <f aca="false">ES62-EX62</f>
        <v>#VALUE!</v>
      </c>
      <c r="FD62" s="1525" t="n">
        <f aca="false">IF(AX62,IF(VLOOKUP(C62,MAIN!$L$17:$M$28,2)="Yes",VLOOKUP(CALC!B62,MAIN!$H$17:$I$20,2),0),0)</f>
        <v>0</v>
      </c>
      <c r="FE62" s="1552" t="e">
        <f aca="false">$FD62*16*AT62*(1-$AY62)</f>
        <v>#VALUE!</v>
      </c>
      <c r="FF62" s="1553" t="e">
        <f aca="false">$FD62*16*AU62*(1-$AY62)</f>
        <v>#VALUE!</v>
      </c>
      <c r="FG62" s="1553" t="e">
        <f aca="false">$FD62*16*(AV62+AW62)*(1-$AY62)</f>
        <v>#VALUE!</v>
      </c>
      <c r="FH62" s="1554" t="n">
        <f aca="false">$FD62*8*AX62*(1-$AY62)</f>
        <v>0</v>
      </c>
      <c r="FI62" s="1555" t="n">
        <f aca="false">IF(AX62,VLOOKUP(CALC!B62,MAIN!$H$17:$K$20,4),0)</f>
        <v>0</v>
      </c>
      <c r="FJ62" s="1553" t="e">
        <f aca="false">SUM(FE62:FH62)</f>
        <v>#VALUE!</v>
      </c>
      <c r="FK62" s="1556" t="e">
        <f aca="false">FI62*FJ62</f>
        <v>#VALUE!</v>
      </c>
      <c r="FL62" s="1551" t="e">
        <f aca="false">IF($EI62&gt;0,MIN(FE62,AZ62*(1+VLOOKUP($C62,WeatherCapacityAdjustment,2))),0)</f>
        <v>#VALUE!</v>
      </c>
      <c r="FM62" s="1551" t="e">
        <f aca="false">IF($EI62&gt;0,MIN(FF62,BA62*(1+VLOOKUP($C62,WeatherCapacityAdjustment,2))),0)</f>
        <v>#VALUE!</v>
      </c>
      <c r="FN62" s="1551" t="e">
        <f aca="false">IF($EI62&gt;0,MIN(FG62,BB62*(1+VLOOKUP($C62,WeatherCapacityAdjustment,2))),0)</f>
        <v>#VALUE!</v>
      </c>
      <c r="FO62" s="1564" t="e">
        <f aca="false">IF($EI62&gt;0,MIN(FH62,BC62*(1+VLOOKUP($C62,WeatherCapacityAdjustment,3))),0)</f>
        <v>#VALUE!</v>
      </c>
      <c r="FP62" s="1551" t="e">
        <f aca="false">IF(ET62&gt;0,MIN(FE62-FL62,BH62*(1+VLOOKUP($C62,WeatherCapacityAdjustment,2))),0)</f>
        <v>#VALUE!</v>
      </c>
      <c r="FQ62" s="1551" t="e">
        <f aca="false">IF(EU62&gt;0,MIN(FF62-FM62,BI62*(1+VLOOKUP($C62,WeatherCapacityAdjustment,2))),0)</f>
        <v>#VALUE!</v>
      </c>
      <c r="FR62" s="1551" t="e">
        <f aca="false">IF(EV62&gt;0,MIN(FG62-FN62,BJ62*(1+VLOOKUP($C62,WeatherCapacityAdjustment,2))),0)</f>
        <v>#VALUE!</v>
      </c>
      <c r="FS62" s="1558" t="e">
        <f aca="false">IF(EW62&gt;0,MIN(FH62-FO62,BK62*(1+VLOOKUP($C62,WeatherCapacityAdjustment,3))),0)</f>
        <v>#VALUE!</v>
      </c>
      <c r="FT62" s="1566" t="e">
        <f aca="false">IF(AND(Assumptions!$H$71="Yes",A62&gt;=Assumptions!$H$72,A62&lt;=Assumptions!$H$73),0,IF(AND($A62&gt;=Assumptions!$C$17,$A62&lt;=Assumptions!$C$18),MAX(AZ62*(1+VLOOKUP($C62,WeatherCapacityAdjustment,2))-FL62,0),0))</f>
        <v>#VALUE!</v>
      </c>
      <c r="FU62" s="1551" t="e">
        <f aca="false">IF(AND(Assumptions!$H$71="Yes",A62&gt;=Assumptions!$H$72,A62&lt;=Assumptions!$H$73),0,IF(AND($A62&gt;=Assumptions!$C$17,$A62&lt;=Assumptions!$C$18),MAX(BA62*(1+VLOOKUP($C62,WeatherCapacityAdjustment,2))-FM62,0),0))</f>
        <v>#VALUE!</v>
      </c>
      <c r="FV62" s="1551" t="e">
        <f aca="false">IF(AND(Assumptions!$H$71="Yes",A62&gt;=Assumptions!$H$72,A62&lt;=Assumptions!$H$73),0,IF(AND($A62&gt;=Assumptions!$C$17,$A62&lt;=Assumptions!$C$18),MAX(BB62*(1+VLOOKUP($C62,WeatherCapacityAdjustment,2))-FN62,0),0))</f>
        <v>#VALUE!</v>
      </c>
      <c r="FW62" s="1564" t="e">
        <f aca="false">IF(AND(Assumptions!$H$71="Yes",A62&gt;=Assumptions!$H$72,A62&lt;=Assumptions!$H$73),0,IF(AND($A62&gt;=Assumptions!$C$17,$A62&lt;=Assumptions!$C$18),MAX(BC62*(1+VLOOKUP($C62,WeatherCapacityAdjustment,3))-FO62,0),0))</f>
        <v>#VALUE!</v>
      </c>
      <c r="FX62" s="1569" t="e">
        <f aca="false">IF(AND(Assumptions!$H$71="Yes",A62&gt;=Assumptions!$H$72,A62&lt;=Assumptions!$H$73),0,IF(ET62&gt;0,MAX(BH62*(1+VLOOKUP($C62,WeatherCapacityAdjustment,2))-FP62,0),0))</f>
        <v>#VALUE!</v>
      </c>
      <c r="FY62" s="1551" t="e">
        <f aca="false">IF(AND(Assumptions!$H$71="Yes",A62&gt;=Assumptions!$H$72,A62&lt;=Assumptions!$H$73),0,IF(EU62&gt;0,MAX(BI62*(1+VLOOKUP($C62,WeatherCapacityAdjustment,3))-FQ62,0),0))</f>
        <v>#VALUE!</v>
      </c>
      <c r="FZ62" s="1551" t="e">
        <f aca="false">IF(AND(Assumptions!$H$71="Yes",A62&gt;=Assumptions!$H$72,A62&lt;=Assumptions!$H$73),0,IF(EV62&gt;0,MAX(BJ62*(1+VLOOKUP($C62,WeatherCapacityAdjustment,2))-FR62,0),0))</f>
        <v>#VALUE!</v>
      </c>
      <c r="GA62" s="1564" t="e">
        <f aca="false">IF(AND(Assumptions!$H$71="Yes",A62&gt;=Assumptions!$H$72,A62&lt;=Assumptions!$H$73),0,IF(EW62&gt;0,MAX(BK62*(1+VLOOKUP($C62,WeatherCapacityAdjustment,2))-FS62,0),0))</f>
        <v>#VALUE!</v>
      </c>
      <c r="GB62" s="1551" t="e">
        <f aca="false">SUM(FT62:GA62)</f>
        <v>#VALUE!</v>
      </c>
      <c r="GC62" s="1563" t="e">
        <f aca="false">+IF(SUM(FT62:GA62)=0,0,(SUMPRODUCT(BU62:BX62,FT62:FW62)+SUMPRODUCT(CA62:CD62,FX62:GA62))/SUM(FT62:GA62))</f>
        <v>#VALUE!</v>
      </c>
      <c r="GD62" s="1551" t="e">
        <f aca="false">(FT62*BU62+FX62*CA62+FU62*BV62+FY62*CB62+FV62*BW62+FZ62*CC62+FW62*BX62+GA62*CD62)</f>
        <v>#VALUE!</v>
      </c>
      <c r="GE62" s="1561" t="e">
        <f aca="false">+IF(BQ62,((FL62+FM62+FT62+FU62)*HeatRatePeak/1000*(1+VLOOKUP($C62,WeatherHeatRateAdjustment,2))+(FN62+FV62)*IF(EV62&gt;0,HeatRatePeak,HeatRateOffPeak)/1000*(1+VLOOKUP($C62,WeatherHeatRateAdjustment,2))+(FO62+FW62)*IF(EW62&gt;0,HeatRatePeak,HeatRateOffPeak)/1000*(1+VLOOKUP($C62,WeatherHeatRateAdjustment,3)))*(1+VLOOKUP($B62,HeatRateDegradation,$C62+1)),0)</f>
        <v>#VALUE!</v>
      </c>
      <c r="GF62" s="1562" t="e">
        <f aca="false">IF(BQ62,((FP62+FQ62+FR62+FX62+FY62+FZ62)*HeatRatePeak/1000*(1+VLOOKUP($C62,WeatherHeatRateAdjustment,2))+(FS62+GA62)*HeatRatePeak/1000*(1+VLOOKUP($C62,WeatherHeatRateAdjustment,3)))*(1+VLOOKUP($B62,HeatRateDegradation,$C62+1)),0)</f>
        <v>#VALUE!</v>
      </c>
      <c r="GG62" s="1563" t="e">
        <f aca="false">IF(BQ62,VLOOKUP(A62,GasTable,13),0)</f>
        <v>#VALUE!</v>
      </c>
      <c r="GH62" s="1564" t="e">
        <f aca="false">(GE62+GF62)*GG62</f>
        <v>#VALUE!</v>
      </c>
      <c r="GI62" s="1569" t="e">
        <f aca="false">GB62</f>
        <v>#VALUE!</v>
      </c>
      <c r="GJ62" s="1598" t="e">
        <f aca="false">+DA62</f>
        <v>#VALUE!</v>
      </c>
      <c r="GK62" s="1558" t="e">
        <f aca="false">+GI62*GJ62</f>
        <v>#VALUE!</v>
      </c>
      <c r="GL62" s="1566" t="e">
        <f aca="false">MAX(FE62-FL62-FP62,0)</f>
        <v>#VALUE!</v>
      </c>
      <c r="GM62" s="1551" t="e">
        <f aca="false">MAX(FF62-FM62-FQ62,0)</f>
        <v>#VALUE!</v>
      </c>
      <c r="GN62" s="1551" t="e">
        <f aca="false">MAX(FG62-FN62-FR62,0)</f>
        <v>#VALUE!</v>
      </c>
      <c r="GO62" s="1564" t="e">
        <f aca="false">MAX(FH62-FO62-FS62,0)</f>
        <v>#VALUE!</v>
      </c>
      <c r="GP62" s="1551" t="e">
        <f aca="false">SUM(GL62:GO62)</f>
        <v>#VALUE!</v>
      </c>
      <c r="GQ62" s="1563" t="e">
        <f aca="false">IF(SUM(GL62:GO62)=0,0,((GL62*BU62+GM62*BV62+GN62*BW62+GO62*BX62)/SUM(GL62:GO62)))</f>
        <v>#VALUE!</v>
      </c>
      <c r="GR62" s="1558" t="e">
        <f aca="false">(GL62*BU62+GM62*BV62+GN62*BW62+GO62*BX62)</f>
        <v>#VALUE!</v>
      </c>
      <c r="GS62" s="1566" t="n">
        <f aca="false">IF($A62&gt;=BegDate,Assumptions!$C$56*24*($A63-$A62)*(1-VLOOKUP($B62,MAIN!$AA$7:$AM$28,$C62+1))*(1-VLOOKUP($B62,MAIN!$AA$33:$AM$54,$C62+1)),0)*80/168</f>
        <v>241114.285714286</v>
      </c>
      <c r="GT62" s="286" t="n">
        <f aca="false">J62</f>
        <v>33.318236073744</v>
      </c>
      <c r="GU62" s="286" t="n">
        <f aca="false">IF($A62&gt;=BegDate,VLOOKUP($A62,GasTable,13)+Assumptions!$C$58,0)</f>
        <v>2.53821988768925</v>
      </c>
      <c r="GV62" s="286" t="n">
        <f aca="false">GU62*Assumptions!$C$57/1000</f>
        <v>18.4020941857471</v>
      </c>
      <c r="GW62" s="1558" t="n">
        <f aca="false">IF(Assumptions!$C$60="Hourly",MAX(0,GS62*(GT62-GV62)),GS62*(GT62-GV62))</f>
        <v>3596494.89693732</v>
      </c>
      <c r="GX62" s="1566" t="n">
        <f aca="false">IF($A62&gt;=BegDate,Assumptions!$C$56*24*($A63-$A62)*(1-VLOOKUP($B62,MAIN!$AA$7:$AM$28,$C62+1))*(1-VLOOKUP($B62,MAIN!$AA$33:$AM$54,$C62+1)),0)*16/168</f>
        <v>48222.8571428571</v>
      </c>
      <c r="GY62" s="286" t="n">
        <f aca="false">M62</f>
        <v>33.318236073744</v>
      </c>
      <c r="GZ62" s="286" t="n">
        <f aca="false">IF($A62&gt;=BegDate,VLOOKUP($A62,GasTable,13)+Assumptions!$C$58,0)</f>
        <v>2.53821988768925</v>
      </c>
      <c r="HA62" s="286" t="n">
        <f aca="false">GZ62*Assumptions!$C$57/1000</f>
        <v>18.4020941857471</v>
      </c>
      <c r="HB62" s="1558" t="n">
        <f aca="false">IF(Assumptions!$C$60="Hourly",MAX(0,GX62*(GY62-HA62)),GX62*(GY62-HA62))</f>
        <v>719298.979387463</v>
      </c>
      <c r="HC62" s="1566" t="n">
        <f aca="false">IF($A62&gt;=BegDate,Assumptions!$C$56*24*($A63-$A62)*(1-VLOOKUP($B62,MAIN!$AA$7:$AM$28,$C62+1))*(1-VLOOKUP($B62,MAIN!$AA$33:$AM$54,$C62+1)),0)*16/168</f>
        <v>48222.8571428571</v>
      </c>
      <c r="HD62" s="286" t="n">
        <f aca="false">P62</f>
        <v>22.97029286736</v>
      </c>
      <c r="HE62" s="286" t="n">
        <f aca="false">IF($A62&gt;=BegDate,VLOOKUP($A62,GasTable,13)+Assumptions!$C$58,0)</f>
        <v>2.53821988768925</v>
      </c>
      <c r="HF62" s="286" t="n">
        <f aca="false">HE62*Assumptions!$C$57/1000</f>
        <v>18.4020941857471</v>
      </c>
      <c r="HG62" s="1558" t="n">
        <f aca="false">IF(Assumptions!$C$60="Hourly",MAX(0,HC62*(HD62-HF62)),HC62*(HD62-HF62))</f>
        <v>220291.592423609</v>
      </c>
      <c r="HH62" s="1566" t="n">
        <f aca="false">IF($A62&gt;=BegDate,Assumptions!$C$56*24*($A63-$A62)*(1-VLOOKUP($B62,MAIN!$AA$7:$AM$28,$C62+1))*(1-VLOOKUP($B62,MAIN!$AA$33:$AM$54,$C62+1)),0)*56/168</f>
        <v>168780</v>
      </c>
      <c r="HI62" s="286" t="n">
        <f aca="false">S62</f>
        <v>22.97029286736</v>
      </c>
      <c r="HJ62" s="286" t="n">
        <f aca="false">IF($A62&gt;=BegDate,VLOOKUP($A62,GasTable,13)+Assumptions!$C$58,0)</f>
        <v>2.53821988768925</v>
      </c>
      <c r="HK62" s="286" t="n">
        <f aca="false">HJ62*Assumptions!$C$57/1000</f>
        <v>18.4020941857471</v>
      </c>
      <c r="HL62" s="1558" t="n">
        <f aca="false">IF(Assumptions!$C$60="Hourly",MAX(0,HH62*(HI62-HK62)),HH62*(HI62-HK62))</f>
        <v>771020.57348263</v>
      </c>
      <c r="HM62" s="1566" t="n">
        <f aca="false">IF(AND(Assumptions!$H$71="Yes",A62&gt;=Assumptions!$H$72,A62&lt;=Assumptions!$H$73),Assumptions!$H$74*Assumptions!$C$9*1000,0)</f>
        <v>0</v>
      </c>
      <c r="HN62" s="1551"/>
      <c r="HO62" s="1563"/>
      <c r="HP62" s="1563"/>
      <c r="HQ62" s="1563"/>
      <c r="HR62" s="1563"/>
      <c r="HS62" s="1563"/>
      <c r="HT62" s="1563"/>
      <c r="HU62" s="1563"/>
      <c r="HV62" s="1563"/>
      <c r="HW62" s="1563"/>
      <c r="HX62" s="1563"/>
      <c r="HY62" s="1563"/>
      <c r="HZ62" s="1563"/>
      <c r="IA62" s="1563"/>
      <c r="IB62" s="1563"/>
      <c r="IC62" s="1563"/>
      <c r="ID62" s="1563"/>
      <c r="IE62" s="1563"/>
      <c r="IF62" s="1563"/>
      <c r="IG62" s="1563"/>
      <c r="IH62" s="1563"/>
      <c r="II62" s="1610"/>
      <c r="IJ62" s="1309"/>
      <c r="IK62" s="1309"/>
    </row>
    <row r="63" customFormat="false" ht="12.75" hidden="false" customHeight="false" outlineLevel="0" collapsed="false">
      <c r="A63" s="1571" t="n">
        <f aca="false">EOMONTH(A62,0)+1</f>
        <v>38047</v>
      </c>
      <c r="B63" s="594" t="n">
        <f aca="false">+YEAR(A63)</f>
        <v>2004</v>
      </c>
      <c r="C63" s="238" t="n">
        <f aca="false">MONTH(A63)</f>
        <v>3</v>
      </c>
      <c r="D63" s="1572" t="e">
        <f aca="false">IF(E63="","",Holiday(B63,C63))</f>
        <v>#VALUE!</v>
      </c>
      <c r="E63" s="1573" t="n">
        <f aca="false">IF(OR(BegDate&gt;=A64,EndDate&lt;A63,AND(VolumeMonthlyOverFlag,INDEX(VolumeMonthlyOver,C63)=0),NOT(INDEX(MonthKnockOutTable,C63))),"",MAX(A63,BegDate))</f>
        <v>38047</v>
      </c>
      <c r="F63" s="1574" t="n">
        <f aca="false">IF(E63="","",MIN(A64-1,EndDate))</f>
        <v>38077</v>
      </c>
      <c r="G63" s="1575" t="n">
        <v>0</v>
      </c>
      <c r="H63" s="1576" t="n">
        <f aca="false">(1+G63/2)^(-2*(DATE(B64,C64,20)-DateToday)/365.25)</f>
        <v>1</v>
      </c>
      <c r="I63" s="1568" t="n">
        <f aca="false">IF(Assumptions!$L$25=4,VLOOKUP($A63,'Henwood Reference'!$E$9:$R$320,10),(VLOOKUP($A63,PriceTable,2,0)+IF(BasisNumber&lt;&gt;1,VLOOKUP($A63,BasisTable,2,0),0)+I$1)/(1-I$2))</f>
        <v>31.75098254928</v>
      </c>
      <c r="J63" s="1568" t="n">
        <f aca="false">IF(Assumptions!$L$25=4,VLOOKUP($A63,'Henwood Reference'!$E$9:$R$320,10),(VLOOKUP($A63,PriceTable,3,0)+IF(BasisNumber&lt;&gt;1,VLOOKUP($A63,BasisTable,2,0),0)+J$1)/(1-J$2))</f>
        <v>31.75098254928</v>
      </c>
      <c r="K63" s="1568" t="n">
        <f aca="false">IF(Assumptions!$L$25=4,VLOOKUP($A63,'Henwood Reference'!$E$9:$R$320,10),(VLOOKUP($A63,PriceTable,4,0)+IF(BasisNumber&lt;&gt;1,VLOOKUP($A63,BasisTable,2,0),0)+K$1)/(1-K$2))</f>
        <v>31.75098254928</v>
      </c>
      <c r="L63" s="1523" t="n">
        <f aca="false">IF(Assumptions!$L$25=4,VLOOKUP($A63,'Henwood Reference'!$E$9:$R$320,10),(VLOOKUP($A63,PriceTableWeekend,2,0)+IF(BasisNumber&lt;&gt;1,VLOOKUP($A63,BasisTable,2,0),0)+L$1)/(1-L$2))</f>
        <v>31.75098254928</v>
      </c>
      <c r="M63" s="1568" t="n">
        <f aca="false">IF(Assumptions!$L$25=4,VLOOKUP($A63,'Henwood Reference'!$E$9:$R$320,10),(VLOOKUP($A63,PriceTableWeekend,3,0)+IF(BasisNumber&lt;&gt;1,VLOOKUP($A63,BasisTable,2,0),0)+M$1)/(1-M$2))</f>
        <v>31.75098254928</v>
      </c>
      <c r="N63" s="1599" t="n">
        <f aca="false">IF(Assumptions!$L$25=4,VLOOKUP($A63,'Henwood Reference'!$E$9:$R$320,10),(VLOOKUP($A63,PriceTableWeekend,4,0)+IF(BasisNumber&lt;&gt;1,VLOOKUP($A63,BasisTable,2,0),0)+N$1)/(1-N$2))</f>
        <v>31.75098254928</v>
      </c>
      <c r="O63" s="1568" t="n">
        <f aca="false">IF(Assumptions!$L$25=4,VLOOKUP($A63,'Henwood Reference'!$E$9:$R$320,11),(VLOOKUP($A63,PriceTableWeekend,6,0)+IF(BasisNumber&lt;&gt;1,VLOOKUP($A63,BasisTable,3,0),0)+O$1)/(1-O$2))</f>
        <v>22.598910393264</v>
      </c>
      <c r="P63" s="1568" t="n">
        <f aca="false">IF(Assumptions!$L$25=4,VLOOKUP($A63,'Henwood Reference'!$E$9:$R$320,11),(VLOOKUP($A63,PriceTableWeekend,7,0)+IF(BasisNumber&lt;&gt;1,VLOOKUP($A63,BasisTable,3,0),0)+P$1)/(1-P$2))</f>
        <v>22.598910393264</v>
      </c>
      <c r="Q63" s="1599" t="n">
        <f aca="false">IF(Assumptions!$L$25=4,VLOOKUP($A63,'Henwood Reference'!$E$9:$R$320,11),(VLOOKUP($A63,PriceTableWeekend,8,0)+IF(BasisNumber&lt;&gt;1,VLOOKUP($A63,BasisTable,3,0),0)+Q$1)/(1-Q$2))</f>
        <v>22.598910393264</v>
      </c>
      <c r="R63" s="1568" t="n">
        <f aca="false">IF(Assumptions!$L$25=4,VLOOKUP($A63,'Henwood Reference'!$E$9:$R$320,11),(VLOOKUP($A63,PriceTable,6,0)+IF(BasisNumber&lt;&gt;1,VLOOKUP($A63,BasisTable,3,0),0)+R$1)/(1-R$2))</f>
        <v>22.598910393264</v>
      </c>
      <c r="S63" s="1568" t="n">
        <f aca="false">IF(Assumptions!$L$25=4,VLOOKUP($A63,'Henwood Reference'!$E$9:$R$320,11),(VLOOKUP($A63,PriceTable,7,0)+IF(BasisNumber&lt;&gt;1,VLOOKUP($A63,BasisTable,3,0),0)+S$1)/(1-S$2))</f>
        <v>22.598910393264</v>
      </c>
      <c r="T63" s="1600" t="n">
        <f aca="false">IF(Assumptions!$L$25=4,VLOOKUP($A63,'Henwood Reference'!$E$9:$R$320,11),(VLOOKUP($A63,PriceTable,8,0)+IF(BasisNumber&lt;&gt;1,VLOOKUP($A63,BasisTable,3,0),0)+T$1)/(1-T$2))</f>
        <v>22.598910393264</v>
      </c>
      <c r="U63" s="1513" t="n">
        <f aca="false">VLOOKUP($A63,VolatilityTable,14)</f>
        <v>0.15</v>
      </c>
      <c r="V63" s="1513" t="n">
        <f aca="false">VLOOKUP($A63,VolatilityTable,15)</f>
        <v>0.16</v>
      </c>
      <c r="W63" s="1514" t="n">
        <f aca="false">VLOOKUP($A63,VolatilityTable,16)</f>
        <v>0.17</v>
      </c>
      <c r="X63" s="1513" t="n">
        <f aca="false">VLOOKUP($A63,VolatilityTable,14)</f>
        <v>0.15</v>
      </c>
      <c r="Y63" s="1513" t="n">
        <f aca="false">VLOOKUP($A63,VolatilityTable,15)</f>
        <v>0.16</v>
      </c>
      <c r="Z63" s="1514" t="n">
        <f aca="false">VLOOKUP($A63,VolatilityTable,16)</f>
        <v>0.17</v>
      </c>
      <c r="AA63" s="1513" t="n">
        <f aca="false">VLOOKUP($A63,VolatilityTable,18)</f>
        <v>0.09</v>
      </c>
      <c r="AB63" s="1513" t="n">
        <f aca="false">VLOOKUP($A63,VolatilityTable,19)</f>
        <v>0.11</v>
      </c>
      <c r="AC63" s="1514" t="n">
        <f aca="false">VLOOKUP($A63,VolatilityTable,20)</f>
        <v>0.13</v>
      </c>
      <c r="AD63" s="1513" t="n">
        <f aca="false">VLOOKUP($A63,VolatilityTable,18)</f>
        <v>0.09</v>
      </c>
      <c r="AE63" s="1513" t="n">
        <f aca="false">VLOOKUP($A63,VolatilityTable,19)</f>
        <v>0.11</v>
      </c>
      <c r="AF63" s="1514" t="n">
        <f aca="false">VLOOKUP($A63,VolatilityTable,20)</f>
        <v>0.13</v>
      </c>
      <c r="AG63" s="1513" t="n">
        <f aca="false">VLOOKUP($A63,VolatilityTable,22)</f>
        <v>-0.1</v>
      </c>
      <c r="AH63" s="1513" t="n">
        <f aca="false">VLOOKUP($A63,VolatilityTable,23)</f>
        <v>0.65</v>
      </c>
      <c r="AI63" s="1514" t="n">
        <f aca="false">VLOOKUP($A63,VolatilityTable,24)</f>
        <v>0.1</v>
      </c>
      <c r="AJ63" s="1513" t="n">
        <f aca="false">VLOOKUP($A63,VolatilityTable,22)</f>
        <v>-0.1</v>
      </c>
      <c r="AK63" s="1513" t="n">
        <f aca="false">VLOOKUP($A63,VolatilityTable,23)</f>
        <v>0.65</v>
      </c>
      <c r="AL63" s="1514" t="n">
        <f aca="false">VLOOKUP($A63,VolatilityTable,24)</f>
        <v>0.1</v>
      </c>
      <c r="AM63" s="1513" t="n">
        <f aca="false">VLOOKUP($A63,VolatilityTable,26)</f>
        <v>-0.01</v>
      </c>
      <c r="AN63" s="1513" t="n">
        <f aca="false">VLOOKUP($A63,VolatilityTable,27)</f>
        <v>0.16</v>
      </c>
      <c r="AO63" s="1514" t="n">
        <f aca="false">VLOOKUP($A63,VolatilityTable,28)</f>
        <v>0.01</v>
      </c>
      <c r="AP63" s="1513" t="n">
        <f aca="false">VLOOKUP($A63,VolatilityTable,26)</f>
        <v>-0.01</v>
      </c>
      <c r="AQ63" s="1513" t="n">
        <f aca="false">VLOOKUP($A63,VolatilityTable,27)</f>
        <v>0.16</v>
      </c>
      <c r="AR63" s="1515" t="n">
        <f aca="false">VLOOKUP($A63,VolatilityTable,28)</f>
        <v>0.01</v>
      </c>
      <c r="AS63" s="1581" t="n">
        <f aca="false">IF(CorrPeakOffPeakOverFlag,INDEX(CorrPeakOffPeakOver,C63),CorrPeakOffPeak)</f>
        <v>0.5</v>
      </c>
      <c r="AT63" s="594" t="e">
        <f aca="false">AX63-SUM(AU63:AW63)</f>
        <v>#VALUE!</v>
      </c>
      <c r="AU63" s="238" t="e">
        <f aca="false">IF(E63="",0,INT((F63-MOD(F63,7)-E63)/7)+1-IF(AW63,IF(WEEKDAY(D63)=7,1,0),0))</f>
        <v>#VALUE!</v>
      </c>
      <c r="AV63" s="238" t="e">
        <f aca="false">IF(E63="",0,INT((F63-MOD(F63-1,7)-E63)/7)+1-IF(AW63,IF(WEEKDAY(D63)=1,1,0),0))</f>
        <v>#VALUE!</v>
      </c>
      <c r="AW63" s="238" t="e">
        <f aca="false">IF(OR(E63="",D63="",D63&lt;BegDate,D63&gt;EndDate),0,1)</f>
        <v>#VALUE!</v>
      </c>
      <c r="AX63" s="238" t="n">
        <f aca="false">IF(E63="",0,F63-E63+1)</f>
        <v>31</v>
      </c>
      <c r="AY63" s="1582" t="n">
        <f aca="false">IF(E63="",0,MIN((1-(1-VLOOKUP(B63,MAIN!$AA$7:$AM$28,C63+1))*(1-VLOOKUP(B63,MAIN!$AA$33:$AM$54,C63+1))),1))</f>
        <v>0.03</v>
      </c>
      <c r="AZ63" s="1519" t="e">
        <v>#VALUE!</v>
      </c>
      <c r="BA63" s="1520" t="e">
        <v>#VALUE!</v>
      </c>
      <c r="BB63" s="1520" t="e">
        <v>#VALUE!</v>
      </c>
      <c r="BC63" s="1583" t="e">
        <v>#VALUE!</v>
      </c>
      <c r="BD63" s="1522" t="e">
        <v>#VALUE!</v>
      </c>
      <c r="BE63" s="1523" t="e">
        <v>#VALUE!</v>
      </c>
      <c r="BF63" s="1523" t="e">
        <v>#VALUE!</v>
      </c>
      <c r="BG63" s="1584" t="e">
        <v>#VALUE!</v>
      </c>
      <c r="BH63" s="1525" t="e">
        <v>#VALUE!</v>
      </c>
      <c r="BI63" s="1520" t="e">
        <v>#VALUE!</v>
      </c>
      <c r="BJ63" s="1520" t="e">
        <v>#VALUE!</v>
      </c>
      <c r="BK63" s="1583" t="e">
        <v>#VALUE!</v>
      </c>
      <c r="BL63" s="1522" t="e">
        <v>#VALUE!</v>
      </c>
      <c r="BM63" s="1523" t="e">
        <v>#VALUE!</v>
      </c>
      <c r="BN63" s="1523" t="e">
        <v>#VALUE!</v>
      </c>
      <c r="BO63" s="1523" t="e">
        <v>#VALUE!</v>
      </c>
      <c r="BP63" s="1525" t="e">
        <f aca="false">SUM(AZ63:BB63)</f>
        <v>#VALUE!</v>
      </c>
      <c r="BQ63" s="1529" t="e">
        <f aca="false">SUM(AZ63:BC63)</f>
        <v>#VALUE!</v>
      </c>
      <c r="BR63" s="1519" t="e">
        <f aca="false">SUM(BH63:BJ63)</f>
        <v>#VALUE!</v>
      </c>
      <c r="BS63" s="1529" t="e">
        <f aca="false">SUM(BH63:BK63)</f>
        <v>#VALUE!</v>
      </c>
      <c r="BT63" s="1316" t="n">
        <f aca="false">(IF(OVolType&lt;&gt;2,A63+14,IF(OptExpDateShift,ShiftBack(A63,OptExpDateShift,D62),A63))-DateToday)/365.25</f>
        <v>3.87953456536619</v>
      </c>
      <c r="BU63" s="1585" t="e">
        <f aca="false">IF(BQ63,IF(OPriceCurve,IF(OBuySell=OCallPut,I63/(1-AY63),K63/(1-AY63)),J63/(1-AY63))*BD63,0)</f>
        <v>#VALUE!</v>
      </c>
      <c r="BV63" s="1316" t="e">
        <f aca="false">IF(BQ63,IF(OPriceCurve,IF(OBuySell=OCallPut,L63/(1-AY63),N63/(1-AY63)),M63/(1-AY63))*BE63,0)</f>
        <v>#VALUE!</v>
      </c>
      <c r="BW63" s="1316" t="e">
        <f aca="false">IF(BQ63,IF(OPriceCurve,IF(OBuySell=OCallPut,O63/(1-AY63),Q63/(1-AY63)),P63/(1-AY63))*BF63,0)</f>
        <v>#VALUE!</v>
      </c>
      <c r="BX63" s="1316" t="e">
        <f aca="false">IF(BQ63,IF(OPriceCurve,IF(OBuySell=OCallPut,R63/(1-AY63),T63/(1-AY63)),S63/(1-AY63))*BG63,0)</f>
        <v>#VALUE!</v>
      </c>
      <c r="BY63" s="1316" t="e">
        <f aca="false">IF(BP63,(BU63*AZ63+BV63*BA63+BW63*BB63)/BP63,0)</f>
        <v>#VALUE!</v>
      </c>
      <c r="BZ63" s="1316" t="e">
        <f aca="false">IF(BQ63,(BY63*BP63+BX63*BC63)/BQ63,0)</f>
        <v>#VALUE!</v>
      </c>
      <c r="CA63" s="1531" t="e">
        <f aca="false">IF(BS63,IF(OPriceCurve,IF(OBuySell=OCallPut,I63/(1-AY63),K63/(1-AY63)),J63/(1-AY63))*BL63,0)</f>
        <v>#VALUE!</v>
      </c>
      <c r="CB63" s="1316" t="e">
        <f aca="false">IF(BS63,IF(OPriceCurve,IF(OBuySell=OCallPut,L63/(1-AY63),N63/(1-AY63)),M63/(1-AY63))*BM63,0)</f>
        <v>#VALUE!</v>
      </c>
      <c r="CC63" s="1316" t="e">
        <f aca="false">IF(BS63,IF(OPriceCurve,IF(OBuySell=OCallPut,O63/(1-AY63),Q63/(1-AY63)),P63/(1-AY63))*BN63,0)</f>
        <v>#VALUE!</v>
      </c>
      <c r="CD63" s="1316" t="e">
        <f aca="false">IF(BS63,IF(OPriceCurve,IF(OBuySell=OCallPut,R63/(1-AY63),T63/(1-AY63)),S63/(1-AY63))*BO63,0)</f>
        <v>#VALUE!</v>
      </c>
      <c r="CE63" s="1316" t="e">
        <f aca="false">IF(BR63,(BU63*BH63+BV63*BI63+BW63*BJ63)/BR63,0)</f>
        <v>#VALUE!</v>
      </c>
      <c r="CF63" s="1532" t="e">
        <f aca="false">IF(BS63,(CE63*BR63+CD63*BK63)/BS63,0)</f>
        <v>#VALUE!</v>
      </c>
      <c r="CG63" s="1586" t="e">
        <f aca="false">IF(OR(BQ63,BS63),IF(OVolType&lt;&gt;2,SQRT(IF(OVolOverMonthlyPeak,OVolOverMonthlyPeak,IF(OVolCurve,IF(OBuySell,U63,W63),V63))^2*(1-15/365.25/BT63)+IF(OVolOverDailyPeak,OVolOverDailyPeak,IF(OVolCurve,IF(OBuySell,AG63,AI63),AH63))^2*15/365.25/BT63),IF(OVolOverMonthlyPeak,OVolOverMonthlyPeak,IF(OVolCurve,IF(OBuySell,U63,W63),V63))),"")</f>
        <v>#VALUE!</v>
      </c>
      <c r="CH63" s="1587" t="e">
        <f aca="false">IF(OR(BQ63,BS63),IF(OVolType&lt;&gt;2,SQRT(IF(OVolOverMonthlyPeak,OVolOverMonthlyPeak,IF(OVolCurve,IF(OBuySell,X63,Z63),Y63))^2*(1-15/365.25/BT63)+IF(OVolOverDailyPeak,OVolOverDailyPeak,IF(OVolCurve,IF(OBuySell,AJ63,AL63),AK63))^2*15/365.25/BT63),IF(OVolOverMonthlyPeak,OVolOverMonthlyPeak,IF(OVolCurve,IF(OBuySell,X63,Z63),Y63))),"")</f>
        <v>#VALUE!</v>
      </c>
      <c r="CI63" s="1587" t="e">
        <f aca="false">IF(OR(BQ63,BS63),IF(OVolType&lt;&gt;2,SQRT(IF(OVolOverMonthlyPeak,OVolOverMonthlyPeak,IF(OVolCurve,IF(OBuySell,AA63,AC63),AB63))^2*(1-15/365.25/BT63)+IF(OVolOverDailyPeak,OVolOverDailyPeak,IF(OVolCurve,IF(OBuySell,AM63,AO63),AN63))^2*15/365.25/BT63),IF(OVolOverMonthlyPeak,OVolOverMonthlyPeak,IF(OVolCurve,IF(OBuySell,AA63,AC63),AB63))),"")</f>
        <v>#VALUE!</v>
      </c>
      <c r="CJ63" s="1587" t="e">
        <f aca="false">IF(BQ63,IF(BP63,SQRT(LN(1+((BU63*AZ63)^2*(EXP(CG63^2*BT63)-1)+(BV63*BA63)^2*(EXP(CH63^2*BT63)-1)+(BW63*BB63)^2*(EXP(CI63^2*BT63)-1)+2*BU63*AZ63*BV63*BA63*(EXP(CG63*CH63*BT63)-1)+2*BV63*BA63*BW63*BB63*(EXP(CH63*CI63*BT63)-1)+2*BW63*BB63*BU63*AZ63*(EXP(CI63*CG63*BT63)-1))/(BY63*BP63)^2)/BT63),0),"")</f>
        <v>#VALUE!</v>
      </c>
      <c r="CK63" s="1587" t="e">
        <f aca="false">IF(BS63,IF(BR63,SQRT(LN(1+((CA63*BH63)^2*(EXP(CG63^2*BT63)-1)+(CB63*BI63)^2*(EXP(CH63^2*BT63)-1)+(CC63*BJ63)^2*(EXP(CI63^2*BT63)-1)+2*CA63*BH63*CB63*BI63*(EXP(CG63*CH63*BT63)-1)+2*CB63*BI63*CC63*BJ63*(EXP(CH63*CI63*BT63)-1)+2*CC63*BJ63*CA63*BH63*(EXP(CI63*CG63*BT63)-1))/(CE63*BR63)^2)/BT63),0),"")</f>
        <v>#VALUE!</v>
      </c>
      <c r="CL63" s="1587" t="e">
        <f aca="false">IF(OR(BQ63,BS63),IF(OVolType&lt;&gt;2,SQRT(IF(OVolOverMonthlyOffPeak,OVolOverMonthlyOffPeak,IF(OVolCurve,IF(OBuySell,AD63,AF63),AE63))^2*(1-15/365.25/BT63)+IF(OVolOverDailyOffPeak,OVolOverDailyOffPeak,IF(OVolCurve,IF(OBuySell,AP63,AR63),AQ63))^2*15/365.25/BT63),IF(OVolOverMonthlyOffPeak,OVolOverMonthlyOffPeak,IF(OVolCurve,IF(OBuySell,AD63,AF63),AE63))),"")</f>
        <v>#VALUE!</v>
      </c>
      <c r="CM63" s="1587" t="e">
        <f aca="false">IF(BQ63,SQRT(LN(1+((BY63*BP63)^2*(EXP(CJ63^2*BT63)-1)+(BX63*BC63)^2*(EXP(CL63^2*BT63)-1)+2*BY63*BP63*BX63*BC63*(EXP(AS63*CJ63*CL63*BT63)-1))/(BY63*BP63+BX63*BC63)^2)/BT63),"")</f>
        <v>#VALUE!</v>
      </c>
      <c r="CN63" s="1588" t="e">
        <f aca="false">IF(BS63,SQRT(LN(1+((CE63*BR63)^2*(EXP(CK63^2*BT63)-1)+(CD63*BK63)^2*(EXP(CL63^2*BT63)-1)+2*CE63*BR63*CD63*BK63*(EXP(AS63*CK63*CL63*BT63)-1))/(CE63*BR63+CD63*BK63)^2)/BT63),"")</f>
        <v>#VALUE!</v>
      </c>
      <c r="CO63" s="1531" t="e">
        <f aca="false">IF(OR(BQ63,BS63),VLOOKUP(A63,GasTable,13)*HeatRatePeak*(1+VLOOKUP($B63,HeatRateDegradation,$C63+1))/1000,0)</f>
        <v>#VALUE!</v>
      </c>
      <c r="CP63" s="1316" t="e">
        <f aca="false">IF(OR(BQ63,BS63),VLOOKUP(A63,GasTable,13)*HeatRatePeak*(1+VLOOKUP($B63,HeatRateDegradation,$C63+1))/1000,0)</f>
        <v>#VALUE!</v>
      </c>
      <c r="CQ63" s="1316" t="e">
        <f aca="false">IF(OR(BQ63,BS63),VLOOKUP(A63,GasTable,13)*IF(EV63,HeatRatePeak,HeatRateOffPeak)*(1+VLOOKUP($B63,HeatRateDegradation,$C63+1))/1000,0)</f>
        <v>#VALUE!</v>
      </c>
      <c r="CR63" s="1316" t="e">
        <f aca="false">IF(OR(BQ63,BS63),VLOOKUP(A63,GasTable,13)*IF(EW63,HeatRatePeak,HeatRateOffPeak)*(1+VLOOKUP($B63,HeatRateDegradation,$C63+1))/1000,0)</f>
        <v>#VALUE!</v>
      </c>
      <c r="CS63" s="1589" t="e">
        <f aca="false">IF(BQ63,(CO63*AZ63+CP63*BA63+CQ63*BB63+CR63*BC63)/BQ63,0)</f>
        <v>#VALUE!</v>
      </c>
      <c r="CT63" s="1316" t="e">
        <f aca="false">IF(BS63,CO63,0)</f>
        <v>#VALUE!</v>
      </c>
      <c r="CU63" s="1590" t="e">
        <f aca="false">IF(OR(BQ63,BS63),VLOOKUP(A63,GasTable,14),"")</f>
        <v>#VALUE!</v>
      </c>
      <c r="CV63" s="1568" t="e">
        <f aca="false">IF(OR(BQ63,BS63),IF(CorrPowerGasOverFlag,INDEX(CorrPowerGasOver,C63),CorrPowerGas),"")</f>
        <v>#VALUE!</v>
      </c>
      <c r="CW63" s="1316" t="e">
        <f aca="false">IF(OR($BQ63,$BS63),SpreadOptPowerMargin,0)*((1+Assumptions!$C$26)^($B63-YEAR(Assumptions!$C$17)))</f>
        <v>#VALUE!</v>
      </c>
      <c r="CX63" s="1316" t="e">
        <f aca="false">IF(OR($BQ63,$BS63),SpreadOptPowerMargin,0)*((1+Assumptions!$C$26)^($B63-YEAR(Assumptions!$C$17)))</f>
        <v>#VALUE!</v>
      </c>
      <c r="CY63" s="1316" t="e">
        <f aca="false">IF(OR($BQ63,$BS63),SpreadOptPowerMargin,0)*((1+Assumptions!$C$26)^($B63-YEAR(Assumptions!$C$17)))</f>
        <v>#VALUE!</v>
      </c>
      <c r="CZ63" s="1316" t="e">
        <f aca="false">IF(OR($BQ63,$BS63),SpreadOptPowerMargin,0)*((1+Assumptions!$C$26)^($B63-YEAR(Assumptions!$C$17)))</f>
        <v>#VALUE!</v>
      </c>
      <c r="DA63" s="1591" t="e">
        <f aca="false">IF(OR(BQ63,BS63),(CW63*(AZ63+BH63)+CX63*(BA63+BI63)+CY63*(BB63+BJ63)+CZ63*(BC63+BK63))/(BQ63+BS63),0)</f>
        <v>#VALUE!</v>
      </c>
      <c r="DB63" s="1592" t="e">
        <f aca="false">IF(OR(BQ63,BS63),CG63+IF(OVolSmile,VLOOKUP(MAX(-5,CO63+CW63-BU63),IF(OVolSmile=1,VolSmileBook,VolSmileModel),2),0),"")</f>
        <v>#VALUE!</v>
      </c>
      <c r="DC63" s="1592" t="e">
        <f aca="false">IF(OR(BQ63,BS63),CH63+IF(OVolSmile,VLOOKUP(MAX(-5,CP63+CW63-BV63),IF(OVolSmile=1,VolSmileBook,VolSmileModel),2),0),"")</f>
        <v>#VALUE!</v>
      </c>
      <c r="DD63" s="1592" t="e">
        <f aca="false">IF(OR(BQ63,BS63),CI63+IF(OVolSmile,VLOOKUP(MAX(-5,CQ63+CW63-BW63),IF(OVolSmile=1,VolSmileBook,VolSmileModel),2),0),"")</f>
        <v>#VALUE!</v>
      </c>
      <c r="DE63" s="1592" t="e">
        <f aca="false">IF(OR(BQ63,BS63),CL63+IF(OVolSmile,VLOOKUP(MAX(-5,CR63+CZ63-BX63),IF(OVolSmile=1,VolSmileBook,VolSmileModel),2),0),"")</f>
        <v>#VALUE!</v>
      </c>
      <c r="DF63" s="1592" t="e">
        <f aca="false">IF(BQ63,CM63+IF(OVolSmile,VLOOKUP(MAX(-5,CS63+DA63-BZ63),IF(OVolSmile=1,VolSmileBook,VolSmileModel),2),0),"")</f>
        <v>#VALUE!</v>
      </c>
      <c r="DG63" s="1593" t="e">
        <f aca="false">IF(BS63,CN63+IF(OVolSmile,VLOOKUP(MAX(-5,CT63+DA63-CF63),IF(OVolSmile=1,VolSmileBook,VolSmileModel),2),0),"")</f>
        <v>#VALUE!</v>
      </c>
      <c r="DH63" s="1316" t="e">
        <f aca="false">IF(AND(BU63&gt;0,CO63&gt;0,DB63&gt;0,CU63&gt;0),newSPRDOPT(BU63,CO63,CW63,0,DB63,CU63,CV63,BT63*365.25,OCallPut,0),0)</f>
        <v>#VALUE!</v>
      </c>
      <c r="DI63" s="1316" t="e">
        <f aca="false">IF(AND(BV63&gt;0,CP63&gt;0,DC63&gt;0,CU63&gt;0),newSPRDOPT(BV63,CP63,CX63,0,DC63,CU63,CV63,BT63*365.25,OCallPut,0),0)</f>
        <v>#VALUE!</v>
      </c>
      <c r="DJ63" s="1316" t="e">
        <f aca="false">IF(AND(BW63&gt;0,CQ63&gt;0,DD63&gt;0,CU63&gt;0),newSPRDOPT(BW63,CQ63,CY63,0,DD63,CU63,CV63,BT63*365.25,OCallPut,0),0)</f>
        <v>#VALUE!</v>
      </c>
      <c r="DK63" s="1316" t="e">
        <f aca="false">IF(AND(BX63&gt;0,CR63&gt;0,DE63&gt;0,CU63&gt;0),newSPRDOPT(BX63,CR63,CZ63,0,DE63,CU63,CV63,BT63*365.25,OCallPut,0),0)</f>
        <v>#VALUE!</v>
      </c>
      <c r="DL63" s="1316" t="e">
        <f aca="false">IF(OVolType,IF(AND(BZ63&gt;0,CS63&gt;0,DF63&gt;0,CU63&gt;0),newSPRDOPT(BZ63,CS63,DA63,0,DF63,CU63,CV63,BT63*365.25,OCallPut,0),0),IF(BQ63,(DH63*AZ63+DI63*BA63+DJ63*BB63+DK63*BC63)/BQ63,0))</f>
        <v>#VALUE!</v>
      </c>
      <c r="DM63" s="1316"/>
      <c r="DN63" s="1316"/>
      <c r="DO63" s="1316"/>
      <c r="DP63" s="1316"/>
      <c r="DQ63" s="1316"/>
      <c r="DR63" s="1316"/>
      <c r="DS63" s="1316"/>
      <c r="DT63" s="1316"/>
      <c r="DU63" s="1316"/>
      <c r="DV63" s="1316"/>
      <c r="DW63" s="1594" t="e">
        <f aca="false">IF(AND(BW63&gt;0,CT63&gt;0,DD63&gt;0,CU63&gt;0),newSPRDOPT(BW63,CT63,CY63,0,DD63,CU63,CV63,BT63*365.25,OCallPut,0),0)</f>
        <v>#VALUE!</v>
      </c>
      <c r="DX63" s="1316" t="e">
        <f aca="false">IF(AND(BX63&gt;0,CT63&gt;0,DE63&gt;0,CU63&gt;0),newSPRDOPT(BX63,CT63,CZ63,0,DE63,CU63,CV63,BT63*365.25,OCallPut,0),0)</f>
        <v>#VALUE!</v>
      </c>
      <c r="DY63" s="1591" t="e">
        <f aca="false">IF(BS63,(DH63*BH63+DI63*BI63+DW63*BJ63+DX63*BK63)/BS63,0)</f>
        <v>#VALUE!</v>
      </c>
      <c r="DZ63" s="1551" t="e">
        <f aca="false">DH63*AZ63</f>
        <v>#VALUE!</v>
      </c>
      <c r="EA63" s="1551" t="e">
        <f aca="false">DI63*BA63</f>
        <v>#VALUE!</v>
      </c>
      <c r="EB63" s="1551" t="e">
        <f aca="false">DJ63*BB63</f>
        <v>#VALUE!</v>
      </c>
      <c r="EC63" s="1551" t="e">
        <f aca="false">DK63*BC63</f>
        <v>#VALUE!</v>
      </c>
      <c r="ED63" s="1551" t="e">
        <f aca="false">DL63*BQ63</f>
        <v>#VALUE!</v>
      </c>
      <c r="EE63" s="1595" t="e">
        <f aca="false">IF(BQ63,IF(OCallPut,IF(BU63&gt;(CO63+CW63),BU63-(CO63+CW63),0),IF((CO63+CW63)&gt;BU63,(CO63+CW63)-BU63,0))*AZ63,0)</f>
        <v>#VALUE!</v>
      </c>
      <c r="EF63" s="1596" t="e">
        <f aca="false">IF(BQ63,IF(OCallPut,IF(BV63&gt;(CP63+CX63),BV63-(CP63+CX63),0),IF((CP63+CX63)&gt;BV63,(CP63+CX63)-BV63,0))*BA63,0)</f>
        <v>#VALUE!</v>
      </c>
      <c r="EG63" s="1596" t="e">
        <f aca="false">IF(BQ63,IF(OCallPut,IF(BW63&gt;(CQ63+CY63),BW63-(CQ63+CY63),0),IF((CQ63+CY63)&gt;BW63,(CQ63+CY63)-BW63,0))*BB63,0)</f>
        <v>#VALUE!</v>
      </c>
      <c r="EH63" s="1596" t="e">
        <f aca="false">IF(BQ63,IF(OCallPut,IF(BX63&gt;(CR63+CZ63),BX63-(CR63+CZ63),0),IF((CR63+CZ63)&gt;BX63,(CR63+CZ63)-BX63,0))*BC63,0)</f>
        <v>#VALUE!</v>
      </c>
      <c r="EI63" s="1597" t="e">
        <f aca="false">IF(BQ63,IF(OVolType,IF(OCallPut,IF(BZ63&gt;(CS63+DA63),BZ63-(CS63+DA63),0),IF((CS63+DA63)&gt;BZ63,(CS63+DA63)-BZ63,0))*BQ63,SUM(EE63:EH63)),0)</f>
        <v>#VALUE!</v>
      </c>
      <c r="EJ63" s="1595" t="e">
        <f aca="false">DZ63-EE63</f>
        <v>#VALUE!</v>
      </c>
      <c r="EK63" s="1596" t="e">
        <f aca="false">EA63-EF63</f>
        <v>#VALUE!</v>
      </c>
      <c r="EL63" s="1596" t="e">
        <f aca="false">EB63-EG63</f>
        <v>#VALUE!</v>
      </c>
      <c r="EM63" s="1596" t="e">
        <f aca="false">EC63-EH63</f>
        <v>#VALUE!</v>
      </c>
      <c r="EN63" s="1597" t="e">
        <f aca="false">ED63-EI63</f>
        <v>#VALUE!</v>
      </c>
      <c r="EO63" s="1551" t="e">
        <f aca="false">DH63*BH63</f>
        <v>#VALUE!</v>
      </c>
      <c r="EP63" s="1551" t="e">
        <f aca="false">DI63*BI63</f>
        <v>#VALUE!</v>
      </c>
      <c r="EQ63" s="1551" t="e">
        <f aca="false">DW63*BJ63</f>
        <v>#VALUE!</v>
      </c>
      <c r="ER63" s="1551" t="e">
        <f aca="false">DX63*BK63</f>
        <v>#VALUE!</v>
      </c>
      <c r="ES63" s="1551" t="e">
        <f aca="false">DY63*BS63</f>
        <v>#VALUE!</v>
      </c>
      <c r="ET63" s="1566" t="e">
        <f aca="false">IF(EI63,IF(OCallPut,IF(CA63&gt;(CT63+CW63),CA63-(CT63+CW63),0),IF((CT63+CW63)&gt;CA63,(CT63+CW63)-CA63,0))*BH63,0)</f>
        <v>#VALUE!</v>
      </c>
      <c r="EU63" s="1551" t="e">
        <f aca="false">IF(EI63,IF(OCallPut,IF(CB63&gt;(CT63+CX63),CB63-(CT63+CX63),0),IF((CT63+CX63)&gt;CB63,(CT63+CX63)-CB63,0))*BI63,0)</f>
        <v>#VALUE!</v>
      </c>
      <c r="EV63" s="1551" t="e">
        <f aca="false">IF(EI63,IF(OCallPut,IF(CC63&gt;(CT63+CY63),CC63-(CT63+CY63),0),IF((CT63+CY63)&gt;CC63,(CT63+CY63)-CC63,0))*BJ63,0)</f>
        <v>#VALUE!</v>
      </c>
      <c r="EW63" s="1551" t="e">
        <f aca="false">IF(EI63,IF(OCallPut,IF(CD63&gt;(CT63+CZ63),CD63-(CT63+CZ63),0),IF((CT63+CZ63)&gt;CD63,(CT63+CZ63)-CD63,0))*BK63,0)</f>
        <v>#VALUE!</v>
      </c>
      <c r="EX63" s="1558" t="e">
        <f aca="false">IF(EI63,SUM(ET63:EW63),0)</f>
        <v>#VALUE!</v>
      </c>
      <c r="EY63" s="1551" t="e">
        <f aca="false">EO63-ET63</f>
        <v>#VALUE!</v>
      </c>
      <c r="EZ63" s="1551" t="e">
        <f aca="false">EP63-EU63</f>
        <v>#VALUE!</v>
      </c>
      <c r="FA63" s="1551" t="e">
        <f aca="false">EQ63-EV63</f>
        <v>#VALUE!</v>
      </c>
      <c r="FB63" s="1551" t="e">
        <f aca="false">ER63-EW63</f>
        <v>#VALUE!</v>
      </c>
      <c r="FC63" s="1551" t="e">
        <f aca="false">ES63-EX63</f>
        <v>#VALUE!</v>
      </c>
      <c r="FD63" s="1525" t="n">
        <f aca="false">IF(AX63,IF(VLOOKUP(C63,MAIN!$L$17:$M$28,2)="Yes",VLOOKUP(CALC!B63,MAIN!$H$17:$I$20,2),0),0)</f>
        <v>0</v>
      </c>
      <c r="FE63" s="1552" t="e">
        <f aca="false">$FD63*16*AT63*(1-$AY63)</f>
        <v>#VALUE!</v>
      </c>
      <c r="FF63" s="1553" t="e">
        <f aca="false">$FD63*16*AU63*(1-$AY63)</f>
        <v>#VALUE!</v>
      </c>
      <c r="FG63" s="1553" t="e">
        <f aca="false">$FD63*16*(AV63+AW63)*(1-$AY63)</f>
        <v>#VALUE!</v>
      </c>
      <c r="FH63" s="1554" t="n">
        <f aca="false">$FD63*8*AX63*(1-$AY63)</f>
        <v>0</v>
      </c>
      <c r="FI63" s="1555" t="n">
        <f aca="false">IF(AX63,VLOOKUP(CALC!B63,MAIN!$H$17:$K$20,4),0)</f>
        <v>0</v>
      </c>
      <c r="FJ63" s="1553" t="e">
        <f aca="false">SUM(FE63:FH63)</f>
        <v>#VALUE!</v>
      </c>
      <c r="FK63" s="1556" t="e">
        <f aca="false">FI63*FJ63</f>
        <v>#VALUE!</v>
      </c>
      <c r="FL63" s="1551" t="e">
        <f aca="false">IF($EI63&gt;0,MIN(FE63,AZ63*(1+VLOOKUP($C63,WeatherCapacityAdjustment,2))),0)</f>
        <v>#VALUE!</v>
      </c>
      <c r="FM63" s="1551" t="e">
        <f aca="false">IF($EI63&gt;0,MIN(FF63,BA63*(1+VLOOKUP($C63,WeatherCapacityAdjustment,2))),0)</f>
        <v>#VALUE!</v>
      </c>
      <c r="FN63" s="1551" t="e">
        <f aca="false">IF($EI63&gt;0,MIN(FG63,BB63*(1+VLOOKUP($C63,WeatherCapacityAdjustment,2))),0)</f>
        <v>#VALUE!</v>
      </c>
      <c r="FO63" s="1564" t="e">
        <f aca="false">IF($EI63&gt;0,MIN(FH63,BC63*(1+VLOOKUP($C63,WeatherCapacityAdjustment,3))),0)</f>
        <v>#VALUE!</v>
      </c>
      <c r="FP63" s="1551" t="e">
        <f aca="false">IF(ET63&gt;0,MIN(FE63-FL63,BH63*(1+VLOOKUP($C63,WeatherCapacityAdjustment,2))),0)</f>
        <v>#VALUE!</v>
      </c>
      <c r="FQ63" s="1551" t="e">
        <f aca="false">IF(EU63&gt;0,MIN(FF63-FM63,BI63*(1+VLOOKUP($C63,WeatherCapacityAdjustment,2))),0)</f>
        <v>#VALUE!</v>
      </c>
      <c r="FR63" s="1551" t="e">
        <f aca="false">IF(EV63&gt;0,MIN(FG63-FN63,BJ63*(1+VLOOKUP($C63,WeatherCapacityAdjustment,2))),0)</f>
        <v>#VALUE!</v>
      </c>
      <c r="FS63" s="1558" t="e">
        <f aca="false">IF(EW63&gt;0,MIN(FH63-FO63,BK63*(1+VLOOKUP($C63,WeatherCapacityAdjustment,3))),0)</f>
        <v>#VALUE!</v>
      </c>
      <c r="FT63" s="1566" t="e">
        <f aca="false">IF(AND(Assumptions!$H$71="Yes",A63&gt;=Assumptions!$H$72,A63&lt;=Assumptions!$H$73),0,IF(AND($A63&gt;=Assumptions!$C$17,$A63&lt;=Assumptions!$C$18),MAX(AZ63*(1+VLOOKUP($C63,WeatherCapacityAdjustment,2))-FL63,0),0))</f>
        <v>#VALUE!</v>
      </c>
      <c r="FU63" s="1551" t="e">
        <f aca="false">IF(AND(Assumptions!$H$71="Yes",A63&gt;=Assumptions!$H$72,A63&lt;=Assumptions!$H$73),0,IF(AND($A63&gt;=Assumptions!$C$17,$A63&lt;=Assumptions!$C$18),MAX(BA63*(1+VLOOKUP($C63,WeatherCapacityAdjustment,2))-FM63,0),0))</f>
        <v>#VALUE!</v>
      </c>
      <c r="FV63" s="1551" t="e">
        <f aca="false">IF(AND(Assumptions!$H$71="Yes",A63&gt;=Assumptions!$H$72,A63&lt;=Assumptions!$H$73),0,IF(AND($A63&gt;=Assumptions!$C$17,$A63&lt;=Assumptions!$C$18),MAX(BB63*(1+VLOOKUP($C63,WeatherCapacityAdjustment,2))-FN63,0),0))</f>
        <v>#VALUE!</v>
      </c>
      <c r="FW63" s="1564" t="e">
        <f aca="false">IF(AND(Assumptions!$H$71="Yes",A63&gt;=Assumptions!$H$72,A63&lt;=Assumptions!$H$73),0,IF(AND($A63&gt;=Assumptions!$C$17,$A63&lt;=Assumptions!$C$18),MAX(BC63*(1+VLOOKUP($C63,WeatherCapacityAdjustment,3))-FO63,0),0))</f>
        <v>#VALUE!</v>
      </c>
      <c r="FX63" s="1569" t="e">
        <f aca="false">IF(AND(Assumptions!$H$71="Yes",A63&gt;=Assumptions!$H$72,A63&lt;=Assumptions!$H$73),0,IF(ET63&gt;0,MAX(BH63*(1+VLOOKUP($C63,WeatherCapacityAdjustment,2))-FP63,0),0))</f>
        <v>#VALUE!</v>
      </c>
      <c r="FY63" s="1551" t="e">
        <f aca="false">IF(AND(Assumptions!$H$71="Yes",A63&gt;=Assumptions!$H$72,A63&lt;=Assumptions!$H$73),0,IF(EU63&gt;0,MAX(BI63*(1+VLOOKUP($C63,WeatherCapacityAdjustment,3))-FQ63,0),0))</f>
        <v>#VALUE!</v>
      </c>
      <c r="FZ63" s="1551" t="e">
        <f aca="false">IF(AND(Assumptions!$H$71="Yes",A63&gt;=Assumptions!$H$72,A63&lt;=Assumptions!$H$73),0,IF(EV63&gt;0,MAX(BJ63*(1+VLOOKUP($C63,WeatherCapacityAdjustment,2))-FR63,0),0))</f>
        <v>#VALUE!</v>
      </c>
      <c r="GA63" s="1564" t="e">
        <f aca="false">IF(AND(Assumptions!$H$71="Yes",A63&gt;=Assumptions!$H$72,A63&lt;=Assumptions!$H$73),0,IF(EW63&gt;0,MAX(BK63*(1+VLOOKUP($C63,WeatherCapacityAdjustment,2))-FS63,0),0))</f>
        <v>#VALUE!</v>
      </c>
      <c r="GB63" s="1551" t="e">
        <f aca="false">SUM(FT63:GA63)</f>
        <v>#VALUE!</v>
      </c>
      <c r="GC63" s="1563" t="e">
        <f aca="false">+IF(SUM(FT63:GA63)=0,0,(SUMPRODUCT(BU63:BX63,FT63:FW63)+SUMPRODUCT(CA63:CD63,FX63:GA63))/SUM(FT63:GA63))</f>
        <v>#VALUE!</v>
      </c>
      <c r="GD63" s="1551" t="e">
        <f aca="false">(FT63*BU63+FX63*CA63+FU63*BV63+FY63*CB63+FV63*BW63+FZ63*CC63+FW63*BX63+GA63*CD63)</f>
        <v>#VALUE!</v>
      </c>
      <c r="GE63" s="1561" t="e">
        <f aca="false">+IF(BQ63,((FL63+FM63+FT63+FU63)*HeatRatePeak/1000*(1+VLOOKUP($C63,WeatherHeatRateAdjustment,2))+(FN63+FV63)*IF(EV63&gt;0,HeatRatePeak,HeatRateOffPeak)/1000*(1+VLOOKUP($C63,WeatherHeatRateAdjustment,2))+(FO63+FW63)*IF(EW63&gt;0,HeatRatePeak,HeatRateOffPeak)/1000*(1+VLOOKUP($C63,WeatherHeatRateAdjustment,3)))*(1+VLOOKUP($B63,HeatRateDegradation,$C63+1)),0)</f>
        <v>#VALUE!</v>
      </c>
      <c r="GF63" s="1562" t="e">
        <f aca="false">IF(BQ63,((FP63+FQ63+FR63+FX63+FY63+FZ63)*HeatRatePeak/1000*(1+VLOOKUP($C63,WeatherHeatRateAdjustment,2))+(FS63+GA63)*HeatRatePeak/1000*(1+VLOOKUP($C63,WeatherHeatRateAdjustment,3)))*(1+VLOOKUP($B63,HeatRateDegradation,$C63+1)),0)</f>
        <v>#VALUE!</v>
      </c>
      <c r="GG63" s="1563" t="e">
        <f aca="false">IF(BQ63,VLOOKUP(A63,GasTable,13),0)</f>
        <v>#VALUE!</v>
      </c>
      <c r="GH63" s="1564" t="e">
        <f aca="false">(GE63+GF63)*GG63</f>
        <v>#VALUE!</v>
      </c>
      <c r="GI63" s="1569" t="e">
        <f aca="false">GB63</f>
        <v>#VALUE!</v>
      </c>
      <c r="GJ63" s="1598" t="e">
        <f aca="false">+DA63</f>
        <v>#VALUE!</v>
      </c>
      <c r="GK63" s="1558" t="e">
        <f aca="false">+GI63*GJ63</f>
        <v>#VALUE!</v>
      </c>
      <c r="GL63" s="1566" t="e">
        <f aca="false">MAX(FE63-FL63-FP63,0)</f>
        <v>#VALUE!</v>
      </c>
      <c r="GM63" s="1551" t="e">
        <f aca="false">MAX(FF63-FM63-FQ63,0)</f>
        <v>#VALUE!</v>
      </c>
      <c r="GN63" s="1551" t="e">
        <f aca="false">MAX(FG63-FN63-FR63,0)</f>
        <v>#VALUE!</v>
      </c>
      <c r="GO63" s="1564" t="e">
        <f aca="false">MAX(FH63-FO63-FS63,0)</f>
        <v>#VALUE!</v>
      </c>
      <c r="GP63" s="1551" t="e">
        <f aca="false">SUM(GL63:GO63)</f>
        <v>#VALUE!</v>
      </c>
      <c r="GQ63" s="1563" t="e">
        <f aca="false">IF(SUM(GL63:GO63)=0,0,((GL63*BU63+GM63*BV63+GN63*BW63+GO63*BX63)/SUM(GL63:GO63)))</f>
        <v>#VALUE!</v>
      </c>
      <c r="GR63" s="1558" t="e">
        <f aca="false">(GL63*BU63+GM63*BV63+GN63*BW63+GO63*BX63)</f>
        <v>#VALUE!</v>
      </c>
      <c r="GS63" s="1566" t="n">
        <f aca="false">IF($A63&gt;=BegDate,Assumptions!$C$56*24*($A64-$A63)*(1-VLOOKUP($B63,MAIN!$AA$7:$AM$28,$C63+1))*(1-VLOOKUP($B63,MAIN!$AA$33:$AM$54,$C63+1)),0)*80/168</f>
        <v>257742.857142857</v>
      </c>
      <c r="GT63" s="286" t="n">
        <f aca="false">J63</f>
        <v>31.75098254928</v>
      </c>
      <c r="GU63" s="286" t="n">
        <f aca="false">IF($A63&gt;=BegDate,VLOOKUP($A63,GasTable,13)+Assumptions!$C$58,0)</f>
        <v>2.398315937313</v>
      </c>
      <c r="GV63" s="286" t="n">
        <f aca="false">GU63*Assumptions!$C$57/1000</f>
        <v>17.3877905455192</v>
      </c>
      <c r="GW63" s="1558" t="n">
        <f aca="false">IF(Assumptions!$C$60="Hourly",MAX(0,GS63*(GT63-GV63)),GS63*(GT63-GV63))</f>
        <v>3702010.14474074</v>
      </c>
      <c r="GX63" s="1566" t="n">
        <f aca="false">IF($A63&gt;=BegDate,Assumptions!$C$56*24*($A64-$A63)*(1-VLOOKUP($B63,MAIN!$AA$7:$AM$28,$C63+1))*(1-VLOOKUP($B63,MAIN!$AA$33:$AM$54,$C63+1)),0)*16/168</f>
        <v>51548.5714285714</v>
      </c>
      <c r="GY63" s="286" t="n">
        <f aca="false">M63</f>
        <v>31.75098254928</v>
      </c>
      <c r="GZ63" s="286" t="n">
        <f aca="false">IF($A63&gt;=BegDate,VLOOKUP($A63,GasTable,13)+Assumptions!$C$58,0)</f>
        <v>2.398315937313</v>
      </c>
      <c r="HA63" s="286" t="n">
        <f aca="false">GZ63*Assumptions!$C$57/1000</f>
        <v>17.3877905455192</v>
      </c>
      <c r="HB63" s="1558" t="n">
        <f aca="false">IF(Assumptions!$C$60="Hourly",MAX(0,GX63*(GY63-HA63)),GX63*(GY63-HA63))</f>
        <v>740402.028948147</v>
      </c>
      <c r="HC63" s="1566" t="n">
        <f aca="false">IF($A63&gt;=BegDate,Assumptions!$C$56*24*($A64-$A63)*(1-VLOOKUP($B63,MAIN!$AA$7:$AM$28,$C63+1))*(1-VLOOKUP($B63,MAIN!$AA$33:$AM$54,$C63+1)),0)*16/168</f>
        <v>51548.5714285714</v>
      </c>
      <c r="HD63" s="286" t="n">
        <f aca="false">P63</f>
        <v>22.598910393264</v>
      </c>
      <c r="HE63" s="286" t="n">
        <f aca="false">IF($A63&gt;=BegDate,VLOOKUP($A63,GasTable,13)+Assumptions!$C$58,0)</f>
        <v>2.398315937313</v>
      </c>
      <c r="HF63" s="286" t="n">
        <f aca="false">HE63*Assumptions!$C$57/1000</f>
        <v>17.3877905455192</v>
      </c>
      <c r="HG63" s="1558" t="n">
        <f aca="false">IF(Assumptions!$C$60="Hourly",MAX(0,HC63*(HD63-HF63)),HC63*(HD63-HF63))</f>
        <v>268625.783694317</v>
      </c>
      <c r="HH63" s="1566" t="n">
        <f aca="false">IF($A63&gt;=BegDate,Assumptions!$C$56*24*($A64-$A63)*(1-VLOOKUP($B63,MAIN!$AA$7:$AM$28,$C63+1))*(1-VLOOKUP($B63,MAIN!$AA$33:$AM$54,$C63+1)),0)*56/168</f>
        <v>180420</v>
      </c>
      <c r="HI63" s="286" t="n">
        <f aca="false">S63</f>
        <v>22.598910393264</v>
      </c>
      <c r="HJ63" s="286" t="n">
        <f aca="false">IF($A63&gt;=BegDate,VLOOKUP($A63,GasTable,13)+Assumptions!$C$58,0)</f>
        <v>2.398315937313</v>
      </c>
      <c r="HK63" s="286" t="n">
        <f aca="false">HJ63*Assumptions!$C$57/1000</f>
        <v>17.3877905455192</v>
      </c>
      <c r="HL63" s="1558" t="n">
        <f aca="false">IF(Assumptions!$C$60="Hourly",MAX(0,HH63*(HI63-HK63)),HH63*(HI63-HK63))</f>
        <v>940190.24293011</v>
      </c>
      <c r="HM63" s="1566" t="n">
        <f aca="false">IF(AND(Assumptions!$H$71="Yes",A63&gt;=Assumptions!$H$72,A63&lt;=Assumptions!$H$73),Assumptions!$H$74*Assumptions!$C$9*1000,0)</f>
        <v>0</v>
      </c>
      <c r="HN63" s="1551"/>
      <c r="HO63" s="1563"/>
      <c r="HP63" s="1563"/>
      <c r="HQ63" s="1563"/>
      <c r="HR63" s="1563"/>
      <c r="HS63" s="1563"/>
      <c r="HT63" s="1563"/>
      <c r="HU63" s="1563"/>
      <c r="HV63" s="1563"/>
      <c r="HW63" s="1563"/>
      <c r="HX63" s="1563"/>
      <c r="HY63" s="1563"/>
      <c r="HZ63" s="1563"/>
      <c r="IA63" s="1563"/>
      <c r="IB63" s="1563"/>
      <c r="IC63" s="1563"/>
      <c r="ID63" s="1563"/>
      <c r="IE63" s="1563"/>
      <c r="IF63" s="1563"/>
      <c r="IG63" s="1563"/>
      <c r="IH63" s="1563"/>
      <c r="II63" s="1610"/>
      <c r="IJ63" s="1309"/>
      <c r="IK63" s="1309"/>
    </row>
    <row r="64" customFormat="false" ht="12.75" hidden="false" customHeight="false" outlineLevel="0" collapsed="false">
      <c r="A64" s="1571" t="n">
        <f aca="false">EOMONTH(A63,0)+1</f>
        <v>38078</v>
      </c>
      <c r="B64" s="594" t="n">
        <f aca="false">+YEAR(A64)</f>
        <v>2004</v>
      </c>
      <c r="C64" s="238" t="n">
        <f aca="false">MONTH(A64)</f>
        <v>4</v>
      </c>
      <c r="D64" s="1572" t="e">
        <f aca="false">IF(E64="","",Holiday(B64,C64))</f>
        <v>#VALUE!</v>
      </c>
      <c r="E64" s="1573" t="n">
        <f aca="false">IF(OR(BegDate&gt;=A65,EndDate&lt;A64,AND(VolumeMonthlyOverFlag,INDEX(VolumeMonthlyOver,C64)=0),NOT(INDEX(MonthKnockOutTable,C64))),"",MAX(A64,BegDate))</f>
        <v>38078</v>
      </c>
      <c r="F64" s="1574" t="n">
        <f aca="false">IF(E64="","",MIN(A65-1,EndDate))</f>
        <v>38107</v>
      </c>
      <c r="G64" s="1575" t="n">
        <v>0</v>
      </c>
      <c r="H64" s="1576" t="n">
        <f aca="false">(1+G64/2)^(-2*(DATE(B65,C65,20)-DateToday)/365.25)</f>
        <v>1</v>
      </c>
      <c r="I64" s="1568" t="n">
        <f aca="false">IF(Assumptions!$L$25=4,VLOOKUP($A64,'Henwood Reference'!$E$9:$R$320,10),(VLOOKUP($A64,PriceTable,2,0)+IF(BasisNumber&lt;&gt;1,VLOOKUP($A64,BasisTable,2,0),0)+I$1)/(1-I$2))</f>
        <v>30.471872465808</v>
      </c>
      <c r="J64" s="1568" t="n">
        <f aca="false">IF(Assumptions!$L$25=4,VLOOKUP($A64,'Henwood Reference'!$E$9:$R$320,10),(VLOOKUP($A64,PriceTable,3,0)+IF(BasisNumber&lt;&gt;1,VLOOKUP($A64,BasisTable,2,0),0)+J$1)/(1-J$2))</f>
        <v>30.471872465808</v>
      </c>
      <c r="K64" s="1568" t="n">
        <f aca="false">IF(Assumptions!$L$25=4,VLOOKUP($A64,'Henwood Reference'!$E$9:$R$320,10),(VLOOKUP($A64,PriceTable,4,0)+IF(BasisNumber&lt;&gt;1,VLOOKUP($A64,BasisTable,2,0),0)+K$1)/(1-K$2))</f>
        <v>30.471872465808</v>
      </c>
      <c r="L64" s="1523" t="n">
        <f aca="false">IF(Assumptions!$L$25=4,VLOOKUP($A64,'Henwood Reference'!$E$9:$R$320,10),(VLOOKUP($A64,PriceTableWeekend,2,0)+IF(BasisNumber&lt;&gt;1,VLOOKUP($A64,BasisTable,2,0),0)+L$1)/(1-L$2))</f>
        <v>30.471872465808</v>
      </c>
      <c r="M64" s="1568" t="n">
        <f aca="false">IF(Assumptions!$L$25=4,VLOOKUP($A64,'Henwood Reference'!$E$9:$R$320,10),(VLOOKUP($A64,PriceTableWeekend,3,0)+IF(BasisNumber&lt;&gt;1,VLOOKUP($A64,BasisTable,2,0),0)+M$1)/(1-M$2))</f>
        <v>30.471872465808</v>
      </c>
      <c r="N64" s="1599" t="n">
        <f aca="false">IF(Assumptions!$L$25=4,VLOOKUP($A64,'Henwood Reference'!$E$9:$R$320,10),(VLOOKUP($A64,PriceTableWeekend,4,0)+IF(BasisNumber&lt;&gt;1,VLOOKUP($A64,BasisTable,2,0),0)+N$1)/(1-N$2))</f>
        <v>30.471872465808</v>
      </c>
      <c r="O64" s="1568" t="n">
        <f aca="false">IF(Assumptions!$L$25=4,VLOOKUP($A64,'Henwood Reference'!$E$9:$R$320,11),(VLOOKUP($A64,PriceTableWeekend,6,0)+IF(BasisNumber&lt;&gt;1,VLOOKUP($A64,BasisTable,3,0),0)+O$1)/(1-O$2))</f>
        <v>21.230607899808</v>
      </c>
      <c r="P64" s="1568" t="n">
        <f aca="false">IF(Assumptions!$L$25=4,VLOOKUP($A64,'Henwood Reference'!$E$9:$R$320,11),(VLOOKUP($A64,PriceTableWeekend,7,0)+IF(BasisNumber&lt;&gt;1,VLOOKUP($A64,BasisTable,3,0),0)+P$1)/(1-P$2))</f>
        <v>21.230607899808</v>
      </c>
      <c r="Q64" s="1599" t="n">
        <f aca="false">IF(Assumptions!$L$25=4,VLOOKUP($A64,'Henwood Reference'!$E$9:$R$320,11),(VLOOKUP($A64,PriceTableWeekend,8,0)+IF(BasisNumber&lt;&gt;1,VLOOKUP($A64,BasisTable,3,0),0)+Q$1)/(1-Q$2))</f>
        <v>21.230607899808</v>
      </c>
      <c r="R64" s="1568" t="n">
        <f aca="false">IF(Assumptions!$L$25=4,VLOOKUP($A64,'Henwood Reference'!$E$9:$R$320,11),(VLOOKUP($A64,PriceTable,6,0)+IF(BasisNumber&lt;&gt;1,VLOOKUP($A64,BasisTable,3,0),0)+R$1)/(1-R$2))</f>
        <v>21.230607899808</v>
      </c>
      <c r="S64" s="1568" t="n">
        <f aca="false">IF(Assumptions!$L$25=4,VLOOKUP($A64,'Henwood Reference'!$E$9:$R$320,11),(VLOOKUP($A64,PriceTable,7,0)+IF(BasisNumber&lt;&gt;1,VLOOKUP($A64,BasisTable,3,0),0)+S$1)/(1-S$2))</f>
        <v>21.230607899808</v>
      </c>
      <c r="T64" s="1600" t="n">
        <f aca="false">IF(Assumptions!$L$25=4,VLOOKUP($A64,'Henwood Reference'!$E$9:$R$320,11),(VLOOKUP($A64,PriceTable,8,0)+IF(BasisNumber&lt;&gt;1,VLOOKUP($A64,BasisTable,3,0),0)+T$1)/(1-T$2))</f>
        <v>21.230607899808</v>
      </c>
      <c r="U64" s="1513" t="n">
        <f aca="false">VLOOKUP($A64,VolatilityTable,14)</f>
        <v>0.15</v>
      </c>
      <c r="V64" s="1513" t="n">
        <f aca="false">VLOOKUP($A64,VolatilityTable,15)</f>
        <v>0.16</v>
      </c>
      <c r="W64" s="1514" t="n">
        <f aca="false">VLOOKUP($A64,VolatilityTable,16)</f>
        <v>0.17</v>
      </c>
      <c r="X64" s="1513" t="n">
        <f aca="false">VLOOKUP($A64,VolatilityTable,14)</f>
        <v>0.15</v>
      </c>
      <c r="Y64" s="1513" t="n">
        <f aca="false">VLOOKUP($A64,VolatilityTable,15)</f>
        <v>0.16</v>
      </c>
      <c r="Z64" s="1514" t="n">
        <f aca="false">VLOOKUP($A64,VolatilityTable,16)</f>
        <v>0.17</v>
      </c>
      <c r="AA64" s="1513" t="n">
        <f aca="false">VLOOKUP($A64,VolatilityTable,18)</f>
        <v>0.09</v>
      </c>
      <c r="AB64" s="1513" t="n">
        <f aca="false">VLOOKUP($A64,VolatilityTable,19)</f>
        <v>0.11</v>
      </c>
      <c r="AC64" s="1514" t="n">
        <f aca="false">VLOOKUP($A64,VolatilityTable,20)</f>
        <v>0.13</v>
      </c>
      <c r="AD64" s="1513" t="n">
        <f aca="false">VLOOKUP($A64,VolatilityTable,18)</f>
        <v>0.09</v>
      </c>
      <c r="AE64" s="1513" t="n">
        <f aca="false">VLOOKUP($A64,VolatilityTable,19)</f>
        <v>0.11</v>
      </c>
      <c r="AF64" s="1514" t="n">
        <f aca="false">VLOOKUP($A64,VolatilityTable,20)</f>
        <v>0.13</v>
      </c>
      <c r="AG64" s="1513" t="n">
        <f aca="false">VLOOKUP($A64,VolatilityTable,22)</f>
        <v>-0.1</v>
      </c>
      <c r="AH64" s="1513" t="n">
        <f aca="false">VLOOKUP($A64,VolatilityTable,23)</f>
        <v>0.65</v>
      </c>
      <c r="AI64" s="1514" t="n">
        <f aca="false">VLOOKUP($A64,VolatilityTable,24)</f>
        <v>0.1</v>
      </c>
      <c r="AJ64" s="1513" t="n">
        <f aca="false">VLOOKUP($A64,VolatilityTable,22)</f>
        <v>-0.1</v>
      </c>
      <c r="AK64" s="1513" t="n">
        <f aca="false">VLOOKUP($A64,VolatilityTable,23)</f>
        <v>0.65</v>
      </c>
      <c r="AL64" s="1514" t="n">
        <f aca="false">VLOOKUP($A64,VolatilityTable,24)</f>
        <v>0.1</v>
      </c>
      <c r="AM64" s="1513" t="n">
        <f aca="false">VLOOKUP($A64,VolatilityTable,26)</f>
        <v>-0.01</v>
      </c>
      <c r="AN64" s="1513" t="n">
        <f aca="false">VLOOKUP($A64,VolatilityTable,27)</f>
        <v>0.16</v>
      </c>
      <c r="AO64" s="1514" t="n">
        <f aca="false">VLOOKUP($A64,VolatilityTable,28)</f>
        <v>0.01</v>
      </c>
      <c r="AP64" s="1513" t="n">
        <f aca="false">VLOOKUP($A64,VolatilityTable,26)</f>
        <v>-0.01</v>
      </c>
      <c r="AQ64" s="1513" t="n">
        <f aca="false">VLOOKUP($A64,VolatilityTable,27)</f>
        <v>0.16</v>
      </c>
      <c r="AR64" s="1515" t="n">
        <f aca="false">VLOOKUP($A64,VolatilityTable,28)</f>
        <v>0.01</v>
      </c>
      <c r="AS64" s="1581" t="n">
        <f aca="false">IF(CorrPeakOffPeakOverFlag,INDEX(CorrPeakOffPeakOver,C64),CorrPeakOffPeak)</f>
        <v>0.5</v>
      </c>
      <c r="AT64" s="594" t="e">
        <f aca="false">AX64-SUM(AU64:AW64)</f>
        <v>#VALUE!</v>
      </c>
      <c r="AU64" s="238" t="e">
        <f aca="false">IF(E64="",0,INT((F64-MOD(F64,7)-E64)/7)+1-IF(AW64,IF(WEEKDAY(D64)=7,1,0),0))</f>
        <v>#VALUE!</v>
      </c>
      <c r="AV64" s="238" t="e">
        <f aca="false">IF(E64="",0,INT((F64-MOD(F64-1,7)-E64)/7)+1-IF(AW64,IF(WEEKDAY(D64)=1,1,0),0))</f>
        <v>#VALUE!</v>
      </c>
      <c r="AW64" s="238" t="e">
        <f aca="false">IF(OR(E64="",D64="",D64&lt;BegDate,D64&gt;EndDate),0,1)</f>
        <v>#VALUE!</v>
      </c>
      <c r="AX64" s="238" t="n">
        <f aca="false">IF(E64="",0,F64-E64+1)</f>
        <v>30</v>
      </c>
      <c r="AY64" s="1582" t="n">
        <f aca="false">IF(E64="",0,MIN((1-(1-VLOOKUP(B64,MAIN!$AA$7:$AM$28,C64+1))*(1-VLOOKUP(B64,MAIN!$AA$33:$AM$54,C64+1))),1))</f>
        <v>0.127</v>
      </c>
      <c r="AZ64" s="1519" t="e">
        <v>#VALUE!</v>
      </c>
      <c r="BA64" s="1520" t="e">
        <v>#VALUE!</v>
      </c>
      <c r="BB64" s="1520" t="e">
        <v>#VALUE!</v>
      </c>
      <c r="BC64" s="1583" t="e">
        <v>#VALUE!</v>
      </c>
      <c r="BD64" s="1522" t="e">
        <v>#VALUE!</v>
      </c>
      <c r="BE64" s="1523" t="e">
        <v>#VALUE!</v>
      </c>
      <c r="BF64" s="1523" t="e">
        <v>#VALUE!</v>
      </c>
      <c r="BG64" s="1584" t="e">
        <v>#VALUE!</v>
      </c>
      <c r="BH64" s="1525" t="e">
        <v>#VALUE!</v>
      </c>
      <c r="BI64" s="1520" t="e">
        <v>#VALUE!</v>
      </c>
      <c r="BJ64" s="1520" t="e">
        <v>#VALUE!</v>
      </c>
      <c r="BK64" s="1583" t="e">
        <v>#VALUE!</v>
      </c>
      <c r="BL64" s="1522" t="e">
        <v>#VALUE!</v>
      </c>
      <c r="BM64" s="1523" t="e">
        <v>#VALUE!</v>
      </c>
      <c r="BN64" s="1523" t="e">
        <v>#VALUE!</v>
      </c>
      <c r="BO64" s="1523" t="e">
        <v>#VALUE!</v>
      </c>
      <c r="BP64" s="1525" t="e">
        <f aca="false">SUM(AZ64:BB64)</f>
        <v>#VALUE!</v>
      </c>
      <c r="BQ64" s="1529" t="e">
        <f aca="false">SUM(AZ64:BC64)</f>
        <v>#VALUE!</v>
      </c>
      <c r="BR64" s="1519" t="e">
        <f aca="false">SUM(BH64:BJ64)</f>
        <v>#VALUE!</v>
      </c>
      <c r="BS64" s="1529" t="e">
        <f aca="false">SUM(BH64:BK64)</f>
        <v>#VALUE!</v>
      </c>
      <c r="BT64" s="1316" t="n">
        <f aca="false">(IF(OVolType&lt;&gt;2,A64+14,IF(OptExpDateShift,ShiftBack(A64,OptExpDateShift,D63),A64))-DateToday)/365.25</f>
        <v>3.96440793976728</v>
      </c>
      <c r="BU64" s="1585" t="e">
        <f aca="false">IF(BQ64,IF(OPriceCurve,IF(OBuySell=OCallPut,I64/(1-AY64),K64/(1-AY64)),J64/(1-AY64))*BD64,0)</f>
        <v>#VALUE!</v>
      </c>
      <c r="BV64" s="1316" t="e">
        <f aca="false">IF(BQ64,IF(OPriceCurve,IF(OBuySell=OCallPut,L64/(1-AY64),N64/(1-AY64)),M64/(1-AY64))*BE64,0)</f>
        <v>#VALUE!</v>
      </c>
      <c r="BW64" s="1316" t="e">
        <f aca="false">IF(BQ64,IF(OPriceCurve,IF(OBuySell=OCallPut,O64/(1-AY64),Q64/(1-AY64)),P64/(1-AY64))*BF64,0)</f>
        <v>#VALUE!</v>
      </c>
      <c r="BX64" s="1316" t="e">
        <f aca="false">IF(BQ64,IF(OPriceCurve,IF(OBuySell=OCallPut,R64/(1-AY64),T64/(1-AY64)),S64/(1-AY64))*BG64,0)</f>
        <v>#VALUE!</v>
      </c>
      <c r="BY64" s="1316" t="e">
        <f aca="false">IF(BP64,(BU64*AZ64+BV64*BA64+BW64*BB64)/BP64,0)</f>
        <v>#VALUE!</v>
      </c>
      <c r="BZ64" s="1316" t="e">
        <f aca="false">IF(BQ64,(BY64*BP64+BX64*BC64)/BQ64,0)</f>
        <v>#VALUE!</v>
      </c>
      <c r="CA64" s="1531" t="e">
        <f aca="false">IF(BS64,IF(OPriceCurve,IF(OBuySell=OCallPut,I64/(1-AY64),K64/(1-AY64)),J64/(1-AY64))*BL64,0)</f>
        <v>#VALUE!</v>
      </c>
      <c r="CB64" s="1316" t="e">
        <f aca="false">IF(BS64,IF(OPriceCurve,IF(OBuySell=OCallPut,L64/(1-AY64),N64/(1-AY64)),M64/(1-AY64))*BM64,0)</f>
        <v>#VALUE!</v>
      </c>
      <c r="CC64" s="1316" t="e">
        <f aca="false">IF(BS64,IF(OPriceCurve,IF(OBuySell=OCallPut,O64/(1-AY64),Q64/(1-AY64)),P64/(1-AY64))*BN64,0)</f>
        <v>#VALUE!</v>
      </c>
      <c r="CD64" s="1316" t="e">
        <f aca="false">IF(BS64,IF(OPriceCurve,IF(OBuySell=OCallPut,R64/(1-AY64),T64/(1-AY64)),S64/(1-AY64))*BO64,0)</f>
        <v>#VALUE!</v>
      </c>
      <c r="CE64" s="1316" t="e">
        <f aca="false">IF(BR64,(BU64*BH64+BV64*BI64+BW64*BJ64)/BR64,0)</f>
        <v>#VALUE!</v>
      </c>
      <c r="CF64" s="1532" t="e">
        <f aca="false">IF(BS64,(CE64*BR64+CD64*BK64)/BS64,0)</f>
        <v>#VALUE!</v>
      </c>
      <c r="CG64" s="1586" t="e">
        <f aca="false">IF(OR(BQ64,BS64),IF(OVolType&lt;&gt;2,SQRT(IF(OVolOverMonthlyPeak,OVolOverMonthlyPeak,IF(OVolCurve,IF(OBuySell,U64,W64),V64))^2*(1-15/365.25/BT64)+IF(OVolOverDailyPeak,OVolOverDailyPeak,IF(OVolCurve,IF(OBuySell,AG64,AI64),AH64))^2*15/365.25/BT64),IF(OVolOverMonthlyPeak,OVolOverMonthlyPeak,IF(OVolCurve,IF(OBuySell,U64,W64),V64))),"")</f>
        <v>#VALUE!</v>
      </c>
      <c r="CH64" s="1587" t="e">
        <f aca="false">IF(OR(BQ64,BS64),IF(OVolType&lt;&gt;2,SQRT(IF(OVolOverMonthlyPeak,OVolOverMonthlyPeak,IF(OVolCurve,IF(OBuySell,X64,Z64),Y64))^2*(1-15/365.25/BT64)+IF(OVolOverDailyPeak,OVolOverDailyPeak,IF(OVolCurve,IF(OBuySell,AJ64,AL64),AK64))^2*15/365.25/BT64),IF(OVolOverMonthlyPeak,OVolOverMonthlyPeak,IF(OVolCurve,IF(OBuySell,X64,Z64),Y64))),"")</f>
        <v>#VALUE!</v>
      </c>
      <c r="CI64" s="1587" t="e">
        <f aca="false">IF(OR(BQ64,BS64),IF(OVolType&lt;&gt;2,SQRT(IF(OVolOverMonthlyPeak,OVolOverMonthlyPeak,IF(OVolCurve,IF(OBuySell,AA64,AC64),AB64))^2*(1-15/365.25/BT64)+IF(OVolOverDailyPeak,OVolOverDailyPeak,IF(OVolCurve,IF(OBuySell,AM64,AO64),AN64))^2*15/365.25/BT64),IF(OVolOverMonthlyPeak,OVolOverMonthlyPeak,IF(OVolCurve,IF(OBuySell,AA64,AC64),AB64))),"")</f>
        <v>#VALUE!</v>
      </c>
      <c r="CJ64" s="1587" t="e">
        <f aca="false">IF(BQ64,IF(BP64,SQRT(LN(1+((BU64*AZ64)^2*(EXP(CG64^2*BT64)-1)+(BV64*BA64)^2*(EXP(CH64^2*BT64)-1)+(BW64*BB64)^2*(EXP(CI64^2*BT64)-1)+2*BU64*AZ64*BV64*BA64*(EXP(CG64*CH64*BT64)-1)+2*BV64*BA64*BW64*BB64*(EXP(CH64*CI64*BT64)-1)+2*BW64*BB64*BU64*AZ64*(EXP(CI64*CG64*BT64)-1))/(BY64*BP64)^2)/BT64),0),"")</f>
        <v>#VALUE!</v>
      </c>
      <c r="CK64" s="1587" t="e">
        <f aca="false">IF(BS64,IF(BR64,SQRT(LN(1+((CA64*BH64)^2*(EXP(CG64^2*BT64)-1)+(CB64*BI64)^2*(EXP(CH64^2*BT64)-1)+(CC64*BJ64)^2*(EXP(CI64^2*BT64)-1)+2*CA64*BH64*CB64*BI64*(EXP(CG64*CH64*BT64)-1)+2*CB64*BI64*CC64*BJ64*(EXP(CH64*CI64*BT64)-1)+2*CC64*BJ64*CA64*BH64*(EXP(CI64*CG64*BT64)-1))/(CE64*BR64)^2)/BT64),0),"")</f>
        <v>#VALUE!</v>
      </c>
      <c r="CL64" s="1587" t="e">
        <f aca="false">IF(OR(BQ64,BS64),IF(OVolType&lt;&gt;2,SQRT(IF(OVolOverMonthlyOffPeak,OVolOverMonthlyOffPeak,IF(OVolCurve,IF(OBuySell,AD64,AF64),AE64))^2*(1-15/365.25/BT64)+IF(OVolOverDailyOffPeak,OVolOverDailyOffPeak,IF(OVolCurve,IF(OBuySell,AP64,AR64),AQ64))^2*15/365.25/BT64),IF(OVolOverMonthlyOffPeak,OVolOverMonthlyOffPeak,IF(OVolCurve,IF(OBuySell,AD64,AF64),AE64))),"")</f>
        <v>#VALUE!</v>
      </c>
      <c r="CM64" s="1587" t="e">
        <f aca="false">IF(BQ64,SQRT(LN(1+((BY64*BP64)^2*(EXP(CJ64^2*BT64)-1)+(BX64*BC64)^2*(EXP(CL64^2*BT64)-1)+2*BY64*BP64*BX64*BC64*(EXP(AS64*CJ64*CL64*BT64)-1))/(BY64*BP64+BX64*BC64)^2)/BT64),"")</f>
        <v>#VALUE!</v>
      </c>
      <c r="CN64" s="1588" t="e">
        <f aca="false">IF(BS64,SQRT(LN(1+((CE64*BR64)^2*(EXP(CK64^2*BT64)-1)+(CD64*BK64)^2*(EXP(CL64^2*BT64)-1)+2*CE64*BR64*CD64*BK64*(EXP(AS64*CK64*CL64*BT64)-1))/(CE64*BR64+CD64*BK64)^2)/BT64),"")</f>
        <v>#VALUE!</v>
      </c>
      <c r="CO64" s="1531" t="e">
        <f aca="false">IF(OR(BQ64,BS64),VLOOKUP(A64,GasTable,13)*HeatRatePeak*(1+VLOOKUP($B64,HeatRateDegradation,$C64+1))/1000,0)</f>
        <v>#VALUE!</v>
      </c>
      <c r="CP64" s="1316" t="e">
        <f aca="false">IF(OR(BQ64,BS64),VLOOKUP(A64,GasTable,13)*HeatRatePeak*(1+VLOOKUP($B64,HeatRateDegradation,$C64+1))/1000,0)</f>
        <v>#VALUE!</v>
      </c>
      <c r="CQ64" s="1316" t="e">
        <f aca="false">IF(OR(BQ64,BS64),VLOOKUP(A64,GasTable,13)*IF(EV64,HeatRatePeak,HeatRateOffPeak)*(1+VLOOKUP($B64,HeatRateDegradation,$C64+1))/1000,0)</f>
        <v>#VALUE!</v>
      </c>
      <c r="CR64" s="1316" t="e">
        <f aca="false">IF(OR(BQ64,BS64),VLOOKUP(A64,GasTable,13)*IF(EW64,HeatRatePeak,HeatRateOffPeak)*(1+VLOOKUP($B64,HeatRateDegradation,$C64+1))/1000,0)</f>
        <v>#VALUE!</v>
      </c>
      <c r="CS64" s="1589" t="e">
        <f aca="false">IF(BQ64,(CO64*AZ64+CP64*BA64+CQ64*BB64+CR64*BC64)/BQ64,0)</f>
        <v>#VALUE!</v>
      </c>
      <c r="CT64" s="1316" t="e">
        <f aca="false">IF(BS64,CO64,0)</f>
        <v>#VALUE!</v>
      </c>
      <c r="CU64" s="1590" t="e">
        <f aca="false">IF(OR(BQ64,BS64),VLOOKUP(A64,GasTable,14),"")</f>
        <v>#VALUE!</v>
      </c>
      <c r="CV64" s="1568" t="e">
        <f aca="false">IF(OR(BQ64,BS64),IF(CorrPowerGasOverFlag,INDEX(CorrPowerGasOver,C64),CorrPowerGas),"")</f>
        <v>#VALUE!</v>
      </c>
      <c r="CW64" s="1316" t="e">
        <f aca="false">IF(OR($BQ64,$BS64),SpreadOptPowerMargin,0)*((1+Assumptions!$C$26)^($B64-YEAR(Assumptions!$C$17)))</f>
        <v>#VALUE!</v>
      </c>
      <c r="CX64" s="1316" t="e">
        <f aca="false">IF(OR($BQ64,$BS64),SpreadOptPowerMargin,0)*((1+Assumptions!$C$26)^($B64-YEAR(Assumptions!$C$17)))</f>
        <v>#VALUE!</v>
      </c>
      <c r="CY64" s="1316" t="e">
        <f aca="false">IF(OR($BQ64,$BS64),SpreadOptPowerMargin,0)*((1+Assumptions!$C$26)^($B64-YEAR(Assumptions!$C$17)))</f>
        <v>#VALUE!</v>
      </c>
      <c r="CZ64" s="1316" t="e">
        <f aca="false">IF(OR($BQ64,$BS64),SpreadOptPowerMargin,0)*((1+Assumptions!$C$26)^($B64-YEAR(Assumptions!$C$17)))</f>
        <v>#VALUE!</v>
      </c>
      <c r="DA64" s="1591" t="e">
        <f aca="false">IF(OR(BQ64,BS64),(CW64*(AZ64+BH64)+CX64*(BA64+BI64)+CY64*(BB64+BJ64)+CZ64*(BC64+BK64))/(BQ64+BS64),0)</f>
        <v>#VALUE!</v>
      </c>
      <c r="DB64" s="1592" t="e">
        <f aca="false">IF(OR(BQ64,BS64),CG64+IF(OVolSmile,VLOOKUP(MAX(-5,CO64+CW64-BU64),IF(OVolSmile=1,VolSmileBook,VolSmileModel),2),0),"")</f>
        <v>#VALUE!</v>
      </c>
      <c r="DC64" s="1592" t="e">
        <f aca="false">IF(OR(BQ64,BS64),CH64+IF(OVolSmile,VLOOKUP(MAX(-5,CP64+CW64-BV64),IF(OVolSmile=1,VolSmileBook,VolSmileModel),2),0),"")</f>
        <v>#VALUE!</v>
      </c>
      <c r="DD64" s="1592" t="e">
        <f aca="false">IF(OR(BQ64,BS64),CI64+IF(OVolSmile,VLOOKUP(MAX(-5,CQ64+CW64-BW64),IF(OVolSmile=1,VolSmileBook,VolSmileModel),2),0),"")</f>
        <v>#VALUE!</v>
      </c>
      <c r="DE64" s="1592" t="e">
        <f aca="false">IF(OR(BQ64,BS64),CL64+IF(OVolSmile,VLOOKUP(MAX(-5,CR64+CZ64-BX64),IF(OVolSmile=1,VolSmileBook,VolSmileModel),2),0),"")</f>
        <v>#VALUE!</v>
      </c>
      <c r="DF64" s="1592" t="e">
        <f aca="false">IF(BQ64,CM64+IF(OVolSmile,VLOOKUP(MAX(-5,CS64+DA64-BZ64),IF(OVolSmile=1,VolSmileBook,VolSmileModel),2),0),"")</f>
        <v>#VALUE!</v>
      </c>
      <c r="DG64" s="1593" t="e">
        <f aca="false">IF(BS64,CN64+IF(OVolSmile,VLOOKUP(MAX(-5,CT64+DA64-CF64),IF(OVolSmile=1,VolSmileBook,VolSmileModel),2),0),"")</f>
        <v>#VALUE!</v>
      </c>
      <c r="DH64" s="1316" t="e">
        <f aca="false">IF(AND(BU64&gt;0,CO64&gt;0,DB64&gt;0,CU64&gt;0),newSPRDOPT(BU64,CO64,CW64,0,DB64,CU64,CV64,BT64*365.25,OCallPut,0),0)</f>
        <v>#VALUE!</v>
      </c>
      <c r="DI64" s="1316" t="e">
        <f aca="false">IF(AND(BV64&gt;0,CP64&gt;0,DC64&gt;0,CU64&gt;0),newSPRDOPT(BV64,CP64,CX64,0,DC64,CU64,CV64,BT64*365.25,OCallPut,0),0)</f>
        <v>#VALUE!</v>
      </c>
      <c r="DJ64" s="1316" t="e">
        <f aca="false">IF(AND(BW64&gt;0,CQ64&gt;0,DD64&gt;0,CU64&gt;0),newSPRDOPT(BW64,CQ64,CY64,0,DD64,CU64,CV64,BT64*365.25,OCallPut,0),0)</f>
        <v>#VALUE!</v>
      </c>
      <c r="DK64" s="1316" t="e">
        <f aca="false">IF(AND(BX64&gt;0,CR64&gt;0,DE64&gt;0,CU64&gt;0),newSPRDOPT(BX64,CR64,CZ64,0,DE64,CU64,CV64,BT64*365.25,OCallPut,0),0)</f>
        <v>#VALUE!</v>
      </c>
      <c r="DL64" s="1316" t="e">
        <f aca="false">IF(OVolType,IF(AND(BZ64&gt;0,CS64&gt;0,DF64&gt;0,CU64&gt;0),newSPRDOPT(BZ64,CS64,DA64,0,DF64,CU64,CV64,BT64*365.25,OCallPut,0),0),IF(BQ64,(DH64*AZ64+DI64*BA64+DJ64*BB64+DK64*BC64)/BQ64,0))</f>
        <v>#VALUE!</v>
      </c>
      <c r="DM64" s="1316"/>
      <c r="DN64" s="1316"/>
      <c r="DO64" s="1316"/>
      <c r="DP64" s="1316"/>
      <c r="DQ64" s="1316"/>
      <c r="DR64" s="1316"/>
      <c r="DS64" s="1316"/>
      <c r="DT64" s="1316"/>
      <c r="DU64" s="1316"/>
      <c r="DV64" s="1316"/>
      <c r="DW64" s="1594" t="e">
        <f aca="false">IF(AND(BW64&gt;0,CT64&gt;0,DD64&gt;0,CU64&gt;0),newSPRDOPT(BW64,CT64,CY64,0,DD64,CU64,CV64,BT64*365.25,OCallPut,0),0)</f>
        <v>#VALUE!</v>
      </c>
      <c r="DX64" s="1316" t="e">
        <f aca="false">IF(AND(BX64&gt;0,CT64&gt;0,DE64&gt;0,CU64&gt;0),newSPRDOPT(BX64,CT64,CZ64,0,DE64,CU64,CV64,BT64*365.25,OCallPut,0),0)</f>
        <v>#VALUE!</v>
      </c>
      <c r="DY64" s="1591" t="e">
        <f aca="false">IF(BS64,(DH64*BH64+DI64*BI64+DW64*BJ64+DX64*BK64)/BS64,0)</f>
        <v>#VALUE!</v>
      </c>
      <c r="DZ64" s="1551" t="e">
        <f aca="false">DH64*AZ64</f>
        <v>#VALUE!</v>
      </c>
      <c r="EA64" s="1551" t="e">
        <f aca="false">DI64*BA64</f>
        <v>#VALUE!</v>
      </c>
      <c r="EB64" s="1551" t="e">
        <f aca="false">DJ64*BB64</f>
        <v>#VALUE!</v>
      </c>
      <c r="EC64" s="1551" t="e">
        <f aca="false">DK64*BC64</f>
        <v>#VALUE!</v>
      </c>
      <c r="ED64" s="1551" t="e">
        <f aca="false">DL64*BQ64</f>
        <v>#VALUE!</v>
      </c>
      <c r="EE64" s="1595" t="e">
        <f aca="false">IF(BQ64,IF(OCallPut,IF(BU64&gt;(CO64+CW64),BU64-(CO64+CW64),0),IF((CO64+CW64)&gt;BU64,(CO64+CW64)-BU64,0))*AZ64,0)</f>
        <v>#VALUE!</v>
      </c>
      <c r="EF64" s="1596" t="e">
        <f aca="false">IF(BQ64,IF(OCallPut,IF(BV64&gt;(CP64+CX64),BV64-(CP64+CX64),0),IF((CP64+CX64)&gt;BV64,(CP64+CX64)-BV64,0))*BA64,0)</f>
        <v>#VALUE!</v>
      </c>
      <c r="EG64" s="1596" t="e">
        <f aca="false">IF(BQ64,IF(OCallPut,IF(BW64&gt;(CQ64+CY64),BW64-(CQ64+CY64),0),IF((CQ64+CY64)&gt;BW64,(CQ64+CY64)-BW64,0))*BB64,0)</f>
        <v>#VALUE!</v>
      </c>
      <c r="EH64" s="1596" t="e">
        <f aca="false">IF(BQ64,IF(OCallPut,IF(BX64&gt;(CR64+CZ64),BX64-(CR64+CZ64),0),IF((CR64+CZ64)&gt;BX64,(CR64+CZ64)-BX64,0))*BC64,0)</f>
        <v>#VALUE!</v>
      </c>
      <c r="EI64" s="1597" t="e">
        <f aca="false">IF(BQ64,IF(OVolType,IF(OCallPut,IF(BZ64&gt;(CS64+DA64),BZ64-(CS64+DA64),0),IF((CS64+DA64)&gt;BZ64,(CS64+DA64)-BZ64,0))*BQ64,SUM(EE64:EH64)),0)</f>
        <v>#VALUE!</v>
      </c>
      <c r="EJ64" s="1595" t="e">
        <f aca="false">DZ64-EE64</f>
        <v>#VALUE!</v>
      </c>
      <c r="EK64" s="1596" t="e">
        <f aca="false">EA64-EF64</f>
        <v>#VALUE!</v>
      </c>
      <c r="EL64" s="1596" t="e">
        <f aca="false">EB64-EG64</f>
        <v>#VALUE!</v>
      </c>
      <c r="EM64" s="1596" t="e">
        <f aca="false">EC64-EH64</f>
        <v>#VALUE!</v>
      </c>
      <c r="EN64" s="1597" t="e">
        <f aca="false">ED64-EI64</f>
        <v>#VALUE!</v>
      </c>
      <c r="EO64" s="1551" t="e">
        <f aca="false">DH64*BH64</f>
        <v>#VALUE!</v>
      </c>
      <c r="EP64" s="1551" t="e">
        <f aca="false">DI64*BI64</f>
        <v>#VALUE!</v>
      </c>
      <c r="EQ64" s="1551" t="e">
        <f aca="false">DW64*BJ64</f>
        <v>#VALUE!</v>
      </c>
      <c r="ER64" s="1551" t="e">
        <f aca="false">DX64*BK64</f>
        <v>#VALUE!</v>
      </c>
      <c r="ES64" s="1551" t="e">
        <f aca="false">DY64*BS64</f>
        <v>#VALUE!</v>
      </c>
      <c r="ET64" s="1566" t="e">
        <f aca="false">IF(EI64,IF(OCallPut,IF(CA64&gt;(CT64+CW64),CA64-(CT64+CW64),0),IF((CT64+CW64)&gt;CA64,(CT64+CW64)-CA64,0))*BH64,0)</f>
        <v>#VALUE!</v>
      </c>
      <c r="EU64" s="1551" t="e">
        <f aca="false">IF(EI64,IF(OCallPut,IF(CB64&gt;(CT64+CX64),CB64-(CT64+CX64),0),IF((CT64+CX64)&gt;CB64,(CT64+CX64)-CB64,0))*BI64,0)</f>
        <v>#VALUE!</v>
      </c>
      <c r="EV64" s="1551" t="e">
        <f aca="false">IF(EI64,IF(OCallPut,IF(CC64&gt;(CT64+CY64),CC64-(CT64+CY64),0),IF((CT64+CY64)&gt;CC64,(CT64+CY64)-CC64,0))*BJ64,0)</f>
        <v>#VALUE!</v>
      </c>
      <c r="EW64" s="1551" t="e">
        <f aca="false">IF(EI64,IF(OCallPut,IF(CD64&gt;(CT64+CZ64),CD64-(CT64+CZ64),0),IF((CT64+CZ64)&gt;CD64,(CT64+CZ64)-CD64,0))*BK64,0)</f>
        <v>#VALUE!</v>
      </c>
      <c r="EX64" s="1558" t="e">
        <f aca="false">IF(EI64,SUM(ET64:EW64),0)</f>
        <v>#VALUE!</v>
      </c>
      <c r="EY64" s="1551" t="e">
        <f aca="false">EO64-ET64</f>
        <v>#VALUE!</v>
      </c>
      <c r="EZ64" s="1551" t="e">
        <f aca="false">EP64-EU64</f>
        <v>#VALUE!</v>
      </c>
      <c r="FA64" s="1551" t="e">
        <f aca="false">EQ64-EV64</f>
        <v>#VALUE!</v>
      </c>
      <c r="FB64" s="1551" t="e">
        <f aca="false">ER64-EW64</f>
        <v>#VALUE!</v>
      </c>
      <c r="FC64" s="1551" t="e">
        <f aca="false">ES64-EX64</f>
        <v>#VALUE!</v>
      </c>
      <c r="FD64" s="1525" t="n">
        <f aca="false">IF(AX64,IF(VLOOKUP(C64,MAIN!$L$17:$M$28,2)="Yes",VLOOKUP(CALC!B64,MAIN!$H$17:$I$20,2),0),0)</f>
        <v>0</v>
      </c>
      <c r="FE64" s="1552" t="e">
        <f aca="false">$FD64*16*AT64*(1-$AY64)</f>
        <v>#VALUE!</v>
      </c>
      <c r="FF64" s="1553" t="e">
        <f aca="false">$FD64*16*AU64*(1-$AY64)</f>
        <v>#VALUE!</v>
      </c>
      <c r="FG64" s="1553" t="e">
        <f aca="false">$FD64*16*(AV64+AW64)*(1-$AY64)</f>
        <v>#VALUE!</v>
      </c>
      <c r="FH64" s="1554" t="n">
        <f aca="false">$FD64*8*AX64*(1-$AY64)</f>
        <v>0</v>
      </c>
      <c r="FI64" s="1555" t="n">
        <f aca="false">IF(AX64,VLOOKUP(CALC!B64,MAIN!$H$17:$K$20,4),0)</f>
        <v>0</v>
      </c>
      <c r="FJ64" s="1553" t="e">
        <f aca="false">SUM(FE64:FH64)</f>
        <v>#VALUE!</v>
      </c>
      <c r="FK64" s="1556" t="e">
        <f aca="false">FI64*FJ64</f>
        <v>#VALUE!</v>
      </c>
      <c r="FL64" s="1551" t="e">
        <f aca="false">IF($EI64&gt;0,MIN(FE64,AZ64*(1+VLOOKUP($C64,WeatherCapacityAdjustment,2))),0)</f>
        <v>#VALUE!</v>
      </c>
      <c r="FM64" s="1551" t="e">
        <f aca="false">IF($EI64&gt;0,MIN(FF64,BA64*(1+VLOOKUP($C64,WeatherCapacityAdjustment,2))),0)</f>
        <v>#VALUE!</v>
      </c>
      <c r="FN64" s="1551" t="e">
        <f aca="false">IF($EI64&gt;0,MIN(FG64,BB64*(1+VLOOKUP($C64,WeatherCapacityAdjustment,2))),0)</f>
        <v>#VALUE!</v>
      </c>
      <c r="FO64" s="1564" t="e">
        <f aca="false">IF($EI64&gt;0,MIN(FH64,BC64*(1+VLOOKUP($C64,WeatherCapacityAdjustment,3))),0)</f>
        <v>#VALUE!</v>
      </c>
      <c r="FP64" s="1551" t="e">
        <f aca="false">IF(ET64&gt;0,MIN(FE64-FL64,BH64*(1+VLOOKUP($C64,WeatherCapacityAdjustment,2))),0)</f>
        <v>#VALUE!</v>
      </c>
      <c r="FQ64" s="1551" t="e">
        <f aca="false">IF(EU64&gt;0,MIN(FF64-FM64,BI64*(1+VLOOKUP($C64,WeatherCapacityAdjustment,2))),0)</f>
        <v>#VALUE!</v>
      </c>
      <c r="FR64" s="1551" t="e">
        <f aca="false">IF(EV64&gt;0,MIN(FG64-FN64,BJ64*(1+VLOOKUP($C64,WeatherCapacityAdjustment,2))),0)</f>
        <v>#VALUE!</v>
      </c>
      <c r="FS64" s="1558" t="e">
        <f aca="false">IF(EW64&gt;0,MIN(FH64-FO64,BK64*(1+VLOOKUP($C64,WeatherCapacityAdjustment,3))),0)</f>
        <v>#VALUE!</v>
      </c>
      <c r="FT64" s="1566" t="e">
        <f aca="false">IF(AND(Assumptions!$H$71="Yes",A64&gt;=Assumptions!$H$72,A64&lt;=Assumptions!$H$73),0,IF(AND($A64&gt;=Assumptions!$C$17,$A64&lt;=Assumptions!$C$18),MAX(AZ64*(1+VLOOKUP($C64,WeatherCapacityAdjustment,2))-FL64,0),0))</f>
        <v>#VALUE!</v>
      </c>
      <c r="FU64" s="1551" t="e">
        <f aca="false">IF(AND(Assumptions!$H$71="Yes",A64&gt;=Assumptions!$H$72,A64&lt;=Assumptions!$H$73),0,IF(AND($A64&gt;=Assumptions!$C$17,$A64&lt;=Assumptions!$C$18),MAX(BA64*(1+VLOOKUP($C64,WeatherCapacityAdjustment,2))-FM64,0),0))</f>
        <v>#VALUE!</v>
      </c>
      <c r="FV64" s="1551" t="e">
        <f aca="false">IF(AND(Assumptions!$H$71="Yes",A64&gt;=Assumptions!$H$72,A64&lt;=Assumptions!$H$73),0,IF(AND($A64&gt;=Assumptions!$C$17,$A64&lt;=Assumptions!$C$18),MAX(BB64*(1+VLOOKUP($C64,WeatherCapacityAdjustment,2))-FN64,0),0))</f>
        <v>#VALUE!</v>
      </c>
      <c r="FW64" s="1564" t="e">
        <f aca="false">IF(AND(Assumptions!$H$71="Yes",A64&gt;=Assumptions!$H$72,A64&lt;=Assumptions!$H$73),0,IF(AND($A64&gt;=Assumptions!$C$17,$A64&lt;=Assumptions!$C$18),MAX(BC64*(1+VLOOKUP($C64,WeatherCapacityAdjustment,3))-FO64,0),0))</f>
        <v>#VALUE!</v>
      </c>
      <c r="FX64" s="1569" t="e">
        <f aca="false">IF(AND(Assumptions!$H$71="Yes",A64&gt;=Assumptions!$H$72,A64&lt;=Assumptions!$H$73),0,IF(ET64&gt;0,MAX(BH64*(1+VLOOKUP($C64,WeatherCapacityAdjustment,2))-FP64,0),0))</f>
        <v>#VALUE!</v>
      </c>
      <c r="FY64" s="1551" t="e">
        <f aca="false">IF(AND(Assumptions!$H$71="Yes",A64&gt;=Assumptions!$H$72,A64&lt;=Assumptions!$H$73),0,IF(EU64&gt;0,MAX(BI64*(1+VLOOKUP($C64,WeatherCapacityAdjustment,3))-FQ64,0),0))</f>
        <v>#VALUE!</v>
      </c>
      <c r="FZ64" s="1551" t="e">
        <f aca="false">IF(AND(Assumptions!$H$71="Yes",A64&gt;=Assumptions!$H$72,A64&lt;=Assumptions!$H$73),0,IF(EV64&gt;0,MAX(BJ64*(1+VLOOKUP($C64,WeatherCapacityAdjustment,2))-FR64,0),0))</f>
        <v>#VALUE!</v>
      </c>
      <c r="GA64" s="1564" t="e">
        <f aca="false">IF(AND(Assumptions!$H$71="Yes",A64&gt;=Assumptions!$H$72,A64&lt;=Assumptions!$H$73),0,IF(EW64&gt;0,MAX(BK64*(1+VLOOKUP($C64,WeatherCapacityAdjustment,2))-FS64,0),0))</f>
        <v>#VALUE!</v>
      </c>
      <c r="GB64" s="1551" t="e">
        <f aca="false">SUM(FT64:GA64)</f>
        <v>#VALUE!</v>
      </c>
      <c r="GC64" s="1563" t="e">
        <f aca="false">+IF(SUM(FT64:GA64)=0,0,(SUMPRODUCT(BU64:BX64,FT64:FW64)+SUMPRODUCT(CA64:CD64,FX64:GA64))/SUM(FT64:GA64))</f>
        <v>#VALUE!</v>
      </c>
      <c r="GD64" s="1551" t="e">
        <f aca="false">(FT64*BU64+FX64*CA64+FU64*BV64+FY64*CB64+FV64*BW64+FZ64*CC64+FW64*BX64+GA64*CD64)</f>
        <v>#VALUE!</v>
      </c>
      <c r="GE64" s="1561" t="e">
        <f aca="false">+IF(BQ64,((FL64+FM64+FT64+FU64)*HeatRatePeak/1000*(1+VLOOKUP($C64,WeatherHeatRateAdjustment,2))+(FN64+FV64)*IF(EV64&gt;0,HeatRatePeak,HeatRateOffPeak)/1000*(1+VLOOKUP($C64,WeatherHeatRateAdjustment,2))+(FO64+FW64)*IF(EW64&gt;0,HeatRatePeak,HeatRateOffPeak)/1000*(1+VLOOKUP($C64,WeatherHeatRateAdjustment,3)))*(1+VLOOKUP($B64,HeatRateDegradation,$C64+1)),0)</f>
        <v>#VALUE!</v>
      </c>
      <c r="GF64" s="1562" t="e">
        <f aca="false">IF(BQ64,((FP64+FQ64+FR64+FX64+FY64+FZ64)*HeatRatePeak/1000*(1+VLOOKUP($C64,WeatherHeatRateAdjustment,2))+(FS64+GA64)*HeatRatePeak/1000*(1+VLOOKUP($C64,WeatherHeatRateAdjustment,3)))*(1+VLOOKUP($B64,HeatRateDegradation,$C64+1)),0)</f>
        <v>#VALUE!</v>
      </c>
      <c r="GG64" s="1563" t="e">
        <f aca="false">IF(BQ64,VLOOKUP(A64,GasTable,13),0)</f>
        <v>#VALUE!</v>
      </c>
      <c r="GH64" s="1564" t="e">
        <f aca="false">(GE64+GF64)*GG64</f>
        <v>#VALUE!</v>
      </c>
      <c r="GI64" s="1569" t="e">
        <f aca="false">GB64</f>
        <v>#VALUE!</v>
      </c>
      <c r="GJ64" s="1598" t="e">
        <f aca="false">+DA64</f>
        <v>#VALUE!</v>
      </c>
      <c r="GK64" s="1558" t="e">
        <f aca="false">+GI64*GJ64</f>
        <v>#VALUE!</v>
      </c>
      <c r="GL64" s="1566" t="e">
        <f aca="false">MAX(FE64-FL64-FP64,0)</f>
        <v>#VALUE!</v>
      </c>
      <c r="GM64" s="1551" t="e">
        <f aca="false">MAX(FF64-FM64-FQ64,0)</f>
        <v>#VALUE!</v>
      </c>
      <c r="GN64" s="1551" t="e">
        <f aca="false">MAX(FG64-FN64-FR64,0)</f>
        <v>#VALUE!</v>
      </c>
      <c r="GO64" s="1564" t="e">
        <f aca="false">MAX(FH64-FO64-FS64,0)</f>
        <v>#VALUE!</v>
      </c>
      <c r="GP64" s="1551" t="e">
        <f aca="false">SUM(GL64:GO64)</f>
        <v>#VALUE!</v>
      </c>
      <c r="GQ64" s="1563" t="e">
        <f aca="false">IF(SUM(GL64:GO64)=0,0,((GL64*BU64+GM64*BV64+GN64*BW64+GO64*BX64)/SUM(GL64:GO64)))</f>
        <v>#VALUE!</v>
      </c>
      <c r="GR64" s="1558" t="e">
        <f aca="false">(GL64*BU64+GM64*BV64+GN64*BW64+GO64*BX64)</f>
        <v>#VALUE!</v>
      </c>
      <c r="GS64" s="1566" t="n">
        <f aca="false">IF($A64&gt;=BegDate,Assumptions!$C$56*24*($A65-$A64)*(1-VLOOKUP($B64,MAIN!$AA$7:$AM$28,$C64+1))*(1-VLOOKUP($B64,MAIN!$AA$33:$AM$54,$C64+1)),0)*80/168</f>
        <v>224485.714285714</v>
      </c>
      <c r="GT64" s="286" t="n">
        <f aca="false">J64</f>
        <v>30.471872465808</v>
      </c>
      <c r="GU64" s="286" t="n">
        <f aca="false">IF($A64&gt;=BegDate,VLOOKUP($A64,GasTable,13)+Assumptions!$C$58,0)</f>
        <v>2.32245807303769</v>
      </c>
      <c r="GV64" s="286" t="n">
        <f aca="false">GU64*Assumptions!$C$57/1000</f>
        <v>16.8378210295233</v>
      </c>
      <c r="GW64" s="1558" t="n">
        <f aca="false">IF(Assumptions!$C$60="Hourly",MAX(0,GS64*(GT64-GV64)),GS64*(GT64-GV64))</f>
        <v>3060649.77528254</v>
      </c>
      <c r="GX64" s="1566" t="n">
        <f aca="false">IF($A64&gt;=BegDate,Assumptions!$C$56*24*($A65-$A64)*(1-VLOOKUP($B64,MAIN!$AA$7:$AM$28,$C64+1))*(1-VLOOKUP($B64,MAIN!$AA$33:$AM$54,$C64+1)),0)*16/168</f>
        <v>44897.1428571429</v>
      </c>
      <c r="GY64" s="286" t="n">
        <f aca="false">M64</f>
        <v>30.471872465808</v>
      </c>
      <c r="GZ64" s="286" t="n">
        <f aca="false">IF($A64&gt;=BegDate,VLOOKUP($A64,GasTable,13)+Assumptions!$C$58,0)</f>
        <v>2.32245807303769</v>
      </c>
      <c r="HA64" s="286" t="n">
        <f aca="false">GZ64*Assumptions!$C$57/1000</f>
        <v>16.8378210295233</v>
      </c>
      <c r="HB64" s="1558" t="n">
        <f aca="false">IF(Assumptions!$C$60="Hourly",MAX(0,GX64*(GY64-HA64)),GX64*(GY64-HA64))</f>
        <v>612129.955056509</v>
      </c>
      <c r="HC64" s="1566" t="n">
        <f aca="false">IF($A64&gt;=BegDate,Assumptions!$C$56*24*($A65-$A64)*(1-VLOOKUP($B64,MAIN!$AA$7:$AM$28,$C64+1))*(1-VLOOKUP($B64,MAIN!$AA$33:$AM$54,$C64+1)),0)*16/168</f>
        <v>44897.1428571429</v>
      </c>
      <c r="HD64" s="286" t="n">
        <f aca="false">P64</f>
        <v>21.230607899808</v>
      </c>
      <c r="HE64" s="286" t="n">
        <f aca="false">IF($A64&gt;=BegDate,VLOOKUP($A64,GasTable,13)+Assumptions!$C$58,0)</f>
        <v>2.32245807303769</v>
      </c>
      <c r="HF64" s="286" t="n">
        <f aca="false">HE64*Assumptions!$C$57/1000</f>
        <v>16.8378210295233</v>
      </c>
      <c r="HG64" s="1558" t="n">
        <f aca="false">IF(Assumptions!$C$60="Hourly",MAX(0,HC64*(HD64-HF64)),HC64*(HD64-HF64))</f>
        <v>197223.579656155</v>
      </c>
      <c r="HH64" s="1566" t="n">
        <f aca="false">IF($A64&gt;=BegDate,Assumptions!$C$56*24*($A65-$A64)*(1-VLOOKUP($B64,MAIN!$AA$7:$AM$28,$C64+1))*(1-VLOOKUP($B64,MAIN!$AA$33:$AM$54,$C64+1)),0)*56/168</f>
        <v>157140</v>
      </c>
      <c r="HI64" s="286" t="n">
        <f aca="false">S64</f>
        <v>21.230607899808</v>
      </c>
      <c r="HJ64" s="286" t="n">
        <f aca="false">IF($A64&gt;=BegDate,VLOOKUP($A64,GasTable,13)+Assumptions!$C$58,0)</f>
        <v>2.32245807303769</v>
      </c>
      <c r="HK64" s="286" t="n">
        <f aca="false">HJ64*Assumptions!$C$57/1000</f>
        <v>16.8378210295233</v>
      </c>
      <c r="HL64" s="1558" t="n">
        <f aca="false">IF(Assumptions!$C$60="Hourly",MAX(0,HH64*(HI64-HK64)),HH64*(HI64-HK64))</f>
        <v>690282.528796541</v>
      </c>
      <c r="HM64" s="1566" t="n">
        <f aca="false">IF(AND(Assumptions!$H$71="Yes",A64&gt;=Assumptions!$H$72,A64&lt;=Assumptions!$H$73),Assumptions!$H$74*Assumptions!$C$9*1000,0)</f>
        <v>0</v>
      </c>
      <c r="HN64" s="1551"/>
      <c r="HO64" s="1563"/>
      <c r="HP64" s="1563"/>
      <c r="HQ64" s="1563"/>
      <c r="HR64" s="1563"/>
      <c r="HS64" s="1563"/>
      <c r="HT64" s="1563"/>
      <c r="HU64" s="1563"/>
      <c r="HV64" s="1563"/>
      <c r="HW64" s="1563"/>
      <c r="HX64" s="1563"/>
      <c r="HY64" s="1563"/>
      <c r="HZ64" s="1563"/>
      <c r="IA64" s="1563"/>
      <c r="IB64" s="1563"/>
      <c r="IC64" s="1563"/>
      <c r="ID64" s="1563"/>
      <c r="IE64" s="1563"/>
      <c r="IF64" s="1563"/>
      <c r="IG64" s="1563"/>
      <c r="IH64" s="1563"/>
      <c r="II64" s="1610"/>
      <c r="IJ64" s="1309"/>
      <c r="IK64" s="1309"/>
    </row>
    <row r="65" customFormat="false" ht="12.75" hidden="false" customHeight="false" outlineLevel="0" collapsed="false">
      <c r="A65" s="1571" t="n">
        <f aca="false">EOMONTH(A64,0)+1</f>
        <v>38108</v>
      </c>
      <c r="B65" s="594" t="n">
        <f aca="false">+YEAR(A65)</f>
        <v>2004</v>
      </c>
      <c r="C65" s="238" t="n">
        <f aca="false">MONTH(A65)</f>
        <v>5</v>
      </c>
      <c r="D65" s="1572" t="e">
        <f aca="false">IF(E65="","",Holiday(B65,C65))</f>
        <v>#VALUE!</v>
      </c>
      <c r="E65" s="1573" t="n">
        <f aca="false">IF(OR(BegDate&gt;=A66,EndDate&lt;A65,AND(VolumeMonthlyOverFlag,INDEX(VolumeMonthlyOver,C65)=0),NOT(INDEX(MonthKnockOutTable,C65))),"",MAX(A65,BegDate))</f>
        <v>38108</v>
      </c>
      <c r="F65" s="1574" t="n">
        <f aca="false">IF(E65="","",MIN(A66-1,EndDate))</f>
        <v>38138</v>
      </c>
      <c r="G65" s="1575" t="n">
        <v>0</v>
      </c>
      <c r="H65" s="1576" t="n">
        <f aca="false">(1+G65/2)^(-2*(DATE(B66,C66,20)-DateToday)/365.25)</f>
        <v>1</v>
      </c>
      <c r="I65" s="1568" t="n">
        <f aca="false">IF(Assumptions!$L$25=4,VLOOKUP($A65,'Henwood Reference'!$E$9:$R$320,10),(VLOOKUP($A65,PriceTable,2,0)+IF(BasisNumber&lt;&gt;1,VLOOKUP($A65,BasisTable,2,0),0)+I$1)/(1-I$2))</f>
        <v>32.253555801168</v>
      </c>
      <c r="J65" s="1568" t="n">
        <f aca="false">IF(Assumptions!$L$25=4,VLOOKUP($A65,'Henwood Reference'!$E$9:$R$320,10),(VLOOKUP($A65,PriceTable,3,0)+IF(BasisNumber&lt;&gt;1,VLOOKUP($A65,BasisTable,2,0),0)+J$1)/(1-J$2))</f>
        <v>32.253555801168</v>
      </c>
      <c r="K65" s="1568" t="n">
        <f aca="false">IF(Assumptions!$L$25=4,VLOOKUP($A65,'Henwood Reference'!$E$9:$R$320,10),(VLOOKUP($A65,PriceTable,4,0)+IF(BasisNumber&lt;&gt;1,VLOOKUP($A65,BasisTable,2,0),0)+K$1)/(1-K$2))</f>
        <v>32.253555801168</v>
      </c>
      <c r="L65" s="1523" t="n">
        <f aca="false">IF(Assumptions!$L$25=4,VLOOKUP($A65,'Henwood Reference'!$E$9:$R$320,10),(VLOOKUP($A65,PriceTableWeekend,2,0)+IF(BasisNumber&lt;&gt;1,VLOOKUP($A65,BasisTable,2,0),0)+L$1)/(1-L$2))</f>
        <v>32.253555801168</v>
      </c>
      <c r="M65" s="1568" t="n">
        <f aca="false">IF(Assumptions!$L$25=4,VLOOKUP($A65,'Henwood Reference'!$E$9:$R$320,10),(VLOOKUP($A65,PriceTableWeekend,3,0)+IF(BasisNumber&lt;&gt;1,VLOOKUP($A65,BasisTable,2,0),0)+M$1)/(1-M$2))</f>
        <v>32.253555801168</v>
      </c>
      <c r="N65" s="1599" t="n">
        <f aca="false">IF(Assumptions!$L$25=4,VLOOKUP($A65,'Henwood Reference'!$E$9:$R$320,10),(VLOOKUP($A65,PriceTableWeekend,4,0)+IF(BasisNumber&lt;&gt;1,VLOOKUP($A65,BasisTable,2,0),0)+N$1)/(1-N$2))</f>
        <v>32.253555801168</v>
      </c>
      <c r="O65" s="1568" t="n">
        <f aca="false">IF(Assumptions!$L$25=4,VLOOKUP($A65,'Henwood Reference'!$E$9:$R$320,11),(VLOOKUP($A65,PriceTableWeekend,6,0)+IF(BasisNumber&lt;&gt;1,VLOOKUP($A65,BasisTable,3,0),0)+O$1)/(1-O$2))</f>
        <v>18.982721033136</v>
      </c>
      <c r="P65" s="1568" t="n">
        <f aca="false">IF(Assumptions!$L$25=4,VLOOKUP($A65,'Henwood Reference'!$E$9:$R$320,11),(VLOOKUP($A65,PriceTableWeekend,7,0)+IF(BasisNumber&lt;&gt;1,VLOOKUP($A65,BasisTable,3,0),0)+P$1)/(1-P$2))</f>
        <v>18.982721033136</v>
      </c>
      <c r="Q65" s="1599" t="n">
        <f aca="false">IF(Assumptions!$L$25=4,VLOOKUP($A65,'Henwood Reference'!$E$9:$R$320,11),(VLOOKUP($A65,PriceTableWeekend,8,0)+IF(BasisNumber&lt;&gt;1,VLOOKUP($A65,BasisTable,3,0),0)+Q$1)/(1-Q$2))</f>
        <v>18.982721033136</v>
      </c>
      <c r="R65" s="1568" t="n">
        <f aca="false">IF(Assumptions!$L$25=4,VLOOKUP($A65,'Henwood Reference'!$E$9:$R$320,11),(VLOOKUP($A65,PriceTable,6,0)+IF(BasisNumber&lt;&gt;1,VLOOKUP($A65,BasisTable,3,0),0)+R$1)/(1-R$2))</f>
        <v>18.982721033136</v>
      </c>
      <c r="S65" s="1568" t="n">
        <f aca="false">IF(Assumptions!$L$25=4,VLOOKUP($A65,'Henwood Reference'!$E$9:$R$320,11),(VLOOKUP($A65,PriceTable,7,0)+IF(BasisNumber&lt;&gt;1,VLOOKUP($A65,BasisTable,3,0),0)+S$1)/(1-S$2))</f>
        <v>18.982721033136</v>
      </c>
      <c r="T65" s="1600" t="n">
        <f aca="false">IF(Assumptions!$L$25=4,VLOOKUP($A65,'Henwood Reference'!$E$9:$R$320,11),(VLOOKUP($A65,PriceTable,8,0)+IF(BasisNumber&lt;&gt;1,VLOOKUP($A65,BasisTable,3,0),0)+T$1)/(1-T$2))</f>
        <v>18.982721033136</v>
      </c>
      <c r="U65" s="1513" t="n">
        <f aca="false">VLOOKUP($A65,VolatilityTable,14)</f>
        <v>0.15</v>
      </c>
      <c r="V65" s="1513" t="n">
        <f aca="false">VLOOKUP($A65,VolatilityTable,15)</f>
        <v>0.16</v>
      </c>
      <c r="W65" s="1514" t="n">
        <f aca="false">VLOOKUP($A65,VolatilityTable,16)</f>
        <v>0.17</v>
      </c>
      <c r="X65" s="1513" t="n">
        <f aca="false">VLOOKUP($A65,VolatilityTable,14)</f>
        <v>0.15</v>
      </c>
      <c r="Y65" s="1513" t="n">
        <f aca="false">VLOOKUP($A65,VolatilityTable,15)</f>
        <v>0.16</v>
      </c>
      <c r="Z65" s="1514" t="n">
        <f aca="false">VLOOKUP($A65,VolatilityTable,16)</f>
        <v>0.17</v>
      </c>
      <c r="AA65" s="1513" t="n">
        <f aca="false">VLOOKUP($A65,VolatilityTable,18)</f>
        <v>0.09</v>
      </c>
      <c r="AB65" s="1513" t="n">
        <f aca="false">VLOOKUP($A65,VolatilityTable,19)</f>
        <v>0.11</v>
      </c>
      <c r="AC65" s="1514" t="n">
        <f aca="false">VLOOKUP($A65,VolatilityTable,20)</f>
        <v>0.13</v>
      </c>
      <c r="AD65" s="1513" t="n">
        <f aca="false">VLOOKUP($A65,VolatilityTable,18)</f>
        <v>0.09</v>
      </c>
      <c r="AE65" s="1513" t="n">
        <f aca="false">VLOOKUP($A65,VolatilityTable,19)</f>
        <v>0.11</v>
      </c>
      <c r="AF65" s="1514" t="n">
        <f aca="false">VLOOKUP($A65,VolatilityTable,20)</f>
        <v>0.13</v>
      </c>
      <c r="AG65" s="1513" t="n">
        <f aca="false">VLOOKUP($A65,VolatilityTable,22)</f>
        <v>-0.1</v>
      </c>
      <c r="AH65" s="1513" t="n">
        <f aca="false">VLOOKUP($A65,VolatilityTable,23)</f>
        <v>0.65</v>
      </c>
      <c r="AI65" s="1514" t="n">
        <f aca="false">VLOOKUP($A65,VolatilityTable,24)</f>
        <v>0.1</v>
      </c>
      <c r="AJ65" s="1513" t="n">
        <f aca="false">VLOOKUP($A65,VolatilityTable,22)</f>
        <v>-0.1</v>
      </c>
      <c r="AK65" s="1513" t="n">
        <f aca="false">VLOOKUP($A65,VolatilityTable,23)</f>
        <v>0.65</v>
      </c>
      <c r="AL65" s="1514" t="n">
        <f aca="false">VLOOKUP($A65,VolatilityTable,24)</f>
        <v>0.1</v>
      </c>
      <c r="AM65" s="1513" t="n">
        <f aca="false">VLOOKUP($A65,VolatilityTable,26)</f>
        <v>-0.01</v>
      </c>
      <c r="AN65" s="1513" t="n">
        <f aca="false">VLOOKUP($A65,VolatilityTable,27)</f>
        <v>0.16</v>
      </c>
      <c r="AO65" s="1514" t="n">
        <f aca="false">VLOOKUP($A65,VolatilityTable,28)</f>
        <v>0.01</v>
      </c>
      <c r="AP65" s="1513" t="n">
        <f aca="false">VLOOKUP($A65,VolatilityTable,26)</f>
        <v>-0.01</v>
      </c>
      <c r="AQ65" s="1513" t="n">
        <f aca="false">VLOOKUP($A65,VolatilityTable,27)</f>
        <v>0.16</v>
      </c>
      <c r="AR65" s="1515" t="n">
        <f aca="false">VLOOKUP($A65,VolatilityTable,28)</f>
        <v>0.01</v>
      </c>
      <c r="AS65" s="1581" t="n">
        <f aca="false">IF(CorrPeakOffPeakOverFlag,INDEX(CorrPeakOffPeakOver,C65),CorrPeakOffPeak)</f>
        <v>0.5</v>
      </c>
      <c r="AT65" s="594" t="e">
        <f aca="false">AX65-SUM(AU65:AW65)</f>
        <v>#VALUE!</v>
      </c>
      <c r="AU65" s="238" t="e">
        <f aca="false">IF(E65="",0,INT((F65-MOD(F65,7)-E65)/7)+1-IF(AW65,IF(WEEKDAY(D65)=7,1,0),0))</f>
        <v>#VALUE!</v>
      </c>
      <c r="AV65" s="238" t="e">
        <f aca="false">IF(E65="",0,INT((F65-MOD(F65-1,7)-E65)/7)+1-IF(AW65,IF(WEEKDAY(D65)=1,1,0),0))</f>
        <v>#VALUE!</v>
      </c>
      <c r="AW65" s="238" t="e">
        <f aca="false">IF(OR(E65="",D65="",D65&lt;BegDate,D65&gt;EndDate),0,1)</f>
        <v>#VALUE!</v>
      </c>
      <c r="AX65" s="238" t="n">
        <f aca="false">IF(E65="",0,F65-E65+1)</f>
        <v>31</v>
      </c>
      <c r="AY65" s="1582" t="n">
        <f aca="false">IF(E65="",0,MIN((1-(1-VLOOKUP(B65,MAIN!$AA$7:$AM$28,C65+1))*(1-VLOOKUP(B65,MAIN!$AA$33:$AM$54,C65+1))),1))</f>
        <v>0.03</v>
      </c>
      <c r="AZ65" s="1519" t="e">
        <v>#VALUE!</v>
      </c>
      <c r="BA65" s="1520" t="e">
        <v>#VALUE!</v>
      </c>
      <c r="BB65" s="1520" t="e">
        <v>#VALUE!</v>
      </c>
      <c r="BC65" s="1583" t="e">
        <v>#VALUE!</v>
      </c>
      <c r="BD65" s="1522" t="e">
        <v>#VALUE!</v>
      </c>
      <c r="BE65" s="1523" t="e">
        <v>#VALUE!</v>
      </c>
      <c r="BF65" s="1523" t="e">
        <v>#VALUE!</v>
      </c>
      <c r="BG65" s="1584" t="e">
        <v>#VALUE!</v>
      </c>
      <c r="BH65" s="1525" t="e">
        <v>#VALUE!</v>
      </c>
      <c r="BI65" s="1520" t="e">
        <v>#VALUE!</v>
      </c>
      <c r="BJ65" s="1520" t="e">
        <v>#VALUE!</v>
      </c>
      <c r="BK65" s="1583" t="e">
        <v>#VALUE!</v>
      </c>
      <c r="BL65" s="1522" t="e">
        <v>#VALUE!</v>
      </c>
      <c r="BM65" s="1523" t="e">
        <v>#VALUE!</v>
      </c>
      <c r="BN65" s="1523" t="e">
        <v>#VALUE!</v>
      </c>
      <c r="BO65" s="1523" t="e">
        <v>#VALUE!</v>
      </c>
      <c r="BP65" s="1525" t="e">
        <f aca="false">SUM(AZ65:BB65)</f>
        <v>#VALUE!</v>
      </c>
      <c r="BQ65" s="1529" t="e">
        <f aca="false">SUM(AZ65:BC65)</f>
        <v>#VALUE!</v>
      </c>
      <c r="BR65" s="1519" t="e">
        <f aca="false">SUM(BH65:BJ65)</f>
        <v>#VALUE!</v>
      </c>
      <c r="BS65" s="1529" t="e">
        <f aca="false">SUM(BH65:BK65)</f>
        <v>#VALUE!</v>
      </c>
      <c r="BT65" s="1316" t="n">
        <f aca="false">(IF(OVolType&lt;&gt;2,A65+14,IF(OptExpDateShift,ShiftBack(A65,OptExpDateShift,D64),A65))-DateToday)/365.25</f>
        <v>4.04654346338125</v>
      </c>
      <c r="BU65" s="1585" t="e">
        <f aca="false">IF(BQ65,IF(OPriceCurve,IF(OBuySell=OCallPut,I65/(1-AY65),K65/(1-AY65)),J65/(1-AY65))*BD65,0)</f>
        <v>#VALUE!</v>
      </c>
      <c r="BV65" s="1316" t="e">
        <f aca="false">IF(BQ65,IF(OPriceCurve,IF(OBuySell=OCallPut,L65/(1-AY65),N65/(1-AY65)),M65/(1-AY65))*BE65,0)</f>
        <v>#VALUE!</v>
      </c>
      <c r="BW65" s="1316" t="e">
        <f aca="false">IF(BQ65,IF(OPriceCurve,IF(OBuySell=OCallPut,O65/(1-AY65),Q65/(1-AY65)),P65/(1-AY65))*BF65,0)</f>
        <v>#VALUE!</v>
      </c>
      <c r="BX65" s="1316" t="e">
        <f aca="false">IF(BQ65,IF(OPriceCurve,IF(OBuySell=OCallPut,R65/(1-AY65),T65/(1-AY65)),S65/(1-AY65))*BG65,0)</f>
        <v>#VALUE!</v>
      </c>
      <c r="BY65" s="1316" t="e">
        <f aca="false">IF(BP65,(BU65*AZ65+BV65*BA65+BW65*BB65)/BP65,0)</f>
        <v>#VALUE!</v>
      </c>
      <c r="BZ65" s="1316" t="e">
        <f aca="false">IF(BQ65,(BY65*BP65+BX65*BC65)/BQ65,0)</f>
        <v>#VALUE!</v>
      </c>
      <c r="CA65" s="1531" t="e">
        <f aca="false">IF(BS65,IF(OPriceCurve,IF(OBuySell=OCallPut,I65/(1-AY65),K65/(1-AY65)),J65/(1-AY65))*BL65,0)</f>
        <v>#VALUE!</v>
      </c>
      <c r="CB65" s="1316" t="e">
        <f aca="false">IF(BS65,IF(OPriceCurve,IF(OBuySell=OCallPut,L65/(1-AY65),N65/(1-AY65)),M65/(1-AY65))*BM65,0)</f>
        <v>#VALUE!</v>
      </c>
      <c r="CC65" s="1316" t="e">
        <f aca="false">IF(BS65,IF(OPriceCurve,IF(OBuySell=OCallPut,O65/(1-AY65),Q65/(1-AY65)),P65/(1-AY65))*BN65,0)</f>
        <v>#VALUE!</v>
      </c>
      <c r="CD65" s="1316" t="e">
        <f aca="false">IF(BS65,IF(OPriceCurve,IF(OBuySell=OCallPut,R65/(1-AY65),T65/(1-AY65)),S65/(1-AY65))*BO65,0)</f>
        <v>#VALUE!</v>
      </c>
      <c r="CE65" s="1316" t="e">
        <f aca="false">IF(BR65,(BU65*BH65+BV65*BI65+BW65*BJ65)/BR65,0)</f>
        <v>#VALUE!</v>
      </c>
      <c r="CF65" s="1532" t="e">
        <f aca="false">IF(BS65,(CE65*BR65+CD65*BK65)/BS65,0)</f>
        <v>#VALUE!</v>
      </c>
      <c r="CG65" s="1586" t="e">
        <f aca="false">IF(OR(BQ65,BS65),IF(OVolType&lt;&gt;2,SQRT(IF(OVolOverMonthlyPeak,OVolOverMonthlyPeak,IF(OVolCurve,IF(OBuySell,U65,W65),V65))^2*(1-15/365.25/BT65)+IF(OVolOverDailyPeak,OVolOverDailyPeak,IF(OVolCurve,IF(OBuySell,AG65,AI65),AH65))^2*15/365.25/BT65),IF(OVolOverMonthlyPeak,OVolOverMonthlyPeak,IF(OVolCurve,IF(OBuySell,U65,W65),V65))),"")</f>
        <v>#VALUE!</v>
      </c>
      <c r="CH65" s="1587" t="e">
        <f aca="false">IF(OR(BQ65,BS65),IF(OVolType&lt;&gt;2,SQRT(IF(OVolOverMonthlyPeak,OVolOverMonthlyPeak,IF(OVolCurve,IF(OBuySell,X65,Z65),Y65))^2*(1-15/365.25/BT65)+IF(OVolOverDailyPeak,OVolOverDailyPeak,IF(OVolCurve,IF(OBuySell,AJ65,AL65),AK65))^2*15/365.25/BT65),IF(OVolOverMonthlyPeak,OVolOverMonthlyPeak,IF(OVolCurve,IF(OBuySell,X65,Z65),Y65))),"")</f>
        <v>#VALUE!</v>
      </c>
      <c r="CI65" s="1587" t="e">
        <f aca="false">IF(OR(BQ65,BS65),IF(OVolType&lt;&gt;2,SQRT(IF(OVolOverMonthlyPeak,OVolOverMonthlyPeak,IF(OVolCurve,IF(OBuySell,AA65,AC65),AB65))^2*(1-15/365.25/BT65)+IF(OVolOverDailyPeak,OVolOverDailyPeak,IF(OVolCurve,IF(OBuySell,AM65,AO65),AN65))^2*15/365.25/BT65),IF(OVolOverMonthlyPeak,OVolOverMonthlyPeak,IF(OVolCurve,IF(OBuySell,AA65,AC65),AB65))),"")</f>
        <v>#VALUE!</v>
      </c>
      <c r="CJ65" s="1587" t="e">
        <f aca="false">IF(BQ65,IF(BP65,SQRT(LN(1+((BU65*AZ65)^2*(EXP(CG65^2*BT65)-1)+(BV65*BA65)^2*(EXP(CH65^2*BT65)-1)+(BW65*BB65)^2*(EXP(CI65^2*BT65)-1)+2*BU65*AZ65*BV65*BA65*(EXP(CG65*CH65*BT65)-1)+2*BV65*BA65*BW65*BB65*(EXP(CH65*CI65*BT65)-1)+2*BW65*BB65*BU65*AZ65*(EXP(CI65*CG65*BT65)-1))/(BY65*BP65)^2)/BT65),0),"")</f>
        <v>#VALUE!</v>
      </c>
      <c r="CK65" s="1587" t="e">
        <f aca="false">IF(BS65,IF(BR65,SQRT(LN(1+((CA65*BH65)^2*(EXP(CG65^2*BT65)-1)+(CB65*BI65)^2*(EXP(CH65^2*BT65)-1)+(CC65*BJ65)^2*(EXP(CI65^2*BT65)-1)+2*CA65*BH65*CB65*BI65*(EXP(CG65*CH65*BT65)-1)+2*CB65*BI65*CC65*BJ65*(EXP(CH65*CI65*BT65)-1)+2*CC65*BJ65*CA65*BH65*(EXP(CI65*CG65*BT65)-1))/(CE65*BR65)^2)/BT65),0),"")</f>
        <v>#VALUE!</v>
      </c>
      <c r="CL65" s="1587" t="e">
        <f aca="false">IF(OR(BQ65,BS65),IF(OVolType&lt;&gt;2,SQRT(IF(OVolOverMonthlyOffPeak,OVolOverMonthlyOffPeak,IF(OVolCurve,IF(OBuySell,AD65,AF65),AE65))^2*(1-15/365.25/BT65)+IF(OVolOverDailyOffPeak,OVolOverDailyOffPeak,IF(OVolCurve,IF(OBuySell,AP65,AR65),AQ65))^2*15/365.25/BT65),IF(OVolOverMonthlyOffPeak,OVolOverMonthlyOffPeak,IF(OVolCurve,IF(OBuySell,AD65,AF65),AE65))),"")</f>
        <v>#VALUE!</v>
      </c>
      <c r="CM65" s="1587" t="e">
        <f aca="false">IF(BQ65,SQRT(LN(1+((BY65*BP65)^2*(EXP(CJ65^2*BT65)-1)+(BX65*BC65)^2*(EXP(CL65^2*BT65)-1)+2*BY65*BP65*BX65*BC65*(EXP(AS65*CJ65*CL65*BT65)-1))/(BY65*BP65+BX65*BC65)^2)/BT65),"")</f>
        <v>#VALUE!</v>
      </c>
      <c r="CN65" s="1588" t="e">
        <f aca="false">IF(BS65,SQRT(LN(1+((CE65*BR65)^2*(EXP(CK65^2*BT65)-1)+(CD65*BK65)^2*(EXP(CL65^2*BT65)-1)+2*CE65*BR65*CD65*BK65*(EXP(AS65*CK65*CL65*BT65)-1))/(CE65*BR65+CD65*BK65)^2)/BT65),"")</f>
        <v>#VALUE!</v>
      </c>
      <c r="CO65" s="1531" t="e">
        <f aca="false">IF(OR(BQ65,BS65),VLOOKUP(A65,GasTable,13)*HeatRatePeak*(1+VLOOKUP($B65,HeatRateDegradation,$C65+1))/1000,0)</f>
        <v>#VALUE!</v>
      </c>
      <c r="CP65" s="1316" t="e">
        <f aca="false">IF(OR(BQ65,BS65),VLOOKUP(A65,GasTable,13)*HeatRatePeak*(1+VLOOKUP($B65,HeatRateDegradation,$C65+1))/1000,0)</f>
        <v>#VALUE!</v>
      </c>
      <c r="CQ65" s="1316" t="e">
        <f aca="false">IF(OR(BQ65,BS65),VLOOKUP(A65,GasTable,13)*IF(EV65,HeatRatePeak,HeatRateOffPeak)*(1+VLOOKUP($B65,HeatRateDegradation,$C65+1))/1000,0)</f>
        <v>#VALUE!</v>
      </c>
      <c r="CR65" s="1316" t="e">
        <f aca="false">IF(OR(BQ65,BS65),VLOOKUP(A65,GasTable,13)*IF(EW65,HeatRatePeak,HeatRateOffPeak)*(1+VLOOKUP($B65,HeatRateDegradation,$C65+1))/1000,0)</f>
        <v>#VALUE!</v>
      </c>
      <c r="CS65" s="1589" t="e">
        <f aca="false">IF(BQ65,(CO65*AZ65+CP65*BA65+CQ65*BB65+CR65*BC65)/BQ65,0)</f>
        <v>#VALUE!</v>
      </c>
      <c r="CT65" s="1316" t="e">
        <f aca="false">IF(BS65,CO65,0)</f>
        <v>#VALUE!</v>
      </c>
      <c r="CU65" s="1590" t="e">
        <f aca="false">IF(OR(BQ65,BS65),VLOOKUP(A65,GasTable,14),"")</f>
        <v>#VALUE!</v>
      </c>
      <c r="CV65" s="1568" t="e">
        <f aca="false">IF(OR(BQ65,BS65),IF(CorrPowerGasOverFlag,INDEX(CorrPowerGasOver,C65),CorrPowerGas),"")</f>
        <v>#VALUE!</v>
      </c>
      <c r="CW65" s="1316" t="e">
        <f aca="false">IF(OR($BQ65,$BS65),SpreadOptPowerMargin,0)*((1+Assumptions!$C$26)^($B65-YEAR(Assumptions!$C$17)))</f>
        <v>#VALUE!</v>
      </c>
      <c r="CX65" s="1316" t="e">
        <f aca="false">IF(OR($BQ65,$BS65),SpreadOptPowerMargin,0)*((1+Assumptions!$C$26)^($B65-YEAR(Assumptions!$C$17)))</f>
        <v>#VALUE!</v>
      </c>
      <c r="CY65" s="1316" t="e">
        <f aca="false">IF(OR($BQ65,$BS65),SpreadOptPowerMargin,0)*((1+Assumptions!$C$26)^($B65-YEAR(Assumptions!$C$17)))</f>
        <v>#VALUE!</v>
      </c>
      <c r="CZ65" s="1316" t="e">
        <f aca="false">IF(OR($BQ65,$BS65),SpreadOptPowerMargin,0)*((1+Assumptions!$C$26)^($B65-YEAR(Assumptions!$C$17)))</f>
        <v>#VALUE!</v>
      </c>
      <c r="DA65" s="1591" t="e">
        <f aca="false">IF(OR(BQ65,BS65),(CW65*(AZ65+BH65)+CX65*(BA65+BI65)+CY65*(BB65+BJ65)+CZ65*(BC65+BK65))/(BQ65+BS65),0)</f>
        <v>#VALUE!</v>
      </c>
      <c r="DB65" s="1592" t="e">
        <f aca="false">IF(OR(BQ65,BS65),CG65+IF(OVolSmile,VLOOKUP(MAX(-5,CO65+CW65-BU65),IF(OVolSmile=1,VolSmileBook,VolSmileModel),2),0),"")</f>
        <v>#VALUE!</v>
      </c>
      <c r="DC65" s="1592" t="e">
        <f aca="false">IF(OR(BQ65,BS65),CH65+IF(OVolSmile,VLOOKUP(MAX(-5,CP65+CW65-BV65),IF(OVolSmile=1,VolSmileBook,VolSmileModel),2),0),"")</f>
        <v>#VALUE!</v>
      </c>
      <c r="DD65" s="1592" t="e">
        <f aca="false">IF(OR(BQ65,BS65),CI65+IF(OVolSmile,VLOOKUP(MAX(-5,CQ65+CW65-BW65),IF(OVolSmile=1,VolSmileBook,VolSmileModel),2),0),"")</f>
        <v>#VALUE!</v>
      </c>
      <c r="DE65" s="1592" t="e">
        <f aca="false">IF(OR(BQ65,BS65),CL65+IF(OVolSmile,VLOOKUP(MAX(-5,CR65+CZ65-BX65),IF(OVolSmile=1,VolSmileBook,VolSmileModel),2),0),"")</f>
        <v>#VALUE!</v>
      </c>
      <c r="DF65" s="1592" t="e">
        <f aca="false">IF(BQ65,CM65+IF(OVolSmile,VLOOKUP(MAX(-5,CS65+DA65-BZ65),IF(OVolSmile=1,VolSmileBook,VolSmileModel),2),0),"")</f>
        <v>#VALUE!</v>
      </c>
      <c r="DG65" s="1593" t="e">
        <f aca="false">IF(BS65,CN65+IF(OVolSmile,VLOOKUP(MAX(-5,CT65+DA65-CF65),IF(OVolSmile=1,VolSmileBook,VolSmileModel),2),0),"")</f>
        <v>#VALUE!</v>
      </c>
      <c r="DH65" s="1316" t="e">
        <f aca="false">IF(AND(BU65&gt;0,CO65&gt;0,DB65&gt;0,CU65&gt;0),newSPRDOPT(BU65,CO65,CW65,0,DB65,CU65,CV65,BT65*365.25,OCallPut,0),0)</f>
        <v>#VALUE!</v>
      </c>
      <c r="DI65" s="1316" t="e">
        <f aca="false">IF(AND(BV65&gt;0,CP65&gt;0,DC65&gt;0,CU65&gt;0),newSPRDOPT(BV65,CP65,CX65,0,DC65,CU65,CV65,BT65*365.25,OCallPut,0),0)</f>
        <v>#VALUE!</v>
      </c>
      <c r="DJ65" s="1316" t="e">
        <f aca="false">IF(AND(BW65&gt;0,CQ65&gt;0,DD65&gt;0,CU65&gt;0),newSPRDOPT(BW65,CQ65,CY65,0,DD65,CU65,CV65,BT65*365.25,OCallPut,0),0)</f>
        <v>#VALUE!</v>
      </c>
      <c r="DK65" s="1316" t="e">
        <f aca="false">IF(AND(BX65&gt;0,CR65&gt;0,DE65&gt;0,CU65&gt;0),newSPRDOPT(BX65,CR65,CZ65,0,DE65,CU65,CV65,BT65*365.25,OCallPut,0),0)</f>
        <v>#VALUE!</v>
      </c>
      <c r="DL65" s="1316" t="e">
        <f aca="false">IF(OVolType,IF(AND(BZ65&gt;0,CS65&gt;0,DF65&gt;0,CU65&gt;0),newSPRDOPT(BZ65,CS65,DA65,0,DF65,CU65,CV65,BT65*365.25,OCallPut,0),0),IF(BQ65,(DH65*AZ65+DI65*BA65+DJ65*BB65+DK65*BC65)/BQ65,0))</f>
        <v>#VALUE!</v>
      </c>
      <c r="DM65" s="1316"/>
      <c r="DN65" s="1316"/>
      <c r="DO65" s="1316"/>
      <c r="DP65" s="1316"/>
      <c r="DQ65" s="1316"/>
      <c r="DR65" s="1316"/>
      <c r="DS65" s="1316"/>
      <c r="DT65" s="1316"/>
      <c r="DU65" s="1316"/>
      <c r="DV65" s="1316"/>
      <c r="DW65" s="1594" t="e">
        <f aca="false">IF(AND(BW65&gt;0,CT65&gt;0,DD65&gt;0,CU65&gt;0),newSPRDOPT(BW65,CT65,CY65,0,DD65,CU65,CV65,BT65*365.25,OCallPut,0),0)</f>
        <v>#VALUE!</v>
      </c>
      <c r="DX65" s="1316" t="e">
        <f aca="false">IF(AND(BX65&gt;0,CT65&gt;0,DE65&gt;0,CU65&gt;0),newSPRDOPT(BX65,CT65,CZ65,0,DE65,CU65,CV65,BT65*365.25,OCallPut,0),0)</f>
        <v>#VALUE!</v>
      </c>
      <c r="DY65" s="1591" t="e">
        <f aca="false">IF(BS65,(DH65*BH65+DI65*BI65+DW65*BJ65+DX65*BK65)/BS65,0)</f>
        <v>#VALUE!</v>
      </c>
      <c r="DZ65" s="1551" t="e">
        <f aca="false">DH65*AZ65</f>
        <v>#VALUE!</v>
      </c>
      <c r="EA65" s="1551" t="e">
        <f aca="false">DI65*BA65</f>
        <v>#VALUE!</v>
      </c>
      <c r="EB65" s="1551" t="e">
        <f aca="false">DJ65*BB65</f>
        <v>#VALUE!</v>
      </c>
      <c r="EC65" s="1551" t="e">
        <f aca="false">DK65*BC65</f>
        <v>#VALUE!</v>
      </c>
      <c r="ED65" s="1551" t="e">
        <f aca="false">DL65*BQ65</f>
        <v>#VALUE!</v>
      </c>
      <c r="EE65" s="1595" t="e">
        <f aca="false">IF(BQ65,IF(OCallPut,IF(BU65&gt;(CO65+CW65),BU65-(CO65+CW65),0),IF((CO65+CW65)&gt;BU65,(CO65+CW65)-BU65,0))*AZ65,0)</f>
        <v>#VALUE!</v>
      </c>
      <c r="EF65" s="1596" t="e">
        <f aca="false">IF(BQ65,IF(OCallPut,IF(BV65&gt;(CP65+CX65),BV65-(CP65+CX65),0),IF((CP65+CX65)&gt;BV65,(CP65+CX65)-BV65,0))*BA65,0)</f>
        <v>#VALUE!</v>
      </c>
      <c r="EG65" s="1596" t="e">
        <f aca="false">IF(BQ65,IF(OCallPut,IF(BW65&gt;(CQ65+CY65),BW65-(CQ65+CY65),0),IF((CQ65+CY65)&gt;BW65,(CQ65+CY65)-BW65,0))*BB65,0)</f>
        <v>#VALUE!</v>
      </c>
      <c r="EH65" s="1596" t="e">
        <f aca="false">IF(BQ65,IF(OCallPut,IF(BX65&gt;(CR65+CZ65),BX65-(CR65+CZ65),0),IF((CR65+CZ65)&gt;BX65,(CR65+CZ65)-BX65,0))*BC65,0)</f>
        <v>#VALUE!</v>
      </c>
      <c r="EI65" s="1597" t="e">
        <f aca="false">IF(BQ65,IF(OVolType,IF(OCallPut,IF(BZ65&gt;(CS65+DA65),BZ65-(CS65+DA65),0),IF((CS65+DA65)&gt;BZ65,(CS65+DA65)-BZ65,0))*BQ65,SUM(EE65:EH65)),0)</f>
        <v>#VALUE!</v>
      </c>
      <c r="EJ65" s="1595" t="e">
        <f aca="false">DZ65-EE65</f>
        <v>#VALUE!</v>
      </c>
      <c r="EK65" s="1596" t="e">
        <f aca="false">EA65-EF65</f>
        <v>#VALUE!</v>
      </c>
      <c r="EL65" s="1596" t="e">
        <f aca="false">EB65-EG65</f>
        <v>#VALUE!</v>
      </c>
      <c r="EM65" s="1596" t="e">
        <f aca="false">EC65-EH65</f>
        <v>#VALUE!</v>
      </c>
      <c r="EN65" s="1597" t="e">
        <f aca="false">ED65-EI65</f>
        <v>#VALUE!</v>
      </c>
      <c r="EO65" s="1551" t="e">
        <f aca="false">DH65*BH65</f>
        <v>#VALUE!</v>
      </c>
      <c r="EP65" s="1551" t="e">
        <f aca="false">DI65*BI65</f>
        <v>#VALUE!</v>
      </c>
      <c r="EQ65" s="1551" t="e">
        <f aca="false">DW65*BJ65</f>
        <v>#VALUE!</v>
      </c>
      <c r="ER65" s="1551" t="e">
        <f aca="false">DX65*BK65</f>
        <v>#VALUE!</v>
      </c>
      <c r="ES65" s="1551" t="e">
        <f aca="false">DY65*BS65</f>
        <v>#VALUE!</v>
      </c>
      <c r="ET65" s="1566" t="e">
        <f aca="false">IF(EI65,IF(OCallPut,IF(CA65&gt;(CT65+CW65),CA65-(CT65+CW65),0),IF((CT65+CW65)&gt;CA65,(CT65+CW65)-CA65,0))*BH65,0)</f>
        <v>#VALUE!</v>
      </c>
      <c r="EU65" s="1551" t="e">
        <f aca="false">IF(EI65,IF(OCallPut,IF(CB65&gt;(CT65+CX65),CB65-(CT65+CX65),0),IF((CT65+CX65)&gt;CB65,(CT65+CX65)-CB65,0))*BI65,0)</f>
        <v>#VALUE!</v>
      </c>
      <c r="EV65" s="1551" t="e">
        <f aca="false">IF(EI65,IF(OCallPut,IF(CC65&gt;(CT65+CY65),CC65-(CT65+CY65),0),IF((CT65+CY65)&gt;CC65,(CT65+CY65)-CC65,0))*BJ65,0)</f>
        <v>#VALUE!</v>
      </c>
      <c r="EW65" s="1551" t="e">
        <f aca="false">IF(EI65,IF(OCallPut,IF(CD65&gt;(CT65+CZ65),CD65-(CT65+CZ65),0),IF((CT65+CZ65)&gt;CD65,(CT65+CZ65)-CD65,0))*BK65,0)</f>
        <v>#VALUE!</v>
      </c>
      <c r="EX65" s="1558" t="e">
        <f aca="false">IF(EI65,SUM(ET65:EW65),0)</f>
        <v>#VALUE!</v>
      </c>
      <c r="EY65" s="1551" t="e">
        <f aca="false">EO65-ET65</f>
        <v>#VALUE!</v>
      </c>
      <c r="EZ65" s="1551" t="e">
        <f aca="false">EP65-EU65</f>
        <v>#VALUE!</v>
      </c>
      <c r="FA65" s="1551" t="e">
        <f aca="false">EQ65-EV65</f>
        <v>#VALUE!</v>
      </c>
      <c r="FB65" s="1551" t="e">
        <f aca="false">ER65-EW65</f>
        <v>#VALUE!</v>
      </c>
      <c r="FC65" s="1551" t="e">
        <f aca="false">ES65-EX65</f>
        <v>#VALUE!</v>
      </c>
      <c r="FD65" s="1525" t="n">
        <f aca="false">IF(AX65,IF(VLOOKUP(C65,MAIN!$L$17:$M$28,2)="Yes",VLOOKUP(CALC!B65,MAIN!$H$17:$I$20,2),0),0)</f>
        <v>0</v>
      </c>
      <c r="FE65" s="1552" t="e">
        <f aca="false">$FD65*16*AT65*(1-$AY65)</f>
        <v>#VALUE!</v>
      </c>
      <c r="FF65" s="1553" t="e">
        <f aca="false">$FD65*16*AU65*(1-$AY65)</f>
        <v>#VALUE!</v>
      </c>
      <c r="FG65" s="1553" t="e">
        <f aca="false">$FD65*16*(AV65+AW65)*(1-$AY65)</f>
        <v>#VALUE!</v>
      </c>
      <c r="FH65" s="1554" t="n">
        <f aca="false">$FD65*8*AX65*(1-$AY65)</f>
        <v>0</v>
      </c>
      <c r="FI65" s="1555" t="n">
        <f aca="false">IF(AX65,VLOOKUP(CALC!B65,MAIN!$H$17:$K$20,4),0)</f>
        <v>0</v>
      </c>
      <c r="FJ65" s="1553" t="e">
        <f aca="false">SUM(FE65:FH65)</f>
        <v>#VALUE!</v>
      </c>
      <c r="FK65" s="1556" t="e">
        <f aca="false">FI65*FJ65</f>
        <v>#VALUE!</v>
      </c>
      <c r="FL65" s="1551" t="e">
        <f aca="false">IF($EI65&gt;0,MIN(FE65,AZ65*(1+VLOOKUP($C65,WeatherCapacityAdjustment,2))),0)</f>
        <v>#VALUE!</v>
      </c>
      <c r="FM65" s="1551" t="e">
        <f aca="false">IF($EI65&gt;0,MIN(FF65,BA65*(1+VLOOKUP($C65,WeatherCapacityAdjustment,2))),0)</f>
        <v>#VALUE!</v>
      </c>
      <c r="FN65" s="1551" t="e">
        <f aca="false">IF($EI65&gt;0,MIN(FG65,BB65*(1+VLOOKUP($C65,WeatherCapacityAdjustment,2))),0)</f>
        <v>#VALUE!</v>
      </c>
      <c r="FO65" s="1564" t="e">
        <f aca="false">IF($EI65&gt;0,MIN(FH65,BC65*(1+VLOOKUP($C65,WeatherCapacityAdjustment,3))),0)</f>
        <v>#VALUE!</v>
      </c>
      <c r="FP65" s="1551" t="e">
        <f aca="false">IF(ET65&gt;0,MIN(FE65-FL65,BH65*(1+VLOOKUP($C65,WeatherCapacityAdjustment,2))),0)</f>
        <v>#VALUE!</v>
      </c>
      <c r="FQ65" s="1551" t="e">
        <f aca="false">IF(EU65&gt;0,MIN(FF65-FM65,BI65*(1+VLOOKUP($C65,WeatherCapacityAdjustment,2))),0)</f>
        <v>#VALUE!</v>
      </c>
      <c r="FR65" s="1551" t="e">
        <f aca="false">IF(EV65&gt;0,MIN(FG65-FN65,BJ65*(1+VLOOKUP($C65,WeatherCapacityAdjustment,2))),0)</f>
        <v>#VALUE!</v>
      </c>
      <c r="FS65" s="1558" t="e">
        <f aca="false">IF(EW65&gt;0,MIN(FH65-FO65,BK65*(1+VLOOKUP($C65,WeatherCapacityAdjustment,3))),0)</f>
        <v>#VALUE!</v>
      </c>
      <c r="FT65" s="1566" t="e">
        <f aca="false">IF(AND(Assumptions!$H$71="Yes",A65&gt;=Assumptions!$H$72,A65&lt;=Assumptions!$H$73),0,IF(AND($A65&gt;=Assumptions!$C$17,$A65&lt;=Assumptions!$C$18),MAX(AZ65*(1+VLOOKUP($C65,WeatherCapacityAdjustment,2))-FL65,0),0))</f>
        <v>#VALUE!</v>
      </c>
      <c r="FU65" s="1551" t="e">
        <f aca="false">IF(AND(Assumptions!$H$71="Yes",A65&gt;=Assumptions!$H$72,A65&lt;=Assumptions!$H$73),0,IF(AND($A65&gt;=Assumptions!$C$17,$A65&lt;=Assumptions!$C$18),MAX(BA65*(1+VLOOKUP($C65,WeatherCapacityAdjustment,2))-FM65,0),0))</f>
        <v>#VALUE!</v>
      </c>
      <c r="FV65" s="1551" t="e">
        <f aca="false">IF(AND(Assumptions!$H$71="Yes",A65&gt;=Assumptions!$H$72,A65&lt;=Assumptions!$H$73),0,IF(AND($A65&gt;=Assumptions!$C$17,$A65&lt;=Assumptions!$C$18),MAX(BB65*(1+VLOOKUP($C65,WeatherCapacityAdjustment,2))-FN65,0),0))</f>
        <v>#VALUE!</v>
      </c>
      <c r="FW65" s="1564" t="e">
        <f aca="false">IF(AND(Assumptions!$H$71="Yes",A65&gt;=Assumptions!$H$72,A65&lt;=Assumptions!$H$73),0,IF(AND($A65&gt;=Assumptions!$C$17,$A65&lt;=Assumptions!$C$18),MAX(BC65*(1+VLOOKUP($C65,WeatherCapacityAdjustment,3))-FO65,0),0))</f>
        <v>#VALUE!</v>
      </c>
      <c r="FX65" s="1569" t="e">
        <f aca="false">IF(AND(Assumptions!$H$71="Yes",A65&gt;=Assumptions!$H$72,A65&lt;=Assumptions!$H$73),0,IF(ET65&gt;0,MAX(BH65*(1+VLOOKUP($C65,WeatherCapacityAdjustment,2))-FP65,0),0))</f>
        <v>#VALUE!</v>
      </c>
      <c r="FY65" s="1551" t="e">
        <f aca="false">IF(AND(Assumptions!$H$71="Yes",A65&gt;=Assumptions!$H$72,A65&lt;=Assumptions!$H$73),0,IF(EU65&gt;0,MAX(BI65*(1+VLOOKUP($C65,WeatherCapacityAdjustment,3))-FQ65,0),0))</f>
        <v>#VALUE!</v>
      </c>
      <c r="FZ65" s="1551" t="e">
        <f aca="false">IF(AND(Assumptions!$H$71="Yes",A65&gt;=Assumptions!$H$72,A65&lt;=Assumptions!$H$73),0,IF(EV65&gt;0,MAX(BJ65*(1+VLOOKUP($C65,WeatherCapacityAdjustment,2))-FR65,0),0))</f>
        <v>#VALUE!</v>
      </c>
      <c r="GA65" s="1564" t="e">
        <f aca="false">IF(AND(Assumptions!$H$71="Yes",A65&gt;=Assumptions!$H$72,A65&lt;=Assumptions!$H$73),0,IF(EW65&gt;0,MAX(BK65*(1+VLOOKUP($C65,WeatherCapacityAdjustment,2))-FS65,0),0))</f>
        <v>#VALUE!</v>
      </c>
      <c r="GB65" s="1551" t="e">
        <f aca="false">SUM(FT65:GA65)</f>
        <v>#VALUE!</v>
      </c>
      <c r="GC65" s="1563" t="e">
        <f aca="false">+IF(SUM(FT65:GA65)=0,0,(SUMPRODUCT(BU65:BX65,FT65:FW65)+SUMPRODUCT(CA65:CD65,FX65:GA65))/SUM(FT65:GA65))</f>
        <v>#VALUE!</v>
      </c>
      <c r="GD65" s="1551" t="e">
        <f aca="false">(FT65*BU65+FX65*CA65+FU65*BV65+FY65*CB65+FV65*BW65+FZ65*CC65+FW65*BX65+GA65*CD65)</f>
        <v>#VALUE!</v>
      </c>
      <c r="GE65" s="1561" t="e">
        <f aca="false">+IF(BQ65,((FL65+FM65+FT65+FU65)*HeatRatePeak/1000*(1+VLOOKUP($C65,WeatherHeatRateAdjustment,2))+(FN65+FV65)*IF(EV65&gt;0,HeatRatePeak,HeatRateOffPeak)/1000*(1+VLOOKUP($C65,WeatherHeatRateAdjustment,2))+(FO65+FW65)*IF(EW65&gt;0,HeatRatePeak,HeatRateOffPeak)/1000*(1+VLOOKUP($C65,WeatherHeatRateAdjustment,3)))*(1+VLOOKUP($B65,HeatRateDegradation,$C65+1)),0)</f>
        <v>#VALUE!</v>
      </c>
      <c r="GF65" s="1562" t="e">
        <f aca="false">IF(BQ65,((FP65+FQ65+FR65+FX65+FY65+FZ65)*HeatRatePeak/1000*(1+VLOOKUP($C65,WeatherHeatRateAdjustment,2))+(FS65+GA65)*HeatRatePeak/1000*(1+VLOOKUP($C65,WeatherHeatRateAdjustment,3)))*(1+VLOOKUP($B65,HeatRateDegradation,$C65+1)),0)</f>
        <v>#VALUE!</v>
      </c>
      <c r="GG65" s="1563" t="e">
        <f aca="false">IF(BQ65,VLOOKUP(A65,GasTable,13),0)</f>
        <v>#VALUE!</v>
      </c>
      <c r="GH65" s="1564" t="e">
        <f aca="false">(GE65+GF65)*GG65</f>
        <v>#VALUE!</v>
      </c>
      <c r="GI65" s="1569" t="e">
        <f aca="false">GB65</f>
        <v>#VALUE!</v>
      </c>
      <c r="GJ65" s="1598" t="e">
        <f aca="false">+DA65</f>
        <v>#VALUE!</v>
      </c>
      <c r="GK65" s="1558" t="e">
        <f aca="false">+GI65*GJ65</f>
        <v>#VALUE!</v>
      </c>
      <c r="GL65" s="1566" t="e">
        <f aca="false">MAX(FE65-FL65-FP65,0)</f>
        <v>#VALUE!</v>
      </c>
      <c r="GM65" s="1551" t="e">
        <f aca="false">MAX(FF65-FM65-FQ65,0)</f>
        <v>#VALUE!</v>
      </c>
      <c r="GN65" s="1551" t="e">
        <f aca="false">MAX(FG65-FN65-FR65,0)</f>
        <v>#VALUE!</v>
      </c>
      <c r="GO65" s="1564" t="e">
        <f aca="false">MAX(FH65-FO65-FS65,0)</f>
        <v>#VALUE!</v>
      </c>
      <c r="GP65" s="1551" t="e">
        <f aca="false">SUM(GL65:GO65)</f>
        <v>#VALUE!</v>
      </c>
      <c r="GQ65" s="1563" t="e">
        <f aca="false">IF(SUM(GL65:GO65)=0,0,((GL65*BU65+GM65*BV65+GN65*BW65+GO65*BX65)/SUM(GL65:GO65)))</f>
        <v>#VALUE!</v>
      </c>
      <c r="GR65" s="1558" t="e">
        <f aca="false">(GL65*BU65+GM65*BV65+GN65*BW65+GO65*BX65)</f>
        <v>#VALUE!</v>
      </c>
      <c r="GS65" s="1566" t="n">
        <f aca="false">IF($A65&gt;=BegDate,Assumptions!$C$56*24*($A66-$A65)*(1-VLOOKUP($B65,MAIN!$AA$7:$AM$28,$C65+1))*(1-VLOOKUP($B65,MAIN!$AA$33:$AM$54,$C65+1)),0)*80/168</f>
        <v>257742.857142857</v>
      </c>
      <c r="GT65" s="286" t="n">
        <f aca="false">J65</f>
        <v>32.253555801168</v>
      </c>
      <c r="GU65" s="286" t="n">
        <f aca="false">IF($A65&gt;=BegDate,VLOOKUP($A65,GasTable,13)+Assumptions!$C$58,0)</f>
        <v>2.30119687232385</v>
      </c>
      <c r="GV65" s="286" t="n">
        <f aca="false">GU65*Assumptions!$C$57/1000</f>
        <v>16.6836773243479</v>
      </c>
      <c r="GW65" s="1558" t="n">
        <f aca="false">IF(Assumptions!$C$60="Hourly",MAX(0,GS65*(GT65-GV65)),GS65*(GT65-GV65))</f>
        <v>4013024.96398268</v>
      </c>
      <c r="GX65" s="1566" t="n">
        <f aca="false">IF($A65&gt;=BegDate,Assumptions!$C$56*24*($A66-$A65)*(1-VLOOKUP($B65,MAIN!$AA$7:$AM$28,$C65+1))*(1-VLOOKUP($B65,MAIN!$AA$33:$AM$54,$C65+1)),0)*16/168</f>
        <v>51548.5714285714</v>
      </c>
      <c r="GY65" s="286" t="n">
        <f aca="false">M65</f>
        <v>32.253555801168</v>
      </c>
      <c r="GZ65" s="286" t="n">
        <f aca="false">IF($A65&gt;=BegDate,VLOOKUP($A65,GasTable,13)+Assumptions!$C$58,0)</f>
        <v>2.30119687232385</v>
      </c>
      <c r="HA65" s="286" t="n">
        <f aca="false">GZ65*Assumptions!$C$57/1000</f>
        <v>16.6836773243479</v>
      </c>
      <c r="HB65" s="1558" t="n">
        <f aca="false">IF(Assumptions!$C$60="Hourly",MAX(0,GX65*(GY65-HA65)),GX65*(GY65-HA65))</f>
        <v>802604.992796536</v>
      </c>
      <c r="HC65" s="1566" t="n">
        <f aca="false">IF($A65&gt;=BegDate,Assumptions!$C$56*24*($A66-$A65)*(1-VLOOKUP($B65,MAIN!$AA$7:$AM$28,$C65+1))*(1-VLOOKUP($B65,MAIN!$AA$33:$AM$54,$C65+1)),0)*16/168</f>
        <v>51548.5714285714</v>
      </c>
      <c r="HD65" s="286" t="n">
        <f aca="false">P65</f>
        <v>18.982721033136</v>
      </c>
      <c r="HE65" s="286" t="n">
        <f aca="false">IF($A65&gt;=BegDate,VLOOKUP($A65,GasTable,13)+Assumptions!$C$58,0)</f>
        <v>2.30119687232385</v>
      </c>
      <c r="HF65" s="286" t="n">
        <f aca="false">HE65*Assumptions!$C$57/1000</f>
        <v>16.6836773243479</v>
      </c>
      <c r="HG65" s="1558" t="n">
        <f aca="false">IF(Assumptions!$C$60="Hourly",MAX(0,HC65*(HD65-HF65)),HC65*(HD65-HF65))</f>
        <v>118512.418839869</v>
      </c>
      <c r="HH65" s="1566" t="n">
        <f aca="false">IF($A65&gt;=BegDate,Assumptions!$C$56*24*($A66-$A65)*(1-VLOOKUP($B65,MAIN!$AA$7:$AM$28,$C65+1))*(1-VLOOKUP($B65,MAIN!$AA$33:$AM$54,$C65+1)),0)*56/168</f>
        <v>180420</v>
      </c>
      <c r="HI65" s="286" t="n">
        <f aca="false">S65</f>
        <v>18.982721033136</v>
      </c>
      <c r="HJ65" s="286" t="n">
        <f aca="false">IF($A65&gt;=BegDate,VLOOKUP($A65,GasTable,13)+Assumptions!$C$58,0)</f>
        <v>2.30119687232385</v>
      </c>
      <c r="HK65" s="286" t="n">
        <f aca="false">HJ65*Assumptions!$C$57/1000</f>
        <v>16.6836773243479</v>
      </c>
      <c r="HL65" s="1558" t="n">
        <f aca="false">IF(Assumptions!$C$60="Hourly",MAX(0,HH65*(HI65-HK65)),HH65*(HI65-HK65))</f>
        <v>414793.465939542</v>
      </c>
      <c r="HM65" s="1566" t="n">
        <f aca="false">IF(AND(Assumptions!$H$71="Yes",A65&gt;=Assumptions!$H$72,A65&lt;=Assumptions!$H$73),Assumptions!$H$74*Assumptions!$C$9*1000,0)</f>
        <v>0</v>
      </c>
      <c r="HN65" s="1551"/>
      <c r="HO65" s="1563"/>
      <c r="HP65" s="1563"/>
      <c r="HQ65" s="1563"/>
      <c r="HR65" s="1563"/>
      <c r="HS65" s="1563"/>
      <c r="HT65" s="1563"/>
      <c r="HU65" s="1563"/>
      <c r="HV65" s="1563"/>
      <c r="HW65" s="1563"/>
      <c r="HX65" s="1563"/>
      <c r="HY65" s="1563"/>
      <c r="HZ65" s="1563"/>
      <c r="IA65" s="1563"/>
      <c r="IB65" s="1563"/>
      <c r="IC65" s="1563"/>
      <c r="ID65" s="1563"/>
      <c r="IE65" s="1563"/>
      <c r="IF65" s="1563"/>
      <c r="IG65" s="1563"/>
      <c r="IH65" s="1563"/>
      <c r="II65" s="1610"/>
      <c r="IJ65" s="1309"/>
      <c r="IK65" s="1309"/>
    </row>
    <row r="66" customFormat="false" ht="12.75" hidden="false" customHeight="false" outlineLevel="0" collapsed="false">
      <c r="A66" s="1571" t="n">
        <f aca="false">EOMONTH(A65,0)+1</f>
        <v>38139</v>
      </c>
      <c r="B66" s="594" t="n">
        <f aca="false">+YEAR(A66)</f>
        <v>2004</v>
      </c>
      <c r="C66" s="238" t="n">
        <f aca="false">MONTH(A66)</f>
        <v>6</v>
      </c>
      <c r="D66" s="1572" t="e">
        <f aca="false">IF(E66="","",Holiday(B66,C66))</f>
        <v>#VALUE!</v>
      </c>
      <c r="E66" s="1573" t="n">
        <f aca="false">IF(OR(BegDate&gt;=A67,EndDate&lt;A66,AND(VolumeMonthlyOverFlag,INDEX(VolumeMonthlyOver,C66)=0),NOT(INDEX(MonthKnockOutTable,C66))),"",MAX(A66,BegDate))</f>
        <v>38139</v>
      </c>
      <c r="F66" s="1574" t="n">
        <f aca="false">IF(E66="","",MIN(A67-1,EndDate))</f>
        <v>38168</v>
      </c>
      <c r="G66" s="1575" t="n">
        <v>0</v>
      </c>
      <c r="H66" s="1576" t="n">
        <f aca="false">(1+G66/2)^(-2*(DATE(B67,C67,20)-DateToday)/365.25)</f>
        <v>1</v>
      </c>
      <c r="I66" s="1568" t="n">
        <f aca="false">IF(Assumptions!$L$25=4,VLOOKUP($A66,'Henwood Reference'!$E$9:$R$320,10),(VLOOKUP($A66,PriceTable,2,0)+IF(BasisNumber&lt;&gt;1,VLOOKUP($A66,BasisTable,2,0),0)+I$1)/(1-I$2))</f>
        <v>30.358000602576</v>
      </c>
      <c r="J66" s="1568" t="n">
        <f aca="false">IF(Assumptions!$L$25=4,VLOOKUP($A66,'Henwood Reference'!$E$9:$R$320,10),(VLOOKUP($A66,PriceTable,3,0)+IF(BasisNumber&lt;&gt;1,VLOOKUP($A66,BasisTable,2,0),0)+J$1)/(1-J$2))</f>
        <v>30.358000602576</v>
      </c>
      <c r="K66" s="1568" t="n">
        <f aca="false">IF(Assumptions!$L$25=4,VLOOKUP($A66,'Henwood Reference'!$E$9:$R$320,10),(VLOOKUP($A66,PriceTable,4,0)+IF(BasisNumber&lt;&gt;1,VLOOKUP($A66,BasisTable,2,0),0)+K$1)/(1-K$2))</f>
        <v>30.358000602576</v>
      </c>
      <c r="L66" s="1523" t="n">
        <f aca="false">IF(Assumptions!$L$25=4,VLOOKUP($A66,'Henwood Reference'!$E$9:$R$320,10),(VLOOKUP($A66,PriceTableWeekend,2,0)+IF(BasisNumber&lt;&gt;1,VLOOKUP($A66,BasisTable,2,0),0)+L$1)/(1-L$2))</f>
        <v>30.358000602576</v>
      </c>
      <c r="M66" s="1568" t="n">
        <f aca="false">IF(Assumptions!$L$25=4,VLOOKUP($A66,'Henwood Reference'!$E$9:$R$320,10),(VLOOKUP($A66,PriceTableWeekend,3,0)+IF(BasisNumber&lt;&gt;1,VLOOKUP($A66,BasisTable,2,0),0)+M$1)/(1-M$2))</f>
        <v>30.358000602576</v>
      </c>
      <c r="N66" s="1599" t="n">
        <f aca="false">IF(Assumptions!$L$25=4,VLOOKUP($A66,'Henwood Reference'!$E$9:$R$320,10),(VLOOKUP($A66,PriceTableWeekend,4,0)+IF(BasisNumber&lt;&gt;1,VLOOKUP($A66,BasisTable,2,0),0)+N$1)/(1-N$2))</f>
        <v>30.358000602576</v>
      </c>
      <c r="O66" s="1568" t="n">
        <f aca="false">IF(Assumptions!$L$25=4,VLOOKUP($A66,'Henwood Reference'!$E$9:$R$320,11),(VLOOKUP($A66,PriceTableWeekend,6,0)+IF(BasisNumber&lt;&gt;1,VLOOKUP($A66,BasisTable,3,0),0)+O$1)/(1-O$2))</f>
        <v>16.81937211816</v>
      </c>
      <c r="P66" s="1568" t="n">
        <f aca="false">IF(Assumptions!$L$25=4,VLOOKUP($A66,'Henwood Reference'!$E$9:$R$320,11),(VLOOKUP($A66,PriceTableWeekend,7,0)+IF(BasisNumber&lt;&gt;1,VLOOKUP($A66,BasisTable,3,0),0)+P$1)/(1-P$2))</f>
        <v>16.81937211816</v>
      </c>
      <c r="Q66" s="1599" t="n">
        <f aca="false">IF(Assumptions!$L$25=4,VLOOKUP($A66,'Henwood Reference'!$E$9:$R$320,11),(VLOOKUP($A66,PriceTableWeekend,8,0)+IF(BasisNumber&lt;&gt;1,VLOOKUP($A66,BasisTable,3,0),0)+Q$1)/(1-Q$2))</f>
        <v>16.81937211816</v>
      </c>
      <c r="R66" s="1568" t="n">
        <f aca="false">IF(Assumptions!$L$25=4,VLOOKUP($A66,'Henwood Reference'!$E$9:$R$320,11),(VLOOKUP($A66,PriceTable,6,0)+IF(BasisNumber&lt;&gt;1,VLOOKUP($A66,BasisTable,3,0),0)+R$1)/(1-R$2))</f>
        <v>16.81937211816</v>
      </c>
      <c r="S66" s="1568" t="n">
        <f aca="false">IF(Assumptions!$L$25=4,VLOOKUP($A66,'Henwood Reference'!$E$9:$R$320,11),(VLOOKUP($A66,PriceTable,7,0)+IF(BasisNumber&lt;&gt;1,VLOOKUP($A66,BasisTable,3,0),0)+S$1)/(1-S$2))</f>
        <v>16.81937211816</v>
      </c>
      <c r="T66" s="1600" t="n">
        <f aca="false">IF(Assumptions!$L$25=4,VLOOKUP($A66,'Henwood Reference'!$E$9:$R$320,11),(VLOOKUP($A66,PriceTable,8,0)+IF(BasisNumber&lt;&gt;1,VLOOKUP($A66,BasisTable,3,0),0)+T$1)/(1-T$2))</f>
        <v>16.81937211816</v>
      </c>
      <c r="U66" s="1513" t="n">
        <f aca="false">VLOOKUP($A66,VolatilityTable,14)</f>
        <v>0.15</v>
      </c>
      <c r="V66" s="1513" t="n">
        <f aca="false">VLOOKUP($A66,VolatilityTable,15)</f>
        <v>0.16</v>
      </c>
      <c r="W66" s="1514" t="n">
        <f aca="false">VLOOKUP($A66,VolatilityTable,16)</f>
        <v>0.17</v>
      </c>
      <c r="X66" s="1513" t="n">
        <f aca="false">VLOOKUP($A66,VolatilityTable,14)</f>
        <v>0.15</v>
      </c>
      <c r="Y66" s="1513" t="n">
        <f aca="false">VLOOKUP($A66,VolatilityTable,15)</f>
        <v>0.16</v>
      </c>
      <c r="Z66" s="1514" t="n">
        <f aca="false">VLOOKUP($A66,VolatilityTable,16)</f>
        <v>0.17</v>
      </c>
      <c r="AA66" s="1513" t="n">
        <f aca="false">VLOOKUP($A66,VolatilityTable,18)</f>
        <v>0.09</v>
      </c>
      <c r="AB66" s="1513" t="n">
        <f aca="false">VLOOKUP($A66,VolatilityTable,19)</f>
        <v>0.11</v>
      </c>
      <c r="AC66" s="1514" t="n">
        <f aca="false">VLOOKUP($A66,VolatilityTable,20)</f>
        <v>0.13</v>
      </c>
      <c r="AD66" s="1513" t="n">
        <f aca="false">VLOOKUP($A66,VolatilityTable,18)</f>
        <v>0.09</v>
      </c>
      <c r="AE66" s="1513" t="n">
        <f aca="false">VLOOKUP($A66,VolatilityTable,19)</f>
        <v>0.11</v>
      </c>
      <c r="AF66" s="1514" t="n">
        <f aca="false">VLOOKUP($A66,VolatilityTable,20)</f>
        <v>0.13</v>
      </c>
      <c r="AG66" s="1513" t="n">
        <f aca="false">VLOOKUP($A66,VolatilityTable,22)</f>
        <v>-0.35</v>
      </c>
      <c r="AH66" s="1513" t="n">
        <f aca="false">VLOOKUP($A66,VolatilityTable,23)</f>
        <v>0.65</v>
      </c>
      <c r="AI66" s="1514" t="n">
        <f aca="false">VLOOKUP($A66,VolatilityTable,24)</f>
        <v>0.2</v>
      </c>
      <c r="AJ66" s="1513" t="n">
        <f aca="false">VLOOKUP($A66,VolatilityTable,22)</f>
        <v>-0.35</v>
      </c>
      <c r="AK66" s="1513" t="n">
        <f aca="false">VLOOKUP($A66,VolatilityTable,23)</f>
        <v>0.65</v>
      </c>
      <c r="AL66" s="1514" t="n">
        <f aca="false">VLOOKUP($A66,VolatilityTable,24)</f>
        <v>0.2</v>
      </c>
      <c r="AM66" s="1513" t="n">
        <f aca="false">VLOOKUP($A66,VolatilityTable,26)</f>
        <v>-0.01</v>
      </c>
      <c r="AN66" s="1513" t="n">
        <f aca="false">VLOOKUP($A66,VolatilityTable,27)</f>
        <v>0.16</v>
      </c>
      <c r="AO66" s="1514" t="n">
        <f aca="false">VLOOKUP($A66,VolatilityTable,28)</f>
        <v>0.01</v>
      </c>
      <c r="AP66" s="1513" t="n">
        <f aca="false">VLOOKUP($A66,VolatilityTable,26)</f>
        <v>-0.01</v>
      </c>
      <c r="AQ66" s="1513" t="n">
        <f aca="false">VLOOKUP($A66,VolatilityTable,27)</f>
        <v>0.16</v>
      </c>
      <c r="AR66" s="1515" t="n">
        <f aca="false">VLOOKUP($A66,VolatilityTable,28)</f>
        <v>0.01</v>
      </c>
      <c r="AS66" s="1581" t="n">
        <f aca="false">IF(CorrPeakOffPeakOverFlag,INDEX(CorrPeakOffPeakOver,C66),CorrPeakOffPeak)</f>
        <v>0.5</v>
      </c>
      <c r="AT66" s="594" t="e">
        <f aca="false">AX66-SUM(AU66:AW66)</f>
        <v>#VALUE!</v>
      </c>
      <c r="AU66" s="238" t="e">
        <f aca="false">IF(E66="",0,INT((F66-MOD(F66,7)-E66)/7)+1-IF(AW66,IF(WEEKDAY(D66)=7,1,0),0))</f>
        <v>#VALUE!</v>
      </c>
      <c r="AV66" s="238" t="e">
        <f aca="false">IF(E66="",0,INT((F66-MOD(F66-1,7)-E66)/7)+1-IF(AW66,IF(WEEKDAY(D66)=1,1,0),0))</f>
        <v>#VALUE!</v>
      </c>
      <c r="AW66" s="238" t="e">
        <f aca="false">IF(OR(E66="",D66="",D66&lt;BegDate,D66&gt;EndDate),0,1)</f>
        <v>#VALUE!</v>
      </c>
      <c r="AX66" s="238" t="n">
        <f aca="false">IF(E66="",0,F66-E66+1)</f>
        <v>30</v>
      </c>
      <c r="AY66" s="1582" t="n">
        <f aca="false">IF(E66="",0,MIN((1-(1-VLOOKUP(B66,MAIN!$AA$7:$AM$28,C66+1))*(1-VLOOKUP(B66,MAIN!$AA$33:$AM$54,C66+1))),1))</f>
        <v>0.03</v>
      </c>
      <c r="AZ66" s="1519" t="e">
        <v>#VALUE!</v>
      </c>
      <c r="BA66" s="1520" t="e">
        <v>#VALUE!</v>
      </c>
      <c r="BB66" s="1520" t="e">
        <v>#VALUE!</v>
      </c>
      <c r="BC66" s="1583" t="e">
        <v>#VALUE!</v>
      </c>
      <c r="BD66" s="1522" t="e">
        <v>#VALUE!</v>
      </c>
      <c r="BE66" s="1523" t="e">
        <v>#VALUE!</v>
      </c>
      <c r="BF66" s="1523" t="e">
        <v>#VALUE!</v>
      </c>
      <c r="BG66" s="1584" t="e">
        <v>#VALUE!</v>
      </c>
      <c r="BH66" s="1525" t="e">
        <v>#VALUE!</v>
      </c>
      <c r="BI66" s="1520" t="e">
        <v>#VALUE!</v>
      </c>
      <c r="BJ66" s="1520" t="e">
        <v>#VALUE!</v>
      </c>
      <c r="BK66" s="1583" t="e">
        <v>#VALUE!</v>
      </c>
      <c r="BL66" s="1522" t="e">
        <v>#VALUE!</v>
      </c>
      <c r="BM66" s="1523" t="e">
        <v>#VALUE!</v>
      </c>
      <c r="BN66" s="1523" t="e">
        <v>#VALUE!</v>
      </c>
      <c r="BO66" s="1523" t="e">
        <v>#VALUE!</v>
      </c>
      <c r="BP66" s="1525" t="e">
        <f aca="false">SUM(AZ66:BB66)</f>
        <v>#VALUE!</v>
      </c>
      <c r="BQ66" s="1529" t="e">
        <f aca="false">SUM(AZ66:BC66)</f>
        <v>#VALUE!</v>
      </c>
      <c r="BR66" s="1519" t="e">
        <f aca="false">SUM(BH66:BJ66)</f>
        <v>#VALUE!</v>
      </c>
      <c r="BS66" s="1529" t="e">
        <f aca="false">SUM(BH66:BK66)</f>
        <v>#VALUE!</v>
      </c>
      <c r="BT66" s="1316" t="n">
        <f aca="false">(IF(OVolType&lt;&gt;2,A66+14,IF(OptExpDateShift,ShiftBack(A66,OptExpDateShift,D65),A66))-DateToday)/365.25</f>
        <v>4.13141683778234</v>
      </c>
      <c r="BU66" s="1585" t="e">
        <f aca="false">IF(BQ66,IF(OPriceCurve,IF(OBuySell=OCallPut,I66/(1-AY66),K66/(1-AY66)),J66/(1-AY66))*BD66,0)</f>
        <v>#VALUE!</v>
      </c>
      <c r="BV66" s="1316" t="e">
        <f aca="false">IF(BQ66,IF(OPriceCurve,IF(OBuySell=OCallPut,L66/(1-AY66),N66/(1-AY66)),M66/(1-AY66))*BE66,0)</f>
        <v>#VALUE!</v>
      </c>
      <c r="BW66" s="1316" t="e">
        <f aca="false">IF(BQ66,IF(OPriceCurve,IF(OBuySell=OCallPut,O66/(1-AY66),Q66/(1-AY66)),P66/(1-AY66))*BF66,0)</f>
        <v>#VALUE!</v>
      </c>
      <c r="BX66" s="1316" t="e">
        <f aca="false">IF(BQ66,IF(OPriceCurve,IF(OBuySell=OCallPut,R66/(1-AY66),T66/(1-AY66)),S66/(1-AY66))*BG66,0)</f>
        <v>#VALUE!</v>
      </c>
      <c r="BY66" s="1316" t="e">
        <f aca="false">IF(BP66,(BU66*AZ66+BV66*BA66+BW66*BB66)/BP66,0)</f>
        <v>#VALUE!</v>
      </c>
      <c r="BZ66" s="1316" t="e">
        <f aca="false">IF(BQ66,(BY66*BP66+BX66*BC66)/BQ66,0)</f>
        <v>#VALUE!</v>
      </c>
      <c r="CA66" s="1531" t="e">
        <f aca="false">IF(BS66,IF(OPriceCurve,IF(OBuySell=OCallPut,I66/(1-AY66),K66/(1-AY66)),J66/(1-AY66))*BL66,0)</f>
        <v>#VALUE!</v>
      </c>
      <c r="CB66" s="1316" t="e">
        <f aca="false">IF(BS66,IF(OPriceCurve,IF(OBuySell=OCallPut,L66/(1-AY66),N66/(1-AY66)),M66/(1-AY66))*BM66,0)</f>
        <v>#VALUE!</v>
      </c>
      <c r="CC66" s="1316" t="e">
        <f aca="false">IF(BS66,IF(OPriceCurve,IF(OBuySell=OCallPut,O66/(1-AY66),Q66/(1-AY66)),P66/(1-AY66))*BN66,0)</f>
        <v>#VALUE!</v>
      </c>
      <c r="CD66" s="1316" t="e">
        <f aca="false">IF(BS66,IF(OPriceCurve,IF(OBuySell=OCallPut,R66/(1-AY66),T66/(1-AY66)),S66/(1-AY66))*BO66,0)</f>
        <v>#VALUE!</v>
      </c>
      <c r="CE66" s="1316" t="e">
        <f aca="false">IF(BR66,(BU66*BH66+BV66*BI66+BW66*BJ66)/BR66,0)</f>
        <v>#VALUE!</v>
      </c>
      <c r="CF66" s="1532" t="e">
        <f aca="false">IF(BS66,(CE66*BR66+CD66*BK66)/BS66,0)</f>
        <v>#VALUE!</v>
      </c>
      <c r="CG66" s="1586" t="e">
        <f aca="false">IF(OR(BQ66,BS66),IF(OVolType&lt;&gt;2,SQRT(IF(OVolOverMonthlyPeak,OVolOverMonthlyPeak,IF(OVolCurve,IF(OBuySell,U66,W66),V66))^2*(1-15/365.25/BT66)+IF(OVolOverDailyPeak,OVolOverDailyPeak,IF(OVolCurve,IF(OBuySell,AG66,AI66),AH66))^2*15/365.25/BT66),IF(OVolOverMonthlyPeak,OVolOverMonthlyPeak,IF(OVolCurve,IF(OBuySell,U66,W66),V66))),"")</f>
        <v>#VALUE!</v>
      </c>
      <c r="CH66" s="1587" t="e">
        <f aca="false">IF(OR(BQ66,BS66),IF(OVolType&lt;&gt;2,SQRT(IF(OVolOverMonthlyPeak,OVolOverMonthlyPeak,IF(OVolCurve,IF(OBuySell,X66,Z66),Y66))^2*(1-15/365.25/BT66)+IF(OVolOverDailyPeak,OVolOverDailyPeak,IF(OVolCurve,IF(OBuySell,AJ66,AL66),AK66))^2*15/365.25/BT66),IF(OVolOverMonthlyPeak,OVolOverMonthlyPeak,IF(OVolCurve,IF(OBuySell,X66,Z66),Y66))),"")</f>
        <v>#VALUE!</v>
      </c>
      <c r="CI66" s="1587" t="e">
        <f aca="false">IF(OR(BQ66,BS66),IF(OVolType&lt;&gt;2,SQRT(IF(OVolOverMonthlyPeak,OVolOverMonthlyPeak,IF(OVolCurve,IF(OBuySell,AA66,AC66),AB66))^2*(1-15/365.25/BT66)+IF(OVolOverDailyPeak,OVolOverDailyPeak,IF(OVolCurve,IF(OBuySell,AM66,AO66),AN66))^2*15/365.25/BT66),IF(OVolOverMonthlyPeak,OVolOverMonthlyPeak,IF(OVolCurve,IF(OBuySell,AA66,AC66),AB66))),"")</f>
        <v>#VALUE!</v>
      </c>
      <c r="CJ66" s="1587" t="e">
        <f aca="false">IF(BQ66,IF(BP66,SQRT(LN(1+((BU66*AZ66)^2*(EXP(CG66^2*BT66)-1)+(BV66*BA66)^2*(EXP(CH66^2*BT66)-1)+(BW66*BB66)^2*(EXP(CI66^2*BT66)-1)+2*BU66*AZ66*BV66*BA66*(EXP(CG66*CH66*BT66)-1)+2*BV66*BA66*BW66*BB66*(EXP(CH66*CI66*BT66)-1)+2*BW66*BB66*BU66*AZ66*(EXP(CI66*CG66*BT66)-1))/(BY66*BP66)^2)/BT66),0),"")</f>
        <v>#VALUE!</v>
      </c>
      <c r="CK66" s="1587" t="e">
        <f aca="false">IF(BS66,IF(BR66,SQRT(LN(1+((CA66*BH66)^2*(EXP(CG66^2*BT66)-1)+(CB66*BI66)^2*(EXP(CH66^2*BT66)-1)+(CC66*BJ66)^2*(EXP(CI66^2*BT66)-1)+2*CA66*BH66*CB66*BI66*(EXP(CG66*CH66*BT66)-1)+2*CB66*BI66*CC66*BJ66*(EXP(CH66*CI66*BT66)-1)+2*CC66*BJ66*CA66*BH66*(EXP(CI66*CG66*BT66)-1))/(CE66*BR66)^2)/BT66),0),"")</f>
        <v>#VALUE!</v>
      </c>
      <c r="CL66" s="1587" t="e">
        <f aca="false">IF(OR(BQ66,BS66),IF(OVolType&lt;&gt;2,SQRT(IF(OVolOverMonthlyOffPeak,OVolOverMonthlyOffPeak,IF(OVolCurve,IF(OBuySell,AD66,AF66),AE66))^2*(1-15/365.25/BT66)+IF(OVolOverDailyOffPeak,OVolOverDailyOffPeak,IF(OVolCurve,IF(OBuySell,AP66,AR66),AQ66))^2*15/365.25/BT66),IF(OVolOverMonthlyOffPeak,OVolOverMonthlyOffPeak,IF(OVolCurve,IF(OBuySell,AD66,AF66),AE66))),"")</f>
        <v>#VALUE!</v>
      </c>
      <c r="CM66" s="1587" t="e">
        <f aca="false">IF(BQ66,SQRT(LN(1+((BY66*BP66)^2*(EXP(CJ66^2*BT66)-1)+(BX66*BC66)^2*(EXP(CL66^2*BT66)-1)+2*BY66*BP66*BX66*BC66*(EXP(AS66*CJ66*CL66*BT66)-1))/(BY66*BP66+BX66*BC66)^2)/BT66),"")</f>
        <v>#VALUE!</v>
      </c>
      <c r="CN66" s="1588" t="e">
        <f aca="false">IF(BS66,SQRT(LN(1+((CE66*BR66)^2*(EXP(CK66^2*BT66)-1)+(CD66*BK66)^2*(EXP(CL66^2*BT66)-1)+2*CE66*BR66*CD66*BK66*(EXP(AS66*CK66*CL66*BT66)-1))/(CE66*BR66+CD66*BK66)^2)/BT66),"")</f>
        <v>#VALUE!</v>
      </c>
      <c r="CO66" s="1531" t="e">
        <f aca="false">IF(OR(BQ66,BS66),VLOOKUP(A66,GasTable,13)*HeatRatePeak*(1+VLOOKUP($B66,HeatRateDegradation,$C66+1))/1000,0)</f>
        <v>#VALUE!</v>
      </c>
      <c r="CP66" s="1316" t="e">
        <f aca="false">IF(OR(BQ66,BS66),VLOOKUP(A66,GasTable,13)*HeatRatePeak*(1+VLOOKUP($B66,HeatRateDegradation,$C66+1))/1000,0)</f>
        <v>#VALUE!</v>
      </c>
      <c r="CQ66" s="1316" t="e">
        <f aca="false">IF(OR(BQ66,BS66),VLOOKUP(A66,GasTable,13)*IF(EV66,HeatRatePeak,HeatRateOffPeak)*(1+VLOOKUP($B66,HeatRateDegradation,$C66+1))/1000,0)</f>
        <v>#VALUE!</v>
      </c>
      <c r="CR66" s="1316" t="e">
        <f aca="false">IF(OR(BQ66,BS66),VLOOKUP(A66,GasTable,13)*IF(EW66,HeatRatePeak,HeatRateOffPeak)*(1+VLOOKUP($B66,HeatRateDegradation,$C66+1))/1000,0)</f>
        <v>#VALUE!</v>
      </c>
      <c r="CS66" s="1589" t="e">
        <f aca="false">IF(BQ66,(CO66*AZ66+CP66*BA66+CQ66*BB66+CR66*BC66)/BQ66,0)</f>
        <v>#VALUE!</v>
      </c>
      <c r="CT66" s="1316" t="e">
        <f aca="false">IF(BS66,CO66,0)</f>
        <v>#VALUE!</v>
      </c>
      <c r="CU66" s="1590" t="e">
        <f aca="false">IF(OR(BQ66,BS66),VLOOKUP(A66,GasTable,14),"")</f>
        <v>#VALUE!</v>
      </c>
      <c r="CV66" s="1568" t="e">
        <f aca="false">IF(OR(BQ66,BS66),IF(CorrPowerGasOverFlag,INDEX(CorrPowerGasOver,C66),CorrPowerGas),"")</f>
        <v>#VALUE!</v>
      </c>
      <c r="CW66" s="1316" t="e">
        <f aca="false">IF(OR($BQ66,$BS66),SpreadOptPowerMargin,0)*((1+Assumptions!$C$26)^($B66-YEAR(Assumptions!$C$17)))</f>
        <v>#VALUE!</v>
      </c>
      <c r="CX66" s="1316" t="e">
        <f aca="false">IF(OR($BQ66,$BS66),SpreadOptPowerMargin,0)*((1+Assumptions!$C$26)^($B66-YEAR(Assumptions!$C$17)))</f>
        <v>#VALUE!</v>
      </c>
      <c r="CY66" s="1316" t="e">
        <f aca="false">IF(OR($BQ66,$BS66),SpreadOptPowerMargin,0)*((1+Assumptions!$C$26)^($B66-YEAR(Assumptions!$C$17)))</f>
        <v>#VALUE!</v>
      </c>
      <c r="CZ66" s="1316" t="e">
        <f aca="false">IF(OR($BQ66,$BS66),SpreadOptPowerMargin,0)*((1+Assumptions!$C$26)^($B66-YEAR(Assumptions!$C$17)))</f>
        <v>#VALUE!</v>
      </c>
      <c r="DA66" s="1591" t="e">
        <f aca="false">IF(OR(BQ66,BS66),(CW66*(AZ66+BH66)+CX66*(BA66+BI66)+CY66*(BB66+BJ66)+CZ66*(BC66+BK66))/(BQ66+BS66),0)</f>
        <v>#VALUE!</v>
      </c>
      <c r="DB66" s="1592" t="e">
        <f aca="false">IF(OR(BQ66,BS66),CG66+IF(OVolSmile,VLOOKUP(MAX(-5,CO66+CW66-BU66),IF(OVolSmile=1,VolSmileBook,VolSmileModel),2),0),"")</f>
        <v>#VALUE!</v>
      </c>
      <c r="DC66" s="1592" t="e">
        <f aca="false">IF(OR(BQ66,BS66),CH66+IF(OVolSmile,VLOOKUP(MAX(-5,CP66+CW66-BV66),IF(OVolSmile=1,VolSmileBook,VolSmileModel),2),0),"")</f>
        <v>#VALUE!</v>
      </c>
      <c r="DD66" s="1592" t="e">
        <f aca="false">IF(OR(BQ66,BS66),CI66+IF(OVolSmile,VLOOKUP(MAX(-5,CQ66+CW66-BW66),IF(OVolSmile=1,VolSmileBook,VolSmileModel),2),0),"")</f>
        <v>#VALUE!</v>
      </c>
      <c r="DE66" s="1592" t="e">
        <f aca="false">IF(OR(BQ66,BS66),CL66+IF(OVolSmile,VLOOKUP(MAX(-5,CR66+CZ66-BX66),IF(OVolSmile=1,VolSmileBook,VolSmileModel),2),0),"")</f>
        <v>#VALUE!</v>
      </c>
      <c r="DF66" s="1592" t="e">
        <f aca="false">IF(BQ66,CM66+IF(OVolSmile,VLOOKUP(MAX(-5,CS66+DA66-BZ66),IF(OVolSmile=1,VolSmileBook,VolSmileModel),2),0),"")</f>
        <v>#VALUE!</v>
      </c>
      <c r="DG66" s="1593" t="e">
        <f aca="false">IF(BS66,CN66+IF(OVolSmile,VLOOKUP(MAX(-5,CT66+DA66-CF66),IF(OVolSmile=1,VolSmileBook,VolSmileModel),2),0),"")</f>
        <v>#VALUE!</v>
      </c>
      <c r="DH66" s="1316" t="e">
        <f aca="false">IF(AND(BU66&gt;0,CO66&gt;0,DB66&gt;0,CU66&gt;0),newSPRDOPT(BU66,CO66,CW66,0,DB66,CU66,CV66,BT66*365.25,OCallPut,0),0)</f>
        <v>#VALUE!</v>
      </c>
      <c r="DI66" s="1316" t="e">
        <f aca="false">IF(AND(BV66&gt;0,CP66&gt;0,DC66&gt;0,CU66&gt;0),newSPRDOPT(BV66,CP66,CX66,0,DC66,CU66,CV66,BT66*365.25,OCallPut,0),0)</f>
        <v>#VALUE!</v>
      </c>
      <c r="DJ66" s="1316" t="e">
        <f aca="false">IF(AND(BW66&gt;0,CQ66&gt;0,DD66&gt;0,CU66&gt;0),newSPRDOPT(BW66,CQ66,CY66,0,DD66,CU66,CV66,BT66*365.25,OCallPut,0),0)</f>
        <v>#VALUE!</v>
      </c>
      <c r="DK66" s="1316" t="e">
        <f aca="false">IF(AND(BX66&gt;0,CR66&gt;0,DE66&gt;0,CU66&gt;0),newSPRDOPT(BX66,CR66,CZ66,0,DE66,CU66,CV66,BT66*365.25,OCallPut,0),0)</f>
        <v>#VALUE!</v>
      </c>
      <c r="DL66" s="1316" t="e">
        <f aca="false">IF(OVolType,IF(AND(BZ66&gt;0,CS66&gt;0,DF66&gt;0,CU66&gt;0),newSPRDOPT(BZ66,CS66,DA66,0,DF66,CU66,CV66,BT66*365.25,OCallPut,0),0),IF(BQ66,(DH66*AZ66+DI66*BA66+DJ66*BB66+DK66*BC66)/BQ66,0))</f>
        <v>#VALUE!</v>
      </c>
      <c r="DM66" s="1316"/>
      <c r="DN66" s="1316"/>
      <c r="DO66" s="1316"/>
      <c r="DP66" s="1316"/>
      <c r="DQ66" s="1316"/>
      <c r="DR66" s="1316"/>
      <c r="DS66" s="1316"/>
      <c r="DT66" s="1316"/>
      <c r="DU66" s="1316"/>
      <c r="DV66" s="1316"/>
      <c r="DW66" s="1594" t="e">
        <f aca="false">IF(AND(BW66&gt;0,CT66&gt;0,DD66&gt;0,CU66&gt;0),newSPRDOPT(BW66,CT66,CY66,0,DD66,CU66,CV66,BT66*365.25,OCallPut,0),0)</f>
        <v>#VALUE!</v>
      </c>
      <c r="DX66" s="1316" t="e">
        <f aca="false">IF(AND(BX66&gt;0,CT66&gt;0,DE66&gt;0,CU66&gt;0),newSPRDOPT(BX66,CT66,CZ66,0,DE66,CU66,CV66,BT66*365.25,OCallPut,0),0)</f>
        <v>#VALUE!</v>
      </c>
      <c r="DY66" s="1591" t="e">
        <f aca="false">IF(BS66,(DH66*BH66+DI66*BI66+DW66*BJ66+DX66*BK66)/BS66,0)</f>
        <v>#VALUE!</v>
      </c>
      <c r="DZ66" s="1551" t="e">
        <f aca="false">DH66*AZ66</f>
        <v>#VALUE!</v>
      </c>
      <c r="EA66" s="1551" t="e">
        <f aca="false">DI66*BA66</f>
        <v>#VALUE!</v>
      </c>
      <c r="EB66" s="1551" t="e">
        <f aca="false">DJ66*BB66</f>
        <v>#VALUE!</v>
      </c>
      <c r="EC66" s="1551" t="e">
        <f aca="false">DK66*BC66</f>
        <v>#VALUE!</v>
      </c>
      <c r="ED66" s="1551" t="e">
        <f aca="false">DL66*BQ66</f>
        <v>#VALUE!</v>
      </c>
      <c r="EE66" s="1595" t="e">
        <f aca="false">IF(BQ66,IF(OCallPut,IF(BU66&gt;(CO66+CW66),BU66-(CO66+CW66),0),IF((CO66+CW66)&gt;BU66,(CO66+CW66)-BU66,0))*AZ66,0)</f>
        <v>#VALUE!</v>
      </c>
      <c r="EF66" s="1596" t="e">
        <f aca="false">IF(BQ66,IF(OCallPut,IF(BV66&gt;(CP66+CX66),BV66-(CP66+CX66),0),IF((CP66+CX66)&gt;BV66,(CP66+CX66)-BV66,0))*BA66,0)</f>
        <v>#VALUE!</v>
      </c>
      <c r="EG66" s="1596" t="e">
        <f aca="false">IF(BQ66,IF(OCallPut,IF(BW66&gt;(CQ66+CY66),BW66-(CQ66+CY66),0),IF((CQ66+CY66)&gt;BW66,(CQ66+CY66)-BW66,0))*BB66,0)</f>
        <v>#VALUE!</v>
      </c>
      <c r="EH66" s="1596" t="e">
        <f aca="false">IF(BQ66,IF(OCallPut,IF(BX66&gt;(CR66+CZ66),BX66-(CR66+CZ66),0),IF((CR66+CZ66)&gt;BX66,(CR66+CZ66)-BX66,0))*BC66,0)</f>
        <v>#VALUE!</v>
      </c>
      <c r="EI66" s="1597" t="e">
        <f aca="false">IF(BQ66,IF(OVolType,IF(OCallPut,IF(BZ66&gt;(CS66+DA66),BZ66-(CS66+DA66),0),IF((CS66+DA66)&gt;BZ66,(CS66+DA66)-BZ66,0))*BQ66,SUM(EE66:EH66)),0)</f>
        <v>#VALUE!</v>
      </c>
      <c r="EJ66" s="1595" t="e">
        <f aca="false">DZ66-EE66</f>
        <v>#VALUE!</v>
      </c>
      <c r="EK66" s="1596" t="e">
        <f aca="false">EA66-EF66</f>
        <v>#VALUE!</v>
      </c>
      <c r="EL66" s="1596" t="e">
        <f aca="false">EB66-EG66</f>
        <v>#VALUE!</v>
      </c>
      <c r="EM66" s="1596" t="e">
        <f aca="false">EC66-EH66</f>
        <v>#VALUE!</v>
      </c>
      <c r="EN66" s="1597" t="e">
        <f aca="false">ED66-EI66</f>
        <v>#VALUE!</v>
      </c>
      <c r="EO66" s="1551" t="e">
        <f aca="false">DH66*BH66</f>
        <v>#VALUE!</v>
      </c>
      <c r="EP66" s="1551" t="e">
        <f aca="false">DI66*BI66</f>
        <v>#VALUE!</v>
      </c>
      <c r="EQ66" s="1551" t="e">
        <f aca="false">DW66*BJ66</f>
        <v>#VALUE!</v>
      </c>
      <c r="ER66" s="1551" t="e">
        <f aca="false">DX66*BK66</f>
        <v>#VALUE!</v>
      </c>
      <c r="ES66" s="1551" t="e">
        <f aca="false">DY66*BS66</f>
        <v>#VALUE!</v>
      </c>
      <c r="ET66" s="1566" t="e">
        <f aca="false">IF(EI66,IF(OCallPut,IF(CA66&gt;(CT66+CW66),CA66-(CT66+CW66),0),IF((CT66+CW66)&gt;CA66,(CT66+CW66)-CA66,0))*BH66,0)</f>
        <v>#VALUE!</v>
      </c>
      <c r="EU66" s="1551" t="e">
        <f aca="false">IF(EI66,IF(OCallPut,IF(CB66&gt;(CT66+CX66),CB66-(CT66+CX66),0),IF((CT66+CX66)&gt;CB66,(CT66+CX66)-CB66,0))*BI66,0)</f>
        <v>#VALUE!</v>
      </c>
      <c r="EV66" s="1551" t="e">
        <f aca="false">IF(EI66,IF(OCallPut,IF(CC66&gt;(CT66+CY66),CC66-(CT66+CY66),0),IF((CT66+CY66)&gt;CC66,(CT66+CY66)-CC66,0))*BJ66,0)</f>
        <v>#VALUE!</v>
      </c>
      <c r="EW66" s="1551" t="e">
        <f aca="false">IF(EI66,IF(OCallPut,IF(CD66&gt;(CT66+CZ66),CD66-(CT66+CZ66),0),IF((CT66+CZ66)&gt;CD66,(CT66+CZ66)-CD66,0))*BK66,0)</f>
        <v>#VALUE!</v>
      </c>
      <c r="EX66" s="1558" t="e">
        <f aca="false">IF(EI66,SUM(ET66:EW66),0)</f>
        <v>#VALUE!</v>
      </c>
      <c r="EY66" s="1551" t="e">
        <f aca="false">EO66-ET66</f>
        <v>#VALUE!</v>
      </c>
      <c r="EZ66" s="1551" t="e">
        <f aca="false">EP66-EU66</f>
        <v>#VALUE!</v>
      </c>
      <c r="FA66" s="1551" t="e">
        <f aca="false">EQ66-EV66</f>
        <v>#VALUE!</v>
      </c>
      <c r="FB66" s="1551" t="e">
        <f aca="false">ER66-EW66</f>
        <v>#VALUE!</v>
      </c>
      <c r="FC66" s="1551" t="e">
        <f aca="false">ES66-EX66</f>
        <v>#VALUE!</v>
      </c>
      <c r="FD66" s="1525" t="n">
        <f aca="false">IF(AX66,IF(VLOOKUP(C66,MAIN!$L$17:$M$28,2)="Yes",VLOOKUP(CALC!B66,MAIN!$H$17:$I$20,2),0),0)</f>
        <v>0</v>
      </c>
      <c r="FE66" s="1552" t="e">
        <f aca="false">$FD66*16*AT66*(1-$AY66)</f>
        <v>#VALUE!</v>
      </c>
      <c r="FF66" s="1553" t="e">
        <f aca="false">$FD66*16*AU66*(1-$AY66)</f>
        <v>#VALUE!</v>
      </c>
      <c r="FG66" s="1553" t="e">
        <f aca="false">$FD66*16*(AV66+AW66)*(1-$AY66)</f>
        <v>#VALUE!</v>
      </c>
      <c r="FH66" s="1554" t="n">
        <f aca="false">$FD66*8*AX66*(1-$AY66)</f>
        <v>0</v>
      </c>
      <c r="FI66" s="1555" t="n">
        <f aca="false">IF(AX66,VLOOKUP(CALC!B66,MAIN!$H$17:$K$20,4),0)</f>
        <v>0</v>
      </c>
      <c r="FJ66" s="1553" t="e">
        <f aca="false">SUM(FE66:FH66)</f>
        <v>#VALUE!</v>
      </c>
      <c r="FK66" s="1556" t="e">
        <f aca="false">FI66*FJ66</f>
        <v>#VALUE!</v>
      </c>
      <c r="FL66" s="1551" t="e">
        <f aca="false">IF($EI66&gt;0,MIN(FE66,AZ66*(1+VLOOKUP($C66,WeatherCapacityAdjustment,2))),0)</f>
        <v>#VALUE!</v>
      </c>
      <c r="FM66" s="1551" t="e">
        <f aca="false">IF($EI66&gt;0,MIN(FF66,BA66*(1+VLOOKUP($C66,WeatherCapacityAdjustment,2))),0)</f>
        <v>#VALUE!</v>
      </c>
      <c r="FN66" s="1551" t="e">
        <f aca="false">IF($EI66&gt;0,MIN(FG66,BB66*(1+VLOOKUP($C66,WeatherCapacityAdjustment,2))),0)</f>
        <v>#VALUE!</v>
      </c>
      <c r="FO66" s="1564" t="e">
        <f aca="false">IF($EI66&gt;0,MIN(FH66,BC66*(1+VLOOKUP($C66,WeatherCapacityAdjustment,3))),0)</f>
        <v>#VALUE!</v>
      </c>
      <c r="FP66" s="1551" t="e">
        <f aca="false">IF(ET66&gt;0,MIN(FE66-FL66,BH66*(1+VLOOKUP($C66,WeatherCapacityAdjustment,2))),0)</f>
        <v>#VALUE!</v>
      </c>
      <c r="FQ66" s="1551" t="e">
        <f aca="false">IF(EU66&gt;0,MIN(FF66-FM66,BI66*(1+VLOOKUP($C66,WeatherCapacityAdjustment,2))),0)</f>
        <v>#VALUE!</v>
      </c>
      <c r="FR66" s="1551" t="e">
        <f aca="false">IF(EV66&gt;0,MIN(FG66-FN66,BJ66*(1+VLOOKUP($C66,WeatherCapacityAdjustment,2))),0)</f>
        <v>#VALUE!</v>
      </c>
      <c r="FS66" s="1558" t="e">
        <f aca="false">IF(EW66&gt;0,MIN(FH66-FO66,BK66*(1+VLOOKUP($C66,WeatherCapacityAdjustment,3))),0)</f>
        <v>#VALUE!</v>
      </c>
      <c r="FT66" s="1566" t="e">
        <f aca="false">IF(AND(Assumptions!$H$71="Yes",A66&gt;=Assumptions!$H$72,A66&lt;=Assumptions!$H$73),0,IF(AND($A66&gt;=Assumptions!$C$17,$A66&lt;=Assumptions!$C$18),MAX(AZ66*(1+VLOOKUP($C66,WeatherCapacityAdjustment,2))-FL66,0),0))</f>
        <v>#VALUE!</v>
      </c>
      <c r="FU66" s="1551" t="e">
        <f aca="false">IF(AND(Assumptions!$H$71="Yes",A66&gt;=Assumptions!$H$72,A66&lt;=Assumptions!$H$73),0,IF(AND($A66&gt;=Assumptions!$C$17,$A66&lt;=Assumptions!$C$18),MAX(BA66*(1+VLOOKUP($C66,WeatherCapacityAdjustment,2))-FM66,0),0))</f>
        <v>#VALUE!</v>
      </c>
      <c r="FV66" s="1551" t="e">
        <f aca="false">IF(AND(Assumptions!$H$71="Yes",A66&gt;=Assumptions!$H$72,A66&lt;=Assumptions!$H$73),0,IF(AND($A66&gt;=Assumptions!$C$17,$A66&lt;=Assumptions!$C$18),MAX(BB66*(1+VLOOKUP($C66,WeatherCapacityAdjustment,2))-FN66,0),0))</f>
        <v>#VALUE!</v>
      </c>
      <c r="FW66" s="1564" t="e">
        <f aca="false">IF(AND(Assumptions!$H$71="Yes",A66&gt;=Assumptions!$H$72,A66&lt;=Assumptions!$H$73),0,IF(AND($A66&gt;=Assumptions!$C$17,$A66&lt;=Assumptions!$C$18),MAX(BC66*(1+VLOOKUP($C66,WeatherCapacityAdjustment,3))-FO66,0),0))</f>
        <v>#VALUE!</v>
      </c>
      <c r="FX66" s="1569" t="e">
        <f aca="false">IF(AND(Assumptions!$H$71="Yes",A66&gt;=Assumptions!$H$72,A66&lt;=Assumptions!$H$73),0,IF(ET66&gt;0,MAX(BH66*(1+VLOOKUP($C66,WeatherCapacityAdjustment,2))-FP66,0),0))</f>
        <v>#VALUE!</v>
      </c>
      <c r="FY66" s="1551" t="e">
        <f aca="false">IF(AND(Assumptions!$H$71="Yes",A66&gt;=Assumptions!$H$72,A66&lt;=Assumptions!$H$73),0,IF(EU66&gt;0,MAX(BI66*(1+VLOOKUP($C66,WeatherCapacityAdjustment,3))-FQ66,0),0))</f>
        <v>#VALUE!</v>
      </c>
      <c r="FZ66" s="1551" t="e">
        <f aca="false">IF(AND(Assumptions!$H$71="Yes",A66&gt;=Assumptions!$H$72,A66&lt;=Assumptions!$H$73),0,IF(EV66&gt;0,MAX(BJ66*(1+VLOOKUP($C66,WeatherCapacityAdjustment,2))-FR66,0),0))</f>
        <v>#VALUE!</v>
      </c>
      <c r="GA66" s="1564" t="e">
        <f aca="false">IF(AND(Assumptions!$H$71="Yes",A66&gt;=Assumptions!$H$72,A66&lt;=Assumptions!$H$73),0,IF(EW66&gt;0,MAX(BK66*(1+VLOOKUP($C66,WeatherCapacityAdjustment,2))-FS66,0),0))</f>
        <v>#VALUE!</v>
      </c>
      <c r="GB66" s="1551" t="e">
        <f aca="false">SUM(FT66:GA66)</f>
        <v>#VALUE!</v>
      </c>
      <c r="GC66" s="1563" t="e">
        <f aca="false">+IF(SUM(FT66:GA66)=0,0,(SUMPRODUCT(BU66:BX66,FT66:FW66)+SUMPRODUCT(CA66:CD66,FX66:GA66))/SUM(FT66:GA66))</f>
        <v>#VALUE!</v>
      </c>
      <c r="GD66" s="1551" t="e">
        <f aca="false">(FT66*BU66+FX66*CA66+FU66*BV66+FY66*CB66+FV66*BW66+FZ66*CC66+FW66*BX66+GA66*CD66)</f>
        <v>#VALUE!</v>
      </c>
      <c r="GE66" s="1561" t="e">
        <f aca="false">+IF(BQ66,((FL66+FM66+FT66+FU66)*HeatRatePeak/1000*(1+VLOOKUP($C66,WeatherHeatRateAdjustment,2))+(FN66+FV66)*IF(EV66&gt;0,HeatRatePeak,HeatRateOffPeak)/1000*(1+VLOOKUP($C66,WeatherHeatRateAdjustment,2))+(FO66+FW66)*IF(EW66&gt;0,HeatRatePeak,HeatRateOffPeak)/1000*(1+VLOOKUP($C66,WeatherHeatRateAdjustment,3)))*(1+VLOOKUP($B66,HeatRateDegradation,$C66+1)),0)</f>
        <v>#VALUE!</v>
      </c>
      <c r="GF66" s="1562" t="e">
        <f aca="false">IF(BQ66,((FP66+FQ66+FR66+FX66+FY66+FZ66)*HeatRatePeak/1000*(1+VLOOKUP($C66,WeatherHeatRateAdjustment,2))+(FS66+GA66)*HeatRatePeak/1000*(1+VLOOKUP($C66,WeatherHeatRateAdjustment,3)))*(1+VLOOKUP($B66,HeatRateDegradation,$C66+1)),0)</f>
        <v>#VALUE!</v>
      </c>
      <c r="GG66" s="1563" t="e">
        <f aca="false">IF(BQ66,VLOOKUP(A66,GasTable,13),0)</f>
        <v>#VALUE!</v>
      </c>
      <c r="GH66" s="1564" t="e">
        <f aca="false">(GE66+GF66)*GG66</f>
        <v>#VALUE!</v>
      </c>
      <c r="GI66" s="1569" t="e">
        <f aca="false">GB66</f>
        <v>#VALUE!</v>
      </c>
      <c r="GJ66" s="1598" t="e">
        <f aca="false">+DA66</f>
        <v>#VALUE!</v>
      </c>
      <c r="GK66" s="1558" t="e">
        <f aca="false">+GI66*GJ66</f>
        <v>#VALUE!</v>
      </c>
      <c r="GL66" s="1566" t="e">
        <f aca="false">MAX(FE66-FL66-FP66,0)</f>
        <v>#VALUE!</v>
      </c>
      <c r="GM66" s="1551" t="e">
        <f aca="false">MAX(FF66-FM66-FQ66,0)</f>
        <v>#VALUE!</v>
      </c>
      <c r="GN66" s="1551" t="e">
        <f aca="false">MAX(FG66-FN66-FR66,0)</f>
        <v>#VALUE!</v>
      </c>
      <c r="GO66" s="1564" t="e">
        <f aca="false">MAX(FH66-FO66-FS66,0)</f>
        <v>#VALUE!</v>
      </c>
      <c r="GP66" s="1551" t="e">
        <f aca="false">SUM(GL66:GO66)</f>
        <v>#VALUE!</v>
      </c>
      <c r="GQ66" s="1563" t="e">
        <f aca="false">IF(SUM(GL66:GO66)=0,0,((GL66*BU66+GM66*BV66+GN66*BW66+GO66*BX66)/SUM(GL66:GO66)))</f>
        <v>#VALUE!</v>
      </c>
      <c r="GR66" s="1558" t="e">
        <f aca="false">(GL66*BU66+GM66*BV66+GN66*BW66+GO66*BX66)</f>
        <v>#VALUE!</v>
      </c>
      <c r="GS66" s="1566" t="n">
        <f aca="false">IF($A66&gt;=BegDate,Assumptions!$C$56*24*($A67-$A66)*(1-VLOOKUP($B66,MAIN!$AA$7:$AM$28,$C66+1))*(1-VLOOKUP($B66,MAIN!$AA$33:$AM$54,$C66+1)),0)*80/168</f>
        <v>249428.571428571</v>
      </c>
      <c r="GT66" s="286" t="n">
        <f aca="false">J66</f>
        <v>30.358000602576</v>
      </c>
      <c r="GU66" s="286" t="n">
        <f aca="false">IF($A66&gt;=BegDate,VLOOKUP($A66,GasTable,13)+Assumptions!$C$58,0)</f>
        <v>2.325082912632</v>
      </c>
      <c r="GV66" s="286" t="n">
        <f aca="false">GU66*Assumptions!$C$57/1000</f>
        <v>16.856851116582</v>
      </c>
      <c r="GW66" s="1558" t="n">
        <f aca="false">IF(Assumptions!$C$60="Hourly",MAX(0,GS66*(GT66-GV66)),GS66*(GT66-GV66))</f>
        <v>3367572.42893508</v>
      </c>
      <c r="GX66" s="1566" t="n">
        <f aca="false">IF($A66&gt;=BegDate,Assumptions!$C$56*24*($A67-$A66)*(1-VLOOKUP($B66,MAIN!$AA$7:$AM$28,$C66+1))*(1-VLOOKUP($B66,MAIN!$AA$33:$AM$54,$C66+1)),0)*16/168</f>
        <v>49885.7142857143</v>
      </c>
      <c r="GY66" s="286" t="n">
        <f aca="false">M66</f>
        <v>30.358000602576</v>
      </c>
      <c r="GZ66" s="286" t="n">
        <f aca="false">IF($A66&gt;=BegDate,VLOOKUP($A66,GasTable,13)+Assumptions!$C$58,0)</f>
        <v>2.325082912632</v>
      </c>
      <c r="HA66" s="286" t="n">
        <f aca="false">GZ66*Assumptions!$C$57/1000</f>
        <v>16.856851116582</v>
      </c>
      <c r="HB66" s="1558" t="n">
        <f aca="false">IF(Assumptions!$C$60="Hourly",MAX(0,GX66*(GY66-HA66)),GX66*(GY66-HA66))</f>
        <v>673514.485787017</v>
      </c>
      <c r="HC66" s="1566" t="n">
        <f aca="false">IF($A66&gt;=BegDate,Assumptions!$C$56*24*($A67-$A66)*(1-VLOOKUP($B66,MAIN!$AA$7:$AM$28,$C66+1))*(1-VLOOKUP($B66,MAIN!$AA$33:$AM$54,$C66+1)),0)*16/168</f>
        <v>49885.7142857143</v>
      </c>
      <c r="HD66" s="286" t="n">
        <f aca="false">P66</f>
        <v>16.81937211816</v>
      </c>
      <c r="HE66" s="286" t="n">
        <f aca="false">IF($A66&gt;=BegDate,VLOOKUP($A66,GasTable,13)+Assumptions!$C$58,0)</f>
        <v>2.325082912632</v>
      </c>
      <c r="HF66" s="286" t="n">
        <f aca="false">HE66*Assumptions!$C$57/1000</f>
        <v>16.856851116582</v>
      </c>
      <c r="HG66" s="1558" t="n">
        <f aca="false">IF(Assumptions!$C$60="Hourly",MAX(0,HC66*(HD66-HF66)),HC66*(HD66-HF66))</f>
        <v>0</v>
      </c>
      <c r="HH66" s="1566" t="n">
        <f aca="false">IF($A66&gt;=BegDate,Assumptions!$C$56*24*($A67-$A66)*(1-VLOOKUP($B66,MAIN!$AA$7:$AM$28,$C66+1))*(1-VLOOKUP($B66,MAIN!$AA$33:$AM$54,$C66+1)),0)*56/168</f>
        <v>174600</v>
      </c>
      <c r="HI66" s="286" t="n">
        <f aca="false">S66</f>
        <v>16.81937211816</v>
      </c>
      <c r="HJ66" s="286" t="n">
        <f aca="false">IF($A66&gt;=BegDate,VLOOKUP($A66,GasTable,13)+Assumptions!$C$58,0)</f>
        <v>2.325082912632</v>
      </c>
      <c r="HK66" s="286" t="n">
        <f aca="false">HJ66*Assumptions!$C$57/1000</f>
        <v>16.856851116582</v>
      </c>
      <c r="HL66" s="1558" t="n">
        <f aca="false">IF(Assumptions!$C$60="Hourly",MAX(0,HH66*(HI66-HK66)),HH66*(HI66-HK66))</f>
        <v>0</v>
      </c>
      <c r="HM66" s="1566" t="n">
        <f aca="false">IF(AND(Assumptions!$H$71="Yes",A66&gt;=Assumptions!$H$72,A66&lt;=Assumptions!$H$73),Assumptions!$H$74*Assumptions!$C$9*1000,0)</f>
        <v>0</v>
      </c>
      <c r="HN66" s="1551" t="e">
        <f aca="false">GD66-GH66</f>
        <v>#VALUE!</v>
      </c>
      <c r="HO66" s="1563"/>
      <c r="HP66" s="1563"/>
      <c r="HQ66" s="1563"/>
      <c r="HR66" s="1563"/>
      <c r="HS66" s="1563"/>
      <c r="HT66" s="1563"/>
      <c r="HU66" s="1563"/>
      <c r="HV66" s="1563"/>
      <c r="HW66" s="1563"/>
      <c r="HX66" s="1563"/>
      <c r="HY66" s="1563"/>
      <c r="HZ66" s="1563"/>
      <c r="IA66" s="1563"/>
      <c r="IB66" s="1563"/>
      <c r="IC66" s="1563"/>
      <c r="ID66" s="1563"/>
      <c r="IE66" s="1563"/>
      <c r="IF66" s="1563"/>
      <c r="IG66" s="1563"/>
      <c r="IH66" s="1563"/>
      <c r="II66" s="1610"/>
      <c r="IJ66" s="1309"/>
      <c r="IK66" s="1309"/>
    </row>
    <row r="67" customFormat="false" ht="12.75" hidden="false" customHeight="false" outlineLevel="0" collapsed="false">
      <c r="A67" s="1571" t="n">
        <f aca="false">EOMONTH(A66,0)+1</f>
        <v>38169</v>
      </c>
      <c r="B67" s="594" t="n">
        <f aca="false">+YEAR(A67)</f>
        <v>2004</v>
      </c>
      <c r="C67" s="238" t="n">
        <f aca="false">MONTH(A67)</f>
        <v>7</v>
      </c>
      <c r="D67" s="1572" t="e">
        <f aca="false">IF(E67="","",Holiday(B67,C67))</f>
        <v>#VALUE!</v>
      </c>
      <c r="E67" s="1573" t="n">
        <f aca="false">IF(OR(BegDate&gt;=A68,EndDate&lt;A67,AND(VolumeMonthlyOverFlag,INDEX(VolumeMonthlyOver,C67)=0),NOT(INDEX(MonthKnockOutTable,C67))),"",MAX(A67,BegDate))</f>
        <v>38169</v>
      </c>
      <c r="F67" s="1574" t="n">
        <f aca="false">IF(E67="","",MIN(A68-1,EndDate))</f>
        <v>38199</v>
      </c>
      <c r="G67" s="1575" t="n">
        <v>0</v>
      </c>
      <c r="H67" s="1576" t="n">
        <f aca="false">(1+G67/2)^(-2*(DATE(B68,C68,20)-DateToday)/365.25)</f>
        <v>1</v>
      </c>
      <c r="I67" s="1568" t="n">
        <f aca="false">IF(Assumptions!$L$25=4,VLOOKUP($A67,'Henwood Reference'!$E$9:$R$320,10),(VLOOKUP($A67,PriceTable,2,0)+IF(BasisNumber&lt;&gt;1,VLOOKUP($A67,BasisTable,2,0),0)+I$1)/(1-I$2))</f>
        <v>50.004685522656</v>
      </c>
      <c r="J67" s="1568" t="n">
        <f aca="false">IF(Assumptions!$L$25=4,VLOOKUP($A67,'Henwood Reference'!$E$9:$R$320,10),(VLOOKUP($A67,PriceTable,3,0)+IF(BasisNumber&lt;&gt;1,VLOOKUP($A67,BasisTable,2,0),0)+J$1)/(1-J$2))</f>
        <v>50.004685522656</v>
      </c>
      <c r="K67" s="1568" t="n">
        <f aca="false">IF(Assumptions!$L$25=4,VLOOKUP($A67,'Henwood Reference'!$E$9:$R$320,10),(VLOOKUP($A67,PriceTable,4,0)+IF(BasisNumber&lt;&gt;1,VLOOKUP($A67,BasisTable,2,0),0)+K$1)/(1-K$2))</f>
        <v>50.004685522656</v>
      </c>
      <c r="L67" s="1523" t="n">
        <f aca="false">IF(Assumptions!$L$25=4,VLOOKUP($A67,'Henwood Reference'!$E$9:$R$320,10),(VLOOKUP($A67,PriceTableWeekend,2,0)+IF(BasisNumber&lt;&gt;1,VLOOKUP($A67,BasisTable,2,0),0)+L$1)/(1-L$2))</f>
        <v>50.004685522656</v>
      </c>
      <c r="M67" s="1568" t="n">
        <f aca="false">IF(Assumptions!$L$25=4,VLOOKUP($A67,'Henwood Reference'!$E$9:$R$320,10),(VLOOKUP($A67,PriceTableWeekend,3,0)+IF(BasisNumber&lt;&gt;1,VLOOKUP($A67,BasisTable,2,0),0)+M$1)/(1-M$2))</f>
        <v>50.004685522656</v>
      </c>
      <c r="N67" s="1599" t="n">
        <f aca="false">IF(Assumptions!$L$25=4,VLOOKUP($A67,'Henwood Reference'!$E$9:$R$320,10),(VLOOKUP($A67,PriceTableWeekend,4,0)+IF(BasisNumber&lt;&gt;1,VLOOKUP($A67,BasisTable,2,0),0)+N$1)/(1-N$2))</f>
        <v>50.004685522656</v>
      </c>
      <c r="O67" s="1568" t="n">
        <f aca="false">IF(Assumptions!$L$25=4,VLOOKUP($A67,'Henwood Reference'!$E$9:$R$320,11),(VLOOKUP($A67,PriceTableWeekend,6,0)+IF(BasisNumber&lt;&gt;1,VLOOKUP($A67,BasisTable,3,0),0)+O$1)/(1-O$2))</f>
        <v>22.400608821552</v>
      </c>
      <c r="P67" s="1568" t="n">
        <f aca="false">IF(Assumptions!$L$25=4,VLOOKUP($A67,'Henwood Reference'!$E$9:$R$320,11),(VLOOKUP($A67,PriceTableWeekend,7,0)+IF(BasisNumber&lt;&gt;1,VLOOKUP($A67,BasisTable,3,0),0)+P$1)/(1-P$2))</f>
        <v>22.400608821552</v>
      </c>
      <c r="Q67" s="1599" t="n">
        <f aca="false">IF(Assumptions!$L$25=4,VLOOKUP($A67,'Henwood Reference'!$E$9:$R$320,11),(VLOOKUP($A67,PriceTableWeekend,8,0)+IF(BasisNumber&lt;&gt;1,VLOOKUP($A67,BasisTable,3,0),0)+Q$1)/(1-Q$2))</f>
        <v>22.400608821552</v>
      </c>
      <c r="R67" s="1568" t="n">
        <f aca="false">IF(Assumptions!$L$25=4,VLOOKUP($A67,'Henwood Reference'!$E$9:$R$320,11),(VLOOKUP($A67,PriceTable,6,0)+IF(BasisNumber&lt;&gt;1,VLOOKUP($A67,BasisTable,3,0),0)+R$1)/(1-R$2))</f>
        <v>22.400608821552</v>
      </c>
      <c r="S67" s="1568" t="n">
        <f aca="false">IF(Assumptions!$L$25=4,VLOOKUP($A67,'Henwood Reference'!$E$9:$R$320,11),(VLOOKUP($A67,PriceTable,7,0)+IF(BasisNumber&lt;&gt;1,VLOOKUP($A67,BasisTable,3,0),0)+S$1)/(1-S$2))</f>
        <v>22.400608821552</v>
      </c>
      <c r="T67" s="1600" t="n">
        <f aca="false">IF(Assumptions!$L$25=4,VLOOKUP($A67,'Henwood Reference'!$E$9:$R$320,11),(VLOOKUP($A67,PriceTable,8,0)+IF(BasisNumber&lt;&gt;1,VLOOKUP($A67,BasisTable,3,0),0)+T$1)/(1-T$2))</f>
        <v>22.400608821552</v>
      </c>
      <c r="U67" s="1513" t="n">
        <f aca="false">VLOOKUP($A67,VolatilityTable,14)</f>
        <v>0.15</v>
      </c>
      <c r="V67" s="1513" t="n">
        <f aca="false">VLOOKUP($A67,VolatilityTable,15)</f>
        <v>0.16</v>
      </c>
      <c r="W67" s="1514" t="n">
        <f aca="false">VLOOKUP($A67,VolatilityTable,16)</f>
        <v>0.17</v>
      </c>
      <c r="X67" s="1513" t="n">
        <f aca="false">VLOOKUP($A67,VolatilityTable,14)</f>
        <v>0.15</v>
      </c>
      <c r="Y67" s="1513" t="n">
        <f aca="false">VLOOKUP($A67,VolatilityTable,15)</f>
        <v>0.16</v>
      </c>
      <c r="Z67" s="1514" t="n">
        <f aca="false">VLOOKUP($A67,VolatilityTable,16)</f>
        <v>0.17</v>
      </c>
      <c r="AA67" s="1513" t="n">
        <f aca="false">VLOOKUP($A67,VolatilityTable,18)</f>
        <v>0.09</v>
      </c>
      <c r="AB67" s="1513" t="n">
        <f aca="false">VLOOKUP($A67,VolatilityTable,19)</f>
        <v>0.11</v>
      </c>
      <c r="AC67" s="1514" t="n">
        <f aca="false">VLOOKUP($A67,VolatilityTable,20)</f>
        <v>0.13</v>
      </c>
      <c r="AD67" s="1513" t="n">
        <f aca="false">VLOOKUP($A67,VolatilityTable,18)</f>
        <v>0.09</v>
      </c>
      <c r="AE67" s="1513" t="n">
        <f aca="false">VLOOKUP($A67,VolatilityTable,19)</f>
        <v>0.11</v>
      </c>
      <c r="AF67" s="1514" t="n">
        <f aca="false">VLOOKUP($A67,VolatilityTable,20)</f>
        <v>0.13</v>
      </c>
      <c r="AG67" s="1513" t="n">
        <f aca="false">VLOOKUP($A67,VolatilityTable,22)</f>
        <v>-0.35</v>
      </c>
      <c r="AH67" s="1513" t="n">
        <f aca="false">VLOOKUP($A67,VolatilityTable,23)</f>
        <v>3</v>
      </c>
      <c r="AI67" s="1514" t="n">
        <f aca="false">VLOOKUP($A67,VolatilityTable,24)</f>
        <v>0.35</v>
      </c>
      <c r="AJ67" s="1513" t="n">
        <f aca="false">VLOOKUP($A67,VolatilityTable,22)</f>
        <v>-0.35</v>
      </c>
      <c r="AK67" s="1513" t="n">
        <f aca="false">VLOOKUP($A67,VolatilityTable,23)</f>
        <v>3</v>
      </c>
      <c r="AL67" s="1514" t="n">
        <f aca="false">VLOOKUP($A67,VolatilityTable,24)</f>
        <v>0.35</v>
      </c>
      <c r="AM67" s="1513" t="n">
        <f aca="false">VLOOKUP($A67,VolatilityTable,26)</f>
        <v>-0.01</v>
      </c>
      <c r="AN67" s="1513" t="n">
        <f aca="false">VLOOKUP($A67,VolatilityTable,27)</f>
        <v>0.16</v>
      </c>
      <c r="AO67" s="1514" t="n">
        <f aca="false">VLOOKUP($A67,VolatilityTable,28)</f>
        <v>0.01</v>
      </c>
      <c r="AP67" s="1513" t="n">
        <f aca="false">VLOOKUP($A67,VolatilityTable,26)</f>
        <v>-0.01</v>
      </c>
      <c r="AQ67" s="1513" t="n">
        <f aca="false">VLOOKUP($A67,VolatilityTable,27)</f>
        <v>0.16</v>
      </c>
      <c r="AR67" s="1515" t="n">
        <f aca="false">VLOOKUP($A67,VolatilityTable,28)</f>
        <v>0.01</v>
      </c>
      <c r="AS67" s="1581" t="n">
        <f aca="false">IF(CorrPeakOffPeakOverFlag,INDEX(CorrPeakOffPeakOver,C67),CorrPeakOffPeak)</f>
        <v>0.5</v>
      </c>
      <c r="AT67" s="594" t="e">
        <f aca="false">AX67-SUM(AU67:AW67)</f>
        <v>#VALUE!</v>
      </c>
      <c r="AU67" s="238" t="e">
        <f aca="false">IF(E67="",0,INT((F67-MOD(F67,7)-E67)/7)+1-IF(AW67,IF(WEEKDAY(D67)=7,1,0),0))</f>
        <v>#VALUE!</v>
      </c>
      <c r="AV67" s="238" t="e">
        <f aca="false">IF(E67="",0,INT((F67-MOD(F67-1,7)-E67)/7)+1-IF(AW67,IF(WEEKDAY(D67)=1,1,0),0))</f>
        <v>#VALUE!</v>
      </c>
      <c r="AW67" s="238" t="e">
        <f aca="false">IF(OR(E67="",D67="",D67&lt;BegDate,D67&gt;EndDate),0,1)</f>
        <v>#VALUE!</v>
      </c>
      <c r="AX67" s="238" t="n">
        <f aca="false">IF(E67="",0,F67-E67+1)</f>
        <v>31</v>
      </c>
      <c r="AY67" s="1582" t="n">
        <f aca="false">IF(E67="",0,MIN((1-(1-VLOOKUP(B67,MAIN!$AA$7:$AM$28,C67+1))*(1-VLOOKUP(B67,MAIN!$AA$33:$AM$54,C67+1))),1))</f>
        <v>0.03</v>
      </c>
      <c r="AZ67" s="1519" t="e">
        <v>#VALUE!</v>
      </c>
      <c r="BA67" s="1520" t="e">
        <v>#VALUE!</v>
      </c>
      <c r="BB67" s="1520" t="e">
        <v>#VALUE!</v>
      </c>
      <c r="BC67" s="1583" t="e">
        <v>#VALUE!</v>
      </c>
      <c r="BD67" s="1522" t="e">
        <v>#VALUE!</v>
      </c>
      <c r="BE67" s="1523" t="e">
        <v>#VALUE!</v>
      </c>
      <c r="BF67" s="1523" t="e">
        <v>#VALUE!</v>
      </c>
      <c r="BG67" s="1584" t="e">
        <v>#VALUE!</v>
      </c>
      <c r="BH67" s="1525" t="e">
        <v>#VALUE!</v>
      </c>
      <c r="BI67" s="1520" t="e">
        <v>#VALUE!</v>
      </c>
      <c r="BJ67" s="1520" t="e">
        <v>#VALUE!</v>
      </c>
      <c r="BK67" s="1583" t="e">
        <v>#VALUE!</v>
      </c>
      <c r="BL67" s="1522" t="e">
        <v>#VALUE!</v>
      </c>
      <c r="BM67" s="1523" t="e">
        <v>#VALUE!</v>
      </c>
      <c r="BN67" s="1523" t="e">
        <v>#VALUE!</v>
      </c>
      <c r="BO67" s="1523" t="e">
        <v>#VALUE!</v>
      </c>
      <c r="BP67" s="1525" t="e">
        <f aca="false">SUM(AZ67:BB67)</f>
        <v>#VALUE!</v>
      </c>
      <c r="BQ67" s="1529" t="e">
        <f aca="false">SUM(AZ67:BC67)</f>
        <v>#VALUE!</v>
      </c>
      <c r="BR67" s="1519" t="e">
        <f aca="false">SUM(BH67:BJ67)</f>
        <v>#VALUE!</v>
      </c>
      <c r="BS67" s="1529" t="e">
        <f aca="false">SUM(BH67:BK67)</f>
        <v>#VALUE!</v>
      </c>
      <c r="BT67" s="1316" t="n">
        <f aca="false">(IF(OVolType&lt;&gt;2,A67+14,IF(OptExpDateShift,ShiftBack(A67,OptExpDateShift,D66),A67))-DateToday)/365.25</f>
        <v>4.2135523613963</v>
      </c>
      <c r="BU67" s="1585" t="e">
        <f aca="false">IF(BQ67,IF(OPriceCurve,IF(OBuySell=OCallPut,I67/(1-AY67),K67/(1-AY67)),J67/(1-AY67))*BD67,0)</f>
        <v>#VALUE!</v>
      </c>
      <c r="BV67" s="1316" t="e">
        <f aca="false">IF(BQ67,IF(OPriceCurve,IF(OBuySell=OCallPut,L67/(1-AY67),N67/(1-AY67)),M67/(1-AY67))*BE67,0)</f>
        <v>#VALUE!</v>
      </c>
      <c r="BW67" s="1316" t="e">
        <f aca="false">IF(BQ67,IF(OPriceCurve,IF(OBuySell=OCallPut,O67/(1-AY67),Q67/(1-AY67)),P67/(1-AY67))*BF67,0)</f>
        <v>#VALUE!</v>
      </c>
      <c r="BX67" s="1316" t="e">
        <f aca="false">IF(BQ67,IF(OPriceCurve,IF(OBuySell=OCallPut,R67/(1-AY67),T67/(1-AY67)),S67/(1-AY67))*BG67,0)</f>
        <v>#VALUE!</v>
      </c>
      <c r="BY67" s="1316" t="e">
        <f aca="false">IF(BP67,(BU67*AZ67+BV67*BA67+BW67*BB67)/BP67,0)</f>
        <v>#VALUE!</v>
      </c>
      <c r="BZ67" s="1316" t="e">
        <f aca="false">IF(BQ67,(BY67*BP67+BX67*BC67)/BQ67,0)</f>
        <v>#VALUE!</v>
      </c>
      <c r="CA67" s="1531" t="e">
        <f aca="false">IF(BS67,IF(OPriceCurve,IF(OBuySell=OCallPut,I67/(1-AY67),K67/(1-AY67)),J67/(1-AY67))*BL67,0)</f>
        <v>#VALUE!</v>
      </c>
      <c r="CB67" s="1316" t="e">
        <f aca="false">IF(BS67,IF(OPriceCurve,IF(OBuySell=OCallPut,L67/(1-AY67),N67/(1-AY67)),M67/(1-AY67))*BM67,0)</f>
        <v>#VALUE!</v>
      </c>
      <c r="CC67" s="1316" t="e">
        <f aca="false">IF(BS67,IF(OPriceCurve,IF(OBuySell=OCallPut,O67/(1-AY67),Q67/(1-AY67)),P67/(1-AY67))*BN67,0)</f>
        <v>#VALUE!</v>
      </c>
      <c r="CD67" s="1316" t="e">
        <f aca="false">IF(BS67,IF(OPriceCurve,IF(OBuySell=OCallPut,R67/(1-AY67),T67/(1-AY67)),S67/(1-AY67))*BO67,0)</f>
        <v>#VALUE!</v>
      </c>
      <c r="CE67" s="1316" t="e">
        <f aca="false">IF(BR67,(BU67*BH67+BV67*BI67+BW67*BJ67)/BR67,0)</f>
        <v>#VALUE!</v>
      </c>
      <c r="CF67" s="1532" t="e">
        <f aca="false">IF(BS67,(CE67*BR67+CD67*BK67)/BS67,0)</f>
        <v>#VALUE!</v>
      </c>
      <c r="CG67" s="1586" t="e">
        <f aca="false">IF(OR(BQ67,BS67),IF(OVolType&lt;&gt;2,SQRT(IF(OVolOverMonthlyPeak,OVolOverMonthlyPeak,IF(OVolCurve,IF(OBuySell,U67,W67),V67))^2*(1-15/365.25/BT67)+IF(OVolOverDailyPeak,OVolOverDailyPeak,IF(OVolCurve,IF(OBuySell,AG67,AI67),AH67))^2*15/365.25/BT67),IF(OVolOverMonthlyPeak,OVolOverMonthlyPeak,IF(OVolCurve,IF(OBuySell,U67,W67),V67))),"")</f>
        <v>#VALUE!</v>
      </c>
      <c r="CH67" s="1587" t="e">
        <f aca="false">IF(OR(BQ67,BS67),IF(OVolType&lt;&gt;2,SQRT(IF(OVolOverMonthlyPeak,OVolOverMonthlyPeak,IF(OVolCurve,IF(OBuySell,X67,Z67),Y67))^2*(1-15/365.25/BT67)+IF(OVolOverDailyPeak,OVolOverDailyPeak,IF(OVolCurve,IF(OBuySell,AJ67,AL67),AK67))^2*15/365.25/BT67),IF(OVolOverMonthlyPeak,OVolOverMonthlyPeak,IF(OVolCurve,IF(OBuySell,X67,Z67),Y67))),"")</f>
        <v>#VALUE!</v>
      </c>
      <c r="CI67" s="1587" t="e">
        <f aca="false">IF(OR(BQ67,BS67),IF(OVolType&lt;&gt;2,SQRT(IF(OVolOverMonthlyPeak,OVolOverMonthlyPeak,IF(OVolCurve,IF(OBuySell,AA67,AC67),AB67))^2*(1-15/365.25/BT67)+IF(OVolOverDailyPeak,OVolOverDailyPeak,IF(OVolCurve,IF(OBuySell,AM67,AO67),AN67))^2*15/365.25/BT67),IF(OVolOverMonthlyPeak,OVolOverMonthlyPeak,IF(OVolCurve,IF(OBuySell,AA67,AC67),AB67))),"")</f>
        <v>#VALUE!</v>
      </c>
      <c r="CJ67" s="1587" t="e">
        <f aca="false">IF(BQ67,IF(BP67,SQRT(LN(1+((BU67*AZ67)^2*(EXP(CG67^2*BT67)-1)+(BV67*BA67)^2*(EXP(CH67^2*BT67)-1)+(BW67*BB67)^2*(EXP(CI67^2*BT67)-1)+2*BU67*AZ67*BV67*BA67*(EXP(CG67*CH67*BT67)-1)+2*BV67*BA67*BW67*BB67*(EXP(CH67*CI67*BT67)-1)+2*BW67*BB67*BU67*AZ67*(EXP(CI67*CG67*BT67)-1))/(BY67*BP67)^2)/BT67),0),"")</f>
        <v>#VALUE!</v>
      </c>
      <c r="CK67" s="1587" t="e">
        <f aca="false">IF(BS67,IF(BR67,SQRT(LN(1+((CA67*BH67)^2*(EXP(CG67^2*BT67)-1)+(CB67*BI67)^2*(EXP(CH67^2*BT67)-1)+(CC67*BJ67)^2*(EXP(CI67^2*BT67)-1)+2*CA67*BH67*CB67*BI67*(EXP(CG67*CH67*BT67)-1)+2*CB67*BI67*CC67*BJ67*(EXP(CH67*CI67*BT67)-1)+2*CC67*BJ67*CA67*BH67*(EXP(CI67*CG67*BT67)-1))/(CE67*BR67)^2)/BT67),0),"")</f>
        <v>#VALUE!</v>
      </c>
      <c r="CL67" s="1587" t="e">
        <f aca="false">IF(OR(BQ67,BS67),IF(OVolType&lt;&gt;2,SQRT(IF(OVolOverMonthlyOffPeak,OVolOverMonthlyOffPeak,IF(OVolCurve,IF(OBuySell,AD67,AF67),AE67))^2*(1-15/365.25/BT67)+IF(OVolOverDailyOffPeak,OVolOverDailyOffPeak,IF(OVolCurve,IF(OBuySell,AP67,AR67),AQ67))^2*15/365.25/BT67),IF(OVolOverMonthlyOffPeak,OVolOverMonthlyOffPeak,IF(OVolCurve,IF(OBuySell,AD67,AF67),AE67))),"")</f>
        <v>#VALUE!</v>
      </c>
      <c r="CM67" s="1587" t="e">
        <f aca="false">IF(BQ67,SQRT(LN(1+((BY67*BP67)^2*(EXP(CJ67^2*BT67)-1)+(BX67*BC67)^2*(EXP(CL67^2*BT67)-1)+2*BY67*BP67*BX67*BC67*(EXP(AS67*CJ67*CL67*BT67)-1))/(BY67*BP67+BX67*BC67)^2)/BT67),"")</f>
        <v>#VALUE!</v>
      </c>
      <c r="CN67" s="1588" t="e">
        <f aca="false">IF(BS67,SQRT(LN(1+((CE67*BR67)^2*(EXP(CK67^2*BT67)-1)+(CD67*BK67)^2*(EXP(CL67^2*BT67)-1)+2*CE67*BR67*CD67*BK67*(EXP(AS67*CK67*CL67*BT67)-1))/(CE67*BR67+CD67*BK67)^2)/BT67),"")</f>
        <v>#VALUE!</v>
      </c>
      <c r="CO67" s="1531" t="e">
        <f aca="false">IF(OR(BQ67,BS67),VLOOKUP(A67,GasTable,13)*HeatRatePeak*(1+VLOOKUP($B67,HeatRateDegradation,$C67+1))/1000,0)</f>
        <v>#VALUE!</v>
      </c>
      <c r="CP67" s="1316" t="e">
        <f aca="false">IF(OR(BQ67,BS67),VLOOKUP(A67,GasTable,13)*HeatRatePeak*(1+VLOOKUP($B67,HeatRateDegradation,$C67+1))/1000,0)</f>
        <v>#VALUE!</v>
      </c>
      <c r="CQ67" s="1316" t="e">
        <f aca="false">IF(OR(BQ67,BS67),VLOOKUP(A67,GasTable,13)*IF(EV67,HeatRatePeak,HeatRateOffPeak)*(1+VLOOKUP($B67,HeatRateDegradation,$C67+1))/1000,0)</f>
        <v>#VALUE!</v>
      </c>
      <c r="CR67" s="1316" t="e">
        <f aca="false">IF(OR(BQ67,BS67),VLOOKUP(A67,GasTable,13)*IF(EW67,HeatRatePeak,HeatRateOffPeak)*(1+VLOOKUP($B67,HeatRateDegradation,$C67+1))/1000,0)</f>
        <v>#VALUE!</v>
      </c>
      <c r="CS67" s="1589" t="e">
        <f aca="false">IF(BQ67,(CO67*AZ67+CP67*BA67+CQ67*BB67+CR67*BC67)/BQ67,0)</f>
        <v>#VALUE!</v>
      </c>
      <c r="CT67" s="1316" t="e">
        <f aca="false">IF(BS67,CO67,0)</f>
        <v>#VALUE!</v>
      </c>
      <c r="CU67" s="1590" t="e">
        <f aca="false">IF(OR(BQ67,BS67),VLOOKUP(A67,GasTable,14),"")</f>
        <v>#VALUE!</v>
      </c>
      <c r="CV67" s="1568" t="e">
        <f aca="false">IF(OR(BQ67,BS67),IF(CorrPowerGasOverFlag,INDEX(CorrPowerGasOver,C67),CorrPowerGas),"")</f>
        <v>#VALUE!</v>
      </c>
      <c r="CW67" s="1316" t="e">
        <f aca="false">IF(OR($BQ67,$BS67),SpreadOptPowerMargin,0)*((1+Assumptions!$C$26)^($B67-YEAR(Assumptions!$C$17)))</f>
        <v>#VALUE!</v>
      </c>
      <c r="CX67" s="1316" t="e">
        <f aca="false">IF(OR($BQ67,$BS67),SpreadOptPowerMargin,0)*((1+Assumptions!$C$26)^($B67-YEAR(Assumptions!$C$17)))</f>
        <v>#VALUE!</v>
      </c>
      <c r="CY67" s="1316" t="e">
        <f aca="false">IF(OR($BQ67,$BS67),SpreadOptPowerMargin,0)*((1+Assumptions!$C$26)^($B67-YEAR(Assumptions!$C$17)))</f>
        <v>#VALUE!</v>
      </c>
      <c r="CZ67" s="1316" t="e">
        <f aca="false">IF(OR($BQ67,$BS67),SpreadOptPowerMargin,0)*((1+Assumptions!$C$26)^($B67-YEAR(Assumptions!$C$17)))</f>
        <v>#VALUE!</v>
      </c>
      <c r="DA67" s="1591" t="e">
        <f aca="false">IF(OR(BQ67,BS67),(CW67*(AZ67+BH67)+CX67*(BA67+BI67)+CY67*(BB67+BJ67)+CZ67*(BC67+BK67))/(BQ67+BS67),0)</f>
        <v>#VALUE!</v>
      </c>
      <c r="DB67" s="1592" t="e">
        <f aca="false">IF(OR(BQ67,BS67),CG67+IF(OVolSmile,VLOOKUP(MAX(-5,CO67+CW67-BU67),IF(OVolSmile=1,VolSmileBook,VolSmileModel),2),0),"")</f>
        <v>#VALUE!</v>
      </c>
      <c r="DC67" s="1592" t="e">
        <f aca="false">IF(OR(BQ67,BS67),CH67+IF(OVolSmile,VLOOKUP(MAX(-5,CP67+CW67-BV67),IF(OVolSmile=1,VolSmileBook,VolSmileModel),2),0),"")</f>
        <v>#VALUE!</v>
      </c>
      <c r="DD67" s="1592" t="e">
        <f aca="false">IF(OR(BQ67,BS67),CI67+IF(OVolSmile,VLOOKUP(MAX(-5,CQ67+CW67-BW67),IF(OVolSmile=1,VolSmileBook,VolSmileModel),2),0),"")</f>
        <v>#VALUE!</v>
      </c>
      <c r="DE67" s="1592" t="e">
        <f aca="false">IF(OR(BQ67,BS67),CL67+IF(OVolSmile,VLOOKUP(MAX(-5,CR67+CZ67-BX67),IF(OVolSmile=1,VolSmileBook,VolSmileModel),2),0),"")</f>
        <v>#VALUE!</v>
      </c>
      <c r="DF67" s="1592" t="e">
        <f aca="false">IF(BQ67,CM67+IF(OVolSmile,VLOOKUP(MAX(-5,CS67+DA67-BZ67),IF(OVolSmile=1,VolSmileBook,VolSmileModel),2),0),"")</f>
        <v>#VALUE!</v>
      </c>
      <c r="DG67" s="1593" t="e">
        <f aca="false">IF(BS67,CN67+IF(OVolSmile,VLOOKUP(MAX(-5,CT67+DA67-CF67),IF(OVolSmile=1,VolSmileBook,VolSmileModel),2),0),"")</f>
        <v>#VALUE!</v>
      </c>
      <c r="DH67" s="1316" t="e">
        <f aca="false">IF(AND(BU67&gt;0,CO67&gt;0,DB67&gt;0,CU67&gt;0),newSPRDOPT(BU67,CO67,CW67,0,DB67,CU67,CV67,BT67*365.25,OCallPut,0),0)</f>
        <v>#VALUE!</v>
      </c>
      <c r="DI67" s="1316" t="e">
        <f aca="false">IF(AND(BV67&gt;0,CP67&gt;0,DC67&gt;0,CU67&gt;0),newSPRDOPT(BV67,CP67,CX67,0,DC67,CU67,CV67,BT67*365.25,OCallPut,0),0)</f>
        <v>#VALUE!</v>
      </c>
      <c r="DJ67" s="1316" t="e">
        <f aca="false">IF(AND(BW67&gt;0,CQ67&gt;0,DD67&gt;0,CU67&gt;0),newSPRDOPT(BW67,CQ67,CY67,0,DD67,CU67,CV67,BT67*365.25,OCallPut,0),0)</f>
        <v>#VALUE!</v>
      </c>
      <c r="DK67" s="1316" t="e">
        <f aca="false">IF(AND(BX67&gt;0,CR67&gt;0,DE67&gt;0,CU67&gt;0),newSPRDOPT(BX67,CR67,CZ67,0,DE67,CU67,CV67,BT67*365.25,OCallPut,0),0)</f>
        <v>#VALUE!</v>
      </c>
      <c r="DL67" s="1316" t="e">
        <f aca="false">IF(OVolType,IF(AND(BZ67&gt;0,CS67&gt;0,DF67&gt;0,CU67&gt;0),newSPRDOPT(BZ67,CS67,DA67,0,DF67,CU67,CV67,BT67*365.25,OCallPut,0),0),IF(BQ67,(DH67*AZ67+DI67*BA67+DJ67*BB67+DK67*BC67)/BQ67,0))</f>
        <v>#VALUE!</v>
      </c>
      <c r="DM67" s="1316"/>
      <c r="DN67" s="1316"/>
      <c r="DO67" s="1316"/>
      <c r="DP67" s="1316"/>
      <c r="DQ67" s="1316"/>
      <c r="DR67" s="1316"/>
      <c r="DS67" s="1316"/>
      <c r="DT67" s="1316"/>
      <c r="DU67" s="1316"/>
      <c r="DV67" s="1316"/>
      <c r="DW67" s="1594" t="e">
        <f aca="false">IF(AND(BW67&gt;0,CT67&gt;0,DD67&gt;0,CU67&gt;0),newSPRDOPT(BW67,CT67,CY67,0,DD67,CU67,CV67,BT67*365.25,OCallPut,0),0)</f>
        <v>#VALUE!</v>
      </c>
      <c r="DX67" s="1316" t="e">
        <f aca="false">IF(AND(BX67&gt;0,CT67&gt;0,DE67&gt;0,CU67&gt;0),newSPRDOPT(BX67,CT67,CZ67,0,DE67,CU67,CV67,BT67*365.25,OCallPut,0),0)</f>
        <v>#VALUE!</v>
      </c>
      <c r="DY67" s="1591" t="e">
        <f aca="false">IF(BS67,(DH67*BH67+DI67*BI67+DW67*BJ67+DX67*BK67)/BS67,0)</f>
        <v>#VALUE!</v>
      </c>
      <c r="DZ67" s="1551" t="e">
        <f aca="false">DH67*AZ67</f>
        <v>#VALUE!</v>
      </c>
      <c r="EA67" s="1551" t="e">
        <f aca="false">DI67*BA67</f>
        <v>#VALUE!</v>
      </c>
      <c r="EB67" s="1551" t="e">
        <f aca="false">DJ67*BB67</f>
        <v>#VALUE!</v>
      </c>
      <c r="EC67" s="1551" t="e">
        <f aca="false">DK67*BC67</f>
        <v>#VALUE!</v>
      </c>
      <c r="ED67" s="1551" t="e">
        <f aca="false">DL67*BQ67</f>
        <v>#VALUE!</v>
      </c>
      <c r="EE67" s="1595" t="e">
        <f aca="false">IF(BQ67,IF(OCallPut,IF(BU67&gt;(CO67+CW67),BU67-(CO67+CW67),0),IF((CO67+CW67)&gt;BU67,(CO67+CW67)-BU67,0))*AZ67,0)</f>
        <v>#VALUE!</v>
      </c>
      <c r="EF67" s="1596" t="e">
        <f aca="false">IF(BQ67,IF(OCallPut,IF(BV67&gt;(CP67+CX67),BV67-(CP67+CX67),0),IF((CP67+CX67)&gt;BV67,(CP67+CX67)-BV67,0))*BA67,0)</f>
        <v>#VALUE!</v>
      </c>
      <c r="EG67" s="1596" t="e">
        <f aca="false">IF(BQ67,IF(OCallPut,IF(BW67&gt;(CQ67+CY67),BW67-(CQ67+CY67),0),IF((CQ67+CY67)&gt;BW67,(CQ67+CY67)-BW67,0))*BB67,0)</f>
        <v>#VALUE!</v>
      </c>
      <c r="EH67" s="1596" t="e">
        <f aca="false">IF(BQ67,IF(OCallPut,IF(BX67&gt;(CR67+CZ67),BX67-(CR67+CZ67),0),IF((CR67+CZ67)&gt;BX67,(CR67+CZ67)-BX67,0))*BC67,0)</f>
        <v>#VALUE!</v>
      </c>
      <c r="EI67" s="1597" t="e">
        <f aca="false">IF(BQ67,IF(OVolType,IF(OCallPut,IF(BZ67&gt;(CS67+DA67),BZ67-(CS67+DA67),0),IF((CS67+DA67)&gt;BZ67,(CS67+DA67)-BZ67,0))*BQ67,SUM(EE67:EH67)),0)</f>
        <v>#VALUE!</v>
      </c>
      <c r="EJ67" s="1595" t="e">
        <f aca="false">DZ67-EE67</f>
        <v>#VALUE!</v>
      </c>
      <c r="EK67" s="1596" t="e">
        <f aca="false">EA67-EF67</f>
        <v>#VALUE!</v>
      </c>
      <c r="EL67" s="1596" t="e">
        <f aca="false">EB67-EG67</f>
        <v>#VALUE!</v>
      </c>
      <c r="EM67" s="1596" t="e">
        <f aca="false">EC67-EH67</f>
        <v>#VALUE!</v>
      </c>
      <c r="EN67" s="1597" t="e">
        <f aca="false">ED67-EI67</f>
        <v>#VALUE!</v>
      </c>
      <c r="EO67" s="1551" t="e">
        <f aca="false">DH67*BH67</f>
        <v>#VALUE!</v>
      </c>
      <c r="EP67" s="1551" t="e">
        <f aca="false">DI67*BI67</f>
        <v>#VALUE!</v>
      </c>
      <c r="EQ67" s="1551" t="e">
        <f aca="false">DW67*BJ67</f>
        <v>#VALUE!</v>
      </c>
      <c r="ER67" s="1551" t="e">
        <f aca="false">DX67*BK67</f>
        <v>#VALUE!</v>
      </c>
      <c r="ES67" s="1551" t="e">
        <f aca="false">DY67*BS67</f>
        <v>#VALUE!</v>
      </c>
      <c r="ET67" s="1566" t="e">
        <f aca="false">IF(EI67,IF(OCallPut,IF(CA67&gt;(CT67+CW67),CA67-(CT67+CW67),0),IF((CT67+CW67)&gt;CA67,(CT67+CW67)-CA67,0))*BH67,0)</f>
        <v>#VALUE!</v>
      </c>
      <c r="EU67" s="1551" t="e">
        <f aca="false">IF(EI67,IF(OCallPut,IF(CB67&gt;(CT67+CX67),CB67-(CT67+CX67),0),IF((CT67+CX67)&gt;CB67,(CT67+CX67)-CB67,0))*BI67,0)</f>
        <v>#VALUE!</v>
      </c>
      <c r="EV67" s="1551" t="e">
        <f aca="false">IF(EI67,IF(OCallPut,IF(CC67&gt;(CT67+CY67),CC67-(CT67+CY67),0),IF((CT67+CY67)&gt;CC67,(CT67+CY67)-CC67,0))*BJ67,0)</f>
        <v>#VALUE!</v>
      </c>
      <c r="EW67" s="1551" t="e">
        <f aca="false">IF(EI67,IF(OCallPut,IF(CD67&gt;(CT67+CZ67),CD67-(CT67+CZ67),0),IF((CT67+CZ67)&gt;CD67,(CT67+CZ67)-CD67,0))*BK67,0)</f>
        <v>#VALUE!</v>
      </c>
      <c r="EX67" s="1558" t="e">
        <f aca="false">IF(EI67,SUM(ET67:EW67),0)</f>
        <v>#VALUE!</v>
      </c>
      <c r="EY67" s="1551" t="e">
        <f aca="false">EO67-ET67</f>
        <v>#VALUE!</v>
      </c>
      <c r="EZ67" s="1551" t="e">
        <f aca="false">EP67-EU67</f>
        <v>#VALUE!</v>
      </c>
      <c r="FA67" s="1551" t="e">
        <f aca="false">EQ67-EV67</f>
        <v>#VALUE!</v>
      </c>
      <c r="FB67" s="1551" t="e">
        <f aca="false">ER67-EW67</f>
        <v>#VALUE!</v>
      </c>
      <c r="FC67" s="1551" t="e">
        <f aca="false">ES67-EX67</f>
        <v>#VALUE!</v>
      </c>
      <c r="FD67" s="1525" t="n">
        <f aca="false">IF(AX67,IF(VLOOKUP(C67,MAIN!$L$17:$M$28,2)="Yes",VLOOKUP(CALC!B67,MAIN!$H$17:$I$20,2),0),0)</f>
        <v>0</v>
      </c>
      <c r="FE67" s="1552" t="e">
        <f aca="false">$FD67*16*AT67*(1-$AY67)</f>
        <v>#VALUE!</v>
      </c>
      <c r="FF67" s="1553" t="e">
        <f aca="false">$FD67*16*AU67*(1-$AY67)</f>
        <v>#VALUE!</v>
      </c>
      <c r="FG67" s="1553" t="e">
        <f aca="false">$FD67*16*(AV67+AW67)*(1-$AY67)</f>
        <v>#VALUE!</v>
      </c>
      <c r="FH67" s="1554" t="n">
        <f aca="false">$FD67*8*AX67*(1-$AY67)</f>
        <v>0</v>
      </c>
      <c r="FI67" s="1555" t="n">
        <f aca="false">IF(AX67,VLOOKUP(CALC!B67,MAIN!$H$17:$K$20,4),0)</f>
        <v>0</v>
      </c>
      <c r="FJ67" s="1553" t="e">
        <f aca="false">SUM(FE67:FH67)</f>
        <v>#VALUE!</v>
      </c>
      <c r="FK67" s="1556" t="e">
        <f aca="false">FI67*FJ67</f>
        <v>#VALUE!</v>
      </c>
      <c r="FL67" s="1551" t="e">
        <f aca="false">IF($EI67&gt;0,MIN(FE67,AZ67*(1+VLOOKUP($C67,WeatherCapacityAdjustment,2))),0)</f>
        <v>#VALUE!</v>
      </c>
      <c r="FM67" s="1551" t="e">
        <f aca="false">IF($EI67&gt;0,MIN(FF67,BA67*(1+VLOOKUP($C67,WeatherCapacityAdjustment,2))),0)</f>
        <v>#VALUE!</v>
      </c>
      <c r="FN67" s="1551" t="e">
        <f aca="false">IF($EI67&gt;0,MIN(FG67,BB67*(1+VLOOKUP($C67,WeatherCapacityAdjustment,2))),0)</f>
        <v>#VALUE!</v>
      </c>
      <c r="FO67" s="1564" t="e">
        <f aca="false">IF($EI67&gt;0,MIN(FH67,BC67*(1+VLOOKUP($C67,WeatherCapacityAdjustment,3))),0)</f>
        <v>#VALUE!</v>
      </c>
      <c r="FP67" s="1551" t="e">
        <f aca="false">IF(ET67&gt;0,MIN(FE67-FL67,BH67*(1+VLOOKUP($C67,WeatherCapacityAdjustment,2))),0)</f>
        <v>#VALUE!</v>
      </c>
      <c r="FQ67" s="1551" t="e">
        <f aca="false">IF(EU67&gt;0,MIN(FF67-FM67,BI67*(1+VLOOKUP($C67,WeatherCapacityAdjustment,2))),0)</f>
        <v>#VALUE!</v>
      </c>
      <c r="FR67" s="1551" t="e">
        <f aca="false">IF(EV67&gt;0,MIN(FG67-FN67,BJ67*(1+VLOOKUP($C67,WeatherCapacityAdjustment,2))),0)</f>
        <v>#VALUE!</v>
      </c>
      <c r="FS67" s="1558" t="e">
        <f aca="false">IF(EW67&gt;0,MIN(FH67-FO67,BK67*(1+VLOOKUP($C67,WeatherCapacityAdjustment,3))),0)</f>
        <v>#VALUE!</v>
      </c>
      <c r="FT67" s="1566" t="e">
        <f aca="false">IF(AND(Assumptions!$H$71="Yes",A67&gt;=Assumptions!$H$72,A67&lt;=Assumptions!$H$73),0,IF(AND($A67&gt;=Assumptions!$C$17,$A67&lt;=Assumptions!$C$18),MAX(AZ67*(1+VLOOKUP($C67,WeatherCapacityAdjustment,2))-FL67,0),0))</f>
        <v>#VALUE!</v>
      </c>
      <c r="FU67" s="1551" t="e">
        <f aca="false">IF(AND(Assumptions!$H$71="Yes",A67&gt;=Assumptions!$H$72,A67&lt;=Assumptions!$H$73),0,IF(AND($A67&gt;=Assumptions!$C$17,$A67&lt;=Assumptions!$C$18),MAX(BA67*(1+VLOOKUP($C67,WeatherCapacityAdjustment,2))-FM67,0),0))</f>
        <v>#VALUE!</v>
      </c>
      <c r="FV67" s="1551" t="e">
        <f aca="false">IF(AND(Assumptions!$H$71="Yes",A67&gt;=Assumptions!$H$72,A67&lt;=Assumptions!$H$73),0,IF(AND($A67&gt;=Assumptions!$C$17,$A67&lt;=Assumptions!$C$18),MAX(BB67*(1+VLOOKUP($C67,WeatherCapacityAdjustment,2))-FN67,0),0))</f>
        <v>#VALUE!</v>
      </c>
      <c r="FW67" s="1564" t="e">
        <f aca="false">IF(AND(Assumptions!$H$71="Yes",A67&gt;=Assumptions!$H$72,A67&lt;=Assumptions!$H$73),0,IF(AND($A67&gt;=Assumptions!$C$17,$A67&lt;=Assumptions!$C$18),MAX(BC67*(1+VLOOKUP($C67,WeatherCapacityAdjustment,3))-FO67,0),0))</f>
        <v>#VALUE!</v>
      </c>
      <c r="FX67" s="1569" t="e">
        <f aca="false">IF(AND(Assumptions!$H$71="Yes",A67&gt;=Assumptions!$H$72,A67&lt;=Assumptions!$H$73),0,IF(ET67&gt;0,MAX(BH67*(1+VLOOKUP($C67,WeatherCapacityAdjustment,2))-FP67,0),0))</f>
        <v>#VALUE!</v>
      </c>
      <c r="FY67" s="1551" t="e">
        <f aca="false">IF(AND(Assumptions!$H$71="Yes",A67&gt;=Assumptions!$H$72,A67&lt;=Assumptions!$H$73),0,IF(EU67&gt;0,MAX(BI67*(1+VLOOKUP($C67,WeatherCapacityAdjustment,3))-FQ67,0),0))</f>
        <v>#VALUE!</v>
      </c>
      <c r="FZ67" s="1551" t="e">
        <f aca="false">IF(AND(Assumptions!$H$71="Yes",A67&gt;=Assumptions!$H$72,A67&lt;=Assumptions!$H$73),0,IF(EV67&gt;0,MAX(BJ67*(1+VLOOKUP($C67,WeatherCapacityAdjustment,2))-FR67,0),0))</f>
        <v>#VALUE!</v>
      </c>
      <c r="GA67" s="1564" t="e">
        <f aca="false">IF(AND(Assumptions!$H$71="Yes",A67&gt;=Assumptions!$H$72,A67&lt;=Assumptions!$H$73),0,IF(EW67&gt;0,MAX(BK67*(1+VLOOKUP($C67,WeatherCapacityAdjustment,2))-FS67,0),0))</f>
        <v>#VALUE!</v>
      </c>
      <c r="GB67" s="1551" t="e">
        <f aca="false">SUM(FT67:GA67)</f>
        <v>#VALUE!</v>
      </c>
      <c r="GC67" s="1563" t="e">
        <f aca="false">+IF(SUM(FT67:GA67)=0,0,(SUMPRODUCT(BU67:BX67,FT67:FW67)+SUMPRODUCT(CA67:CD67,FX67:GA67))/SUM(FT67:GA67))</f>
        <v>#VALUE!</v>
      </c>
      <c r="GD67" s="1551" t="e">
        <f aca="false">(FT67*BU67+FX67*CA67+FU67*BV67+FY67*CB67+FV67*BW67+FZ67*CC67+FW67*BX67+GA67*CD67)</f>
        <v>#VALUE!</v>
      </c>
      <c r="GE67" s="1561" t="e">
        <f aca="false">+IF(BQ67,((FL67+FM67+FT67+FU67)*HeatRatePeak/1000*(1+VLOOKUP($C67,WeatherHeatRateAdjustment,2))+(FN67+FV67)*IF(EV67&gt;0,HeatRatePeak,HeatRateOffPeak)/1000*(1+VLOOKUP($C67,WeatherHeatRateAdjustment,2))+(FO67+FW67)*IF(EW67&gt;0,HeatRatePeak,HeatRateOffPeak)/1000*(1+VLOOKUP($C67,WeatherHeatRateAdjustment,3)))*(1+VLOOKUP($B67,HeatRateDegradation,$C67+1)),0)</f>
        <v>#VALUE!</v>
      </c>
      <c r="GF67" s="1562" t="e">
        <f aca="false">IF(BQ67,((FP67+FQ67+FR67+FX67+FY67+FZ67)*HeatRatePeak/1000*(1+VLOOKUP($C67,WeatherHeatRateAdjustment,2))+(FS67+GA67)*HeatRatePeak/1000*(1+VLOOKUP($C67,WeatherHeatRateAdjustment,3)))*(1+VLOOKUP($B67,HeatRateDegradation,$C67+1)),0)</f>
        <v>#VALUE!</v>
      </c>
      <c r="GG67" s="1563" t="e">
        <f aca="false">IF(BQ67,VLOOKUP(A67,GasTable,13),0)</f>
        <v>#VALUE!</v>
      </c>
      <c r="GH67" s="1564" t="e">
        <f aca="false">(GE67+GF67)*GG67</f>
        <v>#VALUE!</v>
      </c>
      <c r="GI67" s="1569" t="e">
        <f aca="false">GB67</f>
        <v>#VALUE!</v>
      </c>
      <c r="GJ67" s="1598" t="e">
        <f aca="false">+DA67</f>
        <v>#VALUE!</v>
      </c>
      <c r="GK67" s="1558" t="e">
        <f aca="false">+GI67*GJ67</f>
        <v>#VALUE!</v>
      </c>
      <c r="GL67" s="1566" t="e">
        <f aca="false">MAX(FE67-FL67-FP67,0)</f>
        <v>#VALUE!</v>
      </c>
      <c r="GM67" s="1551" t="e">
        <f aca="false">MAX(FF67-FM67-FQ67,0)</f>
        <v>#VALUE!</v>
      </c>
      <c r="GN67" s="1551" t="e">
        <f aca="false">MAX(FG67-FN67-FR67,0)</f>
        <v>#VALUE!</v>
      </c>
      <c r="GO67" s="1564" t="e">
        <f aca="false">MAX(FH67-FO67-FS67,0)</f>
        <v>#VALUE!</v>
      </c>
      <c r="GP67" s="1551" t="e">
        <f aca="false">SUM(GL67:GO67)</f>
        <v>#VALUE!</v>
      </c>
      <c r="GQ67" s="1563" t="e">
        <f aca="false">IF(SUM(GL67:GO67)=0,0,((GL67*BU67+GM67*BV67+GN67*BW67+GO67*BX67)/SUM(GL67:GO67)))</f>
        <v>#VALUE!</v>
      </c>
      <c r="GR67" s="1558" t="e">
        <f aca="false">(GL67*BU67+GM67*BV67+GN67*BW67+GO67*BX67)</f>
        <v>#VALUE!</v>
      </c>
      <c r="GS67" s="1566" t="n">
        <f aca="false">IF($A67&gt;=BegDate,Assumptions!$C$56*24*($A68-$A67)*(1-VLOOKUP($B67,MAIN!$AA$7:$AM$28,$C67+1))*(1-VLOOKUP($B67,MAIN!$AA$33:$AM$54,$C67+1)),0)*80/168</f>
        <v>257742.857142857</v>
      </c>
      <c r="GT67" s="286" t="n">
        <f aca="false">J67</f>
        <v>50.004685522656</v>
      </c>
      <c r="GU67" s="286" t="n">
        <f aca="false">IF($A67&gt;=BegDate,VLOOKUP($A67,GasTable,13)+Assumptions!$C$58,0)</f>
        <v>2.38466677142263</v>
      </c>
      <c r="GV67" s="286" t="n">
        <f aca="false">GU67*Assumptions!$C$57/1000</f>
        <v>17.2888340928141</v>
      </c>
      <c r="GW67" s="1558" t="n">
        <f aca="false">IF(Assumptions!$C$60="Hourly",MAX(0,GS67*(GT67-GV67)),GS67*(GT67-GV67))</f>
        <v>8432277.02138868</v>
      </c>
      <c r="GX67" s="1566" t="n">
        <f aca="false">IF($A67&gt;=BegDate,Assumptions!$C$56*24*($A68-$A67)*(1-VLOOKUP($B67,MAIN!$AA$7:$AM$28,$C67+1))*(1-VLOOKUP($B67,MAIN!$AA$33:$AM$54,$C67+1)),0)*16/168</f>
        <v>51548.5714285714</v>
      </c>
      <c r="GY67" s="286" t="n">
        <f aca="false">M67</f>
        <v>50.004685522656</v>
      </c>
      <c r="GZ67" s="286" t="n">
        <f aca="false">IF($A67&gt;=BegDate,VLOOKUP($A67,GasTable,13)+Assumptions!$C$58,0)</f>
        <v>2.38466677142263</v>
      </c>
      <c r="HA67" s="286" t="n">
        <f aca="false">GZ67*Assumptions!$C$57/1000</f>
        <v>17.2888340928141</v>
      </c>
      <c r="HB67" s="1558" t="n">
        <f aca="false">IF(Assumptions!$C$60="Hourly",MAX(0,GX67*(GY67-HA67)),GX67*(GY67-HA67))</f>
        <v>1686455.40427774</v>
      </c>
      <c r="HC67" s="1566" t="n">
        <f aca="false">IF($A67&gt;=BegDate,Assumptions!$C$56*24*($A68-$A67)*(1-VLOOKUP($B67,MAIN!$AA$7:$AM$28,$C67+1))*(1-VLOOKUP($B67,MAIN!$AA$33:$AM$54,$C67+1)),0)*16/168</f>
        <v>51548.5714285714</v>
      </c>
      <c r="HD67" s="286" t="n">
        <f aca="false">P67</f>
        <v>22.400608821552</v>
      </c>
      <c r="HE67" s="286" t="n">
        <f aca="false">IF($A67&gt;=BegDate,VLOOKUP($A67,GasTable,13)+Assumptions!$C$58,0)</f>
        <v>2.38466677142263</v>
      </c>
      <c r="HF67" s="286" t="n">
        <f aca="false">HE67*Assumptions!$C$57/1000</f>
        <v>17.2888340928141</v>
      </c>
      <c r="HG67" s="1558" t="n">
        <f aca="false">IF(Assumptions!$C$60="Hourly",MAX(0,HC67*(HD67-HF67)),HC67*(HD67-HF67))</f>
        <v>263504.684731113</v>
      </c>
      <c r="HH67" s="1566" t="n">
        <f aca="false">IF($A67&gt;=BegDate,Assumptions!$C$56*24*($A68-$A67)*(1-VLOOKUP($B67,MAIN!$AA$7:$AM$28,$C67+1))*(1-VLOOKUP($B67,MAIN!$AA$33:$AM$54,$C67+1)),0)*56/168</f>
        <v>180420</v>
      </c>
      <c r="HI67" s="286" t="n">
        <f aca="false">S67</f>
        <v>22.400608821552</v>
      </c>
      <c r="HJ67" s="286" t="n">
        <f aca="false">IF($A67&gt;=BegDate,VLOOKUP($A67,GasTable,13)+Assumptions!$C$58,0)</f>
        <v>2.38466677142263</v>
      </c>
      <c r="HK67" s="286" t="n">
        <f aca="false">HJ67*Assumptions!$C$57/1000</f>
        <v>17.2888340928141</v>
      </c>
      <c r="HL67" s="1558" t="n">
        <f aca="false">IF(Assumptions!$C$60="Hourly",MAX(0,HH67*(HI67-HK67)),HH67*(HI67-HK67))</f>
        <v>922266.396558896</v>
      </c>
      <c r="HM67" s="1566" t="n">
        <f aca="false">IF(AND(Assumptions!$H$71="Yes",A67&gt;=Assumptions!$H$72,A67&lt;=Assumptions!$H$73),Assumptions!$H$74*Assumptions!$C$9*1000,0)</f>
        <v>0</v>
      </c>
      <c r="HN67" s="1551" t="e">
        <f aca="false">GD67-GH67</f>
        <v>#VALUE!</v>
      </c>
      <c r="HO67" s="1563"/>
      <c r="HP67" s="1563"/>
      <c r="HQ67" s="1563"/>
      <c r="HR67" s="1563"/>
      <c r="HS67" s="1563"/>
      <c r="HT67" s="1563"/>
      <c r="HU67" s="1563"/>
      <c r="HV67" s="1563"/>
      <c r="HW67" s="1563"/>
      <c r="HX67" s="1563"/>
      <c r="HY67" s="1563"/>
      <c r="HZ67" s="1563"/>
      <c r="IA67" s="1563"/>
      <c r="IB67" s="1563"/>
      <c r="IC67" s="1563"/>
      <c r="ID67" s="1563"/>
      <c r="IE67" s="1563"/>
      <c r="IF67" s="1563"/>
      <c r="IG67" s="1563"/>
      <c r="IH67" s="1563"/>
      <c r="II67" s="1610"/>
      <c r="IJ67" s="1309"/>
      <c r="IK67" s="1309"/>
    </row>
    <row r="68" customFormat="false" ht="12.75" hidden="false" customHeight="false" outlineLevel="0" collapsed="false">
      <c r="A68" s="1571" t="n">
        <f aca="false">EOMONTH(A67,0)+1</f>
        <v>38200</v>
      </c>
      <c r="B68" s="594" t="n">
        <f aca="false">+YEAR(A68)</f>
        <v>2004</v>
      </c>
      <c r="C68" s="238" t="n">
        <f aca="false">MONTH(A68)</f>
        <v>8</v>
      </c>
      <c r="D68" s="1572" t="e">
        <f aca="false">IF(E68="","",Holiday(B68,C68))</f>
        <v>#VALUE!</v>
      </c>
      <c r="E68" s="1573" t="n">
        <f aca="false">IF(OR(BegDate&gt;=A69,EndDate&lt;A68,AND(VolumeMonthlyOverFlag,INDEX(VolumeMonthlyOver,C68)=0),NOT(INDEX(MonthKnockOutTable,C68))),"",MAX(A68,BegDate))</f>
        <v>38200</v>
      </c>
      <c r="F68" s="1574" t="n">
        <f aca="false">IF(E68="","",MIN(A69-1,EndDate))</f>
        <v>38230</v>
      </c>
      <c r="G68" s="1575" t="n">
        <v>0</v>
      </c>
      <c r="H68" s="1576" t="n">
        <f aca="false">(1+G68/2)^(-2*(DATE(B69,C69,20)-DateToday)/365.25)</f>
        <v>1</v>
      </c>
      <c r="I68" s="1568" t="n">
        <f aca="false">IF(Assumptions!$L$25=4,VLOOKUP($A68,'Henwood Reference'!$E$9:$R$320,10),(VLOOKUP($A68,PriceTable,2,0)+IF(BasisNumber&lt;&gt;1,VLOOKUP($A68,BasisTable,2,0),0)+I$1)/(1-I$2))</f>
        <v>78.119994932928</v>
      </c>
      <c r="J68" s="1568" t="n">
        <f aca="false">IF(Assumptions!$L$25=4,VLOOKUP($A68,'Henwood Reference'!$E$9:$R$320,10),(VLOOKUP($A68,PriceTable,3,0)+IF(BasisNumber&lt;&gt;1,VLOOKUP($A68,BasisTable,2,0),0)+J$1)/(1-J$2))</f>
        <v>78.119994932928</v>
      </c>
      <c r="K68" s="1568" t="n">
        <f aca="false">IF(Assumptions!$L$25=4,VLOOKUP($A68,'Henwood Reference'!$E$9:$R$320,10),(VLOOKUP($A68,PriceTable,4,0)+IF(BasisNumber&lt;&gt;1,VLOOKUP($A68,BasisTable,2,0),0)+K$1)/(1-K$2))</f>
        <v>78.119994932928</v>
      </c>
      <c r="L68" s="1523" t="n">
        <f aca="false">IF(Assumptions!$L$25=4,VLOOKUP($A68,'Henwood Reference'!$E$9:$R$320,10),(VLOOKUP($A68,PriceTableWeekend,2,0)+IF(BasisNumber&lt;&gt;1,VLOOKUP($A68,BasisTable,2,0),0)+L$1)/(1-L$2))</f>
        <v>78.119994932928</v>
      </c>
      <c r="M68" s="1568" t="n">
        <f aca="false">IF(Assumptions!$L$25=4,VLOOKUP($A68,'Henwood Reference'!$E$9:$R$320,10),(VLOOKUP($A68,PriceTableWeekend,3,0)+IF(BasisNumber&lt;&gt;1,VLOOKUP($A68,BasisTable,2,0),0)+M$1)/(1-M$2))</f>
        <v>78.119994932928</v>
      </c>
      <c r="N68" s="1599" t="n">
        <f aca="false">IF(Assumptions!$L$25=4,VLOOKUP($A68,'Henwood Reference'!$E$9:$R$320,10),(VLOOKUP($A68,PriceTableWeekend,4,0)+IF(BasisNumber&lt;&gt;1,VLOOKUP($A68,BasisTable,2,0),0)+N$1)/(1-N$2))</f>
        <v>78.119994932928</v>
      </c>
      <c r="O68" s="1568" t="n">
        <f aca="false">IF(Assumptions!$L$25=4,VLOOKUP($A68,'Henwood Reference'!$E$9:$R$320,11),(VLOOKUP($A68,PriceTableWeekend,6,0)+IF(BasisNumber&lt;&gt;1,VLOOKUP($A68,BasisTable,3,0),0)+O$1)/(1-O$2))</f>
        <v>28.573935916464</v>
      </c>
      <c r="P68" s="1568" t="n">
        <f aca="false">IF(Assumptions!$L$25=4,VLOOKUP($A68,'Henwood Reference'!$E$9:$R$320,11),(VLOOKUP($A68,PriceTableWeekend,7,0)+IF(BasisNumber&lt;&gt;1,VLOOKUP($A68,BasisTable,3,0),0)+P$1)/(1-P$2))</f>
        <v>28.573935916464</v>
      </c>
      <c r="Q68" s="1599" t="n">
        <f aca="false">IF(Assumptions!$L$25=4,VLOOKUP($A68,'Henwood Reference'!$E$9:$R$320,11),(VLOOKUP($A68,PriceTableWeekend,8,0)+IF(BasisNumber&lt;&gt;1,VLOOKUP($A68,BasisTable,3,0),0)+Q$1)/(1-Q$2))</f>
        <v>28.573935916464</v>
      </c>
      <c r="R68" s="1568" t="n">
        <f aca="false">IF(Assumptions!$L$25=4,VLOOKUP($A68,'Henwood Reference'!$E$9:$R$320,11),(VLOOKUP($A68,PriceTable,6,0)+IF(BasisNumber&lt;&gt;1,VLOOKUP($A68,BasisTable,3,0),0)+R$1)/(1-R$2))</f>
        <v>28.573935916464</v>
      </c>
      <c r="S68" s="1568" t="n">
        <f aca="false">IF(Assumptions!$L$25=4,VLOOKUP($A68,'Henwood Reference'!$E$9:$R$320,11),(VLOOKUP($A68,PriceTable,7,0)+IF(BasisNumber&lt;&gt;1,VLOOKUP($A68,BasisTable,3,0),0)+S$1)/(1-S$2))</f>
        <v>28.573935916464</v>
      </c>
      <c r="T68" s="1600" t="n">
        <f aca="false">IF(Assumptions!$L$25=4,VLOOKUP($A68,'Henwood Reference'!$E$9:$R$320,11),(VLOOKUP($A68,PriceTable,8,0)+IF(BasisNumber&lt;&gt;1,VLOOKUP($A68,BasisTable,3,0),0)+T$1)/(1-T$2))</f>
        <v>28.573935916464</v>
      </c>
      <c r="U68" s="1513" t="n">
        <f aca="false">VLOOKUP($A68,VolatilityTable,14)</f>
        <v>0.15</v>
      </c>
      <c r="V68" s="1513" t="n">
        <f aca="false">VLOOKUP($A68,VolatilityTable,15)</f>
        <v>0.16</v>
      </c>
      <c r="W68" s="1514" t="n">
        <f aca="false">VLOOKUP($A68,VolatilityTable,16)</f>
        <v>0.17</v>
      </c>
      <c r="X68" s="1513" t="n">
        <f aca="false">VLOOKUP($A68,VolatilityTable,14)</f>
        <v>0.15</v>
      </c>
      <c r="Y68" s="1513" t="n">
        <f aca="false">VLOOKUP($A68,VolatilityTable,15)</f>
        <v>0.16</v>
      </c>
      <c r="Z68" s="1514" t="n">
        <f aca="false">VLOOKUP($A68,VolatilityTable,16)</f>
        <v>0.17</v>
      </c>
      <c r="AA68" s="1513" t="n">
        <f aca="false">VLOOKUP($A68,VolatilityTable,18)</f>
        <v>0.09</v>
      </c>
      <c r="AB68" s="1513" t="n">
        <f aca="false">VLOOKUP($A68,VolatilityTable,19)</f>
        <v>0.11</v>
      </c>
      <c r="AC68" s="1514" t="n">
        <f aca="false">VLOOKUP($A68,VolatilityTable,20)</f>
        <v>0.13</v>
      </c>
      <c r="AD68" s="1513" t="n">
        <f aca="false">VLOOKUP($A68,VolatilityTable,18)</f>
        <v>0.09</v>
      </c>
      <c r="AE68" s="1513" t="n">
        <f aca="false">VLOOKUP($A68,VolatilityTable,19)</f>
        <v>0.11</v>
      </c>
      <c r="AF68" s="1514" t="n">
        <f aca="false">VLOOKUP($A68,VolatilityTable,20)</f>
        <v>0.13</v>
      </c>
      <c r="AG68" s="1513" t="n">
        <f aca="false">VLOOKUP($A68,VolatilityTable,22)</f>
        <v>-0.35</v>
      </c>
      <c r="AH68" s="1513" t="n">
        <f aca="false">VLOOKUP($A68,VolatilityTable,23)</f>
        <v>3</v>
      </c>
      <c r="AI68" s="1514" t="n">
        <f aca="false">VLOOKUP($A68,VolatilityTable,24)</f>
        <v>0.35</v>
      </c>
      <c r="AJ68" s="1513" t="n">
        <f aca="false">VLOOKUP($A68,VolatilityTable,22)</f>
        <v>-0.35</v>
      </c>
      <c r="AK68" s="1513" t="n">
        <f aca="false">VLOOKUP($A68,VolatilityTable,23)</f>
        <v>3</v>
      </c>
      <c r="AL68" s="1514" t="n">
        <f aca="false">VLOOKUP($A68,VolatilityTable,24)</f>
        <v>0.35</v>
      </c>
      <c r="AM68" s="1513" t="n">
        <f aca="false">VLOOKUP($A68,VolatilityTable,26)</f>
        <v>-0.01</v>
      </c>
      <c r="AN68" s="1513" t="n">
        <f aca="false">VLOOKUP($A68,VolatilityTable,27)</f>
        <v>0.16</v>
      </c>
      <c r="AO68" s="1514" t="n">
        <f aca="false">VLOOKUP($A68,VolatilityTable,28)</f>
        <v>0.01</v>
      </c>
      <c r="AP68" s="1513" t="n">
        <f aca="false">VLOOKUP($A68,VolatilityTable,26)</f>
        <v>-0.01</v>
      </c>
      <c r="AQ68" s="1513" t="n">
        <f aca="false">VLOOKUP($A68,VolatilityTable,27)</f>
        <v>0.16</v>
      </c>
      <c r="AR68" s="1515" t="n">
        <f aca="false">VLOOKUP($A68,VolatilityTable,28)</f>
        <v>0.01</v>
      </c>
      <c r="AS68" s="1581" t="n">
        <f aca="false">IF(CorrPeakOffPeakOverFlag,INDEX(CorrPeakOffPeakOver,C68),CorrPeakOffPeak)</f>
        <v>0.5</v>
      </c>
      <c r="AT68" s="594" t="e">
        <f aca="false">AX68-SUM(AU68:AW68)</f>
        <v>#VALUE!</v>
      </c>
      <c r="AU68" s="238" t="e">
        <f aca="false">IF(E68="",0,INT((F68-MOD(F68,7)-E68)/7)+1-IF(AW68,IF(WEEKDAY(D68)=7,1,0),0))</f>
        <v>#VALUE!</v>
      </c>
      <c r="AV68" s="238" t="e">
        <f aca="false">IF(E68="",0,INT((F68-MOD(F68-1,7)-E68)/7)+1-IF(AW68,IF(WEEKDAY(D68)=1,1,0),0))</f>
        <v>#VALUE!</v>
      </c>
      <c r="AW68" s="238" t="e">
        <f aca="false">IF(OR(E68="",D68="",D68&lt;BegDate,D68&gt;EndDate),0,1)</f>
        <v>#VALUE!</v>
      </c>
      <c r="AX68" s="238" t="n">
        <f aca="false">IF(E68="",0,F68-E68+1)</f>
        <v>31</v>
      </c>
      <c r="AY68" s="1582" t="n">
        <f aca="false">IF(E68="",0,MIN((1-(1-VLOOKUP(B68,MAIN!$AA$7:$AM$28,C68+1))*(1-VLOOKUP(B68,MAIN!$AA$33:$AM$54,C68+1))),1))</f>
        <v>0.03</v>
      </c>
      <c r="AZ68" s="1519" t="e">
        <v>#VALUE!</v>
      </c>
      <c r="BA68" s="1520" t="e">
        <v>#VALUE!</v>
      </c>
      <c r="BB68" s="1520" t="e">
        <v>#VALUE!</v>
      </c>
      <c r="BC68" s="1583" t="e">
        <v>#VALUE!</v>
      </c>
      <c r="BD68" s="1522" t="e">
        <v>#VALUE!</v>
      </c>
      <c r="BE68" s="1523" t="e">
        <v>#VALUE!</v>
      </c>
      <c r="BF68" s="1523" t="e">
        <v>#VALUE!</v>
      </c>
      <c r="BG68" s="1584" t="e">
        <v>#VALUE!</v>
      </c>
      <c r="BH68" s="1525" t="e">
        <v>#VALUE!</v>
      </c>
      <c r="BI68" s="1520" t="e">
        <v>#VALUE!</v>
      </c>
      <c r="BJ68" s="1520" t="e">
        <v>#VALUE!</v>
      </c>
      <c r="BK68" s="1583" t="e">
        <v>#VALUE!</v>
      </c>
      <c r="BL68" s="1522" t="e">
        <v>#VALUE!</v>
      </c>
      <c r="BM68" s="1523" t="e">
        <v>#VALUE!</v>
      </c>
      <c r="BN68" s="1523" t="e">
        <v>#VALUE!</v>
      </c>
      <c r="BO68" s="1523" t="e">
        <v>#VALUE!</v>
      </c>
      <c r="BP68" s="1525" t="e">
        <f aca="false">SUM(AZ68:BB68)</f>
        <v>#VALUE!</v>
      </c>
      <c r="BQ68" s="1529" t="e">
        <f aca="false">SUM(AZ68:BC68)</f>
        <v>#VALUE!</v>
      </c>
      <c r="BR68" s="1519" t="e">
        <f aca="false">SUM(BH68:BJ68)</f>
        <v>#VALUE!</v>
      </c>
      <c r="BS68" s="1529" t="e">
        <f aca="false">SUM(BH68:BK68)</f>
        <v>#VALUE!</v>
      </c>
      <c r="BT68" s="1316" t="n">
        <f aca="false">(IF(OVolType&lt;&gt;2,A68+14,IF(OptExpDateShift,ShiftBack(A68,OptExpDateShift,D67),A68))-DateToday)/365.25</f>
        <v>4.2984257357974</v>
      </c>
      <c r="BU68" s="1585" t="e">
        <f aca="false">IF(BQ68,IF(OPriceCurve,IF(OBuySell=OCallPut,I68/(1-AY68),K68/(1-AY68)),J68/(1-AY68))*BD68,0)</f>
        <v>#VALUE!</v>
      </c>
      <c r="BV68" s="1316" t="e">
        <f aca="false">IF(BQ68,IF(OPriceCurve,IF(OBuySell=OCallPut,L68/(1-AY68),N68/(1-AY68)),M68/(1-AY68))*BE68,0)</f>
        <v>#VALUE!</v>
      </c>
      <c r="BW68" s="1316" t="e">
        <f aca="false">IF(BQ68,IF(OPriceCurve,IF(OBuySell=OCallPut,O68/(1-AY68),Q68/(1-AY68)),P68/(1-AY68))*BF68,0)</f>
        <v>#VALUE!</v>
      </c>
      <c r="BX68" s="1316" t="e">
        <f aca="false">IF(BQ68,IF(OPriceCurve,IF(OBuySell=OCallPut,R68/(1-AY68),T68/(1-AY68)),S68/(1-AY68))*BG68,0)</f>
        <v>#VALUE!</v>
      </c>
      <c r="BY68" s="1316" t="e">
        <f aca="false">IF(BP68,(BU68*AZ68+BV68*BA68+BW68*BB68)/BP68,0)</f>
        <v>#VALUE!</v>
      </c>
      <c r="BZ68" s="1316" t="e">
        <f aca="false">IF(BQ68,(BY68*BP68+BX68*BC68)/BQ68,0)</f>
        <v>#VALUE!</v>
      </c>
      <c r="CA68" s="1531" t="e">
        <f aca="false">IF(BS68,IF(OPriceCurve,IF(OBuySell=OCallPut,I68/(1-AY68),K68/(1-AY68)),J68/(1-AY68))*BL68,0)</f>
        <v>#VALUE!</v>
      </c>
      <c r="CB68" s="1316" t="e">
        <f aca="false">IF(BS68,IF(OPriceCurve,IF(OBuySell=OCallPut,L68/(1-AY68),N68/(1-AY68)),M68/(1-AY68))*BM68,0)</f>
        <v>#VALUE!</v>
      </c>
      <c r="CC68" s="1316" t="e">
        <f aca="false">IF(BS68,IF(OPriceCurve,IF(OBuySell=OCallPut,O68/(1-AY68),Q68/(1-AY68)),P68/(1-AY68))*BN68,0)</f>
        <v>#VALUE!</v>
      </c>
      <c r="CD68" s="1316" t="e">
        <f aca="false">IF(BS68,IF(OPriceCurve,IF(OBuySell=OCallPut,R68/(1-AY68),T68/(1-AY68)),S68/(1-AY68))*BO68,0)</f>
        <v>#VALUE!</v>
      </c>
      <c r="CE68" s="1316" t="e">
        <f aca="false">IF(BR68,(BU68*BH68+BV68*BI68+BW68*BJ68)/BR68,0)</f>
        <v>#VALUE!</v>
      </c>
      <c r="CF68" s="1532" t="e">
        <f aca="false">IF(BS68,(CE68*BR68+CD68*BK68)/BS68,0)</f>
        <v>#VALUE!</v>
      </c>
      <c r="CG68" s="1586" t="e">
        <f aca="false">IF(OR(BQ68,BS68),IF(OVolType&lt;&gt;2,SQRT(IF(OVolOverMonthlyPeak,OVolOverMonthlyPeak,IF(OVolCurve,IF(OBuySell,U68,W68),V68))^2*(1-15/365.25/BT68)+IF(OVolOverDailyPeak,OVolOverDailyPeak,IF(OVolCurve,IF(OBuySell,AG68,AI68),AH68))^2*15/365.25/BT68),IF(OVolOverMonthlyPeak,OVolOverMonthlyPeak,IF(OVolCurve,IF(OBuySell,U68,W68),V68))),"")</f>
        <v>#VALUE!</v>
      </c>
      <c r="CH68" s="1587" t="e">
        <f aca="false">IF(OR(BQ68,BS68),IF(OVolType&lt;&gt;2,SQRT(IF(OVolOverMonthlyPeak,OVolOverMonthlyPeak,IF(OVolCurve,IF(OBuySell,X68,Z68),Y68))^2*(1-15/365.25/BT68)+IF(OVolOverDailyPeak,OVolOverDailyPeak,IF(OVolCurve,IF(OBuySell,AJ68,AL68),AK68))^2*15/365.25/BT68),IF(OVolOverMonthlyPeak,OVolOverMonthlyPeak,IF(OVolCurve,IF(OBuySell,X68,Z68),Y68))),"")</f>
        <v>#VALUE!</v>
      </c>
      <c r="CI68" s="1587" t="e">
        <f aca="false">IF(OR(BQ68,BS68),IF(OVolType&lt;&gt;2,SQRT(IF(OVolOverMonthlyPeak,OVolOverMonthlyPeak,IF(OVolCurve,IF(OBuySell,AA68,AC68),AB68))^2*(1-15/365.25/BT68)+IF(OVolOverDailyPeak,OVolOverDailyPeak,IF(OVolCurve,IF(OBuySell,AM68,AO68),AN68))^2*15/365.25/BT68),IF(OVolOverMonthlyPeak,OVolOverMonthlyPeak,IF(OVolCurve,IF(OBuySell,AA68,AC68),AB68))),"")</f>
        <v>#VALUE!</v>
      </c>
      <c r="CJ68" s="1587" t="e">
        <f aca="false">IF(BQ68,IF(BP68,SQRT(LN(1+((BU68*AZ68)^2*(EXP(CG68^2*BT68)-1)+(BV68*BA68)^2*(EXP(CH68^2*BT68)-1)+(BW68*BB68)^2*(EXP(CI68^2*BT68)-1)+2*BU68*AZ68*BV68*BA68*(EXP(CG68*CH68*BT68)-1)+2*BV68*BA68*BW68*BB68*(EXP(CH68*CI68*BT68)-1)+2*BW68*BB68*BU68*AZ68*(EXP(CI68*CG68*BT68)-1))/(BY68*BP68)^2)/BT68),0),"")</f>
        <v>#VALUE!</v>
      </c>
      <c r="CK68" s="1587" t="e">
        <f aca="false">IF(BS68,IF(BR68,SQRT(LN(1+((CA68*BH68)^2*(EXP(CG68^2*BT68)-1)+(CB68*BI68)^2*(EXP(CH68^2*BT68)-1)+(CC68*BJ68)^2*(EXP(CI68^2*BT68)-1)+2*CA68*BH68*CB68*BI68*(EXP(CG68*CH68*BT68)-1)+2*CB68*BI68*CC68*BJ68*(EXP(CH68*CI68*BT68)-1)+2*CC68*BJ68*CA68*BH68*(EXP(CI68*CG68*BT68)-1))/(CE68*BR68)^2)/BT68),0),"")</f>
        <v>#VALUE!</v>
      </c>
      <c r="CL68" s="1587" t="e">
        <f aca="false">IF(OR(BQ68,BS68),IF(OVolType&lt;&gt;2,SQRT(IF(OVolOverMonthlyOffPeak,OVolOverMonthlyOffPeak,IF(OVolCurve,IF(OBuySell,AD68,AF68),AE68))^2*(1-15/365.25/BT68)+IF(OVolOverDailyOffPeak,OVolOverDailyOffPeak,IF(OVolCurve,IF(OBuySell,AP68,AR68),AQ68))^2*15/365.25/BT68),IF(OVolOverMonthlyOffPeak,OVolOverMonthlyOffPeak,IF(OVolCurve,IF(OBuySell,AD68,AF68),AE68))),"")</f>
        <v>#VALUE!</v>
      </c>
      <c r="CM68" s="1587" t="e">
        <f aca="false">IF(BQ68,SQRT(LN(1+((BY68*BP68)^2*(EXP(CJ68^2*BT68)-1)+(BX68*BC68)^2*(EXP(CL68^2*BT68)-1)+2*BY68*BP68*BX68*BC68*(EXP(AS68*CJ68*CL68*BT68)-1))/(BY68*BP68+BX68*BC68)^2)/BT68),"")</f>
        <v>#VALUE!</v>
      </c>
      <c r="CN68" s="1588" t="e">
        <f aca="false">IF(BS68,SQRT(LN(1+((CE68*BR68)^2*(EXP(CK68^2*BT68)-1)+(CD68*BK68)^2*(EXP(CL68^2*BT68)-1)+2*CE68*BR68*CD68*BK68*(EXP(AS68*CK68*CL68*BT68)-1))/(CE68*BR68+CD68*BK68)^2)/BT68),"")</f>
        <v>#VALUE!</v>
      </c>
      <c r="CO68" s="1531" t="e">
        <f aca="false">IF(OR(BQ68,BS68),VLOOKUP(A68,GasTable,13)*HeatRatePeak*(1+VLOOKUP($B68,HeatRateDegradation,$C68+1))/1000,0)</f>
        <v>#VALUE!</v>
      </c>
      <c r="CP68" s="1316" t="e">
        <f aca="false">IF(OR(BQ68,BS68),VLOOKUP(A68,GasTable,13)*HeatRatePeak*(1+VLOOKUP($B68,HeatRateDegradation,$C68+1))/1000,0)</f>
        <v>#VALUE!</v>
      </c>
      <c r="CQ68" s="1316" t="e">
        <f aca="false">IF(OR(BQ68,BS68),VLOOKUP(A68,GasTable,13)*IF(EV68,HeatRatePeak,HeatRateOffPeak)*(1+VLOOKUP($B68,HeatRateDegradation,$C68+1))/1000,0)</f>
        <v>#VALUE!</v>
      </c>
      <c r="CR68" s="1316" t="e">
        <f aca="false">IF(OR(BQ68,BS68),VLOOKUP(A68,GasTable,13)*IF(EW68,HeatRatePeak,HeatRateOffPeak)*(1+VLOOKUP($B68,HeatRateDegradation,$C68+1))/1000,0)</f>
        <v>#VALUE!</v>
      </c>
      <c r="CS68" s="1589" t="e">
        <f aca="false">IF(BQ68,(CO68*AZ68+CP68*BA68+CQ68*BB68+CR68*BC68)/BQ68,0)</f>
        <v>#VALUE!</v>
      </c>
      <c r="CT68" s="1316" t="e">
        <f aca="false">IF(BS68,CO68,0)</f>
        <v>#VALUE!</v>
      </c>
      <c r="CU68" s="1590" t="e">
        <f aca="false">IF(OR(BQ68,BS68),VLOOKUP(A68,GasTable,14),"")</f>
        <v>#VALUE!</v>
      </c>
      <c r="CV68" s="1568" t="e">
        <f aca="false">IF(OR(BQ68,BS68),IF(CorrPowerGasOverFlag,INDEX(CorrPowerGasOver,C68),CorrPowerGas),"")</f>
        <v>#VALUE!</v>
      </c>
      <c r="CW68" s="1316" t="e">
        <f aca="false">IF(OR($BQ68,$BS68),SpreadOptPowerMargin,0)*((1+Assumptions!$C$26)^($B68-YEAR(Assumptions!$C$17)))</f>
        <v>#VALUE!</v>
      </c>
      <c r="CX68" s="1316" t="e">
        <f aca="false">IF(OR($BQ68,$BS68),SpreadOptPowerMargin,0)*((1+Assumptions!$C$26)^($B68-YEAR(Assumptions!$C$17)))</f>
        <v>#VALUE!</v>
      </c>
      <c r="CY68" s="1316" t="e">
        <f aca="false">IF(OR($BQ68,$BS68),SpreadOptPowerMargin,0)*((1+Assumptions!$C$26)^($B68-YEAR(Assumptions!$C$17)))</f>
        <v>#VALUE!</v>
      </c>
      <c r="CZ68" s="1316" t="e">
        <f aca="false">IF(OR($BQ68,$BS68),SpreadOptPowerMargin,0)*((1+Assumptions!$C$26)^($B68-YEAR(Assumptions!$C$17)))</f>
        <v>#VALUE!</v>
      </c>
      <c r="DA68" s="1591" t="e">
        <f aca="false">IF(OR(BQ68,BS68),(CW68*(AZ68+BH68)+CX68*(BA68+BI68)+CY68*(BB68+BJ68)+CZ68*(BC68+BK68))/(BQ68+BS68),0)</f>
        <v>#VALUE!</v>
      </c>
      <c r="DB68" s="1592" t="e">
        <f aca="false">IF(OR(BQ68,BS68),CG68+IF(OVolSmile,VLOOKUP(MAX(-5,CO68+CW68-BU68),IF(OVolSmile=1,VolSmileBook,VolSmileModel),2),0),"")</f>
        <v>#VALUE!</v>
      </c>
      <c r="DC68" s="1592" t="e">
        <f aca="false">IF(OR(BQ68,BS68),CH68+IF(OVolSmile,VLOOKUP(MAX(-5,CP68+CW68-BV68),IF(OVolSmile=1,VolSmileBook,VolSmileModel),2),0),"")</f>
        <v>#VALUE!</v>
      </c>
      <c r="DD68" s="1592" t="e">
        <f aca="false">IF(OR(BQ68,BS68),CI68+IF(OVolSmile,VLOOKUP(MAX(-5,CQ68+CW68-BW68),IF(OVolSmile=1,VolSmileBook,VolSmileModel),2),0),"")</f>
        <v>#VALUE!</v>
      </c>
      <c r="DE68" s="1592" t="e">
        <f aca="false">IF(OR(BQ68,BS68),CL68+IF(OVolSmile,VLOOKUP(MAX(-5,CR68+CZ68-BX68),IF(OVolSmile=1,VolSmileBook,VolSmileModel),2),0),"")</f>
        <v>#VALUE!</v>
      </c>
      <c r="DF68" s="1592" t="e">
        <f aca="false">IF(BQ68,CM68+IF(OVolSmile,VLOOKUP(MAX(-5,CS68+DA68-BZ68),IF(OVolSmile=1,VolSmileBook,VolSmileModel),2),0),"")</f>
        <v>#VALUE!</v>
      </c>
      <c r="DG68" s="1593" t="e">
        <f aca="false">IF(BS68,CN68+IF(OVolSmile,VLOOKUP(MAX(-5,CT68+DA68-CF68),IF(OVolSmile=1,VolSmileBook,VolSmileModel),2),0),"")</f>
        <v>#VALUE!</v>
      </c>
      <c r="DH68" s="1316" t="e">
        <f aca="false">IF(AND(BU68&gt;0,CO68&gt;0,DB68&gt;0,CU68&gt;0),newSPRDOPT(BU68,CO68,CW68,0,DB68,CU68,CV68,BT68*365.25,OCallPut,0),0)</f>
        <v>#VALUE!</v>
      </c>
      <c r="DI68" s="1316" t="e">
        <f aca="false">IF(AND(BV68&gt;0,CP68&gt;0,DC68&gt;0,CU68&gt;0),newSPRDOPT(BV68,CP68,CX68,0,DC68,CU68,CV68,BT68*365.25,OCallPut,0),0)</f>
        <v>#VALUE!</v>
      </c>
      <c r="DJ68" s="1316" t="e">
        <f aca="false">IF(AND(BW68&gt;0,CQ68&gt;0,DD68&gt;0,CU68&gt;0),newSPRDOPT(BW68,CQ68,CY68,0,DD68,CU68,CV68,BT68*365.25,OCallPut,0),0)</f>
        <v>#VALUE!</v>
      </c>
      <c r="DK68" s="1316" t="e">
        <f aca="false">IF(AND(BX68&gt;0,CR68&gt;0,DE68&gt;0,CU68&gt;0),newSPRDOPT(BX68,CR68,CZ68,0,DE68,CU68,CV68,BT68*365.25,OCallPut,0),0)</f>
        <v>#VALUE!</v>
      </c>
      <c r="DL68" s="1316" t="e">
        <f aca="false">IF(OVolType,IF(AND(BZ68&gt;0,CS68&gt;0,DF68&gt;0,CU68&gt;0),newSPRDOPT(BZ68,CS68,DA68,0,DF68,CU68,CV68,BT68*365.25,OCallPut,0),0),IF(BQ68,(DH68*AZ68+DI68*BA68+DJ68*BB68+DK68*BC68)/BQ68,0))</f>
        <v>#VALUE!</v>
      </c>
      <c r="DM68" s="1316"/>
      <c r="DN68" s="1316"/>
      <c r="DO68" s="1316"/>
      <c r="DP68" s="1316"/>
      <c r="DQ68" s="1316"/>
      <c r="DR68" s="1316"/>
      <c r="DS68" s="1316"/>
      <c r="DT68" s="1316"/>
      <c r="DU68" s="1316"/>
      <c r="DV68" s="1316"/>
      <c r="DW68" s="1594" t="e">
        <f aca="false">IF(AND(BW68&gt;0,CT68&gt;0,DD68&gt;0,CU68&gt;0),newSPRDOPT(BW68,CT68,CY68,0,DD68,CU68,CV68,BT68*365.25,OCallPut,0),0)</f>
        <v>#VALUE!</v>
      </c>
      <c r="DX68" s="1316" t="e">
        <f aca="false">IF(AND(BX68&gt;0,CT68&gt;0,DE68&gt;0,CU68&gt;0),newSPRDOPT(BX68,CT68,CZ68,0,DE68,CU68,CV68,BT68*365.25,OCallPut,0),0)</f>
        <v>#VALUE!</v>
      </c>
      <c r="DY68" s="1591" t="e">
        <f aca="false">IF(BS68,(DH68*BH68+DI68*BI68+DW68*BJ68+DX68*BK68)/BS68,0)</f>
        <v>#VALUE!</v>
      </c>
      <c r="DZ68" s="1551" t="e">
        <f aca="false">DH68*AZ68</f>
        <v>#VALUE!</v>
      </c>
      <c r="EA68" s="1551" t="e">
        <f aca="false">DI68*BA68</f>
        <v>#VALUE!</v>
      </c>
      <c r="EB68" s="1551" t="e">
        <f aca="false">DJ68*BB68</f>
        <v>#VALUE!</v>
      </c>
      <c r="EC68" s="1551" t="e">
        <f aca="false">DK68*BC68</f>
        <v>#VALUE!</v>
      </c>
      <c r="ED68" s="1551" t="e">
        <f aca="false">DL68*BQ68</f>
        <v>#VALUE!</v>
      </c>
      <c r="EE68" s="1595" t="e">
        <f aca="false">IF(BQ68,IF(OCallPut,IF(BU68&gt;(CO68+CW68),BU68-(CO68+CW68),0),IF((CO68+CW68)&gt;BU68,(CO68+CW68)-BU68,0))*AZ68,0)</f>
        <v>#VALUE!</v>
      </c>
      <c r="EF68" s="1596" t="e">
        <f aca="false">IF(BQ68,IF(OCallPut,IF(BV68&gt;(CP68+CX68),BV68-(CP68+CX68),0),IF((CP68+CX68)&gt;BV68,(CP68+CX68)-BV68,0))*BA68,0)</f>
        <v>#VALUE!</v>
      </c>
      <c r="EG68" s="1596" t="e">
        <f aca="false">IF(BQ68,IF(OCallPut,IF(BW68&gt;(CQ68+CY68),BW68-(CQ68+CY68),0),IF((CQ68+CY68)&gt;BW68,(CQ68+CY68)-BW68,0))*BB68,0)</f>
        <v>#VALUE!</v>
      </c>
      <c r="EH68" s="1596" t="e">
        <f aca="false">IF(BQ68,IF(OCallPut,IF(BX68&gt;(CR68+CZ68),BX68-(CR68+CZ68),0),IF((CR68+CZ68)&gt;BX68,(CR68+CZ68)-BX68,0))*BC68,0)</f>
        <v>#VALUE!</v>
      </c>
      <c r="EI68" s="1597" t="e">
        <f aca="false">IF(BQ68,IF(OVolType,IF(OCallPut,IF(BZ68&gt;(CS68+DA68),BZ68-(CS68+DA68),0),IF((CS68+DA68)&gt;BZ68,(CS68+DA68)-BZ68,0))*BQ68,SUM(EE68:EH68)),0)</f>
        <v>#VALUE!</v>
      </c>
      <c r="EJ68" s="1595" t="e">
        <f aca="false">DZ68-EE68</f>
        <v>#VALUE!</v>
      </c>
      <c r="EK68" s="1596" t="e">
        <f aca="false">EA68-EF68</f>
        <v>#VALUE!</v>
      </c>
      <c r="EL68" s="1596" t="e">
        <f aca="false">EB68-EG68</f>
        <v>#VALUE!</v>
      </c>
      <c r="EM68" s="1596" t="e">
        <f aca="false">EC68-EH68</f>
        <v>#VALUE!</v>
      </c>
      <c r="EN68" s="1597" t="e">
        <f aca="false">ED68-EI68</f>
        <v>#VALUE!</v>
      </c>
      <c r="EO68" s="1551" t="e">
        <f aca="false">DH68*BH68</f>
        <v>#VALUE!</v>
      </c>
      <c r="EP68" s="1551" t="e">
        <f aca="false">DI68*BI68</f>
        <v>#VALUE!</v>
      </c>
      <c r="EQ68" s="1551" t="e">
        <f aca="false">DW68*BJ68</f>
        <v>#VALUE!</v>
      </c>
      <c r="ER68" s="1551" t="e">
        <f aca="false">DX68*BK68</f>
        <v>#VALUE!</v>
      </c>
      <c r="ES68" s="1551" t="e">
        <f aca="false">DY68*BS68</f>
        <v>#VALUE!</v>
      </c>
      <c r="ET68" s="1566" t="e">
        <f aca="false">IF(EI68,IF(OCallPut,IF(CA68&gt;(CT68+CW68),CA68-(CT68+CW68),0),IF((CT68+CW68)&gt;CA68,(CT68+CW68)-CA68,0))*BH68,0)</f>
        <v>#VALUE!</v>
      </c>
      <c r="EU68" s="1551" t="e">
        <f aca="false">IF(EI68,IF(OCallPut,IF(CB68&gt;(CT68+CX68),CB68-(CT68+CX68),0),IF((CT68+CX68)&gt;CB68,(CT68+CX68)-CB68,0))*BI68,0)</f>
        <v>#VALUE!</v>
      </c>
      <c r="EV68" s="1551" t="e">
        <f aca="false">IF(EI68,IF(OCallPut,IF(CC68&gt;(CT68+CY68),CC68-(CT68+CY68),0),IF((CT68+CY68)&gt;CC68,(CT68+CY68)-CC68,0))*BJ68,0)</f>
        <v>#VALUE!</v>
      </c>
      <c r="EW68" s="1551" t="e">
        <f aca="false">IF(EI68,IF(OCallPut,IF(CD68&gt;(CT68+CZ68),CD68-(CT68+CZ68),0),IF((CT68+CZ68)&gt;CD68,(CT68+CZ68)-CD68,0))*BK68,0)</f>
        <v>#VALUE!</v>
      </c>
      <c r="EX68" s="1558" t="e">
        <f aca="false">IF(EI68,SUM(ET68:EW68),0)</f>
        <v>#VALUE!</v>
      </c>
      <c r="EY68" s="1551" t="e">
        <f aca="false">EO68-ET68</f>
        <v>#VALUE!</v>
      </c>
      <c r="EZ68" s="1551" t="e">
        <f aca="false">EP68-EU68</f>
        <v>#VALUE!</v>
      </c>
      <c r="FA68" s="1551" t="e">
        <f aca="false">EQ68-EV68</f>
        <v>#VALUE!</v>
      </c>
      <c r="FB68" s="1551" t="e">
        <f aca="false">ER68-EW68</f>
        <v>#VALUE!</v>
      </c>
      <c r="FC68" s="1551" t="e">
        <f aca="false">ES68-EX68</f>
        <v>#VALUE!</v>
      </c>
      <c r="FD68" s="1525" t="n">
        <f aca="false">IF(AX68,IF(VLOOKUP(C68,MAIN!$L$17:$M$28,2)="Yes",VLOOKUP(CALC!B68,MAIN!$H$17:$I$20,2),0),0)</f>
        <v>0</v>
      </c>
      <c r="FE68" s="1552" t="e">
        <f aca="false">$FD68*16*AT68*(1-$AY68)</f>
        <v>#VALUE!</v>
      </c>
      <c r="FF68" s="1553" t="e">
        <f aca="false">$FD68*16*AU68*(1-$AY68)</f>
        <v>#VALUE!</v>
      </c>
      <c r="FG68" s="1553" t="e">
        <f aca="false">$FD68*16*(AV68+AW68)*(1-$AY68)</f>
        <v>#VALUE!</v>
      </c>
      <c r="FH68" s="1554" t="n">
        <f aca="false">$FD68*8*AX68*(1-$AY68)</f>
        <v>0</v>
      </c>
      <c r="FI68" s="1555" t="n">
        <f aca="false">IF(AX68,VLOOKUP(CALC!B68,MAIN!$H$17:$K$20,4),0)</f>
        <v>0</v>
      </c>
      <c r="FJ68" s="1553" t="e">
        <f aca="false">SUM(FE68:FH68)</f>
        <v>#VALUE!</v>
      </c>
      <c r="FK68" s="1556" t="e">
        <f aca="false">FI68*FJ68</f>
        <v>#VALUE!</v>
      </c>
      <c r="FL68" s="1551" t="e">
        <f aca="false">IF($EI68&gt;0,MIN(FE68,AZ68*(1+VLOOKUP($C68,WeatherCapacityAdjustment,2))),0)</f>
        <v>#VALUE!</v>
      </c>
      <c r="FM68" s="1551" t="e">
        <f aca="false">IF($EI68&gt;0,MIN(FF68,BA68*(1+VLOOKUP($C68,WeatherCapacityAdjustment,2))),0)</f>
        <v>#VALUE!</v>
      </c>
      <c r="FN68" s="1551" t="e">
        <f aca="false">IF($EI68&gt;0,MIN(FG68,BB68*(1+VLOOKUP($C68,WeatherCapacityAdjustment,2))),0)</f>
        <v>#VALUE!</v>
      </c>
      <c r="FO68" s="1564" t="e">
        <f aca="false">IF($EI68&gt;0,MIN(FH68,BC68*(1+VLOOKUP($C68,WeatherCapacityAdjustment,3))),0)</f>
        <v>#VALUE!</v>
      </c>
      <c r="FP68" s="1551" t="e">
        <f aca="false">IF(ET68&gt;0,MIN(FE68-FL68,BH68*(1+VLOOKUP($C68,WeatherCapacityAdjustment,2))),0)</f>
        <v>#VALUE!</v>
      </c>
      <c r="FQ68" s="1551" t="e">
        <f aca="false">IF(EU68&gt;0,MIN(FF68-FM68,BI68*(1+VLOOKUP($C68,WeatherCapacityAdjustment,2))),0)</f>
        <v>#VALUE!</v>
      </c>
      <c r="FR68" s="1551" t="e">
        <f aca="false">IF(EV68&gt;0,MIN(FG68-FN68,BJ68*(1+VLOOKUP($C68,WeatherCapacityAdjustment,2))),0)</f>
        <v>#VALUE!</v>
      </c>
      <c r="FS68" s="1558" t="e">
        <f aca="false">IF(EW68&gt;0,MIN(FH68-FO68,BK68*(1+VLOOKUP($C68,WeatherCapacityAdjustment,3))),0)</f>
        <v>#VALUE!</v>
      </c>
      <c r="FT68" s="1566" t="e">
        <f aca="false">IF(AND(Assumptions!$H$71="Yes",A68&gt;=Assumptions!$H$72,A68&lt;=Assumptions!$H$73),0,IF(AND($A68&gt;=Assumptions!$C$17,$A68&lt;=Assumptions!$C$18),MAX(AZ68*(1+VLOOKUP($C68,WeatherCapacityAdjustment,2))-FL68,0),0))</f>
        <v>#VALUE!</v>
      </c>
      <c r="FU68" s="1551" t="e">
        <f aca="false">IF(AND(Assumptions!$H$71="Yes",A68&gt;=Assumptions!$H$72,A68&lt;=Assumptions!$H$73),0,IF(AND($A68&gt;=Assumptions!$C$17,$A68&lt;=Assumptions!$C$18),MAX(BA68*(1+VLOOKUP($C68,WeatherCapacityAdjustment,2))-FM68,0),0))</f>
        <v>#VALUE!</v>
      </c>
      <c r="FV68" s="1551" t="e">
        <f aca="false">IF(AND(Assumptions!$H$71="Yes",A68&gt;=Assumptions!$H$72,A68&lt;=Assumptions!$H$73),0,IF(AND($A68&gt;=Assumptions!$C$17,$A68&lt;=Assumptions!$C$18),MAX(BB68*(1+VLOOKUP($C68,WeatherCapacityAdjustment,2))-FN68,0),0))</f>
        <v>#VALUE!</v>
      </c>
      <c r="FW68" s="1564" t="e">
        <f aca="false">IF(AND(Assumptions!$H$71="Yes",A68&gt;=Assumptions!$H$72,A68&lt;=Assumptions!$H$73),0,IF(AND($A68&gt;=Assumptions!$C$17,$A68&lt;=Assumptions!$C$18),MAX(BC68*(1+VLOOKUP($C68,WeatherCapacityAdjustment,3))-FO68,0),0))</f>
        <v>#VALUE!</v>
      </c>
      <c r="FX68" s="1569" t="e">
        <f aca="false">IF(AND(Assumptions!$H$71="Yes",A68&gt;=Assumptions!$H$72,A68&lt;=Assumptions!$H$73),0,IF(ET68&gt;0,MAX(BH68*(1+VLOOKUP($C68,WeatherCapacityAdjustment,2))-FP68,0),0))</f>
        <v>#VALUE!</v>
      </c>
      <c r="FY68" s="1551" t="e">
        <f aca="false">IF(AND(Assumptions!$H$71="Yes",A68&gt;=Assumptions!$H$72,A68&lt;=Assumptions!$H$73),0,IF(EU68&gt;0,MAX(BI68*(1+VLOOKUP($C68,WeatherCapacityAdjustment,3))-FQ68,0),0))</f>
        <v>#VALUE!</v>
      </c>
      <c r="FZ68" s="1551" t="e">
        <f aca="false">IF(AND(Assumptions!$H$71="Yes",A68&gt;=Assumptions!$H$72,A68&lt;=Assumptions!$H$73),0,IF(EV68&gt;0,MAX(BJ68*(1+VLOOKUP($C68,WeatherCapacityAdjustment,2))-FR68,0),0))</f>
        <v>#VALUE!</v>
      </c>
      <c r="GA68" s="1564" t="e">
        <f aca="false">IF(AND(Assumptions!$H$71="Yes",A68&gt;=Assumptions!$H$72,A68&lt;=Assumptions!$H$73),0,IF(EW68&gt;0,MAX(BK68*(1+VLOOKUP($C68,WeatherCapacityAdjustment,2))-FS68,0),0))</f>
        <v>#VALUE!</v>
      </c>
      <c r="GB68" s="1551" t="e">
        <f aca="false">SUM(FT68:GA68)</f>
        <v>#VALUE!</v>
      </c>
      <c r="GC68" s="1563" t="e">
        <f aca="false">+IF(SUM(FT68:GA68)=0,0,(SUMPRODUCT(BU68:BX68,FT68:FW68)+SUMPRODUCT(CA68:CD68,FX68:GA68))/SUM(FT68:GA68))</f>
        <v>#VALUE!</v>
      </c>
      <c r="GD68" s="1551" t="e">
        <f aca="false">(FT68*BU68+FX68*CA68+FU68*BV68+FY68*CB68+FV68*BW68+FZ68*CC68+FW68*BX68+GA68*CD68)</f>
        <v>#VALUE!</v>
      </c>
      <c r="GE68" s="1561" t="e">
        <f aca="false">+IF(BQ68,((FL68+FM68+FT68+FU68)*HeatRatePeak/1000*(1+VLOOKUP($C68,WeatherHeatRateAdjustment,2))+(FN68+FV68)*IF(EV68&gt;0,HeatRatePeak,HeatRateOffPeak)/1000*(1+VLOOKUP($C68,WeatherHeatRateAdjustment,2))+(FO68+FW68)*IF(EW68&gt;0,HeatRatePeak,HeatRateOffPeak)/1000*(1+VLOOKUP($C68,WeatherHeatRateAdjustment,3)))*(1+VLOOKUP($B68,HeatRateDegradation,$C68+1)),0)</f>
        <v>#VALUE!</v>
      </c>
      <c r="GF68" s="1562" t="e">
        <f aca="false">IF(BQ68,((FP68+FQ68+FR68+FX68+FY68+FZ68)*HeatRatePeak/1000*(1+VLOOKUP($C68,WeatherHeatRateAdjustment,2))+(FS68+GA68)*HeatRatePeak/1000*(1+VLOOKUP($C68,WeatherHeatRateAdjustment,3)))*(1+VLOOKUP($B68,HeatRateDegradation,$C68+1)),0)</f>
        <v>#VALUE!</v>
      </c>
      <c r="GG68" s="1563" t="e">
        <f aca="false">IF(BQ68,VLOOKUP(A68,GasTable,13),0)</f>
        <v>#VALUE!</v>
      </c>
      <c r="GH68" s="1564" t="e">
        <f aca="false">(GE68+GF68)*GG68</f>
        <v>#VALUE!</v>
      </c>
      <c r="GI68" s="1569" t="e">
        <f aca="false">GB68</f>
        <v>#VALUE!</v>
      </c>
      <c r="GJ68" s="1598" t="e">
        <f aca="false">+DA68</f>
        <v>#VALUE!</v>
      </c>
      <c r="GK68" s="1558" t="e">
        <f aca="false">+GI68*GJ68</f>
        <v>#VALUE!</v>
      </c>
      <c r="GL68" s="1566" t="e">
        <f aca="false">MAX(FE68-FL68-FP68,0)</f>
        <v>#VALUE!</v>
      </c>
      <c r="GM68" s="1551" t="e">
        <f aca="false">MAX(FF68-FM68-FQ68,0)</f>
        <v>#VALUE!</v>
      </c>
      <c r="GN68" s="1551" t="e">
        <f aca="false">MAX(FG68-FN68-FR68,0)</f>
        <v>#VALUE!</v>
      </c>
      <c r="GO68" s="1564" t="e">
        <f aca="false">MAX(FH68-FO68-FS68,0)</f>
        <v>#VALUE!</v>
      </c>
      <c r="GP68" s="1551" t="e">
        <f aca="false">SUM(GL68:GO68)</f>
        <v>#VALUE!</v>
      </c>
      <c r="GQ68" s="1563" t="e">
        <f aca="false">IF(SUM(GL68:GO68)=0,0,((GL68*BU68+GM68*BV68+GN68*BW68+GO68*BX68)/SUM(GL68:GO68)))</f>
        <v>#VALUE!</v>
      </c>
      <c r="GR68" s="1558" t="e">
        <f aca="false">(GL68*BU68+GM68*BV68+GN68*BW68+GO68*BX68)</f>
        <v>#VALUE!</v>
      </c>
      <c r="GS68" s="1566" t="n">
        <f aca="false">IF($A68&gt;=BegDate,Assumptions!$C$56*24*($A69-$A68)*(1-VLOOKUP($B68,MAIN!$AA$7:$AM$28,$C68+1))*(1-VLOOKUP($B68,MAIN!$AA$33:$AM$54,$C68+1)),0)*80/168</f>
        <v>257742.857142857</v>
      </c>
      <c r="GT68" s="286" t="n">
        <f aca="false">J68</f>
        <v>78.119994932928</v>
      </c>
      <c r="GU68" s="286" t="n">
        <f aca="false">IF($A68&gt;=BegDate,VLOOKUP($A68,GasTable,13)+Assumptions!$C$58,0)</f>
        <v>2.47049902615628</v>
      </c>
      <c r="GV68" s="286" t="n">
        <f aca="false">GU68*Assumptions!$C$57/1000</f>
        <v>17.911117939633</v>
      </c>
      <c r="GW68" s="1558" t="n">
        <f aca="false">IF(Assumptions!$C$60="Hourly",MAX(0,GS68*(GT68-GV68)),GS68*(GT68-GV68))</f>
        <v>15518407.9816147</v>
      </c>
      <c r="GX68" s="1566" t="n">
        <f aca="false">IF($A68&gt;=BegDate,Assumptions!$C$56*24*($A69-$A68)*(1-VLOOKUP($B68,MAIN!$AA$7:$AM$28,$C68+1))*(1-VLOOKUP($B68,MAIN!$AA$33:$AM$54,$C68+1)),0)*16/168</f>
        <v>51548.5714285714</v>
      </c>
      <c r="GY68" s="286" t="n">
        <f aca="false">M68</f>
        <v>78.119994932928</v>
      </c>
      <c r="GZ68" s="286" t="n">
        <f aca="false">IF($A68&gt;=BegDate,VLOOKUP($A68,GasTable,13)+Assumptions!$C$58,0)</f>
        <v>2.47049902615628</v>
      </c>
      <c r="HA68" s="286" t="n">
        <f aca="false">GZ68*Assumptions!$C$57/1000</f>
        <v>17.911117939633</v>
      </c>
      <c r="HB68" s="1558" t="n">
        <f aca="false">IF(Assumptions!$C$60="Hourly",MAX(0,GX68*(GY68-HA68)),GX68*(GY68-HA68))</f>
        <v>3103681.59632294</v>
      </c>
      <c r="HC68" s="1566" t="n">
        <f aca="false">IF($A68&gt;=BegDate,Assumptions!$C$56*24*($A69-$A68)*(1-VLOOKUP($B68,MAIN!$AA$7:$AM$28,$C68+1))*(1-VLOOKUP($B68,MAIN!$AA$33:$AM$54,$C68+1)),0)*16/168</f>
        <v>51548.5714285714</v>
      </c>
      <c r="HD68" s="286" t="n">
        <f aca="false">P68</f>
        <v>28.573935916464</v>
      </c>
      <c r="HE68" s="286" t="n">
        <f aca="false">IF($A68&gt;=BegDate,VLOOKUP($A68,GasTable,13)+Assumptions!$C$58,0)</f>
        <v>2.47049902615628</v>
      </c>
      <c r="HF68" s="286" t="n">
        <f aca="false">HE68*Assumptions!$C$57/1000</f>
        <v>17.911117939633</v>
      </c>
      <c r="HG68" s="1558" t="n">
        <f aca="false">IF(Assumptions!$C$60="Hourly",MAX(0,HC68*(HD68-HF68)),HC68*(HD68-HF68))</f>
        <v>549653.034108526</v>
      </c>
      <c r="HH68" s="1566" t="n">
        <f aca="false">IF($A68&gt;=BegDate,Assumptions!$C$56*24*($A69-$A68)*(1-VLOOKUP($B68,MAIN!$AA$7:$AM$28,$C68+1))*(1-VLOOKUP($B68,MAIN!$AA$33:$AM$54,$C68+1)),0)*56/168</f>
        <v>180420</v>
      </c>
      <c r="HI68" s="286" t="n">
        <f aca="false">S68</f>
        <v>28.573935916464</v>
      </c>
      <c r="HJ68" s="286" t="n">
        <f aca="false">IF($A68&gt;=BegDate,VLOOKUP($A68,GasTable,13)+Assumptions!$C$58,0)</f>
        <v>2.47049902615628</v>
      </c>
      <c r="HK68" s="286" t="n">
        <f aca="false">HJ68*Assumptions!$C$57/1000</f>
        <v>17.911117939633</v>
      </c>
      <c r="HL68" s="1558" t="n">
        <f aca="false">IF(Assumptions!$C$60="Hourly",MAX(0,HH68*(HI68-HK68)),HH68*(HI68-HK68))</f>
        <v>1923785.61937984</v>
      </c>
      <c r="HM68" s="1566" t="n">
        <f aca="false">IF(AND(Assumptions!$H$71="Yes",A68&gt;=Assumptions!$H$72,A68&lt;=Assumptions!$H$73),Assumptions!$H$74*Assumptions!$C$9*1000,0)</f>
        <v>0</v>
      </c>
      <c r="HN68" s="1551" t="e">
        <f aca="false">GD68-GH68</f>
        <v>#VALUE!</v>
      </c>
      <c r="HO68" s="1563"/>
      <c r="HP68" s="1563"/>
      <c r="HQ68" s="1563"/>
      <c r="HR68" s="1563"/>
      <c r="HS68" s="1563"/>
      <c r="HT68" s="1563"/>
      <c r="HU68" s="1563"/>
      <c r="HV68" s="1563"/>
      <c r="HW68" s="1563"/>
      <c r="HX68" s="1563"/>
      <c r="HY68" s="1563"/>
      <c r="HZ68" s="1563"/>
      <c r="IA68" s="1563"/>
      <c r="IB68" s="1563"/>
      <c r="IC68" s="1563"/>
      <c r="ID68" s="1563"/>
      <c r="IE68" s="1563"/>
      <c r="IF68" s="1563"/>
      <c r="IG68" s="1563"/>
      <c r="IH68" s="1563"/>
      <c r="II68" s="1610"/>
      <c r="IJ68" s="1309"/>
      <c r="IK68" s="1309"/>
    </row>
    <row r="69" customFormat="false" ht="12.75" hidden="false" customHeight="false" outlineLevel="0" collapsed="false">
      <c r="A69" s="1571" t="n">
        <f aca="false">EOMONTH(A68,0)+1</f>
        <v>38231</v>
      </c>
      <c r="B69" s="594" t="n">
        <f aca="false">+YEAR(A69)</f>
        <v>2004</v>
      </c>
      <c r="C69" s="238" t="n">
        <f aca="false">MONTH(A69)</f>
        <v>9</v>
      </c>
      <c r="D69" s="1572" t="e">
        <f aca="false">IF(E69="","",Holiday(B69,C69))</f>
        <v>#VALUE!</v>
      </c>
      <c r="E69" s="1573" t="n">
        <f aca="false">IF(OR(BegDate&gt;=A70,EndDate&lt;A69,AND(VolumeMonthlyOverFlag,INDEX(VolumeMonthlyOver,C69)=0),NOT(INDEX(MonthKnockOutTable,C69))),"",MAX(A69,BegDate))</f>
        <v>38231</v>
      </c>
      <c r="F69" s="1574" t="n">
        <f aca="false">IF(E69="","",MIN(A70-1,EndDate))</f>
        <v>38260</v>
      </c>
      <c r="G69" s="1575" t="n">
        <v>0</v>
      </c>
      <c r="H69" s="1576" t="n">
        <f aca="false">(1+G69/2)^(-2*(DATE(B70,C70,20)-DateToday)/365.25)</f>
        <v>1</v>
      </c>
      <c r="I69" s="1568" t="n">
        <f aca="false">IF(Assumptions!$L$25=4,VLOOKUP($A69,'Henwood Reference'!$E$9:$R$320,10),(VLOOKUP($A69,PriceTable,2,0)+IF(BasisNumber&lt;&gt;1,VLOOKUP($A69,BasisTable,2,0),0)+I$1)/(1-I$2))</f>
        <v>60.316042522032</v>
      </c>
      <c r="J69" s="1568" t="n">
        <f aca="false">IF(Assumptions!$L$25=4,VLOOKUP($A69,'Henwood Reference'!$E$9:$R$320,10),(VLOOKUP($A69,PriceTable,3,0)+IF(BasisNumber&lt;&gt;1,VLOOKUP($A69,BasisTable,2,0),0)+J$1)/(1-J$2))</f>
        <v>60.316042522032</v>
      </c>
      <c r="K69" s="1568" t="n">
        <f aca="false">IF(Assumptions!$L$25=4,VLOOKUP($A69,'Henwood Reference'!$E$9:$R$320,10),(VLOOKUP($A69,PriceTable,4,0)+IF(BasisNumber&lt;&gt;1,VLOOKUP($A69,BasisTable,2,0),0)+K$1)/(1-K$2))</f>
        <v>60.316042522032</v>
      </c>
      <c r="L69" s="1523" t="n">
        <f aca="false">IF(Assumptions!$L$25=4,VLOOKUP($A69,'Henwood Reference'!$E$9:$R$320,10),(VLOOKUP($A69,PriceTableWeekend,2,0)+IF(BasisNumber&lt;&gt;1,VLOOKUP($A69,BasisTable,2,0),0)+L$1)/(1-L$2))</f>
        <v>60.316042522032</v>
      </c>
      <c r="M69" s="1568" t="n">
        <f aca="false">IF(Assumptions!$L$25=4,VLOOKUP($A69,'Henwood Reference'!$E$9:$R$320,10),(VLOOKUP($A69,PriceTableWeekend,3,0)+IF(BasisNumber&lt;&gt;1,VLOOKUP($A69,BasisTable,2,0),0)+M$1)/(1-M$2))</f>
        <v>60.316042522032</v>
      </c>
      <c r="N69" s="1599" t="n">
        <f aca="false">IF(Assumptions!$L$25=4,VLOOKUP($A69,'Henwood Reference'!$E$9:$R$320,10),(VLOOKUP($A69,PriceTableWeekend,4,0)+IF(BasisNumber&lt;&gt;1,VLOOKUP($A69,BasisTable,2,0),0)+N$1)/(1-N$2))</f>
        <v>60.316042522032</v>
      </c>
      <c r="O69" s="1568" t="n">
        <f aca="false">IF(Assumptions!$L$25=4,VLOOKUP($A69,'Henwood Reference'!$E$9:$R$320,11),(VLOOKUP($A69,PriceTableWeekend,6,0)+IF(BasisNumber&lt;&gt;1,VLOOKUP($A69,BasisTable,3,0),0)+O$1)/(1-O$2))</f>
        <v>27.672702900048</v>
      </c>
      <c r="P69" s="1568" t="n">
        <f aca="false">IF(Assumptions!$L$25=4,VLOOKUP($A69,'Henwood Reference'!$E$9:$R$320,11),(VLOOKUP($A69,PriceTableWeekend,7,0)+IF(BasisNumber&lt;&gt;1,VLOOKUP($A69,BasisTable,3,0),0)+P$1)/(1-P$2))</f>
        <v>27.672702900048</v>
      </c>
      <c r="Q69" s="1599" t="n">
        <f aca="false">IF(Assumptions!$L$25=4,VLOOKUP($A69,'Henwood Reference'!$E$9:$R$320,11),(VLOOKUP($A69,PriceTableWeekend,8,0)+IF(BasisNumber&lt;&gt;1,VLOOKUP($A69,BasisTable,3,0),0)+Q$1)/(1-Q$2))</f>
        <v>27.672702900048</v>
      </c>
      <c r="R69" s="1568" t="n">
        <f aca="false">IF(Assumptions!$L$25=4,VLOOKUP($A69,'Henwood Reference'!$E$9:$R$320,11),(VLOOKUP($A69,PriceTable,6,0)+IF(BasisNumber&lt;&gt;1,VLOOKUP($A69,BasisTable,3,0),0)+R$1)/(1-R$2))</f>
        <v>27.672702900048</v>
      </c>
      <c r="S69" s="1568" t="n">
        <f aca="false">IF(Assumptions!$L$25=4,VLOOKUP($A69,'Henwood Reference'!$E$9:$R$320,11),(VLOOKUP($A69,PriceTable,7,0)+IF(BasisNumber&lt;&gt;1,VLOOKUP($A69,BasisTable,3,0),0)+S$1)/(1-S$2))</f>
        <v>27.672702900048</v>
      </c>
      <c r="T69" s="1600" t="n">
        <f aca="false">IF(Assumptions!$L$25=4,VLOOKUP($A69,'Henwood Reference'!$E$9:$R$320,11),(VLOOKUP($A69,PriceTable,8,0)+IF(BasisNumber&lt;&gt;1,VLOOKUP($A69,BasisTable,3,0),0)+T$1)/(1-T$2))</f>
        <v>27.672702900048</v>
      </c>
      <c r="U69" s="1513" t="n">
        <f aca="false">VLOOKUP($A69,VolatilityTable,14)</f>
        <v>0.15</v>
      </c>
      <c r="V69" s="1513" t="n">
        <f aca="false">VLOOKUP($A69,VolatilityTable,15)</f>
        <v>0.16</v>
      </c>
      <c r="W69" s="1514" t="n">
        <f aca="false">VLOOKUP($A69,VolatilityTable,16)</f>
        <v>0.17</v>
      </c>
      <c r="X69" s="1513" t="n">
        <f aca="false">VLOOKUP($A69,VolatilityTable,14)</f>
        <v>0.15</v>
      </c>
      <c r="Y69" s="1513" t="n">
        <f aca="false">VLOOKUP($A69,VolatilityTable,15)</f>
        <v>0.16</v>
      </c>
      <c r="Z69" s="1514" t="n">
        <f aca="false">VLOOKUP($A69,VolatilityTable,16)</f>
        <v>0.17</v>
      </c>
      <c r="AA69" s="1513" t="n">
        <f aca="false">VLOOKUP($A69,VolatilityTable,18)</f>
        <v>0.09</v>
      </c>
      <c r="AB69" s="1513" t="n">
        <f aca="false">VLOOKUP($A69,VolatilityTable,19)</f>
        <v>0.11</v>
      </c>
      <c r="AC69" s="1514" t="n">
        <f aca="false">VLOOKUP($A69,VolatilityTable,20)</f>
        <v>0.13</v>
      </c>
      <c r="AD69" s="1513" t="n">
        <f aca="false">VLOOKUP($A69,VolatilityTable,18)</f>
        <v>0.09</v>
      </c>
      <c r="AE69" s="1513" t="n">
        <f aca="false">VLOOKUP($A69,VolatilityTable,19)</f>
        <v>0.11</v>
      </c>
      <c r="AF69" s="1514" t="n">
        <f aca="false">VLOOKUP($A69,VolatilityTable,20)</f>
        <v>0.13</v>
      </c>
      <c r="AG69" s="1513" t="n">
        <f aca="false">VLOOKUP($A69,VolatilityTable,22)</f>
        <v>-0.35</v>
      </c>
      <c r="AH69" s="1513" t="n">
        <f aca="false">VLOOKUP($A69,VolatilityTable,23)</f>
        <v>3</v>
      </c>
      <c r="AI69" s="1514" t="n">
        <f aca="false">VLOOKUP($A69,VolatilityTable,24)</f>
        <v>0.2</v>
      </c>
      <c r="AJ69" s="1513" t="n">
        <f aca="false">VLOOKUP($A69,VolatilityTable,22)</f>
        <v>-0.35</v>
      </c>
      <c r="AK69" s="1513" t="n">
        <f aca="false">VLOOKUP($A69,VolatilityTable,23)</f>
        <v>3</v>
      </c>
      <c r="AL69" s="1514" t="n">
        <f aca="false">VLOOKUP($A69,VolatilityTable,24)</f>
        <v>0.2</v>
      </c>
      <c r="AM69" s="1513" t="n">
        <f aca="false">VLOOKUP($A69,VolatilityTable,26)</f>
        <v>-0.01</v>
      </c>
      <c r="AN69" s="1513" t="n">
        <f aca="false">VLOOKUP($A69,VolatilityTable,27)</f>
        <v>0.16</v>
      </c>
      <c r="AO69" s="1514" t="n">
        <f aca="false">VLOOKUP($A69,VolatilityTable,28)</f>
        <v>0.01</v>
      </c>
      <c r="AP69" s="1513" t="n">
        <f aca="false">VLOOKUP($A69,VolatilityTable,26)</f>
        <v>-0.01</v>
      </c>
      <c r="AQ69" s="1513" t="n">
        <f aca="false">VLOOKUP($A69,VolatilityTable,27)</f>
        <v>0.16</v>
      </c>
      <c r="AR69" s="1515" t="n">
        <f aca="false">VLOOKUP($A69,VolatilityTable,28)</f>
        <v>0.01</v>
      </c>
      <c r="AS69" s="1581" t="n">
        <f aca="false">IF(CorrPeakOffPeakOverFlag,INDEX(CorrPeakOffPeakOver,C69),CorrPeakOffPeak)</f>
        <v>0.5</v>
      </c>
      <c r="AT69" s="594" t="e">
        <f aca="false">AX69-SUM(AU69:AW69)</f>
        <v>#VALUE!</v>
      </c>
      <c r="AU69" s="238" t="e">
        <f aca="false">IF(E69="",0,INT((F69-MOD(F69,7)-E69)/7)+1-IF(AW69,IF(WEEKDAY(D69)=7,1,0),0))</f>
        <v>#VALUE!</v>
      </c>
      <c r="AV69" s="238" t="e">
        <f aca="false">IF(E69="",0,INT((F69-MOD(F69-1,7)-E69)/7)+1-IF(AW69,IF(WEEKDAY(D69)=1,1,0),0))</f>
        <v>#VALUE!</v>
      </c>
      <c r="AW69" s="238" t="e">
        <f aca="false">IF(OR(E69="",D69="",D69&lt;BegDate,D69&gt;EndDate),0,1)</f>
        <v>#VALUE!</v>
      </c>
      <c r="AX69" s="238" t="n">
        <f aca="false">IF(E69="",0,F69-E69+1)</f>
        <v>30</v>
      </c>
      <c r="AY69" s="1582" t="n">
        <f aca="false">IF(E69="",0,MIN((1-(1-VLOOKUP(B69,MAIN!$AA$7:$AM$28,C69+1))*(1-VLOOKUP(B69,MAIN!$AA$33:$AM$54,C69+1))),1))</f>
        <v>0.03</v>
      </c>
      <c r="AZ69" s="1519" t="e">
        <v>#VALUE!</v>
      </c>
      <c r="BA69" s="1520" t="e">
        <v>#VALUE!</v>
      </c>
      <c r="BB69" s="1520" t="e">
        <v>#VALUE!</v>
      </c>
      <c r="BC69" s="1583" t="e">
        <v>#VALUE!</v>
      </c>
      <c r="BD69" s="1522" t="e">
        <v>#VALUE!</v>
      </c>
      <c r="BE69" s="1523" t="e">
        <v>#VALUE!</v>
      </c>
      <c r="BF69" s="1523" t="e">
        <v>#VALUE!</v>
      </c>
      <c r="BG69" s="1584" t="e">
        <v>#VALUE!</v>
      </c>
      <c r="BH69" s="1525" t="e">
        <v>#VALUE!</v>
      </c>
      <c r="BI69" s="1520" t="e">
        <v>#VALUE!</v>
      </c>
      <c r="BJ69" s="1520" t="e">
        <v>#VALUE!</v>
      </c>
      <c r="BK69" s="1583" t="e">
        <v>#VALUE!</v>
      </c>
      <c r="BL69" s="1522" t="e">
        <v>#VALUE!</v>
      </c>
      <c r="BM69" s="1523" t="e">
        <v>#VALUE!</v>
      </c>
      <c r="BN69" s="1523" t="e">
        <v>#VALUE!</v>
      </c>
      <c r="BO69" s="1523" t="e">
        <v>#VALUE!</v>
      </c>
      <c r="BP69" s="1525" t="e">
        <f aca="false">SUM(AZ69:BB69)</f>
        <v>#VALUE!</v>
      </c>
      <c r="BQ69" s="1529" t="e">
        <f aca="false">SUM(AZ69:BC69)</f>
        <v>#VALUE!</v>
      </c>
      <c r="BR69" s="1519" t="e">
        <f aca="false">SUM(BH69:BJ69)</f>
        <v>#VALUE!</v>
      </c>
      <c r="BS69" s="1529" t="e">
        <f aca="false">SUM(BH69:BK69)</f>
        <v>#VALUE!</v>
      </c>
      <c r="BT69" s="1316" t="n">
        <f aca="false">(IF(OVolType&lt;&gt;2,A69+14,IF(OptExpDateShift,ShiftBack(A69,OptExpDateShift,D68),A69))-DateToday)/365.25</f>
        <v>4.38329911019849</v>
      </c>
      <c r="BU69" s="1585" t="e">
        <f aca="false">IF(BQ69,IF(OPriceCurve,IF(OBuySell=OCallPut,I69/(1-AY69),K69/(1-AY69)),J69/(1-AY69))*BD69,0)</f>
        <v>#VALUE!</v>
      </c>
      <c r="BV69" s="1316" t="e">
        <f aca="false">IF(BQ69,IF(OPriceCurve,IF(OBuySell=OCallPut,L69/(1-AY69),N69/(1-AY69)),M69/(1-AY69))*BE69,0)</f>
        <v>#VALUE!</v>
      </c>
      <c r="BW69" s="1316" t="e">
        <f aca="false">IF(BQ69,IF(OPriceCurve,IF(OBuySell=OCallPut,O69/(1-AY69),Q69/(1-AY69)),P69/(1-AY69))*BF69,0)</f>
        <v>#VALUE!</v>
      </c>
      <c r="BX69" s="1316" t="e">
        <f aca="false">IF(BQ69,IF(OPriceCurve,IF(OBuySell=OCallPut,R69/(1-AY69),T69/(1-AY69)),S69/(1-AY69))*BG69,0)</f>
        <v>#VALUE!</v>
      </c>
      <c r="BY69" s="1316" t="e">
        <f aca="false">IF(BP69,(BU69*AZ69+BV69*BA69+BW69*BB69)/BP69,0)</f>
        <v>#VALUE!</v>
      </c>
      <c r="BZ69" s="1316" t="e">
        <f aca="false">IF(BQ69,(BY69*BP69+BX69*BC69)/BQ69,0)</f>
        <v>#VALUE!</v>
      </c>
      <c r="CA69" s="1531" t="e">
        <f aca="false">IF(BS69,IF(OPriceCurve,IF(OBuySell=OCallPut,I69/(1-AY69),K69/(1-AY69)),J69/(1-AY69))*BL69,0)</f>
        <v>#VALUE!</v>
      </c>
      <c r="CB69" s="1316" t="e">
        <f aca="false">IF(BS69,IF(OPriceCurve,IF(OBuySell=OCallPut,L69/(1-AY69),N69/(1-AY69)),M69/(1-AY69))*BM69,0)</f>
        <v>#VALUE!</v>
      </c>
      <c r="CC69" s="1316" t="e">
        <f aca="false">IF(BS69,IF(OPriceCurve,IF(OBuySell=OCallPut,O69/(1-AY69),Q69/(1-AY69)),P69/(1-AY69))*BN69,0)</f>
        <v>#VALUE!</v>
      </c>
      <c r="CD69" s="1316" t="e">
        <f aca="false">IF(BS69,IF(OPriceCurve,IF(OBuySell=OCallPut,R69/(1-AY69),T69/(1-AY69)),S69/(1-AY69))*BO69,0)</f>
        <v>#VALUE!</v>
      </c>
      <c r="CE69" s="1316" t="e">
        <f aca="false">IF(BR69,(BU69*BH69+BV69*BI69+BW69*BJ69)/BR69,0)</f>
        <v>#VALUE!</v>
      </c>
      <c r="CF69" s="1532" t="e">
        <f aca="false">IF(BS69,(CE69*BR69+CD69*BK69)/BS69,0)</f>
        <v>#VALUE!</v>
      </c>
      <c r="CG69" s="1586" t="e">
        <f aca="false">IF(OR(BQ69,BS69),IF(OVolType&lt;&gt;2,SQRT(IF(OVolOverMonthlyPeak,OVolOverMonthlyPeak,IF(OVolCurve,IF(OBuySell,U69,W69),V69))^2*(1-15/365.25/BT69)+IF(OVolOverDailyPeak,OVolOverDailyPeak,IF(OVolCurve,IF(OBuySell,AG69,AI69),AH69))^2*15/365.25/BT69),IF(OVolOverMonthlyPeak,OVolOverMonthlyPeak,IF(OVolCurve,IF(OBuySell,U69,W69),V69))),"")</f>
        <v>#VALUE!</v>
      </c>
      <c r="CH69" s="1587" t="e">
        <f aca="false">IF(OR(BQ69,BS69),IF(OVolType&lt;&gt;2,SQRT(IF(OVolOverMonthlyPeak,OVolOverMonthlyPeak,IF(OVolCurve,IF(OBuySell,X69,Z69),Y69))^2*(1-15/365.25/BT69)+IF(OVolOverDailyPeak,OVolOverDailyPeak,IF(OVolCurve,IF(OBuySell,AJ69,AL69),AK69))^2*15/365.25/BT69),IF(OVolOverMonthlyPeak,OVolOverMonthlyPeak,IF(OVolCurve,IF(OBuySell,X69,Z69),Y69))),"")</f>
        <v>#VALUE!</v>
      </c>
      <c r="CI69" s="1587" t="e">
        <f aca="false">IF(OR(BQ69,BS69),IF(OVolType&lt;&gt;2,SQRT(IF(OVolOverMonthlyPeak,OVolOverMonthlyPeak,IF(OVolCurve,IF(OBuySell,AA69,AC69),AB69))^2*(1-15/365.25/BT69)+IF(OVolOverDailyPeak,OVolOverDailyPeak,IF(OVolCurve,IF(OBuySell,AM69,AO69),AN69))^2*15/365.25/BT69),IF(OVolOverMonthlyPeak,OVolOverMonthlyPeak,IF(OVolCurve,IF(OBuySell,AA69,AC69),AB69))),"")</f>
        <v>#VALUE!</v>
      </c>
      <c r="CJ69" s="1587" t="e">
        <f aca="false">IF(BQ69,IF(BP69,SQRT(LN(1+((BU69*AZ69)^2*(EXP(CG69^2*BT69)-1)+(BV69*BA69)^2*(EXP(CH69^2*BT69)-1)+(BW69*BB69)^2*(EXP(CI69^2*BT69)-1)+2*BU69*AZ69*BV69*BA69*(EXP(CG69*CH69*BT69)-1)+2*BV69*BA69*BW69*BB69*(EXP(CH69*CI69*BT69)-1)+2*BW69*BB69*BU69*AZ69*(EXP(CI69*CG69*BT69)-1))/(BY69*BP69)^2)/BT69),0),"")</f>
        <v>#VALUE!</v>
      </c>
      <c r="CK69" s="1587" t="e">
        <f aca="false">IF(BS69,IF(BR69,SQRT(LN(1+((CA69*BH69)^2*(EXP(CG69^2*BT69)-1)+(CB69*BI69)^2*(EXP(CH69^2*BT69)-1)+(CC69*BJ69)^2*(EXP(CI69^2*BT69)-1)+2*CA69*BH69*CB69*BI69*(EXP(CG69*CH69*BT69)-1)+2*CB69*BI69*CC69*BJ69*(EXP(CH69*CI69*BT69)-1)+2*CC69*BJ69*CA69*BH69*(EXP(CI69*CG69*BT69)-1))/(CE69*BR69)^2)/BT69),0),"")</f>
        <v>#VALUE!</v>
      </c>
      <c r="CL69" s="1587" t="e">
        <f aca="false">IF(OR(BQ69,BS69),IF(OVolType&lt;&gt;2,SQRT(IF(OVolOverMonthlyOffPeak,OVolOverMonthlyOffPeak,IF(OVolCurve,IF(OBuySell,AD69,AF69),AE69))^2*(1-15/365.25/BT69)+IF(OVolOverDailyOffPeak,OVolOverDailyOffPeak,IF(OVolCurve,IF(OBuySell,AP69,AR69),AQ69))^2*15/365.25/BT69),IF(OVolOverMonthlyOffPeak,OVolOverMonthlyOffPeak,IF(OVolCurve,IF(OBuySell,AD69,AF69),AE69))),"")</f>
        <v>#VALUE!</v>
      </c>
      <c r="CM69" s="1587" t="e">
        <f aca="false">IF(BQ69,SQRT(LN(1+((BY69*BP69)^2*(EXP(CJ69^2*BT69)-1)+(BX69*BC69)^2*(EXP(CL69^2*BT69)-1)+2*BY69*BP69*BX69*BC69*(EXP(AS69*CJ69*CL69*BT69)-1))/(BY69*BP69+BX69*BC69)^2)/BT69),"")</f>
        <v>#VALUE!</v>
      </c>
      <c r="CN69" s="1588" t="e">
        <f aca="false">IF(BS69,SQRT(LN(1+((CE69*BR69)^2*(EXP(CK69^2*BT69)-1)+(CD69*BK69)^2*(EXP(CL69^2*BT69)-1)+2*CE69*BR69*CD69*BK69*(EXP(AS69*CK69*CL69*BT69)-1))/(CE69*BR69+CD69*BK69)^2)/BT69),"")</f>
        <v>#VALUE!</v>
      </c>
      <c r="CO69" s="1531" t="e">
        <f aca="false">IF(OR(BQ69,BS69),VLOOKUP(A69,GasTable,13)*HeatRatePeak*(1+VLOOKUP($B69,HeatRateDegradation,$C69+1))/1000,0)</f>
        <v>#VALUE!</v>
      </c>
      <c r="CP69" s="1316" t="e">
        <f aca="false">IF(OR(BQ69,BS69),VLOOKUP(A69,GasTable,13)*HeatRatePeak*(1+VLOOKUP($B69,HeatRateDegradation,$C69+1))/1000,0)</f>
        <v>#VALUE!</v>
      </c>
      <c r="CQ69" s="1316" t="e">
        <f aca="false">IF(OR(BQ69,BS69),VLOOKUP(A69,GasTable,13)*IF(EV69,HeatRatePeak,HeatRateOffPeak)*(1+VLOOKUP($B69,HeatRateDegradation,$C69+1))/1000,0)</f>
        <v>#VALUE!</v>
      </c>
      <c r="CR69" s="1316" t="e">
        <f aca="false">IF(OR(BQ69,BS69),VLOOKUP(A69,GasTable,13)*IF(EW69,HeatRatePeak,HeatRateOffPeak)*(1+VLOOKUP($B69,HeatRateDegradation,$C69+1))/1000,0)</f>
        <v>#VALUE!</v>
      </c>
      <c r="CS69" s="1589" t="e">
        <f aca="false">IF(BQ69,(CO69*AZ69+CP69*BA69+CQ69*BB69+CR69*BC69)/BQ69,0)</f>
        <v>#VALUE!</v>
      </c>
      <c r="CT69" s="1316" t="e">
        <f aca="false">IF(BS69,CO69,0)</f>
        <v>#VALUE!</v>
      </c>
      <c r="CU69" s="1590" t="e">
        <f aca="false">IF(OR(BQ69,BS69),VLOOKUP(A69,GasTable,14),"")</f>
        <v>#VALUE!</v>
      </c>
      <c r="CV69" s="1568" t="e">
        <f aca="false">IF(OR(BQ69,BS69),IF(CorrPowerGasOverFlag,INDEX(CorrPowerGasOver,C69),CorrPowerGas),"")</f>
        <v>#VALUE!</v>
      </c>
      <c r="CW69" s="1316" t="e">
        <f aca="false">IF(OR($BQ69,$BS69),SpreadOptPowerMargin,0)*((1+Assumptions!$C$26)^($B69-YEAR(Assumptions!$C$17)))</f>
        <v>#VALUE!</v>
      </c>
      <c r="CX69" s="1316" t="e">
        <f aca="false">IF(OR($BQ69,$BS69),SpreadOptPowerMargin,0)*((1+Assumptions!$C$26)^($B69-YEAR(Assumptions!$C$17)))</f>
        <v>#VALUE!</v>
      </c>
      <c r="CY69" s="1316" t="e">
        <f aca="false">IF(OR($BQ69,$BS69),SpreadOptPowerMargin,0)*((1+Assumptions!$C$26)^($B69-YEAR(Assumptions!$C$17)))</f>
        <v>#VALUE!</v>
      </c>
      <c r="CZ69" s="1316" t="e">
        <f aca="false">IF(OR($BQ69,$BS69),SpreadOptPowerMargin,0)*((1+Assumptions!$C$26)^($B69-YEAR(Assumptions!$C$17)))</f>
        <v>#VALUE!</v>
      </c>
      <c r="DA69" s="1591" t="e">
        <f aca="false">IF(OR(BQ69,BS69),(CW69*(AZ69+BH69)+CX69*(BA69+BI69)+CY69*(BB69+BJ69)+CZ69*(BC69+BK69))/(BQ69+BS69),0)</f>
        <v>#VALUE!</v>
      </c>
      <c r="DB69" s="1592" t="e">
        <f aca="false">IF(OR(BQ69,BS69),CG69+IF(OVolSmile,VLOOKUP(MAX(-5,CO69+CW69-BU69),IF(OVolSmile=1,VolSmileBook,VolSmileModel),2),0),"")</f>
        <v>#VALUE!</v>
      </c>
      <c r="DC69" s="1592" t="e">
        <f aca="false">IF(OR(BQ69,BS69),CH69+IF(OVolSmile,VLOOKUP(MAX(-5,CP69+CW69-BV69),IF(OVolSmile=1,VolSmileBook,VolSmileModel),2),0),"")</f>
        <v>#VALUE!</v>
      </c>
      <c r="DD69" s="1592" t="e">
        <f aca="false">IF(OR(BQ69,BS69),CI69+IF(OVolSmile,VLOOKUP(MAX(-5,CQ69+CW69-BW69),IF(OVolSmile=1,VolSmileBook,VolSmileModel),2),0),"")</f>
        <v>#VALUE!</v>
      </c>
      <c r="DE69" s="1592" t="e">
        <f aca="false">IF(OR(BQ69,BS69),CL69+IF(OVolSmile,VLOOKUP(MAX(-5,CR69+CZ69-BX69),IF(OVolSmile=1,VolSmileBook,VolSmileModel),2),0),"")</f>
        <v>#VALUE!</v>
      </c>
      <c r="DF69" s="1592" t="e">
        <f aca="false">IF(BQ69,CM69+IF(OVolSmile,VLOOKUP(MAX(-5,CS69+DA69-BZ69),IF(OVolSmile=1,VolSmileBook,VolSmileModel),2),0),"")</f>
        <v>#VALUE!</v>
      </c>
      <c r="DG69" s="1593" t="e">
        <f aca="false">IF(BS69,CN69+IF(OVolSmile,VLOOKUP(MAX(-5,CT69+DA69-CF69),IF(OVolSmile=1,VolSmileBook,VolSmileModel),2),0),"")</f>
        <v>#VALUE!</v>
      </c>
      <c r="DH69" s="1316" t="e">
        <f aca="false">IF(AND(BU69&gt;0,CO69&gt;0,DB69&gt;0,CU69&gt;0),newSPRDOPT(BU69,CO69,CW69,0,DB69,CU69,CV69,BT69*365.25,OCallPut,0),0)</f>
        <v>#VALUE!</v>
      </c>
      <c r="DI69" s="1316" t="e">
        <f aca="false">IF(AND(BV69&gt;0,CP69&gt;0,DC69&gt;0,CU69&gt;0),newSPRDOPT(BV69,CP69,CX69,0,DC69,CU69,CV69,BT69*365.25,OCallPut,0),0)</f>
        <v>#VALUE!</v>
      </c>
      <c r="DJ69" s="1316" t="e">
        <f aca="false">IF(AND(BW69&gt;0,CQ69&gt;0,DD69&gt;0,CU69&gt;0),newSPRDOPT(BW69,CQ69,CY69,0,DD69,CU69,CV69,BT69*365.25,OCallPut,0),0)</f>
        <v>#VALUE!</v>
      </c>
      <c r="DK69" s="1316" t="e">
        <f aca="false">IF(AND(BX69&gt;0,CR69&gt;0,DE69&gt;0,CU69&gt;0),newSPRDOPT(BX69,CR69,CZ69,0,DE69,CU69,CV69,BT69*365.25,OCallPut,0),0)</f>
        <v>#VALUE!</v>
      </c>
      <c r="DL69" s="1316" t="e">
        <f aca="false">IF(OVolType,IF(AND(BZ69&gt;0,CS69&gt;0,DF69&gt;0,CU69&gt;0),newSPRDOPT(BZ69,CS69,DA69,0,DF69,CU69,CV69,BT69*365.25,OCallPut,0),0),IF(BQ69,(DH69*AZ69+DI69*BA69+DJ69*BB69+DK69*BC69)/BQ69,0))</f>
        <v>#VALUE!</v>
      </c>
      <c r="DM69" s="1316"/>
      <c r="DN69" s="1316"/>
      <c r="DO69" s="1316"/>
      <c r="DP69" s="1316"/>
      <c r="DQ69" s="1316"/>
      <c r="DR69" s="1316"/>
      <c r="DS69" s="1316"/>
      <c r="DT69" s="1316"/>
      <c r="DU69" s="1316"/>
      <c r="DV69" s="1316"/>
      <c r="DW69" s="1594" t="e">
        <f aca="false">IF(AND(BW69&gt;0,CT69&gt;0,DD69&gt;0,CU69&gt;0),newSPRDOPT(BW69,CT69,CY69,0,DD69,CU69,CV69,BT69*365.25,OCallPut,0),0)</f>
        <v>#VALUE!</v>
      </c>
      <c r="DX69" s="1316" t="e">
        <f aca="false">IF(AND(BX69&gt;0,CT69&gt;0,DE69&gt;0,CU69&gt;0),newSPRDOPT(BX69,CT69,CZ69,0,DE69,CU69,CV69,BT69*365.25,OCallPut,0),0)</f>
        <v>#VALUE!</v>
      </c>
      <c r="DY69" s="1591" t="e">
        <f aca="false">IF(BS69,(DH69*BH69+DI69*BI69+DW69*BJ69+DX69*BK69)/BS69,0)</f>
        <v>#VALUE!</v>
      </c>
      <c r="DZ69" s="1551" t="e">
        <f aca="false">DH69*AZ69</f>
        <v>#VALUE!</v>
      </c>
      <c r="EA69" s="1551" t="e">
        <f aca="false">DI69*BA69</f>
        <v>#VALUE!</v>
      </c>
      <c r="EB69" s="1551" t="e">
        <f aca="false">DJ69*BB69</f>
        <v>#VALUE!</v>
      </c>
      <c r="EC69" s="1551" t="e">
        <f aca="false">DK69*BC69</f>
        <v>#VALUE!</v>
      </c>
      <c r="ED69" s="1551" t="e">
        <f aca="false">DL69*BQ69</f>
        <v>#VALUE!</v>
      </c>
      <c r="EE69" s="1595" t="e">
        <f aca="false">IF(BQ69,IF(OCallPut,IF(BU69&gt;(CO69+CW69),BU69-(CO69+CW69),0),IF((CO69+CW69)&gt;BU69,(CO69+CW69)-BU69,0))*AZ69,0)</f>
        <v>#VALUE!</v>
      </c>
      <c r="EF69" s="1596" t="e">
        <f aca="false">IF(BQ69,IF(OCallPut,IF(BV69&gt;(CP69+CX69),BV69-(CP69+CX69),0),IF((CP69+CX69)&gt;BV69,(CP69+CX69)-BV69,0))*BA69,0)</f>
        <v>#VALUE!</v>
      </c>
      <c r="EG69" s="1596" t="e">
        <f aca="false">IF(BQ69,IF(OCallPut,IF(BW69&gt;(CQ69+CY69),BW69-(CQ69+CY69),0),IF((CQ69+CY69)&gt;BW69,(CQ69+CY69)-BW69,0))*BB69,0)</f>
        <v>#VALUE!</v>
      </c>
      <c r="EH69" s="1596" t="e">
        <f aca="false">IF(BQ69,IF(OCallPut,IF(BX69&gt;(CR69+CZ69),BX69-(CR69+CZ69),0),IF((CR69+CZ69)&gt;BX69,(CR69+CZ69)-BX69,0))*BC69,0)</f>
        <v>#VALUE!</v>
      </c>
      <c r="EI69" s="1597" t="e">
        <f aca="false">IF(BQ69,IF(OVolType,IF(OCallPut,IF(BZ69&gt;(CS69+DA69),BZ69-(CS69+DA69),0),IF((CS69+DA69)&gt;BZ69,(CS69+DA69)-BZ69,0))*BQ69,SUM(EE69:EH69)),0)</f>
        <v>#VALUE!</v>
      </c>
      <c r="EJ69" s="1595" t="e">
        <f aca="false">DZ69-EE69</f>
        <v>#VALUE!</v>
      </c>
      <c r="EK69" s="1596" t="e">
        <f aca="false">EA69-EF69</f>
        <v>#VALUE!</v>
      </c>
      <c r="EL69" s="1596" t="e">
        <f aca="false">EB69-EG69</f>
        <v>#VALUE!</v>
      </c>
      <c r="EM69" s="1596" t="e">
        <f aca="false">EC69-EH69</f>
        <v>#VALUE!</v>
      </c>
      <c r="EN69" s="1597" t="e">
        <f aca="false">ED69-EI69</f>
        <v>#VALUE!</v>
      </c>
      <c r="EO69" s="1551" t="e">
        <f aca="false">DH69*BH69</f>
        <v>#VALUE!</v>
      </c>
      <c r="EP69" s="1551" t="e">
        <f aca="false">DI69*BI69</f>
        <v>#VALUE!</v>
      </c>
      <c r="EQ69" s="1551" t="e">
        <f aca="false">DW69*BJ69</f>
        <v>#VALUE!</v>
      </c>
      <c r="ER69" s="1551" t="e">
        <f aca="false">DX69*BK69</f>
        <v>#VALUE!</v>
      </c>
      <c r="ES69" s="1551" t="e">
        <f aca="false">DY69*BS69</f>
        <v>#VALUE!</v>
      </c>
      <c r="ET69" s="1566" t="e">
        <f aca="false">IF(EI69,IF(OCallPut,IF(CA69&gt;(CT69+CW69),CA69-(CT69+CW69),0),IF((CT69+CW69)&gt;CA69,(CT69+CW69)-CA69,0))*BH69,0)</f>
        <v>#VALUE!</v>
      </c>
      <c r="EU69" s="1551" t="e">
        <f aca="false">IF(EI69,IF(OCallPut,IF(CB69&gt;(CT69+CX69),CB69-(CT69+CX69),0),IF((CT69+CX69)&gt;CB69,(CT69+CX69)-CB69,0))*BI69,0)</f>
        <v>#VALUE!</v>
      </c>
      <c r="EV69" s="1551" t="e">
        <f aca="false">IF(EI69,IF(OCallPut,IF(CC69&gt;(CT69+CY69),CC69-(CT69+CY69),0),IF((CT69+CY69)&gt;CC69,(CT69+CY69)-CC69,0))*BJ69,0)</f>
        <v>#VALUE!</v>
      </c>
      <c r="EW69" s="1551" t="e">
        <f aca="false">IF(EI69,IF(OCallPut,IF(CD69&gt;(CT69+CZ69),CD69-(CT69+CZ69),0),IF((CT69+CZ69)&gt;CD69,(CT69+CZ69)-CD69,0))*BK69,0)</f>
        <v>#VALUE!</v>
      </c>
      <c r="EX69" s="1558" t="e">
        <f aca="false">IF(EI69,SUM(ET69:EW69),0)</f>
        <v>#VALUE!</v>
      </c>
      <c r="EY69" s="1551" t="e">
        <f aca="false">EO69-ET69</f>
        <v>#VALUE!</v>
      </c>
      <c r="EZ69" s="1551" t="e">
        <f aca="false">EP69-EU69</f>
        <v>#VALUE!</v>
      </c>
      <c r="FA69" s="1551" t="e">
        <f aca="false">EQ69-EV69</f>
        <v>#VALUE!</v>
      </c>
      <c r="FB69" s="1551" t="e">
        <f aca="false">ER69-EW69</f>
        <v>#VALUE!</v>
      </c>
      <c r="FC69" s="1551" t="e">
        <f aca="false">ES69-EX69</f>
        <v>#VALUE!</v>
      </c>
      <c r="FD69" s="1525" t="n">
        <f aca="false">IF(AX69,IF(VLOOKUP(C69,MAIN!$L$17:$M$28,2)="Yes",VLOOKUP(CALC!B69,MAIN!$H$17:$I$20,2),0),0)</f>
        <v>0</v>
      </c>
      <c r="FE69" s="1552" t="e">
        <f aca="false">$FD69*16*AT69*(1-$AY69)</f>
        <v>#VALUE!</v>
      </c>
      <c r="FF69" s="1553" t="e">
        <f aca="false">$FD69*16*AU69*(1-$AY69)</f>
        <v>#VALUE!</v>
      </c>
      <c r="FG69" s="1553" t="e">
        <f aca="false">$FD69*16*(AV69+AW69)*(1-$AY69)</f>
        <v>#VALUE!</v>
      </c>
      <c r="FH69" s="1554" t="n">
        <f aca="false">$FD69*8*AX69*(1-$AY69)</f>
        <v>0</v>
      </c>
      <c r="FI69" s="1555" t="n">
        <f aca="false">IF(AX69,VLOOKUP(CALC!B69,MAIN!$H$17:$K$20,4),0)</f>
        <v>0</v>
      </c>
      <c r="FJ69" s="1553" t="e">
        <f aca="false">SUM(FE69:FH69)</f>
        <v>#VALUE!</v>
      </c>
      <c r="FK69" s="1556" t="e">
        <f aca="false">FI69*FJ69</f>
        <v>#VALUE!</v>
      </c>
      <c r="FL69" s="1551" t="e">
        <f aca="false">IF($EI69&gt;0,MIN(FE69,AZ69*(1+VLOOKUP($C69,WeatherCapacityAdjustment,2))),0)</f>
        <v>#VALUE!</v>
      </c>
      <c r="FM69" s="1551" t="e">
        <f aca="false">IF($EI69&gt;0,MIN(FF69,BA69*(1+VLOOKUP($C69,WeatherCapacityAdjustment,2))),0)</f>
        <v>#VALUE!</v>
      </c>
      <c r="FN69" s="1551" t="e">
        <f aca="false">IF($EI69&gt;0,MIN(FG69,BB69*(1+VLOOKUP($C69,WeatherCapacityAdjustment,2))),0)</f>
        <v>#VALUE!</v>
      </c>
      <c r="FO69" s="1564" t="e">
        <f aca="false">IF($EI69&gt;0,MIN(FH69,BC69*(1+VLOOKUP($C69,WeatherCapacityAdjustment,3))),0)</f>
        <v>#VALUE!</v>
      </c>
      <c r="FP69" s="1551" t="e">
        <f aca="false">IF(ET69&gt;0,MIN(FE69-FL69,BH69*(1+VLOOKUP($C69,WeatherCapacityAdjustment,2))),0)</f>
        <v>#VALUE!</v>
      </c>
      <c r="FQ69" s="1551" t="e">
        <f aca="false">IF(EU69&gt;0,MIN(FF69-FM69,BI69*(1+VLOOKUP($C69,WeatherCapacityAdjustment,2))),0)</f>
        <v>#VALUE!</v>
      </c>
      <c r="FR69" s="1551" t="e">
        <f aca="false">IF(EV69&gt;0,MIN(FG69-FN69,BJ69*(1+VLOOKUP($C69,WeatherCapacityAdjustment,2))),0)</f>
        <v>#VALUE!</v>
      </c>
      <c r="FS69" s="1558" t="e">
        <f aca="false">IF(EW69&gt;0,MIN(FH69-FO69,BK69*(1+VLOOKUP($C69,WeatherCapacityAdjustment,3))),0)</f>
        <v>#VALUE!</v>
      </c>
      <c r="FT69" s="1566" t="e">
        <f aca="false">IF(AND(Assumptions!$H$71="Yes",A69&gt;=Assumptions!$H$72,A69&lt;=Assumptions!$H$73),0,IF(AND($A69&gt;=Assumptions!$C$17,$A69&lt;=Assumptions!$C$18),MAX(AZ69*(1+VLOOKUP($C69,WeatherCapacityAdjustment,2))-FL69,0),0))</f>
        <v>#VALUE!</v>
      </c>
      <c r="FU69" s="1551" t="e">
        <f aca="false">IF(AND(Assumptions!$H$71="Yes",A69&gt;=Assumptions!$H$72,A69&lt;=Assumptions!$H$73),0,IF(AND($A69&gt;=Assumptions!$C$17,$A69&lt;=Assumptions!$C$18),MAX(BA69*(1+VLOOKUP($C69,WeatherCapacityAdjustment,2))-FM69,0),0))</f>
        <v>#VALUE!</v>
      </c>
      <c r="FV69" s="1551" t="e">
        <f aca="false">IF(AND(Assumptions!$H$71="Yes",A69&gt;=Assumptions!$H$72,A69&lt;=Assumptions!$H$73),0,IF(AND($A69&gt;=Assumptions!$C$17,$A69&lt;=Assumptions!$C$18),MAX(BB69*(1+VLOOKUP($C69,WeatherCapacityAdjustment,2))-FN69,0),0))</f>
        <v>#VALUE!</v>
      </c>
      <c r="FW69" s="1564" t="e">
        <f aca="false">IF(AND(Assumptions!$H$71="Yes",A69&gt;=Assumptions!$H$72,A69&lt;=Assumptions!$H$73),0,IF(AND($A69&gt;=Assumptions!$C$17,$A69&lt;=Assumptions!$C$18),MAX(BC69*(1+VLOOKUP($C69,WeatherCapacityAdjustment,3))-FO69,0),0))</f>
        <v>#VALUE!</v>
      </c>
      <c r="FX69" s="1569" t="e">
        <f aca="false">IF(AND(Assumptions!$H$71="Yes",A69&gt;=Assumptions!$H$72,A69&lt;=Assumptions!$H$73),0,IF(ET69&gt;0,MAX(BH69*(1+VLOOKUP($C69,WeatherCapacityAdjustment,2))-FP69,0),0))</f>
        <v>#VALUE!</v>
      </c>
      <c r="FY69" s="1551" t="e">
        <f aca="false">IF(AND(Assumptions!$H$71="Yes",A69&gt;=Assumptions!$H$72,A69&lt;=Assumptions!$H$73),0,IF(EU69&gt;0,MAX(BI69*(1+VLOOKUP($C69,WeatherCapacityAdjustment,3))-FQ69,0),0))</f>
        <v>#VALUE!</v>
      </c>
      <c r="FZ69" s="1551" t="e">
        <f aca="false">IF(AND(Assumptions!$H$71="Yes",A69&gt;=Assumptions!$H$72,A69&lt;=Assumptions!$H$73),0,IF(EV69&gt;0,MAX(BJ69*(1+VLOOKUP($C69,WeatherCapacityAdjustment,2))-FR69,0),0))</f>
        <v>#VALUE!</v>
      </c>
      <c r="GA69" s="1564" t="e">
        <f aca="false">IF(AND(Assumptions!$H$71="Yes",A69&gt;=Assumptions!$H$72,A69&lt;=Assumptions!$H$73),0,IF(EW69&gt;0,MAX(BK69*(1+VLOOKUP($C69,WeatherCapacityAdjustment,2))-FS69,0),0))</f>
        <v>#VALUE!</v>
      </c>
      <c r="GB69" s="1551" t="e">
        <f aca="false">SUM(FT69:GA69)</f>
        <v>#VALUE!</v>
      </c>
      <c r="GC69" s="1563" t="e">
        <f aca="false">+IF(SUM(FT69:GA69)=0,0,(SUMPRODUCT(BU69:BX69,FT69:FW69)+SUMPRODUCT(CA69:CD69,FX69:GA69))/SUM(FT69:GA69))</f>
        <v>#VALUE!</v>
      </c>
      <c r="GD69" s="1551" t="e">
        <f aca="false">(FT69*BU69+FX69*CA69+FU69*BV69+FY69*CB69+FV69*BW69+FZ69*CC69+FW69*BX69+GA69*CD69)</f>
        <v>#VALUE!</v>
      </c>
      <c r="GE69" s="1561" t="e">
        <f aca="false">+IF(BQ69,((FL69+FM69+FT69+FU69)*HeatRatePeak/1000*(1+VLOOKUP($C69,WeatherHeatRateAdjustment,2))+(FN69+FV69)*IF(EV69&gt;0,HeatRatePeak,HeatRateOffPeak)/1000*(1+VLOOKUP($C69,WeatherHeatRateAdjustment,2))+(FO69+FW69)*IF(EW69&gt;0,HeatRatePeak,HeatRateOffPeak)/1000*(1+VLOOKUP($C69,WeatherHeatRateAdjustment,3)))*(1+VLOOKUP($B69,HeatRateDegradation,$C69+1)),0)</f>
        <v>#VALUE!</v>
      </c>
      <c r="GF69" s="1562" t="e">
        <f aca="false">IF(BQ69,((FP69+FQ69+FR69+FX69+FY69+FZ69)*HeatRatePeak/1000*(1+VLOOKUP($C69,WeatherHeatRateAdjustment,2))+(FS69+GA69)*HeatRatePeak/1000*(1+VLOOKUP($C69,WeatherHeatRateAdjustment,3)))*(1+VLOOKUP($B69,HeatRateDegradation,$C69+1)),0)</f>
        <v>#VALUE!</v>
      </c>
      <c r="GG69" s="1563" t="e">
        <f aca="false">IF(BQ69,VLOOKUP(A69,GasTable,13),0)</f>
        <v>#VALUE!</v>
      </c>
      <c r="GH69" s="1564" t="e">
        <f aca="false">(GE69+GF69)*GG69</f>
        <v>#VALUE!</v>
      </c>
      <c r="GI69" s="1569" t="e">
        <f aca="false">GB69</f>
        <v>#VALUE!</v>
      </c>
      <c r="GJ69" s="1598" t="e">
        <f aca="false">+DA69</f>
        <v>#VALUE!</v>
      </c>
      <c r="GK69" s="1558" t="e">
        <f aca="false">+GI69*GJ69</f>
        <v>#VALUE!</v>
      </c>
      <c r="GL69" s="1566" t="e">
        <f aca="false">MAX(FE69-FL69-FP69,0)</f>
        <v>#VALUE!</v>
      </c>
      <c r="GM69" s="1551" t="e">
        <f aca="false">MAX(FF69-FM69-FQ69,0)</f>
        <v>#VALUE!</v>
      </c>
      <c r="GN69" s="1551" t="e">
        <f aca="false">MAX(FG69-FN69-FR69,0)</f>
        <v>#VALUE!</v>
      </c>
      <c r="GO69" s="1564" t="e">
        <f aca="false">MAX(FH69-FO69-FS69,0)</f>
        <v>#VALUE!</v>
      </c>
      <c r="GP69" s="1551" t="e">
        <f aca="false">SUM(GL69:GO69)</f>
        <v>#VALUE!</v>
      </c>
      <c r="GQ69" s="1563" t="e">
        <f aca="false">IF(SUM(GL69:GO69)=0,0,((GL69*BU69+GM69*BV69+GN69*BW69+GO69*BX69)/SUM(GL69:GO69)))</f>
        <v>#VALUE!</v>
      </c>
      <c r="GR69" s="1558" t="e">
        <f aca="false">(GL69*BU69+GM69*BV69+GN69*BW69+GO69*BX69)</f>
        <v>#VALUE!</v>
      </c>
      <c r="GS69" s="1566" t="n">
        <f aca="false">IF($A69&gt;=BegDate,Assumptions!$C$56*24*($A70-$A69)*(1-VLOOKUP($B69,MAIN!$AA$7:$AM$28,$C69+1))*(1-VLOOKUP($B69,MAIN!$AA$33:$AM$54,$C69+1)),0)*80/168</f>
        <v>249428.571428571</v>
      </c>
      <c r="GT69" s="286" t="n">
        <f aca="false">J69</f>
        <v>60.316042522032</v>
      </c>
      <c r="GU69" s="286" t="n">
        <f aca="false">IF($A69&gt;=BegDate,VLOOKUP($A69,GasTable,13)+Assumptions!$C$58,0)</f>
        <v>2.57313025429346</v>
      </c>
      <c r="GV69" s="286" t="n">
        <f aca="false">GU69*Assumptions!$C$57/1000</f>
        <v>18.6551943436276</v>
      </c>
      <c r="GW69" s="1558" t="n">
        <f aca="false">IF(Assumptions!$C$60="Hourly",MAX(0,GS69*(GT69-GV69)),GS69*(GT69-GV69))</f>
        <v>10391405.845642</v>
      </c>
      <c r="GX69" s="1566" t="n">
        <f aca="false">IF($A69&gt;=BegDate,Assumptions!$C$56*24*($A70-$A69)*(1-VLOOKUP($B69,MAIN!$AA$7:$AM$28,$C69+1))*(1-VLOOKUP($B69,MAIN!$AA$33:$AM$54,$C69+1)),0)*16/168</f>
        <v>49885.7142857143</v>
      </c>
      <c r="GY69" s="286" t="n">
        <f aca="false">M69</f>
        <v>60.316042522032</v>
      </c>
      <c r="GZ69" s="286" t="n">
        <f aca="false">IF($A69&gt;=BegDate,VLOOKUP($A69,GasTable,13)+Assumptions!$C$58,0)</f>
        <v>2.57313025429346</v>
      </c>
      <c r="HA69" s="286" t="n">
        <f aca="false">GZ69*Assumptions!$C$57/1000</f>
        <v>18.6551943436276</v>
      </c>
      <c r="HB69" s="1558" t="n">
        <f aca="false">IF(Assumptions!$C$60="Hourly",MAX(0,GX69*(GY69-HA69)),GX69*(GY69-HA69))</f>
        <v>2078281.1691284</v>
      </c>
      <c r="HC69" s="1566" t="n">
        <f aca="false">IF($A69&gt;=BegDate,Assumptions!$C$56*24*($A70-$A69)*(1-VLOOKUP($B69,MAIN!$AA$7:$AM$28,$C69+1))*(1-VLOOKUP($B69,MAIN!$AA$33:$AM$54,$C69+1)),0)*16/168</f>
        <v>49885.7142857143</v>
      </c>
      <c r="HD69" s="286" t="n">
        <f aca="false">P69</f>
        <v>27.672702900048</v>
      </c>
      <c r="HE69" s="286" t="n">
        <f aca="false">IF($A69&gt;=BegDate,VLOOKUP($A69,GasTable,13)+Assumptions!$C$58,0)</f>
        <v>2.57313025429346</v>
      </c>
      <c r="HF69" s="286" t="n">
        <f aca="false">HE69*Assumptions!$C$57/1000</f>
        <v>18.6551943436276</v>
      </c>
      <c r="HG69" s="1558" t="n">
        <f aca="false">IF(Assumptions!$C$60="Hourly",MAX(0,HC69*(HD69-HF69)),HC69*(HD69-HF69))</f>
        <v>449844.855414574</v>
      </c>
      <c r="HH69" s="1566" t="n">
        <f aca="false">IF($A69&gt;=BegDate,Assumptions!$C$56*24*($A70-$A69)*(1-VLOOKUP($B69,MAIN!$AA$7:$AM$28,$C69+1))*(1-VLOOKUP($B69,MAIN!$AA$33:$AM$54,$C69+1)),0)*56/168</f>
        <v>174600</v>
      </c>
      <c r="HI69" s="286" t="n">
        <f aca="false">S69</f>
        <v>27.672702900048</v>
      </c>
      <c r="HJ69" s="286" t="n">
        <f aca="false">IF($A69&gt;=BegDate,VLOOKUP($A69,GasTable,13)+Assumptions!$C$58,0)</f>
        <v>2.57313025429346</v>
      </c>
      <c r="HK69" s="286" t="n">
        <f aca="false">HJ69*Assumptions!$C$57/1000</f>
        <v>18.6551943436276</v>
      </c>
      <c r="HL69" s="1558" t="n">
        <f aca="false">IF(Assumptions!$C$60="Hourly",MAX(0,HH69*(HI69-HK69)),HH69*(HI69-HK69))</f>
        <v>1574456.99395101</v>
      </c>
      <c r="HM69" s="1566" t="n">
        <f aca="false">IF(AND(Assumptions!$H$71="Yes",A69&gt;=Assumptions!$H$72,A69&lt;=Assumptions!$H$73),Assumptions!$H$74*Assumptions!$C$9*1000,0)</f>
        <v>0</v>
      </c>
      <c r="HN69" s="1551" t="e">
        <f aca="false">GD69-GH69</f>
        <v>#VALUE!</v>
      </c>
      <c r="HO69" s="1563"/>
      <c r="HP69" s="1563"/>
      <c r="HQ69" s="1563"/>
      <c r="HR69" s="1563"/>
      <c r="HS69" s="1563"/>
      <c r="HT69" s="1563"/>
      <c r="HU69" s="1563"/>
      <c r="HV69" s="1563"/>
      <c r="HW69" s="1563"/>
      <c r="HX69" s="1563"/>
      <c r="HY69" s="1563"/>
      <c r="HZ69" s="1563"/>
      <c r="IA69" s="1563"/>
      <c r="IB69" s="1563"/>
      <c r="IC69" s="1563"/>
      <c r="ID69" s="1563"/>
      <c r="IE69" s="1563"/>
      <c r="IF69" s="1563"/>
      <c r="IG69" s="1563"/>
      <c r="IH69" s="1563"/>
      <c r="II69" s="1610"/>
      <c r="IJ69" s="1309"/>
      <c r="IK69" s="1309"/>
    </row>
    <row r="70" customFormat="false" ht="12.75" hidden="false" customHeight="false" outlineLevel="0" collapsed="false">
      <c r="A70" s="1571" t="n">
        <f aca="false">EOMONTH(A69,0)+1</f>
        <v>38261</v>
      </c>
      <c r="B70" s="594" t="n">
        <f aca="false">+YEAR(A70)</f>
        <v>2004</v>
      </c>
      <c r="C70" s="238" t="n">
        <f aca="false">MONTH(A70)</f>
        <v>10</v>
      </c>
      <c r="D70" s="1572" t="e">
        <f aca="false">IF(E70="","",Holiday(B70,C70))</f>
        <v>#VALUE!</v>
      </c>
      <c r="E70" s="1573" t="n">
        <f aca="false">IF(OR(BegDate&gt;=A71,EndDate&lt;A70,AND(VolumeMonthlyOverFlag,INDEX(VolumeMonthlyOver,C70)=0),NOT(INDEX(MonthKnockOutTable,C70))),"",MAX(A70,BegDate))</f>
        <v>38261</v>
      </c>
      <c r="F70" s="1574" t="n">
        <f aca="false">IF(E70="","",MIN(A71-1,EndDate))</f>
        <v>38291</v>
      </c>
      <c r="G70" s="1575" t="n">
        <v>0</v>
      </c>
      <c r="H70" s="1576" t="n">
        <f aca="false">(1+G70/2)^(-2*(DATE(B71,C71,20)-DateToday)/365.25)</f>
        <v>1</v>
      </c>
      <c r="I70" s="1568" t="n">
        <f aca="false">IF(Assumptions!$L$25=4,VLOOKUP($A70,'Henwood Reference'!$E$9:$R$320,10),(VLOOKUP($A70,PriceTable,2,0)+IF(BasisNumber&lt;&gt;1,VLOOKUP($A70,BasisTable,2,0),0)+I$1)/(1-I$2))</f>
        <v>37.453992870672</v>
      </c>
      <c r="J70" s="1568" t="n">
        <f aca="false">IF(Assumptions!$L$25=4,VLOOKUP($A70,'Henwood Reference'!$E$9:$R$320,10),(VLOOKUP($A70,PriceTable,3,0)+IF(BasisNumber&lt;&gt;1,VLOOKUP($A70,BasisTable,2,0),0)+J$1)/(1-J$2))</f>
        <v>37.453992870672</v>
      </c>
      <c r="K70" s="1568" t="n">
        <f aca="false">IF(Assumptions!$L$25=4,VLOOKUP($A70,'Henwood Reference'!$E$9:$R$320,10),(VLOOKUP($A70,PriceTable,4,0)+IF(BasisNumber&lt;&gt;1,VLOOKUP($A70,BasisTable,2,0),0)+K$1)/(1-K$2))</f>
        <v>37.453992870672</v>
      </c>
      <c r="L70" s="1523" t="n">
        <f aca="false">IF(Assumptions!$L$25=4,VLOOKUP($A70,'Henwood Reference'!$E$9:$R$320,10),(VLOOKUP($A70,PriceTableWeekend,2,0)+IF(BasisNumber&lt;&gt;1,VLOOKUP($A70,BasisTable,2,0),0)+L$1)/(1-L$2))</f>
        <v>37.453992870672</v>
      </c>
      <c r="M70" s="1568" t="n">
        <f aca="false">IF(Assumptions!$L$25=4,VLOOKUP($A70,'Henwood Reference'!$E$9:$R$320,10),(VLOOKUP($A70,PriceTableWeekend,3,0)+IF(BasisNumber&lt;&gt;1,VLOOKUP($A70,BasisTable,2,0),0)+M$1)/(1-M$2))</f>
        <v>37.453992870672</v>
      </c>
      <c r="N70" s="1599" t="n">
        <f aca="false">IF(Assumptions!$L$25=4,VLOOKUP($A70,'Henwood Reference'!$E$9:$R$320,10),(VLOOKUP($A70,PriceTableWeekend,4,0)+IF(BasisNumber&lt;&gt;1,VLOOKUP($A70,BasisTable,2,0),0)+N$1)/(1-N$2))</f>
        <v>37.453992870672</v>
      </c>
      <c r="O70" s="1568" t="n">
        <f aca="false">IF(Assumptions!$L$25=4,VLOOKUP($A70,'Henwood Reference'!$E$9:$R$320,11),(VLOOKUP($A70,PriceTableWeekend,6,0)+IF(BasisNumber&lt;&gt;1,VLOOKUP($A70,BasisTable,3,0),0)+O$1)/(1-O$2))</f>
        <v>25.070968960272</v>
      </c>
      <c r="P70" s="1568" t="n">
        <f aca="false">IF(Assumptions!$L$25=4,VLOOKUP($A70,'Henwood Reference'!$E$9:$R$320,11),(VLOOKUP($A70,PriceTableWeekend,7,0)+IF(BasisNumber&lt;&gt;1,VLOOKUP($A70,BasisTable,3,0),0)+P$1)/(1-P$2))</f>
        <v>25.070968960272</v>
      </c>
      <c r="Q70" s="1599" t="n">
        <f aca="false">IF(Assumptions!$L$25=4,VLOOKUP($A70,'Henwood Reference'!$E$9:$R$320,11),(VLOOKUP($A70,PriceTableWeekend,8,0)+IF(BasisNumber&lt;&gt;1,VLOOKUP($A70,BasisTable,3,0),0)+Q$1)/(1-Q$2))</f>
        <v>25.070968960272</v>
      </c>
      <c r="R70" s="1568" t="n">
        <f aca="false">IF(Assumptions!$L$25=4,VLOOKUP($A70,'Henwood Reference'!$E$9:$R$320,11),(VLOOKUP($A70,PriceTable,6,0)+IF(BasisNumber&lt;&gt;1,VLOOKUP($A70,BasisTable,3,0),0)+R$1)/(1-R$2))</f>
        <v>25.070968960272</v>
      </c>
      <c r="S70" s="1568" t="n">
        <f aca="false">IF(Assumptions!$L$25=4,VLOOKUP($A70,'Henwood Reference'!$E$9:$R$320,11),(VLOOKUP($A70,PriceTable,7,0)+IF(BasisNumber&lt;&gt;1,VLOOKUP($A70,BasisTable,3,0),0)+S$1)/(1-S$2))</f>
        <v>25.070968960272</v>
      </c>
      <c r="T70" s="1600" t="n">
        <f aca="false">IF(Assumptions!$L$25=4,VLOOKUP($A70,'Henwood Reference'!$E$9:$R$320,11),(VLOOKUP($A70,PriceTable,8,0)+IF(BasisNumber&lt;&gt;1,VLOOKUP($A70,BasisTable,3,0),0)+T$1)/(1-T$2))</f>
        <v>25.070968960272</v>
      </c>
      <c r="U70" s="1513" t="n">
        <f aca="false">VLOOKUP($A70,VolatilityTable,14)</f>
        <v>0.15</v>
      </c>
      <c r="V70" s="1513" t="n">
        <f aca="false">VLOOKUP($A70,VolatilityTable,15)</f>
        <v>0.16</v>
      </c>
      <c r="W70" s="1514" t="n">
        <f aca="false">VLOOKUP($A70,VolatilityTable,16)</f>
        <v>0.17</v>
      </c>
      <c r="X70" s="1513" t="n">
        <f aca="false">VLOOKUP($A70,VolatilityTable,14)</f>
        <v>0.15</v>
      </c>
      <c r="Y70" s="1513" t="n">
        <f aca="false">VLOOKUP($A70,VolatilityTable,15)</f>
        <v>0.16</v>
      </c>
      <c r="Z70" s="1514" t="n">
        <f aca="false">VLOOKUP($A70,VolatilityTable,16)</f>
        <v>0.17</v>
      </c>
      <c r="AA70" s="1513" t="n">
        <f aca="false">VLOOKUP($A70,VolatilityTable,18)</f>
        <v>0.09</v>
      </c>
      <c r="AB70" s="1513" t="n">
        <f aca="false">VLOOKUP($A70,VolatilityTable,19)</f>
        <v>0.11</v>
      </c>
      <c r="AC70" s="1514" t="n">
        <f aca="false">VLOOKUP($A70,VolatilityTable,20)</f>
        <v>0.13</v>
      </c>
      <c r="AD70" s="1513" t="n">
        <f aca="false">VLOOKUP($A70,VolatilityTable,18)</f>
        <v>0.09</v>
      </c>
      <c r="AE70" s="1513" t="n">
        <f aca="false">VLOOKUP($A70,VolatilityTable,19)</f>
        <v>0.11</v>
      </c>
      <c r="AF70" s="1514" t="n">
        <f aca="false">VLOOKUP($A70,VolatilityTable,20)</f>
        <v>0.13</v>
      </c>
      <c r="AG70" s="1513" t="n">
        <f aca="false">VLOOKUP($A70,VolatilityTable,22)</f>
        <v>-0.1</v>
      </c>
      <c r="AH70" s="1513" t="n">
        <f aca="false">VLOOKUP($A70,VolatilityTable,23)</f>
        <v>0.6</v>
      </c>
      <c r="AI70" s="1514" t="n">
        <f aca="false">VLOOKUP($A70,VolatilityTable,24)</f>
        <v>0.1</v>
      </c>
      <c r="AJ70" s="1513" t="n">
        <f aca="false">VLOOKUP($A70,VolatilityTable,22)</f>
        <v>-0.1</v>
      </c>
      <c r="AK70" s="1513" t="n">
        <f aca="false">VLOOKUP($A70,VolatilityTable,23)</f>
        <v>0.6</v>
      </c>
      <c r="AL70" s="1514" t="n">
        <f aca="false">VLOOKUP($A70,VolatilityTable,24)</f>
        <v>0.1</v>
      </c>
      <c r="AM70" s="1513" t="n">
        <f aca="false">VLOOKUP($A70,VolatilityTable,26)</f>
        <v>-0.01</v>
      </c>
      <c r="AN70" s="1513" t="n">
        <f aca="false">VLOOKUP($A70,VolatilityTable,27)</f>
        <v>0.16</v>
      </c>
      <c r="AO70" s="1514" t="n">
        <f aca="false">VLOOKUP($A70,VolatilityTable,28)</f>
        <v>0.01</v>
      </c>
      <c r="AP70" s="1513" t="n">
        <f aca="false">VLOOKUP($A70,VolatilityTable,26)</f>
        <v>-0.01</v>
      </c>
      <c r="AQ70" s="1513" t="n">
        <f aca="false">VLOOKUP($A70,VolatilityTable,27)</f>
        <v>0.16</v>
      </c>
      <c r="AR70" s="1515" t="n">
        <f aca="false">VLOOKUP($A70,VolatilityTable,28)</f>
        <v>0.01</v>
      </c>
      <c r="AS70" s="1581" t="n">
        <f aca="false">IF(CorrPeakOffPeakOverFlag,INDEX(CorrPeakOffPeakOver,C70),CorrPeakOffPeak)</f>
        <v>0.5</v>
      </c>
      <c r="AT70" s="594" t="e">
        <f aca="false">AX70-SUM(AU70:AW70)</f>
        <v>#VALUE!</v>
      </c>
      <c r="AU70" s="238" t="e">
        <f aca="false">IF(E70="",0,INT((F70-MOD(F70,7)-E70)/7)+1-IF(AW70,IF(WEEKDAY(D70)=7,1,0),0))</f>
        <v>#VALUE!</v>
      </c>
      <c r="AV70" s="238" t="e">
        <f aca="false">IF(E70="",0,INT((F70-MOD(F70-1,7)-E70)/7)+1-IF(AW70,IF(WEEKDAY(D70)=1,1,0),0))</f>
        <v>#VALUE!</v>
      </c>
      <c r="AW70" s="238" t="e">
        <f aca="false">IF(OR(E70="",D70="",D70&lt;BegDate,D70&gt;EndDate),0,1)</f>
        <v>#VALUE!</v>
      </c>
      <c r="AX70" s="238" t="n">
        <f aca="false">IF(E70="",0,F70-E70+1)</f>
        <v>31</v>
      </c>
      <c r="AY70" s="1582" t="n">
        <f aca="false">IF(E70="",0,MIN((1-(1-VLOOKUP(B70,MAIN!$AA$7:$AM$28,C70+1))*(1-VLOOKUP(B70,MAIN!$AA$33:$AM$54,C70+1))),1))</f>
        <v>0.03</v>
      </c>
      <c r="AZ70" s="1519" t="e">
        <v>#VALUE!</v>
      </c>
      <c r="BA70" s="1520" t="e">
        <v>#VALUE!</v>
      </c>
      <c r="BB70" s="1520" t="e">
        <v>#VALUE!</v>
      </c>
      <c r="BC70" s="1583" t="e">
        <v>#VALUE!</v>
      </c>
      <c r="BD70" s="1522" t="e">
        <v>#VALUE!</v>
      </c>
      <c r="BE70" s="1523" t="e">
        <v>#VALUE!</v>
      </c>
      <c r="BF70" s="1523" t="e">
        <v>#VALUE!</v>
      </c>
      <c r="BG70" s="1584" t="e">
        <v>#VALUE!</v>
      </c>
      <c r="BH70" s="1525" t="e">
        <v>#VALUE!</v>
      </c>
      <c r="BI70" s="1520" t="e">
        <v>#VALUE!</v>
      </c>
      <c r="BJ70" s="1520" t="e">
        <v>#VALUE!</v>
      </c>
      <c r="BK70" s="1583" t="e">
        <v>#VALUE!</v>
      </c>
      <c r="BL70" s="1522" t="e">
        <v>#VALUE!</v>
      </c>
      <c r="BM70" s="1523" t="e">
        <v>#VALUE!</v>
      </c>
      <c r="BN70" s="1523" t="e">
        <v>#VALUE!</v>
      </c>
      <c r="BO70" s="1523" t="e">
        <v>#VALUE!</v>
      </c>
      <c r="BP70" s="1525" t="e">
        <f aca="false">SUM(AZ70:BB70)</f>
        <v>#VALUE!</v>
      </c>
      <c r="BQ70" s="1529" t="e">
        <f aca="false">SUM(AZ70:BC70)</f>
        <v>#VALUE!</v>
      </c>
      <c r="BR70" s="1519" t="e">
        <f aca="false">SUM(BH70:BJ70)</f>
        <v>#VALUE!</v>
      </c>
      <c r="BS70" s="1529" t="e">
        <f aca="false">SUM(BH70:BK70)</f>
        <v>#VALUE!</v>
      </c>
      <c r="BT70" s="1316" t="n">
        <f aca="false">(IF(OVolType&lt;&gt;2,A70+14,IF(OptExpDateShift,ShiftBack(A70,OptExpDateShift,D69),A70))-DateToday)/365.25</f>
        <v>4.46543463381246</v>
      </c>
      <c r="BU70" s="1585" t="e">
        <f aca="false">IF(BQ70,IF(OPriceCurve,IF(OBuySell=OCallPut,I70/(1-AY70),K70/(1-AY70)),J70/(1-AY70))*BD70,0)</f>
        <v>#VALUE!</v>
      </c>
      <c r="BV70" s="1316" t="e">
        <f aca="false">IF(BQ70,IF(OPriceCurve,IF(OBuySell=OCallPut,L70/(1-AY70),N70/(1-AY70)),M70/(1-AY70))*BE70,0)</f>
        <v>#VALUE!</v>
      </c>
      <c r="BW70" s="1316" t="e">
        <f aca="false">IF(BQ70,IF(OPriceCurve,IF(OBuySell=OCallPut,O70/(1-AY70),Q70/(1-AY70)),P70/(1-AY70))*BF70,0)</f>
        <v>#VALUE!</v>
      </c>
      <c r="BX70" s="1316" t="e">
        <f aca="false">IF(BQ70,IF(OPriceCurve,IF(OBuySell=OCallPut,R70/(1-AY70),T70/(1-AY70)),S70/(1-AY70))*BG70,0)</f>
        <v>#VALUE!</v>
      </c>
      <c r="BY70" s="1316" t="e">
        <f aca="false">IF(BP70,(BU70*AZ70+BV70*BA70+BW70*BB70)/BP70,0)</f>
        <v>#VALUE!</v>
      </c>
      <c r="BZ70" s="1316" t="e">
        <f aca="false">IF(BQ70,(BY70*BP70+BX70*BC70)/BQ70,0)</f>
        <v>#VALUE!</v>
      </c>
      <c r="CA70" s="1531" t="e">
        <f aca="false">IF(BS70,IF(OPriceCurve,IF(OBuySell=OCallPut,I70/(1-AY70),K70/(1-AY70)),J70/(1-AY70))*BL70,0)</f>
        <v>#VALUE!</v>
      </c>
      <c r="CB70" s="1316" t="e">
        <f aca="false">IF(BS70,IF(OPriceCurve,IF(OBuySell=OCallPut,L70/(1-AY70),N70/(1-AY70)),M70/(1-AY70))*BM70,0)</f>
        <v>#VALUE!</v>
      </c>
      <c r="CC70" s="1316" t="e">
        <f aca="false">IF(BS70,IF(OPriceCurve,IF(OBuySell=OCallPut,O70/(1-AY70),Q70/(1-AY70)),P70/(1-AY70))*BN70,0)</f>
        <v>#VALUE!</v>
      </c>
      <c r="CD70" s="1316" t="e">
        <f aca="false">IF(BS70,IF(OPriceCurve,IF(OBuySell=OCallPut,R70/(1-AY70),T70/(1-AY70)),S70/(1-AY70))*BO70,0)</f>
        <v>#VALUE!</v>
      </c>
      <c r="CE70" s="1316" t="e">
        <f aca="false">IF(BR70,(BU70*BH70+BV70*BI70+BW70*BJ70)/BR70,0)</f>
        <v>#VALUE!</v>
      </c>
      <c r="CF70" s="1532" t="e">
        <f aca="false">IF(BS70,(CE70*BR70+CD70*BK70)/BS70,0)</f>
        <v>#VALUE!</v>
      </c>
      <c r="CG70" s="1586" t="e">
        <f aca="false">IF(OR(BQ70,BS70),IF(OVolType&lt;&gt;2,SQRT(IF(OVolOverMonthlyPeak,OVolOverMonthlyPeak,IF(OVolCurve,IF(OBuySell,U70,W70),V70))^2*(1-15/365.25/BT70)+IF(OVolOverDailyPeak,OVolOverDailyPeak,IF(OVolCurve,IF(OBuySell,AG70,AI70),AH70))^2*15/365.25/BT70),IF(OVolOverMonthlyPeak,OVolOverMonthlyPeak,IF(OVolCurve,IF(OBuySell,U70,W70),V70))),"")</f>
        <v>#VALUE!</v>
      </c>
      <c r="CH70" s="1587" t="e">
        <f aca="false">IF(OR(BQ70,BS70),IF(OVolType&lt;&gt;2,SQRT(IF(OVolOverMonthlyPeak,OVolOverMonthlyPeak,IF(OVolCurve,IF(OBuySell,X70,Z70),Y70))^2*(1-15/365.25/BT70)+IF(OVolOverDailyPeak,OVolOverDailyPeak,IF(OVolCurve,IF(OBuySell,AJ70,AL70),AK70))^2*15/365.25/BT70),IF(OVolOverMonthlyPeak,OVolOverMonthlyPeak,IF(OVolCurve,IF(OBuySell,X70,Z70),Y70))),"")</f>
        <v>#VALUE!</v>
      </c>
      <c r="CI70" s="1587" t="e">
        <f aca="false">IF(OR(BQ70,BS70),IF(OVolType&lt;&gt;2,SQRT(IF(OVolOverMonthlyPeak,OVolOverMonthlyPeak,IF(OVolCurve,IF(OBuySell,AA70,AC70),AB70))^2*(1-15/365.25/BT70)+IF(OVolOverDailyPeak,OVolOverDailyPeak,IF(OVolCurve,IF(OBuySell,AM70,AO70),AN70))^2*15/365.25/BT70),IF(OVolOverMonthlyPeak,OVolOverMonthlyPeak,IF(OVolCurve,IF(OBuySell,AA70,AC70),AB70))),"")</f>
        <v>#VALUE!</v>
      </c>
      <c r="CJ70" s="1587" t="e">
        <f aca="false">IF(BQ70,IF(BP70,SQRT(LN(1+((BU70*AZ70)^2*(EXP(CG70^2*BT70)-1)+(BV70*BA70)^2*(EXP(CH70^2*BT70)-1)+(BW70*BB70)^2*(EXP(CI70^2*BT70)-1)+2*BU70*AZ70*BV70*BA70*(EXP(CG70*CH70*BT70)-1)+2*BV70*BA70*BW70*BB70*(EXP(CH70*CI70*BT70)-1)+2*BW70*BB70*BU70*AZ70*(EXP(CI70*CG70*BT70)-1))/(BY70*BP70)^2)/BT70),0),"")</f>
        <v>#VALUE!</v>
      </c>
      <c r="CK70" s="1587" t="e">
        <f aca="false">IF(BS70,IF(BR70,SQRT(LN(1+((CA70*BH70)^2*(EXP(CG70^2*BT70)-1)+(CB70*BI70)^2*(EXP(CH70^2*BT70)-1)+(CC70*BJ70)^2*(EXP(CI70^2*BT70)-1)+2*CA70*BH70*CB70*BI70*(EXP(CG70*CH70*BT70)-1)+2*CB70*BI70*CC70*BJ70*(EXP(CH70*CI70*BT70)-1)+2*CC70*BJ70*CA70*BH70*(EXP(CI70*CG70*BT70)-1))/(CE70*BR70)^2)/BT70),0),"")</f>
        <v>#VALUE!</v>
      </c>
      <c r="CL70" s="1587" t="e">
        <f aca="false">IF(OR(BQ70,BS70),IF(OVolType&lt;&gt;2,SQRT(IF(OVolOverMonthlyOffPeak,OVolOverMonthlyOffPeak,IF(OVolCurve,IF(OBuySell,AD70,AF70),AE70))^2*(1-15/365.25/BT70)+IF(OVolOverDailyOffPeak,OVolOverDailyOffPeak,IF(OVolCurve,IF(OBuySell,AP70,AR70),AQ70))^2*15/365.25/BT70),IF(OVolOverMonthlyOffPeak,OVolOverMonthlyOffPeak,IF(OVolCurve,IF(OBuySell,AD70,AF70),AE70))),"")</f>
        <v>#VALUE!</v>
      </c>
      <c r="CM70" s="1587" t="e">
        <f aca="false">IF(BQ70,SQRT(LN(1+((BY70*BP70)^2*(EXP(CJ70^2*BT70)-1)+(BX70*BC70)^2*(EXP(CL70^2*BT70)-1)+2*BY70*BP70*BX70*BC70*(EXP(AS70*CJ70*CL70*BT70)-1))/(BY70*BP70+BX70*BC70)^2)/BT70),"")</f>
        <v>#VALUE!</v>
      </c>
      <c r="CN70" s="1588" t="e">
        <f aca="false">IF(BS70,SQRT(LN(1+((CE70*BR70)^2*(EXP(CK70^2*BT70)-1)+(CD70*BK70)^2*(EXP(CL70^2*BT70)-1)+2*CE70*BR70*CD70*BK70*(EXP(AS70*CK70*CL70*BT70)-1))/(CE70*BR70+CD70*BK70)^2)/BT70),"")</f>
        <v>#VALUE!</v>
      </c>
      <c r="CO70" s="1531" t="e">
        <f aca="false">IF(OR(BQ70,BS70),VLOOKUP(A70,GasTable,13)*HeatRatePeak*(1+VLOOKUP($B70,HeatRateDegradation,$C70+1))/1000,0)</f>
        <v>#VALUE!</v>
      </c>
      <c r="CP70" s="1316" t="e">
        <f aca="false">IF(OR(BQ70,BS70),VLOOKUP(A70,GasTable,13)*HeatRatePeak*(1+VLOOKUP($B70,HeatRateDegradation,$C70+1))/1000,0)</f>
        <v>#VALUE!</v>
      </c>
      <c r="CQ70" s="1316" t="e">
        <f aca="false">IF(OR(BQ70,BS70),VLOOKUP(A70,GasTable,13)*IF(EV70,HeatRatePeak,HeatRateOffPeak)*(1+VLOOKUP($B70,HeatRateDegradation,$C70+1))/1000,0)</f>
        <v>#VALUE!</v>
      </c>
      <c r="CR70" s="1316" t="e">
        <f aca="false">IF(OR(BQ70,BS70),VLOOKUP(A70,GasTable,13)*IF(EW70,HeatRatePeak,HeatRateOffPeak)*(1+VLOOKUP($B70,HeatRateDegradation,$C70+1))/1000,0)</f>
        <v>#VALUE!</v>
      </c>
      <c r="CS70" s="1589" t="e">
        <f aca="false">IF(BQ70,(CO70*AZ70+CP70*BA70+CQ70*BB70+CR70*BC70)/BQ70,0)</f>
        <v>#VALUE!</v>
      </c>
      <c r="CT70" s="1316" t="e">
        <f aca="false">IF(BS70,CO70,0)</f>
        <v>#VALUE!</v>
      </c>
      <c r="CU70" s="1590" t="e">
        <f aca="false">IF(OR(BQ70,BS70),VLOOKUP(A70,GasTable,14),"")</f>
        <v>#VALUE!</v>
      </c>
      <c r="CV70" s="1568" t="e">
        <f aca="false">IF(OR(BQ70,BS70),IF(CorrPowerGasOverFlag,INDEX(CorrPowerGasOver,C70),CorrPowerGas),"")</f>
        <v>#VALUE!</v>
      </c>
      <c r="CW70" s="1316" t="e">
        <f aca="false">IF(OR($BQ70,$BS70),SpreadOptPowerMargin,0)*((1+Assumptions!$C$26)^($B70-YEAR(Assumptions!$C$17)))</f>
        <v>#VALUE!</v>
      </c>
      <c r="CX70" s="1316" t="e">
        <f aca="false">IF(OR($BQ70,$BS70),SpreadOptPowerMargin,0)*((1+Assumptions!$C$26)^($B70-YEAR(Assumptions!$C$17)))</f>
        <v>#VALUE!</v>
      </c>
      <c r="CY70" s="1316" t="e">
        <f aca="false">IF(OR($BQ70,$BS70),SpreadOptPowerMargin,0)*((1+Assumptions!$C$26)^($B70-YEAR(Assumptions!$C$17)))</f>
        <v>#VALUE!</v>
      </c>
      <c r="CZ70" s="1316" t="e">
        <f aca="false">IF(OR($BQ70,$BS70),SpreadOptPowerMargin,0)*((1+Assumptions!$C$26)^($B70-YEAR(Assumptions!$C$17)))</f>
        <v>#VALUE!</v>
      </c>
      <c r="DA70" s="1591" t="e">
        <f aca="false">IF(OR(BQ70,BS70),(CW70*(AZ70+BH70)+CX70*(BA70+BI70)+CY70*(BB70+BJ70)+CZ70*(BC70+BK70))/(BQ70+BS70),0)</f>
        <v>#VALUE!</v>
      </c>
      <c r="DB70" s="1592" t="e">
        <f aca="false">IF(OR(BQ70,BS70),CG70+IF(OVolSmile,VLOOKUP(MAX(-5,CO70+CW70-BU70),IF(OVolSmile=1,VolSmileBook,VolSmileModel),2),0),"")</f>
        <v>#VALUE!</v>
      </c>
      <c r="DC70" s="1592" t="e">
        <f aca="false">IF(OR(BQ70,BS70),CH70+IF(OVolSmile,VLOOKUP(MAX(-5,CP70+CW70-BV70),IF(OVolSmile=1,VolSmileBook,VolSmileModel),2),0),"")</f>
        <v>#VALUE!</v>
      </c>
      <c r="DD70" s="1592" t="e">
        <f aca="false">IF(OR(BQ70,BS70),CI70+IF(OVolSmile,VLOOKUP(MAX(-5,CQ70+CW70-BW70),IF(OVolSmile=1,VolSmileBook,VolSmileModel),2),0),"")</f>
        <v>#VALUE!</v>
      </c>
      <c r="DE70" s="1592" t="e">
        <f aca="false">IF(OR(BQ70,BS70),CL70+IF(OVolSmile,VLOOKUP(MAX(-5,CR70+CZ70-BX70),IF(OVolSmile=1,VolSmileBook,VolSmileModel),2),0),"")</f>
        <v>#VALUE!</v>
      </c>
      <c r="DF70" s="1592" t="e">
        <f aca="false">IF(BQ70,CM70+IF(OVolSmile,VLOOKUP(MAX(-5,CS70+DA70-BZ70),IF(OVolSmile=1,VolSmileBook,VolSmileModel),2),0),"")</f>
        <v>#VALUE!</v>
      </c>
      <c r="DG70" s="1593" t="e">
        <f aca="false">IF(BS70,CN70+IF(OVolSmile,VLOOKUP(MAX(-5,CT70+DA70-CF70),IF(OVolSmile=1,VolSmileBook,VolSmileModel),2),0),"")</f>
        <v>#VALUE!</v>
      </c>
      <c r="DH70" s="1316" t="e">
        <f aca="false">IF(AND(BU70&gt;0,CO70&gt;0,DB70&gt;0,CU70&gt;0),newSPRDOPT(BU70,CO70,CW70,0,DB70,CU70,CV70,BT70*365.25,OCallPut,0),0)</f>
        <v>#VALUE!</v>
      </c>
      <c r="DI70" s="1316" t="e">
        <f aca="false">IF(AND(BV70&gt;0,CP70&gt;0,DC70&gt;0,CU70&gt;0),newSPRDOPT(BV70,CP70,CX70,0,DC70,CU70,CV70,BT70*365.25,OCallPut,0),0)</f>
        <v>#VALUE!</v>
      </c>
      <c r="DJ70" s="1316" t="e">
        <f aca="false">IF(AND(BW70&gt;0,CQ70&gt;0,DD70&gt;0,CU70&gt;0),newSPRDOPT(BW70,CQ70,CY70,0,DD70,CU70,CV70,BT70*365.25,OCallPut,0),0)</f>
        <v>#VALUE!</v>
      </c>
      <c r="DK70" s="1316" t="e">
        <f aca="false">IF(AND(BX70&gt;0,CR70&gt;0,DE70&gt;0,CU70&gt;0),newSPRDOPT(BX70,CR70,CZ70,0,DE70,CU70,CV70,BT70*365.25,OCallPut,0),0)</f>
        <v>#VALUE!</v>
      </c>
      <c r="DL70" s="1316" t="e">
        <f aca="false">IF(OVolType,IF(AND(BZ70&gt;0,CS70&gt;0,DF70&gt;0,CU70&gt;0),newSPRDOPT(BZ70,CS70,DA70,0,DF70,CU70,CV70,BT70*365.25,OCallPut,0),0),IF(BQ70,(DH70*AZ70+DI70*BA70+DJ70*BB70+DK70*BC70)/BQ70,0))</f>
        <v>#VALUE!</v>
      </c>
      <c r="DM70" s="1316"/>
      <c r="DN70" s="1316"/>
      <c r="DO70" s="1316"/>
      <c r="DP70" s="1316"/>
      <c r="DQ70" s="1316"/>
      <c r="DR70" s="1316"/>
      <c r="DS70" s="1316"/>
      <c r="DT70" s="1316"/>
      <c r="DU70" s="1316"/>
      <c r="DV70" s="1316"/>
      <c r="DW70" s="1594" t="e">
        <f aca="false">IF(AND(BW70&gt;0,CT70&gt;0,DD70&gt;0,CU70&gt;0),newSPRDOPT(BW70,CT70,CY70,0,DD70,CU70,CV70,BT70*365.25,OCallPut,0),0)</f>
        <v>#VALUE!</v>
      </c>
      <c r="DX70" s="1316" t="e">
        <f aca="false">IF(AND(BX70&gt;0,CT70&gt;0,DE70&gt;0,CU70&gt;0),newSPRDOPT(BX70,CT70,CZ70,0,DE70,CU70,CV70,BT70*365.25,OCallPut,0),0)</f>
        <v>#VALUE!</v>
      </c>
      <c r="DY70" s="1591" t="e">
        <f aca="false">IF(BS70,(DH70*BH70+DI70*BI70+DW70*BJ70+DX70*BK70)/BS70,0)</f>
        <v>#VALUE!</v>
      </c>
      <c r="DZ70" s="1551" t="e">
        <f aca="false">DH70*AZ70</f>
        <v>#VALUE!</v>
      </c>
      <c r="EA70" s="1551" t="e">
        <f aca="false">DI70*BA70</f>
        <v>#VALUE!</v>
      </c>
      <c r="EB70" s="1551" t="e">
        <f aca="false">DJ70*BB70</f>
        <v>#VALUE!</v>
      </c>
      <c r="EC70" s="1551" t="e">
        <f aca="false">DK70*BC70</f>
        <v>#VALUE!</v>
      </c>
      <c r="ED70" s="1551" t="e">
        <f aca="false">DL70*BQ70</f>
        <v>#VALUE!</v>
      </c>
      <c r="EE70" s="1595" t="e">
        <f aca="false">IF(BQ70,IF(OCallPut,IF(BU70&gt;(CO70+CW70),BU70-(CO70+CW70),0),IF((CO70+CW70)&gt;BU70,(CO70+CW70)-BU70,0))*AZ70,0)</f>
        <v>#VALUE!</v>
      </c>
      <c r="EF70" s="1596" t="e">
        <f aca="false">IF(BQ70,IF(OCallPut,IF(BV70&gt;(CP70+CX70),BV70-(CP70+CX70),0),IF((CP70+CX70)&gt;BV70,(CP70+CX70)-BV70,0))*BA70,0)</f>
        <v>#VALUE!</v>
      </c>
      <c r="EG70" s="1596" t="e">
        <f aca="false">IF(BQ70,IF(OCallPut,IF(BW70&gt;(CQ70+CY70),BW70-(CQ70+CY70),0),IF((CQ70+CY70)&gt;BW70,(CQ70+CY70)-BW70,0))*BB70,0)</f>
        <v>#VALUE!</v>
      </c>
      <c r="EH70" s="1596" t="e">
        <f aca="false">IF(BQ70,IF(OCallPut,IF(BX70&gt;(CR70+CZ70),BX70-(CR70+CZ70),0),IF((CR70+CZ70)&gt;BX70,(CR70+CZ70)-BX70,0))*BC70,0)</f>
        <v>#VALUE!</v>
      </c>
      <c r="EI70" s="1597" t="e">
        <f aca="false">IF(BQ70,IF(OVolType,IF(OCallPut,IF(BZ70&gt;(CS70+DA70),BZ70-(CS70+DA70),0),IF((CS70+DA70)&gt;BZ70,(CS70+DA70)-BZ70,0))*BQ70,SUM(EE70:EH70)),0)</f>
        <v>#VALUE!</v>
      </c>
      <c r="EJ70" s="1595" t="e">
        <f aca="false">DZ70-EE70</f>
        <v>#VALUE!</v>
      </c>
      <c r="EK70" s="1596" t="e">
        <f aca="false">EA70-EF70</f>
        <v>#VALUE!</v>
      </c>
      <c r="EL70" s="1596" t="e">
        <f aca="false">EB70-EG70</f>
        <v>#VALUE!</v>
      </c>
      <c r="EM70" s="1596" t="e">
        <f aca="false">EC70-EH70</f>
        <v>#VALUE!</v>
      </c>
      <c r="EN70" s="1597" t="e">
        <f aca="false">ED70-EI70</f>
        <v>#VALUE!</v>
      </c>
      <c r="EO70" s="1551" t="e">
        <f aca="false">DH70*BH70</f>
        <v>#VALUE!</v>
      </c>
      <c r="EP70" s="1551" t="e">
        <f aca="false">DI70*BI70</f>
        <v>#VALUE!</v>
      </c>
      <c r="EQ70" s="1551" t="e">
        <f aca="false">DW70*BJ70</f>
        <v>#VALUE!</v>
      </c>
      <c r="ER70" s="1551" t="e">
        <f aca="false">DX70*BK70</f>
        <v>#VALUE!</v>
      </c>
      <c r="ES70" s="1551" t="e">
        <f aca="false">DY70*BS70</f>
        <v>#VALUE!</v>
      </c>
      <c r="ET70" s="1566" t="e">
        <f aca="false">IF(EI70,IF(OCallPut,IF(CA70&gt;(CT70+CW70),CA70-(CT70+CW70),0),IF((CT70+CW70)&gt;CA70,(CT70+CW70)-CA70,0))*BH70,0)</f>
        <v>#VALUE!</v>
      </c>
      <c r="EU70" s="1551" t="e">
        <f aca="false">IF(EI70,IF(OCallPut,IF(CB70&gt;(CT70+CX70),CB70-(CT70+CX70),0),IF((CT70+CX70)&gt;CB70,(CT70+CX70)-CB70,0))*BI70,0)</f>
        <v>#VALUE!</v>
      </c>
      <c r="EV70" s="1551" t="e">
        <f aca="false">IF(EI70,IF(OCallPut,IF(CC70&gt;(CT70+CY70),CC70-(CT70+CY70),0),IF((CT70+CY70)&gt;CC70,(CT70+CY70)-CC70,0))*BJ70,0)</f>
        <v>#VALUE!</v>
      </c>
      <c r="EW70" s="1551" t="e">
        <f aca="false">IF(EI70,IF(OCallPut,IF(CD70&gt;(CT70+CZ70),CD70-(CT70+CZ70),0),IF((CT70+CZ70)&gt;CD70,(CT70+CZ70)-CD70,0))*BK70,0)</f>
        <v>#VALUE!</v>
      </c>
      <c r="EX70" s="1558" t="e">
        <f aca="false">IF(EI70,SUM(ET70:EW70),0)</f>
        <v>#VALUE!</v>
      </c>
      <c r="EY70" s="1551" t="e">
        <f aca="false">EO70-ET70</f>
        <v>#VALUE!</v>
      </c>
      <c r="EZ70" s="1551" t="e">
        <f aca="false">EP70-EU70</f>
        <v>#VALUE!</v>
      </c>
      <c r="FA70" s="1551" t="e">
        <f aca="false">EQ70-EV70</f>
        <v>#VALUE!</v>
      </c>
      <c r="FB70" s="1551" t="e">
        <f aca="false">ER70-EW70</f>
        <v>#VALUE!</v>
      </c>
      <c r="FC70" s="1551" t="e">
        <f aca="false">ES70-EX70</f>
        <v>#VALUE!</v>
      </c>
      <c r="FD70" s="1525" t="n">
        <f aca="false">IF(AX70,IF(VLOOKUP(C70,MAIN!$L$17:$M$28,2)="Yes",VLOOKUP(CALC!B70,MAIN!$H$17:$I$20,2),0),0)</f>
        <v>0</v>
      </c>
      <c r="FE70" s="1552" t="e">
        <f aca="false">$FD70*16*AT70*(1-$AY70)</f>
        <v>#VALUE!</v>
      </c>
      <c r="FF70" s="1553" t="e">
        <f aca="false">$FD70*16*AU70*(1-$AY70)</f>
        <v>#VALUE!</v>
      </c>
      <c r="FG70" s="1553" t="e">
        <f aca="false">$FD70*16*(AV70+AW70)*(1-$AY70)</f>
        <v>#VALUE!</v>
      </c>
      <c r="FH70" s="1554" t="n">
        <f aca="false">$FD70*8*AX70*(1-$AY70)</f>
        <v>0</v>
      </c>
      <c r="FI70" s="1555" t="n">
        <f aca="false">IF(AX70,VLOOKUP(CALC!B70,MAIN!$H$17:$K$20,4),0)</f>
        <v>0</v>
      </c>
      <c r="FJ70" s="1553" t="e">
        <f aca="false">SUM(FE70:FH70)</f>
        <v>#VALUE!</v>
      </c>
      <c r="FK70" s="1556" t="e">
        <f aca="false">FI70*FJ70</f>
        <v>#VALUE!</v>
      </c>
      <c r="FL70" s="1551" t="e">
        <f aca="false">IF($EI70&gt;0,MIN(FE70,AZ70*(1+VLOOKUP($C70,WeatherCapacityAdjustment,2))),0)</f>
        <v>#VALUE!</v>
      </c>
      <c r="FM70" s="1551" t="e">
        <f aca="false">IF($EI70&gt;0,MIN(FF70,BA70*(1+VLOOKUP($C70,WeatherCapacityAdjustment,2))),0)</f>
        <v>#VALUE!</v>
      </c>
      <c r="FN70" s="1551" t="e">
        <f aca="false">IF($EI70&gt;0,MIN(FG70,BB70*(1+VLOOKUP($C70,WeatherCapacityAdjustment,2))),0)</f>
        <v>#VALUE!</v>
      </c>
      <c r="FO70" s="1564" t="e">
        <f aca="false">IF($EI70&gt;0,MIN(FH70,BC70*(1+VLOOKUP($C70,WeatherCapacityAdjustment,3))),0)</f>
        <v>#VALUE!</v>
      </c>
      <c r="FP70" s="1551" t="e">
        <f aca="false">IF(ET70&gt;0,MIN(FE70-FL70,BH70*(1+VLOOKUP($C70,WeatherCapacityAdjustment,2))),0)</f>
        <v>#VALUE!</v>
      </c>
      <c r="FQ70" s="1551" t="e">
        <f aca="false">IF(EU70&gt;0,MIN(FF70-FM70,BI70*(1+VLOOKUP($C70,WeatherCapacityAdjustment,2))),0)</f>
        <v>#VALUE!</v>
      </c>
      <c r="FR70" s="1551" t="e">
        <f aca="false">IF(EV70&gt;0,MIN(FG70-FN70,BJ70*(1+VLOOKUP($C70,WeatherCapacityAdjustment,2))),0)</f>
        <v>#VALUE!</v>
      </c>
      <c r="FS70" s="1558" t="e">
        <f aca="false">IF(EW70&gt;0,MIN(FH70-FO70,BK70*(1+VLOOKUP($C70,WeatherCapacityAdjustment,3))),0)</f>
        <v>#VALUE!</v>
      </c>
      <c r="FT70" s="1566" t="e">
        <f aca="false">IF(AND(Assumptions!$H$71="Yes",A70&gt;=Assumptions!$H$72,A70&lt;=Assumptions!$H$73),0,IF(AND($A70&gt;=Assumptions!$C$17,$A70&lt;=Assumptions!$C$18),MAX(AZ70*(1+VLOOKUP($C70,WeatherCapacityAdjustment,2))-FL70,0),0))</f>
        <v>#VALUE!</v>
      </c>
      <c r="FU70" s="1551" t="e">
        <f aca="false">IF(AND(Assumptions!$H$71="Yes",A70&gt;=Assumptions!$H$72,A70&lt;=Assumptions!$H$73),0,IF(AND($A70&gt;=Assumptions!$C$17,$A70&lt;=Assumptions!$C$18),MAX(BA70*(1+VLOOKUP($C70,WeatherCapacityAdjustment,2))-FM70,0),0))</f>
        <v>#VALUE!</v>
      </c>
      <c r="FV70" s="1551" t="e">
        <f aca="false">IF(AND(Assumptions!$H$71="Yes",A70&gt;=Assumptions!$H$72,A70&lt;=Assumptions!$H$73),0,IF(AND($A70&gt;=Assumptions!$C$17,$A70&lt;=Assumptions!$C$18),MAX(BB70*(1+VLOOKUP($C70,WeatherCapacityAdjustment,2))-FN70,0),0))</f>
        <v>#VALUE!</v>
      </c>
      <c r="FW70" s="1564" t="e">
        <f aca="false">IF(AND(Assumptions!$H$71="Yes",A70&gt;=Assumptions!$H$72,A70&lt;=Assumptions!$H$73),0,IF(AND($A70&gt;=Assumptions!$C$17,$A70&lt;=Assumptions!$C$18),MAX(BC70*(1+VLOOKUP($C70,WeatherCapacityAdjustment,3))-FO70,0),0))</f>
        <v>#VALUE!</v>
      </c>
      <c r="FX70" s="1569" t="e">
        <f aca="false">IF(AND(Assumptions!$H$71="Yes",A70&gt;=Assumptions!$H$72,A70&lt;=Assumptions!$H$73),0,IF(ET70&gt;0,MAX(BH70*(1+VLOOKUP($C70,WeatherCapacityAdjustment,2))-FP70,0),0))</f>
        <v>#VALUE!</v>
      </c>
      <c r="FY70" s="1551" t="e">
        <f aca="false">IF(AND(Assumptions!$H$71="Yes",A70&gt;=Assumptions!$H$72,A70&lt;=Assumptions!$H$73),0,IF(EU70&gt;0,MAX(BI70*(1+VLOOKUP($C70,WeatherCapacityAdjustment,3))-FQ70,0),0))</f>
        <v>#VALUE!</v>
      </c>
      <c r="FZ70" s="1551" t="e">
        <f aca="false">IF(AND(Assumptions!$H$71="Yes",A70&gt;=Assumptions!$H$72,A70&lt;=Assumptions!$H$73),0,IF(EV70&gt;0,MAX(BJ70*(1+VLOOKUP($C70,WeatherCapacityAdjustment,2))-FR70,0),0))</f>
        <v>#VALUE!</v>
      </c>
      <c r="GA70" s="1564" t="e">
        <f aca="false">IF(AND(Assumptions!$H$71="Yes",A70&gt;=Assumptions!$H$72,A70&lt;=Assumptions!$H$73),0,IF(EW70&gt;0,MAX(BK70*(1+VLOOKUP($C70,WeatherCapacityAdjustment,2))-FS70,0),0))</f>
        <v>#VALUE!</v>
      </c>
      <c r="GB70" s="1551" t="e">
        <f aca="false">SUM(FT70:GA70)</f>
        <v>#VALUE!</v>
      </c>
      <c r="GC70" s="1563" t="e">
        <f aca="false">+IF(SUM(FT70:GA70)=0,0,(SUMPRODUCT(BU70:BX70,FT70:FW70)+SUMPRODUCT(CA70:CD70,FX70:GA70))/SUM(FT70:GA70))</f>
        <v>#VALUE!</v>
      </c>
      <c r="GD70" s="1551" t="e">
        <f aca="false">(FT70*BU70+FX70*CA70+FU70*BV70+FY70*CB70+FV70*BW70+FZ70*CC70+FW70*BX70+GA70*CD70)</f>
        <v>#VALUE!</v>
      </c>
      <c r="GE70" s="1561" t="e">
        <f aca="false">+IF(BQ70,((FL70+FM70+FT70+FU70)*HeatRatePeak/1000*(1+VLOOKUP($C70,WeatherHeatRateAdjustment,2))+(FN70+FV70)*IF(EV70&gt;0,HeatRatePeak,HeatRateOffPeak)/1000*(1+VLOOKUP($C70,WeatherHeatRateAdjustment,2))+(FO70+FW70)*IF(EW70&gt;0,HeatRatePeak,HeatRateOffPeak)/1000*(1+VLOOKUP($C70,WeatherHeatRateAdjustment,3)))*(1+VLOOKUP($B70,HeatRateDegradation,$C70+1)),0)</f>
        <v>#VALUE!</v>
      </c>
      <c r="GF70" s="1562" t="e">
        <f aca="false">IF(BQ70,((FP70+FQ70+FR70+FX70+FY70+FZ70)*HeatRatePeak/1000*(1+VLOOKUP($C70,WeatherHeatRateAdjustment,2))+(FS70+GA70)*HeatRatePeak/1000*(1+VLOOKUP($C70,WeatherHeatRateAdjustment,3)))*(1+VLOOKUP($B70,HeatRateDegradation,$C70+1)),0)</f>
        <v>#VALUE!</v>
      </c>
      <c r="GG70" s="1563" t="e">
        <f aca="false">IF(BQ70,VLOOKUP(A70,GasTable,13),0)</f>
        <v>#VALUE!</v>
      </c>
      <c r="GH70" s="1564" t="e">
        <f aca="false">(GE70+GF70)*GG70</f>
        <v>#VALUE!</v>
      </c>
      <c r="GI70" s="1569" t="e">
        <f aca="false">GB70</f>
        <v>#VALUE!</v>
      </c>
      <c r="GJ70" s="1598" t="e">
        <f aca="false">+DA70</f>
        <v>#VALUE!</v>
      </c>
      <c r="GK70" s="1558" t="e">
        <f aca="false">+GI70*GJ70</f>
        <v>#VALUE!</v>
      </c>
      <c r="GL70" s="1566" t="e">
        <f aca="false">MAX(FE70-FL70-FP70,0)</f>
        <v>#VALUE!</v>
      </c>
      <c r="GM70" s="1551" t="e">
        <f aca="false">MAX(FF70-FM70-FQ70,0)</f>
        <v>#VALUE!</v>
      </c>
      <c r="GN70" s="1551" t="e">
        <f aca="false">MAX(FG70-FN70-FR70,0)</f>
        <v>#VALUE!</v>
      </c>
      <c r="GO70" s="1564" t="e">
        <f aca="false">MAX(FH70-FO70-FS70,0)</f>
        <v>#VALUE!</v>
      </c>
      <c r="GP70" s="1551" t="e">
        <f aca="false">SUM(GL70:GO70)</f>
        <v>#VALUE!</v>
      </c>
      <c r="GQ70" s="1563" t="e">
        <f aca="false">IF(SUM(GL70:GO70)=0,0,((GL70*BU70+GM70*BV70+GN70*BW70+GO70*BX70)/SUM(GL70:GO70)))</f>
        <v>#VALUE!</v>
      </c>
      <c r="GR70" s="1558" t="e">
        <f aca="false">(GL70*BU70+GM70*BV70+GN70*BW70+GO70*BX70)</f>
        <v>#VALUE!</v>
      </c>
      <c r="GS70" s="1566" t="n">
        <f aca="false">IF($A70&gt;=BegDate,Assumptions!$C$56*24*($A71-$A70)*(1-VLOOKUP($B70,MAIN!$AA$7:$AM$28,$C70+1))*(1-VLOOKUP($B70,MAIN!$AA$33:$AM$54,$C70+1)),0)*80/168</f>
        <v>257742.857142857</v>
      </c>
      <c r="GT70" s="286" t="n">
        <f aca="false">J70</f>
        <v>37.453992870672</v>
      </c>
      <c r="GU70" s="286" t="n">
        <f aca="false">IF($A70&gt;=BegDate,VLOOKUP($A70,GasTable,13)+Assumptions!$C$58,0)</f>
        <v>2.68311103329468</v>
      </c>
      <c r="GV70" s="286" t="n">
        <f aca="false">GU70*Assumptions!$C$57/1000</f>
        <v>19.4525549913864</v>
      </c>
      <c r="GW70" s="1558" t="n">
        <f aca="false">IF(Assumptions!$C$60="Hourly",MAX(0,GS70*(GT70-GV70)),GS70*(GT70-GV70))</f>
        <v>4639742.03168672</v>
      </c>
      <c r="GX70" s="1566" t="n">
        <f aca="false">IF($A70&gt;=BegDate,Assumptions!$C$56*24*($A71-$A70)*(1-VLOOKUP($B70,MAIN!$AA$7:$AM$28,$C70+1))*(1-VLOOKUP($B70,MAIN!$AA$33:$AM$54,$C70+1)),0)*16/168</f>
        <v>51548.5714285714</v>
      </c>
      <c r="GY70" s="286" t="n">
        <f aca="false">M70</f>
        <v>37.453992870672</v>
      </c>
      <c r="GZ70" s="286" t="n">
        <f aca="false">IF($A70&gt;=BegDate,VLOOKUP($A70,GasTable,13)+Assumptions!$C$58,0)</f>
        <v>2.68311103329468</v>
      </c>
      <c r="HA70" s="286" t="n">
        <f aca="false">GZ70*Assumptions!$C$57/1000</f>
        <v>19.4525549913864</v>
      </c>
      <c r="HB70" s="1558" t="n">
        <f aca="false">IF(Assumptions!$C$60="Hourly",MAX(0,GX70*(GY70-HA70)),GX70*(GY70-HA70))</f>
        <v>927948.406337344</v>
      </c>
      <c r="HC70" s="1566" t="n">
        <f aca="false">IF($A70&gt;=BegDate,Assumptions!$C$56*24*($A71-$A70)*(1-VLOOKUP($B70,MAIN!$AA$7:$AM$28,$C70+1))*(1-VLOOKUP($B70,MAIN!$AA$33:$AM$54,$C70+1)),0)*16/168</f>
        <v>51548.5714285714</v>
      </c>
      <c r="HD70" s="286" t="n">
        <f aca="false">P70</f>
        <v>25.070968960272</v>
      </c>
      <c r="HE70" s="286" t="n">
        <f aca="false">IF($A70&gt;=BegDate,VLOOKUP($A70,GasTable,13)+Assumptions!$C$58,0)</f>
        <v>2.68311103329468</v>
      </c>
      <c r="HF70" s="286" t="n">
        <f aca="false">HE70*Assumptions!$C$57/1000</f>
        <v>19.4525549913864</v>
      </c>
      <c r="HG70" s="1558" t="n">
        <f aca="false">IF(Assumptions!$C$60="Hourly",MAX(0,HC70*(HD70-HF70)),HC70*(HD70-HF70))</f>
        <v>289621.213790382</v>
      </c>
      <c r="HH70" s="1566" t="n">
        <f aca="false">IF($A70&gt;=BegDate,Assumptions!$C$56*24*($A71-$A70)*(1-VLOOKUP($B70,MAIN!$AA$7:$AM$28,$C70+1))*(1-VLOOKUP($B70,MAIN!$AA$33:$AM$54,$C70+1)),0)*56/168</f>
        <v>180420</v>
      </c>
      <c r="HI70" s="286" t="n">
        <f aca="false">S70</f>
        <v>25.070968960272</v>
      </c>
      <c r="HJ70" s="286" t="n">
        <f aca="false">IF($A70&gt;=BegDate,VLOOKUP($A70,GasTable,13)+Assumptions!$C$58,0)</f>
        <v>2.68311103329468</v>
      </c>
      <c r="HK70" s="286" t="n">
        <f aca="false">HJ70*Assumptions!$C$57/1000</f>
        <v>19.4525549913864</v>
      </c>
      <c r="HL70" s="1558" t="n">
        <f aca="false">IF(Assumptions!$C$60="Hourly",MAX(0,HH70*(HI70-HK70)),HH70*(HI70-HK70))</f>
        <v>1013674.24826634</v>
      </c>
      <c r="HM70" s="1566" t="n">
        <f aca="false">IF(AND(Assumptions!$H$71="Yes",A70&gt;=Assumptions!$H$72,A70&lt;=Assumptions!$H$73),Assumptions!$H$74*Assumptions!$C$9*1000,0)</f>
        <v>0</v>
      </c>
      <c r="HN70" s="1551" t="e">
        <f aca="false">GD70-GH70</f>
        <v>#VALUE!</v>
      </c>
      <c r="HO70" s="1563"/>
      <c r="HP70" s="1563"/>
      <c r="HQ70" s="1563"/>
      <c r="HR70" s="1563"/>
      <c r="HS70" s="1563"/>
      <c r="HT70" s="1563"/>
      <c r="HU70" s="1563"/>
      <c r="HV70" s="1563"/>
      <c r="HW70" s="1563"/>
      <c r="HX70" s="1563"/>
      <c r="HY70" s="1563"/>
      <c r="HZ70" s="1563"/>
      <c r="IA70" s="1563"/>
      <c r="IB70" s="1563"/>
      <c r="IC70" s="1563"/>
      <c r="ID70" s="1563"/>
      <c r="IE70" s="1563"/>
      <c r="IF70" s="1563"/>
      <c r="IG70" s="1563"/>
      <c r="IH70" s="1563"/>
      <c r="II70" s="1610"/>
      <c r="IJ70" s="1309"/>
      <c r="IK70" s="1309"/>
    </row>
    <row r="71" customFormat="false" ht="12.75" hidden="false" customHeight="false" outlineLevel="0" collapsed="false">
      <c r="A71" s="1571" t="n">
        <f aca="false">EOMONTH(A70,0)+1</f>
        <v>38292</v>
      </c>
      <c r="B71" s="594" t="n">
        <f aca="false">+YEAR(A71)</f>
        <v>2004</v>
      </c>
      <c r="C71" s="238" t="n">
        <f aca="false">MONTH(A71)</f>
        <v>11</v>
      </c>
      <c r="D71" s="1572" t="e">
        <f aca="false">IF(E71="","",Holiday(B71,C71))</f>
        <v>#VALUE!</v>
      </c>
      <c r="E71" s="1573" t="n">
        <f aca="false">IF(OR(BegDate&gt;=A72,EndDate&lt;A71,AND(VolumeMonthlyOverFlag,INDEX(VolumeMonthlyOver,C71)=0),NOT(INDEX(MonthKnockOutTable,C71))),"",MAX(A71,BegDate))</f>
        <v>38292</v>
      </c>
      <c r="F71" s="1574" t="n">
        <f aca="false">IF(E71="","",MIN(A72-1,EndDate))</f>
        <v>38321</v>
      </c>
      <c r="G71" s="1575" t="n">
        <v>0</v>
      </c>
      <c r="H71" s="1576" t="n">
        <f aca="false">(1+G71/2)^(-2*(DATE(B72,C72,20)-DateToday)/365.25)</f>
        <v>1</v>
      </c>
      <c r="I71" s="1568" t="n">
        <f aca="false">IF(Assumptions!$L$25=4,VLOOKUP($A71,'Henwood Reference'!$E$9:$R$320,10),(VLOOKUP($A71,PriceTable,2,0)+IF(BasisNumber&lt;&gt;1,VLOOKUP($A71,BasisTable,2,0),0)+I$1)/(1-I$2))</f>
        <v>41.7385840896</v>
      </c>
      <c r="J71" s="1568" t="n">
        <f aca="false">IF(Assumptions!$L$25=4,VLOOKUP($A71,'Henwood Reference'!$E$9:$R$320,10),(VLOOKUP($A71,PriceTable,3,0)+IF(BasisNumber&lt;&gt;1,VLOOKUP($A71,BasisTable,2,0),0)+J$1)/(1-J$2))</f>
        <v>41.7385840896</v>
      </c>
      <c r="K71" s="1568" t="n">
        <f aca="false">IF(Assumptions!$L$25=4,VLOOKUP($A71,'Henwood Reference'!$E$9:$R$320,10),(VLOOKUP($A71,PriceTable,4,0)+IF(BasisNumber&lt;&gt;1,VLOOKUP($A71,BasisTable,2,0),0)+K$1)/(1-K$2))</f>
        <v>41.7385840896</v>
      </c>
      <c r="L71" s="1523" t="n">
        <f aca="false">IF(Assumptions!$L$25=4,VLOOKUP($A71,'Henwood Reference'!$E$9:$R$320,10),(VLOOKUP($A71,PriceTableWeekend,2,0)+IF(BasisNumber&lt;&gt;1,VLOOKUP($A71,BasisTable,2,0),0)+L$1)/(1-L$2))</f>
        <v>41.7385840896</v>
      </c>
      <c r="M71" s="1568" t="n">
        <f aca="false">IF(Assumptions!$L$25=4,VLOOKUP($A71,'Henwood Reference'!$E$9:$R$320,10),(VLOOKUP($A71,PriceTableWeekend,3,0)+IF(BasisNumber&lt;&gt;1,VLOOKUP($A71,BasisTable,2,0),0)+M$1)/(1-M$2))</f>
        <v>41.7385840896</v>
      </c>
      <c r="N71" s="1599" t="n">
        <f aca="false">IF(Assumptions!$L$25=4,VLOOKUP($A71,'Henwood Reference'!$E$9:$R$320,10),(VLOOKUP($A71,PriceTableWeekend,4,0)+IF(BasisNumber&lt;&gt;1,VLOOKUP($A71,BasisTable,2,0),0)+N$1)/(1-N$2))</f>
        <v>41.7385840896</v>
      </c>
      <c r="O71" s="1568" t="n">
        <f aca="false">IF(Assumptions!$L$25=4,VLOOKUP($A71,'Henwood Reference'!$E$9:$R$320,11),(VLOOKUP($A71,PriceTableWeekend,6,0)+IF(BasisNumber&lt;&gt;1,VLOOKUP($A71,BasisTable,3,0),0)+O$1)/(1-O$2))</f>
        <v>26.927989573968</v>
      </c>
      <c r="P71" s="1568" t="n">
        <f aca="false">IF(Assumptions!$L$25=4,VLOOKUP($A71,'Henwood Reference'!$E$9:$R$320,11),(VLOOKUP($A71,PriceTableWeekend,7,0)+IF(BasisNumber&lt;&gt;1,VLOOKUP($A71,BasisTable,3,0),0)+P$1)/(1-P$2))</f>
        <v>26.927989573968</v>
      </c>
      <c r="Q71" s="1599" t="n">
        <f aca="false">IF(Assumptions!$L$25=4,VLOOKUP($A71,'Henwood Reference'!$E$9:$R$320,11),(VLOOKUP($A71,PriceTableWeekend,8,0)+IF(BasisNumber&lt;&gt;1,VLOOKUP($A71,BasisTable,3,0),0)+Q$1)/(1-Q$2))</f>
        <v>26.927989573968</v>
      </c>
      <c r="R71" s="1568" t="n">
        <f aca="false">IF(Assumptions!$L$25=4,VLOOKUP($A71,'Henwood Reference'!$E$9:$R$320,11),(VLOOKUP($A71,PriceTable,6,0)+IF(BasisNumber&lt;&gt;1,VLOOKUP($A71,BasisTable,3,0),0)+R$1)/(1-R$2))</f>
        <v>26.927989573968</v>
      </c>
      <c r="S71" s="1568" t="n">
        <f aca="false">IF(Assumptions!$L$25=4,VLOOKUP($A71,'Henwood Reference'!$E$9:$R$320,11),(VLOOKUP($A71,PriceTable,7,0)+IF(BasisNumber&lt;&gt;1,VLOOKUP($A71,BasisTable,3,0),0)+S$1)/(1-S$2))</f>
        <v>26.927989573968</v>
      </c>
      <c r="T71" s="1600" t="n">
        <f aca="false">IF(Assumptions!$L$25=4,VLOOKUP($A71,'Henwood Reference'!$E$9:$R$320,11),(VLOOKUP($A71,PriceTable,8,0)+IF(BasisNumber&lt;&gt;1,VLOOKUP($A71,BasisTable,3,0),0)+T$1)/(1-T$2))</f>
        <v>26.927989573968</v>
      </c>
      <c r="U71" s="1513" t="n">
        <f aca="false">VLOOKUP($A71,VolatilityTable,14)</f>
        <v>0.15</v>
      </c>
      <c r="V71" s="1513" t="n">
        <f aca="false">VLOOKUP($A71,VolatilityTable,15)</f>
        <v>0.16</v>
      </c>
      <c r="W71" s="1514" t="n">
        <f aca="false">VLOOKUP($A71,VolatilityTable,16)</f>
        <v>0.17</v>
      </c>
      <c r="X71" s="1513" t="n">
        <f aca="false">VLOOKUP($A71,VolatilityTable,14)</f>
        <v>0.15</v>
      </c>
      <c r="Y71" s="1513" t="n">
        <f aca="false">VLOOKUP($A71,VolatilityTable,15)</f>
        <v>0.16</v>
      </c>
      <c r="Z71" s="1514" t="n">
        <f aca="false">VLOOKUP($A71,VolatilityTable,16)</f>
        <v>0.17</v>
      </c>
      <c r="AA71" s="1513" t="n">
        <f aca="false">VLOOKUP($A71,VolatilityTable,18)</f>
        <v>0.09</v>
      </c>
      <c r="AB71" s="1513" t="n">
        <f aca="false">VLOOKUP($A71,VolatilityTable,19)</f>
        <v>0.11</v>
      </c>
      <c r="AC71" s="1514" t="n">
        <f aca="false">VLOOKUP($A71,VolatilityTable,20)</f>
        <v>0.13</v>
      </c>
      <c r="AD71" s="1513" t="n">
        <f aca="false">VLOOKUP($A71,VolatilityTable,18)</f>
        <v>0.09</v>
      </c>
      <c r="AE71" s="1513" t="n">
        <f aca="false">VLOOKUP($A71,VolatilityTable,19)</f>
        <v>0.11</v>
      </c>
      <c r="AF71" s="1514" t="n">
        <f aca="false">VLOOKUP($A71,VolatilityTable,20)</f>
        <v>0.13</v>
      </c>
      <c r="AG71" s="1513" t="n">
        <f aca="false">VLOOKUP($A71,VolatilityTable,22)</f>
        <v>-0.1</v>
      </c>
      <c r="AH71" s="1513" t="n">
        <f aca="false">VLOOKUP($A71,VolatilityTable,23)</f>
        <v>0.6</v>
      </c>
      <c r="AI71" s="1514" t="n">
        <f aca="false">VLOOKUP($A71,VolatilityTable,24)</f>
        <v>0.1</v>
      </c>
      <c r="AJ71" s="1513" t="n">
        <f aca="false">VLOOKUP($A71,VolatilityTable,22)</f>
        <v>-0.1</v>
      </c>
      <c r="AK71" s="1513" t="n">
        <f aca="false">VLOOKUP($A71,VolatilityTable,23)</f>
        <v>0.6</v>
      </c>
      <c r="AL71" s="1514" t="n">
        <f aca="false">VLOOKUP($A71,VolatilityTable,24)</f>
        <v>0.1</v>
      </c>
      <c r="AM71" s="1513" t="n">
        <f aca="false">VLOOKUP($A71,VolatilityTable,26)</f>
        <v>-0.01</v>
      </c>
      <c r="AN71" s="1513" t="n">
        <f aca="false">VLOOKUP($A71,VolatilityTable,27)</f>
        <v>0.16</v>
      </c>
      <c r="AO71" s="1514" t="n">
        <f aca="false">VLOOKUP($A71,VolatilityTable,28)</f>
        <v>0.01</v>
      </c>
      <c r="AP71" s="1513" t="n">
        <f aca="false">VLOOKUP($A71,VolatilityTable,26)</f>
        <v>-0.01</v>
      </c>
      <c r="AQ71" s="1513" t="n">
        <f aca="false">VLOOKUP($A71,VolatilityTable,27)</f>
        <v>0.16</v>
      </c>
      <c r="AR71" s="1515" t="n">
        <f aca="false">VLOOKUP($A71,VolatilityTable,28)</f>
        <v>0.01</v>
      </c>
      <c r="AS71" s="1581" t="n">
        <f aca="false">IF(CorrPeakOffPeakOverFlag,INDEX(CorrPeakOffPeakOver,C71),CorrPeakOffPeak)</f>
        <v>0.5</v>
      </c>
      <c r="AT71" s="594" t="e">
        <f aca="false">AX71-SUM(AU71:AW71)</f>
        <v>#VALUE!</v>
      </c>
      <c r="AU71" s="238" t="e">
        <f aca="false">IF(E71="",0,INT((F71-MOD(F71,7)-E71)/7)+1-IF(AW71,IF(WEEKDAY(D71)=7,1,0),0))</f>
        <v>#VALUE!</v>
      </c>
      <c r="AV71" s="238" t="e">
        <f aca="false">IF(E71="",0,INT((F71-MOD(F71-1,7)-E71)/7)+1-IF(AW71,IF(WEEKDAY(D71)=1,1,0),0))</f>
        <v>#VALUE!</v>
      </c>
      <c r="AW71" s="238" t="e">
        <f aca="false">IF(OR(E71="",D71="",D71&lt;BegDate,D71&gt;EndDate),0,1)</f>
        <v>#VALUE!</v>
      </c>
      <c r="AX71" s="238" t="n">
        <f aca="false">IF(E71="",0,F71-E71+1)</f>
        <v>30</v>
      </c>
      <c r="AY71" s="1582" t="n">
        <f aca="false">IF(E71="",0,MIN((1-(1-VLOOKUP(B71,MAIN!$AA$7:$AM$28,C71+1))*(1-VLOOKUP(B71,MAIN!$AA$33:$AM$54,C71+1))),1))</f>
        <v>0.03</v>
      </c>
      <c r="AZ71" s="1519" t="e">
        <v>#VALUE!</v>
      </c>
      <c r="BA71" s="1520" t="e">
        <v>#VALUE!</v>
      </c>
      <c r="BB71" s="1520" t="e">
        <v>#VALUE!</v>
      </c>
      <c r="BC71" s="1583" t="e">
        <v>#VALUE!</v>
      </c>
      <c r="BD71" s="1522" t="e">
        <v>#VALUE!</v>
      </c>
      <c r="BE71" s="1523" t="e">
        <v>#VALUE!</v>
      </c>
      <c r="BF71" s="1523" t="e">
        <v>#VALUE!</v>
      </c>
      <c r="BG71" s="1584" t="e">
        <v>#VALUE!</v>
      </c>
      <c r="BH71" s="1525" t="e">
        <v>#VALUE!</v>
      </c>
      <c r="BI71" s="1520" t="e">
        <v>#VALUE!</v>
      </c>
      <c r="BJ71" s="1520" t="e">
        <v>#VALUE!</v>
      </c>
      <c r="BK71" s="1583" t="e">
        <v>#VALUE!</v>
      </c>
      <c r="BL71" s="1522" t="e">
        <v>#VALUE!</v>
      </c>
      <c r="BM71" s="1523" t="e">
        <v>#VALUE!</v>
      </c>
      <c r="BN71" s="1523" t="e">
        <v>#VALUE!</v>
      </c>
      <c r="BO71" s="1523" t="e">
        <v>#VALUE!</v>
      </c>
      <c r="BP71" s="1525" t="e">
        <f aca="false">SUM(AZ71:BB71)</f>
        <v>#VALUE!</v>
      </c>
      <c r="BQ71" s="1529" t="e">
        <f aca="false">SUM(AZ71:BC71)</f>
        <v>#VALUE!</v>
      </c>
      <c r="BR71" s="1519" t="e">
        <f aca="false">SUM(BH71:BJ71)</f>
        <v>#VALUE!</v>
      </c>
      <c r="BS71" s="1529" t="e">
        <f aca="false">SUM(BH71:BK71)</f>
        <v>#VALUE!</v>
      </c>
      <c r="BT71" s="1316" t="n">
        <f aca="false">(IF(OVolType&lt;&gt;2,A71+14,IF(OptExpDateShift,ShiftBack(A71,OptExpDateShift,D70),A71))-DateToday)/365.25</f>
        <v>4.55030800821355</v>
      </c>
      <c r="BU71" s="1585" t="e">
        <f aca="false">IF(BQ71,IF(OPriceCurve,IF(OBuySell=OCallPut,I71/(1-AY71),K71/(1-AY71)),J71/(1-AY71))*BD71,0)</f>
        <v>#VALUE!</v>
      </c>
      <c r="BV71" s="1316" t="e">
        <f aca="false">IF(BQ71,IF(OPriceCurve,IF(OBuySell=OCallPut,L71/(1-AY71),N71/(1-AY71)),M71/(1-AY71))*BE71,0)</f>
        <v>#VALUE!</v>
      </c>
      <c r="BW71" s="1316" t="e">
        <f aca="false">IF(BQ71,IF(OPriceCurve,IF(OBuySell=OCallPut,O71/(1-AY71),Q71/(1-AY71)),P71/(1-AY71))*BF71,0)</f>
        <v>#VALUE!</v>
      </c>
      <c r="BX71" s="1316" t="e">
        <f aca="false">IF(BQ71,IF(OPriceCurve,IF(OBuySell=OCallPut,R71/(1-AY71),T71/(1-AY71)),S71/(1-AY71))*BG71,0)</f>
        <v>#VALUE!</v>
      </c>
      <c r="BY71" s="1316" t="e">
        <f aca="false">IF(BP71,(BU71*AZ71+BV71*BA71+BW71*BB71)/BP71,0)</f>
        <v>#VALUE!</v>
      </c>
      <c r="BZ71" s="1316" t="e">
        <f aca="false">IF(BQ71,(BY71*BP71+BX71*BC71)/BQ71,0)</f>
        <v>#VALUE!</v>
      </c>
      <c r="CA71" s="1531" t="e">
        <f aca="false">IF(BS71,IF(OPriceCurve,IF(OBuySell=OCallPut,I71/(1-AY71),K71/(1-AY71)),J71/(1-AY71))*BL71,0)</f>
        <v>#VALUE!</v>
      </c>
      <c r="CB71" s="1316" t="e">
        <f aca="false">IF(BS71,IF(OPriceCurve,IF(OBuySell=OCallPut,L71/(1-AY71),N71/(1-AY71)),M71/(1-AY71))*BM71,0)</f>
        <v>#VALUE!</v>
      </c>
      <c r="CC71" s="1316" t="e">
        <f aca="false">IF(BS71,IF(OPriceCurve,IF(OBuySell=OCallPut,O71/(1-AY71),Q71/(1-AY71)),P71/(1-AY71))*BN71,0)</f>
        <v>#VALUE!</v>
      </c>
      <c r="CD71" s="1316" t="e">
        <f aca="false">IF(BS71,IF(OPriceCurve,IF(OBuySell=OCallPut,R71/(1-AY71),T71/(1-AY71)),S71/(1-AY71))*BO71,0)</f>
        <v>#VALUE!</v>
      </c>
      <c r="CE71" s="1316" t="e">
        <f aca="false">IF(BR71,(BU71*BH71+BV71*BI71+BW71*BJ71)/BR71,0)</f>
        <v>#VALUE!</v>
      </c>
      <c r="CF71" s="1532" t="e">
        <f aca="false">IF(BS71,(CE71*BR71+CD71*BK71)/BS71,0)</f>
        <v>#VALUE!</v>
      </c>
      <c r="CG71" s="1586" t="e">
        <f aca="false">IF(OR(BQ71,BS71),IF(OVolType&lt;&gt;2,SQRT(IF(OVolOverMonthlyPeak,OVolOverMonthlyPeak,IF(OVolCurve,IF(OBuySell,U71,W71),V71))^2*(1-15/365.25/BT71)+IF(OVolOverDailyPeak,OVolOverDailyPeak,IF(OVolCurve,IF(OBuySell,AG71,AI71),AH71))^2*15/365.25/BT71),IF(OVolOverMonthlyPeak,OVolOverMonthlyPeak,IF(OVolCurve,IF(OBuySell,U71,W71),V71))),"")</f>
        <v>#VALUE!</v>
      </c>
      <c r="CH71" s="1587" t="e">
        <f aca="false">IF(OR(BQ71,BS71),IF(OVolType&lt;&gt;2,SQRT(IF(OVolOverMonthlyPeak,OVolOverMonthlyPeak,IF(OVolCurve,IF(OBuySell,X71,Z71),Y71))^2*(1-15/365.25/BT71)+IF(OVolOverDailyPeak,OVolOverDailyPeak,IF(OVolCurve,IF(OBuySell,AJ71,AL71),AK71))^2*15/365.25/BT71),IF(OVolOverMonthlyPeak,OVolOverMonthlyPeak,IF(OVolCurve,IF(OBuySell,X71,Z71),Y71))),"")</f>
        <v>#VALUE!</v>
      </c>
      <c r="CI71" s="1587" t="e">
        <f aca="false">IF(OR(BQ71,BS71),IF(OVolType&lt;&gt;2,SQRT(IF(OVolOverMonthlyPeak,OVolOverMonthlyPeak,IF(OVolCurve,IF(OBuySell,AA71,AC71),AB71))^2*(1-15/365.25/BT71)+IF(OVolOverDailyPeak,OVolOverDailyPeak,IF(OVolCurve,IF(OBuySell,AM71,AO71),AN71))^2*15/365.25/BT71),IF(OVolOverMonthlyPeak,OVolOverMonthlyPeak,IF(OVolCurve,IF(OBuySell,AA71,AC71),AB71))),"")</f>
        <v>#VALUE!</v>
      </c>
      <c r="CJ71" s="1587" t="e">
        <f aca="false">IF(BQ71,IF(BP71,SQRT(LN(1+((BU71*AZ71)^2*(EXP(CG71^2*BT71)-1)+(BV71*BA71)^2*(EXP(CH71^2*BT71)-1)+(BW71*BB71)^2*(EXP(CI71^2*BT71)-1)+2*BU71*AZ71*BV71*BA71*(EXP(CG71*CH71*BT71)-1)+2*BV71*BA71*BW71*BB71*(EXP(CH71*CI71*BT71)-1)+2*BW71*BB71*BU71*AZ71*(EXP(CI71*CG71*BT71)-1))/(BY71*BP71)^2)/BT71),0),"")</f>
        <v>#VALUE!</v>
      </c>
      <c r="CK71" s="1587" t="e">
        <f aca="false">IF(BS71,IF(BR71,SQRT(LN(1+((CA71*BH71)^2*(EXP(CG71^2*BT71)-1)+(CB71*BI71)^2*(EXP(CH71^2*BT71)-1)+(CC71*BJ71)^2*(EXP(CI71^2*BT71)-1)+2*CA71*BH71*CB71*BI71*(EXP(CG71*CH71*BT71)-1)+2*CB71*BI71*CC71*BJ71*(EXP(CH71*CI71*BT71)-1)+2*CC71*BJ71*CA71*BH71*(EXP(CI71*CG71*BT71)-1))/(CE71*BR71)^2)/BT71),0),"")</f>
        <v>#VALUE!</v>
      </c>
      <c r="CL71" s="1587" t="e">
        <f aca="false">IF(OR(BQ71,BS71),IF(OVolType&lt;&gt;2,SQRT(IF(OVolOverMonthlyOffPeak,OVolOverMonthlyOffPeak,IF(OVolCurve,IF(OBuySell,AD71,AF71),AE71))^2*(1-15/365.25/BT71)+IF(OVolOverDailyOffPeak,OVolOverDailyOffPeak,IF(OVolCurve,IF(OBuySell,AP71,AR71),AQ71))^2*15/365.25/BT71),IF(OVolOverMonthlyOffPeak,OVolOverMonthlyOffPeak,IF(OVolCurve,IF(OBuySell,AD71,AF71),AE71))),"")</f>
        <v>#VALUE!</v>
      </c>
      <c r="CM71" s="1587" t="e">
        <f aca="false">IF(BQ71,SQRT(LN(1+((BY71*BP71)^2*(EXP(CJ71^2*BT71)-1)+(BX71*BC71)^2*(EXP(CL71^2*BT71)-1)+2*BY71*BP71*BX71*BC71*(EXP(AS71*CJ71*CL71*BT71)-1))/(BY71*BP71+BX71*BC71)^2)/BT71),"")</f>
        <v>#VALUE!</v>
      </c>
      <c r="CN71" s="1588" t="e">
        <f aca="false">IF(BS71,SQRT(LN(1+((CE71*BR71)^2*(EXP(CK71^2*BT71)-1)+(CD71*BK71)^2*(EXP(CL71^2*BT71)-1)+2*CE71*BR71*CD71*BK71*(EXP(AS71*CK71*CL71*BT71)-1))/(CE71*BR71+CD71*BK71)^2)/BT71),"")</f>
        <v>#VALUE!</v>
      </c>
      <c r="CO71" s="1531" t="e">
        <f aca="false">IF(OR(BQ71,BS71),VLOOKUP(A71,GasTable,13)*HeatRatePeak*(1+VLOOKUP($B71,HeatRateDegradation,$C71+1))/1000,0)</f>
        <v>#VALUE!</v>
      </c>
      <c r="CP71" s="1316" t="e">
        <f aca="false">IF(OR(BQ71,BS71),VLOOKUP(A71,GasTable,13)*HeatRatePeak*(1+VLOOKUP($B71,HeatRateDegradation,$C71+1))/1000,0)</f>
        <v>#VALUE!</v>
      </c>
      <c r="CQ71" s="1316" t="e">
        <f aca="false">IF(OR(BQ71,BS71),VLOOKUP(A71,GasTable,13)*IF(EV71,HeatRatePeak,HeatRateOffPeak)*(1+VLOOKUP($B71,HeatRateDegradation,$C71+1))/1000,0)</f>
        <v>#VALUE!</v>
      </c>
      <c r="CR71" s="1316" t="e">
        <f aca="false">IF(OR(BQ71,BS71),VLOOKUP(A71,GasTable,13)*IF(EW71,HeatRatePeak,HeatRateOffPeak)*(1+VLOOKUP($B71,HeatRateDegradation,$C71+1))/1000,0)</f>
        <v>#VALUE!</v>
      </c>
      <c r="CS71" s="1589" t="e">
        <f aca="false">IF(BQ71,(CO71*AZ71+CP71*BA71+CQ71*BB71+CR71*BC71)/BQ71,0)</f>
        <v>#VALUE!</v>
      </c>
      <c r="CT71" s="1316" t="e">
        <f aca="false">IF(BS71,CO71,0)</f>
        <v>#VALUE!</v>
      </c>
      <c r="CU71" s="1590" t="e">
        <f aca="false">IF(OR(BQ71,BS71),VLOOKUP(A71,GasTable,14),"")</f>
        <v>#VALUE!</v>
      </c>
      <c r="CV71" s="1568" t="e">
        <f aca="false">IF(OR(BQ71,BS71),IF(CorrPowerGasOverFlag,INDEX(CorrPowerGasOver,C71),CorrPowerGas),"")</f>
        <v>#VALUE!</v>
      </c>
      <c r="CW71" s="1316" t="e">
        <f aca="false">IF(OR($BQ71,$BS71),SpreadOptPowerMargin,0)*((1+Assumptions!$C$26)^($B71-YEAR(Assumptions!$C$17)))</f>
        <v>#VALUE!</v>
      </c>
      <c r="CX71" s="1316" t="e">
        <f aca="false">IF(OR($BQ71,$BS71),SpreadOptPowerMargin,0)*((1+Assumptions!$C$26)^($B71-YEAR(Assumptions!$C$17)))</f>
        <v>#VALUE!</v>
      </c>
      <c r="CY71" s="1316" t="e">
        <f aca="false">IF(OR($BQ71,$BS71),SpreadOptPowerMargin,0)*((1+Assumptions!$C$26)^($B71-YEAR(Assumptions!$C$17)))</f>
        <v>#VALUE!</v>
      </c>
      <c r="CZ71" s="1316" t="e">
        <f aca="false">IF(OR($BQ71,$BS71),SpreadOptPowerMargin,0)*((1+Assumptions!$C$26)^($B71-YEAR(Assumptions!$C$17)))</f>
        <v>#VALUE!</v>
      </c>
      <c r="DA71" s="1591" t="e">
        <f aca="false">IF(OR(BQ71,BS71),(CW71*(AZ71+BH71)+CX71*(BA71+BI71)+CY71*(BB71+BJ71)+CZ71*(BC71+BK71))/(BQ71+BS71),0)</f>
        <v>#VALUE!</v>
      </c>
      <c r="DB71" s="1592" t="e">
        <f aca="false">IF(OR(BQ71,BS71),CG71+IF(OVolSmile,VLOOKUP(MAX(-5,CO71+CW71-BU71),IF(OVolSmile=1,VolSmileBook,VolSmileModel),2),0),"")</f>
        <v>#VALUE!</v>
      </c>
      <c r="DC71" s="1592" t="e">
        <f aca="false">IF(OR(BQ71,BS71),CH71+IF(OVolSmile,VLOOKUP(MAX(-5,CP71+CW71-BV71),IF(OVolSmile=1,VolSmileBook,VolSmileModel),2),0),"")</f>
        <v>#VALUE!</v>
      </c>
      <c r="DD71" s="1592" t="e">
        <f aca="false">IF(OR(BQ71,BS71),CI71+IF(OVolSmile,VLOOKUP(MAX(-5,CQ71+CW71-BW71),IF(OVolSmile=1,VolSmileBook,VolSmileModel),2),0),"")</f>
        <v>#VALUE!</v>
      </c>
      <c r="DE71" s="1592" t="e">
        <f aca="false">IF(OR(BQ71,BS71),CL71+IF(OVolSmile,VLOOKUP(MAX(-5,CR71+CZ71-BX71),IF(OVolSmile=1,VolSmileBook,VolSmileModel),2),0),"")</f>
        <v>#VALUE!</v>
      </c>
      <c r="DF71" s="1592" t="e">
        <f aca="false">IF(BQ71,CM71+IF(OVolSmile,VLOOKUP(MAX(-5,CS71+DA71-BZ71),IF(OVolSmile=1,VolSmileBook,VolSmileModel),2),0),"")</f>
        <v>#VALUE!</v>
      </c>
      <c r="DG71" s="1593" t="e">
        <f aca="false">IF(BS71,CN71+IF(OVolSmile,VLOOKUP(MAX(-5,CT71+DA71-CF71),IF(OVolSmile=1,VolSmileBook,VolSmileModel),2),0),"")</f>
        <v>#VALUE!</v>
      </c>
      <c r="DH71" s="1316" t="e">
        <f aca="false">IF(AND(BU71&gt;0,CO71&gt;0,DB71&gt;0,CU71&gt;0),newSPRDOPT(BU71,CO71,CW71,0,DB71,CU71,CV71,BT71*365.25,OCallPut,0),0)</f>
        <v>#VALUE!</v>
      </c>
      <c r="DI71" s="1316" t="e">
        <f aca="false">IF(AND(BV71&gt;0,CP71&gt;0,DC71&gt;0,CU71&gt;0),newSPRDOPT(BV71,CP71,CX71,0,DC71,CU71,CV71,BT71*365.25,OCallPut,0),0)</f>
        <v>#VALUE!</v>
      </c>
      <c r="DJ71" s="1316" t="e">
        <f aca="false">IF(AND(BW71&gt;0,CQ71&gt;0,DD71&gt;0,CU71&gt;0),newSPRDOPT(BW71,CQ71,CY71,0,DD71,CU71,CV71,BT71*365.25,OCallPut,0),0)</f>
        <v>#VALUE!</v>
      </c>
      <c r="DK71" s="1316" t="e">
        <f aca="false">IF(AND(BX71&gt;0,CR71&gt;0,DE71&gt;0,CU71&gt;0),newSPRDOPT(BX71,CR71,CZ71,0,DE71,CU71,CV71,BT71*365.25,OCallPut,0),0)</f>
        <v>#VALUE!</v>
      </c>
      <c r="DL71" s="1316" t="e">
        <f aca="false">IF(OVolType,IF(AND(BZ71&gt;0,CS71&gt;0,DF71&gt;0,CU71&gt;0),newSPRDOPT(BZ71,CS71,DA71,0,DF71,CU71,CV71,BT71*365.25,OCallPut,0),0),IF(BQ71,(DH71*AZ71+DI71*BA71+DJ71*BB71+DK71*BC71)/BQ71,0))</f>
        <v>#VALUE!</v>
      </c>
      <c r="DM71" s="1316"/>
      <c r="DN71" s="1316"/>
      <c r="DO71" s="1316"/>
      <c r="DP71" s="1316"/>
      <c r="DQ71" s="1316"/>
      <c r="DR71" s="1316"/>
      <c r="DS71" s="1316"/>
      <c r="DT71" s="1316"/>
      <c r="DU71" s="1316"/>
      <c r="DV71" s="1316"/>
      <c r="DW71" s="1594" t="e">
        <f aca="false">IF(AND(BW71&gt;0,CT71&gt;0,DD71&gt;0,CU71&gt;0),newSPRDOPT(BW71,CT71,CY71,0,DD71,CU71,CV71,BT71*365.25,OCallPut,0),0)</f>
        <v>#VALUE!</v>
      </c>
      <c r="DX71" s="1316" t="e">
        <f aca="false">IF(AND(BX71&gt;0,CT71&gt;0,DE71&gt;0,CU71&gt;0),newSPRDOPT(BX71,CT71,CZ71,0,DE71,CU71,CV71,BT71*365.25,OCallPut,0),0)</f>
        <v>#VALUE!</v>
      </c>
      <c r="DY71" s="1591" t="e">
        <f aca="false">IF(BS71,(DH71*BH71+DI71*BI71+DW71*BJ71+DX71*BK71)/BS71,0)</f>
        <v>#VALUE!</v>
      </c>
      <c r="DZ71" s="1551" t="e">
        <f aca="false">DH71*AZ71</f>
        <v>#VALUE!</v>
      </c>
      <c r="EA71" s="1551" t="e">
        <f aca="false">DI71*BA71</f>
        <v>#VALUE!</v>
      </c>
      <c r="EB71" s="1551" t="e">
        <f aca="false">DJ71*BB71</f>
        <v>#VALUE!</v>
      </c>
      <c r="EC71" s="1551" t="e">
        <f aca="false">DK71*BC71</f>
        <v>#VALUE!</v>
      </c>
      <c r="ED71" s="1551" t="e">
        <f aca="false">DL71*BQ71</f>
        <v>#VALUE!</v>
      </c>
      <c r="EE71" s="1595" t="e">
        <f aca="false">IF(BQ71,IF(OCallPut,IF(BU71&gt;(CO71+CW71),BU71-(CO71+CW71),0),IF((CO71+CW71)&gt;BU71,(CO71+CW71)-BU71,0))*AZ71,0)</f>
        <v>#VALUE!</v>
      </c>
      <c r="EF71" s="1596" t="e">
        <f aca="false">IF(BQ71,IF(OCallPut,IF(BV71&gt;(CP71+CX71),BV71-(CP71+CX71),0),IF((CP71+CX71)&gt;BV71,(CP71+CX71)-BV71,0))*BA71,0)</f>
        <v>#VALUE!</v>
      </c>
      <c r="EG71" s="1596" t="e">
        <f aca="false">IF(BQ71,IF(OCallPut,IF(BW71&gt;(CQ71+CY71),BW71-(CQ71+CY71),0),IF((CQ71+CY71)&gt;BW71,(CQ71+CY71)-BW71,0))*BB71,0)</f>
        <v>#VALUE!</v>
      </c>
      <c r="EH71" s="1596" t="e">
        <f aca="false">IF(BQ71,IF(OCallPut,IF(BX71&gt;(CR71+CZ71),BX71-(CR71+CZ71),0),IF((CR71+CZ71)&gt;BX71,(CR71+CZ71)-BX71,0))*BC71,0)</f>
        <v>#VALUE!</v>
      </c>
      <c r="EI71" s="1597" t="e">
        <f aca="false">IF(BQ71,IF(OVolType,IF(OCallPut,IF(BZ71&gt;(CS71+DA71),BZ71-(CS71+DA71),0),IF((CS71+DA71)&gt;BZ71,(CS71+DA71)-BZ71,0))*BQ71,SUM(EE71:EH71)),0)</f>
        <v>#VALUE!</v>
      </c>
      <c r="EJ71" s="1595" t="e">
        <f aca="false">DZ71-EE71</f>
        <v>#VALUE!</v>
      </c>
      <c r="EK71" s="1596" t="e">
        <f aca="false">EA71-EF71</f>
        <v>#VALUE!</v>
      </c>
      <c r="EL71" s="1596" t="e">
        <f aca="false">EB71-EG71</f>
        <v>#VALUE!</v>
      </c>
      <c r="EM71" s="1596" t="e">
        <f aca="false">EC71-EH71</f>
        <v>#VALUE!</v>
      </c>
      <c r="EN71" s="1597" t="e">
        <f aca="false">ED71-EI71</f>
        <v>#VALUE!</v>
      </c>
      <c r="EO71" s="1551" t="e">
        <f aca="false">DH71*BH71</f>
        <v>#VALUE!</v>
      </c>
      <c r="EP71" s="1551" t="e">
        <f aca="false">DI71*BI71</f>
        <v>#VALUE!</v>
      </c>
      <c r="EQ71" s="1551" t="e">
        <f aca="false">DW71*BJ71</f>
        <v>#VALUE!</v>
      </c>
      <c r="ER71" s="1551" t="e">
        <f aca="false">DX71*BK71</f>
        <v>#VALUE!</v>
      </c>
      <c r="ES71" s="1551" t="e">
        <f aca="false">DY71*BS71</f>
        <v>#VALUE!</v>
      </c>
      <c r="ET71" s="1566" t="e">
        <f aca="false">IF(EI71,IF(OCallPut,IF(CA71&gt;(CT71+CW71),CA71-(CT71+CW71),0),IF((CT71+CW71)&gt;CA71,(CT71+CW71)-CA71,0))*BH71,0)</f>
        <v>#VALUE!</v>
      </c>
      <c r="EU71" s="1551" t="e">
        <f aca="false">IF(EI71,IF(OCallPut,IF(CB71&gt;(CT71+CX71),CB71-(CT71+CX71),0),IF((CT71+CX71)&gt;CB71,(CT71+CX71)-CB71,0))*BI71,0)</f>
        <v>#VALUE!</v>
      </c>
      <c r="EV71" s="1551" t="e">
        <f aca="false">IF(EI71,IF(OCallPut,IF(CC71&gt;(CT71+CY71),CC71-(CT71+CY71),0),IF((CT71+CY71)&gt;CC71,(CT71+CY71)-CC71,0))*BJ71,0)</f>
        <v>#VALUE!</v>
      </c>
      <c r="EW71" s="1551" t="e">
        <f aca="false">IF(EI71,IF(OCallPut,IF(CD71&gt;(CT71+CZ71),CD71-(CT71+CZ71),0),IF((CT71+CZ71)&gt;CD71,(CT71+CZ71)-CD71,0))*BK71,0)</f>
        <v>#VALUE!</v>
      </c>
      <c r="EX71" s="1558" t="e">
        <f aca="false">IF(EI71,SUM(ET71:EW71),0)</f>
        <v>#VALUE!</v>
      </c>
      <c r="EY71" s="1551" t="e">
        <f aca="false">EO71-ET71</f>
        <v>#VALUE!</v>
      </c>
      <c r="EZ71" s="1551" t="e">
        <f aca="false">EP71-EU71</f>
        <v>#VALUE!</v>
      </c>
      <c r="FA71" s="1551" t="e">
        <f aca="false">EQ71-EV71</f>
        <v>#VALUE!</v>
      </c>
      <c r="FB71" s="1551" t="e">
        <f aca="false">ER71-EW71</f>
        <v>#VALUE!</v>
      </c>
      <c r="FC71" s="1551" t="e">
        <f aca="false">ES71-EX71</f>
        <v>#VALUE!</v>
      </c>
      <c r="FD71" s="1525" t="n">
        <f aca="false">IF(AX71,IF(VLOOKUP(C71,MAIN!$L$17:$M$28,2)="Yes",VLOOKUP(CALC!B71,MAIN!$H$17:$I$20,2),0),0)</f>
        <v>0</v>
      </c>
      <c r="FE71" s="1552" t="e">
        <f aca="false">$FD71*16*AT71*(1-$AY71)</f>
        <v>#VALUE!</v>
      </c>
      <c r="FF71" s="1553" t="e">
        <f aca="false">$FD71*16*AU71*(1-$AY71)</f>
        <v>#VALUE!</v>
      </c>
      <c r="FG71" s="1553" t="e">
        <f aca="false">$FD71*16*(AV71+AW71)*(1-$AY71)</f>
        <v>#VALUE!</v>
      </c>
      <c r="FH71" s="1554" t="n">
        <f aca="false">$FD71*8*AX71*(1-$AY71)</f>
        <v>0</v>
      </c>
      <c r="FI71" s="1555" t="n">
        <f aca="false">IF(AX71,VLOOKUP(CALC!B71,MAIN!$H$17:$K$20,4),0)</f>
        <v>0</v>
      </c>
      <c r="FJ71" s="1553" t="e">
        <f aca="false">SUM(FE71:FH71)</f>
        <v>#VALUE!</v>
      </c>
      <c r="FK71" s="1556" t="e">
        <f aca="false">FI71*FJ71</f>
        <v>#VALUE!</v>
      </c>
      <c r="FL71" s="1551" t="e">
        <f aca="false">IF($EI71&gt;0,MIN(FE71,AZ71*(1+VLOOKUP($C71,WeatherCapacityAdjustment,2))),0)</f>
        <v>#VALUE!</v>
      </c>
      <c r="FM71" s="1551" t="e">
        <f aca="false">IF($EI71&gt;0,MIN(FF71,BA71*(1+VLOOKUP($C71,WeatherCapacityAdjustment,2))),0)</f>
        <v>#VALUE!</v>
      </c>
      <c r="FN71" s="1551" t="e">
        <f aca="false">IF($EI71&gt;0,MIN(FG71,BB71*(1+VLOOKUP($C71,WeatherCapacityAdjustment,2))),0)</f>
        <v>#VALUE!</v>
      </c>
      <c r="FO71" s="1564" t="e">
        <f aca="false">IF($EI71&gt;0,MIN(FH71,BC71*(1+VLOOKUP($C71,WeatherCapacityAdjustment,3))),0)</f>
        <v>#VALUE!</v>
      </c>
      <c r="FP71" s="1551" t="e">
        <f aca="false">IF(ET71&gt;0,MIN(FE71-FL71,BH71*(1+VLOOKUP($C71,WeatherCapacityAdjustment,2))),0)</f>
        <v>#VALUE!</v>
      </c>
      <c r="FQ71" s="1551" t="e">
        <f aca="false">IF(EU71&gt;0,MIN(FF71-FM71,BI71*(1+VLOOKUP($C71,WeatherCapacityAdjustment,2))),0)</f>
        <v>#VALUE!</v>
      </c>
      <c r="FR71" s="1551" t="e">
        <f aca="false">IF(EV71&gt;0,MIN(FG71-FN71,BJ71*(1+VLOOKUP($C71,WeatherCapacityAdjustment,2))),0)</f>
        <v>#VALUE!</v>
      </c>
      <c r="FS71" s="1558" t="e">
        <f aca="false">IF(EW71&gt;0,MIN(FH71-FO71,BK71*(1+VLOOKUP($C71,WeatherCapacityAdjustment,3))),0)</f>
        <v>#VALUE!</v>
      </c>
      <c r="FT71" s="1566" t="e">
        <f aca="false">IF(AND(Assumptions!$H$71="Yes",A71&gt;=Assumptions!$H$72,A71&lt;=Assumptions!$H$73),0,IF(AND($A71&gt;=Assumptions!$C$17,$A71&lt;=Assumptions!$C$18),MAX(AZ71*(1+VLOOKUP($C71,WeatherCapacityAdjustment,2))-FL71,0),0))</f>
        <v>#VALUE!</v>
      </c>
      <c r="FU71" s="1551" t="e">
        <f aca="false">IF(AND(Assumptions!$H$71="Yes",A71&gt;=Assumptions!$H$72,A71&lt;=Assumptions!$H$73),0,IF(AND($A71&gt;=Assumptions!$C$17,$A71&lt;=Assumptions!$C$18),MAX(BA71*(1+VLOOKUP($C71,WeatherCapacityAdjustment,2))-FM71,0),0))</f>
        <v>#VALUE!</v>
      </c>
      <c r="FV71" s="1551" t="e">
        <f aca="false">IF(AND(Assumptions!$H$71="Yes",A71&gt;=Assumptions!$H$72,A71&lt;=Assumptions!$H$73),0,IF(AND($A71&gt;=Assumptions!$C$17,$A71&lt;=Assumptions!$C$18),MAX(BB71*(1+VLOOKUP($C71,WeatherCapacityAdjustment,2))-FN71,0),0))</f>
        <v>#VALUE!</v>
      </c>
      <c r="FW71" s="1564" t="e">
        <f aca="false">IF(AND(Assumptions!$H$71="Yes",A71&gt;=Assumptions!$H$72,A71&lt;=Assumptions!$H$73),0,IF(AND($A71&gt;=Assumptions!$C$17,$A71&lt;=Assumptions!$C$18),MAX(BC71*(1+VLOOKUP($C71,WeatherCapacityAdjustment,3))-FO71,0),0))</f>
        <v>#VALUE!</v>
      </c>
      <c r="FX71" s="1569" t="e">
        <f aca="false">IF(AND(Assumptions!$H$71="Yes",A71&gt;=Assumptions!$H$72,A71&lt;=Assumptions!$H$73),0,IF(ET71&gt;0,MAX(BH71*(1+VLOOKUP($C71,WeatherCapacityAdjustment,2))-FP71,0),0))</f>
        <v>#VALUE!</v>
      </c>
      <c r="FY71" s="1551" t="e">
        <f aca="false">IF(AND(Assumptions!$H$71="Yes",A71&gt;=Assumptions!$H$72,A71&lt;=Assumptions!$H$73),0,IF(EU71&gt;0,MAX(BI71*(1+VLOOKUP($C71,WeatherCapacityAdjustment,3))-FQ71,0),0))</f>
        <v>#VALUE!</v>
      </c>
      <c r="FZ71" s="1551" t="e">
        <f aca="false">IF(AND(Assumptions!$H$71="Yes",A71&gt;=Assumptions!$H$72,A71&lt;=Assumptions!$H$73),0,IF(EV71&gt;0,MAX(BJ71*(1+VLOOKUP($C71,WeatherCapacityAdjustment,2))-FR71,0),0))</f>
        <v>#VALUE!</v>
      </c>
      <c r="GA71" s="1564" t="e">
        <f aca="false">IF(AND(Assumptions!$H$71="Yes",A71&gt;=Assumptions!$H$72,A71&lt;=Assumptions!$H$73),0,IF(EW71&gt;0,MAX(BK71*(1+VLOOKUP($C71,WeatherCapacityAdjustment,2))-FS71,0),0))</f>
        <v>#VALUE!</v>
      </c>
      <c r="GB71" s="1551" t="e">
        <f aca="false">SUM(FT71:GA71)</f>
        <v>#VALUE!</v>
      </c>
      <c r="GC71" s="1563" t="e">
        <f aca="false">+IF(SUM(FT71:GA71)=0,0,(SUMPRODUCT(BU71:BX71,FT71:FW71)+SUMPRODUCT(CA71:CD71,FX71:GA71))/SUM(FT71:GA71))</f>
        <v>#VALUE!</v>
      </c>
      <c r="GD71" s="1551" t="e">
        <f aca="false">(FT71*BU71+FX71*CA71+FU71*BV71+FY71*CB71+FV71*BW71+FZ71*CC71+FW71*BX71+GA71*CD71)</f>
        <v>#VALUE!</v>
      </c>
      <c r="GE71" s="1561" t="e">
        <f aca="false">+IF(BQ71,((FL71+FM71+FT71+FU71)*HeatRatePeak/1000*(1+VLOOKUP($C71,WeatherHeatRateAdjustment,2))+(FN71+FV71)*IF(EV71&gt;0,HeatRatePeak,HeatRateOffPeak)/1000*(1+VLOOKUP($C71,WeatherHeatRateAdjustment,2))+(FO71+FW71)*IF(EW71&gt;0,HeatRatePeak,HeatRateOffPeak)/1000*(1+VLOOKUP($C71,WeatherHeatRateAdjustment,3)))*(1+VLOOKUP($B71,HeatRateDegradation,$C71+1)),0)</f>
        <v>#VALUE!</v>
      </c>
      <c r="GF71" s="1562" t="e">
        <f aca="false">IF(BQ71,((FP71+FQ71+FR71+FX71+FY71+FZ71)*HeatRatePeak/1000*(1+VLOOKUP($C71,WeatherHeatRateAdjustment,2))+(FS71+GA71)*HeatRatePeak/1000*(1+VLOOKUP($C71,WeatherHeatRateAdjustment,3)))*(1+VLOOKUP($B71,HeatRateDegradation,$C71+1)),0)</f>
        <v>#VALUE!</v>
      </c>
      <c r="GG71" s="1563" t="e">
        <f aca="false">IF(BQ71,VLOOKUP(A71,GasTable,13),0)</f>
        <v>#VALUE!</v>
      </c>
      <c r="GH71" s="1564" t="e">
        <f aca="false">(GE71+GF71)*GG71</f>
        <v>#VALUE!</v>
      </c>
      <c r="GI71" s="1569" t="e">
        <f aca="false">GB71</f>
        <v>#VALUE!</v>
      </c>
      <c r="GJ71" s="1598" t="e">
        <f aca="false">+DA71</f>
        <v>#VALUE!</v>
      </c>
      <c r="GK71" s="1558" t="e">
        <f aca="false">+GI71*GJ71</f>
        <v>#VALUE!</v>
      </c>
      <c r="GL71" s="1566" t="e">
        <f aca="false">MAX(FE71-FL71-FP71,0)</f>
        <v>#VALUE!</v>
      </c>
      <c r="GM71" s="1551" t="e">
        <f aca="false">MAX(FF71-FM71-FQ71,0)</f>
        <v>#VALUE!</v>
      </c>
      <c r="GN71" s="1551" t="e">
        <f aca="false">MAX(FG71-FN71-FR71,0)</f>
        <v>#VALUE!</v>
      </c>
      <c r="GO71" s="1564" t="e">
        <f aca="false">MAX(FH71-FO71-FS71,0)</f>
        <v>#VALUE!</v>
      </c>
      <c r="GP71" s="1551" t="e">
        <f aca="false">SUM(GL71:GO71)</f>
        <v>#VALUE!</v>
      </c>
      <c r="GQ71" s="1563" t="e">
        <f aca="false">IF(SUM(GL71:GO71)=0,0,((GL71*BU71+GM71*BV71+GN71*BW71+GO71*BX71)/SUM(GL71:GO71)))</f>
        <v>#VALUE!</v>
      </c>
      <c r="GR71" s="1558" t="e">
        <f aca="false">(GL71*BU71+GM71*BV71+GN71*BW71+GO71*BX71)</f>
        <v>#VALUE!</v>
      </c>
      <c r="GS71" s="1566" t="n">
        <f aca="false">IF($A71&gt;=BegDate,Assumptions!$C$56*24*($A72-$A71)*(1-VLOOKUP($B71,MAIN!$AA$7:$AM$28,$C71+1))*(1-VLOOKUP($B71,MAIN!$AA$33:$AM$54,$C71+1)),0)*80/168</f>
        <v>249428.571428571</v>
      </c>
      <c r="GT71" s="286" t="n">
        <f aca="false">J71</f>
        <v>41.7385840896</v>
      </c>
      <c r="GU71" s="286" t="n">
        <f aca="false">IF($A71&gt;=BegDate,VLOOKUP($A71,GasTable,13)+Assumptions!$C$58,0)</f>
        <v>2.79099194062046</v>
      </c>
      <c r="GV71" s="286" t="n">
        <f aca="false">GU71*Assumptions!$C$57/1000</f>
        <v>20.2346915694983</v>
      </c>
      <c r="GW71" s="1558" t="n">
        <f aca="false">IF(Assumptions!$C$60="Hourly",MAX(0,GS71*(GT71-GV71)),GS71*(GT71-GV71))</f>
        <v>5363685.19144251</v>
      </c>
      <c r="GX71" s="1566" t="n">
        <f aca="false">IF($A71&gt;=BegDate,Assumptions!$C$56*24*($A72-$A71)*(1-VLOOKUP($B71,MAIN!$AA$7:$AM$28,$C71+1))*(1-VLOOKUP($B71,MAIN!$AA$33:$AM$54,$C71+1)),0)*16/168</f>
        <v>49885.7142857143</v>
      </c>
      <c r="GY71" s="286" t="n">
        <f aca="false">M71</f>
        <v>41.7385840896</v>
      </c>
      <c r="GZ71" s="286" t="n">
        <f aca="false">IF($A71&gt;=BegDate,VLOOKUP($A71,GasTable,13)+Assumptions!$C$58,0)</f>
        <v>2.79099194062046</v>
      </c>
      <c r="HA71" s="286" t="n">
        <f aca="false">GZ71*Assumptions!$C$57/1000</f>
        <v>20.2346915694983</v>
      </c>
      <c r="HB71" s="1558" t="n">
        <f aca="false">IF(Assumptions!$C$60="Hourly",MAX(0,GX71*(GY71-HA71)),GX71*(GY71-HA71))</f>
        <v>1072737.0382885</v>
      </c>
      <c r="HC71" s="1566" t="n">
        <f aca="false">IF($A71&gt;=BegDate,Assumptions!$C$56*24*($A72-$A71)*(1-VLOOKUP($B71,MAIN!$AA$7:$AM$28,$C71+1))*(1-VLOOKUP($B71,MAIN!$AA$33:$AM$54,$C71+1)),0)*16/168</f>
        <v>49885.7142857143</v>
      </c>
      <c r="HD71" s="286" t="n">
        <f aca="false">P71</f>
        <v>26.927989573968</v>
      </c>
      <c r="HE71" s="286" t="n">
        <f aca="false">IF($A71&gt;=BegDate,VLOOKUP($A71,GasTable,13)+Assumptions!$C$58,0)</f>
        <v>2.79099194062046</v>
      </c>
      <c r="HF71" s="286" t="n">
        <f aca="false">HE71*Assumptions!$C$57/1000</f>
        <v>20.2346915694983</v>
      </c>
      <c r="HG71" s="1558" t="n">
        <f aca="false">IF(Assumptions!$C$60="Hourly",MAX(0,HC71*(HD71-HF71)),HC71*(HD71-HF71))</f>
        <v>333899.951880117</v>
      </c>
      <c r="HH71" s="1566" t="n">
        <f aca="false">IF($A71&gt;=BegDate,Assumptions!$C$56*24*($A72-$A71)*(1-VLOOKUP($B71,MAIN!$AA$7:$AM$28,$C71+1))*(1-VLOOKUP($B71,MAIN!$AA$33:$AM$54,$C71+1)),0)*56/168</f>
        <v>174600</v>
      </c>
      <c r="HI71" s="286" t="n">
        <f aca="false">S71</f>
        <v>26.927989573968</v>
      </c>
      <c r="HJ71" s="286" t="n">
        <f aca="false">IF($A71&gt;=BegDate,VLOOKUP($A71,GasTable,13)+Assumptions!$C$58,0)</f>
        <v>2.79099194062046</v>
      </c>
      <c r="HK71" s="286" t="n">
        <f aca="false">HJ71*Assumptions!$C$57/1000</f>
        <v>20.2346915694983</v>
      </c>
      <c r="HL71" s="1558" t="n">
        <f aca="false">IF(Assumptions!$C$60="Hourly",MAX(0,HH71*(HI71-HK71)),HH71*(HI71-HK71))</f>
        <v>1168649.83158041</v>
      </c>
      <c r="HM71" s="1566" t="n">
        <f aca="false">IF(AND(Assumptions!$H$71="Yes",A71&gt;=Assumptions!$H$72,A71&lt;=Assumptions!$H$73),Assumptions!$H$74*Assumptions!$C$9*1000,0)</f>
        <v>0</v>
      </c>
      <c r="HN71" s="1551" t="e">
        <f aca="false">GD71-GH71</f>
        <v>#VALUE!</v>
      </c>
      <c r="HO71" s="1563"/>
      <c r="HP71" s="1563"/>
      <c r="HQ71" s="1563"/>
      <c r="HR71" s="1563"/>
      <c r="HS71" s="1563"/>
      <c r="HT71" s="1563"/>
      <c r="HU71" s="1563"/>
      <c r="HV71" s="1563"/>
      <c r="HW71" s="1563"/>
      <c r="HX71" s="1563"/>
      <c r="HY71" s="1563"/>
      <c r="HZ71" s="1563"/>
      <c r="IA71" s="1563"/>
      <c r="IB71" s="1563"/>
      <c r="IC71" s="1563"/>
      <c r="ID71" s="1563"/>
      <c r="IE71" s="1563"/>
      <c r="IF71" s="1563"/>
      <c r="IG71" s="1563"/>
      <c r="IH71" s="1563"/>
      <c r="II71" s="1610"/>
      <c r="IJ71" s="1309"/>
      <c r="IK71" s="1309"/>
    </row>
    <row r="72" customFormat="false" ht="12.75" hidden="false" customHeight="false" outlineLevel="0" collapsed="false">
      <c r="A72" s="1571" t="n">
        <f aca="false">EOMONTH(A71,0)+1</f>
        <v>38322</v>
      </c>
      <c r="B72" s="594" t="n">
        <f aca="false">+YEAR(A72)</f>
        <v>2004</v>
      </c>
      <c r="C72" s="238" t="n">
        <f aca="false">MONTH(A72)</f>
        <v>12</v>
      </c>
      <c r="D72" s="1572" t="e">
        <f aca="false">IF(E72="","",Holiday(B72,C72))</f>
        <v>#VALUE!</v>
      </c>
      <c r="E72" s="1573" t="n">
        <f aca="false">IF(OR(BegDate&gt;=A73,EndDate&lt;A72,AND(VolumeMonthlyOverFlag,INDEX(VolumeMonthlyOver,C72)=0),NOT(INDEX(MonthKnockOutTable,C72))),"",MAX(A72,BegDate))</f>
        <v>38322</v>
      </c>
      <c r="F72" s="1574" t="n">
        <f aca="false">IF(E72="","",MIN(A73-1,EndDate))</f>
        <v>38352</v>
      </c>
      <c r="G72" s="1575" t="n">
        <v>0</v>
      </c>
      <c r="H72" s="1576" t="n">
        <f aca="false">(1+G72/2)^(-2*(DATE(B73,C73,20)-DateToday)/365.25)</f>
        <v>1</v>
      </c>
      <c r="I72" s="1568" t="n">
        <f aca="false">IF(Assumptions!$L$25=4,VLOOKUP($A72,'Henwood Reference'!$E$9:$R$320,10),(VLOOKUP($A72,PriceTable,2,0)+IF(BasisNumber&lt;&gt;1,VLOOKUP($A72,BasisTable,2,0),0)+I$1)/(1-I$2))</f>
        <v>42.159758443056</v>
      </c>
      <c r="J72" s="1568" t="n">
        <f aca="false">IF(Assumptions!$L$25=4,VLOOKUP($A72,'Henwood Reference'!$E$9:$R$320,10),(VLOOKUP($A72,PriceTable,3,0)+IF(BasisNumber&lt;&gt;1,VLOOKUP($A72,BasisTable,2,0),0)+J$1)/(1-J$2))</f>
        <v>42.159758443056</v>
      </c>
      <c r="K72" s="1568" t="n">
        <f aca="false">IF(Assumptions!$L$25=4,VLOOKUP($A72,'Henwood Reference'!$E$9:$R$320,10),(VLOOKUP($A72,PriceTable,4,0)+IF(BasisNumber&lt;&gt;1,VLOOKUP($A72,BasisTable,2,0),0)+K$1)/(1-K$2))</f>
        <v>42.159758443056</v>
      </c>
      <c r="L72" s="1523" t="n">
        <f aca="false">IF(Assumptions!$L$25=4,VLOOKUP($A72,'Henwood Reference'!$E$9:$R$320,10),(VLOOKUP($A72,PriceTableWeekend,2,0)+IF(BasisNumber&lt;&gt;1,VLOOKUP($A72,BasisTable,2,0),0)+L$1)/(1-L$2))</f>
        <v>42.159758443056</v>
      </c>
      <c r="M72" s="1568" t="n">
        <f aca="false">IF(Assumptions!$L$25=4,VLOOKUP($A72,'Henwood Reference'!$E$9:$R$320,10),(VLOOKUP($A72,PriceTableWeekend,3,0)+IF(BasisNumber&lt;&gt;1,VLOOKUP($A72,BasisTable,2,0),0)+M$1)/(1-M$2))</f>
        <v>42.159758443056</v>
      </c>
      <c r="N72" s="1599" t="n">
        <f aca="false">IF(Assumptions!$L$25=4,VLOOKUP($A72,'Henwood Reference'!$E$9:$R$320,10),(VLOOKUP($A72,PriceTableWeekend,4,0)+IF(BasisNumber&lt;&gt;1,VLOOKUP($A72,BasisTable,2,0),0)+N$1)/(1-N$2))</f>
        <v>42.159758443056</v>
      </c>
      <c r="O72" s="1568" t="n">
        <f aca="false">IF(Assumptions!$L$25=4,VLOOKUP($A72,'Henwood Reference'!$E$9:$R$320,11),(VLOOKUP($A72,PriceTableWeekend,6,0)+IF(BasisNumber&lt;&gt;1,VLOOKUP($A72,BasisTable,3,0),0)+O$1)/(1-O$2))</f>
        <v>27.263543543568</v>
      </c>
      <c r="P72" s="1568" t="n">
        <f aca="false">IF(Assumptions!$L$25=4,VLOOKUP($A72,'Henwood Reference'!$E$9:$R$320,11),(VLOOKUP($A72,PriceTableWeekend,7,0)+IF(BasisNumber&lt;&gt;1,VLOOKUP($A72,BasisTable,3,0),0)+P$1)/(1-P$2))</f>
        <v>27.263543543568</v>
      </c>
      <c r="Q72" s="1599" t="n">
        <f aca="false">IF(Assumptions!$L$25=4,VLOOKUP($A72,'Henwood Reference'!$E$9:$R$320,11),(VLOOKUP($A72,PriceTableWeekend,8,0)+IF(BasisNumber&lt;&gt;1,VLOOKUP($A72,BasisTable,3,0),0)+Q$1)/(1-Q$2))</f>
        <v>27.263543543568</v>
      </c>
      <c r="R72" s="1568" t="n">
        <f aca="false">IF(Assumptions!$L$25=4,VLOOKUP($A72,'Henwood Reference'!$E$9:$R$320,11),(VLOOKUP($A72,PriceTable,6,0)+IF(BasisNumber&lt;&gt;1,VLOOKUP($A72,BasisTable,3,0),0)+R$1)/(1-R$2))</f>
        <v>27.263543543568</v>
      </c>
      <c r="S72" s="1568" t="n">
        <f aca="false">IF(Assumptions!$L$25=4,VLOOKUP($A72,'Henwood Reference'!$E$9:$R$320,11),(VLOOKUP($A72,PriceTable,7,0)+IF(BasisNumber&lt;&gt;1,VLOOKUP($A72,BasisTable,3,0),0)+S$1)/(1-S$2))</f>
        <v>27.263543543568</v>
      </c>
      <c r="T72" s="1600" t="n">
        <f aca="false">IF(Assumptions!$L$25=4,VLOOKUP($A72,'Henwood Reference'!$E$9:$R$320,11),(VLOOKUP($A72,PriceTable,8,0)+IF(BasisNumber&lt;&gt;1,VLOOKUP($A72,BasisTable,3,0),0)+T$1)/(1-T$2))</f>
        <v>27.263543543568</v>
      </c>
      <c r="U72" s="1513" t="n">
        <f aca="false">VLOOKUP($A72,VolatilityTable,14)</f>
        <v>0.15</v>
      </c>
      <c r="V72" s="1513" t="n">
        <f aca="false">VLOOKUP($A72,VolatilityTable,15)</f>
        <v>0.16</v>
      </c>
      <c r="W72" s="1514" t="n">
        <f aca="false">VLOOKUP($A72,VolatilityTable,16)</f>
        <v>0.17</v>
      </c>
      <c r="X72" s="1513" t="n">
        <f aca="false">VLOOKUP($A72,VolatilityTable,14)</f>
        <v>0.15</v>
      </c>
      <c r="Y72" s="1513" t="n">
        <f aca="false">VLOOKUP($A72,VolatilityTable,15)</f>
        <v>0.16</v>
      </c>
      <c r="Z72" s="1514" t="n">
        <f aca="false">VLOOKUP($A72,VolatilityTable,16)</f>
        <v>0.17</v>
      </c>
      <c r="AA72" s="1513" t="n">
        <f aca="false">VLOOKUP($A72,VolatilityTable,18)</f>
        <v>0.09</v>
      </c>
      <c r="AB72" s="1513" t="n">
        <f aca="false">VLOOKUP($A72,VolatilityTable,19)</f>
        <v>0.11</v>
      </c>
      <c r="AC72" s="1514" t="n">
        <f aca="false">VLOOKUP($A72,VolatilityTable,20)</f>
        <v>0.13</v>
      </c>
      <c r="AD72" s="1513" t="n">
        <f aca="false">VLOOKUP($A72,VolatilityTable,18)</f>
        <v>0.09</v>
      </c>
      <c r="AE72" s="1513" t="n">
        <f aca="false">VLOOKUP($A72,VolatilityTable,19)</f>
        <v>0.11</v>
      </c>
      <c r="AF72" s="1514" t="n">
        <f aca="false">VLOOKUP($A72,VolatilityTable,20)</f>
        <v>0.13</v>
      </c>
      <c r="AG72" s="1513" t="n">
        <f aca="false">VLOOKUP($A72,VolatilityTable,22)</f>
        <v>-0.25</v>
      </c>
      <c r="AH72" s="1513" t="n">
        <f aca="false">VLOOKUP($A72,VolatilityTable,23)</f>
        <v>0.6</v>
      </c>
      <c r="AI72" s="1514" t="n">
        <f aca="false">VLOOKUP($A72,VolatilityTable,24)</f>
        <v>0.25</v>
      </c>
      <c r="AJ72" s="1513" t="n">
        <f aca="false">VLOOKUP($A72,VolatilityTable,22)</f>
        <v>-0.25</v>
      </c>
      <c r="AK72" s="1513" t="n">
        <f aca="false">VLOOKUP($A72,VolatilityTable,23)</f>
        <v>0.6</v>
      </c>
      <c r="AL72" s="1514" t="n">
        <f aca="false">VLOOKUP($A72,VolatilityTable,24)</f>
        <v>0.25</v>
      </c>
      <c r="AM72" s="1513" t="n">
        <f aca="false">VLOOKUP($A72,VolatilityTable,26)</f>
        <v>-0.01</v>
      </c>
      <c r="AN72" s="1513" t="n">
        <f aca="false">VLOOKUP($A72,VolatilityTable,27)</f>
        <v>0.16</v>
      </c>
      <c r="AO72" s="1514" t="n">
        <f aca="false">VLOOKUP($A72,VolatilityTable,28)</f>
        <v>0.01</v>
      </c>
      <c r="AP72" s="1513" t="n">
        <f aca="false">VLOOKUP($A72,VolatilityTable,26)</f>
        <v>-0.01</v>
      </c>
      <c r="AQ72" s="1513" t="n">
        <f aca="false">VLOOKUP($A72,VolatilityTable,27)</f>
        <v>0.16</v>
      </c>
      <c r="AR72" s="1515" t="n">
        <f aca="false">VLOOKUP($A72,VolatilityTable,28)</f>
        <v>0.01</v>
      </c>
      <c r="AS72" s="1581" t="n">
        <f aca="false">IF(CorrPeakOffPeakOverFlag,INDEX(CorrPeakOffPeakOver,C72),CorrPeakOffPeak)</f>
        <v>0.5</v>
      </c>
      <c r="AT72" s="594" t="e">
        <f aca="false">AX72-SUM(AU72:AW72)</f>
        <v>#VALUE!</v>
      </c>
      <c r="AU72" s="238" t="e">
        <f aca="false">IF(E72="",0,INT((F72-MOD(F72,7)-E72)/7)+1-IF(AW72,IF(WEEKDAY(D72)=7,1,0),0))</f>
        <v>#VALUE!</v>
      </c>
      <c r="AV72" s="238" t="e">
        <f aca="false">IF(E72="",0,INT((F72-MOD(F72-1,7)-E72)/7)+1-IF(AW72,IF(WEEKDAY(D72)=1,1,0),0))</f>
        <v>#VALUE!</v>
      </c>
      <c r="AW72" s="238" t="e">
        <f aca="false">IF(OR(E72="",D72="",D72&lt;BegDate,D72&gt;EndDate),0,1)</f>
        <v>#VALUE!</v>
      </c>
      <c r="AX72" s="238" t="n">
        <f aca="false">IF(E72="",0,F72-E72+1)</f>
        <v>31</v>
      </c>
      <c r="AY72" s="1582" t="n">
        <f aca="false">IF(E72="",0,MIN((1-(1-VLOOKUP(B72,MAIN!$AA$7:$AM$28,C72+1))*(1-VLOOKUP(B72,MAIN!$AA$33:$AM$54,C72+1))),1))</f>
        <v>0.03</v>
      </c>
      <c r="AZ72" s="1519" t="e">
        <v>#VALUE!</v>
      </c>
      <c r="BA72" s="1520" t="e">
        <v>#VALUE!</v>
      </c>
      <c r="BB72" s="1520" t="e">
        <v>#VALUE!</v>
      </c>
      <c r="BC72" s="1583" t="e">
        <v>#VALUE!</v>
      </c>
      <c r="BD72" s="1522" t="e">
        <v>#VALUE!</v>
      </c>
      <c r="BE72" s="1523" t="e">
        <v>#VALUE!</v>
      </c>
      <c r="BF72" s="1523" t="e">
        <v>#VALUE!</v>
      </c>
      <c r="BG72" s="1584" t="e">
        <v>#VALUE!</v>
      </c>
      <c r="BH72" s="1525" t="e">
        <v>#VALUE!</v>
      </c>
      <c r="BI72" s="1520" t="e">
        <v>#VALUE!</v>
      </c>
      <c r="BJ72" s="1520" t="e">
        <v>#VALUE!</v>
      </c>
      <c r="BK72" s="1583" t="e">
        <v>#VALUE!</v>
      </c>
      <c r="BL72" s="1522" t="e">
        <v>#VALUE!</v>
      </c>
      <c r="BM72" s="1523" t="e">
        <v>#VALUE!</v>
      </c>
      <c r="BN72" s="1523" t="e">
        <v>#VALUE!</v>
      </c>
      <c r="BO72" s="1523" t="e">
        <v>#VALUE!</v>
      </c>
      <c r="BP72" s="1525" t="e">
        <f aca="false">SUM(AZ72:BB72)</f>
        <v>#VALUE!</v>
      </c>
      <c r="BQ72" s="1529" t="e">
        <f aca="false">SUM(AZ72:BC72)</f>
        <v>#VALUE!</v>
      </c>
      <c r="BR72" s="1519" t="e">
        <f aca="false">SUM(BH72:BJ72)</f>
        <v>#VALUE!</v>
      </c>
      <c r="BS72" s="1529" t="e">
        <f aca="false">SUM(BH72:BK72)</f>
        <v>#VALUE!</v>
      </c>
      <c r="BT72" s="1316" t="n">
        <f aca="false">(IF(OVolType&lt;&gt;2,A72+14,IF(OptExpDateShift,ShiftBack(A72,OptExpDateShift,D71),A72))-DateToday)/365.25</f>
        <v>4.63244353182752</v>
      </c>
      <c r="BU72" s="1585" t="e">
        <f aca="false">IF(BQ72,IF(OPriceCurve,IF(OBuySell=OCallPut,I72/(1-AY72),K72/(1-AY72)),J72/(1-AY72))*BD72,0)</f>
        <v>#VALUE!</v>
      </c>
      <c r="BV72" s="1316" t="e">
        <f aca="false">IF(BQ72,IF(OPriceCurve,IF(OBuySell=OCallPut,L72/(1-AY72),N72/(1-AY72)),M72/(1-AY72))*BE72,0)</f>
        <v>#VALUE!</v>
      </c>
      <c r="BW72" s="1316" t="e">
        <f aca="false">IF(BQ72,IF(OPriceCurve,IF(OBuySell=OCallPut,O72/(1-AY72),Q72/(1-AY72)),P72/(1-AY72))*BF72,0)</f>
        <v>#VALUE!</v>
      </c>
      <c r="BX72" s="1316" t="e">
        <f aca="false">IF(BQ72,IF(OPriceCurve,IF(OBuySell=OCallPut,R72/(1-AY72),T72/(1-AY72)),S72/(1-AY72))*BG72,0)</f>
        <v>#VALUE!</v>
      </c>
      <c r="BY72" s="1316" t="e">
        <f aca="false">IF(BP72,(BU72*AZ72+BV72*BA72+BW72*BB72)/BP72,0)</f>
        <v>#VALUE!</v>
      </c>
      <c r="BZ72" s="1316" t="e">
        <f aca="false">IF(BQ72,(BY72*BP72+BX72*BC72)/BQ72,0)</f>
        <v>#VALUE!</v>
      </c>
      <c r="CA72" s="1531" t="e">
        <f aca="false">IF(BS72,IF(OPriceCurve,IF(OBuySell=OCallPut,I72/(1-AY72),K72/(1-AY72)),J72/(1-AY72))*BL72,0)</f>
        <v>#VALUE!</v>
      </c>
      <c r="CB72" s="1316" t="e">
        <f aca="false">IF(BS72,IF(OPriceCurve,IF(OBuySell=OCallPut,L72/(1-AY72),N72/(1-AY72)),M72/(1-AY72))*BM72,0)</f>
        <v>#VALUE!</v>
      </c>
      <c r="CC72" s="1316" t="e">
        <f aca="false">IF(BS72,IF(OPriceCurve,IF(OBuySell=OCallPut,O72/(1-AY72),Q72/(1-AY72)),P72/(1-AY72))*BN72,0)</f>
        <v>#VALUE!</v>
      </c>
      <c r="CD72" s="1316" t="e">
        <f aca="false">IF(BS72,IF(OPriceCurve,IF(OBuySell=OCallPut,R72/(1-AY72),T72/(1-AY72)),S72/(1-AY72))*BO72,0)</f>
        <v>#VALUE!</v>
      </c>
      <c r="CE72" s="1316" t="e">
        <f aca="false">IF(BR72,(BU72*BH72+BV72*BI72+BW72*BJ72)/BR72,0)</f>
        <v>#VALUE!</v>
      </c>
      <c r="CF72" s="1532" t="e">
        <f aca="false">IF(BS72,(CE72*BR72+CD72*BK72)/BS72,0)</f>
        <v>#VALUE!</v>
      </c>
      <c r="CG72" s="1586" t="e">
        <f aca="false">IF(OR(BQ72,BS72),IF(OVolType&lt;&gt;2,SQRT(IF(OVolOverMonthlyPeak,OVolOverMonthlyPeak,IF(OVolCurve,IF(OBuySell,U72,W72),V72))^2*(1-15/365.25/BT72)+IF(OVolOverDailyPeak,OVolOverDailyPeak,IF(OVolCurve,IF(OBuySell,AG72,AI72),AH72))^2*15/365.25/BT72),IF(OVolOverMonthlyPeak,OVolOverMonthlyPeak,IF(OVolCurve,IF(OBuySell,U72,W72),V72))),"")</f>
        <v>#VALUE!</v>
      </c>
      <c r="CH72" s="1587" t="e">
        <f aca="false">IF(OR(BQ72,BS72),IF(OVolType&lt;&gt;2,SQRT(IF(OVolOverMonthlyPeak,OVolOverMonthlyPeak,IF(OVolCurve,IF(OBuySell,X72,Z72),Y72))^2*(1-15/365.25/BT72)+IF(OVolOverDailyPeak,OVolOverDailyPeak,IF(OVolCurve,IF(OBuySell,AJ72,AL72),AK72))^2*15/365.25/BT72),IF(OVolOverMonthlyPeak,OVolOverMonthlyPeak,IF(OVolCurve,IF(OBuySell,X72,Z72),Y72))),"")</f>
        <v>#VALUE!</v>
      </c>
      <c r="CI72" s="1587" t="e">
        <f aca="false">IF(OR(BQ72,BS72),IF(OVolType&lt;&gt;2,SQRT(IF(OVolOverMonthlyPeak,OVolOverMonthlyPeak,IF(OVolCurve,IF(OBuySell,AA72,AC72),AB72))^2*(1-15/365.25/BT72)+IF(OVolOverDailyPeak,OVolOverDailyPeak,IF(OVolCurve,IF(OBuySell,AM72,AO72),AN72))^2*15/365.25/BT72),IF(OVolOverMonthlyPeak,OVolOverMonthlyPeak,IF(OVolCurve,IF(OBuySell,AA72,AC72),AB72))),"")</f>
        <v>#VALUE!</v>
      </c>
      <c r="CJ72" s="1587" t="e">
        <f aca="false">IF(BQ72,IF(BP72,SQRT(LN(1+((BU72*AZ72)^2*(EXP(CG72^2*BT72)-1)+(BV72*BA72)^2*(EXP(CH72^2*BT72)-1)+(BW72*BB72)^2*(EXP(CI72^2*BT72)-1)+2*BU72*AZ72*BV72*BA72*(EXP(CG72*CH72*BT72)-1)+2*BV72*BA72*BW72*BB72*(EXP(CH72*CI72*BT72)-1)+2*BW72*BB72*BU72*AZ72*(EXP(CI72*CG72*BT72)-1))/(BY72*BP72)^2)/BT72),0),"")</f>
        <v>#VALUE!</v>
      </c>
      <c r="CK72" s="1587" t="e">
        <f aca="false">IF(BS72,IF(BR72,SQRT(LN(1+((CA72*BH72)^2*(EXP(CG72^2*BT72)-1)+(CB72*BI72)^2*(EXP(CH72^2*BT72)-1)+(CC72*BJ72)^2*(EXP(CI72^2*BT72)-1)+2*CA72*BH72*CB72*BI72*(EXP(CG72*CH72*BT72)-1)+2*CB72*BI72*CC72*BJ72*(EXP(CH72*CI72*BT72)-1)+2*CC72*BJ72*CA72*BH72*(EXP(CI72*CG72*BT72)-1))/(CE72*BR72)^2)/BT72),0),"")</f>
        <v>#VALUE!</v>
      </c>
      <c r="CL72" s="1587" t="e">
        <f aca="false">IF(OR(BQ72,BS72),IF(OVolType&lt;&gt;2,SQRT(IF(OVolOverMonthlyOffPeak,OVolOverMonthlyOffPeak,IF(OVolCurve,IF(OBuySell,AD72,AF72),AE72))^2*(1-15/365.25/BT72)+IF(OVolOverDailyOffPeak,OVolOverDailyOffPeak,IF(OVolCurve,IF(OBuySell,AP72,AR72),AQ72))^2*15/365.25/BT72),IF(OVolOverMonthlyOffPeak,OVolOverMonthlyOffPeak,IF(OVolCurve,IF(OBuySell,AD72,AF72),AE72))),"")</f>
        <v>#VALUE!</v>
      </c>
      <c r="CM72" s="1587" t="e">
        <f aca="false">IF(BQ72,SQRT(LN(1+((BY72*BP72)^2*(EXP(CJ72^2*BT72)-1)+(BX72*BC72)^2*(EXP(CL72^2*BT72)-1)+2*BY72*BP72*BX72*BC72*(EXP(AS72*CJ72*CL72*BT72)-1))/(BY72*BP72+BX72*BC72)^2)/BT72),"")</f>
        <v>#VALUE!</v>
      </c>
      <c r="CN72" s="1588" t="e">
        <f aca="false">IF(BS72,SQRT(LN(1+((CE72*BR72)^2*(EXP(CK72^2*BT72)-1)+(CD72*BK72)^2*(EXP(CL72^2*BT72)-1)+2*CE72*BR72*CD72*BK72*(EXP(AS72*CK72*CL72*BT72)-1))/(CE72*BR72+CD72*BK72)^2)/BT72),"")</f>
        <v>#VALUE!</v>
      </c>
      <c r="CO72" s="1531" t="e">
        <f aca="false">IF(OR(BQ72,BS72),VLOOKUP(A72,GasTable,13)*HeatRatePeak*(1+VLOOKUP($B72,HeatRateDegradation,$C72+1))/1000,0)</f>
        <v>#VALUE!</v>
      </c>
      <c r="CP72" s="1316" t="e">
        <f aca="false">IF(OR(BQ72,BS72),VLOOKUP(A72,GasTable,13)*HeatRatePeak*(1+VLOOKUP($B72,HeatRateDegradation,$C72+1))/1000,0)</f>
        <v>#VALUE!</v>
      </c>
      <c r="CQ72" s="1316" t="e">
        <f aca="false">IF(OR(BQ72,BS72),VLOOKUP(A72,GasTable,13)*IF(EV72,HeatRatePeak,HeatRateOffPeak)*(1+VLOOKUP($B72,HeatRateDegradation,$C72+1))/1000,0)</f>
        <v>#VALUE!</v>
      </c>
      <c r="CR72" s="1316" t="e">
        <f aca="false">IF(OR(BQ72,BS72),VLOOKUP(A72,GasTable,13)*IF(EW72,HeatRatePeak,HeatRateOffPeak)*(1+VLOOKUP($B72,HeatRateDegradation,$C72+1))/1000,0)</f>
        <v>#VALUE!</v>
      </c>
      <c r="CS72" s="1589" t="e">
        <f aca="false">IF(BQ72,(CO72*AZ72+CP72*BA72+CQ72*BB72+CR72*BC72)/BQ72,0)</f>
        <v>#VALUE!</v>
      </c>
      <c r="CT72" s="1316" t="e">
        <f aca="false">IF(BS72,CO72,0)</f>
        <v>#VALUE!</v>
      </c>
      <c r="CU72" s="1590" t="e">
        <f aca="false">IF(OR(BQ72,BS72),VLOOKUP(A72,GasTable,14),"")</f>
        <v>#VALUE!</v>
      </c>
      <c r="CV72" s="1568" t="e">
        <f aca="false">IF(OR(BQ72,BS72),IF(CorrPowerGasOverFlag,INDEX(CorrPowerGasOver,C72),CorrPowerGas),"")</f>
        <v>#VALUE!</v>
      </c>
      <c r="CW72" s="1316" t="e">
        <f aca="false">IF(OR($BQ72,$BS72),SpreadOptPowerMargin,0)*((1+Assumptions!$C$26)^($B72-YEAR(Assumptions!$C$17)))</f>
        <v>#VALUE!</v>
      </c>
      <c r="CX72" s="1316" t="e">
        <f aca="false">IF(OR($BQ72,$BS72),SpreadOptPowerMargin,0)*((1+Assumptions!$C$26)^($B72-YEAR(Assumptions!$C$17)))</f>
        <v>#VALUE!</v>
      </c>
      <c r="CY72" s="1316" t="e">
        <f aca="false">IF(OR($BQ72,$BS72),SpreadOptPowerMargin,0)*((1+Assumptions!$C$26)^($B72-YEAR(Assumptions!$C$17)))</f>
        <v>#VALUE!</v>
      </c>
      <c r="CZ72" s="1316" t="e">
        <f aca="false">IF(OR($BQ72,$BS72),SpreadOptPowerMargin,0)*((1+Assumptions!$C$26)^($B72-YEAR(Assumptions!$C$17)))</f>
        <v>#VALUE!</v>
      </c>
      <c r="DA72" s="1591" t="e">
        <f aca="false">IF(OR(BQ72,BS72),(CW72*(AZ72+BH72)+CX72*(BA72+BI72)+CY72*(BB72+BJ72)+CZ72*(BC72+BK72))/(BQ72+BS72),0)</f>
        <v>#VALUE!</v>
      </c>
      <c r="DB72" s="1592" t="e">
        <f aca="false">IF(OR(BQ72,BS72),CG72+IF(OVolSmile,VLOOKUP(MAX(-5,CO72+CW72-BU72),IF(OVolSmile=1,VolSmileBook,VolSmileModel),2),0),"")</f>
        <v>#VALUE!</v>
      </c>
      <c r="DC72" s="1592" t="e">
        <f aca="false">IF(OR(BQ72,BS72),CH72+IF(OVolSmile,VLOOKUP(MAX(-5,CP72+CW72-BV72),IF(OVolSmile=1,VolSmileBook,VolSmileModel),2),0),"")</f>
        <v>#VALUE!</v>
      </c>
      <c r="DD72" s="1592" t="e">
        <f aca="false">IF(OR(BQ72,BS72),CI72+IF(OVolSmile,VLOOKUP(MAX(-5,CQ72+CW72-BW72),IF(OVolSmile=1,VolSmileBook,VolSmileModel),2),0),"")</f>
        <v>#VALUE!</v>
      </c>
      <c r="DE72" s="1592" t="e">
        <f aca="false">IF(OR(BQ72,BS72),CL72+IF(OVolSmile,VLOOKUP(MAX(-5,CR72+CZ72-BX72),IF(OVolSmile=1,VolSmileBook,VolSmileModel),2),0),"")</f>
        <v>#VALUE!</v>
      </c>
      <c r="DF72" s="1592" t="e">
        <f aca="false">IF(BQ72,CM72+IF(OVolSmile,VLOOKUP(MAX(-5,CS72+DA72-BZ72),IF(OVolSmile=1,VolSmileBook,VolSmileModel),2),0),"")</f>
        <v>#VALUE!</v>
      </c>
      <c r="DG72" s="1593" t="e">
        <f aca="false">IF(BS72,CN72+IF(OVolSmile,VLOOKUP(MAX(-5,CT72+DA72-CF72),IF(OVolSmile=1,VolSmileBook,VolSmileModel),2),0),"")</f>
        <v>#VALUE!</v>
      </c>
      <c r="DH72" s="1316" t="e">
        <f aca="false">IF(AND(BU72&gt;0,CO72&gt;0,DB72&gt;0,CU72&gt;0),newSPRDOPT(BU72,CO72,CW72,0,DB72,CU72,CV72,BT72*365.25,OCallPut,0),0)</f>
        <v>#VALUE!</v>
      </c>
      <c r="DI72" s="1316" t="e">
        <f aca="false">IF(AND(BV72&gt;0,CP72&gt;0,DC72&gt;0,CU72&gt;0),newSPRDOPT(BV72,CP72,CX72,0,DC72,CU72,CV72,BT72*365.25,OCallPut,0),0)</f>
        <v>#VALUE!</v>
      </c>
      <c r="DJ72" s="1316" t="e">
        <f aca="false">IF(AND(BW72&gt;0,CQ72&gt;0,DD72&gt;0,CU72&gt;0),newSPRDOPT(BW72,CQ72,CY72,0,DD72,CU72,CV72,BT72*365.25,OCallPut,0),0)</f>
        <v>#VALUE!</v>
      </c>
      <c r="DK72" s="1316" t="e">
        <f aca="false">IF(AND(BX72&gt;0,CR72&gt;0,DE72&gt;0,CU72&gt;0),newSPRDOPT(BX72,CR72,CZ72,0,DE72,CU72,CV72,BT72*365.25,OCallPut,0),0)</f>
        <v>#VALUE!</v>
      </c>
      <c r="DL72" s="1316" t="e">
        <f aca="false">IF(OVolType,IF(AND(BZ72&gt;0,CS72&gt;0,DF72&gt;0,CU72&gt;0),newSPRDOPT(BZ72,CS72,DA72,0,DF72,CU72,CV72,BT72*365.25,OCallPut,0),0),IF(BQ72,(DH72*AZ72+DI72*BA72+DJ72*BB72+DK72*BC72)/BQ72,0))</f>
        <v>#VALUE!</v>
      </c>
      <c r="DM72" s="1316"/>
      <c r="DN72" s="1316"/>
      <c r="DO72" s="1316"/>
      <c r="DP72" s="1316"/>
      <c r="DQ72" s="1316"/>
      <c r="DR72" s="1316"/>
      <c r="DS72" s="1316"/>
      <c r="DT72" s="1316"/>
      <c r="DU72" s="1316"/>
      <c r="DV72" s="1316"/>
      <c r="DW72" s="1594" t="e">
        <f aca="false">IF(AND(BW72&gt;0,CT72&gt;0,DD72&gt;0,CU72&gt;0),newSPRDOPT(BW72,CT72,CY72,0,DD72,CU72,CV72,BT72*365.25,OCallPut,0),0)</f>
        <v>#VALUE!</v>
      </c>
      <c r="DX72" s="1316" t="e">
        <f aca="false">IF(AND(BX72&gt;0,CT72&gt;0,DE72&gt;0,CU72&gt;0),newSPRDOPT(BX72,CT72,CZ72,0,DE72,CU72,CV72,BT72*365.25,OCallPut,0),0)</f>
        <v>#VALUE!</v>
      </c>
      <c r="DY72" s="1591" t="e">
        <f aca="false">IF(BS72,(DH72*BH72+DI72*BI72+DW72*BJ72+DX72*BK72)/BS72,0)</f>
        <v>#VALUE!</v>
      </c>
      <c r="DZ72" s="1551" t="e">
        <f aca="false">DH72*AZ72</f>
        <v>#VALUE!</v>
      </c>
      <c r="EA72" s="1551" t="e">
        <f aca="false">DI72*BA72</f>
        <v>#VALUE!</v>
      </c>
      <c r="EB72" s="1551" t="e">
        <f aca="false">DJ72*BB72</f>
        <v>#VALUE!</v>
      </c>
      <c r="EC72" s="1551" t="e">
        <f aca="false">DK72*BC72</f>
        <v>#VALUE!</v>
      </c>
      <c r="ED72" s="1551" t="e">
        <f aca="false">DL72*BQ72</f>
        <v>#VALUE!</v>
      </c>
      <c r="EE72" s="1595" t="e">
        <f aca="false">IF(BQ72,IF(OCallPut,IF(BU72&gt;(CO72+CW72),BU72-(CO72+CW72),0),IF((CO72+CW72)&gt;BU72,(CO72+CW72)-BU72,0))*AZ72,0)</f>
        <v>#VALUE!</v>
      </c>
      <c r="EF72" s="1596" t="e">
        <f aca="false">IF(BQ72,IF(OCallPut,IF(BV72&gt;(CP72+CX72),BV72-(CP72+CX72),0),IF((CP72+CX72)&gt;BV72,(CP72+CX72)-BV72,0))*BA72,0)</f>
        <v>#VALUE!</v>
      </c>
      <c r="EG72" s="1596" t="e">
        <f aca="false">IF(BQ72,IF(OCallPut,IF(BW72&gt;(CQ72+CY72),BW72-(CQ72+CY72),0),IF((CQ72+CY72)&gt;BW72,(CQ72+CY72)-BW72,0))*BB72,0)</f>
        <v>#VALUE!</v>
      </c>
      <c r="EH72" s="1596" t="e">
        <f aca="false">IF(BQ72,IF(OCallPut,IF(BX72&gt;(CR72+CZ72),BX72-(CR72+CZ72),0),IF((CR72+CZ72)&gt;BX72,(CR72+CZ72)-BX72,0))*BC72,0)</f>
        <v>#VALUE!</v>
      </c>
      <c r="EI72" s="1597" t="e">
        <f aca="false">IF(BQ72,IF(OVolType,IF(OCallPut,IF(BZ72&gt;(CS72+DA72),BZ72-(CS72+DA72),0),IF((CS72+DA72)&gt;BZ72,(CS72+DA72)-BZ72,0))*BQ72,SUM(EE72:EH72)),0)</f>
        <v>#VALUE!</v>
      </c>
      <c r="EJ72" s="1595" t="e">
        <f aca="false">DZ72-EE72</f>
        <v>#VALUE!</v>
      </c>
      <c r="EK72" s="1596" t="e">
        <f aca="false">EA72-EF72</f>
        <v>#VALUE!</v>
      </c>
      <c r="EL72" s="1596" t="e">
        <f aca="false">EB72-EG72</f>
        <v>#VALUE!</v>
      </c>
      <c r="EM72" s="1596" t="e">
        <f aca="false">EC72-EH72</f>
        <v>#VALUE!</v>
      </c>
      <c r="EN72" s="1597" t="e">
        <f aca="false">ED72-EI72</f>
        <v>#VALUE!</v>
      </c>
      <c r="EO72" s="1551" t="e">
        <f aca="false">DH72*BH72</f>
        <v>#VALUE!</v>
      </c>
      <c r="EP72" s="1551" t="e">
        <f aca="false">DI72*BI72</f>
        <v>#VALUE!</v>
      </c>
      <c r="EQ72" s="1551" t="e">
        <f aca="false">DW72*BJ72</f>
        <v>#VALUE!</v>
      </c>
      <c r="ER72" s="1551" t="e">
        <f aca="false">DX72*BK72</f>
        <v>#VALUE!</v>
      </c>
      <c r="ES72" s="1551" t="e">
        <f aca="false">DY72*BS72</f>
        <v>#VALUE!</v>
      </c>
      <c r="ET72" s="1566" t="e">
        <f aca="false">IF(EI72,IF(OCallPut,IF(CA72&gt;(CT72+CW72),CA72-(CT72+CW72),0),IF((CT72+CW72)&gt;CA72,(CT72+CW72)-CA72,0))*BH72,0)</f>
        <v>#VALUE!</v>
      </c>
      <c r="EU72" s="1551" t="e">
        <f aca="false">IF(EI72,IF(OCallPut,IF(CB72&gt;(CT72+CX72),CB72-(CT72+CX72),0),IF((CT72+CX72)&gt;CB72,(CT72+CX72)-CB72,0))*BI72,0)</f>
        <v>#VALUE!</v>
      </c>
      <c r="EV72" s="1551" t="e">
        <f aca="false">IF(EI72,IF(OCallPut,IF(CC72&gt;(CT72+CY72),CC72-(CT72+CY72),0),IF((CT72+CY72)&gt;CC72,(CT72+CY72)-CC72,0))*BJ72,0)</f>
        <v>#VALUE!</v>
      </c>
      <c r="EW72" s="1551" t="e">
        <f aca="false">IF(EI72,IF(OCallPut,IF(CD72&gt;(CT72+CZ72),CD72-(CT72+CZ72),0),IF((CT72+CZ72)&gt;CD72,(CT72+CZ72)-CD72,0))*BK72,0)</f>
        <v>#VALUE!</v>
      </c>
      <c r="EX72" s="1558" t="e">
        <f aca="false">IF(EI72,SUM(ET72:EW72),0)</f>
        <v>#VALUE!</v>
      </c>
      <c r="EY72" s="1551" t="e">
        <f aca="false">EO72-ET72</f>
        <v>#VALUE!</v>
      </c>
      <c r="EZ72" s="1551" t="e">
        <f aca="false">EP72-EU72</f>
        <v>#VALUE!</v>
      </c>
      <c r="FA72" s="1551" t="e">
        <f aca="false">EQ72-EV72</f>
        <v>#VALUE!</v>
      </c>
      <c r="FB72" s="1551" t="e">
        <f aca="false">ER72-EW72</f>
        <v>#VALUE!</v>
      </c>
      <c r="FC72" s="1551" t="e">
        <f aca="false">ES72-EX72</f>
        <v>#VALUE!</v>
      </c>
      <c r="FD72" s="1525" t="n">
        <f aca="false">IF(AX72,IF(VLOOKUP(C72,MAIN!$L$17:$M$28,2)="Yes",VLOOKUP(CALC!B72,MAIN!$H$17:$I$20,2),0),0)</f>
        <v>0</v>
      </c>
      <c r="FE72" s="1552" t="e">
        <f aca="false">$FD72*16*AT72*(1-$AY72)</f>
        <v>#VALUE!</v>
      </c>
      <c r="FF72" s="1553" t="e">
        <f aca="false">$FD72*16*AU72*(1-$AY72)</f>
        <v>#VALUE!</v>
      </c>
      <c r="FG72" s="1553" t="e">
        <f aca="false">$FD72*16*(AV72+AW72)*(1-$AY72)</f>
        <v>#VALUE!</v>
      </c>
      <c r="FH72" s="1554" t="n">
        <f aca="false">$FD72*8*AX72*(1-$AY72)</f>
        <v>0</v>
      </c>
      <c r="FI72" s="1555" t="n">
        <f aca="false">IF(AX72,VLOOKUP(CALC!B72,MAIN!$H$17:$K$20,4),0)</f>
        <v>0</v>
      </c>
      <c r="FJ72" s="1553" t="e">
        <f aca="false">SUM(FE72:FH72)</f>
        <v>#VALUE!</v>
      </c>
      <c r="FK72" s="1556" t="e">
        <f aca="false">FI72*FJ72</f>
        <v>#VALUE!</v>
      </c>
      <c r="FL72" s="1551" t="e">
        <f aca="false">IF($EI72&gt;0,MIN(FE72,AZ72*(1+VLOOKUP($C72,WeatherCapacityAdjustment,2))),0)</f>
        <v>#VALUE!</v>
      </c>
      <c r="FM72" s="1551" t="e">
        <f aca="false">IF($EI72&gt;0,MIN(FF72,BA72*(1+VLOOKUP($C72,WeatherCapacityAdjustment,2))),0)</f>
        <v>#VALUE!</v>
      </c>
      <c r="FN72" s="1551" t="e">
        <f aca="false">IF($EI72&gt;0,MIN(FG72,BB72*(1+VLOOKUP($C72,WeatherCapacityAdjustment,2))),0)</f>
        <v>#VALUE!</v>
      </c>
      <c r="FO72" s="1564" t="e">
        <f aca="false">IF($EI72&gt;0,MIN(FH72,BC72*(1+VLOOKUP($C72,WeatherCapacityAdjustment,3))),0)</f>
        <v>#VALUE!</v>
      </c>
      <c r="FP72" s="1551" t="e">
        <f aca="false">IF(ET72&gt;0,MIN(FE72-FL72,BH72*(1+VLOOKUP($C72,WeatherCapacityAdjustment,2))),0)</f>
        <v>#VALUE!</v>
      </c>
      <c r="FQ72" s="1551" t="e">
        <f aca="false">IF(EU72&gt;0,MIN(FF72-FM72,BI72*(1+VLOOKUP($C72,WeatherCapacityAdjustment,2))),0)</f>
        <v>#VALUE!</v>
      </c>
      <c r="FR72" s="1551" t="e">
        <f aca="false">IF(EV72&gt;0,MIN(FG72-FN72,BJ72*(1+VLOOKUP($C72,WeatherCapacityAdjustment,2))),0)</f>
        <v>#VALUE!</v>
      </c>
      <c r="FS72" s="1558" t="e">
        <f aca="false">IF(EW72&gt;0,MIN(FH72-FO72,BK72*(1+VLOOKUP($C72,WeatherCapacityAdjustment,3))),0)</f>
        <v>#VALUE!</v>
      </c>
      <c r="FT72" s="1566" t="e">
        <f aca="false">IF(AND(Assumptions!$H$71="Yes",A72&gt;=Assumptions!$H$72,A72&lt;=Assumptions!$H$73),0,IF(AND($A72&gt;=Assumptions!$C$17,$A72&lt;=Assumptions!$C$18),MAX(AZ72*(1+VLOOKUP($C72,WeatherCapacityAdjustment,2))-FL72,0),0))</f>
        <v>#VALUE!</v>
      </c>
      <c r="FU72" s="1551" t="e">
        <f aca="false">IF(AND(Assumptions!$H$71="Yes",A72&gt;=Assumptions!$H$72,A72&lt;=Assumptions!$H$73),0,IF(AND($A72&gt;=Assumptions!$C$17,$A72&lt;=Assumptions!$C$18),MAX(BA72*(1+VLOOKUP($C72,WeatherCapacityAdjustment,2))-FM72,0),0))</f>
        <v>#VALUE!</v>
      </c>
      <c r="FV72" s="1551" t="e">
        <f aca="false">IF(AND(Assumptions!$H$71="Yes",A72&gt;=Assumptions!$H$72,A72&lt;=Assumptions!$H$73),0,IF(AND($A72&gt;=Assumptions!$C$17,$A72&lt;=Assumptions!$C$18),MAX(BB72*(1+VLOOKUP($C72,WeatherCapacityAdjustment,2))-FN72,0),0))</f>
        <v>#VALUE!</v>
      </c>
      <c r="FW72" s="1564" t="e">
        <f aca="false">IF(AND(Assumptions!$H$71="Yes",A72&gt;=Assumptions!$H$72,A72&lt;=Assumptions!$H$73),0,IF(AND($A72&gt;=Assumptions!$C$17,$A72&lt;=Assumptions!$C$18),MAX(BC72*(1+VLOOKUP($C72,WeatherCapacityAdjustment,3))-FO72,0),0))</f>
        <v>#VALUE!</v>
      </c>
      <c r="FX72" s="1569" t="e">
        <f aca="false">IF(AND(Assumptions!$H$71="Yes",A72&gt;=Assumptions!$H$72,A72&lt;=Assumptions!$H$73),0,IF(ET72&gt;0,MAX(BH72*(1+VLOOKUP($C72,WeatherCapacityAdjustment,2))-FP72,0),0))</f>
        <v>#VALUE!</v>
      </c>
      <c r="FY72" s="1551" t="e">
        <f aca="false">IF(AND(Assumptions!$H$71="Yes",A72&gt;=Assumptions!$H$72,A72&lt;=Assumptions!$H$73),0,IF(EU72&gt;0,MAX(BI72*(1+VLOOKUP($C72,WeatherCapacityAdjustment,3))-FQ72,0),0))</f>
        <v>#VALUE!</v>
      </c>
      <c r="FZ72" s="1551" t="e">
        <f aca="false">IF(AND(Assumptions!$H$71="Yes",A72&gt;=Assumptions!$H$72,A72&lt;=Assumptions!$H$73),0,IF(EV72&gt;0,MAX(BJ72*(1+VLOOKUP($C72,WeatherCapacityAdjustment,2))-FR72,0),0))</f>
        <v>#VALUE!</v>
      </c>
      <c r="GA72" s="1564" t="e">
        <f aca="false">IF(AND(Assumptions!$H$71="Yes",A72&gt;=Assumptions!$H$72,A72&lt;=Assumptions!$H$73),0,IF(EW72&gt;0,MAX(BK72*(1+VLOOKUP($C72,WeatherCapacityAdjustment,2))-FS72,0),0))</f>
        <v>#VALUE!</v>
      </c>
      <c r="GB72" s="1551" t="e">
        <f aca="false">SUM(FT72:GA72)</f>
        <v>#VALUE!</v>
      </c>
      <c r="GC72" s="1563" t="e">
        <f aca="false">+IF(SUM(FT72:GA72)=0,0,(SUMPRODUCT(BU72:BX72,FT72:FW72)+SUMPRODUCT(CA72:CD72,FX72:GA72))/SUM(FT72:GA72))</f>
        <v>#VALUE!</v>
      </c>
      <c r="GD72" s="1551" t="e">
        <f aca="false">(FT72*BU72+FX72*CA72+FU72*BV72+FY72*CB72+FV72*BW72+FZ72*CC72+FW72*BX72+GA72*CD72)</f>
        <v>#VALUE!</v>
      </c>
      <c r="GE72" s="1561" t="e">
        <f aca="false">+IF(BQ72,((FL72+FM72+FT72+FU72)*HeatRatePeak/1000*(1+VLOOKUP($C72,WeatherHeatRateAdjustment,2))+(FN72+FV72)*IF(EV72&gt;0,HeatRatePeak,HeatRateOffPeak)/1000*(1+VLOOKUP($C72,WeatherHeatRateAdjustment,2))+(FO72+FW72)*IF(EW72&gt;0,HeatRatePeak,HeatRateOffPeak)/1000*(1+VLOOKUP($C72,WeatherHeatRateAdjustment,3)))*(1+VLOOKUP($B72,HeatRateDegradation,$C72+1)),0)</f>
        <v>#VALUE!</v>
      </c>
      <c r="GF72" s="1562" t="e">
        <f aca="false">IF(BQ72,((FP72+FQ72+FR72+FX72+FY72+FZ72)*HeatRatePeak/1000*(1+VLOOKUP($C72,WeatherHeatRateAdjustment,2))+(FS72+GA72)*HeatRatePeak/1000*(1+VLOOKUP($C72,WeatherHeatRateAdjustment,3)))*(1+VLOOKUP($B72,HeatRateDegradation,$C72+1)),0)</f>
        <v>#VALUE!</v>
      </c>
      <c r="GG72" s="1563" t="e">
        <f aca="false">IF(BQ72,VLOOKUP(A72,GasTable,13),0)</f>
        <v>#VALUE!</v>
      </c>
      <c r="GH72" s="1564" t="e">
        <f aca="false">(GE72+GF72)*GG72</f>
        <v>#VALUE!</v>
      </c>
      <c r="GI72" s="1569" t="e">
        <f aca="false">GB72</f>
        <v>#VALUE!</v>
      </c>
      <c r="GJ72" s="1598" t="e">
        <f aca="false">+DA72</f>
        <v>#VALUE!</v>
      </c>
      <c r="GK72" s="1558" t="e">
        <f aca="false">+GI72*GJ72</f>
        <v>#VALUE!</v>
      </c>
      <c r="GL72" s="1566" t="e">
        <f aca="false">MAX(FE72-FL72-FP72,0)</f>
        <v>#VALUE!</v>
      </c>
      <c r="GM72" s="1551" t="e">
        <f aca="false">MAX(FF72-FM72-FQ72,0)</f>
        <v>#VALUE!</v>
      </c>
      <c r="GN72" s="1551" t="e">
        <f aca="false">MAX(FG72-FN72-FR72,0)</f>
        <v>#VALUE!</v>
      </c>
      <c r="GO72" s="1564" t="e">
        <f aca="false">MAX(FH72-FO72-FS72,0)</f>
        <v>#VALUE!</v>
      </c>
      <c r="GP72" s="1551" t="e">
        <f aca="false">SUM(GL72:GO72)</f>
        <v>#VALUE!</v>
      </c>
      <c r="GQ72" s="1563" t="e">
        <f aca="false">IF(SUM(GL72:GO72)=0,0,((GL72*BU72+GM72*BV72+GN72*BW72+GO72*BX72)/SUM(GL72:GO72)))</f>
        <v>#VALUE!</v>
      </c>
      <c r="GR72" s="1558" t="e">
        <f aca="false">(GL72*BU72+GM72*BV72+GN72*BW72+GO72*BX72)</f>
        <v>#VALUE!</v>
      </c>
      <c r="GS72" s="1566" t="n">
        <f aca="false">IF($A72&gt;=BegDate,Assumptions!$C$56*24*($A73-$A72)*(1-VLOOKUP($B72,MAIN!$AA$7:$AM$28,$C72+1))*(1-VLOOKUP($B72,MAIN!$AA$33:$AM$54,$C72+1)),0)*80/168</f>
        <v>257742.857142857</v>
      </c>
      <c r="GT72" s="286" t="n">
        <f aca="false">J72</f>
        <v>42.159758443056</v>
      </c>
      <c r="GU72" s="286" t="n">
        <f aca="false">IF($A72&gt;=BegDate,VLOOKUP($A72,GasTable,13)+Assumptions!$C$58,0)</f>
        <v>2.90497827612823</v>
      </c>
      <c r="GV72" s="286" t="n">
        <f aca="false">GU72*Assumptions!$C$57/1000</f>
        <v>21.0610925019297</v>
      </c>
      <c r="GW72" s="1558" t="n">
        <f aca="false">IF(Assumptions!$C$60="Hourly",MAX(0,GS72*(GT72-GV72)),GS72*(GT72-GV72))</f>
        <v>5438030.44156859</v>
      </c>
      <c r="GX72" s="1566" t="n">
        <f aca="false">IF($A72&gt;=BegDate,Assumptions!$C$56*24*($A73-$A72)*(1-VLOOKUP($B72,MAIN!$AA$7:$AM$28,$C72+1))*(1-VLOOKUP($B72,MAIN!$AA$33:$AM$54,$C72+1)),0)*16/168</f>
        <v>51548.5714285714</v>
      </c>
      <c r="GY72" s="286" t="n">
        <f aca="false">M72</f>
        <v>42.159758443056</v>
      </c>
      <c r="GZ72" s="286" t="n">
        <f aca="false">IF($A72&gt;=BegDate,VLOOKUP($A72,GasTable,13)+Assumptions!$C$58,0)</f>
        <v>2.90497827612823</v>
      </c>
      <c r="HA72" s="286" t="n">
        <f aca="false">GZ72*Assumptions!$C$57/1000</f>
        <v>21.0610925019297</v>
      </c>
      <c r="HB72" s="1558" t="n">
        <f aca="false">IF(Assumptions!$C$60="Hourly",MAX(0,GX72*(GY72-HA72)),GX72*(GY72-HA72))</f>
        <v>1087606.08831372</v>
      </c>
      <c r="HC72" s="1566" t="n">
        <f aca="false">IF($A72&gt;=BegDate,Assumptions!$C$56*24*($A73-$A72)*(1-VLOOKUP($B72,MAIN!$AA$7:$AM$28,$C72+1))*(1-VLOOKUP($B72,MAIN!$AA$33:$AM$54,$C72+1)),0)*16/168</f>
        <v>51548.5714285714</v>
      </c>
      <c r="HD72" s="286" t="n">
        <f aca="false">P72</f>
        <v>27.263543543568</v>
      </c>
      <c r="HE72" s="286" t="n">
        <f aca="false">IF($A72&gt;=BegDate,VLOOKUP($A72,GasTable,13)+Assumptions!$C$58,0)</f>
        <v>2.90497827612823</v>
      </c>
      <c r="HF72" s="286" t="n">
        <f aca="false">HE72*Assumptions!$C$57/1000</f>
        <v>21.0610925019297</v>
      </c>
      <c r="HG72" s="1558" t="n">
        <f aca="false">IF(Assumptions!$C$60="Hourly",MAX(0,HC72*(HD72-HF72)),HC72*(HD72-HF72))</f>
        <v>319727.49055211</v>
      </c>
      <c r="HH72" s="1566" t="n">
        <f aca="false">IF($A72&gt;=BegDate,Assumptions!$C$56*24*($A73-$A72)*(1-VLOOKUP($B72,MAIN!$AA$7:$AM$28,$C72+1))*(1-VLOOKUP($B72,MAIN!$AA$33:$AM$54,$C72+1)),0)*56/168</f>
        <v>180420</v>
      </c>
      <c r="HI72" s="286" t="n">
        <f aca="false">S72</f>
        <v>27.263543543568</v>
      </c>
      <c r="HJ72" s="286" t="n">
        <f aca="false">IF($A72&gt;=BegDate,VLOOKUP($A72,GasTable,13)+Assumptions!$C$58,0)</f>
        <v>2.90497827612823</v>
      </c>
      <c r="HK72" s="286" t="n">
        <f aca="false">HJ72*Assumptions!$C$57/1000</f>
        <v>21.0610925019297</v>
      </c>
      <c r="HL72" s="1558" t="n">
        <f aca="false">IF(Assumptions!$C$60="Hourly",MAX(0,HH72*(HI72-HK72)),HH72*(HI72-HK72))</f>
        <v>1119046.21693239</v>
      </c>
      <c r="HM72" s="1566" t="n">
        <f aca="false">IF(AND(Assumptions!$H$71="Yes",A72&gt;=Assumptions!$H$72,A72&lt;=Assumptions!$H$73),Assumptions!$H$74*Assumptions!$C$9*1000,0)</f>
        <v>0</v>
      </c>
      <c r="HN72" s="1551" t="e">
        <f aca="false">GD72-GH72</f>
        <v>#VALUE!</v>
      </c>
      <c r="HO72" s="1563"/>
      <c r="HP72" s="1563"/>
      <c r="HQ72" s="1563"/>
      <c r="HR72" s="1563"/>
      <c r="HS72" s="1563"/>
      <c r="HT72" s="1563"/>
      <c r="HU72" s="1563"/>
      <c r="HV72" s="1563"/>
      <c r="HW72" s="1563"/>
      <c r="HX72" s="1563"/>
      <c r="HY72" s="1563"/>
      <c r="HZ72" s="1563"/>
      <c r="IA72" s="1563"/>
      <c r="IB72" s="1563"/>
      <c r="IC72" s="1563"/>
      <c r="ID72" s="1563"/>
      <c r="IE72" s="1563"/>
      <c r="IF72" s="1563"/>
      <c r="IG72" s="1563"/>
      <c r="IH72" s="1563"/>
      <c r="II72" s="1610"/>
      <c r="IJ72" s="1309"/>
      <c r="IK72" s="1309"/>
    </row>
    <row r="73" customFormat="false" ht="12.75" hidden="false" customHeight="false" outlineLevel="0" collapsed="false">
      <c r="A73" s="1571" t="n">
        <f aca="false">EOMONTH(A72,0)+1</f>
        <v>38353</v>
      </c>
      <c r="B73" s="594" t="n">
        <f aca="false">+YEAR(A73)</f>
        <v>2005</v>
      </c>
      <c r="C73" s="238" t="n">
        <f aca="false">MONTH(A73)</f>
        <v>1</v>
      </c>
      <c r="D73" s="1572" t="e">
        <f aca="false">IF(E73="","",Holiday(B73,C73))</f>
        <v>#VALUE!</v>
      </c>
      <c r="E73" s="1573" t="n">
        <f aca="false">IF(OR(BegDate&gt;=A74,EndDate&lt;A73,AND(VolumeMonthlyOverFlag,INDEX(VolumeMonthlyOver,C73)=0),NOT(INDEX(MonthKnockOutTable,C73))),"",MAX(A73,BegDate))</f>
        <v>38353</v>
      </c>
      <c r="F73" s="1574" t="n">
        <f aca="false">IF(E73="","",MIN(A74-1,EndDate))</f>
        <v>38383</v>
      </c>
      <c r="G73" s="1575" t="n">
        <v>0</v>
      </c>
      <c r="H73" s="1576" t="n">
        <f aca="false">(1+G73/2)^(-2*(DATE(B74,C74,20)-DateToday)/365.25)</f>
        <v>1</v>
      </c>
      <c r="I73" s="1568" t="n">
        <f aca="false">IF(Assumptions!$L$25=4,VLOOKUP($A73,'Henwood Reference'!$E$9:$R$320,10),(VLOOKUP($A73,PriceTable,2,0)+IF(BasisNumber&lt;&gt;1,VLOOKUP($A73,BasisTable,2,0),0)+I$1)/(1-I$2))</f>
        <v>42.3147800472826</v>
      </c>
      <c r="J73" s="1568" t="n">
        <f aca="false">IF(Assumptions!$L$25=4,VLOOKUP($A73,'Henwood Reference'!$E$9:$R$320,10),(VLOOKUP($A73,PriceTable,3,0)+IF(BasisNumber&lt;&gt;1,VLOOKUP($A73,BasisTable,2,0),0)+J$1)/(1-J$2))</f>
        <v>42.3147800472826</v>
      </c>
      <c r="K73" s="1568" t="n">
        <f aca="false">IF(Assumptions!$L$25=4,VLOOKUP($A73,'Henwood Reference'!$E$9:$R$320,10),(VLOOKUP($A73,PriceTable,4,0)+IF(BasisNumber&lt;&gt;1,VLOOKUP($A73,BasisTable,2,0),0)+K$1)/(1-K$2))</f>
        <v>42.3147800472826</v>
      </c>
      <c r="L73" s="1523" t="n">
        <f aca="false">IF(Assumptions!$L$25=4,VLOOKUP($A73,'Henwood Reference'!$E$9:$R$320,10),(VLOOKUP($A73,PriceTableWeekend,2,0)+IF(BasisNumber&lt;&gt;1,VLOOKUP($A73,BasisTable,2,0),0)+L$1)/(1-L$2))</f>
        <v>42.3147800472826</v>
      </c>
      <c r="M73" s="1568" t="n">
        <f aca="false">IF(Assumptions!$L$25=4,VLOOKUP($A73,'Henwood Reference'!$E$9:$R$320,10),(VLOOKUP($A73,PriceTableWeekend,3,0)+IF(BasisNumber&lt;&gt;1,VLOOKUP($A73,BasisTable,2,0),0)+M$1)/(1-M$2))</f>
        <v>42.3147800472826</v>
      </c>
      <c r="N73" s="1599" t="n">
        <f aca="false">IF(Assumptions!$L$25=4,VLOOKUP($A73,'Henwood Reference'!$E$9:$R$320,10),(VLOOKUP($A73,PriceTableWeekend,4,0)+IF(BasisNumber&lt;&gt;1,VLOOKUP($A73,BasisTable,2,0),0)+N$1)/(1-N$2))</f>
        <v>42.3147800472826</v>
      </c>
      <c r="O73" s="1568" t="n">
        <f aca="false">IF(Assumptions!$L$25=4,VLOOKUP($A73,'Henwood Reference'!$E$9:$R$320,11),(VLOOKUP($A73,PriceTableWeekend,6,0)+IF(BasisNumber&lt;&gt;1,VLOOKUP($A73,BasisTable,3,0),0)+O$1)/(1-O$2))</f>
        <v>27.7826476994035</v>
      </c>
      <c r="P73" s="1568" t="n">
        <f aca="false">IF(Assumptions!$L$25=4,VLOOKUP($A73,'Henwood Reference'!$E$9:$R$320,11),(VLOOKUP($A73,PriceTableWeekend,7,0)+IF(BasisNumber&lt;&gt;1,VLOOKUP($A73,BasisTable,3,0),0)+P$1)/(1-P$2))</f>
        <v>27.7826476994035</v>
      </c>
      <c r="Q73" s="1599" t="n">
        <f aca="false">IF(Assumptions!$L$25=4,VLOOKUP($A73,'Henwood Reference'!$E$9:$R$320,11),(VLOOKUP($A73,PriceTableWeekend,8,0)+IF(BasisNumber&lt;&gt;1,VLOOKUP($A73,BasisTable,3,0),0)+Q$1)/(1-Q$2))</f>
        <v>27.7826476994035</v>
      </c>
      <c r="R73" s="1568" t="n">
        <f aca="false">IF(Assumptions!$L$25=4,VLOOKUP($A73,'Henwood Reference'!$E$9:$R$320,11),(VLOOKUP($A73,PriceTable,6,0)+IF(BasisNumber&lt;&gt;1,VLOOKUP($A73,BasisTable,3,0),0)+R$1)/(1-R$2))</f>
        <v>27.7826476994035</v>
      </c>
      <c r="S73" s="1568" t="n">
        <f aca="false">IF(Assumptions!$L$25=4,VLOOKUP($A73,'Henwood Reference'!$E$9:$R$320,11),(VLOOKUP($A73,PriceTable,7,0)+IF(BasisNumber&lt;&gt;1,VLOOKUP($A73,BasisTable,3,0),0)+S$1)/(1-S$2))</f>
        <v>27.7826476994035</v>
      </c>
      <c r="T73" s="1600" t="n">
        <f aca="false">IF(Assumptions!$L$25=4,VLOOKUP($A73,'Henwood Reference'!$E$9:$R$320,11),(VLOOKUP($A73,PriceTable,8,0)+IF(BasisNumber&lt;&gt;1,VLOOKUP($A73,BasisTable,3,0),0)+T$1)/(1-T$2))</f>
        <v>27.7826476994035</v>
      </c>
      <c r="U73" s="1513" t="n">
        <f aca="false">VLOOKUP($A73,VolatilityTable,14)</f>
        <v>0.145</v>
      </c>
      <c r="V73" s="1513" t="n">
        <f aca="false">VLOOKUP($A73,VolatilityTable,15)</f>
        <v>0.155</v>
      </c>
      <c r="W73" s="1514" t="n">
        <f aca="false">VLOOKUP($A73,VolatilityTable,16)</f>
        <v>0.165</v>
      </c>
      <c r="X73" s="1513" t="n">
        <f aca="false">VLOOKUP($A73,VolatilityTable,14)</f>
        <v>0.145</v>
      </c>
      <c r="Y73" s="1513" t="n">
        <f aca="false">VLOOKUP($A73,VolatilityTable,15)</f>
        <v>0.155</v>
      </c>
      <c r="Z73" s="1514" t="n">
        <f aca="false">VLOOKUP($A73,VolatilityTable,16)</f>
        <v>0.165</v>
      </c>
      <c r="AA73" s="1513" t="n">
        <f aca="false">VLOOKUP($A73,VolatilityTable,18)</f>
        <v>0.09</v>
      </c>
      <c r="AB73" s="1513" t="n">
        <f aca="false">VLOOKUP($A73,VolatilityTable,19)</f>
        <v>0.11</v>
      </c>
      <c r="AC73" s="1514" t="n">
        <f aca="false">VLOOKUP($A73,VolatilityTable,20)</f>
        <v>0.13</v>
      </c>
      <c r="AD73" s="1513" t="n">
        <f aca="false">VLOOKUP($A73,VolatilityTable,18)</f>
        <v>0.09</v>
      </c>
      <c r="AE73" s="1513" t="n">
        <f aca="false">VLOOKUP($A73,VolatilityTable,19)</f>
        <v>0.11</v>
      </c>
      <c r="AF73" s="1514" t="n">
        <f aca="false">VLOOKUP($A73,VolatilityTable,20)</f>
        <v>0.13</v>
      </c>
      <c r="AG73" s="1513" t="n">
        <f aca="false">VLOOKUP($A73,VolatilityTable,22)</f>
        <v>-0.25</v>
      </c>
      <c r="AH73" s="1513" t="n">
        <f aca="false">VLOOKUP($A73,VolatilityTable,23)</f>
        <v>0.65</v>
      </c>
      <c r="AI73" s="1514" t="n">
        <f aca="false">VLOOKUP($A73,VolatilityTable,24)</f>
        <v>0.25</v>
      </c>
      <c r="AJ73" s="1513" t="n">
        <f aca="false">VLOOKUP($A73,VolatilityTable,22)</f>
        <v>-0.25</v>
      </c>
      <c r="AK73" s="1513" t="n">
        <f aca="false">VLOOKUP($A73,VolatilityTable,23)</f>
        <v>0.65</v>
      </c>
      <c r="AL73" s="1514" t="n">
        <f aca="false">VLOOKUP($A73,VolatilityTable,24)</f>
        <v>0.25</v>
      </c>
      <c r="AM73" s="1513" t="n">
        <f aca="false">VLOOKUP($A73,VolatilityTable,26)</f>
        <v>-0.01</v>
      </c>
      <c r="AN73" s="1513" t="n">
        <f aca="false">VLOOKUP($A73,VolatilityTable,27)</f>
        <v>0.16</v>
      </c>
      <c r="AO73" s="1514" t="n">
        <f aca="false">VLOOKUP($A73,VolatilityTable,28)</f>
        <v>0.01</v>
      </c>
      <c r="AP73" s="1513" t="n">
        <f aca="false">VLOOKUP($A73,VolatilityTable,26)</f>
        <v>-0.01</v>
      </c>
      <c r="AQ73" s="1513" t="n">
        <f aca="false">VLOOKUP($A73,VolatilityTable,27)</f>
        <v>0.16</v>
      </c>
      <c r="AR73" s="1515" t="n">
        <f aca="false">VLOOKUP($A73,VolatilityTable,28)</f>
        <v>0.01</v>
      </c>
      <c r="AS73" s="1581" t="n">
        <f aca="false">IF(CorrPeakOffPeakOverFlag,INDEX(CorrPeakOffPeakOver,C73),CorrPeakOffPeak)</f>
        <v>0.5</v>
      </c>
      <c r="AT73" s="594" t="e">
        <f aca="false">AX73-SUM(AU73:AW73)</f>
        <v>#VALUE!</v>
      </c>
      <c r="AU73" s="238" t="e">
        <f aca="false">IF(E73="",0,INT((F73-MOD(F73,7)-E73)/7)+1-IF(AW73,IF(WEEKDAY(D73)=7,1,0),0))</f>
        <v>#VALUE!</v>
      </c>
      <c r="AV73" s="238" t="e">
        <f aca="false">IF(E73="",0,INT((F73-MOD(F73-1,7)-E73)/7)+1-IF(AW73,IF(WEEKDAY(D73)=1,1,0),0))</f>
        <v>#VALUE!</v>
      </c>
      <c r="AW73" s="238" t="e">
        <f aca="false">IF(OR(E73="",D73="",D73&lt;BegDate,D73&gt;EndDate),0,1)</f>
        <v>#VALUE!</v>
      </c>
      <c r="AX73" s="238" t="n">
        <f aca="false">IF(E73="",0,F73-E73+1)</f>
        <v>31</v>
      </c>
      <c r="AY73" s="1582" t="n">
        <f aca="false">IF(E73="",0,MIN((1-(1-VLOOKUP(B73,MAIN!$AA$7:$AM$28,C73+1))*(1-VLOOKUP(B73,MAIN!$AA$33:$AM$54,C73+1))),1))</f>
        <v>0.03</v>
      </c>
      <c r="AZ73" s="1519" t="e">
        <v>#VALUE!</v>
      </c>
      <c r="BA73" s="1520" t="e">
        <v>#VALUE!</v>
      </c>
      <c r="BB73" s="1520" t="e">
        <v>#VALUE!</v>
      </c>
      <c r="BC73" s="1583" t="e">
        <v>#VALUE!</v>
      </c>
      <c r="BD73" s="1522" t="e">
        <v>#VALUE!</v>
      </c>
      <c r="BE73" s="1523" t="e">
        <v>#VALUE!</v>
      </c>
      <c r="BF73" s="1523" t="e">
        <v>#VALUE!</v>
      </c>
      <c r="BG73" s="1584" t="e">
        <v>#VALUE!</v>
      </c>
      <c r="BH73" s="1525" t="e">
        <v>#VALUE!</v>
      </c>
      <c r="BI73" s="1520" t="e">
        <v>#VALUE!</v>
      </c>
      <c r="BJ73" s="1520" t="e">
        <v>#VALUE!</v>
      </c>
      <c r="BK73" s="1583" t="e">
        <v>#VALUE!</v>
      </c>
      <c r="BL73" s="1522" t="e">
        <v>#VALUE!</v>
      </c>
      <c r="BM73" s="1523" t="e">
        <v>#VALUE!</v>
      </c>
      <c r="BN73" s="1523" t="e">
        <v>#VALUE!</v>
      </c>
      <c r="BO73" s="1523" t="e">
        <v>#VALUE!</v>
      </c>
      <c r="BP73" s="1525" t="e">
        <f aca="false">SUM(AZ73:BB73)</f>
        <v>#VALUE!</v>
      </c>
      <c r="BQ73" s="1529" t="e">
        <f aca="false">SUM(AZ73:BC73)</f>
        <v>#VALUE!</v>
      </c>
      <c r="BR73" s="1519" t="e">
        <f aca="false">SUM(BH73:BJ73)</f>
        <v>#VALUE!</v>
      </c>
      <c r="BS73" s="1529" t="e">
        <f aca="false">SUM(BH73:BK73)</f>
        <v>#VALUE!</v>
      </c>
      <c r="BT73" s="1316" t="n">
        <f aca="false">(IF(OVolType&lt;&gt;2,A73+14,IF(OptExpDateShift,ShiftBack(A73,OptExpDateShift,D72),A73))-DateToday)/365.25</f>
        <v>4.71731690622861</v>
      </c>
      <c r="BU73" s="1585" t="e">
        <f aca="false">IF(BQ73,IF(OPriceCurve,IF(OBuySell=OCallPut,I73/(1-AY73),K73/(1-AY73)),J73/(1-AY73))*BD73,0)</f>
        <v>#VALUE!</v>
      </c>
      <c r="BV73" s="1316" t="e">
        <f aca="false">IF(BQ73,IF(OPriceCurve,IF(OBuySell=OCallPut,L73/(1-AY73),N73/(1-AY73)),M73/(1-AY73))*BE73,0)</f>
        <v>#VALUE!</v>
      </c>
      <c r="BW73" s="1316" t="e">
        <f aca="false">IF(BQ73,IF(OPriceCurve,IF(OBuySell=OCallPut,O73/(1-AY73),Q73/(1-AY73)),P73/(1-AY73))*BF73,0)</f>
        <v>#VALUE!</v>
      </c>
      <c r="BX73" s="1316" t="e">
        <f aca="false">IF(BQ73,IF(OPriceCurve,IF(OBuySell=OCallPut,R73/(1-AY73),T73/(1-AY73)),S73/(1-AY73))*BG73,0)</f>
        <v>#VALUE!</v>
      </c>
      <c r="BY73" s="1316" t="e">
        <f aca="false">IF(BP73,(BU73*AZ73+BV73*BA73+BW73*BB73)/BP73,0)</f>
        <v>#VALUE!</v>
      </c>
      <c r="BZ73" s="1316" t="e">
        <f aca="false">IF(BQ73,(BY73*BP73+BX73*BC73)/BQ73,0)</f>
        <v>#VALUE!</v>
      </c>
      <c r="CA73" s="1531" t="e">
        <f aca="false">IF(BS73,IF(OPriceCurve,IF(OBuySell=OCallPut,I73/(1-AY73),K73/(1-AY73)),J73/(1-AY73))*BL73,0)</f>
        <v>#VALUE!</v>
      </c>
      <c r="CB73" s="1316" t="e">
        <f aca="false">IF(BS73,IF(OPriceCurve,IF(OBuySell=OCallPut,L73/(1-AY73),N73/(1-AY73)),M73/(1-AY73))*BM73,0)</f>
        <v>#VALUE!</v>
      </c>
      <c r="CC73" s="1316" t="e">
        <f aca="false">IF(BS73,IF(OPriceCurve,IF(OBuySell=OCallPut,O73/(1-AY73),Q73/(1-AY73)),P73/(1-AY73))*BN73,0)</f>
        <v>#VALUE!</v>
      </c>
      <c r="CD73" s="1316" t="e">
        <f aca="false">IF(BS73,IF(OPriceCurve,IF(OBuySell=OCallPut,R73/(1-AY73),T73/(1-AY73)),S73/(1-AY73))*BO73,0)</f>
        <v>#VALUE!</v>
      </c>
      <c r="CE73" s="1316" t="e">
        <f aca="false">IF(BR73,(BU73*BH73+BV73*BI73+BW73*BJ73)/BR73,0)</f>
        <v>#VALUE!</v>
      </c>
      <c r="CF73" s="1532" t="e">
        <f aca="false">IF(BS73,(CE73*BR73+CD73*BK73)/BS73,0)</f>
        <v>#VALUE!</v>
      </c>
      <c r="CG73" s="1586" t="e">
        <f aca="false">IF(OR(BQ73,BS73),IF(OVolType&lt;&gt;2,SQRT(IF(OVolOverMonthlyPeak,OVolOverMonthlyPeak,IF(OVolCurve,IF(OBuySell,U73,W73),V73))^2*(1-15/365.25/BT73)+IF(OVolOverDailyPeak,OVolOverDailyPeak,IF(OVolCurve,IF(OBuySell,AG73,AI73),AH73))^2*15/365.25/BT73),IF(OVolOverMonthlyPeak,OVolOverMonthlyPeak,IF(OVolCurve,IF(OBuySell,U73,W73),V73))),"")</f>
        <v>#VALUE!</v>
      </c>
      <c r="CH73" s="1587" t="e">
        <f aca="false">IF(OR(BQ73,BS73),IF(OVolType&lt;&gt;2,SQRT(IF(OVolOverMonthlyPeak,OVolOverMonthlyPeak,IF(OVolCurve,IF(OBuySell,X73,Z73),Y73))^2*(1-15/365.25/BT73)+IF(OVolOverDailyPeak,OVolOverDailyPeak,IF(OVolCurve,IF(OBuySell,AJ73,AL73),AK73))^2*15/365.25/BT73),IF(OVolOverMonthlyPeak,OVolOverMonthlyPeak,IF(OVolCurve,IF(OBuySell,X73,Z73),Y73))),"")</f>
        <v>#VALUE!</v>
      </c>
      <c r="CI73" s="1587" t="e">
        <f aca="false">IF(OR(BQ73,BS73),IF(OVolType&lt;&gt;2,SQRT(IF(OVolOverMonthlyPeak,OVolOverMonthlyPeak,IF(OVolCurve,IF(OBuySell,AA73,AC73),AB73))^2*(1-15/365.25/BT73)+IF(OVolOverDailyPeak,OVolOverDailyPeak,IF(OVolCurve,IF(OBuySell,AM73,AO73),AN73))^2*15/365.25/BT73),IF(OVolOverMonthlyPeak,OVolOverMonthlyPeak,IF(OVolCurve,IF(OBuySell,AA73,AC73),AB73))),"")</f>
        <v>#VALUE!</v>
      </c>
      <c r="CJ73" s="1587" t="e">
        <f aca="false">IF(BQ73,IF(BP73,SQRT(LN(1+((BU73*AZ73)^2*(EXP(CG73^2*BT73)-1)+(BV73*BA73)^2*(EXP(CH73^2*BT73)-1)+(BW73*BB73)^2*(EXP(CI73^2*BT73)-1)+2*BU73*AZ73*BV73*BA73*(EXP(CG73*CH73*BT73)-1)+2*BV73*BA73*BW73*BB73*(EXP(CH73*CI73*BT73)-1)+2*BW73*BB73*BU73*AZ73*(EXP(CI73*CG73*BT73)-1))/(BY73*BP73)^2)/BT73),0),"")</f>
        <v>#VALUE!</v>
      </c>
      <c r="CK73" s="1587" t="e">
        <f aca="false">IF(BS73,IF(BR73,SQRT(LN(1+((CA73*BH73)^2*(EXP(CG73^2*BT73)-1)+(CB73*BI73)^2*(EXP(CH73^2*BT73)-1)+(CC73*BJ73)^2*(EXP(CI73^2*BT73)-1)+2*CA73*BH73*CB73*BI73*(EXP(CG73*CH73*BT73)-1)+2*CB73*BI73*CC73*BJ73*(EXP(CH73*CI73*BT73)-1)+2*CC73*BJ73*CA73*BH73*(EXP(CI73*CG73*BT73)-1))/(CE73*BR73)^2)/BT73),0),"")</f>
        <v>#VALUE!</v>
      </c>
      <c r="CL73" s="1587" t="e">
        <f aca="false">IF(OR(BQ73,BS73),IF(OVolType&lt;&gt;2,SQRT(IF(OVolOverMonthlyOffPeak,OVolOverMonthlyOffPeak,IF(OVolCurve,IF(OBuySell,AD73,AF73),AE73))^2*(1-15/365.25/BT73)+IF(OVolOverDailyOffPeak,OVolOverDailyOffPeak,IF(OVolCurve,IF(OBuySell,AP73,AR73),AQ73))^2*15/365.25/BT73),IF(OVolOverMonthlyOffPeak,OVolOverMonthlyOffPeak,IF(OVolCurve,IF(OBuySell,AD73,AF73),AE73))),"")</f>
        <v>#VALUE!</v>
      </c>
      <c r="CM73" s="1587" t="e">
        <f aca="false">IF(BQ73,SQRT(LN(1+((BY73*BP73)^2*(EXP(CJ73^2*BT73)-1)+(BX73*BC73)^2*(EXP(CL73^2*BT73)-1)+2*BY73*BP73*BX73*BC73*(EXP(AS73*CJ73*CL73*BT73)-1))/(BY73*BP73+BX73*BC73)^2)/BT73),"")</f>
        <v>#VALUE!</v>
      </c>
      <c r="CN73" s="1588" t="e">
        <f aca="false">IF(BS73,SQRT(LN(1+((CE73*BR73)^2*(EXP(CK73^2*BT73)-1)+(CD73*BK73)^2*(EXP(CL73^2*BT73)-1)+2*CE73*BR73*CD73*BK73*(EXP(AS73*CK73*CL73*BT73)-1))/(CE73*BR73+CD73*BK73)^2)/BT73),"")</f>
        <v>#VALUE!</v>
      </c>
      <c r="CO73" s="1531" t="e">
        <f aca="false">IF(OR(BQ73,BS73),VLOOKUP(A73,GasTable,13)*HeatRatePeak*(1+VLOOKUP($B73,HeatRateDegradation,$C73+1))/1000,0)</f>
        <v>#VALUE!</v>
      </c>
      <c r="CP73" s="1316" t="e">
        <f aca="false">IF(OR(BQ73,BS73),VLOOKUP(A73,GasTable,13)*HeatRatePeak*(1+VLOOKUP($B73,HeatRateDegradation,$C73+1))/1000,0)</f>
        <v>#VALUE!</v>
      </c>
      <c r="CQ73" s="1316" t="e">
        <f aca="false">IF(OR(BQ73,BS73),VLOOKUP(A73,GasTable,13)*IF(EV73,HeatRatePeak,HeatRateOffPeak)*(1+VLOOKUP($B73,HeatRateDegradation,$C73+1))/1000,0)</f>
        <v>#VALUE!</v>
      </c>
      <c r="CR73" s="1316" t="e">
        <f aca="false">IF(OR(BQ73,BS73),VLOOKUP(A73,GasTable,13)*IF(EW73,HeatRatePeak,HeatRateOffPeak)*(1+VLOOKUP($B73,HeatRateDegradation,$C73+1))/1000,0)</f>
        <v>#VALUE!</v>
      </c>
      <c r="CS73" s="1589" t="e">
        <f aca="false">IF(BQ73,(CO73*AZ73+CP73*BA73+CQ73*BB73+CR73*BC73)/BQ73,0)</f>
        <v>#VALUE!</v>
      </c>
      <c r="CT73" s="1316" t="e">
        <f aca="false">IF(BS73,CO73,0)</f>
        <v>#VALUE!</v>
      </c>
      <c r="CU73" s="1590" t="e">
        <f aca="false">IF(OR(BQ73,BS73),VLOOKUP(A73,GasTable,14),"")</f>
        <v>#VALUE!</v>
      </c>
      <c r="CV73" s="1568" t="e">
        <f aca="false">IF(OR(BQ73,BS73),IF(CorrPowerGasOverFlag,INDEX(CorrPowerGasOver,C73),CorrPowerGas),"")</f>
        <v>#VALUE!</v>
      </c>
      <c r="CW73" s="1316" t="e">
        <f aca="false">IF(OR($BQ73,$BS73),SpreadOptPowerMargin,0)*((1+Assumptions!$C$26)^($B73-YEAR(Assumptions!$C$17)))</f>
        <v>#VALUE!</v>
      </c>
      <c r="CX73" s="1316" t="e">
        <f aca="false">IF(OR($BQ73,$BS73),SpreadOptPowerMargin,0)*((1+Assumptions!$C$26)^($B73-YEAR(Assumptions!$C$17)))</f>
        <v>#VALUE!</v>
      </c>
      <c r="CY73" s="1316" t="e">
        <f aca="false">IF(OR($BQ73,$BS73),SpreadOptPowerMargin,0)*((1+Assumptions!$C$26)^($B73-YEAR(Assumptions!$C$17)))</f>
        <v>#VALUE!</v>
      </c>
      <c r="CZ73" s="1316" t="e">
        <f aca="false">IF(OR($BQ73,$BS73),SpreadOptPowerMargin,0)*((1+Assumptions!$C$26)^($B73-YEAR(Assumptions!$C$17)))</f>
        <v>#VALUE!</v>
      </c>
      <c r="DA73" s="1591" t="e">
        <f aca="false">IF(OR(BQ73,BS73),(CW73*(AZ73+BH73)+CX73*(BA73+BI73)+CY73*(BB73+BJ73)+CZ73*(BC73+BK73))/(BQ73+BS73),0)</f>
        <v>#VALUE!</v>
      </c>
      <c r="DB73" s="1592" t="e">
        <f aca="false">IF(OR(BQ73,BS73),CG73+IF(OVolSmile,VLOOKUP(MAX(-5,CO73+CW73-BU73),IF(OVolSmile=1,VolSmileBook,VolSmileModel),2),0),"")</f>
        <v>#VALUE!</v>
      </c>
      <c r="DC73" s="1592" t="e">
        <f aca="false">IF(OR(BQ73,BS73),CH73+IF(OVolSmile,VLOOKUP(MAX(-5,CP73+CW73-BV73),IF(OVolSmile=1,VolSmileBook,VolSmileModel),2),0),"")</f>
        <v>#VALUE!</v>
      </c>
      <c r="DD73" s="1592" t="e">
        <f aca="false">IF(OR(BQ73,BS73),CI73+IF(OVolSmile,VLOOKUP(MAX(-5,CQ73+CW73-BW73),IF(OVolSmile=1,VolSmileBook,VolSmileModel),2),0),"")</f>
        <v>#VALUE!</v>
      </c>
      <c r="DE73" s="1592" t="e">
        <f aca="false">IF(OR(BQ73,BS73),CL73+IF(OVolSmile,VLOOKUP(MAX(-5,CR73+CZ73-BX73),IF(OVolSmile=1,VolSmileBook,VolSmileModel),2),0),"")</f>
        <v>#VALUE!</v>
      </c>
      <c r="DF73" s="1592" t="e">
        <f aca="false">IF(BQ73,CM73+IF(OVolSmile,VLOOKUP(MAX(-5,CS73+DA73-BZ73),IF(OVolSmile=1,VolSmileBook,VolSmileModel),2),0),"")</f>
        <v>#VALUE!</v>
      </c>
      <c r="DG73" s="1593" t="e">
        <f aca="false">IF(BS73,CN73+IF(OVolSmile,VLOOKUP(MAX(-5,CT73+DA73-CF73),IF(OVolSmile=1,VolSmileBook,VolSmileModel),2),0),"")</f>
        <v>#VALUE!</v>
      </c>
      <c r="DH73" s="1316" t="e">
        <f aca="false">IF(AND(BU73&gt;0,CO73&gt;0,DB73&gt;0,CU73&gt;0),newSPRDOPT(BU73,CO73,CW73,0,DB73,CU73,CV73,BT73*365.25,OCallPut,0),0)</f>
        <v>#VALUE!</v>
      </c>
      <c r="DI73" s="1316" t="e">
        <f aca="false">IF(AND(BV73&gt;0,CP73&gt;0,DC73&gt;0,CU73&gt;0),newSPRDOPT(BV73,CP73,CX73,0,DC73,CU73,CV73,BT73*365.25,OCallPut,0),0)</f>
        <v>#VALUE!</v>
      </c>
      <c r="DJ73" s="1316" t="e">
        <f aca="false">IF(AND(BW73&gt;0,CQ73&gt;0,DD73&gt;0,CU73&gt;0),newSPRDOPT(BW73,CQ73,CY73,0,DD73,CU73,CV73,BT73*365.25,OCallPut,0),0)</f>
        <v>#VALUE!</v>
      </c>
      <c r="DK73" s="1316" t="e">
        <f aca="false">IF(AND(BX73&gt;0,CR73&gt;0,DE73&gt;0,CU73&gt;0),newSPRDOPT(BX73,CR73,CZ73,0,DE73,CU73,CV73,BT73*365.25,OCallPut,0),0)</f>
        <v>#VALUE!</v>
      </c>
      <c r="DL73" s="1316" t="e">
        <f aca="false">IF(OVolType,IF(AND(BZ73&gt;0,CS73&gt;0,DF73&gt;0,CU73&gt;0),newSPRDOPT(BZ73,CS73,DA73,0,DF73,CU73,CV73,BT73*365.25,OCallPut,0),0),IF(BQ73,(DH73*AZ73+DI73*BA73+DJ73*BB73+DK73*BC73)/BQ73,0))</f>
        <v>#VALUE!</v>
      </c>
      <c r="DM73" s="1316"/>
      <c r="DN73" s="1316"/>
      <c r="DO73" s="1316"/>
      <c r="DP73" s="1316"/>
      <c r="DQ73" s="1316"/>
      <c r="DR73" s="1316"/>
      <c r="DS73" s="1316"/>
      <c r="DT73" s="1316"/>
      <c r="DU73" s="1316"/>
      <c r="DV73" s="1316"/>
      <c r="DW73" s="1594" t="e">
        <f aca="false">IF(AND(BW73&gt;0,CT73&gt;0,DD73&gt;0,CU73&gt;0),newSPRDOPT(BW73,CT73,CY73,0,DD73,CU73,CV73,BT73*365.25,OCallPut,0),0)</f>
        <v>#VALUE!</v>
      </c>
      <c r="DX73" s="1316" t="e">
        <f aca="false">IF(AND(BX73&gt;0,CT73&gt;0,DE73&gt;0,CU73&gt;0),newSPRDOPT(BX73,CT73,CZ73,0,DE73,CU73,CV73,BT73*365.25,OCallPut,0),0)</f>
        <v>#VALUE!</v>
      </c>
      <c r="DY73" s="1591" t="e">
        <f aca="false">IF(BS73,(DH73*BH73+DI73*BI73+DW73*BJ73+DX73*BK73)/BS73,0)</f>
        <v>#VALUE!</v>
      </c>
      <c r="DZ73" s="1551" t="e">
        <f aca="false">DH73*AZ73</f>
        <v>#VALUE!</v>
      </c>
      <c r="EA73" s="1551" t="e">
        <f aca="false">DI73*BA73</f>
        <v>#VALUE!</v>
      </c>
      <c r="EB73" s="1551" t="e">
        <f aca="false">DJ73*BB73</f>
        <v>#VALUE!</v>
      </c>
      <c r="EC73" s="1551" t="e">
        <f aca="false">DK73*BC73</f>
        <v>#VALUE!</v>
      </c>
      <c r="ED73" s="1551" t="e">
        <f aca="false">DL73*BQ73</f>
        <v>#VALUE!</v>
      </c>
      <c r="EE73" s="1595" t="e">
        <f aca="false">IF(BQ73,IF(OCallPut,IF(BU73&gt;(CO73+CW73),BU73-(CO73+CW73),0),IF((CO73+CW73)&gt;BU73,(CO73+CW73)-BU73,0))*AZ73,0)</f>
        <v>#VALUE!</v>
      </c>
      <c r="EF73" s="1596" t="e">
        <f aca="false">IF(BQ73,IF(OCallPut,IF(BV73&gt;(CP73+CX73),BV73-(CP73+CX73),0),IF((CP73+CX73)&gt;BV73,(CP73+CX73)-BV73,0))*BA73,0)</f>
        <v>#VALUE!</v>
      </c>
      <c r="EG73" s="1596" t="e">
        <f aca="false">IF(BQ73,IF(OCallPut,IF(BW73&gt;(CQ73+CY73),BW73-(CQ73+CY73),0),IF((CQ73+CY73)&gt;BW73,(CQ73+CY73)-BW73,0))*BB73,0)</f>
        <v>#VALUE!</v>
      </c>
      <c r="EH73" s="1596" t="e">
        <f aca="false">IF(BQ73,IF(OCallPut,IF(BX73&gt;(CR73+CZ73),BX73-(CR73+CZ73),0),IF((CR73+CZ73)&gt;BX73,(CR73+CZ73)-BX73,0))*BC73,0)</f>
        <v>#VALUE!</v>
      </c>
      <c r="EI73" s="1597" t="e">
        <f aca="false">IF(BQ73,IF(OVolType,IF(OCallPut,IF(BZ73&gt;(CS73+DA73),BZ73-(CS73+DA73),0),IF((CS73+DA73)&gt;BZ73,(CS73+DA73)-BZ73,0))*BQ73,SUM(EE73:EH73)),0)</f>
        <v>#VALUE!</v>
      </c>
      <c r="EJ73" s="1595" t="e">
        <f aca="false">DZ73-EE73</f>
        <v>#VALUE!</v>
      </c>
      <c r="EK73" s="1596" t="e">
        <f aca="false">EA73-EF73</f>
        <v>#VALUE!</v>
      </c>
      <c r="EL73" s="1596" t="e">
        <f aca="false">EB73-EG73</f>
        <v>#VALUE!</v>
      </c>
      <c r="EM73" s="1596" t="e">
        <f aca="false">EC73-EH73</f>
        <v>#VALUE!</v>
      </c>
      <c r="EN73" s="1597" t="e">
        <f aca="false">ED73-EI73</f>
        <v>#VALUE!</v>
      </c>
      <c r="EO73" s="1551" t="e">
        <f aca="false">DH73*BH73</f>
        <v>#VALUE!</v>
      </c>
      <c r="EP73" s="1551" t="e">
        <f aca="false">DI73*BI73</f>
        <v>#VALUE!</v>
      </c>
      <c r="EQ73" s="1551" t="e">
        <f aca="false">DW73*BJ73</f>
        <v>#VALUE!</v>
      </c>
      <c r="ER73" s="1551" t="e">
        <f aca="false">DX73*BK73</f>
        <v>#VALUE!</v>
      </c>
      <c r="ES73" s="1551" t="e">
        <f aca="false">DY73*BS73</f>
        <v>#VALUE!</v>
      </c>
      <c r="ET73" s="1566" t="e">
        <f aca="false">IF(EI73,IF(OCallPut,IF(CA73&gt;(CT73+CW73),CA73-(CT73+CW73),0),IF((CT73+CW73)&gt;CA73,(CT73+CW73)-CA73,0))*BH73,0)</f>
        <v>#VALUE!</v>
      </c>
      <c r="EU73" s="1551" t="e">
        <f aca="false">IF(EI73,IF(OCallPut,IF(CB73&gt;(CT73+CX73),CB73-(CT73+CX73),0),IF((CT73+CX73)&gt;CB73,(CT73+CX73)-CB73,0))*BI73,0)</f>
        <v>#VALUE!</v>
      </c>
      <c r="EV73" s="1551" t="e">
        <f aca="false">IF(EI73,IF(OCallPut,IF(CC73&gt;(CT73+CY73),CC73-(CT73+CY73),0),IF((CT73+CY73)&gt;CC73,(CT73+CY73)-CC73,0))*BJ73,0)</f>
        <v>#VALUE!</v>
      </c>
      <c r="EW73" s="1551" t="e">
        <f aca="false">IF(EI73,IF(OCallPut,IF(CD73&gt;(CT73+CZ73),CD73-(CT73+CZ73),0),IF((CT73+CZ73)&gt;CD73,(CT73+CZ73)-CD73,0))*BK73,0)</f>
        <v>#VALUE!</v>
      </c>
      <c r="EX73" s="1558" t="e">
        <f aca="false">IF(EI73,SUM(ET73:EW73),0)</f>
        <v>#VALUE!</v>
      </c>
      <c r="EY73" s="1551" t="e">
        <f aca="false">EO73-ET73</f>
        <v>#VALUE!</v>
      </c>
      <c r="EZ73" s="1551" t="e">
        <f aca="false">EP73-EU73</f>
        <v>#VALUE!</v>
      </c>
      <c r="FA73" s="1551" t="e">
        <f aca="false">EQ73-EV73</f>
        <v>#VALUE!</v>
      </c>
      <c r="FB73" s="1551" t="e">
        <f aca="false">ER73-EW73</f>
        <v>#VALUE!</v>
      </c>
      <c r="FC73" s="1551" t="e">
        <f aca="false">ES73-EX73</f>
        <v>#VALUE!</v>
      </c>
      <c r="FD73" s="1525" t="n">
        <f aca="false">IF(AX73,IF(VLOOKUP(C73,MAIN!$L$17:$M$28,2)="Yes",VLOOKUP(CALC!B73,MAIN!$H$17:$I$20,2),0),0)</f>
        <v>0</v>
      </c>
      <c r="FE73" s="1552" t="e">
        <f aca="false">$FD73*16*AT73*(1-$AY73)</f>
        <v>#VALUE!</v>
      </c>
      <c r="FF73" s="1553" t="e">
        <f aca="false">$FD73*16*AU73*(1-$AY73)</f>
        <v>#VALUE!</v>
      </c>
      <c r="FG73" s="1553" t="e">
        <f aca="false">$FD73*16*(AV73+AW73)*(1-$AY73)</f>
        <v>#VALUE!</v>
      </c>
      <c r="FH73" s="1554" t="n">
        <f aca="false">$FD73*8*AX73*(1-$AY73)</f>
        <v>0</v>
      </c>
      <c r="FI73" s="1555" t="n">
        <f aca="false">IF(AX73,VLOOKUP(CALC!B73,MAIN!$H$17:$K$20,4),0)</f>
        <v>0</v>
      </c>
      <c r="FJ73" s="1553" t="e">
        <f aca="false">SUM(FE73:FH73)</f>
        <v>#VALUE!</v>
      </c>
      <c r="FK73" s="1556" t="e">
        <f aca="false">FI73*FJ73</f>
        <v>#VALUE!</v>
      </c>
      <c r="FL73" s="1551" t="e">
        <f aca="false">IF($EI73&gt;0,MIN(FE73,AZ73*(1+VLOOKUP($C73,WeatherCapacityAdjustment,2))),0)</f>
        <v>#VALUE!</v>
      </c>
      <c r="FM73" s="1551" t="e">
        <f aca="false">IF($EI73&gt;0,MIN(FF73,BA73*(1+VLOOKUP($C73,WeatherCapacityAdjustment,2))),0)</f>
        <v>#VALUE!</v>
      </c>
      <c r="FN73" s="1551" t="e">
        <f aca="false">IF($EI73&gt;0,MIN(FG73,BB73*(1+VLOOKUP($C73,WeatherCapacityAdjustment,2))),0)</f>
        <v>#VALUE!</v>
      </c>
      <c r="FO73" s="1564" t="e">
        <f aca="false">IF($EI73&gt;0,MIN(FH73,BC73*(1+VLOOKUP($C73,WeatherCapacityAdjustment,3))),0)</f>
        <v>#VALUE!</v>
      </c>
      <c r="FP73" s="1551" t="e">
        <f aca="false">IF(ET73&gt;0,MIN(FE73-FL73,BH73*(1+VLOOKUP($C73,WeatherCapacityAdjustment,2))),0)</f>
        <v>#VALUE!</v>
      </c>
      <c r="FQ73" s="1551" t="e">
        <f aca="false">IF(EU73&gt;0,MIN(FF73-FM73,BI73*(1+VLOOKUP($C73,WeatherCapacityAdjustment,2))),0)</f>
        <v>#VALUE!</v>
      </c>
      <c r="FR73" s="1551" t="e">
        <f aca="false">IF(EV73&gt;0,MIN(FG73-FN73,BJ73*(1+VLOOKUP($C73,WeatherCapacityAdjustment,2))),0)</f>
        <v>#VALUE!</v>
      </c>
      <c r="FS73" s="1558" t="e">
        <f aca="false">IF(EW73&gt;0,MIN(FH73-FO73,BK73*(1+VLOOKUP($C73,WeatherCapacityAdjustment,3))),0)</f>
        <v>#VALUE!</v>
      </c>
      <c r="FT73" s="1566" t="e">
        <f aca="false">IF(AND(Assumptions!$H$71="Yes",A73&gt;=Assumptions!$H$72,A73&lt;=Assumptions!$H$73),0,IF(AND($A73&gt;=Assumptions!$C$17,$A73&lt;=Assumptions!$C$18),MAX(AZ73*(1+VLOOKUP($C73,WeatherCapacityAdjustment,2))-FL73,0),0))</f>
        <v>#VALUE!</v>
      </c>
      <c r="FU73" s="1551" t="e">
        <f aca="false">IF(AND(Assumptions!$H$71="Yes",A73&gt;=Assumptions!$H$72,A73&lt;=Assumptions!$H$73),0,IF(AND($A73&gt;=Assumptions!$C$17,$A73&lt;=Assumptions!$C$18),MAX(BA73*(1+VLOOKUP($C73,WeatherCapacityAdjustment,2))-FM73,0),0))</f>
        <v>#VALUE!</v>
      </c>
      <c r="FV73" s="1551" t="e">
        <f aca="false">IF(AND(Assumptions!$H$71="Yes",A73&gt;=Assumptions!$H$72,A73&lt;=Assumptions!$H$73),0,IF(AND($A73&gt;=Assumptions!$C$17,$A73&lt;=Assumptions!$C$18),MAX(BB73*(1+VLOOKUP($C73,WeatherCapacityAdjustment,2))-FN73,0),0))</f>
        <v>#VALUE!</v>
      </c>
      <c r="FW73" s="1564" t="e">
        <f aca="false">IF(AND(Assumptions!$H$71="Yes",A73&gt;=Assumptions!$H$72,A73&lt;=Assumptions!$H$73),0,IF(AND($A73&gt;=Assumptions!$C$17,$A73&lt;=Assumptions!$C$18),MAX(BC73*(1+VLOOKUP($C73,WeatherCapacityAdjustment,3))-FO73,0),0))</f>
        <v>#VALUE!</v>
      </c>
      <c r="FX73" s="1569" t="e">
        <f aca="false">IF(AND(Assumptions!$H$71="Yes",A73&gt;=Assumptions!$H$72,A73&lt;=Assumptions!$H$73),0,IF(ET73&gt;0,MAX(BH73*(1+VLOOKUP($C73,WeatherCapacityAdjustment,2))-FP73,0),0))</f>
        <v>#VALUE!</v>
      </c>
      <c r="FY73" s="1551" t="e">
        <f aca="false">IF(AND(Assumptions!$H$71="Yes",A73&gt;=Assumptions!$H$72,A73&lt;=Assumptions!$H$73),0,IF(EU73&gt;0,MAX(BI73*(1+VLOOKUP($C73,WeatherCapacityAdjustment,3))-FQ73,0),0))</f>
        <v>#VALUE!</v>
      </c>
      <c r="FZ73" s="1551" t="e">
        <f aca="false">IF(AND(Assumptions!$H$71="Yes",A73&gt;=Assumptions!$H$72,A73&lt;=Assumptions!$H$73),0,IF(EV73&gt;0,MAX(BJ73*(1+VLOOKUP($C73,WeatherCapacityAdjustment,2))-FR73,0),0))</f>
        <v>#VALUE!</v>
      </c>
      <c r="GA73" s="1564" t="e">
        <f aca="false">IF(AND(Assumptions!$H$71="Yes",A73&gt;=Assumptions!$H$72,A73&lt;=Assumptions!$H$73),0,IF(EW73&gt;0,MAX(BK73*(1+VLOOKUP($C73,WeatherCapacityAdjustment,2))-FS73,0),0))</f>
        <v>#VALUE!</v>
      </c>
      <c r="GB73" s="1551" t="e">
        <f aca="false">SUM(FT73:GA73)</f>
        <v>#VALUE!</v>
      </c>
      <c r="GC73" s="1563" t="e">
        <f aca="false">+IF(SUM(FT73:GA73)=0,0,(SUMPRODUCT(BU73:BX73,FT73:FW73)+SUMPRODUCT(CA73:CD73,FX73:GA73))/SUM(FT73:GA73))</f>
        <v>#VALUE!</v>
      </c>
      <c r="GD73" s="1551" t="e">
        <f aca="false">(FT73*BU73+FX73*CA73+FU73*BV73+FY73*CB73+FV73*BW73+FZ73*CC73+FW73*BX73+GA73*CD73)</f>
        <v>#VALUE!</v>
      </c>
      <c r="GE73" s="1561" t="e">
        <f aca="false">+IF(BQ73,((FL73+FM73+FT73+FU73)*HeatRatePeak/1000*(1+VLOOKUP($C73,WeatherHeatRateAdjustment,2))+(FN73+FV73)*IF(EV73&gt;0,HeatRatePeak,HeatRateOffPeak)/1000*(1+VLOOKUP($C73,WeatherHeatRateAdjustment,2))+(FO73+FW73)*IF(EW73&gt;0,HeatRatePeak,HeatRateOffPeak)/1000*(1+VLOOKUP($C73,WeatherHeatRateAdjustment,3)))*(1+VLOOKUP($B73,HeatRateDegradation,$C73+1)),0)</f>
        <v>#VALUE!</v>
      </c>
      <c r="GF73" s="1562" t="e">
        <f aca="false">IF(BQ73,((FP73+FQ73+FR73+FX73+FY73+FZ73)*HeatRatePeak/1000*(1+VLOOKUP($C73,WeatherHeatRateAdjustment,2))+(FS73+GA73)*HeatRatePeak/1000*(1+VLOOKUP($C73,WeatherHeatRateAdjustment,3)))*(1+VLOOKUP($B73,HeatRateDegradation,$C73+1)),0)</f>
        <v>#VALUE!</v>
      </c>
      <c r="GG73" s="1563" t="e">
        <f aca="false">IF(BQ73,VLOOKUP(A73,GasTable,13),0)</f>
        <v>#VALUE!</v>
      </c>
      <c r="GH73" s="1564" t="e">
        <f aca="false">(GE73+GF73)*GG73</f>
        <v>#VALUE!</v>
      </c>
      <c r="GI73" s="1569" t="e">
        <f aca="false">GB73</f>
        <v>#VALUE!</v>
      </c>
      <c r="GJ73" s="1598" t="e">
        <f aca="false">+DA73</f>
        <v>#VALUE!</v>
      </c>
      <c r="GK73" s="1558" t="e">
        <f aca="false">+GI73*GJ73</f>
        <v>#VALUE!</v>
      </c>
      <c r="GL73" s="1566" t="e">
        <f aca="false">MAX(FE73-FL73-FP73,0)</f>
        <v>#VALUE!</v>
      </c>
      <c r="GM73" s="1551" t="e">
        <f aca="false">MAX(FF73-FM73-FQ73,0)</f>
        <v>#VALUE!</v>
      </c>
      <c r="GN73" s="1551" t="e">
        <f aca="false">MAX(FG73-FN73-FR73,0)</f>
        <v>#VALUE!</v>
      </c>
      <c r="GO73" s="1564" t="e">
        <f aca="false">MAX(FH73-FO73-FS73,0)</f>
        <v>#VALUE!</v>
      </c>
      <c r="GP73" s="1551" t="e">
        <f aca="false">SUM(GL73:GO73)</f>
        <v>#VALUE!</v>
      </c>
      <c r="GQ73" s="1563" t="e">
        <f aca="false">IF(SUM(GL73:GO73)=0,0,((GL73*BU73+GM73*BV73+GN73*BW73+GO73*BX73)/SUM(GL73:GO73)))</f>
        <v>#VALUE!</v>
      </c>
      <c r="GR73" s="1558" t="e">
        <f aca="false">(GL73*BU73+GM73*BV73+GN73*BW73+GO73*BX73)</f>
        <v>#VALUE!</v>
      </c>
      <c r="GS73" s="1566" t="n">
        <f aca="false">IF($A73&gt;=BegDate,Assumptions!$C$56*24*($A74-$A73)*(1-VLOOKUP($B73,MAIN!$AA$7:$AM$28,$C73+1))*(1-VLOOKUP($B73,MAIN!$AA$33:$AM$54,$C73+1)),0)*80/168</f>
        <v>257742.857142857</v>
      </c>
      <c r="GT73" s="286" t="n">
        <f aca="false">J73</f>
        <v>42.3147800472826</v>
      </c>
      <c r="GU73" s="286" t="n">
        <f aca="false">IF($A73&gt;=BegDate,VLOOKUP($A73,GasTable,13)+Assumptions!$C$58,0)</f>
        <v>2.8223885924297</v>
      </c>
      <c r="GV73" s="286" t="n">
        <f aca="false">GU73*Assumptions!$C$57/1000</f>
        <v>20.4623172951153</v>
      </c>
      <c r="GW73" s="1558" t="n">
        <f aca="false">IF(Assumptions!$C$60="Hourly",MAX(0,GS73*(GT73-GV73)),GS73*(GT73-GV73))</f>
        <v>5632316.18535146</v>
      </c>
      <c r="GX73" s="1566" t="n">
        <f aca="false">IF($A73&gt;=BegDate,Assumptions!$C$56*24*($A74-$A73)*(1-VLOOKUP($B73,MAIN!$AA$7:$AM$28,$C73+1))*(1-VLOOKUP($B73,MAIN!$AA$33:$AM$54,$C73+1)),0)*16/168</f>
        <v>51548.5714285714</v>
      </c>
      <c r="GY73" s="286" t="n">
        <f aca="false">M73</f>
        <v>42.3147800472826</v>
      </c>
      <c r="GZ73" s="286" t="n">
        <f aca="false">IF($A73&gt;=BegDate,VLOOKUP($A73,GasTable,13)+Assumptions!$C$58,0)</f>
        <v>2.8223885924297</v>
      </c>
      <c r="HA73" s="286" t="n">
        <f aca="false">GZ73*Assumptions!$C$57/1000</f>
        <v>20.4623172951153</v>
      </c>
      <c r="HB73" s="1558" t="n">
        <f aca="false">IF(Assumptions!$C$60="Hourly",MAX(0,GX73*(GY73-HA73)),GX73*(GY73-HA73))</f>
        <v>1126463.23707029</v>
      </c>
      <c r="HC73" s="1566" t="n">
        <f aca="false">IF($A73&gt;=BegDate,Assumptions!$C$56*24*($A74-$A73)*(1-VLOOKUP($B73,MAIN!$AA$7:$AM$28,$C73+1))*(1-VLOOKUP($B73,MAIN!$AA$33:$AM$54,$C73+1)),0)*16/168</f>
        <v>51548.5714285714</v>
      </c>
      <c r="HD73" s="286" t="n">
        <f aca="false">P73</f>
        <v>27.7826476994035</v>
      </c>
      <c r="HE73" s="286" t="n">
        <f aca="false">IF($A73&gt;=BegDate,VLOOKUP($A73,GasTable,13)+Assumptions!$C$58,0)</f>
        <v>2.8223885924297</v>
      </c>
      <c r="HF73" s="286" t="n">
        <f aca="false">HE73*Assumptions!$C$57/1000</f>
        <v>20.4623172951153</v>
      </c>
      <c r="HG73" s="1558" t="n">
        <f aca="false">IF(Assumptions!$C$60="Hourly",MAX(0,HC73*(HD73-HF73)),HC73*(HD73-HF73))</f>
        <v>377352.574726195</v>
      </c>
      <c r="HH73" s="1566" t="n">
        <f aca="false">IF($A73&gt;=BegDate,Assumptions!$C$56*24*($A74-$A73)*(1-VLOOKUP($B73,MAIN!$AA$7:$AM$28,$C73+1))*(1-VLOOKUP($B73,MAIN!$AA$33:$AM$54,$C73+1)),0)*56/168</f>
        <v>180420</v>
      </c>
      <c r="HI73" s="286" t="n">
        <f aca="false">S73</f>
        <v>27.7826476994035</v>
      </c>
      <c r="HJ73" s="286" t="n">
        <f aca="false">IF($A73&gt;=BegDate,VLOOKUP($A73,GasTable,13)+Assumptions!$C$58,0)</f>
        <v>2.8223885924297</v>
      </c>
      <c r="HK73" s="286" t="n">
        <f aca="false">HJ73*Assumptions!$C$57/1000</f>
        <v>20.4623172951153</v>
      </c>
      <c r="HL73" s="1558" t="n">
        <f aca="false">IF(Assumptions!$C$60="Hourly",MAX(0,HH73*(HI73-HK73)),HH73*(HI73-HK73))</f>
        <v>1320734.01154168</v>
      </c>
      <c r="HM73" s="1566" t="n">
        <f aca="false">IF(AND(Assumptions!$H$71="Yes",A73&gt;=Assumptions!$H$72,A73&lt;=Assumptions!$H$73),Assumptions!$H$74*Assumptions!$C$9*1000,0)</f>
        <v>0</v>
      </c>
      <c r="HN73" s="1551" t="e">
        <f aca="false">GD73-GH73</f>
        <v>#VALUE!</v>
      </c>
      <c r="HO73" s="1563"/>
      <c r="HP73" s="1563"/>
      <c r="HQ73" s="1563"/>
      <c r="HR73" s="1563"/>
      <c r="HS73" s="1563"/>
      <c r="HT73" s="1563"/>
      <c r="HU73" s="1563"/>
      <c r="HV73" s="1563"/>
      <c r="HW73" s="1563"/>
      <c r="HX73" s="1563"/>
      <c r="HY73" s="1563"/>
      <c r="HZ73" s="1563"/>
      <c r="IA73" s="1563"/>
      <c r="IB73" s="1563"/>
      <c r="IC73" s="1563"/>
      <c r="ID73" s="1563"/>
      <c r="IE73" s="1563"/>
      <c r="IF73" s="1563"/>
      <c r="IG73" s="1563"/>
      <c r="IH73" s="1563"/>
      <c r="II73" s="1610"/>
      <c r="IJ73" s="1309"/>
      <c r="IK73" s="1309"/>
    </row>
    <row r="74" customFormat="false" ht="12.75" hidden="false" customHeight="false" outlineLevel="0" collapsed="false">
      <c r="A74" s="1571" t="n">
        <f aca="false">EOMONTH(A73,0)+1</f>
        <v>38384</v>
      </c>
      <c r="B74" s="594" t="n">
        <f aca="false">+YEAR(A74)</f>
        <v>2005</v>
      </c>
      <c r="C74" s="238" t="n">
        <f aca="false">MONTH(A74)</f>
        <v>2</v>
      </c>
      <c r="D74" s="1572" t="e">
        <f aca="false">IF(E74="","",Holiday(B74,C74))</f>
        <v>#VALUE!</v>
      </c>
      <c r="E74" s="1573" t="n">
        <f aca="false">IF(OR(BegDate&gt;=A75,EndDate&lt;A74,AND(VolumeMonthlyOverFlag,INDEX(VolumeMonthlyOver,C74)=0),NOT(INDEX(MonthKnockOutTable,C74))),"",MAX(A74,BegDate))</f>
        <v>38384</v>
      </c>
      <c r="F74" s="1574" t="n">
        <f aca="false">IF(E74="","",MIN(A75-1,EndDate))</f>
        <v>38411</v>
      </c>
      <c r="G74" s="1575" t="n">
        <v>0</v>
      </c>
      <c r="H74" s="1576" t="n">
        <f aca="false">(1+G74/2)^(-2*(DATE(B75,C75,20)-DateToday)/365.25)</f>
        <v>1</v>
      </c>
      <c r="I74" s="1568" t="n">
        <f aca="false">IF(Assumptions!$L$25=4,VLOOKUP($A74,'Henwood Reference'!$E$9:$R$320,10),(VLOOKUP($A74,PriceTable,2,0)+IF(BasisNumber&lt;&gt;1,VLOOKUP($A74,BasisTable,2,0),0)+I$1)/(1-I$2))</f>
        <v>39.7758358322438</v>
      </c>
      <c r="J74" s="1568" t="n">
        <f aca="false">IF(Assumptions!$L$25=4,VLOOKUP($A74,'Henwood Reference'!$E$9:$R$320,10),(VLOOKUP($A74,PriceTable,3,0)+IF(BasisNumber&lt;&gt;1,VLOOKUP($A74,BasisTable,2,0),0)+J$1)/(1-J$2))</f>
        <v>39.7758358322438</v>
      </c>
      <c r="K74" s="1568" t="n">
        <f aca="false">IF(Assumptions!$L$25=4,VLOOKUP($A74,'Henwood Reference'!$E$9:$R$320,10),(VLOOKUP($A74,PriceTable,4,0)+IF(BasisNumber&lt;&gt;1,VLOOKUP($A74,BasisTable,2,0),0)+K$1)/(1-K$2))</f>
        <v>39.7758358322438</v>
      </c>
      <c r="L74" s="1523" t="n">
        <f aca="false">IF(Assumptions!$L$25=4,VLOOKUP($A74,'Henwood Reference'!$E$9:$R$320,10),(VLOOKUP($A74,PriceTableWeekend,2,0)+IF(BasisNumber&lt;&gt;1,VLOOKUP($A74,BasisTable,2,0),0)+L$1)/(1-L$2))</f>
        <v>39.7758358322438</v>
      </c>
      <c r="M74" s="1568" t="n">
        <f aca="false">IF(Assumptions!$L$25=4,VLOOKUP($A74,'Henwood Reference'!$E$9:$R$320,10),(VLOOKUP($A74,PriceTableWeekend,3,0)+IF(BasisNumber&lt;&gt;1,VLOOKUP($A74,BasisTable,2,0),0)+M$1)/(1-M$2))</f>
        <v>39.7758358322438</v>
      </c>
      <c r="N74" s="1599" t="n">
        <f aca="false">IF(Assumptions!$L$25=4,VLOOKUP($A74,'Henwood Reference'!$E$9:$R$320,10),(VLOOKUP($A74,PriceTableWeekend,4,0)+IF(BasisNumber&lt;&gt;1,VLOOKUP($A74,BasisTable,2,0),0)+N$1)/(1-N$2))</f>
        <v>39.7758358322438</v>
      </c>
      <c r="O74" s="1568" t="n">
        <f aca="false">IF(Assumptions!$L$25=4,VLOOKUP($A74,'Henwood Reference'!$E$9:$R$320,11),(VLOOKUP($A74,PriceTableWeekend,6,0)+IF(BasisNumber&lt;&gt;1,VLOOKUP($A74,BasisTable,3,0),0)+O$1)/(1-O$2))</f>
        <v>25.2970305871594</v>
      </c>
      <c r="P74" s="1568" t="n">
        <f aca="false">IF(Assumptions!$L$25=4,VLOOKUP($A74,'Henwood Reference'!$E$9:$R$320,11),(VLOOKUP($A74,PriceTableWeekend,7,0)+IF(BasisNumber&lt;&gt;1,VLOOKUP($A74,BasisTable,3,0),0)+P$1)/(1-P$2))</f>
        <v>25.2970305871594</v>
      </c>
      <c r="Q74" s="1599" t="n">
        <f aca="false">IF(Assumptions!$L$25=4,VLOOKUP($A74,'Henwood Reference'!$E$9:$R$320,11),(VLOOKUP($A74,PriceTableWeekend,8,0)+IF(BasisNumber&lt;&gt;1,VLOOKUP($A74,BasisTable,3,0),0)+Q$1)/(1-Q$2))</f>
        <v>25.2970305871594</v>
      </c>
      <c r="R74" s="1568" t="n">
        <f aca="false">IF(Assumptions!$L$25=4,VLOOKUP($A74,'Henwood Reference'!$E$9:$R$320,11),(VLOOKUP($A74,PriceTable,6,0)+IF(BasisNumber&lt;&gt;1,VLOOKUP($A74,BasisTable,3,0),0)+R$1)/(1-R$2))</f>
        <v>25.2970305871594</v>
      </c>
      <c r="S74" s="1568" t="n">
        <f aca="false">IF(Assumptions!$L$25=4,VLOOKUP($A74,'Henwood Reference'!$E$9:$R$320,11),(VLOOKUP($A74,PriceTable,7,0)+IF(BasisNumber&lt;&gt;1,VLOOKUP($A74,BasisTable,3,0),0)+S$1)/(1-S$2))</f>
        <v>25.2970305871594</v>
      </c>
      <c r="T74" s="1600" t="n">
        <f aca="false">IF(Assumptions!$L$25=4,VLOOKUP($A74,'Henwood Reference'!$E$9:$R$320,11),(VLOOKUP($A74,PriceTable,8,0)+IF(BasisNumber&lt;&gt;1,VLOOKUP($A74,BasisTable,3,0),0)+T$1)/(1-T$2))</f>
        <v>25.2970305871594</v>
      </c>
      <c r="U74" s="1513" t="n">
        <f aca="false">VLOOKUP($A74,VolatilityTable,14)</f>
        <v>0.145</v>
      </c>
      <c r="V74" s="1513" t="n">
        <f aca="false">VLOOKUP($A74,VolatilityTable,15)</f>
        <v>0.155</v>
      </c>
      <c r="W74" s="1514" t="n">
        <f aca="false">VLOOKUP($A74,VolatilityTable,16)</f>
        <v>0.165</v>
      </c>
      <c r="X74" s="1513" t="n">
        <f aca="false">VLOOKUP($A74,VolatilityTable,14)</f>
        <v>0.145</v>
      </c>
      <c r="Y74" s="1513" t="n">
        <f aca="false">VLOOKUP($A74,VolatilityTable,15)</f>
        <v>0.155</v>
      </c>
      <c r="Z74" s="1514" t="n">
        <f aca="false">VLOOKUP($A74,VolatilityTable,16)</f>
        <v>0.165</v>
      </c>
      <c r="AA74" s="1513" t="n">
        <f aca="false">VLOOKUP($A74,VolatilityTable,18)</f>
        <v>0.09</v>
      </c>
      <c r="AB74" s="1513" t="n">
        <f aca="false">VLOOKUP($A74,VolatilityTable,19)</f>
        <v>0.11</v>
      </c>
      <c r="AC74" s="1514" t="n">
        <f aca="false">VLOOKUP($A74,VolatilityTable,20)</f>
        <v>0.13</v>
      </c>
      <c r="AD74" s="1513" t="n">
        <f aca="false">VLOOKUP($A74,VolatilityTable,18)</f>
        <v>0.09</v>
      </c>
      <c r="AE74" s="1513" t="n">
        <f aca="false">VLOOKUP($A74,VolatilityTable,19)</f>
        <v>0.11</v>
      </c>
      <c r="AF74" s="1514" t="n">
        <f aca="false">VLOOKUP($A74,VolatilityTable,20)</f>
        <v>0.13</v>
      </c>
      <c r="AG74" s="1513" t="n">
        <f aca="false">VLOOKUP($A74,VolatilityTable,22)</f>
        <v>-0.25</v>
      </c>
      <c r="AH74" s="1513" t="n">
        <f aca="false">VLOOKUP($A74,VolatilityTable,23)</f>
        <v>0.65</v>
      </c>
      <c r="AI74" s="1514" t="n">
        <f aca="false">VLOOKUP($A74,VolatilityTable,24)</f>
        <v>0.25</v>
      </c>
      <c r="AJ74" s="1513" t="n">
        <f aca="false">VLOOKUP($A74,VolatilityTable,22)</f>
        <v>-0.25</v>
      </c>
      <c r="AK74" s="1513" t="n">
        <f aca="false">VLOOKUP($A74,VolatilityTable,23)</f>
        <v>0.65</v>
      </c>
      <c r="AL74" s="1514" t="n">
        <f aca="false">VLOOKUP($A74,VolatilityTable,24)</f>
        <v>0.25</v>
      </c>
      <c r="AM74" s="1513" t="n">
        <f aca="false">VLOOKUP($A74,VolatilityTable,26)</f>
        <v>-0.01</v>
      </c>
      <c r="AN74" s="1513" t="n">
        <f aca="false">VLOOKUP($A74,VolatilityTable,27)</f>
        <v>0.16</v>
      </c>
      <c r="AO74" s="1514" t="n">
        <f aca="false">VLOOKUP($A74,VolatilityTable,28)</f>
        <v>0.01</v>
      </c>
      <c r="AP74" s="1513" t="n">
        <f aca="false">VLOOKUP($A74,VolatilityTable,26)</f>
        <v>-0.01</v>
      </c>
      <c r="AQ74" s="1513" t="n">
        <f aca="false">VLOOKUP($A74,VolatilityTable,27)</f>
        <v>0.16</v>
      </c>
      <c r="AR74" s="1515" t="n">
        <f aca="false">VLOOKUP($A74,VolatilityTable,28)</f>
        <v>0.01</v>
      </c>
      <c r="AS74" s="1581" t="n">
        <f aca="false">IF(CorrPeakOffPeakOverFlag,INDEX(CorrPeakOffPeakOver,C74),CorrPeakOffPeak)</f>
        <v>0.5</v>
      </c>
      <c r="AT74" s="594" t="e">
        <f aca="false">AX74-SUM(AU74:AW74)</f>
        <v>#VALUE!</v>
      </c>
      <c r="AU74" s="238" t="e">
        <f aca="false">IF(E74="",0,INT((F74-MOD(F74,7)-E74)/7)+1-IF(AW74,IF(WEEKDAY(D74)=7,1,0),0))</f>
        <v>#VALUE!</v>
      </c>
      <c r="AV74" s="238" t="e">
        <f aca="false">IF(E74="",0,INT((F74-MOD(F74-1,7)-E74)/7)+1-IF(AW74,IF(WEEKDAY(D74)=1,1,0),0))</f>
        <v>#VALUE!</v>
      </c>
      <c r="AW74" s="238" t="e">
        <f aca="false">IF(OR(E74="",D74="",D74&lt;BegDate,D74&gt;EndDate),0,1)</f>
        <v>#VALUE!</v>
      </c>
      <c r="AX74" s="238" t="n">
        <f aca="false">IF(E74="",0,F74-E74+1)</f>
        <v>28</v>
      </c>
      <c r="AY74" s="1582" t="n">
        <f aca="false">IF(E74="",0,MIN((1-(1-VLOOKUP(B74,MAIN!$AA$7:$AM$28,C74+1))*(1-VLOOKUP(B74,MAIN!$AA$33:$AM$54,C74+1))),1))</f>
        <v>0.03</v>
      </c>
      <c r="AZ74" s="1519" t="e">
        <v>#VALUE!</v>
      </c>
      <c r="BA74" s="1520" t="e">
        <v>#VALUE!</v>
      </c>
      <c r="BB74" s="1520" t="e">
        <v>#VALUE!</v>
      </c>
      <c r="BC74" s="1583" t="e">
        <v>#VALUE!</v>
      </c>
      <c r="BD74" s="1522" t="e">
        <v>#VALUE!</v>
      </c>
      <c r="BE74" s="1523" t="e">
        <v>#VALUE!</v>
      </c>
      <c r="BF74" s="1523" t="e">
        <v>#VALUE!</v>
      </c>
      <c r="BG74" s="1584" t="e">
        <v>#VALUE!</v>
      </c>
      <c r="BH74" s="1525" t="e">
        <v>#VALUE!</v>
      </c>
      <c r="BI74" s="1520" t="e">
        <v>#VALUE!</v>
      </c>
      <c r="BJ74" s="1520" t="e">
        <v>#VALUE!</v>
      </c>
      <c r="BK74" s="1583" t="e">
        <v>#VALUE!</v>
      </c>
      <c r="BL74" s="1522" t="e">
        <v>#VALUE!</v>
      </c>
      <c r="BM74" s="1523" t="e">
        <v>#VALUE!</v>
      </c>
      <c r="BN74" s="1523" t="e">
        <v>#VALUE!</v>
      </c>
      <c r="BO74" s="1523" t="e">
        <v>#VALUE!</v>
      </c>
      <c r="BP74" s="1525" t="e">
        <f aca="false">SUM(AZ74:BB74)</f>
        <v>#VALUE!</v>
      </c>
      <c r="BQ74" s="1529" t="e">
        <f aca="false">SUM(AZ74:BC74)</f>
        <v>#VALUE!</v>
      </c>
      <c r="BR74" s="1519" t="e">
        <f aca="false">SUM(BH74:BJ74)</f>
        <v>#VALUE!</v>
      </c>
      <c r="BS74" s="1529" t="e">
        <f aca="false">SUM(BH74:BK74)</f>
        <v>#VALUE!</v>
      </c>
      <c r="BT74" s="1316" t="n">
        <f aca="false">(IF(OVolType&lt;&gt;2,A74+14,IF(OptExpDateShift,ShiftBack(A74,OptExpDateShift,D73),A74))-DateToday)/365.25</f>
        <v>4.80219028062971</v>
      </c>
      <c r="BU74" s="1585" t="e">
        <f aca="false">IF(BQ74,IF(OPriceCurve,IF(OBuySell=OCallPut,I74/(1-AY74),K74/(1-AY74)),J74/(1-AY74))*BD74,0)</f>
        <v>#VALUE!</v>
      </c>
      <c r="BV74" s="1316" t="e">
        <f aca="false">IF(BQ74,IF(OPriceCurve,IF(OBuySell=OCallPut,L74/(1-AY74),N74/(1-AY74)),M74/(1-AY74))*BE74,0)</f>
        <v>#VALUE!</v>
      </c>
      <c r="BW74" s="1316" t="e">
        <f aca="false">IF(BQ74,IF(OPriceCurve,IF(OBuySell=OCallPut,O74/(1-AY74),Q74/(1-AY74)),P74/(1-AY74))*BF74,0)</f>
        <v>#VALUE!</v>
      </c>
      <c r="BX74" s="1316" t="e">
        <f aca="false">IF(BQ74,IF(OPriceCurve,IF(OBuySell=OCallPut,R74/(1-AY74),T74/(1-AY74)),S74/(1-AY74))*BG74,0)</f>
        <v>#VALUE!</v>
      </c>
      <c r="BY74" s="1316" t="e">
        <f aca="false">IF(BP74,(BU74*AZ74+BV74*BA74+BW74*BB74)/BP74,0)</f>
        <v>#VALUE!</v>
      </c>
      <c r="BZ74" s="1316" t="e">
        <f aca="false">IF(BQ74,(BY74*BP74+BX74*BC74)/BQ74,0)</f>
        <v>#VALUE!</v>
      </c>
      <c r="CA74" s="1531" t="e">
        <f aca="false">IF(BS74,IF(OPriceCurve,IF(OBuySell=OCallPut,I74/(1-AY74),K74/(1-AY74)),J74/(1-AY74))*BL74,0)</f>
        <v>#VALUE!</v>
      </c>
      <c r="CB74" s="1316" t="e">
        <f aca="false">IF(BS74,IF(OPriceCurve,IF(OBuySell=OCallPut,L74/(1-AY74),N74/(1-AY74)),M74/(1-AY74))*BM74,0)</f>
        <v>#VALUE!</v>
      </c>
      <c r="CC74" s="1316" t="e">
        <f aca="false">IF(BS74,IF(OPriceCurve,IF(OBuySell=OCallPut,O74/(1-AY74),Q74/(1-AY74)),P74/(1-AY74))*BN74,0)</f>
        <v>#VALUE!</v>
      </c>
      <c r="CD74" s="1316" t="e">
        <f aca="false">IF(BS74,IF(OPriceCurve,IF(OBuySell=OCallPut,R74/(1-AY74),T74/(1-AY74)),S74/(1-AY74))*BO74,0)</f>
        <v>#VALUE!</v>
      </c>
      <c r="CE74" s="1316" t="e">
        <f aca="false">IF(BR74,(BU74*BH74+BV74*BI74+BW74*BJ74)/BR74,0)</f>
        <v>#VALUE!</v>
      </c>
      <c r="CF74" s="1532" t="e">
        <f aca="false">IF(BS74,(CE74*BR74+CD74*BK74)/BS74,0)</f>
        <v>#VALUE!</v>
      </c>
      <c r="CG74" s="1586" t="e">
        <f aca="false">IF(OR(BQ74,BS74),IF(OVolType&lt;&gt;2,SQRT(IF(OVolOverMonthlyPeak,OVolOverMonthlyPeak,IF(OVolCurve,IF(OBuySell,U74,W74),V74))^2*(1-15/365.25/BT74)+IF(OVolOverDailyPeak,OVolOverDailyPeak,IF(OVolCurve,IF(OBuySell,AG74,AI74),AH74))^2*15/365.25/BT74),IF(OVolOverMonthlyPeak,OVolOverMonthlyPeak,IF(OVolCurve,IF(OBuySell,U74,W74),V74))),"")</f>
        <v>#VALUE!</v>
      </c>
      <c r="CH74" s="1587" t="e">
        <f aca="false">IF(OR(BQ74,BS74),IF(OVolType&lt;&gt;2,SQRT(IF(OVolOverMonthlyPeak,OVolOverMonthlyPeak,IF(OVolCurve,IF(OBuySell,X74,Z74),Y74))^2*(1-15/365.25/BT74)+IF(OVolOverDailyPeak,OVolOverDailyPeak,IF(OVolCurve,IF(OBuySell,AJ74,AL74),AK74))^2*15/365.25/BT74),IF(OVolOverMonthlyPeak,OVolOverMonthlyPeak,IF(OVolCurve,IF(OBuySell,X74,Z74),Y74))),"")</f>
        <v>#VALUE!</v>
      </c>
      <c r="CI74" s="1587" t="e">
        <f aca="false">IF(OR(BQ74,BS74),IF(OVolType&lt;&gt;2,SQRT(IF(OVolOverMonthlyPeak,OVolOverMonthlyPeak,IF(OVolCurve,IF(OBuySell,AA74,AC74),AB74))^2*(1-15/365.25/BT74)+IF(OVolOverDailyPeak,OVolOverDailyPeak,IF(OVolCurve,IF(OBuySell,AM74,AO74),AN74))^2*15/365.25/BT74),IF(OVolOverMonthlyPeak,OVolOverMonthlyPeak,IF(OVolCurve,IF(OBuySell,AA74,AC74),AB74))),"")</f>
        <v>#VALUE!</v>
      </c>
      <c r="CJ74" s="1587" t="e">
        <f aca="false">IF(BQ74,IF(BP74,SQRT(LN(1+((BU74*AZ74)^2*(EXP(CG74^2*BT74)-1)+(BV74*BA74)^2*(EXP(CH74^2*BT74)-1)+(BW74*BB74)^2*(EXP(CI74^2*BT74)-1)+2*BU74*AZ74*BV74*BA74*(EXP(CG74*CH74*BT74)-1)+2*BV74*BA74*BW74*BB74*(EXP(CH74*CI74*BT74)-1)+2*BW74*BB74*BU74*AZ74*(EXP(CI74*CG74*BT74)-1))/(BY74*BP74)^2)/BT74),0),"")</f>
        <v>#VALUE!</v>
      </c>
      <c r="CK74" s="1587" t="e">
        <f aca="false">IF(BS74,IF(BR74,SQRT(LN(1+((CA74*BH74)^2*(EXP(CG74^2*BT74)-1)+(CB74*BI74)^2*(EXP(CH74^2*BT74)-1)+(CC74*BJ74)^2*(EXP(CI74^2*BT74)-1)+2*CA74*BH74*CB74*BI74*(EXP(CG74*CH74*BT74)-1)+2*CB74*BI74*CC74*BJ74*(EXP(CH74*CI74*BT74)-1)+2*CC74*BJ74*CA74*BH74*(EXP(CI74*CG74*BT74)-1))/(CE74*BR74)^2)/BT74),0),"")</f>
        <v>#VALUE!</v>
      </c>
      <c r="CL74" s="1587" t="e">
        <f aca="false">IF(OR(BQ74,BS74),IF(OVolType&lt;&gt;2,SQRT(IF(OVolOverMonthlyOffPeak,OVolOverMonthlyOffPeak,IF(OVolCurve,IF(OBuySell,AD74,AF74),AE74))^2*(1-15/365.25/BT74)+IF(OVolOverDailyOffPeak,OVolOverDailyOffPeak,IF(OVolCurve,IF(OBuySell,AP74,AR74),AQ74))^2*15/365.25/BT74),IF(OVolOverMonthlyOffPeak,OVolOverMonthlyOffPeak,IF(OVolCurve,IF(OBuySell,AD74,AF74),AE74))),"")</f>
        <v>#VALUE!</v>
      </c>
      <c r="CM74" s="1587" t="e">
        <f aca="false">IF(BQ74,SQRT(LN(1+((BY74*BP74)^2*(EXP(CJ74^2*BT74)-1)+(BX74*BC74)^2*(EXP(CL74^2*BT74)-1)+2*BY74*BP74*BX74*BC74*(EXP(AS74*CJ74*CL74*BT74)-1))/(BY74*BP74+BX74*BC74)^2)/BT74),"")</f>
        <v>#VALUE!</v>
      </c>
      <c r="CN74" s="1588" t="e">
        <f aca="false">IF(BS74,SQRT(LN(1+((CE74*BR74)^2*(EXP(CK74^2*BT74)-1)+(CD74*BK74)^2*(EXP(CL74^2*BT74)-1)+2*CE74*BR74*CD74*BK74*(EXP(AS74*CK74*CL74*BT74)-1))/(CE74*BR74+CD74*BK74)^2)/BT74),"")</f>
        <v>#VALUE!</v>
      </c>
      <c r="CO74" s="1531" t="e">
        <f aca="false">IF(OR(BQ74,BS74),VLOOKUP(A74,GasTable,13)*HeatRatePeak*(1+VLOOKUP($B74,HeatRateDegradation,$C74+1))/1000,0)</f>
        <v>#VALUE!</v>
      </c>
      <c r="CP74" s="1316" t="e">
        <f aca="false">IF(OR(BQ74,BS74),VLOOKUP(A74,GasTable,13)*HeatRatePeak*(1+VLOOKUP($B74,HeatRateDegradation,$C74+1))/1000,0)</f>
        <v>#VALUE!</v>
      </c>
      <c r="CQ74" s="1316" t="e">
        <f aca="false">IF(OR(BQ74,BS74),VLOOKUP(A74,GasTable,13)*IF(EV74,HeatRatePeak,HeatRateOffPeak)*(1+VLOOKUP($B74,HeatRateDegradation,$C74+1))/1000,0)</f>
        <v>#VALUE!</v>
      </c>
      <c r="CR74" s="1316" t="e">
        <f aca="false">IF(OR(BQ74,BS74),VLOOKUP(A74,GasTable,13)*IF(EW74,HeatRatePeak,HeatRateOffPeak)*(1+VLOOKUP($B74,HeatRateDegradation,$C74+1))/1000,0)</f>
        <v>#VALUE!</v>
      </c>
      <c r="CS74" s="1589" t="e">
        <f aca="false">IF(BQ74,(CO74*AZ74+CP74*BA74+CQ74*BB74+CR74*BC74)/BQ74,0)</f>
        <v>#VALUE!</v>
      </c>
      <c r="CT74" s="1316" t="e">
        <f aca="false">IF(BS74,CO74,0)</f>
        <v>#VALUE!</v>
      </c>
      <c r="CU74" s="1590" t="e">
        <f aca="false">IF(OR(BQ74,BS74),VLOOKUP(A74,GasTable,14),"")</f>
        <v>#VALUE!</v>
      </c>
      <c r="CV74" s="1568" t="e">
        <f aca="false">IF(OR(BQ74,BS74),IF(CorrPowerGasOverFlag,INDEX(CorrPowerGasOver,C74),CorrPowerGas),"")</f>
        <v>#VALUE!</v>
      </c>
      <c r="CW74" s="1316" t="e">
        <f aca="false">IF(OR($BQ74,$BS74),SpreadOptPowerMargin,0)*((1+Assumptions!$C$26)^($B74-YEAR(Assumptions!$C$17)))</f>
        <v>#VALUE!</v>
      </c>
      <c r="CX74" s="1316" t="e">
        <f aca="false">IF(OR($BQ74,$BS74),SpreadOptPowerMargin,0)*((1+Assumptions!$C$26)^($B74-YEAR(Assumptions!$C$17)))</f>
        <v>#VALUE!</v>
      </c>
      <c r="CY74" s="1316" t="e">
        <f aca="false">IF(OR($BQ74,$BS74),SpreadOptPowerMargin,0)*((1+Assumptions!$C$26)^($B74-YEAR(Assumptions!$C$17)))</f>
        <v>#VALUE!</v>
      </c>
      <c r="CZ74" s="1316" t="e">
        <f aca="false">IF(OR($BQ74,$BS74),SpreadOptPowerMargin,0)*((1+Assumptions!$C$26)^($B74-YEAR(Assumptions!$C$17)))</f>
        <v>#VALUE!</v>
      </c>
      <c r="DA74" s="1591" t="e">
        <f aca="false">IF(OR(BQ74,BS74),(CW74*(AZ74+BH74)+CX74*(BA74+BI74)+CY74*(BB74+BJ74)+CZ74*(BC74+BK74))/(BQ74+BS74),0)</f>
        <v>#VALUE!</v>
      </c>
      <c r="DB74" s="1592" t="e">
        <f aca="false">IF(OR(BQ74,BS74),CG74+IF(OVolSmile,VLOOKUP(MAX(-5,CO74+CW74-BU74),IF(OVolSmile=1,VolSmileBook,VolSmileModel),2),0),"")</f>
        <v>#VALUE!</v>
      </c>
      <c r="DC74" s="1592" t="e">
        <f aca="false">IF(OR(BQ74,BS74),CH74+IF(OVolSmile,VLOOKUP(MAX(-5,CP74+CW74-BV74),IF(OVolSmile=1,VolSmileBook,VolSmileModel),2),0),"")</f>
        <v>#VALUE!</v>
      </c>
      <c r="DD74" s="1592" t="e">
        <f aca="false">IF(OR(BQ74,BS74),CI74+IF(OVolSmile,VLOOKUP(MAX(-5,CQ74+CW74-BW74),IF(OVolSmile=1,VolSmileBook,VolSmileModel),2),0),"")</f>
        <v>#VALUE!</v>
      </c>
      <c r="DE74" s="1592" t="e">
        <f aca="false">IF(OR(BQ74,BS74),CL74+IF(OVolSmile,VLOOKUP(MAX(-5,CR74+CZ74-BX74),IF(OVolSmile=1,VolSmileBook,VolSmileModel),2),0),"")</f>
        <v>#VALUE!</v>
      </c>
      <c r="DF74" s="1592" t="e">
        <f aca="false">IF(BQ74,CM74+IF(OVolSmile,VLOOKUP(MAX(-5,CS74+DA74-BZ74),IF(OVolSmile=1,VolSmileBook,VolSmileModel),2),0),"")</f>
        <v>#VALUE!</v>
      </c>
      <c r="DG74" s="1593" t="e">
        <f aca="false">IF(BS74,CN74+IF(OVolSmile,VLOOKUP(MAX(-5,CT74+DA74-CF74),IF(OVolSmile=1,VolSmileBook,VolSmileModel),2),0),"")</f>
        <v>#VALUE!</v>
      </c>
      <c r="DH74" s="1316" t="e">
        <f aca="false">IF(AND(BU74&gt;0,CO74&gt;0,DB74&gt;0,CU74&gt;0),newSPRDOPT(BU74,CO74,CW74,0,DB74,CU74,CV74,BT74*365.25,OCallPut,0),0)</f>
        <v>#VALUE!</v>
      </c>
      <c r="DI74" s="1316" t="e">
        <f aca="false">IF(AND(BV74&gt;0,CP74&gt;0,DC74&gt;0,CU74&gt;0),newSPRDOPT(BV74,CP74,CX74,0,DC74,CU74,CV74,BT74*365.25,OCallPut,0),0)</f>
        <v>#VALUE!</v>
      </c>
      <c r="DJ74" s="1316" t="e">
        <f aca="false">IF(AND(BW74&gt;0,CQ74&gt;0,DD74&gt;0,CU74&gt;0),newSPRDOPT(BW74,CQ74,CY74,0,DD74,CU74,CV74,BT74*365.25,OCallPut,0),0)</f>
        <v>#VALUE!</v>
      </c>
      <c r="DK74" s="1316" t="e">
        <f aca="false">IF(AND(BX74&gt;0,CR74&gt;0,DE74&gt;0,CU74&gt;0),newSPRDOPT(BX74,CR74,CZ74,0,DE74,CU74,CV74,BT74*365.25,OCallPut,0),0)</f>
        <v>#VALUE!</v>
      </c>
      <c r="DL74" s="1316" t="e">
        <f aca="false">IF(OVolType,IF(AND(BZ74&gt;0,CS74&gt;0,DF74&gt;0,CU74&gt;0),newSPRDOPT(BZ74,CS74,DA74,0,DF74,CU74,CV74,BT74*365.25,OCallPut,0),0),IF(BQ74,(DH74*AZ74+DI74*BA74+DJ74*BB74+DK74*BC74)/BQ74,0))</f>
        <v>#VALUE!</v>
      </c>
      <c r="DM74" s="1316"/>
      <c r="DN74" s="1316"/>
      <c r="DO74" s="1316"/>
      <c r="DP74" s="1316"/>
      <c r="DQ74" s="1316"/>
      <c r="DR74" s="1316"/>
      <c r="DS74" s="1316"/>
      <c r="DT74" s="1316"/>
      <c r="DU74" s="1316"/>
      <c r="DV74" s="1316"/>
      <c r="DW74" s="1594" t="e">
        <f aca="false">IF(AND(BW74&gt;0,CT74&gt;0,DD74&gt;0,CU74&gt;0),newSPRDOPT(BW74,CT74,CY74,0,DD74,CU74,CV74,BT74*365.25,OCallPut,0),0)</f>
        <v>#VALUE!</v>
      </c>
      <c r="DX74" s="1316" t="e">
        <f aca="false">IF(AND(BX74&gt;0,CT74&gt;0,DE74&gt;0,CU74&gt;0),newSPRDOPT(BX74,CT74,CZ74,0,DE74,CU74,CV74,BT74*365.25,OCallPut,0),0)</f>
        <v>#VALUE!</v>
      </c>
      <c r="DY74" s="1591" t="e">
        <f aca="false">IF(BS74,(DH74*BH74+DI74*BI74+DW74*BJ74+DX74*BK74)/BS74,0)</f>
        <v>#VALUE!</v>
      </c>
      <c r="DZ74" s="1551" t="e">
        <f aca="false">DH74*AZ74</f>
        <v>#VALUE!</v>
      </c>
      <c r="EA74" s="1551" t="e">
        <f aca="false">DI74*BA74</f>
        <v>#VALUE!</v>
      </c>
      <c r="EB74" s="1551" t="e">
        <f aca="false">DJ74*BB74</f>
        <v>#VALUE!</v>
      </c>
      <c r="EC74" s="1551" t="e">
        <f aca="false">DK74*BC74</f>
        <v>#VALUE!</v>
      </c>
      <c r="ED74" s="1551" t="e">
        <f aca="false">DL74*BQ74</f>
        <v>#VALUE!</v>
      </c>
      <c r="EE74" s="1595" t="e">
        <f aca="false">IF(BQ74,IF(OCallPut,IF(BU74&gt;(CO74+CW74),BU74-(CO74+CW74),0),IF((CO74+CW74)&gt;BU74,(CO74+CW74)-BU74,0))*AZ74,0)</f>
        <v>#VALUE!</v>
      </c>
      <c r="EF74" s="1596" t="e">
        <f aca="false">IF(BQ74,IF(OCallPut,IF(BV74&gt;(CP74+CX74),BV74-(CP74+CX74),0),IF((CP74+CX74)&gt;BV74,(CP74+CX74)-BV74,0))*BA74,0)</f>
        <v>#VALUE!</v>
      </c>
      <c r="EG74" s="1596" t="e">
        <f aca="false">IF(BQ74,IF(OCallPut,IF(BW74&gt;(CQ74+CY74),BW74-(CQ74+CY74),0),IF((CQ74+CY74)&gt;BW74,(CQ74+CY74)-BW74,0))*BB74,0)</f>
        <v>#VALUE!</v>
      </c>
      <c r="EH74" s="1596" t="e">
        <f aca="false">IF(BQ74,IF(OCallPut,IF(BX74&gt;(CR74+CZ74),BX74-(CR74+CZ74),0),IF((CR74+CZ74)&gt;BX74,(CR74+CZ74)-BX74,0))*BC74,0)</f>
        <v>#VALUE!</v>
      </c>
      <c r="EI74" s="1597" t="e">
        <f aca="false">IF(BQ74,IF(OVolType,IF(OCallPut,IF(BZ74&gt;(CS74+DA74),BZ74-(CS74+DA74),0),IF((CS74+DA74)&gt;BZ74,(CS74+DA74)-BZ74,0))*BQ74,SUM(EE74:EH74)),0)</f>
        <v>#VALUE!</v>
      </c>
      <c r="EJ74" s="1595" t="e">
        <f aca="false">DZ74-EE74</f>
        <v>#VALUE!</v>
      </c>
      <c r="EK74" s="1596" t="e">
        <f aca="false">EA74-EF74</f>
        <v>#VALUE!</v>
      </c>
      <c r="EL74" s="1596" t="e">
        <f aca="false">EB74-EG74</f>
        <v>#VALUE!</v>
      </c>
      <c r="EM74" s="1596" t="e">
        <f aca="false">EC74-EH74</f>
        <v>#VALUE!</v>
      </c>
      <c r="EN74" s="1597" t="e">
        <f aca="false">ED74-EI74</f>
        <v>#VALUE!</v>
      </c>
      <c r="EO74" s="1551" t="e">
        <f aca="false">DH74*BH74</f>
        <v>#VALUE!</v>
      </c>
      <c r="EP74" s="1551" t="e">
        <f aca="false">DI74*BI74</f>
        <v>#VALUE!</v>
      </c>
      <c r="EQ74" s="1551" t="e">
        <f aca="false">DW74*BJ74</f>
        <v>#VALUE!</v>
      </c>
      <c r="ER74" s="1551" t="e">
        <f aca="false">DX74*BK74</f>
        <v>#VALUE!</v>
      </c>
      <c r="ES74" s="1551" t="e">
        <f aca="false">DY74*BS74</f>
        <v>#VALUE!</v>
      </c>
      <c r="ET74" s="1566" t="e">
        <f aca="false">IF(EI74,IF(OCallPut,IF(CA74&gt;(CT74+CW74),CA74-(CT74+CW74),0),IF((CT74+CW74)&gt;CA74,(CT74+CW74)-CA74,0))*BH74,0)</f>
        <v>#VALUE!</v>
      </c>
      <c r="EU74" s="1551" t="e">
        <f aca="false">IF(EI74,IF(OCallPut,IF(CB74&gt;(CT74+CX74),CB74-(CT74+CX74),0),IF((CT74+CX74)&gt;CB74,(CT74+CX74)-CB74,0))*BI74,0)</f>
        <v>#VALUE!</v>
      </c>
      <c r="EV74" s="1551" t="e">
        <f aca="false">IF(EI74,IF(OCallPut,IF(CC74&gt;(CT74+CY74),CC74-(CT74+CY74),0),IF((CT74+CY74)&gt;CC74,(CT74+CY74)-CC74,0))*BJ74,0)</f>
        <v>#VALUE!</v>
      </c>
      <c r="EW74" s="1551" t="e">
        <f aca="false">IF(EI74,IF(OCallPut,IF(CD74&gt;(CT74+CZ74),CD74-(CT74+CZ74),0),IF((CT74+CZ74)&gt;CD74,(CT74+CZ74)-CD74,0))*BK74,0)</f>
        <v>#VALUE!</v>
      </c>
      <c r="EX74" s="1558" t="e">
        <f aca="false">IF(EI74,SUM(ET74:EW74),0)</f>
        <v>#VALUE!</v>
      </c>
      <c r="EY74" s="1551" t="e">
        <f aca="false">EO74-ET74</f>
        <v>#VALUE!</v>
      </c>
      <c r="EZ74" s="1551" t="e">
        <f aca="false">EP74-EU74</f>
        <v>#VALUE!</v>
      </c>
      <c r="FA74" s="1551" t="e">
        <f aca="false">EQ74-EV74</f>
        <v>#VALUE!</v>
      </c>
      <c r="FB74" s="1551" t="e">
        <f aca="false">ER74-EW74</f>
        <v>#VALUE!</v>
      </c>
      <c r="FC74" s="1551" t="e">
        <f aca="false">ES74-EX74</f>
        <v>#VALUE!</v>
      </c>
      <c r="FD74" s="1525" t="n">
        <f aca="false">IF(AX74,IF(VLOOKUP(C74,MAIN!$L$17:$M$28,2)="Yes",VLOOKUP(CALC!B74,MAIN!$H$17:$I$20,2),0),0)</f>
        <v>0</v>
      </c>
      <c r="FE74" s="1552" t="e">
        <f aca="false">$FD74*16*AT74*(1-$AY74)</f>
        <v>#VALUE!</v>
      </c>
      <c r="FF74" s="1553" t="e">
        <f aca="false">$FD74*16*AU74*(1-$AY74)</f>
        <v>#VALUE!</v>
      </c>
      <c r="FG74" s="1553" t="e">
        <f aca="false">$FD74*16*(AV74+AW74)*(1-$AY74)</f>
        <v>#VALUE!</v>
      </c>
      <c r="FH74" s="1554" t="n">
        <f aca="false">$FD74*8*AX74*(1-$AY74)</f>
        <v>0</v>
      </c>
      <c r="FI74" s="1555" t="n">
        <f aca="false">IF(AX74,VLOOKUP(CALC!B74,MAIN!$H$17:$K$20,4),0)</f>
        <v>0</v>
      </c>
      <c r="FJ74" s="1553" t="e">
        <f aca="false">SUM(FE74:FH74)</f>
        <v>#VALUE!</v>
      </c>
      <c r="FK74" s="1556" t="e">
        <f aca="false">FI74*FJ74</f>
        <v>#VALUE!</v>
      </c>
      <c r="FL74" s="1551" t="e">
        <f aca="false">IF($EI74&gt;0,MIN(FE74,AZ74*(1+VLOOKUP($C74,WeatherCapacityAdjustment,2))),0)</f>
        <v>#VALUE!</v>
      </c>
      <c r="FM74" s="1551" t="e">
        <f aca="false">IF($EI74&gt;0,MIN(FF74,BA74*(1+VLOOKUP($C74,WeatherCapacityAdjustment,2))),0)</f>
        <v>#VALUE!</v>
      </c>
      <c r="FN74" s="1551" t="e">
        <f aca="false">IF($EI74&gt;0,MIN(FG74,BB74*(1+VLOOKUP($C74,WeatherCapacityAdjustment,2))),0)</f>
        <v>#VALUE!</v>
      </c>
      <c r="FO74" s="1564" t="e">
        <f aca="false">IF($EI74&gt;0,MIN(FH74,BC74*(1+VLOOKUP($C74,WeatherCapacityAdjustment,3))),0)</f>
        <v>#VALUE!</v>
      </c>
      <c r="FP74" s="1551" t="e">
        <f aca="false">IF(ET74&gt;0,MIN(FE74-FL74,BH74*(1+VLOOKUP($C74,WeatherCapacityAdjustment,2))),0)</f>
        <v>#VALUE!</v>
      </c>
      <c r="FQ74" s="1551" t="e">
        <f aca="false">IF(EU74&gt;0,MIN(FF74-FM74,BI74*(1+VLOOKUP($C74,WeatherCapacityAdjustment,2))),0)</f>
        <v>#VALUE!</v>
      </c>
      <c r="FR74" s="1551" t="e">
        <f aca="false">IF(EV74&gt;0,MIN(FG74-FN74,BJ74*(1+VLOOKUP($C74,WeatherCapacityAdjustment,2))),0)</f>
        <v>#VALUE!</v>
      </c>
      <c r="FS74" s="1558" t="e">
        <f aca="false">IF(EW74&gt;0,MIN(FH74-FO74,BK74*(1+VLOOKUP($C74,WeatherCapacityAdjustment,3))),0)</f>
        <v>#VALUE!</v>
      </c>
      <c r="FT74" s="1566" t="e">
        <f aca="false">IF(AND(Assumptions!$H$71="Yes",A74&gt;=Assumptions!$H$72,A74&lt;=Assumptions!$H$73),0,IF(AND($A74&gt;=Assumptions!$C$17,$A74&lt;=Assumptions!$C$18),MAX(AZ74*(1+VLOOKUP($C74,WeatherCapacityAdjustment,2))-FL74,0),0))</f>
        <v>#VALUE!</v>
      </c>
      <c r="FU74" s="1551" t="e">
        <f aca="false">IF(AND(Assumptions!$H$71="Yes",A74&gt;=Assumptions!$H$72,A74&lt;=Assumptions!$H$73),0,IF(AND($A74&gt;=Assumptions!$C$17,$A74&lt;=Assumptions!$C$18),MAX(BA74*(1+VLOOKUP($C74,WeatherCapacityAdjustment,2))-FM74,0),0))</f>
        <v>#VALUE!</v>
      </c>
      <c r="FV74" s="1551" t="e">
        <f aca="false">IF(AND(Assumptions!$H$71="Yes",A74&gt;=Assumptions!$H$72,A74&lt;=Assumptions!$H$73),0,IF(AND($A74&gt;=Assumptions!$C$17,$A74&lt;=Assumptions!$C$18),MAX(BB74*(1+VLOOKUP($C74,WeatherCapacityAdjustment,2))-FN74,0),0))</f>
        <v>#VALUE!</v>
      </c>
      <c r="FW74" s="1564" t="e">
        <f aca="false">IF(AND(Assumptions!$H$71="Yes",A74&gt;=Assumptions!$H$72,A74&lt;=Assumptions!$H$73),0,IF(AND($A74&gt;=Assumptions!$C$17,$A74&lt;=Assumptions!$C$18),MAX(BC74*(1+VLOOKUP($C74,WeatherCapacityAdjustment,3))-FO74,0),0))</f>
        <v>#VALUE!</v>
      </c>
      <c r="FX74" s="1569" t="e">
        <f aca="false">IF(AND(Assumptions!$H$71="Yes",A74&gt;=Assumptions!$H$72,A74&lt;=Assumptions!$H$73),0,IF(ET74&gt;0,MAX(BH74*(1+VLOOKUP($C74,WeatherCapacityAdjustment,2))-FP74,0),0))</f>
        <v>#VALUE!</v>
      </c>
      <c r="FY74" s="1551" t="e">
        <f aca="false">IF(AND(Assumptions!$H$71="Yes",A74&gt;=Assumptions!$H$72,A74&lt;=Assumptions!$H$73),0,IF(EU74&gt;0,MAX(BI74*(1+VLOOKUP($C74,WeatherCapacityAdjustment,3))-FQ74,0),0))</f>
        <v>#VALUE!</v>
      </c>
      <c r="FZ74" s="1551" t="e">
        <f aca="false">IF(AND(Assumptions!$H$71="Yes",A74&gt;=Assumptions!$H$72,A74&lt;=Assumptions!$H$73),0,IF(EV74&gt;0,MAX(BJ74*(1+VLOOKUP($C74,WeatherCapacityAdjustment,2))-FR74,0),0))</f>
        <v>#VALUE!</v>
      </c>
      <c r="GA74" s="1564" t="e">
        <f aca="false">IF(AND(Assumptions!$H$71="Yes",A74&gt;=Assumptions!$H$72,A74&lt;=Assumptions!$H$73),0,IF(EW74&gt;0,MAX(BK74*(1+VLOOKUP($C74,WeatherCapacityAdjustment,2))-FS74,0),0))</f>
        <v>#VALUE!</v>
      </c>
      <c r="GB74" s="1551" t="e">
        <f aca="false">SUM(FT74:GA74)</f>
        <v>#VALUE!</v>
      </c>
      <c r="GC74" s="1563" t="e">
        <f aca="false">+IF(SUM(FT74:GA74)=0,0,(SUMPRODUCT(BU74:BX74,FT74:FW74)+SUMPRODUCT(CA74:CD74,FX74:GA74))/SUM(FT74:GA74))</f>
        <v>#VALUE!</v>
      </c>
      <c r="GD74" s="1551" t="e">
        <f aca="false">(FT74*BU74+FX74*CA74+FU74*BV74+FY74*CB74+FV74*BW74+FZ74*CC74+FW74*BX74+GA74*CD74)</f>
        <v>#VALUE!</v>
      </c>
      <c r="GE74" s="1561" t="e">
        <f aca="false">+IF(BQ74,((FL74+FM74+FT74+FU74)*HeatRatePeak/1000*(1+VLOOKUP($C74,WeatherHeatRateAdjustment,2))+(FN74+FV74)*IF(EV74&gt;0,HeatRatePeak,HeatRateOffPeak)/1000*(1+VLOOKUP($C74,WeatherHeatRateAdjustment,2))+(FO74+FW74)*IF(EW74&gt;0,HeatRatePeak,HeatRateOffPeak)/1000*(1+VLOOKUP($C74,WeatherHeatRateAdjustment,3)))*(1+VLOOKUP($B74,HeatRateDegradation,$C74+1)),0)</f>
        <v>#VALUE!</v>
      </c>
      <c r="GF74" s="1562" t="e">
        <f aca="false">IF(BQ74,((FP74+FQ74+FR74+FX74+FY74+FZ74)*HeatRatePeak/1000*(1+VLOOKUP($C74,WeatherHeatRateAdjustment,2))+(FS74+GA74)*HeatRatePeak/1000*(1+VLOOKUP($C74,WeatherHeatRateAdjustment,3)))*(1+VLOOKUP($B74,HeatRateDegradation,$C74+1)),0)</f>
        <v>#VALUE!</v>
      </c>
      <c r="GG74" s="1563" t="e">
        <f aca="false">IF(BQ74,VLOOKUP(A74,GasTable,13),0)</f>
        <v>#VALUE!</v>
      </c>
      <c r="GH74" s="1564" t="e">
        <f aca="false">(GE74+GF74)*GG74</f>
        <v>#VALUE!</v>
      </c>
      <c r="GI74" s="1569" t="e">
        <f aca="false">GB74</f>
        <v>#VALUE!</v>
      </c>
      <c r="GJ74" s="1598" t="e">
        <f aca="false">+DA74</f>
        <v>#VALUE!</v>
      </c>
      <c r="GK74" s="1558" t="e">
        <f aca="false">+GI74*GJ74</f>
        <v>#VALUE!</v>
      </c>
      <c r="GL74" s="1566" t="e">
        <f aca="false">MAX(FE74-FL74-FP74,0)</f>
        <v>#VALUE!</v>
      </c>
      <c r="GM74" s="1551" t="e">
        <f aca="false">MAX(FF74-FM74-FQ74,0)</f>
        <v>#VALUE!</v>
      </c>
      <c r="GN74" s="1551" t="e">
        <f aca="false">MAX(FG74-FN74-FR74,0)</f>
        <v>#VALUE!</v>
      </c>
      <c r="GO74" s="1564" t="e">
        <f aca="false">MAX(FH74-FO74-FS74,0)</f>
        <v>#VALUE!</v>
      </c>
      <c r="GP74" s="1551" t="e">
        <f aca="false">SUM(GL74:GO74)</f>
        <v>#VALUE!</v>
      </c>
      <c r="GQ74" s="1563" t="e">
        <f aca="false">IF(SUM(GL74:GO74)=0,0,((GL74*BU74+GM74*BV74+GN74*BW74+GO74*BX74)/SUM(GL74:GO74)))</f>
        <v>#VALUE!</v>
      </c>
      <c r="GR74" s="1558" t="e">
        <f aca="false">(GL74*BU74+GM74*BV74+GN74*BW74+GO74*BX74)</f>
        <v>#VALUE!</v>
      </c>
      <c r="GS74" s="1566" t="n">
        <f aca="false">IF($A74&gt;=BegDate,Assumptions!$C$56*24*($A75-$A74)*(1-VLOOKUP($B74,MAIN!$AA$7:$AM$28,$C74+1))*(1-VLOOKUP($B74,MAIN!$AA$33:$AM$54,$C74+1)),0)*80/168</f>
        <v>232800</v>
      </c>
      <c r="GT74" s="286" t="n">
        <f aca="false">J74</f>
        <v>39.7758358322438</v>
      </c>
      <c r="GU74" s="286" t="n">
        <f aca="false">IF($A74&gt;=BegDate,VLOOKUP($A74,GasTable,13)+Assumptions!$C$58,0)</f>
        <v>2.60242912205187</v>
      </c>
      <c r="GV74" s="286" t="n">
        <f aca="false">GU74*Assumptions!$C$57/1000</f>
        <v>18.8676111348761</v>
      </c>
      <c r="GW74" s="1558" t="n">
        <f aca="false">IF(Assumptions!$C$60="Hourly",MAX(0,GS74*(GT74-GV74)),GS74*(GT74-GV74))</f>
        <v>4867434.70954721</v>
      </c>
      <c r="GX74" s="1566" t="n">
        <f aca="false">IF($A74&gt;=BegDate,Assumptions!$C$56*24*($A75-$A74)*(1-VLOOKUP($B74,MAIN!$AA$7:$AM$28,$C74+1))*(1-VLOOKUP($B74,MAIN!$AA$33:$AM$54,$C74+1)),0)*16/168</f>
        <v>46560</v>
      </c>
      <c r="GY74" s="286" t="n">
        <f aca="false">M74</f>
        <v>39.7758358322438</v>
      </c>
      <c r="GZ74" s="286" t="n">
        <f aca="false">IF($A74&gt;=BegDate,VLOOKUP($A74,GasTable,13)+Assumptions!$C$58,0)</f>
        <v>2.60242912205187</v>
      </c>
      <c r="HA74" s="286" t="n">
        <f aca="false">GZ74*Assumptions!$C$57/1000</f>
        <v>18.8676111348761</v>
      </c>
      <c r="HB74" s="1558" t="n">
        <f aca="false">IF(Assumptions!$C$60="Hourly",MAX(0,GX74*(GY74-HA74)),GX74*(GY74-HA74))</f>
        <v>973486.941909443</v>
      </c>
      <c r="HC74" s="1566" t="n">
        <f aca="false">IF($A74&gt;=BegDate,Assumptions!$C$56*24*($A75-$A74)*(1-VLOOKUP($B74,MAIN!$AA$7:$AM$28,$C74+1))*(1-VLOOKUP($B74,MAIN!$AA$33:$AM$54,$C74+1)),0)*16/168</f>
        <v>46560</v>
      </c>
      <c r="HD74" s="286" t="n">
        <f aca="false">P74</f>
        <v>25.2970305871594</v>
      </c>
      <c r="HE74" s="286" t="n">
        <f aca="false">IF($A74&gt;=BegDate,VLOOKUP($A74,GasTable,13)+Assumptions!$C$58,0)</f>
        <v>2.60242912205187</v>
      </c>
      <c r="HF74" s="286" t="n">
        <f aca="false">HE74*Assumptions!$C$57/1000</f>
        <v>18.8676111348761</v>
      </c>
      <c r="HG74" s="1558" t="n">
        <f aca="false">IF(Assumptions!$C$60="Hourly",MAX(0,HC74*(HD74-HF74)),HC74*(HD74-HF74))</f>
        <v>299353.769698309</v>
      </c>
      <c r="HH74" s="1566" t="n">
        <f aca="false">IF($A74&gt;=BegDate,Assumptions!$C$56*24*($A75-$A74)*(1-VLOOKUP($B74,MAIN!$AA$7:$AM$28,$C74+1))*(1-VLOOKUP($B74,MAIN!$AA$33:$AM$54,$C74+1)),0)*56/168</f>
        <v>162960</v>
      </c>
      <c r="HI74" s="286" t="n">
        <f aca="false">S74</f>
        <v>25.2970305871594</v>
      </c>
      <c r="HJ74" s="286" t="n">
        <f aca="false">IF($A74&gt;=BegDate,VLOOKUP($A74,GasTable,13)+Assumptions!$C$58,0)</f>
        <v>2.60242912205187</v>
      </c>
      <c r="HK74" s="286" t="n">
        <f aca="false">HJ74*Assumptions!$C$57/1000</f>
        <v>18.8676111348761</v>
      </c>
      <c r="HL74" s="1558" t="n">
        <f aca="false">IF(Assumptions!$C$60="Hourly",MAX(0,HH74*(HI74-HK74)),HH74*(HI74-HK74))</f>
        <v>1047738.19394408</v>
      </c>
      <c r="HM74" s="1566" t="n">
        <f aca="false">IF(AND(Assumptions!$H$71="Yes",A74&gt;=Assumptions!$H$72,A74&lt;=Assumptions!$H$73),Assumptions!$H$74*Assumptions!$C$9*1000,0)</f>
        <v>0</v>
      </c>
      <c r="HN74" s="1551" t="e">
        <f aca="false">GD74-GH74</f>
        <v>#VALUE!</v>
      </c>
      <c r="HO74" s="1563"/>
      <c r="HP74" s="1563"/>
      <c r="HQ74" s="1563"/>
      <c r="HR74" s="1563"/>
      <c r="HS74" s="1563"/>
      <c r="HT74" s="1563"/>
      <c r="HU74" s="1563"/>
      <c r="HV74" s="1563"/>
      <c r="HW74" s="1563"/>
      <c r="HX74" s="1563"/>
      <c r="HY74" s="1563"/>
      <c r="HZ74" s="1563"/>
      <c r="IA74" s="1563"/>
      <c r="IB74" s="1563"/>
      <c r="IC74" s="1563"/>
      <c r="ID74" s="1563"/>
      <c r="IE74" s="1563"/>
      <c r="IF74" s="1563"/>
      <c r="IG74" s="1563"/>
      <c r="IH74" s="1563"/>
      <c r="II74" s="1610"/>
      <c r="IJ74" s="1309"/>
      <c r="IK74" s="1309"/>
    </row>
    <row r="75" customFormat="false" ht="12.75" hidden="false" customHeight="false" outlineLevel="0" collapsed="false">
      <c r="A75" s="1571" t="n">
        <f aca="false">EOMONTH(A74,0)+1</f>
        <v>38412</v>
      </c>
      <c r="B75" s="594" t="n">
        <f aca="false">+YEAR(A75)</f>
        <v>2005</v>
      </c>
      <c r="C75" s="238" t="n">
        <f aca="false">MONTH(A75)</f>
        <v>3</v>
      </c>
      <c r="D75" s="1572" t="e">
        <f aca="false">IF(E75="","",Holiday(B75,C75))</f>
        <v>#VALUE!</v>
      </c>
      <c r="E75" s="1573" t="n">
        <f aca="false">IF(OR(BegDate&gt;=A76,EndDate&lt;A75,AND(VolumeMonthlyOverFlag,INDEX(VolumeMonthlyOver,C75)=0),NOT(INDEX(MonthKnockOutTable,C75))),"",MAX(A75,BegDate))</f>
        <v>38412</v>
      </c>
      <c r="F75" s="1574" t="n">
        <f aca="false">IF(E75="","",MIN(A76-1,EndDate))</f>
        <v>38442</v>
      </c>
      <c r="G75" s="1575" t="n">
        <v>0</v>
      </c>
      <c r="H75" s="1576" t="n">
        <f aca="false">(1+G75/2)^(-2*(DATE(B76,C76,20)-DateToday)/365.25)</f>
        <v>1</v>
      </c>
      <c r="I75" s="1568" t="n">
        <f aca="false">IF(Assumptions!$L$25=4,VLOOKUP($A75,'Henwood Reference'!$E$9:$R$320,10),(VLOOKUP($A75,PriceTable,2,0)+IF(BasisNumber&lt;&gt;1,VLOOKUP($A75,BasisTable,2,0),0)+I$1)/(1-I$2))</f>
        <v>34.1832249317146</v>
      </c>
      <c r="J75" s="1568" t="n">
        <f aca="false">IF(Assumptions!$L$25=4,VLOOKUP($A75,'Henwood Reference'!$E$9:$R$320,10),(VLOOKUP($A75,PriceTable,3,0)+IF(BasisNumber&lt;&gt;1,VLOOKUP($A75,BasisTable,2,0),0)+J$1)/(1-J$2))</f>
        <v>34.1832249317146</v>
      </c>
      <c r="K75" s="1568" t="n">
        <f aca="false">IF(Assumptions!$L$25=4,VLOOKUP($A75,'Henwood Reference'!$E$9:$R$320,10),(VLOOKUP($A75,PriceTable,4,0)+IF(BasisNumber&lt;&gt;1,VLOOKUP($A75,BasisTable,2,0),0)+K$1)/(1-K$2))</f>
        <v>34.1832249317146</v>
      </c>
      <c r="L75" s="1523" t="n">
        <f aca="false">IF(Assumptions!$L$25=4,VLOOKUP($A75,'Henwood Reference'!$E$9:$R$320,10),(VLOOKUP($A75,PriceTableWeekend,2,0)+IF(BasisNumber&lt;&gt;1,VLOOKUP($A75,BasisTable,2,0),0)+L$1)/(1-L$2))</f>
        <v>34.1832249317146</v>
      </c>
      <c r="M75" s="1568" t="n">
        <f aca="false">IF(Assumptions!$L$25=4,VLOOKUP($A75,'Henwood Reference'!$E$9:$R$320,10),(VLOOKUP($A75,PriceTableWeekend,3,0)+IF(BasisNumber&lt;&gt;1,VLOOKUP($A75,BasisTable,2,0),0)+M$1)/(1-M$2))</f>
        <v>34.1832249317146</v>
      </c>
      <c r="N75" s="1599" t="n">
        <f aca="false">IF(Assumptions!$L$25=4,VLOOKUP($A75,'Henwood Reference'!$E$9:$R$320,10),(VLOOKUP($A75,PriceTableWeekend,4,0)+IF(BasisNumber&lt;&gt;1,VLOOKUP($A75,BasisTable,2,0),0)+N$1)/(1-N$2))</f>
        <v>34.1832249317146</v>
      </c>
      <c r="O75" s="1568" t="n">
        <f aca="false">IF(Assumptions!$L$25=4,VLOOKUP($A75,'Henwood Reference'!$E$9:$R$320,11),(VLOOKUP($A75,PriceTableWeekend,6,0)+IF(BasisNumber&lt;&gt;1,VLOOKUP($A75,BasisTable,3,0),0)+O$1)/(1-O$2))</f>
        <v>23.2486294729824</v>
      </c>
      <c r="P75" s="1568" t="n">
        <f aca="false">IF(Assumptions!$L$25=4,VLOOKUP($A75,'Henwood Reference'!$E$9:$R$320,11),(VLOOKUP($A75,PriceTableWeekend,7,0)+IF(BasisNumber&lt;&gt;1,VLOOKUP($A75,BasisTable,3,0),0)+P$1)/(1-P$2))</f>
        <v>23.2486294729824</v>
      </c>
      <c r="Q75" s="1599" t="n">
        <f aca="false">IF(Assumptions!$L$25=4,VLOOKUP($A75,'Henwood Reference'!$E$9:$R$320,11),(VLOOKUP($A75,PriceTableWeekend,8,0)+IF(BasisNumber&lt;&gt;1,VLOOKUP($A75,BasisTable,3,0),0)+Q$1)/(1-Q$2))</f>
        <v>23.2486294729824</v>
      </c>
      <c r="R75" s="1568" t="n">
        <f aca="false">IF(Assumptions!$L$25=4,VLOOKUP($A75,'Henwood Reference'!$E$9:$R$320,11),(VLOOKUP($A75,PriceTable,6,0)+IF(BasisNumber&lt;&gt;1,VLOOKUP($A75,BasisTable,3,0),0)+R$1)/(1-R$2))</f>
        <v>23.2486294729824</v>
      </c>
      <c r="S75" s="1568" t="n">
        <f aca="false">IF(Assumptions!$L$25=4,VLOOKUP($A75,'Henwood Reference'!$E$9:$R$320,11),(VLOOKUP($A75,PriceTable,7,0)+IF(BasisNumber&lt;&gt;1,VLOOKUP($A75,BasisTable,3,0),0)+S$1)/(1-S$2))</f>
        <v>23.2486294729824</v>
      </c>
      <c r="T75" s="1600" t="n">
        <f aca="false">IF(Assumptions!$L$25=4,VLOOKUP($A75,'Henwood Reference'!$E$9:$R$320,11),(VLOOKUP($A75,PriceTable,8,0)+IF(BasisNumber&lt;&gt;1,VLOOKUP($A75,BasisTable,3,0),0)+T$1)/(1-T$2))</f>
        <v>23.2486294729824</v>
      </c>
      <c r="U75" s="1513" t="n">
        <f aca="false">VLOOKUP($A75,VolatilityTable,14)</f>
        <v>0.145</v>
      </c>
      <c r="V75" s="1513" t="n">
        <f aca="false">VLOOKUP($A75,VolatilityTable,15)</f>
        <v>0.155</v>
      </c>
      <c r="W75" s="1514" t="n">
        <f aca="false">VLOOKUP($A75,VolatilityTable,16)</f>
        <v>0.165</v>
      </c>
      <c r="X75" s="1513" t="n">
        <f aca="false">VLOOKUP($A75,VolatilityTable,14)</f>
        <v>0.145</v>
      </c>
      <c r="Y75" s="1513" t="n">
        <f aca="false">VLOOKUP($A75,VolatilityTable,15)</f>
        <v>0.155</v>
      </c>
      <c r="Z75" s="1514" t="n">
        <f aca="false">VLOOKUP($A75,VolatilityTable,16)</f>
        <v>0.165</v>
      </c>
      <c r="AA75" s="1513" t="n">
        <f aca="false">VLOOKUP($A75,VolatilityTable,18)</f>
        <v>0.09</v>
      </c>
      <c r="AB75" s="1513" t="n">
        <f aca="false">VLOOKUP($A75,VolatilityTable,19)</f>
        <v>0.11</v>
      </c>
      <c r="AC75" s="1514" t="n">
        <f aca="false">VLOOKUP($A75,VolatilityTable,20)</f>
        <v>0.13</v>
      </c>
      <c r="AD75" s="1513" t="n">
        <f aca="false">VLOOKUP($A75,VolatilityTable,18)</f>
        <v>0.09</v>
      </c>
      <c r="AE75" s="1513" t="n">
        <f aca="false">VLOOKUP($A75,VolatilityTable,19)</f>
        <v>0.11</v>
      </c>
      <c r="AF75" s="1514" t="n">
        <f aca="false">VLOOKUP($A75,VolatilityTable,20)</f>
        <v>0.13</v>
      </c>
      <c r="AG75" s="1513" t="n">
        <f aca="false">VLOOKUP($A75,VolatilityTable,22)</f>
        <v>-0.1</v>
      </c>
      <c r="AH75" s="1513" t="n">
        <f aca="false">VLOOKUP($A75,VolatilityTable,23)</f>
        <v>0.65</v>
      </c>
      <c r="AI75" s="1514" t="n">
        <f aca="false">VLOOKUP($A75,VolatilityTable,24)</f>
        <v>0.1</v>
      </c>
      <c r="AJ75" s="1513" t="n">
        <f aca="false">VLOOKUP($A75,VolatilityTable,22)</f>
        <v>-0.1</v>
      </c>
      <c r="AK75" s="1513" t="n">
        <f aca="false">VLOOKUP($A75,VolatilityTable,23)</f>
        <v>0.65</v>
      </c>
      <c r="AL75" s="1514" t="n">
        <f aca="false">VLOOKUP($A75,VolatilityTable,24)</f>
        <v>0.1</v>
      </c>
      <c r="AM75" s="1513" t="n">
        <f aca="false">VLOOKUP($A75,VolatilityTable,26)</f>
        <v>-0.01</v>
      </c>
      <c r="AN75" s="1513" t="n">
        <f aca="false">VLOOKUP($A75,VolatilityTable,27)</f>
        <v>0.16</v>
      </c>
      <c r="AO75" s="1514" t="n">
        <f aca="false">VLOOKUP($A75,VolatilityTable,28)</f>
        <v>0.01</v>
      </c>
      <c r="AP75" s="1513" t="n">
        <f aca="false">VLOOKUP($A75,VolatilityTable,26)</f>
        <v>-0.01</v>
      </c>
      <c r="AQ75" s="1513" t="n">
        <f aca="false">VLOOKUP($A75,VolatilityTable,27)</f>
        <v>0.16</v>
      </c>
      <c r="AR75" s="1515" t="n">
        <f aca="false">VLOOKUP($A75,VolatilityTable,28)</f>
        <v>0.01</v>
      </c>
      <c r="AS75" s="1581" t="n">
        <f aca="false">IF(CorrPeakOffPeakOverFlag,INDEX(CorrPeakOffPeakOver,C75),CorrPeakOffPeak)</f>
        <v>0.5</v>
      </c>
      <c r="AT75" s="594" t="e">
        <f aca="false">AX75-SUM(AU75:AW75)</f>
        <v>#VALUE!</v>
      </c>
      <c r="AU75" s="238" t="e">
        <f aca="false">IF(E75="",0,INT((F75-MOD(F75,7)-E75)/7)+1-IF(AW75,IF(WEEKDAY(D75)=7,1,0),0))</f>
        <v>#VALUE!</v>
      </c>
      <c r="AV75" s="238" t="e">
        <f aca="false">IF(E75="",0,INT((F75-MOD(F75-1,7)-E75)/7)+1-IF(AW75,IF(WEEKDAY(D75)=1,1,0),0))</f>
        <v>#VALUE!</v>
      </c>
      <c r="AW75" s="238" t="e">
        <f aca="false">IF(OR(E75="",D75="",D75&lt;BegDate,D75&gt;EndDate),0,1)</f>
        <v>#VALUE!</v>
      </c>
      <c r="AX75" s="238" t="n">
        <f aca="false">IF(E75="",0,F75-E75+1)</f>
        <v>31</v>
      </c>
      <c r="AY75" s="1582" t="n">
        <f aca="false">IF(E75="",0,MIN((1-(1-VLOOKUP(B75,MAIN!$AA$7:$AM$28,C75+1))*(1-VLOOKUP(B75,MAIN!$AA$33:$AM$54,C75+1))),1))</f>
        <v>0.03</v>
      </c>
      <c r="AZ75" s="1519" t="e">
        <v>#VALUE!</v>
      </c>
      <c r="BA75" s="1520" t="e">
        <v>#VALUE!</v>
      </c>
      <c r="BB75" s="1520" t="e">
        <v>#VALUE!</v>
      </c>
      <c r="BC75" s="1583" t="e">
        <v>#VALUE!</v>
      </c>
      <c r="BD75" s="1522" t="e">
        <v>#VALUE!</v>
      </c>
      <c r="BE75" s="1523" t="e">
        <v>#VALUE!</v>
      </c>
      <c r="BF75" s="1523" t="e">
        <v>#VALUE!</v>
      </c>
      <c r="BG75" s="1584" t="e">
        <v>#VALUE!</v>
      </c>
      <c r="BH75" s="1525" t="e">
        <v>#VALUE!</v>
      </c>
      <c r="BI75" s="1520" t="e">
        <v>#VALUE!</v>
      </c>
      <c r="BJ75" s="1520" t="e">
        <v>#VALUE!</v>
      </c>
      <c r="BK75" s="1583" t="e">
        <v>#VALUE!</v>
      </c>
      <c r="BL75" s="1522" t="e">
        <v>#VALUE!</v>
      </c>
      <c r="BM75" s="1523" t="e">
        <v>#VALUE!</v>
      </c>
      <c r="BN75" s="1523" t="e">
        <v>#VALUE!</v>
      </c>
      <c r="BO75" s="1523" t="e">
        <v>#VALUE!</v>
      </c>
      <c r="BP75" s="1525" t="e">
        <f aca="false">SUM(AZ75:BB75)</f>
        <v>#VALUE!</v>
      </c>
      <c r="BQ75" s="1529" t="e">
        <f aca="false">SUM(AZ75:BC75)</f>
        <v>#VALUE!</v>
      </c>
      <c r="BR75" s="1519" t="e">
        <f aca="false">SUM(BH75:BJ75)</f>
        <v>#VALUE!</v>
      </c>
      <c r="BS75" s="1529" t="e">
        <f aca="false">SUM(BH75:BK75)</f>
        <v>#VALUE!</v>
      </c>
      <c r="BT75" s="1316" t="n">
        <f aca="false">(IF(OVolType&lt;&gt;2,A75+14,IF(OptExpDateShift,ShiftBack(A75,OptExpDateShift,D74),A75))-DateToday)/365.25</f>
        <v>4.8788501026694</v>
      </c>
      <c r="BU75" s="1585" t="e">
        <f aca="false">IF(BQ75,IF(OPriceCurve,IF(OBuySell=OCallPut,I75/(1-AY75),K75/(1-AY75)),J75/(1-AY75))*BD75,0)</f>
        <v>#VALUE!</v>
      </c>
      <c r="BV75" s="1316" t="e">
        <f aca="false">IF(BQ75,IF(OPriceCurve,IF(OBuySell=OCallPut,L75/(1-AY75),N75/(1-AY75)),M75/(1-AY75))*BE75,0)</f>
        <v>#VALUE!</v>
      </c>
      <c r="BW75" s="1316" t="e">
        <f aca="false">IF(BQ75,IF(OPriceCurve,IF(OBuySell=OCallPut,O75/(1-AY75),Q75/(1-AY75)),P75/(1-AY75))*BF75,0)</f>
        <v>#VALUE!</v>
      </c>
      <c r="BX75" s="1316" t="e">
        <f aca="false">IF(BQ75,IF(OPriceCurve,IF(OBuySell=OCallPut,R75/(1-AY75),T75/(1-AY75)),S75/(1-AY75))*BG75,0)</f>
        <v>#VALUE!</v>
      </c>
      <c r="BY75" s="1316" t="e">
        <f aca="false">IF(BP75,(BU75*AZ75+BV75*BA75+BW75*BB75)/BP75,0)</f>
        <v>#VALUE!</v>
      </c>
      <c r="BZ75" s="1316" t="e">
        <f aca="false">IF(BQ75,(BY75*BP75+BX75*BC75)/BQ75,0)</f>
        <v>#VALUE!</v>
      </c>
      <c r="CA75" s="1531" t="e">
        <f aca="false">IF(BS75,IF(OPriceCurve,IF(OBuySell=OCallPut,I75/(1-AY75),K75/(1-AY75)),J75/(1-AY75))*BL75,0)</f>
        <v>#VALUE!</v>
      </c>
      <c r="CB75" s="1316" t="e">
        <f aca="false">IF(BS75,IF(OPriceCurve,IF(OBuySell=OCallPut,L75/(1-AY75),N75/(1-AY75)),M75/(1-AY75))*BM75,0)</f>
        <v>#VALUE!</v>
      </c>
      <c r="CC75" s="1316" t="e">
        <f aca="false">IF(BS75,IF(OPriceCurve,IF(OBuySell=OCallPut,O75/(1-AY75),Q75/(1-AY75)),P75/(1-AY75))*BN75,0)</f>
        <v>#VALUE!</v>
      </c>
      <c r="CD75" s="1316" t="e">
        <f aca="false">IF(BS75,IF(OPriceCurve,IF(OBuySell=OCallPut,R75/(1-AY75),T75/(1-AY75)),S75/(1-AY75))*BO75,0)</f>
        <v>#VALUE!</v>
      </c>
      <c r="CE75" s="1316" t="e">
        <f aca="false">IF(BR75,(BU75*BH75+BV75*BI75+BW75*BJ75)/BR75,0)</f>
        <v>#VALUE!</v>
      </c>
      <c r="CF75" s="1532" t="e">
        <f aca="false">IF(BS75,(CE75*BR75+CD75*BK75)/BS75,0)</f>
        <v>#VALUE!</v>
      </c>
      <c r="CG75" s="1586" t="e">
        <f aca="false">IF(OR(BQ75,BS75),IF(OVolType&lt;&gt;2,SQRT(IF(OVolOverMonthlyPeak,OVolOverMonthlyPeak,IF(OVolCurve,IF(OBuySell,U75,W75),V75))^2*(1-15/365.25/BT75)+IF(OVolOverDailyPeak,OVolOverDailyPeak,IF(OVolCurve,IF(OBuySell,AG75,AI75),AH75))^2*15/365.25/BT75),IF(OVolOverMonthlyPeak,OVolOverMonthlyPeak,IF(OVolCurve,IF(OBuySell,U75,W75),V75))),"")</f>
        <v>#VALUE!</v>
      </c>
      <c r="CH75" s="1587" t="e">
        <f aca="false">IF(OR(BQ75,BS75),IF(OVolType&lt;&gt;2,SQRT(IF(OVolOverMonthlyPeak,OVolOverMonthlyPeak,IF(OVolCurve,IF(OBuySell,X75,Z75),Y75))^2*(1-15/365.25/BT75)+IF(OVolOverDailyPeak,OVolOverDailyPeak,IF(OVolCurve,IF(OBuySell,AJ75,AL75),AK75))^2*15/365.25/BT75),IF(OVolOverMonthlyPeak,OVolOverMonthlyPeak,IF(OVolCurve,IF(OBuySell,X75,Z75),Y75))),"")</f>
        <v>#VALUE!</v>
      </c>
      <c r="CI75" s="1587" t="e">
        <f aca="false">IF(OR(BQ75,BS75),IF(OVolType&lt;&gt;2,SQRT(IF(OVolOverMonthlyPeak,OVolOverMonthlyPeak,IF(OVolCurve,IF(OBuySell,AA75,AC75),AB75))^2*(1-15/365.25/BT75)+IF(OVolOverDailyPeak,OVolOverDailyPeak,IF(OVolCurve,IF(OBuySell,AM75,AO75),AN75))^2*15/365.25/BT75),IF(OVolOverMonthlyPeak,OVolOverMonthlyPeak,IF(OVolCurve,IF(OBuySell,AA75,AC75),AB75))),"")</f>
        <v>#VALUE!</v>
      </c>
      <c r="CJ75" s="1587" t="e">
        <f aca="false">IF(BQ75,IF(BP75,SQRT(LN(1+((BU75*AZ75)^2*(EXP(CG75^2*BT75)-1)+(BV75*BA75)^2*(EXP(CH75^2*BT75)-1)+(BW75*BB75)^2*(EXP(CI75^2*BT75)-1)+2*BU75*AZ75*BV75*BA75*(EXP(CG75*CH75*BT75)-1)+2*BV75*BA75*BW75*BB75*(EXP(CH75*CI75*BT75)-1)+2*BW75*BB75*BU75*AZ75*(EXP(CI75*CG75*BT75)-1))/(BY75*BP75)^2)/BT75),0),"")</f>
        <v>#VALUE!</v>
      </c>
      <c r="CK75" s="1587" t="e">
        <f aca="false">IF(BS75,IF(BR75,SQRT(LN(1+((CA75*BH75)^2*(EXP(CG75^2*BT75)-1)+(CB75*BI75)^2*(EXP(CH75^2*BT75)-1)+(CC75*BJ75)^2*(EXP(CI75^2*BT75)-1)+2*CA75*BH75*CB75*BI75*(EXP(CG75*CH75*BT75)-1)+2*CB75*BI75*CC75*BJ75*(EXP(CH75*CI75*BT75)-1)+2*CC75*BJ75*CA75*BH75*(EXP(CI75*CG75*BT75)-1))/(CE75*BR75)^2)/BT75),0),"")</f>
        <v>#VALUE!</v>
      </c>
      <c r="CL75" s="1587" t="e">
        <f aca="false">IF(OR(BQ75,BS75),IF(OVolType&lt;&gt;2,SQRT(IF(OVolOverMonthlyOffPeak,OVolOverMonthlyOffPeak,IF(OVolCurve,IF(OBuySell,AD75,AF75),AE75))^2*(1-15/365.25/BT75)+IF(OVolOverDailyOffPeak,OVolOverDailyOffPeak,IF(OVolCurve,IF(OBuySell,AP75,AR75),AQ75))^2*15/365.25/BT75),IF(OVolOverMonthlyOffPeak,OVolOverMonthlyOffPeak,IF(OVolCurve,IF(OBuySell,AD75,AF75),AE75))),"")</f>
        <v>#VALUE!</v>
      </c>
      <c r="CM75" s="1587" t="e">
        <f aca="false">IF(BQ75,SQRT(LN(1+((BY75*BP75)^2*(EXP(CJ75^2*BT75)-1)+(BX75*BC75)^2*(EXP(CL75^2*BT75)-1)+2*BY75*BP75*BX75*BC75*(EXP(AS75*CJ75*CL75*BT75)-1))/(BY75*BP75+BX75*BC75)^2)/BT75),"")</f>
        <v>#VALUE!</v>
      </c>
      <c r="CN75" s="1588" t="e">
        <f aca="false">IF(BS75,SQRT(LN(1+((CE75*BR75)^2*(EXP(CK75^2*BT75)-1)+(CD75*BK75)^2*(EXP(CL75^2*BT75)-1)+2*CE75*BR75*CD75*BK75*(EXP(AS75*CK75*CL75*BT75)-1))/(CE75*BR75+CD75*BK75)^2)/BT75),"")</f>
        <v>#VALUE!</v>
      </c>
      <c r="CO75" s="1531" t="e">
        <f aca="false">IF(OR(BQ75,BS75),VLOOKUP(A75,GasTable,13)*HeatRatePeak*(1+VLOOKUP($B75,HeatRateDegradation,$C75+1))/1000,0)</f>
        <v>#VALUE!</v>
      </c>
      <c r="CP75" s="1316" t="e">
        <f aca="false">IF(OR(BQ75,BS75),VLOOKUP(A75,GasTable,13)*HeatRatePeak*(1+VLOOKUP($B75,HeatRateDegradation,$C75+1))/1000,0)</f>
        <v>#VALUE!</v>
      </c>
      <c r="CQ75" s="1316" t="e">
        <f aca="false">IF(OR(BQ75,BS75),VLOOKUP(A75,GasTable,13)*IF(EV75,HeatRatePeak,HeatRateOffPeak)*(1+VLOOKUP($B75,HeatRateDegradation,$C75+1))/1000,0)</f>
        <v>#VALUE!</v>
      </c>
      <c r="CR75" s="1316" t="e">
        <f aca="false">IF(OR(BQ75,BS75),VLOOKUP(A75,GasTable,13)*IF(EW75,HeatRatePeak,HeatRateOffPeak)*(1+VLOOKUP($B75,HeatRateDegradation,$C75+1))/1000,0)</f>
        <v>#VALUE!</v>
      </c>
      <c r="CS75" s="1589" t="e">
        <f aca="false">IF(BQ75,(CO75*AZ75+CP75*BA75+CQ75*BB75+CR75*BC75)/BQ75,0)</f>
        <v>#VALUE!</v>
      </c>
      <c r="CT75" s="1316" t="e">
        <f aca="false">IF(BS75,CO75,0)</f>
        <v>#VALUE!</v>
      </c>
      <c r="CU75" s="1590" t="e">
        <f aca="false">IF(OR(BQ75,BS75),VLOOKUP(A75,GasTable,14),"")</f>
        <v>#VALUE!</v>
      </c>
      <c r="CV75" s="1568" t="e">
        <f aca="false">IF(OR(BQ75,BS75),IF(CorrPowerGasOverFlag,INDEX(CorrPowerGasOver,C75),CorrPowerGas),"")</f>
        <v>#VALUE!</v>
      </c>
      <c r="CW75" s="1316" t="e">
        <f aca="false">IF(OR($BQ75,$BS75),SpreadOptPowerMargin,0)*((1+Assumptions!$C$26)^($B75-YEAR(Assumptions!$C$17)))</f>
        <v>#VALUE!</v>
      </c>
      <c r="CX75" s="1316" t="e">
        <f aca="false">IF(OR($BQ75,$BS75),SpreadOptPowerMargin,0)*((1+Assumptions!$C$26)^($B75-YEAR(Assumptions!$C$17)))</f>
        <v>#VALUE!</v>
      </c>
      <c r="CY75" s="1316" t="e">
        <f aca="false">IF(OR($BQ75,$BS75),SpreadOptPowerMargin,0)*((1+Assumptions!$C$26)^($B75-YEAR(Assumptions!$C$17)))</f>
        <v>#VALUE!</v>
      </c>
      <c r="CZ75" s="1316" t="e">
        <f aca="false">IF(OR($BQ75,$BS75),SpreadOptPowerMargin,0)*((1+Assumptions!$C$26)^($B75-YEAR(Assumptions!$C$17)))</f>
        <v>#VALUE!</v>
      </c>
      <c r="DA75" s="1591" t="e">
        <f aca="false">IF(OR(BQ75,BS75),(CW75*(AZ75+BH75)+CX75*(BA75+BI75)+CY75*(BB75+BJ75)+CZ75*(BC75+BK75))/(BQ75+BS75),0)</f>
        <v>#VALUE!</v>
      </c>
      <c r="DB75" s="1592" t="e">
        <f aca="false">IF(OR(BQ75,BS75),CG75+IF(OVolSmile,VLOOKUP(MAX(-5,CO75+CW75-BU75),IF(OVolSmile=1,VolSmileBook,VolSmileModel),2),0),"")</f>
        <v>#VALUE!</v>
      </c>
      <c r="DC75" s="1592" t="e">
        <f aca="false">IF(OR(BQ75,BS75),CH75+IF(OVolSmile,VLOOKUP(MAX(-5,CP75+CW75-BV75),IF(OVolSmile=1,VolSmileBook,VolSmileModel),2),0),"")</f>
        <v>#VALUE!</v>
      </c>
      <c r="DD75" s="1592" t="e">
        <f aca="false">IF(OR(BQ75,BS75),CI75+IF(OVolSmile,VLOOKUP(MAX(-5,CQ75+CW75-BW75),IF(OVolSmile=1,VolSmileBook,VolSmileModel),2),0),"")</f>
        <v>#VALUE!</v>
      </c>
      <c r="DE75" s="1592" t="e">
        <f aca="false">IF(OR(BQ75,BS75),CL75+IF(OVolSmile,VLOOKUP(MAX(-5,CR75+CZ75-BX75),IF(OVolSmile=1,VolSmileBook,VolSmileModel),2),0),"")</f>
        <v>#VALUE!</v>
      </c>
      <c r="DF75" s="1592" t="e">
        <f aca="false">IF(BQ75,CM75+IF(OVolSmile,VLOOKUP(MAX(-5,CS75+DA75-BZ75),IF(OVolSmile=1,VolSmileBook,VolSmileModel),2),0),"")</f>
        <v>#VALUE!</v>
      </c>
      <c r="DG75" s="1593" t="e">
        <f aca="false">IF(BS75,CN75+IF(OVolSmile,VLOOKUP(MAX(-5,CT75+DA75-CF75),IF(OVolSmile=1,VolSmileBook,VolSmileModel),2),0),"")</f>
        <v>#VALUE!</v>
      </c>
      <c r="DH75" s="1316" t="e">
        <f aca="false">IF(AND(BU75&gt;0,CO75&gt;0,DB75&gt;0,CU75&gt;0),newSPRDOPT(BU75,CO75,CW75,0,DB75,CU75,CV75,BT75*365.25,OCallPut,0),0)</f>
        <v>#VALUE!</v>
      </c>
      <c r="DI75" s="1316" t="e">
        <f aca="false">IF(AND(BV75&gt;0,CP75&gt;0,DC75&gt;0,CU75&gt;0),newSPRDOPT(BV75,CP75,CX75,0,DC75,CU75,CV75,BT75*365.25,OCallPut,0),0)</f>
        <v>#VALUE!</v>
      </c>
      <c r="DJ75" s="1316" t="e">
        <f aca="false">IF(AND(BW75&gt;0,CQ75&gt;0,DD75&gt;0,CU75&gt;0),newSPRDOPT(BW75,CQ75,CY75,0,DD75,CU75,CV75,BT75*365.25,OCallPut,0),0)</f>
        <v>#VALUE!</v>
      </c>
      <c r="DK75" s="1316" t="e">
        <f aca="false">IF(AND(BX75&gt;0,CR75&gt;0,DE75&gt;0,CU75&gt;0),newSPRDOPT(BX75,CR75,CZ75,0,DE75,CU75,CV75,BT75*365.25,OCallPut,0),0)</f>
        <v>#VALUE!</v>
      </c>
      <c r="DL75" s="1316" t="e">
        <f aca="false">IF(OVolType,IF(AND(BZ75&gt;0,CS75&gt;0,DF75&gt;0,CU75&gt;0),newSPRDOPT(BZ75,CS75,DA75,0,DF75,CU75,CV75,BT75*365.25,OCallPut,0),0),IF(BQ75,(DH75*AZ75+DI75*BA75+DJ75*BB75+DK75*BC75)/BQ75,0))</f>
        <v>#VALUE!</v>
      </c>
      <c r="DM75" s="1316"/>
      <c r="DN75" s="1316"/>
      <c r="DO75" s="1316"/>
      <c r="DP75" s="1316"/>
      <c r="DQ75" s="1316"/>
      <c r="DR75" s="1316"/>
      <c r="DS75" s="1316"/>
      <c r="DT75" s="1316"/>
      <c r="DU75" s="1316"/>
      <c r="DV75" s="1316"/>
      <c r="DW75" s="1594" t="e">
        <f aca="false">IF(AND(BW75&gt;0,CT75&gt;0,DD75&gt;0,CU75&gt;0),newSPRDOPT(BW75,CT75,CY75,0,DD75,CU75,CV75,BT75*365.25,OCallPut,0),0)</f>
        <v>#VALUE!</v>
      </c>
      <c r="DX75" s="1316" t="e">
        <f aca="false">IF(AND(BX75&gt;0,CT75&gt;0,DE75&gt;0,CU75&gt;0),newSPRDOPT(BX75,CT75,CZ75,0,DE75,CU75,CV75,BT75*365.25,OCallPut,0),0)</f>
        <v>#VALUE!</v>
      </c>
      <c r="DY75" s="1591" t="e">
        <f aca="false">IF(BS75,(DH75*BH75+DI75*BI75+DW75*BJ75+DX75*BK75)/BS75,0)</f>
        <v>#VALUE!</v>
      </c>
      <c r="DZ75" s="1551" t="e">
        <f aca="false">DH75*AZ75</f>
        <v>#VALUE!</v>
      </c>
      <c r="EA75" s="1551" t="e">
        <f aca="false">DI75*BA75</f>
        <v>#VALUE!</v>
      </c>
      <c r="EB75" s="1551" t="e">
        <f aca="false">DJ75*BB75</f>
        <v>#VALUE!</v>
      </c>
      <c r="EC75" s="1551" t="e">
        <f aca="false">DK75*BC75</f>
        <v>#VALUE!</v>
      </c>
      <c r="ED75" s="1551" t="e">
        <f aca="false">DL75*BQ75</f>
        <v>#VALUE!</v>
      </c>
      <c r="EE75" s="1595" t="e">
        <f aca="false">IF(BQ75,IF(OCallPut,IF(BU75&gt;(CO75+CW75),BU75-(CO75+CW75),0),IF((CO75+CW75)&gt;BU75,(CO75+CW75)-BU75,0))*AZ75,0)</f>
        <v>#VALUE!</v>
      </c>
      <c r="EF75" s="1596" t="e">
        <f aca="false">IF(BQ75,IF(OCallPut,IF(BV75&gt;(CP75+CX75),BV75-(CP75+CX75),0),IF((CP75+CX75)&gt;BV75,(CP75+CX75)-BV75,0))*BA75,0)</f>
        <v>#VALUE!</v>
      </c>
      <c r="EG75" s="1596" t="e">
        <f aca="false">IF(BQ75,IF(OCallPut,IF(BW75&gt;(CQ75+CY75),BW75-(CQ75+CY75),0),IF((CQ75+CY75)&gt;BW75,(CQ75+CY75)-BW75,0))*BB75,0)</f>
        <v>#VALUE!</v>
      </c>
      <c r="EH75" s="1596" t="e">
        <f aca="false">IF(BQ75,IF(OCallPut,IF(BX75&gt;(CR75+CZ75),BX75-(CR75+CZ75),0),IF((CR75+CZ75)&gt;BX75,(CR75+CZ75)-BX75,0))*BC75,0)</f>
        <v>#VALUE!</v>
      </c>
      <c r="EI75" s="1597" t="e">
        <f aca="false">IF(BQ75,IF(OVolType,IF(OCallPut,IF(BZ75&gt;(CS75+DA75),BZ75-(CS75+DA75),0),IF((CS75+DA75)&gt;BZ75,(CS75+DA75)-BZ75,0))*BQ75,SUM(EE75:EH75)),0)</f>
        <v>#VALUE!</v>
      </c>
      <c r="EJ75" s="1595" t="e">
        <f aca="false">DZ75-EE75</f>
        <v>#VALUE!</v>
      </c>
      <c r="EK75" s="1596" t="e">
        <f aca="false">EA75-EF75</f>
        <v>#VALUE!</v>
      </c>
      <c r="EL75" s="1596" t="e">
        <f aca="false">EB75-EG75</f>
        <v>#VALUE!</v>
      </c>
      <c r="EM75" s="1596" t="e">
        <f aca="false">EC75-EH75</f>
        <v>#VALUE!</v>
      </c>
      <c r="EN75" s="1597" t="e">
        <f aca="false">ED75-EI75</f>
        <v>#VALUE!</v>
      </c>
      <c r="EO75" s="1551" t="e">
        <f aca="false">DH75*BH75</f>
        <v>#VALUE!</v>
      </c>
      <c r="EP75" s="1551" t="e">
        <f aca="false">DI75*BI75</f>
        <v>#VALUE!</v>
      </c>
      <c r="EQ75" s="1551" t="e">
        <f aca="false">DW75*BJ75</f>
        <v>#VALUE!</v>
      </c>
      <c r="ER75" s="1551" t="e">
        <f aca="false">DX75*BK75</f>
        <v>#VALUE!</v>
      </c>
      <c r="ES75" s="1551" t="e">
        <f aca="false">DY75*BS75</f>
        <v>#VALUE!</v>
      </c>
      <c r="ET75" s="1566" t="e">
        <f aca="false">IF(EI75,IF(OCallPut,IF(CA75&gt;(CT75+CW75),CA75-(CT75+CW75),0),IF((CT75+CW75)&gt;CA75,(CT75+CW75)-CA75,0))*BH75,0)</f>
        <v>#VALUE!</v>
      </c>
      <c r="EU75" s="1551" t="e">
        <f aca="false">IF(EI75,IF(OCallPut,IF(CB75&gt;(CT75+CX75),CB75-(CT75+CX75),0),IF((CT75+CX75)&gt;CB75,(CT75+CX75)-CB75,0))*BI75,0)</f>
        <v>#VALUE!</v>
      </c>
      <c r="EV75" s="1551" t="e">
        <f aca="false">IF(EI75,IF(OCallPut,IF(CC75&gt;(CT75+CY75),CC75-(CT75+CY75),0),IF((CT75+CY75)&gt;CC75,(CT75+CY75)-CC75,0))*BJ75,0)</f>
        <v>#VALUE!</v>
      </c>
      <c r="EW75" s="1551" t="e">
        <f aca="false">IF(EI75,IF(OCallPut,IF(CD75&gt;(CT75+CZ75),CD75-(CT75+CZ75),0),IF((CT75+CZ75)&gt;CD75,(CT75+CZ75)-CD75,0))*BK75,0)</f>
        <v>#VALUE!</v>
      </c>
      <c r="EX75" s="1558" t="e">
        <f aca="false">IF(EI75,SUM(ET75:EW75),0)</f>
        <v>#VALUE!</v>
      </c>
      <c r="EY75" s="1551" t="e">
        <f aca="false">EO75-ET75</f>
        <v>#VALUE!</v>
      </c>
      <c r="EZ75" s="1551" t="e">
        <f aca="false">EP75-EU75</f>
        <v>#VALUE!</v>
      </c>
      <c r="FA75" s="1551" t="e">
        <f aca="false">EQ75-EV75</f>
        <v>#VALUE!</v>
      </c>
      <c r="FB75" s="1551" t="e">
        <f aca="false">ER75-EW75</f>
        <v>#VALUE!</v>
      </c>
      <c r="FC75" s="1551" t="e">
        <f aca="false">ES75-EX75</f>
        <v>#VALUE!</v>
      </c>
      <c r="FD75" s="1525" t="n">
        <f aca="false">IF(AX75,IF(VLOOKUP(C75,MAIN!$L$17:$M$28,2)="Yes",VLOOKUP(CALC!B75,MAIN!$H$17:$I$20,2),0),0)</f>
        <v>0</v>
      </c>
      <c r="FE75" s="1552" t="e">
        <f aca="false">$FD75*16*AT75*(1-$AY75)</f>
        <v>#VALUE!</v>
      </c>
      <c r="FF75" s="1553" t="e">
        <f aca="false">$FD75*16*AU75*(1-$AY75)</f>
        <v>#VALUE!</v>
      </c>
      <c r="FG75" s="1553" t="e">
        <f aca="false">$FD75*16*(AV75+AW75)*(1-$AY75)</f>
        <v>#VALUE!</v>
      </c>
      <c r="FH75" s="1554" t="n">
        <f aca="false">$FD75*8*AX75*(1-$AY75)</f>
        <v>0</v>
      </c>
      <c r="FI75" s="1555" t="n">
        <f aca="false">IF(AX75,VLOOKUP(CALC!B75,MAIN!$H$17:$K$20,4),0)</f>
        <v>0</v>
      </c>
      <c r="FJ75" s="1553" t="e">
        <f aca="false">SUM(FE75:FH75)</f>
        <v>#VALUE!</v>
      </c>
      <c r="FK75" s="1556" t="e">
        <f aca="false">FI75*FJ75</f>
        <v>#VALUE!</v>
      </c>
      <c r="FL75" s="1551" t="e">
        <f aca="false">IF($EI75&gt;0,MIN(FE75,AZ75*(1+VLOOKUP($C75,WeatherCapacityAdjustment,2))),0)</f>
        <v>#VALUE!</v>
      </c>
      <c r="FM75" s="1551" t="e">
        <f aca="false">IF($EI75&gt;0,MIN(FF75,BA75*(1+VLOOKUP($C75,WeatherCapacityAdjustment,2))),0)</f>
        <v>#VALUE!</v>
      </c>
      <c r="FN75" s="1551" t="e">
        <f aca="false">IF($EI75&gt;0,MIN(FG75,BB75*(1+VLOOKUP($C75,WeatherCapacityAdjustment,2))),0)</f>
        <v>#VALUE!</v>
      </c>
      <c r="FO75" s="1564" t="e">
        <f aca="false">IF($EI75&gt;0,MIN(FH75,BC75*(1+VLOOKUP($C75,WeatherCapacityAdjustment,3))),0)</f>
        <v>#VALUE!</v>
      </c>
      <c r="FP75" s="1551" t="e">
        <f aca="false">IF(ET75&gt;0,MIN(FE75-FL75,BH75*(1+VLOOKUP($C75,WeatherCapacityAdjustment,2))),0)</f>
        <v>#VALUE!</v>
      </c>
      <c r="FQ75" s="1551" t="e">
        <f aca="false">IF(EU75&gt;0,MIN(FF75-FM75,BI75*(1+VLOOKUP($C75,WeatherCapacityAdjustment,2))),0)</f>
        <v>#VALUE!</v>
      </c>
      <c r="FR75" s="1551" t="e">
        <f aca="false">IF(EV75&gt;0,MIN(FG75-FN75,BJ75*(1+VLOOKUP($C75,WeatherCapacityAdjustment,2))),0)</f>
        <v>#VALUE!</v>
      </c>
      <c r="FS75" s="1558" t="e">
        <f aca="false">IF(EW75&gt;0,MIN(FH75-FO75,BK75*(1+VLOOKUP($C75,WeatherCapacityAdjustment,3))),0)</f>
        <v>#VALUE!</v>
      </c>
      <c r="FT75" s="1566" t="e">
        <f aca="false">IF(AND(Assumptions!$H$71="Yes",A75&gt;=Assumptions!$H$72,A75&lt;=Assumptions!$H$73),0,IF(AND($A75&gt;=Assumptions!$C$17,$A75&lt;=Assumptions!$C$18),MAX(AZ75*(1+VLOOKUP($C75,WeatherCapacityAdjustment,2))-FL75,0),0))</f>
        <v>#VALUE!</v>
      </c>
      <c r="FU75" s="1551" t="e">
        <f aca="false">IF(AND(Assumptions!$H$71="Yes",A75&gt;=Assumptions!$H$72,A75&lt;=Assumptions!$H$73),0,IF(AND($A75&gt;=Assumptions!$C$17,$A75&lt;=Assumptions!$C$18),MAX(BA75*(1+VLOOKUP($C75,WeatherCapacityAdjustment,2))-FM75,0),0))</f>
        <v>#VALUE!</v>
      </c>
      <c r="FV75" s="1551" t="e">
        <f aca="false">IF(AND(Assumptions!$H$71="Yes",A75&gt;=Assumptions!$H$72,A75&lt;=Assumptions!$H$73),0,IF(AND($A75&gt;=Assumptions!$C$17,$A75&lt;=Assumptions!$C$18),MAX(BB75*(1+VLOOKUP($C75,WeatherCapacityAdjustment,2))-FN75,0),0))</f>
        <v>#VALUE!</v>
      </c>
      <c r="FW75" s="1564" t="e">
        <f aca="false">IF(AND(Assumptions!$H$71="Yes",A75&gt;=Assumptions!$H$72,A75&lt;=Assumptions!$H$73),0,IF(AND($A75&gt;=Assumptions!$C$17,$A75&lt;=Assumptions!$C$18),MAX(BC75*(1+VLOOKUP($C75,WeatherCapacityAdjustment,3))-FO75,0),0))</f>
        <v>#VALUE!</v>
      </c>
      <c r="FX75" s="1569" t="e">
        <f aca="false">IF(AND(Assumptions!$H$71="Yes",A75&gt;=Assumptions!$H$72,A75&lt;=Assumptions!$H$73),0,IF(ET75&gt;0,MAX(BH75*(1+VLOOKUP($C75,WeatherCapacityAdjustment,2))-FP75,0),0))</f>
        <v>#VALUE!</v>
      </c>
      <c r="FY75" s="1551" t="e">
        <f aca="false">IF(AND(Assumptions!$H$71="Yes",A75&gt;=Assumptions!$H$72,A75&lt;=Assumptions!$H$73),0,IF(EU75&gt;0,MAX(BI75*(1+VLOOKUP($C75,WeatherCapacityAdjustment,3))-FQ75,0),0))</f>
        <v>#VALUE!</v>
      </c>
      <c r="FZ75" s="1551" t="e">
        <f aca="false">IF(AND(Assumptions!$H$71="Yes",A75&gt;=Assumptions!$H$72,A75&lt;=Assumptions!$H$73),0,IF(EV75&gt;0,MAX(BJ75*(1+VLOOKUP($C75,WeatherCapacityAdjustment,2))-FR75,0),0))</f>
        <v>#VALUE!</v>
      </c>
      <c r="GA75" s="1564" t="e">
        <f aca="false">IF(AND(Assumptions!$H$71="Yes",A75&gt;=Assumptions!$H$72,A75&lt;=Assumptions!$H$73),0,IF(EW75&gt;0,MAX(BK75*(1+VLOOKUP($C75,WeatherCapacityAdjustment,2))-FS75,0),0))</f>
        <v>#VALUE!</v>
      </c>
      <c r="GB75" s="1551" t="e">
        <f aca="false">SUM(FT75:GA75)</f>
        <v>#VALUE!</v>
      </c>
      <c r="GC75" s="1563" t="e">
        <f aca="false">+IF(SUM(FT75:GA75)=0,0,(SUMPRODUCT(BU75:BX75,FT75:FW75)+SUMPRODUCT(CA75:CD75,FX75:GA75))/SUM(FT75:GA75))</f>
        <v>#VALUE!</v>
      </c>
      <c r="GD75" s="1551" t="e">
        <f aca="false">(FT75*BU75+FX75*CA75+FU75*BV75+FY75*CB75+FV75*BW75+FZ75*CC75+FW75*BX75+GA75*CD75)</f>
        <v>#VALUE!</v>
      </c>
      <c r="GE75" s="1561" t="e">
        <f aca="false">+IF(BQ75,((FL75+FM75+FT75+FU75)*HeatRatePeak/1000*(1+VLOOKUP($C75,WeatherHeatRateAdjustment,2))+(FN75+FV75)*IF(EV75&gt;0,HeatRatePeak,HeatRateOffPeak)/1000*(1+VLOOKUP($C75,WeatherHeatRateAdjustment,2))+(FO75+FW75)*IF(EW75&gt;0,HeatRatePeak,HeatRateOffPeak)/1000*(1+VLOOKUP($C75,WeatherHeatRateAdjustment,3)))*(1+VLOOKUP($B75,HeatRateDegradation,$C75+1)),0)</f>
        <v>#VALUE!</v>
      </c>
      <c r="GF75" s="1562" t="e">
        <f aca="false">IF(BQ75,((FP75+FQ75+FR75+FX75+FY75+FZ75)*HeatRatePeak/1000*(1+VLOOKUP($C75,WeatherHeatRateAdjustment,2))+(FS75+GA75)*HeatRatePeak/1000*(1+VLOOKUP($C75,WeatherHeatRateAdjustment,3)))*(1+VLOOKUP($B75,HeatRateDegradation,$C75+1)),0)</f>
        <v>#VALUE!</v>
      </c>
      <c r="GG75" s="1563" t="e">
        <f aca="false">IF(BQ75,VLOOKUP(A75,GasTable,13),0)</f>
        <v>#VALUE!</v>
      </c>
      <c r="GH75" s="1564" t="e">
        <f aca="false">(GE75+GF75)*GG75</f>
        <v>#VALUE!</v>
      </c>
      <c r="GI75" s="1569" t="e">
        <f aca="false">GB75</f>
        <v>#VALUE!</v>
      </c>
      <c r="GJ75" s="1598" t="e">
        <f aca="false">+DA75</f>
        <v>#VALUE!</v>
      </c>
      <c r="GK75" s="1558" t="e">
        <f aca="false">+GI75*GJ75</f>
        <v>#VALUE!</v>
      </c>
      <c r="GL75" s="1566" t="e">
        <f aca="false">MAX(FE75-FL75-FP75,0)</f>
        <v>#VALUE!</v>
      </c>
      <c r="GM75" s="1551" t="e">
        <f aca="false">MAX(FF75-FM75-FQ75,0)</f>
        <v>#VALUE!</v>
      </c>
      <c r="GN75" s="1551" t="e">
        <f aca="false">MAX(FG75-FN75-FR75,0)</f>
        <v>#VALUE!</v>
      </c>
      <c r="GO75" s="1564" t="e">
        <f aca="false">MAX(FH75-FO75-FS75,0)</f>
        <v>#VALUE!</v>
      </c>
      <c r="GP75" s="1551" t="e">
        <f aca="false">SUM(GL75:GO75)</f>
        <v>#VALUE!</v>
      </c>
      <c r="GQ75" s="1563" t="e">
        <f aca="false">IF(SUM(GL75:GO75)=0,0,((GL75*BU75+GM75*BV75+GN75*BW75+GO75*BX75)/SUM(GL75:GO75)))</f>
        <v>#VALUE!</v>
      </c>
      <c r="GR75" s="1558" t="e">
        <f aca="false">(GL75*BU75+GM75*BV75+GN75*BW75+GO75*BX75)</f>
        <v>#VALUE!</v>
      </c>
      <c r="GS75" s="1566" t="n">
        <f aca="false">IF($A75&gt;=BegDate,Assumptions!$C$56*24*($A76-$A75)*(1-VLOOKUP($B75,MAIN!$AA$7:$AM$28,$C75+1))*(1-VLOOKUP($B75,MAIN!$AA$33:$AM$54,$C75+1)),0)*80/168</f>
        <v>257742.857142857</v>
      </c>
      <c r="GT75" s="286" t="n">
        <f aca="false">J75</f>
        <v>34.1832249317146</v>
      </c>
      <c r="GU75" s="286" t="n">
        <f aca="false">IF($A75&gt;=BegDate,VLOOKUP($A75,GasTable,13)+Assumptions!$C$58,0)</f>
        <v>2.45898602773402</v>
      </c>
      <c r="GV75" s="286" t="n">
        <f aca="false">GU75*Assumptions!$C$57/1000</f>
        <v>17.8276487010716</v>
      </c>
      <c r="GW75" s="1558" t="n">
        <f aca="false">IF(Assumptions!$C$60="Hourly",MAX(0,GS75*(GT75-GV75)),GS75*(GT75-GV75))</f>
        <v>4215532.94790371</v>
      </c>
      <c r="GX75" s="1566" t="n">
        <f aca="false">IF($A75&gt;=BegDate,Assumptions!$C$56*24*($A76-$A75)*(1-VLOOKUP($B75,MAIN!$AA$7:$AM$28,$C75+1))*(1-VLOOKUP($B75,MAIN!$AA$33:$AM$54,$C75+1)),0)*16/168</f>
        <v>51548.5714285714</v>
      </c>
      <c r="GY75" s="286" t="n">
        <f aca="false">M75</f>
        <v>34.1832249317146</v>
      </c>
      <c r="GZ75" s="286" t="n">
        <f aca="false">IF($A75&gt;=BegDate,VLOOKUP($A75,GasTable,13)+Assumptions!$C$58,0)</f>
        <v>2.45898602773402</v>
      </c>
      <c r="HA75" s="286" t="n">
        <f aca="false">GZ75*Assumptions!$C$57/1000</f>
        <v>17.8276487010716</v>
      </c>
      <c r="HB75" s="1558" t="n">
        <f aca="false">IF(Assumptions!$C$60="Hourly",MAX(0,GX75*(GY75-HA75)),GX75*(GY75-HA75))</f>
        <v>843106.589580742</v>
      </c>
      <c r="HC75" s="1566" t="n">
        <f aca="false">IF($A75&gt;=BegDate,Assumptions!$C$56*24*($A76-$A75)*(1-VLOOKUP($B75,MAIN!$AA$7:$AM$28,$C75+1))*(1-VLOOKUP($B75,MAIN!$AA$33:$AM$54,$C75+1)),0)*16/168</f>
        <v>51548.5714285714</v>
      </c>
      <c r="HD75" s="286" t="n">
        <f aca="false">P75</f>
        <v>23.2486294729824</v>
      </c>
      <c r="HE75" s="286" t="n">
        <f aca="false">IF($A75&gt;=BegDate,VLOOKUP($A75,GasTable,13)+Assumptions!$C$58,0)</f>
        <v>2.45898602773402</v>
      </c>
      <c r="HF75" s="286" t="n">
        <f aca="false">HE75*Assumptions!$C$57/1000</f>
        <v>17.8276487010716</v>
      </c>
      <c r="HG75" s="1558" t="n">
        <f aca="false">IF(Assumptions!$C$60="Hourly",MAX(0,HC75*(HD75-HF75)),HC75*(HD75-HF75))</f>
        <v>279443.814533754</v>
      </c>
      <c r="HH75" s="1566" t="n">
        <f aca="false">IF($A75&gt;=BegDate,Assumptions!$C$56*24*($A76-$A75)*(1-VLOOKUP($B75,MAIN!$AA$7:$AM$28,$C75+1))*(1-VLOOKUP($B75,MAIN!$AA$33:$AM$54,$C75+1)),0)*56/168</f>
        <v>180420</v>
      </c>
      <c r="HI75" s="286" t="n">
        <f aca="false">S75</f>
        <v>23.2486294729824</v>
      </c>
      <c r="HJ75" s="286" t="n">
        <f aca="false">IF($A75&gt;=BegDate,VLOOKUP($A75,GasTable,13)+Assumptions!$C$58,0)</f>
        <v>2.45898602773402</v>
      </c>
      <c r="HK75" s="286" t="n">
        <f aca="false">HJ75*Assumptions!$C$57/1000</f>
        <v>17.8276487010716</v>
      </c>
      <c r="HL75" s="1558" t="n">
        <f aca="false">IF(Assumptions!$C$60="Hourly",MAX(0,HH75*(HI75-HK75)),HH75*(HI75-HK75))</f>
        <v>978053.350868138</v>
      </c>
      <c r="HM75" s="1566" t="n">
        <f aca="false">IF(AND(Assumptions!$H$71="Yes",A75&gt;=Assumptions!$H$72,A75&lt;=Assumptions!$H$73),Assumptions!$H$74*Assumptions!$C$9*1000,0)</f>
        <v>0</v>
      </c>
      <c r="HN75" s="1551" t="e">
        <f aca="false">GD75-GH75</f>
        <v>#VALUE!</v>
      </c>
      <c r="HO75" s="1563"/>
      <c r="HP75" s="1563"/>
      <c r="HQ75" s="1563"/>
      <c r="HR75" s="1563"/>
      <c r="HS75" s="1563"/>
      <c r="HT75" s="1563"/>
      <c r="HU75" s="1563"/>
      <c r="HV75" s="1563"/>
      <c r="HW75" s="1563"/>
      <c r="HX75" s="1563"/>
      <c r="HY75" s="1563"/>
      <c r="HZ75" s="1563"/>
      <c r="IA75" s="1563"/>
      <c r="IB75" s="1563"/>
      <c r="IC75" s="1563"/>
      <c r="ID75" s="1563"/>
      <c r="IE75" s="1563"/>
      <c r="IF75" s="1563"/>
      <c r="IG75" s="1563"/>
      <c r="IH75" s="1563"/>
      <c r="II75" s="1610"/>
      <c r="IJ75" s="1309"/>
      <c r="IK75" s="1309"/>
    </row>
    <row r="76" customFormat="false" ht="12.75" hidden="false" customHeight="false" outlineLevel="0" collapsed="false">
      <c r="A76" s="1571" t="n">
        <f aca="false">EOMONTH(A75,0)+1</f>
        <v>38443</v>
      </c>
      <c r="B76" s="594" t="n">
        <f aca="false">+YEAR(A76)</f>
        <v>2005</v>
      </c>
      <c r="C76" s="238" t="n">
        <f aca="false">MONTH(A76)</f>
        <v>4</v>
      </c>
      <c r="D76" s="1572" t="e">
        <f aca="false">IF(E76="","",Holiday(B76,C76))</f>
        <v>#VALUE!</v>
      </c>
      <c r="E76" s="1573" t="n">
        <f aca="false">IF(OR(BegDate&gt;=A77,EndDate&lt;A76,AND(VolumeMonthlyOverFlag,INDEX(VolumeMonthlyOver,C76)=0),NOT(INDEX(MonthKnockOutTable,C76))),"",MAX(A76,BegDate))</f>
        <v>38443</v>
      </c>
      <c r="F76" s="1574" t="n">
        <f aca="false">IF(E76="","",MIN(A77-1,EndDate))</f>
        <v>38472</v>
      </c>
      <c r="G76" s="1575" t="n">
        <v>0</v>
      </c>
      <c r="H76" s="1576" t="n">
        <f aca="false">(1+G76/2)^(-2*(DATE(B77,C77,20)-DateToday)/365.25)</f>
        <v>1</v>
      </c>
      <c r="I76" s="1568" t="n">
        <f aca="false">IF(Assumptions!$L$25=4,VLOOKUP($A76,'Henwood Reference'!$E$9:$R$320,10),(VLOOKUP($A76,PriceTable,2,0)+IF(BasisNumber&lt;&gt;1,VLOOKUP($A76,BasisTable,2,0),0)+I$1)/(1-I$2))</f>
        <v>31.5757172987971</v>
      </c>
      <c r="J76" s="1568" t="n">
        <f aca="false">IF(Assumptions!$L$25=4,VLOOKUP($A76,'Henwood Reference'!$E$9:$R$320,10),(VLOOKUP($A76,PriceTable,3,0)+IF(BasisNumber&lt;&gt;1,VLOOKUP($A76,BasisTable,2,0),0)+J$1)/(1-J$2))</f>
        <v>31.5757172987971</v>
      </c>
      <c r="K76" s="1568" t="n">
        <f aca="false">IF(Assumptions!$L$25=4,VLOOKUP($A76,'Henwood Reference'!$E$9:$R$320,10),(VLOOKUP($A76,PriceTable,4,0)+IF(BasisNumber&lt;&gt;1,VLOOKUP($A76,BasisTable,2,0),0)+K$1)/(1-K$2))</f>
        <v>31.5757172987971</v>
      </c>
      <c r="L76" s="1523" t="n">
        <f aca="false">IF(Assumptions!$L$25=4,VLOOKUP($A76,'Henwood Reference'!$E$9:$R$320,10),(VLOOKUP($A76,PriceTableWeekend,2,0)+IF(BasisNumber&lt;&gt;1,VLOOKUP($A76,BasisTable,2,0),0)+L$1)/(1-L$2))</f>
        <v>31.5757172987971</v>
      </c>
      <c r="M76" s="1568" t="n">
        <f aca="false">IF(Assumptions!$L$25=4,VLOOKUP($A76,'Henwood Reference'!$E$9:$R$320,10),(VLOOKUP($A76,PriceTableWeekend,3,0)+IF(BasisNumber&lt;&gt;1,VLOOKUP($A76,BasisTable,2,0),0)+M$1)/(1-M$2))</f>
        <v>31.5757172987971</v>
      </c>
      <c r="N76" s="1599" t="n">
        <f aca="false">IF(Assumptions!$L$25=4,VLOOKUP($A76,'Henwood Reference'!$E$9:$R$320,10),(VLOOKUP($A76,PriceTableWeekend,4,0)+IF(BasisNumber&lt;&gt;1,VLOOKUP($A76,BasisTable,2,0),0)+N$1)/(1-N$2))</f>
        <v>31.5757172987971</v>
      </c>
      <c r="O76" s="1568" t="n">
        <f aca="false">IF(Assumptions!$L$25=4,VLOOKUP($A76,'Henwood Reference'!$E$9:$R$320,11),(VLOOKUP($A76,PriceTableWeekend,6,0)+IF(BasisNumber&lt;&gt;1,VLOOKUP($A76,BasisTable,3,0),0)+O$1)/(1-O$2))</f>
        <v>22.0331469167395</v>
      </c>
      <c r="P76" s="1568" t="n">
        <f aca="false">IF(Assumptions!$L$25=4,VLOOKUP($A76,'Henwood Reference'!$E$9:$R$320,11),(VLOOKUP($A76,PriceTableWeekend,7,0)+IF(BasisNumber&lt;&gt;1,VLOOKUP($A76,BasisTable,3,0),0)+P$1)/(1-P$2))</f>
        <v>22.0331469167395</v>
      </c>
      <c r="Q76" s="1599" t="n">
        <f aca="false">IF(Assumptions!$L$25=4,VLOOKUP($A76,'Henwood Reference'!$E$9:$R$320,11),(VLOOKUP($A76,PriceTableWeekend,8,0)+IF(BasisNumber&lt;&gt;1,VLOOKUP($A76,BasisTable,3,0),0)+Q$1)/(1-Q$2))</f>
        <v>22.0331469167395</v>
      </c>
      <c r="R76" s="1568" t="n">
        <f aca="false">IF(Assumptions!$L$25=4,VLOOKUP($A76,'Henwood Reference'!$E$9:$R$320,11),(VLOOKUP($A76,PriceTable,6,0)+IF(BasisNumber&lt;&gt;1,VLOOKUP($A76,BasisTable,3,0),0)+R$1)/(1-R$2))</f>
        <v>22.0331469167395</v>
      </c>
      <c r="S76" s="1568" t="n">
        <f aca="false">IF(Assumptions!$L$25=4,VLOOKUP($A76,'Henwood Reference'!$E$9:$R$320,11),(VLOOKUP($A76,PriceTable,7,0)+IF(BasisNumber&lt;&gt;1,VLOOKUP($A76,BasisTable,3,0),0)+S$1)/(1-S$2))</f>
        <v>22.0331469167395</v>
      </c>
      <c r="T76" s="1600" t="n">
        <f aca="false">IF(Assumptions!$L$25=4,VLOOKUP($A76,'Henwood Reference'!$E$9:$R$320,11),(VLOOKUP($A76,PriceTable,8,0)+IF(BasisNumber&lt;&gt;1,VLOOKUP($A76,BasisTable,3,0),0)+T$1)/(1-T$2))</f>
        <v>22.0331469167395</v>
      </c>
      <c r="U76" s="1513" t="n">
        <f aca="false">VLOOKUP($A76,VolatilityTable,14)</f>
        <v>0.145</v>
      </c>
      <c r="V76" s="1513" t="n">
        <f aca="false">VLOOKUP($A76,VolatilityTable,15)</f>
        <v>0.155</v>
      </c>
      <c r="W76" s="1514" t="n">
        <f aca="false">VLOOKUP($A76,VolatilityTable,16)</f>
        <v>0.165</v>
      </c>
      <c r="X76" s="1513" t="n">
        <f aca="false">VLOOKUP($A76,VolatilityTable,14)</f>
        <v>0.145</v>
      </c>
      <c r="Y76" s="1513" t="n">
        <f aca="false">VLOOKUP($A76,VolatilityTable,15)</f>
        <v>0.155</v>
      </c>
      <c r="Z76" s="1514" t="n">
        <f aca="false">VLOOKUP($A76,VolatilityTable,16)</f>
        <v>0.165</v>
      </c>
      <c r="AA76" s="1513" t="n">
        <f aca="false">VLOOKUP($A76,VolatilityTable,18)</f>
        <v>0.09</v>
      </c>
      <c r="AB76" s="1513" t="n">
        <f aca="false">VLOOKUP($A76,VolatilityTable,19)</f>
        <v>0.11</v>
      </c>
      <c r="AC76" s="1514" t="n">
        <f aca="false">VLOOKUP($A76,VolatilityTable,20)</f>
        <v>0.13</v>
      </c>
      <c r="AD76" s="1513" t="n">
        <f aca="false">VLOOKUP($A76,VolatilityTable,18)</f>
        <v>0.09</v>
      </c>
      <c r="AE76" s="1513" t="n">
        <f aca="false">VLOOKUP($A76,VolatilityTable,19)</f>
        <v>0.11</v>
      </c>
      <c r="AF76" s="1514" t="n">
        <f aca="false">VLOOKUP($A76,VolatilityTable,20)</f>
        <v>0.13</v>
      </c>
      <c r="AG76" s="1513" t="n">
        <f aca="false">VLOOKUP($A76,VolatilityTable,22)</f>
        <v>-0.1</v>
      </c>
      <c r="AH76" s="1513" t="n">
        <f aca="false">VLOOKUP($A76,VolatilityTable,23)</f>
        <v>0.65</v>
      </c>
      <c r="AI76" s="1514" t="n">
        <f aca="false">VLOOKUP($A76,VolatilityTable,24)</f>
        <v>0.1</v>
      </c>
      <c r="AJ76" s="1513" t="n">
        <f aca="false">VLOOKUP($A76,VolatilityTable,22)</f>
        <v>-0.1</v>
      </c>
      <c r="AK76" s="1513" t="n">
        <f aca="false">VLOOKUP($A76,VolatilityTable,23)</f>
        <v>0.65</v>
      </c>
      <c r="AL76" s="1514" t="n">
        <f aca="false">VLOOKUP($A76,VolatilityTable,24)</f>
        <v>0.1</v>
      </c>
      <c r="AM76" s="1513" t="n">
        <f aca="false">VLOOKUP($A76,VolatilityTable,26)</f>
        <v>-0.01</v>
      </c>
      <c r="AN76" s="1513" t="n">
        <f aca="false">VLOOKUP($A76,VolatilityTable,27)</f>
        <v>0.16</v>
      </c>
      <c r="AO76" s="1514" t="n">
        <f aca="false">VLOOKUP($A76,VolatilityTable,28)</f>
        <v>0.01</v>
      </c>
      <c r="AP76" s="1513" t="n">
        <f aca="false">VLOOKUP($A76,VolatilityTable,26)</f>
        <v>-0.01</v>
      </c>
      <c r="AQ76" s="1513" t="n">
        <f aca="false">VLOOKUP($A76,VolatilityTable,27)</f>
        <v>0.16</v>
      </c>
      <c r="AR76" s="1515" t="n">
        <f aca="false">VLOOKUP($A76,VolatilityTable,28)</f>
        <v>0.01</v>
      </c>
      <c r="AS76" s="1581" t="n">
        <f aca="false">IF(CorrPeakOffPeakOverFlag,INDEX(CorrPeakOffPeakOver,C76),CorrPeakOffPeak)</f>
        <v>0.5</v>
      </c>
      <c r="AT76" s="594" t="e">
        <f aca="false">AX76-SUM(AU76:AW76)</f>
        <v>#VALUE!</v>
      </c>
      <c r="AU76" s="238" t="e">
        <f aca="false">IF(E76="",0,INT((F76-MOD(F76,7)-E76)/7)+1-IF(AW76,IF(WEEKDAY(D76)=7,1,0),0))</f>
        <v>#VALUE!</v>
      </c>
      <c r="AV76" s="238" t="e">
        <f aca="false">IF(E76="",0,INT((F76-MOD(F76-1,7)-E76)/7)+1-IF(AW76,IF(WEEKDAY(D76)=1,1,0),0))</f>
        <v>#VALUE!</v>
      </c>
      <c r="AW76" s="238" t="e">
        <f aca="false">IF(OR(E76="",D76="",D76&lt;BegDate,D76&gt;EndDate),0,1)</f>
        <v>#VALUE!</v>
      </c>
      <c r="AX76" s="238" t="n">
        <f aca="false">IF(E76="",0,F76-E76+1)</f>
        <v>30</v>
      </c>
      <c r="AY76" s="1582" t="n">
        <f aca="false">IF(E76="",0,MIN((1-(1-VLOOKUP(B76,MAIN!$AA$7:$AM$28,C76+1))*(1-VLOOKUP(B76,MAIN!$AA$33:$AM$54,C76+1))),1))</f>
        <v>0.127</v>
      </c>
      <c r="AZ76" s="1519" t="e">
        <v>#VALUE!</v>
      </c>
      <c r="BA76" s="1520" t="e">
        <v>#VALUE!</v>
      </c>
      <c r="BB76" s="1520" t="e">
        <v>#VALUE!</v>
      </c>
      <c r="BC76" s="1583" t="e">
        <v>#VALUE!</v>
      </c>
      <c r="BD76" s="1522" t="e">
        <v>#VALUE!</v>
      </c>
      <c r="BE76" s="1523" t="e">
        <v>#VALUE!</v>
      </c>
      <c r="BF76" s="1523" t="e">
        <v>#VALUE!</v>
      </c>
      <c r="BG76" s="1584" t="e">
        <v>#VALUE!</v>
      </c>
      <c r="BH76" s="1525" t="e">
        <v>#VALUE!</v>
      </c>
      <c r="BI76" s="1520" t="e">
        <v>#VALUE!</v>
      </c>
      <c r="BJ76" s="1520" t="e">
        <v>#VALUE!</v>
      </c>
      <c r="BK76" s="1583" t="e">
        <v>#VALUE!</v>
      </c>
      <c r="BL76" s="1522" t="e">
        <v>#VALUE!</v>
      </c>
      <c r="BM76" s="1523" t="e">
        <v>#VALUE!</v>
      </c>
      <c r="BN76" s="1523" t="e">
        <v>#VALUE!</v>
      </c>
      <c r="BO76" s="1523" t="e">
        <v>#VALUE!</v>
      </c>
      <c r="BP76" s="1525" t="e">
        <f aca="false">SUM(AZ76:BB76)</f>
        <v>#VALUE!</v>
      </c>
      <c r="BQ76" s="1529" t="e">
        <f aca="false">SUM(AZ76:BC76)</f>
        <v>#VALUE!</v>
      </c>
      <c r="BR76" s="1519" t="e">
        <f aca="false">SUM(BH76:BJ76)</f>
        <v>#VALUE!</v>
      </c>
      <c r="BS76" s="1529" t="e">
        <f aca="false">SUM(BH76:BK76)</f>
        <v>#VALUE!</v>
      </c>
      <c r="BT76" s="1316" t="n">
        <f aca="false">(IF(OVolType&lt;&gt;2,A76+14,IF(OptExpDateShift,ShiftBack(A76,OptExpDateShift,D75),A76))-DateToday)/365.25</f>
        <v>4.9637234770705</v>
      </c>
      <c r="BU76" s="1585" t="e">
        <f aca="false">IF(BQ76,IF(OPriceCurve,IF(OBuySell=OCallPut,I76/(1-AY76),K76/(1-AY76)),J76/(1-AY76))*BD76,0)</f>
        <v>#VALUE!</v>
      </c>
      <c r="BV76" s="1316" t="e">
        <f aca="false">IF(BQ76,IF(OPriceCurve,IF(OBuySell=OCallPut,L76/(1-AY76),N76/(1-AY76)),M76/(1-AY76))*BE76,0)</f>
        <v>#VALUE!</v>
      </c>
      <c r="BW76" s="1316" t="e">
        <f aca="false">IF(BQ76,IF(OPriceCurve,IF(OBuySell=OCallPut,O76/(1-AY76),Q76/(1-AY76)),P76/(1-AY76))*BF76,0)</f>
        <v>#VALUE!</v>
      </c>
      <c r="BX76" s="1316" t="e">
        <f aca="false">IF(BQ76,IF(OPriceCurve,IF(OBuySell=OCallPut,R76/(1-AY76),T76/(1-AY76)),S76/(1-AY76))*BG76,0)</f>
        <v>#VALUE!</v>
      </c>
      <c r="BY76" s="1316" t="e">
        <f aca="false">IF(BP76,(BU76*AZ76+BV76*BA76+BW76*BB76)/BP76,0)</f>
        <v>#VALUE!</v>
      </c>
      <c r="BZ76" s="1316" t="e">
        <f aca="false">IF(BQ76,(BY76*BP76+BX76*BC76)/BQ76,0)</f>
        <v>#VALUE!</v>
      </c>
      <c r="CA76" s="1531" t="e">
        <f aca="false">IF(BS76,IF(OPriceCurve,IF(OBuySell=OCallPut,I76/(1-AY76),K76/(1-AY76)),J76/(1-AY76))*BL76,0)</f>
        <v>#VALUE!</v>
      </c>
      <c r="CB76" s="1316" t="e">
        <f aca="false">IF(BS76,IF(OPriceCurve,IF(OBuySell=OCallPut,L76/(1-AY76),N76/(1-AY76)),M76/(1-AY76))*BM76,0)</f>
        <v>#VALUE!</v>
      </c>
      <c r="CC76" s="1316" t="e">
        <f aca="false">IF(BS76,IF(OPriceCurve,IF(OBuySell=OCallPut,O76/(1-AY76),Q76/(1-AY76)),P76/(1-AY76))*BN76,0)</f>
        <v>#VALUE!</v>
      </c>
      <c r="CD76" s="1316" t="e">
        <f aca="false">IF(BS76,IF(OPriceCurve,IF(OBuySell=OCallPut,R76/(1-AY76),T76/(1-AY76)),S76/(1-AY76))*BO76,0)</f>
        <v>#VALUE!</v>
      </c>
      <c r="CE76" s="1316" t="e">
        <f aca="false">IF(BR76,(BU76*BH76+BV76*BI76+BW76*BJ76)/BR76,0)</f>
        <v>#VALUE!</v>
      </c>
      <c r="CF76" s="1532" t="e">
        <f aca="false">IF(BS76,(CE76*BR76+CD76*BK76)/BS76,0)</f>
        <v>#VALUE!</v>
      </c>
      <c r="CG76" s="1586" t="e">
        <f aca="false">IF(OR(BQ76,BS76),IF(OVolType&lt;&gt;2,SQRT(IF(OVolOverMonthlyPeak,OVolOverMonthlyPeak,IF(OVolCurve,IF(OBuySell,U76,W76),V76))^2*(1-15/365.25/BT76)+IF(OVolOverDailyPeak,OVolOverDailyPeak,IF(OVolCurve,IF(OBuySell,AG76,AI76),AH76))^2*15/365.25/BT76),IF(OVolOverMonthlyPeak,OVolOverMonthlyPeak,IF(OVolCurve,IF(OBuySell,U76,W76),V76))),"")</f>
        <v>#VALUE!</v>
      </c>
      <c r="CH76" s="1587" t="e">
        <f aca="false">IF(OR(BQ76,BS76),IF(OVolType&lt;&gt;2,SQRT(IF(OVolOverMonthlyPeak,OVolOverMonthlyPeak,IF(OVolCurve,IF(OBuySell,X76,Z76),Y76))^2*(1-15/365.25/BT76)+IF(OVolOverDailyPeak,OVolOverDailyPeak,IF(OVolCurve,IF(OBuySell,AJ76,AL76),AK76))^2*15/365.25/BT76),IF(OVolOverMonthlyPeak,OVolOverMonthlyPeak,IF(OVolCurve,IF(OBuySell,X76,Z76),Y76))),"")</f>
        <v>#VALUE!</v>
      </c>
      <c r="CI76" s="1587" t="e">
        <f aca="false">IF(OR(BQ76,BS76),IF(OVolType&lt;&gt;2,SQRT(IF(OVolOverMonthlyPeak,OVolOverMonthlyPeak,IF(OVolCurve,IF(OBuySell,AA76,AC76),AB76))^2*(1-15/365.25/BT76)+IF(OVolOverDailyPeak,OVolOverDailyPeak,IF(OVolCurve,IF(OBuySell,AM76,AO76),AN76))^2*15/365.25/BT76),IF(OVolOverMonthlyPeak,OVolOverMonthlyPeak,IF(OVolCurve,IF(OBuySell,AA76,AC76),AB76))),"")</f>
        <v>#VALUE!</v>
      </c>
      <c r="CJ76" s="1587" t="e">
        <f aca="false">IF(BQ76,IF(BP76,SQRT(LN(1+((BU76*AZ76)^2*(EXP(CG76^2*BT76)-1)+(BV76*BA76)^2*(EXP(CH76^2*BT76)-1)+(BW76*BB76)^2*(EXP(CI76^2*BT76)-1)+2*BU76*AZ76*BV76*BA76*(EXP(CG76*CH76*BT76)-1)+2*BV76*BA76*BW76*BB76*(EXP(CH76*CI76*BT76)-1)+2*BW76*BB76*BU76*AZ76*(EXP(CI76*CG76*BT76)-1))/(BY76*BP76)^2)/BT76),0),"")</f>
        <v>#VALUE!</v>
      </c>
      <c r="CK76" s="1587" t="e">
        <f aca="false">IF(BS76,IF(BR76,SQRT(LN(1+((CA76*BH76)^2*(EXP(CG76^2*BT76)-1)+(CB76*BI76)^2*(EXP(CH76^2*BT76)-1)+(CC76*BJ76)^2*(EXP(CI76^2*BT76)-1)+2*CA76*BH76*CB76*BI76*(EXP(CG76*CH76*BT76)-1)+2*CB76*BI76*CC76*BJ76*(EXP(CH76*CI76*BT76)-1)+2*CC76*BJ76*CA76*BH76*(EXP(CI76*CG76*BT76)-1))/(CE76*BR76)^2)/BT76),0),"")</f>
        <v>#VALUE!</v>
      </c>
      <c r="CL76" s="1587" t="e">
        <f aca="false">IF(OR(BQ76,BS76),IF(OVolType&lt;&gt;2,SQRT(IF(OVolOverMonthlyOffPeak,OVolOverMonthlyOffPeak,IF(OVolCurve,IF(OBuySell,AD76,AF76),AE76))^2*(1-15/365.25/BT76)+IF(OVolOverDailyOffPeak,OVolOverDailyOffPeak,IF(OVolCurve,IF(OBuySell,AP76,AR76),AQ76))^2*15/365.25/BT76),IF(OVolOverMonthlyOffPeak,OVolOverMonthlyOffPeak,IF(OVolCurve,IF(OBuySell,AD76,AF76),AE76))),"")</f>
        <v>#VALUE!</v>
      </c>
      <c r="CM76" s="1587" t="e">
        <f aca="false">IF(BQ76,SQRT(LN(1+((BY76*BP76)^2*(EXP(CJ76^2*BT76)-1)+(BX76*BC76)^2*(EXP(CL76^2*BT76)-1)+2*BY76*BP76*BX76*BC76*(EXP(AS76*CJ76*CL76*BT76)-1))/(BY76*BP76+BX76*BC76)^2)/BT76),"")</f>
        <v>#VALUE!</v>
      </c>
      <c r="CN76" s="1588" t="e">
        <f aca="false">IF(BS76,SQRT(LN(1+((CE76*BR76)^2*(EXP(CK76^2*BT76)-1)+(CD76*BK76)^2*(EXP(CL76^2*BT76)-1)+2*CE76*BR76*CD76*BK76*(EXP(AS76*CK76*CL76*BT76)-1))/(CE76*BR76+CD76*BK76)^2)/BT76),"")</f>
        <v>#VALUE!</v>
      </c>
      <c r="CO76" s="1531" t="e">
        <f aca="false">IF(OR(BQ76,BS76),VLOOKUP(A76,GasTable,13)*HeatRatePeak*(1+VLOOKUP($B76,HeatRateDegradation,$C76+1))/1000,0)</f>
        <v>#VALUE!</v>
      </c>
      <c r="CP76" s="1316" t="e">
        <f aca="false">IF(OR(BQ76,BS76),VLOOKUP(A76,GasTable,13)*HeatRatePeak*(1+VLOOKUP($B76,HeatRateDegradation,$C76+1))/1000,0)</f>
        <v>#VALUE!</v>
      </c>
      <c r="CQ76" s="1316" t="e">
        <f aca="false">IF(OR(BQ76,BS76),VLOOKUP(A76,GasTable,13)*IF(EV76,HeatRatePeak,HeatRateOffPeak)*(1+VLOOKUP($B76,HeatRateDegradation,$C76+1))/1000,0)</f>
        <v>#VALUE!</v>
      </c>
      <c r="CR76" s="1316" t="e">
        <f aca="false">IF(OR(BQ76,BS76),VLOOKUP(A76,GasTable,13)*IF(EW76,HeatRatePeak,HeatRateOffPeak)*(1+VLOOKUP($B76,HeatRateDegradation,$C76+1))/1000,0)</f>
        <v>#VALUE!</v>
      </c>
      <c r="CS76" s="1589" t="e">
        <f aca="false">IF(BQ76,(CO76*AZ76+CP76*BA76+CQ76*BB76+CR76*BC76)/BQ76,0)</f>
        <v>#VALUE!</v>
      </c>
      <c r="CT76" s="1316" t="e">
        <f aca="false">IF(BS76,CO76,0)</f>
        <v>#VALUE!</v>
      </c>
      <c r="CU76" s="1590" t="e">
        <f aca="false">IF(OR(BQ76,BS76),VLOOKUP(A76,GasTable,14),"")</f>
        <v>#VALUE!</v>
      </c>
      <c r="CV76" s="1568" t="e">
        <f aca="false">IF(OR(BQ76,BS76),IF(CorrPowerGasOverFlag,INDEX(CorrPowerGasOver,C76),CorrPowerGas),"")</f>
        <v>#VALUE!</v>
      </c>
      <c r="CW76" s="1316" t="e">
        <f aca="false">IF(OR($BQ76,$BS76),SpreadOptPowerMargin,0)*((1+Assumptions!$C$26)^($B76-YEAR(Assumptions!$C$17)))</f>
        <v>#VALUE!</v>
      </c>
      <c r="CX76" s="1316" t="e">
        <f aca="false">IF(OR($BQ76,$BS76),SpreadOptPowerMargin,0)*((1+Assumptions!$C$26)^($B76-YEAR(Assumptions!$C$17)))</f>
        <v>#VALUE!</v>
      </c>
      <c r="CY76" s="1316" t="e">
        <f aca="false">IF(OR($BQ76,$BS76),SpreadOptPowerMargin,0)*((1+Assumptions!$C$26)^($B76-YEAR(Assumptions!$C$17)))</f>
        <v>#VALUE!</v>
      </c>
      <c r="CZ76" s="1316" t="e">
        <f aca="false">IF(OR($BQ76,$BS76),SpreadOptPowerMargin,0)*((1+Assumptions!$C$26)^($B76-YEAR(Assumptions!$C$17)))</f>
        <v>#VALUE!</v>
      </c>
      <c r="DA76" s="1591" t="e">
        <f aca="false">IF(OR(BQ76,BS76),(CW76*(AZ76+BH76)+CX76*(BA76+BI76)+CY76*(BB76+BJ76)+CZ76*(BC76+BK76))/(BQ76+BS76),0)</f>
        <v>#VALUE!</v>
      </c>
      <c r="DB76" s="1592" t="e">
        <f aca="false">IF(OR(BQ76,BS76),CG76+IF(OVolSmile,VLOOKUP(MAX(-5,CO76+CW76-BU76),IF(OVolSmile=1,VolSmileBook,VolSmileModel),2),0),"")</f>
        <v>#VALUE!</v>
      </c>
      <c r="DC76" s="1592" t="e">
        <f aca="false">IF(OR(BQ76,BS76),CH76+IF(OVolSmile,VLOOKUP(MAX(-5,CP76+CW76-BV76),IF(OVolSmile=1,VolSmileBook,VolSmileModel),2),0),"")</f>
        <v>#VALUE!</v>
      </c>
      <c r="DD76" s="1592" t="e">
        <f aca="false">IF(OR(BQ76,BS76),CI76+IF(OVolSmile,VLOOKUP(MAX(-5,CQ76+CW76-BW76),IF(OVolSmile=1,VolSmileBook,VolSmileModel),2),0),"")</f>
        <v>#VALUE!</v>
      </c>
      <c r="DE76" s="1592" t="e">
        <f aca="false">IF(OR(BQ76,BS76),CL76+IF(OVolSmile,VLOOKUP(MAX(-5,CR76+CZ76-BX76),IF(OVolSmile=1,VolSmileBook,VolSmileModel),2),0),"")</f>
        <v>#VALUE!</v>
      </c>
      <c r="DF76" s="1592" t="e">
        <f aca="false">IF(BQ76,CM76+IF(OVolSmile,VLOOKUP(MAX(-5,CS76+DA76-BZ76),IF(OVolSmile=1,VolSmileBook,VolSmileModel),2),0),"")</f>
        <v>#VALUE!</v>
      </c>
      <c r="DG76" s="1593" t="e">
        <f aca="false">IF(BS76,CN76+IF(OVolSmile,VLOOKUP(MAX(-5,CT76+DA76-CF76),IF(OVolSmile=1,VolSmileBook,VolSmileModel),2),0),"")</f>
        <v>#VALUE!</v>
      </c>
      <c r="DH76" s="1316" t="e">
        <f aca="false">IF(AND(BU76&gt;0,CO76&gt;0,DB76&gt;0,CU76&gt;0),newSPRDOPT(BU76,CO76,CW76,0,DB76,CU76,CV76,BT76*365.25,OCallPut,0),0)</f>
        <v>#VALUE!</v>
      </c>
      <c r="DI76" s="1316" t="e">
        <f aca="false">IF(AND(BV76&gt;0,CP76&gt;0,DC76&gt;0,CU76&gt;0),newSPRDOPT(BV76,CP76,CX76,0,DC76,CU76,CV76,BT76*365.25,OCallPut,0),0)</f>
        <v>#VALUE!</v>
      </c>
      <c r="DJ76" s="1316" t="e">
        <f aca="false">IF(AND(BW76&gt;0,CQ76&gt;0,DD76&gt;0,CU76&gt;0),newSPRDOPT(BW76,CQ76,CY76,0,DD76,CU76,CV76,BT76*365.25,OCallPut,0),0)</f>
        <v>#VALUE!</v>
      </c>
      <c r="DK76" s="1316" t="e">
        <f aca="false">IF(AND(BX76&gt;0,CR76&gt;0,DE76&gt;0,CU76&gt;0),newSPRDOPT(BX76,CR76,CZ76,0,DE76,CU76,CV76,BT76*365.25,OCallPut,0),0)</f>
        <v>#VALUE!</v>
      </c>
      <c r="DL76" s="1316" t="e">
        <f aca="false">IF(OVolType,IF(AND(BZ76&gt;0,CS76&gt;0,DF76&gt;0,CU76&gt;0),newSPRDOPT(BZ76,CS76,DA76,0,DF76,CU76,CV76,BT76*365.25,OCallPut,0),0),IF(BQ76,(DH76*AZ76+DI76*BA76+DJ76*BB76+DK76*BC76)/BQ76,0))</f>
        <v>#VALUE!</v>
      </c>
      <c r="DM76" s="1316"/>
      <c r="DN76" s="1316"/>
      <c r="DO76" s="1316"/>
      <c r="DP76" s="1316"/>
      <c r="DQ76" s="1316"/>
      <c r="DR76" s="1316"/>
      <c r="DS76" s="1316"/>
      <c r="DT76" s="1316"/>
      <c r="DU76" s="1316"/>
      <c r="DV76" s="1316"/>
      <c r="DW76" s="1594" t="e">
        <f aca="false">IF(AND(BW76&gt;0,CT76&gt;0,DD76&gt;0,CU76&gt;0),newSPRDOPT(BW76,CT76,CY76,0,DD76,CU76,CV76,BT76*365.25,OCallPut,0),0)</f>
        <v>#VALUE!</v>
      </c>
      <c r="DX76" s="1316" t="e">
        <f aca="false">IF(AND(BX76&gt;0,CT76&gt;0,DE76&gt;0,CU76&gt;0),newSPRDOPT(BX76,CT76,CZ76,0,DE76,CU76,CV76,BT76*365.25,OCallPut,0),0)</f>
        <v>#VALUE!</v>
      </c>
      <c r="DY76" s="1591" t="e">
        <f aca="false">IF(BS76,(DH76*BH76+DI76*BI76+DW76*BJ76+DX76*BK76)/BS76,0)</f>
        <v>#VALUE!</v>
      </c>
      <c r="DZ76" s="1551" t="e">
        <f aca="false">DH76*AZ76</f>
        <v>#VALUE!</v>
      </c>
      <c r="EA76" s="1551" t="e">
        <f aca="false">DI76*BA76</f>
        <v>#VALUE!</v>
      </c>
      <c r="EB76" s="1551" t="e">
        <f aca="false">DJ76*BB76</f>
        <v>#VALUE!</v>
      </c>
      <c r="EC76" s="1551" t="e">
        <f aca="false">DK76*BC76</f>
        <v>#VALUE!</v>
      </c>
      <c r="ED76" s="1551" t="e">
        <f aca="false">DL76*BQ76</f>
        <v>#VALUE!</v>
      </c>
      <c r="EE76" s="1595" t="e">
        <f aca="false">IF(BQ76,IF(OCallPut,IF(BU76&gt;(CO76+CW76),BU76-(CO76+CW76),0),IF((CO76+CW76)&gt;BU76,(CO76+CW76)-BU76,0))*AZ76,0)</f>
        <v>#VALUE!</v>
      </c>
      <c r="EF76" s="1596" t="e">
        <f aca="false">IF(BQ76,IF(OCallPut,IF(BV76&gt;(CP76+CX76),BV76-(CP76+CX76),0),IF((CP76+CX76)&gt;BV76,(CP76+CX76)-BV76,0))*BA76,0)</f>
        <v>#VALUE!</v>
      </c>
      <c r="EG76" s="1596" t="e">
        <f aca="false">IF(BQ76,IF(OCallPut,IF(BW76&gt;(CQ76+CY76),BW76-(CQ76+CY76),0),IF((CQ76+CY76)&gt;BW76,(CQ76+CY76)-BW76,0))*BB76,0)</f>
        <v>#VALUE!</v>
      </c>
      <c r="EH76" s="1596" t="e">
        <f aca="false">IF(BQ76,IF(OCallPut,IF(BX76&gt;(CR76+CZ76),BX76-(CR76+CZ76),0),IF((CR76+CZ76)&gt;BX76,(CR76+CZ76)-BX76,0))*BC76,0)</f>
        <v>#VALUE!</v>
      </c>
      <c r="EI76" s="1597" t="e">
        <f aca="false">IF(BQ76,IF(OVolType,IF(OCallPut,IF(BZ76&gt;(CS76+DA76),BZ76-(CS76+DA76),0),IF((CS76+DA76)&gt;BZ76,(CS76+DA76)-BZ76,0))*BQ76,SUM(EE76:EH76)),0)</f>
        <v>#VALUE!</v>
      </c>
      <c r="EJ76" s="1595" t="e">
        <f aca="false">DZ76-EE76</f>
        <v>#VALUE!</v>
      </c>
      <c r="EK76" s="1596" t="e">
        <f aca="false">EA76-EF76</f>
        <v>#VALUE!</v>
      </c>
      <c r="EL76" s="1596" t="e">
        <f aca="false">EB76-EG76</f>
        <v>#VALUE!</v>
      </c>
      <c r="EM76" s="1596" t="e">
        <f aca="false">EC76-EH76</f>
        <v>#VALUE!</v>
      </c>
      <c r="EN76" s="1597" t="e">
        <f aca="false">ED76-EI76</f>
        <v>#VALUE!</v>
      </c>
      <c r="EO76" s="1551" t="e">
        <f aca="false">DH76*BH76</f>
        <v>#VALUE!</v>
      </c>
      <c r="EP76" s="1551" t="e">
        <f aca="false">DI76*BI76</f>
        <v>#VALUE!</v>
      </c>
      <c r="EQ76" s="1551" t="e">
        <f aca="false">DW76*BJ76</f>
        <v>#VALUE!</v>
      </c>
      <c r="ER76" s="1551" t="e">
        <f aca="false">DX76*BK76</f>
        <v>#VALUE!</v>
      </c>
      <c r="ES76" s="1551" t="e">
        <f aca="false">DY76*BS76</f>
        <v>#VALUE!</v>
      </c>
      <c r="ET76" s="1566" t="e">
        <f aca="false">IF(EI76,IF(OCallPut,IF(CA76&gt;(CT76+CW76),CA76-(CT76+CW76),0),IF((CT76+CW76)&gt;CA76,(CT76+CW76)-CA76,0))*BH76,0)</f>
        <v>#VALUE!</v>
      </c>
      <c r="EU76" s="1551" t="e">
        <f aca="false">IF(EI76,IF(OCallPut,IF(CB76&gt;(CT76+CX76),CB76-(CT76+CX76),0),IF((CT76+CX76)&gt;CB76,(CT76+CX76)-CB76,0))*BI76,0)</f>
        <v>#VALUE!</v>
      </c>
      <c r="EV76" s="1551" t="e">
        <f aca="false">IF(EI76,IF(OCallPut,IF(CC76&gt;(CT76+CY76),CC76-(CT76+CY76),0),IF((CT76+CY76)&gt;CC76,(CT76+CY76)-CC76,0))*BJ76,0)</f>
        <v>#VALUE!</v>
      </c>
      <c r="EW76" s="1551" t="e">
        <f aca="false">IF(EI76,IF(OCallPut,IF(CD76&gt;(CT76+CZ76),CD76-(CT76+CZ76),0),IF((CT76+CZ76)&gt;CD76,(CT76+CZ76)-CD76,0))*BK76,0)</f>
        <v>#VALUE!</v>
      </c>
      <c r="EX76" s="1558" t="e">
        <f aca="false">IF(EI76,SUM(ET76:EW76),0)</f>
        <v>#VALUE!</v>
      </c>
      <c r="EY76" s="1551" t="e">
        <f aca="false">EO76-ET76</f>
        <v>#VALUE!</v>
      </c>
      <c r="EZ76" s="1551" t="e">
        <f aca="false">EP76-EU76</f>
        <v>#VALUE!</v>
      </c>
      <c r="FA76" s="1551" t="e">
        <f aca="false">EQ76-EV76</f>
        <v>#VALUE!</v>
      </c>
      <c r="FB76" s="1551" t="e">
        <f aca="false">ER76-EW76</f>
        <v>#VALUE!</v>
      </c>
      <c r="FC76" s="1551" t="e">
        <f aca="false">ES76-EX76</f>
        <v>#VALUE!</v>
      </c>
      <c r="FD76" s="1525" t="n">
        <f aca="false">IF(AX76,IF(VLOOKUP(C76,MAIN!$L$17:$M$28,2)="Yes",VLOOKUP(CALC!B76,MAIN!$H$17:$I$20,2),0),0)</f>
        <v>0</v>
      </c>
      <c r="FE76" s="1552" t="e">
        <f aca="false">$FD76*16*AT76*(1-$AY76)</f>
        <v>#VALUE!</v>
      </c>
      <c r="FF76" s="1553" t="e">
        <f aca="false">$FD76*16*AU76*(1-$AY76)</f>
        <v>#VALUE!</v>
      </c>
      <c r="FG76" s="1553" t="e">
        <f aca="false">$FD76*16*(AV76+AW76)*(1-$AY76)</f>
        <v>#VALUE!</v>
      </c>
      <c r="FH76" s="1554" t="n">
        <f aca="false">$FD76*8*AX76*(1-$AY76)</f>
        <v>0</v>
      </c>
      <c r="FI76" s="1555" t="n">
        <f aca="false">IF(AX76,VLOOKUP(CALC!B76,MAIN!$H$17:$K$20,4),0)</f>
        <v>0</v>
      </c>
      <c r="FJ76" s="1553" t="e">
        <f aca="false">SUM(FE76:FH76)</f>
        <v>#VALUE!</v>
      </c>
      <c r="FK76" s="1556" t="e">
        <f aca="false">FI76*FJ76</f>
        <v>#VALUE!</v>
      </c>
      <c r="FL76" s="1551" t="e">
        <f aca="false">IF($EI76&gt;0,MIN(FE76,AZ76*(1+VLOOKUP($C76,WeatherCapacityAdjustment,2))),0)</f>
        <v>#VALUE!</v>
      </c>
      <c r="FM76" s="1551" t="e">
        <f aca="false">IF($EI76&gt;0,MIN(FF76,BA76*(1+VLOOKUP($C76,WeatherCapacityAdjustment,2))),0)</f>
        <v>#VALUE!</v>
      </c>
      <c r="FN76" s="1551" t="e">
        <f aca="false">IF($EI76&gt;0,MIN(FG76,BB76*(1+VLOOKUP($C76,WeatherCapacityAdjustment,2))),0)</f>
        <v>#VALUE!</v>
      </c>
      <c r="FO76" s="1564" t="e">
        <f aca="false">IF($EI76&gt;0,MIN(FH76,BC76*(1+VLOOKUP($C76,WeatherCapacityAdjustment,3))),0)</f>
        <v>#VALUE!</v>
      </c>
      <c r="FP76" s="1551" t="e">
        <f aca="false">IF(ET76&gt;0,MIN(FE76-FL76,BH76*(1+VLOOKUP($C76,WeatherCapacityAdjustment,2))),0)</f>
        <v>#VALUE!</v>
      </c>
      <c r="FQ76" s="1551" t="e">
        <f aca="false">IF(EU76&gt;0,MIN(FF76-FM76,BI76*(1+VLOOKUP($C76,WeatherCapacityAdjustment,2))),0)</f>
        <v>#VALUE!</v>
      </c>
      <c r="FR76" s="1551" t="e">
        <f aca="false">IF(EV76&gt;0,MIN(FG76-FN76,BJ76*(1+VLOOKUP($C76,WeatherCapacityAdjustment,2))),0)</f>
        <v>#VALUE!</v>
      </c>
      <c r="FS76" s="1558" t="e">
        <f aca="false">IF(EW76&gt;0,MIN(FH76-FO76,BK76*(1+VLOOKUP($C76,WeatherCapacityAdjustment,3))),0)</f>
        <v>#VALUE!</v>
      </c>
      <c r="FT76" s="1566" t="e">
        <f aca="false">IF(AND(Assumptions!$H$71="Yes",A76&gt;=Assumptions!$H$72,A76&lt;=Assumptions!$H$73),0,IF(AND($A76&gt;=Assumptions!$C$17,$A76&lt;=Assumptions!$C$18),MAX(AZ76*(1+VLOOKUP($C76,WeatherCapacityAdjustment,2))-FL76,0),0))</f>
        <v>#VALUE!</v>
      </c>
      <c r="FU76" s="1551" t="e">
        <f aca="false">IF(AND(Assumptions!$H$71="Yes",A76&gt;=Assumptions!$H$72,A76&lt;=Assumptions!$H$73),0,IF(AND($A76&gt;=Assumptions!$C$17,$A76&lt;=Assumptions!$C$18),MAX(BA76*(1+VLOOKUP($C76,WeatherCapacityAdjustment,2))-FM76,0),0))</f>
        <v>#VALUE!</v>
      </c>
      <c r="FV76" s="1551" t="e">
        <f aca="false">IF(AND(Assumptions!$H$71="Yes",A76&gt;=Assumptions!$H$72,A76&lt;=Assumptions!$H$73),0,IF(AND($A76&gt;=Assumptions!$C$17,$A76&lt;=Assumptions!$C$18),MAX(BB76*(1+VLOOKUP($C76,WeatherCapacityAdjustment,2))-FN76,0),0))</f>
        <v>#VALUE!</v>
      </c>
      <c r="FW76" s="1564" t="e">
        <f aca="false">IF(AND(Assumptions!$H$71="Yes",A76&gt;=Assumptions!$H$72,A76&lt;=Assumptions!$H$73),0,IF(AND($A76&gt;=Assumptions!$C$17,$A76&lt;=Assumptions!$C$18),MAX(BC76*(1+VLOOKUP($C76,WeatherCapacityAdjustment,3))-FO76,0),0))</f>
        <v>#VALUE!</v>
      </c>
      <c r="FX76" s="1569" t="e">
        <f aca="false">IF(AND(Assumptions!$H$71="Yes",A76&gt;=Assumptions!$H$72,A76&lt;=Assumptions!$H$73),0,IF(ET76&gt;0,MAX(BH76*(1+VLOOKUP($C76,WeatherCapacityAdjustment,2))-FP76,0),0))</f>
        <v>#VALUE!</v>
      </c>
      <c r="FY76" s="1551" t="e">
        <f aca="false">IF(AND(Assumptions!$H$71="Yes",A76&gt;=Assumptions!$H$72,A76&lt;=Assumptions!$H$73),0,IF(EU76&gt;0,MAX(BI76*(1+VLOOKUP($C76,WeatherCapacityAdjustment,3))-FQ76,0),0))</f>
        <v>#VALUE!</v>
      </c>
      <c r="FZ76" s="1551" t="e">
        <f aca="false">IF(AND(Assumptions!$H$71="Yes",A76&gt;=Assumptions!$H$72,A76&lt;=Assumptions!$H$73),0,IF(EV76&gt;0,MAX(BJ76*(1+VLOOKUP($C76,WeatherCapacityAdjustment,2))-FR76,0),0))</f>
        <v>#VALUE!</v>
      </c>
      <c r="GA76" s="1564" t="e">
        <f aca="false">IF(AND(Assumptions!$H$71="Yes",A76&gt;=Assumptions!$H$72,A76&lt;=Assumptions!$H$73),0,IF(EW76&gt;0,MAX(BK76*(1+VLOOKUP($C76,WeatherCapacityAdjustment,2))-FS76,0),0))</f>
        <v>#VALUE!</v>
      </c>
      <c r="GB76" s="1551" t="e">
        <f aca="false">SUM(FT76:GA76)</f>
        <v>#VALUE!</v>
      </c>
      <c r="GC76" s="1563" t="e">
        <f aca="false">+IF(SUM(FT76:GA76)=0,0,(SUMPRODUCT(BU76:BX76,FT76:FW76)+SUMPRODUCT(CA76:CD76,FX76:GA76))/SUM(FT76:GA76))</f>
        <v>#VALUE!</v>
      </c>
      <c r="GD76" s="1551" t="e">
        <f aca="false">(FT76*BU76+FX76*CA76+FU76*BV76+FY76*CB76+FV76*BW76+FZ76*CC76+FW76*BX76+GA76*CD76)</f>
        <v>#VALUE!</v>
      </c>
      <c r="GE76" s="1561" t="e">
        <f aca="false">+IF(BQ76,((FL76+FM76+FT76+FU76)*HeatRatePeak/1000*(1+VLOOKUP($C76,WeatherHeatRateAdjustment,2))+(FN76+FV76)*IF(EV76&gt;0,HeatRatePeak,HeatRateOffPeak)/1000*(1+VLOOKUP($C76,WeatherHeatRateAdjustment,2))+(FO76+FW76)*IF(EW76&gt;0,HeatRatePeak,HeatRateOffPeak)/1000*(1+VLOOKUP($C76,WeatherHeatRateAdjustment,3)))*(1+VLOOKUP($B76,HeatRateDegradation,$C76+1)),0)</f>
        <v>#VALUE!</v>
      </c>
      <c r="GF76" s="1562" t="e">
        <f aca="false">IF(BQ76,((FP76+FQ76+FR76+FX76+FY76+FZ76)*HeatRatePeak/1000*(1+VLOOKUP($C76,WeatherHeatRateAdjustment,2))+(FS76+GA76)*HeatRatePeak/1000*(1+VLOOKUP($C76,WeatherHeatRateAdjustment,3)))*(1+VLOOKUP($B76,HeatRateDegradation,$C76+1)),0)</f>
        <v>#VALUE!</v>
      </c>
      <c r="GG76" s="1563" t="e">
        <f aca="false">IF(BQ76,VLOOKUP(A76,GasTable,13),0)</f>
        <v>#VALUE!</v>
      </c>
      <c r="GH76" s="1564" t="e">
        <f aca="false">(GE76+GF76)*GG76</f>
        <v>#VALUE!</v>
      </c>
      <c r="GI76" s="1569" t="e">
        <f aca="false">GB76</f>
        <v>#VALUE!</v>
      </c>
      <c r="GJ76" s="1598" t="e">
        <f aca="false">+DA76</f>
        <v>#VALUE!</v>
      </c>
      <c r="GK76" s="1558" t="e">
        <f aca="false">+GI76*GJ76</f>
        <v>#VALUE!</v>
      </c>
      <c r="GL76" s="1566" t="e">
        <f aca="false">MAX(FE76-FL76-FP76,0)</f>
        <v>#VALUE!</v>
      </c>
      <c r="GM76" s="1551" t="e">
        <f aca="false">MAX(FF76-FM76-FQ76,0)</f>
        <v>#VALUE!</v>
      </c>
      <c r="GN76" s="1551" t="e">
        <f aca="false">MAX(FG76-FN76-FR76,0)</f>
        <v>#VALUE!</v>
      </c>
      <c r="GO76" s="1564" t="e">
        <f aca="false">MAX(FH76-FO76-FS76,0)</f>
        <v>#VALUE!</v>
      </c>
      <c r="GP76" s="1551" t="e">
        <f aca="false">SUM(GL76:GO76)</f>
        <v>#VALUE!</v>
      </c>
      <c r="GQ76" s="1563" t="e">
        <f aca="false">IF(SUM(GL76:GO76)=0,0,((GL76*BU76+GM76*BV76+GN76*BW76+GO76*BX76)/SUM(GL76:GO76)))</f>
        <v>#VALUE!</v>
      </c>
      <c r="GR76" s="1558" t="e">
        <f aca="false">(GL76*BU76+GM76*BV76+GN76*BW76+GO76*BX76)</f>
        <v>#VALUE!</v>
      </c>
      <c r="GS76" s="1566" t="n">
        <f aca="false">IF($A76&gt;=BegDate,Assumptions!$C$56*24*($A77-$A76)*(1-VLOOKUP($B76,MAIN!$AA$7:$AM$28,$C76+1))*(1-VLOOKUP($B76,MAIN!$AA$33:$AM$54,$C76+1)),0)*80/168</f>
        <v>224485.714285714</v>
      </c>
      <c r="GT76" s="286" t="n">
        <f aca="false">J76</f>
        <v>31.5757172987971</v>
      </c>
      <c r="GU76" s="286" t="n">
        <f aca="false">IF($A76&gt;=BegDate,VLOOKUP($A76,GasTable,13)+Assumptions!$C$58,0)</f>
        <v>2.38120919047725</v>
      </c>
      <c r="GV76" s="286" t="n">
        <f aca="false">GU76*Assumptions!$C$57/1000</f>
        <v>17.26376663096</v>
      </c>
      <c r="GW76" s="1558" t="n">
        <f aca="false">IF(Assumptions!$C$60="Hourly",MAX(0,GS76*(GT76-GV76)),GS76*(GT76-GV76))</f>
        <v>3212828.46849131</v>
      </c>
      <c r="GX76" s="1566" t="n">
        <f aca="false">IF($A76&gt;=BegDate,Assumptions!$C$56*24*($A77-$A76)*(1-VLOOKUP($B76,MAIN!$AA$7:$AM$28,$C76+1))*(1-VLOOKUP($B76,MAIN!$AA$33:$AM$54,$C76+1)),0)*16/168</f>
        <v>44897.1428571429</v>
      </c>
      <c r="GY76" s="286" t="n">
        <f aca="false">M76</f>
        <v>31.5757172987971</v>
      </c>
      <c r="GZ76" s="286" t="n">
        <f aca="false">IF($A76&gt;=BegDate,VLOOKUP($A76,GasTable,13)+Assumptions!$C$58,0)</f>
        <v>2.38120919047725</v>
      </c>
      <c r="HA76" s="286" t="n">
        <f aca="false">GZ76*Assumptions!$C$57/1000</f>
        <v>17.26376663096</v>
      </c>
      <c r="HB76" s="1558" t="n">
        <f aca="false">IF(Assumptions!$C$60="Hourly",MAX(0,GX76*(GY76-HA76)),GX76*(GY76-HA76))</f>
        <v>642565.693698263</v>
      </c>
      <c r="HC76" s="1566" t="n">
        <f aca="false">IF($A76&gt;=BegDate,Assumptions!$C$56*24*($A77-$A76)*(1-VLOOKUP($B76,MAIN!$AA$7:$AM$28,$C76+1))*(1-VLOOKUP($B76,MAIN!$AA$33:$AM$54,$C76+1)),0)*16/168</f>
        <v>44897.1428571429</v>
      </c>
      <c r="HD76" s="286" t="n">
        <f aca="false">P76</f>
        <v>22.0331469167395</v>
      </c>
      <c r="HE76" s="286" t="n">
        <f aca="false">IF($A76&gt;=BegDate,VLOOKUP($A76,GasTable,13)+Assumptions!$C$58,0)</f>
        <v>2.38120919047725</v>
      </c>
      <c r="HF76" s="286" t="n">
        <f aca="false">HE76*Assumptions!$C$57/1000</f>
        <v>17.26376663096</v>
      </c>
      <c r="HG76" s="1558" t="n">
        <f aca="false">IF(Assumptions!$C$60="Hourly",MAX(0,HC76*(HD76-HF76)),HC76*(HD76-HF76))</f>
        <v>214131.548030682</v>
      </c>
      <c r="HH76" s="1566" t="n">
        <f aca="false">IF($A76&gt;=BegDate,Assumptions!$C$56*24*($A77-$A76)*(1-VLOOKUP($B76,MAIN!$AA$7:$AM$28,$C76+1))*(1-VLOOKUP($B76,MAIN!$AA$33:$AM$54,$C76+1)),0)*56/168</f>
        <v>157140</v>
      </c>
      <c r="HI76" s="286" t="n">
        <f aca="false">S76</f>
        <v>22.0331469167395</v>
      </c>
      <c r="HJ76" s="286" t="n">
        <f aca="false">IF($A76&gt;=BegDate,VLOOKUP($A76,GasTable,13)+Assumptions!$C$58,0)</f>
        <v>2.38120919047725</v>
      </c>
      <c r="HK76" s="286" t="n">
        <f aca="false">HJ76*Assumptions!$C$57/1000</f>
        <v>17.26376663096</v>
      </c>
      <c r="HL76" s="1558" t="n">
        <f aca="false">IF(Assumptions!$C$60="Hourly",MAX(0,HH76*(HI76-HK76)),HH76*(HI76-HK76))</f>
        <v>749460.418107388</v>
      </c>
      <c r="HM76" s="1566" t="n">
        <f aca="false">IF(AND(Assumptions!$H$71="Yes",A76&gt;=Assumptions!$H$72,A76&lt;=Assumptions!$H$73),Assumptions!$H$74*Assumptions!$C$9*1000,0)</f>
        <v>0</v>
      </c>
      <c r="HN76" s="1551" t="e">
        <f aca="false">GD76-GH76</f>
        <v>#VALUE!</v>
      </c>
      <c r="HO76" s="1563"/>
      <c r="HP76" s="1563"/>
      <c r="HQ76" s="1563"/>
      <c r="HR76" s="1563"/>
      <c r="HS76" s="1563"/>
      <c r="HT76" s="1563"/>
      <c r="HU76" s="1563"/>
      <c r="HV76" s="1563"/>
      <c r="HW76" s="1563"/>
      <c r="HX76" s="1563"/>
      <c r="HY76" s="1563"/>
      <c r="HZ76" s="1563"/>
      <c r="IA76" s="1563"/>
      <c r="IB76" s="1563"/>
      <c r="IC76" s="1563"/>
      <c r="ID76" s="1563"/>
      <c r="IE76" s="1563"/>
      <c r="IF76" s="1563"/>
      <c r="IG76" s="1563"/>
      <c r="IH76" s="1563"/>
      <c r="II76" s="1610"/>
      <c r="IJ76" s="1309"/>
      <c r="IK76" s="1309"/>
    </row>
    <row r="77" customFormat="false" ht="12.75" hidden="false" customHeight="false" outlineLevel="0" collapsed="false">
      <c r="A77" s="1571" t="n">
        <f aca="false">EOMONTH(A76,0)+1</f>
        <v>38473</v>
      </c>
      <c r="B77" s="594" t="n">
        <f aca="false">+YEAR(A77)</f>
        <v>2005</v>
      </c>
      <c r="C77" s="238" t="n">
        <f aca="false">MONTH(A77)</f>
        <v>5</v>
      </c>
      <c r="D77" s="1572" t="e">
        <f aca="false">IF(E77="","",Holiday(B77,C77))</f>
        <v>#VALUE!</v>
      </c>
      <c r="E77" s="1573" t="n">
        <f aca="false">IF(OR(BegDate&gt;=A78,EndDate&lt;A77,AND(VolumeMonthlyOverFlag,INDEX(VolumeMonthlyOver,C77)=0),NOT(INDEX(MonthKnockOutTable,C77))),"",MAX(A77,BegDate))</f>
        <v>38473</v>
      </c>
      <c r="F77" s="1574" t="n">
        <f aca="false">IF(E77="","",MIN(A78-1,EndDate))</f>
        <v>38503</v>
      </c>
      <c r="G77" s="1575" t="n">
        <v>0</v>
      </c>
      <c r="H77" s="1576" t="n">
        <f aca="false">(1+G77/2)^(-2*(DATE(B78,C78,20)-DateToday)/365.25)</f>
        <v>1</v>
      </c>
      <c r="I77" s="1568" t="n">
        <f aca="false">IF(Assumptions!$L$25=4,VLOOKUP($A77,'Henwood Reference'!$E$9:$R$320,10),(VLOOKUP($A77,PriceTable,2,0)+IF(BasisNumber&lt;&gt;1,VLOOKUP($A77,BasisTable,2,0),0)+I$1)/(1-I$2))</f>
        <v>34.0766811342058</v>
      </c>
      <c r="J77" s="1568" t="n">
        <f aca="false">IF(Assumptions!$L$25=4,VLOOKUP($A77,'Henwood Reference'!$E$9:$R$320,10),(VLOOKUP($A77,PriceTable,3,0)+IF(BasisNumber&lt;&gt;1,VLOOKUP($A77,BasisTable,2,0),0)+J$1)/(1-J$2))</f>
        <v>34.0766811342058</v>
      </c>
      <c r="K77" s="1568" t="n">
        <f aca="false">IF(Assumptions!$L$25=4,VLOOKUP($A77,'Henwood Reference'!$E$9:$R$320,10),(VLOOKUP($A77,PriceTable,4,0)+IF(BasisNumber&lt;&gt;1,VLOOKUP($A77,BasisTable,2,0),0)+K$1)/(1-K$2))</f>
        <v>34.0766811342058</v>
      </c>
      <c r="L77" s="1523" t="n">
        <f aca="false">IF(Assumptions!$L$25=4,VLOOKUP($A77,'Henwood Reference'!$E$9:$R$320,10),(VLOOKUP($A77,PriceTableWeekend,2,0)+IF(BasisNumber&lt;&gt;1,VLOOKUP($A77,BasisTable,2,0),0)+L$1)/(1-L$2))</f>
        <v>34.0766811342058</v>
      </c>
      <c r="M77" s="1568" t="n">
        <f aca="false">IF(Assumptions!$L$25=4,VLOOKUP($A77,'Henwood Reference'!$E$9:$R$320,10),(VLOOKUP($A77,PriceTableWeekend,3,0)+IF(BasisNumber&lt;&gt;1,VLOOKUP($A77,BasisTable,2,0),0)+M$1)/(1-M$2))</f>
        <v>34.0766811342058</v>
      </c>
      <c r="N77" s="1599" t="n">
        <f aca="false">IF(Assumptions!$L$25=4,VLOOKUP($A77,'Henwood Reference'!$E$9:$R$320,10),(VLOOKUP($A77,PriceTableWeekend,4,0)+IF(BasisNumber&lt;&gt;1,VLOOKUP($A77,BasisTable,2,0),0)+N$1)/(1-N$2))</f>
        <v>34.0766811342058</v>
      </c>
      <c r="O77" s="1568" t="n">
        <f aca="false">IF(Assumptions!$L$25=4,VLOOKUP($A77,'Henwood Reference'!$E$9:$R$320,11),(VLOOKUP($A77,PriceTableWeekend,6,0)+IF(BasisNumber&lt;&gt;1,VLOOKUP($A77,BasisTable,3,0),0)+O$1)/(1-O$2))</f>
        <v>19.3786054416058</v>
      </c>
      <c r="P77" s="1568" t="n">
        <f aca="false">IF(Assumptions!$L$25=4,VLOOKUP($A77,'Henwood Reference'!$E$9:$R$320,11),(VLOOKUP($A77,PriceTableWeekend,7,0)+IF(BasisNumber&lt;&gt;1,VLOOKUP($A77,BasisTable,3,0),0)+P$1)/(1-P$2))</f>
        <v>19.3786054416058</v>
      </c>
      <c r="Q77" s="1599" t="n">
        <f aca="false">IF(Assumptions!$L$25=4,VLOOKUP($A77,'Henwood Reference'!$E$9:$R$320,11),(VLOOKUP($A77,PriceTableWeekend,8,0)+IF(BasisNumber&lt;&gt;1,VLOOKUP($A77,BasisTable,3,0),0)+Q$1)/(1-Q$2))</f>
        <v>19.3786054416058</v>
      </c>
      <c r="R77" s="1568" t="n">
        <f aca="false">IF(Assumptions!$L$25=4,VLOOKUP($A77,'Henwood Reference'!$E$9:$R$320,11),(VLOOKUP($A77,PriceTable,6,0)+IF(BasisNumber&lt;&gt;1,VLOOKUP($A77,BasisTable,3,0),0)+R$1)/(1-R$2))</f>
        <v>19.3786054416058</v>
      </c>
      <c r="S77" s="1568" t="n">
        <f aca="false">IF(Assumptions!$L$25=4,VLOOKUP($A77,'Henwood Reference'!$E$9:$R$320,11),(VLOOKUP($A77,PriceTable,7,0)+IF(BasisNumber&lt;&gt;1,VLOOKUP($A77,BasisTable,3,0),0)+S$1)/(1-S$2))</f>
        <v>19.3786054416058</v>
      </c>
      <c r="T77" s="1600" t="n">
        <f aca="false">IF(Assumptions!$L$25=4,VLOOKUP($A77,'Henwood Reference'!$E$9:$R$320,11),(VLOOKUP($A77,PriceTable,8,0)+IF(BasisNumber&lt;&gt;1,VLOOKUP($A77,BasisTable,3,0),0)+T$1)/(1-T$2))</f>
        <v>19.3786054416058</v>
      </c>
      <c r="U77" s="1513" t="n">
        <f aca="false">VLOOKUP($A77,VolatilityTable,14)</f>
        <v>0.145</v>
      </c>
      <c r="V77" s="1513" t="n">
        <f aca="false">VLOOKUP($A77,VolatilityTable,15)</f>
        <v>0.155</v>
      </c>
      <c r="W77" s="1514" t="n">
        <f aca="false">VLOOKUP($A77,VolatilityTable,16)</f>
        <v>0.165</v>
      </c>
      <c r="X77" s="1513" t="n">
        <f aca="false">VLOOKUP($A77,VolatilityTable,14)</f>
        <v>0.145</v>
      </c>
      <c r="Y77" s="1513" t="n">
        <f aca="false">VLOOKUP($A77,VolatilityTable,15)</f>
        <v>0.155</v>
      </c>
      <c r="Z77" s="1514" t="n">
        <f aca="false">VLOOKUP($A77,VolatilityTable,16)</f>
        <v>0.165</v>
      </c>
      <c r="AA77" s="1513" t="n">
        <f aca="false">VLOOKUP($A77,VolatilityTable,18)</f>
        <v>0.09</v>
      </c>
      <c r="AB77" s="1513" t="n">
        <f aca="false">VLOOKUP($A77,VolatilityTable,19)</f>
        <v>0.11</v>
      </c>
      <c r="AC77" s="1514" t="n">
        <f aca="false">VLOOKUP($A77,VolatilityTable,20)</f>
        <v>0.13</v>
      </c>
      <c r="AD77" s="1513" t="n">
        <f aca="false">VLOOKUP($A77,VolatilityTable,18)</f>
        <v>0.09</v>
      </c>
      <c r="AE77" s="1513" t="n">
        <f aca="false">VLOOKUP($A77,VolatilityTable,19)</f>
        <v>0.11</v>
      </c>
      <c r="AF77" s="1514" t="n">
        <f aca="false">VLOOKUP($A77,VolatilityTable,20)</f>
        <v>0.13</v>
      </c>
      <c r="AG77" s="1513" t="n">
        <f aca="false">VLOOKUP($A77,VolatilityTable,22)</f>
        <v>-0.1</v>
      </c>
      <c r="AH77" s="1513" t="n">
        <f aca="false">VLOOKUP($A77,VolatilityTable,23)</f>
        <v>0.65</v>
      </c>
      <c r="AI77" s="1514" t="n">
        <f aca="false">VLOOKUP($A77,VolatilityTable,24)</f>
        <v>0.1</v>
      </c>
      <c r="AJ77" s="1513" t="n">
        <f aca="false">VLOOKUP($A77,VolatilityTable,22)</f>
        <v>-0.1</v>
      </c>
      <c r="AK77" s="1513" t="n">
        <f aca="false">VLOOKUP($A77,VolatilityTable,23)</f>
        <v>0.65</v>
      </c>
      <c r="AL77" s="1514" t="n">
        <f aca="false">VLOOKUP($A77,VolatilityTable,24)</f>
        <v>0.1</v>
      </c>
      <c r="AM77" s="1513" t="n">
        <f aca="false">VLOOKUP($A77,VolatilityTable,26)</f>
        <v>-0.01</v>
      </c>
      <c r="AN77" s="1513" t="n">
        <f aca="false">VLOOKUP($A77,VolatilityTable,27)</f>
        <v>0.16</v>
      </c>
      <c r="AO77" s="1514" t="n">
        <f aca="false">VLOOKUP($A77,VolatilityTable,28)</f>
        <v>0.01</v>
      </c>
      <c r="AP77" s="1513" t="n">
        <f aca="false">VLOOKUP($A77,VolatilityTable,26)</f>
        <v>-0.01</v>
      </c>
      <c r="AQ77" s="1513" t="n">
        <f aca="false">VLOOKUP($A77,VolatilityTable,27)</f>
        <v>0.16</v>
      </c>
      <c r="AR77" s="1515" t="n">
        <f aca="false">VLOOKUP($A77,VolatilityTable,28)</f>
        <v>0.01</v>
      </c>
      <c r="AS77" s="1581" t="n">
        <f aca="false">IF(CorrPeakOffPeakOverFlag,INDEX(CorrPeakOffPeakOver,C77),CorrPeakOffPeak)</f>
        <v>0.5</v>
      </c>
      <c r="AT77" s="594" t="e">
        <f aca="false">AX77-SUM(AU77:AW77)</f>
        <v>#VALUE!</v>
      </c>
      <c r="AU77" s="238" t="e">
        <f aca="false">IF(E77="",0,INT((F77-MOD(F77,7)-E77)/7)+1-IF(AW77,IF(WEEKDAY(D77)=7,1,0),0))</f>
        <v>#VALUE!</v>
      </c>
      <c r="AV77" s="238" t="e">
        <f aca="false">IF(E77="",0,INT((F77-MOD(F77-1,7)-E77)/7)+1-IF(AW77,IF(WEEKDAY(D77)=1,1,0),0))</f>
        <v>#VALUE!</v>
      </c>
      <c r="AW77" s="238" t="e">
        <f aca="false">IF(OR(E77="",D77="",D77&lt;BegDate,D77&gt;EndDate),0,1)</f>
        <v>#VALUE!</v>
      </c>
      <c r="AX77" s="238" t="n">
        <f aca="false">IF(E77="",0,F77-E77+1)</f>
        <v>31</v>
      </c>
      <c r="AY77" s="1582" t="n">
        <f aca="false">IF(E77="",0,MIN((1-(1-VLOOKUP(B77,MAIN!$AA$7:$AM$28,C77+1))*(1-VLOOKUP(B77,MAIN!$AA$33:$AM$54,C77+1))),1))</f>
        <v>0.03</v>
      </c>
      <c r="AZ77" s="1519" t="e">
        <v>#VALUE!</v>
      </c>
      <c r="BA77" s="1520" t="e">
        <v>#VALUE!</v>
      </c>
      <c r="BB77" s="1520" t="e">
        <v>#VALUE!</v>
      </c>
      <c r="BC77" s="1583" t="e">
        <v>#VALUE!</v>
      </c>
      <c r="BD77" s="1522" t="e">
        <v>#VALUE!</v>
      </c>
      <c r="BE77" s="1523" t="e">
        <v>#VALUE!</v>
      </c>
      <c r="BF77" s="1523" t="e">
        <v>#VALUE!</v>
      </c>
      <c r="BG77" s="1584" t="e">
        <v>#VALUE!</v>
      </c>
      <c r="BH77" s="1525" t="e">
        <v>#VALUE!</v>
      </c>
      <c r="BI77" s="1520" t="e">
        <v>#VALUE!</v>
      </c>
      <c r="BJ77" s="1520" t="e">
        <v>#VALUE!</v>
      </c>
      <c r="BK77" s="1583" t="e">
        <v>#VALUE!</v>
      </c>
      <c r="BL77" s="1522" t="e">
        <v>#VALUE!</v>
      </c>
      <c r="BM77" s="1523" t="e">
        <v>#VALUE!</v>
      </c>
      <c r="BN77" s="1523" t="e">
        <v>#VALUE!</v>
      </c>
      <c r="BO77" s="1523" t="e">
        <v>#VALUE!</v>
      </c>
      <c r="BP77" s="1525" t="e">
        <f aca="false">SUM(AZ77:BB77)</f>
        <v>#VALUE!</v>
      </c>
      <c r="BQ77" s="1529" t="e">
        <f aca="false">SUM(AZ77:BC77)</f>
        <v>#VALUE!</v>
      </c>
      <c r="BR77" s="1519" t="e">
        <f aca="false">SUM(BH77:BJ77)</f>
        <v>#VALUE!</v>
      </c>
      <c r="BS77" s="1529" t="e">
        <f aca="false">SUM(BH77:BK77)</f>
        <v>#VALUE!</v>
      </c>
      <c r="BT77" s="1316" t="n">
        <f aca="false">(IF(OVolType&lt;&gt;2,A77+14,IF(OptExpDateShift,ShiftBack(A77,OptExpDateShift,D76),A77))-DateToday)/365.25</f>
        <v>5.04585900068446</v>
      </c>
      <c r="BU77" s="1585" t="e">
        <f aca="false">IF(BQ77,IF(OPriceCurve,IF(OBuySell=OCallPut,I77/(1-AY77),K77/(1-AY77)),J77/(1-AY77))*BD77,0)</f>
        <v>#VALUE!</v>
      </c>
      <c r="BV77" s="1316" t="e">
        <f aca="false">IF(BQ77,IF(OPriceCurve,IF(OBuySell=OCallPut,L77/(1-AY77),N77/(1-AY77)),M77/(1-AY77))*BE77,0)</f>
        <v>#VALUE!</v>
      </c>
      <c r="BW77" s="1316" t="e">
        <f aca="false">IF(BQ77,IF(OPriceCurve,IF(OBuySell=OCallPut,O77/(1-AY77),Q77/(1-AY77)),P77/(1-AY77))*BF77,0)</f>
        <v>#VALUE!</v>
      </c>
      <c r="BX77" s="1316" t="e">
        <f aca="false">IF(BQ77,IF(OPriceCurve,IF(OBuySell=OCallPut,R77/(1-AY77),T77/(1-AY77)),S77/(1-AY77))*BG77,0)</f>
        <v>#VALUE!</v>
      </c>
      <c r="BY77" s="1316" t="e">
        <f aca="false">IF(BP77,(BU77*AZ77+BV77*BA77+BW77*BB77)/BP77,0)</f>
        <v>#VALUE!</v>
      </c>
      <c r="BZ77" s="1316" t="e">
        <f aca="false">IF(BQ77,(BY77*BP77+BX77*BC77)/BQ77,0)</f>
        <v>#VALUE!</v>
      </c>
      <c r="CA77" s="1531" t="e">
        <f aca="false">IF(BS77,IF(OPriceCurve,IF(OBuySell=OCallPut,I77/(1-AY77),K77/(1-AY77)),J77/(1-AY77))*BL77,0)</f>
        <v>#VALUE!</v>
      </c>
      <c r="CB77" s="1316" t="e">
        <f aca="false">IF(BS77,IF(OPriceCurve,IF(OBuySell=OCallPut,L77/(1-AY77),N77/(1-AY77)),M77/(1-AY77))*BM77,0)</f>
        <v>#VALUE!</v>
      </c>
      <c r="CC77" s="1316" t="e">
        <f aca="false">IF(BS77,IF(OPriceCurve,IF(OBuySell=OCallPut,O77/(1-AY77),Q77/(1-AY77)),P77/(1-AY77))*BN77,0)</f>
        <v>#VALUE!</v>
      </c>
      <c r="CD77" s="1316" t="e">
        <f aca="false">IF(BS77,IF(OPriceCurve,IF(OBuySell=OCallPut,R77/(1-AY77),T77/(1-AY77)),S77/(1-AY77))*BO77,0)</f>
        <v>#VALUE!</v>
      </c>
      <c r="CE77" s="1316" t="e">
        <f aca="false">IF(BR77,(BU77*BH77+BV77*BI77+BW77*BJ77)/BR77,0)</f>
        <v>#VALUE!</v>
      </c>
      <c r="CF77" s="1532" t="e">
        <f aca="false">IF(BS77,(CE77*BR77+CD77*BK77)/BS77,0)</f>
        <v>#VALUE!</v>
      </c>
      <c r="CG77" s="1586" t="e">
        <f aca="false">IF(OR(BQ77,BS77),IF(OVolType&lt;&gt;2,SQRT(IF(OVolOverMonthlyPeak,OVolOverMonthlyPeak,IF(OVolCurve,IF(OBuySell,U77,W77),V77))^2*(1-15/365.25/BT77)+IF(OVolOverDailyPeak,OVolOverDailyPeak,IF(OVolCurve,IF(OBuySell,AG77,AI77),AH77))^2*15/365.25/BT77),IF(OVolOverMonthlyPeak,OVolOverMonthlyPeak,IF(OVolCurve,IF(OBuySell,U77,W77),V77))),"")</f>
        <v>#VALUE!</v>
      </c>
      <c r="CH77" s="1587" t="e">
        <f aca="false">IF(OR(BQ77,BS77),IF(OVolType&lt;&gt;2,SQRT(IF(OVolOverMonthlyPeak,OVolOverMonthlyPeak,IF(OVolCurve,IF(OBuySell,X77,Z77),Y77))^2*(1-15/365.25/BT77)+IF(OVolOverDailyPeak,OVolOverDailyPeak,IF(OVolCurve,IF(OBuySell,AJ77,AL77),AK77))^2*15/365.25/BT77),IF(OVolOverMonthlyPeak,OVolOverMonthlyPeak,IF(OVolCurve,IF(OBuySell,X77,Z77),Y77))),"")</f>
        <v>#VALUE!</v>
      </c>
      <c r="CI77" s="1587" t="e">
        <f aca="false">IF(OR(BQ77,BS77),IF(OVolType&lt;&gt;2,SQRT(IF(OVolOverMonthlyPeak,OVolOverMonthlyPeak,IF(OVolCurve,IF(OBuySell,AA77,AC77),AB77))^2*(1-15/365.25/BT77)+IF(OVolOverDailyPeak,OVolOverDailyPeak,IF(OVolCurve,IF(OBuySell,AM77,AO77),AN77))^2*15/365.25/BT77),IF(OVolOverMonthlyPeak,OVolOverMonthlyPeak,IF(OVolCurve,IF(OBuySell,AA77,AC77),AB77))),"")</f>
        <v>#VALUE!</v>
      </c>
      <c r="CJ77" s="1587" t="e">
        <f aca="false">IF(BQ77,IF(BP77,SQRT(LN(1+((BU77*AZ77)^2*(EXP(CG77^2*BT77)-1)+(BV77*BA77)^2*(EXP(CH77^2*BT77)-1)+(BW77*BB77)^2*(EXP(CI77^2*BT77)-1)+2*BU77*AZ77*BV77*BA77*(EXP(CG77*CH77*BT77)-1)+2*BV77*BA77*BW77*BB77*(EXP(CH77*CI77*BT77)-1)+2*BW77*BB77*BU77*AZ77*(EXP(CI77*CG77*BT77)-1))/(BY77*BP77)^2)/BT77),0),"")</f>
        <v>#VALUE!</v>
      </c>
      <c r="CK77" s="1587" t="e">
        <f aca="false">IF(BS77,IF(BR77,SQRT(LN(1+((CA77*BH77)^2*(EXP(CG77^2*BT77)-1)+(CB77*BI77)^2*(EXP(CH77^2*BT77)-1)+(CC77*BJ77)^2*(EXP(CI77^2*BT77)-1)+2*CA77*BH77*CB77*BI77*(EXP(CG77*CH77*BT77)-1)+2*CB77*BI77*CC77*BJ77*(EXP(CH77*CI77*BT77)-1)+2*CC77*BJ77*CA77*BH77*(EXP(CI77*CG77*BT77)-1))/(CE77*BR77)^2)/BT77),0),"")</f>
        <v>#VALUE!</v>
      </c>
      <c r="CL77" s="1587" t="e">
        <f aca="false">IF(OR(BQ77,BS77),IF(OVolType&lt;&gt;2,SQRT(IF(OVolOverMonthlyOffPeak,OVolOverMonthlyOffPeak,IF(OVolCurve,IF(OBuySell,AD77,AF77),AE77))^2*(1-15/365.25/BT77)+IF(OVolOverDailyOffPeak,OVolOverDailyOffPeak,IF(OVolCurve,IF(OBuySell,AP77,AR77),AQ77))^2*15/365.25/BT77),IF(OVolOverMonthlyOffPeak,OVolOverMonthlyOffPeak,IF(OVolCurve,IF(OBuySell,AD77,AF77),AE77))),"")</f>
        <v>#VALUE!</v>
      </c>
      <c r="CM77" s="1587" t="e">
        <f aca="false">IF(BQ77,SQRT(LN(1+((BY77*BP77)^2*(EXP(CJ77^2*BT77)-1)+(BX77*BC77)^2*(EXP(CL77^2*BT77)-1)+2*BY77*BP77*BX77*BC77*(EXP(AS77*CJ77*CL77*BT77)-1))/(BY77*BP77+BX77*BC77)^2)/BT77),"")</f>
        <v>#VALUE!</v>
      </c>
      <c r="CN77" s="1588" t="e">
        <f aca="false">IF(BS77,SQRT(LN(1+((CE77*BR77)^2*(EXP(CK77^2*BT77)-1)+(CD77*BK77)^2*(EXP(CL77^2*BT77)-1)+2*CE77*BR77*CD77*BK77*(EXP(AS77*CK77*CL77*BT77)-1))/(CE77*BR77+CD77*BK77)^2)/BT77),"")</f>
        <v>#VALUE!</v>
      </c>
      <c r="CO77" s="1531" t="e">
        <f aca="false">IF(OR(BQ77,BS77),VLOOKUP(A77,GasTable,13)*HeatRatePeak*(1+VLOOKUP($B77,HeatRateDegradation,$C77+1))/1000,0)</f>
        <v>#VALUE!</v>
      </c>
      <c r="CP77" s="1316" t="e">
        <f aca="false">IF(OR(BQ77,BS77),VLOOKUP(A77,GasTable,13)*HeatRatePeak*(1+VLOOKUP($B77,HeatRateDegradation,$C77+1))/1000,0)</f>
        <v>#VALUE!</v>
      </c>
      <c r="CQ77" s="1316" t="e">
        <f aca="false">IF(OR(BQ77,BS77),VLOOKUP(A77,GasTable,13)*IF(EV77,HeatRatePeak,HeatRateOffPeak)*(1+VLOOKUP($B77,HeatRateDegradation,$C77+1))/1000,0)</f>
        <v>#VALUE!</v>
      </c>
      <c r="CR77" s="1316" t="e">
        <f aca="false">IF(OR(BQ77,BS77),VLOOKUP(A77,GasTable,13)*IF(EW77,HeatRatePeak,HeatRateOffPeak)*(1+VLOOKUP($B77,HeatRateDegradation,$C77+1))/1000,0)</f>
        <v>#VALUE!</v>
      </c>
      <c r="CS77" s="1589" t="e">
        <f aca="false">IF(BQ77,(CO77*AZ77+CP77*BA77+CQ77*BB77+CR77*BC77)/BQ77,0)</f>
        <v>#VALUE!</v>
      </c>
      <c r="CT77" s="1316" t="e">
        <f aca="false">IF(BS77,CO77,0)</f>
        <v>#VALUE!</v>
      </c>
      <c r="CU77" s="1590" t="e">
        <f aca="false">IF(OR(BQ77,BS77),VLOOKUP(A77,GasTable,14),"")</f>
        <v>#VALUE!</v>
      </c>
      <c r="CV77" s="1568" t="e">
        <f aca="false">IF(OR(BQ77,BS77),IF(CorrPowerGasOverFlag,INDEX(CorrPowerGasOver,C77),CorrPowerGas),"")</f>
        <v>#VALUE!</v>
      </c>
      <c r="CW77" s="1316" t="e">
        <f aca="false">IF(OR($BQ77,$BS77),SpreadOptPowerMargin,0)*((1+Assumptions!$C$26)^($B77-YEAR(Assumptions!$C$17)))</f>
        <v>#VALUE!</v>
      </c>
      <c r="CX77" s="1316" t="e">
        <f aca="false">IF(OR($BQ77,$BS77),SpreadOptPowerMargin,0)*((1+Assumptions!$C$26)^($B77-YEAR(Assumptions!$C$17)))</f>
        <v>#VALUE!</v>
      </c>
      <c r="CY77" s="1316" t="e">
        <f aca="false">IF(OR($BQ77,$BS77),SpreadOptPowerMargin,0)*((1+Assumptions!$C$26)^($B77-YEAR(Assumptions!$C$17)))</f>
        <v>#VALUE!</v>
      </c>
      <c r="CZ77" s="1316" t="e">
        <f aca="false">IF(OR($BQ77,$BS77),SpreadOptPowerMargin,0)*((1+Assumptions!$C$26)^($B77-YEAR(Assumptions!$C$17)))</f>
        <v>#VALUE!</v>
      </c>
      <c r="DA77" s="1591" t="e">
        <f aca="false">IF(OR(BQ77,BS77),(CW77*(AZ77+BH77)+CX77*(BA77+BI77)+CY77*(BB77+BJ77)+CZ77*(BC77+BK77))/(BQ77+BS77),0)</f>
        <v>#VALUE!</v>
      </c>
      <c r="DB77" s="1592" t="e">
        <f aca="false">IF(OR(BQ77,BS77),CG77+IF(OVolSmile,VLOOKUP(MAX(-5,CO77+CW77-BU77),IF(OVolSmile=1,VolSmileBook,VolSmileModel),2),0),"")</f>
        <v>#VALUE!</v>
      </c>
      <c r="DC77" s="1592" t="e">
        <f aca="false">IF(OR(BQ77,BS77),CH77+IF(OVolSmile,VLOOKUP(MAX(-5,CP77+CW77-BV77),IF(OVolSmile=1,VolSmileBook,VolSmileModel),2),0),"")</f>
        <v>#VALUE!</v>
      </c>
      <c r="DD77" s="1592" t="e">
        <f aca="false">IF(OR(BQ77,BS77),CI77+IF(OVolSmile,VLOOKUP(MAX(-5,CQ77+CW77-BW77),IF(OVolSmile=1,VolSmileBook,VolSmileModel),2),0),"")</f>
        <v>#VALUE!</v>
      </c>
      <c r="DE77" s="1592" t="e">
        <f aca="false">IF(OR(BQ77,BS77),CL77+IF(OVolSmile,VLOOKUP(MAX(-5,CR77+CZ77-BX77),IF(OVolSmile=1,VolSmileBook,VolSmileModel),2),0),"")</f>
        <v>#VALUE!</v>
      </c>
      <c r="DF77" s="1592" t="e">
        <f aca="false">IF(BQ77,CM77+IF(OVolSmile,VLOOKUP(MAX(-5,CS77+DA77-BZ77),IF(OVolSmile=1,VolSmileBook,VolSmileModel),2),0),"")</f>
        <v>#VALUE!</v>
      </c>
      <c r="DG77" s="1593" t="e">
        <f aca="false">IF(BS77,CN77+IF(OVolSmile,VLOOKUP(MAX(-5,CT77+DA77-CF77),IF(OVolSmile=1,VolSmileBook,VolSmileModel),2),0),"")</f>
        <v>#VALUE!</v>
      </c>
      <c r="DH77" s="1316" t="e">
        <f aca="false">IF(AND(BU77&gt;0,CO77&gt;0,DB77&gt;0,CU77&gt;0),newSPRDOPT(BU77,CO77,CW77,0,DB77,CU77,CV77,BT77*365.25,OCallPut,0),0)</f>
        <v>#VALUE!</v>
      </c>
      <c r="DI77" s="1316" t="e">
        <f aca="false">IF(AND(BV77&gt;0,CP77&gt;0,DC77&gt;0,CU77&gt;0),newSPRDOPT(BV77,CP77,CX77,0,DC77,CU77,CV77,BT77*365.25,OCallPut,0),0)</f>
        <v>#VALUE!</v>
      </c>
      <c r="DJ77" s="1316" t="e">
        <f aca="false">IF(AND(BW77&gt;0,CQ77&gt;0,DD77&gt;0,CU77&gt;0),newSPRDOPT(BW77,CQ77,CY77,0,DD77,CU77,CV77,BT77*365.25,OCallPut,0),0)</f>
        <v>#VALUE!</v>
      </c>
      <c r="DK77" s="1316" t="e">
        <f aca="false">IF(AND(BX77&gt;0,CR77&gt;0,DE77&gt;0,CU77&gt;0),newSPRDOPT(BX77,CR77,CZ77,0,DE77,CU77,CV77,BT77*365.25,OCallPut,0),0)</f>
        <v>#VALUE!</v>
      </c>
      <c r="DL77" s="1316" t="e">
        <f aca="false">IF(OVolType,IF(AND(BZ77&gt;0,CS77&gt;0,DF77&gt;0,CU77&gt;0),newSPRDOPT(BZ77,CS77,DA77,0,DF77,CU77,CV77,BT77*365.25,OCallPut,0),0),IF(BQ77,(DH77*AZ77+DI77*BA77+DJ77*BB77+DK77*BC77)/BQ77,0))</f>
        <v>#VALUE!</v>
      </c>
      <c r="DM77" s="1316"/>
      <c r="DN77" s="1316"/>
      <c r="DO77" s="1316"/>
      <c r="DP77" s="1316"/>
      <c r="DQ77" s="1316"/>
      <c r="DR77" s="1316"/>
      <c r="DS77" s="1316"/>
      <c r="DT77" s="1316"/>
      <c r="DU77" s="1316"/>
      <c r="DV77" s="1316"/>
      <c r="DW77" s="1594" t="e">
        <f aca="false">IF(AND(BW77&gt;0,CT77&gt;0,DD77&gt;0,CU77&gt;0),newSPRDOPT(BW77,CT77,CY77,0,DD77,CU77,CV77,BT77*365.25,OCallPut,0),0)</f>
        <v>#VALUE!</v>
      </c>
      <c r="DX77" s="1316" t="e">
        <f aca="false">IF(AND(BX77&gt;0,CT77&gt;0,DE77&gt;0,CU77&gt;0),newSPRDOPT(BX77,CT77,CZ77,0,DE77,CU77,CV77,BT77*365.25,OCallPut,0),0)</f>
        <v>#VALUE!</v>
      </c>
      <c r="DY77" s="1591" t="e">
        <f aca="false">IF(BS77,(DH77*BH77+DI77*BI77+DW77*BJ77+DX77*BK77)/BS77,0)</f>
        <v>#VALUE!</v>
      </c>
      <c r="DZ77" s="1551" t="e">
        <f aca="false">DH77*AZ77</f>
        <v>#VALUE!</v>
      </c>
      <c r="EA77" s="1551" t="e">
        <f aca="false">DI77*BA77</f>
        <v>#VALUE!</v>
      </c>
      <c r="EB77" s="1551" t="e">
        <f aca="false">DJ77*BB77</f>
        <v>#VALUE!</v>
      </c>
      <c r="EC77" s="1551" t="e">
        <f aca="false">DK77*BC77</f>
        <v>#VALUE!</v>
      </c>
      <c r="ED77" s="1551" t="e">
        <f aca="false">DL77*BQ77</f>
        <v>#VALUE!</v>
      </c>
      <c r="EE77" s="1595" t="e">
        <f aca="false">IF(BQ77,IF(OCallPut,IF(BU77&gt;(CO77+CW77),BU77-(CO77+CW77),0),IF((CO77+CW77)&gt;BU77,(CO77+CW77)-BU77,0))*AZ77,0)</f>
        <v>#VALUE!</v>
      </c>
      <c r="EF77" s="1596" t="e">
        <f aca="false">IF(BQ77,IF(OCallPut,IF(BV77&gt;(CP77+CX77),BV77-(CP77+CX77),0),IF((CP77+CX77)&gt;BV77,(CP77+CX77)-BV77,0))*BA77,0)</f>
        <v>#VALUE!</v>
      </c>
      <c r="EG77" s="1596" t="e">
        <f aca="false">IF(BQ77,IF(OCallPut,IF(BW77&gt;(CQ77+CY77),BW77-(CQ77+CY77),0),IF((CQ77+CY77)&gt;BW77,(CQ77+CY77)-BW77,0))*BB77,0)</f>
        <v>#VALUE!</v>
      </c>
      <c r="EH77" s="1596" t="e">
        <f aca="false">IF(BQ77,IF(OCallPut,IF(BX77&gt;(CR77+CZ77),BX77-(CR77+CZ77),0),IF((CR77+CZ77)&gt;BX77,(CR77+CZ77)-BX77,0))*BC77,0)</f>
        <v>#VALUE!</v>
      </c>
      <c r="EI77" s="1597" t="e">
        <f aca="false">IF(BQ77,IF(OVolType,IF(OCallPut,IF(BZ77&gt;(CS77+DA77),BZ77-(CS77+DA77),0),IF((CS77+DA77)&gt;BZ77,(CS77+DA77)-BZ77,0))*BQ77,SUM(EE77:EH77)),0)</f>
        <v>#VALUE!</v>
      </c>
      <c r="EJ77" s="1595" t="e">
        <f aca="false">DZ77-EE77</f>
        <v>#VALUE!</v>
      </c>
      <c r="EK77" s="1596" t="e">
        <f aca="false">EA77-EF77</f>
        <v>#VALUE!</v>
      </c>
      <c r="EL77" s="1596" t="e">
        <f aca="false">EB77-EG77</f>
        <v>#VALUE!</v>
      </c>
      <c r="EM77" s="1596" t="e">
        <f aca="false">EC77-EH77</f>
        <v>#VALUE!</v>
      </c>
      <c r="EN77" s="1597" t="e">
        <f aca="false">ED77-EI77</f>
        <v>#VALUE!</v>
      </c>
      <c r="EO77" s="1551" t="e">
        <f aca="false">DH77*BH77</f>
        <v>#VALUE!</v>
      </c>
      <c r="EP77" s="1551" t="e">
        <f aca="false">DI77*BI77</f>
        <v>#VALUE!</v>
      </c>
      <c r="EQ77" s="1551" t="e">
        <f aca="false">DW77*BJ77</f>
        <v>#VALUE!</v>
      </c>
      <c r="ER77" s="1551" t="e">
        <f aca="false">DX77*BK77</f>
        <v>#VALUE!</v>
      </c>
      <c r="ES77" s="1551" t="e">
        <f aca="false">DY77*BS77</f>
        <v>#VALUE!</v>
      </c>
      <c r="ET77" s="1566" t="e">
        <f aca="false">IF(EI77,IF(OCallPut,IF(CA77&gt;(CT77+CW77),CA77-(CT77+CW77),0),IF((CT77+CW77)&gt;CA77,(CT77+CW77)-CA77,0))*BH77,0)</f>
        <v>#VALUE!</v>
      </c>
      <c r="EU77" s="1551" t="e">
        <f aca="false">IF(EI77,IF(OCallPut,IF(CB77&gt;(CT77+CX77),CB77-(CT77+CX77),0),IF((CT77+CX77)&gt;CB77,(CT77+CX77)-CB77,0))*BI77,0)</f>
        <v>#VALUE!</v>
      </c>
      <c r="EV77" s="1551" t="e">
        <f aca="false">IF(EI77,IF(OCallPut,IF(CC77&gt;(CT77+CY77),CC77-(CT77+CY77),0),IF((CT77+CY77)&gt;CC77,(CT77+CY77)-CC77,0))*BJ77,0)</f>
        <v>#VALUE!</v>
      </c>
      <c r="EW77" s="1551" t="e">
        <f aca="false">IF(EI77,IF(OCallPut,IF(CD77&gt;(CT77+CZ77),CD77-(CT77+CZ77),0),IF((CT77+CZ77)&gt;CD77,(CT77+CZ77)-CD77,0))*BK77,0)</f>
        <v>#VALUE!</v>
      </c>
      <c r="EX77" s="1558" t="e">
        <f aca="false">IF(EI77,SUM(ET77:EW77),0)</f>
        <v>#VALUE!</v>
      </c>
      <c r="EY77" s="1551" t="e">
        <f aca="false">EO77-ET77</f>
        <v>#VALUE!</v>
      </c>
      <c r="EZ77" s="1551" t="e">
        <f aca="false">EP77-EU77</f>
        <v>#VALUE!</v>
      </c>
      <c r="FA77" s="1551" t="e">
        <f aca="false">EQ77-EV77</f>
        <v>#VALUE!</v>
      </c>
      <c r="FB77" s="1551" t="e">
        <f aca="false">ER77-EW77</f>
        <v>#VALUE!</v>
      </c>
      <c r="FC77" s="1551" t="e">
        <f aca="false">ES77-EX77</f>
        <v>#VALUE!</v>
      </c>
      <c r="FD77" s="1525" t="n">
        <f aca="false">IF(AX77,IF(VLOOKUP(C77,MAIN!$L$17:$M$28,2)="Yes",VLOOKUP(CALC!B77,MAIN!$H$17:$I$20,2),0),0)</f>
        <v>0</v>
      </c>
      <c r="FE77" s="1552" t="e">
        <f aca="false">$FD77*16*AT77*(1-$AY77)</f>
        <v>#VALUE!</v>
      </c>
      <c r="FF77" s="1553" t="e">
        <f aca="false">$FD77*16*AU77*(1-$AY77)</f>
        <v>#VALUE!</v>
      </c>
      <c r="FG77" s="1553" t="e">
        <f aca="false">$FD77*16*(AV77+AW77)*(1-$AY77)</f>
        <v>#VALUE!</v>
      </c>
      <c r="FH77" s="1554" t="n">
        <f aca="false">$FD77*8*AX77*(1-$AY77)</f>
        <v>0</v>
      </c>
      <c r="FI77" s="1555" t="n">
        <f aca="false">IF(AX77,VLOOKUP(CALC!B77,MAIN!$H$17:$K$20,4),0)</f>
        <v>0</v>
      </c>
      <c r="FJ77" s="1553" t="e">
        <f aca="false">SUM(FE77:FH77)</f>
        <v>#VALUE!</v>
      </c>
      <c r="FK77" s="1556" t="e">
        <f aca="false">FI77*FJ77</f>
        <v>#VALUE!</v>
      </c>
      <c r="FL77" s="1551" t="e">
        <f aca="false">IF($EI77&gt;0,MIN(FE77,AZ77*(1+VLOOKUP($C77,WeatherCapacityAdjustment,2))),0)</f>
        <v>#VALUE!</v>
      </c>
      <c r="FM77" s="1551" t="e">
        <f aca="false">IF($EI77&gt;0,MIN(FF77,BA77*(1+VLOOKUP($C77,WeatherCapacityAdjustment,2))),0)</f>
        <v>#VALUE!</v>
      </c>
      <c r="FN77" s="1551" t="e">
        <f aca="false">IF($EI77&gt;0,MIN(FG77,BB77*(1+VLOOKUP($C77,WeatherCapacityAdjustment,2))),0)</f>
        <v>#VALUE!</v>
      </c>
      <c r="FO77" s="1564" t="e">
        <f aca="false">IF($EI77&gt;0,MIN(FH77,BC77*(1+VLOOKUP($C77,WeatherCapacityAdjustment,3))),0)</f>
        <v>#VALUE!</v>
      </c>
      <c r="FP77" s="1551" t="e">
        <f aca="false">IF(ET77&gt;0,MIN(FE77-FL77,BH77*(1+VLOOKUP($C77,WeatherCapacityAdjustment,2))),0)</f>
        <v>#VALUE!</v>
      </c>
      <c r="FQ77" s="1551" t="e">
        <f aca="false">IF(EU77&gt;0,MIN(FF77-FM77,BI77*(1+VLOOKUP($C77,WeatherCapacityAdjustment,2))),0)</f>
        <v>#VALUE!</v>
      </c>
      <c r="FR77" s="1551" t="e">
        <f aca="false">IF(EV77&gt;0,MIN(FG77-FN77,BJ77*(1+VLOOKUP($C77,WeatherCapacityAdjustment,2))),0)</f>
        <v>#VALUE!</v>
      </c>
      <c r="FS77" s="1558" t="e">
        <f aca="false">IF(EW77&gt;0,MIN(FH77-FO77,BK77*(1+VLOOKUP($C77,WeatherCapacityAdjustment,3))),0)</f>
        <v>#VALUE!</v>
      </c>
      <c r="FT77" s="1566" t="e">
        <f aca="false">IF(AND(Assumptions!$H$71="Yes",A77&gt;=Assumptions!$H$72,A77&lt;=Assumptions!$H$73),0,IF(AND($A77&gt;=Assumptions!$C$17,$A77&lt;=Assumptions!$C$18),MAX(AZ77*(1+VLOOKUP($C77,WeatherCapacityAdjustment,2))-FL77,0),0))</f>
        <v>#VALUE!</v>
      </c>
      <c r="FU77" s="1551" t="e">
        <f aca="false">IF(AND(Assumptions!$H$71="Yes",A77&gt;=Assumptions!$H$72,A77&lt;=Assumptions!$H$73),0,IF(AND($A77&gt;=Assumptions!$C$17,$A77&lt;=Assumptions!$C$18),MAX(BA77*(1+VLOOKUP($C77,WeatherCapacityAdjustment,2))-FM77,0),0))</f>
        <v>#VALUE!</v>
      </c>
      <c r="FV77" s="1551" t="e">
        <f aca="false">IF(AND(Assumptions!$H$71="Yes",A77&gt;=Assumptions!$H$72,A77&lt;=Assumptions!$H$73),0,IF(AND($A77&gt;=Assumptions!$C$17,$A77&lt;=Assumptions!$C$18),MAX(BB77*(1+VLOOKUP($C77,WeatherCapacityAdjustment,2))-FN77,0),0))</f>
        <v>#VALUE!</v>
      </c>
      <c r="FW77" s="1564" t="e">
        <f aca="false">IF(AND(Assumptions!$H$71="Yes",A77&gt;=Assumptions!$H$72,A77&lt;=Assumptions!$H$73),0,IF(AND($A77&gt;=Assumptions!$C$17,$A77&lt;=Assumptions!$C$18),MAX(BC77*(1+VLOOKUP($C77,WeatherCapacityAdjustment,3))-FO77,0),0))</f>
        <v>#VALUE!</v>
      </c>
      <c r="FX77" s="1569" t="e">
        <f aca="false">IF(AND(Assumptions!$H$71="Yes",A77&gt;=Assumptions!$H$72,A77&lt;=Assumptions!$H$73),0,IF(ET77&gt;0,MAX(BH77*(1+VLOOKUP($C77,WeatherCapacityAdjustment,2))-FP77,0),0))</f>
        <v>#VALUE!</v>
      </c>
      <c r="FY77" s="1551" t="e">
        <f aca="false">IF(AND(Assumptions!$H$71="Yes",A77&gt;=Assumptions!$H$72,A77&lt;=Assumptions!$H$73),0,IF(EU77&gt;0,MAX(BI77*(1+VLOOKUP($C77,WeatherCapacityAdjustment,3))-FQ77,0),0))</f>
        <v>#VALUE!</v>
      </c>
      <c r="FZ77" s="1551" t="e">
        <f aca="false">IF(AND(Assumptions!$H$71="Yes",A77&gt;=Assumptions!$H$72,A77&lt;=Assumptions!$H$73),0,IF(EV77&gt;0,MAX(BJ77*(1+VLOOKUP($C77,WeatherCapacityAdjustment,2))-FR77,0),0))</f>
        <v>#VALUE!</v>
      </c>
      <c r="GA77" s="1564" t="e">
        <f aca="false">IF(AND(Assumptions!$H$71="Yes",A77&gt;=Assumptions!$H$72,A77&lt;=Assumptions!$H$73),0,IF(EW77&gt;0,MAX(BK77*(1+VLOOKUP($C77,WeatherCapacityAdjustment,2))-FS77,0),0))</f>
        <v>#VALUE!</v>
      </c>
      <c r="GB77" s="1551" t="e">
        <f aca="false">SUM(FT77:GA77)</f>
        <v>#VALUE!</v>
      </c>
      <c r="GC77" s="1563" t="e">
        <f aca="false">+IF(SUM(FT77:GA77)=0,0,(SUMPRODUCT(BU77:BX77,FT77:FW77)+SUMPRODUCT(CA77:CD77,FX77:GA77))/SUM(FT77:GA77))</f>
        <v>#VALUE!</v>
      </c>
      <c r="GD77" s="1551" t="e">
        <f aca="false">(FT77*BU77+FX77*CA77+FU77*BV77+FY77*CB77+FV77*BW77+FZ77*CC77+FW77*BX77+GA77*CD77)</f>
        <v>#VALUE!</v>
      </c>
      <c r="GE77" s="1561" t="e">
        <f aca="false">+IF(BQ77,((FL77+FM77+FT77+FU77)*HeatRatePeak/1000*(1+VLOOKUP($C77,WeatherHeatRateAdjustment,2))+(FN77+FV77)*IF(EV77&gt;0,HeatRatePeak,HeatRateOffPeak)/1000*(1+VLOOKUP($C77,WeatherHeatRateAdjustment,2))+(FO77+FW77)*IF(EW77&gt;0,HeatRatePeak,HeatRateOffPeak)/1000*(1+VLOOKUP($C77,WeatherHeatRateAdjustment,3)))*(1+VLOOKUP($B77,HeatRateDegradation,$C77+1)),0)</f>
        <v>#VALUE!</v>
      </c>
      <c r="GF77" s="1562" t="e">
        <f aca="false">IF(BQ77,((FP77+FQ77+FR77+FX77+FY77+FZ77)*HeatRatePeak/1000*(1+VLOOKUP($C77,WeatherHeatRateAdjustment,2))+(FS77+GA77)*HeatRatePeak/1000*(1+VLOOKUP($C77,WeatherHeatRateAdjustment,3)))*(1+VLOOKUP($B77,HeatRateDegradation,$C77+1)),0)</f>
        <v>#VALUE!</v>
      </c>
      <c r="GG77" s="1563" t="e">
        <f aca="false">IF(BQ77,VLOOKUP(A77,GasTable,13),0)</f>
        <v>#VALUE!</v>
      </c>
      <c r="GH77" s="1564" t="e">
        <f aca="false">(GE77+GF77)*GG77</f>
        <v>#VALUE!</v>
      </c>
      <c r="GI77" s="1569" t="e">
        <f aca="false">GB77</f>
        <v>#VALUE!</v>
      </c>
      <c r="GJ77" s="1598" t="e">
        <f aca="false">+DA77</f>
        <v>#VALUE!</v>
      </c>
      <c r="GK77" s="1558" t="e">
        <f aca="false">+GI77*GJ77</f>
        <v>#VALUE!</v>
      </c>
      <c r="GL77" s="1566" t="e">
        <f aca="false">MAX(FE77-FL77-FP77,0)</f>
        <v>#VALUE!</v>
      </c>
      <c r="GM77" s="1551" t="e">
        <f aca="false">MAX(FF77-FM77-FQ77,0)</f>
        <v>#VALUE!</v>
      </c>
      <c r="GN77" s="1551" t="e">
        <f aca="false">MAX(FG77-FN77-FR77,0)</f>
        <v>#VALUE!</v>
      </c>
      <c r="GO77" s="1564" t="e">
        <f aca="false">MAX(FH77-FO77-FS77,0)</f>
        <v>#VALUE!</v>
      </c>
      <c r="GP77" s="1551" t="e">
        <f aca="false">SUM(GL77:GO77)</f>
        <v>#VALUE!</v>
      </c>
      <c r="GQ77" s="1563" t="e">
        <f aca="false">IF(SUM(GL77:GO77)=0,0,((GL77*BU77+GM77*BV77+GN77*BW77+GO77*BX77)/SUM(GL77:GO77)))</f>
        <v>#VALUE!</v>
      </c>
      <c r="GR77" s="1558" t="e">
        <f aca="false">(GL77*BU77+GM77*BV77+GN77*BW77+GO77*BX77)</f>
        <v>#VALUE!</v>
      </c>
      <c r="GS77" s="1566" t="n">
        <f aca="false">IF($A77&gt;=BegDate,Assumptions!$C$56*24*($A78-$A77)*(1-VLOOKUP($B77,MAIN!$AA$7:$AM$28,$C77+1))*(1-VLOOKUP($B77,MAIN!$AA$33:$AM$54,$C77+1)),0)*80/168</f>
        <v>257742.857142857</v>
      </c>
      <c r="GT77" s="286" t="n">
        <f aca="false">J77</f>
        <v>34.0766811342058</v>
      </c>
      <c r="GU77" s="286" t="n">
        <f aca="false">IF($A77&gt;=BegDate,VLOOKUP($A77,GasTable,13)+Assumptions!$C$58,0)</f>
        <v>2.359410146125</v>
      </c>
      <c r="GV77" s="286" t="n">
        <f aca="false">GU77*Assumptions!$C$57/1000</f>
        <v>17.1057235594063</v>
      </c>
      <c r="GW77" s="1558" t="n">
        <f aca="false">IF(Assumptions!$C$60="Hourly",MAX(0,GS77*(GT77-GV77)),GS77*(GT77-GV77))</f>
        <v>4374143.09377904</v>
      </c>
      <c r="GX77" s="1566" t="n">
        <f aca="false">IF($A77&gt;=BegDate,Assumptions!$C$56*24*($A78-$A77)*(1-VLOOKUP($B77,MAIN!$AA$7:$AM$28,$C77+1))*(1-VLOOKUP($B77,MAIN!$AA$33:$AM$54,$C77+1)),0)*16/168</f>
        <v>51548.5714285714</v>
      </c>
      <c r="GY77" s="286" t="n">
        <f aca="false">M77</f>
        <v>34.0766811342058</v>
      </c>
      <c r="GZ77" s="286" t="n">
        <f aca="false">IF($A77&gt;=BegDate,VLOOKUP($A77,GasTable,13)+Assumptions!$C$58,0)</f>
        <v>2.359410146125</v>
      </c>
      <c r="HA77" s="286" t="n">
        <f aca="false">GZ77*Assumptions!$C$57/1000</f>
        <v>17.1057235594063</v>
      </c>
      <c r="HB77" s="1558" t="n">
        <f aca="false">IF(Assumptions!$C$60="Hourly",MAX(0,GX77*(GY77-HA77)),GX77*(GY77-HA77))</f>
        <v>874828.618755807</v>
      </c>
      <c r="HC77" s="1566" t="n">
        <f aca="false">IF($A77&gt;=BegDate,Assumptions!$C$56*24*($A78-$A77)*(1-VLOOKUP($B77,MAIN!$AA$7:$AM$28,$C77+1))*(1-VLOOKUP($B77,MAIN!$AA$33:$AM$54,$C77+1)),0)*16/168</f>
        <v>51548.5714285714</v>
      </c>
      <c r="HD77" s="286" t="n">
        <f aca="false">P77</f>
        <v>19.3786054416058</v>
      </c>
      <c r="HE77" s="286" t="n">
        <f aca="false">IF($A77&gt;=BegDate,VLOOKUP($A77,GasTable,13)+Assumptions!$C$58,0)</f>
        <v>2.359410146125</v>
      </c>
      <c r="HF77" s="286" t="n">
        <f aca="false">HE77*Assumptions!$C$57/1000</f>
        <v>17.1057235594063</v>
      </c>
      <c r="HG77" s="1558" t="n">
        <f aca="false">IF(Assumptions!$C$60="Hourly",MAX(0,HC77*(HD77-HF77)),HC77*(HD77-HF77))</f>
        <v>117163.814053266</v>
      </c>
      <c r="HH77" s="1566" t="n">
        <f aca="false">IF($A77&gt;=BegDate,Assumptions!$C$56*24*($A78-$A77)*(1-VLOOKUP($B77,MAIN!$AA$7:$AM$28,$C77+1))*(1-VLOOKUP($B77,MAIN!$AA$33:$AM$54,$C77+1)),0)*56/168</f>
        <v>180420</v>
      </c>
      <c r="HI77" s="286" t="n">
        <f aca="false">S77</f>
        <v>19.3786054416058</v>
      </c>
      <c r="HJ77" s="286" t="n">
        <f aca="false">IF($A77&gt;=BegDate,VLOOKUP($A77,GasTable,13)+Assumptions!$C$58,0)</f>
        <v>2.359410146125</v>
      </c>
      <c r="HK77" s="286" t="n">
        <f aca="false">HJ77*Assumptions!$C$57/1000</f>
        <v>17.1057235594063</v>
      </c>
      <c r="HL77" s="1558" t="n">
        <f aca="false">IF(Assumptions!$C$60="Hourly",MAX(0,HH77*(HI77-HK77)),HH77*(HI77-HK77))</f>
        <v>410073.349186432</v>
      </c>
      <c r="HM77" s="1566" t="n">
        <f aca="false">IF(AND(Assumptions!$H$71="Yes",A77&gt;=Assumptions!$H$72,A77&lt;=Assumptions!$H$73),Assumptions!$H$74*Assumptions!$C$9*1000,0)</f>
        <v>0</v>
      </c>
      <c r="HN77" s="1551" t="e">
        <f aca="false">GD77-GH77</f>
        <v>#VALUE!</v>
      </c>
      <c r="HO77" s="1563"/>
      <c r="HP77" s="1563"/>
      <c r="HQ77" s="1563"/>
      <c r="HR77" s="1563"/>
      <c r="HS77" s="1563"/>
      <c r="HT77" s="1563"/>
      <c r="HU77" s="1563"/>
      <c r="HV77" s="1563"/>
      <c r="HW77" s="1563"/>
      <c r="HX77" s="1563"/>
      <c r="HY77" s="1563"/>
      <c r="HZ77" s="1563"/>
      <c r="IA77" s="1563"/>
      <c r="IB77" s="1563"/>
      <c r="IC77" s="1563"/>
      <c r="ID77" s="1563"/>
      <c r="IE77" s="1563"/>
      <c r="IF77" s="1563"/>
      <c r="IG77" s="1563"/>
      <c r="IH77" s="1563"/>
      <c r="II77" s="1610"/>
      <c r="IJ77" s="1309"/>
      <c r="IK77" s="1309"/>
    </row>
    <row r="78" customFormat="false" ht="12.75" hidden="false" customHeight="false" outlineLevel="0" collapsed="false">
      <c r="A78" s="1571" t="n">
        <f aca="false">EOMONTH(A77,0)+1</f>
        <v>38504</v>
      </c>
      <c r="B78" s="594" t="n">
        <f aca="false">+YEAR(A78)</f>
        <v>2005</v>
      </c>
      <c r="C78" s="238" t="n">
        <f aca="false">MONTH(A78)</f>
        <v>6</v>
      </c>
      <c r="D78" s="1572" t="e">
        <f aca="false">IF(E78="","",Holiday(B78,C78))</f>
        <v>#VALUE!</v>
      </c>
      <c r="E78" s="1573" t="n">
        <f aca="false">IF(OR(BegDate&gt;=A79,EndDate&lt;A78,AND(VolumeMonthlyOverFlag,INDEX(VolumeMonthlyOver,C78)=0),NOT(INDEX(MonthKnockOutTable,C78))),"",MAX(A78,BegDate))</f>
        <v>38504</v>
      </c>
      <c r="F78" s="1574" t="n">
        <f aca="false">IF(E78="","",MIN(A79-1,EndDate))</f>
        <v>38533</v>
      </c>
      <c r="G78" s="1575" t="n">
        <v>0</v>
      </c>
      <c r="H78" s="1576" t="n">
        <f aca="false">(1+G78/2)^(-2*(DATE(B79,C79,20)-DateToday)/365.25)</f>
        <v>1</v>
      </c>
      <c r="I78" s="1568" t="n">
        <f aca="false">IF(Assumptions!$L$25=4,VLOOKUP($A78,'Henwood Reference'!$E$9:$R$320,10),(VLOOKUP($A78,PriceTable,2,0)+IF(BasisNumber&lt;&gt;1,VLOOKUP($A78,BasisTable,2,0),0)+I$1)/(1-I$2))</f>
        <v>31.646047245961</v>
      </c>
      <c r="J78" s="1568" t="n">
        <f aca="false">IF(Assumptions!$L$25=4,VLOOKUP($A78,'Henwood Reference'!$E$9:$R$320,10),(VLOOKUP($A78,PriceTable,3,0)+IF(BasisNumber&lt;&gt;1,VLOOKUP($A78,BasisTable,2,0),0)+J$1)/(1-J$2))</f>
        <v>31.646047245961</v>
      </c>
      <c r="K78" s="1568" t="n">
        <f aca="false">IF(Assumptions!$L$25=4,VLOOKUP($A78,'Henwood Reference'!$E$9:$R$320,10),(VLOOKUP($A78,PriceTable,4,0)+IF(BasisNumber&lt;&gt;1,VLOOKUP($A78,BasisTable,2,0),0)+K$1)/(1-K$2))</f>
        <v>31.646047245961</v>
      </c>
      <c r="L78" s="1523" t="n">
        <f aca="false">IF(Assumptions!$L$25=4,VLOOKUP($A78,'Henwood Reference'!$E$9:$R$320,10),(VLOOKUP($A78,PriceTableWeekend,2,0)+IF(BasisNumber&lt;&gt;1,VLOOKUP($A78,BasisTable,2,0),0)+L$1)/(1-L$2))</f>
        <v>31.646047245961</v>
      </c>
      <c r="M78" s="1568" t="n">
        <f aca="false">IF(Assumptions!$L$25=4,VLOOKUP($A78,'Henwood Reference'!$E$9:$R$320,10),(VLOOKUP($A78,PriceTableWeekend,3,0)+IF(BasisNumber&lt;&gt;1,VLOOKUP($A78,BasisTable,2,0),0)+M$1)/(1-M$2))</f>
        <v>31.646047245961</v>
      </c>
      <c r="N78" s="1599" t="n">
        <f aca="false">IF(Assumptions!$L$25=4,VLOOKUP($A78,'Henwood Reference'!$E$9:$R$320,10),(VLOOKUP($A78,PriceTableWeekend,4,0)+IF(BasisNumber&lt;&gt;1,VLOOKUP($A78,BasisTable,2,0),0)+N$1)/(1-N$2))</f>
        <v>31.646047245961</v>
      </c>
      <c r="O78" s="1568" t="n">
        <f aca="false">IF(Assumptions!$L$25=4,VLOOKUP($A78,'Henwood Reference'!$E$9:$R$320,11),(VLOOKUP($A78,PriceTableWeekend,6,0)+IF(BasisNumber&lt;&gt;1,VLOOKUP($A78,BasisTable,3,0),0)+O$1)/(1-O$2))</f>
        <v>17.8279239535114</v>
      </c>
      <c r="P78" s="1568" t="n">
        <f aca="false">IF(Assumptions!$L$25=4,VLOOKUP($A78,'Henwood Reference'!$E$9:$R$320,11),(VLOOKUP($A78,PriceTableWeekend,7,0)+IF(BasisNumber&lt;&gt;1,VLOOKUP($A78,BasisTable,3,0),0)+P$1)/(1-P$2))</f>
        <v>17.8279239535114</v>
      </c>
      <c r="Q78" s="1599" t="n">
        <f aca="false">IF(Assumptions!$L$25=4,VLOOKUP($A78,'Henwood Reference'!$E$9:$R$320,11),(VLOOKUP($A78,PriceTableWeekend,8,0)+IF(BasisNumber&lt;&gt;1,VLOOKUP($A78,BasisTable,3,0),0)+Q$1)/(1-Q$2))</f>
        <v>17.8279239535114</v>
      </c>
      <c r="R78" s="1568" t="n">
        <f aca="false">IF(Assumptions!$L$25=4,VLOOKUP($A78,'Henwood Reference'!$E$9:$R$320,11),(VLOOKUP($A78,PriceTable,6,0)+IF(BasisNumber&lt;&gt;1,VLOOKUP($A78,BasisTable,3,0),0)+R$1)/(1-R$2))</f>
        <v>17.8279239535114</v>
      </c>
      <c r="S78" s="1568" t="n">
        <f aca="false">IF(Assumptions!$L$25=4,VLOOKUP($A78,'Henwood Reference'!$E$9:$R$320,11),(VLOOKUP($A78,PriceTable,7,0)+IF(BasisNumber&lt;&gt;1,VLOOKUP($A78,BasisTable,3,0),0)+S$1)/(1-S$2))</f>
        <v>17.8279239535114</v>
      </c>
      <c r="T78" s="1600" t="n">
        <f aca="false">IF(Assumptions!$L$25=4,VLOOKUP($A78,'Henwood Reference'!$E$9:$R$320,11),(VLOOKUP($A78,PriceTable,8,0)+IF(BasisNumber&lt;&gt;1,VLOOKUP($A78,BasisTable,3,0),0)+T$1)/(1-T$2))</f>
        <v>17.8279239535114</v>
      </c>
      <c r="U78" s="1513" t="n">
        <f aca="false">VLOOKUP($A78,VolatilityTable,14)</f>
        <v>0.145</v>
      </c>
      <c r="V78" s="1513" t="n">
        <f aca="false">VLOOKUP($A78,VolatilityTable,15)</f>
        <v>0.155</v>
      </c>
      <c r="W78" s="1514" t="n">
        <f aca="false">VLOOKUP($A78,VolatilityTable,16)</f>
        <v>0.165</v>
      </c>
      <c r="X78" s="1513" t="n">
        <f aca="false">VLOOKUP($A78,VolatilityTable,14)</f>
        <v>0.145</v>
      </c>
      <c r="Y78" s="1513" t="n">
        <f aca="false">VLOOKUP($A78,VolatilityTable,15)</f>
        <v>0.155</v>
      </c>
      <c r="Z78" s="1514" t="n">
        <f aca="false">VLOOKUP($A78,VolatilityTable,16)</f>
        <v>0.165</v>
      </c>
      <c r="AA78" s="1513" t="n">
        <f aca="false">VLOOKUP($A78,VolatilityTable,18)</f>
        <v>0.09</v>
      </c>
      <c r="AB78" s="1513" t="n">
        <f aca="false">VLOOKUP($A78,VolatilityTable,19)</f>
        <v>0.11</v>
      </c>
      <c r="AC78" s="1514" t="n">
        <f aca="false">VLOOKUP($A78,VolatilityTable,20)</f>
        <v>0.13</v>
      </c>
      <c r="AD78" s="1513" t="n">
        <f aca="false">VLOOKUP($A78,VolatilityTable,18)</f>
        <v>0.09</v>
      </c>
      <c r="AE78" s="1513" t="n">
        <f aca="false">VLOOKUP($A78,VolatilityTable,19)</f>
        <v>0.11</v>
      </c>
      <c r="AF78" s="1514" t="n">
        <f aca="false">VLOOKUP($A78,VolatilityTable,20)</f>
        <v>0.13</v>
      </c>
      <c r="AG78" s="1513" t="n">
        <f aca="false">VLOOKUP($A78,VolatilityTable,22)</f>
        <v>-0.35</v>
      </c>
      <c r="AH78" s="1513" t="n">
        <f aca="false">VLOOKUP($A78,VolatilityTable,23)</f>
        <v>0.65</v>
      </c>
      <c r="AI78" s="1514" t="n">
        <f aca="false">VLOOKUP($A78,VolatilityTable,24)</f>
        <v>0.2</v>
      </c>
      <c r="AJ78" s="1513" t="n">
        <f aca="false">VLOOKUP($A78,VolatilityTable,22)</f>
        <v>-0.35</v>
      </c>
      <c r="AK78" s="1513" t="n">
        <f aca="false">VLOOKUP($A78,VolatilityTable,23)</f>
        <v>0.65</v>
      </c>
      <c r="AL78" s="1514" t="n">
        <f aca="false">VLOOKUP($A78,VolatilityTable,24)</f>
        <v>0.2</v>
      </c>
      <c r="AM78" s="1513" t="n">
        <f aca="false">VLOOKUP($A78,VolatilityTable,26)</f>
        <v>-0.01</v>
      </c>
      <c r="AN78" s="1513" t="n">
        <f aca="false">VLOOKUP($A78,VolatilityTable,27)</f>
        <v>0.16</v>
      </c>
      <c r="AO78" s="1514" t="n">
        <f aca="false">VLOOKUP($A78,VolatilityTable,28)</f>
        <v>0.01</v>
      </c>
      <c r="AP78" s="1513" t="n">
        <f aca="false">VLOOKUP($A78,VolatilityTable,26)</f>
        <v>-0.01</v>
      </c>
      <c r="AQ78" s="1513" t="n">
        <f aca="false">VLOOKUP($A78,VolatilityTable,27)</f>
        <v>0.16</v>
      </c>
      <c r="AR78" s="1515" t="n">
        <f aca="false">VLOOKUP($A78,VolatilityTable,28)</f>
        <v>0.01</v>
      </c>
      <c r="AS78" s="1581" t="n">
        <f aca="false">IF(CorrPeakOffPeakOverFlag,INDEX(CorrPeakOffPeakOver,C78),CorrPeakOffPeak)</f>
        <v>0.5</v>
      </c>
      <c r="AT78" s="594" t="e">
        <f aca="false">AX78-SUM(AU78:AW78)</f>
        <v>#VALUE!</v>
      </c>
      <c r="AU78" s="238" t="e">
        <f aca="false">IF(E78="",0,INT((F78-MOD(F78,7)-E78)/7)+1-IF(AW78,IF(WEEKDAY(D78)=7,1,0),0))</f>
        <v>#VALUE!</v>
      </c>
      <c r="AV78" s="238" t="e">
        <f aca="false">IF(E78="",0,INT((F78-MOD(F78-1,7)-E78)/7)+1-IF(AW78,IF(WEEKDAY(D78)=1,1,0),0))</f>
        <v>#VALUE!</v>
      </c>
      <c r="AW78" s="238" t="e">
        <f aca="false">IF(OR(E78="",D78="",D78&lt;BegDate,D78&gt;EndDate),0,1)</f>
        <v>#VALUE!</v>
      </c>
      <c r="AX78" s="238" t="n">
        <f aca="false">IF(E78="",0,F78-E78+1)</f>
        <v>30</v>
      </c>
      <c r="AY78" s="1582" t="n">
        <f aca="false">IF(E78="",0,MIN((1-(1-VLOOKUP(B78,MAIN!$AA$7:$AM$28,C78+1))*(1-VLOOKUP(B78,MAIN!$AA$33:$AM$54,C78+1))),1))</f>
        <v>0.03</v>
      </c>
      <c r="AZ78" s="1519" t="e">
        <v>#VALUE!</v>
      </c>
      <c r="BA78" s="1520" t="e">
        <v>#VALUE!</v>
      </c>
      <c r="BB78" s="1520" t="e">
        <v>#VALUE!</v>
      </c>
      <c r="BC78" s="1583" t="e">
        <v>#VALUE!</v>
      </c>
      <c r="BD78" s="1522" t="e">
        <v>#VALUE!</v>
      </c>
      <c r="BE78" s="1523" t="e">
        <v>#VALUE!</v>
      </c>
      <c r="BF78" s="1523" t="e">
        <v>#VALUE!</v>
      </c>
      <c r="BG78" s="1584" t="e">
        <v>#VALUE!</v>
      </c>
      <c r="BH78" s="1525" t="e">
        <v>#VALUE!</v>
      </c>
      <c r="BI78" s="1520" t="e">
        <v>#VALUE!</v>
      </c>
      <c r="BJ78" s="1520" t="e">
        <v>#VALUE!</v>
      </c>
      <c r="BK78" s="1583" t="e">
        <v>#VALUE!</v>
      </c>
      <c r="BL78" s="1522" t="e">
        <v>#VALUE!</v>
      </c>
      <c r="BM78" s="1523" t="e">
        <v>#VALUE!</v>
      </c>
      <c r="BN78" s="1523" t="e">
        <v>#VALUE!</v>
      </c>
      <c r="BO78" s="1523" t="e">
        <v>#VALUE!</v>
      </c>
      <c r="BP78" s="1525" t="e">
        <f aca="false">SUM(AZ78:BB78)</f>
        <v>#VALUE!</v>
      </c>
      <c r="BQ78" s="1529" t="e">
        <f aca="false">SUM(AZ78:BC78)</f>
        <v>#VALUE!</v>
      </c>
      <c r="BR78" s="1519" t="e">
        <f aca="false">SUM(BH78:BJ78)</f>
        <v>#VALUE!</v>
      </c>
      <c r="BS78" s="1529" t="e">
        <f aca="false">SUM(BH78:BK78)</f>
        <v>#VALUE!</v>
      </c>
      <c r="BT78" s="1316" t="n">
        <f aca="false">(IF(OVolType&lt;&gt;2,A78+14,IF(OptExpDateShift,ShiftBack(A78,OptExpDateShift,D77),A78))-DateToday)/365.25</f>
        <v>5.13073237508556</v>
      </c>
      <c r="BU78" s="1585" t="e">
        <f aca="false">IF(BQ78,IF(OPriceCurve,IF(OBuySell=OCallPut,I78/(1-AY78),K78/(1-AY78)),J78/(1-AY78))*BD78,0)</f>
        <v>#VALUE!</v>
      </c>
      <c r="BV78" s="1316" t="e">
        <f aca="false">IF(BQ78,IF(OPriceCurve,IF(OBuySell=OCallPut,L78/(1-AY78),N78/(1-AY78)),M78/(1-AY78))*BE78,0)</f>
        <v>#VALUE!</v>
      </c>
      <c r="BW78" s="1316" t="e">
        <f aca="false">IF(BQ78,IF(OPriceCurve,IF(OBuySell=OCallPut,O78/(1-AY78),Q78/(1-AY78)),P78/(1-AY78))*BF78,0)</f>
        <v>#VALUE!</v>
      </c>
      <c r="BX78" s="1316" t="e">
        <f aca="false">IF(BQ78,IF(OPriceCurve,IF(OBuySell=OCallPut,R78/(1-AY78),T78/(1-AY78)),S78/(1-AY78))*BG78,0)</f>
        <v>#VALUE!</v>
      </c>
      <c r="BY78" s="1316" t="e">
        <f aca="false">IF(BP78,(BU78*AZ78+BV78*BA78+BW78*BB78)/BP78,0)</f>
        <v>#VALUE!</v>
      </c>
      <c r="BZ78" s="1316" t="e">
        <f aca="false">IF(BQ78,(BY78*BP78+BX78*BC78)/BQ78,0)</f>
        <v>#VALUE!</v>
      </c>
      <c r="CA78" s="1531" t="e">
        <f aca="false">IF(BS78,IF(OPriceCurve,IF(OBuySell=OCallPut,I78/(1-AY78),K78/(1-AY78)),J78/(1-AY78))*BL78,0)</f>
        <v>#VALUE!</v>
      </c>
      <c r="CB78" s="1316" t="e">
        <f aca="false">IF(BS78,IF(OPriceCurve,IF(OBuySell=OCallPut,L78/(1-AY78),N78/(1-AY78)),M78/(1-AY78))*BM78,0)</f>
        <v>#VALUE!</v>
      </c>
      <c r="CC78" s="1316" t="e">
        <f aca="false">IF(BS78,IF(OPriceCurve,IF(OBuySell=OCallPut,O78/(1-AY78),Q78/(1-AY78)),P78/(1-AY78))*BN78,0)</f>
        <v>#VALUE!</v>
      </c>
      <c r="CD78" s="1316" t="e">
        <f aca="false">IF(BS78,IF(OPriceCurve,IF(OBuySell=OCallPut,R78/(1-AY78),T78/(1-AY78)),S78/(1-AY78))*BO78,0)</f>
        <v>#VALUE!</v>
      </c>
      <c r="CE78" s="1316" t="e">
        <f aca="false">IF(BR78,(BU78*BH78+BV78*BI78+BW78*BJ78)/BR78,0)</f>
        <v>#VALUE!</v>
      </c>
      <c r="CF78" s="1532" t="e">
        <f aca="false">IF(BS78,(CE78*BR78+CD78*BK78)/BS78,0)</f>
        <v>#VALUE!</v>
      </c>
      <c r="CG78" s="1586" t="e">
        <f aca="false">IF(OR(BQ78,BS78),IF(OVolType&lt;&gt;2,SQRT(IF(OVolOverMonthlyPeak,OVolOverMonthlyPeak,IF(OVolCurve,IF(OBuySell,U78,W78),V78))^2*(1-15/365.25/BT78)+IF(OVolOverDailyPeak,OVolOverDailyPeak,IF(OVolCurve,IF(OBuySell,AG78,AI78),AH78))^2*15/365.25/BT78),IF(OVolOverMonthlyPeak,OVolOverMonthlyPeak,IF(OVolCurve,IF(OBuySell,U78,W78),V78))),"")</f>
        <v>#VALUE!</v>
      </c>
      <c r="CH78" s="1587" t="e">
        <f aca="false">IF(OR(BQ78,BS78),IF(OVolType&lt;&gt;2,SQRT(IF(OVolOverMonthlyPeak,OVolOverMonthlyPeak,IF(OVolCurve,IF(OBuySell,X78,Z78),Y78))^2*(1-15/365.25/BT78)+IF(OVolOverDailyPeak,OVolOverDailyPeak,IF(OVolCurve,IF(OBuySell,AJ78,AL78),AK78))^2*15/365.25/BT78),IF(OVolOverMonthlyPeak,OVolOverMonthlyPeak,IF(OVolCurve,IF(OBuySell,X78,Z78),Y78))),"")</f>
        <v>#VALUE!</v>
      </c>
      <c r="CI78" s="1587" t="e">
        <f aca="false">IF(OR(BQ78,BS78),IF(OVolType&lt;&gt;2,SQRT(IF(OVolOverMonthlyPeak,OVolOverMonthlyPeak,IF(OVolCurve,IF(OBuySell,AA78,AC78),AB78))^2*(1-15/365.25/BT78)+IF(OVolOverDailyPeak,OVolOverDailyPeak,IF(OVolCurve,IF(OBuySell,AM78,AO78),AN78))^2*15/365.25/BT78),IF(OVolOverMonthlyPeak,OVolOverMonthlyPeak,IF(OVolCurve,IF(OBuySell,AA78,AC78),AB78))),"")</f>
        <v>#VALUE!</v>
      </c>
      <c r="CJ78" s="1587" t="e">
        <f aca="false">IF(BQ78,IF(BP78,SQRT(LN(1+((BU78*AZ78)^2*(EXP(CG78^2*BT78)-1)+(BV78*BA78)^2*(EXP(CH78^2*BT78)-1)+(BW78*BB78)^2*(EXP(CI78^2*BT78)-1)+2*BU78*AZ78*BV78*BA78*(EXP(CG78*CH78*BT78)-1)+2*BV78*BA78*BW78*BB78*(EXP(CH78*CI78*BT78)-1)+2*BW78*BB78*BU78*AZ78*(EXP(CI78*CG78*BT78)-1))/(BY78*BP78)^2)/BT78),0),"")</f>
        <v>#VALUE!</v>
      </c>
      <c r="CK78" s="1587" t="e">
        <f aca="false">IF(BS78,IF(BR78,SQRT(LN(1+((CA78*BH78)^2*(EXP(CG78^2*BT78)-1)+(CB78*BI78)^2*(EXP(CH78^2*BT78)-1)+(CC78*BJ78)^2*(EXP(CI78^2*BT78)-1)+2*CA78*BH78*CB78*BI78*(EXP(CG78*CH78*BT78)-1)+2*CB78*BI78*CC78*BJ78*(EXP(CH78*CI78*BT78)-1)+2*CC78*BJ78*CA78*BH78*(EXP(CI78*CG78*BT78)-1))/(CE78*BR78)^2)/BT78),0),"")</f>
        <v>#VALUE!</v>
      </c>
      <c r="CL78" s="1587" t="e">
        <f aca="false">IF(OR(BQ78,BS78),IF(OVolType&lt;&gt;2,SQRT(IF(OVolOverMonthlyOffPeak,OVolOverMonthlyOffPeak,IF(OVolCurve,IF(OBuySell,AD78,AF78),AE78))^2*(1-15/365.25/BT78)+IF(OVolOverDailyOffPeak,OVolOverDailyOffPeak,IF(OVolCurve,IF(OBuySell,AP78,AR78),AQ78))^2*15/365.25/BT78),IF(OVolOverMonthlyOffPeak,OVolOverMonthlyOffPeak,IF(OVolCurve,IF(OBuySell,AD78,AF78),AE78))),"")</f>
        <v>#VALUE!</v>
      </c>
      <c r="CM78" s="1587" t="e">
        <f aca="false">IF(BQ78,SQRT(LN(1+((BY78*BP78)^2*(EXP(CJ78^2*BT78)-1)+(BX78*BC78)^2*(EXP(CL78^2*BT78)-1)+2*BY78*BP78*BX78*BC78*(EXP(AS78*CJ78*CL78*BT78)-1))/(BY78*BP78+BX78*BC78)^2)/BT78),"")</f>
        <v>#VALUE!</v>
      </c>
      <c r="CN78" s="1588" t="e">
        <f aca="false">IF(BS78,SQRT(LN(1+((CE78*BR78)^2*(EXP(CK78^2*BT78)-1)+(CD78*BK78)^2*(EXP(CL78^2*BT78)-1)+2*CE78*BR78*CD78*BK78*(EXP(AS78*CK78*CL78*BT78)-1))/(CE78*BR78+CD78*BK78)^2)/BT78),"")</f>
        <v>#VALUE!</v>
      </c>
      <c r="CO78" s="1531" t="e">
        <f aca="false">IF(OR(BQ78,BS78),VLOOKUP(A78,GasTable,13)*HeatRatePeak*(1+VLOOKUP($B78,HeatRateDegradation,$C78+1))/1000,0)</f>
        <v>#VALUE!</v>
      </c>
      <c r="CP78" s="1316" t="e">
        <f aca="false">IF(OR(BQ78,BS78),VLOOKUP(A78,GasTable,13)*HeatRatePeak*(1+VLOOKUP($B78,HeatRateDegradation,$C78+1))/1000,0)</f>
        <v>#VALUE!</v>
      </c>
      <c r="CQ78" s="1316" t="e">
        <f aca="false">IF(OR(BQ78,BS78),VLOOKUP(A78,GasTable,13)*IF(EV78,HeatRatePeak,HeatRateOffPeak)*(1+VLOOKUP($B78,HeatRateDegradation,$C78+1))/1000,0)</f>
        <v>#VALUE!</v>
      </c>
      <c r="CR78" s="1316" t="e">
        <f aca="false">IF(OR(BQ78,BS78),VLOOKUP(A78,GasTable,13)*IF(EW78,HeatRatePeak,HeatRateOffPeak)*(1+VLOOKUP($B78,HeatRateDegradation,$C78+1))/1000,0)</f>
        <v>#VALUE!</v>
      </c>
      <c r="CS78" s="1589" t="e">
        <f aca="false">IF(BQ78,(CO78*AZ78+CP78*BA78+CQ78*BB78+CR78*BC78)/BQ78,0)</f>
        <v>#VALUE!</v>
      </c>
      <c r="CT78" s="1316" t="e">
        <f aca="false">IF(BS78,CO78,0)</f>
        <v>#VALUE!</v>
      </c>
      <c r="CU78" s="1590" t="e">
        <f aca="false">IF(OR(BQ78,BS78),VLOOKUP(A78,GasTable,14),"")</f>
        <v>#VALUE!</v>
      </c>
      <c r="CV78" s="1568" t="e">
        <f aca="false">IF(OR(BQ78,BS78),IF(CorrPowerGasOverFlag,INDEX(CorrPowerGasOver,C78),CorrPowerGas),"")</f>
        <v>#VALUE!</v>
      </c>
      <c r="CW78" s="1316" t="e">
        <f aca="false">IF(OR($BQ78,$BS78),SpreadOptPowerMargin,0)*((1+Assumptions!$C$26)^($B78-YEAR(Assumptions!$C$17)))</f>
        <v>#VALUE!</v>
      </c>
      <c r="CX78" s="1316" t="e">
        <f aca="false">IF(OR($BQ78,$BS78),SpreadOptPowerMargin,0)*((1+Assumptions!$C$26)^($B78-YEAR(Assumptions!$C$17)))</f>
        <v>#VALUE!</v>
      </c>
      <c r="CY78" s="1316" t="e">
        <f aca="false">IF(OR($BQ78,$BS78),SpreadOptPowerMargin,0)*((1+Assumptions!$C$26)^($B78-YEAR(Assumptions!$C$17)))</f>
        <v>#VALUE!</v>
      </c>
      <c r="CZ78" s="1316" t="e">
        <f aca="false">IF(OR($BQ78,$BS78),SpreadOptPowerMargin,0)*((1+Assumptions!$C$26)^($B78-YEAR(Assumptions!$C$17)))</f>
        <v>#VALUE!</v>
      </c>
      <c r="DA78" s="1591" t="e">
        <f aca="false">IF(OR(BQ78,BS78),(CW78*(AZ78+BH78)+CX78*(BA78+BI78)+CY78*(BB78+BJ78)+CZ78*(BC78+BK78))/(BQ78+BS78),0)</f>
        <v>#VALUE!</v>
      </c>
      <c r="DB78" s="1592" t="e">
        <f aca="false">IF(OR(BQ78,BS78),CG78+IF(OVolSmile,VLOOKUP(MAX(-5,CO78+CW78-BU78),IF(OVolSmile=1,VolSmileBook,VolSmileModel),2),0),"")</f>
        <v>#VALUE!</v>
      </c>
      <c r="DC78" s="1592" t="e">
        <f aca="false">IF(OR(BQ78,BS78),CH78+IF(OVolSmile,VLOOKUP(MAX(-5,CP78+CW78-BV78),IF(OVolSmile=1,VolSmileBook,VolSmileModel),2),0),"")</f>
        <v>#VALUE!</v>
      </c>
      <c r="DD78" s="1592" t="e">
        <f aca="false">IF(OR(BQ78,BS78),CI78+IF(OVolSmile,VLOOKUP(MAX(-5,CQ78+CW78-BW78),IF(OVolSmile=1,VolSmileBook,VolSmileModel),2),0),"")</f>
        <v>#VALUE!</v>
      </c>
      <c r="DE78" s="1592" t="e">
        <f aca="false">IF(OR(BQ78,BS78),CL78+IF(OVolSmile,VLOOKUP(MAX(-5,CR78+CZ78-BX78),IF(OVolSmile=1,VolSmileBook,VolSmileModel),2),0),"")</f>
        <v>#VALUE!</v>
      </c>
      <c r="DF78" s="1592" t="e">
        <f aca="false">IF(BQ78,CM78+IF(OVolSmile,VLOOKUP(MAX(-5,CS78+DA78-BZ78),IF(OVolSmile=1,VolSmileBook,VolSmileModel),2),0),"")</f>
        <v>#VALUE!</v>
      </c>
      <c r="DG78" s="1593" t="e">
        <f aca="false">IF(BS78,CN78+IF(OVolSmile,VLOOKUP(MAX(-5,CT78+DA78-CF78),IF(OVolSmile=1,VolSmileBook,VolSmileModel),2),0),"")</f>
        <v>#VALUE!</v>
      </c>
      <c r="DH78" s="1316" t="e">
        <f aca="false">IF(AND(BU78&gt;0,CO78&gt;0,DB78&gt;0,CU78&gt;0),newSPRDOPT(BU78,CO78,CW78,0,DB78,CU78,CV78,BT78*365.25,OCallPut,0),0)</f>
        <v>#VALUE!</v>
      </c>
      <c r="DI78" s="1316" t="e">
        <f aca="false">IF(AND(BV78&gt;0,CP78&gt;0,DC78&gt;0,CU78&gt;0),newSPRDOPT(BV78,CP78,CX78,0,DC78,CU78,CV78,BT78*365.25,OCallPut,0),0)</f>
        <v>#VALUE!</v>
      </c>
      <c r="DJ78" s="1316" t="e">
        <f aca="false">IF(AND(BW78&gt;0,CQ78&gt;0,DD78&gt;0,CU78&gt;0),newSPRDOPT(BW78,CQ78,CY78,0,DD78,CU78,CV78,BT78*365.25,OCallPut,0),0)</f>
        <v>#VALUE!</v>
      </c>
      <c r="DK78" s="1316" t="e">
        <f aca="false">IF(AND(BX78&gt;0,CR78&gt;0,DE78&gt;0,CU78&gt;0),newSPRDOPT(BX78,CR78,CZ78,0,DE78,CU78,CV78,BT78*365.25,OCallPut,0),0)</f>
        <v>#VALUE!</v>
      </c>
      <c r="DL78" s="1316" t="e">
        <f aca="false">IF(OVolType,IF(AND(BZ78&gt;0,CS78&gt;0,DF78&gt;0,CU78&gt;0),newSPRDOPT(BZ78,CS78,DA78,0,DF78,CU78,CV78,BT78*365.25,OCallPut,0),0),IF(BQ78,(DH78*AZ78+DI78*BA78+DJ78*BB78+DK78*BC78)/BQ78,0))</f>
        <v>#VALUE!</v>
      </c>
      <c r="DM78" s="1316"/>
      <c r="DN78" s="1316"/>
      <c r="DO78" s="1316"/>
      <c r="DP78" s="1316"/>
      <c r="DQ78" s="1316"/>
      <c r="DR78" s="1316"/>
      <c r="DS78" s="1316"/>
      <c r="DT78" s="1316"/>
      <c r="DU78" s="1316"/>
      <c r="DV78" s="1316"/>
      <c r="DW78" s="1594" t="e">
        <f aca="false">IF(AND(BW78&gt;0,CT78&gt;0,DD78&gt;0,CU78&gt;0),newSPRDOPT(BW78,CT78,CY78,0,DD78,CU78,CV78,BT78*365.25,OCallPut,0),0)</f>
        <v>#VALUE!</v>
      </c>
      <c r="DX78" s="1316" t="e">
        <f aca="false">IF(AND(BX78&gt;0,CT78&gt;0,DE78&gt;0,CU78&gt;0),newSPRDOPT(BX78,CT78,CZ78,0,DE78,CU78,CV78,BT78*365.25,OCallPut,0),0)</f>
        <v>#VALUE!</v>
      </c>
      <c r="DY78" s="1591" t="e">
        <f aca="false">IF(BS78,(DH78*BH78+DI78*BI78+DW78*BJ78+DX78*BK78)/BS78,0)</f>
        <v>#VALUE!</v>
      </c>
      <c r="DZ78" s="1551" t="e">
        <f aca="false">DH78*AZ78</f>
        <v>#VALUE!</v>
      </c>
      <c r="EA78" s="1551" t="e">
        <f aca="false">DI78*BA78</f>
        <v>#VALUE!</v>
      </c>
      <c r="EB78" s="1551" t="e">
        <f aca="false">DJ78*BB78</f>
        <v>#VALUE!</v>
      </c>
      <c r="EC78" s="1551" t="e">
        <f aca="false">DK78*BC78</f>
        <v>#VALUE!</v>
      </c>
      <c r="ED78" s="1551" t="e">
        <f aca="false">DL78*BQ78</f>
        <v>#VALUE!</v>
      </c>
      <c r="EE78" s="1595" t="e">
        <f aca="false">IF(BQ78,IF(OCallPut,IF(BU78&gt;(CO78+CW78),BU78-(CO78+CW78),0),IF((CO78+CW78)&gt;BU78,(CO78+CW78)-BU78,0))*AZ78,0)</f>
        <v>#VALUE!</v>
      </c>
      <c r="EF78" s="1596" t="e">
        <f aca="false">IF(BQ78,IF(OCallPut,IF(BV78&gt;(CP78+CX78),BV78-(CP78+CX78),0),IF((CP78+CX78)&gt;BV78,(CP78+CX78)-BV78,0))*BA78,0)</f>
        <v>#VALUE!</v>
      </c>
      <c r="EG78" s="1596" t="e">
        <f aca="false">IF(BQ78,IF(OCallPut,IF(BW78&gt;(CQ78+CY78),BW78-(CQ78+CY78),0),IF((CQ78+CY78)&gt;BW78,(CQ78+CY78)-BW78,0))*BB78,0)</f>
        <v>#VALUE!</v>
      </c>
      <c r="EH78" s="1596" t="e">
        <f aca="false">IF(BQ78,IF(OCallPut,IF(BX78&gt;(CR78+CZ78),BX78-(CR78+CZ78),0),IF((CR78+CZ78)&gt;BX78,(CR78+CZ78)-BX78,0))*BC78,0)</f>
        <v>#VALUE!</v>
      </c>
      <c r="EI78" s="1597" t="e">
        <f aca="false">IF(BQ78,IF(OVolType,IF(OCallPut,IF(BZ78&gt;(CS78+DA78),BZ78-(CS78+DA78),0),IF((CS78+DA78)&gt;BZ78,(CS78+DA78)-BZ78,0))*BQ78,SUM(EE78:EH78)),0)</f>
        <v>#VALUE!</v>
      </c>
      <c r="EJ78" s="1595" t="e">
        <f aca="false">DZ78-EE78</f>
        <v>#VALUE!</v>
      </c>
      <c r="EK78" s="1596" t="e">
        <f aca="false">EA78-EF78</f>
        <v>#VALUE!</v>
      </c>
      <c r="EL78" s="1596" t="e">
        <f aca="false">EB78-EG78</f>
        <v>#VALUE!</v>
      </c>
      <c r="EM78" s="1596" t="e">
        <f aca="false">EC78-EH78</f>
        <v>#VALUE!</v>
      </c>
      <c r="EN78" s="1597" t="e">
        <f aca="false">ED78-EI78</f>
        <v>#VALUE!</v>
      </c>
      <c r="EO78" s="1551" t="e">
        <f aca="false">DH78*BH78</f>
        <v>#VALUE!</v>
      </c>
      <c r="EP78" s="1551" t="e">
        <f aca="false">DI78*BI78</f>
        <v>#VALUE!</v>
      </c>
      <c r="EQ78" s="1551" t="e">
        <f aca="false">DW78*BJ78</f>
        <v>#VALUE!</v>
      </c>
      <c r="ER78" s="1551" t="e">
        <f aca="false">DX78*BK78</f>
        <v>#VALUE!</v>
      </c>
      <c r="ES78" s="1551" t="e">
        <f aca="false">DY78*BS78</f>
        <v>#VALUE!</v>
      </c>
      <c r="ET78" s="1566" t="e">
        <f aca="false">IF(EI78,IF(OCallPut,IF(CA78&gt;(CT78+CW78),CA78-(CT78+CW78),0),IF((CT78+CW78)&gt;CA78,(CT78+CW78)-CA78,0))*BH78,0)</f>
        <v>#VALUE!</v>
      </c>
      <c r="EU78" s="1551" t="e">
        <f aca="false">IF(EI78,IF(OCallPut,IF(CB78&gt;(CT78+CX78),CB78-(CT78+CX78),0),IF((CT78+CX78)&gt;CB78,(CT78+CX78)-CB78,0))*BI78,0)</f>
        <v>#VALUE!</v>
      </c>
      <c r="EV78" s="1551" t="e">
        <f aca="false">IF(EI78,IF(OCallPut,IF(CC78&gt;(CT78+CY78),CC78-(CT78+CY78),0),IF((CT78+CY78)&gt;CC78,(CT78+CY78)-CC78,0))*BJ78,0)</f>
        <v>#VALUE!</v>
      </c>
      <c r="EW78" s="1551" t="e">
        <f aca="false">IF(EI78,IF(OCallPut,IF(CD78&gt;(CT78+CZ78),CD78-(CT78+CZ78),0),IF((CT78+CZ78)&gt;CD78,(CT78+CZ78)-CD78,0))*BK78,0)</f>
        <v>#VALUE!</v>
      </c>
      <c r="EX78" s="1558" t="e">
        <f aca="false">IF(EI78,SUM(ET78:EW78),0)</f>
        <v>#VALUE!</v>
      </c>
      <c r="EY78" s="1551" t="e">
        <f aca="false">EO78-ET78</f>
        <v>#VALUE!</v>
      </c>
      <c r="EZ78" s="1551" t="e">
        <f aca="false">EP78-EU78</f>
        <v>#VALUE!</v>
      </c>
      <c r="FA78" s="1551" t="e">
        <f aca="false">EQ78-EV78</f>
        <v>#VALUE!</v>
      </c>
      <c r="FB78" s="1551" t="e">
        <f aca="false">ER78-EW78</f>
        <v>#VALUE!</v>
      </c>
      <c r="FC78" s="1551" t="e">
        <f aca="false">ES78-EX78</f>
        <v>#VALUE!</v>
      </c>
      <c r="FD78" s="1525" t="n">
        <f aca="false">IF(AX78,IF(VLOOKUP(C78,MAIN!$L$17:$M$28,2)="Yes",VLOOKUP(CALC!B78,MAIN!$H$17:$I$20,2),0),0)</f>
        <v>0</v>
      </c>
      <c r="FE78" s="1552" t="e">
        <f aca="false">$FD78*16*AT78*(1-$AY78)</f>
        <v>#VALUE!</v>
      </c>
      <c r="FF78" s="1553" t="e">
        <f aca="false">$FD78*16*AU78*(1-$AY78)</f>
        <v>#VALUE!</v>
      </c>
      <c r="FG78" s="1553" t="e">
        <f aca="false">$FD78*16*(AV78+AW78)*(1-$AY78)</f>
        <v>#VALUE!</v>
      </c>
      <c r="FH78" s="1554" t="n">
        <f aca="false">$FD78*8*AX78*(1-$AY78)</f>
        <v>0</v>
      </c>
      <c r="FI78" s="1555" t="n">
        <f aca="false">IF(AX78,VLOOKUP(CALC!B78,MAIN!$H$17:$K$20,4),0)</f>
        <v>0</v>
      </c>
      <c r="FJ78" s="1553" t="e">
        <f aca="false">SUM(FE78:FH78)</f>
        <v>#VALUE!</v>
      </c>
      <c r="FK78" s="1556" t="e">
        <f aca="false">FI78*FJ78</f>
        <v>#VALUE!</v>
      </c>
      <c r="FL78" s="1551" t="e">
        <f aca="false">IF($EI78&gt;0,MIN(FE78,AZ78*(1+VLOOKUP($C78,WeatherCapacityAdjustment,2))),0)</f>
        <v>#VALUE!</v>
      </c>
      <c r="FM78" s="1551" t="e">
        <f aca="false">IF($EI78&gt;0,MIN(FF78,BA78*(1+VLOOKUP($C78,WeatherCapacityAdjustment,2))),0)</f>
        <v>#VALUE!</v>
      </c>
      <c r="FN78" s="1551" t="e">
        <f aca="false">IF($EI78&gt;0,MIN(FG78,BB78*(1+VLOOKUP($C78,WeatherCapacityAdjustment,2))),0)</f>
        <v>#VALUE!</v>
      </c>
      <c r="FO78" s="1564" t="e">
        <f aca="false">IF($EI78&gt;0,MIN(FH78,BC78*(1+VLOOKUP($C78,WeatherCapacityAdjustment,3))),0)</f>
        <v>#VALUE!</v>
      </c>
      <c r="FP78" s="1551" t="e">
        <f aca="false">IF(ET78&gt;0,MIN(FE78-FL78,BH78*(1+VLOOKUP($C78,WeatherCapacityAdjustment,2))),0)</f>
        <v>#VALUE!</v>
      </c>
      <c r="FQ78" s="1551" t="e">
        <f aca="false">IF(EU78&gt;0,MIN(FF78-FM78,BI78*(1+VLOOKUP($C78,WeatherCapacityAdjustment,2))),0)</f>
        <v>#VALUE!</v>
      </c>
      <c r="FR78" s="1551" t="e">
        <f aca="false">IF(EV78&gt;0,MIN(FG78-FN78,BJ78*(1+VLOOKUP($C78,WeatherCapacityAdjustment,2))),0)</f>
        <v>#VALUE!</v>
      </c>
      <c r="FS78" s="1558" t="e">
        <f aca="false">IF(EW78&gt;0,MIN(FH78-FO78,BK78*(1+VLOOKUP($C78,WeatherCapacityAdjustment,3))),0)</f>
        <v>#VALUE!</v>
      </c>
      <c r="FT78" s="1566" t="e">
        <f aca="false">IF(AND(Assumptions!$H$71="Yes",A78&gt;=Assumptions!$H$72,A78&lt;=Assumptions!$H$73),0,IF(AND($A78&gt;=Assumptions!$C$17,$A78&lt;=Assumptions!$C$18),MAX(AZ78*(1+VLOOKUP($C78,WeatherCapacityAdjustment,2))-FL78,0),0))</f>
        <v>#VALUE!</v>
      </c>
      <c r="FU78" s="1551" t="e">
        <f aca="false">IF(AND(Assumptions!$H$71="Yes",A78&gt;=Assumptions!$H$72,A78&lt;=Assumptions!$H$73),0,IF(AND($A78&gt;=Assumptions!$C$17,$A78&lt;=Assumptions!$C$18),MAX(BA78*(1+VLOOKUP($C78,WeatherCapacityAdjustment,2))-FM78,0),0))</f>
        <v>#VALUE!</v>
      </c>
      <c r="FV78" s="1551" t="e">
        <f aca="false">IF(AND(Assumptions!$H$71="Yes",A78&gt;=Assumptions!$H$72,A78&lt;=Assumptions!$H$73),0,IF(AND($A78&gt;=Assumptions!$C$17,$A78&lt;=Assumptions!$C$18),MAX(BB78*(1+VLOOKUP($C78,WeatherCapacityAdjustment,2))-FN78,0),0))</f>
        <v>#VALUE!</v>
      </c>
      <c r="FW78" s="1564" t="e">
        <f aca="false">IF(AND(Assumptions!$H$71="Yes",A78&gt;=Assumptions!$H$72,A78&lt;=Assumptions!$H$73),0,IF(AND($A78&gt;=Assumptions!$C$17,$A78&lt;=Assumptions!$C$18),MAX(BC78*(1+VLOOKUP($C78,WeatherCapacityAdjustment,3))-FO78,0),0))</f>
        <v>#VALUE!</v>
      </c>
      <c r="FX78" s="1569" t="e">
        <f aca="false">IF(AND(Assumptions!$H$71="Yes",A78&gt;=Assumptions!$H$72,A78&lt;=Assumptions!$H$73),0,IF(ET78&gt;0,MAX(BH78*(1+VLOOKUP($C78,WeatherCapacityAdjustment,2))-FP78,0),0))</f>
        <v>#VALUE!</v>
      </c>
      <c r="FY78" s="1551" t="e">
        <f aca="false">IF(AND(Assumptions!$H$71="Yes",A78&gt;=Assumptions!$H$72,A78&lt;=Assumptions!$H$73),0,IF(EU78&gt;0,MAX(BI78*(1+VLOOKUP($C78,WeatherCapacityAdjustment,3))-FQ78,0),0))</f>
        <v>#VALUE!</v>
      </c>
      <c r="FZ78" s="1551" t="e">
        <f aca="false">IF(AND(Assumptions!$H$71="Yes",A78&gt;=Assumptions!$H$72,A78&lt;=Assumptions!$H$73),0,IF(EV78&gt;0,MAX(BJ78*(1+VLOOKUP($C78,WeatherCapacityAdjustment,2))-FR78,0),0))</f>
        <v>#VALUE!</v>
      </c>
      <c r="GA78" s="1564" t="e">
        <f aca="false">IF(AND(Assumptions!$H$71="Yes",A78&gt;=Assumptions!$H$72,A78&lt;=Assumptions!$H$73),0,IF(EW78&gt;0,MAX(BK78*(1+VLOOKUP($C78,WeatherCapacityAdjustment,2))-FS78,0),0))</f>
        <v>#VALUE!</v>
      </c>
      <c r="GB78" s="1551" t="e">
        <f aca="false">SUM(FT78:GA78)</f>
        <v>#VALUE!</v>
      </c>
      <c r="GC78" s="1563" t="e">
        <f aca="false">+IF(SUM(FT78:GA78)=0,0,(SUMPRODUCT(BU78:BX78,FT78:FW78)+SUMPRODUCT(CA78:CD78,FX78:GA78))/SUM(FT78:GA78))</f>
        <v>#VALUE!</v>
      </c>
      <c r="GD78" s="1551" t="e">
        <f aca="false">(FT78*BU78+FX78*CA78+FU78*BV78+FY78*CB78+FV78*BW78+FZ78*CC78+FW78*BX78+GA78*CD78)</f>
        <v>#VALUE!</v>
      </c>
      <c r="GE78" s="1561" t="e">
        <f aca="false">+IF(BQ78,((FL78+FM78+FT78+FU78)*HeatRatePeak/1000*(1+VLOOKUP($C78,WeatherHeatRateAdjustment,2))+(FN78+FV78)*IF(EV78&gt;0,HeatRatePeak,HeatRateOffPeak)/1000*(1+VLOOKUP($C78,WeatherHeatRateAdjustment,2))+(FO78+FW78)*IF(EW78&gt;0,HeatRatePeak,HeatRateOffPeak)/1000*(1+VLOOKUP($C78,WeatherHeatRateAdjustment,3)))*(1+VLOOKUP($B78,HeatRateDegradation,$C78+1)),0)</f>
        <v>#VALUE!</v>
      </c>
      <c r="GF78" s="1562" t="e">
        <f aca="false">IF(BQ78,((FP78+FQ78+FR78+FX78+FY78+FZ78)*HeatRatePeak/1000*(1+VLOOKUP($C78,WeatherHeatRateAdjustment,2))+(FS78+GA78)*HeatRatePeak/1000*(1+VLOOKUP($C78,WeatherHeatRateAdjustment,3)))*(1+VLOOKUP($B78,HeatRateDegradation,$C78+1)),0)</f>
        <v>#VALUE!</v>
      </c>
      <c r="GG78" s="1563" t="e">
        <f aca="false">IF(BQ78,VLOOKUP(A78,GasTable,13),0)</f>
        <v>#VALUE!</v>
      </c>
      <c r="GH78" s="1564" t="e">
        <f aca="false">(GE78+GF78)*GG78</f>
        <v>#VALUE!</v>
      </c>
      <c r="GI78" s="1569" t="e">
        <f aca="false">GB78</f>
        <v>#VALUE!</v>
      </c>
      <c r="GJ78" s="1598" t="e">
        <f aca="false">+DA78</f>
        <v>#VALUE!</v>
      </c>
      <c r="GK78" s="1558" t="e">
        <f aca="false">+GI78*GJ78</f>
        <v>#VALUE!</v>
      </c>
      <c r="GL78" s="1566" t="e">
        <f aca="false">MAX(FE78-FL78-FP78,0)</f>
        <v>#VALUE!</v>
      </c>
      <c r="GM78" s="1551" t="e">
        <f aca="false">MAX(FF78-FM78-FQ78,0)</f>
        <v>#VALUE!</v>
      </c>
      <c r="GN78" s="1551" t="e">
        <f aca="false">MAX(FG78-FN78-FR78,0)</f>
        <v>#VALUE!</v>
      </c>
      <c r="GO78" s="1564" t="e">
        <f aca="false">MAX(FH78-FO78-FS78,0)</f>
        <v>#VALUE!</v>
      </c>
      <c r="GP78" s="1551" t="e">
        <f aca="false">SUM(GL78:GO78)</f>
        <v>#VALUE!</v>
      </c>
      <c r="GQ78" s="1563" t="e">
        <f aca="false">IF(SUM(GL78:GO78)=0,0,((GL78*BU78+GM78*BV78+GN78*BW78+GO78*BX78)/SUM(GL78:GO78)))</f>
        <v>#VALUE!</v>
      </c>
      <c r="GR78" s="1558" t="e">
        <f aca="false">(GL78*BU78+GM78*BV78+GN78*BW78+GO78*BX78)</f>
        <v>#VALUE!</v>
      </c>
      <c r="GS78" s="1566" t="n">
        <f aca="false">IF($A78&gt;=BegDate,Assumptions!$C$56*24*($A79-$A78)*(1-VLOOKUP($B78,MAIN!$AA$7:$AM$28,$C78+1))*(1-VLOOKUP($B78,MAIN!$AA$33:$AM$54,$C78+1)),0)*80/168</f>
        <v>249428.571428571</v>
      </c>
      <c r="GT78" s="286" t="n">
        <f aca="false">J78</f>
        <v>31.646047245961</v>
      </c>
      <c r="GU78" s="286" t="n">
        <f aca="false">IF($A78&gt;=BegDate,VLOOKUP($A78,GasTable,13)+Assumptions!$C$58,0)</f>
        <v>2.38390043052073</v>
      </c>
      <c r="GV78" s="286" t="n">
        <f aca="false">GU78*Assumptions!$C$57/1000</f>
        <v>17.2832781212753</v>
      </c>
      <c r="GW78" s="1558" t="n">
        <f aca="false">IF(Assumptions!$C$60="Hourly",MAX(0,GS78*(GT78-GV78)),GS78*(GT78-GV78))</f>
        <v>3582484.98452873</v>
      </c>
      <c r="GX78" s="1566" t="n">
        <f aca="false">IF($A78&gt;=BegDate,Assumptions!$C$56*24*($A79-$A78)*(1-VLOOKUP($B78,MAIN!$AA$7:$AM$28,$C78+1))*(1-VLOOKUP($B78,MAIN!$AA$33:$AM$54,$C78+1)),0)*16/168</f>
        <v>49885.7142857143</v>
      </c>
      <c r="GY78" s="286" t="n">
        <f aca="false">M78</f>
        <v>31.646047245961</v>
      </c>
      <c r="GZ78" s="286" t="n">
        <f aca="false">IF($A78&gt;=BegDate,VLOOKUP($A78,GasTable,13)+Assumptions!$C$58,0)</f>
        <v>2.38390043052073</v>
      </c>
      <c r="HA78" s="286" t="n">
        <f aca="false">GZ78*Assumptions!$C$57/1000</f>
        <v>17.2832781212753</v>
      </c>
      <c r="HB78" s="1558" t="n">
        <f aca="false">IF(Assumptions!$C$60="Hourly",MAX(0,GX78*(GY78-HA78)),GX78*(GY78-HA78))</f>
        <v>716496.996905746</v>
      </c>
      <c r="HC78" s="1566" t="n">
        <f aca="false">IF($A78&gt;=BegDate,Assumptions!$C$56*24*($A79-$A78)*(1-VLOOKUP($B78,MAIN!$AA$7:$AM$28,$C78+1))*(1-VLOOKUP($B78,MAIN!$AA$33:$AM$54,$C78+1)),0)*16/168</f>
        <v>49885.7142857143</v>
      </c>
      <c r="HD78" s="286" t="n">
        <f aca="false">P78</f>
        <v>17.8279239535114</v>
      </c>
      <c r="HE78" s="286" t="n">
        <f aca="false">IF($A78&gt;=BegDate,VLOOKUP($A78,GasTable,13)+Assumptions!$C$58,0)</f>
        <v>2.38390043052073</v>
      </c>
      <c r="HF78" s="286" t="n">
        <f aca="false">HE78*Assumptions!$C$57/1000</f>
        <v>17.2832781212753</v>
      </c>
      <c r="HG78" s="1558" t="n">
        <f aca="false">IF(Assumptions!$C$60="Hourly",MAX(0,HC78*(HD78-HF78)),HC78*(HD78-HF78))</f>
        <v>27170.046373832</v>
      </c>
      <c r="HH78" s="1566" t="n">
        <f aca="false">IF($A78&gt;=BegDate,Assumptions!$C$56*24*($A79-$A78)*(1-VLOOKUP($B78,MAIN!$AA$7:$AM$28,$C78+1))*(1-VLOOKUP($B78,MAIN!$AA$33:$AM$54,$C78+1)),0)*56/168</f>
        <v>174600</v>
      </c>
      <c r="HI78" s="286" t="n">
        <f aca="false">S78</f>
        <v>17.8279239535114</v>
      </c>
      <c r="HJ78" s="286" t="n">
        <f aca="false">IF($A78&gt;=BegDate,VLOOKUP($A78,GasTable,13)+Assumptions!$C$58,0)</f>
        <v>2.38390043052073</v>
      </c>
      <c r="HK78" s="286" t="n">
        <f aca="false">HJ78*Assumptions!$C$57/1000</f>
        <v>17.2832781212753</v>
      </c>
      <c r="HL78" s="1558" t="n">
        <f aca="false">IF(Assumptions!$C$60="Hourly",MAX(0,HH78*(HI78-HK78)),HH78*(HI78-HK78))</f>
        <v>95095.1623084118</v>
      </c>
      <c r="HM78" s="1566" t="n">
        <f aca="false">IF(AND(Assumptions!$H$71="Yes",A78&gt;=Assumptions!$H$72,A78&lt;=Assumptions!$H$73),Assumptions!$H$74*Assumptions!$C$9*1000,0)</f>
        <v>0</v>
      </c>
      <c r="HN78" s="1551" t="e">
        <f aca="false">GD78-GH78</f>
        <v>#VALUE!</v>
      </c>
      <c r="HO78" s="1563"/>
      <c r="HP78" s="1563"/>
      <c r="HQ78" s="1563"/>
      <c r="HR78" s="1563"/>
      <c r="HS78" s="1563"/>
      <c r="HT78" s="1563"/>
      <c r="HU78" s="1563"/>
      <c r="HV78" s="1563"/>
      <c r="HW78" s="1563"/>
      <c r="HX78" s="1563"/>
      <c r="HY78" s="1563"/>
      <c r="HZ78" s="1563"/>
      <c r="IA78" s="1563"/>
      <c r="IB78" s="1563"/>
      <c r="IC78" s="1563"/>
      <c r="ID78" s="1563"/>
      <c r="IE78" s="1563"/>
      <c r="IF78" s="1563"/>
      <c r="IG78" s="1563"/>
      <c r="IH78" s="1563"/>
      <c r="II78" s="1610"/>
      <c r="IJ78" s="1309"/>
      <c r="IK78" s="1309"/>
    </row>
    <row r="79" customFormat="false" ht="12.75" hidden="false" customHeight="false" outlineLevel="0" collapsed="false">
      <c r="A79" s="1571" t="n">
        <f aca="false">EOMONTH(A78,0)+1</f>
        <v>38534</v>
      </c>
      <c r="B79" s="594" t="n">
        <f aca="false">+YEAR(A79)</f>
        <v>2005</v>
      </c>
      <c r="C79" s="238" t="n">
        <f aca="false">MONTH(A79)</f>
        <v>7</v>
      </c>
      <c r="D79" s="1572" t="e">
        <f aca="false">IF(E79="","",Holiday(B79,C79))</f>
        <v>#VALUE!</v>
      </c>
      <c r="E79" s="1573" t="n">
        <f aca="false">IF(OR(BegDate&gt;=A80,EndDate&lt;A79,AND(VolumeMonthlyOverFlag,INDEX(VolumeMonthlyOver,C79)=0),NOT(INDEX(MonthKnockOutTable,C79))),"",MAX(A79,BegDate))</f>
        <v>38534</v>
      </c>
      <c r="F79" s="1574" t="n">
        <f aca="false">IF(E79="","",MIN(A80-1,EndDate))</f>
        <v>38564</v>
      </c>
      <c r="G79" s="1575" t="n">
        <v>0</v>
      </c>
      <c r="H79" s="1576" t="n">
        <f aca="false">(1+G79/2)^(-2*(DATE(B80,C80,20)-DateToday)/365.25)</f>
        <v>1</v>
      </c>
      <c r="I79" s="1568" t="n">
        <f aca="false">IF(Assumptions!$L$25=4,VLOOKUP($A79,'Henwood Reference'!$E$9:$R$320,10),(VLOOKUP($A79,PriceTable,2,0)+IF(BasisNumber&lt;&gt;1,VLOOKUP($A79,BasisTable,2,0),0)+I$1)/(1-I$2))</f>
        <v>58.7894321603117</v>
      </c>
      <c r="J79" s="1568" t="n">
        <f aca="false">IF(Assumptions!$L$25=4,VLOOKUP($A79,'Henwood Reference'!$E$9:$R$320,10),(VLOOKUP($A79,PriceTable,3,0)+IF(BasisNumber&lt;&gt;1,VLOOKUP($A79,BasisTable,2,0),0)+J$1)/(1-J$2))</f>
        <v>58.7894321603117</v>
      </c>
      <c r="K79" s="1568" t="n">
        <f aca="false">IF(Assumptions!$L$25=4,VLOOKUP($A79,'Henwood Reference'!$E$9:$R$320,10),(VLOOKUP($A79,PriceTable,4,0)+IF(BasisNumber&lt;&gt;1,VLOOKUP($A79,BasisTable,2,0),0)+K$1)/(1-K$2))</f>
        <v>58.7894321603117</v>
      </c>
      <c r="L79" s="1523" t="n">
        <f aca="false">IF(Assumptions!$L$25=4,VLOOKUP($A79,'Henwood Reference'!$E$9:$R$320,10),(VLOOKUP($A79,PriceTableWeekend,2,0)+IF(BasisNumber&lt;&gt;1,VLOOKUP($A79,BasisTable,2,0),0)+L$1)/(1-L$2))</f>
        <v>58.7894321603117</v>
      </c>
      <c r="M79" s="1568" t="n">
        <f aca="false">IF(Assumptions!$L$25=4,VLOOKUP($A79,'Henwood Reference'!$E$9:$R$320,10),(VLOOKUP($A79,PriceTableWeekend,3,0)+IF(BasisNumber&lt;&gt;1,VLOOKUP($A79,BasisTable,2,0),0)+M$1)/(1-M$2))</f>
        <v>58.7894321603117</v>
      </c>
      <c r="N79" s="1599" t="n">
        <f aca="false">IF(Assumptions!$L$25=4,VLOOKUP($A79,'Henwood Reference'!$E$9:$R$320,10),(VLOOKUP($A79,PriceTableWeekend,4,0)+IF(BasisNumber&lt;&gt;1,VLOOKUP($A79,BasisTable,2,0),0)+N$1)/(1-N$2))</f>
        <v>58.7894321603117</v>
      </c>
      <c r="O79" s="1568" t="n">
        <f aca="false">IF(Assumptions!$L$25=4,VLOOKUP($A79,'Henwood Reference'!$E$9:$R$320,11),(VLOOKUP($A79,PriceTableWeekend,6,0)+IF(BasisNumber&lt;&gt;1,VLOOKUP($A79,BasisTable,3,0),0)+O$1)/(1-O$2))</f>
        <v>23.2144029680832</v>
      </c>
      <c r="P79" s="1568" t="n">
        <f aca="false">IF(Assumptions!$L$25=4,VLOOKUP($A79,'Henwood Reference'!$E$9:$R$320,11),(VLOOKUP($A79,PriceTableWeekend,7,0)+IF(BasisNumber&lt;&gt;1,VLOOKUP($A79,BasisTable,3,0),0)+P$1)/(1-P$2))</f>
        <v>23.2144029680832</v>
      </c>
      <c r="Q79" s="1599" t="n">
        <f aca="false">IF(Assumptions!$L$25=4,VLOOKUP($A79,'Henwood Reference'!$E$9:$R$320,11),(VLOOKUP($A79,PriceTableWeekend,8,0)+IF(BasisNumber&lt;&gt;1,VLOOKUP($A79,BasisTable,3,0),0)+Q$1)/(1-Q$2))</f>
        <v>23.2144029680832</v>
      </c>
      <c r="R79" s="1568" t="n">
        <f aca="false">IF(Assumptions!$L$25=4,VLOOKUP($A79,'Henwood Reference'!$E$9:$R$320,11),(VLOOKUP($A79,PriceTable,6,0)+IF(BasisNumber&lt;&gt;1,VLOOKUP($A79,BasisTable,3,0),0)+R$1)/(1-R$2))</f>
        <v>23.2144029680832</v>
      </c>
      <c r="S79" s="1568" t="n">
        <f aca="false">IF(Assumptions!$L$25=4,VLOOKUP($A79,'Henwood Reference'!$E$9:$R$320,11),(VLOOKUP($A79,PriceTable,7,0)+IF(BasisNumber&lt;&gt;1,VLOOKUP($A79,BasisTable,3,0),0)+S$1)/(1-S$2))</f>
        <v>23.2144029680832</v>
      </c>
      <c r="T79" s="1600" t="n">
        <f aca="false">IF(Assumptions!$L$25=4,VLOOKUP($A79,'Henwood Reference'!$E$9:$R$320,11),(VLOOKUP($A79,PriceTable,8,0)+IF(BasisNumber&lt;&gt;1,VLOOKUP($A79,BasisTable,3,0),0)+T$1)/(1-T$2))</f>
        <v>23.2144029680832</v>
      </c>
      <c r="U79" s="1513" t="n">
        <f aca="false">VLOOKUP($A79,VolatilityTable,14)</f>
        <v>0.145</v>
      </c>
      <c r="V79" s="1513" t="n">
        <f aca="false">VLOOKUP($A79,VolatilityTable,15)</f>
        <v>0.155</v>
      </c>
      <c r="W79" s="1514" t="n">
        <f aca="false">VLOOKUP($A79,VolatilityTable,16)</f>
        <v>0.165</v>
      </c>
      <c r="X79" s="1513" t="n">
        <f aca="false">VLOOKUP($A79,VolatilityTable,14)</f>
        <v>0.145</v>
      </c>
      <c r="Y79" s="1513" t="n">
        <f aca="false">VLOOKUP($A79,VolatilityTable,15)</f>
        <v>0.155</v>
      </c>
      <c r="Z79" s="1514" t="n">
        <f aca="false">VLOOKUP($A79,VolatilityTable,16)</f>
        <v>0.165</v>
      </c>
      <c r="AA79" s="1513" t="n">
        <f aca="false">VLOOKUP($A79,VolatilityTable,18)</f>
        <v>0.09</v>
      </c>
      <c r="AB79" s="1513" t="n">
        <f aca="false">VLOOKUP($A79,VolatilityTable,19)</f>
        <v>0.11</v>
      </c>
      <c r="AC79" s="1514" t="n">
        <f aca="false">VLOOKUP($A79,VolatilityTable,20)</f>
        <v>0.13</v>
      </c>
      <c r="AD79" s="1513" t="n">
        <f aca="false">VLOOKUP($A79,VolatilityTable,18)</f>
        <v>0.09</v>
      </c>
      <c r="AE79" s="1513" t="n">
        <f aca="false">VLOOKUP($A79,VolatilityTable,19)</f>
        <v>0.11</v>
      </c>
      <c r="AF79" s="1514" t="n">
        <f aca="false">VLOOKUP($A79,VolatilityTable,20)</f>
        <v>0.13</v>
      </c>
      <c r="AG79" s="1513" t="n">
        <f aca="false">VLOOKUP($A79,VolatilityTable,22)</f>
        <v>-0.35</v>
      </c>
      <c r="AH79" s="1513" t="n">
        <f aca="false">VLOOKUP($A79,VolatilityTable,23)</f>
        <v>3</v>
      </c>
      <c r="AI79" s="1514" t="n">
        <f aca="false">VLOOKUP($A79,VolatilityTable,24)</f>
        <v>0.35</v>
      </c>
      <c r="AJ79" s="1513" t="n">
        <f aca="false">VLOOKUP($A79,VolatilityTable,22)</f>
        <v>-0.35</v>
      </c>
      <c r="AK79" s="1513" t="n">
        <f aca="false">VLOOKUP($A79,VolatilityTable,23)</f>
        <v>3</v>
      </c>
      <c r="AL79" s="1514" t="n">
        <f aca="false">VLOOKUP($A79,VolatilityTable,24)</f>
        <v>0.35</v>
      </c>
      <c r="AM79" s="1513" t="n">
        <f aca="false">VLOOKUP($A79,VolatilityTable,26)</f>
        <v>-0.01</v>
      </c>
      <c r="AN79" s="1513" t="n">
        <f aca="false">VLOOKUP($A79,VolatilityTable,27)</f>
        <v>0.16</v>
      </c>
      <c r="AO79" s="1514" t="n">
        <f aca="false">VLOOKUP($A79,VolatilityTable,28)</f>
        <v>0.01</v>
      </c>
      <c r="AP79" s="1513" t="n">
        <f aca="false">VLOOKUP($A79,VolatilityTable,26)</f>
        <v>-0.01</v>
      </c>
      <c r="AQ79" s="1513" t="n">
        <f aca="false">VLOOKUP($A79,VolatilityTable,27)</f>
        <v>0.16</v>
      </c>
      <c r="AR79" s="1515" t="n">
        <f aca="false">VLOOKUP($A79,VolatilityTable,28)</f>
        <v>0.01</v>
      </c>
      <c r="AS79" s="1581" t="n">
        <f aca="false">IF(CorrPeakOffPeakOverFlag,INDEX(CorrPeakOffPeakOver,C79),CorrPeakOffPeak)</f>
        <v>0.5</v>
      </c>
      <c r="AT79" s="594" t="e">
        <f aca="false">AX79-SUM(AU79:AW79)</f>
        <v>#VALUE!</v>
      </c>
      <c r="AU79" s="238" t="e">
        <f aca="false">IF(E79="",0,INT((F79-MOD(F79,7)-E79)/7)+1-IF(AW79,IF(WEEKDAY(D79)=7,1,0),0))</f>
        <v>#VALUE!</v>
      </c>
      <c r="AV79" s="238" t="e">
        <f aca="false">IF(E79="",0,INT((F79-MOD(F79-1,7)-E79)/7)+1-IF(AW79,IF(WEEKDAY(D79)=1,1,0),0))</f>
        <v>#VALUE!</v>
      </c>
      <c r="AW79" s="238" t="e">
        <f aca="false">IF(OR(E79="",D79="",D79&lt;BegDate,D79&gt;EndDate),0,1)</f>
        <v>#VALUE!</v>
      </c>
      <c r="AX79" s="238" t="n">
        <f aca="false">IF(E79="",0,F79-E79+1)</f>
        <v>31</v>
      </c>
      <c r="AY79" s="1582" t="n">
        <f aca="false">IF(E79="",0,MIN((1-(1-VLOOKUP(B79,MAIN!$AA$7:$AM$28,C79+1))*(1-VLOOKUP(B79,MAIN!$AA$33:$AM$54,C79+1))),1))</f>
        <v>0.03</v>
      </c>
      <c r="AZ79" s="1519" t="e">
        <v>#VALUE!</v>
      </c>
      <c r="BA79" s="1520" t="e">
        <v>#VALUE!</v>
      </c>
      <c r="BB79" s="1520" t="e">
        <v>#VALUE!</v>
      </c>
      <c r="BC79" s="1583" t="e">
        <v>#VALUE!</v>
      </c>
      <c r="BD79" s="1522" t="e">
        <v>#VALUE!</v>
      </c>
      <c r="BE79" s="1523" t="e">
        <v>#VALUE!</v>
      </c>
      <c r="BF79" s="1523" t="e">
        <v>#VALUE!</v>
      </c>
      <c r="BG79" s="1584" t="e">
        <v>#VALUE!</v>
      </c>
      <c r="BH79" s="1525" t="e">
        <v>#VALUE!</v>
      </c>
      <c r="BI79" s="1520" t="e">
        <v>#VALUE!</v>
      </c>
      <c r="BJ79" s="1520" t="e">
        <v>#VALUE!</v>
      </c>
      <c r="BK79" s="1583" t="e">
        <v>#VALUE!</v>
      </c>
      <c r="BL79" s="1522" t="e">
        <v>#VALUE!</v>
      </c>
      <c r="BM79" s="1523" t="e">
        <v>#VALUE!</v>
      </c>
      <c r="BN79" s="1523" t="e">
        <v>#VALUE!</v>
      </c>
      <c r="BO79" s="1523" t="e">
        <v>#VALUE!</v>
      </c>
      <c r="BP79" s="1525" t="e">
        <f aca="false">SUM(AZ79:BB79)</f>
        <v>#VALUE!</v>
      </c>
      <c r="BQ79" s="1529" t="e">
        <f aca="false">SUM(AZ79:BC79)</f>
        <v>#VALUE!</v>
      </c>
      <c r="BR79" s="1519" t="e">
        <f aca="false">SUM(BH79:BJ79)</f>
        <v>#VALUE!</v>
      </c>
      <c r="BS79" s="1529" t="e">
        <f aca="false">SUM(BH79:BK79)</f>
        <v>#VALUE!</v>
      </c>
      <c r="BT79" s="1316" t="n">
        <f aca="false">(IF(OVolType&lt;&gt;2,A79+14,IF(OptExpDateShift,ShiftBack(A79,OptExpDateShift,D78),A79))-DateToday)/365.25</f>
        <v>5.21286789869952</v>
      </c>
      <c r="BU79" s="1585" t="e">
        <f aca="false">IF(BQ79,IF(OPriceCurve,IF(OBuySell=OCallPut,I79/(1-AY79),K79/(1-AY79)),J79/(1-AY79))*BD79,0)</f>
        <v>#VALUE!</v>
      </c>
      <c r="BV79" s="1316" t="e">
        <f aca="false">IF(BQ79,IF(OPriceCurve,IF(OBuySell=OCallPut,L79/(1-AY79),N79/(1-AY79)),M79/(1-AY79))*BE79,0)</f>
        <v>#VALUE!</v>
      </c>
      <c r="BW79" s="1316" t="e">
        <f aca="false">IF(BQ79,IF(OPriceCurve,IF(OBuySell=OCallPut,O79/(1-AY79),Q79/(1-AY79)),P79/(1-AY79))*BF79,0)</f>
        <v>#VALUE!</v>
      </c>
      <c r="BX79" s="1316" t="e">
        <f aca="false">IF(BQ79,IF(OPriceCurve,IF(OBuySell=OCallPut,R79/(1-AY79),T79/(1-AY79)),S79/(1-AY79))*BG79,0)</f>
        <v>#VALUE!</v>
      </c>
      <c r="BY79" s="1316" t="e">
        <f aca="false">IF(BP79,(BU79*AZ79+BV79*BA79+BW79*BB79)/BP79,0)</f>
        <v>#VALUE!</v>
      </c>
      <c r="BZ79" s="1316" t="e">
        <f aca="false">IF(BQ79,(BY79*BP79+BX79*BC79)/BQ79,0)</f>
        <v>#VALUE!</v>
      </c>
      <c r="CA79" s="1531" t="e">
        <f aca="false">IF(BS79,IF(OPriceCurve,IF(OBuySell=OCallPut,I79/(1-AY79),K79/(1-AY79)),J79/(1-AY79))*BL79,0)</f>
        <v>#VALUE!</v>
      </c>
      <c r="CB79" s="1316" t="e">
        <f aca="false">IF(BS79,IF(OPriceCurve,IF(OBuySell=OCallPut,L79/(1-AY79),N79/(1-AY79)),M79/(1-AY79))*BM79,0)</f>
        <v>#VALUE!</v>
      </c>
      <c r="CC79" s="1316" t="e">
        <f aca="false">IF(BS79,IF(OPriceCurve,IF(OBuySell=OCallPut,O79/(1-AY79),Q79/(1-AY79)),P79/(1-AY79))*BN79,0)</f>
        <v>#VALUE!</v>
      </c>
      <c r="CD79" s="1316" t="e">
        <f aca="false">IF(BS79,IF(OPriceCurve,IF(OBuySell=OCallPut,R79/(1-AY79),T79/(1-AY79)),S79/(1-AY79))*BO79,0)</f>
        <v>#VALUE!</v>
      </c>
      <c r="CE79" s="1316" t="e">
        <f aca="false">IF(BR79,(BU79*BH79+BV79*BI79+BW79*BJ79)/BR79,0)</f>
        <v>#VALUE!</v>
      </c>
      <c r="CF79" s="1532" t="e">
        <f aca="false">IF(BS79,(CE79*BR79+CD79*BK79)/BS79,0)</f>
        <v>#VALUE!</v>
      </c>
      <c r="CG79" s="1586" t="e">
        <f aca="false">IF(OR(BQ79,BS79),IF(OVolType&lt;&gt;2,SQRT(IF(OVolOverMonthlyPeak,OVolOverMonthlyPeak,IF(OVolCurve,IF(OBuySell,U79,W79),V79))^2*(1-15/365.25/BT79)+IF(OVolOverDailyPeak,OVolOverDailyPeak,IF(OVolCurve,IF(OBuySell,AG79,AI79),AH79))^2*15/365.25/BT79),IF(OVolOverMonthlyPeak,OVolOverMonthlyPeak,IF(OVolCurve,IF(OBuySell,U79,W79),V79))),"")</f>
        <v>#VALUE!</v>
      </c>
      <c r="CH79" s="1587" t="e">
        <f aca="false">IF(OR(BQ79,BS79),IF(OVolType&lt;&gt;2,SQRT(IF(OVolOverMonthlyPeak,OVolOverMonthlyPeak,IF(OVolCurve,IF(OBuySell,X79,Z79),Y79))^2*(1-15/365.25/BT79)+IF(OVolOverDailyPeak,OVolOverDailyPeak,IF(OVolCurve,IF(OBuySell,AJ79,AL79),AK79))^2*15/365.25/BT79),IF(OVolOverMonthlyPeak,OVolOverMonthlyPeak,IF(OVolCurve,IF(OBuySell,X79,Z79),Y79))),"")</f>
        <v>#VALUE!</v>
      </c>
      <c r="CI79" s="1587" t="e">
        <f aca="false">IF(OR(BQ79,BS79),IF(OVolType&lt;&gt;2,SQRT(IF(OVolOverMonthlyPeak,OVolOverMonthlyPeak,IF(OVolCurve,IF(OBuySell,AA79,AC79),AB79))^2*(1-15/365.25/BT79)+IF(OVolOverDailyPeak,OVolOverDailyPeak,IF(OVolCurve,IF(OBuySell,AM79,AO79),AN79))^2*15/365.25/BT79),IF(OVolOverMonthlyPeak,OVolOverMonthlyPeak,IF(OVolCurve,IF(OBuySell,AA79,AC79),AB79))),"")</f>
        <v>#VALUE!</v>
      </c>
      <c r="CJ79" s="1587" t="e">
        <f aca="false">IF(BQ79,IF(BP79,SQRT(LN(1+((BU79*AZ79)^2*(EXP(CG79^2*BT79)-1)+(BV79*BA79)^2*(EXP(CH79^2*BT79)-1)+(BW79*BB79)^2*(EXP(CI79^2*BT79)-1)+2*BU79*AZ79*BV79*BA79*(EXP(CG79*CH79*BT79)-1)+2*BV79*BA79*BW79*BB79*(EXP(CH79*CI79*BT79)-1)+2*BW79*BB79*BU79*AZ79*(EXP(CI79*CG79*BT79)-1))/(BY79*BP79)^2)/BT79),0),"")</f>
        <v>#VALUE!</v>
      </c>
      <c r="CK79" s="1587" t="e">
        <f aca="false">IF(BS79,IF(BR79,SQRT(LN(1+((CA79*BH79)^2*(EXP(CG79^2*BT79)-1)+(CB79*BI79)^2*(EXP(CH79^2*BT79)-1)+(CC79*BJ79)^2*(EXP(CI79^2*BT79)-1)+2*CA79*BH79*CB79*BI79*(EXP(CG79*CH79*BT79)-1)+2*CB79*BI79*CC79*BJ79*(EXP(CH79*CI79*BT79)-1)+2*CC79*BJ79*CA79*BH79*(EXP(CI79*CG79*BT79)-1))/(CE79*BR79)^2)/BT79),0),"")</f>
        <v>#VALUE!</v>
      </c>
      <c r="CL79" s="1587" t="e">
        <f aca="false">IF(OR(BQ79,BS79),IF(OVolType&lt;&gt;2,SQRT(IF(OVolOverMonthlyOffPeak,OVolOverMonthlyOffPeak,IF(OVolCurve,IF(OBuySell,AD79,AF79),AE79))^2*(1-15/365.25/BT79)+IF(OVolOverDailyOffPeak,OVolOverDailyOffPeak,IF(OVolCurve,IF(OBuySell,AP79,AR79),AQ79))^2*15/365.25/BT79),IF(OVolOverMonthlyOffPeak,OVolOverMonthlyOffPeak,IF(OVolCurve,IF(OBuySell,AD79,AF79),AE79))),"")</f>
        <v>#VALUE!</v>
      </c>
      <c r="CM79" s="1587" t="e">
        <f aca="false">IF(BQ79,SQRT(LN(1+((BY79*BP79)^2*(EXP(CJ79^2*BT79)-1)+(BX79*BC79)^2*(EXP(CL79^2*BT79)-1)+2*BY79*BP79*BX79*BC79*(EXP(AS79*CJ79*CL79*BT79)-1))/(BY79*BP79+BX79*BC79)^2)/BT79),"")</f>
        <v>#VALUE!</v>
      </c>
      <c r="CN79" s="1588" t="e">
        <f aca="false">IF(BS79,SQRT(LN(1+((CE79*BR79)^2*(EXP(CK79^2*BT79)-1)+(CD79*BK79)^2*(EXP(CL79^2*BT79)-1)+2*CE79*BR79*CD79*BK79*(EXP(AS79*CK79*CL79*BT79)-1))/(CE79*BR79+CD79*BK79)^2)/BT79),"")</f>
        <v>#VALUE!</v>
      </c>
      <c r="CO79" s="1531" t="e">
        <f aca="false">IF(OR(BQ79,BS79),VLOOKUP(A79,GasTable,13)*HeatRatePeak*(1+VLOOKUP($B79,HeatRateDegradation,$C79+1))/1000,0)</f>
        <v>#VALUE!</v>
      </c>
      <c r="CP79" s="1316" t="e">
        <f aca="false">IF(OR(BQ79,BS79),VLOOKUP(A79,GasTable,13)*HeatRatePeak*(1+VLOOKUP($B79,HeatRateDegradation,$C79+1))/1000,0)</f>
        <v>#VALUE!</v>
      </c>
      <c r="CQ79" s="1316" t="e">
        <f aca="false">IF(OR(BQ79,BS79),VLOOKUP(A79,GasTable,13)*IF(EV79,HeatRatePeak,HeatRateOffPeak)*(1+VLOOKUP($B79,HeatRateDegradation,$C79+1))/1000,0)</f>
        <v>#VALUE!</v>
      </c>
      <c r="CR79" s="1316" t="e">
        <f aca="false">IF(OR(BQ79,BS79),VLOOKUP(A79,GasTable,13)*IF(EW79,HeatRatePeak,HeatRateOffPeak)*(1+VLOOKUP($B79,HeatRateDegradation,$C79+1))/1000,0)</f>
        <v>#VALUE!</v>
      </c>
      <c r="CS79" s="1589" t="e">
        <f aca="false">IF(BQ79,(CO79*AZ79+CP79*BA79+CQ79*BB79+CR79*BC79)/BQ79,0)</f>
        <v>#VALUE!</v>
      </c>
      <c r="CT79" s="1316" t="e">
        <f aca="false">IF(BS79,CO79,0)</f>
        <v>#VALUE!</v>
      </c>
      <c r="CU79" s="1590" t="e">
        <f aca="false">IF(OR(BQ79,BS79),VLOOKUP(A79,GasTable,14),"")</f>
        <v>#VALUE!</v>
      </c>
      <c r="CV79" s="1568" t="e">
        <f aca="false">IF(OR(BQ79,BS79),IF(CorrPowerGasOverFlag,INDEX(CorrPowerGasOver,C79),CorrPowerGas),"")</f>
        <v>#VALUE!</v>
      </c>
      <c r="CW79" s="1316" t="e">
        <f aca="false">IF(OR($BQ79,$BS79),SpreadOptPowerMargin,0)*((1+Assumptions!$C$26)^($B79-YEAR(Assumptions!$C$17)))</f>
        <v>#VALUE!</v>
      </c>
      <c r="CX79" s="1316" t="e">
        <f aca="false">IF(OR($BQ79,$BS79),SpreadOptPowerMargin,0)*((1+Assumptions!$C$26)^($B79-YEAR(Assumptions!$C$17)))</f>
        <v>#VALUE!</v>
      </c>
      <c r="CY79" s="1316" t="e">
        <f aca="false">IF(OR($BQ79,$BS79),SpreadOptPowerMargin,0)*((1+Assumptions!$C$26)^($B79-YEAR(Assumptions!$C$17)))</f>
        <v>#VALUE!</v>
      </c>
      <c r="CZ79" s="1316" t="e">
        <f aca="false">IF(OR($BQ79,$BS79),SpreadOptPowerMargin,0)*((1+Assumptions!$C$26)^($B79-YEAR(Assumptions!$C$17)))</f>
        <v>#VALUE!</v>
      </c>
      <c r="DA79" s="1591" t="e">
        <f aca="false">IF(OR(BQ79,BS79),(CW79*(AZ79+BH79)+CX79*(BA79+BI79)+CY79*(BB79+BJ79)+CZ79*(BC79+BK79))/(BQ79+BS79),0)</f>
        <v>#VALUE!</v>
      </c>
      <c r="DB79" s="1592" t="e">
        <f aca="false">IF(OR(BQ79,BS79),CG79+IF(OVolSmile,VLOOKUP(MAX(-5,CO79+CW79-BU79),IF(OVolSmile=1,VolSmileBook,VolSmileModel),2),0),"")</f>
        <v>#VALUE!</v>
      </c>
      <c r="DC79" s="1592" t="e">
        <f aca="false">IF(OR(BQ79,BS79),CH79+IF(OVolSmile,VLOOKUP(MAX(-5,CP79+CW79-BV79),IF(OVolSmile=1,VolSmileBook,VolSmileModel),2),0),"")</f>
        <v>#VALUE!</v>
      </c>
      <c r="DD79" s="1592" t="e">
        <f aca="false">IF(OR(BQ79,BS79),CI79+IF(OVolSmile,VLOOKUP(MAX(-5,CQ79+CW79-BW79),IF(OVolSmile=1,VolSmileBook,VolSmileModel),2),0),"")</f>
        <v>#VALUE!</v>
      </c>
      <c r="DE79" s="1592" t="e">
        <f aca="false">IF(OR(BQ79,BS79),CL79+IF(OVolSmile,VLOOKUP(MAX(-5,CR79+CZ79-BX79),IF(OVolSmile=1,VolSmileBook,VolSmileModel),2),0),"")</f>
        <v>#VALUE!</v>
      </c>
      <c r="DF79" s="1592" t="e">
        <f aca="false">IF(BQ79,CM79+IF(OVolSmile,VLOOKUP(MAX(-5,CS79+DA79-BZ79),IF(OVolSmile=1,VolSmileBook,VolSmileModel),2),0),"")</f>
        <v>#VALUE!</v>
      </c>
      <c r="DG79" s="1593" t="e">
        <f aca="false">IF(BS79,CN79+IF(OVolSmile,VLOOKUP(MAX(-5,CT79+DA79-CF79),IF(OVolSmile=1,VolSmileBook,VolSmileModel),2),0),"")</f>
        <v>#VALUE!</v>
      </c>
      <c r="DH79" s="1316" t="e">
        <f aca="false">IF(AND(BU79&gt;0,CO79&gt;0,DB79&gt;0,CU79&gt;0),newSPRDOPT(BU79,CO79,CW79,0,DB79,CU79,CV79,BT79*365.25,OCallPut,0),0)</f>
        <v>#VALUE!</v>
      </c>
      <c r="DI79" s="1316" t="e">
        <f aca="false">IF(AND(BV79&gt;0,CP79&gt;0,DC79&gt;0,CU79&gt;0),newSPRDOPT(BV79,CP79,CX79,0,DC79,CU79,CV79,BT79*365.25,OCallPut,0),0)</f>
        <v>#VALUE!</v>
      </c>
      <c r="DJ79" s="1316" t="e">
        <f aca="false">IF(AND(BW79&gt;0,CQ79&gt;0,DD79&gt;0,CU79&gt;0),newSPRDOPT(BW79,CQ79,CY79,0,DD79,CU79,CV79,BT79*365.25,OCallPut,0),0)</f>
        <v>#VALUE!</v>
      </c>
      <c r="DK79" s="1316" t="e">
        <f aca="false">IF(AND(BX79&gt;0,CR79&gt;0,DE79&gt;0,CU79&gt;0),newSPRDOPT(BX79,CR79,CZ79,0,DE79,CU79,CV79,BT79*365.25,OCallPut,0),0)</f>
        <v>#VALUE!</v>
      </c>
      <c r="DL79" s="1316" t="e">
        <f aca="false">IF(OVolType,IF(AND(BZ79&gt;0,CS79&gt;0,DF79&gt;0,CU79&gt;0),newSPRDOPT(BZ79,CS79,DA79,0,DF79,CU79,CV79,BT79*365.25,OCallPut,0),0),IF(BQ79,(DH79*AZ79+DI79*BA79+DJ79*BB79+DK79*BC79)/BQ79,0))</f>
        <v>#VALUE!</v>
      </c>
      <c r="DM79" s="1316"/>
      <c r="DN79" s="1316"/>
      <c r="DO79" s="1316"/>
      <c r="DP79" s="1316"/>
      <c r="DQ79" s="1316"/>
      <c r="DR79" s="1316"/>
      <c r="DS79" s="1316"/>
      <c r="DT79" s="1316"/>
      <c r="DU79" s="1316"/>
      <c r="DV79" s="1316"/>
      <c r="DW79" s="1594" t="e">
        <f aca="false">IF(AND(BW79&gt;0,CT79&gt;0,DD79&gt;0,CU79&gt;0),newSPRDOPT(BW79,CT79,CY79,0,DD79,CU79,CV79,BT79*365.25,OCallPut,0),0)</f>
        <v>#VALUE!</v>
      </c>
      <c r="DX79" s="1316" t="e">
        <f aca="false">IF(AND(BX79&gt;0,CT79&gt;0,DE79&gt;0,CU79&gt;0),newSPRDOPT(BX79,CT79,CZ79,0,DE79,CU79,CV79,BT79*365.25,OCallPut,0),0)</f>
        <v>#VALUE!</v>
      </c>
      <c r="DY79" s="1591" t="e">
        <f aca="false">IF(BS79,(DH79*BH79+DI79*BI79+DW79*BJ79+DX79*BK79)/BS79,0)</f>
        <v>#VALUE!</v>
      </c>
      <c r="DZ79" s="1551" t="e">
        <f aca="false">DH79*AZ79</f>
        <v>#VALUE!</v>
      </c>
      <c r="EA79" s="1551" t="e">
        <f aca="false">DI79*BA79</f>
        <v>#VALUE!</v>
      </c>
      <c r="EB79" s="1551" t="e">
        <f aca="false">DJ79*BB79</f>
        <v>#VALUE!</v>
      </c>
      <c r="EC79" s="1551" t="e">
        <f aca="false">DK79*BC79</f>
        <v>#VALUE!</v>
      </c>
      <c r="ED79" s="1551" t="e">
        <f aca="false">DL79*BQ79</f>
        <v>#VALUE!</v>
      </c>
      <c r="EE79" s="1595" t="e">
        <f aca="false">IF(BQ79,IF(OCallPut,IF(BU79&gt;(CO79+CW79),BU79-(CO79+CW79),0),IF((CO79+CW79)&gt;BU79,(CO79+CW79)-BU79,0))*AZ79,0)</f>
        <v>#VALUE!</v>
      </c>
      <c r="EF79" s="1596" t="e">
        <f aca="false">IF(BQ79,IF(OCallPut,IF(BV79&gt;(CP79+CX79),BV79-(CP79+CX79),0),IF((CP79+CX79)&gt;BV79,(CP79+CX79)-BV79,0))*BA79,0)</f>
        <v>#VALUE!</v>
      </c>
      <c r="EG79" s="1596" t="e">
        <f aca="false">IF(BQ79,IF(OCallPut,IF(BW79&gt;(CQ79+CY79),BW79-(CQ79+CY79),0),IF((CQ79+CY79)&gt;BW79,(CQ79+CY79)-BW79,0))*BB79,0)</f>
        <v>#VALUE!</v>
      </c>
      <c r="EH79" s="1596" t="e">
        <f aca="false">IF(BQ79,IF(OCallPut,IF(BX79&gt;(CR79+CZ79),BX79-(CR79+CZ79),0),IF((CR79+CZ79)&gt;BX79,(CR79+CZ79)-BX79,0))*BC79,0)</f>
        <v>#VALUE!</v>
      </c>
      <c r="EI79" s="1597" t="e">
        <f aca="false">IF(BQ79,IF(OVolType,IF(OCallPut,IF(BZ79&gt;(CS79+DA79),BZ79-(CS79+DA79),0),IF((CS79+DA79)&gt;BZ79,(CS79+DA79)-BZ79,0))*BQ79,SUM(EE79:EH79)),0)</f>
        <v>#VALUE!</v>
      </c>
      <c r="EJ79" s="1595" t="e">
        <f aca="false">DZ79-EE79</f>
        <v>#VALUE!</v>
      </c>
      <c r="EK79" s="1596" t="e">
        <f aca="false">EA79-EF79</f>
        <v>#VALUE!</v>
      </c>
      <c r="EL79" s="1596" t="e">
        <f aca="false">EB79-EG79</f>
        <v>#VALUE!</v>
      </c>
      <c r="EM79" s="1596" t="e">
        <f aca="false">EC79-EH79</f>
        <v>#VALUE!</v>
      </c>
      <c r="EN79" s="1597" t="e">
        <f aca="false">ED79-EI79</f>
        <v>#VALUE!</v>
      </c>
      <c r="EO79" s="1551" t="e">
        <f aca="false">DH79*BH79</f>
        <v>#VALUE!</v>
      </c>
      <c r="EP79" s="1551" t="e">
        <f aca="false">DI79*BI79</f>
        <v>#VALUE!</v>
      </c>
      <c r="EQ79" s="1551" t="e">
        <f aca="false">DW79*BJ79</f>
        <v>#VALUE!</v>
      </c>
      <c r="ER79" s="1551" t="e">
        <f aca="false">DX79*BK79</f>
        <v>#VALUE!</v>
      </c>
      <c r="ES79" s="1551" t="e">
        <f aca="false">DY79*BS79</f>
        <v>#VALUE!</v>
      </c>
      <c r="ET79" s="1566" t="e">
        <f aca="false">IF(EI79,IF(OCallPut,IF(CA79&gt;(CT79+CW79),CA79-(CT79+CW79),0),IF((CT79+CW79)&gt;CA79,(CT79+CW79)-CA79,0))*BH79,0)</f>
        <v>#VALUE!</v>
      </c>
      <c r="EU79" s="1551" t="e">
        <f aca="false">IF(EI79,IF(OCallPut,IF(CB79&gt;(CT79+CX79),CB79-(CT79+CX79),0),IF((CT79+CX79)&gt;CB79,(CT79+CX79)-CB79,0))*BI79,0)</f>
        <v>#VALUE!</v>
      </c>
      <c r="EV79" s="1551" t="e">
        <f aca="false">IF(EI79,IF(OCallPut,IF(CC79&gt;(CT79+CY79),CC79-(CT79+CY79),0),IF((CT79+CY79)&gt;CC79,(CT79+CY79)-CC79,0))*BJ79,0)</f>
        <v>#VALUE!</v>
      </c>
      <c r="EW79" s="1551" t="e">
        <f aca="false">IF(EI79,IF(OCallPut,IF(CD79&gt;(CT79+CZ79),CD79-(CT79+CZ79),0),IF((CT79+CZ79)&gt;CD79,(CT79+CZ79)-CD79,0))*BK79,0)</f>
        <v>#VALUE!</v>
      </c>
      <c r="EX79" s="1558" t="e">
        <f aca="false">IF(EI79,SUM(ET79:EW79),0)</f>
        <v>#VALUE!</v>
      </c>
      <c r="EY79" s="1551" t="e">
        <f aca="false">EO79-ET79</f>
        <v>#VALUE!</v>
      </c>
      <c r="EZ79" s="1551" t="e">
        <f aca="false">EP79-EU79</f>
        <v>#VALUE!</v>
      </c>
      <c r="FA79" s="1551" t="e">
        <f aca="false">EQ79-EV79</f>
        <v>#VALUE!</v>
      </c>
      <c r="FB79" s="1551" t="e">
        <f aca="false">ER79-EW79</f>
        <v>#VALUE!</v>
      </c>
      <c r="FC79" s="1551" t="e">
        <f aca="false">ES79-EX79</f>
        <v>#VALUE!</v>
      </c>
      <c r="FD79" s="1525" t="n">
        <f aca="false">IF(AX79,IF(VLOOKUP(C79,MAIN!$L$17:$M$28,2)="Yes",VLOOKUP(CALC!B79,MAIN!$H$17:$I$20,2),0),0)</f>
        <v>0</v>
      </c>
      <c r="FE79" s="1552" t="e">
        <f aca="false">$FD79*16*AT79*(1-$AY79)</f>
        <v>#VALUE!</v>
      </c>
      <c r="FF79" s="1553" t="e">
        <f aca="false">$FD79*16*AU79*(1-$AY79)</f>
        <v>#VALUE!</v>
      </c>
      <c r="FG79" s="1553" t="e">
        <f aca="false">$FD79*16*(AV79+AW79)*(1-$AY79)</f>
        <v>#VALUE!</v>
      </c>
      <c r="FH79" s="1554" t="n">
        <f aca="false">$FD79*8*AX79*(1-$AY79)</f>
        <v>0</v>
      </c>
      <c r="FI79" s="1555" t="n">
        <f aca="false">IF(AX79,VLOOKUP(CALC!B79,MAIN!$H$17:$K$20,4),0)</f>
        <v>0</v>
      </c>
      <c r="FJ79" s="1553" t="e">
        <f aca="false">SUM(FE79:FH79)</f>
        <v>#VALUE!</v>
      </c>
      <c r="FK79" s="1556" t="e">
        <f aca="false">FI79*FJ79</f>
        <v>#VALUE!</v>
      </c>
      <c r="FL79" s="1551" t="e">
        <f aca="false">IF($EI79&gt;0,MIN(FE79,AZ79*(1+VLOOKUP($C79,WeatherCapacityAdjustment,2))),0)</f>
        <v>#VALUE!</v>
      </c>
      <c r="FM79" s="1551" t="e">
        <f aca="false">IF($EI79&gt;0,MIN(FF79,BA79*(1+VLOOKUP($C79,WeatherCapacityAdjustment,2))),0)</f>
        <v>#VALUE!</v>
      </c>
      <c r="FN79" s="1551" t="e">
        <f aca="false">IF($EI79&gt;0,MIN(FG79,BB79*(1+VLOOKUP($C79,WeatherCapacityAdjustment,2))),0)</f>
        <v>#VALUE!</v>
      </c>
      <c r="FO79" s="1564" t="e">
        <f aca="false">IF($EI79&gt;0,MIN(FH79,BC79*(1+VLOOKUP($C79,WeatherCapacityAdjustment,3))),0)</f>
        <v>#VALUE!</v>
      </c>
      <c r="FP79" s="1551" t="e">
        <f aca="false">IF(ET79&gt;0,MIN(FE79-FL79,BH79*(1+VLOOKUP($C79,WeatherCapacityAdjustment,2))),0)</f>
        <v>#VALUE!</v>
      </c>
      <c r="FQ79" s="1551" t="e">
        <f aca="false">IF(EU79&gt;0,MIN(FF79-FM79,BI79*(1+VLOOKUP($C79,WeatherCapacityAdjustment,2))),0)</f>
        <v>#VALUE!</v>
      </c>
      <c r="FR79" s="1551" t="e">
        <f aca="false">IF(EV79&gt;0,MIN(FG79-FN79,BJ79*(1+VLOOKUP($C79,WeatherCapacityAdjustment,2))),0)</f>
        <v>#VALUE!</v>
      </c>
      <c r="FS79" s="1558" t="e">
        <f aca="false">IF(EW79&gt;0,MIN(FH79-FO79,BK79*(1+VLOOKUP($C79,WeatherCapacityAdjustment,3))),0)</f>
        <v>#VALUE!</v>
      </c>
      <c r="FT79" s="1566" t="e">
        <f aca="false">IF(AND(Assumptions!$H$71="Yes",A79&gt;=Assumptions!$H$72,A79&lt;=Assumptions!$H$73),0,IF(AND($A79&gt;=Assumptions!$C$17,$A79&lt;=Assumptions!$C$18),MAX(AZ79*(1+VLOOKUP($C79,WeatherCapacityAdjustment,2))-FL79,0),0))</f>
        <v>#VALUE!</v>
      </c>
      <c r="FU79" s="1551" t="e">
        <f aca="false">IF(AND(Assumptions!$H$71="Yes",A79&gt;=Assumptions!$H$72,A79&lt;=Assumptions!$H$73),0,IF(AND($A79&gt;=Assumptions!$C$17,$A79&lt;=Assumptions!$C$18),MAX(BA79*(1+VLOOKUP($C79,WeatherCapacityAdjustment,2))-FM79,0),0))</f>
        <v>#VALUE!</v>
      </c>
      <c r="FV79" s="1551" t="e">
        <f aca="false">IF(AND(Assumptions!$H$71="Yes",A79&gt;=Assumptions!$H$72,A79&lt;=Assumptions!$H$73),0,IF(AND($A79&gt;=Assumptions!$C$17,$A79&lt;=Assumptions!$C$18),MAX(BB79*(1+VLOOKUP($C79,WeatherCapacityAdjustment,2))-FN79,0),0))</f>
        <v>#VALUE!</v>
      </c>
      <c r="FW79" s="1564" t="e">
        <f aca="false">IF(AND(Assumptions!$H$71="Yes",A79&gt;=Assumptions!$H$72,A79&lt;=Assumptions!$H$73),0,IF(AND($A79&gt;=Assumptions!$C$17,$A79&lt;=Assumptions!$C$18),MAX(BC79*(1+VLOOKUP($C79,WeatherCapacityAdjustment,3))-FO79,0),0))</f>
        <v>#VALUE!</v>
      </c>
      <c r="FX79" s="1569" t="e">
        <f aca="false">IF(AND(Assumptions!$H$71="Yes",A79&gt;=Assumptions!$H$72,A79&lt;=Assumptions!$H$73),0,IF(ET79&gt;0,MAX(BH79*(1+VLOOKUP($C79,WeatherCapacityAdjustment,2))-FP79,0),0))</f>
        <v>#VALUE!</v>
      </c>
      <c r="FY79" s="1551" t="e">
        <f aca="false">IF(AND(Assumptions!$H$71="Yes",A79&gt;=Assumptions!$H$72,A79&lt;=Assumptions!$H$73),0,IF(EU79&gt;0,MAX(BI79*(1+VLOOKUP($C79,WeatherCapacityAdjustment,3))-FQ79,0),0))</f>
        <v>#VALUE!</v>
      </c>
      <c r="FZ79" s="1551" t="e">
        <f aca="false">IF(AND(Assumptions!$H$71="Yes",A79&gt;=Assumptions!$H$72,A79&lt;=Assumptions!$H$73),0,IF(EV79&gt;0,MAX(BJ79*(1+VLOOKUP($C79,WeatherCapacityAdjustment,2))-FR79,0),0))</f>
        <v>#VALUE!</v>
      </c>
      <c r="GA79" s="1564" t="e">
        <f aca="false">IF(AND(Assumptions!$H$71="Yes",A79&gt;=Assumptions!$H$72,A79&lt;=Assumptions!$H$73),0,IF(EW79&gt;0,MAX(BK79*(1+VLOOKUP($C79,WeatherCapacityAdjustment,2))-FS79,0),0))</f>
        <v>#VALUE!</v>
      </c>
      <c r="GB79" s="1551" t="e">
        <f aca="false">SUM(FT79:GA79)</f>
        <v>#VALUE!</v>
      </c>
      <c r="GC79" s="1563" t="e">
        <f aca="false">+IF(SUM(FT79:GA79)=0,0,(SUMPRODUCT(BU79:BX79,FT79:FW79)+SUMPRODUCT(CA79:CD79,FX79:GA79))/SUM(FT79:GA79))</f>
        <v>#VALUE!</v>
      </c>
      <c r="GD79" s="1551" t="e">
        <f aca="false">(FT79*BU79+FX79*CA79+FU79*BV79+FY79*CB79+FV79*BW79+FZ79*CC79+FW79*BX79+GA79*CD79)</f>
        <v>#VALUE!</v>
      </c>
      <c r="GE79" s="1561" t="e">
        <f aca="false">+IF(BQ79,((FL79+FM79+FT79+FU79)*HeatRatePeak/1000*(1+VLOOKUP($C79,WeatherHeatRateAdjustment,2))+(FN79+FV79)*IF(EV79&gt;0,HeatRatePeak,HeatRateOffPeak)/1000*(1+VLOOKUP($C79,WeatherHeatRateAdjustment,2))+(FO79+FW79)*IF(EW79&gt;0,HeatRatePeak,HeatRateOffPeak)/1000*(1+VLOOKUP($C79,WeatherHeatRateAdjustment,3)))*(1+VLOOKUP($B79,HeatRateDegradation,$C79+1)),0)</f>
        <v>#VALUE!</v>
      </c>
      <c r="GF79" s="1562" t="e">
        <f aca="false">IF(BQ79,((FP79+FQ79+FR79+FX79+FY79+FZ79)*HeatRatePeak/1000*(1+VLOOKUP($C79,WeatherHeatRateAdjustment,2))+(FS79+GA79)*HeatRatePeak/1000*(1+VLOOKUP($C79,WeatherHeatRateAdjustment,3)))*(1+VLOOKUP($B79,HeatRateDegradation,$C79+1)),0)</f>
        <v>#VALUE!</v>
      </c>
      <c r="GG79" s="1563" t="e">
        <f aca="false">IF(BQ79,VLOOKUP(A79,GasTable,13),0)</f>
        <v>#VALUE!</v>
      </c>
      <c r="GH79" s="1564" t="e">
        <f aca="false">(GE79+GF79)*GG79</f>
        <v>#VALUE!</v>
      </c>
      <c r="GI79" s="1569" t="e">
        <f aca="false">GB79</f>
        <v>#VALUE!</v>
      </c>
      <c r="GJ79" s="1598" t="e">
        <f aca="false">+DA79</f>
        <v>#VALUE!</v>
      </c>
      <c r="GK79" s="1558" t="e">
        <f aca="false">+GI79*GJ79</f>
        <v>#VALUE!</v>
      </c>
      <c r="GL79" s="1566" t="e">
        <f aca="false">MAX(FE79-FL79-FP79,0)</f>
        <v>#VALUE!</v>
      </c>
      <c r="GM79" s="1551" t="e">
        <f aca="false">MAX(FF79-FM79-FQ79,0)</f>
        <v>#VALUE!</v>
      </c>
      <c r="GN79" s="1551" t="e">
        <f aca="false">MAX(FG79-FN79-FR79,0)</f>
        <v>#VALUE!</v>
      </c>
      <c r="GO79" s="1564" t="e">
        <f aca="false">MAX(FH79-FO79-FS79,0)</f>
        <v>#VALUE!</v>
      </c>
      <c r="GP79" s="1551" t="e">
        <f aca="false">SUM(GL79:GO79)</f>
        <v>#VALUE!</v>
      </c>
      <c r="GQ79" s="1563" t="e">
        <f aca="false">IF(SUM(GL79:GO79)=0,0,((GL79*BU79+GM79*BV79+GN79*BW79+GO79*BX79)/SUM(GL79:GO79)))</f>
        <v>#VALUE!</v>
      </c>
      <c r="GR79" s="1558" t="e">
        <f aca="false">(GL79*BU79+GM79*BV79+GN79*BW79+GO79*BX79)</f>
        <v>#VALUE!</v>
      </c>
      <c r="GS79" s="1566" t="n">
        <f aca="false">IF($A79&gt;=BegDate,Assumptions!$C$56*24*($A80-$A79)*(1-VLOOKUP($B79,MAIN!$AA$7:$AM$28,$C79+1))*(1-VLOOKUP($B79,MAIN!$AA$33:$AM$54,$C79+1)),0)*80/168</f>
        <v>257742.857142857</v>
      </c>
      <c r="GT79" s="286" t="n">
        <f aca="false">J79</f>
        <v>58.7894321603117</v>
      </c>
      <c r="GU79" s="286" t="n">
        <f aca="false">IF($A79&gt;=BegDate,VLOOKUP($A79,GasTable,13)+Assumptions!$C$58,0)</f>
        <v>2.44499157950789</v>
      </c>
      <c r="GV79" s="286" t="n">
        <f aca="false">GU79*Assumptions!$C$57/1000</f>
        <v>17.7261889514322</v>
      </c>
      <c r="GW79" s="1558" t="n">
        <f aca="false">IF(Assumptions!$C$60="Hourly",MAX(0,GS79*(GT79-GV79)),GS79*(GT79-GV79))</f>
        <v>10583757.6282086</v>
      </c>
      <c r="GX79" s="1566" t="n">
        <f aca="false">IF($A79&gt;=BegDate,Assumptions!$C$56*24*($A80-$A79)*(1-VLOOKUP($B79,MAIN!$AA$7:$AM$28,$C79+1))*(1-VLOOKUP($B79,MAIN!$AA$33:$AM$54,$C79+1)),0)*16/168</f>
        <v>51548.5714285714</v>
      </c>
      <c r="GY79" s="286" t="n">
        <f aca="false">M79</f>
        <v>58.7894321603117</v>
      </c>
      <c r="GZ79" s="286" t="n">
        <f aca="false">IF($A79&gt;=BegDate,VLOOKUP($A79,GasTable,13)+Assumptions!$C$58,0)</f>
        <v>2.44499157950789</v>
      </c>
      <c r="HA79" s="286" t="n">
        <f aca="false">GZ79*Assumptions!$C$57/1000</f>
        <v>17.7261889514322</v>
      </c>
      <c r="HB79" s="1558" t="n">
        <f aca="false">IF(Assumptions!$C$60="Hourly",MAX(0,GX79*(GY79-HA79)),GX79*(GY79-HA79))</f>
        <v>2116751.52564172</v>
      </c>
      <c r="HC79" s="1566" t="n">
        <f aca="false">IF($A79&gt;=BegDate,Assumptions!$C$56*24*($A80-$A79)*(1-VLOOKUP($B79,MAIN!$AA$7:$AM$28,$C79+1))*(1-VLOOKUP($B79,MAIN!$AA$33:$AM$54,$C79+1)),0)*16/168</f>
        <v>51548.5714285714</v>
      </c>
      <c r="HD79" s="286" t="n">
        <f aca="false">P79</f>
        <v>23.2144029680832</v>
      </c>
      <c r="HE79" s="286" t="n">
        <f aca="false">IF($A79&gt;=BegDate,VLOOKUP($A79,GasTable,13)+Assumptions!$C$58,0)</f>
        <v>2.44499157950789</v>
      </c>
      <c r="HF79" s="286" t="n">
        <f aca="false">HE79*Assumptions!$C$57/1000</f>
        <v>17.7261889514322</v>
      </c>
      <c r="HG79" s="1558" t="n">
        <f aca="false">IF(Assumptions!$C$60="Hourly",MAX(0,HC79*(HD79-HF79)),HC79*(HD79-HF79))</f>
        <v>282909.592252622</v>
      </c>
      <c r="HH79" s="1566" t="n">
        <f aca="false">IF($A79&gt;=BegDate,Assumptions!$C$56*24*($A80-$A79)*(1-VLOOKUP($B79,MAIN!$AA$7:$AM$28,$C79+1))*(1-VLOOKUP($B79,MAIN!$AA$33:$AM$54,$C79+1)),0)*56/168</f>
        <v>180420</v>
      </c>
      <c r="HI79" s="286" t="n">
        <f aca="false">S79</f>
        <v>23.2144029680832</v>
      </c>
      <c r="HJ79" s="286" t="n">
        <f aca="false">IF($A79&gt;=BegDate,VLOOKUP($A79,GasTable,13)+Assumptions!$C$58,0)</f>
        <v>2.44499157950789</v>
      </c>
      <c r="HK79" s="286" t="n">
        <f aca="false">HJ79*Assumptions!$C$57/1000</f>
        <v>17.7261889514322</v>
      </c>
      <c r="HL79" s="1558" t="n">
        <f aca="false">IF(Assumptions!$C$60="Hourly",MAX(0,HH79*(HI79-HK79)),HH79*(HI79-HK79))</f>
        <v>990183.572884175</v>
      </c>
      <c r="HM79" s="1566" t="n">
        <f aca="false">IF(AND(Assumptions!$H$71="Yes",A79&gt;=Assumptions!$H$72,A79&lt;=Assumptions!$H$73),Assumptions!$H$74*Assumptions!$C$9*1000,0)</f>
        <v>0</v>
      </c>
      <c r="HN79" s="1551" t="e">
        <f aca="false">GD79-GH79</f>
        <v>#VALUE!</v>
      </c>
      <c r="HO79" s="1563"/>
      <c r="HP79" s="1563"/>
      <c r="HQ79" s="1563"/>
      <c r="HR79" s="1563"/>
      <c r="HS79" s="1563"/>
      <c r="HT79" s="1563"/>
      <c r="HU79" s="1563"/>
      <c r="HV79" s="1563"/>
      <c r="HW79" s="1563"/>
      <c r="HX79" s="1563"/>
      <c r="HY79" s="1563"/>
      <c r="HZ79" s="1563"/>
      <c r="IA79" s="1563"/>
      <c r="IB79" s="1563"/>
      <c r="IC79" s="1563"/>
      <c r="ID79" s="1563"/>
      <c r="IE79" s="1563"/>
      <c r="IF79" s="1563"/>
      <c r="IG79" s="1563"/>
      <c r="IH79" s="1563"/>
      <c r="II79" s="1610"/>
      <c r="IJ79" s="1309"/>
      <c r="IK79" s="1309"/>
    </row>
    <row r="80" customFormat="false" ht="12.75" hidden="false" customHeight="false" outlineLevel="0" collapsed="false">
      <c r="A80" s="1571" t="n">
        <f aca="false">EOMONTH(A79,0)+1</f>
        <v>38565</v>
      </c>
      <c r="B80" s="594" t="n">
        <f aca="false">+YEAR(A80)</f>
        <v>2005</v>
      </c>
      <c r="C80" s="238" t="n">
        <f aca="false">MONTH(A80)</f>
        <v>8</v>
      </c>
      <c r="D80" s="1572" t="e">
        <f aca="false">IF(E80="","",Holiday(B80,C80))</f>
        <v>#VALUE!</v>
      </c>
      <c r="E80" s="1573" t="n">
        <f aca="false">IF(OR(BegDate&gt;=A81,EndDate&lt;A80,AND(VolumeMonthlyOverFlag,INDEX(VolumeMonthlyOver,C80)=0),NOT(INDEX(MonthKnockOutTable,C80))),"",MAX(A80,BegDate))</f>
        <v>38565</v>
      </c>
      <c r="F80" s="1574" t="n">
        <f aca="false">IF(E80="","",MIN(A81-1,EndDate))</f>
        <v>38595</v>
      </c>
      <c r="G80" s="1575" t="n">
        <v>0</v>
      </c>
      <c r="H80" s="1576" t="n">
        <f aca="false">(1+G80/2)^(-2*(DATE(B81,C81,20)-DateToday)/365.25)</f>
        <v>1</v>
      </c>
      <c r="I80" s="1568" t="n">
        <f aca="false">IF(Assumptions!$L$25=4,VLOOKUP($A80,'Henwood Reference'!$E$9:$R$320,10),(VLOOKUP($A80,PriceTable,2,0)+IF(BasisNumber&lt;&gt;1,VLOOKUP($A80,BasisTable,2,0),0)+I$1)/(1-I$2))</f>
        <v>100.080177262626</v>
      </c>
      <c r="J80" s="1568" t="n">
        <f aca="false">IF(Assumptions!$L$25=4,VLOOKUP($A80,'Henwood Reference'!$E$9:$R$320,10),(VLOOKUP($A80,PriceTable,3,0)+IF(BasisNumber&lt;&gt;1,VLOOKUP($A80,BasisTable,2,0),0)+J$1)/(1-J$2))</f>
        <v>100.080177262626</v>
      </c>
      <c r="K80" s="1568" t="n">
        <f aca="false">IF(Assumptions!$L$25=4,VLOOKUP($A80,'Henwood Reference'!$E$9:$R$320,10),(VLOOKUP($A80,PriceTable,4,0)+IF(BasisNumber&lt;&gt;1,VLOOKUP($A80,BasisTable,2,0),0)+K$1)/(1-K$2))</f>
        <v>100.080177262626</v>
      </c>
      <c r="L80" s="1523" t="n">
        <f aca="false">IF(Assumptions!$L$25=4,VLOOKUP($A80,'Henwood Reference'!$E$9:$R$320,10),(VLOOKUP($A80,PriceTableWeekend,2,0)+IF(BasisNumber&lt;&gt;1,VLOOKUP($A80,BasisTable,2,0),0)+L$1)/(1-L$2))</f>
        <v>100.080177262626</v>
      </c>
      <c r="M80" s="1568" t="n">
        <f aca="false">IF(Assumptions!$L$25=4,VLOOKUP($A80,'Henwood Reference'!$E$9:$R$320,10),(VLOOKUP($A80,PriceTableWeekend,3,0)+IF(BasisNumber&lt;&gt;1,VLOOKUP($A80,BasisTable,2,0),0)+M$1)/(1-M$2))</f>
        <v>100.080177262626</v>
      </c>
      <c r="N80" s="1599" t="n">
        <f aca="false">IF(Assumptions!$L$25=4,VLOOKUP($A80,'Henwood Reference'!$E$9:$R$320,10),(VLOOKUP($A80,PriceTableWeekend,4,0)+IF(BasisNumber&lt;&gt;1,VLOOKUP($A80,BasisTable,2,0),0)+N$1)/(1-N$2))</f>
        <v>100.080177262626</v>
      </c>
      <c r="O80" s="1568" t="n">
        <f aca="false">IF(Assumptions!$L$25=4,VLOOKUP($A80,'Henwood Reference'!$E$9:$R$320,11),(VLOOKUP($A80,PriceTableWeekend,6,0)+IF(BasisNumber&lt;&gt;1,VLOOKUP($A80,BasisTable,3,0),0)+O$1)/(1-O$2))</f>
        <v>29.5864949156717</v>
      </c>
      <c r="P80" s="1568" t="n">
        <f aca="false">IF(Assumptions!$L$25=4,VLOOKUP($A80,'Henwood Reference'!$E$9:$R$320,11),(VLOOKUP($A80,PriceTableWeekend,7,0)+IF(BasisNumber&lt;&gt;1,VLOOKUP($A80,BasisTable,3,0),0)+P$1)/(1-P$2))</f>
        <v>29.5864949156717</v>
      </c>
      <c r="Q80" s="1599" t="n">
        <f aca="false">IF(Assumptions!$L$25=4,VLOOKUP($A80,'Henwood Reference'!$E$9:$R$320,11),(VLOOKUP($A80,PriceTableWeekend,8,0)+IF(BasisNumber&lt;&gt;1,VLOOKUP($A80,BasisTable,3,0),0)+Q$1)/(1-Q$2))</f>
        <v>29.5864949156717</v>
      </c>
      <c r="R80" s="1568" t="n">
        <f aca="false">IF(Assumptions!$L$25=4,VLOOKUP($A80,'Henwood Reference'!$E$9:$R$320,11),(VLOOKUP($A80,PriceTable,6,0)+IF(BasisNumber&lt;&gt;1,VLOOKUP($A80,BasisTable,3,0),0)+R$1)/(1-R$2))</f>
        <v>29.5864949156717</v>
      </c>
      <c r="S80" s="1568" t="n">
        <f aca="false">IF(Assumptions!$L$25=4,VLOOKUP($A80,'Henwood Reference'!$E$9:$R$320,11),(VLOOKUP($A80,PriceTable,7,0)+IF(BasisNumber&lt;&gt;1,VLOOKUP($A80,BasisTable,3,0),0)+S$1)/(1-S$2))</f>
        <v>29.5864949156717</v>
      </c>
      <c r="T80" s="1600" t="n">
        <f aca="false">IF(Assumptions!$L$25=4,VLOOKUP($A80,'Henwood Reference'!$E$9:$R$320,11),(VLOOKUP($A80,PriceTable,8,0)+IF(BasisNumber&lt;&gt;1,VLOOKUP($A80,BasisTable,3,0),0)+T$1)/(1-T$2))</f>
        <v>29.5864949156717</v>
      </c>
      <c r="U80" s="1513" t="n">
        <f aca="false">VLOOKUP($A80,VolatilityTable,14)</f>
        <v>0.145</v>
      </c>
      <c r="V80" s="1513" t="n">
        <f aca="false">VLOOKUP($A80,VolatilityTable,15)</f>
        <v>0.155</v>
      </c>
      <c r="W80" s="1514" t="n">
        <f aca="false">VLOOKUP($A80,VolatilityTable,16)</f>
        <v>0.165</v>
      </c>
      <c r="X80" s="1513" t="n">
        <f aca="false">VLOOKUP($A80,VolatilityTable,14)</f>
        <v>0.145</v>
      </c>
      <c r="Y80" s="1513" t="n">
        <f aca="false">VLOOKUP($A80,VolatilityTable,15)</f>
        <v>0.155</v>
      </c>
      <c r="Z80" s="1514" t="n">
        <f aca="false">VLOOKUP($A80,VolatilityTable,16)</f>
        <v>0.165</v>
      </c>
      <c r="AA80" s="1513" t="n">
        <f aca="false">VLOOKUP($A80,VolatilityTable,18)</f>
        <v>0.09</v>
      </c>
      <c r="AB80" s="1513" t="n">
        <f aca="false">VLOOKUP($A80,VolatilityTable,19)</f>
        <v>0.11</v>
      </c>
      <c r="AC80" s="1514" t="n">
        <f aca="false">VLOOKUP($A80,VolatilityTable,20)</f>
        <v>0.13</v>
      </c>
      <c r="AD80" s="1513" t="n">
        <f aca="false">VLOOKUP($A80,VolatilityTable,18)</f>
        <v>0.09</v>
      </c>
      <c r="AE80" s="1513" t="n">
        <f aca="false">VLOOKUP($A80,VolatilityTable,19)</f>
        <v>0.11</v>
      </c>
      <c r="AF80" s="1514" t="n">
        <f aca="false">VLOOKUP($A80,VolatilityTable,20)</f>
        <v>0.13</v>
      </c>
      <c r="AG80" s="1513" t="n">
        <f aca="false">VLOOKUP($A80,VolatilityTable,22)</f>
        <v>-0.35</v>
      </c>
      <c r="AH80" s="1513" t="n">
        <f aca="false">VLOOKUP($A80,VolatilityTable,23)</f>
        <v>3</v>
      </c>
      <c r="AI80" s="1514" t="n">
        <f aca="false">VLOOKUP($A80,VolatilityTable,24)</f>
        <v>0.35</v>
      </c>
      <c r="AJ80" s="1513" t="n">
        <f aca="false">VLOOKUP($A80,VolatilityTable,22)</f>
        <v>-0.35</v>
      </c>
      <c r="AK80" s="1513" t="n">
        <f aca="false">VLOOKUP($A80,VolatilityTable,23)</f>
        <v>3</v>
      </c>
      <c r="AL80" s="1514" t="n">
        <f aca="false">VLOOKUP($A80,VolatilityTable,24)</f>
        <v>0.35</v>
      </c>
      <c r="AM80" s="1513" t="n">
        <f aca="false">VLOOKUP($A80,VolatilityTable,26)</f>
        <v>-0.01</v>
      </c>
      <c r="AN80" s="1513" t="n">
        <f aca="false">VLOOKUP($A80,VolatilityTable,27)</f>
        <v>0.16</v>
      </c>
      <c r="AO80" s="1514" t="n">
        <f aca="false">VLOOKUP($A80,VolatilityTable,28)</f>
        <v>0.01</v>
      </c>
      <c r="AP80" s="1513" t="n">
        <f aca="false">VLOOKUP($A80,VolatilityTable,26)</f>
        <v>-0.01</v>
      </c>
      <c r="AQ80" s="1513" t="n">
        <f aca="false">VLOOKUP($A80,VolatilityTable,27)</f>
        <v>0.16</v>
      </c>
      <c r="AR80" s="1515" t="n">
        <f aca="false">VLOOKUP($A80,VolatilityTable,28)</f>
        <v>0.01</v>
      </c>
      <c r="AS80" s="1581" t="n">
        <f aca="false">IF(CorrPeakOffPeakOverFlag,INDEX(CorrPeakOffPeakOver,C80),CorrPeakOffPeak)</f>
        <v>0.5</v>
      </c>
      <c r="AT80" s="594" t="e">
        <f aca="false">AX80-SUM(AU80:AW80)</f>
        <v>#VALUE!</v>
      </c>
      <c r="AU80" s="238" t="e">
        <f aca="false">IF(E80="",0,INT((F80-MOD(F80,7)-E80)/7)+1-IF(AW80,IF(WEEKDAY(D80)=7,1,0),0))</f>
        <v>#VALUE!</v>
      </c>
      <c r="AV80" s="238" t="e">
        <f aca="false">IF(E80="",0,INT((F80-MOD(F80-1,7)-E80)/7)+1-IF(AW80,IF(WEEKDAY(D80)=1,1,0),0))</f>
        <v>#VALUE!</v>
      </c>
      <c r="AW80" s="238" t="e">
        <f aca="false">IF(OR(E80="",D80="",D80&lt;BegDate,D80&gt;EndDate),0,1)</f>
        <v>#VALUE!</v>
      </c>
      <c r="AX80" s="238" t="n">
        <f aca="false">IF(E80="",0,F80-E80+1)</f>
        <v>31</v>
      </c>
      <c r="AY80" s="1582" t="n">
        <f aca="false">IF(E80="",0,MIN((1-(1-VLOOKUP(B80,MAIN!$AA$7:$AM$28,C80+1))*(1-VLOOKUP(B80,MAIN!$AA$33:$AM$54,C80+1))),1))</f>
        <v>0.03</v>
      </c>
      <c r="AZ80" s="1519" t="e">
        <v>#VALUE!</v>
      </c>
      <c r="BA80" s="1520" t="e">
        <v>#VALUE!</v>
      </c>
      <c r="BB80" s="1520" t="e">
        <v>#VALUE!</v>
      </c>
      <c r="BC80" s="1583" t="e">
        <v>#VALUE!</v>
      </c>
      <c r="BD80" s="1522" t="e">
        <v>#VALUE!</v>
      </c>
      <c r="BE80" s="1523" t="e">
        <v>#VALUE!</v>
      </c>
      <c r="BF80" s="1523" t="e">
        <v>#VALUE!</v>
      </c>
      <c r="BG80" s="1584" t="e">
        <v>#VALUE!</v>
      </c>
      <c r="BH80" s="1525" t="e">
        <v>#VALUE!</v>
      </c>
      <c r="BI80" s="1520" t="e">
        <v>#VALUE!</v>
      </c>
      <c r="BJ80" s="1520" t="e">
        <v>#VALUE!</v>
      </c>
      <c r="BK80" s="1583" t="e">
        <v>#VALUE!</v>
      </c>
      <c r="BL80" s="1522" t="e">
        <v>#VALUE!</v>
      </c>
      <c r="BM80" s="1523" t="e">
        <v>#VALUE!</v>
      </c>
      <c r="BN80" s="1523" t="e">
        <v>#VALUE!</v>
      </c>
      <c r="BO80" s="1523" t="e">
        <v>#VALUE!</v>
      </c>
      <c r="BP80" s="1525" t="e">
        <f aca="false">SUM(AZ80:BB80)</f>
        <v>#VALUE!</v>
      </c>
      <c r="BQ80" s="1529" t="e">
        <f aca="false">SUM(AZ80:BC80)</f>
        <v>#VALUE!</v>
      </c>
      <c r="BR80" s="1519" t="e">
        <f aca="false">SUM(BH80:BJ80)</f>
        <v>#VALUE!</v>
      </c>
      <c r="BS80" s="1529" t="e">
        <f aca="false">SUM(BH80:BK80)</f>
        <v>#VALUE!</v>
      </c>
      <c r="BT80" s="1316" t="n">
        <f aca="false">(IF(OVolType&lt;&gt;2,A80+14,IF(OptExpDateShift,ShiftBack(A80,OptExpDateShift,D79),A80))-DateToday)/365.25</f>
        <v>5.29774127310062</v>
      </c>
      <c r="BU80" s="1585" t="e">
        <f aca="false">IF(BQ80,IF(OPriceCurve,IF(OBuySell=OCallPut,I80/(1-AY80),K80/(1-AY80)),J80/(1-AY80))*BD80,0)</f>
        <v>#VALUE!</v>
      </c>
      <c r="BV80" s="1316" t="e">
        <f aca="false">IF(BQ80,IF(OPriceCurve,IF(OBuySell=OCallPut,L80/(1-AY80),N80/(1-AY80)),M80/(1-AY80))*BE80,0)</f>
        <v>#VALUE!</v>
      </c>
      <c r="BW80" s="1316" t="e">
        <f aca="false">IF(BQ80,IF(OPriceCurve,IF(OBuySell=OCallPut,O80/(1-AY80),Q80/(1-AY80)),P80/(1-AY80))*BF80,0)</f>
        <v>#VALUE!</v>
      </c>
      <c r="BX80" s="1316" t="e">
        <f aca="false">IF(BQ80,IF(OPriceCurve,IF(OBuySell=OCallPut,R80/(1-AY80),T80/(1-AY80)),S80/(1-AY80))*BG80,0)</f>
        <v>#VALUE!</v>
      </c>
      <c r="BY80" s="1316" t="e">
        <f aca="false">IF(BP80,(BU80*AZ80+BV80*BA80+BW80*BB80)/BP80,0)</f>
        <v>#VALUE!</v>
      </c>
      <c r="BZ80" s="1316" t="e">
        <f aca="false">IF(BQ80,(BY80*BP80+BX80*BC80)/BQ80,0)</f>
        <v>#VALUE!</v>
      </c>
      <c r="CA80" s="1531" t="e">
        <f aca="false">IF(BS80,IF(OPriceCurve,IF(OBuySell=OCallPut,I80/(1-AY80),K80/(1-AY80)),J80/(1-AY80))*BL80,0)</f>
        <v>#VALUE!</v>
      </c>
      <c r="CB80" s="1316" t="e">
        <f aca="false">IF(BS80,IF(OPriceCurve,IF(OBuySell=OCallPut,L80/(1-AY80),N80/(1-AY80)),M80/(1-AY80))*BM80,0)</f>
        <v>#VALUE!</v>
      </c>
      <c r="CC80" s="1316" t="e">
        <f aca="false">IF(BS80,IF(OPriceCurve,IF(OBuySell=OCallPut,O80/(1-AY80),Q80/(1-AY80)),P80/(1-AY80))*BN80,0)</f>
        <v>#VALUE!</v>
      </c>
      <c r="CD80" s="1316" t="e">
        <f aca="false">IF(BS80,IF(OPriceCurve,IF(OBuySell=OCallPut,R80/(1-AY80),T80/(1-AY80)),S80/(1-AY80))*BO80,0)</f>
        <v>#VALUE!</v>
      </c>
      <c r="CE80" s="1316" t="e">
        <f aca="false">IF(BR80,(BU80*BH80+BV80*BI80+BW80*BJ80)/BR80,0)</f>
        <v>#VALUE!</v>
      </c>
      <c r="CF80" s="1532" t="e">
        <f aca="false">IF(BS80,(CE80*BR80+CD80*BK80)/BS80,0)</f>
        <v>#VALUE!</v>
      </c>
      <c r="CG80" s="1586" t="e">
        <f aca="false">IF(OR(BQ80,BS80),IF(OVolType&lt;&gt;2,SQRT(IF(OVolOverMonthlyPeak,OVolOverMonthlyPeak,IF(OVolCurve,IF(OBuySell,U80,W80),V80))^2*(1-15/365.25/BT80)+IF(OVolOverDailyPeak,OVolOverDailyPeak,IF(OVolCurve,IF(OBuySell,AG80,AI80),AH80))^2*15/365.25/BT80),IF(OVolOverMonthlyPeak,OVolOverMonthlyPeak,IF(OVolCurve,IF(OBuySell,U80,W80),V80))),"")</f>
        <v>#VALUE!</v>
      </c>
      <c r="CH80" s="1587" t="e">
        <f aca="false">IF(OR(BQ80,BS80),IF(OVolType&lt;&gt;2,SQRT(IF(OVolOverMonthlyPeak,OVolOverMonthlyPeak,IF(OVolCurve,IF(OBuySell,X80,Z80),Y80))^2*(1-15/365.25/BT80)+IF(OVolOverDailyPeak,OVolOverDailyPeak,IF(OVolCurve,IF(OBuySell,AJ80,AL80),AK80))^2*15/365.25/BT80),IF(OVolOverMonthlyPeak,OVolOverMonthlyPeak,IF(OVolCurve,IF(OBuySell,X80,Z80),Y80))),"")</f>
        <v>#VALUE!</v>
      </c>
      <c r="CI80" s="1587" t="e">
        <f aca="false">IF(OR(BQ80,BS80),IF(OVolType&lt;&gt;2,SQRT(IF(OVolOverMonthlyPeak,OVolOverMonthlyPeak,IF(OVolCurve,IF(OBuySell,AA80,AC80),AB80))^2*(1-15/365.25/BT80)+IF(OVolOverDailyPeak,OVolOverDailyPeak,IF(OVolCurve,IF(OBuySell,AM80,AO80),AN80))^2*15/365.25/BT80),IF(OVolOverMonthlyPeak,OVolOverMonthlyPeak,IF(OVolCurve,IF(OBuySell,AA80,AC80),AB80))),"")</f>
        <v>#VALUE!</v>
      </c>
      <c r="CJ80" s="1587" t="e">
        <f aca="false">IF(BQ80,IF(BP80,SQRT(LN(1+((BU80*AZ80)^2*(EXP(CG80^2*BT80)-1)+(BV80*BA80)^2*(EXP(CH80^2*BT80)-1)+(BW80*BB80)^2*(EXP(CI80^2*BT80)-1)+2*BU80*AZ80*BV80*BA80*(EXP(CG80*CH80*BT80)-1)+2*BV80*BA80*BW80*BB80*(EXP(CH80*CI80*BT80)-1)+2*BW80*BB80*BU80*AZ80*(EXP(CI80*CG80*BT80)-1))/(BY80*BP80)^2)/BT80),0),"")</f>
        <v>#VALUE!</v>
      </c>
      <c r="CK80" s="1587" t="e">
        <f aca="false">IF(BS80,IF(BR80,SQRT(LN(1+((CA80*BH80)^2*(EXP(CG80^2*BT80)-1)+(CB80*BI80)^2*(EXP(CH80^2*BT80)-1)+(CC80*BJ80)^2*(EXP(CI80^2*BT80)-1)+2*CA80*BH80*CB80*BI80*(EXP(CG80*CH80*BT80)-1)+2*CB80*BI80*CC80*BJ80*(EXP(CH80*CI80*BT80)-1)+2*CC80*BJ80*CA80*BH80*(EXP(CI80*CG80*BT80)-1))/(CE80*BR80)^2)/BT80),0),"")</f>
        <v>#VALUE!</v>
      </c>
      <c r="CL80" s="1587" t="e">
        <f aca="false">IF(OR(BQ80,BS80),IF(OVolType&lt;&gt;2,SQRT(IF(OVolOverMonthlyOffPeak,OVolOverMonthlyOffPeak,IF(OVolCurve,IF(OBuySell,AD80,AF80),AE80))^2*(1-15/365.25/BT80)+IF(OVolOverDailyOffPeak,OVolOverDailyOffPeak,IF(OVolCurve,IF(OBuySell,AP80,AR80),AQ80))^2*15/365.25/BT80),IF(OVolOverMonthlyOffPeak,OVolOverMonthlyOffPeak,IF(OVolCurve,IF(OBuySell,AD80,AF80),AE80))),"")</f>
        <v>#VALUE!</v>
      </c>
      <c r="CM80" s="1587" t="e">
        <f aca="false">IF(BQ80,SQRT(LN(1+((BY80*BP80)^2*(EXP(CJ80^2*BT80)-1)+(BX80*BC80)^2*(EXP(CL80^2*BT80)-1)+2*BY80*BP80*BX80*BC80*(EXP(AS80*CJ80*CL80*BT80)-1))/(BY80*BP80+BX80*BC80)^2)/BT80),"")</f>
        <v>#VALUE!</v>
      </c>
      <c r="CN80" s="1588" t="e">
        <f aca="false">IF(BS80,SQRT(LN(1+((CE80*BR80)^2*(EXP(CK80^2*BT80)-1)+(CD80*BK80)^2*(EXP(CL80^2*BT80)-1)+2*CE80*BR80*CD80*BK80*(EXP(AS80*CK80*CL80*BT80)-1))/(CE80*BR80+CD80*BK80)^2)/BT80),"")</f>
        <v>#VALUE!</v>
      </c>
      <c r="CO80" s="1531" t="e">
        <f aca="false">IF(OR(BQ80,BS80),VLOOKUP(A80,GasTable,13)*HeatRatePeak*(1+VLOOKUP($B80,HeatRateDegradation,$C80+1))/1000,0)</f>
        <v>#VALUE!</v>
      </c>
      <c r="CP80" s="1316" t="e">
        <f aca="false">IF(OR(BQ80,BS80),VLOOKUP(A80,GasTable,13)*HeatRatePeak*(1+VLOOKUP($B80,HeatRateDegradation,$C80+1))/1000,0)</f>
        <v>#VALUE!</v>
      </c>
      <c r="CQ80" s="1316" t="e">
        <f aca="false">IF(OR(BQ80,BS80),VLOOKUP(A80,GasTable,13)*IF(EV80,HeatRatePeak,HeatRateOffPeak)*(1+VLOOKUP($B80,HeatRateDegradation,$C80+1))/1000,0)</f>
        <v>#VALUE!</v>
      </c>
      <c r="CR80" s="1316" t="e">
        <f aca="false">IF(OR(BQ80,BS80),VLOOKUP(A80,GasTable,13)*IF(EW80,HeatRatePeak,HeatRateOffPeak)*(1+VLOOKUP($B80,HeatRateDegradation,$C80+1))/1000,0)</f>
        <v>#VALUE!</v>
      </c>
      <c r="CS80" s="1589" t="e">
        <f aca="false">IF(BQ80,(CO80*AZ80+CP80*BA80+CQ80*BB80+CR80*BC80)/BQ80,0)</f>
        <v>#VALUE!</v>
      </c>
      <c r="CT80" s="1316" t="e">
        <f aca="false">IF(BS80,CO80,0)</f>
        <v>#VALUE!</v>
      </c>
      <c r="CU80" s="1590" t="e">
        <f aca="false">IF(OR(BQ80,BS80),VLOOKUP(A80,GasTable,14),"")</f>
        <v>#VALUE!</v>
      </c>
      <c r="CV80" s="1568" t="e">
        <f aca="false">IF(OR(BQ80,BS80),IF(CorrPowerGasOverFlag,INDEX(CorrPowerGasOver,C80),CorrPowerGas),"")</f>
        <v>#VALUE!</v>
      </c>
      <c r="CW80" s="1316" t="e">
        <f aca="false">IF(OR($BQ80,$BS80),SpreadOptPowerMargin,0)*((1+Assumptions!$C$26)^($B80-YEAR(Assumptions!$C$17)))</f>
        <v>#VALUE!</v>
      </c>
      <c r="CX80" s="1316" t="e">
        <f aca="false">IF(OR($BQ80,$BS80),SpreadOptPowerMargin,0)*((1+Assumptions!$C$26)^($B80-YEAR(Assumptions!$C$17)))</f>
        <v>#VALUE!</v>
      </c>
      <c r="CY80" s="1316" t="e">
        <f aca="false">IF(OR($BQ80,$BS80),SpreadOptPowerMargin,0)*((1+Assumptions!$C$26)^($B80-YEAR(Assumptions!$C$17)))</f>
        <v>#VALUE!</v>
      </c>
      <c r="CZ80" s="1316" t="e">
        <f aca="false">IF(OR($BQ80,$BS80),SpreadOptPowerMargin,0)*((1+Assumptions!$C$26)^($B80-YEAR(Assumptions!$C$17)))</f>
        <v>#VALUE!</v>
      </c>
      <c r="DA80" s="1591" t="e">
        <f aca="false">IF(OR(BQ80,BS80),(CW80*(AZ80+BH80)+CX80*(BA80+BI80)+CY80*(BB80+BJ80)+CZ80*(BC80+BK80))/(BQ80+BS80),0)</f>
        <v>#VALUE!</v>
      </c>
      <c r="DB80" s="1592" t="e">
        <f aca="false">IF(OR(BQ80,BS80),CG80+IF(OVolSmile,VLOOKUP(MAX(-5,CO80+CW80-BU80),IF(OVolSmile=1,VolSmileBook,VolSmileModel),2),0),"")</f>
        <v>#VALUE!</v>
      </c>
      <c r="DC80" s="1592" t="e">
        <f aca="false">IF(OR(BQ80,BS80),CH80+IF(OVolSmile,VLOOKUP(MAX(-5,CP80+CW80-BV80),IF(OVolSmile=1,VolSmileBook,VolSmileModel),2),0),"")</f>
        <v>#VALUE!</v>
      </c>
      <c r="DD80" s="1592" t="e">
        <f aca="false">IF(OR(BQ80,BS80),CI80+IF(OVolSmile,VLOOKUP(MAX(-5,CQ80+CW80-BW80),IF(OVolSmile=1,VolSmileBook,VolSmileModel),2),0),"")</f>
        <v>#VALUE!</v>
      </c>
      <c r="DE80" s="1592" t="e">
        <f aca="false">IF(OR(BQ80,BS80),CL80+IF(OVolSmile,VLOOKUP(MAX(-5,CR80+CZ80-BX80),IF(OVolSmile=1,VolSmileBook,VolSmileModel),2),0),"")</f>
        <v>#VALUE!</v>
      </c>
      <c r="DF80" s="1592" t="e">
        <f aca="false">IF(BQ80,CM80+IF(OVolSmile,VLOOKUP(MAX(-5,CS80+DA80-BZ80),IF(OVolSmile=1,VolSmileBook,VolSmileModel),2),0),"")</f>
        <v>#VALUE!</v>
      </c>
      <c r="DG80" s="1593" t="e">
        <f aca="false">IF(BS80,CN80+IF(OVolSmile,VLOOKUP(MAX(-5,CT80+DA80-CF80),IF(OVolSmile=1,VolSmileBook,VolSmileModel),2),0),"")</f>
        <v>#VALUE!</v>
      </c>
      <c r="DH80" s="1316" t="e">
        <f aca="false">IF(AND(BU80&gt;0,CO80&gt;0,DB80&gt;0,CU80&gt;0),newSPRDOPT(BU80,CO80,CW80,0,DB80,CU80,CV80,BT80*365.25,OCallPut,0),0)</f>
        <v>#VALUE!</v>
      </c>
      <c r="DI80" s="1316" t="e">
        <f aca="false">IF(AND(BV80&gt;0,CP80&gt;0,DC80&gt;0,CU80&gt;0),newSPRDOPT(BV80,CP80,CX80,0,DC80,CU80,CV80,BT80*365.25,OCallPut,0),0)</f>
        <v>#VALUE!</v>
      </c>
      <c r="DJ80" s="1316" t="e">
        <f aca="false">IF(AND(BW80&gt;0,CQ80&gt;0,DD80&gt;0,CU80&gt;0),newSPRDOPT(BW80,CQ80,CY80,0,DD80,CU80,CV80,BT80*365.25,OCallPut,0),0)</f>
        <v>#VALUE!</v>
      </c>
      <c r="DK80" s="1316" t="e">
        <f aca="false">IF(AND(BX80&gt;0,CR80&gt;0,DE80&gt;0,CU80&gt;0),newSPRDOPT(BX80,CR80,CZ80,0,DE80,CU80,CV80,BT80*365.25,OCallPut,0),0)</f>
        <v>#VALUE!</v>
      </c>
      <c r="DL80" s="1316" t="e">
        <f aca="false">IF(OVolType,IF(AND(BZ80&gt;0,CS80&gt;0,DF80&gt;0,CU80&gt;0),newSPRDOPT(BZ80,CS80,DA80,0,DF80,CU80,CV80,BT80*365.25,OCallPut,0),0),IF(BQ80,(DH80*AZ80+DI80*BA80+DJ80*BB80+DK80*BC80)/BQ80,0))</f>
        <v>#VALUE!</v>
      </c>
      <c r="DM80" s="1316"/>
      <c r="DN80" s="1316"/>
      <c r="DO80" s="1316"/>
      <c r="DP80" s="1316"/>
      <c r="DQ80" s="1316"/>
      <c r="DR80" s="1316"/>
      <c r="DS80" s="1316"/>
      <c r="DT80" s="1316"/>
      <c r="DU80" s="1316"/>
      <c r="DV80" s="1316"/>
      <c r="DW80" s="1594" t="e">
        <f aca="false">IF(AND(BW80&gt;0,CT80&gt;0,DD80&gt;0,CU80&gt;0),newSPRDOPT(BW80,CT80,CY80,0,DD80,CU80,CV80,BT80*365.25,OCallPut,0),0)</f>
        <v>#VALUE!</v>
      </c>
      <c r="DX80" s="1316" t="e">
        <f aca="false">IF(AND(BX80&gt;0,CT80&gt;0,DE80&gt;0,CU80&gt;0),newSPRDOPT(BX80,CT80,CZ80,0,DE80,CU80,CV80,BT80*365.25,OCallPut,0),0)</f>
        <v>#VALUE!</v>
      </c>
      <c r="DY80" s="1591" t="e">
        <f aca="false">IF(BS80,(DH80*BH80+DI80*BI80+DW80*BJ80+DX80*BK80)/BS80,0)</f>
        <v>#VALUE!</v>
      </c>
      <c r="DZ80" s="1551" t="e">
        <f aca="false">DH80*AZ80</f>
        <v>#VALUE!</v>
      </c>
      <c r="EA80" s="1551" t="e">
        <f aca="false">DI80*BA80</f>
        <v>#VALUE!</v>
      </c>
      <c r="EB80" s="1551" t="e">
        <f aca="false">DJ80*BB80</f>
        <v>#VALUE!</v>
      </c>
      <c r="EC80" s="1551" t="e">
        <f aca="false">DK80*BC80</f>
        <v>#VALUE!</v>
      </c>
      <c r="ED80" s="1551" t="e">
        <f aca="false">DL80*BQ80</f>
        <v>#VALUE!</v>
      </c>
      <c r="EE80" s="1595" t="e">
        <f aca="false">IF(BQ80,IF(OCallPut,IF(BU80&gt;(CO80+CW80),BU80-(CO80+CW80),0),IF((CO80+CW80)&gt;BU80,(CO80+CW80)-BU80,0))*AZ80,0)</f>
        <v>#VALUE!</v>
      </c>
      <c r="EF80" s="1596" t="e">
        <f aca="false">IF(BQ80,IF(OCallPut,IF(BV80&gt;(CP80+CX80),BV80-(CP80+CX80),0),IF((CP80+CX80)&gt;BV80,(CP80+CX80)-BV80,0))*BA80,0)</f>
        <v>#VALUE!</v>
      </c>
      <c r="EG80" s="1596" t="e">
        <f aca="false">IF(BQ80,IF(OCallPut,IF(BW80&gt;(CQ80+CY80),BW80-(CQ80+CY80),0),IF((CQ80+CY80)&gt;BW80,(CQ80+CY80)-BW80,0))*BB80,0)</f>
        <v>#VALUE!</v>
      </c>
      <c r="EH80" s="1596" t="e">
        <f aca="false">IF(BQ80,IF(OCallPut,IF(BX80&gt;(CR80+CZ80),BX80-(CR80+CZ80),0),IF((CR80+CZ80)&gt;BX80,(CR80+CZ80)-BX80,0))*BC80,0)</f>
        <v>#VALUE!</v>
      </c>
      <c r="EI80" s="1597" t="e">
        <f aca="false">IF(BQ80,IF(OVolType,IF(OCallPut,IF(BZ80&gt;(CS80+DA80),BZ80-(CS80+DA80),0),IF((CS80+DA80)&gt;BZ80,(CS80+DA80)-BZ80,0))*BQ80,SUM(EE80:EH80)),0)</f>
        <v>#VALUE!</v>
      </c>
      <c r="EJ80" s="1595" t="e">
        <f aca="false">DZ80-EE80</f>
        <v>#VALUE!</v>
      </c>
      <c r="EK80" s="1596" t="e">
        <f aca="false">EA80-EF80</f>
        <v>#VALUE!</v>
      </c>
      <c r="EL80" s="1596" t="e">
        <f aca="false">EB80-EG80</f>
        <v>#VALUE!</v>
      </c>
      <c r="EM80" s="1596" t="e">
        <f aca="false">EC80-EH80</f>
        <v>#VALUE!</v>
      </c>
      <c r="EN80" s="1597" t="e">
        <f aca="false">ED80-EI80</f>
        <v>#VALUE!</v>
      </c>
      <c r="EO80" s="1551" t="e">
        <f aca="false">DH80*BH80</f>
        <v>#VALUE!</v>
      </c>
      <c r="EP80" s="1551" t="e">
        <f aca="false">DI80*BI80</f>
        <v>#VALUE!</v>
      </c>
      <c r="EQ80" s="1551" t="e">
        <f aca="false">DW80*BJ80</f>
        <v>#VALUE!</v>
      </c>
      <c r="ER80" s="1551" t="e">
        <f aca="false">DX80*BK80</f>
        <v>#VALUE!</v>
      </c>
      <c r="ES80" s="1551" t="e">
        <f aca="false">DY80*BS80</f>
        <v>#VALUE!</v>
      </c>
      <c r="ET80" s="1566" t="e">
        <f aca="false">IF(EI80,IF(OCallPut,IF(CA80&gt;(CT80+CW80),CA80-(CT80+CW80),0),IF((CT80+CW80)&gt;CA80,(CT80+CW80)-CA80,0))*BH80,0)</f>
        <v>#VALUE!</v>
      </c>
      <c r="EU80" s="1551" t="e">
        <f aca="false">IF(EI80,IF(OCallPut,IF(CB80&gt;(CT80+CX80),CB80-(CT80+CX80),0),IF((CT80+CX80)&gt;CB80,(CT80+CX80)-CB80,0))*BI80,0)</f>
        <v>#VALUE!</v>
      </c>
      <c r="EV80" s="1551" t="e">
        <f aca="false">IF(EI80,IF(OCallPut,IF(CC80&gt;(CT80+CY80),CC80-(CT80+CY80),0),IF((CT80+CY80)&gt;CC80,(CT80+CY80)-CC80,0))*BJ80,0)</f>
        <v>#VALUE!</v>
      </c>
      <c r="EW80" s="1551" t="e">
        <f aca="false">IF(EI80,IF(OCallPut,IF(CD80&gt;(CT80+CZ80),CD80-(CT80+CZ80),0),IF((CT80+CZ80)&gt;CD80,(CT80+CZ80)-CD80,0))*BK80,0)</f>
        <v>#VALUE!</v>
      </c>
      <c r="EX80" s="1558" t="e">
        <f aca="false">IF(EI80,SUM(ET80:EW80),0)</f>
        <v>#VALUE!</v>
      </c>
      <c r="EY80" s="1551" t="e">
        <f aca="false">EO80-ET80</f>
        <v>#VALUE!</v>
      </c>
      <c r="EZ80" s="1551" t="e">
        <f aca="false">EP80-EU80</f>
        <v>#VALUE!</v>
      </c>
      <c r="FA80" s="1551" t="e">
        <f aca="false">EQ80-EV80</f>
        <v>#VALUE!</v>
      </c>
      <c r="FB80" s="1551" t="e">
        <f aca="false">ER80-EW80</f>
        <v>#VALUE!</v>
      </c>
      <c r="FC80" s="1551" t="e">
        <f aca="false">ES80-EX80</f>
        <v>#VALUE!</v>
      </c>
      <c r="FD80" s="1525" t="n">
        <f aca="false">IF(AX80,IF(VLOOKUP(C80,MAIN!$L$17:$M$28,2)="Yes",VLOOKUP(CALC!B80,MAIN!$H$17:$I$20,2),0),0)</f>
        <v>0</v>
      </c>
      <c r="FE80" s="1552" t="e">
        <f aca="false">$FD80*16*AT80*(1-$AY80)</f>
        <v>#VALUE!</v>
      </c>
      <c r="FF80" s="1553" t="e">
        <f aca="false">$FD80*16*AU80*(1-$AY80)</f>
        <v>#VALUE!</v>
      </c>
      <c r="FG80" s="1553" t="e">
        <f aca="false">$FD80*16*(AV80+AW80)*(1-$AY80)</f>
        <v>#VALUE!</v>
      </c>
      <c r="FH80" s="1554" t="n">
        <f aca="false">$FD80*8*AX80*(1-$AY80)</f>
        <v>0</v>
      </c>
      <c r="FI80" s="1555" t="n">
        <f aca="false">IF(AX80,VLOOKUP(CALC!B80,MAIN!$H$17:$K$20,4),0)</f>
        <v>0</v>
      </c>
      <c r="FJ80" s="1553" t="e">
        <f aca="false">SUM(FE80:FH80)</f>
        <v>#VALUE!</v>
      </c>
      <c r="FK80" s="1556" t="e">
        <f aca="false">FI80*FJ80</f>
        <v>#VALUE!</v>
      </c>
      <c r="FL80" s="1551" t="e">
        <f aca="false">IF($EI80&gt;0,MIN(FE80,AZ80*(1+VLOOKUP($C80,WeatherCapacityAdjustment,2))),0)</f>
        <v>#VALUE!</v>
      </c>
      <c r="FM80" s="1551" t="e">
        <f aca="false">IF($EI80&gt;0,MIN(FF80,BA80*(1+VLOOKUP($C80,WeatherCapacityAdjustment,2))),0)</f>
        <v>#VALUE!</v>
      </c>
      <c r="FN80" s="1551" t="e">
        <f aca="false">IF($EI80&gt;0,MIN(FG80,BB80*(1+VLOOKUP($C80,WeatherCapacityAdjustment,2))),0)</f>
        <v>#VALUE!</v>
      </c>
      <c r="FO80" s="1564" t="e">
        <f aca="false">IF($EI80&gt;0,MIN(FH80,BC80*(1+VLOOKUP($C80,WeatherCapacityAdjustment,3))),0)</f>
        <v>#VALUE!</v>
      </c>
      <c r="FP80" s="1551" t="e">
        <f aca="false">IF(ET80&gt;0,MIN(FE80-FL80,BH80*(1+VLOOKUP($C80,WeatherCapacityAdjustment,2))),0)</f>
        <v>#VALUE!</v>
      </c>
      <c r="FQ80" s="1551" t="e">
        <f aca="false">IF(EU80&gt;0,MIN(FF80-FM80,BI80*(1+VLOOKUP($C80,WeatherCapacityAdjustment,2))),0)</f>
        <v>#VALUE!</v>
      </c>
      <c r="FR80" s="1551" t="e">
        <f aca="false">IF(EV80&gt;0,MIN(FG80-FN80,BJ80*(1+VLOOKUP($C80,WeatherCapacityAdjustment,2))),0)</f>
        <v>#VALUE!</v>
      </c>
      <c r="FS80" s="1558" t="e">
        <f aca="false">IF(EW80&gt;0,MIN(FH80-FO80,BK80*(1+VLOOKUP($C80,WeatherCapacityAdjustment,3))),0)</f>
        <v>#VALUE!</v>
      </c>
      <c r="FT80" s="1566" t="e">
        <f aca="false">IF(AND(Assumptions!$H$71="Yes",A80&gt;=Assumptions!$H$72,A80&lt;=Assumptions!$H$73),0,IF(AND($A80&gt;=Assumptions!$C$17,$A80&lt;=Assumptions!$C$18),MAX(AZ80*(1+VLOOKUP($C80,WeatherCapacityAdjustment,2))-FL80,0),0))</f>
        <v>#VALUE!</v>
      </c>
      <c r="FU80" s="1551" t="e">
        <f aca="false">IF(AND(Assumptions!$H$71="Yes",A80&gt;=Assumptions!$H$72,A80&lt;=Assumptions!$H$73),0,IF(AND($A80&gt;=Assumptions!$C$17,$A80&lt;=Assumptions!$C$18),MAX(BA80*(1+VLOOKUP($C80,WeatherCapacityAdjustment,2))-FM80,0),0))</f>
        <v>#VALUE!</v>
      </c>
      <c r="FV80" s="1551" t="e">
        <f aca="false">IF(AND(Assumptions!$H$71="Yes",A80&gt;=Assumptions!$H$72,A80&lt;=Assumptions!$H$73),0,IF(AND($A80&gt;=Assumptions!$C$17,$A80&lt;=Assumptions!$C$18),MAX(BB80*(1+VLOOKUP($C80,WeatherCapacityAdjustment,2))-FN80,0),0))</f>
        <v>#VALUE!</v>
      </c>
      <c r="FW80" s="1564" t="e">
        <f aca="false">IF(AND(Assumptions!$H$71="Yes",A80&gt;=Assumptions!$H$72,A80&lt;=Assumptions!$H$73),0,IF(AND($A80&gt;=Assumptions!$C$17,$A80&lt;=Assumptions!$C$18),MAX(BC80*(1+VLOOKUP($C80,WeatherCapacityAdjustment,3))-FO80,0),0))</f>
        <v>#VALUE!</v>
      </c>
      <c r="FX80" s="1569" t="e">
        <f aca="false">IF(AND(Assumptions!$H$71="Yes",A80&gt;=Assumptions!$H$72,A80&lt;=Assumptions!$H$73),0,IF(ET80&gt;0,MAX(BH80*(1+VLOOKUP($C80,WeatherCapacityAdjustment,2))-FP80,0),0))</f>
        <v>#VALUE!</v>
      </c>
      <c r="FY80" s="1551" t="e">
        <f aca="false">IF(AND(Assumptions!$H$71="Yes",A80&gt;=Assumptions!$H$72,A80&lt;=Assumptions!$H$73),0,IF(EU80&gt;0,MAX(BI80*(1+VLOOKUP($C80,WeatherCapacityAdjustment,3))-FQ80,0),0))</f>
        <v>#VALUE!</v>
      </c>
      <c r="FZ80" s="1551" t="e">
        <f aca="false">IF(AND(Assumptions!$H$71="Yes",A80&gt;=Assumptions!$H$72,A80&lt;=Assumptions!$H$73),0,IF(EV80&gt;0,MAX(BJ80*(1+VLOOKUP($C80,WeatherCapacityAdjustment,2))-FR80,0),0))</f>
        <v>#VALUE!</v>
      </c>
      <c r="GA80" s="1564" t="e">
        <f aca="false">IF(AND(Assumptions!$H$71="Yes",A80&gt;=Assumptions!$H$72,A80&lt;=Assumptions!$H$73),0,IF(EW80&gt;0,MAX(BK80*(1+VLOOKUP($C80,WeatherCapacityAdjustment,2))-FS80,0),0))</f>
        <v>#VALUE!</v>
      </c>
      <c r="GB80" s="1551" t="e">
        <f aca="false">SUM(FT80:GA80)</f>
        <v>#VALUE!</v>
      </c>
      <c r="GC80" s="1563" t="e">
        <f aca="false">+IF(SUM(FT80:GA80)=0,0,(SUMPRODUCT(BU80:BX80,FT80:FW80)+SUMPRODUCT(CA80:CD80,FX80:GA80))/SUM(FT80:GA80))</f>
        <v>#VALUE!</v>
      </c>
      <c r="GD80" s="1551" t="e">
        <f aca="false">(FT80*BU80+FX80*CA80+FU80*BV80+FY80*CB80+FV80*BW80+FZ80*CC80+FW80*BX80+GA80*CD80)</f>
        <v>#VALUE!</v>
      </c>
      <c r="GE80" s="1561" t="e">
        <f aca="false">+IF(BQ80,((FL80+FM80+FT80+FU80)*HeatRatePeak/1000*(1+VLOOKUP($C80,WeatherHeatRateAdjustment,2))+(FN80+FV80)*IF(EV80&gt;0,HeatRatePeak,HeatRateOffPeak)/1000*(1+VLOOKUP($C80,WeatherHeatRateAdjustment,2))+(FO80+FW80)*IF(EW80&gt;0,HeatRatePeak,HeatRateOffPeak)/1000*(1+VLOOKUP($C80,WeatherHeatRateAdjustment,3)))*(1+VLOOKUP($B80,HeatRateDegradation,$C80+1)),0)</f>
        <v>#VALUE!</v>
      </c>
      <c r="GF80" s="1562" t="e">
        <f aca="false">IF(BQ80,((FP80+FQ80+FR80+FX80+FY80+FZ80)*HeatRatePeak/1000*(1+VLOOKUP($C80,WeatherHeatRateAdjustment,2))+(FS80+GA80)*HeatRatePeak/1000*(1+VLOOKUP($C80,WeatherHeatRateAdjustment,3)))*(1+VLOOKUP($B80,HeatRateDegradation,$C80+1)),0)</f>
        <v>#VALUE!</v>
      </c>
      <c r="GG80" s="1563" t="e">
        <f aca="false">IF(BQ80,VLOOKUP(A80,GasTable,13),0)</f>
        <v>#VALUE!</v>
      </c>
      <c r="GH80" s="1564" t="e">
        <f aca="false">(GE80+GF80)*GG80</f>
        <v>#VALUE!</v>
      </c>
      <c r="GI80" s="1569" t="e">
        <f aca="false">GB80</f>
        <v>#VALUE!</v>
      </c>
      <c r="GJ80" s="1598" t="e">
        <f aca="false">+DA80</f>
        <v>#VALUE!</v>
      </c>
      <c r="GK80" s="1558" t="e">
        <f aca="false">+GI80*GJ80</f>
        <v>#VALUE!</v>
      </c>
      <c r="GL80" s="1566" t="e">
        <f aca="false">MAX(FE80-FL80-FP80,0)</f>
        <v>#VALUE!</v>
      </c>
      <c r="GM80" s="1551" t="e">
        <f aca="false">MAX(FF80-FM80-FQ80,0)</f>
        <v>#VALUE!</v>
      </c>
      <c r="GN80" s="1551" t="e">
        <f aca="false">MAX(FG80-FN80-FR80,0)</f>
        <v>#VALUE!</v>
      </c>
      <c r="GO80" s="1564" t="e">
        <f aca="false">MAX(FH80-FO80-FS80,0)</f>
        <v>#VALUE!</v>
      </c>
      <c r="GP80" s="1551" t="e">
        <f aca="false">SUM(GL80:GO80)</f>
        <v>#VALUE!</v>
      </c>
      <c r="GQ80" s="1563" t="e">
        <f aca="false">IF(SUM(GL80:GO80)=0,0,((GL80*BU80+GM80*BV80+GN80*BW80+GO80*BX80)/SUM(GL80:GO80)))</f>
        <v>#VALUE!</v>
      </c>
      <c r="GR80" s="1558" t="e">
        <f aca="false">(GL80*BU80+GM80*BV80+GN80*BW80+GO80*BX80)</f>
        <v>#VALUE!</v>
      </c>
      <c r="GS80" s="1566" t="n">
        <f aca="false">IF($A80&gt;=BegDate,Assumptions!$C$56*24*($A81-$A80)*(1-VLOOKUP($B80,MAIN!$AA$7:$AM$28,$C80+1))*(1-VLOOKUP($B80,MAIN!$AA$33:$AM$54,$C80+1)),0)*80/168</f>
        <v>257742.857142857</v>
      </c>
      <c r="GT80" s="286" t="n">
        <f aca="false">J80</f>
        <v>100.080177262626</v>
      </c>
      <c r="GU80" s="286" t="n">
        <f aca="false">IF($A80&gt;=BegDate,VLOOKUP($A80,GasTable,13)+Assumptions!$C$58,0)</f>
        <v>2.53299512892991</v>
      </c>
      <c r="GV80" s="286" t="n">
        <f aca="false">GU80*Assumptions!$C$57/1000</f>
        <v>18.3642146847419</v>
      </c>
      <c r="GW80" s="1558" t="n">
        <f aca="false">IF(Assumptions!$C$60="Hourly",MAX(0,GS80*(GT80-GV80)),GS80*(GT80-GV80))</f>
        <v>21061705.6690027</v>
      </c>
      <c r="GX80" s="1566" t="n">
        <f aca="false">IF($A80&gt;=BegDate,Assumptions!$C$56*24*($A81-$A80)*(1-VLOOKUP($B80,MAIN!$AA$7:$AM$28,$C80+1))*(1-VLOOKUP($B80,MAIN!$AA$33:$AM$54,$C80+1)),0)*16/168</f>
        <v>51548.5714285714</v>
      </c>
      <c r="GY80" s="286" t="n">
        <f aca="false">M80</f>
        <v>100.080177262626</v>
      </c>
      <c r="GZ80" s="286" t="n">
        <f aca="false">IF($A80&gt;=BegDate,VLOOKUP($A80,GasTable,13)+Assumptions!$C$58,0)</f>
        <v>2.53299512892991</v>
      </c>
      <c r="HA80" s="286" t="n">
        <f aca="false">GZ80*Assumptions!$C$57/1000</f>
        <v>18.3642146847419</v>
      </c>
      <c r="HB80" s="1558" t="n">
        <f aca="false">IF(Assumptions!$C$60="Hourly",MAX(0,GX80*(GY80-HA80)),GX80*(GY80-HA80))</f>
        <v>4212341.13380054</v>
      </c>
      <c r="HC80" s="1566" t="n">
        <f aca="false">IF($A80&gt;=BegDate,Assumptions!$C$56*24*($A81-$A80)*(1-VLOOKUP($B80,MAIN!$AA$7:$AM$28,$C80+1))*(1-VLOOKUP($B80,MAIN!$AA$33:$AM$54,$C80+1)),0)*16/168</f>
        <v>51548.5714285714</v>
      </c>
      <c r="HD80" s="286" t="n">
        <f aca="false">P80</f>
        <v>29.5864949156717</v>
      </c>
      <c r="HE80" s="286" t="n">
        <f aca="false">IF($A80&gt;=BegDate,VLOOKUP($A80,GasTable,13)+Assumptions!$C$58,0)</f>
        <v>2.53299512892991</v>
      </c>
      <c r="HF80" s="286" t="n">
        <f aca="false">HE80*Assumptions!$C$57/1000</f>
        <v>18.3642146847419</v>
      </c>
      <c r="HG80" s="1558" t="n">
        <f aca="false">IF(Assumptions!$C$60="Hourly",MAX(0,HC80*(HD80-HF80)),HC80*(HD80-HF80))</f>
        <v>578492.514075531</v>
      </c>
      <c r="HH80" s="1566" t="n">
        <f aca="false">IF($A80&gt;=BegDate,Assumptions!$C$56*24*($A81-$A80)*(1-VLOOKUP($B80,MAIN!$AA$7:$AM$28,$C80+1))*(1-VLOOKUP($B80,MAIN!$AA$33:$AM$54,$C80+1)),0)*56/168</f>
        <v>180420</v>
      </c>
      <c r="HI80" s="286" t="n">
        <f aca="false">S80</f>
        <v>29.5864949156717</v>
      </c>
      <c r="HJ80" s="286" t="n">
        <f aca="false">IF($A80&gt;=BegDate,VLOOKUP($A80,GasTable,13)+Assumptions!$C$58,0)</f>
        <v>2.53299512892991</v>
      </c>
      <c r="HK80" s="286" t="n">
        <f aca="false">HJ80*Assumptions!$C$57/1000</f>
        <v>18.3642146847419</v>
      </c>
      <c r="HL80" s="1558" t="n">
        <f aca="false">IF(Assumptions!$C$60="Hourly",MAX(0,HH80*(HI80-HK80)),HH80*(HI80-HK80))</f>
        <v>2024723.79926436</v>
      </c>
      <c r="HM80" s="1566" t="n">
        <f aca="false">IF(AND(Assumptions!$H$71="Yes",A80&gt;=Assumptions!$H$72,A80&lt;=Assumptions!$H$73),Assumptions!$H$74*Assumptions!$C$9*1000,0)</f>
        <v>0</v>
      </c>
      <c r="HN80" s="1551" t="e">
        <f aca="false">GD80-GH80</f>
        <v>#VALUE!</v>
      </c>
      <c r="HO80" s="1563"/>
      <c r="HP80" s="1563"/>
      <c r="HQ80" s="1563"/>
      <c r="HR80" s="1563"/>
      <c r="HS80" s="1563"/>
      <c r="HT80" s="1563"/>
      <c r="HU80" s="1563"/>
      <c r="HV80" s="1563"/>
      <c r="HW80" s="1563"/>
      <c r="HX80" s="1563"/>
      <c r="HY80" s="1563"/>
      <c r="HZ80" s="1563"/>
      <c r="IA80" s="1563"/>
      <c r="IB80" s="1563"/>
      <c r="IC80" s="1563"/>
      <c r="ID80" s="1563"/>
      <c r="IE80" s="1563"/>
      <c r="IF80" s="1563"/>
      <c r="IG80" s="1563"/>
      <c r="IH80" s="1563"/>
      <c r="II80" s="1610"/>
      <c r="IJ80" s="1309"/>
      <c r="IK80" s="1309"/>
    </row>
    <row r="81" customFormat="false" ht="12.75" hidden="false" customHeight="false" outlineLevel="0" collapsed="false">
      <c r="A81" s="1571" t="n">
        <f aca="false">EOMONTH(A80,0)+1</f>
        <v>38596</v>
      </c>
      <c r="B81" s="594" t="n">
        <f aca="false">+YEAR(A81)</f>
        <v>2005</v>
      </c>
      <c r="C81" s="238" t="n">
        <f aca="false">MONTH(A81)</f>
        <v>9</v>
      </c>
      <c r="D81" s="1572" t="e">
        <f aca="false">IF(E81="","",Holiday(B81,C81))</f>
        <v>#VALUE!</v>
      </c>
      <c r="E81" s="1573" t="n">
        <f aca="false">IF(OR(BegDate&gt;=A82,EndDate&lt;A81,AND(VolumeMonthlyOverFlag,INDEX(VolumeMonthlyOver,C81)=0),NOT(INDEX(MonthKnockOutTable,C81))),"",MAX(A81,BegDate))</f>
        <v>38596</v>
      </c>
      <c r="F81" s="1574" t="n">
        <f aca="false">IF(E81="","",MIN(A82-1,EndDate))</f>
        <v>38625</v>
      </c>
      <c r="G81" s="1575" t="n">
        <v>0</v>
      </c>
      <c r="H81" s="1576" t="n">
        <f aca="false">(1+G81/2)^(-2*(DATE(B82,C82,20)-DateToday)/365.25)</f>
        <v>1</v>
      </c>
      <c r="I81" s="1568" t="n">
        <f aca="false">IF(Assumptions!$L$25=4,VLOOKUP($A81,'Henwood Reference'!$E$9:$R$320,10),(VLOOKUP($A81,PriceTable,2,0)+IF(BasisNumber&lt;&gt;1,VLOOKUP($A81,BasisTable,2,0),0)+I$1)/(1-I$2))</f>
        <v>72.4809173846342</v>
      </c>
      <c r="J81" s="1568" t="n">
        <f aca="false">IF(Assumptions!$L$25=4,VLOOKUP($A81,'Henwood Reference'!$E$9:$R$320,10),(VLOOKUP($A81,PriceTable,3,0)+IF(BasisNumber&lt;&gt;1,VLOOKUP($A81,BasisTable,2,0),0)+J$1)/(1-J$2))</f>
        <v>72.4809173846342</v>
      </c>
      <c r="K81" s="1568" t="n">
        <f aca="false">IF(Assumptions!$L$25=4,VLOOKUP($A81,'Henwood Reference'!$E$9:$R$320,10),(VLOOKUP($A81,PriceTable,4,0)+IF(BasisNumber&lt;&gt;1,VLOOKUP($A81,BasisTable,2,0),0)+K$1)/(1-K$2))</f>
        <v>72.4809173846342</v>
      </c>
      <c r="L81" s="1523" t="n">
        <f aca="false">IF(Assumptions!$L$25=4,VLOOKUP($A81,'Henwood Reference'!$E$9:$R$320,10),(VLOOKUP($A81,PriceTableWeekend,2,0)+IF(BasisNumber&lt;&gt;1,VLOOKUP($A81,BasisTable,2,0),0)+L$1)/(1-L$2))</f>
        <v>72.4809173846342</v>
      </c>
      <c r="M81" s="1568" t="n">
        <f aca="false">IF(Assumptions!$L$25=4,VLOOKUP($A81,'Henwood Reference'!$E$9:$R$320,10),(VLOOKUP($A81,PriceTableWeekend,3,0)+IF(BasisNumber&lt;&gt;1,VLOOKUP($A81,BasisTable,2,0),0)+M$1)/(1-M$2))</f>
        <v>72.4809173846342</v>
      </c>
      <c r="N81" s="1599" t="n">
        <f aca="false">IF(Assumptions!$L$25=4,VLOOKUP($A81,'Henwood Reference'!$E$9:$R$320,10),(VLOOKUP($A81,PriceTableWeekend,4,0)+IF(BasisNumber&lt;&gt;1,VLOOKUP($A81,BasisTable,2,0),0)+N$1)/(1-N$2))</f>
        <v>72.4809173846342</v>
      </c>
      <c r="O81" s="1568" t="n">
        <f aca="false">IF(Assumptions!$L$25=4,VLOOKUP($A81,'Henwood Reference'!$E$9:$R$320,11),(VLOOKUP($A81,PriceTableWeekend,6,0)+IF(BasisNumber&lt;&gt;1,VLOOKUP($A81,BasisTable,3,0),0)+O$1)/(1-O$2))</f>
        <v>28.8417924139133</v>
      </c>
      <c r="P81" s="1568" t="n">
        <f aca="false">IF(Assumptions!$L$25=4,VLOOKUP($A81,'Henwood Reference'!$E$9:$R$320,11),(VLOOKUP($A81,PriceTableWeekend,7,0)+IF(BasisNumber&lt;&gt;1,VLOOKUP($A81,BasisTable,3,0),0)+P$1)/(1-P$2))</f>
        <v>28.8417924139133</v>
      </c>
      <c r="Q81" s="1599" t="n">
        <f aca="false">IF(Assumptions!$L$25=4,VLOOKUP($A81,'Henwood Reference'!$E$9:$R$320,11),(VLOOKUP($A81,PriceTableWeekend,8,0)+IF(BasisNumber&lt;&gt;1,VLOOKUP($A81,BasisTable,3,0),0)+Q$1)/(1-Q$2))</f>
        <v>28.8417924139133</v>
      </c>
      <c r="R81" s="1568" t="n">
        <f aca="false">IF(Assumptions!$L$25=4,VLOOKUP($A81,'Henwood Reference'!$E$9:$R$320,11),(VLOOKUP($A81,PriceTable,6,0)+IF(BasisNumber&lt;&gt;1,VLOOKUP($A81,BasisTable,3,0),0)+R$1)/(1-R$2))</f>
        <v>28.8417924139133</v>
      </c>
      <c r="S81" s="1568" t="n">
        <f aca="false">IF(Assumptions!$L$25=4,VLOOKUP($A81,'Henwood Reference'!$E$9:$R$320,11),(VLOOKUP($A81,PriceTable,7,0)+IF(BasisNumber&lt;&gt;1,VLOOKUP($A81,BasisTable,3,0),0)+S$1)/(1-S$2))</f>
        <v>28.8417924139133</v>
      </c>
      <c r="T81" s="1600" t="n">
        <f aca="false">IF(Assumptions!$L$25=4,VLOOKUP($A81,'Henwood Reference'!$E$9:$R$320,11),(VLOOKUP($A81,PriceTable,8,0)+IF(BasisNumber&lt;&gt;1,VLOOKUP($A81,BasisTable,3,0),0)+T$1)/(1-T$2))</f>
        <v>28.8417924139133</v>
      </c>
      <c r="U81" s="1513" t="n">
        <f aca="false">VLOOKUP($A81,VolatilityTable,14)</f>
        <v>0.145</v>
      </c>
      <c r="V81" s="1513" t="n">
        <f aca="false">VLOOKUP($A81,VolatilityTable,15)</f>
        <v>0.155</v>
      </c>
      <c r="W81" s="1514" t="n">
        <f aca="false">VLOOKUP($A81,VolatilityTable,16)</f>
        <v>0.165</v>
      </c>
      <c r="X81" s="1513" t="n">
        <f aca="false">VLOOKUP($A81,VolatilityTable,14)</f>
        <v>0.145</v>
      </c>
      <c r="Y81" s="1513" t="n">
        <f aca="false">VLOOKUP($A81,VolatilityTable,15)</f>
        <v>0.155</v>
      </c>
      <c r="Z81" s="1514" t="n">
        <f aca="false">VLOOKUP($A81,VolatilityTable,16)</f>
        <v>0.165</v>
      </c>
      <c r="AA81" s="1513" t="n">
        <f aca="false">VLOOKUP($A81,VolatilityTable,18)</f>
        <v>0.09</v>
      </c>
      <c r="AB81" s="1513" t="n">
        <f aca="false">VLOOKUP($A81,VolatilityTable,19)</f>
        <v>0.11</v>
      </c>
      <c r="AC81" s="1514" t="n">
        <f aca="false">VLOOKUP($A81,VolatilityTable,20)</f>
        <v>0.13</v>
      </c>
      <c r="AD81" s="1513" t="n">
        <f aca="false">VLOOKUP($A81,VolatilityTable,18)</f>
        <v>0.09</v>
      </c>
      <c r="AE81" s="1513" t="n">
        <f aca="false">VLOOKUP($A81,VolatilityTable,19)</f>
        <v>0.11</v>
      </c>
      <c r="AF81" s="1514" t="n">
        <f aca="false">VLOOKUP($A81,VolatilityTable,20)</f>
        <v>0.13</v>
      </c>
      <c r="AG81" s="1513" t="n">
        <f aca="false">VLOOKUP($A81,VolatilityTable,22)</f>
        <v>-0.35</v>
      </c>
      <c r="AH81" s="1513" t="n">
        <f aca="false">VLOOKUP($A81,VolatilityTable,23)</f>
        <v>3</v>
      </c>
      <c r="AI81" s="1514" t="n">
        <f aca="false">VLOOKUP($A81,VolatilityTable,24)</f>
        <v>0.2</v>
      </c>
      <c r="AJ81" s="1513" t="n">
        <f aca="false">VLOOKUP($A81,VolatilityTable,22)</f>
        <v>-0.35</v>
      </c>
      <c r="AK81" s="1513" t="n">
        <f aca="false">VLOOKUP($A81,VolatilityTable,23)</f>
        <v>3</v>
      </c>
      <c r="AL81" s="1514" t="n">
        <f aca="false">VLOOKUP($A81,VolatilityTable,24)</f>
        <v>0.2</v>
      </c>
      <c r="AM81" s="1513" t="n">
        <f aca="false">VLOOKUP($A81,VolatilityTable,26)</f>
        <v>-0.01</v>
      </c>
      <c r="AN81" s="1513" t="n">
        <f aca="false">VLOOKUP($A81,VolatilityTable,27)</f>
        <v>0.16</v>
      </c>
      <c r="AO81" s="1514" t="n">
        <f aca="false">VLOOKUP($A81,VolatilityTable,28)</f>
        <v>0.01</v>
      </c>
      <c r="AP81" s="1513" t="n">
        <f aca="false">VLOOKUP($A81,VolatilityTable,26)</f>
        <v>-0.01</v>
      </c>
      <c r="AQ81" s="1513" t="n">
        <f aca="false">VLOOKUP($A81,VolatilityTable,27)</f>
        <v>0.16</v>
      </c>
      <c r="AR81" s="1515" t="n">
        <f aca="false">VLOOKUP($A81,VolatilityTable,28)</f>
        <v>0.01</v>
      </c>
      <c r="AS81" s="1581" t="n">
        <f aca="false">IF(CorrPeakOffPeakOverFlag,INDEX(CorrPeakOffPeakOver,C81),CorrPeakOffPeak)</f>
        <v>0.5</v>
      </c>
      <c r="AT81" s="594" t="e">
        <f aca="false">AX81-SUM(AU81:AW81)</f>
        <v>#VALUE!</v>
      </c>
      <c r="AU81" s="238" t="e">
        <f aca="false">IF(E81="",0,INT((F81-MOD(F81,7)-E81)/7)+1-IF(AW81,IF(WEEKDAY(D81)=7,1,0),0))</f>
        <v>#VALUE!</v>
      </c>
      <c r="AV81" s="238" t="e">
        <f aca="false">IF(E81="",0,INT((F81-MOD(F81-1,7)-E81)/7)+1-IF(AW81,IF(WEEKDAY(D81)=1,1,0),0))</f>
        <v>#VALUE!</v>
      </c>
      <c r="AW81" s="238" t="e">
        <f aca="false">IF(OR(E81="",D81="",D81&lt;BegDate,D81&gt;EndDate),0,1)</f>
        <v>#VALUE!</v>
      </c>
      <c r="AX81" s="238" t="n">
        <f aca="false">IF(E81="",0,F81-E81+1)</f>
        <v>30</v>
      </c>
      <c r="AY81" s="1582" t="n">
        <f aca="false">IF(E81="",0,MIN((1-(1-VLOOKUP(B81,MAIN!$AA$7:$AM$28,C81+1))*(1-VLOOKUP(B81,MAIN!$AA$33:$AM$54,C81+1))),1))</f>
        <v>0.03</v>
      </c>
      <c r="AZ81" s="1519" t="e">
        <v>#VALUE!</v>
      </c>
      <c r="BA81" s="1520" t="e">
        <v>#VALUE!</v>
      </c>
      <c r="BB81" s="1520" t="e">
        <v>#VALUE!</v>
      </c>
      <c r="BC81" s="1583" t="e">
        <v>#VALUE!</v>
      </c>
      <c r="BD81" s="1522" t="e">
        <v>#VALUE!</v>
      </c>
      <c r="BE81" s="1523" t="e">
        <v>#VALUE!</v>
      </c>
      <c r="BF81" s="1523" t="e">
        <v>#VALUE!</v>
      </c>
      <c r="BG81" s="1584" t="e">
        <v>#VALUE!</v>
      </c>
      <c r="BH81" s="1525" t="e">
        <v>#VALUE!</v>
      </c>
      <c r="BI81" s="1520" t="e">
        <v>#VALUE!</v>
      </c>
      <c r="BJ81" s="1520" t="e">
        <v>#VALUE!</v>
      </c>
      <c r="BK81" s="1583" t="e">
        <v>#VALUE!</v>
      </c>
      <c r="BL81" s="1522" t="e">
        <v>#VALUE!</v>
      </c>
      <c r="BM81" s="1523" t="e">
        <v>#VALUE!</v>
      </c>
      <c r="BN81" s="1523" t="e">
        <v>#VALUE!</v>
      </c>
      <c r="BO81" s="1523" t="e">
        <v>#VALUE!</v>
      </c>
      <c r="BP81" s="1525" t="e">
        <f aca="false">SUM(AZ81:BB81)</f>
        <v>#VALUE!</v>
      </c>
      <c r="BQ81" s="1529" t="e">
        <f aca="false">SUM(AZ81:BC81)</f>
        <v>#VALUE!</v>
      </c>
      <c r="BR81" s="1519" t="e">
        <f aca="false">SUM(BH81:BJ81)</f>
        <v>#VALUE!</v>
      </c>
      <c r="BS81" s="1529" t="e">
        <f aca="false">SUM(BH81:BK81)</f>
        <v>#VALUE!</v>
      </c>
      <c r="BT81" s="1316" t="n">
        <f aca="false">(IF(OVolType&lt;&gt;2,A81+14,IF(OptExpDateShift,ShiftBack(A81,OptExpDateShift,D80),A81))-DateToday)/365.25</f>
        <v>5.38261464750171</v>
      </c>
      <c r="BU81" s="1585" t="e">
        <f aca="false">IF(BQ81,IF(OPriceCurve,IF(OBuySell=OCallPut,I81/(1-AY81),K81/(1-AY81)),J81/(1-AY81))*BD81,0)</f>
        <v>#VALUE!</v>
      </c>
      <c r="BV81" s="1316" t="e">
        <f aca="false">IF(BQ81,IF(OPriceCurve,IF(OBuySell=OCallPut,L81/(1-AY81),N81/(1-AY81)),M81/(1-AY81))*BE81,0)</f>
        <v>#VALUE!</v>
      </c>
      <c r="BW81" s="1316" t="e">
        <f aca="false">IF(BQ81,IF(OPriceCurve,IF(OBuySell=OCallPut,O81/(1-AY81),Q81/(1-AY81)),P81/(1-AY81))*BF81,0)</f>
        <v>#VALUE!</v>
      </c>
      <c r="BX81" s="1316" t="e">
        <f aca="false">IF(BQ81,IF(OPriceCurve,IF(OBuySell=OCallPut,R81/(1-AY81),T81/(1-AY81)),S81/(1-AY81))*BG81,0)</f>
        <v>#VALUE!</v>
      </c>
      <c r="BY81" s="1316" t="e">
        <f aca="false">IF(BP81,(BU81*AZ81+BV81*BA81+BW81*BB81)/BP81,0)</f>
        <v>#VALUE!</v>
      </c>
      <c r="BZ81" s="1316" t="e">
        <f aca="false">IF(BQ81,(BY81*BP81+BX81*BC81)/BQ81,0)</f>
        <v>#VALUE!</v>
      </c>
      <c r="CA81" s="1531" t="e">
        <f aca="false">IF(BS81,IF(OPriceCurve,IF(OBuySell=OCallPut,I81/(1-AY81),K81/(1-AY81)),J81/(1-AY81))*BL81,0)</f>
        <v>#VALUE!</v>
      </c>
      <c r="CB81" s="1316" t="e">
        <f aca="false">IF(BS81,IF(OPriceCurve,IF(OBuySell=OCallPut,L81/(1-AY81),N81/(1-AY81)),M81/(1-AY81))*BM81,0)</f>
        <v>#VALUE!</v>
      </c>
      <c r="CC81" s="1316" t="e">
        <f aca="false">IF(BS81,IF(OPriceCurve,IF(OBuySell=OCallPut,O81/(1-AY81),Q81/(1-AY81)),P81/(1-AY81))*BN81,0)</f>
        <v>#VALUE!</v>
      </c>
      <c r="CD81" s="1316" t="e">
        <f aca="false">IF(BS81,IF(OPriceCurve,IF(OBuySell=OCallPut,R81/(1-AY81),T81/(1-AY81)),S81/(1-AY81))*BO81,0)</f>
        <v>#VALUE!</v>
      </c>
      <c r="CE81" s="1316" t="e">
        <f aca="false">IF(BR81,(BU81*BH81+BV81*BI81+BW81*BJ81)/BR81,0)</f>
        <v>#VALUE!</v>
      </c>
      <c r="CF81" s="1532" t="e">
        <f aca="false">IF(BS81,(CE81*BR81+CD81*BK81)/BS81,0)</f>
        <v>#VALUE!</v>
      </c>
      <c r="CG81" s="1586" t="e">
        <f aca="false">IF(OR(BQ81,BS81),IF(OVolType&lt;&gt;2,SQRT(IF(OVolOverMonthlyPeak,OVolOverMonthlyPeak,IF(OVolCurve,IF(OBuySell,U81,W81),V81))^2*(1-15/365.25/BT81)+IF(OVolOverDailyPeak,OVolOverDailyPeak,IF(OVolCurve,IF(OBuySell,AG81,AI81),AH81))^2*15/365.25/BT81),IF(OVolOverMonthlyPeak,OVolOverMonthlyPeak,IF(OVolCurve,IF(OBuySell,U81,W81),V81))),"")</f>
        <v>#VALUE!</v>
      </c>
      <c r="CH81" s="1587" t="e">
        <f aca="false">IF(OR(BQ81,BS81),IF(OVolType&lt;&gt;2,SQRT(IF(OVolOverMonthlyPeak,OVolOverMonthlyPeak,IF(OVolCurve,IF(OBuySell,X81,Z81),Y81))^2*(1-15/365.25/BT81)+IF(OVolOverDailyPeak,OVolOverDailyPeak,IF(OVolCurve,IF(OBuySell,AJ81,AL81),AK81))^2*15/365.25/BT81),IF(OVolOverMonthlyPeak,OVolOverMonthlyPeak,IF(OVolCurve,IF(OBuySell,X81,Z81),Y81))),"")</f>
        <v>#VALUE!</v>
      </c>
      <c r="CI81" s="1587" t="e">
        <f aca="false">IF(OR(BQ81,BS81),IF(OVolType&lt;&gt;2,SQRT(IF(OVolOverMonthlyPeak,OVolOverMonthlyPeak,IF(OVolCurve,IF(OBuySell,AA81,AC81),AB81))^2*(1-15/365.25/BT81)+IF(OVolOverDailyPeak,OVolOverDailyPeak,IF(OVolCurve,IF(OBuySell,AM81,AO81),AN81))^2*15/365.25/BT81),IF(OVolOverMonthlyPeak,OVolOverMonthlyPeak,IF(OVolCurve,IF(OBuySell,AA81,AC81),AB81))),"")</f>
        <v>#VALUE!</v>
      </c>
      <c r="CJ81" s="1587" t="e">
        <f aca="false">IF(BQ81,IF(BP81,SQRT(LN(1+((BU81*AZ81)^2*(EXP(CG81^2*BT81)-1)+(BV81*BA81)^2*(EXP(CH81^2*BT81)-1)+(BW81*BB81)^2*(EXP(CI81^2*BT81)-1)+2*BU81*AZ81*BV81*BA81*(EXP(CG81*CH81*BT81)-1)+2*BV81*BA81*BW81*BB81*(EXP(CH81*CI81*BT81)-1)+2*BW81*BB81*BU81*AZ81*(EXP(CI81*CG81*BT81)-1))/(BY81*BP81)^2)/BT81),0),"")</f>
        <v>#VALUE!</v>
      </c>
      <c r="CK81" s="1587" t="e">
        <f aca="false">IF(BS81,IF(BR81,SQRT(LN(1+((CA81*BH81)^2*(EXP(CG81^2*BT81)-1)+(CB81*BI81)^2*(EXP(CH81^2*BT81)-1)+(CC81*BJ81)^2*(EXP(CI81^2*BT81)-1)+2*CA81*BH81*CB81*BI81*(EXP(CG81*CH81*BT81)-1)+2*CB81*BI81*CC81*BJ81*(EXP(CH81*CI81*BT81)-1)+2*CC81*BJ81*CA81*BH81*(EXP(CI81*CG81*BT81)-1))/(CE81*BR81)^2)/BT81),0),"")</f>
        <v>#VALUE!</v>
      </c>
      <c r="CL81" s="1587" t="e">
        <f aca="false">IF(OR(BQ81,BS81),IF(OVolType&lt;&gt;2,SQRT(IF(OVolOverMonthlyOffPeak,OVolOverMonthlyOffPeak,IF(OVolCurve,IF(OBuySell,AD81,AF81),AE81))^2*(1-15/365.25/BT81)+IF(OVolOverDailyOffPeak,OVolOverDailyOffPeak,IF(OVolCurve,IF(OBuySell,AP81,AR81),AQ81))^2*15/365.25/BT81),IF(OVolOverMonthlyOffPeak,OVolOverMonthlyOffPeak,IF(OVolCurve,IF(OBuySell,AD81,AF81),AE81))),"")</f>
        <v>#VALUE!</v>
      </c>
      <c r="CM81" s="1587" t="e">
        <f aca="false">IF(BQ81,SQRT(LN(1+((BY81*BP81)^2*(EXP(CJ81^2*BT81)-1)+(BX81*BC81)^2*(EXP(CL81^2*BT81)-1)+2*BY81*BP81*BX81*BC81*(EXP(AS81*CJ81*CL81*BT81)-1))/(BY81*BP81+BX81*BC81)^2)/BT81),"")</f>
        <v>#VALUE!</v>
      </c>
      <c r="CN81" s="1588" t="e">
        <f aca="false">IF(BS81,SQRT(LN(1+((CE81*BR81)^2*(EXP(CK81^2*BT81)-1)+(CD81*BK81)^2*(EXP(CL81^2*BT81)-1)+2*CE81*BR81*CD81*BK81*(EXP(AS81*CK81*CL81*BT81)-1))/(CE81*BR81+CD81*BK81)^2)/BT81),"")</f>
        <v>#VALUE!</v>
      </c>
      <c r="CO81" s="1531" t="e">
        <f aca="false">IF(OR(BQ81,BS81),VLOOKUP(A81,GasTable,13)*HeatRatePeak*(1+VLOOKUP($B81,HeatRateDegradation,$C81+1))/1000,0)</f>
        <v>#VALUE!</v>
      </c>
      <c r="CP81" s="1316" t="e">
        <f aca="false">IF(OR(BQ81,BS81),VLOOKUP(A81,GasTable,13)*HeatRatePeak*(1+VLOOKUP($B81,HeatRateDegradation,$C81+1))/1000,0)</f>
        <v>#VALUE!</v>
      </c>
      <c r="CQ81" s="1316" t="e">
        <f aca="false">IF(OR(BQ81,BS81),VLOOKUP(A81,GasTable,13)*IF(EV81,HeatRatePeak,HeatRateOffPeak)*(1+VLOOKUP($B81,HeatRateDegradation,$C81+1))/1000,0)</f>
        <v>#VALUE!</v>
      </c>
      <c r="CR81" s="1316" t="e">
        <f aca="false">IF(OR(BQ81,BS81),VLOOKUP(A81,GasTable,13)*IF(EW81,HeatRatePeak,HeatRateOffPeak)*(1+VLOOKUP($B81,HeatRateDegradation,$C81+1))/1000,0)</f>
        <v>#VALUE!</v>
      </c>
      <c r="CS81" s="1589" t="e">
        <f aca="false">IF(BQ81,(CO81*AZ81+CP81*BA81+CQ81*BB81+CR81*BC81)/BQ81,0)</f>
        <v>#VALUE!</v>
      </c>
      <c r="CT81" s="1316" t="e">
        <f aca="false">IF(BS81,CO81,0)</f>
        <v>#VALUE!</v>
      </c>
      <c r="CU81" s="1590" t="e">
        <f aca="false">IF(OR(BQ81,BS81),VLOOKUP(A81,GasTable,14),"")</f>
        <v>#VALUE!</v>
      </c>
      <c r="CV81" s="1568" t="e">
        <f aca="false">IF(OR(BQ81,BS81),IF(CorrPowerGasOverFlag,INDEX(CorrPowerGasOver,C81),CorrPowerGas),"")</f>
        <v>#VALUE!</v>
      </c>
      <c r="CW81" s="1316" t="e">
        <f aca="false">IF(OR($BQ81,$BS81),SpreadOptPowerMargin,0)*((1+Assumptions!$C$26)^($B81-YEAR(Assumptions!$C$17)))</f>
        <v>#VALUE!</v>
      </c>
      <c r="CX81" s="1316" t="e">
        <f aca="false">IF(OR($BQ81,$BS81),SpreadOptPowerMargin,0)*((1+Assumptions!$C$26)^($B81-YEAR(Assumptions!$C$17)))</f>
        <v>#VALUE!</v>
      </c>
      <c r="CY81" s="1316" t="e">
        <f aca="false">IF(OR($BQ81,$BS81),SpreadOptPowerMargin,0)*((1+Assumptions!$C$26)^($B81-YEAR(Assumptions!$C$17)))</f>
        <v>#VALUE!</v>
      </c>
      <c r="CZ81" s="1316" t="e">
        <f aca="false">IF(OR($BQ81,$BS81),SpreadOptPowerMargin,0)*((1+Assumptions!$C$26)^($B81-YEAR(Assumptions!$C$17)))</f>
        <v>#VALUE!</v>
      </c>
      <c r="DA81" s="1591" t="e">
        <f aca="false">IF(OR(BQ81,BS81),(CW81*(AZ81+BH81)+CX81*(BA81+BI81)+CY81*(BB81+BJ81)+CZ81*(BC81+BK81))/(BQ81+BS81),0)</f>
        <v>#VALUE!</v>
      </c>
      <c r="DB81" s="1592" t="e">
        <f aca="false">IF(OR(BQ81,BS81),CG81+IF(OVolSmile,VLOOKUP(MAX(-5,CO81+CW81-BU81),IF(OVolSmile=1,VolSmileBook,VolSmileModel),2),0),"")</f>
        <v>#VALUE!</v>
      </c>
      <c r="DC81" s="1592" t="e">
        <f aca="false">IF(OR(BQ81,BS81),CH81+IF(OVolSmile,VLOOKUP(MAX(-5,CP81+CW81-BV81),IF(OVolSmile=1,VolSmileBook,VolSmileModel),2),0),"")</f>
        <v>#VALUE!</v>
      </c>
      <c r="DD81" s="1592" t="e">
        <f aca="false">IF(OR(BQ81,BS81),CI81+IF(OVolSmile,VLOOKUP(MAX(-5,CQ81+CW81-BW81),IF(OVolSmile=1,VolSmileBook,VolSmileModel),2),0),"")</f>
        <v>#VALUE!</v>
      </c>
      <c r="DE81" s="1592" t="e">
        <f aca="false">IF(OR(BQ81,BS81),CL81+IF(OVolSmile,VLOOKUP(MAX(-5,CR81+CZ81-BX81),IF(OVolSmile=1,VolSmileBook,VolSmileModel),2),0),"")</f>
        <v>#VALUE!</v>
      </c>
      <c r="DF81" s="1592" t="e">
        <f aca="false">IF(BQ81,CM81+IF(OVolSmile,VLOOKUP(MAX(-5,CS81+DA81-BZ81),IF(OVolSmile=1,VolSmileBook,VolSmileModel),2),0),"")</f>
        <v>#VALUE!</v>
      </c>
      <c r="DG81" s="1593" t="e">
        <f aca="false">IF(BS81,CN81+IF(OVolSmile,VLOOKUP(MAX(-5,CT81+DA81-CF81),IF(OVolSmile=1,VolSmileBook,VolSmileModel),2),0),"")</f>
        <v>#VALUE!</v>
      </c>
      <c r="DH81" s="1316" t="e">
        <f aca="false">IF(AND(BU81&gt;0,CO81&gt;0,DB81&gt;0,CU81&gt;0),newSPRDOPT(BU81,CO81,CW81,0,DB81,CU81,CV81,BT81*365.25,OCallPut,0),0)</f>
        <v>#VALUE!</v>
      </c>
      <c r="DI81" s="1316" t="e">
        <f aca="false">IF(AND(BV81&gt;0,CP81&gt;0,DC81&gt;0,CU81&gt;0),newSPRDOPT(BV81,CP81,CX81,0,DC81,CU81,CV81,BT81*365.25,OCallPut,0),0)</f>
        <v>#VALUE!</v>
      </c>
      <c r="DJ81" s="1316" t="e">
        <f aca="false">IF(AND(BW81&gt;0,CQ81&gt;0,DD81&gt;0,CU81&gt;0),newSPRDOPT(BW81,CQ81,CY81,0,DD81,CU81,CV81,BT81*365.25,OCallPut,0),0)</f>
        <v>#VALUE!</v>
      </c>
      <c r="DK81" s="1316" t="e">
        <f aca="false">IF(AND(BX81&gt;0,CR81&gt;0,DE81&gt;0,CU81&gt;0),newSPRDOPT(BX81,CR81,CZ81,0,DE81,CU81,CV81,BT81*365.25,OCallPut,0),0)</f>
        <v>#VALUE!</v>
      </c>
      <c r="DL81" s="1316" t="e">
        <f aca="false">IF(OVolType,IF(AND(BZ81&gt;0,CS81&gt;0,DF81&gt;0,CU81&gt;0),newSPRDOPT(BZ81,CS81,DA81,0,DF81,CU81,CV81,BT81*365.25,OCallPut,0),0),IF(BQ81,(DH81*AZ81+DI81*BA81+DJ81*BB81+DK81*BC81)/BQ81,0))</f>
        <v>#VALUE!</v>
      </c>
      <c r="DM81" s="1316"/>
      <c r="DN81" s="1316"/>
      <c r="DO81" s="1316"/>
      <c r="DP81" s="1316"/>
      <c r="DQ81" s="1316"/>
      <c r="DR81" s="1316"/>
      <c r="DS81" s="1316"/>
      <c r="DT81" s="1316"/>
      <c r="DU81" s="1316"/>
      <c r="DV81" s="1316"/>
      <c r="DW81" s="1594" t="e">
        <f aca="false">IF(AND(BW81&gt;0,CT81&gt;0,DD81&gt;0,CU81&gt;0),newSPRDOPT(BW81,CT81,CY81,0,DD81,CU81,CV81,BT81*365.25,OCallPut,0),0)</f>
        <v>#VALUE!</v>
      </c>
      <c r="DX81" s="1316" t="e">
        <f aca="false">IF(AND(BX81&gt;0,CT81&gt;0,DE81&gt;0,CU81&gt;0),newSPRDOPT(BX81,CT81,CZ81,0,DE81,CU81,CV81,BT81*365.25,OCallPut,0),0)</f>
        <v>#VALUE!</v>
      </c>
      <c r="DY81" s="1591" t="e">
        <f aca="false">IF(BS81,(DH81*BH81+DI81*BI81+DW81*BJ81+DX81*BK81)/BS81,0)</f>
        <v>#VALUE!</v>
      </c>
      <c r="DZ81" s="1551" t="e">
        <f aca="false">DH81*AZ81</f>
        <v>#VALUE!</v>
      </c>
      <c r="EA81" s="1551" t="e">
        <f aca="false">DI81*BA81</f>
        <v>#VALUE!</v>
      </c>
      <c r="EB81" s="1551" t="e">
        <f aca="false">DJ81*BB81</f>
        <v>#VALUE!</v>
      </c>
      <c r="EC81" s="1551" t="e">
        <f aca="false">DK81*BC81</f>
        <v>#VALUE!</v>
      </c>
      <c r="ED81" s="1551" t="e">
        <f aca="false">DL81*BQ81</f>
        <v>#VALUE!</v>
      </c>
      <c r="EE81" s="1595" t="e">
        <f aca="false">IF(BQ81,IF(OCallPut,IF(BU81&gt;(CO81+CW81),BU81-(CO81+CW81),0),IF((CO81+CW81)&gt;BU81,(CO81+CW81)-BU81,0))*AZ81,0)</f>
        <v>#VALUE!</v>
      </c>
      <c r="EF81" s="1596" t="e">
        <f aca="false">IF(BQ81,IF(OCallPut,IF(BV81&gt;(CP81+CX81),BV81-(CP81+CX81),0),IF((CP81+CX81)&gt;BV81,(CP81+CX81)-BV81,0))*BA81,0)</f>
        <v>#VALUE!</v>
      </c>
      <c r="EG81" s="1596" t="e">
        <f aca="false">IF(BQ81,IF(OCallPut,IF(BW81&gt;(CQ81+CY81),BW81-(CQ81+CY81),0),IF((CQ81+CY81)&gt;BW81,(CQ81+CY81)-BW81,0))*BB81,0)</f>
        <v>#VALUE!</v>
      </c>
      <c r="EH81" s="1596" t="e">
        <f aca="false">IF(BQ81,IF(OCallPut,IF(BX81&gt;(CR81+CZ81),BX81-(CR81+CZ81),0),IF((CR81+CZ81)&gt;BX81,(CR81+CZ81)-BX81,0))*BC81,0)</f>
        <v>#VALUE!</v>
      </c>
      <c r="EI81" s="1597" t="e">
        <f aca="false">IF(BQ81,IF(OVolType,IF(OCallPut,IF(BZ81&gt;(CS81+DA81),BZ81-(CS81+DA81),0),IF((CS81+DA81)&gt;BZ81,(CS81+DA81)-BZ81,0))*BQ81,SUM(EE81:EH81)),0)</f>
        <v>#VALUE!</v>
      </c>
      <c r="EJ81" s="1595" t="e">
        <f aca="false">DZ81-EE81</f>
        <v>#VALUE!</v>
      </c>
      <c r="EK81" s="1596" t="e">
        <f aca="false">EA81-EF81</f>
        <v>#VALUE!</v>
      </c>
      <c r="EL81" s="1596" t="e">
        <f aca="false">EB81-EG81</f>
        <v>#VALUE!</v>
      </c>
      <c r="EM81" s="1596" t="e">
        <f aca="false">EC81-EH81</f>
        <v>#VALUE!</v>
      </c>
      <c r="EN81" s="1597" t="e">
        <f aca="false">ED81-EI81</f>
        <v>#VALUE!</v>
      </c>
      <c r="EO81" s="1551" t="e">
        <f aca="false">DH81*BH81</f>
        <v>#VALUE!</v>
      </c>
      <c r="EP81" s="1551" t="e">
        <f aca="false">DI81*BI81</f>
        <v>#VALUE!</v>
      </c>
      <c r="EQ81" s="1551" t="e">
        <f aca="false">DW81*BJ81</f>
        <v>#VALUE!</v>
      </c>
      <c r="ER81" s="1551" t="e">
        <f aca="false">DX81*BK81</f>
        <v>#VALUE!</v>
      </c>
      <c r="ES81" s="1551" t="e">
        <f aca="false">DY81*BS81</f>
        <v>#VALUE!</v>
      </c>
      <c r="ET81" s="1566" t="e">
        <f aca="false">IF(EI81,IF(OCallPut,IF(CA81&gt;(CT81+CW81),CA81-(CT81+CW81),0),IF((CT81+CW81)&gt;CA81,(CT81+CW81)-CA81,0))*BH81,0)</f>
        <v>#VALUE!</v>
      </c>
      <c r="EU81" s="1551" t="e">
        <f aca="false">IF(EI81,IF(OCallPut,IF(CB81&gt;(CT81+CX81),CB81-(CT81+CX81),0),IF((CT81+CX81)&gt;CB81,(CT81+CX81)-CB81,0))*BI81,0)</f>
        <v>#VALUE!</v>
      </c>
      <c r="EV81" s="1551" t="e">
        <f aca="false">IF(EI81,IF(OCallPut,IF(CC81&gt;(CT81+CY81),CC81-(CT81+CY81),0),IF((CT81+CY81)&gt;CC81,(CT81+CY81)-CC81,0))*BJ81,0)</f>
        <v>#VALUE!</v>
      </c>
      <c r="EW81" s="1551" t="e">
        <f aca="false">IF(EI81,IF(OCallPut,IF(CD81&gt;(CT81+CZ81),CD81-(CT81+CZ81),0),IF((CT81+CZ81)&gt;CD81,(CT81+CZ81)-CD81,0))*BK81,0)</f>
        <v>#VALUE!</v>
      </c>
      <c r="EX81" s="1558" t="e">
        <f aca="false">IF(EI81,SUM(ET81:EW81),0)</f>
        <v>#VALUE!</v>
      </c>
      <c r="EY81" s="1551" t="e">
        <f aca="false">EO81-ET81</f>
        <v>#VALUE!</v>
      </c>
      <c r="EZ81" s="1551" t="e">
        <f aca="false">EP81-EU81</f>
        <v>#VALUE!</v>
      </c>
      <c r="FA81" s="1551" t="e">
        <f aca="false">EQ81-EV81</f>
        <v>#VALUE!</v>
      </c>
      <c r="FB81" s="1551" t="e">
        <f aca="false">ER81-EW81</f>
        <v>#VALUE!</v>
      </c>
      <c r="FC81" s="1551" t="e">
        <f aca="false">ES81-EX81</f>
        <v>#VALUE!</v>
      </c>
      <c r="FD81" s="1525" t="n">
        <f aca="false">IF(AX81,IF(VLOOKUP(C81,MAIN!$L$17:$M$28,2)="Yes",VLOOKUP(CALC!B81,MAIN!$H$17:$I$20,2),0),0)</f>
        <v>0</v>
      </c>
      <c r="FE81" s="1552" t="e">
        <f aca="false">$FD81*16*AT81*(1-$AY81)</f>
        <v>#VALUE!</v>
      </c>
      <c r="FF81" s="1553" t="e">
        <f aca="false">$FD81*16*AU81*(1-$AY81)</f>
        <v>#VALUE!</v>
      </c>
      <c r="FG81" s="1553" t="e">
        <f aca="false">$FD81*16*(AV81+AW81)*(1-$AY81)</f>
        <v>#VALUE!</v>
      </c>
      <c r="FH81" s="1554" t="n">
        <f aca="false">$FD81*8*AX81*(1-$AY81)</f>
        <v>0</v>
      </c>
      <c r="FI81" s="1555" t="n">
        <f aca="false">IF(AX81,VLOOKUP(CALC!B81,MAIN!$H$17:$K$20,4),0)</f>
        <v>0</v>
      </c>
      <c r="FJ81" s="1553" t="e">
        <f aca="false">SUM(FE81:FH81)</f>
        <v>#VALUE!</v>
      </c>
      <c r="FK81" s="1556" t="e">
        <f aca="false">FI81*FJ81</f>
        <v>#VALUE!</v>
      </c>
      <c r="FL81" s="1551" t="e">
        <f aca="false">IF($EI81&gt;0,MIN(FE81,AZ81*(1+VLOOKUP($C81,WeatherCapacityAdjustment,2))),0)</f>
        <v>#VALUE!</v>
      </c>
      <c r="FM81" s="1551" t="e">
        <f aca="false">IF($EI81&gt;0,MIN(FF81,BA81*(1+VLOOKUP($C81,WeatherCapacityAdjustment,2))),0)</f>
        <v>#VALUE!</v>
      </c>
      <c r="FN81" s="1551" t="e">
        <f aca="false">IF($EI81&gt;0,MIN(FG81,BB81*(1+VLOOKUP($C81,WeatherCapacityAdjustment,2))),0)</f>
        <v>#VALUE!</v>
      </c>
      <c r="FO81" s="1564" t="e">
        <f aca="false">IF($EI81&gt;0,MIN(FH81,BC81*(1+VLOOKUP($C81,WeatherCapacityAdjustment,3))),0)</f>
        <v>#VALUE!</v>
      </c>
      <c r="FP81" s="1551" t="e">
        <f aca="false">IF(ET81&gt;0,MIN(FE81-FL81,BH81*(1+VLOOKUP($C81,WeatherCapacityAdjustment,2))),0)</f>
        <v>#VALUE!</v>
      </c>
      <c r="FQ81" s="1551" t="e">
        <f aca="false">IF(EU81&gt;0,MIN(FF81-FM81,BI81*(1+VLOOKUP($C81,WeatherCapacityAdjustment,2))),0)</f>
        <v>#VALUE!</v>
      </c>
      <c r="FR81" s="1551" t="e">
        <f aca="false">IF(EV81&gt;0,MIN(FG81-FN81,BJ81*(1+VLOOKUP($C81,WeatherCapacityAdjustment,2))),0)</f>
        <v>#VALUE!</v>
      </c>
      <c r="FS81" s="1558" t="e">
        <f aca="false">IF(EW81&gt;0,MIN(FH81-FO81,BK81*(1+VLOOKUP($C81,WeatherCapacityAdjustment,3))),0)</f>
        <v>#VALUE!</v>
      </c>
      <c r="FT81" s="1566" t="e">
        <f aca="false">IF(AND(Assumptions!$H$71="Yes",A81&gt;=Assumptions!$H$72,A81&lt;=Assumptions!$H$73),0,IF(AND($A81&gt;=Assumptions!$C$17,$A81&lt;=Assumptions!$C$18),MAX(AZ81*(1+VLOOKUP($C81,WeatherCapacityAdjustment,2))-FL81,0),0))</f>
        <v>#VALUE!</v>
      </c>
      <c r="FU81" s="1551" t="e">
        <f aca="false">IF(AND(Assumptions!$H$71="Yes",A81&gt;=Assumptions!$H$72,A81&lt;=Assumptions!$H$73),0,IF(AND($A81&gt;=Assumptions!$C$17,$A81&lt;=Assumptions!$C$18),MAX(BA81*(1+VLOOKUP($C81,WeatherCapacityAdjustment,2))-FM81,0),0))</f>
        <v>#VALUE!</v>
      </c>
      <c r="FV81" s="1551" t="e">
        <f aca="false">IF(AND(Assumptions!$H$71="Yes",A81&gt;=Assumptions!$H$72,A81&lt;=Assumptions!$H$73),0,IF(AND($A81&gt;=Assumptions!$C$17,$A81&lt;=Assumptions!$C$18),MAX(BB81*(1+VLOOKUP($C81,WeatherCapacityAdjustment,2))-FN81,0),0))</f>
        <v>#VALUE!</v>
      </c>
      <c r="FW81" s="1564" t="e">
        <f aca="false">IF(AND(Assumptions!$H$71="Yes",A81&gt;=Assumptions!$H$72,A81&lt;=Assumptions!$H$73),0,IF(AND($A81&gt;=Assumptions!$C$17,$A81&lt;=Assumptions!$C$18),MAX(BC81*(1+VLOOKUP($C81,WeatherCapacityAdjustment,3))-FO81,0),0))</f>
        <v>#VALUE!</v>
      </c>
      <c r="FX81" s="1569" t="e">
        <f aca="false">IF(AND(Assumptions!$H$71="Yes",A81&gt;=Assumptions!$H$72,A81&lt;=Assumptions!$H$73),0,IF(ET81&gt;0,MAX(BH81*(1+VLOOKUP($C81,WeatherCapacityAdjustment,2))-FP81,0),0))</f>
        <v>#VALUE!</v>
      </c>
      <c r="FY81" s="1551" t="e">
        <f aca="false">IF(AND(Assumptions!$H$71="Yes",A81&gt;=Assumptions!$H$72,A81&lt;=Assumptions!$H$73),0,IF(EU81&gt;0,MAX(BI81*(1+VLOOKUP($C81,WeatherCapacityAdjustment,3))-FQ81,0),0))</f>
        <v>#VALUE!</v>
      </c>
      <c r="FZ81" s="1551" t="e">
        <f aca="false">IF(AND(Assumptions!$H$71="Yes",A81&gt;=Assumptions!$H$72,A81&lt;=Assumptions!$H$73),0,IF(EV81&gt;0,MAX(BJ81*(1+VLOOKUP($C81,WeatherCapacityAdjustment,2))-FR81,0),0))</f>
        <v>#VALUE!</v>
      </c>
      <c r="GA81" s="1564" t="e">
        <f aca="false">IF(AND(Assumptions!$H$71="Yes",A81&gt;=Assumptions!$H$72,A81&lt;=Assumptions!$H$73),0,IF(EW81&gt;0,MAX(BK81*(1+VLOOKUP($C81,WeatherCapacityAdjustment,2))-FS81,0),0))</f>
        <v>#VALUE!</v>
      </c>
      <c r="GB81" s="1551" t="e">
        <f aca="false">SUM(FT81:GA81)</f>
        <v>#VALUE!</v>
      </c>
      <c r="GC81" s="1563" t="e">
        <f aca="false">+IF(SUM(FT81:GA81)=0,0,(SUMPRODUCT(BU81:BX81,FT81:FW81)+SUMPRODUCT(CA81:CD81,FX81:GA81))/SUM(FT81:GA81))</f>
        <v>#VALUE!</v>
      </c>
      <c r="GD81" s="1551" t="e">
        <f aca="false">(FT81*BU81+FX81*CA81+FU81*BV81+FY81*CB81+FV81*BW81+FZ81*CC81+FW81*BX81+GA81*CD81)</f>
        <v>#VALUE!</v>
      </c>
      <c r="GE81" s="1561" t="e">
        <f aca="false">+IF(BQ81,((FL81+FM81+FT81+FU81)*HeatRatePeak/1000*(1+VLOOKUP($C81,WeatherHeatRateAdjustment,2))+(FN81+FV81)*IF(EV81&gt;0,HeatRatePeak,HeatRateOffPeak)/1000*(1+VLOOKUP($C81,WeatherHeatRateAdjustment,2))+(FO81+FW81)*IF(EW81&gt;0,HeatRatePeak,HeatRateOffPeak)/1000*(1+VLOOKUP($C81,WeatherHeatRateAdjustment,3)))*(1+VLOOKUP($B81,HeatRateDegradation,$C81+1)),0)</f>
        <v>#VALUE!</v>
      </c>
      <c r="GF81" s="1562" t="e">
        <f aca="false">IF(BQ81,((FP81+FQ81+FR81+FX81+FY81+FZ81)*HeatRatePeak/1000*(1+VLOOKUP($C81,WeatherHeatRateAdjustment,2))+(FS81+GA81)*HeatRatePeak/1000*(1+VLOOKUP($C81,WeatherHeatRateAdjustment,3)))*(1+VLOOKUP($B81,HeatRateDegradation,$C81+1)),0)</f>
        <v>#VALUE!</v>
      </c>
      <c r="GG81" s="1563" t="e">
        <f aca="false">IF(BQ81,VLOOKUP(A81,GasTable,13),0)</f>
        <v>#VALUE!</v>
      </c>
      <c r="GH81" s="1564" t="e">
        <f aca="false">(GE81+GF81)*GG81</f>
        <v>#VALUE!</v>
      </c>
      <c r="GI81" s="1569" t="e">
        <f aca="false">GB81</f>
        <v>#VALUE!</v>
      </c>
      <c r="GJ81" s="1598" t="e">
        <f aca="false">+DA81</f>
        <v>#VALUE!</v>
      </c>
      <c r="GK81" s="1558" t="e">
        <f aca="false">+GI81*GJ81</f>
        <v>#VALUE!</v>
      </c>
      <c r="GL81" s="1566" t="e">
        <f aca="false">MAX(FE81-FL81-FP81,0)</f>
        <v>#VALUE!</v>
      </c>
      <c r="GM81" s="1551" t="e">
        <f aca="false">MAX(FF81-FM81-FQ81,0)</f>
        <v>#VALUE!</v>
      </c>
      <c r="GN81" s="1551" t="e">
        <f aca="false">MAX(FG81-FN81-FR81,0)</f>
        <v>#VALUE!</v>
      </c>
      <c r="GO81" s="1564" t="e">
        <f aca="false">MAX(FH81-FO81-FS81,0)</f>
        <v>#VALUE!</v>
      </c>
      <c r="GP81" s="1551" t="e">
        <f aca="false">SUM(GL81:GO81)</f>
        <v>#VALUE!</v>
      </c>
      <c r="GQ81" s="1563" t="e">
        <f aca="false">IF(SUM(GL81:GO81)=0,0,((GL81*BU81+GM81*BV81+GN81*BW81+GO81*BX81)/SUM(GL81:GO81)))</f>
        <v>#VALUE!</v>
      </c>
      <c r="GR81" s="1558" t="e">
        <f aca="false">(GL81*BU81+GM81*BV81+GN81*BW81+GO81*BX81)</f>
        <v>#VALUE!</v>
      </c>
      <c r="GS81" s="1566" t="n">
        <f aca="false">IF($A81&gt;=BegDate,Assumptions!$C$56*24*($A82-$A81)*(1-VLOOKUP($B81,MAIN!$AA$7:$AM$28,$C81+1))*(1-VLOOKUP($B81,MAIN!$AA$33:$AM$54,$C81+1)),0)*80/168</f>
        <v>249428.571428571</v>
      </c>
      <c r="GT81" s="286" t="n">
        <f aca="false">J81</f>
        <v>72.4809173846342</v>
      </c>
      <c r="GU81" s="286" t="n">
        <f aca="false">IF($A81&gt;=BegDate,VLOOKUP($A81,GasTable,13)+Assumptions!$C$58,0)</f>
        <v>2.63822261463025</v>
      </c>
      <c r="GV81" s="286" t="n">
        <f aca="false">GU81*Assumptions!$C$57/1000</f>
        <v>19.1271139560693</v>
      </c>
      <c r="GW81" s="1558" t="n">
        <f aca="false">IF(Assumptions!$C$60="Hourly",MAX(0,GS81*(GT81-GV81)),GS81*(GT81-GV81))</f>
        <v>13307962.9694678</v>
      </c>
      <c r="GX81" s="1566" t="n">
        <f aca="false">IF($A81&gt;=BegDate,Assumptions!$C$56*24*($A82-$A81)*(1-VLOOKUP($B81,MAIN!$AA$7:$AM$28,$C81+1))*(1-VLOOKUP($B81,MAIN!$AA$33:$AM$54,$C81+1)),0)*16/168</f>
        <v>49885.7142857143</v>
      </c>
      <c r="GY81" s="286" t="n">
        <f aca="false">M81</f>
        <v>72.4809173846342</v>
      </c>
      <c r="GZ81" s="286" t="n">
        <f aca="false">IF($A81&gt;=BegDate,VLOOKUP($A81,GasTable,13)+Assumptions!$C$58,0)</f>
        <v>2.63822261463025</v>
      </c>
      <c r="HA81" s="286" t="n">
        <f aca="false">GZ81*Assumptions!$C$57/1000</f>
        <v>19.1271139560693</v>
      </c>
      <c r="HB81" s="1558" t="n">
        <f aca="false">IF(Assumptions!$C$60="Hourly",MAX(0,GX81*(GY81-HA81)),GX81*(GY81-HA81))</f>
        <v>2661592.59389355</v>
      </c>
      <c r="HC81" s="1566" t="n">
        <f aca="false">IF($A81&gt;=BegDate,Assumptions!$C$56*24*($A82-$A81)*(1-VLOOKUP($B81,MAIN!$AA$7:$AM$28,$C81+1))*(1-VLOOKUP($B81,MAIN!$AA$33:$AM$54,$C81+1)),0)*16/168</f>
        <v>49885.7142857143</v>
      </c>
      <c r="HD81" s="286" t="n">
        <f aca="false">P81</f>
        <v>28.8417924139133</v>
      </c>
      <c r="HE81" s="286" t="n">
        <f aca="false">IF($A81&gt;=BegDate,VLOOKUP($A81,GasTable,13)+Assumptions!$C$58,0)</f>
        <v>2.63822261463025</v>
      </c>
      <c r="HF81" s="286" t="n">
        <f aca="false">HE81*Assumptions!$C$57/1000</f>
        <v>19.1271139560693</v>
      </c>
      <c r="HG81" s="1558" t="n">
        <f aca="false">IF(Assumptions!$C$60="Hourly",MAX(0,HC81*(HD81-HF81)),HC81*(HD81-HF81))</f>
        <v>484623.673925588</v>
      </c>
      <c r="HH81" s="1566" t="n">
        <f aca="false">IF($A81&gt;=BegDate,Assumptions!$C$56*24*($A82-$A81)*(1-VLOOKUP($B81,MAIN!$AA$7:$AM$28,$C81+1))*(1-VLOOKUP($B81,MAIN!$AA$33:$AM$54,$C81+1)),0)*56/168</f>
        <v>174600</v>
      </c>
      <c r="HI81" s="286" t="n">
        <f aca="false">S81</f>
        <v>28.8417924139133</v>
      </c>
      <c r="HJ81" s="286" t="n">
        <f aca="false">IF($A81&gt;=BegDate,VLOOKUP($A81,GasTable,13)+Assumptions!$C$58,0)</f>
        <v>2.63822261463025</v>
      </c>
      <c r="HK81" s="286" t="n">
        <f aca="false">HJ81*Assumptions!$C$57/1000</f>
        <v>19.1271139560693</v>
      </c>
      <c r="HL81" s="1558" t="n">
        <f aca="false">IF(Assumptions!$C$60="Hourly",MAX(0,HH81*(HI81-HK81)),HH81*(HI81-HK81))</f>
        <v>1696182.85873956</v>
      </c>
      <c r="HM81" s="1566" t="n">
        <f aca="false">IF(AND(Assumptions!$H$71="Yes",A81&gt;=Assumptions!$H$72,A81&lt;=Assumptions!$H$73),Assumptions!$H$74*Assumptions!$C$9*1000,0)</f>
        <v>0</v>
      </c>
      <c r="HN81" s="1551" t="e">
        <f aca="false">GD81-GH81</f>
        <v>#VALUE!</v>
      </c>
      <c r="HO81" s="1563"/>
      <c r="HP81" s="1563"/>
      <c r="HQ81" s="1563"/>
      <c r="HR81" s="1563"/>
      <c r="HS81" s="1563"/>
      <c r="HT81" s="1563"/>
      <c r="HU81" s="1563"/>
      <c r="HV81" s="1563"/>
      <c r="HW81" s="1563"/>
      <c r="HX81" s="1563"/>
      <c r="HY81" s="1563"/>
      <c r="HZ81" s="1563"/>
      <c r="IA81" s="1563"/>
      <c r="IB81" s="1563"/>
      <c r="IC81" s="1563"/>
      <c r="ID81" s="1563"/>
      <c r="IE81" s="1563"/>
      <c r="IF81" s="1563"/>
      <c r="IG81" s="1563"/>
      <c r="IH81" s="1563"/>
      <c r="II81" s="1610"/>
      <c r="IJ81" s="1309"/>
      <c r="IK81" s="1309"/>
    </row>
    <row r="82" customFormat="false" ht="12.75" hidden="false" customHeight="false" outlineLevel="0" collapsed="false">
      <c r="A82" s="1571" t="n">
        <f aca="false">EOMONTH(A81,0)+1</f>
        <v>38626</v>
      </c>
      <c r="B82" s="594" t="n">
        <f aca="false">+YEAR(A82)</f>
        <v>2005</v>
      </c>
      <c r="C82" s="238" t="n">
        <f aca="false">MONTH(A82)</f>
        <v>10</v>
      </c>
      <c r="D82" s="1572" t="e">
        <f aca="false">IF(E82="","",Holiday(B82,C82))</f>
        <v>#VALUE!</v>
      </c>
      <c r="E82" s="1573" t="n">
        <f aca="false">IF(OR(BegDate&gt;=A83,EndDate&lt;A82,AND(VolumeMonthlyOverFlag,INDEX(VolumeMonthlyOver,C82)=0),NOT(INDEX(MonthKnockOutTable,C82))),"",MAX(A82,BegDate))</f>
        <v>38626</v>
      </c>
      <c r="F82" s="1574" t="n">
        <f aca="false">IF(E82="","",MIN(A83-1,EndDate))</f>
        <v>38656</v>
      </c>
      <c r="G82" s="1575" t="n">
        <v>0</v>
      </c>
      <c r="H82" s="1576" t="n">
        <f aca="false">(1+G82/2)^(-2*(DATE(B83,C83,20)-DateToday)/365.25)</f>
        <v>1</v>
      </c>
      <c r="I82" s="1568" t="n">
        <f aca="false">IF(Assumptions!$L$25=4,VLOOKUP($A82,'Henwood Reference'!$E$9:$R$320,10),(VLOOKUP($A82,PriceTable,2,0)+IF(BasisNumber&lt;&gt;1,VLOOKUP($A82,BasisTable,2,0),0)+I$1)/(1-I$2))</f>
        <v>41.4761202691718</v>
      </c>
      <c r="J82" s="1568" t="n">
        <f aca="false">IF(Assumptions!$L$25=4,VLOOKUP($A82,'Henwood Reference'!$E$9:$R$320,10),(VLOOKUP($A82,PriceTable,3,0)+IF(BasisNumber&lt;&gt;1,VLOOKUP($A82,BasisTable,2,0),0)+J$1)/(1-J$2))</f>
        <v>41.4761202691718</v>
      </c>
      <c r="K82" s="1568" t="n">
        <f aca="false">IF(Assumptions!$L$25=4,VLOOKUP($A82,'Henwood Reference'!$E$9:$R$320,10),(VLOOKUP($A82,PriceTable,4,0)+IF(BasisNumber&lt;&gt;1,VLOOKUP($A82,BasisTable,2,0),0)+K$1)/(1-K$2))</f>
        <v>41.4761202691718</v>
      </c>
      <c r="L82" s="1523" t="n">
        <f aca="false">IF(Assumptions!$L$25=4,VLOOKUP($A82,'Henwood Reference'!$E$9:$R$320,10),(VLOOKUP($A82,PriceTableWeekend,2,0)+IF(BasisNumber&lt;&gt;1,VLOOKUP($A82,BasisTable,2,0),0)+L$1)/(1-L$2))</f>
        <v>41.4761202691718</v>
      </c>
      <c r="M82" s="1568" t="n">
        <f aca="false">IF(Assumptions!$L$25=4,VLOOKUP($A82,'Henwood Reference'!$E$9:$R$320,10),(VLOOKUP($A82,PriceTableWeekend,3,0)+IF(BasisNumber&lt;&gt;1,VLOOKUP($A82,BasisTable,2,0),0)+M$1)/(1-M$2))</f>
        <v>41.4761202691718</v>
      </c>
      <c r="N82" s="1599" t="n">
        <f aca="false">IF(Assumptions!$L$25=4,VLOOKUP($A82,'Henwood Reference'!$E$9:$R$320,10),(VLOOKUP($A82,PriceTableWeekend,4,0)+IF(BasisNumber&lt;&gt;1,VLOOKUP($A82,BasisTable,2,0),0)+N$1)/(1-N$2))</f>
        <v>41.4761202691718</v>
      </c>
      <c r="O82" s="1568" t="n">
        <f aca="false">IF(Assumptions!$L$25=4,VLOOKUP($A82,'Henwood Reference'!$E$9:$R$320,11),(VLOOKUP($A82,PriceTableWeekend,6,0)+IF(BasisNumber&lt;&gt;1,VLOOKUP($A82,BasisTable,3,0),0)+O$1)/(1-O$2))</f>
        <v>25.1194943940048</v>
      </c>
      <c r="P82" s="1568" t="n">
        <f aca="false">IF(Assumptions!$L$25=4,VLOOKUP($A82,'Henwood Reference'!$E$9:$R$320,11),(VLOOKUP($A82,PriceTableWeekend,7,0)+IF(BasisNumber&lt;&gt;1,VLOOKUP($A82,BasisTable,3,0),0)+P$1)/(1-P$2))</f>
        <v>25.1194943940048</v>
      </c>
      <c r="Q82" s="1599" t="n">
        <f aca="false">IF(Assumptions!$L$25=4,VLOOKUP($A82,'Henwood Reference'!$E$9:$R$320,11),(VLOOKUP($A82,PriceTableWeekend,8,0)+IF(BasisNumber&lt;&gt;1,VLOOKUP($A82,BasisTable,3,0),0)+Q$1)/(1-Q$2))</f>
        <v>25.1194943940048</v>
      </c>
      <c r="R82" s="1568" t="n">
        <f aca="false">IF(Assumptions!$L$25=4,VLOOKUP($A82,'Henwood Reference'!$E$9:$R$320,11),(VLOOKUP($A82,PriceTable,6,0)+IF(BasisNumber&lt;&gt;1,VLOOKUP($A82,BasisTable,3,0),0)+R$1)/(1-R$2))</f>
        <v>25.1194943940048</v>
      </c>
      <c r="S82" s="1568" t="n">
        <f aca="false">IF(Assumptions!$L$25=4,VLOOKUP($A82,'Henwood Reference'!$E$9:$R$320,11),(VLOOKUP($A82,PriceTable,7,0)+IF(BasisNumber&lt;&gt;1,VLOOKUP($A82,BasisTable,3,0),0)+S$1)/(1-S$2))</f>
        <v>25.1194943940048</v>
      </c>
      <c r="T82" s="1600" t="n">
        <f aca="false">IF(Assumptions!$L$25=4,VLOOKUP($A82,'Henwood Reference'!$E$9:$R$320,11),(VLOOKUP($A82,PriceTable,8,0)+IF(BasisNumber&lt;&gt;1,VLOOKUP($A82,BasisTable,3,0),0)+T$1)/(1-T$2))</f>
        <v>25.1194943940048</v>
      </c>
      <c r="U82" s="1513" t="n">
        <f aca="false">VLOOKUP($A82,VolatilityTable,14)</f>
        <v>0.145</v>
      </c>
      <c r="V82" s="1513" t="n">
        <f aca="false">VLOOKUP($A82,VolatilityTable,15)</f>
        <v>0.155</v>
      </c>
      <c r="W82" s="1514" t="n">
        <f aca="false">VLOOKUP($A82,VolatilityTable,16)</f>
        <v>0.165</v>
      </c>
      <c r="X82" s="1513" t="n">
        <f aca="false">VLOOKUP($A82,VolatilityTable,14)</f>
        <v>0.145</v>
      </c>
      <c r="Y82" s="1513" t="n">
        <f aca="false">VLOOKUP($A82,VolatilityTable,15)</f>
        <v>0.155</v>
      </c>
      <c r="Z82" s="1514" t="n">
        <f aca="false">VLOOKUP($A82,VolatilityTable,16)</f>
        <v>0.165</v>
      </c>
      <c r="AA82" s="1513" t="n">
        <f aca="false">VLOOKUP($A82,VolatilityTable,18)</f>
        <v>0.09</v>
      </c>
      <c r="AB82" s="1513" t="n">
        <f aca="false">VLOOKUP($A82,VolatilityTable,19)</f>
        <v>0.11</v>
      </c>
      <c r="AC82" s="1514" t="n">
        <f aca="false">VLOOKUP($A82,VolatilityTable,20)</f>
        <v>0.13</v>
      </c>
      <c r="AD82" s="1513" t="n">
        <f aca="false">VLOOKUP($A82,VolatilityTable,18)</f>
        <v>0.09</v>
      </c>
      <c r="AE82" s="1513" t="n">
        <f aca="false">VLOOKUP($A82,VolatilityTable,19)</f>
        <v>0.11</v>
      </c>
      <c r="AF82" s="1514" t="n">
        <f aca="false">VLOOKUP($A82,VolatilityTable,20)</f>
        <v>0.13</v>
      </c>
      <c r="AG82" s="1513" t="n">
        <f aca="false">VLOOKUP($A82,VolatilityTable,22)</f>
        <v>-0.1</v>
      </c>
      <c r="AH82" s="1513" t="n">
        <f aca="false">VLOOKUP($A82,VolatilityTable,23)</f>
        <v>0.6</v>
      </c>
      <c r="AI82" s="1514" t="n">
        <f aca="false">VLOOKUP($A82,VolatilityTable,24)</f>
        <v>0.1</v>
      </c>
      <c r="AJ82" s="1513" t="n">
        <f aca="false">VLOOKUP($A82,VolatilityTable,22)</f>
        <v>-0.1</v>
      </c>
      <c r="AK82" s="1513" t="n">
        <f aca="false">VLOOKUP($A82,VolatilityTable,23)</f>
        <v>0.6</v>
      </c>
      <c r="AL82" s="1514" t="n">
        <f aca="false">VLOOKUP($A82,VolatilityTable,24)</f>
        <v>0.1</v>
      </c>
      <c r="AM82" s="1513" t="n">
        <f aca="false">VLOOKUP($A82,VolatilityTable,26)</f>
        <v>-0.01</v>
      </c>
      <c r="AN82" s="1513" t="n">
        <f aca="false">VLOOKUP($A82,VolatilityTable,27)</f>
        <v>0.16</v>
      </c>
      <c r="AO82" s="1514" t="n">
        <f aca="false">VLOOKUP($A82,VolatilityTable,28)</f>
        <v>0.01</v>
      </c>
      <c r="AP82" s="1513" t="n">
        <f aca="false">VLOOKUP($A82,VolatilityTable,26)</f>
        <v>-0.01</v>
      </c>
      <c r="AQ82" s="1513" t="n">
        <f aca="false">VLOOKUP($A82,VolatilityTable,27)</f>
        <v>0.16</v>
      </c>
      <c r="AR82" s="1515" t="n">
        <f aca="false">VLOOKUP($A82,VolatilityTable,28)</f>
        <v>0.01</v>
      </c>
      <c r="AS82" s="1581" t="n">
        <f aca="false">IF(CorrPeakOffPeakOverFlag,INDEX(CorrPeakOffPeakOver,C82),CorrPeakOffPeak)</f>
        <v>0.5</v>
      </c>
      <c r="AT82" s="594" t="e">
        <f aca="false">AX82-SUM(AU82:AW82)</f>
        <v>#VALUE!</v>
      </c>
      <c r="AU82" s="238" t="e">
        <f aca="false">IF(E82="",0,INT((F82-MOD(F82,7)-E82)/7)+1-IF(AW82,IF(WEEKDAY(D82)=7,1,0),0))</f>
        <v>#VALUE!</v>
      </c>
      <c r="AV82" s="238" t="e">
        <f aca="false">IF(E82="",0,INT((F82-MOD(F82-1,7)-E82)/7)+1-IF(AW82,IF(WEEKDAY(D82)=1,1,0),0))</f>
        <v>#VALUE!</v>
      </c>
      <c r="AW82" s="238" t="e">
        <f aca="false">IF(OR(E82="",D82="",D82&lt;BegDate,D82&gt;EndDate),0,1)</f>
        <v>#VALUE!</v>
      </c>
      <c r="AX82" s="238" t="n">
        <f aca="false">IF(E82="",0,F82-E82+1)</f>
        <v>31</v>
      </c>
      <c r="AY82" s="1582" t="n">
        <f aca="false">IF(E82="",0,MIN((1-(1-VLOOKUP(B82,MAIN!$AA$7:$AM$28,C82+1))*(1-VLOOKUP(B82,MAIN!$AA$33:$AM$54,C82+1))),1))</f>
        <v>0.03</v>
      </c>
      <c r="AZ82" s="1519" t="e">
        <v>#VALUE!</v>
      </c>
      <c r="BA82" s="1520" t="e">
        <v>#VALUE!</v>
      </c>
      <c r="BB82" s="1520" t="e">
        <v>#VALUE!</v>
      </c>
      <c r="BC82" s="1583" t="e">
        <v>#VALUE!</v>
      </c>
      <c r="BD82" s="1522" t="e">
        <v>#VALUE!</v>
      </c>
      <c r="BE82" s="1523" t="e">
        <v>#VALUE!</v>
      </c>
      <c r="BF82" s="1523" t="e">
        <v>#VALUE!</v>
      </c>
      <c r="BG82" s="1584" t="e">
        <v>#VALUE!</v>
      </c>
      <c r="BH82" s="1525" t="e">
        <v>#VALUE!</v>
      </c>
      <c r="BI82" s="1520" t="e">
        <v>#VALUE!</v>
      </c>
      <c r="BJ82" s="1520" t="e">
        <v>#VALUE!</v>
      </c>
      <c r="BK82" s="1583" t="e">
        <v>#VALUE!</v>
      </c>
      <c r="BL82" s="1522" t="e">
        <v>#VALUE!</v>
      </c>
      <c r="BM82" s="1523" t="e">
        <v>#VALUE!</v>
      </c>
      <c r="BN82" s="1523" t="e">
        <v>#VALUE!</v>
      </c>
      <c r="BO82" s="1523" t="e">
        <v>#VALUE!</v>
      </c>
      <c r="BP82" s="1525" t="e">
        <f aca="false">SUM(AZ82:BB82)</f>
        <v>#VALUE!</v>
      </c>
      <c r="BQ82" s="1529" t="e">
        <f aca="false">SUM(AZ82:BC82)</f>
        <v>#VALUE!</v>
      </c>
      <c r="BR82" s="1519" t="e">
        <f aca="false">SUM(BH82:BJ82)</f>
        <v>#VALUE!</v>
      </c>
      <c r="BS82" s="1529" t="e">
        <f aca="false">SUM(BH82:BK82)</f>
        <v>#VALUE!</v>
      </c>
      <c r="BT82" s="1316" t="n">
        <f aca="false">(IF(OVolType&lt;&gt;2,A82+14,IF(OptExpDateShift,ShiftBack(A82,OptExpDateShift,D81),A82))-DateToday)/365.25</f>
        <v>5.46475017111567</v>
      </c>
      <c r="BU82" s="1585" t="e">
        <f aca="false">IF(BQ82,IF(OPriceCurve,IF(OBuySell=OCallPut,I82/(1-AY82),K82/(1-AY82)),J82/(1-AY82))*BD82,0)</f>
        <v>#VALUE!</v>
      </c>
      <c r="BV82" s="1316" t="e">
        <f aca="false">IF(BQ82,IF(OPriceCurve,IF(OBuySell=OCallPut,L82/(1-AY82),N82/(1-AY82)),M82/(1-AY82))*BE82,0)</f>
        <v>#VALUE!</v>
      </c>
      <c r="BW82" s="1316" t="e">
        <f aca="false">IF(BQ82,IF(OPriceCurve,IF(OBuySell=OCallPut,O82/(1-AY82),Q82/(1-AY82)),P82/(1-AY82))*BF82,0)</f>
        <v>#VALUE!</v>
      </c>
      <c r="BX82" s="1316" t="e">
        <f aca="false">IF(BQ82,IF(OPriceCurve,IF(OBuySell=OCallPut,R82/(1-AY82),T82/(1-AY82)),S82/(1-AY82))*BG82,0)</f>
        <v>#VALUE!</v>
      </c>
      <c r="BY82" s="1316" t="e">
        <f aca="false">IF(BP82,(BU82*AZ82+BV82*BA82+BW82*BB82)/BP82,0)</f>
        <v>#VALUE!</v>
      </c>
      <c r="BZ82" s="1316" t="e">
        <f aca="false">IF(BQ82,(BY82*BP82+BX82*BC82)/BQ82,0)</f>
        <v>#VALUE!</v>
      </c>
      <c r="CA82" s="1531" t="e">
        <f aca="false">IF(BS82,IF(OPriceCurve,IF(OBuySell=OCallPut,I82/(1-AY82),K82/(1-AY82)),J82/(1-AY82))*BL82,0)</f>
        <v>#VALUE!</v>
      </c>
      <c r="CB82" s="1316" t="e">
        <f aca="false">IF(BS82,IF(OPriceCurve,IF(OBuySell=OCallPut,L82/(1-AY82),N82/(1-AY82)),M82/(1-AY82))*BM82,0)</f>
        <v>#VALUE!</v>
      </c>
      <c r="CC82" s="1316" t="e">
        <f aca="false">IF(BS82,IF(OPriceCurve,IF(OBuySell=OCallPut,O82/(1-AY82),Q82/(1-AY82)),P82/(1-AY82))*BN82,0)</f>
        <v>#VALUE!</v>
      </c>
      <c r="CD82" s="1316" t="e">
        <f aca="false">IF(BS82,IF(OPriceCurve,IF(OBuySell=OCallPut,R82/(1-AY82),T82/(1-AY82)),S82/(1-AY82))*BO82,0)</f>
        <v>#VALUE!</v>
      </c>
      <c r="CE82" s="1316" t="e">
        <f aca="false">IF(BR82,(BU82*BH82+BV82*BI82+BW82*BJ82)/BR82,0)</f>
        <v>#VALUE!</v>
      </c>
      <c r="CF82" s="1532" t="e">
        <f aca="false">IF(BS82,(CE82*BR82+CD82*BK82)/BS82,0)</f>
        <v>#VALUE!</v>
      </c>
      <c r="CG82" s="1586" t="e">
        <f aca="false">IF(OR(BQ82,BS82),IF(OVolType&lt;&gt;2,SQRT(IF(OVolOverMonthlyPeak,OVolOverMonthlyPeak,IF(OVolCurve,IF(OBuySell,U82,W82),V82))^2*(1-15/365.25/BT82)+IF(OVolOverDailyPeak,OVolOverDailyPeak,IF(OVolCurve,IF(OBuySell,AG82,AI82),AH82))^2*15/365.25/BT82),IF(OVolOverMonthlyPeak,OVolOverMonthlyPeak,IF(OVolCurve,IF(OBuySell,U82,W82),V82))),"")</f>
        <v>#VALUE!</v>
      </c>
      <c r="CH82" s="1587" t="e">
        <f aca="false">IF(OR(BQ82,BS82),IF(OVolType&lt;&gt;2,SQRT(IF(OVolOverMonthlyPeak,OVolOverMonthlyPeak,IF(OVolCurve,IF(OBuySell,X82,Z82),Y82))^2*(1-15/365.25/BT82)+IF(OVolOverDailyPeak,OVolOverDailyPeak,IF(OVolCurve,IF(OBuySell,AJ82,AL82),AK82))^2*15/365.25/BT82),IF(OVolOverMonthlyPeak,OVolOverMonthlyPeak,IF(OVolCurve,IF(OBuySell,X82,Z82),Y82))),"")</f>
        <v>#VALUE!</v>
      </c>
      <c r="CI82" s="1587" t="e">
        <f aca="false">IF(OR(BQ82,BS82),IF(OVolType&lt;&gt;2,SQRT(IF(OVolOverMonthlyPeak,OVolOverMonthlyPeak,IF(OVolCurve,IF(OBuySell,AA82,AC82),AB82))^2*(1-15/365.25/BT82)+IF(OVolOverDailyPeak,OVolOverDailyPeak,IF(OVolCurve,IF(OBuySell,AM82,AO82),AN82))^2*15/365.25/BT82),IF(OVolOverMonthlyPeak,OVolOverMonthlyPeak,IF(OVolCurve,IF(OBuySell,AA82,AC82),AB82))),"")</f>
        <v>#VALUE!</v>
      </c>
      <c r="CJ82" s="1587" t="e">
        <f aca="false">IF(BQ82,IF(BP82,SQRT(LN(1+((BU82*AZ82)^2*(EXP(CG82^2*BT82)-1)+(BV82*BA82)^2*(EXP(CH82^2*BT82)-1)+(BW82*BB82)^2*(EXP(CI82^2*BT82)-1)+2*BU82*AZ82*BV82*BA82*(EXP(CG82*CH82*BT82)-1)+2*BV82*BA82*BW82*BB82*(EXP(CH82*CI82*BT82)-1)+2*BW82*BB82*BU82*AZ82*(EXP(CI82*CG82*BT82)-1))/(BY82*BP82)^2)/BT82),0),"")</f>
        <v>#VALUE!</v>
      </c>
      <c r="CK82" s="1587" t="e">
        <f aca="false">IF(BS82,IF(BR82,SQRT(LN(1+((CA82*BH82)^2*(EXP(CG82^2*BT82)-1)+(CB82*BI82)^2*(EXP(CH82^2*BT82)-1)+(CC82*BJ82)^2*(EXP(CI82^2*BT82)-1)+2*CA82*BH82*CB82*BI82*(EXP(CG82*CH82*BT82)-1)+2*CB82*BI82*CC82*BJ82*(EXP(CH82*CI82*BT82)-1)+2*CC82*BJ82*CA82*BH82*(EXP(CI82*CG82*BT82)-1))/(CE82*BR82)^2)/BT82),0),"")</f>
        <v>#VALUE!</v>
      </c>
      <c r="CL82" s="1587" t="e">
        <f aca="false">IF(OR(BQ82,BS82),IF(OVolType&lt;&gt;2,SQRT(IF(OVolOverMonthlyOffPeak,OVolOverMonthlyOffPeak,IF(OVolCurve,IF(OBuySell,AD82,AF82),AE82))^2*(1-15/365.25/BT82)+IF(OVolOverDailyOffPeak,OVolOverDailyOffPeak,IF(OVolCurve,IF(OBuySell,AP82,AR82),AQ82))^2*15/365.25/BT82),IF(OVolOverMonthlyOffPeak,OVolOverMonthlyOffPeak,IF(OVolCurve,IF(OBuySell,AD82,AF82),AE82))),"")</f>
        <v>#VALUE!</v>
      </c>
      <c r="CM82" s="1587" t="e">
        <f aca="false">IF(BQ82,SQRT(LN(1+((BY82*BP82)^2*(EXP(CJ82^2*BT82)-1)+(BX82*BC82)^2*(EXP(CL82^2*BT82)-1)+2*BY82*BP82*BX82*BC82*(EXP(AS82*CJ82*CL82*BT82)-1))/(BY82*BP82+BX82*BC82)^2)/BT82),"")</f>
        <v>#VALUE!</v>
      </c>
      <c r="CN82" s="1588" t="e">
        <f aca="false">IF(BS82,SQRT(LN(1+((CE82*BR82)^2*(EXP(CK82^2*BT82)-1)+(CD82*BK82)^2*(EXP(CL82^2*BT82)-1)+2*CE82*BR82*CD82*BK82*(EXP(AS82*CK82*CL82*BT82)-1))/(CE82*BR82+CD82*BK82)^2)/BT82),"")</f>
        <v>#VALUE!</v>
      </c>
      <c r="CO82" s="1531" t="e">
        <f aca="false">IF(OR(BQ82,BS82),VLOOKUP(A82,GasTable,13)*HeatRatePeak*(1+VLOOKUP($B82,HeatRateDegradation,$C82+1))/1000,0)</f>
        <v>#VALUE!</v>
      </c>
      <c r="CP82" s="1316" t="e">
        <f aca="false">IF(OR(BQ82,BS82),VLOOKUP(A82,GasTable,13)*HeatRatePeak*(1+VLOOKUP($B82,HeatRateDegradation,$C82+1))/1000,0)</f>
        <v>#VALUE!</v>
      </c>
      <c r="CQ82" s="1316" t="e">
        <f aca="false">IF(OR(BQ82,BS82),VLOOKUP(A82,GasTable,13)*IF(EV82,HeatRatePeak,HeatRateOffPeak)*(1+VLOOKUP($B82,HeatRateDegradation,$C82+1))/1000,0)</f>
        <v>#VALUE!</v>
      </c>
      <c r="CR82" s="1316" t="e">
        <f aca="false">IF(OR(BQ82,BS82),VLOOKUP(A82,GasTable,13)*IF(EW82,HeatRatePeak,HeatRateOffPeak)*(1+VLOOKUP($B82,HeatRateDegradation,$C82+1))/1000,0)</f>
        <v>#VALUE!</v>
      </c>
      <c r="CS82" s="1589" t="e">
        <f aca="false">IF(BQ82,(CO82*AZ82+CP82*BA82+CQ82*BB82+CR82*BC82)/BQ82,0)</f>
        <v>#VALUE!</v>
      </c>
      <c r="CT82" s="1316" t="e">
        <f aca="false">IF(BS82,CO82,0)</f>
        <v>#VALUE!</v>
      </c>
      <c r="CU82" s="1590" t="e">
        <f aca="false">IF(OR(BQ82,BS82),VLOOKUP(A82,GasTable,14),"")</f>
        <v>#VALUE!</v>
      </c>
      <c r="CV82" s="1568" t="e">
        <f aca="false">IF(OR(BQ82,BS82),IF(CorrPowerGasOverFlag,INDEX(CorrPowerGasOver,C82),CorrPowerGas),"")</f>
        <v>#VALUE!</v>
      </c>
      <c r="CW82" s="1316" t="e">
        <f aca="false">IF(OR($BQ82,$BS82),SpreadOptPowerMargin,0)*((1+Assumptions!$C$26)^($B82-YEAR(Assumptions!$C$17)))</f>
        <v>#VALUE!</v>
      </c>
      <c r="CX82" s="1316" t="e">
        <f aca="false">IF(OR($BQ82,$BS82),SpreadOptPowerMargin,0)*((1+Assumptions!$C$26)^($B82-YEAR(Assumptions!$C$17)))</f>
        <v>#VALUE!</v>
      </c>
      <c r="CY82" s="1316" t="e">
        <f aca="false">IF(OR($BQ82,$BS82),SpreadOptPowerMargin,0)*((1+Assumptions!$C$26)^($B82-YEAR(Assumptions!$C$17)))</f>
        <v>#VALUE!</v>
      </c>
      <c r="CZ82" s="1316" t="e">
        <f aca="false">IF(OR($BQ82,$BS82),SpreadOptPowerMargin,0)*((1+Assumptions!$C$26)^($B82-YEAR(Assumptions!$C$17)))</f>
        <v>#VALUE!</v>
      </c>
      <c r="DA82" s="1591" t="e">
        <f aca="false">IF(OR(BQ82,BS82),(CW82*(AZ82+BH82)+CX82*(BA82+BI82)+CY82*(BB82+BJ82)+CZ82*(BC82+BK82))/(BQ82+BS82),0)</f>
        <v>#VALUE!</v>
      </c>
      <c r="DB82" s="1592" t="e">
        <f aca="false">IF(OR(BQ82,BS82),CG82+IF(OVolSmile,VLOOKUP(MAX(-5,CO82+CW82-BU82),IF(OVolSmile=1,VolSmileBook,VolSmileModel),2),0),"")</f>
        <v>#VALUE!</v>
      </c>
      <c r="DC82" s="1592" t="e">
        <f aca="false">IF(OR(BQ82,BS82),CH82+IF(OVolSmile,VLOOKUP(MAX(-5,CP82+CW82-BV82),IF(OVolSmile=1,VolSmileBook,VolSmileModel),2),0),"")</f>
        <v>#VALUE!</v>
      </c>
      <c r="DD82" s="1592" t="e">
        <f aca="false">IF(OR(BQ82,BS82),CI82+IF(OVolSmile,VLOOKUP(MAX(-5,CQ82+CW82-BW82),IF(OVolSmile=1,VolSmileBook,VolSmileModel),2),0),"")</f>
        <v>#VALUE!</v>
      </c>
      <c r="DE82" s="1592" t="e">
        <f aca="false">IF(OR(BQ82,BS82),CL82+IF(OVolSmile,VLOOKUP(MAX(-5,CR82+CZ82-BX82),IF(OVolSmile=1,VolSmileBook,VolSmileModel),2),0),"")</f>
        <v>#VALUE!</v>
      </c>
      <c r="DF82" s="1592" t="e">
        <f aca="false">IF(BQ82,CM82+IF(OVolSmile,VLOOKUP(MAX(-5,CS82+DA82-BZ82),IF(OVolSmile=1,VolSmileBook,VolSmileModel),2),0),"")</f>
        <v>#VALUE!</v>
      </c>
      <c r="DG82" s="1593" t="e">
        <f aca="false">IF(BS82,CN82+IF(OVolSmile,VLOOKUP(MAX(-5,CT82+DA82-CF82),IF(OVolSmile=1,VolSmileBook,VolSmileModel),2),0),"")</f>
        <v>#VALUE!</v>
      </c>
      <c r="DH82" s="1316" t="e">
        <f aca="false">IF(AND(BU82&gt;0,CO82&gt;0,DB82&gt;0,CU82&gt;0),newSPRDOPT(BU82,CO82,CW82,0,DB82,CU82,CV82,BT82*365.25,OCallPut,0),0)</f>
        <v>#VALUE!</v>
      </c>
      <c r="DI82" s="1316" t="e">
        <f aca="false">IF(AND(BV82&gt;0,CP82&gt;0,DC82&gt;0,CU82&gt;0),newSPRDOPT(BV82,CP82,CX82,0,DC82,CU82,CV82,BT82*365.25,OCallPut,0),0)</f>
        <v>#VALUE!</v>
      </c>
      <c r="DJ82" s="1316" t="e">
        <f aca="false">IF(AND(BW82&gt;0,CQ82&gt;0,DD82&gt;0,CU82&gt;0),newSPRDOPT(BW82,CQ82,CY82,0,DD82,CU82,CV82,BT82*365.25,OCallPut,0),0)</f>
        <v>#VALUE!</v>
      </c>
      <c r="DK82" s="1316" t="e">
        <f aca="false">IF(AND(BX82&gt;0,CR82&gt;0,DE82&gt;0,CU82&gt;0),newSPRDOPT(BX82,CR82,CZ82,0,DE82,CU82,CV82,BT82*365.25,OCallPut,0),0)</f>
        <v>#VALUE!</v>
      </c>
      <c r="DL82" s="1316" t="e">
        <f aca="false">IF(OVolType,IF(AND(BZ82&gt;0,CS82&gt;0,DF82&gt;0,CU82&gt;0),newSPRDOPT(BZ82,CS82,DA82,0,DF82,CU82,CV82,BT82*365.25,OCallPut,0),0),IF(BQ82,(DH82*AZ82+DI82*BA82+DJ82*BB82+DK82*BC82)/BQ82,0))</f>
        <v>#VALUE!</v>
      </c>
      <c r="DM82" s="1316"/>
      <c r="DN82" s="1316"/>
      <c r="DO82" s="1316"/>
      <c r="DP82" s="1316"/>
      <c r="DQ82" s="1316"/>
      <c r="DR82" s="1316"/>
      <c r="DS82" s="1316"/>
      <c r="DT82" s="1316"/>
      <c r="DU82" s="1316"/>
      <c r="DV82" s="1316"/>
      <c r="DW82" s="1594" t="e">
        <f aca="false">IF(AND(BW82&gt;0,CT82&gt;0,DD82&gt;0,CU82&gt;0),newSPRDOPT(BW82,CT82,CY82,0,DD82,CU82,CV82,BT82*365.25,OCallPut,0),0)</f>
        <v>#VALUE!</v>
      </c>
      <c r="DX82" s="1316" t="e">
        <f aca="false">IF(AND(BX82&gt;0,CT82&gt;0,DE82&gt;0,CU82&gt;0),newSPRDOPT(BX82,CT82,CZ82,0,DE82,CU82,CV82,BT82*365.25,OCallPut,0),0)</f>
        <v>#VALUE!</v>
      </c>
      <c r="DY82" s="1591" t="e">
        <f aca="false">IF(BS82,(DH82*BH82+DI82*BI82+DW82*BJ82+DX82*BK82)/BS82,0)</f>
        <v>#VALUE!</v>
      </c>
      <c r="DZ82" s="1551" t="e">
        <f aca="false">DH82*AZ82</f>
        <v>#VALUE!</v>
      </c>
      <c r="EA82" s="1551" t="e">
        <f aca="false">DI82*BA82</f>
        <v>#VALUE!</v>
      </c>
      <c r="EB82" s="1551" t="e">
        <f aca="false">DJ82*BB82</f>
        <v>#VALUE!</v>
      </c>
      <c r="EC82" s="1551" t="e">
        <f aca="false">DK82*BC82</f>
        <v>#VALUE!</v>
      </c>
      <c r="ED82" s="1551" t="e">
        <f aca="false">DL82*BQ82</f>
        <v>#VALUE!</v>
      </c>
      <c r="EE82" s="1595" t="e">
        <f aca="false">IF(BQ82,IF(OCallPut,IF(BU82&gt;(CO82+CW82),BU82-(CO82+CW82),0),IF((CO82+CW82)&gt;BU82,(CO82+CW82)-BU82,0))*AZ82,0)</f>
        <v>#VALUE!</v>
      </c>
      <c r="EF82" s="1596" t="e">
        <f aca="false">IF(BQ82,IF(OCallPut,IF(BV82&gt;(CP82+CX82),BV82-(CP82+CX82),0),IF((CP82+CX82)&gt;BV82,(CP82+CX82)-BV82,0))*BA82,0)</f>
        <v>#VALUE!</v>
      </c>
      <c r="EG82" s="1596" t="e">
        <f aca="false">IF(BQ82,IF(OCallPut,IF(BW82&gt;(CQ82+CY82),BW82-(CQ82+CY82),0),IF((CQ82+CY82)&gt;BW82,(CQ82+CY82)-BW82,0))*BB82,0)</f>
        <v>#VALUE!</v>
      </c>
      <c r="EH82" s="1596" t="e">
        <f aca="false">IF(BQ82,IF(OCallPut,IF(BX82&gt;(CR82+CZ82),BX82-(CR82+CZ82),0),IF((CR82+CZ82)&gt;BX82,(CR82+CZ82)-BX82,0))*BC82,0)</f>
        <v>#VALUE!</v>
      </c>
      <c r="EI82" s="1597" t="e">
        <f aca="false">IF(BQ82,IF(OVolType,IF(OCallPut,IF(BZ82&gt;(CS82+DA82),BZ82-(CS82+DA82),0),IF((CS82+DA82)&gt;BZ82,(CS82+DA82)-BZ82,0))*BQ82,SUM(EE82:EH82)),0)</f>
        <v>#VALUE!</v>
      </c>
      <c r="EJ82" s="1595" t="e">
        <f aca="false">DZ82-EE82</f>
        <v>#VALUE!</v>
      </c>
      <c r="EK82" s="1596" t="e">
        <f aca="false">EA82-EF82</f>
        <v>#VALUE!</v>
      </c>
      <c r="EL82" s="1596" t="e">
        <f aca="false">EB82-EG82</f>
        <v>#VALUE!</v>
      </c>
      <c r="EM82" s="1596" t="e">
        <f aca="false">EC82-EH82</f>
        <v>#VALUE!</v>
      </c>
      <c r="EN82" s="1597" t="e">
        <f aca="false">ED82-EI82</f>
        <v>#VALUE!</v>
      </c>
      <c r="EO82" s="1551" t="e">
        <f aca="false">DH82*BH82</f>
        <v>#VALUE!</v>
      </c>
      <c r="EP82" s="1551" t="e">
        <f aca="false">DI82*BI82</f>
        <v>#VALUE!</v>
      </c>
      <c r="EQ82" s="1551" t="e">
        <f aca="false">DW82*BJ82</f>
        <v>#VALUE!</v>
      </c>
      <c r="ER82" s="1551" t="e">
        <f aca="false">DX82*BK82</f>
        <v>#VALUE!</v>
      </c>
      <c r="ES82" s="1551" t="e">
        <f aca="false">DY82*BS82</f>
        <v>#VALUE!</v>
      </c>
      <c r="ET82" s="1566" t="e">
        <f aca="false">IF(EI82,IF(OCallPut,IF(CA82&gt;(CT82+CW82),CA82-(CT82+CW82),0),IF((CT82+CW82)&gt;CA82,(CT82+CW82)-CA82,0))*BH82,0)</f>
        <v>#VALUE!</v>
      </c>
      <c r="EU82" s="1551" t="e">
        <f aca="false">IF(EI82,IF(OCallPut,IF(CB82&gt;(CT82+CX82),CB82-(CT82+CX82),0),IF((CT82+CX82)&gt;CB82,(CT82+CX82)-CB82,0))*BI82,0)</f>
        <v>#VALUE!</v>
      </c>
      <c r="EV82" s="1551" t="e">
        <f aca="false">IF(EI82,IF(OCallPut,IF(CC82&gt;(CT82+CY82),CC82-(CT82+CY82),0),IF((CT82+CY82)&gt;CC82,(CT82+CY82)-CC82,0))*BJ82,0)</f>
        <v>#VALUE!</v>
      </c>
      <c r="EW82" s="1551" t="e">
        <f aca="false">IF(EI82,IF(OCallPut,IF(CD82&gt;(CT82+CZ82),CD82-(CT82+CZ82),0),IF((CT82+CZ82)&gt;CD82,(CT82+CZ82)-CD82,0))*BK82,0)</f>
        <v>#VALUE!</v>
      </c>
      <c r="EX82" s="1558" t="e">
        <f aca="false">IF(EI82,SUM(ET82:EW82),0)</f>
        <v>#VALUE!</v>
      </c>
      <c r="EY82" s="1551" t="e">
        <f aca="false">EO82-ET82</f>
        <v>#VALUE!</v>
      </c>
      <c r="EZ82" s="1551" t="e">
        <f aca="false">EP82-EU82</f>
        <v>#VALUE!</v>
      </c>
      <c r="FA82" s="1551" t="e">
        <f aca="false">EQ82-EV82</f>
        <v>#VALUE!</v>
      </c>
      <c r="FB82" s="1551" t="e">
        <f aca="false">ER82-EW82</f>
        <v>#VALUE!</v>
      </c>
      <c r="FC82" s="1551" t="e">
        <f aca="false">ES82-EX82</f>
        <v>#VALUE!</v>
      </c>
      <c r="FD82" s="1525" t="n">
        <f aca="false">IF(AX82,IF(VLOOKUP(C82,MAIN!$L$17:$M$28,2)="Yes",VLOOKUP(CALC!B82,MAIN!$H$17:$I$20,2),0),0)</f>
        <v>0</v>
      </c>
      <c r="FE82" s="1552" t="e">
        <f aca="false">$FD82*16*AT82*(1-$AY82)</f>
        <v>#VALUE!</v>
      </c>
      <c r="FF82" s="1553" t="e">
        <f aca="false">$FD82*16*AU82*(1-$AY82)</f>
        <v>#VALUE!</v>
      </c>
      <c r="FG82" s="1553" t="e">
        <f aca="false">$FD82*16*(AV82+AW82)*(1-$AY82)</f>
        <v>#VALUE!</v>
      </c>
      <c r="FH82" s="1554" t="n">
        <f aca="false">$FD82*8*AX82*(1-$AY82)</f>
        <v>0</v>
      </c>
      <c r="FI82" s="1555" t="n">
        <f aca="false">IF(AX82,VLOOKUP(CALC!B82,MAIN!$H$17:$K$20,4),0)</f>
        <v>0</v>
      </c>
      <c r="FJ82" s="1553" t="e">
        <f aca="false">SUM(FE82:FH82)</f>
        <v>#VALUE!</v>
      </c>
      <c r="FK82" s="1556" t="e">
        <f aca="false">FI82*FJ82</f>
        <v>#VALUE!</v>
      </c>
      <c r="FL82" s="1551" t="e">
        <f aca="false">IF($EI82&gt;0,MIN(FE82,AZ82*(1+VLOOKUP($C82,WeatherCapacityAdjustment,2))),0)</f>
        <v>#VALUE!</v>
      </c>
      <c r="FM82" s="1551" t="e">
        <f aca="false">IF($EI82&gt;0,MIN(FF82,BA82*(1+VLOOKUP($C82,WeatherCapacityAdjustment,2))),0)</f>
        <v>#VALUE!</v>
      </c>
      <c r="FN82" s="1551" t="e">
        <f aca="false">IF($EI82&gt;0,MIN(FG82,BB82*(1+VLOOKUP($C82,WeatherCapacityAdjustment,2))),0)</f>
        <v>#VALUE!</v>
      </c>
      <c r="FO82" s="1564" t="e">
        <f aca="false">IF($EI82&gt;0,MIN(FH82,BC82*(1+VLOOKUP($C82,WeatherCapacityAdjustment,3))),0)</f>
        <v>#VALUE!</v>
      </c>
      <c r="FP82" s="1551" t="e">
        <f aca="false">IF(ET82&gt;0,MIN(FE82-FL82,BH82*(1+VLOOKUP($C82,WeatherCapacityAdjustment,2))),0)</f>
        <v>#VALUE!</v>
      </c>
      <c r="FQ82" s="1551" t="e">
        <f aca="false">IF(EU82&gt;0,MIN(FF82-FM82,BI82*(1+VLOOKUP($C82,WeatherCapacityAdjustment,2))),0)</f>
        <v>#VALUE!</v>
      </c>
      <c r="FR82" s="1551" t="e">
        <f aca="false">IF(EV82&gt;0,MIN(FG82-FN82,BJ82*(1+VLOOKUP($C82,WeatherCapacityAdjustment,2))),0)</f>
        <v>#VALUE!</v>
      </c>
      <c r="FS82" s="1558" t="e">
        <f aca="false">IF(EW82&gt;0,MIN(FH82-FO82,BK82*(1+VLOOKUP($C82,WeatherCapacityAdjustment,3))),0)</f>
        <v>#VALUE!</v>
      </c>
      <c r="FT82" s="1566" t="e">
        <f aca="false">IF(AND(Assumptions!$H$71="Yes",A82&gt;=Assumptions!$H$72,A82&lt;=Assumptions!$H$73),0,IF(AND($A82&gt;=Assumptions!$C$17,$A82&lt;=Assumptions!$C$18),MAX(AZ82*(1+VLOOKUP($C82,WeatherCapacityAdjustment,2))-FL82,0),0))</f>
        <v>#VALUE!</v>
      </c>
      <c r="FU82" s="1551" t="e">
        <f aca="false">IF(AND(Assumptions!$H$71="Yes",A82&gt;=Assumptions!$H$72,A82&lt;=Assumptions!$H$73),0,IF(AND($A82&gt;=Assumptions!$C$17,$A82&lt;=Assumptions!$C$18),MAX(BA82*(1+VLOOKUP($C82,WeatherCapacityAdjustment,2))-FM82,0),0))</f>
        <v>#VALUE!</v>
      </c>
      <c r="FV82" s="1551" t="e">
        <f aca="false">IF(AND(Assumptions!$H$71="Yes",A82&gt;=Assumptions!$H$72,A82&lt;=Assumptions!$H$73),0,IF(AND($A82&gt;=Assumptions!$C$17,$A82&lt;=Assumptions!$C$18),MAX(BB82*(1+VLOOKUP($C82,WeatherCapacityAdjustment,2))-FN82,0),0))</f>
        <v>#VALUE!</v>
      </c>
      <c r="FW82" s="1564" t="e">
        <f aca="false">IF(AND(Assumptions!$H$71="Yes",A82&gt;=Assumptions!$H$72,A82&lt;=Assumptions!$H$73),0,IF(AND($A82&gt;=Assumptions!$C$17,$A82&lt;=Assumptions!$C$18),MAX(BC82*(1+VLOOKUP($C82,WeatherCapacityAdjustment,3))-FO82,0),0))</f>
        <v>#VALUE!</v>
      </c>
      <c r="FX82" s="1569" t="e">
        <f aca="false">IF(AND(Assumptions!$H$71="Yes",A82&gt;=Assumptions!$H$72,A82&lt;=Assumptions!$H$73),0,IF(ET82&gt;0,MAX(BH82*(1+VLOOKUP($C82,WeatherCapacityAdjustment,2))-FP82,0),0))</f>
        <v>#VALUE!</v>
      </c>
      <c r="FY82" s="1551" t="e">
        <f aca="false">IF(AND(Assumptions!$H$71="Yes",A82&gt;=Assumptions!$H$72,A82&lt;=Assumptions!$H$73),0,IF(EU82&gt;0,MAX(BI82*(1+VLOOKUP($C82,WeatherCapacityAdjustment,3))-FQ82,0),0))</f>
        <v>#VALUE!</v>
      </c>
      <c r="FZ82" s="1551" t="e">
        <f aca="false">IF(AND(Assumptions!$H$71="Yes",A82&gt;=Assumptions!$H$72,A82&lt;=Assumptions!$H$73),0,IF(EV82&gt;0,MAX(BJ82*(1+VLOOKUP($C82,WeatherCapacityAdjustment,2))-FR82,0),0))</f>
        <v>#VALUE!</v>
      </c>
      <c r="GA82" s="1564" t="e">
        <f aca="false">IF(AND(Assumptions!$H$71="Yes",A82&gt;=Assumptions!$H$72,A82&lt;=Assumptions!$H$73),0,IF(EW82&gt;0,MAX(BK82*(1+VLOOKUP($C82,WeatherCapacityAdjustment,2))-FS82,0),0))</f>
        <v>#VALUE!</v>
      </c>
      <c r="GB82" s="1551" t="e">
        <f aca="false">SUM(FT82:GA82)</f>
        <v>#VALUE!</v>
      </c>
      <c r="GC82" s="1563" t="e">
        <f aca="false">+IF(SUM(FT82:GA82)=0,0,(SUMPRODUCT(BU82:BX82,FT82:FW82)+SUMPRODUCT(CA82:CD82,FX82:GA82))/SUM(FT82:GA82))</f>
        <v>#VALUE!</v>
      </c>
      <c r="GD82" s="1551" t="e">
        <f aca="false">(FT82*BU82+FX82*CA82+FU82*BV82+FY82*CB82+FV82*BW82+FZ82*CC82+FW82*BX82+GA82*CD82)</f>
        <v>#VALUE!</v>
      </c>
      <c r="GE82" s="1561" t="e">
        <f aca="false">+IF(BQ82,((FL82+FM82+FT82+FU82)*HeatRatePeak/1000*(1+VLOOKUP($C82,WeatherHeatRateAdjustment,2))+(FN82+FV82)*IF(EV82&gt;0,HeatRatePeak,HeatRateOffPeak)/1000*(1+VLOOKUP($C82,WeatherHeatRateAdjustment,2))+(FO82+FW82)*IF(EW82&gt;0,HeatRatePeak,HeatRateOffPeak)/1000*(1+VLOOKUP($C82,WeatherHeatRateAdjustment,3)))*(1+VLOOKUP($B82,HeatRateDegradation,$C82+1)),0)</f>
        <v>#VALUE!</v>
      </c>
      <c r="GF82" s="1562" t="e">
        <f aca="false">IF(BQ82,((FP82+FQ82+FR82+FX82+FY82+FZ82)*HeatRatePeak/1000*(1+VLOOKUP($C82,WeatherHeatRateAdjustment,2))+(FS82+GA82)*HeatRatePeak/1000*(1+VLOOKUP($C82,WeatherHeatRateAdjustment,3)))*(1+VLOOKUP($B82,HeatRateDegradation,$C82+1)),0)</f>
        <v>#VALUE!</v>
      </c>
      <c r="GG82" s="1563" t="e">
        <f aca="false">IF(BQ82,VLOOKUP(A82,GasTable,13),0)</f>
        <v>#VALUE!</v>
      </c>
      <c r="GH82" s="1564" t="e">
        <f aca="false">(GE82+GF82)*GG82</f>
        <v>#VALUE!</v>
      </c>
      <c r="GI82" s="1569" t="e">
        <f aca="false">GB82</f>
        <v>#VALUE!</v>
      </c>
      <c r="GJ82" s="1598" t="e">
        <f aca="false">+DA82</f>
        <v>#VALUE!</v>
      </c>
      <c r="GK82" s="1558" t="e">
        <f aca="false">+GI82*GJ82</f>
        <v>#VALUE!</v>
      </c>
      <c r="GL82" s="1566" t="e">
        <f aca="false">MAX(FE82-FL82-FP82,0)</f>
        <v>#VALUE!</v>
      </c>
      <c r="GM82" s="1551" t="e">
        <f aca="false">MAX(FF82-FM82-FQ82,0)</f>
        <v>#VALUE!</v>
      </c>
      <c r="GN82" s="1551" t="e">
        <f aca="false">MAX(FG82-FN82-FR82,0)</f>
        <v>#VALUE!</v>
      </c>
      <c r="GO82" s="1564" t="e">
        <f aca="false">MAX(FH82-FO82-FS82,0)</f>
        <v>#VALUE!</v>
      </c>
      <c r="GP82" s="1551" t="e">
        <f aca="false">SUM(GL82:GO82)</f>
        <v>#VALUE!</v>
      </c>
      <c r="GQ82" s="1563" t="e">
        <f aca="false">IF(SUM(GL82:GO82)=0,0,((GL82*BU82+GM82*BV82+GN82*BW82+GO82*BX82)/SUM(GL82:GO82)))</f>
        <v>#VALUE!</v>
      </c>
      <c r="GR82" s="1558" t="e">
        <f aca="false">(GL82*BU82+GM82*BV82+GN82*BW82+GO82*BX82)</f>
        <v>#VALUE!</v>
      </c>
      <c r="GS82" s="1566" t="n">
        <f aca="false">IF($A82&gt;=BegDate,Assumptions!$C$56*24*($A83-$A82)*(1-VLOOKUP($B82,MAIN!$AA$7:$AM$28,$C82+1))*(1-VLOOKUP($B82,MAIN!$AA$33:$AM$54,$C82+1)),0)*80/168</f>
        <v>257742.857142857</v>
      </c>
      <c r="GT82" s="286" t="n">
        <f aca="false">J82</f>
        <v>41.4761202691718</v>
      </c>
      <c r="GU82" s="286" t="n">
        <f aca="false">IF($A82&gt;=BegDate,VLOOKUP($A82,GasTable,13)+Assumptions!$C$58,0)</f>
        <v>2.75098557245235</v>
      </c>
      <c r="GV82" s="286" t="n">
        <f aca="false">GU82*Assumptions!$C$57/1000</f>
        <v>19.9446454002796</v>
      </c>
      <c r="GW82" s="1558" t="n">
        <f aca="false">IF(Assumptions!$C$60="Hourly",MAX(0,GS82*(GT82-GV82)),GS82*(GT82-GV82))</f>
        <v>5549583.85120792</v>
      </c>
      <c r="GX82" s="1566" t="n">
        <f aca="false">IF($A82&gt;=BegDate,Assumptions!$C$56*24*($A83-$A82)*(1-VLOOKUP($B82,MAIN!$AA$7:$AM$28,$C82+1))*(1-VLOOKUP($B82,MAIN!$AA$33:$AM$54,$C82+1)),0)*16/168</f>
        <v>51548.5714285714</v>
      </c>
      <c r="GY82" s="286" t="n">
        <f aca="false">M82</f>
        <v>41.4761202691718</v>
      </c>
      <c r="GZ82" s="286" t="n">
        <f aca="false">IF($A82&gt;=BegDate,VLOOKUP($A82,GasTable,13)+Assumptions!$C$58,0)</f>
        <v>2.75098557245235</v>
      </c>
      <c r="HA82" s="286" t="n">
        <f aca="false">GZ82*Assumptions!$C$57/1000</f>
        <v>19.9446454002796</v>
      </c>
      <c r="HB82" s="1558" t="n">
        <f aca="false">IF(Assumptions!$C$60="Hourly",MAX(0,GX82*(GY82-HA82)),GX82*(GY82-HA82))</f>
        <v>1109916.77024158</v>
      </c>
      <c r="HC82" s="1566" t="n">
        <f aca="false">IF($A82&gt;=BegDate,Assumptions!$C$56*24*($A83-$A82)*(1-VLOOKUP($B82,MAIN!$AA$7:$AM$28,$C82+1))*(1-VLOOKUP($B82,MAIN!$AA$33:$AM$54,$C82+1)),0)*16/168</f>
        <v>51548.5714285714</v>
      </c>
      <c r="HD82" s="286" t="n">
        <f aca="false">P82</f>
        <v>25.1194943940048</v>
      </c>
      <c r="HE82" s="286" t="n">
        <f aca="false">IF($A82&gt;=BegDate,VLOOKUP($A82,GasTable,13)+Assumptions!$C$58,0)</f>
        <v>2.75098557245235</v>
      </c>
      <c r="HF82" s="286" t="n">
        <f aca="false">HE82*Assumptions!$C$57/1000</f>
        <v>19.9446454002796</v>
      </c>
      <c r="HG82" s="1558" t="n">
        <f aca="false">IF(Assumptions!$C$60="Hourly",MAX(0,HC82*(HD82-HF82)),HC82*(HD82-HF82))</f>
        <v>266756.072985116</v>
      </c>
      <c r="HH82" s="1566" t="n">
        <f aca="false">IF($A82&gt;=BegDate,Assumptions!$C$56*24*($A83-$A82)*(1-VLOOKUP($B82,MAIN!$AA$7:$AM$28,$C82+1))*(1-VLOOKUP($B82,MAIN!$AA$33:$AM$54,$C82+1)),0)*56/168</f>
        <v>180420</v>
      </c>
      <c r="HI82" s="286" t="n">
        <f aca="false">S82</f>
        <v>25.1194943940048</v>
      </c>
      <c r="HJ82" s="286" t="n">
        <f aca="false">IF($A82&gt;=BegDate,VLOOKUP($A82,GasTable,13)+Assumptions!$C$58,0)</f>
        <v>2.75098557245235</v>
      </c>
      <c r="HK82" s="286" t="n">
        <f aca="false">HJ82*Assumptions!$C$57/1000</f>
        <v>19.9446454002796</v>
      </c>
      <c r="HL82" s="1558" t="n">
        <f aca="false">IF(Assumptions!$C$60="Hourly",MAX(0,HH82*(HI82-HK82)),HH82*(HI82-HK82))</f>
        <v>933646.255447908</v>
      </c>
      <c r="HM82" s="1566" t="n">
        <f aca="false">IF(AND(Assumptions!$H$71="Yes",A82&gt;=Assumptions!$H$72,A82&lt;=Assumptions!$H$73),Assumptions!$H$74*Assumptions!$C$9*1000,0)</f>
        <v>0</v>
      </c>
      <c r="HN82" s="1551" t="e">
        <f aca="false">GD82-GH82</f>
        <v>#VALUE!</v>
      </c>
      <c r="HO82" s="1563"/>
      <c r="HP82" s="1563"/>
      <c r="HQ82" s="1563"/>
      <c r="HR82" s="1563"/>
      <c r="HS82" s="1563"/>
      <c r="HT82" s="1563"/>
      <c r="HU82" s="1563"/>
      <c r="HV82" s="1563"/>
      <c r="HW82" s="1563"/>
      <c r="HX82" s="1563"/>
      <c r="HY82" s="1563"/>
      <c r="HZ82" s="1563"/>
      <c r="IA82" s="1563"/>
      <c r="IB82" s="1563"/>
      <c r="IC82" s="1563"/>
      <c r="ID82" s="1563"/>
      <c r="IE82" s="1563"/>
      <c r="IF82" s="1563"/>
      <c r="IG82" s="1563"/>
      <c r="IH82" s="1563"/>
      <c r="II82" s="1610"/>
      <c r="IJ82" s="1309"/>
      <c r="IK82" s="1309"/>
    </row>
    <row r="83" customFormat="false" ht="12.75" hidden="false" customHeight="false" outlineLevel="0" collapsed="false">
      <c r="A83" s="1571" t="n">
        <f aca="false">EOMONTH(A82,0)+1</f>
        <v>38657</v>
      </c>
      <c r="B83" s="594" t="n">
        <f aca="false">+YEAR(A83)</f>
        <v>2005</v>
      </c>
      <c r="C83" s="238" t="n">
        <f aca="false">MONTH(A83)</f>
        <v>11</v>
      </c>
      <c r="D83" s="1572" t="e">
        <f aca="false">IF(E83="","",Holiday(B83,C83))</f>
        <v>#VALUE!</v>
      </c>
      <c r="E83" s="1573" t="n">
        <f aca="false">IF(OR(BegDate&gt;=A84,EndDate&lt;A83,AND(VolumeMonthlyOverFlag,INDEX(VolumeMonthlyOver,C83)=0),NOT(INDEX(MonthKnockOutTable,C83))),"",MAX(A83,BegDate))</f>
        <v>38657</v>
      </c>
      <c r="F83" s="1574" t="n">
        <f aca="false">IF(E83="","",MIN(A84-1,EndDate))</f>
        <v>38686</v>
      </c>
      <c r="G83" s="1575" t="n">
        <v>0</v>
      </c>
      <c r="H83" s="1576" t="n">
        <f aca="false">(1+G83/2)^(-2*(DATE(B84,C84,20)-DateToday)/365.25)</f>
        <v>1</v>
      </c>
      <c r="I83" s="1568" t="n">
        <f aca="false">IF(Assumptions!$L$25=4,VLOOKUP($A83,'Henwood Reference'!$E$9:$R$320,10),(VLOOKUP($A83,PriceTable,2,0)+IF(BasisNumber&lt;&gt;1,VLOOKUP($A83,BasisTable,2,0),0)+I$1)/(1-I$2))</f>
        <v>43.4662259169398</v>
      </c>
      <c r="J83" s="1568" t="n">
        <f aca="false">IF(Assumptions!$L$25=4,VLOOKUP($A83,'Henwood Reference'!$E$9:$R$320,10),(VLOOKUP($A83,PriceTable,3,0)+IF(BasisNumber&lt;&gt;1,VLOOKUP($A83,BasisTable,2,0),0)+J$1)/(1-J$2))</f>
        <v>43.4662259169398</v>
      </c>
      <c r="K83" s="1568" t="n">
        <f aca="false">IF(Assumptions!$L$25=4,VLOOKUP($A83,'Henwood Reference'!$E$9:$R$320,10),(VLOOKUP($A83,PriceTable,4,0)+IF(BasisNumber&lt;&gt;1,VLOOKUP($A83,BasisTable,2,0),0)+K$1)/(1-K$2))</f>
        <v>43.4662259169398</v>
      </c>
      <c r="L83" s="1523" t="n">
        <f aca="false">IF(Assumptions!$L$25=4,VLOOKUP($A83,'Henwood Reference'!$E$9:$R$320,10),(VLOOKUP($A83,PriceTableWeekend,2,0)+IF(BasisNumber&lt;&gt;1,VLOOKUP($A83,BasisTable,2,0),0)+L$1)/(1-L$2))</f>
        <v>43.4662259169398</v>
      </c>
      <c r="M83" s="1568" t="n">
        <f aca="false">IF(Assumptions!$L$25=4,VLOOKUP($A83,'Henwood Reference'!$E$9:$R$320,10),(VLOOKUP($A83,PriceTableWeekend,3,0)+IF(BasisNumber&lt;&gt;1,VLOOKUP($A83,BasisTable,2,0),0)+M$1)/(1-M$2))</f>
        <v>43.4662259169398</v>
      </c>
      <c r="N83" s="1599" t="n">
        <f aca="false">IF(Assumptions!$L$25=4,VLOOKUP($A83,'Henwood Reference'!$E$9:$R$320,10),(VLOOKUP($A83,PriceTableWeekend,4,0)+IF(BasisNumber&lt;&gt;1,VLOOKUP($A83,BasisTable,2,0),0)+N$1)/(1-N$2))</f>
        <v>43.4662259169398</v>
      </c>
      <c r="O83" s="1568" t="n">
        <f aca="false">IF(Assumptions!$L$25=4,VLOOKUP($A83,'Henwood Reference'!$E$9:$R$320,11),(VLOOKUP($A83,PriceTableWeekend,6,0)+IF(BasisNumber&lt;&gt;1,VLOOKUP($A83,BasisTable,3,0),0)+O$1)/(1-O$2))</f>
        <v>27.7273332511632</v>
      </c>
      <c r="P83" s="1568" t="n">
        <f aca="false">IF(Assumptions!$L$25=4,VLOOKUP($A83,'Henwood Reference'!$E$9:$R$320,11),(VLOOKUP($A83,PriceTableWeekend,7,0)+IF(BasisNumber&lt;&gt;1,VLOOKUP($A83,BasisTable,3,0),0)+P$1)/(1-P$2))</f>
        <v>27.7273332511632</v>
      </c>
      <c r="Q83" s="1599" t="n">
        <f aca="false">IF(Assumptions!$L$25=4,VLOOKUP($A83,'Henwood Reference'!$E$9:$R$320,11),(VLOOKUP($A83,PriceTableWeekend,8,0)+IF(BasisNumber&lt;&gt;1,VLOOKUP($A83,BasisTable,3,0),0)+Q$1)/(1-Q$2))</f>
        <v>27.7273332511632</v>
      </c>
      <c r="R83" s="1568" t="n">
        <f aca="false">IF(Assumptions!$L$25=4,VLOOKUP($A83,'Henwood Reference'!$E$9:$R$320,11),(VLOOKUP($A83,PriceTable,6,0)+IF(BasisNumber&lt;&gt;1,VLOOKUP($A83,BasisTable,3,0),0)+R$1)/(1-R$2))</f>
        <v>27.7273332511632</v>
      </c>
      <c r="S83" s="1568" t="n">
        <f aca="false">IF(Assumptions!$L$25=4,VLOOKUP($A83,'Henwood Reference'!$E$9:$R$320,11),(VLOOKUP($A83,PriceTable,7,0)+IF(BasisNumber&lt;&gt;1,VLOOKUP($A83,BasisTable,3,0),0)+S$1)/(1-S$2))</f>
        <v>27.7273332511632</v>
      </c>
      <c r="T83" s="1600" t="n">
        <f aca="false">IF(Assumptions!$L$25=4,VLOOKUP($A83,'Henwood Reference'!$E$9:$R$320,11),(VLOOKUP($A83,PriceTable,8,0)+IF(BasisNumber&lt;&gt;1,VLOOKUP($A83,BasisTable,3,0),0)+T$1)/(1-T$2))</f>
        <v>27.7273332511632</v>
      </c>
      <c r="U83" s="1513" t="n">
        <f aca="false">VLOOKUP($A83,VolatilityTable,14)</f>
        <v>0.145</v>
      </c>
      <c r="V83" s="1513" t="n">
        <f aca="false">VLOOKUP($A83,VolatilityTable,15)</f>
        <v>0.155</v>
      </c>
      <c r="W83" s="1514" t="n">
        <f aca="false">VLOOKUP($A83,VolatilityTable,16)</f>
        <v>0.165</v>
      </c>
      <c r="X83" s="1513" t="n">
        <f aca="false">VLOOKUP($A83,VolatilityTable,14)</f>
        <v>0.145</v>
      </c>
      <c r="Y83" s="1513" t="n">
        <f aca="false">VLOOKUP($A83,VolatilityTable,15)</f>
        <v>0.155</v>
      </c>
      <c r="Z83" s="1514" t="n">
        <f aca="false">VLOOKUP($A83,VolatilityTable,16)</f>
        <v>0.165</v>
      </c>
      <c r="AA83" s="1513" t="n">
        <f aca="false">VLOOKUP($A83,VolatilityTable,18)</f>
        <v>0.09</v>
      </c>
      <c r="AB83" s="1513" t="n">
        <f aca="false">VLOOKUP($A83,VolatilityTable,19)</f>
        <v>0.11</v>
      </c>
      <c r="AC83" s="1514" t="n">
        <f aca="false">VLOOKUP($A83,VolatilityTable,20)</f>
        <v>0.13</v>
      </c>
      <c r="AD83" s="1513" t="n">
        <f aca="false">VLOOKUP($A83,VolatilityTable,18)</f>
        <v>0.09</v>
      </c>
      <c r="AE83" s="1513" t="n">
        <f aca="false">VLOOKUP($A83,VolatilityTable,19)</f>
        <v>0.11</v>
      </c>
      <c r="AF83" s="1514" t="n">
        <f aca="false">VLOOKUP($A83,VolatilityTable,20)</f>
        <v>0.13</v>
      </c>
      <c r="AG83" s="1513" t="n">
        <f aca="false">VLOOKUP($A83,VolatilityTable,22)</f>
        <v>-0.1</v>
      </c>
      <c r="AH83" s="1513" t="n">
        <f aca="false">VLOOKUP($A83,VolatilityTable,23)</f>
        <v>0.6</v>
      </c>
      <c r="AI83" s="1514" t="n">
        <f aca="false">VLOOKUP($A83,VolatilityTable,24)</f>
        <v>0.1</v>
      </c>
      <c r="AJ83" s="1513" t="n">
        <f aca="false">VLOOKUP($A83,VolatilityTable,22)</f>
        <v>-0.1</v>
      </c>
      <c r="AK83" s="1513" t="n">
        <f aca="false">VLOOKUP($A83,VolatilityTable,23)</f>
        <v>0.6</v>
      </c>
      <c r="AL83" s="1514" t="n">
        <f aca="false">VLOOKUP($A83,VolatilityTable,24)</f>
        <v>0.1</v>
      </c>
      <c r="AM83" s="1513" t="n">
        <f aca="false">VLOOKUP($A83,VolatilityTable,26)</f>
        <v>-0.01</v>
      </c>
      <c r="AN83" s="1513" t="n">
        <f aca="false">VLOOKUP($A83,VolatilityTable,27)</f>
        <v>0.16</v>
      </c>
      <c r="AO83" s="1514" t="n">
        <f aca="false">VLOOKUP($A83,VolatilityTable,28)</f>
        <v>0.01</v>
      </c>
      <c r="AP83" s="1513" t="n">
        <f aca="false">VLOOKUP($A83,VolatilityTable,26)</f>
        <v>-0.01</v>
      </c>
      <c r="AQ83" s="1513" t="n">
        <f aca="false">VLOOKUP($A83,VolatilityTable,27)</f>
        <v>0.16</v>
      </c>
      <c r="AR83" s="1515" t="n">
        <f aca="false">VLOOKUP($A83,VolatilityTable,28)</f>
        <v>0.01</v>
      </c>
      <c r="AS83" s="1581" t="n">
        <f aca="false">IF(CorrPeakOffPeakOverFlag,INDEX(CorrPeakOffPeakOver,C83),CorrPeakOffPeak)</f>
        <v>0.5</v>
      </c>
      <c r="AT83" s="594" t="e">
        <f aca="false">AX83-SUM(AU83:AW83)</f>
        <v>#VALUE!</v>
      </c>
      <c r="AU83" s="238" t="e">
        <f aca="false">IF(E83="",0,INT((F83-MOD(F83,7)-E83)/7)+1-IF(AW83,IF(WEEKDAY(D83)=7,1,0),0))</f>
        <v>#VALUE!</v>
      </c>
      <c r="AV83" s="238" t="e">
        <f aca="false">IF(E83="",0,INT((F83-MOD(F83-1,7)-E83)/7)+1-IF(AW83,IF(WEEKDAY(D83)=1,1,0),0))</f>
        <v>#VALUE!</v>
      </c>
      <c r="AW83" s="238" t="e">
        <f aca="false">IF(OR(E83="",D83="",D83&lt;BegDate,D83&gt;EndDate),0,1)</f>
        <v>#VALUE!</v>
      </c>
      <c r="AX83" s="238" t="n">
        <f aca="false">IF(E83="",0,F83-E83+1)</f>
        <v>30</v>
      </c>
      <c r="AY83" s="1582" t="n">
        <f aca="false">IF(E83="",0,MIN((1-(1-VLOOKUP(B83,MAIN!$AA$7:$AM$28,C83+1))*(1-VLOOKUP(B83,MAIN!$AA$33:$AM$54,C83+1))),1))</f>
        <v>0.03</v>
      </c>
      <c r="AZ83" s="1519" t="e">
        <v>#VALUE!</v>
      </c>
      <c r="BA83" s="1520" t="e">
        <v>#VALUE!</v>
      </c>
      <c r="BB83" s="1520" t="e">
        <v>#VALUE!</v>
      </c>
      <c r="BC83" s="1583" t="e">
        <v>#VALUE!</v>
      </c>
      <c r="BD83" s="1522" t="e">
        <v>#VALUE!</v>
      </c>
      <c r="BE83" s="1523" t="e">
        <v>#VALUE!</v>
      </c>
      <c r="BF83" s="1523" t="e">
        <v>#VALUE!</v>
      </c>
      <c r="BG83" s="1584" t="e">
        <v>#VALUE!</v>
      </c>
      <c r="BH83" s="1525" t="e">
        <v>#VALUE!</v>
      </c>
      <c r="BI83" s="1520" t="e">
        <v>#VALUE!</v>
      </c>
      <c r="BJ83" s="1520" t="e">
        <v>#VALUE!</v>
      </c>
      <c r="BK83" s="1583" t="e">
        <v>#VALUE!</v>
      </c>
      <c r="BL83" s="1522" t="e">
        <v>#VALUE!</v>
      </c>
      <c r="BM83" s="1523" t="e">
        <v>#VALUE!</v>
      </c>
      <c r="BN83" s="1523" t="e">
        <v>#VALUE!</v>
      </c>
      <c r="BO83" s="1523" t="e">
        <v>#VALUE!</v>
      </c>
      <c r="BP83" s="1525" t="e">
        <f aca="false">SUM(AZ83:BB83)</f>
        <v>#VALUE!</v>
      </c>
      <c r="BQ83" s="1529" t="e">
        <f aca="false">SUM(AZ83:BC83)</f>
        <v>#VALUE!</v>
      </c>
      <c r="BR83" s="1519" t="e">
        <f aca="false">SUM(BH83:BJ83)</f>
        <v>#VALUE!</v>
      </c>
      <c r="BS83" s="1529" t="e">
        <f aca="false">SUM(BH83:BK83)</f>
        <v>#VALUE!</v>
      </c>
      <c r="BT83" s="1316" t="n">
        <f aca="false">(IF(OVolType&lt;&gt;2,A83+14,IF(OptExpDateShift,ShiftBack(A83,OptExpDateShift,D82),A83))-DateToday)/365.25</f>
        <v>5.54962354551677</v>
      </c>
      <c r="BU83" s="1585" t="e">
        <f aca="false">IF(BQ83,IF(OPriceCurve,IF(OBuySell=OCallPut,I83/(1-AY83),K83/(1-AY83)),J83/(1-AY83))*BD83,0)</f>
        <v>#VALUE!</v>
      </c>
      <c r="BV83" s="1316" t="e">
        <f aca="false">IF(BQ83,IF(OPriceCurve,IF(OBuySell=OCallPut,L83/(1-AY83),N83/(1-AY83)),M83/(1-AY83))*BE83,0)</f>
        <v>#VALUE!</v>
      </c>
      <c r="BW83" s="1316" t="e">
        <f aca="false">IF(BQ83,IF(OPriceCurve,IF(OBuySell=OCallPut,O83/(1-AY83),Q83/(1-AY83)),P83/(1-AY83))*BF83,0)</f>
        <v>#VALUE!</v>
      </c>
      <c r="BX83" s="1316" t="e">
        <f aca="false">IF(BQ83,IF(OPriceCurve,IF(OBuySell=OCallPut,R83/(1-AY83),T83/(1-AY83)),S83/(1-AY83))*BG83,0)</f>
        <v>#VALUE!</v>
      </c>
      <c r="BY83" s="1316" t="e">
        <f aca="false">IF(BP83,(BU83*AZ83+BV83*BA83+BW83*BB83)/BP83,0)</f>
        <v>#VALUE!</v>
      </c>
      <c r="BZ83" s="1316" t="e">
        <f aca="false">IF(BQ83,(BY83*BP83+BX83*BC83)/BQ83,0)</f>
        <v>#VALUE!</v>
      </c>
      <c r="CA83" s="1531" t="e">
        <f aca="false">IF(BS83,IF(OPriceCurve,IF(OBuySell=OCallPut,I83/(1-AY83),K83/(1-AY83)),J83/(1-AY83))*BL83,0)</f>
        <v>#VALUE!</v>
      </c>
      <c r="CB83" s="1316" t="e">
        <f aca="false">IF(BS83,IF(OPriceCurve,IF(OBuySell=OCallPut,L83/(1-AY83),N83/(1-AY83)),M83/(1-AY83))*BM83,0)</f>
        <v>#VALUE!</v>
      </c>
      <c r="CC83" s="1316" t="e">
        <f aca="false">IF(BS83,IF(OPriceCurve,IF(OBuySell=OCallPut,O83/(1-AY83),Q83/(1-AY83)),P83/(1-AY83))*BN83,0)</f>
        <v>#VALUE!</v>
      </c>
      <c r="CD83" s="1316" t="e">
        <f aca="false">IF(BS83,IF(OPriceCurve,IF(OBuySell=OCallPut,R83/(1-AY83),T83/(1-AY83)),S83/(1-AY83))*BO83,0)</f>
        <v>#VALUE!</v>
      </c>
      <c r="CE83" s="1316" t="e">
        <f aca="false">IF(BR83,(BU83*BH83+BV83*BI83+BW83*BJ83)/BR83,0)</f>
        <v>#VALUE!</v>
      </c>
      <c r="CF83" s="1532" t="e">
        <f aca="false">IF(BS83,(CE83*BR83+CD83*BK83)/BS83,0)</f>
        <v>#VALUE!</v>
      </c>
      <c r="CG83" s="1586" t="e">
        <f aca="false">IF(OR(BQ83,BS83),IF(OVolType&lt;&gt;2,SQRT(IF(OVolOverMonthlyPeak,OVolOverMonthlyPeak,IF(OVolCurve,IF(OBuySell,U83,W83),V83))^2*(1-15/365.25/BT83)+IF(OVolOverDailyPeak,OVolOverDailyPeak,IF(OVolCurve,IF(OBuySell,AG83,AI83),AH83))^2*15/365.25/BT83),IF(OVolOverMonthlyPeak,OVolOverMonthlyPeak,IF(OVolCurve,IF(OBuySell,U83,W83),V83))),"")</f>
        <v>#VALUE!</v>
      </c>
      <c r="CH83" s="1587" t="e">
        <f aca="false">IF(OR(BQ83,BS83),IF(OVolType&lt;&gt;2,SQRT(IF(OVolOverMonthlyPeak,OVolOverMonthlyPeak,IF(OVolCurve,IF(OBuySell,X83,Z83),Y83))^2*(1-15/365.25/BT83)+IF(OVolOverDailyPeak,OVolOverDailyPeak,IF(OVolCurve,IF(OBuySell,AJ83,AL83),AK83))^2*15/365.25/BT83),IF(OVolOverMonthlyPeak,OVolOverMonthlyPeak,IF(OVolCurve,IF(OBuySell,X83,Z83),Y83))),"")</f>
        <v>#VALUE!</v>
      </c>
      <c r="CI83" s="1587" t="e">
        <f aca="false">IF(OR(BQ83,BS83),IF(OVolType&lt;&gt;2,SQRT(IF(OVolOverMonthlyPeak,OVolOverMonthlyPeak,IF(OVolCurve,IF(OBuySell,AA83,AC83),AB83))^2*(1-15/365.25/BT83)+IF(OVolOverDailyPeak,OVolOverDailyPeak,IF(OVolCurve,IF(OBuySell,AM83,AO83),AN83))^2*15/365.25/BT83),IF(OVolOverMonthlyPeak,OVolOverMonthlyPeak,IF(OVolCurve,IF(OBuySell,AA83,AC83),AB83))),"")</f>
        <v>#VALUE!</v>
      </c>
      <c r="CJ83" s="1587" t="e">
        <f aca="false">IF(BQ83,IF(BP83,SQRT(LN(1+((BU83*AZ83)^2*(EXP(CG83^2*BT83)-1)+(BV83*BA83)^2*(EXP(CH83^2*BT83)-1)+(BW83*BB83)^2*(EXP(CI83^2*BT83)-1)+2*BU83*AZ83*BV83*BA83*(EXP(CG83*CH83*BT83)-1)+2*BV83*BA83*BW83*BB83*(EXP(CH83*CI83*BT83)-1)+2*BW83*BB83*BU83*AZ83*(EXP(CI83*CG83*BT83)-1))/(BY83*BP83)^2)/BT83),0),"")</f>
        <v>#VALUE!</v>
      </c>
      <c r="CK83" s="1587" t="e">
        <f aca="false">IF(BS83,IF(BR83,SQRT(LN(1+((CA83*BH83)^2*(EXP(CG83^2*BT83)-1)+(CB83*BI83)^2*(EXP(CH83^2*BT83)-1)+(CC83*BJ83)^2*(EXP(CI83^2*BT83)-1)+2*CA83*BH83*CB83*BI83*(EXP(CG83*CH83*BT83)-1)+2*CB83*BI83*CC83*BJ83*(EXP(CH83*CI83*BT83)-1)+2*CC83*BJ83*CA83*BH83*(EXP(CI83*CG83*BT83)-1))/(CE83*BR83)^2)/BT83),0),"")</f>
        <v>#VALUE!</v>
      </c>
      <c r="CL83" s="1587" t="e">
        <f aca="false">IF(OR(BQ83,BS83),IF(OVolType&lt;&gt;2,SQRT(IF(OVolOverMonthlyOffPeak,OVolOverMonthlyOffPeak,IF(OVolCurve,IF(OBuySell,AD83,AF83),AE83))^2*(1-15/365.25/BT83)+IF(OVolOverDailyOffPeak,OVolOverDailyOffPeak,IF(OVolCurve,IF(OBuySell,AP83,AR83),AQ83))^2*15/365.25/BT83),IF(OVolOverMonthlyOffPeak,OVolOverMonthlyOffPeak,IF(OVolCurve,IF(OBuySell,AD83,AF83),AE83))),"")</f>
        <v>#VALUE!</v>
      </c>
      <c r="CM83" s="1587" t="e">
        <f aca="false">IF(BQ83,SQRT(LN(1+((BY83*BP83)^2*(EXP(CJ83^2*BT83)-1)+(BX83*BC83)^2*(EXP(CL83^2*BT83)-1)+2*BY83*BP83*BX83*BC83*(EXP(AS83*CJ83*CL83*BT83)-1))/(BY83*BP83+BX83*BC83)^2)/BT83),"")</f>
        <v>#VALUE!</v>
      </c>
      <c r="CN83" s="1588" t="e">
        <f aca="false">IF(BS83,SQRT(LN(1+((CE83*BR83)^2*(EXP(CK83^2*BT83)-1)+(CD83*BK83)^2*(EXP(CL83^2*BT83)-1)+2*CE83*BR83*CD83*BK83*(EXP(AS83*CK83*CL83*BT83)-1))/(CE83*BR83+CD83*BK83)^2)/BT83),"")</f>
        <v>#VALUE!</v>
      </c>
      <c r="CO83" s="1531" t="e">
        <f aca="false">IF(OR(BQ83,BS83),VLOOKUP(A83,GasTable,13)*HeatRatePeak*(1+VLOOKUP($B83,HeatRateDegradation,$C83+1))/1000,0)</f>
        <v>#VALUE!</v>
      </c>
      <c r="CP83" s="1316" t="e">
        <f aca="false">IF(OR(BQ83,BS83),VLOOKUP(A83,GasTable,13)*HeatRatePeak*(1+VLOOKUP($B83,HeatRateDegradation,$C83+1))/1000,0)</f>
        <v>#VALUE!</v>
      </c>
      <c r="CQ83" s="1316" t="e">
        <f aca="false">IF(OR(BQ83,BS83),VLOOKUP(A83,GasTable,13)*IF(EV83,HeatRatePeak,HeatRateOffPeak)*(1+VLOOKUP($B83,HeatRateDegradation,$C83+1))/1000,0)</f>
        <v>#VALUE!</v>
      </c>
      <c r="CR83" s="1316" t="e">
        <f aca="false">IF(OR(BQ83,BS83),VLOOKUP(A83,GasTable,13)*IF(EW83,HeatRatePeak,HeatRateOffPeak)*(1+VLOOKUP($B83,HeatRateDegradation,$C83+1))/1000,0)</f>
        <v>#VALUE!</v>
      </c>
      <c r="CS83" s="1589" t="e">
        <f aca="false">IF(BQ83,(CO83*AZ83+CP83*BA83+CQ83*BB83+CR83*BC83)/BQ83,0)</f>
        <v>#VALUE!</v>
      </c>
      <c r="CT83" s="1316" t="e">
        <f aca="false">IF(BS83,CO83,0)</f>
        <v>#VALUE!</v>
      </c>
      <c r="CU83" s="1590" t="e">
        <f aca="false">IF(OR(BQ83,BS83),VLOOKUP(A83,GasTable,14),"")</f>
        <v>#VALUE!</v>
      </c>
      <c r="CV83" s="1568" t="e">
        <f aca="false">IF(OR(BQ83,BS83),IF(CorrPowerGasOverFlag,INDEX(CorrPowerGasOver,C83),CorrPowerGas),"")</f>
        <v>#VALUE!</v>
      </c>
      <c r="CW83" s="1316" t="e">
        <f aca="false">IF(OR($BQ83,$BS83),SpreadOptPowerMargin,0)*((1+Assumptions!$C$26)^($B83-YEAR(Assumptions!$C$17)))</f>
        <v>#VALUE!</v>
      </c>
      <c r="CX83" s="1316" t="e">
        <f aca="false">IF(OR($BQ83,$BS83),SpreadOptPowerMargin,0)*((1+Assumptions!$C$26)^($B83-YEAR(Assumptions!$C$17)))</f>
        <v>#VALUE!</v>
      </c>
      <c r="CY83" s="1316" t="e">
        <f aca="false">IF(OR($BQ83,$BS83),SpreadOptPowerMargin,0)*((1+Assumptions!$C$26)^($B83-YEAR(Assumptions!$C$17)))</f>
        <v>#VALUE!</v>
      </c>
      <c r="CZ83" s="1316" t="e">
        <f aca="false">IF(OR($BQ83,$BS83),SpreadOptPowerMargin,0)*((1+Assumptions!$C$26)^($B83-YEAR(Assumptions!$C$17)))</f>
        <v>#VALUE!</v>
      </c>
      <c r="DA83" s="1591" t="e">
        <f aca="false">IF(OR(BQ83,BS83),(CW83*(AZ83+BH83)+CX83*(BA83+BI83)+CY83*(BB83+BJ83)+CZ83*(BC83+BK83))/(BQ83+BS83),0)</f>
        <v>#VALUE!</v>
      </c>
      <c r="DB83" s="1592" t="e">
        <f aca="false">IF(OR(BQ83,BS83),CG83+IF(OVolSmile,VLOOKUP(MAX(-5,CO83+CW83-BU83),IF(OVolSmile=1,VolSmileBook,VolSmileModel),2),0),"")</f>
        <v>#VALUE!</v>
      </c>
      <c r="DC83" s="1592" t="e">
        <f aca="false">IF(OR(BQ83,BS83),CH83+IF(OVolSmile,VLOOKUP(MAX(-5,CP83+CW83-BV83),IF(OVolSmile=1,VolSmileBook,VolSmileModel),2),0),"")</f>
        <v>#VALUE!</v>
      </c>
      <c r="DD83" s="1592" t="e">
        <f aca="false">IF(OR(BQ83,BS83),CI83+IF(OVolSmile,VLOOKUP(MAX(-5,CQ83+CW83-BW83),IF(OVolSmile=1,VolSmileBook,VolSmileModel),2),0),"")</f>
        <v>#VALUE!</v>
      </c>
      <c r="DE83" s="1592" t="e">
        <f aca="false">IF(OR(BQ83,BS83),CL83+IF(OVolSmile,VLOOKUP(MAX(-5,CR83+CZ83-BX83),IF(OVolSmile=1,VolSmileBook,VolSmileModel),2),0),"")</f>
        <v>#VALUE!</v>
      </c>
      <c r="DF83" s="1592" t="e">
        <f aca="false">IF(BQ83,CM83+IF(OVolSmile,VLOOKUP(MAX(-5,CS83+DA83-BZ83),IF(OVolSmile=1,VolSmileBook,VolSmileModel),2),0),"")</f>
        <v>#VALUE!</v>
      </c>
      <c r="DG83" s="1593" t="e">
        <f aca="false">IF(BS83,CN83+IF(OVolSmile,VLOOKUP(MAX(-5,CT83+DA83-CF83),IF(OVolSmile=1,VolSmileBook,VolSmileModel),2),0),"")</f>
        <v>#VALUE!</v>
      </c>
      <c r="DH83" s="1316" t="e">
        <f aca="false">IF(AND(BU83&gt;0,CO83&gt;0,DB83&gt;0,CU83&gt;0),newSPRDOPT(BU83,CO83,CW83,0,DB83,CU83,CV83,BT83*365.25,OCallPut,0),0)</f>
        <v>#VALUE!</v>
      </c>
      <c r="DI83" s="1316" t="e">
        <f aca="false">IF(AND(BV83&gt;0,CP83&gt;0,DC83&gt;0,CU83&gt;0),newSPRDOPT(BV83,CP83,CX83,0,DC83,CU83,CV83,BT83*365.25,OCallPut,0),0)</f>
        <v>#VALUE!</v>
      </c>
      <c r="DJ83" s="1316" t="e">
        <f aca="false">IF(AND(BW83&gt;0,CQ83&gt;0,DD83&gt;0,CU83&gt;0),newSPRDOPT(BW83,CQ83,CY83,0,DD83,CU83,CV83,BT83*365.25,OCallPut,0),0)</f>
        <v>#VALUE!</v>
      </c>
      <c r="DK83" s="1316" t="e">
        <f aca="false">IF(AND(BX83&gt;0,CR83&gt;0,DE83&gt;0,CU83&gt;0),newSPRDOPT(BX83,CR83,CZ83,0,DE83,CU83,CV83,BT83*365.25,OCallPut,0),0)</f>
        <v>#VALUE!</v>
      </c>
      <c r="DL83" s="1316" t="e">
        <f aca="false">IF(OVolType,IF(AND(BZ83&gt;0,CS83&gt;0,DF83&gt;0,CU83&gt;0),newSPRDOPT(BZ83,CS83,DA83,0,DF83,CU83,CV83,BT83*365.25,OCallPut,0),0),IF(BQ83,(DH83*AZ83+DI83*BA83+DJ83*BB83+DK83*BC83)/BQ83,0))</f>
        <v>#VALUE!</v>
      </c>
      <c r="DM83" s="1316"/>
      <c r="DN83" s="1316"/>
      <c r="DO83" s="1316"/>
      <c r="DP83" s="1316"/>
      <c r="DQ83" s="1316"/>
      <c r="DR83" s="1316"/>
      <c r="DS83" s="1316"/>
      <c r="DT83" s="1316"/>
      <c r="DU83" s="1316"/>
      <c r="DV83" s="1316"/>
      <c r="DW83" s="1594" t="e">
        <f aca="false">IF(AND(BW83&gt;0,CT83&gt;0,DD83&gt;0,CU83&gt;0),newSPRDOPT(BW83,CT83,CY83,0,DD83,CU83,CV83,BT83*365.25,OCallPut,0),0)</f>
        <v>#VALUE!</v>
      </c>
      <c r="DX83" s="1316" t="e">
        <f aca="false">IF(AND(BX83&gt;0,CT83&gt;0,DE83&gt;0,CU83&gt;0),newSPRDOPT(BX83,CT83,CZ83,0,DE83,CU83,CV83,BT83*365.25,OCallPut,0),0)</f>
        <v>#VALUE!</v>
      </c>
      <c r="DY83" s="1591" t="e">
        <f aca="false">IF(BS83,(DH83*BH83+DI83*BI83+DW83*BJ83+DX83*BK83)/BS83,0)</f>
        <v>#VALUE!</v>
      </c>
      <c r="DZ83" s="1551" t="e">
        <f aca="false">DH83*AZ83</f>
        <v>#VALUE!</v>
      </c>
      <c r="EA83" s="1551" t="e">
        <f aca="false">DI83*BA83</f>
        <v>#VALUE!</v>
      </c>
      <c r="EB83" s="1551" t="e">
        <f aca="false">DJ83*BB83</f>
        <v>#VALUE!</v>
      </c>
      <c r="EC83" s="1551" t="e">
        <f aca="false">DK83*BC83</f>
        <v>#VALUE!</v>
      </c>
      <c r="ED83" s="1551" t="e">
        <f aca="false">DL83*BQ83</f>
        <v>#VALUE!</v>
      </c>
      <c r="EE83" s="1595" t="e">
        <f aca="false">IF(BQ83,IF(OCallPut,IF(BU83&gt;(CO83+CW83),BU83-(CO83+CW83),0),IF((CO83+CW83)&gt;BU83,(CO83+CW83)-BU83,0))*AZ83,0)</f>
        <v>#VALUE!</v>
      </c>
      <c r="EF83" s="1596" t="e">
        <f aca="false">IF(BQ83,IF(OCallPut,IF(BV83&gt;(CP83+CX83),BV83-(CP83+CX83),0),IF((CP83+CX83)&gt;BV83,(CP83+CX83)-BV83,0))*BA83,0)</f>
        <v>#VALUE!</v>
      </c>
      <c r="EG83" s="1596" t="e">
        <f aca="false">IF(BQ83,IF(OCallPut,IF(BW83&gt;(CQ83+CY83),BW83-(CQ83+CY83),0),IF((CQ83+CY83)&gt;BW83,(CQ83+CY83)-BW83,0))*BB83,0)</f>
        <v>#VALUE!</v>
      </c>
      <c r="EH83" s="1596" t="e">
        <f aca="false">IF(BQ83,IF(OCallPut,IF(BX83&gt;(CR83+CZ83),BX83-(CR83+CZ83),0),IF((CR83+CZ83)&gt;BX83,(CR83+CZ83)-BX83,0))*BC83,0)</f>
        <v>#VALUE!</v>
      </c>
      <c r="EI83" s="1597" t="e">
        <f aca="false">IF(BQ83,IF(OVolType,IF(OCallPut,IF(BZ83&gt;(CS83+DA83),BZ83-(CS83+DA83),0),IF((CS83+DA83)&gt;BZ83,(CS83+DA83)-BZ83,0))*BQ83,SUM(EE83:EH83)),0)</f>
        <v>#VALUE!</v>
      </c>
      <c r="EJ83" s="1595" t="e">
        <f aca="false">DZ83-EE83</f>
        <v>#VALUE!</v>
      </c>
      <c r="EK83" s="1596" t="e">
        <f aca="false">EA83-EF83</f>
        <v>#VALUE!</v>
      </c>
      <c r="EL83" s="1596" t="e">
        <f aca="false">EB83-EG83</f>
        <v>#VALUE!</v>
      </c>
      <c r="EM83" s="1596" t="e">
        <f aca="false">EC83-EH83</f>
        <v>#VALUE!</v>
      </c>
      <c r="EN83" s="1597" t="e">
        <f aca="false">ED83-EI83</f>
        <v>#VALUE!</v>
      </c>
      <c r="EO83" s="1551" t="e">
        <f aca="false">DH83*BH83</f>
        <v>#VALUE!</v>
      </c>
      <c r="EP83" s="1551" t="e">
        <f aca="false">DI83*BI83</f>
        <v>#VALUE!</v>
      </c>
      <c r="EQ83" s="1551" t="e">
        <f aca="false">DW83*BJ83</f>
        <v>#VALUE!</v>
      </c>
      <c r="ER83" s="1551" t="e">
        <f aca="false">DX83*BK83</f>
        <v>#VALUE!</v>
      </c>
      <c r="ES83" s="1551" t="e">
        <f aca="false">DY83*BS83</f>
        <v>#VALUE!</v>
      </c>
      <c r="ET83" s="1566" t="e">
        <f aca="false">IF(EI83,IF(OCallPut,IF(CA83&gt;(CT83+CW83),CA83-(CT83+CW83),0),IF((CT83+CW83)&gt;CA83,(CT83+CW83)-CA83,0))*BH83,0)</f>
        <v>#VALUE!</v>
      </c>
      <c r="EU83" s="1551" t="e">
        <f aca="false">IF(EI83,IF(OCallPut,IF(CB83&gt;(CT83+CX83),CB83-(CT83+CX83),0),IF((CT83+CX83)&gt;CB83,(CT83+CX83)-CB83,0))*BI83,0)</f>
        <v>#VALUE!</v>
      </c>
      <c r="EV83" s="1551" t="e">
        <f aca="false">IF(EI83,IF(OCallPut,IF(CC83&gt;(CT83+CY83),CC83-(CT83+CY83),0),IF((CT83+CY83)&gt;CC83,(CT83+CY83)-CC83,0))*BJ83,0)</f>
        <v>#VALUE!</v>
      </c>
      <c r="EW83" s="1551" t="e">
        <f aca="false">IF(EI83,IF(OCallPut,IF(CD83&gt;(CT83+CZ83),CD83-(CT83+CZ83),0),IF((CT83+CZ83)&gt;CD83,(CT83+CZ83)-CD83,0))*BK83,0)</f>
        <v>#VALUE!</v>
      </c>
      <c r="EX83" s="1558" t="e">
        <f aca="false">IF(EI83,SUM(ET83:EW83),0)</f>
        <v>#VALUE!</v>
      </c>
      <c r="EY83" s="1551" t="e">
        <f aca="false">EO83-ET83</f>
        <v>#VALUE!</v>
      </c>
      <c r="EZ83" s="1551" t="e">
        <f aca="false">EP83-EU83</f>
        <v>#VALUE!</v>
      </c>
      <c r="FA83" s="1551" t="e">
        <f aca="false">EQ83-EV83</f>
        <v>#VALUE!</v>
      </c>
      <c r="FB83" s="1551" t="e">
        <f aca="false">ER83-EW83</f>
        <v>#VALUE!</v>
      </c>
      <c r="FC83" s="1551" t="e">
        <f aca="false">ES83-EX83</f>
        <v>#VALUE!</v>
      </c>
      <c r="FD83" s="1525" t="n">
        <f aca="false">IF(AX83,IF(VLOOKUP(C83,MAIN!$L$17:$M$28,2)="Yes",VLOOKUP(CALC!B83,MAIN!$H$17:$I$20,2),0),0)</f>
        <v>0</v>
      </c>
      <c r="FE83" s="1552" t="e">
        <f aca="false">$FD83*16*AT83*(1-$AY83)</f>
        <v>#VALUE!</v>
      </c>
      <c r="FF83" s="1553" t="e">
        <f aca="false">$FD83*16*AU83*(1-$AY83)</f>
        <v>#VALUE!</v>
      </c>
      <c r="FG83" s="1553" t="e">
        <f aca="false">$FD83*16*(AV83+AW83)*(1-$AY83)</f>
        <v>#VALUE!</v>
      </c>
      <c r="FH83" s="1554" t="n">
        <f aca="false">$FD83*8*AX83*(1-$AY83)</f>
        <v>0</v>
      </c>
      <c r="FI83" s="1555" t="n">
        <f aca="false">IF(AX83,VLOOKUP(CALC!B83,MAIN!$H$17:$K$20,4),0)</f>
        <v>0</v>
      </c>
      <c r="FJ83" s="1553" t="e">
        <f aca="false">SUM(FE83:FH83)</f>
        <v>#VALUE!</v>
      </c>
      <c r="FK83" s="1556" t="e">
        <f aca="false">FI83*FJ83</f>
        <v>#VALUE!</v>
      </c>
      <c r="FL83" s="1551" t="e">
        <f aca="false">IF($EI83&gt;0,MIN(FE83,AZ83*(1+VLOOKUP($C83,WeatherCapacityAdjustment,2))),0)</f>
        <v>#VALUE!</v>
      </c>
      <c r="FM83" s="1551" t="e">
        <f aca="false">IF($EI83&gt;0,MIN(FF83,BA83*(1+VLOOKUP($C83,WeatherCapacityAdjustment,2))),0)</f>
        <v>#VALUE!</v>
      </c>
      <c r="FN83" s="1551" t="e">
        <f aca="false">IF($EI83&gt;0,MIN(FG83,BB83*(1+VLOOKUP($C83,WeatherCapacityAdjustment,2))),0)</f>
        <v>#VALUE!</v>
      </c>
      <c r="FO83" s="1564" t="e">
        <f aca="false">IF($EI83&gt;0,MIN(FH83,BC83*(1+VLOOKUP($C83,WeatherCapacityAdjustment,3))),0)</f>
        <v>#VALUE!</v>
      </c>
      <c r="FP83" s="1551" t="e">
        <f aca="false">IF(ET83&gt;0,MIN(FE83-FL83,BH83*(1+VLOOKUP($C83,WeatherCapacityAdjustment,2))),0)</f>
        <v>#VALUE!</v>
      </c>
      <c r="FQ83" s="1551" t="e">
        <f aca="false">IF(EU83&gt;0,MIN(FF83-FM83,BI83*(1+VLOOKUP($C83,WeatherCapacityAdjustment,2))),0)</f>
        <v>#VALUE!</v>
      </c>
      <c r="FR83" s="1551" t="e">
        <f aca="false">IF(EV83&gt;0,MIN(FG83-FN83,BJ83*(1+VLOOKUP($C83,WeatherCapacityAdjustment,2))),0)</f>
        <v>#VALUE!</v>
      </c>
      <c r="FS83" s="1558" t="e">
        <f aca="false">IF(EW83&gt;0,MIN(FH83-FO83,BK83*(1+VLOOKUP($C83,WeatherCapacityAdjustment,3))),0)</f>
        <v>#VALUE!</v>
      </c>
      <c r="FT83" s="1566" t="e">
        <f aca="false">IF(AND(Assumptions!$H$71="Yes",A83&gt;=Assumptions!$H$72,A83&lt;=Assumptions!$H$73),0,IF(AND($A83&gt;=Assumptions!$C$17,$A83&lt;=Assumptions!$C$18),MAX(AZ83*(1+VLOOKUP($C83,WeatherCapacityAdjustment,2))-FL83,0),0))</f>
        <v>#VALUE!</v>
      </c>
      <c r="FU83" s="1551" t="e">
        <f aca="false">IF(AND(Assumptions!$H$71="Yes",A83&gt;=Assumptions!$H$72,A83&lt;=Assumptions!$H$73),0,IF(AND($A83&gt;=Assumptions!$C$17,$A83&lt;=Assumptions!$C$18),MAX(BA83*(1+VLOOKUP($C83,WeatherCapacityAdjustment,2))-FM83,0),0))</f>
        <v>#VALUE!</v>
      </c>
      <c r="FV83" s="1551" t="e">
        <f aca="false">IF(AND(Assumptions!$H$71="Yes",A83&gt;=Assumptions!$H$72,A83&lt;=Assumptions!$H$73),0,IF(AND($A83&gt;=Assumptions!$C$17,$A83&lt;=Assumptions!$C$18),MAX(BB83*(1+VLOOKUP($C83,WeatherCapacityAdjustment,2))-FN83,0),0))</f>
        <v>#VALUE!</v>
      </c>
      <c r="FW83" s="1564" t="e">
        <f aca="false">IF(AND(Assumptions!$H$71="Yes",A83&gt;=Assumptions!$H$72,A83&lt;=Assumptions!$H$73),0,IF(AND($A83&gt;=Assumptions!$C$17,$A83&lt;=Assumptions!$C$18),MAX(BC83*(1+VLOOKUP($C83,WeatherCapacityAdjustment,3))-FO83,0),0))</f>
        <v>#VALUE!</v>
      </c>
      <c r="FX83" s="1569" t="e">
        <f aca="false">IF(AND(Assumptions!$H$71="Yes",A83&gt;=Assumptions!$H$72,A83&lt;=Assumptions!$H$73),0,IF(ET83&gt;0,MAX(BH83*(1+VLOOKUP($C83,WeatherCapacityAdjustment,2))-FP83,0),0))</f>
        <v>#VALUE!</v>
      </c>
      <c r="FY83" s="1551" t="e">
        <f aca="false">IF(AND(Assumptions!$H$71="Yes",A83&gt;=Assumptions!$H$72,A83&lt;=Assumptions!$H$73),0,IF(EU83&gt;0,MAX(BI83*(1+VLOOKUP($C83,WeatherCapacityAdjustment,3))-FQ83,0),0))</f>
        <v>#VALUE!</v>
      </c>
      <c r="FZ83" s="1551" t="e">
        <f aca="false">IF(AND(Assumptions!$H$71="Yes",A83&gt;=Assumptions!$H$72,A83&lt;=Assumptions!$H$73),0,IF(EV83&gt;0,MAX(BJ83*(1+VLOOKUP($C83,WeatherCapacityAdjustment,2))-FR83,0),0))</f>
        <v>#VALUE!</v>
      </c>
      <c r="GA83" s="1564" t="e">
        <f aca="false">IF(AND(Assumptions!$H$71="Yes",A83&gt;=Assumptions!$H$72,A83&lt;=Assumptions!$H$73),0,IF(EW83&gt;0,MAX(BK83*(1+VLOOKUP($C83,WeatherCapacityAdjustment,2))-FS83,0),0))</f>
        <v>#VALUE!</v>
      </c>
      <c r="GB83" s="1551" t="e">
        <f aca="false">SUM(FT83:GA83)</f>
        <v>#VALUE!</v>
      </c>
      <c r="GC83" s="1563" t="e">
        <f aca="false">+IF(SUM(FT83:GA83)=0,0,(SUMPRODUCT(BU83:BX83,FT83:FW83)+SUMPRODUCT(CA83:CD83,FX83:GA83))/SUM(FT83:GA83))</f>
        <v>#VALUE!</v>
      </c>
      <c r="GD83" s="1551" t="e">
        <f aca="false">(FT83*BU83+FX83*CA83+FU83*BV83+FY83*CB83+FV83*BW83+FZ83*CC83+FW83*BX83+GA83*CD83)</f>
        <v>#VALUE!</v>
      </c>
      <c r="GE83" s="1561" t="e">
        <f aca="false">+IF(BQ83,((FL83+FM83+FT83+FU83)*HeatRatePeak/1000*(1+VLOOKUP($C83,WeatherHeatRateAdjustment,2))+(FN83+FV83)*IF(EV83&gt;0,HeatRatePeak,HeatRateOffPeak)/1000*(1+VLOOKUP($C83,WeatherHeatRateAdjustment,2))+(FO83+FW83)*IF(EW83&gt;0,HeatRatePeak,HeatRateOffPeak)/1000*(1+VLOOKUP($C83,WeatherHeatRateAdjustment,3)))*(1+VLOOKUP($B83,HeatRateDegradation,$C83+1)),0)</f>
        <v>#VALUE!</v>
      </c>
      <c r="GF83" s="1562" t="e">
        <f aca="false">IF(BQ83,((FP83+FQ83+FR83+FX83+FY83+FZ83)*HeatRatePeak/1000*(1+VLOOKUP($C83,WeatherHeatRateAdjustment,2))+(FS83+GA83)*HeatRatePeak/1000*(1+VLOOKUP($C83,WeatherHeatRateAdjustment,3)))*(1+VLOOKUP($B83,HeatRateDegradation,$C83+1)),0)</f>
        <v>#VALUE!</v>
      </c>
      <c r="GG83" s="1563" t="e">
        <f aca="false">IF(BQ83,VLOOKUP(A83,GasTable,13),0)</f>
        <v>#VALUE!</v>
      </c>
      <c r="GH83" s="1564" t="e">
        <f aca="false">(GE83+GF83)*GG83</f>
        <v>#VALUE!</v>
      </c>
      <c r="GI83" s="1569" t="e">
        <f aca="false">GB83</f>
        <v>#VALUE!</v>
      </c>
      <c r="GJ83" s="1598" t="e">
        <f aca="false">+DA83</f>
        <v>#VALUE!</v>
      </c>
      <c r="GK83" s="1558" t="e">
        <f aca="false">+GI83*GJ83</f>
        <v>#VALUE!</v>
      </c>
      <c r="GL83" s="1566" t="e">
        <f aca="false">MAX(FE83-FL83-FP83,0)</f>
        <v>#VALUE!</v>
      </c>
      <c r="GM83" s="1551" t="e">
        <f aca="false">MAX(FF83-FM83-FQ83,0)</f>
        <v>#VALUE!</v>
      </c>
      <c r="GN83" s="1551" t="e">
        <f aca="false">MAX(FG83-FN83-FR83,0)</f>
        <v>#VALUE!</v>
      </c>
      <c r="GO83" s="1564" t="e">
        <f aca="false">MAX(FH83-FO83-FS83,0)</f>
        <v>#VALUE!</v>
      </c>
      <c r="GP83" s="1551" t="e">
        <f aca="false">SUM(GL83:GO83)</f>
        <v>#VALUE!</v>
      </c>
      <c r="GQ83" s="1563" t="e">
        <f aca="false">IF(SUM(GL83:GO83)=0,0,((GL83*BU83+GM83*BV83+GN83*BW83+GO83*BX83)/SUM(GL83:GO83)))</f>
        <v>#VALUE!</v>
      </c>
      <c r="GR83" s="1558" t="e">
        <f aca="false">(GL83*BU83+GM83*BV83+GN83*BW83+GO83*BX83)</f>
        <v>#VALUE!</v>
      </c>
      <c r="GS83" s="1566" t="n">
        <f aca="false">IF($A83&gt;=BegDate,Assumptions!$C$56*24*($A84-$A83)*(1-VLOOKUP($B83,MAIN!$AA$7:$AM$28,$C83+1))*(1-VLOOKUP($B83,MAIN!$AA$33:$AM$54,$C83+1)),0)*80/168</f>
        <v>249428.571428571</v>
      </c>
      <c r="GT83" s="286" t="n">
        <f aca="false">J83</f>
        <v>43.4662259169398</v>
      </c>
      <c r="GU83" s="286" t="n">
        <f aca="false">IF($A83&gt;=BegDate,VLOOKUP($A83,GasTable,13)+Assumptions!$C$58,0)</f>
        <v>2.86159553823967</v>
      </c>
      <c r="GV83" s="286" t="n">
        <f aca="false">GU83*Assumptions!$C$57/1000</f>
        <v>20.7465676522376</v>
      </c>
      <c r="GW83" s="1558" t="n">
        <f aca="false">IF(Assumptions!$C$60="Hourly",MAX(0,GS83*(GT83-GV83)),GS83*(GT83-GV83))</f>
        <v>5666931.90431002</v>
      </c>
      <c r="GX83" s="1566" t="n">
        <f aca="false">IF($A83&gt;=BegDate,Assumptions!$C$56*24*($A84-$A83)*(1-VLOOKUP($B83,MAIN!$AA$7:$AM$28,$C83+1))*(1-VLOOKUP($B83,MAIN!$AA$33:$AM$54,$C83+1)),0)*16/168</f>
        <v>49885.7142857143</v>
      </c>
      <c r="GY83" s="286" t="n">
        <f aca="false">M83</f>
        <v>43.4662259169398</v>
      </c>
      <c r="GZ83" s="286" t="n">
        <f aca="false">IF($A83&gt;=BegDate,VLOOKUP($A83,GasTable,13)+Assumptions!$C$58,0)</f>
        <v>2.86159553823967</v>
      </c>
      <c r="HA83" s="286" t="n">
        <f aca="false">GZ83*Assumptions!$C$57/1000</f>
        <v>20.7465676522376</v>
      </c>
      <c r="HB83" s="1558" t="n">
        <f aca="false">IF(Assumptions!$C$60="Hourly",MAX(0,GX83*(GY83-HA83)),GX83*(GY83-HA83))</f>
        <v>1133386.380862</v>
      </c>
      <c r="HC83" s="1566" t="n">
        <f aca="false">IF($A83&gt;=BegDate,Assumptions!$C$56*24*($A84-$A83)*(1-VLOOKUP($B83,MAIN!$AA$7:$AM$28,$C83+1))*(1-VLOOKUP($B83,MAIN!$AA$33:$AM$54,$C83+1)),0)*16/168</f>
        <v>49885.7142857143</v>
      </c>
      <c r="HD83" s="286" t="n">
        <f aca="false">P83</f>
        <v>27.7273332511632</v>
      </c>
      <c r="HE83" s="286" t="n">
        <f aca="false">IF($A83&gt;=BegDate,VLOOKUP($A83,GasTable,13)+Assumptions!$C$58,0)</f>
        <v>2.86159553823967</v>
      </c>
      <c r="HF83" s="286" t="n">
        <f aca="false">HE83*Assumptions!$C$57/1000</f>
        <v>20.7465676522376</v>
      </c>
      <c r="HG83" s="1558" t="n">
        <f aca="false">IF(Assumptions!$C$60="Hourly",MAX(0,HC83*(HD83-HF83)),HC83*(HD83-HF83))</f>
        <v>348240.478163547</v>
      </c>
      <c r="HH83" s="1566" t="n">
        <f aca="false">IF($A83&gt;=BegDate,Assumptions!$C$56*24*($A84-$A83)*(1-VLOOKUP($B83,MAIN!$AA$7:$AM$28,$C83+1))*(1-VLOOKUP($B83,MAIN!$AA$33:$AM$54,$C83+1)),0)*56/168</f>
        <v>174600</v>
      </c>
      <c r="HI83" s="286" t="n">
        <f aca="false">S83</f>
        <v>27.7273332511632</v>
      </c>
      <c r="HJ83" s="286" t="n">
        <f aca="false">IF($A83&gt;=BegDate,VLOOKUP($A83,GasTable,13)+Assumptions!$C$58,0)</f>
        <v>2.86159553823967</v>
      </c>
      <c r="HK83" s="286" t="n">
        <f aca="false">HJ83*Assumptions!$C$57/1000</f>
        <v>20.7465676522376</v>
      </c>
      <c r="HL83" s="1558" t="n">
        <f aca="false">IF(Assumptions!$C$60="Hourly",MAX(0,HH83*(HI83-HK83)),HH83*(HI83-HK83))</f>
        <v>1218841.67357241</v>
      </c>
      <c r="HM83" s="1566" t="n">
        <f aca="false">IF(AND(Assumptions!$H$71="Yes",A83&gt;=Assumptions!$H$72,A83&lt;=Assumptions!$H$73),Assumptions!$H$74*Assumptions!$C$9*1000,0)</f>
        <v>0</v>
      </c>
      <c r="HN83" s="1551" t="e">
        <f aca="false">GD83-GH83</f>
        <v>#VALUE!</v>
      </c>
      <c r="HO83" s="1563"/>
      <c r="HP83" s="1563"/>
      <c r="HQ83" s="1563"/>
      <c r="HR83" s="1563"/>
      <c r="HS83" s="1563"/>
      <c r="HT83" s="1563"/>
      <c r="HU83" s="1563"/>
      <c r="HV83" s="1563"/>
      <c r="HW83" s="1563"/>
      <c r="HX83" s="1563"/>
      <c r="HY83" s="1563"/>
      <c r="HZ83" s="1563"/>
      <c r="IA83" s="1563"/>
      <c r="IB83" s="1563"/>
      <c r="IC83" s="1563"/>
      <c r="ID83" s="1563"/>
      <c r="IE83" s="1563"/>
      <c r="IF83" s="1563"/>
      <c r="IG83" s="1563"/>
      <c r="IH83" s="1563"/>
      <c r="II83" s="1610"/>
      <c r="IJ83" s="1309"/>
      <c r="IK83" s="1309"/>
    </row>
    <row r="84" customFormat="false" ht="12.75" hidden="false" customHeight="false" outlineLevel="0" collapsed="false">
      <c r="A84" s="1571" t="n">
        <f aca="false">EOMONTH(A83,0)+1</f>
        <v>38687</v>
      </c>
      <c r="B84" s="594" t="n">
        <f aca="false">+YEAR(A84)</f>
        <v>2005</v>
      </c>
      <c r="C84" s="238" t="n">
        <f aca="false">MONTH(A84)</f>
        <v>12</v>
      </c>
      <c r="D84" s="1572" t="e">
        <f aca="false">IF(E84="","",Holiday(B84,C84))</f>
        <v>#VALUE!</v>
      </c>
      <c r="E84" s="1573" t="n">
        <f aca="false">IF(OR(BegDate&gt;=A85,EndDate&lt;A84,AND(VolumeMonthlyOverFlag,INDEX(VolumeMonthlyOver,C84)=0),NOT(INDEX(MonthKnockOutTable,C84))),"",MAX(A84,BegDate))</f>
        <v>38687</v>
      </c>
      <c r="F84" s="1574" t="n">
        <f aca="false">IF(E84="","",MIN(A85-1,EndDate))</f>
        <v>38717</v>
      </c>
      <c r="G84" s="1575" t="n">
        <v>0</v>
      </c>
      <c r="H84" s="1576" t="n">
        <f aca="false">(1+G84/2)^(-2*(DATE(B85,C85,20)-DateToday)/365.25)</f>
        <v>1</v>
      </c>
      <c r="I84" s="1568" t="n">
        <f aca="false">IF(Assumptions!$L$25=4,VLOOKUP($A84,'Henwood Reference'!$E$9:$R$320,10),(VLOOKUP($A84,PriceTable,2,0)+IF(BasisNumber&lt;&gt;1,VLOOKUP($A84,BasisTable,2,0),0)+I$1)/(1-I$2))</f>
        <v>42.2655380434598</v>
      </c>
      <c r="J84" s="1568" t="n">
        <f aca="false">IF(Assumptions!$L$25=4,VLOOKUP($A84,'Henwood Reference'!$E$9:$R$320,10),(VLOOKUP($A84,PriceTable,3,0)+IF(BasisNumber&lt;&gt;1,VLOOKUP($A84,BasisTable,2,0),0)+J$1)/(1-J$2))</f>
        <v>42.2655380434598</v>
      </c>
      <c r="K84" s="1568" t="n">
        <f aca="false">IF(Assumptions!$L$25=4,VLOOKUP($A84,'Henwood Reference'!$E$9:$R$320,10),(VLOOKUP($A84,PriceTable,4,0)+IF(BasisNumber&lt;&gt;1,VLOOKUP($A84,BasisTable,2,0),0)+K$1)/(1-K$2))</f>
        <v>42.2655380434598</v>
      </c>
      <c r="L84" s="1523" t="n">
        <f aca="false">IF(Assumptions!$L$25=4,VLOOKUP($A84,'Henwood Reference'!$E$9:$R$320,10),(VLOOKUP($A84,PriceTableWeekend,2,0)+IF(BasisNumber&lt;&gt;1,VLOOKUP($A84,BasisTable,2,0),0)+L$1)/(1-L$2))</f>
        <v>42.2655380434598</v>
      </c>
      <c r="M84" s="1568" t="n">
        <f aca="false">IF(Assumptions!$L$25=4,VLOOKUP($A84,'Henwood Reference'!$E$9:$R$320,10),(VLOOKUP($A84,PriceTableWeekend,3,0)+IF(BasisNumber&lt;&gt;1,VLOOKUP($A84,BasisTable,2,0),0)+M$1)/(1-M$2))</f>
        <v>42.2655380434598</v>
      </c>
      <c r="N84" s="1599" t="n">
        <f aca="false">IF(Assumptions!$L$25=4,VLOOKUP($A84,'Henwood Reference'!$E$9:$R$320,10),(VLOOKUP($A84,PriceTableWeekend,4,0)+IF(BasisNumber&lt;&gt;1,VLOOKUP($A84,BasisTable,2,0),0)+N$1)/(1-N$2))</f>
        <v>42.2655380434598</v>
      </c>
      <c r="O84" s="1568" t="n">
        <f aca="false">IF(Assumptions!$L$25=4,VLOOKUP($A84,'Henwood Reference'!$E$9:$R$320,11),(VLOOKUP($A84,PriceTableWeekend,6,0)+IF(BasisNumber&lt;&gt;1,VLOOKUP($A84,BasisTable,3,0),0)+O$1)/(1-O$2))</f>
        <v>28.3582050221117</v>
      </c>
      <c r="P84" s="1568" t="n">
        <f aca="false">IF(Assumptions!$L$25=4,VLOOKUP($A84,'Henwood Reference'!$E$9:$R$320,11),(VLOOKUP($A84,PriceTableWeekend,7,0)+IF(BasisNumber&lt;&gt;1,VLOOKUP($A84,BasisTable,3,0),0)+P$1)/(1-P$2))</f>
        <v>28.3582050221117</v>
      </c>
      <c r="Q84" s="1599" t="n">
        <f aca="false">IF(Assumptions!$L$25=4,VLOOKUP($A84,'Henwood Reference'!$E$9:$R$320,11),(VLOOKUP($A84,PriceTableWeekend,8,0)+IF(BasisNumber&lt;&gt;1,VLOOKUP($A84,BasisTable,3,0),0)+Q$1)/(1-Q$2))</f>
        <v>28.3582050221117</v>
      </c>
      <c r="R84" s="1568" t="n">
        <f aca="false">IF(Assumptions!$L$25=4,VLOOKUP($A84,'Henwood Reference'!$E$9:$R$320,11),(VLOOKUP($A84,PriceTable,6,0)+IF(BasisNumber&lt;&gt;1,VLOOKUP($A84,BasisTable,3,0),0)+R$1)/(1-R$2))</f>
        <v>28.3582050221117</v>
      </c>
      <c r="S84" s="1568" t="n">
        <f aca="false">IF(Assumptions!$L$25=4,VLOOKUP($A84,'Henwood Reference'!$E$9:$R$320,11),(VLOOKUP($A84,PriceTable,7,0)+IF(BasisNumber&lt;&gt;1,VLOOKUP($A84,BasisTable,3,0),0)+S$1)/(1-S$2))</f>
        <v>28.3582050221117</v>
      </c>
      <c r="T84" s="1600" t="n">
        <f aca="false">IF(Assumptions!$L$25=4,VLOOKUP($A84,'Henwood Reference'!$E$9:$R$320,11),(VLOOKUP($A84,PriceTable,8,0)+IF(BasisNumber&lt;&gt;1,VLOOKUP($A84,BasisTable,3,0),0)+T$1)/(1-T$2))</f>
        <v>28.3582050221117</v>
      </c>
      <c r="U84" s="1513" t="n">
        <f aca="false">VLOOKUP($A84,VolatilityTable,14)</f>
        <v>0.145</v>
      </c>
      <c r="V84" s="1513" t="n">
        <f aca="false">VLOOKUP($A84,VolatilityTable,15)</f>
        <v>0.155</v>
      </c>
      <c r="W84" s="1514" t="n">
        <f aca="false">VLOOKUP($A84,VolatilityTable,16)</f>
        <v>0.165</v>
      </c>
      <c r="X84" s="1513" t="n">
        <f aca="false">VLOOKUP($A84,VolatilityTable,14)</f>
        <v>0.145</v>
      </c>
      <c r="Y84" s="1513" t="n">
        <f aca="false">VLOOKUP($A84,VolatilityTable,15)</f>
        <v>0.155</v>
      </c>
      <c r="Z84" s="1514" t="n">
        <f aca="false">VLOOKUP($A84,VolatilityTable,16)</f>
        <v>0.165</v>
      </c>
      <c r="AA84" s="1513" t="n">
        <f aca="false">VLOOKUP($A84,VolatilityTable,18)</f>
        <v>0.09</v>
      </c>
      <c r="AB84" s="1513" t="n">
        <f aca="false">VLOOKUP($A84,VolatilityTable,19)</f>
        <v>0.11</v>
      </c>
      <c r="AC84" s="1514" t="n">
        <f aca="false">VLOOKUP($A84,VolatilityTable,20)</f>
        <v>0.13</v>
      </c>
      <c r="AD84" s="1513" t="n">
        <f aca="false">VLOOKUP($A84,VolatilityTable,18)</f>
        <v>0.09</v>
      </c>
      <c r="AE84" s="1513" t="n">
        <f aca="false">VLOOKUP($A84,VolatilityTable,19)</f>
        <v>0.11</v>
      </c>
      <c r="AF84" s="1514" t="n">
        <f aca="false">VLOOKUP($A84,VolatilityTable,20)</f>
        <v>0.13</v>
      </c>
      <c r="AG84" s="1513" t="n">
        <f aca="false">VLOOKUP($A84,VolatilityTable,22)</f>
        <v>-0.25</v>
      </c>
      <c r="AH84" s="1513" t="n">
        <f aca="false">VLOOKUP($A84,VolatilityTable,23)</f>
        <v>0.6</v>
      </c>
      <c r="AI84" s="1514" t="n">
        <f aca="false">VLOOKUP($A84,VolatilityTable,24)</f>
        <v>0.25</v>
      </c>
      <c r="AJ84" s="1513" t="n">
        <f aca="false">VLOOKUP($A84,VolatilityTable,22)</f>
        <v>-0.25</v>
      </c>
      <c r="AK84" s="1513" t="n">
        <f aca="false">VLOOKUP($A84,VolatilityTable,23)</f>
        <v>0.6</v>
      </c>
      <c r="AL84" s="1514" t="n">
        <f aca="false">VLOOKUP($A84,VolatilityTable,24)</f>
        <v>0.25</v>
      </c>
      <c r="AM84" s="1513" t="n">
        <f aca="false">VLOOKUP($A84,VolatilityTable,26)</f>
        <v>-0.01</v>
      </c>
      <c r="AN84" s="1513" t="n">
        <f aca="false">VLOOKUP($A84,VolatilityTable,27)</f>
        <v>0.16</v>
      </c>
      <c r="AO84" s="1514" t="n">
        <f aca="false">VLOOKUP($A84,VolatilityTable,28)</f>
        <v>0.01</v>
      </c>
      <c r="AP84" s="1513" t="n">
        <f aca="false">VLOOKUP($A84,VolatilityTable,26)</f>
        <v>-0.01</v>
      </c>
      <c r="AQ84" s="1513" t="n">
        <f aca="false">VLOOKUP($A84,VolatilityTable,27)</f>
        <v>0.16</v>
      </c>
      <c r="AR84" s="1515" t="n">
        <f aca="false">VLOOKUP($A84,VolatilityTable,28)</f>
        <v>0.01</v>
      </c>
      <c r="AS84" s="1581" t="n">
        <f aca="false">IF(CorrPeakOffPeakOverFlag,INDEX(CorrPeakOffPeakOver,C84),CorrPeakOffPeak)</f>
        <v>0.5</v>
      </c>
      <c r="AT84" s="594" t="e">
        <f aca="false">AX84-SUM(AU84:AW84)</f>
        <v>#VALUE!</v>
      </c>
      <c r="AU84" s="238" t="e">
        <f aca="false">IF(E84="",0,INT((F84-MOD(F84,7)-E84)/7)+1-IF(AW84,IF(WEEKDAY(D84)=7,1,0),0))</f>
        <v>#VALUE!</v>
      </c>
      <c r="AV84" s="238" t="e">
        <f aca="false">IF(E84="",0,INT((F84-MOD(F84-1,7)-E84)/7)+1-IF(AW84,IF(WEEKDAY(D84)=1,1,0),0))</f>
        <v>#VALUE!</v>
      </c>
      <c r="AW84" s="238" t="e">
        <f aca="false">IF(OR(E84="",D84="",D84&lt;BegDate,D84&gt;EndDate),0,1)</f>
        <v>#VALUE!</v>
      </c>
      <c r="AX84" s="238" t="n">
        <f aca="false">IF(E84="",0,F84-E84+1)</f>
        <v>31</v>
      </c>
      <c r="AY84" s="1582" t="n">
        <f aca="false">IF(E84="",0,MIN((1-(1-VLOOKUP(B84,MAIN!$AA$7:$AM$28,C84+1))*(1-VLOOKUP(B84,MAIN!$AA$33:$AM$54,C84+1))),1))</f>
        <v>0.03</v>
      </c>
      <c r="AZ84" s="1519" t="e">
        <v>#VALUE!</v>
      </c>
      <c r="BA84" s="1520" t="e">
        <v>#VALUE!</v>
      </c>
      <c r="BB84" s="1520" t="e">
        <v>#VALUE!</v>
      </c>
      <c r="BC84" s="1583" t="e">
        <v>#VALUE!</v>
      </c>
      <c r="BD84" s="1522" t="e">
        <v>#VALUE!</v>
      </c>
      <c r="BE84" s="1523" t="e">
        <v>#VALUE!</v>
      </c>
      <c r="BF84" s="1523" t="e">
        <v>#VALUE!</v>
      </c>
      <c r="BG84" s="1584" t="e">
        <v>#VALUE!</v>
      </c>
      <c r="BH84" s="1525" t="e">
        <v>#VALUE!</v>
      </c>
      <c r="BI84" s="1520" t="e">
        <v>#VALUE!</v>
      </c>
      <c r="BJ84" s="1520" t="e">
        <v>#VALUE!</v>
      </c>
      <c r="BK84" s="1583" t="e">
        <v>#VALUE!</v>
      </c>
      <c r="BL84" s="1522" t="e">
        <v>#VALUE!</v>
      </c>
      <c r="BM84" s="1523" t="e">
        <v>#VALUE!</v>
      </c>
      <c r="BN84" s="1523" t="e">
        <v>#VALUE!</v>
      </c>
      <c r="BO84" s="1523" t="e">
        <v>#VALUE!</v>
      </c>
      <c r="BP84" s="1525" t="e">
        <f aca="false">SUM(AZ84:BB84)</f>
        <v>#VALUE!</v>
      </c>
      <c r="BQ84" s="1529" t="e">
        <f aca="false">SUM(AZ84:BC84)</f>
        <v>#VALUE!</v>
      </c>
      <c r="BR84" s="1519" t="e">
        <f aca="false">SUM(BH84:BJ84)</f>
        <v>#VALUE!</v>
      </c>
      <c r="BS84" s="1529" t="e">
        <f aca="false">SUM(BH84:BK84)</f>
        <v>#VALUE!</v>
      </c>
      <c r="BT84" s="1316" t="n">
        <f aca="false">(IF(OVolType&lt;&gt;2,A84+14,IF(OptExpDateShift,ShiftBack(A84,OptExpDateShift,D83),A84))-DateToday)/365.25</f>
        <v>5.63175906913073</v>
      </c>
      <c r="BU84" s="1585" t="e">
        <f aca="false">IF(BQ84,IF(OPriceCurve,IF(OBuySell=OCallPut,I84/(1-AY84),K84/(1-AY84)),J84/(1-AY84))*BD84,0)</f>
        <v>#VALUE!</v>
      </c>
      <c r="BV84" s="1316" t="e">
        <f aca="false">IF(BQ84,IF(OPriceCurve,IF(OBuySell=OCallPut,L84/(1-AY84),N84/(1-AY84)),M84/(1-AY84))*BE84,0)</f>
        <v>#VALUE!</v>
      </c>
      <c r="BW84" s="1316" t="e">
        <f aca="false">IF(BQ84,IF(OPriceCurve,IF(OBuySell=OCallPut,O84/(1-AY84),Q84/(1-AY84)),P84/(1-AY84))*BF84,0)</f>
        <v>#VALUE!</v>
      </c>
      <c r="BX84" s="1316" t="e">
        <f aca="false">IF(BQ84,IF(OPriceCurve,IF(OBuySell=OCallPut,R84/(1-AY84),T84/(1-AY84)),S84/(1-AY84))*BG84,0)</f>
        <v>#VALUE!</v>
      </c>
      <c r="BY84" s="1316" t="e">
        <f aca="false">IF(BP84,(BU84*AZ84+BV84*BA84+BW84*BB84)/BP84,0)</f>
        <v>#VALUE!</v>
      </c>
      <c r="BZ84" s="1316" t="e">
        <f aca="false">IF(BQ84,(BY84*BP84+BX84*BC84)/BQ84,0)</f>
        <v>#VALUE!</v>
      </c>
      <c r="CA84" s="1531" t="e">
        <f aca="false">IF(BS84,IF(OPriceCurve,IF(OBuySell=OCallPut,I84/(1-AY84),K84/(1-AY84)),J84/(1-AY84))*BL84,0)</f>
        <v>#VALUE!</v>
      </c>
      <c r="CB84" s="1316" t="e">
        <f aca="false">IF(BS84,IF(OPriceCurve,IF(OBuySell=OCallPut,L84/(1-AY84),N84/(1-AY84)),M84/(1-AY84))*BM84,0)</f>
        <v>#VALUE!</v>
      </c>
      <c r="CC84" s="1316" t="e">
        <f aca="false">IF(BS84,IF(OPriceCurve,IF(OBuySell=OCallPut,O84/(1-AY84),Q84/(1-AY84)),P84/(1-AY84))*BN84,0)</f>
        <v>#VALUE!</v>
      </c>
      <c r="CD84" s="1316" t="e">
        <f aca="false">IF(BS84,IF(OPriceCurve,IF(OBuySell=OCallPut,R84/(1-AY84),T84/(1-AY84)),S84/(1-AY84))*BO84,0)</f>
        <v>#VALUE!</v>
      </c>
      <c r="CE84" s="1316" t="e">
        <f aca="false">IF(BR84,(BU84*BH84+BV84*BI84+BW84*BJ84)/BR84,0)</f>
        <v>#VALUE!</v>
      </c>
      <c r="CF84" s="1532" t="e">
        <f aca="false">IF(BS84,(CE84*BR84+CD84*BK84)/BS84,0)</f>
        <v>#VALUE!</v>
      </c>
      <c r="CG84" s="1586" t="e">
        <f aca="false">IF(OR(BQ84,BS84),IF(OVolType&lt;&gt;2,SQRT(IF(OVolOverMonthlyPeak,OVolOverMonthlyPeak,IF(OVolCurve,IF(OBuySell,U84,W84),V84))^2*(1-15/365.25/BT84)+IF(OVolOverDailyPeak,OVolOverDailyPeak,IF(OVolCurve,IF(OBuySell,AG84,AI84),AH84))^2*15/365.25/BT84),IF(OVolOverMonthlyPeak,OVolOverMonthlyPeak,IF(OVolCurve,IF(OBuySell,U84,W84),V84))),"")</f>
        <v>#VALUE!</v>
      </c>
      <c r="CH84" s="1587" t="e">
        <f aca="false">IF(OR(BQ84,BS84),IF(OVolType&lt;&gt;2,SQRT(IF(OVolOverMonthlyPeak,OVolOverMonthlyPeak,IF(OVolCurve,IF(OBuySell,X84,Z84),Y84))^2*(1-15/365.25/BT84)+IF(OVolOverDailyPeak,OVolOverDailyPeak,IF(OVolCurve,IF(OBuySell,AJ84,AL84),AK84))^2*15/365.25/BT84),IF(OVolOverMonthlyPeak,OVolOverMonthlyPeak,IF(OVolCurve,IF(OBuySell,X84,Z84),Y84))),"")</f>
        <v>#VALUE!</v>
      </c>
      <c r="CI84" s="1587" t="e">
        <f aca="false">IF(OR(BQ84,BS84),IF(OVolType&lt;&gt;2,SQRT(IF(OVolOverMonthlyPeak,OVolOverMonthlyPeak,IF(OVolCurve,IF(OBuySell,AA84,AC84),AB84))^2*(1-15/365.25/BT84)+IF(OVolOverDailyPeak,OVolOverDailyPeak,IF(OVolCurve,IF(OBuySell,AM84,AO84),AN84))^2*15/365.25/BT84),IF(OVolOverMonthlyPeak,OVolOverMonthlyPeak,IF(OVolCurve,IF(OBuySell,AA84,AC84),AB84))),"")</f>
        <v>#VALUE!</v>
      </c>
      <c r="CJ84" s="1587" t="e">
        <f aca="false">IF(BQ84,IF(BP84,SQRT(LN(1+((BU84*AZ84)^2*(EXP(CG84^2*BT84)-1)+(BV84*BA84)^2*(EXP(CH84^2*BT84)-1)+(BW84*BB84)^2*(EXP(CI84^2*BT84)-1)+2*BU84*AZ84*BV84*BA84*(EXP(CG84*CH84*BT84)-1)+2*BV84*BA84*BW84*BB84*(EXP(CH84*CI84*BT84)-1)+2*BW84*BB84*BU84*AZ84*(EXP(CI84*CG84*BT84)-1))/(BY84*BP84)^2)/BT84),0),"")</f>
        <v>#VALUE!</v>
      </c>
      <c r="CK84" s="1587" t="e">
        <f aca="false">IF(BS84,IF(BR84,SQRT(LN(1+((CA84*BH84)^2*(EXP(CG84^2*BT84)-1)+(CB84*BI84)^2*(EXP(CH84^2*BT84)-1)+(CC84*BJ84)^2*(EXP(CI84^2*BT84)-1)+2*CA84*BH84*CB84*BI84*(EXP(CG84*CH84*BT84)-1)+2*CB84*BI84*CC84*BJ84*(EXP(CH84*CI84*BT84)-1)+2*CC84*BJ84*CA84*BH84*(EXP(CI84*CG84*BT84)-1))/(CE84*BR84)^2)/BT84),0),"")</f>
        <v>#VALUE!</v>
      </c>
      <c r="CL84" s="1587" t="e">
        <f aca="false">IF(OR(BQ84,BS84),IF(OVolType&lt;&gt;2,SQRT(IF(OVolOverMonthlyOffPeak,OVolOverMonthlyOffPeak,IF(OVolCurve,IF(OBuySell,AD84,AF84),AE84))^2*(1-15/365.25/BT84)+IF(OVolOverDailyOffPeak,OVolOverDailyOffPeak,IF(OVolCurve,IF(OBuySell,AP84,AR84),AQ84))^2*15/365.25/BT84),IF(OVolOverMonthlyOffPeak,OVolOverMonthlyOffPeak,IF(OVolCurve,IF(OBuySell,AD84,AF84),AE84))),"")</f>
        <v>#VALUE!</v>
      </c>
      <c r="CM84" s="1587" t="e">
        <f aca="false">IF(BQ84,SQRT(LN(1+((BY84*BP84)^2*(EXP(CJ84^2*BT84)-1)+(BX84*BC84)^2*(EXP(CL84^2*BT84)-1)+2*BY84*BP84*BX84*BC84*(EXP(AS84*CJ84*CL84*BT84)-1))/(BY84*BP84+BX84*BC84)^2)/BT84),"")</f>
        <v>#VALUE!</v>
      </c>
      <c r="CN84" s="1588" t="e">
        <f aca="false">IF(BS84,SQRT(LN(1+((CE84*BR84)^2*(EXP(CK84^2*BT84)-1)+(CD84*BK84)^2*(EXP(CL84^2*BT84)-1)+2*CE84*BR84*CD84*BK84*(EXP(AS84*CK84*CL84*BT84)-1))/(CE84*BR84+CD84*BK84)^2)/BT84),"")</f>
        <v>#VALUE!</v>
      </c>
      <c r="CO84" s="1531" t="e">
        <f aca="false">IF(OR(BQ84,BS84),VLOOKUP(A84,GasTable,13)*HeatRatePeak*(1+VLOOKUP($B84,HeatRateDegradation,$C84+1))/1000,0)</f>
        <v>#VALUE!</v>
      </c>
      <c r="CP84" s="1316" t="e">
        <f aca="false">IF(OR(BQ84,BS84),VLOOKUP(A84,GasTable,13)*HeatRatePeak*(1+VLOOKUP($B84,HeatRateDegradation,$C84+1))/1000,0)</f>
        <v>#VALUE!</v>
      </c>
      <c r="CQ84" s="1316" t="e">
        <f aca="false">IF(OR(BQ84,BS84),VLOOKUP(A84,GasTable,13)*IF(EV84,HeatRatePeak,HeatRateOffPeak)*(1+VLOOKUP($B84,HeatRateDegradation,$C84+1))/1000,0)</f>
        <v>#VALUE!</v>
      </c>
      <c r="CR84" s="1316" t="e">
        <f aca="false">IF(OR(BQ84,BS84),VLOOKUP(A84,GasTable,13)*IF(EW84,HeatRatePeak,HeatRateOffPeak)*(1+VLOOKUP($B84,HeatRateDegradation,$C84+1))/1000,0)</f>
        <v>#VALUE!</v>
      </c>
      <c r="CS84" s="1589" t="e">
        <f aca="false">IF(BQ84,(CO84*AZ84+CP84*BA84+CQ84*BB84+CR84*BC84)/BQ84,0)</f>
        <v>#VALUE!</v>
      </c>
      <c r="CT84" s="1316" t="e">
        <f aca="false">IF(BS84,CO84,0)</f>
        <v>#VALUE!</v>
      </c>
      <c r="CU84" s="1590" t="e">
        <f aca="false">IF(OR(BQ84,BS84),VLOOKUP(A84,GasTable,14),"")</f>
        <v>#VALUE!</v>
      </c>
      <c r="CV84" s="1568" t="e">
        <f aca="false">IF(OR(BQ84,BS84),IF(CorrPowerGasOverFlag,INDEX(CorrPowerGasOver,C84),CorrPowerGas),"")</f>
        <v>#VALUE!</v>
      </c>
      <c r="CW84" s="1316" t="e">
        <f aca="false">IF(OR($BQ84,$BS84),SpreadOptPowerMargin,0)*((1+Assumptions!$C$26)^($B84-YEAR(Assumptions!$C$17)))</f>
        <v>#VALUE!</v>
      </c>
      <c r="CX84" s="1316" t="e">
        <f aca="false">IF(OR($BQ84,$BS84),SpreadOptPowerMargin,0)*((1+Assumptions!$C$26)^($B84-YEAR(Assumptions!$C$17)))</f>
        <v>#VALUE!</v>
      </c>
      <c r="CY84" s="1316" t="e">
        <f aca="false">IF(OR($BQ84,$BS84),SpreadOptPowerMargin,0)*((1+Assumptions!$C$26)^($B84-YEAR(Assumptions!$C$17)))</f>
        <v>#VALUE!</v>
      </c>
      <c r="CZ84" s="1316" t="e">
        <f aca="false">IF(OR($BQ84,$BS84),SpreadOptPowerMargin,0)*((1+Assumptions!$C$26)^($B84-YEAR(Assumptions!$C$17)))</f>
        <v>#VALUE!</v>
      </c>
      <c r="DA84" s="1591" t="e">
        <f aca="false">IF(OR(BQ84,BS84),(CW84*(AZ84+BH84)+CX84*(BA84+BI84)+CY84*(BB84+BJ84)+CZ84*(BC84+BK84))/(BQ84+BS84),0)</f>
        <v>#VALUE!</v>
      </c>
      <c r="DB84" s="1592" t="e">
        <f aca="false">IF(OR(BQ84,BS84),CG84+IF(OVolSmile,VLOOKUP(MAX(-5,CO84+CW84-BU84),IF(OVolSmile=1,VolSmileBook,VolSmileModel),2),0),"")</f>
        <v>#VALUE!</v>
      </c>
      <c r="DC84" s="1592" t="e">
        <f aca="false">IF(OR(BQ84,BS84),CH84+IF(OVolSmile,VLOOKUP(MAX(-5,CP84+CW84-BV84),IF(OVolSmile=1,VolSmileBook,VolSmileModel),2),0),"")</f>
        <v>#VALUE!</v>
      </c>
      <c r="DD84" s="1592" t="e">
        <f aca="false">IF(OR(BQ84,BS84),CI84+IF(OVolSmile,VLOOKUP(MAX(-5,CQ84+CW84-BW84),IF(OVolSmile=1,VolSmileBook,VolSmileModel),2),0),"")</f>
        <v>#VALUE!</v>
      </c>
      <c r="DE84" s="1592" t="e">
        <f aca="false">IF(OR(BQ84,BS84),CL84+IF(OVolSmile,VLOOKUP(MAX(-5,CR84+CZ84-BX84),IF(OVolSmile=1,VolSmileBook,VolSmileModel),2),0),"")</f>
        <v>#VALUE!</v>
      </c>
      <c r="DF84" s="1592" t="e">
        <f aca="false">IF(BQ84,CM84+IF(OVolSmile,VLOOKUP(MAX(-5,CS84+DA84-BZ84),IF(OVolSmile=1,VolSmileBook,VolSmileModel),2),0),"")</f>
        <v>#VALUE!</v>
      </c>
      <c r="DG84" s="1593" t="e">
        <f aca="false">IF(BS84,CN84+IF(OVolSmile,VLOOKUP(MAX(-5,CT84+DA84-CF84),IF(OVolSmile=1,VolSmileBook,VolSmileModel),2),0),"")</f>
        <v>#VALUE!</v>
      </c>
      <c r="DH84" s="1316" t="e">
        <f aca="false">IF(AND(BU84&gt;0,CO84&gt;0,DB84&gt;0,CU84&gt;0),newSPRDOPT(BU84,CO84,CW84,0,DB84,CU84,CV84,BT84*365.25,OCallPut,0),0)</f>
        <v>#VALUE!</v>
      </c>
      <c r="DI84" s="1316" t="e">
        <f aca="false">IF(AND(BV84&gt;0,CP84&gt;0,DC84&gt;0,CU84&gt;0),newSPRDOPT(BV84,CP84,CX84,0,DC84,CU84,CV84,BT84*365.25,OCallPut,0),0)</f>
        <v>#VALUE!</v>
      </c>
      <c r="DJ84" s="1316" t="e">
        <f aca="false">IF(AND(BW84&gt;0,CQ84&gt;0,DD84&gt;0,CU84&gt;0),newSPRDOPT(BW84,CQ84,CY84,0,DD84,CU84,CV84,BT84*365.25,OCallPut,0),0)</f>
        <v>#VALUE!</v>
      </c>
      <c r="DK84" s="1316" t="e">
        <f aca="false">IF(AND(BX84&gt;0,CR84&gt;0,DE84&gt;0,CU84&gt;0),newSPRDOPT(BX84,CR84,CZ84,0,DE84,CU84,CV84,BT84*365.25,OCallPut,0),0)</f>
        <v>#VALUE!</v>
      </c>
      <c r="DL84" s="1316" t="e">
        <f aca="false">IF(OVolType,IF(AND(BZ84&gt;0,CS84&gt;0,DF84&gt;0,CU84&gt;0),newSPRDOPT(BZ84,CS84,DA84,0,DF84,CU84,CV84,BT84*365.25,OCallPut,0),0),IF(BQ84,(DH84*AZ84+DI84*BA84+DJ84*BB84+DK84*BC84)/BQ84,0))</f>
        <v>#VALUE!</v>
      </c>
      <c r="DM84" s="1316"/>
      <c r="DN84" s="1316"/>
      <c r="DO84" s="1316"/>
      <c r="DP84" s="1316"/>
      <c r="DQ84" s="1316"/>
      <c r="DR84" s="1316"/>
      <c r="DS84" s="1316"/>
      <c r="DT84" s="1316"/>
      <c r="DU84" s="1316"/>
      <c r="DV84" s="1316"/>
      <c r="DW84" s="1594" t="e">
        <f aca="false">IF(AND(BW84&gt;0,CT84&gt;0,DD84&gt;0,CU84&gt;0),newSPRDOPT(BW84,CT84,CY84,0,DD84,CU84,CV84,BT84*365.25,OCallPut,0),0)</f>
        <v>#VALUE!</v>
      </c>
      <c r="DX84" s="1316" t="e">
        <f aca="false">IF(AND(BX84&gt;0,CT84&gt;0,DE84&gt;0,CU84&gt;0),newSPRDOPT(BX84,CT84,CZ84,0,DE84,CU84,CV84,BT84*365.25,OCallPut,0),0)</f>
        <v>#VALUE!</v>
      </c>
      <c r="DY84" s="1591" t="e">
        <f aca="false">IF(BS84,(DH84*BH84+DI84*BI84+DW84*BJ84+DX84*BK84)/BS84,0)</f>
        <v>#VALUE!</v>
      </c>
      <c r="DZ84" s="1551" t="e">
        <f aca="false">DH84*AZ84</f>
        <v>#VALUE!</v>
      </c>
      <c r="EA84" s="1551" t="e">
        <f aca="false">DI84*BA84</f>
        <v>#VALUE!</v>
      </c>
      <c r="EB84" s="1551" t="e">
        <f aca="false">DJ84*BB84</f>
        <v>#VALUE!</v>
      </c>
      <c r="EC84" s="1551" t="e">
        <f aca="false">DK84*BC84</f>
        <v>#VALUE!</v>
      </c>
      <c r="ED84" s="1551" t="e">
        <f aca="false">DL84*BQ84</f>
        <v>#VALUE!</v>
      </c>
      <c r="EE84" s="1595" t="e">
        <f aca="false">IF(BQ84,IF(OCallPut,IF(BU84&gt;(CO84+CW84),BU84-(CO84+CW84),0),IF((CO84+CW84)&gt;BU84,(CO84+CW84)-BU84,0))*AZ84,0)</f>
        <v>#VALUE!</v>
      </c>
      <c r="EF84" s="1596" t="e">
        <f aca="false">IF(BQ84,IF(OCallPut,IF(BV84&gt;(CP84+CX84),BV84-(CP84+CX84),0),IF((CP84+CX84)&gt;BV84,(CP84+CX84)-BV84,0))*BA84,0)</f>
        <v>#VALUE!</v>
      </c>
      <c r="EG84" s="1596" t="e">
        <f aca="false">IF(BQ84,IF(OCallPut,IF(BW84&gt;(CQ84+CY84),BW84-(CQ84+CY84),0),IF((CQ84+CY84)&gt;BW84,(CQ84+CY84)-BW84,0))*BB84,0)</f>
        <v>#VALUE!</v>
      </c>
      <c r="EH84" s="1596" t="e">
        <f aca="false">IF(BQ84,IF(OCallPut,IF(BX84&gt;(CR84+CZ84),BX84-(CR84+CZ84),0),IF((CR84+CZ84)&gt;BX84,(CR84+CZ84)-BX84,0))*BC84,0)</f>
        <v>#VALUE!</v>
      </c>
      <c r="EI84" s="1597" t="e">
        <f aca="false">IF(BQ84,IF(OVolType,IF(OCallPut,IF(BZ84&gt;(CS84+DA84),BZ84-(CS84+DA84),0),IF((CS84+DA84)&gt;BZ84,(CS84+DA84)-BZ84,0))*BQ84,SUM(EE84:EH84)),0)</f>
        <v>#VALUE!</v>
      </c>
      <c r="EJ84" s="1595" t="e">
        <f aca="false">DZ84-EE84</f>
        <v>#VALUE!</v>
      </c>
      <c r="EK84" s="1596" t="e">
        <f aca="false">EA84-EF84</f>
        <v>#VALUE!</v>
      </c>
      <c r="EL84" s="1596" t="e">
        <f aca="false">EB84-EG84</f>
        <v>#VALUE!</v>
      </c>
      <c r="EM84" s="1596" t="e">
        <f aca="false">EC84-EH84</f>
        <v>#VALUE!</v>
      </c>
      <c r="EN84" s="1597" t="e">
        <f aca="false">ED84-EI84</f>
        <v>#VALUE!</v>
      </c>
      <c r="EO84" s="1551" t="e">
        <f aca="false">DH84*BH84</f>
        <v>#VALUE!</v>
      </c>
      <c r="EP84" s="1551" t="e">
        <f aca="false">DI84*BI84</f>
        <v>#VALUE!</v>
      </c>
      <c r="EQ84" s="1551" t="e">
        <f aca="false">DW84*BJ84</f>
        <v>#VALUE!</v>
      </c>
      <c r="ER84" s="1551" t="e">
        <f aca="false">DX84*BK84</f>
        <v>#VALUE!</v>
      </c>
      <c r="ES84" s="1551" t="e">
        <f aca="false">DY84*BS84</f>
        <v>#VALUE!</v>
      </c>
      <c r="ET84" s="1566" t="e">
        <f aca="false">IF(EI84,IF(OCallPut,IF(CA84&gt;(CT84+CW84),CA84-(CT84+CW84),0),IF((CT84+CW84)&gt;CA84,(CT84+CW84)-CA84,0))*BH84,0)</f>
        <v>#VALUE!</v>
      </c>
      <c r="EU84" s="1551" t="e">
        <f aca="false">IF(EI84,IF(OCallPut,IF(CB84&gt;(CT84+CX84),CB84-(CT84+CX84),0),IF((CT84+CX84)&gt;CB84,(CT84+CX84)-CB84,0))*BI84,0)</f>
        <v>#VALUE!</v>
      </c>
      <c r="EV84" s="1551" t="e">
        <f aca="false">IF(EI84,IF(OCallPut,IF(CC84&gt;(CT84+CY84),CC84-(CT84+CY84),0),IF((CT84+CY84)&gt;CC84,(CT84+CY84)-CC84,0))*BJ84,0)</f>
        <v>#VALUE!</v>
      </c>
      <c r="EW84" s="1551" t="e">
        <f aca="false">IF(EI84,IF(OCallPut,IF(CD84&gt;(CT84+CZ84),CD84-(CT84+CZ84),0),IF((CT84+CZ84)&gt;CD84,(CT84+CZ84)-CD84,0))*BK84,0)</f>
        <v>#VALUE!</v>
      </c>
      <c r="EX84" s="1558" t="e">
        <f aca="false">IF(EI84,SUM(ET84:EW84),0)</f>
        <v>#VALUE!</v>
      </c>
      <c r="EY84" s="1551" t="e">
        <f aca="false">EO84-ET84</f>
        <v>#VALUE!</v>
      </c>
      <c r="EZ84" s="1551" t="e">
        <f aca="false">EP84-EU84</f>
        <v>#VALUE!</v>
      </c>
      <c r="FA84" s="1551" t="e">
        <f aca="false">EQ84-EV84</f>
        <v>#VALUE!</v>
      </c>
      <c r="FB84" s="1551" t="e">
        <f aca="false">ER84-EW84</f>
        <v>#VALUE!</v>
      </c>
      <c r="FC84" s="1551" t="e">
        <f aca="false">ES84-EX84</f>
        <v>#VALUE!</v>
      </c>
      <c r="FD84" s="1525" t="n">
        <f aca="false">IF(AX84,IF(VLOOKUP(C84,MAIN!$L$17:$M$28,2)="Yes",VLOOKUP(CALC!B84,MAIN!$H$17:$I$20,2),0),0)</f>
        <v>0</v>
      </c>
      <c r="FE84" s="1552" t="e">
        <f aca="false">$FD84*16*AT84*(1-$AY84)</f>
        <v>#VALUE!</v>
      </c>
      <c r="FF84" s="1553" t="e">
        <f aca="false">$FD84*16*AU84*(1-$AY84)</f>
        <v>#VALUE!</v>
      </c>
      <c r="FG84" s="1553" t="e">
        <f aca="false">$FD84*16*(AV84+AW84)*(1-$AY84)</f>
        <v>#VALUE!</v>
      </c>
      <c r="FH84" s="1554" t="n">
        <f aca="false">$FD84*8*AX84*(1-$AY84)</f>
        <v>0</v>
      </c>
      <c r="FI84" s="1555" t="n">
        <f aca="false">IF(AX84,VLOOKUP(CALC!B84,MAIN!$H$17:$K$20,4),0)</f>
        <v>0</v>
      </c>
      <c r="FJ84" s="1553" t="e">
        <f aca="false">SUM(FE84:FH84)</f>
        <v>#VALUE!</v>
      </c>
      <c r="FK84" s="1556" t="e">
        <f aca="false">FI84*FJ84</f>
        <v>#VALUE!</v>
      </c>
      <c r="FL84" s="1551" t="e">
        <f aca="false">IF($EI84&gt;0,MIN(FE84,AZ84*(1+VLOOKUP($C84,WeatherCapacityAdjustment,2))),0)</f>
        <v>#VALUE!</v>
      </c>
      <c r="FM84" s="1551" t="e">
        <f aca="false">IF($EI84&gt;0,MIN(FF84,BA84*(1+VLOOKUP($C84,WeatherCapacityAdjustment,2))),0)</f>
        <v>#VALUE!</v>
      </c>
      <c r="FN84" s="1551" t="e">
        <f aca="false">IF($EI84&gt;0,MIN(FG84,BB84*(1+VLOOKUP($C84,WeatherCapacityAdjustment,2))),0)</f>
        <v>#VALUE!</v>
      </c>
      <c r="FO84" s="1564" t="e">
        <f aca="false">IF($EI84&gt;0,MIN(FH84,BC84*(1+VLOOKUP($C84,WeatherCapacityAdjustment,3))),0)</f>
        <v>#VALUE!</v>
      </c>
      <c r="FP84" s="1551" t="e">
        <f aca="false">IF(ET84&gt;0,MIN(FE84-FL84,BH84*(1+VLOOKUP($C84,WeatherCapacityAdjustment,2))),0)</f>
        <v>#VALUE!</v>
      </c>
      <c r="FQ84" s="1551" t="e">
        <f aca="false">IF(EU84&gt;0,MIN(FF84-FM84,BI84*(1+VLOOKUP($C84,WeatherCapacityAdjustment,2))),0)</f>
        <v>#VALUE!</v>
      </c>
      <c r="FR84" s="1551" t="e">
        <f aca="false">IF(EV84&gt;0,MIN(FG84-FN84,BJ84*(1+VLOOKUP($C84,WeatherCapacityAdjustment,2))),0)</f>
        <v>#VALUE!</v>
      </c>
      <c r="FS84" s="1558" t="e">
        <f aca="false">IF(EW84&gt;0,MIN(FH84-FO84,BK84*(1+VLOOKUP($C84,WeatherCapacityAdjustment,3))),0)</f>
        <v>#VALUE!</v>
      </c>
      <c r="FT84" s="1566" t="e">
        <f aca="false">IF(AND(Assumptions!$H$71="Yes",A84&gt;=Assumptions!$H$72,A84&lt;=Assumptions!$H$73),0,IF(AND($A84&gt;=Assumptions!$C$17,$A84&lt;=Assumptions!$C$18),MAX(AZ84*(1+VLOOKUP($C84,WeatherCapacityAdjustment,2))-FL84,0),0))</f>
        <v>#VALUE!</v>
      </c>
      <c r="FU84" s="1551" t="e">
        <f aca="false">IF(AND(Assumptions!$H$71="Yes",A84&gt;=Assumptions!$H$72,A84&lt;=Assumptions!$H$73),0,IF(AND($A84&gt;=Assumptions!$C$17,$A84&lt;=Assumptions!$C$18),MAX(BA84*(1+VLOOKUP($C84,WeatherCapacityAdjustment,2))-FM84,0),0))</f>
        <v>#VALUE!</v>
      </c>
      <c r="FV84" s="1551" t="e">
        <f aca="false">IF(AND(Assumptions!$H$71="Yes",A84&gt;=Assumptions!$H$72,A84&lt;=Assumptions!$H$73),0,IF(AND($A84&gt;=Assumptions!$C$17,$A84&lt;=Assumptions!$C$18),MAX(BB84*(1+VLOOKUP($C84,WeatherCapacityAdjustment,2))-FN84,0),0))</f>
        <v>#VALUE!</v>
      </c>
      <c r="FW84" s="1564" t="e">
        <f aca="false">IF(AND(Assumptions!$H$71="Yes",A84&gt;=Assumptions!$H$72,A84&lt;=Assumptions!$H$73),0,IF(AND($A84&gt;=Assumptions!$C$17,$A84&lt;=Assumptions!$C$18),MAX(BC84*(1+VLOOKUP($C84,WeatherCapacityAdjustment,3))-FO84,0),0))</f>
        <v>#VALUE!</v>
      </c>
      <c r="FX84" s="1569" t="e">
        <f aca="false">IF(AND(Assumptions!$H$71="Yes",A84&gt;=Assumptions!$H$72,A84&lt;=Assumptions!$H$73),0,IF(ET84&gt;0,MAX(BH84*(1+VLOOKUP($C84,WeatherCapacityAdjustment,2))-FP84,0),0))</f>
        <v>#VALUE!</v>
      </c>
      <c r="FY84" s="1551" t="e">
        <f aca="false">IF(AND(Assumptions!$H$71="Yes",A84&gt;=Assumptions!$H$72,A84&lt;=Assumptions!$H$73),0,IF(EU84&gt;0,MAX(BI84*(1+VLOOKUP($C84,WeatherCapacityAdjustment,3))-FQ84,0),0))</f>
        <v>#VALUE!</v>
      </c>
      <c r="FZ84" s="1551" t="e">
        <f aca="false">IF(AND(Assumptions!$H$71="Yes",A84&gt;=Assumptions!$H$72,A84&lt;=Assumptions!$H$73),0,IF(EV84&gt;0,MAX(BJ84*(1+VLOOKUP($C84,WeatherCapacityAdjustment,2))-FR84,0),0))</f>
        <v>#VALUE!</v>
      </c>
      <c r="GA84" s="1564" t="e">
        <f aca="false">IF(AND(Assumptions!$H$71="Yes",A84&gt;=Assumptions!$H$72,A84&lt;=Assumptions!$H$73),0,IF(EW84&gt;0,MAX(BK84*(1+VLOOKUP($C84,WeatherCapacityAdjustment,2))-FS84,0),0))</f>
        <v>#VALUE!</v>
      </c>
      <c r="GB84" s="1551" t="e">
        <f aca="false">SUM(FT84:GA84)</f>
        <v>#VALUE!</v>
      </c>
      <c r="GC84" s="1563" t="e">
        <f aca="false">+IF(SUM(FT84:GA84)=0,0,(SUMPRODUCT(BU84:BX84,FT84:FW84)+SUMPRODUCT(CA84:CD84,FX84:GA84))/SUM(FT84:GA84))</f>
        <v>#VALUE!</v>
      </c>
      <c r="GD84" s="1551" t="e">
        <f aca="false">(FT84*BU84+FX84*CA84+FU84*BV84+FY84*CB84+FV84*BW84+FZ84*CC84+FW84*BX84+GA84*CD84)</f>
        <v>#VALUE!</v>
      </c>
      <c r="GE84" s="1561" t="e">
        <f aca="false">+IF(BQ84,((FL84+FM84+FT84+FU84)*HeatRatePeak/1000*(1+VLOOKUP($C84,WeatherHeatRateAdjustment,2))+(FN84+FV84)*IF(EV84&gt;0,HeatRatePeak,HeatRateOffPeak)/1000*(1+VLOOKUP($C84,WeatherHeatRateAdjustment,2))+(FO84+FW84)*IF(EW84&gt;0,HeatRatePeak,HeatRateOffPeak)/1000*(1+VLOOKUP($C84,WeatherHeatRateAdjustment,3)))*(1+VLOOKUP($B84,HeatRateDegradation,$C84+1)),0)</f>
        <v>#VALUE!</v>
      </c>
      <c r="GF84" s="1562" t="e">
        <f aca="false">IF(BQ84,((FP84+FQ84+FR84+FX84+FY84+FZ84)*HeatRatePeak/1000*(1+VLOOKUP($C84,WeatherHeatRateAdjustment,2))+(FS84+GA84)*HeatRatePeak/1000*(1+VLOOKUP($C84,WeatherHeatRateAdjustment,3)))*(1+VLOOKUP($B84,HeatRateDegradation,$C84+1)),0)</f>
        <v>#VALUE!</v>
      </c>
      <c r="GG84" s="1563" t="e">
        <f aca="false">IF(BQ84,VLOOKUP(A84,GasTable,13),0)</f>
        <v>#VALUE!</v>
      </c>
      <c r="GH84" s="1564" t="e">
        <f aca="false">(GE84+GF84)*GG84</f>
        <v>#VALUE!</v>
      </c>
      <c r="GI84" s="1569" t="e">
        <f aca="false">GB84</f>
        <v>#VALUE!</v>
      </c>
      <c r="GJ84" s="1598" t="e">
        <f aca="false">+DA84</f>
        <v>#VALUE!</v>
      </c>
      <c r="GK84" s="1558" t="e">
        <f aca="false">+GI84*GJ84</f>
        <v>#VALUE!</v>
      </c>
      <c r="GL84" s="1566" t="e">
        <f aca="false">MAX(FE84-FL84-FP84,0)</f>
        <v>#VALUE!</v>
      </c>
      <c r="GM84" s="1551" t="e">
        <f aca="false">MAX(FF84-FM84-FQ84,0)</f>
        <v>#VALUE!</v>
      </c>
      <c r="GN84" s="1551" t="e">
        <f aca="false">MAX(FG84-FN84-FR84,0)</f>
        <v>#VALUE!</v>
      </c>
      <c r="GO84" s="1564" t="e">
        <f aca="false">MAX(FH84-FO84-FS84,0)</f>
        <v>#VALUE!</v>
      </c>
      <c r="GP84" s="1551" t="e">
        <f aca="false">SUM(GL84:GO84)</f>
        <v>#VALUE!</v>
      </c>
      <c r="GQ84" s="1563" t="e">
        <f aca="false">IF(SUM(GL84:GO84)=0,0,((GL84*BU84+GM84*BV84+GN84*BW84+GO84*BX84)/SUM(GL84:GO84)))</f>
        <v>#VALUE!</v>
      </c>
      <c r="GR84" s="1558" t="e">
        <f aca="false">(GL84*BU84+GM84*BV84+GN84*BW84+GO84*BX84)</f>
        <v>#VALUE!</v>
      </c>
      <c r="GS84" s="1566" t="n">
        <f aca="false">IF($A84&gt;=BegDate,Assumptions!$C$56*24*($A85-$A84)*(1-VLOOKUP($B84,MAIN!$AA$7:$AM$28,$C84+1))*(1-VLOOKUP($B84,MAIN!$AA$33:$AM$54,$C84+1)),0)*80/168</f>
        <v>257742.857142857</v>
      </c>
      <c r="GT84" s="286" t="n">
        <f aca="false">J84</f>
        <v>42.2655380434598</v>
      </c>
      <c r="GU84" s="286" t="n">
        <f aca="false">IF($A84&gt;=BegDate,VLOOKUP($A84,GasTable,13)+Assumptions!$C$58,0)</f>
        <v>2.97846538095115</v>
      </c>
      <c r="GV84" s="286" t="n">
        <f aca="false">GU84*Assumptions!$C$57/1000</f>
        <v>21.5938740118959</v>
      </c>
      <c r="GW84" s="1558" t="n">
        <f aca="false">IF(Assumptions!$C$60="Hourly",MAX(0,GS84*(GT84-GV84)),GS84*(GT84-GV84))</f>
        <v>5327973.74939253</v>
      </c>
      <c r="GX84" s="1566" t="n">
        <f aca="false">IF($A84&gt;=BegDate,Assumptions!$C$56*24*($A85-$A84)*(1-VLOOKUP($B84,MAIN!$AA$7:$AM$28,$C84+1))*(1-VLOOKUP($B84,MAIN!$AA$33:$AM$54,$C84+1)),0)*16/168</f>
        <v>51548.5714285714</v>
      </c>
      <c r="GY84" s="286" t="n">
        <f aca="false">M84</f>
        <v>42.2655380434598</v>
      </c>
      <c r="GZ84" s="286" t="n">
        <f aca="false">IF($A84&gt;=BegDate,VLOOKUP($A84,GasTable,13)+Assumptions!$C$58,0)</f>
        <v>2.97846538095115</v>
      </c>
      <c r="HA84" s="286" t="n">
        <f aca="false">GZ84*Assumptions!$C$57/1000</f>
        <v>21.5938740118959</v>
      </c>
      <c r="HB84" s="1558" t="n">
        <f aca="false">IF(Assumptions!$C$60="Hourly",MAX(0,GX84*(GY84-HA84)),GX84*(GY84-HA84))</f>
        <v>1065594.74987851</v>
      </c>
      <c r="HC84" s="1566" t="n">
        <f aca="false">IF($A84&gt;=BegDate,Assumptions!$C$56*24*($A85-$A84)*(1-VLOOKUP($B84,MAIN!$AA$7:$AM$28,$C84+1))*(1-VLOOKUP($B84,MAIN!$AA$33:$AM$54,$C84+1)),0)*16/168</f>
        <v>51548.5714285714</v>
      </c>
      <c r="HD84" s="286" t="n">
        <f aca="false">P84</f>
        <v>28.3582050221117</v>
      </c>
      <c r="HE84" s="286" t="n">
        <f aca="false">IF($A84&gt;=BegDate,VLOOKUP($A84,GasTable,13)+Assumptions!$C$58,0)</f>
        <v>2.97846538095115</v>
      </c>
      <c r="HF84" s="286" t="n">
        <f aca="false">HE84*Assumptions!$C$57/1000</f>
        <v>21.5938740118959</v>
      </c>
      <c r="HG84" s="1558" t="n">
        <f aca="false">IF(Assumptions!$C$60="Hourly",MAX(0,HC84*(HD84-HF84)),HC84*(HD84-HF84))</f>
        <v>348691.600246611</v>
      </c>
      <c r="HH84" s="1566" t="n">
        <f aca="false">IF($A84&gt;=BegDate,Assumptions!$C$56*24*($A85-$A84)*(1-VLOOKUP($B84,MAIN!$AA$7:$AM$28,$C84+1))*(1-VLOOKUP($B84,MAIN!$AA$33:$AM$54,$C84+1)),0)*56/168</f>
        <v>180420</v>
      </c>
      <c r="HI84" s="286" t="n">
        <f aca="false">S84</f>
        <v>28.3582050221117</v>
      </c>
      <c r="HJ84" s="286" t="n">
        <f aca="false">IF($A84&gt;=BegDate,VLOOKUP($A84,GasTable,13)+Assumptions!$C$58,0)</f>
        <v>2.97846538095115</v>
      </c>
      <c r="HK84" s="286" t="n">
        <f aca="false">HJ84*Assumptions!$C$57/1000</f>
        <v>21.5938740118959</v>
      </c>
      <c r="HL84" s="1558" t="n">
        <f aca="false">IF(Assumptions!$C$60="Hourly",MAX(0,HH84*(HI84-HK84)),HH84*(HI84-HK84))</f>
        <v>1220420.60086314</v>
      </c>
      <c r="HM84" s="1566" t="n">
        <f aca="false">IF(AND(Assumptions!$H$71="Yes",A84&gt;=Assumptions!$H$72,A84&lt;=Assumptions!$H$73),Assumptions!$H$74*Assumptions!$C$9*1000,0)</f>
        <v>0</v>
      </c>
      <c r="HN84" s="1551"/>
      <c r="HO84" s="1563"/>
      <c r="HP84" s="1563"/>
      <c r="HQ84" s="1563"/>
      <c r="HR84" s="1563"/>
      <c r="HS84" s="1563"/>
      <c r="HT84" s="1563"/>
      <c r="HU84" s="1563"/>
      <c r="HV84" s="1563"/>
      <c r="HW84" s="1563"/>
      <c r="HX84" s="1563"/>
      <c r="HY84" s="1563"/>
      <c r="HZ84" s="1563"/>
      <c r="IA84" s="1563"/>
      <c r="IB84" s="1563"/>
      <c r="IC84" s="1563"/>
      <c r="ID84" s="1563"/>
      <c r="IE84" s="1563"/>
      <c r="IF84" s="1563"/>
      <c r="IG84" s="1563"/>
      <c r="IH84" s="1563"/>
      <c r="II84" s="1610"/>
      <c r="IJ84" s="1309"/>
      <c r="IK84" s="1309"/>
    </row>
    <row r="85" customFormat="false" ht="12.75" hidden="false" customHeight="false" outlineLevel="0" collapsed="false">
      <c r="A85" s="1571" t="n">
        <f aca="false">EOMONTH(A84,0)+1</f>
        <v>38718</v>
      </c>
      <c r="B85" s="594" t="n">
        <f aca="false">+YEAR(A85)</f>
        <v>2006</v>
      </c>
      <c r="C85" s="238" t="n">
        <f aca="false">MONTH(A85)</f>
        <v>1</v>
      </c>
      <c r="D85" s="1572" t="e">
        <f aca="false">IF(E85="","",Holiday(B85,C85))</f>
        <v>#VALUE!</v>
      </c>
      <c r="E85" s="1573" t="n">
        <f aca="false">IF(OR(BegDate&gt;=A86,EndDate&lt;A85,AND(VolumeMonthlyOverFlag,INDEX(VolumeMonthlyOver,C85)=0),NOT(INDEX(MonthKnockOutTable,C85))),"",MAX(A85,BegDate))</f>
        <v>38718</v>
      </c>
      <c r="F85" s="1574" t="n">
        <f aca="false">IF(E85="","",MIN(A86-1,EndDate))</f>
        <v>38748</v>
      </c>
      <c r="G85" s="1575" t="n">
        <v>0</v>
      </c>
      <c r="H85" s="1576" t="n">
        <f aca="false">(1+G85/2)^(-2*(DATE(B86,C86,20)-DateToday)/365.25)</f>
        <v>1</v>
      </c>
      <c r="I85" s="1568" t="n">
        <f aca="false">IF(Assumptions!$L$25=4,VLOOKUP($A85,'Henwood Reference'!$E$9:$R$320,10),(VLOOKUP($A85,PriceTable,2,0)+IF(BasisNumber&lt;&gt;1,VLOOKUP($A85,BasisTable,2,0),0)+I$1)/(1-I$2))</f>
        <v>44.5670894286793</v>
      </c>
      <c r="J85" s="1568" t="n">
        <f aca="false">IF(Assumptions!$L$25=4,VLOOKUP($A85,'Henwood Reference'!$E$9:$R$320,10),(VLOOKUP($A85,PriceTable,3,0)+IF(BasisNumber&lt;&gt;1,VLOOKUP($A85,BasisTable,2,0),0)+J$1)/(1-J$2))</f>
        <v>44.5670894286793</v>
      </c>
      <c r="K85" s="1568" t="n">
        <f aca="false">IF(Assumptions!$L$25=4,VLOOKUP($A85,'Henwood Reference'!$E$9:$R$320,10),(VLOOKUP($A85,PriceTable,4,0)+IF(BasisNumber&lt;&gt;1,VLOOKUP($A85,BasisTable,2,0),0)+K$1)/(1-K$2))</f>
        <v>44.5670894286793</v>
      </c>
      <c r="L85" s="1523" t="n">
        <f aca="false">IF(Assumptions!$L$25=4,VLOOKUP($A85,'Henwood Reference'!$E$9:$R$320,10),(VLOOKUP($A85,PriceTableWeekend,2,0)+IF(BasisNumber&lt;&gt;1,VLOOKUP($A85,BasisTable,2,0),0)+L$1)/(1-L$2))</f>
        <v>44.5670894286793</v>
      </c>
      <c r="M85" s="1568" t="n">
        <f aca="false">IF(Assumptions!$L$25=4,VLOOKUP($A85,'Henwood Reference'!$E$9:$R$320,10),(VLOOKUP($A85,PriceTableWeekend,3,0)+IF(BasisNumber&lt;&gt;1,VLOOKUP($A85,BasisTable,2,0),0)+M$1)/(1-M$2))</f>
        <v>44.5670894286793</v>
      </c>
      <c r="N85" s="1599" t="n">
        <f aca="false">IF(Assumptions!$L$25=4,VLOOKUP($A85,'Henwood Reference'!$E$9:$R$320,10),(VLOOKUP($A85,PriceTableWeekend,4,0)+IF(BasisNumber&lt;&gt;1,VLOOKUP($A85,BasisTable,2,0),0)+N$1)/(1-N$2))</f>
        <v>44.5670894286793</v>
      </c>
      <c r="O85" s="1568" t="n">
        <f aca="false">IF(Assumptions!$L$25=4,VLOOKUP($A85,'Henwood Reference'!$E$9:$R$320,11),(VLOOKUP($A85,PriceTableWeekend,6,0)+IF(BasisNumber&lt;&gt;1,VLOOKUP($A85,BasisTable,3,0),0)+O$1)/(1-O$2))</f>
        <v>30.1957929477256</v>
      </c>
      <c r="P85" s="1568" t="n">
        <f aca="false">IF(Assumptions!$L$25=4,VLOOKUP($A85,'Henwood Reference'!$E$9:$R$320,11),(VLOOKUP($A85,PriceTableWeekend,7,0)+IF(BasisNumber&lt;&gt;1,VLOOKUP($A85,BasisTable,3,0),0)+P$1)/(1-P$2))</f>
        <v>30.1957929477256</v>
      </c>
      <c r="Q85" s="1599" t="n">
        <f aca="false">IF(Assumptions!$L$25=4,VLOOKUP($A85,'Henwood Reference'!$E$9:$R$320,11),(VLOOKUP($A85,PriceTableWeekend,8,0)+IF(BasisNumber&lt;&gt;1,VLOOKUP($A85,BasisTable,3,0),0)+Q$1)/(1-Q$2))</f>
        <v>30.1957929477256</v>
      </c>
      <c r="R85" s="1568" t="n">
        <f aca="false">IF(Assumptions!$L$25=4,VLOOKUP($A85,'Henwood Reference'!$E$9:$R$320,11),(VLOOKUP($A85,PriceTable,6,0)+IF(BasisNumber&lt;&gt;1,VLOOKUP($A85,BasisTable,3,0),0)+R$1)/(1-R$2))</f>
        <v>30.1957929477256</v>
      </c>
      <c r="S85" s="1568" t="n">
        <f aca="false">IF(Assumptions!$L$25=4,VLOOKUP($A85,'Henwood Reference'!$E$9:$R$320,11),(VLOOKUP($A85,PriceTable,7,0)+IF(BasisNumber&lt;&gt;1,VLOOKUP($A85,BasisTable,3,0),0)+S$1)/(1-S$2))</f>
        <v>30.1957929477256</v>
      </c>
      <c r="T85" s="1600" t="n">
        <f aca="false">IF(Assumptions!$L$25=4,VLOOKUP($A85,'Henwood Reference'!$E$9:$R$320,11),(VLOOKUP($A85,PriceTable,8,0)+IF(BasisNumber&lt;&gt;1,VLOOKUP($A85,BasisTable,3,0),0)+T$1)/(1-T$2))</f>
        <v>30.1957929477256</v>
      </c>
      <c r="U85" s="1513" t="n">
        <f aca="false">VLOOKUP($A85,VolatilityTable,14)</f>
        <v>0.14</v>
      </c>
      <c r="V85" s="1513" t="n">
        <f aca="false">VLOOKUP($A85,VolatilityTable,15)</f>
        <v>0.15</v>
      </c>
      <c r="W85" s="1514" t="n">
        <f aca="false">VLOOKUP($A85,VolatilityTable,16)</f>
        <v>0.16</v>
      </c>
      <c r="X85" s="1513" t="n">
        <f aca="false">VLOOKUP($A85,VolatilityTable,14)</f>
        <v>0.14</v>
      </c>
      <c r="Y85" s="1513" t="n">
        <f aca="false">VLOOKUP($A85,VolatilityTable,15)</f>
        <v>0.15</v>
      </c>
      <c r="Z85" s="1514" t="n">
        <f aca="false">VLOOKUP($A85,VolatilityTable,16)</f>
        <v>0.16</v>
      </c>
      <c r="AA85" s="1513" t="n">
        <f aca="false">VLOOKUP($A85,VolatilityTable,18)</f>
        <v>0.09</v>
      </c>
      <c r="AB85" s="1513" t="n">
        <f aca="false">VLOOKUP($A85,VolatilityTable,19)</f>
        <v>0.11</v>
      </c>
      <c r="AC85" s="1514" t="n">
        <f aca="false">VLOOKUP($A85,VolatilityTable,20)</f>
        <v>0.13</v>
      </c>
      <c r="AD85" s="1513" t="n">
        <f aca="false">VLOOKUP($A85,VolatilityTable,18)</f>
        <v>0.09</v>
      </c>
      <c r="AE85" s="1513" t="n">
        <f aca="false">VLOOKUP($A85,VolatilityTable,19)</f>
        <v>0.11</v>
      </c>
      <c r="AF85" s="1514" t="n">
        <f aca="false">VLOOKUP($A85,VolatilityTable,20)</f>
        <v>0.13</v>
      </c>
      <c r="AG85" s="1513" t="n">
        <f aca="false">VLOOKUP($A85,VolatilityTable,22)</f>
        <v>-0.25</v>
      </c>
      <c r="AH85" s="1513" t="n">
        <f aca="false">VLOOKUP($A85,VolatilityTable,23)</f>
        <v>0.65</v>
      </c>
      <c r="AI85" s="1514" t="n">
        <f aca="false">VLOOKUP($A85,VolatilityTable,24)</f>
        <v>0.25</v>
      </c>
      <c r="AJ85" s="1513" t="n">
        <f aca="false">VLOOKUP($A85,VolatilityTable,22)</f>
        <v>-0.25</v>
      </c>
      <c r="AK85" s="1513" t="n">
        <f aca="false">VLOOKUP($A85,VolatilityTable,23)</f>
        <v>0.65</v>
      </c>
      <c r="AL85" s="1514" t="n">
        <f aca="false">VLOOKUP($A85,VolatilityTable,24)</f>
        <v>0.25</v>
      </c>
      <c r="AM85" s="1513" t="n">
        <f aca="false">VLOOKUP($A85,VolatilityTable,26)</f>
        <v>-0.01</v>
      </c>
      <c r="AN85" s="1513" t="n">
        <f aca="false">VLOOKUP($A85,VolatilityTable,27)</f>
        <v>0.16</v>
      </c>
      <c r="AO85" s="1514" t="n">
        <f aca="false">VLOOKUP($A85,VolatilityTable,28)</f>
        <v>0.01</v>
      </c>
      <c r="AP85" s="1513" t="n">
        <f aca="false">VLOOKUP($A85,VolatilityTable,26)</f>
        <v>-0.01</v>
      </c>
      <c r="AQ85" s="1513" t="n">
        <f aca="false">VLOOKUP($A85,VolatilityTable,27)</f>
        <v>0.16</v>
      </c>
      <c r="AR85" s="1515" t="n">
        <f aca="false">VLOOKUP($A85,VolatilityTable,28)</f>
        <v>0.01</v>
      </c>
      <c r="AS85" s="1581" t="n">
        <f aca="false">IF(CorrPeakOffPeakOverFlag,INDEX(CorrPeakOffPeakOver,C85),CorrPeakOffPeak)</f>
        <v>0.5</v>
      </c>
      <c r="AT85" s="594" t="e">
        <f aca="false">AX85-SUM(AU85:AW85)</f>
        <v>#VALUE!</v>
      </c>
      <c r="AU85" s="238" t="e">
        <f aca="false">IF(E85="",0,INT((F85-MOD(F85,7)-E85)/7)+1-IF(AW85,IF(WEEKDAY(D85)=7,1,0),0))</f>
        <v>#VALUE!</v>
      </c>
      <c r="AV85" s="238" t="e">
        <f aca="false">IF(E85="",0,INT((F85-MOD(F85-1,7)-E85)/7)+1-IF(AW85,IF(WEEKDAY(D85)=1,1,0),0))</f>
        <v>#VALUE!</v>
      </c>
      <c r="AW85" s="238" t="e">
        <f aca="false">IF(OR(E85="",D85="",D85&lt;BegDate,D85&gt;EndDate),0,1)</f>
        <v>#VALUE!</v>
      </c>
      <c r="AX85" s="238" t="n">
        <f aca="false">IF(E85="",0,F85-E85+1)</f>
        <v>31</v>
      </c>
      <c r="AY85" s="1582" t="n">
        <f aca="false">IF(E85="",0,MIN((1-(1-VLOOKUP(B85,MAIN!$AA$7:$AM$28,C85+1))*(1-VLOOKUP(B85,MAIN!$AA$33:$AM$54,C85+1))),1))</f>
        <v>0.03</v>
      </c>
      <c r="AZ85" s="1519" t="e">
        <v>#VALUE!</v>
      </c>
      <c r="BA85" s="1520" t="e">
        <v>#VALUE!</v>
      </c>
      <c r="BB85" s="1520" t="e">
        <v>#VALUE!</v>
      </c>
      <c r="BC85" s="1583" t="e">
        <v>#VALUE!</v>
      </c>
      <c r="BD85" s="1522" t="e">
        <v>#VALUE!</v>
      </c>
      <c r="BE85" s="1523" t="e">
        <v>#VALUE!</v>
      </c>
      <c r="BF85" s="1523" t="e">
        <v>#VALUE!</v>
      </c>
      <c r="BG85" s="1584" t="e">
        <v>#VALUE!</v>
      </c>
      <c r="BH85" s="1525" t="e">
        <v>#VALUE!</v>
      </c>
      <c r="BI85" s="1520" t="e">
        <v>#VALUE!</v>
      </c>
      <c r="BJ85" s="1520" t="e">
        <v>#VALUE!</v>
      </c>
      <c r="BK85" s="1583" t="e">
        <v>#VALUE!</v>
      </c>
      <c r="BL85" s="1522" t="e">
        <v>#VALUE!</v>
      </c>
      <c r="BM85" s="1523" t="e">
        <v>#VALUE!</v>
      </c>
      <c r="BN85" s="1523" t="e">
        <v>#VALUE!</v>
      </c>
      <c r="BO85" s="1523" t="e">
        <v>#VALUE!</v>
      </c>
      <c r="BP85" s="1525" t="e">
        <f aca="false">SUM(AZ85:BB85)</f>
        <v>#VALUE!</v>
      </c>
      <c r="BQ85" s="1529" t="e">
        <f aca="false">SUM(AZ85:BC85)</f>
        <v>#VALUE!</v>
      </c>
      <c r="BR85" s="1519" t="e">
        <f aca="false">SUM(BH85:BJ85)</f>
        <v>#VALUE!</v>
      </c>
      <c r="BS85" s="1529" t="e">
        <f aca="false">SUM(BH85:BK85)</f>
        <v>#VALUE!</v>
      </c>
      <c r="BT85" s="1316" t="n">
        <f aca="false">(IF(OVolType&lt;&gt;2,A85+14,IF(OptExpDateShift,ShiftBack(A85,OptExpDateShift,D84),A85))-DateToday)/365.25</f>
        <v>5.71663244353183</v>
      </c>
      <c r="BU85" s="1585" t="e">
        <f aca="false">IF(BQ85,IF(OPriceCurve,IF(OBuySell=OCallPut,I85/(1-AY85),K85/(1-AY85)),J85/(1-AY85))*BD85,0)</f>
        <v>#VALUE!</v>
      </c>
      <c r="BV85" s="1316" t="e">
        <f aca="false">IF(BQ85,IF(OPriceCurve,IF(OBuySell=OCallPut,L85/(1-AY85),N85/(1-AY85)),M85/(1-AY85))*BE85,0)</f>
        <v>#VALUE!</v>
      </c>
      <c r="BW85" s="1316" t="e">
        <f aca="false">IF(BQ85,IF(OPriceCurve,IF(OBuySell=OCallPut,O85/(1-AY85),Q85/(1-AY85)),P85/(1-AY85))*BF85,0)</f>
        <v>#VALUE!</v>
      </c>
      <c r="BX85" s="1316" t="e">
        <f aca="false">IF(BQ85,IF(OPriceCurve,IF(OBuySell=OCallPut,R85/(1-AY85),T85/(1-AY85)),S85/(1-AY85))*BG85,0)</f>
        <v>#VALUE!</v>
      </c>
      <c r="BY85" s="1316" t="e">
        <f aca="false">IF(BP85,(BU85*AZ85+BV85*BA85+BW85*BB85)/BP85,0)</f>
        <v>#VALUE!</v>
      </c>
      <c r="BZ85" s="1316" t="e">
        <f aca="false">IF(BQ85,(BY85*BP85+BX85*BC85)/BQ85,0)</f>
        <v>#VALUE!</v>
      </c>
      <c r="CA85" s="1531" t="e">
        <f aca="false">IF(BS85,IF(OPriceCurve,IF(OBuySell=OCallPut,I85/(1-AY85),K85/(1-AY85)),J85/(1-AY85))*BL85,0)</f>
        <v>#VALUE!</v>
      </c>
      <c r="CB85" s="1316" t="e">
        <f aca="false">IF(BS85,IF(OPriceCurve,IF(OBuySell=OCallPut,L85/(1-AY85),N85/(1-AY85)),M85/(1-AY85))*BM85,0)</f>
        <v>#VALUE!</v>
      </c>
      <c r="CC85" s="1316" t="e">
        <f aca="false">IF(BS85,IF(OPriceCurve,IF(OBuySell=OCallPut,O85/(1-AY85),Q85/(1-AY85)),P85/(1-AY85))*BN85,0)</f>
        <v>#VALUE!</v>
      </c>
      <c r="CD85" s="1316" t="e">
        <f aca="false">IF(BS85,IF(OPriceCurve,IF(OBuySell=OCallPut,R85/(1-AY85),T85/(1-AY85)),S85/(1-AY85))*BO85,0)</f>
        <v>#VALUE!</v>
      </c>
      <c r="CE85" s="1316" t="e">
        <f aca="false">IF(BR85,(BU85*BH85+BV85*BI85+BW85*BJ85)/BR85,0)</f>
        <v>#VALUE!</v>
      </c>
      <c r="CF85" s="1532" t="e">
        <f aca="false">IF(BS85,(CE85*BR85+CD85*BK85)/BS85,0)</f>
        <v>#VALUE!</v>
      </c>
      <c r="CG85" s="1586" t="e">
        <f aca="false">IF(OR(BQ85,BS85),IF(OVolType&lt;&gt;2,SQRT(IF(OVolOverMonthlyPeak,OVolOverMonthlyPeak,IF(OVolCurve,IF(OBuySell,U85,W85),V85))^2*(1-15/365.25/BT85)+IF(OVolOverDailyPeak,OVolOverDailyPeak,IF(OVolCurve,IF(OBuySell,AG85,AI85),AH85))^2*15/365.25/BT85),IF(OVolOverMonthlyPeak,OVolOverMonthlyPeak,IF(OVolCurve,IF(OBuySell,U85,W85),V85))),"")</f>
        <v>#VALUE!</v>
      </c>
      <c r="CH85" s="1587" t="e">
        <f aca="false">IF(OR(BQ85,BS85),IF(OVolType&lt;&gt;2,SQRT(IF(OVolOverMonthlyPeak,OVolOverMonthlyPeak,IF(OVolCurve,IF(OBuySell,X85,Z85),Y85))^2*(1-15/365.25/BT85)+IF(OVolOverDailyPeak,OVolOverDailyPeak,IF(OVolCurve,IF(OBuySell,AJ85,AL85),AK85))^2*15/365.25/BT85),IF(OVolOverMonthlyPeak,OVolOverMonthlyPeak,IF(OVolCurve,IF(OBuySell,X85,Z85),Y85))),"")</f>
        <v>#VALUE!</v>
      </c>
      <c r="CI85" s="1587" t="e">
        <f aca="false">IF(OR(BQ85,BS85),IF(OVolType&lt;&gt;2,SQRT(IF(OVolOverMonthlyPeak,OVolOverMonthlyPeak,IF(OVolCurve,IF(OBuySell,AA85,AC85),AB85))^2*(1-15/365.25/BT85)+IF(OVolOverDailyPeak,OVolOverDailyPeak,IF(OVolCurve,IF(OBuySell,AM85,AO85),AN85))^2*15/365.25/BT85),IF(OVolOverMonthlyPeak,OVolOverMonthlyPeak,IF(OVolCurve,IF(OBuySell,AA85,AC85),AB85))),"")</f>
        <v>#VALUE!</v>
      </c>
      <c r="CJ85" s="1587" t="e">
        <f aca="false">IF(BQ85,IF(BP85,SQRT(LN(1+((BU85*AZ85)^2*(EXP(CG85^2*BT85)-1)+(BV85*BA85)^2*(EXP(CH85^2*BT85)-1)+(BW85*BB85)^2*(EXP(CI85^2*BT85)-1)+2*BU85*AZ85*BV85*BA85*(EXP(CG85*CH85*BT85)-1)+2*BV85*BA85*BW85*BB85*(EXP(CH85*CI85*BT85)-1)+2*BW85*BB85*BU85*AZ85*(EXP(CI85*CG85*BT85)-1))/(BY85*BP85)^2)/BT85),0),"")</f>
        <v>#VALUE!</v>
      </c>
      <c r="CK85" s="1587" t="e">
        <f aca="false">IF(BS85,IF(BR85,SQRT(LN(1+((CA85*BH85)^2*(EXP(CG85^2*BT85)-1)+(CB85*BI85)^2*(EXP(CH85^2*BT85)-1)+(CC85*BJ85)^2*(EXP(CI85^2*BT85)-1)+2*CA85*BH85*CB85*BI85*(EXP(CG85*CH85*BT85)-1)+2*CB85*BI85*CC85*BJ85*(EXP(CH85*CI85*BT85)-1)+2*CC85*BJ85*CA85*BH85*(EXP(CI85*CG85*BT85)-1))/(CE85*BR85)^2)/BT85),0),"")</f>
        <v>#VALUE!</v>
      </c>
      <c r="CL85" s="1587" t="e">
        <f aca="false">IF(OR(BQ85,BS85),IF(OVolType&lt;&gt;2,SQRT(IF(OVolOverMonthlyOffPeak,OVolOverMonthlyOffPeak,IF(OVolCurve,IF(OBuySell,AD85,AF85),AE85))^2*(1-15/365.25/BT85)+IF(OVolOverDailyOffPeak,OVolOverDailyOffPeak,IF(OVolCurve,IF(OBuySell,AP85,AR85),AQ85))^2*15/365.25/BT85),IF(OVolOverMonthlyOffPeak,OVolOverMonthlyOffPeak,IF(OVolCurve,IF(OBuySell,AD85,AF85),AE85))),"")</f>
        <v>#VALUE!</v>
      </c>
      <c r="CM85" s="1587" t="e">
        <f aca="false">IF(BQ85,SQRT(LN(1+((BY85*BP85)^2*(EXP(CJ85^2*BT85)-1)+(BX85*BC85)^2*(EXP(CL85^2*BT85)-1)+2*BY85*BP85*BX85*BC85*(EXP(AS85*CJ85*CL85*BT85)-1))/(BY85*BP85+BX85*BC85)^2)/BT85),"")</f>
        <v>#VALUE!</v>
      </c>
      <c r="CN85" s="1588" t="e">
        <f aca="false">IF(BS85,SQRT(LN(1+((CE85*BR85)^2*(EXP(CK85^2*BT85)-1)+(CD85*BK85)^2*(EXP(CL85^2*BT85)-1)+2*CE85*BR85*CD85*BK85*(EXP(AS85*CK85*CL85*BT85)-1))/(CE85*BR85+CD85*BK85)^2)/BT85),"")</f>
        <v>#VALUE!</v>
      </c>
      <c r="CO85" s="1531" t="e">
        <f aca="false">IF(OR(BQ85,BS85),VLOOKUP(A85,GasTable,13)*HeatRatePeak*(1+VLOOKUP($B85,HeatRateDegradation,$C85+1))/1000,0)</f>
        <v>#VALUE!</v>
      </c>
      <c r="CP85" s="1316" t="e">
        <f aca="false">IF(OR(BQ85,BS85),VLOOKUP(A85,GasTable,13)*HeatRatePeak*(1+VLOOKUP($B85,HeatRateDegradation,$C85+1))/1000,0)</f>
        <v>#VALUE!</v>
      </c>
      <c r="CQ85" s="1316" t="e">
        <f aca="false">IF(OR(BQ85,BS85),VLOOKUP(A85,GasTable,13)*IF(EV85,HeatRatePeak,HeatRateOffPeak)*(1+VLOOKUP($B85,HeatRateDegradation,$C85+1))/1000,0)</f>
        <v>#VALUE!</v>
      </c>
      <c r="CR85" s="1316" t="e">
        <f aca="false">IF(OR(BQ85,BS85),VLOOKUP(A85,GasTable,13)*IF(EW85,HeatRatePeak,HeatRateOffPeak)*(1+VLOOKUP($B85,HeatRateDegradation,$C85+1))/1000,0)</f>
        <v>#VALUE!</v>
      </c>
      <c r="CS85" s="1589" t="e">
        <f aca="false">IF(BQ85,(CO85*AZ85+CP85*BA85+CQ85*BB85+CR85*BC85)/BQ85,0)</f>
        <v>#VALUE!</v>
      </c>
      <c r="CT85" s="1316" t="e">
        <f aca="false">IF(BS85,CO85,0)</f>
        <v>#VALUE!</v>
      </c>
      <c r="CU85" s="1590" t="e">
        <f aca="false">IF(OR(BQ85,BS85),VLOOKUP(A85,GasTable,14),"")</f>
        <v>#VALUE!</v>
      </c>
      <c r="CV85" s="1568" t="e">
        <f aca="false">IF(OR(BQ85,BS85),IF(CorrPowerGasOverFlag,INDEX(CorrPowerGasOver,C85),CorrPowerGas),"")</f>
        <v>#VALUE!</v>
      </c>
      <c r="CW85" s="1316" t="e">
        <f aca="false">IF(OR($BQ85,$BS85),SpreadOptPowerMargin,0)*((1+Assumptions!$C$26)^($B85-YEAR(Assumptions!$C$17)))</f>
        <v>#VALUE!</v>
      </c>
      <c r="CX85" s="1316" t="e">
        <f aca="false">IF(OR($BQ85,$BS85),SpreadOptPowerMargin,0)*((1+Assumptions!$C$26)^($B85-YEAR(Assumptions!$C$17)))</f>
        <v>#VALUE!</v>
      </c>
      <c r="CY85" s="1316" t="e">
        <f aca="false">IF(OR($BQ85,$BS85),SpreadOptPowerMargin,0)*((1+Assumptions!$C$26)^($B85-YEAR(Assumptions!$C$17)))</f>
        <v>#VALUE!</v>
      </c>
      <c r="CZ85" s="1316" t="e">
        <f aca="false">IF(OR($BQ85,$BS85),SpreadOptPowerMargin,0)*((1+Assumptions!$C$26)^($B85-YEAR(Assumptions!$C$17)))</f>
        <v>#VALUE!</v>
      </c>
      <c r="DA85" s="1591" t="e">
        <f aca="false">IF(OR(BQ85,BS85),(CW85*(AZ85+BH85)+CX85*(BA85+BI85)+CY85*(BB85+BJ85)+CZ85*(BC85+BK85))/(BQ85+BS85),0)</f>
        <v>#VALUE!</v>
      </c>
      <c r="DB85" s="1592" t="e">
        <f aca="false">IF(OR(BQ85,BS85),CG85+IF(OVolSmile,VLOOKUP(MAX(-5,CO85+CW85-BU85),IF(OVolSmile=1,VolSmileBook,VolSmileModel),2),0),"")</f>
        <v>#VALUE!</v>
      </c>
      <c r="DC85" s="1592" t="e">
        <f aca="false">IF(OR(BQ85,BS85),CH85+IF(OVolSmile,VLOOKUP(MAX(-5,CP85+CW85-BV85),IF(OVolSmile=1,VolSmileBook,VolSmileModel),2),0),"")</f>
        <v>#VALUE!</v>
      </c>
      <c r="DD85" s="1592" t="e">
        <f aca="false">IF(OR(BQ85,BS85),CI85+IF(OVolSmile,VLOOKUP(MAX(-5,CQ85+CW85-BW85),IF(OVolSmile=1,VolSmileBook,VolSmileModel),2),0),"")</f>
        <v>#VALUE!</v>
      </c>
      <c r="DE85" s="1592" t="e">
        <f aca="false">IF(OR(BQ85,BS85),CL85+IF(OVolSmile,VLOOKUP(MAX(-5,CR85+CZ85-BX85),IF(OVolSmile=1,VolSmileBook,VolSmileModel),2),0),"")</f>
        <v>#VALUE!</v>
      </c>
      <c r="DF85" s="1592" t="e">
        <f aca="false">IF(BQ85,CM85+IF(OVolSmile,VLOOKUP(MAX(-5,CS85+DA85-BZ85),IF(OVolSmile=1,VolSmileBook,VolSmileModel),2),0),"")</f>
        <v>#VALUE!</v>
      </c>
      <c r="DG85" s="1593" t="e">
        <f aca="false">IF(BS85,CN85+IF(OVolSmile,VLOOKUP(MAX(-5,CT85+DA85-CF85),IF(OVolSmile=1,VolSmileBook,VolSmileModel),2),0),"")</f>
        <v>#VALUE!</v>
      </c>
      <c r="DH85" s="1316" t="e">
        <f aca="false">IF(AND(BU85&gt;0,CO85&gt;0,DB85&gt;0,CU85&gt;0),newSPRDOPT(BU85,CO85,CW85,0,DB85,CU85,CV85,BT85*365.25,OCallPut,0),0)</f>
        <v>#VALUE!</v>
      </c>
      <c r="DI85" s="1316" t="e">
        <f aca="false">IF(AND(BV85&gt;0,CP85&gt;0,DC85&gt;0,CU85&gt;0),newSPRDOPT(BV85,CP85,CX85,0,DC85,CU85,CV85,BT85*365.25,OCallPut,0),0)</f>
        <v>#VALUE!</v>
      </c>
      <c r="DJ85" s="1316" t="e">
        <f aca="false">IF(AND(BW85&gt;0,CQ85&gt;0,DD85&gt;0,CU85&gt;0),newSPRDOPT(BW85,CQ85,CY85,0,DD85,CU85,CV85,BT85*365.25,OCallPut,0),0)</f>
        <v>#VALUE!</v>
      </c>
      <c r="DK85" s="1316" t="e">
        <f aca="false">IF(AND(BX85&gt;0,CR85&gt;0,DE85&gt;0,CU85&gt;0),newSPRDOPT(BX85,CR85,CZ85,0,DE85,CU85,CV85,BT85*365.25,OCallPut,0),0)</f>
        <v>#VALUE!</v>
      </c>
      <c r="DL85" s="1316" t="e">
        <f aca="false">IF(OVolType,IF(AND(BZ85&gt;0,CS85&gt;0,DF85&gt;0,CU85&gt;0),newSPRDOPT(BZ85,CS85,DA85,0,DF85,CU85,CV85,BT85*365.25,OCallPut,0),0),IF(BQ85,(DH85*AZ85+DI85*BA85+DJ85*BB85+DK85*BC85)/BQ85,0))</f>
        <v>#VALUE!</v>
      </c>
      <c r="DM85" s="1316"/>
      <c r="DN85" s="1316"/>
      <c r="DO85" s="1316"/>
      <c r="DP85" s="1316"/>
      <c r="DQ85" s="1316"/>
      <c r="DR85" s="1316"/>
      <c r="DS85" s="1316"/>
      <c r="DT85" s="1316"/>
      <c r="DU85" s="1316"/>
      <c r="DV85" s="1316"/>
      <c r="DW85" s="1594" t="e">
        <f aca="false">IF(AND(BW85&gt;0,CT85&gt;0,DD85&gt;0,CU85&gt;0),newSPRDOPT(BW85,CT85,CY85,0,DD85,CU85,CV85,BT85*365.25,OCallPut,0),0)</f>
        <v>#VALUE!</v>
      </c>
      <c r="DX85" s="1316" t="e">
        <f aca="false">IF(AND(BX85&gt;0,CT85&gt;0,DE85&gt;0,CU85&gt;0),newSPRDOPT(BX85,CT85,CZ85,0,DE85,CU85,CV85,BT85*365.25,OCallPut,0),0)</f>
        <v>#VALUE!</v>
      </c>
      <c r="DY85" s="1591" t="e">
        <f aca="false">IF(BS85,(DH85*BH85+DI85*BI85+DW85*BJ85+DX85*BK85)/BS85,0)</f>
        <v>#VALUE!</v>
      </c>
      <c r="DZ85" s="1551" t="e">
        <f aca="false">DH85*AZ85</f>
        <v>#VALUE!</v>
      </c>
      <c r="EA85" s="1551" t="e">
        <f aca="false">DI85*BA85</f>
        <v>#VALUE!</v>
      </c>
      <c r="EB85" s="1551" t="e">
        <f aca="false">DJ85*BB85</f>
        <v>#VALUE!</v>
      </c>
      <c r="EC85" s="1551" t="e">
        <f aca="false">DK85*BC85</f>
        <v>#VALUE!</v>
      </c>
      <c r="ED85" s="1551" t="e">
        <f aca="false">DL85*BQ85</f>
        <v>#VALUE!</v>
      </c>
      <c r="EE85" s="1595" t="e">
        <f aca="false">IF(BQ85,IF(OCallPut,IF(BU85&gt;(CO85+CW85),BU85-(CO85+CW85),0),IF((CO85+CW85)&gt;BU85,(CO85+CW85)-BU85,0))*AZ85,0)</f>
        <v>#VALUE!</v>
      </c>
      <c r="EF85" s="1596" t="e">
        <f aca="false">IF(BQ85,IF(OCallPut,IF(BV85&gt;(CP85+CX85),BV85-(CP85+CX85),0),IF((CP85+CX85)&gt;BV85,(CP85+CX85)-BV85,0))*BA85,0)</f>
        <v>#VALUE!</v>
      </c>
      <c r="EG85" s="1596" t="e">
        <f aca="false">IF(BQ85,IF(OCallPut,IF(BW85&gt;(CQ85+CY85),BW85-(CQ85+CY85),0),IF((CQ85+CY85)&gt;BW85,(CQ85+CY85)-BW85,0))*BB85,0)</f>
        <v>#VALUE!</v>
      </c>
      <c r="EH85" s="1596" t="e">
        <f aca="false">IF(BQ85,IF(OCallPut,IF(BX85&gt;(CR85+CZ85),BX85-(CR85+CZ85),0),IF((CR85+CZ85)&gt;BX85,(CR85+CZ85)-BX85,0))*BC85,0)</f>
        <v>#VALUE!</v>
      </c>
      <c r="EI85" s="1597" t="e">
        <f aca="false">IF(BQ85,IF(OVolType,IF(OCallPut,IF(BZ85&gt;(CS85+DA85),BZ85-(CS85+DA85),0),IF((CS85+DA85)&gt;BZ85,(CS85+DA85)-BZ85,0))*BQ85,SUM(EE85:EH85)),0)</f>
        <v>#VALUE!</v>
      </c>
      <c r="EJ85" s="1595" t="e">
        <f aca="false">DZ85-EE85</f>
        <v>#VALUE!</v>
      </c>
      <c r="EK85" s="1596" t="e">
        <f aca="false">EA85-EF85</f>
        <v>#VALUE!</v>
      </c>
      <c r="EL85" s="1596" t="e">
        <f aca="false">EB85-EG85</f>
        <v>#VALUE!</v>
      </c>
      <c r="EM85" s="1596" t="e">
        <f aca="false">EC85-EH85</f>
        <v>#VALUE!</v>
      </c>
      <c r="EN85" s="1597" t="e">
        <f aca="false">ED85-EI85</f>
        <v>#VALUE!</v>
      </c>
      <c r="EO85" s="1551" t="e">
        <f aca="false">DH85*BH85</f>
        <v>#VALUE!</v>
      </c>
      <c r="EP85" s="1551" t="e">
        <f aca="false">DI85*BI85</f>
        <v>#VALUE!</v>
      </c>
      <c r="EQ85" s="1551" t="e">
        <f aca="false">DW85*BJ85</f>
        <v>#VALUE!</v>
      </c>
      <c r="ER85" s="1551" t="e">
        <f aca="false">DX85*BK85</f>
        <v>#VALUE!</v>
      </c>
      <c r="ES85" s="1551" t="e">
        <f aca="false">DY85*BS85</f>
        <v>#VALUE!</v>
      </c>
      <c r="ET85" s="1566" t="e">
        <f aca="false">IF(EI85,IF(OCallPut,IF(CA85&gt;(CT85+CW85),CA85-(CT85+CW85),0),IF((CT85+CW85)&gt;CA85,(CT85+CW85)-CA85,0))*BH85,0)</f>
        <v>#VALUE!</v>
      </c>
      <c r="EU85" s="1551" t="e">
        <f aca="false">IF(EI85,IF(OCallPut,IF(CB85&gt;(CT85+CX85),CB85-(CT85+CX85),0),IF((CT85+CX85)&gt;CB85,(CT85+CX85)-CB85,0))*BI85,0)</f>
        <v>#VALUE!</v>
      </c>
      <c r="EV85" s="1551" t="e">
        <f aca="false">IF(EI85,IF(OCallPut,IF(CC85&gt;(CT85+CY85),CC85-(CT85+CY85),0),IF((CT85+CY85)&gt;CC85,(CT85+CY85)-CC85,0))*BJ85,0)</f>
        <v>#VALUE!</v>
      </c>
      <c r="EW85" s="1551" t="e">
        <f aca="false">IF(EI85,IF(OCallPut,IF(CD85&gt;(CT85+CZ85),CD85-(CT85+CZ85),0),IF((CT85+CZ85)&gt;CD85,(CT85+CZ85)-CD85,0))*BK85,0)</f>
        <v>#VALUE!</v>
      </c>
      <c r="EX85" s="1558" t="e">
        <f aca="false">IF(EI85,SUM(ET85:EW85),0)</f>
        <v>#VALUE!</v>
      </c>
      <c r="EY85" s="1551" t="e">
        <f aca="false">EO85-ET85</f>
        <v>#VALUE!</v>
      </c>
      <c r="EZ85" s="1551" t="e">
        <f aca="false">EP85-EU85</f>
        <v>#VALUE!</v>
      </c>
      <c r="FA85" s="1551" t="e">
        <f aca="false">EQ85-EV85</f>
        <v>#VALUE!</v>
      </c>
      <c r="FB85" s="1551" t="e">
        <f aca="false">ER85-EW85</f>
        <v>#VALUE!</v>
      </c>
      <c r="FC85" s="1551" t="e">
        <f aca="false">ES85-EX85</f>
        <v>#VALUE!</v>
      </c>
      <c r="FD85" s="1525" t="n">
        <f aca="false">IF(AX85,IF(VLOOKUP(C85,MAIN!$L$17:$M$28,2)="Yes",VLOOKUP(CALC!B85,MAIN!$H$17:$I$20,2),0),0)</f>
        <v>0</v>
      </c>
      <c r="FE85" s="1552" t="e">
        <f aca="false">$FD85*16*AT85*(1-$AY85)</f>
        <v>#VALUE!</v>
      </c>
      <c r="FF85" s="1553" t="e">
        <f aca="false">$FD85*16*AU85*(1-$AY85)</f>
        <v>#VALUE!</v>
      </c>
      <c r="FG85" s="1553" t="e">
        <f aca="false">$FD85*16*(AV85+AW85)*(1-$AY85)</f>
        <v>#VALUE!</v>
      </c>
      <c r="FH85" s="1554" t="n">
        <f aca="false">$FD85*8*AX85*(1-$AY85)</f>
        <v>0</v>
      </c>
      <c r="FI85" s="1555" t="n">
        <f aca="false">IF(AX85,VLOOKUP(CALC!B85,MAIN!$H$17:$K$20,4),0)</f>
        <v>0</v>
      </c>
      <c r="FJ85" s="1553" t="e">
        <f aca="false">SUM(FE85:FH85)</f>
        <v>#VALUE!</v>
      </c>
      <c r="FK85" s="1556" t="e">
        <f aca="false">FI85*FJ85</f>
        <v>#VALUE!</v>
      </c>
      <c r="FL85" s="1551" t="e">
        <f aca="false">IF($EI85&gt;0,MIN(FE85,AZ85*(1+VLOOKUP($C85,WeatherCapacityAdjustment,2))),0)</f>
        <v>#VALUE!</v>
      </c>
      <c r="FM85" s="1551" t="e">
        <f aca="false">IF($EI85&gt;0,MIN(FF85,BA85*(1+VLOOKUP($C85,WeatherCapacityAdjustment,2))),0)</f>
        <v>#VALUE!</v>
      </c>
      <c r="FN85" s="1551" t="e">
        <f aca="false">IF($EI85&gt;0,MIN(FG85,BB85*(1+VLOOKUP($C85,WeatherCapacityAdjustment,2))),0)</f>
        <v>#VALUE!</v>
      </c>
      <c r="FO85" s="1564" t="e">
        <f aca="false">IF($EI85&gt;0,MIN(FH85,BC85*(1+VLOOKUP($C85,WeatherCapacityAdjustment,3))),0)</f>
        <v>#VALUE!</v>
      </c>
      <c r="FP85" s="1551" t="e">
        <f aca="false">IF(ET85&gt;0,MIN(FE85-FL85,BH85*(1+VLOOKUP($C85,WeatherCapacityAdjustment,2))),0)</f>
        <v>#VALUE!</v>
      </c>
      <c r="FQ85" s="1551" t="e">
        <f aca="false">IF(EU85&gt;0,MIN(FF85-FM85,BI85*(1+VLOOKUP($C85,WeatherCapacityAdjustment,2))),0)</f>
        <v>#VALUE!</v>
      </c>
      <c r="FR85" s="1551" t="e">
        <f aca="false">IF(EV85&gt;0,MIN(FG85-FN85,BJ85*(1+VLOOKUP($C85,WeatherCapacityAdjustment,2))),0)</f>
        <v>#VALUE!</v>
      </c>
      <c r="FS85" s="1558" t="e">
        <f aca="false">IF(EW85&gt;0,MIN(FH85-FO85,BK85*(1+VLOOKUP($C85,WeatherCapacityAdjustment,3))),0)</f>
        <v>#VALUE!</v>
      </c>
      <c r="FT85" s="1566" t="e">
        <f aca="false">IF(AND(Assumptions!$H$71="Yes",A85&gt;=Assumptions!$H$72,A85&lt;=Assumptions!$H$73),0,IF(AND($A85&gt;=Assumptions!$C$17,$A85&lt;=Assumptions!$C$18),MAX(AZ85*(1+VLOOKUP($C85,WeatherCapacityAdjustment,2))-FL85,0),0))</f>
        <v>#VALUE!</v>
      </c>
      <c r="FU85" s="1551" t="e">
        <f aca="false">IF(AND(Assumptions!$H$71="Yes",A85&gt;=Assumptions!$H$72,A85&lt;=Assumptions!$H$73),0,IF(AND($A85&gt;=Assumptions!$C$17,$A85&lt;=Assumptions!$C$18),MAX(BA85*(1+VLOOKUP($C85,WeatherCapacityAdjustment,2))-FM85,0),0))</f>
        <v>#VALUE!</v>
      </c>
      <c r="FV85" s="1551" t="e">
        <f aca="false">IF(AND(Assumptions!$H$71="Yes",A85&gt;=Assumptions!$H$72,A85&lt;=Assumptions!$H$73),0,IF(AND($A85&gt;=Assumptions!$C$17,$A85&lt;=Assumptions!$C$18),MAX(BB85*(1+VLOOKUP($C85,WeatherCapacityAdjustment,2))-FN85,0),0))</f>
        <v>#VALUE!</v>
      </c>
      <c r="FW85" s="1564" t="e">
        <f aca="false">IF(AND(Assumptions!$H$71="Yes",A85&gt;=Assumptions!$H$72,A85&lt;=Assumptions!$H$73),0,IF(AND($A85&gt;=Assumptions!$C$17,$A85&lt;=Assumptions!$C$18),MAX(BC85*(1+VLOOKUP($C85,WeatherCapacityAdjustment,3))-FO85,0),0))</f>
        <v>#VALUE!</v>
      </c>
      <c r="FX85" s="1569" t="e">
        <f aca="false">IF(AND(Assumptions!$H$71="Yes",A85&gt;=Assumptions!$H$72,A85&lt;=Assumptions!$H$73),0,IF(ET85&gt;0,MAX(BH85*(1+VLOOKUP($C85,WeatherCapacityAdjustment,2))-FP85,0),0))</f>
        <v>#VALUE!</v>
      </c>
      <c r="FY85" s="1551" t="e">
        <f aca="false">IF(AND(Assumptions!$H$71="Yes",A85&gt;=Assumptions!$H$72,A85&lt;=Assumptions!$H$73),0,IF(EU85&gt;0,MAX(BI85*(1+VLOOKUP($C85,WeatherCapacityAdjustment,3))-FQ85,0),0))</f>
        <v>#VALUE!</v>
      </c>
      <c r="FZ85" s="1551" t="e">
        <f aca="false">IF(AND(Assumptions!$H$71="Yes",A85&gt;=Assumptions!$H$72,A85&lt;=Assumptions!$H$73),0,IF(EV85&gt;0,MAX(BJ85*(1+VLOOKUP($C85,WeatherCapacityAdjustment,2))-FR85,0),0))</f>
        <v>#VALUE!</v>
      </c>
      <c r="GA85" s="1564" t="e">
        <f aca="false">IF(AND(Assumptions!$H$71="Yes",A85&gt;=Assumptions!$H$72,A85&lt;=Assumptions!$H$73),0,IF(EW85&gt;0,MAX(BK85*(1+VLOOKUP($C85,WeatherCapacityAdjustment,2))-FS85,0),0))</f>
        <v>#VALUE!</v>
      </c>
      <c r="GB85" s="1551" t="e">
        <f aca="false">SUM(FT85:GA85)</f>
        <v>#VALUE!</v>
      </c>
      <c r="GC85" s="1563" t="e">
        <f aca="false">+IF(SUM(FT85:GA85)=0,0,(SUMPRODUCT(BU85:BX85,FT85:FW85)+SUMPRODUCT(CA85:CD85,FX85:GA85))/SUM(FT85:GA85))</f>
        <v>#VALUE!</v>
      </c>
      <c r="GD85" s="1551" t="e">
        <f aca="false">(FT85*BU85+FX85*CA85+FU85*BV85+FY85*CB85+FV85*BW85+FZ85*CC85+FW85*BX85+GA85*CD85)</f>
        <v>#VALUE!</v>
      </c>
      <c r="GE85" s="1561" t="e">
        <f aca="false">+IF(BQ85,((FL85+FM85+FT85+FU85)*HeatRatePeak/1000*(1+VLOOKUP($C85,WeatherHeatRateAdjustment,2))+(FN85+FV85)*IF(EV85&gt;0,HeatRatePeak,HeatRateOffPeak)/1000*(1+VLOOKUP($C85,WeatherHeatRateAdjustment,2))+(FO85+FW85)*IF(EW85&gt;0,HeatRatePeak,HeatRateOffPeak)/1000*(1+VLOOKUP($C85,WeatherHeatRateAdjustment,3)))*(1+VLOOKUP($B85,HeatRateDegradation,$C85+1)),0)</f>
        <v>#VALUE!</v>
      </c>
      <c r="GF85" s="1562" t="e">
        <f aca="false">IF(BQ85,((FP85+FQ85+FR85+FX85+FY85+FZ85)*HeatRatePeak/1000*(1+VLOOKUP($C85,WeatherHeatRateAdjustment,2))+(FS85+GA85)*HeatRatePeak/1000*(1+VLOOKUP($C85,WeatherHeatRateAdjustment,3)))*(1+VLOOKUP($B85,HeatRateDegradation,$C85+1)),0)</f>
        <v>#VALUE!</v>
      </c>
      <c r="GG85" s="1563" t="e">
        <f aca="false">IF(BQ85,VLOOKUP(A85,GasTable,13),0)</f>
        <v>#VALUE!</v>
      </c>
      <c r="GH85" s="1564" t="e">
        <f aca="false">(GE85+GF85)*GG85</f>
        <v>#VALUE!</v>
      </c>
      <c r="GI85" s="1569" t="e">
        <f aca="false">GB85</f>
        <v>#VALUE!</v>
      </c>
      <c r="GJ85" s="1598" t="e">
        <f aca="false">+DA85</f>
        <v>#VALUE!</v>
      </c>
      <c r="GK85" s="1558" t="e">
        <f aca="false">+GI85*GJ85</f>
        <v>#VALUE!</v>
      </c>
      <c r="GL85" s="1566" t="e">
        <f aca="false">MAX(FE85-FL85-FP85,0)</f>
        <v>#VALUE!</v>
      </c>
      <c r="GM85" s="1551" t="e">
        <f aca="false">MAX(FF85-FM85-FQ85,0)</f>
        <v>#VALUE!</v>
      </c>
      <c r="GN85" s="1551" t="e">
        <f aca="false">MAX(FG85-FN85-FR85,0)</f>
        <v>#VALUE!</v>
      </c>
      <c r="GO85" s="1564" t="e">
        <f aca="false">MAX(FH85-FO85-FS85,0)</f>
        <v>#VALUE!</v>
      </c>
      <c r="GP85" s="1551" t="e">
        <f aca="false">SUM(GL85:GO85)</f>
        <v>#VALUE!</v>
      </c>
      <c r="GQ85" s="1563" t="e">
        <f aca="false">IF(SUM(GL85:GO85)=0,0,((GL85*BU85+GM85*BV85+GN85*BW85+GO85*BX85)/SUM(GL85:GO85)))</f>
        <v>#VALUE!</v>
      </c>
      <c r="GR85" s="1558" t="e">
        <f aca="false">(GL85*BU85+GM85*BV85+GN85*BW85+GO85*BX85)</f>
        <v>#VALUE!</v>
      </c>
      <c r="GS85" s="1566" t="n">
        <f aca="false">IF($A85&gt;=BegDate,Assumptions!$C$56*24*($A86-$A85)*(1-VLOOKUP($B85,MAIN!$AA$7:$AM$28,$C85+1))*(1-VLOOKUP($B85,MAIN!$AA$33:$AM$54,$C85+1)),0)*80/168</f>
        <v>257742.857142857</v>
      </c>
      <c r="GT85" s="286" t="n">
        <f aca="false">J85</f>
        <v>44.5670894286793</v>
      </c>
      <c r="GU85" s="286" t="n">
        <f aca="false">IF($A85&gt;=BegDate,VLOOKUP($A85,GasTable,13)+Assumptions!$C$58,0)</f>
        <v>2.90603961218902</v>
      </c>
      <c r="GV85" s="286" t="n">
        <f aca="false">GU85*Assumptions!$C$57/1000</f>
        <v>21.0687871883704</v>
      </c>
      <c r="GW85" s="1558" t="n">
        <f aca="false">IF(Assumptions!$C$60="Hourly",MAX(0,GS85*(GT85-GV85)),GS85*(GT85-GV85))</f>
        <v>6056519.55742362</v>
      </c>
      <c r="GX85" s="1566" t="n">
        <f aca="false">IF($A85&gt;=BegDate,Assumptions!$C$56*24*($A86-$A85)*(1-VLOOKUP($B85,MAIN!$AA$7:$AM$28,$C85+1))*(1-VLOOKUP($B85,MAIN!$AA$33:$AM$54,$C85+1)),0)*16/168</f>
        <v>51548.5714285714</v>
      </c>
      <c r="GY85" s="286" t="n">
        <f aca="false">M85</f>
        <v>44.5670894286793</v>
      </c>
      <c r="GZ85" s="286" t="n">
        <f aca="false">IF($A85&gt;=BegDate,VLOOKUP($A85,GasTable,13)+Assumptions!$C$58,0)</f>
        <v>2.90603961218902</v>
      </c>
      <c r="HA85" s="286" t="n">
        <f aca="false">GZ85*Assumptions!$C$57/1000</f>
        <v>21.0687871883704</v>
      </c>
      <c r="HB85" s="1558" t="n">
        <f aca="false">IF(Assumptions!$C$60="Hourly",MAX(0,GX85*(GY85-HA85)),GX85*(GY85-HA85))</f>
        <v>1211303.91148472</v>
      </c>
      <c r="HC85" s="1566" t="n">
        <f aca="false">IF($A85&gt;=BegDate,Assumptions!$C$56*24*($A86-$A85)*(1-VLOOKUP($B85,MAIN!$AA$7:$AM$28,$C85+1))*(1-VLOOKUP($B85,MAIN!$AA$33:$AM$54,$C85+1)),0)*16/168</f>
        <v>51548.5714285714</v>
      </c>
      <c r="HD85" s="286" t="n">
        <f aca="false">P85</f>
        <v>30.1957929477256</v>
      </c>
      <c r="HE85" s="286" t="n">
        <f aca="false">IF($A85&gt;=BegDate,VLOOKUP($A85,GasTable,13)+Assumptions!$C$58,0)</f>
        <v>2.90603961218902</v>
      </c>
      <c r="HF85" s="286" t="n">
        <f aca="false">HE85*Assumptions!$C$57/1000</f>
        <v>21.0687871883704</v>
      </c>
      <c r="HG85" s="1558" t="n">
        <f aca="false">IF(Assumptions!$C$60="Hourly",MAX(0,HC85*(HD85-HF85)),HC85*(HD85-HF85))</f>
        <v>470484.108315106</v>
      </c>
      <c r="HH85" s="1566" t="n">
        <f aca="false">IF($A85&gt;=BegDate,Assumptions!$C$56*24*($A86-$A85)*(1-VLOOKUP($B85,MAIN!$AA$7:$AM$28,$C85+1))*(1-VLOOKUP($B85,MAIN!$AA$33:$AM$54,$C85+1)),0)*56/168</f>
        <v>180420</v>
      </c>
      <c r="HI85" s="286" t="n">
        <f aca="false">S85</f>
        <v>30.1957929477256</v>
      </c>
      <c r="HJ85" s="286" t="n">
        <f aca="false">IF($A85&gt;=BegDate,VLOOKUP($A85,GasTable,13)+Assumptions!$C$58,0)</f>
        <v>2.90603961218902</v>
      </c>
      <c r="HK85" s="286" t="n">
        <f aca="false">HJ85*Assumptions!$C$57/1000</f>
        <v>21.0687871883704</v>
      </c>
      <c r="HL85" s="1558" t="n">
        <f aca="false">IF(Assumptions!$C$60="Hourly",MAX(0,HH85*(HI85-HK85)),HH85*(HI85-HK85))</f>
        <v>1646694.37910287</v>
      </c>
      <c r="HM85" s="1566" t="n">
        <f aca="false">IF(AND(Assumptions!$H$71="Yes",A85&gt;=Assumptions!$H$72,A85&lt;=Assumptions!$H$73),Assumptions!$H$74*Assumptions!$C$9*1000,0)</f>
        <v>0</v>
      </c>
      <c r="HN85" s="1551"/>
      <c r="HO85" s="1563"/>
      <c r="HP85" s="1563"/>
      <c r="HQ85" s="1563"/>
      <c r="HR85" s="1563"/>
      <c r="HS85" s="1563"/>
      <c r="HT85" s="1563"/>
      <c r="HU85" s="1563"/>
      <c r="HV85" s="1563"/>
      <c r="HW85" s="1563"/>
      <c r="HX85" s="1563"/>
      <c r="HY85" s="1563"/>
      <c r="HZ85" s="1563"/>
      <c r="IA85" s="1563"/>
      <c r="IB85" s="1563"/>
      <c r="IC85" s="1563"/>
      <c r="ID85" s="1563"/>
      <c r="IE85" s="1563"/>
      <c r="IF85" s="1563"/>
      <c r="IG85" s="1563"/>
      <c r="IH85" s="1563"/>
      <c r="II85" s="1610"/>
      <c r="IJ85" s="1309"/>
      <c r="IK85" s="1309"/>
    </row>
    <row r="86" customFormat="false" ht="12.75" hidden="false" customHeight="false" outlineLevel="0" collapsed="false">
      <c r="A86" s="1571" t="n">
        <f aca="false">EOMONTH(A85,0)+1</f>
        <v>38749</v>
      </c>
      <c r="B86" s="594" t="n">
        <f aca="false">+YEAR(A86)</f>
        <v>2006</v>
      </c>
      <c r="C86" s="238" t="n">
        <f aca="false">MONTH(A86)</f>
        <v>2</v>
      </c>
      <c r="D86" s="1572" t="e">
        <f aca="false">IF(E86="","",Holiday(B86,C86))</f>
        <v>#VALUE!</v>
      </c>
      <c r="E86" s="1573" t="n">
        <f aca="false">IF(OR(BegDate&gt;=A87,EndDate&lt;A86,AND(VolumeMonthlyOverFlag,INDEX(VolumeMonthlyOver,C86)=0),NOT(INDEX(MonthKnockOutTable,C86))),"",MAX(A86,BegDate))</f>
        <v>38749</v>
      </c>
      <c r="F86" s="1574" t="n">
        <f aca="false">IF(E86="","",MIN(A87-1,EndDate))</f>
        <v>38776</v>
      </c>
      <c r="G86" s="1575" t="n">
        <v>0</v>
      </c>
      <c r="H86" s="1576" t="n">
        <f aca="false">(1+G86/2)^(-2*(DATE(B87,C87,20)-DateToday)/365.25)</f>
        <v>1</v>
      </c>
      <c r="I86" s="1568" t="n">
        <f aca="false">IF(Assumptions!$L$25=4,VLOOKUP($A86,'Henwood Reference'!$E$9:$R$320,10),(VLOOKUP($A86,PriceTable,2,0)+IF(BasisNumber&lt;&gt;1,VLOOKUP($A86,BasisTable,2,0),0)+I$1)/(1-I$2))</f>
        <v>41.3899600114517</v>
      </c>
      <c r="J86" s="1568" t="n">
        <f aca="false">IF(Assumptions!$L$25=4,VLOOKUP($A86,'Henwood Reference'!$E$9:$R$320,10),(VLOOKUP($A86,PriceTable,3,0)+IF(BasisNumber&lt;&gt;1,VLOOKUP($A86,BasisTable,2,0),0)+J$1)/(1-J$2))</f>
        <v>41.3899600114517</v>
      </c>
      <c r="K86" s="1568" t="n">
        <f aca="false">IF(Assumptions!$L$25=4,VLOOKUP($A86,'Henwood Reference'!$E$9:$R$320,10),(VLOOKUP($A86,PriceTable,4,0)+IF(BasisNumber&lt;&gt;1,VLOOKUP($A86,BasisTable,2,0),0)+K$1)/(1-K$2))</f>
        <v>41.3899600114517</v>
      </c>
      <c r="L86" s="1523" t="n">
        <f aca="false">IF(Assumptions!$L$25=4,VLOOKUP($A86,'Henwood Reference'!$E$9:$R$320,10),(VLOOKUP($A86,PriceTableWeekend,2,0)+IF(BasisNumber&lt;&gt;1,VLOOKUP($A86,BasisTable,2,0),0)+L$1)/(1-L$2))</f>
        <v>41.3899600114517</v>
      </c>
      <c r="M86" s="1568" t="n">
        <f aca="false">IF(Assumptions!$L$25=4,VLOOKUP($A86,'Henwood Reference'!$E$9:$R$320,10),(VLOOKUP($A86,PriceTableWeekend,3,0)+IF(BasisNumber&lt;&gt;1,VLOOKUP($A86,BasisTable,2,0),0)+M$1)/(1-M$2))</f>
        <v>41.3899600114517</v>
      </c>
      <c r="N86" s="1599" t="n">
        <f aca="false">IF(Assumptions!$L$25=4,VLOOKUP($A86,'Henwood Reference'!$E$9:$R$320,10),(VLOOKUP($A86,PriceTableWeekend,4,0)+IF(BasisNumber&lt;&gt;1,VLOOKUP($A86,BasisTable,2,0),0)+N$1)/(1-N$2))</f>
        <v>41.3899600114517</v>
      </c>
      <c r="O86" s="1568" t="n">
        <f aca="false">IF(Assumptions!$L$25=4,VLOOKUP($A86,'Henwood Reference'!$E$9:$R$320,11),(VLOOKUP($A86,PriceTableWeekend,6,0)+IF(BasisNumber&lt;&gt;1,VLOOKUP($A86,BasisTable,3,0),0)+O$1)/(1-O$2))</f>
        <v>26.0935211030727</v>
      </c>
      <c r="P86" s="1568" t="n">
        <f aca="false">IF(Assumptions!$L$25=4,VLOOKUP($A86,'Henwood Reference'!$E$9:$R$320,11),(VLOOKUP($A86,PriceTableWeekend,7,0)+IF(BasisNumber&lt;&gt;1,VLOOKUP($A86,BasisTable,3,0),0)+P$1)/(1-P$2))</f>
        <v>26.0935211030727</v>
      </c>
      <c r="Q86" s="1599" t="n">
        <f aca="false">IF(Assumptions!$L$25=4,VLOOKUP($A86,'Henwood Reference'!$E$9:$R$320,11),(VLOOKUP($A86,PriceTableWeekend,8,0)+IF(BasisNumber&lt;&gt;1,VLOOKUP($A86,BasisTable,3,0),0)+Q$1)/(1-Q$2))</f>
        <v>26.0935211030727</v>
      </c>
      <c r="R86" s="1568" t="n">
        <f aca="false">IF(Assumptions!$L$25=4,VLOOKUP($A86,'Henwood Reference'!$E$9:$R$320,11),(VLOOKUP($A86,PriceTable,6,0)+IF(BasisNumber&lt;&gt;1,VLOOKUP($A86,BasisTable,3,0),0)+R$1)/(1-R$2))</f>
        <v>26.0935211030727</v>
      </c>
      <c r="S86" s="1568" t="n">
        <f aca="false">IF(Assumptions!$L$25=4,VLOOKUP($A86,'Henwood Reference'!$E$9:$R$320,11),(VLOOKUP($A86,PriceTable,7,0)+IF(BasisNumber&lt;&gt;1,VLOOKUP($A86,BasisTable,3,0),0)+S$1)/(1-S$2))</f>
        <v>26.0935211030727</v>
      </c>
      <c r="T86" s="1600" t="n">
        <f aca="false">IF(Assumptions!$L$25=4,VLOOKUP($A86,'Henwood Reference'!$E$9:$R$320,11),(VLOOKUP($A86,PriceTable,8,0)+IF(BasisNumber&lt;&gt;1,VLOOKUP($A86,BasisTable,3,0),0)+T$1)/(1-T$2))</f>
        <v>26.0935211030727</v>
      </c>
      <c r="U86" s="1513" t="n">
        <f aca="false">VLOOKUP($A86,VolatilityTable,14)</f>
        <v>0.14</v>
      </c>
      <c r="V86" s="1513" t="n">
        <f aca="false">VLOOKUP($A86,VolatilityTable,15)</f>
        <v>0.15</v>
      </c>
      <c r="W86" s="1514" t="n">
        <f aca="false">VLOOKUP($A86,VolatilityTable,16)</f>
        <v>0.16</v>
      </c>
      <c r="X86" s="1513" t="n">
        <f aca="false">VLOOKUP($A86,VolatilityTable,14)</f>
        <v>0.14</v>
      </c>
      <c r="Y86" s="1513" t="n">
        <f aca="false">VLOOKUP($A86,VolatilityTable,15)</f>
        <v>0.15</v>
      </c>
      <c r="Z86" s="1514" t="n">
        <f aca="false">VLOOKUP($A86,VolatilityTable,16)</f>
        <v>0.16</v>
      </c>
      <c r="AA86" s="1513" t="n">
        <f aca="false">VLOOKUP($A86,VolatilityTable,18)</f>
        <v>0.09</v>
      </c>
      <c r="AB86" s="1513" t="n">
        <f aca="false">VLOOKUP($A86,VolatilityTable,19)</f>
        <v>0.11</v>
      </c>
      <c r="AC86" s="1514" t="n">
        <f aca="false">VLOOKUP($A86,VolatilityTable,20)</f>
        <v>0.13</v>
      </c>
      <c r="AD86" s="1513" t="n">
        <f aca="false">VLOOKUP($A86,VolatilityTable,18)</f>
        <v>0.09</v>
      </c>
      <c r="AE86" s="1513" t="n">
        <f aca="false">VLOOKUP($A86,VolatilityTable,19)</f>
        <v>0.11</v>
      </c>
      <c r="AF86" s="1514" t="n">
        <f aca="false">VLOOKUP($A86,VolatilityTable,20)</f>
        <v>0.13</v>
      </c>
      <c r="AG86" s="1513" t="n">
        <f aca="false">VLOOKUP($A86,VolatilityTable,22)</f>
        <v>-0.25</v>
      </c>
      <c r="AH86" s="1513" t="n">
        <f aca="false">VLOOKUP($A86,VolatilityTable,23)</f>
        <v>0.65</v>
      </c>
      <c r="AI86" s="1514" t="n">
        <f aca="false">VLOOKUP($A86,VolatilityTable,24)</f>
        <v>0.25</v>
      </c>
      <c r="AJ86" s="1513" t="n">
        <f aca="false">VLOOKUP($A86,VolatilityTable,22)</f>
        <v>-0.25</v>
      </c>
      <c r="AK86" s="1513" t="n">
        <f aca="false">VLOOKUP($A86,VolatilityTable,23)</f>
        <v>0.65</v>
      </c>
      <c r="AL86" s="1514" t="n">
        <f aca="false">VLOOKUP($A86,VolatilityTable,24)</f>
        <v>0.25</v>
      </c>
      <c r="AM86" s="1513" t="n">
        <f aca="false">VLOOKUP($A86,VolatilityTable,26)</f>
        <v>-0.01</v>
      </c>
      <c r="AN86" s="1513" t="n">
        <f aca="false">VLOOKUP($A86,VolatilityTable,27)</f>
        <v>0.16</v>
      </c>
      <c r="AO86" s="1514" t="n">
        <f aca="false">VLOOKUP($A86,VolatilityTable,28)</f>
        <v>0.01</v>
      </c>
      <c r="AP86" s="1513" t="n">
        <f aca="false">VLOOKUP($A86,VolatilityTable,26)</f>
        <v>-0.01</v>
      </c>
      <c r="AQ86" s="1513" t="n">
        <f aca="false">VLOOKUP($A86,VolatilityTable,27)</f>
        <v>0.16</v>
      </c>
      <c r="AR86" s="1515" t="n">
        <f aca="false">VLOOKUP($A86,VolatilityTable,28)</f>
        <v>0.01</v>
      </c>
      <c r="AS86" s="1581" t="n">
        <f aca="false">IF(CorrPeakOffPeakOverFlag,INDEX(CorrPeakOffPeakOver,C86),CorrPeakOffPeak)</f>
        <v>0.5</v>
      </c>
      <c r="AT86" s="594" t="e">
        <f aca="false">AX86-SUM(AU86:AW86)</f>
        <v>#VALUE!</v>
      </c>
      <c r="AU86" s="238" t="e">
        <f aca="false">IF(E86="",0,INT((F86-MOD(F86,7)-E86)/7)+1-IF(AW86,IF(WEEKDAY(D86)=7,1,0),0))</f>
        <v>#VALUE!</v>
      </c>
      <c r="AV86" s="238" t="e">
        <f aca="false">IF(E86="",0,INT((F86-MOD(F86-1,7)-E86)/7)+1-IF(AW86,IF(WEEKDAY(D86)=1,1,0),0))</f>
        <v>#VALUE!</v>
      </c>
      <c r="AW86" s="238" t="e">
        <f aca="false">IF(OR(E86="",D86="",D86&lt;BegDate,D86&gt;EndDate),0,1)</f>
        <v>#VALUE!</v>
      </c>
      <c r="AX86" s="238" t="n">
        <f aca="false">IF(E86="",0,F86-E86+1)</f>
        <v>28</v>
      </c>
      <c r="AY86" s="1582" t="n">
        <f aca="false">IF(E86="",0,MIN((1-(1-VLOOKUP(B86,MAIN!$AA$7:$AM$28,C86+1))*(1-VLOOKUP(B86,MAIN!$AA$33:$AM$54,C86+1))),1))</f>
        <v>0.03</v>
      </c>
      <c r="AZ86" s="1519" t="e">
        <v>#VALUE!</v>
      </c>
      <c r="BA86" s="1520" t="e">
        <v>#VALUE!</v>
      </c>
      <c r="BB86" s="1520" t="e">
        <v>#VALUE!</v>
      </c>
      <c r="BC86" s="1583" t="e">
        <v>#VALUE!</v>
      </c>
      <c r="BD86" s="1522" t="e">
        <v>#VALUE!</v>
      </c>
      <c r="BE86" s="1523" t="e">
        <v>#VALUE!</v>
      </c>
      <c r="BF86" s="1523" t="e">
        <v>#VALUE!</v>
      </c>
      <c r="BG86" s="1584" t="e">
        <v>#VALUE!</v>
      </c>
      <c r="BH86" s="1525" t="e">
        <v>#VALUE!</v>
      </c>
      <c r="BI86" s="1520" t="e">
        <v>#VALUE!</v>
      </c>
      <c r="BJ86" s="1520" t="e">
        <v>#VALUE!</v>
      </c>
      <c r="BK86" s="1583" t="e">
        <v>#VALUE!</v>
      </c>
      <c r="BL86" s="1522" t="e">
        <v>#VALUE!</v>
      </c>
      <c r="BM86" s="1523" t="e">
        <v>#VALUE!</v>
      </c>
      <c r="BN86" s="1523" t="e">
        <v>#VALUE!</v>
      </c>
      <c r="BO86" s="1523" t="e">
        <v>#VALUE!</v>
      </c>
      <c r="BP86" s="1525" t="e">
        <f aca="false">SUM(AZ86:BB86)</f>
        <v>#VALUE!</v>
      </c>
      <c r="BQ86" s="1529" t="e">
        <f aca="false">SUM(AZ86:BC86)</f>
        <v>#VALUE!</v>
      </c>
      <c r="BR86" s="1519" t="e">
        <f aca="false">SUM(BH86:BJ86)</f>
        <v>#VALUE!</v>
      </c>
      <c r="BS86" s="1529" t="e">
        <f aca="false">SUM(BH86:BK86)</f>
        <v>#VALUE!</v>
      </c>
      <c r="BT86" s="1316" t="n">
        <f aca="false">(IF(OVolType&lt;&gt;2,A86+14,IF(OptExpDateShift,ShiftBack(A86,OptExpDateShift,D85),A86))-DateToday)/365.25</f>
        <v>5.80150581793292</v>
      </c>
      <c r="BU86" s="1585" t="e">
        <f aca="false">IF(BQ86,IF(OPriceCurve,IF(OBuySell=OCallPut,I86/(1-AY86),K86/(1-AY86)),J86/(1-AY86))*BD86,0)</f>
        <v>#VALUE!</v>
      </c>
      <c r="BV86" s="1316" t="e">
        <f aca="false">IF(BQ86,IF(OPriceCurve,IF(OBuySell=OCallPut,L86/(1-AY86),N86/(1-AY86)),M86/(1-AY86))*BE86,0)</f>
        <v>#VALUE!</v>
      </c>
      <c r="BW86" s="1316" t="e">
        <f aca="false">IF(BQ86,IF(OPriceCurve,IF(OBuySell=OCallPut,O86/(1-AY86),Q86/(1-AY86)),P86/(1-AY86))*BF86,0)</f>
        <v>#VALUE!</v>
      </c>
      <c r="BX86" s="1316" t="e">
        <f aca="false">IF(BQ86,IF(OPriceCurve,IF(OBuySell=OCallPut,R86/(1-AY86),T86/(1-AY86)),S86/(1-AY86))*BG86,0)</f>
        <v>#VALUE!</v>
      </c>
      <c r="BY86" s="1316" t="e">
        <f aca="false">IF(BP86,(BU86*AZ86+BV86*BA86+BW86*BB86)/BP86,0)</f>
        <v>#VALUE!</v>
      </c>
      <c r="BZ86" s="1316" t="e">
        <f aca="false">IF(BQ86,(BY86*BP86+BX86*BC86)/BQ86,0)</f>
        <v>#VALUE!</v>
      </c>
      <c r="CA86" s="1531" t="e">
        <f aca="false">IF(BS86,IF(OPriceCurve,IF(OBuySell=OCallPut,I86/(1-AY86),K86/(1-AY86)),J86/(1-AY86))*BL86,0)</f>
        <v>#VALUE!</v>
      </c>
      <c r="CB86" s="1316" t="e">
        <f aca="false">IF(BS86,IF(OPriceCurve,IF(OBuySell=OCallPut,L86/(1-AY86),N86/(1-AY86)),M86/(1-AY86))*BM86,0)</f>
        <v>#VALUE!</v>
      </c>
      <c r="CC86" s="1316" t="e">
        <f aca="false">IF(BS86,IF(OPriceCurve,IF(OBuySell=OCallPut,O86/(1-AY86),Q86/(1-AY86)),P86/(1-AY86))*BN86,0)</f>
        <v>#VALUE!</v>
      </c>
      <c r="CD86" s="1316" t="e">
        <f aca="false">IF(BS86,IF(OPriceCurve,IF(OBuySell=OCallPut,R86/(1-AY86),T86/(1-AY86)),S86/(1-AY86))*BO86,0)</f>
        <v>#VALUE!</v>
      </c>
      <c r="CE86" s="1316" t="e">
        <f aca="false">IF(BR86,(BU86*BH86+BV86*BI86+BW86*BJ86)/BR86,0)</f>
        <v>#VALUE!</v>
      </c>
      <c r="CF86" s="1532" t="e">
        <f aca="false">IF(BS86,(CE86*BR86+CD86*BK86)/BS86,0)</f>
        <v>#VALUE!</v>
      </c>
      <c r="CG86" s="1586" t="e">
        <f aca="false">IF(OR(BQ86,BS86),IF(OVolType&lt;&gt;2,SQRT(IF(OVolOverMonthlyPeak,OVolOverMonthlyPeak,IF(OVolCurve,IF(OBuySell,U86,W86),V86))^2*(1-15/365.25/BT86)+IF(OVolOverDailyPeak,OVolOverDailyPeak,IF(OVolCurve,IF(OBuySell,AG86,AI86),AH86))^2*15/365.25/BT86),IF(OVolOverMonthlyPeak,OVolOverMonthlyPeak,IF(OVolCurve,IF(OBuySell,U86,W86),V86))),"")</f>
        <v>#VALUE!</v>
      </c>
      <c r="CH86" s="1587" t="e">
        <f aca="false">IF(OR(BQ86,BS86),IF(OVolType&lt;&gt;2,SQRT(IF(OVolOverMonthlyPeak,OVolOverMonthlyPeak,IF(OVolCurve,IF(OBuySell,X86,Z86),Y86))^2*(1-15/365.25/BT86)+IF(OVolOverDailyPeak,OVolOverDailyPeak,IF(OVolCurve,IF(OBuySell,AJ86,AL86),AK86))^2*15/365.25/BT86),IF(OVolOverMonthlyPeak,OVolOverMonthlyPeak,IF(OVolCurve,IF(OBuySell,X86,Z86),Y86))),"")</f>
        <v>#VALUE!</v>
      </c>
      <c r="CI86" s="1587" t="e">
        <f aca="false">IF(OR(BQ86,BS86),IF(OVolType&lt;&gt;2,SQRT(IF(OVolOverMonthlyPeak,OVolOverMonthlyPeak,IF(OVolCurve,IF(OBuySell,AA86,AC86),AB86))^2*(1-15/365.25/BT86)+IF(OVolOverDailyPeak,OVolOverDailyPeak,IF(OVolCurve,IF(OBuySell,AM86,AO86),AN86))^2*15/365.25/BT86),IF(OVolOverMonthlyPeak,OVolOverMonthlyPeak,IF(OVolCurve,IF(OBuySell,AA86,AC86),AB86))),"")</f>
        <v>#VALUE!</v>
      </c>
      <c r="CJ86" s="1587" t="e">
        <f aca="false">IF(BQ86,IF(BP86,SQRT(LN(1+((BU86*AZ86)^2*(EXP(CG86^2*BT86)-1)+(BV86*BA86)^2*(EXP(CH86^2*BT86)-1)+(BW86*BB86)^2*(EXP(CI86^2*BT86)-1)+2*BU86*AZ86*BV86*BA86*(EXP(CG86*CH86*BT86)-1)+2*BV86*BA86*BW86*BB86*(EXP(CH86*CI86*BT86)-1)+2*BW86*BB86*BU86*AZ86*(EXP(CI86*CG86*BT86)-1))/(BY86*BP86)^2)/BT86),0),"")</f>
        <v>#VALUE!</v>
      </c>
      <c r="CK86" s="1587" t="e">
        <f aca="false">IF(BS86,IF(BR86,SQRT(LN(1+((CA86*BH86)^2*(EXP(CG86^2*BT86)-1)+(CB86*BI86)^2*(EXP(CH86^2*BT86)-1)+(CC86*BJ86)^2*(EXP(CI86^2*BT86)-1)+2*CA86*BH86*CB86*BI86*(EXP(CG86*CH86*BT86)-1)+2*CB86*BI86*CC86*BJ86*(EXP(CH86*CI86*BT86)-1)+2*CC86*BJ86*CA86*BH86*(EXP(CI86*CG86*BT86)-1))/(CE86*BR86)^2)/BT86),0),"")</f>
        <v>#VALUE!</v>
      </c>
      <c r="CL86" s="1587" t="e">
        <f aca="false">IF(OR(BQ86,BS86),IF(OVolType&lt;&gt;2,SQRT(IF(OVolOverMonthlyOffPeak,OVolOverMonthlyOffPeak,IF(OVolCurve,IF(OBuySell,AD86,AF86),AE86))^2*(1-15/365.25/BT86)+IF(OVolOverDailyOffPeak,OVolOverDailyOffPeak,IF(OVolCurve,IF(OBuySell,AP86,AR86),AQ86))^2*15/365.25/BT86),IF(OVolOverMonthlyOffPeak,OVolOverMonthlyOffPeak,IF(OVolCurve,IF(OBuySell,AD86,AF86),AE86))),"")</f>
        <v>#VALUE!</v>
      </c>
      <c r="CM86" s="1587" t="e">
        <f aca="false">IF(BQ86,SQRT(LN(1+((BY86*BP86)^2*(EXP(CJ86^2*BT86)-1)+(BX86*BC86)^2*(EXP(CL86^2*BT86)-1)+2*BY86*BP86*BX86*BC86*(EXP(AS86*CJ86*CL86*BT86)-1))/(BY86*BP86+BX86*BC86)^2)/BT86),"")</f>
        <v>#VALUE!</v>
      </c>
      <c r="CN86" s="1588" t="e">
        <f aca="false">IF(BS86,SQRT(LN(1+((CE86*BR86)^2*(EXP(CK86^2*BT86)-1)+(CD86*BK86)^2*(EXP(CL86^2*BT86)-1)+2*CE86*BR86*CD86*BK86*(EXP(AS86*CK86*CL86*BT86)-1))/(CE86*BR86+CD86*BK86)^2)/BT86),"")</f>
        <v>#VALUE!</v>
      </c>
      <c r="CO86" s="1531" t="e">
        <f aca="false">IF(OR(BQ86,BS86),VLOOKUP(A86,GasTable,13)*HeatRatePeak*(1+VLOOKUP($B86,HeatRateDegradation,$C86+1))/1000,0)</f>
        <v>#VALUE!</v>
      </c>
      <c r="CP86" s="1316" t="e">
        <f aca="false">IF(OR(BQ86,BS86),VLOOKUP(A86,GasTable,13)*HeatRatePeak*(1+VLOOKUP($B86,HeatRateDegradation,$C86+1))/1000,0)</f>
        <v>#VALUE!</v>
      </c>
      <c r="CQ86" s="1316" t="e">
        <f aca="false">IF(OR(BQ86,BS86),VLOOKUP(A86,GasTable,13)*IF(EV86,HeatRatePeak,HeatRateOffPeak)*(1+VLOOKUP($B86,HeatRateDegradation,$C86+1))/1000,0)</f>
        <v>#VALUE!</v>
      </c>
      <c r="CR86" s="1316" t="e">
        <f aca="false">IF(OR(BQ86,BS86),VLOOKUP(A86,GasTable,13)*IF(EW86,HeatRatePeak,HeatRateOffPeak)*(1+VLOOKUP($B86,HeatRateDegradation,$C86+1))/1000,0)</f>
        <v>#VALUE!</v>
      </c>
      <c r="CS86" s="1589" t="e">
        <f aca="false">IF(BQ86,(CO86*AZ86+CP86*BA86+CQ86*BB86+CR86*BC86)/BQ86,0)</f>
        <v>#VALUE!</v>
      </c>
      <c r="CT86" s="1316" t="e">
        <f aca="false">IF(BS86,CO86,0)</f>
        <v>#VALUE!</v>
      </c>
      <c r="CU86" s="1590" t="e">
        <f aca="false">IF(OR(BQ86,BS86),VLOOKUP(A86,GasTable,14),"")</f>
        <v>#VALUE!</v>
      </c>
      <c r="CV86" s="1568" t="e">
        <f aca="false">IF(OR(BQ86,BS86),IF(CorrPowerGasOverFlag,INDEX(CorrPowerGasOver,C86),CorrPowerGas),"")</f>
        <v>#VALUE!</v>
      </c>
      <c r="CW86" s="1316" t="e">
        <f aca="false">IF(OR($BQ86,$BS86),SpreadOptPowerMargin,0)*((1+Assumptions!$C$26)^($B86-YEAR(Assumptions!$C$17)))</f>
        <v>#VALUE!</v>
      </c>
      <c r="CX86" s="1316" t="e">
        <f aca="false">IF(OR($BQ86,$BS86),SpreadOptPowerMargin,0)*((1+Assumptions!$C$26)^($B86-YEAR(Assumptions!$C$17)))</f>
        <v>#VALUE!</v>
      </c>
      <c r="CY86" s="1316" t="e">
        <f aca="false">IF(OR($BQ86,$BS86),SpreadOptPowerMargin,0)*((1+Assumptions!$C$26)^($B86-YEAR(Assumptions!$C$17)))</f>
        <v>#VALUE!</v>
      </c>
      <c r="CZ86" s="1316" t="e">
        <f aca="false">IF(OR($BQ86,$BS86),SpreadOptPowerMargin,0)*((1+Assumptions!$C$26)^($B86-YEAR(Assumptions!$C$17)))</f>
        <v>#VALUE!</v>
      </c>
      <c r="DA86" s="1591" t="e">
        <f aca="false">IF(OR(BQ86,BS86),(CW86*(AZ86+BH86)+CX86*(BA86+BI86)+CY86*(BB86+BJ86)+CZ86*(BC86+BK86))/(BQ86+BS86),0)</f>
        <v>#VALUE!</v>
      </c>
      <c r="DB86" s="1592" t="e">
        <f aca="false">IF(OR(BQ86,BS86),CG86+IF(OVolSmile,VLOOKUP(MAX(-5,CO86+CW86-BU86),IF(OVolSmile=1,VolSmileBook,VolSmileModel),2),0),"")</f>
        <v>#VALUE!</v>
      </c>
      <c r="DC86" s="1592" t="e">
        <f aca="false">IF(OR(BQ86,BS86),CH86+IF(OVolSmile,VLOOKUP(MAX(-5,CP86+CW86-BV86),IF(OVolSmile=1,VolSmileBook,VolSmileModel),2),0),"")</f>
        <v>#VALUE!</v>
      </c>
      <c r="DD86" s="1592" t="e">
        <f aca="false">IF(OR(BQ86,BS86),CI86+IF(OVolSmile,VLOOKUP(MAX(-5,CQ86+CW86-BW86),IF(OVolSmile=1,VolSmileBook,VolSmileModel),2),0),"")</f>
        <v>#VALUE!</v>
      </c>
      <c r="DE86" s="1592" t="e">
        <f aca="false">IF(OR(BQ86,BS86),CL86+IF(OVolSmile,VLOOKUP(MAX(-5,CR86+CZ86-BX86),IF(OVolSmile=1,VolSmileBook,VolSmileModel),2),0),"")</f>
        <v>#VALUE!</v>
      </c>
      <c r="DF86" s="1592" t="e">
        <f aca="false">IF(BQ86,CM86+IF(OVolSmile,VLOOKUP(MAX(-5,CS86+DA86-BZ86),IF(OVolSmile=1,VolSmileBook,VolSmileModel),2),0),"")</f>
        <v>#VALUE!</v>
      </c>
      <c r="DG86" s="1593" t="e">
        <f aca="false">IF(BS86,CN86+IF(OVolSmile,VLOOKUP(MAX(-5,CT86+DA86-CF86),IF(OVolSmile=1,VolSmileBook,VolSmileModel),2),0),"")</f>
        <v>#VALUE!</v>
      </c>
      <c r="DH86" s="1316" t="e">
        <f aca="false">IF(AND(BU86&gt;0,CO86&gt;0,DB86&gt;0,CU86&gt;0),newSPRDOPT(BU86,CO86,CW86,0,DB86,CU86,CV86,BT86*365.25,OCallPut,0),0)</f>
        <v>#VALUE!</v>
      </c>
      <c r="DI86" s="1316" t="e">
        <f aca="false">IF(AND(BV86&gt;0,CP86&gt;0,DC86&gt;0,CU86&gt;0),newSPRDOPT(BV86,CP86,CX86,0,DC86,CU86,CV86,BT86*365.25,OCallPut,0),0)</f>
        <v>#VALUE!</v>
      </c>
      <c r="DJ86" s="1316" t="e">
        <f aca="false">IF(AND(BW86&gt;0,CQ86&gt;0,DD86&gt;0,CU86&gt;0),newSPRDOPT(BW86,CQ86,CY86,0,DD86,CU86,CV86,BT86*365.25,OCallPut,0),0)</f>
        <v>#VALUE!</v>
      </c>
      <c r="DK86" s="1316" t="e">
        <f aca="false">IF(AND(BX86&gt;0,CR86&gt;0,DE86&gt;0,CU86&gt;0),newSPRDOPT(BX86,CR86,CZ86,0,DE86,CU86,CV86,BT86*365.25,OCallPut,0),0)</f>
        <v>#VALUE!</v>
      </c>
      <c r="DL86" s="1316" t="e">
        <f aca="false">IF(OVolType,IF(AND(BZ86&gt;0,CS86&gt;0,DF86&gt;0,CU86&gt;0),newSPRDOPT(BZ86,CS86,DA86,0,DF86,CU86,CV86,BT86*365.25,OCallPut,0),0),IF(BQ86,(DH86*AZ86+DI86*BA86+DJ86*BB86+DK86*BC86)/BQ86,0))</f>
        <v>#VALUE!</v>
      </c>
      <c r="DM86" s="1316"/>
      <c r="DN86" s="1316"/>
      <c r="DO86" s="1316"/>
      <c r="DP86" s="1316"/>
      <c r="DQ86" s="1316"/>
      <c r="DR86" s="1316"/>
      <c r="DS86" s="1316"/>
      <c r="DT86" s="1316"/>
      <c r="DU86" s="1316"/>
      <c r="DV86" s="1316"/>
      <c r="DW86" s="1594" t="e">
        <f aca="false">IF(AND(BW86&gt;0,CT86&gt;0,DD86&gt;0,CU86&gt;0),newSPRDOPT(BW86,CT86,CY86,0,DD86,CU86,CV86,BT86*365.25,OCallPut,0),0)</f>
        <v>#VALUE!</v>
      </c>
      <c r="DX86" s="1316" t="e">
        <f aca="false">IF(AND(BX86&gt;0,CT86&gt;0,DE86&gt;0,CU86&gt;0),newSPRDOPT(BX86,CT86,CZ86,0,DE86,CU86,CV86,BT86*365.25,OCallPut,0),0)</f>
        <v>#VALUE!</v>
      </c>
      <c r="DY86" s="1591" t="e">
        <f aca="false">IF(BS86,(DH86*BH86+DI86*BI86+DW86*BJ86+DX86*BK86)/BS86,0)</f>
        <v>#VALUE!</v>
      </c>
      <c r="DZ86" s="1551" t="e">
        <f aca="false">DH86*AZ86</f>
        <v>#VALUE!</v>
      </c>
      <c r="EA86" s="1551" t="e">
        <f aca="false">DI86*BA86</f>
        <v>#VALUE!</v>
      </c>
      <c r="EB86" s="1551" t="e">
        <f aca="false">DJ86*BB86</f>
        <v>#VALUE!</v>
      </c>
      <c r="EC86" s="1551" t="e">
        <f aca="false">DK86*BC86</f>
        <v>#VALUE!</v>
      </c>
      <c r="ED86" s="1551" t="e">
        <f aca="false">DL86*BQ86</f>
        <v>#VALUE!</v>
      </c>
      <c r="EE86" s="1595" t="e">
        <f aca="false">IF(BQ86,IF(OCallPut,IF(BU86&gt;(CO86+CW86),BU86-(CO86+CW86),0),IF((CO86+CW86)&gt;BU86,(CO86+CW86)-BU86,0))*AZ86,0)</f>
        <v>#VALUE!</v>
      </c>
      <c r="EF86" s="1596" t="e">
        <f aca="false">IF(BQ86,IF(OCallPut,IF(BV86&gt;(CP86+CX86),BV86-(CP86+CX86),0),IF((CP86+CX86)&gt;BV86,(CP86+CX86)-BV86,0))*BA86,0)</f>
        <v>#VALUE!</v>
      </c>
      <c r="EG86" s="1596" t="e">
        <f aca="false">IF(BQ86,IF(OCallPut,IF(BW86&gt;(CQ86+CY86),BW86-(CQ86+CY86),0),IF((CQ86+CY86)&gt;BW86,(CQ86+CY86)-BW86,0))*BB86,0)</f>
        <v>#VALUE!</v>
      </c>
      <c r="EH86" s="1596" t="e">
        <f aca="false">IF(BQ86,IF(OCallPut,IF(BX86&gt;(CR86+CZ86),BX86-(CR86+CZ86),0),IF((CR86+CZ86)&gt;BX86,(CR86+CZ86)-BX86,0))*BC86,0)</f>
        <v>#VALUE!</v>
      </c>
      <c r="EI86" s="1597" t="e">
        <f aca="false">IF(BQ86,IF(OVolType,IF(OCallPut,IF(BZ86&gt;(CS86+DA86),BZ86-(CS86+DA86),0),IF((CS86+DA86)&gt;BZ86,(CS86+DA86)-BZ86,0))*BQ86,SUM(EE86:EH86)),0)</f>
        <v>#VALUE!</v>
      </c>
      <c r="EJ86" s="1595" t="e">
        <f aca="false">DZ86-EE86</f>
        <v>#VALUE!</v>
      </c>
      <c r="EK86" s="1596" t="e">
        <f aca="false">EA86-EF86</f>
        <v>#VALUE!</v>
      </c>
      <c r="EL86" s="1596" t="e">
        <f aca="false">EB86-EG86</f>
        <v>#VALUE!</v>
      </c>
      <c r="EM86" s="1596" t="e">
        <f aca="false">EC86-EH86</f>
        <v>#VALUE!</v>
      </c>
      <c r="EN86" s="1597" t="e">
        <f aca="false">ED86-EI86</f>
        <v>#VALUE!</v>
      </c>
      <c r="EO86" s="1551" t="e">
        <f aca="false">DH86*BH86</f>
        <v>#VALUE!</v>
      </c>
      <c r="EP86" s="1551" t="e">
        <f aca="false">DI86*BI86</f>
        <v>#VALUE!</v>
      </c>
      <c r="EQ86" s="1551" t="e">
        <f aca="false">DW86*BJ86</f>
        <v>#VALUE!</v>
      </c>
      <c r="ER86" s="1551" t="e">
        <f aca="false">DX86*BK86</f>
        <v>#VALUE!</v>
      </c>
      <c r="ES86" s="1551" t="e">
        <f aca="false">DY86*BS86</f>
        <v>#VALUE!</v>
      </c>
      <c r="ET86" s="1566" t="e">
        <f aca="false">IF(EI86,IF(OCallPut,IF(CA86&gt;(CT86+CW86),CA86-(CT86+CW86),0),IF((CT86+CW86)&gt;CA86,(CT86+CW86)-CA86,0))*BH86,0)</f>
        <v>#VALUE!</v>
      </c>
      <c r="EU86" s="1551" t="e">
        <f aca="false">IF(EI86,IF(OCallPut,IF(CB86&gt;(CT86+CX86),CB86-(CT86+CX86),0),IF((CT86+CX86)&gt;CB86,(CT86+CX86)-CB86,0))*BI86,0)</f>
        <v>#VALUE!</v>
      </c>
      <c r="EV86" s="1551" t="e">
        <f aca="false">IF(EI86,IF(OCallPut,IF(CC86&gt;(CT86+CY86),CC86-(CT86+CY86),0),IF((CT86+CY86)&gt;CC86,(CT86+CY86)-CC86,0))*BJ86,0)</f>
        <v>#VALUE!</v>
      </c>
      <c r="EW86" s="1551" t="e">
        <f aca="false">IF(EI86,IF(OCallPut,IF(CD86&gt;(CT86+CZ86),CD86-(CT86+CZ86),0),IF((CT86+CZ86)&gt;CD86,(CT86+CZ86)-CD86,0))*BK86,0)</f>
        <v>#VALUE!</v>
      </c>
      <c r="EX86" s="1558" t="e">
        <f aca="false">IF(EI86,SUM(ET86:EW86),0)</f>
        <v>#VALUE!</v>
      </c>
      <c r="EY86" s="1551" t="e">
        <f aca="false">EO86-ET86</f>
        <v>#VALUE!</v>
      </c>
      <c r="EZ86" s="1551" t="e">
        <f aca="false">EP86-EU86</f>
        <v>#VALUE!</v>
      </c>
      <c r="FA86" s="1551" t="e">
        <f aca="false">EQ86-EV86</f>
        <v>#VALUE!</v>
      </c>
      <c r="FB86" s="1551" t="e">
        <f aca="false">ER86-EW86</f>
        <v>#VALUE!</v>
      </c>
      <c r="FC86" s="1551" t="e">
        <f aca="false">ES86-EX86</f>
        <v>#VALUE!</v>
      </c>
      <c r="FD86" s="1525" t="n">
        <f aca="false">IF(AX86,IF(VLOOKUP(C86,MAIN!$L$17:$M$28,2)="Yes",VLOOKUP(CALC!B86,MAIN!$H$17:$I$20,2),0),0)</f>
        <v>0</v>
      </c>
      <c r="FE86" s="1552" t="e">
        <f aca="false">$FD86*16*AT86*(1-$AY86)</f>
        <v>#VALUE!</v>
      </c>
      <c r="FF86" s="1553" t="e">
        <f aca="false">$FD86*16*AU86*(1-$AY86)</f>
        <v>#VALUE!</v>
      </c>
      <c r="FG86" s="1553" t="e">
        <f aca="false">$FD86*16*(AV86+AW86)*(1-$AY86)</f>
        <v>#VALUE!</v>
      </c>
      <c r="FH86" s="1554" t="n">
        <f aca="false">$FD86*8*AX86*(1-$AY86)</f>
        <v>0</v>
      </c>
      <c r="FI86" s="1555" t="n">
        <f aca="false">IF(AX86,VLOOKUP(CALC!B86,MAIN!$H$17:$K$20,4),0)</f>
        <v>0</v>
      </c>
      <c r="FJ86" s="1553" t="e">
        <f aca="false">SUM(FE86:FH86)</f>
        <v>#VALUE!</v>
      </c>
      <c r="FK86" s="1556" t="e">
        <f aca="false">FI86*FJ86</f>
        <v>#VALUE!</v>
      </c>
      <c r="FL86" s="1551" t="e">
        <f aca="false">IF($EI86&gt;0,MIN(FE86,AZ86*(1+VLOOKUP($C86,WeatherCapacityAdjustment,2))),0)</f>
        <v>#VALUE!</v>
      </c>
      <c r="FM86" s="1551" t="e">
        <f aca="false">IF($EI86&gt;0,MIN(FF86,BA86*(1+VLOOKUP($C86,WeatherCapacityAdjustment,2))),0)</f>
        <v>#VALUE!</v>
      </c>
      <c r="FN86" s="1551" t="e">
        <f aca="false">IF($EI86&gt;0,MIN(FG86,BB86*(1+VLOOKUP($C86,WeatherCapacityAdjustment,2))),0)</f>
        <v>#VALUE!</v>
      </c>
      <c r="FO86" s="1564" t="e">
        <f aca="false">IF($EI86&gt;0,MIN(FH86,BC86*(1+VLOOKUP($C86,WeatherCapacityAdjustment,3))),0)</f>
        <v>#VALUE!</v>
      </c>
      <c r="FP86" s="1551" t="e">
        <f aca="false">IF(ET86&gt;0,MIN(FE86-FL86,BH86*(1+VLOOKUP($C86,WeatherCapacityAdjustment,2))),0)</f>
        <v>#VALUE!</v>
      </c>
      <c r="FQ86" s="1551" t="e">
        <f aca="false">IF(EU86&gt;0,MIN(FF86-FM86,BI86*(1+VLOOKUP($C86,WeatherCapacityAdjustment,2))),0)</f>
        <v>#VALUE!</v>
      </c>
      <c r="FR86" s="1551" t="e">
        <f aca="false">IF(EV86&gt;0,MIN(FG86-FN86,BJ86*(1+VLOOKUP($C86,WeatherCapacityAdjustment,2))),0)</f>
        <v>#VALUE!</v>
      </c>
      <c r="FS86" s="1558" t="e">
        <f aca="false">IF(EW86&gt;0,MIN(FH86-FO86,BK86*(1+VLOOKUP($C86,WeatherCapacityAdjustment,3))),0)</f>
        <v>#VALUE!</v>
      </c>
      <c r="FT86" s="1566" t="e">
        <f aca="false">IF(AND(Assumptions!$H$71="Yes",A86&gt;=Assumptions!$H$72,A86&lt;=Assumptions!$H$73),0,IF(AND($A86&gt;=Assumptions!$C$17,$A86&lt;=Assumptions!$C$18),MAX(AZ86*(1+VLOOKUP($C86,WeatherCapacityAdjustment,2))-FL86,0),0))</f>
        <v>#VALUE!</v>
      </c>
      <c r="FU86" s="1551" t="e">
        <f aca="false">IF(AND(Assumptions!$H$71="Yes",A86&gt;=Assumptions!$H$72,A86&lt;=Assumptions!$H$73),0,IF(AND($A86&gt;=Assumptions!$C$17,$A86&lt;=Assumptions!$C$18),MAX(BA86*(1+VLOOKUP($C86,WeatherCapacityAdjustment,2))-FM86,0),0))</f>
        <v>#VALUE!</v>
      </c>
      <c r="FV86" s="1551" t="e">
        <f aca="false">IF(AND(Assumptions!$H$71="Yes",A86&gt;=Assumptions!$H$72,A86&lt;=Assumptions!$H$73),0,IF(AND($A86&gt;=Assumptions!$C$17,$A86&lt;=Assumptions!$C$18),MAX(BB86*(1+VLOOKUP($C86,WeatherCapacityAdjustment,2))-FN86,0),0))</f>
        <v>#VALUE!</v>
      </c>
      <c r="FW86" s="1564" t="e">
        <f aca="false">IF(AND(Assumptions!$H$71="Yes",A86&gt;=Assumptions!$H$72,A86&lt;=Assumptions!$H$73),0,IF(AND($A86&gt;=Assumptions!$C$17,$A86&lt;=Assumptions!$C$18),MAX(BC86*(1+VLOOKUP($C86,WeatherCapacityAdjustment,3))-FO86,0),0))</f>
        <v>#VALUE!</v>
      </c>
      <c r="FX86" s="1569" t="e">
        <f aca="false">IF(AND(Assumptions!$H$71="Yes",A86&gt;=Assumptions!$H$72,A86&lt;=Assumptions!$H$73),0,IF(ET86&gt;0,MAX(BH86*(1+VLOOKUP($C86,WeatherCapacityAdjustment,2))-FP86,0),0))</f>
        <v>#VALUE!</v>
      </c>
      <c r="FY86" s="1551" t="e">
        <f aca="false">IF(AND(Assumptions!$H$71="Yes",A86&gt;=Assumptions!$H$72,A86&lt;=Assumptions!$H$73),0,IF(EU86&gt;0,MAX(BI86*(1+VLOOKUP($C86,WeatherCapacityAdjustment,3))-FQ86,0),0))</f>
        <v>#VALUE!</v>
      </c>
      <c r="FZ86" s="1551" t="e">
        <f aca="false">IF(AND(Assumptions!$H$71="Yes",A86&gt;=Assumptions!$H$72,A86&lt;=Assumptions!$H$73),0,IF(EV86&gt;0,MAX(BJ86*(1+VLOOKUP($C86,WeatherCapacityAdjustment,2))-FR86,0),0))</f>
        <v>#VALUE!</v>
      </c>
      <c r="GA86" s="1564" t="e">
        <f aca="false">IF(AND(Assumptions!$H$71="Yes",A86&gt;=Assumptions!$H$72,A86&lt;=Assumptions!$H$73),0,IF(EW86&gt;0,MAX(BK86*(1+VLOOKUP($C86,WeatherCapacityAdjustment,2))-FS86,0),0))</f>
        <v>#VALUE!</v>
      </c>
      <c r="GB86" s="1551" t="e">
        <f aca="false">SUM(FT86:GA86)</f>
        <v>#VALUE!</v>
      </c>
      <c r="GC86" s="1563" t="e">
        <f aca="false">+IF(SUM(FT86:GA86)=0,0,(SUMPRODUCT(BU86:BX86,FT86:FW86)+SUMPRODUCT(CA86:CD86,FX86:GA86))/SUM(FT86:GA86))</f>
        <v>#VALUE!</v>
      </c>
      <c r="GD86" s="1551" t="e">
        <f aca="false">(FT86*BU86+FX86*CA86+FU86*BV86+FY86*CB86+FV86*BW86+FZ86*CC86+FW86*BX86+GA86*CD86)</f>
        <v>#VALUE!</v>
      </c>
      <c r="GE86" s="1561" t="e">
        <f aca="false">+IF(BQ86,((FL86+FM86+FT86+FU86)*HeatRatePeak/1000*(1+VLOOKUP($C86,WeatherHeatRateAdjustment,2))+(FN86+FV86)*IF(EV86&gt;0,HeatRatePeak,HeatRateOffPeak)/1000*(1+VLOOKUP($C86,WeatherHeatRateAdjustment,2))+(FO86+FW86)*IF(EW86&gt;0,HeatRatePeak,HeatRateOffPeak)/1000*(1+VLOOKUP($C86,WeatherHeatRateAdjustment,3)))*(1+VLOOKUP($B86,HeatRateDegradation,$C86+1)),0)</f>
        <v>#VALUE!</v>
      </c>
      <c r="GF86" s="1562" t="e">
        <f aca="false">IF(BQ86,((FP86+FQ86+FR86+FX86+FY86+FZ86)*HeatRatePeak/1000*(1+VLOOKUP($C86,WeatherHeatRateAdjustment,2))+(FS86+GA86)*HeatRatePeak/1000*(1+VLOOKUP($C86,WeatherHeatRateAdjustment,3)))*(1+VLOOKUP($B86,HeatRateDegradation,$C86+1)),0)</f>
        <v>#VALUE!</v>
      </c>
      <c r="GG86" s="1563" t="e">
        <f aca="false">IF(BQ86,VLOOKUP(A86,GasTable,13),0)</f>
        <v>#VALUE!</v>
      </c>
      <c r="GH86" s="1564" t="e">
        <f aca="false">(GE86+GF86)*GG86</f>
        <v>#VALUE!</v>
      </c>
      <c r="GI86" s="1569" t="e">
        <f aca="false">GB86</f>
        <v>#VALUE!</v>
      </c>
      <c r="GJ86" s="1598" t="e">
        <f aca="false">+DA86</f>
        <v>#VALUE!</v>
      </c>
      <c r="GK86" s="1558" t="e">
        <f aca="false">+GI86*GJ86</f>
        <v>#VALUE!</v>
      </c>
      <c r="GL86" s="1566" t="e">
        <f aca="false">MAX(FE86-FL86-FP86,0)</f>
        <v>#VALUE!</v>
      </c>
      <c r="GM86" s="1551" t="e">
        <f aca="false">MAX(FF86-FM86-FQ86,0)</f>
        <v>#VALUE!</v>
      </c>
      <c r="GN86" s="1551" t="e">
        <f aca="false">MAX(FG86-FN86-FR86,0)</f>
        <v>#VALUE!</v>
      </c>
      <c r="GO86" s="1564" t="e">
        <f aca="false">MAX(FH86-FO86-FS86,0)</f>
        <v>#VALUE!</v>
      </c>
      <c r="GP86" s="1551" t="e">
        <f aca="false">SUM(GL86:GO86)</f>
        <v>#VALUE!</v>
      </c>
      <c r="GQ86" s="1563" t="e">
        <f aca="false">IF(SUM(GL86:GO86)=0,0,((GL86*BU86+GM86*BV86+GN86*BW86+GO86*BX86)/SUM(GL86:GO86)))</f>
        <v>#VALUE!</v>
      </c>
      <c r="GR86" s="1558" t="e">
        <f aca="false">(GL86*BU86+GM86*BV86+GN86*BW86+GO86*BX86)</f>
        <v>#VALUE!</v>
      </c>
      <c r="GS86" s="1566" t="n">
        <f aca="false">IF($A86&gt;=BegDate,Assumptions!$C$56*24*($A87-$A86)*(1-VLOOKUP($B86,MAIN!$AA$7:$AM$28,$C86+1))*(1-VLOOKUP($B86,MAIN!$AA$33:$AM$54,$C86+1)),0)*80/168</f>
        <v>232800</v>
      </c>
      <c r="GT86" s="286" t="n">
        <f aca="false">J86</f>
        <v>41.3899600114517</v>
      </c>
      <c r="GU86" s="286" t="n">
        <f aca="false">IF($A86&gt;=BegDate,VLOOKUP($A86,GasTable,13)+Assumptions!$C$58,0)</f>
        <v>2.67956089989952</v>
      </c>
      <c r="GV86" s="286" t="n">
        <f aca="false">GU86*Assumptions!$C$57/1000</f>
        <v>19.4268165242715</v>
      </c>
      <c r="GW86" s="1558" t="n">
        <f aca="false">IF(Assumptions!$C$60="Hourly",MAX(0,GS86*(GT86-GV86)),GS86*(GT86-GV86))</f>
        <v>5113019.80381556</v>
      </c>
      <c r="GX86" s="1566" t="n">
        <f aca="false">IF($A86&gt;=BegDate,Assumptions!$C$56*24*($A87-$A86)*(1-VLOOKUP($B86,MAIN!$AA$7:$AM$28,$C86+1))*(1-VLOOKUP($B86,MAIN!$AA$33:$AM$54,$C86+1)),0)*16/168</f>
        <v>46560</v>
      </c>
      <c r="GY86" s="286" t="n">
        <f aca="false">M86</f>
        <v>41.3899600114517</v>
      </c>
      <c r="GZ86" s="286" t="n">
        <f aca="false">IF($A86&gt;=BegDate,VLOOKUP($A86,GasTable,13)+Assumptions!$C$58,0)</f>
        <v>2.67956089989952</v>
      </c>
      <c r="HA86" s="286" t="n">
        <f aca="false">GZ86*Assumptions!$C$57/1000</f>
        <v>19.4268165242715</v>
      </c>
      <c r="HB86" s="1558" t="n">
        <f aca="false">IF(Assumptions!$C$60="Hourly",MAX(0,GX86*(GY86-HA86)),GX86*(GY86-HA86))</f>
        <v>1022603.96076311</v>
      </c>
      <c r="HC86" s="1566" t="n">
        <f aca="false">IF($A86&gt;=BegDate,Assumptions!$C$56*24*($A87-$A86)*(1-VLOOKUP($B86,MAIN!$AA$7:$AM$28,$C86+1))*(1-VLOOKUP($B86,MAIN!$AA$33:$AM$54,$C86+1)),0)*16/168</f>
        <v>46560</v>
      </c>
      <c r="HD86" s="286" t="n">
        <f aca="false">P86</f>
        <v>26.0935211030727</v>
      </c>
      <c r="HE86" s="286" t="n">
        <f aca="false">IF($A86&gt;=BegDate,VLOOKUP($A86,GasTable,13)+Assumptions!$C$58,0)</f>
        <v>2.67956089989952</v>
      </c>
      <c r="HF86" s="286" t="n">
        <f aca="false">HE86*Assumptions!$C$57/1000</f>
        <v>19.4268165242715</v>
      </c>
      <c r="HG86" s="1558" t="n">
        <f aca="false">IF(Assumptions!$C$60="Hourly",MAX(0,HC86*(HD86-HF86)),HC86*(HD86-HF86))</f>
        <v>310401.765188983</v>
      </c>
      <c r="HH86" s="1566" t="n">
        <f aca="false">IF($A86&gt;=BegDate,Assumptions!$C$56*24*($A87-$A86)*(1-VLOOKUP($B86,MAIN!$AA$7:$AM$28,$C86+1))*(1-VLOOKUP($B86,MAIN!$AA$33:$AM$54,$C86+1)),0)*56/168</f>
        <v>162960</v>
      </c>
      <c r="HI86" s="286" t="n">
        <f aca="false">S86</f>
        <v>26.0935211030727</v>
      </c>
      <c r="HJ86" s="286" t="n">
        <f aca="false">IF($A86&gt;=BegDate,VLOOKUP($A86,GasTable,13)+Assumptions!$C$58,0)</f>
        <v>2.67956089989952</v>
      </c>
      <c r="HK86" s="286" t="n">
        <f aca="false">HJ86*Assumptions!$C$57/1000</f>
        <v>19.4268165242715</v>
      </c>
      <c r="HL86" s="1558" t="n">
        <f aca="false">IF(Assumptions!$C$60="Hourly",MAX(0,HH86*(HI86-HK86)),HH86*(HI86-HK86))</f>
        <v>1086406.17816144</v>
      </c>
      <c r="HM86" s="1566" t="n">
        <f aca="false">IF(AND(Assumptions!$H$71="Yes",A86&gt;=Assumptions!$H$72,A86&lt;=Assumptions!$H$73),Assumptions!$H$74*Assumptions!$C$9*1000,0)</f>
        <v>0</v>
      </c>
      <c r="HN86" s="1551"/>
      <c r="HO86" s="1563"/>
      <c r="HP86" s="1563"/>
      <c r="HQ86" s="1563"/>
      <c r="HR86" s="1563"/>
      <c r="HS86" s="1563"/>
      <c r="HT86" s="1563"/>
      <c r="HU86" s="1563"/>
      <c r="HV86" s="1563"/>
      <c r="HW86" s="1563"/>
      <c r="HX86" s="1563"/>
      <c r="HY86" s="1563"/>
      <c r="HZ86" s="1563"/>
      <c r="IA86" s="1563"/>
      <c r="IB86" s="1563"/>
      <c r="IC86" s="1563"/>
      <c r="ID86" s="1563"/>
      <c r="IE86" s="1563"/>
      <c r="IF86" s="1563"/>
      <c r="IG86" s="1563"/>
      <c r="IH86" s="1563"/>
      <c r="II86" s="1610"/>
      <c r="IJ86" s="1309"/>
      <c r="IK86" s="1309"/>
    </row>
    <row r="87" customFormat="false" ht="12.75" hidden="false" customHeight="false" outlineLevel="0" collapsed="false">
      <c r="A87" s="1571" t="n">
        <f aca="false">EOMONTH(A86,0)+1</f>
        <v>38777</v>
      </c>
      <c r="B87" s="594" t="n">
        <f aca="false">+YEAR(A87)</f>
        <v>2006</v>
      </c>
      <c r="C87" s="238" t="n">
        <f aca="false">MONTH(A87)</f>
        <v>3</v>
      </c>
      <c r="D87" s="1572" t="e">
        <f aca="false">IF(E87="","",Holiday(B87,C87))</f>
        <v>#VALUE!</v>
      </c>
      <c r="E87" s="1573" t="n">
        <f aca="false">IF(OR(BegDate&gt;=A88,EndDate&lt;A87,AND(VolumeMonthlyOverFlag,INDEX(VolumeMonthlyOver,C87)=0),NOT(INDEX(MonthKnockOutTable,C87))),"",MAX(A87,BegDate))</f>
        <v>38777</v>
      </c>
      <c r="F87" s="1574" t="n">
        <f aca="false">IF(E87="","",MIN(A88-1,EndDate))</f>
        <v>38807</v>
      </c>
      <c r="G87" s="1575" t="n">
        <v>0</v>
      </c>
      <c r="H87" s="1576" t="n">
        <f aca="false">(1+G87/2)^(-2*(DATE(B88,C88,20)-DateToday)/365.25)</f>
        <v>1</v>
      </c>
      <c r="I87" s="1568" t="n">
        <f aca="false">IF(Assumptions!$L$25=4,VLOOKUP($A87,'Henwood Reference'!$E$9:$R$320,10),(VLOOKUP($A87,PriceTable,2,0)+IF(BasisNumber&lt;&gt;1,VLOOKUP($A87,BasisTable,2,0),0)+I$1)/(1-I$2))</f>
        <v>35.0168942645948</v>
      </c>
      <c r="J87" s="1568" t="n">
        <f aca="false">IF(Assumptions!$L$25=4,VLOOKUP($A87,'Henwood Reference'!$E$9:$R$320,10),(VLOOKUP($A87,PriceTable,3,0)+IF(BasisNumber&lt;&gt;1,VLOOKUP($A87,BasisTable,2,0),0)+J$1)/(1-J$2))</f>
        <v>35.0168942645948</v>
      </c>
      <c r="K87" s="1568" t="n">
        <f aca="false">IF(Assumptions!$L$25=4,VLOOKUP($A87,'Henwood Reference'!$E$9:$R$320,10),(VLOOKUP($A87,PriceTable,4,0)+IF(BasisNumber&lt;&gt;1,VLOOKUP($A87,BasisTable,2,0),0)+K$1)/(1-K$2))</f>
        <v>35.0168942645948</v>
      </c>
      <c r="L87" s="1523" t="n">
        <f aca="false">IF(Assumptions!$L$25=4,VLOOKUP($A87,'Henwood Reference'!$E$9:$R$320,10),(VLOOKUP($A87,PriceTableWeekend,2,0)+IF(BasisNumber&lt;&gt;1,VLOOKUP($A87,BasisTable,2,0),0)+L$1)/(1-L$2))</f>
        <v>35.0168942645948</v>
      </c>
      <c r="M87" s="1568" t="n">
        <f aca="false">IF(Assumptions!$L$25=4,VLOOKUP($A87,'Henwood Reference'!$E$9:$R$320,10),(VLOOKUP($A87,PriceTableWeekend,3,0)+IF(BasisNumber&lt;&gt;1,VLOOKUP($A87,BasisTable,2,0),0)+M$1)/(1-M$2))</f>
        <v>35.0168942645948</v>
      </c>
      <c r="N87" s="1599" t="n">
        <f aca="false">IF(Assumptions!$L$25=4,VLOOKUP($A87,'Henwood Reference'!$E$9:$R$320,10),(VLOOKUP($A87,PriceTableWeekend,4,0)+IF(BasisNumber&lt;&gt;1,VLOOKUP($A87,BasisTable,2,0),0)+N$1)/(1-N$2))</f>
        <v>35.0168942645948</v>
      </c>
      <c r="O87" s="1568" t="n">
        <f aca="false">IF(Assumptions!$L$25=4,VLOOKUP($A87,'Henwood Reference'!$E$9:$R$320,11),(VLOOKUP($A87,PriceTableWeekend,6,0)+IF(BasisNumber&lt;&gt;1,VLOOKUP($A87,BasisTable,3,0),0)+O$1)/(1-O$2))</f>
        <v>23.4605533668334</v>
      </c>
      <c r="P87" s="1568" t="n">
        <f aca="false">IF(Assumptions!$L$25=4,VLOOKUP($A87,'Henwood Reference'!$E$9:$R$320,11),(VLOOKUP($A87,PriceTableWeekend,7,0)+IF(BasisNumber&lt;&gt;1,VLOOKUP($A87,BasisTable,3,0),0)+P$1)/(1-P$2))</f>
        <v>23.4605533668334</v>
      </c>
      <c r="Q87" s="1599" t="n">
        <f aca="false">IF(Assumptions!$L$25=4,VLOOKUP($A87,'Henwood Reference'!$E$9:$R$320,11),(VLOOKUP($A87,PriceTableWeekend,8,0)+IF(BasisNumber&lt;&gt;1,VLOOKUP($A87,BasisTable,3,0),0)+Q$1)/(1-Q$2))</f>
        <v>23.4605533668334</v>
      </c>
      <c r="R87" s="1568" t="n">
        <f aca="false">IF(Assumptions!$L$25=4,VLOOKUP($A87,'Henwood Reference'!$E$9:$R$320,11),(VLOOKUP($A87,PriceTable,6,0)+IF(BasisNumber&lt;&gt;1,VLOOKUP($A87,BasisTable,3,0),0)+R$1)/(1-R$2))</f>
        <v>23.4605533668334</v>
      </c>
      <c r="S87" s="1568" t="n">
        <f aca="false">IF(Assumptions!$L$25=4,VLOOKUP($A87,'Henwood Reference'!$E$9:$R$320,11),(VLOOKUP($A87,PriceTable,7,0)+IF(BasisNumber&lt;&gt;1,VLOOKUP($A87,BasisTable,3,0),0)+S$1)/(1-S$2))</f>
        <v>23.4605533668334</v>
      </c>
      <c r="T87" s="1600" t="n">
        <f aca="false">IF(Assumptions!$L$25=4,VLOOKUP($A87,'Henwood Reference'!$E$9:$R$320,11),(VLOOKUP($A87,PriceTable,8,0)+IF(BasisNumber&lt;&gt;1,VLOOKUP($A87,BasisTable,3,0),0)+T$1)/(1-T$2))</f>
        <v>23.4605533668334</v>
      </c>
      <c r="U87" s="1513" t="n">
        <f aca="false">VLOOKUP($A87,VolatilityTable,14)</f>
        <v>0.14</v>
      </c>
      <c r="V87" s="1513" t="n">
        <f aca="false">VLOOKUP($A87,VolatilityTable,15)</f>
        <v>0.15</v>
      </c>
      <c r="W87" s="1514" t="n">
        <f aca="false">VLOOKUP($A87,VolatilityTable,16)</f>
        <v>0.16</v>
      </c>
      <c r="X87" s="1513" t="n">
        <f aca="false">VLOOKUP($A87,VolatilityTable,14)</f>
        <v>0.14</v>
      </c>
      <c r="Y87" s="1513" t="n">
        <f aca="false">VLOOKUP($A87,VolatilityTable,15)</f>
        <v>0.15</v>
      </c>
      <c r="Z87" s="1514" t="n">
        <f aca="false">VLOOKUP($A87,VolatilityTable,16)</f>
        <v>0.16</v>
      </c>
      <c r="AA87" s="1513" t="n">
        <f aca="false">VLOOKUP($A87,VolatilityTable,18)</f>
        <v>0.09</v>
      </c>
      <c r="AB87" s="1513" t="n">
        <f aca="false">VLOOKUP($A87,VolatilityTable,19)</f>
        <v>0.11</v>
      </c>
      <c r="AC87" s="1514" t="n">
        <f aca="false">VLOOKUP($A87,VolatilityTable,20)</f>
        <v>0.13</v>
      </c>
      <c r="AD87" s="1513" t="n">
        <f aca="false">VLOOKUP($A87,VolatilityTable,18)</f>
        <v>0.09</v>
      </c>
      <c r="AE87" s="1513" t="n">
        <f aca="false">VLOOKUP($A87,VolatilityTable,19)</f>
        <v>0.11</v>
      </c>
      <c r="AF87" s="1514" t="n">
        <f aca="false">VLOOKUP($A87,VolatilityTable,20)</f>
        <v>0.13</v>
      </c>
      <c r="AG87" s="1513" t="n">
        <f aca="false">VLOOKUP($A87,VolatilityTable,22)</f>
        <v>-0.1</v>
      </c>
      <c r="AH87" s="1513" t="n">
        <f aca="false">VLOOKUP($A87,VolatilityTable,23)</f>
        <v>0.65</v>
      </c>
      <c r="AI87" s="1514" t="n">
        <f aca="false">VLOOKUP($A87,VolatilityTable,24)</f>
        <v>0.1</v>
      </c>
      <c r="AJ87" s="1513" t="n">
        <f aca="false">VLOOKUP($A87,VolatilityTable,22)</f>
        <v>-0.1</v>
      </c>
      <c r="AK87" s="1513" t="n">
        <f aca="false">VLOOKUP($A87,VolatilityTable,23)</f>
        <v>0.65</v>
      </c>
      <c r="AL87" s="1514" t="n">
        <f aca="false">VLOOKUP($A87,VolatilityTable,24)</f>
        <v>0.1</v>
      </c>
      <c r="AM87" s="1513" t="n">
        <f aca="false">VLOOKUP($A87,VolatilityTable,26)</f>
        <v>-0.01</v>
      </c>
      <c r="AN87" s="1513" t="n">
        <f aca="false">VLOOKUP($A87,VolatilityTable,27)</f>
        <v>0.16</v>
      </c>
      <c r="AO87" s="1514" t="n">
        <f aca="false">VLOOKUP($A87,VolatilityTable,28)</f>
        <v>0.01</v>
      </c>
      <c r="AP87" s="1513" t="n">
        <f aca="false">VLOOKUP($A87,VolatilityTable,26)</f>
        <v>-0.01</v>
      </c>
      <c r="AQ87" s="1513" t="n">
        <f aca="false">VLOOKUP($A87,VolatilityTable,27)</f>
        <v>0.16</v>
      </c>
      <c r="AR87" s="1515" t="n">
        <f aca="false">VLOOKUP($A87,VolatilityTable,28)</f>
        <v>0.01</v>
      </c>
      <c r="AS87" s="1581" t="n">
        <f aca="false">IF(CorrPeakOffPeakOverFlag,INDEX(CorrPeakOffPeakOver,C87),CorrPeakOffPeak)</f>
        <v>0.5</v>
      </c>
      <c r="AT87" s="594" t="e">
        <f aca="false">AX87-SUM(AU87:AW87)</f>
        <v>#VALUE!</v>
      </c>
      <c r="AU87" s="238" t="e">
        <f aca="false">IF(E87="",0,INT((F87-MOD(F87,7)-E87)/7)+1-IF(AW87,IF(WEEKDAY(D87)=7,1,0),0))</f>
        <v>#VALUE!</v>
      </c>
      <c r="AV87" s="238" t="e">
        <f aca="false">IF(E87="",0,INT((F87-MOD(F87-1,7)-E87)/7)+1-IF(AW87,IF(WEEKDAY(D87)=1,1,0),0))</f>
        <v>#VALUE!</v>
      </c>
      <c r="AW87" s="238" t="e">
        <f aca="false">IF(OR(E87="",D87="",D87&lt;BegDate,D87&gt;EndDate),0,1)</f>
        <v>#VALUE!</v>
      </c>
      <c r="AX87" s="238" t="n">
        <f aca="false">IF(E87="",0,F87-E87+1)</f>
        <v>31</v>
      </c>
      <c r="AY87" s="1582" t="n">
        <f aca="false">IF(E87="",0,MIN((1-(1-VLOOKUP(B87,MAIN!$AA$7:$AM$28,C87+1))*(1-VLOOKUP(B87,MAIN!$AA$33:$AM$54,C87+1))),1))</f>
        <v>0.03</v>
      </c>
      <c r="AZ87" s="1519" t="e">
        <v>#VALUE!</v>
      </c>
      <c r="BA87" s="1520" t="e">
        <v>#VALUE!</v>
      </c>
      <c r="BB87" s="1520" t="e">
        <v>#VALUE!</v>
      </c>
      <c r="BC87" s="1583" t="e">
        <v>#VALUE!</v>
      </c>
      <c r="BD87" s="1522" t="e">
        <v>#VALUE!</v>
      </c>
      <c r="BE87" s="1523" t="e">
        <v>#VALUE!</v>
      </c>
      <c r="BF87" s="1523" t="e">
        <v>#VALUE!</v>
      </c>
      <c r="BG87" s="1584" t="e">
        <v>#VALUE!</v>
      </c>
      <c r="BH87" s="1525" t="e">
        <v>#VALUE!</v>
      </c>
      <c r="BI87" s="1520" t="e">
        <v>#VALUE!</v>
      </c>
      <c r="BJ87" s="1520" t="e">
        <v>#VALUE!</v>
      </c>
      <c r="BK87" s="1583" t="e">
        <v>#VALUE!</v>
      </c>
      <c r="BL87" s="1522" t="e">
        <v>#VALUE!</v>
      </c>
      <c r="BM87" s="1523" t="e">
        <v>#VALUE!</v>
      </c>
      <c r="BN87" s="1523" t="e">
        <v>#VALUE!</v>
      </c>
      <c r="BO87" s="1523" t="e">
        <v>#VALUE!</v>
      </c>
      <c r="BP87" s="1525" t="e">
        <f aca="false">SUM(AZ87:BB87)</f>
        <v>#VALUE!</v>
      </c>
      <c r="BQ87" s="1529" t="e">
        <f aca="false">SUM(AZ87:BC87)</f>
        <v>#VALUE!</v>
      </c>
      <c r="BR87" s="1519" t="e">
        <f aca="false">SUM(BH87:BJ87)</f>
        <v>#VALUE!</v>
      </c>
      <c r="BS87" s="1529" t="e">
        <f aca="false">SUM(BH87:BK87)</f>
        <v>#VALUE!</v>
      </c>
      <c r="BT87" s="1316" t="n">
        <f aca="false">(IF(OVolType&lt;&gt;2,A87+14,IF(OptExpDateShift,ShiftBack(A87,OptExpDateShift,D86),A87))-DateToday)/365.25</f>
        <v>5.87816563997262</v>
      </c>
      <c r="BU87" s="1585" t="e">
        <f aca="false">IF(BQ87,IF(OPriceCurve,IF(OBuySell=OCallPut,I87/(1-AY87),K87/(1-AY87)),J87/(1-AY87))*BD87,0)</f>
        <v>#VALUE!</v>
      </c>
      <c r="BV87" s="1316" t="e">
        <f aca="false">IF(BQ87,IF(OPriceCurve,IF(OBuySell=OCallPut,L87/(1-AY87),N87/(1-AY87)),M87/(1-AY87))*BE87,0)</f>
        <v>#VALUE!</v>
      </c>
      <c r="BW87" s="1316" t="e">
        <f aca="false">IF(BQ87,IF(OPriceCurve,IF(OBuySell=OCallPut,O87/(1-AY87),Q87/(1-AY87)),P87/(1-AY87))*BF87,0)</f>
        <v>#VALUE!</v>
      </c>
      <c r="BX87" s="1316" t="e">
        <f aca="false">IF(BQ87,IF(OPriceCurve,IF(OBuySell=OCallPut,R87/(1-AY87),T87/(1-AY87)),S87/(1-AY87))*BG87,0)</f>
        <v>#VALUE!</v>
      </c>
      <c r="BY87" s="1316" t="e">
        <f aca="false">IF(BP87,(BU87*AZ87+BV87*BA87+BW87*BB87)/BP87,0)</f>
        <v>#VALUE!</v>
      </c>
      <c r="BZ87" s="1316" t="e">
        <f aca="false">IF(BQ87,(BY87*BP87+BX87*BC87)/BQ87,0)</f>
        <v>#VALUE!</v>
      </c>
      <c r="CA87" s="1531" t="e">
        <f aca="false">IF(BS87,IF(OPriceCurve,IF(OBuySell=OCallPut,I87/(1-AY87),K87/(1-AY87)),J87/(1-AY87))*BL87,0)</f>
        <v>#VALUE!</v>
      </c>
      <c r="CB87" s="1316" t="e">
        <f aca="false">IF(BS87,IF(OPriceCurve,IF(OBuySell=OCallPut,L87/(1-AY87),N87/(1-AY87)),M87/(1-AY87))*BM87,0)</f>
        <v>#VALUE!</v>
      </c>
      <c r="CC87" s="1316" t="e">
        <f aca="false">IF(BS87,IF(OPriceCurve,IF(OBuySell=OCallPut,O87/(1-AY87),Q87/(1-AY87)),P87/(1-AY87))*BN87,0)</f>
        <v>#VALUE!</v>
      </c>
      <c r="CD87" s="1316" t="e">
        <f aca="false">IF(BS87,IF(OPriceCurve,IF(OBuySell=OCallPut,R87/(1-AY87),T87/(1-AY87)),S87/(1-AY87))*BO87,0)</f>
        <v>#VALUE!</v>
      </c>
      <c r="CE87" s="1316" t="e">
        <f aca="false">IF(BR87,(BU87*BH87+BV87*BI87+BW87*BJ87)/BR87,0)</f>
        <v>#VALUE!</v>
      </c>
      <c r="CF87" s="1532" t="e">
        <f aca="false">IF(BS87,(CE87*BR87+CD87*BK87)/BS87,0)</f>
        <v>#VALUE!</v>
      </c>
      <c r="CG87" s="1586" t="e">
        <f aca="false">IF(OR(BQ87,BS87),IF(OVolType&lt;&gt;2,SQRT(IF(OVolOverMonthlyPeak,OVolOverMonthlyPeak,IF(OVolCurve,IF(OBuySell,U87,W87),V87))^2*(1-15/365.25/BT87)+IF(OVolOverDailyPeak,OVolOverDailyPeak,IF(OVolCurve,IF(OBuySell,AG87,AI87),AH87))^2*15/365.25/BT87),IF(OVolOverMonthlyPeak,OVolOverMonthlyPeak,IF(OVolCurve,IF(OBuySell,U87,W87),V87))),"")</f>
        <v>#VALUE!</v>
      </c>
      <c r="CH87" s="1587" t="e">
        <f aca="false">IF(OR(BQ87,BS87),IF(OVolType&lt;&gt;2,SQRT(IF(OVolOverMonthlyPeak,OVolOverMonthlyPeak,IF(OVolCurve,IF(OBuySell,X87,Z87),Y87))^2*(1-15/365.25/BT87)+IF(OVolOverDailyPeak,OVolOverDailyPeak,IF(OVolCurve,IF(OBuySell,AJ87,AL87),AK87))^2*15/365.25/BT87),IF(OVolOverMonthlyPeak,OVolOverMonthlyPeak,IF(OVolCurve,IF(OBuySell,X87,Z87),Y87))),"")</f>
        <v>#VALUE!</v>
      </c>
      <c r="CI87" s="1587" t="e">
        <f aca="false">IF(OR(BQ87,BS87),IF(OVolType&lt;&gt;2,SQRT(IF(OVolOverMonthlyPeak,OVolOverMonthlyPeak,IF(OVolCurve,IF(OBuySell,AA87,AC87),AB87))^2*(1-15/365.25/BT87)+IF(OVolOverDailyPeak,OVolOverDailyPeak,IF(OVolCurve,IF(OBuySell,AM87,AO87),AN87))^2*15/365.25/BT87),IF(OVolOverMonthlyPeak,OVolOverMonthlyPeak,IF(OVolCurve,IF(OBuySell,AA87,AC87),AB87))),"")</f>
        <v>#VALUE!</v>
      </c>
      <c r="CJ87" s="1587" t="e">
        <f aca="false">IF(BQ87,IF(BP87,SQRT(LN(1+((BU87*AZ87)^2*(EXP(CG87^2*BT87)-1)+(BV87*BA87)^2*(EXP(CH87^2*BT87)-1)+(BW87*BB87)^2*(EXP(CI87^2*BT87)-1)+2*BU87*AZ87*BV87*BA87*(EXP(CG87*CH87*BT87)-1)+2*BV87*BA87*BW87*BB87*(EXP(CH87*CI87*BT87)-1)+2*BW87*BB87*BU87*AZ87*(EXP(CI87*CG87*BT87)-1))/(BY87*BP87)^2)/BT87),0),"")</f>
        <v>#VALUE!</v>
      </c>
      <c r="CK87" s="1587" t="e">
        <f aca="false">IF(BS87,IF(BR87,SQRT(LN(1+((CA87*BH87)^2*(EXP(CG87^2*BT87)-1)+(CB87*BI87)^2*(EXP(CH87^2*BT87)-1)+(CC87*BJ87)^2*(EXP(CI87^2*BT87)-1)+2*CA87*BH87*CB87*BI87*(EXP(CG87*CH87*BT87)-1)+2*CB87*BI87*CC87*BJ87*(EXP(CH87*CI87*BT87)-1)+2*CC87*BJ87*CA87*BH87*(EXP(CI87*CG87*BT87)-1))/(CE87*BR87)^2)/BT87),0),"")</f>
        <v>#VALUE!</v>
      </c>
      <c r="CL87" s="1587" t="e">
        <f aca="false">IF(OR(BQ87,BS87),IF(OVolType&lt;&gt;2,SQRT(IF(OVolOverMonthlyOffPeak,OVolOverMonthlyOffPeak,IF(OVolCurve,IF(OBuySell,AD87,AF87),AE87))^2*(1-15/365.25/BT87)+IF(OVolOverDailyOffPeak,OVolOverDailyOffPeak,IF(OVolCurve,IF(OBuySell,AP87,AR87),AQ87))^2*15/365.25/BT87),IF(OVolOverMonthlyOffPeak,OVolOverMonthlyOffPeak,IF(OVolCurve,IF(OBuySell,AD87,AF87),AE87))),"")</f>
        <v>#VALUE!</v>
      </c>
      <c r="CM87" s="1587" t="e">
        <f aca="false">IF(BQ87,SQRT(LN(1+((BY87*BP87)^2*(EXP(CJ87^2*BT87)-1)+(BX87*BC87)^2*(EXP(CL87^2*BT87)-1)+2*BY87*BP87*BX87*BC87*(EXP(AS87*CJ87*CL87*BT87)-1))/(BY87*BP87+BX87*BC87)^2)/BT87),"")</f>
        <v>#VALUE!</v>
      </c>
      <c r="CN87" s="1588" t="e">
        <f aca="false">IF(BS87,SQRT(LN(1+((CE87*BR87)^2*(EXP(CK87^2*BT87)-1)+(CD87*BK87)^2*(EXP(CL87^2*BT87)-1)+2*CE87*BR87*CD87*BK87*(EXP(AS87*CK87*CL87*BT87)-1))/(CE87*BR87+CD87*BK87)^2)/BT87),"")</f>
        <v>#VALUE!</v>
      </c>
      <c r="CO87" s="1531" t="e">
        <f aca="false">IF(OR(BQ87,BS87),VLOOKUP(A87,GasTable,13)*HeatRatePeak*(1+VLOOKUP($B87,HeatRateDegradation,$C87+1))/1000,0)</f>
        <v>#VALUE!</v>
      </c>
      <c r="CP87" s="1316" t="e">
        <f aca="false">IF(OR(BQ87,BS87),VLOOKUP(A87,GasTable,13)*HeatRatePeak*(1+VLOOKUP($B87,HeatRateDegradation,$C87+1))/1000,0)</f>
        <v>#VALUE!</v>
      </c>
      <c r="CQ87" s="1316" t="e">
        <f aca="false">IF(OR(BQ87,BS87),VLOOKUP(A87,GasTable,13)*IF(EV87,HeatRatePeak,HeatRateOffPeak)*(1+VLOOKUP($B87,HeatRateDegradation,$C87+1))/1000,0)</f>
        <v>#VALUE!</v>
      </c>
      <c r="CR87" s="1316" t="e">
        <f aca="false">IF(OR(BQ87,BS87),VLOOKUP(A87,GasTable,13)*IF(EW87,HeatRatePeak,HeatRateOffPeak)*(1+VLOOKUP($B87,HeatRateDegradation,$C87+1))/1000,0)</f>
        <v>#VALUE!</v>
      </c>
      <c r="CS87" s="1589" t="e">
        <f aca="false">IF(BQ87,(CO87*AZ87+CP87*BA87+CQ87*BB87+CR87*BC87)/BQ87,0)</f>
        <v>#VALUE!</v>
      </c>
      <c r="CT87" s="1316" t="e">
        <f aca="false">IF(BS87,CO87,0)</f>
        <v>#VALUE!</v>
      </c>
      <c r="CU87" s="1590" t="e">
        <f aca="false">IF(OR(BQ87,BS87),VLOOKUP(A87,GasTable,14),"")</f>
        <v>#VALUE!</v>
      </c>
      <c r="CV87" s="1568" t="e">
        <f aca="false">IF(OR(BQ87,BS87),IF(CorrPowerGasOverFlag,INDEX(CorrPowerGasOver,C87),CorrPowerGas),"")</f>
        <v>#VALUE!</v>
      </c>
      <c r="CW87" s="1316" t="e">
        <f aca="false">IF(OR($BQ87,$BS87),SpreadOptPowerMargin,0)*((1+Assumptions!$C$26)^($B87-YEAR(Assumptions!$C$17)))</f>
        <v>#VALUE!</v>
      </c>
      <c r="CX87" s="1316" t="e">
        <f aca="false">IF(OR($BQ87,$BS87),SpreadOptPowerMargin,0)*((1+Assumptions!$C$26)^($B87-YEAR(Assumptions!$C$17)))</f>
        <v>#VALUE!</v>
      </c>
      <c r="CY87" s="1316" t="e">
        <f aca="false">IF(OR($BQ87,$BS87),SpreadOptPowerMargin,0)*((1+Assumptions!$C$26)^($B87-YEAR(Assumptions!$C$17)))</f>
        <v>#VALUE!</v>
      </c>
      <c r="CZ87" s="1316" t="e">
        <f aca="false">IF(OR($BQ87,$BS87),SpreadOptPowerMargin,0)*((1+Assumptions!$C$26)^($B87-YEAR(Assumptions!$C$17)))</f>
        <v>#VALUE!</v>
      </c>
      <c r="DA87" s="1591" t="e">
        <f aca="false">IF(OR(BQ87,BS87),(CW87*(AZ87+BH87)+CX87*(BA87+BI87)+CY87*(BB87+BJ87)+CZ87*(BC87+BK87))/(BQ87+BS87),0)</f>
        <v>#VALUE!</v>
      </c>
      <c r="DB87" s="1592" t="e">
        <f aca="false">IF(OR(BQ87,BS87),CG87+IF(OVolSmile,VLOOKUP(MAX(-5,CO87+CW87-BU87),IF(OVolSmile=1,VolSmileBook,VolSmileModel),2),0),"")</f>
        <v>#VALUE!</v>
      </c>
      <c r="DC87" s="1592" t="e">
        <f aca="false">IF(OR(BQ87,BS87),CH87+IF(OVolSmile,VLOOKUP(MAX(-5,CP87+CW87-BV87),IF(OVolSmile=1,VolSmileBook,VolSmileModel),2),0),"")</f>
        <v>#VALUE!</v>
      </c>
      <c r="DD87" s="1592" t="e">
        <f aca="false">IF(OR(BQ87,BS87),CI87+IF(OVolSmile,VLOOKUP(MAX(-5,CQ87+CW87-BW87),IF(OVolSmile=1,VolSmileBook,VolSmileModel),2),0),"")</f>
        <v>#VALUE!</v>
      </c>
      <c r="DE87" s="1592" t="e">
        <f aca="false">IF(OR(BQ87,BS87),CL87+IF(OVolSmile,VLOOKUP(MAX(-5,CR87+CZ87-BX87),IF(OVolSmile=1,VolSmileBook,VolSmileModel),2),0),"")</f>
        <v>#VALUE!</v>
      </c>
      <c r="DF87" s="1592" t="e">
        <f aca="false">IF(BQ87,CM87+IF(OVolSmile,VLOOKUP(MAX(-5,CS87+DA87-BZ87),IF(OVolSmile=1,VolSmileBook,VolSmileModel),2),0),"")</f>
        <v>#VALUE!</v>
      </c>
      <c r="DG87" s="1593" t="e">
        <f aca="false">IF(BS87,CN87+IF(OVolSmile,VLOOKUP(MAX(-5,CT87+DA87-CF87),IF(OVolSmile=1,VolSmileBook,VolSmileModel),2),0),"")</f>
        <v>#VALUE!</v>
      </c>
      <c r="DH87" s="1316" t="e">
        <f aca="false">IF(AND(BU87&gt;0,CO87&gt;0,DB87&gt;0,CU87&gt;0),newSPRDOPT(BU87,CO87,CW87,0,DB87,CU87,CV87,BT87*365.25,OCallPut,0),0)</f>
        <v>#VALUE!</v>
      </c>
      <c r="DI87" s="1316" t="e">
        <f aca="false">IF(AND(BV87&gt;0,CP87&gt;0,DC87&gt;0,CU87&gt;0),newSPRDOPT(BV87,CP87,CX87,0,DC87,CU87,CV87,BT87*365.25,OCallPut,0),0)</f>
        <v>#VALUE!</v>
      </c>
      <c r="DJ87" s="1316" t="e">
        <f aca="false">IF(AND(BW87&gt;0,CQ87&gt;0,DD87&gt;0,CU87&gt;0),newSPRDOPT(BW87,CQ87,CY87,0,DD87,CU87,CV87,BT87*365.25,OCallPut,0),0)</f>
        <v>#VALUE!</v>
      </c>
      <c r="DK87" s="1316" t="e">
        <f aca="false">IF(AND(BX87&gt;0,CR87&gt;0,DE87&gt;0,CU87&gt;0),newSPRDOPT(BX87,CR87,CZ87,0,DE87,CU87,CV87,BT87*365.25,OCallPut,0),0)</f>
        <v>#VALUE!</v>
      </c>
      <c r="DL87" s="1316" t="e">
        <f aca="false">IF(OVolType,IF(AND(BZ87&gt;0,CS87&gt;0,DF87&gt;0,CU87&gt;0),newSPRDOPT(BZ87,CS87,DA87,0,DF87,CU87,CV87,BT87*365.25,OCallPut,0),0),IF(BQ87,(DH87*AZ87+DI87*BA87+DJ87*BB87+DK87*BC87)/BQ87,0))</f>
        <v>#VALUE!</v>
      </c>
      <c r="DM87" s="1316"/>
      <c r="DN87" s="1316"/>
      <c r="DO87" s="1316"/>
      <c r="DP87" s="1316"/>
      <c r="DQ87" s="1316"/>
      <c r="DR87" s="1316"/>
      <c r="DS87" s="1316"/>
      <c r="DT87" s="1316"/>
      <c r="DU87" s="1316"/>
      <c r="DV87" s="1316"/>
      <c r="DW87" s="1594" t="e">
        <f aca="false">IF(AND(BW87&gt;0,CT87&gt;0,DD87&gt;0,CU87&gt;0),newSPRDOPT(BW87,CT87,CY87,0,DD87,CU87,CV87,BT87*365.25,OCallPut,0),0)</f>
        <v>#VALUE!</v>
      </c>
      <c r="DX87" s="1316" t="e">
        <f aca="false">IF(AND(BX87&gt;0,CT87&gt;0,DE87&gt;0,CU87&gt;0),newSPRDOPT(BX87,CT87,CZ87,0,DE87,CU87,CV87,BT87*365.25,OCallPut,0),0)</f>
        <v>#VALUE!</v>
      </c>
      <c r="DY87" s="1591" t="e">
        <f aca="false">IF(BS87,(DH87*BH87+DI87*BI87+DW87*BJ87+DX87*BK87)/BS87,0)</f>
        <v>#VALUE!</v>
      </c>
      <c r="DZ87" s="1551" t="e">
        <f aca="false">DH87*AZ87</f>
        <v>#VALUE!</v>
      </c>
      <c r="EA87" s="1551" t="e">
        <f aca="false">DI87*BA87</f>
        <v>#VALUE!</v>
      </c>
      <c r="EB87" s="1551" t="e">
        <f aca="false">DJ87*BB87</f>
        <v>#VALUE!</v>
      </c>
      <c r="EC87" s="1551" t="e">
        <f aca="false">DK87*BC87</f>
        <v>#VALUE!</v>
      </c>
      <c r="ED87" s="1551" t="e">
        <f aca="false">DL87*BQ87</f>
        <v>#VALUE!</v>
      </c>
      <c r="EE87" s="1595" t="e">
        <f aca="false">IF(BQ87,IF(OCallPut,IF(BU87&gt;(CO87+CW87),BU87-(CO87+CW87),0),IF((CO87+CW87)&gt;BU87,(CO87+CW87)-BU87,0))*AZ87,0)</f>
        <v>#VALUE!</v>
      </c>
      <c r="EF87" s="1596" t="e">
        <f aca="false">IF(BQ87,IF(OCallPut,IF(BV87&gt;(CP87+CX87),BV87-(CP87+CX87),0),IF((CP87+CX87)&gt;BV87,(CP87+CX87)-BV87,0))*BA87,0)</f>
        <v>#VALUE!</v>
      </c>
      <c r="EG87" s="1596" t="e">
        <f aca="false">IF(BQ87,IF(OCallPut,IF(BW87&gt;(CQ87+CY87),BW87-(CQ87+CY87),0),IF((CQ87+CY87)&gt;BW87,(CQ87+CY87)-BW87,0))*BB87,0)</f>
        <v>#VALUE!</v>
      </c>
      <c r="EH87" s="1596" t="e">
        <f aca="false">IF(BQ87,IF(OCallPut,IF(BX87&gt;(CR87+CZ87),BX87-(CR87+CZ87),0),IF((CR87+CZ87)&gt;BX87,(CR87+CZ87)-BX87,0))*BC87,0)</f>
        <v>#VALUE!</v>
      </c>
      <c r="EI87" s="1597" t="e">
        <f aca="false">IF(BQ87,IF(OVolType,IF(OCallPut,IF(BZ87&gt;(CS87+DA87),BZ87-(CS87+DA87),0),IF((CS87+DA87)&gt;BZ87,(CS87+DA87)-BZ87,0))*BQ87,SUM(EE87:EH87)),0)</f>
        <v>#VALUE!</v>
      </c>
      <c r="EJ87" s="1595" t="e">
        <f aca="false">DZ87-EE87</f>
        <v>#VALUE!</v>
      </c>
      <c r="EK87" s="1596" t="e">
        <f aca="false">EA87-EF87</f>
        <v>#VALUE!</v>
      </c>
      <c r="EL87" s="1596" t="e">
        <f aca="false">EB87-EG87</f>
        <v>#VALUE!</v>
      </c>
      <c r="EM87" s="1596" t="e">
        <f aca="false">EC87-EH87</f>
        <v>#VALUE!</v>
      </c>
      <c r="EN87" s="1597" t="e">
        <f aca="false">ED87-EI87</f>
        <v>#VALUE!</v>
      </c>
      <c r="EO87" s="1551" t="e">
        <f aca="false">DH87*BH87</f>
        <v>#VALUE!</v>
      </c>
      <c r="EP87" s="1551" t="e">
        <f aca="false">DI87*BI87</f>
        <v>#VALUE!</v>
      </c>
      <c r="EQ87" s="1551" t="e">
        <f aca="false">DW87*BJ87</f>
        <v>#VALUE!</v>
      </c>
      <c r="ER87" s="1551" t="e">
        <f aca="false">DX87*BK87</f>
        <v>#VALUE!</v>
      </c>
      <c r="ES87" s="1551" t="e">
        <f aca="false">DY87*BS87</f>
        <v>#VALUE!</v>
      </c>
      <c r="ET87" s="1566" t="e">
        <f aca="false">IF(EI87,IF(OCallPut,IF(CA87&gt;(CT87+CW87),CA87-(CT87+CW87),0),IF((CT87+CW87)&gt;CA87,(CT87+CW87)-CA87,0))*BH87,0)</f>
        <v>#VALUE!</v>
      </c>
      <c r="EU87" s="1551" t="e">
        <f aca="false">IF(EI87,IF(OCallPut,IF(CB87&gt;(CT87+CX87),CB87-(CT87+CX87),0),IF((CT87+CX87)&gt;CB87,(CT87+CX87)-CB87,0))*BI87,0)</f>
        <v>#VALUE!</v>
      </c>
      <c r="EV87" s="1551" t="e">
        <f aca="false">IF(EI87,IF(OCallPut,IF(CC87&gt;(CT87+CY87),CC87-(CT87+CY87),0),IF((CT87+CY87)&gt;CC87,(CT87+CY87)-CC87,0))*BJ87,0)</f>
        <v>#VALUE!</v>
      </c>
      <c r="EW87" s="1551" t="e">
        <f aca="false">IF(EI87,IF(OCallPut,IF(CD87&gt;(CT87+CZ87),CD87-(CT87+CZ87),0),IF((CT87+CZ87)&gt;CD87,(CT87+CZ87)-CD87,0))*BK87,0)</f>
        <v>#VALUE!</v>
      </c>
      <c r="EX87" s="1558" t="e">
        <f aca="false">IF(EI87,SUM(ET87:EW87),0)</f>
        <v>#VALUE!</v>
      </c>
      <c r="EY87" s="1551" t="e">
        <f aca="false">EO87-ET87</f>
        <v>#VALUE!</v>
      </c>
      <c r="EZ87" s="1551" t="e">
        <f aca="false">EP87-EU87</f>
        <v>#VALUE!</v>
      </c>
      <c r="FA87" s="1551" t="e">
        <f aca="false">EQ87-EV87</f>
        <v>#VALUE!</v>
      </c>
      <c r="FB87" s="1551" t="e">
        <f aca="false">ER87-EW87</f>
        <v>#VALUE!</v>
      </c>
      <c r="FC87" s="1551" t="e">
        <f aca="false">ES87-EX87</f>
        <v>#VALUE!</v>
      </c>
      <c r="FD87" s="1525" t="n">
        <f aca="false">IF(AX87,IF(VLOOKUP(C87,MAIN!$L$17:$M$28,2)="Yes",VLOOKUP(CALC!B87,MAIN!$H$17:$I$20,2),0),0)</f>
        <v>0</v>
      </c>
      <c r="FE87" s="1552" t="e">
        <f aca="false">$FD87*16*AT87*(1-$AY87)</f>
        <v>#VALUE!</v>
      </c>
      <c r="FF87" s="1553" t="e">
        <f aca="false">$FD87*16*AU87*(1-$AY87)</f>
        <v>#VALUE!</v>
      </c>
      <c r="FG87" s="1553" t="e">
        <f aca="false">$FD87*16*(AV87+AW87)*(1-$AY87)</f>
        <v>#VALUE!</v>
      </c>
      <c r="FH87" s="1554" t="n">
        <f aca="false">$FD87*8*AX87*(1-$AY87)</f>
        <v>0</v>
      </c>
      <c r="FI87" s="1555" t="n">
        <f aca="false">IF(AX87,VLOOKUP(CALC!B87,MAIN!$H$17:$K$20,4),0)</f>
        <v>0</v>
      </c>
      <c r="FJ87" s="1553" t="e">
        <f aca="false">SUM(FE87:FH87)</f>
        <v>#VALUE!</v>
      </c>
      <c r="FK87" s="1556" t="e">
        <f aca="false">FI87*FJ87</f>
        <v>#VALUE!</v>
      </c>
      <c r="FL87" s="1551" t="e">
        <f aca="false">IF($EI87&gt;0,MIN(FE87,AZ87*(1+VLOOKUP($C87,WeatherCapacityAdjustment,2))),0)</f>
        <v>#VALUE!</v>
      </c>
      <c r="FM87" s="1551" t="e">
        <f aca="false">IF($EI87&gt;0,MIN(FF87,BA87*(1+VLOOKUP($C87,WeatherCapacityAdjustment,2))),0)</f>
        <v>#VALUE!</v>
      </c>
      <c r="FN87" s="1551" t="e">
        <f aca="false">IF($EI87&gt;0,MIN(FG87,BB87*(1+VLOOKUP($C87,WeatherCapacityAdjustment,2))),0)</f>
        <v>#VALUE!</v>
      </c>
      <c r="FO87" s="1564" t="e">
        <f aca="false">IF($EI87&gt;0,MIN(FH87,BC87*(1+VLOOKUP($C87,WeatherCapacityAdjustment,3))),0)</f>
        <v>#VALUE!</v>
      </c>
      <c r="FP87" s="1551" t="e">
        <f aca="false">IF(ET87&gt;0,MIN(FE87-FL87,BH87*(1+VLOOKUP($C87,WeatherCapacityAdjustment,2))),0)</f>
        <v>#VALUE!</v>
      </c>
      <c r="FQ87" s="1551" t="e">
        <f aca="false">IF(EU87&gt;0,MIN(FF87-FM87,BI87*(1+VLOOKUP($C87,WeatherCapacityAdjustment,2))),0)</f>
        <v>#VALUE!</v>
      </c>
      <c r="FR87" s="1551" t="e">
        <f aca="false">IF(EV87&gt;0,MIN(FG87-FN87,BJ87*(1+VLOOKUP($C87,WeatherCapacityAdjustment,2))),0)</f>
        <v>#VALUE!</v>
      </c>
      <c r="FS87" s="1558" t="e">
        <f aca="false">IF(EW87&gt;0,MIN(FH87-FO87,BK87*(1+VLOOKUP($C87,WeatherCapacityAdjustment,3))),0)</f>
        <v>#VALUE!</v>
      </c>
      <c r="FT87" s="1566" t="e">
        <f aca="false">IF(AND(Assumptions!$H$71="Yes",A87&gt;=Assumptions!$H$72,A87&lt;=Assumptions!$H$73),0,IF(AND($A87&gt;=Assumptions!$C$17,$A87&lt;=Assumptions!$C$18),MAX(AZ87*(1+VLOOKUP($C87,WeatherCapacityAdjustment,2))-FL87,0),0))</f>
        <v>#VALUE!</v>
      </c>
      <c r="FU87" s="1551" t="e">
        <f aca="false">IF(AND(Assumptions!$H$71="Yes",A87&gt;=Assumptions!$H$72,A87&lt;=Assumptions!$H$73),0,IF(AND($A87&gt;=Assumptions!$C$17,$A87&lt;=Assumptions!$C$18),MAX(BA87*(1+VLOOKUP($C87,WeatherCapacityAdjustment,2))-FM87,0),0))</f>
        <v>#VALUE!</v>
      </c>
      <c r="FV87" s="1551" t="e">
        <f aca="false">IF(AND(Assumptions!$H$71="Yes",A87&gt;=Assumptions!$H$72,A87&lt;=Assumptions!$H$73),0,IF(AND($A87&gt;=Assumptions!$C$17,$A87&lt;=Assumptions!$C$18),MAX(BB87*(1+VLOOKUP($C87,WeatherCapacityAdjustment,2))-FN87,0),0))</f>
        <v>#VALUE!</v>
      </c>
      <c r="FW87" s="1564" t="e">
        <f aca="false">IF(AND(Assumptions!$H$71="Yes",A87&gt;=Assumptions!$H$72,A87&lt;=Assumptions!$H$73),0,IF(AND($A87&gt;=Assumptions!$C$17,$A87&lt;=Assumptions!$C$18),MAX(BC87*(1+VLOOKUP($C87,WeatherCapacityAdjustment,3))-FO87,0),0))</f>
        <v>#VALUE!</v>
      </c>
      <c r="FX87" s="1569" t="e">
        <f aca="false">IF(AND(Assumptions!$H$71="Yes",A87&gt;=Assumptions!$H$72,A87&lt;=Assumptions!$H$73),0,IF(ET87&gt;0,MAX(BH87*(1+VLOOKUP($C87,WeatherCapacityAdjustment,2))-FP87,0),0))</f>
        <v>#VALUE!</v>
      </c>
      <c r="FY87" s="1551" t="e">
        <f aca="false">IF(AND(Assumptions!$H$71="Yes",A87&gt;=Assumptions!$H$72,A87&lt;=Assumptions!$H$73),0,IF(EU87&gt;0,MAX(BI87*(1+VLOOKUP($C87,WeatherCapacityAdjustment,3))-FQ87,0),0))</f>
        <v>#VALUE!</v>
      </c>
      <c r="FZ87" s="1551" t="e">
        <f aca="false">IF(AND(Assumptions!$H$71="Yes",A87&gt;=Assumptions!$H$72,A87&lt;=Assumptions!$H$73),0,IF(EV87&gt;0,MAX(BJ87*(1+VLOOKUP($C87,WeatherCapacityAdjustment,2))-FR87,0),0))</f>
        <v>#VALUE!</v>
      </c>
      <c r="GA87" s="1564" t="e">
        <f aca="false">IF(AND(Assumptions!$H$71="Yes",A87&gt;=Assumptions!$H$72,A87&lt;=Assumptions!$H$73),0,IF(EW87&gt;0,MAX(BK87*(1+VLOOKUP($C87,WeatherCapacityAdjustment,2))-FS87,0),0))</f>
        <v>#VALUE!</v>
      </c>
      <c r="GB87" s="1551" t="e">
        <f aca="false">SUM(FT87:GA87)</f>
        <v>#VALUE!</v>
      </c>
      <c r="GC87" s="1563" t="e">
        <f aca="false">+IF(SUM(FT87:GA87)=0,0,(SUMPRODUCT(BU87:BX87,FT87:FW87)+SUMPRODUCT(CA87:CD87,FX87:GA87))/SUM(FT87:GA87))</f>
        <v>#VALUE!</v>
      </c>
      <c r="GD87" s="1551" t="e">
        <f aca="false">(FT87*BU87+FX87*CA87+FU87*BV87+FY87*CB87+FV87*BW87+FZ87*CC87+FW87*BX87+GA87*CD87)</f>
        <v>#VALUE!</v>
      </c>
      <c r="GE87" s="1561" t="e">
        <f aca="false">+IF(BQ87,((FL87+FM87+FT87+FU87)*HeatRatePeak/1000*(1+VLOOKUP($C87,WeatherHeatRateAdjustment,2))+(FN87+FV87)*IF(EV87&gt;0,HeatRatePeak,HeatRateOffPeak)/1000*(1+VLOOKUP($C87,WeatherHeatRateAdjustment,2))+(FO87+FW87)*IF(EW87&gt;0,HeatRatePeak,HeatRateOffPeak)/1000*(1+VLOOKUP($C87,WeatherHeatRateAdjustment,3)))*(1+VLOOKUP($B87,HeatRateDegradation,$C87+1)),0)</f>
        <v>#VALUE!</v>
      </c>
      <c r="GF87" s="1562" t="e">
        <f aca="false">IF(BQ87,((FP87+FQ87+FR87+FX87+FY87+FZ87)*HeatRatePeak/1000*(1+VLOOKUP($C87,WeatherHeatRateAdjustment,2))+(FS87+GA87)*HeatRatePeak/1000*(1+VLOOKUP($C87,WeatherHeatRateAdjustment,3)))*(1+VLOOKUP($B87,HeatRateDegradation,$C87+1)),0)</f>
        <v>#VALUE!</v>
      </c>
      <c r="GG87" s="1563" t="e">
        <f aca="false">IF(BQ87,VLOOKUP(A87,GasTable,13),0)</f>
        <v>#VALUE!</v>
      </c>
      <c r="GH87" s="1564" t="e">
        <f aca="false">(GE87+GF87)*GG87</f>
        <v>#VALUE!</v>
      </c>
      <c r="GI87" s="1569" t="e">
        <f aca="false">GB87</f>
        <v>#VALUE!</v>
      </c>
      <c r="GJ87" s="1598" t="e">
        <f aca="false">+DA87</f>
        <v>#VALUE!</v>
      </c>
      <c r="GK87" s="1558" t="e">
        <f aca="false">+GI87*GJ87</f>
        <v>#VALUE!</v>
      </c>
      <c r="GL87" s="1566" t="e">
        <f aca="false">MAX(FE87-FL87-FP87,0)</f>
        <v>#VALUE!</v>
      </c>
      <c r="GM87" s="1551" t="e">
        <f aca="false">MAX(FF87-FM87-FQ87,0)</f>
        <v>#VALUE!</v>
      </c>
      <c r="GN87" s="1551" t="e">
        <f aca="false">MAX(FG87-FN87-FR87,0)</f>
        <v>#VALUE!</v>
      </c>
      <c r="GO87" s="1564" t="e">
        <f aca="false">MAX(FH87-FO87-FS87,0)</f>
        <v>#VALUE!</v>
      </c>
      <c r="GP87" s="1551" t="e">
        <f aca="false">SUM(GL87:GO87)</f>
        <v>#VALUE!</v>
      </c>
      <c r="GQ87" s="1563" t="e">
        <f aca="false">IF(SUM(GL87:GO87)=0,0,((GL87*BU87+GM87*BV87+GN87*BW87+GO87*BX87)/SUM(GL87:GO87)))</f>
        <v>#VALUE!</v>
      </c>
      <c r="GR87" s="1558" t="e">
        <f aca="false">(GL87*BU87+GM87*BV87+GN87*BW87+GO87*BX87)</f>
        <v>#VALUE!</v>
      </c>
      <c r="GS87" s="1566" t="n">
        <f aca="false">IF($A87&gt;=BegDate,Assumptions!$C$56*24*($A88-$A87)*(1-VLOOKUP($B87,MAIN!$AA$7:$AM$28,$C87+1))*(1-VLOOKUP($B87,MAIN!$AA$33:$AM$54,$C87+1)),0)*80/168</f>
        <v>257742.857142857</v>
      </c>
      <c r="GT87" s="286" t="n">
        <f aca="false">J87</f>
        <v>35.0168942645948</v>
      </c>
      <c r="GU87" s="286" t="n">
        <f aca="false">IF($A87&gt;=BegDate,VLOOKUP($A87,GasTable,13)+Assumptions!$C$58,0)</f>
        <v>2.53186638494125</v>
      </c>
      <c r="GV87" s="286" t="n">
        <f aca="false">GU87*Assumptions!$C$57/1000</f>
        <v>18.3560312908241</v>
      </c>
      <c r="GW87" s="1558" t="n">
        <f aca="false">IF(Assumptions!$C$60="Hourly",MAX(0,GS87*(GT87-GV87)),GS87*(GT87-GV87))</f>
        <v>4294218.42532532</v>
      </c>
      <c r="GX87" s="1566" t="n">
        <f aca="false">IF($A87&gt;=BegDate,Assumptions!$C$56*24*($A88-$A87)*(1-VLOOKUP($B87,MAIN!$AA$7:$AM$28,$C87+1))*(1-VLOOKUP($B87,MAIN!$AA$33:$AM$54,$C87+1)),0)*16/168</f>
        <v>51548.5714285714</v>
      </c>
      <c r="GY87" s="286" t="n">
        <f aca="false">M87</f>
        <v>35.0168942645948</v>
      </c>
      <c r="GZ87" s="286" t="n">
        <f aca="false">IF($A87&gt;=BegDate,VLOOKUP($A87,GasTable,13)+Assumptions!$C$58,0)</f>
        <v>2.53186638494125</v>
      </c>
      <c r="HA87" s="286" t="n">
        <f aca="false">GZ87*Assumptions!$C$57/1000</f>
        <v>18.3560312908241</v>
      </c>
      <c r="HB87" s="1558" t="n">
        <f aca="false">IF(Assumptions!$C$60="Hourly",MAX(0,GX87*(GY87-HA87)),GX87*(GY87-HA87))</f>
        <v>858843.685065063</v>
      </c>
      <c r="HC87" s="1566" t="n">
        <f aca="false">IF($A87&gt;=BegDate,Assumptions!$C$56*24*($A88-$A87)*(1-VLOOKUP($B87,MAIN!$AA$7:$AM$28,$C87+1))*(1-VLOOKUP($B87,MAIN!$AA$33:$AM$54,$C87+1)),0)*16/168</f>
        <v>51548.5714285714</v>
      </c>
      <c r="HD87" s="286" t="n">
        <f aca="false">P87</f>
        <v>23.4605533668334</v>
      </c>
      <c r="HE87" s="286" t="n">
        <f aca="false">IF($A87&gt;=BegDate,VLOOKUP($A87,GasTable,13)+Assumptions!$C$58,0)</f>
        <v>2.53186638494125</v>
      </c>
      <c r="HF87" s="286" t="n">
        <f aca="false">HE87*Assumptions!$C$57/1000</f>
        <v>18.3560312908241</v>
      </c>
      <c r="HG87" s="1558" t="n">
        <f aca="false">IF(Assumptions!$C$60="Hourly",MAX(0,HC87*(HD87-HF87)),HC87*(HD87-HF87))</f>
        <v>263130.820843889</v>
      </c>
      <c r="HH87" s="1566" t="n">
        <f aca="false">IF($A87&gt;=BegDate,Assumptions!$C$56*24*($A88-$A87)*(1-VLOOKUP($B87,MAIN!$AA$7:$AM$28,$C87+1))*(1-VLOOKUP($B87,MAIN!$AA$33:$AM$54,$C87+1)),0)*56/168</f>
        <v>180420</v>
      </c>
      <c r="HI87" s="286" t="n">
        <f aca="false">S87</f>
        <v>23.4605533668334</v>
      </c>
      <c r="HJ87" s="286" t="n">
        <f aca="false">IF($A87&gt;=BegDate,VLOOKUP($A87,GasTable,13)+Assumptions!$C$58,0)</f>
        <v>2.53186638494125</v>
      </c>
      <c r="HK87" s="286" t="n">
        <f aca="false">HJ87*Assumptions!$C$57/1000</f>
        <v>18.3560312908241</v>
      </c>
      <c r="HL87" s="1558" t="n">
        <f aca="false">IF(Assumptions!$C$60="Hourly",MAX(0,HH87*(HI87-HK87)),HH87*(HI87-HK87))</f>
        <v>920957.872953612</v>
      </c>
      <c r="HM87" s="1566" t="n">
        <f aca="false">IF(AND(Assumptions!$H$71="Yes",A87&gt;=Assumptions!$H$72,A87&lt;=Assumptions!$H$73),Assumptions!$H$74*Assumptions!$C$9*1000,0)</f>
        <v>0</v>
      </c>
      <c r="HN87" s="1551"/>
      <c r="HO87" s="1563"/>
      <c r="HP87" s="1563"/>
      <c r="HQ87" s="1563"/>
      <c r="HR87" s="1563"/>
      <c r="HS87" s="1563"/>
      <c r="HT87" s="1563"/>
      <c r="HU87" s="1563"/>
      <c r="HV87" s="1563"/>
      <c r="HW87" s="1563"/>
      <c r="HX87" s="1563"/>
      <c r="HY87" s="1563"/>
      <c r="HZ87" s="1563"/>
      <c r="IA87" s="1563"/>
      <c r="IB87" s="1563"/>
      <c r="IC87" s="1563"/>
      <c r="ID87" s="1563"/>
      <c r="IE87" s="1563"/>
      <c r="IF87" s="1563"/>
      <c r="IG87" s="1563"/>
      <c r="IH87" s="1563"/>
      <c r="II87" s="1610"/>
      <c r="IJ87" s="1309"/>
      <c r="IK87" s="1309"/>
    </row>
    <row r="88" customFormat="false" ht="12.75" hidden="false" customHeight="false" outlineLevel="0" collapsed="false">
      <c r="A88" s="1571" t="n">
        <f aca="false">EOMONTH(A87,0)+1</f>
        <v>38808</v>
      </c>
      <c r="B88" s="594" t="n">
        <f aca="false">+YEAR(A88)</f>
        <v>2006</v>
      </c>
      <c r="C88" s="238" t="n">
        <f aca="false">MONTH(A88)</f>
        <v>4</v>
      </c>
      <c r="D88" s="1572" t="e">
        <f aca="false">IF(E88="","",Holiday(B88,C88))</f>
        <v>#VALUE!</v>
      </c>
      <c r="E88" s="1573" t="n">
        <f aca="false">IF(OR(BegDate&gt;=A89,EndDate&lt;A88,AND(VolumeMonthlyOverFlag,INDEX(VolumeMonthlyOver,C88)=0),NOT(INDEX(MonthKnockOutTable,C88))),"",MAX(A88,BegDate))</f>
        <v>38808</v>
      </c>
      <c r="F88" s="1574" t="n">
        <f aca="false">IF(E88="","",MIN(A89-1,EndDate))</f>
        <v>38837</v>
      </c>
      <c r="G88" s="1575" t="n">
        <v>0</v>
      </c>
      <c r="H88" s="1576" t="n">
        <f aca="false">(1+G88/2)^(-2*(DATE(B89,C89,20)-DateToday)/365.25)</f>
        <v>1</v>
      </c>
      <c r="I88" s="1568" t="n">
        <f aca="false">IF(Assumptions!$L$25=4,VLOOKUP($A88,'Henwood Reference'!$E$9:$R$320,10),(VLOOKUP($A88,PriceTable,2,0)+IF(BasisNumber&lt;&gt;1,VLOOKUP($A88,BasisTable,2,0),0)+I$1)/(1-I$2))</f>
        <v>32.8537614896725</v>
      </c>
      <c r="J88" s="1568" t="n">
        <f aca="false">IF(Assumptions!$L$25=4,VLOOKUP($A88,'Henwood Reference'!$E$9:$R$320,10),(VLOOKUP($A88,PriceTable,3,0)+IF(BasisNumber&lt;&gt;1,VLOOKUP($A88,BasisTable,2,0),0)+J$1)/(1-J$2))</f>
        <v>32.8537614896725</v>
      </c>
      <c r="K88" s="1568" t="n">
        <f aca="false">IF(Assumptions!$L$25=4,VLOOKUP($A88,'Henwood Reference'!$E$9:$R$320,10),(VLOOKUP($A88,PriceTable,4,0)+IF(BasisNumber&lt;&gt;1,VLOOKUP($A88,BasisTable,2,0),0)+K$1)/(1-K$2))</f>
        <v>32.8537614896725</v>
      </c>
      <c r="L88" s="1523" t="n">
        <f aca="false">IF(Assumptions!$L$25=4,VLOOKUP($A88,'Henwood Reference'!$E$9:$R$320,10),(VLOOKUP($A88,PriceTableWeekend,2,0)+IF(BasisNumber&lt;&gt;1,VLOOKUP($A88,BasisTable,2,0),0)+L$1)/(1-L$2))</f>
        <v>32.8537614896725</v>
      </c>
      <c r="M88" s="1568" t="n">
        <f aca="false">IF(Assumptions!$L$25=4,VLOOKUP($A88,'Henwood Reference'!$E$9:$R$320,10),(VLOOKUP($A88,PriceTableWeekend,3,0)+IF(BasisNumber&lt;&gt;1,VLOOKUP($A88,BasisTable,2,0),0)+M$1)/(1-M$2))</f>
        <v>32.8537614896725</v>
      </c>
      <c r="N88" s="1599" t="n">
        <f aca="false">IF(Assumptions!$L$25=4,VLOOKUP($A88,'Henwood Reference'!$E$9:$R$320,10),(VLOOKUP($A88,PriceTableWeekend,4,0)+IF(BasisNumber&lt;&gt;1,VLOOKUP($A88,BasisTable,2,0),0)+N$1)/(1-N$2))</f>
        <v>32.8537614896725</v>
      </c>
      <c r="O88" s="1568" t="n">
        <f aca="false">IF(Assumptions!$L$25=4,VLOOKUP($A88,'Henwood Reference'!$E$9:$R$320,11),(VLOOKUP($A88,PriceTableWeekend,6,0)+IF(BasisNumber&lt;&gt;1,VLOOKUP($A88,BasisTable,3,0),0)+O$1)/(1-O$2))</f>
        <v>22.2566857406402</v>
      </c>
      <c r="P88" s="1568" t="n">
        <f aca="false">IF(Assumptions!$L$25=4,VLOOKUP($A88,'Henwood Reference'!$E$9:$R$320,11),(VLOOKUP($A88,PriceTableWeekend,7,0)+IF(BasisNumber&lt;&gt;1,VLOOKUP($A88,BasisTable,3,0),0)+P$1)/(1-P$2))</f>
        <v>22.2566857406402</v>
      </c>
      <c r="Q88" s="1599" t="n">
        <f aca="false">IF(Assumptions!$L$25=4,VLOOKUP($A88,'Henwood Reference'!$E$9:$R$320,11),(VLOOKUP($A88,PriceTableWeekend,8,0)+IF(BasisNumber&lt;&gt;1,VLOOKUP($A88,BasisTable,3,0),0)+Q$1)/(1-Q$2))</f>
        <v>22.2566857406402</v>
      </c>
      <c r="R88" s="1568" t="n">
        <f aca="false">IF(Assumptions!$L$25=4,VLOOKUP($A88,'Henwood Reference'!$E$9:$R$320,11),(VLOOKUP($A88,PriceTable,6,0)+IF(BasisNumber&lt;&gt;1,VLOOKUP($A88,BasisTable,3,0),0)+R$1)/(1-R$2))</f>
        <v>22.2566857406402</v>
      </c>
      <c r="S88" s="1568" t="n">
        <f aca="false">IF(Assumptions!$L$25=4,VLOOKUP($A88,'Henwood Reference'!$E$9:$R$320,11),(VLOOKUP($A88,PriceTable,7,0)+IF(BasisNumber&lt;&gt;1,VLOOKUP($A88,BasisTable,3,0),0)+S$1)/(1-S$2))</f>
        <v>22.2566857406402</v>
      </c>
      <c r="T88" s="1600" t="n">
        <f aca="false">IF(Assumptions!$L$25=4,VLOOKUP($A88,'Henwood Reference'!$E$9:$R$320,11),(VLOOKUP($A88,PriceTable,8,0)+IF(BasisNumber&lt;&gt;1,VLOOKUP($A88,BasisTable,3,0),0)+T$1)/(1-T$2))</f>
        <v>22.2566857406402</v>
      </c>
      <c r="U88" s="1513" t="n">
        <f aca="false">VLOOKUP($A88,VolatilityTable,14)</f>
        <v>0.14</v>
      </c>
      <c r="V88" s="1513" t="n">
        <f aca="false">VLOOKUP($A88,VolatilityTable,15)</f>
        <v>0.15</v>
      </c>
      <c r="W88" s="1514" t="n">
        <f aca="false">VLOOKUP($A88,VolatilityTable,16)</f>
        <v>0.16</v>
      </c>
      <c r="X88" s="1513" t="n">
        <f aca="false">VLOOKUP($A88,VolatilityTable,14)</f>
        <v>0.14</v>
      </c>
      <c r="Y88" s="1513" t="n">
        <f aca="false">VLOOKUP($A88,VolatilityTable,15)</f>
        <v>0.15</v>
      </c>
      <c r="Z88" s="1514" t="n">
        <f aca="false">VLOOKUP($A88,VolatilityTable,16)</f>
        <v>0.16</v>
      </c>
      <c r="AA88" s="1513" t="n">
        <f aca="false">VLOOKUP($A88,VolatilityTable,18)</f>
        <v>0.09</v>
      </c>
      <c r="AB88" s="1513" t="n">
        <f aca="false">VLOOKUP($A88,VolatilityTable,19)</f>
        <v>0.11</v>
      </c>
      <c r="AC88" s="1514" t="n">
        <f aca="false">VLOOKUP($A88,VolatilityTable,20)</f>
        <v>0.13</v>
      </c>
      <c r="AD88" s="1513" t="n">
        <f aca="false">VLOOKUP($A88,VolatilityTable,18)</f>
        <v>0.09</v>
      </c>
      <c r="AE88" s="1513" t="n">
        <f aca="false">VLOOKUP($A88,VolatilityTable,19)</f>
        <v>0.11</v>
      </c>
      <c r="AF88" s="1514" t="n">
        <f aca="false">VLOOKUP($A88,VolatilityTable,20)</f>
        <v>0.13</v>
      </c>
      <c r="AG88" s="1513" t="n">
        <f aca="false">VLOOKUP($A88,VolatilityTable,22)</f>
        <v>-0.1</v>
      </c>
      <c r="AH88" s="1513" t="n">
        <f aca="false">VLOOKUP($A88,VolatilityTable,23)</f>
        <v>0.65</v>
      </c>
      <c r="AI88" s="1514" t="n">
        <f aca="false">VLOOKUP($A88,VolatilityTable,24)</f>
        <v>0.1</v>
      </c>
      <c r="AJ88" s="1513" t="n">
        <f aca="false">VLOOKUP($A88,VolatilityTable,22)</f>
        <v>-0.1</v>
      </c>
      <c r="AK88" s="1513" t="n">
        <f aca="false">VLOOKUP($A88,VolatilityTable,23)</f>
        <v>0.65</v>
      </c>
      <c r="AL88" s="1514" t="n">
        <f aca="false">VLOOKUP($A88,VolatilityTable,24)</f>
        <v>0.1</v>
      </c>
      <c r="AM88" s="1513" t="n">
        <f aca="false">VLOOKUP($A88,VolatilityTable,26)</f>
        <v>-0.01</v>
      </c>
      <c r="AN88" s="1513" t="n">
        <f aca="false">VLOOKUP($A88,VolatilityTable,27)</f>
        <v>0.16</v>
      </c>
      <c r="AO88" s="1514" t="n">
        <f aca="false">VLOOKUP($A88,VolatilityTable,28)</f>
        <v>0.01</v>
      </c>
      <c r="AP88" s="1513" t="n">
        <f aca="false">VLOOKUP($A88,VolatilityTable,26)</f>
        <v>-0.01</v>
      </c>
      <c r="AQ88" s="1513" t="n">
        <f aca="false">VLOOKUP($A88,VolatilityTable,27)</f>
        <v>0.16</v>
      </c>
      <c r="AR88" s="1515" t="n">
        <f aca="false">VLOOKUP($A88,VolatilityTable,28)</f>
        <v>0.01</v>
      </c>
      <c r="AS88" s="1581" t="n">
        <f aca="false">IF(CorrPeakOffPeakOverFlag,INDEX(CorrPeakOffPeakOver,C88),CorrPeakOffPeak)</f>
        <v>0.5</v>
      </c>
      <c r="AT88" s="594" t="e">
        <f aca="false">AX88-SUM(AU88:AW88)</f>
        <v>#VALUE!</v>
      </c>
      <c r="AU88" s="238" t="e">
        <f aca="false">IF(E88="",0,INT((F88-MOD(F88,7)-E88)/7)+1-IF(AW88,IF(WEEKDAY(D88)=7,1,0),0))</f>
        <v>#VALUE!</v>
      </c>
      <c r="AV88" s="238" t="e">
        <f aca="false">IF(E88="",0,INT((F88-MOD(F88-1,7)-E88)/7)+1-IF(AW88,IF(WEEKDAY(D88)=1,1,0),0))</f>
        <v>#VALUE!</v>
      </c>
      <c r="AW88" s="238" t="e">
        <f aca="false">IF(OR(E88="",D88="",D88&lt;BegDate,D88&gt;EndDate),0,1)</f>
        <v>#VALUE!</v>
      </c>
      <c r="AX88" s="238" t="n">
        <f aca="false">IF(E88="",0,F88-E88+1)</f>
        <v>30</v>
      </c>
      <c r="AY88" s="1582" t="n">
        <f aca="false">IF(E88="",0,MIN((1-(1-VLOOKUP(B88,MAIN!$AA$7:$AM$28,C88+1))*(1-VLOOKUP(B88,MAIN!$AA$33:$AM$54,C88+1))),1))</f>
        <v>0.224</v>
      </c>
      <c r="AZ88" s="1519" t="e">
        <v>#VALUE!</v>
      </c>
      <c r="BA88" s="1520" t="e">
        <v>#VALUE!</v>
      </c>
      <c r="BB88" s="1520" t="e">
        <v>#VALUE!</v>
      </c>
      <c r="BC88" s="1583" t="e">
        <v>#VALUE!</v>
      </c>
      <c r="BD88" s="1522" t="e">
        <v>#VALUE!</v>
      </c>
      <c r="BE88" s="1523" t="e">
        <v>#VALUE!</v>
      </c>
      <c r="BF88" s="1523" t="e">
        <v>#VALUE!</v>
      </c>
      <c r="BG88" s="1584" t="e">
        <v>#VALUE!</v>
      </c>
      <c r="BH88" s="1525" t="e">
        <v>#VALUE!</v>
      </c>
      <c r="BI88" s="1520" t="e">
        <v>#VALUE!</v>
      </c>
      <c r="BJ88" s="1520" t="e">
        <v>#VALUE!</v>
      </c>
      <c r="BK88" s="1583" t="e">
        <v>#VALUE!</v>
      </c>
      <c r="BL88" s="1522" t="e">
        <v>#VALUE!</v>
      </c>
      <c r="BM88" s="1523" t="e">
        <v>#VALUE!</v>
      </c>
      <c r="BN88" s="1523" t="e">
        <v>#VALUE!</v>
      </c>
      <c r="BO88" s="1523" t="e">
        <v>#VALUE!</v>
      </c>
      <c r="BP88" s="1525" t="e">
        <f aca="false">SUM(AZ88:BB88)</f>
        <v>#VALUE!</v>
      </c>
      <c r="BQ88" s="1529" t="e">
        <f aca="false">SUM(AZ88:BC88)</f>
        <v>#VALUE!</v>
      </c>
      <c r="BR88" s="1519" t="e">
        <f aca="false">SUM(BH88:BJ88)</f>
        <v>#VALUE!</v>
      </c>
      <c r="BS88" s="1529" t="e">
        <f aca="false">SUM(BH88:BK88)</f>
        <v>#VALUE!</v>
      </c>
      <c r="BT88" s="1316" t="n">
        <f aca="false">(IF(OVolType&lt;&gt;2,A88+14,IF(OptExpDateShift,ShiftBack(A88,OptExpDateShift,D87),A88))-DateToday)/365.25</f>
        <v>5.96303901437372</v>
      </c>
      <c r="BU88" s="1585" t="e">
        <f aca="false">IF(BQ88,IF(OPriceCurve,IF(OBuySell=OCallPut,I88/(1-AY88),K88/(1-AY88)),J88/(1-AY88))*BD88,0)</f>
        <v>#VALUE!</v>
      </c>
      <c r="BV88" s="1316" t="e">
        <f aca="false">IF(BQ88,IF(OPriceCurve,IF(OBuySell=OCallPut,L88/(1-AY88),N88/(1-AY88)),M88/(1-AY88))*BE88,0)</f>
        <v>#VALUE!</v>
      </c>
      <c r="BW88" s="1316" t="e">
        <f aca="false">IF(BQ88,IF(OPriceCurve,IF(OBuySell=OCallPut,O88/(1-AY88),Q88/(1-AY88)),P88/(1-AY88))*BF88,0)</f>
        <v>#VALUE!</v>
      </c>
      <c r="BX88" s="1316" t="e">
        <f aca="false">IF(BQ88,IF(OPriceCurve,IF(OBuySell=OCallPut,R88/(1-AY88),T88/(1-AY88)),S88/(1-AY88))*BG88,0)</f>
        <v>#VALUE!</v>
      </c>
      <c r="BY88" s="1316" t="e">
        <f aca="false">IF(BP88,(BU88*AZ88+BV88*BA88+BW88*BB88)/BP88,0)</f>
        <v>#VALUE!</v>
      </c>
      <c r="BZ88" s="1316" t="e">
        <f aca="false">IF(BQ88,(BY88*BP88+BX88*BC88)/BQ88,0)</f>
        <v>#VALUE!</v>
      </c>
      <c r="CA88" s="1531" t="e">
        <f aca="false">IF(BS88,IF(OPriceCurve,IF(OBuySell=OCallPut,I88/(1-AY88),K88/(1-AY88)),J88/(1-AY88))*BL88,0)</f>
        <v>#VALUE!</v>
      </c>
      <c r="CB88" s="1316" t="e">
        <f aca="false">IF(BS88,IF(OPriceCurve,IF(OBuySell=OCallPut,L88/(1-AY88),N88/(1-AY88)),M88/(1-AY88))*BM88,0)</f>
        <v>#VALUE!</v>
      </c>
      <c r="CC88" s="1316" t="e">
        <f aca="false">IF(BS88,IF(OPriceCurve,IF(OBuySell=OCallPut,O88/(1-AY88),Q88/(1-AY88)),P88/(1-AY88))*BN88,0)</f>
        <v>#VALUE!</v>
      </c>
      <c r="CD88" s="1316" t="e">
        <f aca="false">IF(BS88,IF(OPriceCurve,IF(OBuySell=OCallPut,R88/(1-AY88),T88/(1-AY88)),S88/(1-AY88))*BO88,0)</f>
        <v>#VALUE!</v>
      </c>
      <c r="CE88" s="1316" t="e">
        <f aca="false">IF(BR88,(BU88*BH88+BV88*BI88+BW88*BJ88)/BR88,0)</f>
        <v>#VALUE!</v>
      </c>
      <c r="CF88" s="1532" t="e">
        <f aca="false">IF(BS88,(CE88*BR88+CD88*BK88)/BS88,0)</f>
        <v>#VALUE!</v>
      </c>
      <c r="CG88" s="1586" t="e">
        <f aca="false">IF(OR(BQ88,BS88),IF(OVolType&lt;&gt;2,SQRT(IF(OVolOverMonthlyPeak,OVolOverMonthlyPeak,IF(OVolCurve,IF(OBuySell,U88,W88),V88))^2*(1-15/365.25/BT88)+IF(OVolOverDailyPeak,OVolOverDailyPeak,IF(OVolCurve,IF(OBuySell,AG88,AI88),AH88))^2*15/365.25/BT88),IF(OVolOverMonthlyPeak,OVolOverMonthlyPeak,IF(OVolCurve,IF(OBuySell,U88,W88),V88))),"")</f>
        <v>#VALUE!</v>
      </c>
      <c r="CH88" s="1587" t="e">
        <f aca="false">IF(OR(BQ88,BS88),IF(OVolType&lt;&gt;2,SQRT(IF(OVolOverMonthlyPeak,OVolOverMonthlyPeak,IF(OVolCurve,IF(OBuySell,X88,Z88),Y88))^2*(1-15/365.25/BT88)+IF(OVolOverDailyPeak,OVolOverDailyPeak,IF(OVolCurve,IF(OBuySell,AJ88,AL88),AK88))^2*15/365.25/BT88),IF(OVolOverMonthlyPeak,OVolOverMonthlyPeak,IF(OVolCurve,IF(OBuySell,X88,Z88),Y88))),"")</f>
        <v>#VALUE!</v>
      </c>
      <c r="CI88" s="1587" t="e">
        <f aca="false">IF(OR(BQ88,BS88),IF(OVolType&lt;&gt;2,SQRT(IF(OVolOverMonthlyPeak,OVolOverMonthlyPeak,IF(OVolCurve,IF(OBuySell,AA88,AC88),AB88))^2*(1-15/365.25/BT88)+IF(OVolOverDailyPeak,OVolOverDailyPeak,IF(OVolCurve,IF(OBuySell,AM88,AO88),AN88))^2*15/365.25/BT88),IF(OVolOverMonthlyPeak,OVolOverMonthlyPeak,IF(OVolCurve,IF(OBuySell,AA88,AC88),AB88))),"")</f>
        <v>#VALUE!</v>
      </c>
      <c r="CJ88" s="1587" t="e">
        <f aca="false">IF(BQ88,IF(BP88,SQRT(LN(1+((BU88*AZ88)^2*(EXP(CG88^2*BT88)-1)+(BV88*BA88)^2*(EXP(CH88^2*BT88)-1)+(BW88*BB88)^2*(EXP(CI88^2*BT88)-1)+2*BU88*AZ88*BV88*BA88*(EXP(CG88*CH88*BT88)-1)+2*BV88*BA88*BW88*BB88*(EXP(CH88*CI88*BT88)-1)+2*BW88*BB88*BU88*AZ88*(EXP(CI88*CG88*BT88)-1))/(BY88*BP88)^2)/BT88),0),"")</f>
        <v>#VALUE!</v>
      </c>
      <c r="CK88" s="1587" t="e">
        <f aca="false">IF(BS88,IF(BR88,SQRT(LN(1+((CA88*BH88)^2*(EXP(CG88^2*BT88)-1)+(CB88*BI88)^2*(EXP(CH88^2*BT88)-1)+(CC88*BJ88)^2*(EXP(CI88^2*BT88)-1)+2*CA88*BH88*CB88*BI88*(EXP(CG88*CH88*BT88)-1)+2*CB88*BI88*CC88*BJ88*(EXP(CH88*CI88*BT88)-1)+2*CC88*BJ88*CA88*BH88*(EXP(CI88*CG88*BT88)-1))/(CE88*BR88)^2)/BT88),0),"")</f>
        <v>#VALUE!</v>
      </c>
      <c r="CL88" s="1587" t="e">
        <f aca="false">IF(OR(BQ88,BS88),IF(OVolType&lt;&gt;2,SQRT(IF(OVolOverMonthlyOffPeak,OVolOverMonthlyOffPeak,IF(OVolCurve,IF(OBuySell,AD88,AF88),AE88))^2*(1-15/365.25/BT88)+IF(OVolOverDailyOffPeak,OVolOverDailyOffPeak,IF(OVolCurve,IF(OBuySell,AP88,AR88),AQ88))^2*15/365.25/BT88),IF(OVolOverMonthlyOffPeak,OVolOverMonthlyOffPeak,IF(OVolCurve,IF(OBuySell,AD88,AF88),AE88))),"")</f>
        <v>#VALUE!</v>
      </c>
      <c r="CM88" s="1587" t="e">
        <f aca="false">IF(BQ88,SQRT(LN(1+((BY88*BP88)^2*(EXP(CJ88^2*BT88)-1)+(BX88*BC88)^2*(EXP(CL88^2*BT88)-1)+2*BY88*BP88*BX88*BC88*(EXP(AS88*CJ88*CL88*BT88)-1))/(BY88*BP88+BX88*BC88)^2)/BT88),"")</f>
        <v>#VALUE!</v>
      </c>
      <c r="CN88" s="1588" t="e">
        <f aca="false">IF(BS88,SQRT(LN(1+((CE88*BR88)^2*(EXP(CK88^2*BT88)-1)+(CD88*BK88)^2*(EXP(CL88^2*BT88)-1)+2*CE88*BR88*CD88*BK88*(EXP(AS88*CK88*CL88*BT88)-1))/(CE88*BR88+CD88*BK88)^2)/BT88),"")</f>
        <v>#VALUE!</v>
      </c>
      <c r="CO88" s="1531" t="e">
        <f aca="false">IF(OR(BQ88,BS88),VLOOKUP(A88,GasTable,13)*HeatRatePeak*(1+VLOOKUP($B88,HeatRateDegradation,$C88+1))/1000,0)</f>
        <v>#VALUE!</v>
      </c>
      <c r="CP88" s="1316" t="e">
        <f aca="false">IF(OR(BQ88,BS88),VLOOKUP(A88,GasTable,13)*HeatRatePeak*(1+VLOOKUP($B88,HeatRateDegradation,$C88+1))/1000,0)</f>
        <v>#VALUE!</v>
      </c>
      <c r="CQ88" s="1316" t="e">
        <f aca="false">IF(OR(BQ88,BS88),VLOOKUP(A88,GasTable,13)*IF(EV88,HeatRatePeak,HeatRateOffPeak)*(1+VLOOKUP($B88,HeatRateDegradation,$C88+1))/1000,0)</f>
        <v>#VALUE!</v>
      </c>
      <c r="CR88" s="1316" t="e">
        <f aca="false">IF(OR(BQ88,BS88),VLOOKUP(A88,GasTable,13)*IF(EW88,HeatRatePeak,HeatRateOffPeak)*(1+VLOOKUP($B88,HeatRateDegradation,$C88+1))/1000,0)</f>
        <v>#VALUE!</v>
      </c>
      <c r="CS88" s="1589" t="e">
        <f aca="false">IF(BQ88,(CO88*AZ88+CP88*BA88+CQ88*BB88+CR88*BC88)/BQ88,0)</f>
        <v>#VALUE!</v>
      </c>
      <c r="CT88" s="1316" t="e">
        <f aca="false">IF(BS88,CO88,0)</f>
        <v>#VALUE!</v>
      </c>
      <c r="CU88" s="1590" t="e">
        <f aca="false">IF(OR(BQ88,BS88),VLOOKUP(A88,GasTable,14),"")</f>
        <v>#VALUE!</v>
      </c>
      <c r="CV88" s="1568" t="e">
        <f aca="false">IF(OR(BQ88,BS88),IF(CorrPowerGasOverFlag,INDEX(CorrPowerGasOver,C88),CorrPowerGas),"")</f>
        <v>#VALUE!</v>
      </c>
      <c r="CW88" s="1316" t="e">
        <f aca="false">IF(OR($BQ88,$BS88),SpreadOptPowerMargin,0)*((1+Assumptions!$C$26)^($B88-YEAR(Assumptions!$C$17)))</f>
        <v>#VALUE!</v>
      </c>
      <c r="CX88" s="1316" t="e">
        <f aca="false">IF(OR($BQ88,$BS88),SpreadOptPowerMargin,0)*((1+Assumptions!$C$26)^($B88-YEAR(Assumptions!$C$17)))</f>
        <v>#VALUE!</v>
      </c>
      <c r="CY88" s="1316" t="e">
        <f aca="false">IF(OR($BQ88,$BS88),SpreadOptPowerMargin,0)*((1+Assumptions!$C$26)^($B88-YEAR(Assumptions!$C$17)))</f>
        <v>#VALUE!</v>
      </c>
      <c r="CZ88" s="1316" t="e">
        <f aca="false">IF(OR($BQ88,$BS88),SpreadOptPowerMargin,0)*((1+Assumptions!$C$26)^($B88-YEAR(Assumptions!$C$17)))</f>
        <v>#VALUE!</v>
      </c>
      <c r="DA88" s="1591" t="e">
        <f aca="false">IF(OR(BQ88,BS88),(CW88*(AZ88+BH88)+CX88*(BA88+BI88)+CY88*(BB88+BJ88)+CZ88*(BC88+BK88))/(BQ88+BS88),0)</f>
        <v>#VALUE!</v>
      </c>
      <c r="DB88" s="1592" t="e">
        <f aca="false">IF(OR(BQ88,BS88),CG88+IF(OVolSmile,VLOOKUP(MAX(-5,CO88+CW88-BU88),IF(OVolSmile=1,VolSmileBook,VolSmileModel),2),0),"")</f>
        <v>#VALUE!</v>
      </c>
      <c r="DC88" s="1592" t="e">
        <f aca="false">IF(OR(BQ88,BS88),CH88+IF(OVolSmile,VLOOKUP(MAX(-5,CP88+CW88-BV88),IF(OVolSmile=1,VolSmileBook,VolSmileModel),2),0),"")</f>
        <v>#VALUE!</v>
      </c>
      <c r="DD88" s="1592" t="e">
        <f aca="false">IF(OR(BQ88,BS88),CI88+IF(OVolSmile,VLOOKUP(MAX(-5,CQ88+CW88-BW88),IF(OVolSmile=1,VolSmileBook,VolSmileModel),2),0),"")</f>
        <v>#VALUE!</v>
      </c>
      <c r="DE88" s="1592" t="e">
        <f aca="false">IF(OR(BQ88,BS88),CL88+IF(OVolSmile,VLOOKUP(MAX(-5,CR88+CZ88-BX88),IF(OVolSmile=1,VolSmileBook,VolSmileModel),2),0),"")</f>
        <v>#VALUE!</v>
      </c>
      <c r="DF88" s="1592" t="e">
        <f aca="false">IF(BQ88,CM88+IF(OVolSmile,VLOOKUP(MAX(-5,CS88+DA88-BZ88),IF(OVolSmile=1,VolSmileBook,VolSmileModel),2),0),"")</f>
        <v>#VALUE!</v>
      </c>
      <c r="DG88" s="1593" t="e">
        <f aca="false">IF(BS88,CN88+IF(OVolSmile,VLOOKUP(MAX(-5,CT88+DA88-CF88),IF(OVolSmile=1,VolSmileBook,VolSmileModel),2),0),"")</f>
        <v>#VALUE!</v>
      </c>
      <c r="DH88" s="1316" t="e">
        <f aca="false">IF(AND(BU88&gt;0,CO88&gt;0,DB88&gt;0,CU88&gt;0),newSPRDOPT(BU88,CO88,CW88,0,DB88,CU88,CV88,BT88*365.25,OCallPut,0),0)</f>
        <v>#VALUE!</v>
      </c>
      <c r="DI88" s="1316" t="e">
        <f aca="false">IF(AND(BV88&gt;0,CP88&gt;0,DC88&gt;0,CU88&gt;0),newSPRDOPT(BV88,CP88,CX88,0,DC88,CU88,CV88,BT88*365.25,OCallPut,0),0)</f>
        <v>#VALUE!</v>
      </c>
      <c r="DJ88" s="1316" t="e">
        <f aca="false">IF(AND(BW88&gt;0,CQ88&gt;0,DD88&gt;0,CU88&gt;0),newSPRDOPT(BW88,CQ88,CY88,0,DD88,CU88,CV88,BT88*365.25,OCallPut,0),0)</f>
        <v>#VALUE!</v>
      </c>
      <c r="DK88" s="1316" t="e">
        <f aca="false">IF(AND(BX88&gt;0,CR88&gt;0,DE88&gt;0,CU88&gt;0),newSPRDOPT(BX88,CR88,CZ88,0,DE88,CU88,CV88,BT88*365.25,OCallPut,0),0)</f>
        <v>#VALUE!</v>
      </c>
      <c r="DL88" s="1316" t="e">
        <f aca="false">IF(OVolType,IF(AND(BZ88&gt;0,CS88&gt;0,DF88&gt;0,CU88&gt;0),newSPRDOPT(BZ88,CS88,DA88,0,DF88,CU88,CV88,BT88*365.25,OCallPut,0),0),IF(BQ88,(DH88*AZ88+DI88*BA88+DJ88*BB88+DK88*BC88)/BQ88,0))</f>
        <v>#VALUE!</v>
      </c>
      <c r="DM88" s="1316"/>
      <c r="DN88" s="1316"/>
      <c r="DO88" s="1316"/>
      <c r="DP88" s="1316"/>
      <c r="DQ88" s="1316"/>
      <c r="DR88" s="1316"/>
      <c r="DS88" s="1316"/>
      <c r="DT88" s="1316"/>
      <c r="DU88" s="1316"/>
      <c r="DV88" s="1316"/>
      <c r="DW88" s="1594" t="e">
        <f aca="false">IF(AND(BW88&gt;0,CT88&gt;0,DD88&gt;0,CU88&gt;0),newSPRDOPT(BW88,CT88,CY88,0,DD88,CU88,CV88,BT88*365.25,OCallPut,0),0)</f>
        <v>#VALUE!</v>
      </c>
      <c r="DX88" s="1316" t="e">
        <f aca="false">IF(AND(BX88&gt;0,CT88&gt;0,DE88&gt;0,CU88&gt;0),newSPRDOPT(BX88,CT88,CZ88,0,DE88,CU88,CV88,BT88*365.25,OCallPut,0),0)</f>
        <v>#VALUE!</v>
      </c>
      <c r="DY88" s="1591" t="e">
        <f aca="false">IF(BS88,(DH88*BH88+DI88*BI88+DW88*BJ88+DX88*BK88)/BS88,0)</f>
        <v>#VALUE!</v>
      </c>
      <c r="DZ88" s="1551" t="e">
        <f aca="false">DH88*AZ88</f>
        <v>#VALUE!</v>
      </c>
      <c r="EA88" s="1551" t="e">
        <f aca="false">DI88*BA88</f>
        <v>#VALUE!</v>
      </c>
      <c r="EB88" s="1551" t="e">
        <f aca="false">DJ88*BB88</f>
        <v>#VALUE!</v>
      </c>
      <c r="EC88" s="1551" t="e">
        <f aca="false">DK88*BC88</f>
        <v>#VALUE!</v>
      </c>
      <c r="ED88" s="1551" t="e">
        <f aca="false">DL88*BQ88</f>
        <v>#VALUE!</v>
      </c>
      <c r="EE88" s="1595" t="e">
        <f aca="false">IF(BQ88,IF(OCallPut,IF(BU88&gt;(CO88+CW88),BU88-(CO88+CW88),0),IF((CO88+CW88)&gt;BU88,(CO88+CW88)-BU88,0))*AZ88,0)</f>
        <v>#VALUE!</v>
      </c>
      <c r="EF88" s="1596" t="e">
        <f aca="false">IF(BQ88,IF(OCallPut,IF(BV88&gt;(CP88+CX88),BV88-(CP88+CX88),0),IF((CP88+CX88)&gt;BV88,(CP88+CX88)-BV88,0))*BA88,0)</f>
        <v>#VALUE!</v>
      </c>
      <c r="EG88" s="1596" t="e">
        <f aca="false">IF(BQ88,IF(OCallPut,IF(BW88&gt;(CQ88+CY88),BW88-(CQ88+CY88),0),IF((CQ88+CY88)&gt;BW88,(CQ88+CY88)-BW88,0))*BB88,0)</f>
        <v>#VALUE!</v>
      </c>
      <c r="EH88" s="1596" t="e">
        <f aca="false">IF(BQ88,IF(OCallPut,IF(BX88&gt;(CR88+CZ88),BX88-(CR88+CZ88),0),IF((CR88+CZ88)&gt;BX88,(CR88+CZ88)-BX88,0))*BC88,0)</f>
        <v>#VALUE!</v>
      </c>
      <c r="EI88" s="1597" t="e">
        <f aca="false">IF(BQ88,IF(OVolType,IF(OCallPut,IF(BZ88&gt;(CS88+DA88),BZ88-(CS88+DA88),0),IF((CS88+DA88)&gt;BZ88,(CS88+DA88)-BZ88,0))*BQ88,SUM(EE88:EH88)),0)</f>
        <v>#VALUE!</v>
      </c>
      <c r="EJ88" s="1595" t="e">
        <f aca="false">DZ88-EE88</f>
        <v>#VALUE!</v>
      </c>
      <c r="EK88" s="1596" t="e">
        <f aca="false">EA88-EF88</f>
        <v>#VALUE!</v>
      </c>
      <c r="EL88" s="1596" t="e">
        <f aca="false">EB88-EG88</f>
        <v>#VALUE!</v>
      </c>
      <c r="EM88" s="1596" t="e">
        <f aca="false">EC88-EH88</f>
        <v>#VALUE!</v>
      </c>
      <c r="EN88" s="1597" t="e">
        <f aca="false">ED88-EI88</f>
        <v>#VALUE!</v>
      </c>
      <c r="EO88" s="1551" t="e">
        <f aca="false">DH88*BH88</f>
        <v>#VALUE!</v>
      </c>
      <c r="EP88" s="1551" t="e">
        <f aca="false">DI88*BI88</f>
        <v>#VALUE!</v>
      </c>
      <c r="EQ88" s="1551" t="e">
        <f aca="false">DW88*BJ88</f>
        <v>#VALUE!</v>
      </c>
      <c r="ER88" s="1551" t="e">
        <f aca="false">DX88*BK88</f>
        <v>#VALUE!</v>
      </c>
      <c r="ES88" s="1551" t="e">
        <f aca="false">DY88*BS88</f>
        <v>#VALUE!</v>
      </c>
      <c r="ET88" s="1566" t="e">
        <f aca="false">IF(EI88,IF(OCallPut,IF(CA88&gt;(CT88+CW88),CA88-(CT88+CW88),0),IF((CT88+CW88)&gt;CA88,(CT88+CW88)-CA88,0))*BH88,0)</f>
        <v>#VALUE!</v>
      </c>
      <c r="EU88" s="1551" t="e">
        <f aca="false">IF(EI88,IF(OCallPut,IF(CB88&gt;(CT88+CX88),CB88-(CT88+CX88),0),IF((CT88+CX88)&gt;CB88,(CT88+CX88)-CB88,0))*BI88,0)</f>
        <v>#VALUE!</v>
      </c>
      <c r="EV88" s="1551" t="e">
        <f aca="false">IF(EI88,IF(OCallPut,IF(CC88&gt;(CT88+CY88),CC88-(CT88+CY88),0),IF((CT88+CY88)&gt;CC88,(CT88+CY88)-CC88,0))*BJ88,0)</f>
        <v>#VALUE!</v>
      </c>
      <c r="EW88" s="1551" t="e">
        <f aca="false">IF(EI88,IF(OCallPut,IF(CD88&gt;(CT88+CZ88),CD88-(CT88+CZ88),0),IF((CT88+CZ88)&gt;CD88,(CT88+CZ88)-CD88,0))*BK88,0)</f>
        <v>#VALUE!</v>
      </c>
      <c r="EX88" s="1558" t="e">
        <f aca="false">IF(EI88,SUM(ET88:EW88),0)</f>
        <v>#VALUE!</v>
      </c>
      <c r="EY88" s="1551" t="e">
        <f aca="false">EO88-ET88</f>
        <v>#VALUE!</v>
      </c>
      <c r="EZ88" s="1551" t="e">
        <f aca="false">EP88-EU88</f>
        <v>#VALUE!</v>
      </c>
      <c r="FA88" s="1551" t="e">
        <f aca="false">EQ88-EV88</f>
        <v>#VALUE!</v>
      </c>
      <c r="FB88" s="1551" t="e">
        <f aca="false">ER88-EW88</f>
        <v>#VALUE!</v>
      </c>
      <c r="FC88" s="1551" t="e">
        <f aca="false">ES88-EX88</f>
        <v>#VALUE!</v>
      </c>
      <c r="FD88" s="1525" t="n">
        <f aca="false">IF(AX88,IF(VLOOKUP(C88,MAIN!$L$17:$M$28,2)="Yes",VLOOKUP(CALC!B88,MAIN!$H$17:$I$20,2),0),0)</f>
        <v>0</v>
      </c>
      <c r="FE88" s="1552" t="e">
        <f aca="false">$FD88*16*AT88*(1-$AY88)</f>
        <v>#VALUE!</v>
      </c>
      <c r="FF88" s="1553" t="e">
        <f aca="false">$FD88*16*AU88*(1-$AY88)</f>
        <v>#VALUE!</v>
      </c>
      <c r="FG88" s="1553" t="e">
        <f aca="false">$FD88*16*(AV88+AW88)*(1-$AY88)</f>
        <v>#VALUE!</v>
      </c>
      <c r="FH88" s="1554" t="n">
        <f aca="false">$FD88*8*AX88*(1-$AY88)</f>
        <v>0</v>
      </c>
      <c r="FI88" s="1555" t="n">
        <f aca="false">IF(AX88,VLOOKUP(CALC!B88,MAIN!$H$17:$K$20,4),0)</f>
        <v>0</v>
      </c>
      <c r="FJ88" s="1553" t="e">
        <f aca="false">SUM(FE88:FH88)</f>
        <v>#VALUE!</v>
      </c>
      <c r="FK88" s="1556" t="e">
        <f aca="false">FI88*FJ88</f>
        <v>#VALUE!</v>
      </c>
      <c r="FL88" s="1551" t="e">
        <f aca="false">IF($EI88&gt;0,MIN(FE88,AZ88*(1+VLOOKUP($C88,WeatherCapacityAdjustment,2))),0)</f>
        <v>#VALUE!</v>
      </c>
      <c r="FM88" s="1551" t="e">
        <f aca="false">IF($EI88&gt;0,MIN(FF88,BA88*(1+VLOOKUP($C88,WeatherCapacityAdjustment,2))),0)</f>
        <v>#VALUE!</v>
      </c>
      <c r="FN88" s="1551" t="e">
        <f aca="false">IF($EI88&gt;0,MIN(FG88,BB88*(1+VLOOKUP($C88,WeatherCapacityAdjustment,2))),0)</f>
        <v>#VALUE!</v>
      </c>
      <c r="FO88" s="1564" t="e">
        <f aca="false">IF($EI88&gt;0,MIN(FH88,BC88*(1+VLOOKUP($C88,WeatherCapacityAdjustment,3))),0)</f>
        <v>#VALUE!</v>
      </c>
      <c r="FP88" s="1551" t="e">
        <f aca="false">IF(ET88&gt;0,MIN(FE88-FL88,BH88*(1+VLOOKUP($C88,WeatherCapacityAdjustment,2))),0)</f>
        <v>#VALUE!</v>
      </c>
      <c r="FQ88" s="1551" t="e">
        <f aca="false">IF(EU88&gt;0,MIN(FF88-FM88,BI88*(1+VLOOKUP($C88,WeatherCapacityAdjustment,2))),0)</f>
        <v>#VALUE!</v>
      </c>
      <c r="FR88" s="1551" t="e">
        <f aca="false">IF(EV88&gt;0,MIN(FG88-FN88,BJ88*(1+VLOOKUP($C88,WeatherCapacityAdjustment,2))),0)</f>
        <v>#VALUE!</v>
      </c>
      <c r="FS88" s="1558" t="e">
        <f aca="false">IF(EW88&gt;0,MIN(FH88-FO88,BK88*(1+VLOOKUP($C88,WeatherCapacityAdjustment,3))),0)</f>
        <v>#VALUE!</v>
      </c>
      <c r="FT88" s="1566" t="e">
        <f aca="false">IF(AND(Assumptions!$H$71="Yes",A88&gt;=Assumptions!$H$72,A88&lt;=Assumptions!$H$73),0,IF(AND($A88&gt;=Assumptions!$C$17,$A88&lt;=Assumptions!$C$18),MAX(AZ88*(1+VLOOKUP($C88,WeatherCapacityAdjustment,2))-FL88,0),0))</f>
        <v>#VALUE!</v>
      </c>
      <c r="FU88" s="1551" t="e">
        <f aca="false">IF(AND(Assumptions!$H$71="Yes",A88&gt;=Assumptions!$H$72,A88&lt;=Assumptions!$H$73),0,IF(AND($A88&gt;=Assumptions!$C$17,$A88&lt;=Assumptions!$C$18),MAX(BA88*(1+VLOOKUP($C88,WeatherCapacityAdjustment,2))-FM88,0),0))</f>
        <v>#VALUE!</v>
      </c>
      <c r="FV88" s="1551" t="e">
        <f aca="false">IF(AND(Assumptions!$H$71="Yes",A88&gt;=Assumptions!$H$72,A88&lt;=Assumptions!$H$73),0,IF(AND($A88&gt;=Assumptions!$C$17,$A88&lt;=Assumptions!$C$18),MAX(BB88*(1+VLOOKUP($C88,WeatherCapacityAdjustment,2))-FN88,0),0))</f>
        <v>#VALUE!</v>
      </c>
      <c r="FW88" s="1564" t="e">
        <f aca="false">IF(AND(Assumptions!$H$71="Yes",A88&gt;=Assumptions!$H$72,A88&lt;=Assumptions!$H$73),0,IF(AND($A88&gt;=Assumptions!$C$17,$A88&lt;=Assumptions!$C$18),MAX(BC88*(1+VLOOKUP($C88,WeatherCapacityAdjustment,3))-FO88,0),0))</f>
        <v>#VALUE!</v>
      </c>
      <c r="FX88" s="1569" t="e">
        <f aca="false">IF(AND(Assumptions!$H$71="Yes",A88&gt;=Assumptions!$H$72,A88&lt;=Assumptions!$H$73),0,IF(ET88&gt;0,MAX(BH88*(1+VLOOKUP($C88,WeatherCapacityAdjustment,2))-FP88,0),0))</f>
        <v>#VALUE!</v>
      </c>
      <c r="FY88" s="1551" t="e">
        <f aca="false">IF(AND(Assumptions!$H$71="Yes",A88&gt;=Assumptions!$H$72,A88&lt;=Assumptions!$H$73),0,IF(EU88&gt;0,MAX(BI88*(1+VLOOKUP($C88,WeatherCapacityAdjustment,3))-FQ88,0),0))</f>
        <v>#VALUE!</v>
      </c>
      <c r="FZ88" s="1551" t="e">
        <f aca="false">IF(AND(Assumptions!$H$71="Yes",A88&gt;=Assumptions!$H$72,A88&lt;=Assumptions!$H$73),0,IF(EV88&gt;0,MAX(BJ88*(1+VLOOKUP($C88,WeatherCapacityAdjustment,2))-FR88,0),0))</f>
        <v>#VALUE!</v>
      </c>
      <c r="GA88" s="1564" t="e">
        <f aca="false">IF(AND(Assumptions!$H$71="Yes",A88&gt;=Assumptions!$H$72,A88&lt;=Assumptions!$H$73),0,IF(EW88&gt;0,MAX(BK88*(1+VLOOKUP($C88,WeatherCapacityAdjustment,2))-FS88,0),0))</f>
        <v>#VALUE!</v>
      </c>
      <c r="GB88" s="1551" t="e">
        <f aca="false">SUM(FT88:GA88)</f>
        <v>#VALUE!</v>
      </c>
      <c r="GC88" s="1563" t="e">
        <f aca="false">+IF(SUM(FT88:GA88)=0,0,(SUMPRODUCT(BU88:BX88,FT88:FW88)+SUMPRODUCT(CA88:CD88,FX88:GA88))/SUM(FT88:GA88))</f>
        <v>#VALUE!</v>
      </c>
      <c r="GD88" s="1551" t="e">
        <f aca="false">(FT88*BU88+FX88*CA88+FU88*BV88+FY88*CB88+FV88*BW88+FZ88*CC88+FW88*BX88+GA88*CD88)</f>
        <v>#VALUE!</v>
      </c>
      <c r="GE88" s="1561" t="e">
        <f aca="false">+IF(BQ88,((FL88+FM88+FT88+FU88)*HeatRatePeak/1000*(1+VLOOKUP($C88,WeatherHeatRateAdjustment,2))+(FN88+FV88)*IF(EV88&gt;0,HeatRatePeak,HeatRateOffPeak)/1000*(1+VLOOKUP($C88,WeatherHeatRateAdjustment,2))+(FO88+FW88)*IF(EW88&gt;0,HeatRatePeak,HeatRateOffPeak)/1000*(1+VLOOKUP($C88,WeatherHeatRateAdjustment,3)))*(1+VLOOKUP($B88,HeatRateDegradation,$C88+1)),0)</f>
        <v>#VALUE!</v>
      </c>
      <c r="GF88" s="1562" t="e">
        <f aca="false">IF(BQ88,((FP88+FQ88+FR88+FX88+FY88+FZ88)*HeatRatePeak/1000*(1+VLOOKUP($C88,WeatherHeatRateAdjustment,2))+(FS88+GA88)*HeatRatePeak/1000*(1+VLOOKUP($C88,WeatherHeatRateAdjustment,3)))*(1+VLOOKUP($B88,HeatRateDegradation,$C88+1)),0)</f>
        <v>#VALUE!</v>
      </c>
      <c r="GG88" s="1563" t="e">
        <f aca="false">IF(BQ88,VLOOKUP(A88,GasTable,13),0)</f>
        <v>#VALUE!</v>
      </c>
      <c r="GH88" s="1564" t="e">
        <f aca="false">(GE88+GF88)*GG88</f>
        <v>#VALUE!</v>
      </c>
      <c r="GI88" s="1569" t="e">
        <f aca="false">GB88</f>
        <v>#VALUE!</v>
      </c>
      <c r="GJ88" s="1598" t="e">
        <f aca="false">+DA88</f>
        <v>#VALUE!</v>
      </c>
      <c r="GK88" s="1558" t="e">
        <f aca="false">+GI88*GJ88</f>
        <v>#VALUE!</v>
      </c>
      <c r="GL88" s="1566" t="e">
        <f aca="false">MAX(FE88-FL88-FP88,0)</f>
        <v>#VALUE!</v>
      </c>
      <c r="GM88" s="1551" t="e">
        <f aca="false">MAX(FF88-FM88-FQ88,0)</f>
        <v>#VALUE!</v>
      </c>
      <c r="GN88" s="1551" t="e">
        <f aca="false">MAX(FG88-FN88-FR88,0)</f>
        <v>#VALUE!</v>
      </c>
      <c r="GO88" s="1564" t="e">
        <f aca="false">MAX(FH88-FO88-FS88,0)</f>
        <v>#VALUE!</v>
      </c>
      <c r="GP88" s="1551" t="e">
        <f aca="false">SUM(GL88:GO88)</f>
        <v>#VALUE!</v>
      </c>
      <c r="GQ88" s="1563" t="e">
        <f aca="false">IF(SUM(GL88:GO88)=0,0,((GL88*BU88+GM88*BV88+GN88*BW88+GO88*BX88)/SUM(GL88:GO88)))</f>
        <v>#VALUE!</v>
      </c>
      <c r="GR88" s="1558" t="e">
        <f aca="false">(GL88*BU88+GM88*BV88+GN88*BW88+GO88*BX88)</f>
        <v>#VALUE!</v>
      </c>
      <c r="GS88" s="1566" t="n">
        <f aca="false">IF($A88&gt;=BegDate,Assumptions!$C$56*24*($A89-$A88)*(1-VLOOKUP($B88,MAIN!$AA$7:$AM$28,$C88+1))*(1-VLOOKUP($B88,MAIN!$AA$33:$AM$54,$C88+1)),0)*80/168</f>
        <v>199542.857142857</v>
      </c>
      <c r="GT88" s="286" t="n">
        <f aca="false">J88</f>
        <v>32.8537614896725</v>
      </c>
      <c r="GU88" s="286" t="n">
        <f aca="false">IF($A88&gt;=BegDate,VLOOKUP($A88,GasTable,13)+Assumptions!$C$58,0)</f>
        <v>2.45178436838789</v>
      </c>
      <c r="GV88" s="286" t="n">
        <f aca="false">GU88*Assumptions!$C$57/1000</f>
        <v>17.7754366708122</v>
      </c>
      <c r="GW88" s="1558" t="n">
        <f aca="false">IF(Assumptions!$C$60="Hourly",MAX(0,GS88*(GT88-GV88)),GS88*(GT88-GV88))</f>
        <v>3008772.01528344</v>
      </c>
      <c r="GX88" s="1566" t="n">
        <f aca="false">IF($A88&gt;=BegDate,Assumptions!$C$56*24*($A89-$A88)*(1-VLOOKUP($B88,MAIN!$AA$7:$AM$28,$C88+1))*(1-VLOOKUP($B88,MAIN!$AA$33:$AM$54,$C88+1)),0)*16/168</f>
        <v>39908.5714285714</v>
      </c>
      <c r="GY88" s="286" t="n">
        <f aca="false">M88</f>
        <v>32.8537614896725</v>
      </c>
      <c r="GZ88" s="286" t="n">
        <f aca="false">IF($A88&gt;=BegDate,VLOOKUP($A88,GasTable,13)+Assumptions!$C$58,0)</f>
        <v>2.45178436838789</v>
      </c>
      <c r="HA88" s="286" t="n">
        <f aca="false">GZ88*Assumptions!$C$57/1000</f>
        <v>17.7754366708122</v>
      </c>
      <c r="HB88" s="1558" t="n">
        <f aca="false">IF(Assumptions!$C$60="Hourly",MAX(0,GX88*(GY88-HA88)),GX88*(GY88-HA88))</f>
        <v>601754.403056688</v>
      </c>
      <c r="HC88" s="1566" t="n">
        <f aca="false">IF($A88&gt;=BegDate,Assumptions!$C$56*24*($A89-$A88)*(1-VLOOKUP($B88,MAIN!$AA$7:$AM$28,$C88+1))*(1-VLOOKUP($B88,MAIN!$AA$33:$AM$54,$C88+1)),0)*16/168</f>
        <v>39908.5714285714</v>
      </c>
      <c r="HD88" s="286" t="n">
        <f aca="false">P88</f>
        <v>22.2566857406402</v>
      </c>
      <c r="HE88" s="286" t="n">
        <f aca="false">IF($A88&gt;=BegDate,VLOOKUP($A88,GasTable,13)+Assumptions!$C$58,0)</f>
        <v>2.45178436838789</v>
      </c>
      <c r="HF88" s="286" t="n">
        <f aca="false">HE88*Assumptions!$C$57/1000</f>
        <v>17.7754366708122</v>
      </c>
      <c r="HG88" s="1558" t="n">
        <f aca="false">IF(Assumptions!$C$60="Hourly",MAX(0,HC88*(HD88-HF88)),HC88*(HD88-HF88))</f>
        <v>178840.24859245</v>
      </c>
      <c r="HH88" s="1566" t="n">
        <f aca="false">IF($A88&gt;=BegDate,Assumptions!$C$56*24*($A89-$A88)*(1-VLOOKUP($B88,MAIN!$AA$7:$AM$28,$C88+1))*(1-VLOOKUP($B88,MAIN!$AA$33:$AM$54,$C88+1)),0)*56/168</f>
        <v>139680</v>
      </c>
      <c r="HI88" s="286" t="n">
        <f aca="false">S88</f>
        <v>22.2566857406402</v>
      </c>
      <c r="HJ88" s="286" t="n">
        <f aca="false">IF($A88&gt;=BegDate,VLOOKUP($A88,GasTable,13)+Assumptions!$C$58,0)</f>
        <v>2.45178436838789</v>
      </c>
      <c r="HK88" s="286" t="n">
        <f aca="false">HJ88*Assumptions!$C$57/1000</f>
        <v>17.7754366708122</v>
      </c>
      <c r="HL88" s="1558" t="n">
        <f aca="false">IF(Assumptions!$C$60="Hourly",MAX(0,HH88*(HI88-HK88)),HH88*(HI88-HK88))</f>
        <v>625940.870073575</v>
      </c>
      <c r="HM88" s="1566" t="n">
        <f aca="false">IF(AND(Assumptions!$H$71="Yes",A88&gt;=Assumptions!$H$72,A88&lt;=Assumptions!$H$73),Assumptions!$H$74*Assumptions!$C$9*1000,0)</f>
        <v>0</v>
      </c>
      <c r="HN88" s="1551"/>
      <c r="HO88" s="1563"/>
      <c r="HP88" s="1563"/>
      <c r="HQ88" s="1563"/>
      <c r="HR88" s="1563"/>
      <c r="HS88" s="1563"/>
      <c r="HT88" s="1563"/>
      <c r="HU88" s="1563"/>
      <c r="HV88" s="1563"/>
      <c r="HW88" s="1563"/>
      <c r="HX88" s="1563"/>
      <c r="HY88" s="1563"/>
      <c r="HZ88" s="1563"/>
      <c r="IA88" s="1563"/>
      <c r="IB88" s="1563"/>
      <c r="IC88" s="1563"/>
      <c r="ID88" s="1563"/>
      <c r="IE88" s="1563"/>
      <c r="IF88" s="1563"/>
      <c r="IG88" s="1563"/>
      <c r="IH88" s="1563"/>
      <c r="II88" s="1610"/>
      <c r="IJ88" s="1309"/>
      <c r="IK88" s="1309"/>
    </row>
    <row r="89" customFormat="false" ht="12.75" hidden="false" customHeight="false" outlineLevel="0" collapsed="false">
      <c r="A89" s="1571" t="n">
        <f aca="false">EOMONTH(A88,0)+1</f>
        <v>38838</v>
      </c>
      <c r="B89" s="594" t="n">
        <f aca="false">+YEAR(A89)</f>
        <v>2006</v>
      </c>
      <c r="C89" s="238" t="n">
        <f aca="false">MONTH(A89)</f>
        <v>5</v>
      </c>
      <c r="D89" s="1572" t="e">
        <f aca="false">IF(E89="","",Holiday(B89,C89))</f>
        <v>#VALUE!</v>
      </c>
      <c r="E89" s="1573" t="n">
        <f aca="false">IF(OR(BegDate&gt;=A90,EndDate&lt;A89,AND(VolumeMonthlyOverFlag,INDEX(VolumeMonthlyOver,C89)=0),NOT(INDEX(MonthKnockOutTable,C89))),"",MAX(A89,BegDate))</f>
        <v>38838</v>
      </c>
      <c r="F89" s="1574" t="n">
        <f aca="false">IF(E89="","",MIN(A90-1,EndDate))</f>
        <v>38868</v>
      </c>
      <c r="G89" s="1575" t="n">
        <v>0</v>
      </c>
      <c r="H89" s="1576" t="n">
        <f aca="false">(1+G89/2)^(-2*(DATE(B90,C90,20)-DateToday)/365.25)</f>
        <v>1</v>
      </c>
      <c r="I89" s="1568" t="n">
        <f aca="false">IF(Assumptions!$L$25=4,VLOOKUP($A89,'Henwood Reference'!$E$9:$R$320,10),(VLOOKUP($A89,PriceTable,2,0)+IF(BasisNumber&lt;&gt;1,VLOOKUP($A89,BasisTable,2,0),0)+I$1)/(1-I$2))</f>
        <v>34.6915459416694</v>
      </c>
      <c r="J89" s="1568" t="n">
        <f aca="false">IF(Assumptions!$L$25=4,VLOOKUP($A89,'Henwood Reference'!$E$9:$R$320,10),(VLOOKUP($A89,PriceTable,3,0)+IF(BasisNumber&lt;&gt;1,VLOOKUP($A89,BasisTable,2,0),0)+J$1)/(1-J$2))</f>
        <v>34.6915459416694</v>
      </c>
      <c r="K89" s="1568" t="n">
        <f aca="false">IF(Assumptions!$L$25=4,VLOOKUP($A89,'Henwood Reference'!$E$9:$R$320,10),(VLOOKUP($A89,PriceTable,4,0)+IF(BasisNumber&lt;&gt;1,VLOOKUP($A89,BasisTable,2,0),0)+K$1)/(1-K$2))</f>
        <v>34.6915459416694</v>
      </c>
      <c r="L89" s="1523" t="n">
        <f aca="false">IF(Assumptions!$L$25=4,VLOOKUP($A89,'Henwood Reference'!$E$9:$R$320,10),(VLOOKUP($A89,PriceTableWeekend,2,0)+IF(BasisNumber&lt;&gt;1,VLOOKUP($A89,BasisTable,2,0),0)+L$1)/(1-L$2))</f>
        <v>34.6915459416694</v>
      </c>
      <c r="M89" s="1568" t="n">
        <f aca="false">IF(Assumptions!$L$25=4,VLOOKUP($A89,'Henwood Reference'!$E$9:$R$320,10),(VLOOKUP($A89,PriceTableWeekend,3,0)+IF(BasisNumber&lt;&gt;1,VLOOKUP($A89,BasisTable,2,0),0)+M$1)/(1-M$2))</f>
        <v>34.6915459416694</v>
      </c>
      <c r="N89" s="1599" t="n">
        <f aca="false">IF(Assumptions!$L$25=4,VLOOKUP($A89,'Henwood Reference'!$E$9:$R$320,10),(VLOOKUP($A89,PriceTableWeekend,4,0)+IF(BasisNumber&lt;&gt;1,VLOOKUP($A89,BasisTable,2,0),0)+N$1)/(1-N$2))</f>
        <v>34.6915459416694</v>
      </c>
      <c r="O89" s="1568" t="n">
        <f aca="false">IF(Assumptions!$L$25=4,VLOOKUP($A89,'Henwood Reference'!$E$9:$R$320,11),(VLOOKUP($A89,PriceTableWeekend,6,0)+IF(BasisNumber&lt;&gt;1,VLOOKUP($A89,BasisTable,3,0),0)+O$1)/(1-O$2))</f>
        <v>20.8572037022208</v>
      </c>
      <c r="P89" s="1568" t="n">
        <f aca="false">IF(Assumptions!$L$25=4,VLOOKUP($A89,'Henwood Reference'!$E$9:$R$320,11),(VLOOKUP($A89,PriceTableWeekend,7,0)+IF(BasisNumber&lt;&gt;1,VLOOKUP($A89,BasisTable,3,0),0)+P$1)/(1-P$2))</f>
        <v>20.8572037022208</v>
      </c>
      <c r="Q89" s="1599" t="n">
        <f aca="false">IF(Assumptions!$L$25=4,VLOOKUP($A89,'Henwood Reference'!$E$9:$R$320,11),(VLOOKUP($A89,PriceTableWeekend,8,0)+IF(BasisNumber&lt;&gt;1,VLOOKUP($A89,BasisTable,3,0),0)+Q$1)/(1-Q$2))</f>
        <v>20.8572037022208</v>
      </c>
      <c r="R89" s="1568" t="n">
        <f aca="false">IF(Assumptions!$L$25=4,VLOOKUP($A89,'Henwood Reference'!$E$9:$R$320,11),(VLOOKUP($A89,PriceTable,6,0)+IF(BasisNumber&lt;&gt;1,VLOOKUP($A89,BasisTable,3,0),0)+R$1)/(1-R$2))</f>
        <v>20.8572037022208</v>
      </c>
      <c r="S89" s="1568" t="n">
        <f aca="false">IF(Assumptions!$L$25=4,VLOOKUP($A89,'Henwood Reference'!$E$9:$R$320,11),(VLOOKUP($A89,PriceTable,7,0)+IF(BasisNumber&lt;&gt;1,VLOOKUP($A89,BasisTable,3,0),0)+S$1)/(1-S$2))</f>
        <v>20.8572037022208</v>
      </c>
      <c r="T89" s="1600" t="n">
        <f aca="false">IF(Assumptions!$L$25=4,VLOOKUP($A89,'Henwood Reference'!$E$9:$R$320,11),(VLOOKUP($A89,PriceTable,8,0)+IF(BasisNumber&lt;&gt;1,VLOOKUP($A89,BasisTable,3,0),0)+T$1)/(1-T$2))</f>
        <v>20.8572037022208</v>
      </c>
      <c r="U89" s="1513" t="n">
        <f aca="false">VLOOKUP($A89,VolatilityTable,14)</f>
        <v>0.14</v>
      </c>
      <c r="V89" s="1513" t="n">
        <f aca="false">VLOOKUP($A89,VolatilityTable,15)</f>
        <v>0.15</v>
      </c>
      <c r="W89" s="1514" t="n">
        <f aca="false">VLOOKUP($A89,VolatilityTable,16)</f>
        <v>0.16</v>
      </c>
      <c r="X89" s="1513" t="n">
        <f aca="false">VLOOKUP($A89,VolatilityTable,14)</f>
        <v>0.14</v>
      </c>
      <c r="Y89" s="1513" t="n">
        <f aca="false">VLOOKUP($A89,VolatilityTable,15)</f>
        <v>0.15</v>
      </c>
      <c r="Z89" s="1514" t="n">
        <f aca="false">VLOOKUP($A89,VolatilityTable,16)</f>
        <v>0.16</v>
      </c>
      <c r="AA89" s="1513" t="n">
        <f aca="false">VLOOKUP($A89,VolatilityTable,18)</f>
        <v>0.09</v>
      </c>
      <c r="AB89" s="1513" t="n">
        <f aca="false">VLOOKUP($A89,VolatilityTable,19)</f>
        <v>0.11</v>
      </c>
      <c r="AC89" s="1514" t="n">
        <f aca="false">VLOOKUP($A89,VolatilityTable,20)</f>
        <v>0.13</v>
      </c>
      <c r="AD89" s="1513" t="n">
        <f aca="false">VLOOKUP($A89,VolatilityTable,18)</f>
        <v>0.09</v>
      </c>
      <c r="AE89" s="1513" t="n">
        <f aca="false">VLOOKUP($A89,VolatilityTable,19)</f>
        <v>0.11</v>
      </c>
      <c r="AF89" s="1514" t="n">
        <f aca="false">VLOOKUP($A89,VolatilityTable,20)</f>
        <v>0.13</v>
      </c>
      <c r="AG89" s="1513" t="n">
        <f aca="false">VLOOKUP($A89,VolatilityTable,22)</f>
        <v>-0.1</v>
      </c>
      <c r="AH89" s="1513" t="n">
        <f aca="false">VLOOKUP($A89,VolatilityTable,23)</f>
        <v>0.65</v>
      </c>
      <c r="AI89" s="1514" t="n">
        <f aca="false">VLOOKUP($A89,VolatilityTable,24)</f>
        <v>0.1</v>
      </c>
      <c r="AJ89" s="1513" t="n">
        <f aca="false">VLOOKUP($A89,VolatilityTable,22)</f>
        <v>-0.1</v>
      </c>
      <c r="AK89" s="1513" t="n">
        <f aca="false">VLOOKUP($A89,VolatilityTable,23)</f>
        <v>0.65</v>
      </c>
      <c r="AL89" s="1514" t="n">
        <f aca="false">VLOOKUP($A89,VolatilityTable,24)</f>
        <v>0.1</v>
      </c>
      <c r="AM89" s="1513" t="n">
        <f aca="false">VLOOKUP($A89,VolatilityTable,26)</f>
        <v>-0.01</v>
      </c>
      <c r="AN89" s="1513" t="n">
        <f aca="false">VLOOKUP($A89,VolatilityTable,27)</f>
        <v>0.16</v>
      </c>
      <c r="AO89" s="1514" t="n">
        <f aca="false">VLOOKUP($A89,VolatilityTable,28)</f>
        <v>0.01</v>
      </c>
      <c r="AP89" s="1513" t="n">
        <f aca="false">VLOOKUP($A89,VolatilityTable,26)</f>
        <v>-0.01</v>
      </c>
      <c r="AQ89" s="1513" t="n">
        <f aca="false">VLOOKUP($A89,VolatilityTable,27)</f>
        <v>0.16</v>
      </c>
      <c r="AR89" s="1515" t="n">
        <f aca="false">VLOOKUP($A89,VolatilityTable,28)</f>
        <v>0.01</v>
      </c>
      <c r="AS89" s="1581" t="n">
        <f aca="false">IF(CorrPeakOffPeakOverFlag,INDEX(CorrPeakOffPeakOver,C89),CorrPeakOffPeak)</f>
        <v>0.5</v>
      </c>
      <c r="AT89" s="594" t="e">
        <f aca="false">AX89-SUM(AU89:AW89)</f>
        <v>#VALUE!</v>
      </c>
      <c r="AU89" s="238" t="e">
        <f aca="false">IF(E89="",0,INT((F89-MOD(F89,7)-E89)/7)+1-IF(AW89,IF(WEEKDAY(D89)=7,1,0),0))</f>
        <v>#VALUE!</v>
      </c>
      <c r="AV89" s="238" t="e">
        <f aca="false">IF(E89="",0,INT((F89-MOD(F89-1,7)-E89)/7)+1-IF(AW89,IF(WEEKDAY(D89)=1,1,0),0))</f>
        <v>#VALUE!</v>
      </c>
      <c r="AW89" s="238" t="e">
        <f aca="false">IF(OR(E89="",D89="",D89&lt;BegDate,D89&gt;EndDate),0,1)</f>
        <v>#VALUE!</v>
      </c>
      <c r="AX89" s="238" t="n">
        <f aca="false">IF(E89="",0,F89-E89+1)</f>
        <v>31</v>
      </c>
      <c r="AY89" s="1582" t="n">
        <f aca="false">IF(E89="",0,MIN((1-(1-VLOOKUP(B89,MAIN!$AA$7:$AM$28,C89+1))*(1-VLOOKUP(B89,MAIN!$AA$33:$AM$54,C89+1))),1))</f>
        <v>0.03</v>
      </c>
      <c r="AZ89" s="1519" t="e">
        <v>#VALUE!</v>
      </c>
      <c r="BA89" s="1520" t="e">
        <v>#VALUE!</v>
      </c>
      <c r="BB89" s="1520" t="e">
        <v>#VALUE!</v>
      </c>
      <c r="BC89" s="1583" t="e">
        <v>#VALUE!</v>
      </c>
      <c r="BD89" s="1522" t="e">
        <v>#VALUE!</v>
      </c>
      <c r="BE89" s="1523" t="e">
        <v>#VALUE!</v>
      </c>
      <c r="BF89" s="1523" t="e">
        <v>#VALUE!</v>
      </c>
      <c r="BG89" s="1584" t="e">
        <v>#VALUE!</v>
      </c>
      <c r="BH89" s="1525" t="e">
        <v>#VALUE!</v>
      </c>
      <c r="BI89" s="1520" t="e">
        <v>#VALUE!</v>
      </c>
      <c r="BJ89" s="1520" t="e">
        <v>#VALUE!</v>
      </c>
      <c r="BK89" s="1583" t="e">
        <v>#VALUE!</v>
      </c>
      <c r="BL89" s="1522" t="e">
        <v>#VALUE!</v>
      </c>
      <c r="BM89" s="1523" t="e">
        <v>#VALUE!</v>
      </c>
      <c r="BN89" s="1523" t="e">
        <v>#VALUE!</v>
      </c>
      <c r="BO89" s="1523" t="e">
        <v>#VALUE!</v>
      </c>
      <c r="BP89" s="1525" t="e">
        <f aca="false">SUM(AZ89:BB89)</f>
        <v>#VALUE!</v>
      </c>
      <c r="BQ89" s="1529" t="e">
        <f aca="false">SUM(AZ89:BC89)</f>
        <v>#VALUE!</v>
      </c>
      <c r="BR89" s="1519" t="e">
        <f aca="false">SUM(BH89:BJ89)</f>
        <v>#VALUE!</v>
      </c>
      <c r="BS89" s="1529" t="e">
        <f aca="false">SUM(BH89:BK89)</f>
        <v>#VALUE!</v>
      </c>
      <c r="BT89" s="1316" t="n">
        <f aca="false">(IF(OVolType&lt;&gt;2,A89+14,IF(OptExpDateShift,ShiftBack(A89,OptExpDateShift,D88),A89))-DateToday)/365.25</f>
        <v>6.04517453798768</v>
      </c>
      <c r="BU89" s="1585" t="e">
        <f aca="false">IF(BQ89,IF(OPriceCurve,IF(OBuySell=OCallPut,I89/(1-AY89),K89/(1-AY89)),J89/(1-AY89))*BD89,0)</f>
        <v>#VALUE!</v>
      </c>
      <c r="BV89" s="1316" t="e">
        <f aca="false">IF(BQ89,IF(OPriceCurve,IF(OBuySell=OCallPut,L89/(1-AY89),N89/(1-AY89)),M89/(1-AY89))*BE89,0)</f>
        <v>#VALUE!</v>
      </c>
      <c r="BW89" s="1316" t="e">
        <f aca="false">IF(BQ89,IF(OPriceCurve,IF(OBuySell=OCallPut,O89/(1-AY89),Q89/(1-AY89)),P89/(1-AY89))*BF89,0)</f>
        <v>#VALUE!</v>
      </c>
      <c r="BX89" s="1316" t="e">
        <f aca="false">IF(BQ89,IF(OPriceCurve,IF(OBuySell=OCallPut,R89/(1-AY89),T89/(1-AY89)),S89/(1-AY89))*BG89,0)</f>
        <v>#VALUE!</v>
      </c>
      <c r="BY89" s="1316" t="e">
        <f aca="false">IF(BP89,(BU89*AZ89+BV89*BA89+BW89*BB89)/BP89,0)</f>
        <v>#VALUE!</v>
      </c>
      <c r="BZ89" s="1316" t="e">
        <f aca="false">IF(BQ89,(BY89*BP89+BX89*BC89)/BQ89,0)</f>
        <v>#VALUE!</v>
      </c>
      <c r="CA89" s="1531" t="e">
        <f aca="false">IF(BS89,IF(OPriceCurve,IF(OBuySell=OCallPut,I89/(1-AY89),K89/(1-AY89)),J89/(1-AY89))*BL89,0)</f>
        <v>#VALUE!</v>
      </c>
      <c r="CB89" s="1316" t="e">
        <f aca="false">IF(BS89,IF(OPriceCurve,IF(OBuySell=OCallPut,L89/(1-AY89),N89/(1-AY89)),M89/(1-AY89))*BM89,0)</f>
        <v>#VALUE!</v>
      </c>
      <c r="CC89" s="1316" t="e">
        <f aca="false">IF(BS89,IF(OPriceCurve,IF(OBuySell=OCallPut,O89/(1-AY89),Q89/(1-AY89)),P89/(1-AY89))*BN89,0)</f>
        <v>#VALUE!</v>
      </c>
      <c r="CD89" s="1316" t="e">
        <f aca="false">IF(BS89,IF(OPriceCurve,IF(OBuySell=OCallPut,R89/(1-AY89),T89/(1-AY89)),S89/(1-AY89))*BO89,0)</f>
        <v>#VALUE!</v>
      </c>
      <c r="CE89" s="1316" t="e">
        <f aca="false">IF(BR89,(BU89*BH89+BV89*BI89+BW89*BJ89)/BR89,0)</f>
        <v>#VALUE!</v>
      </c>
      <c r="CF89" s="1532" t="e">
        <f aca="false">IF(BS89,(CE89*BR89+CD89*BK89)/BS89,0)</f>
        <v>#VALUE!</v>
      </c>
      <c r="CG89" s="1586" t="e">
        <f aca="false">IF(OR(BQ89,BS89),IF(OVolType&lt;&gt;2,SQRT(IF(OVolOverMonthlyPeak,OVolOverMonthlyPeak,IF(OVolCurve,IF(OBuySell,U89,W89),V89))^2*(1-15/365.25/BT89)+IF(OVolOverDailyPeak,OVolOverDailyPeak,IF(OVolCurve,IF(OBuySell,AG89,AI89),AH89))^2*15/365.25/BT89),IF(OVolOverMonthlyPeak,OVolOverMonthlyPeak,IF(OVolCurve,IF(OBuySell,U89,W89),V89))),"")</f>
        <v>#VALUE!</v>
      </c>
      <c r="CH89" s="1587" t="e">
        <f aca="false">IF(OR(BQ89,BS89),IF(OVolType&lt;&gt;2,SQRT(IF(OVolOverMonthlyPeak,OVolOverMonthlyPeak,IF(OVolCurve,IF(OBuySell,X89,Z89),Y89))^2*(1-15/365.25/BT89)+IF(OVolOverDailyPeak,OVolOverDailyPeak,IF(OVolCurve,IF(OBuySell,AJ89,AL89),AK89))^2*15/365.25/BT89),IF(OVolOverMonthlyPeak,OVolOverMonthlyPeak,IF(OVolCurve,IF(OBuySell,X89,Z89),Y89))),"")</f>
        <v>#VALUE!</v>
      </c>
      <c r="CI89" s="1587" t="e">
        <f aca="false">IF(OR(BQ89,BS89),IF(OVolType&lt;&gt;2,SQRT(IF(OVolOverMonthlyPeak,OVolOverMonthlyPeak,IF(OVolCurve,IF(OBuySell,AA89,AC89),AB89))^2*(1-15/365.25/BT89)+IF(OVolOverDailyPeak,OVolOverDailyPeak,IF(OVolCurve,IF(OBuySell,AM89,AO89),AN89))^2*15/365.25/BT89),IF(OVolOverMonthlyPeak,OVolOverMonthlyPeak,IF(OVolCurve,IF(OBuySell,AA89,AC89),AB89))),"")</f>
        <v>#VALUE!</v>
      </c>
      <c r="CJ89" s="1587" t="e">
        <f aca="false">IF(BQ89,IF(BP89,SQRT(LN(1+((BU89*AZ89)^2*(EXP(CG89^2*BT89)-1)+(BV89*BA89)^2*(EXP(CH89^2*BT89)-1)+(BW89*BB89)^2*(EXP(CI89^2*BT89)-1)+2*BU89*AZ89*BV89*BA89*(EXP(CG89*CH89*BT89)-1)+2*BV89*BA89*BW89*BB89*(EXP(CH89*CI89*BT89)-1)+2*BW89*BB89*BU89*AZ89*(EXP(CI89*CG89*BT89)-1))/(BY89*BP89)^2)/BT89),0),"")</f>
        <v>#VALUE!</v>
      </c>
      <c r="CK89" s="1587" t="e">
        <f aca="false">IF(BS89,IF(BR89,SQRT(LN(1+((CA89*BH89)^2*(EXP(CG89^2*BT89)-1)+(CB89*BI89)^2*(EXP(CH89^2*BT89)-1)+(CC89*BJ89)^2*(EXP(CI89^2*BT89)-1)+2*CA89*BH89*CB89*BI89*(EXP(CG89*CH89*BT89)-1)+2*CB89*BI89*CC89*BJ89*(EXP(CH89*CI89*BT89)-1)+2*CC89*BJ89*CA89*BH89*(EXP(CI89*CG89*BT89)-1))/(CE89*BR89)^2)/BT89),0),"")</f>
        <v>#VALUE!</v>
      </c>
      <c r="CL89" s="1587" t="e">
        <f aca="false">IF(OR(BQ89,BS89),IF(OVolType&lt;&gt;2,SQRT(IF(OVolOverMonthlyOffPeak,OVolOverMonthlyOffPeak,IF(OVolCurve,IF(OBuySell,AD89,AF89),AE89))^2*(1-15/365.25/BT89)+IF(OVolOverDailyOffPeak,OVolOverDailyOffPeak,IF(OVolCurve,IF(OBuySell,AP89,AR89),AQ89))^2*15/365.25/BT89),IF(OVolOverMonthlyOffPeak,OVolOverMonthlyOffPeak,IF(OVolCurve,IF(OBuySell,AD89,AF89),AE89))),"")</f>
        <v>#VALUE!</v>
      </c>
      <c r="CM89" s="1587" t="e">
        <f aca="false">IF(BQ89,SQRT(LN(1+((BY89*BP89)^2*(EXP(CJ89^2*BT89)-1)+(BX89*BC89)^2*(EXP(CL89^2*BT89)-1)+2*BY89*BP89*BX89*BC89*(EXP(AS89*CJ89*CL89*BT89)-1))/(BY89*BP89+BX89*BC89)^2)/BT89),"")</f>
        <v>#VALUE!</v>
      </c>
      <c r="CN89" s="1588" t="e">
        <f aca="false">IF(BS89,SQRT(LN(1+((CE89*BR89)^2*(EXP(CK89^2*BT89)-1)+(CD89*BK89)^2*(EXP(CL89^2*BT89)-1)+2*CE89*BR89*CD89*BK89*(EXP(AS89*CK89*CL89*BT89)-1))/(CE89*BR89+CD89*BK89)^2)/BT89),"")</f>
        <v>#VALUE!</v>
      </c>
      <c r="CO89" s="1531" t="e">
        <f aca="false">IF(OR(BQ89,BS89),VLOOKUP(A89,GasTable,13)*HeatRatePeak*(1+VLOOKUP($B89,HeatRateDegradation,$C89+1))/1000,0)</f>
        <v>#VALUE!</v>
      </c>
      <c r="CP89" s="1316" t="e">
        <f aca="false">IF(OR(BQ89,BS89),VLOOKUP(A89,GasTable,13)*HeatRatePeak*(1+VLOOKUP($B89,HeatRateDegradation,$C89+1))/1000,0)</f>
        <v>#VALUE!</v>
      </c>
      <c r="CQ89" s="1316" t="e">
        <f aca="false">IF(OR(BQ89,BS89),VLOOKUP(A89,GasTable,13)*IF(EV89,HeatRatePeak,HeatRateOffPeak)*(1+VLOOKUP($B89,HeatRateDegradation,$C89+1))/1000,0)</f>
        <v>#VALUE!</v>
      </c>
      <c r="CR89" s="1316" t="e">
        <f aca="false">IF(OR(BQ89,BS89),VLOOKUP(A89,GasTable,13)*IF(EW89,HeatRatePeak,HeatRateOffPeak)*(1+VLOOKUP($B89,HeatRateDegradation,$C89+1))/1000,0)</f>
        <v>#VALUE!</v>
      </c>
      <c r="CS89" s="1589" t="e">
        <f aca="false">IF(BQ89,(CO89*AZ89+CP89*BA89+CQ89*BB89+CR89*BC89)/BQ89,0)</f>
        <v>#VALUE!</v>
      </c>
      <c r="CT89" s="1316" t="e">
        <f aca="false">IF(BS89,CO89,0)</f>
        <v>#VALUE!</v>
      </c>
      <c r="CU89" s="1590" t="e">
        <f aca="false">IF(OR(BQ89,BS89),VLOOKUP(A89,GasTable,14),"")</f>
        <v>#VALUE!</v>
      </c>
      <c r="CV89" s="1568" t="e">
        <f aca="false">IF(OR(BQ89,BS89),IF(CorrPowerGasOverFlag,INDEX(CorrPowerGasOver,C89),CorrPowerGas),"")</f>
        <v>#VALUE!</v>
      </c>
      <c r="CW89" s="1316" t="e">
        <f aca="false">IF(OR($BQ89,$BS89),SpreadOptPowerMargin,0)*((1+Assumptions!$C$26)^($B89-YEAR(Assumptions!$C$17)))</f>
        <v>#VALUE!</v>
      </c>
      <c r="CX89" s="1316" t="e">
        <f aca="false">IF(OR($BQ89,$BS89),SpreadOptPowerMargin,0)*((1+Assumptions!$C$26)^($B89-YEAR(Assumptions!$C$17)))</f>
        <v>#VALUE!</v>
      </c>
      <c r="CY89" s="1316" t="e">
        <f aca="false">IF(OR($BQ89,$BS89),SpreadOptPowerMargin,0)*((1+Assumptions!$C$26)^($B89-YEAR(Assumptions!$C$17)))</f>
        <v>#VALUE!</v>
      </c>
      <c r="CZ89" s="1316" t="e">
        <f aca="false">IF(OR($BQ89,$BS89),SpreadOptPowerMargin,0)*((1+Assumptions!$C$26)^($B89-YEAR(Assumptions!$C$17)))</f>
        <v>#VALUE!</v>
      </c>
      <c r="DA89" s="1591" t="e">
        <f aca="false">IF(OR(BQ89,BS89),(CW89*(AZ89+BH89)+CX89*(BA89+BI89)+CY89*(BB89+BJ89)+CZ89*(BC89+BK89))/(BQ89+BS89),0)</f>
        <v>#VALUE!</v>
      </c>
      <c r="DB89" s="1592" t="e">
        <f aca="false">IF(OR(BQ89,BS89),CG89+IF(OVolSmile,VLOOKUP(MAX(-5,CO89+CW89-BU89),IF(OVolSmile=1,VolSmileBook,VolSmileModel),2),0),"")</f>
        <v>#VALUE!</v>
      </c>
      <c r="DC89" s="1592" t="e">
        <f aca="false">IF(OR(BQ89,BS89),CH89+IF(OVolSmile,VLOOKUP(MAX(-5,CP89+CW89-BV89),IF(OVolSmile=1,VolSmileBook,VolSmileModel),2),0),"")</f>
        <v>#VALUE!</v>
      </c>
      <c r="DD89" s="1592" t="e">
        <f aca="false">IF(OR(BQ89,BS89),CI89+IF(OVolSmile,VLOOKUP(MAX(-5,CQ89+CW89-BW89),IF(OVolSmile=1,VolSmileBook,VolSmileModel),2),0),"")</f>
        <v>#VALUE!</v>
      </c>
      <c r="DE89" s="1592" t="e">
        <f aca="false">IF(OR(BQ89,BS89),CL89+IF(OVolSmile,VLOOKUP(MAX(-5,CR89+CZ89-BX89),IF(OVolSmile=1,VolSmileBook,VolSmileModel),2),0),"")</f>
        <v>#VALUE!</v>
      </c>
      <c r="DF89" s="1592" t="e">
        <f aca="false">IF(BQ89,CM89+IF(OVolSmile,VLOOKUP(MAX(-5,CS89+DA89-BZ89),IF(OVolSmile=1,VolSmileBook,VolSmileModel),2),0),"")</f>
        <v>#VALUE!</v>
      </c>
      <c r="DG89" s="1593" t="e">
        <f aca="false">IF(BS89,CN89+IF(OVolSmile,VLOOKUP(MAX(-5,CT89+DA89-CF89),IF(OVolSmile=1,VolSmileBook,VolSmileModel),2),0),"")</f>
        <v>#VALUE!</v>
      </c>
      <c r="DH89" s="1316" t="e">
        <f aca="false">IF(AND(BU89&gt;0,CO89&gt;0,DB89&gt;0,CU89&gt;0),newSPRDOPT(BU89,CO89,CW89,0,DB89,CU89,CV89,BT89*365.25,OCallPut,0),0)</f>
        <v>#VALUE!</v>
      </c>
      <c r="DI89" s="1316" t="e">
        <f aca="false">IF(AND(BV89&gt;0,CP89&gt;0,DC89&gt;0,CU89&gt;0),newSPRDOPT(BV89,CP89,CX89,0,DC89,CU89,CV89,BT89*365.25,OCallPut,0),0)</f>
        <v>#VALUE!</v>
      </c>
      <c r="DJ89" s="1316" t="e">
        <f aca="false">IF(AND(BW89&gt;0,CQ89&gt;0,DD89&gt;0,CU89&gt;0),newSPRDOPT(BW89,CQ89,CY89,0,DD89,CU89,CV89,BT89*365.25,OCallPut,0),0)</f>
        <v>#VALUE!</v>
      </c>
      <c r="DK89" s="1316" t="e">
        <f aca="false">IF(AND(BX89&gt;0,CR89&gt;0,DE89&gt;0,CU89&gt;0),newSPRDOPT(BX89,CR89,CZ89,0,DE89,CU89,CV89,BT89*365.25,OCallPut,0),0)</f>
        <v>#VALUE!</v>
      </c>
      <c r="DL89" s="1316" t="e">
        <f aca="false">IF(OVolType,IF(AND(BZ89&gt;0,CS89&gt;0,DF89&gt;0,CU89&gt;0),newSPRDOPT(BZ89,CS89,DA89,0,DF89,CU89,CV89,BT89*365.25,OCallPut,0),0),IF(BQ89,(DH89*AZ89+DI89*BA89+DJ89*BB89+DK89*BC89)/BQ89,0))</f>
        <v>#VALUE!</v>
      </c>
      <c r="DM89" s="1316"/>
      <c r="DN89" s="1316"/>
      <c r="DO89" s="1316"/>
      <c r="DP89" s="1316"/>
      <c r="DQ89" s="1316"/>
      <c r="DR89" s="1316"/>
      <c r="DS89" s="1316"/>
      <c r="DT89" s="1316"/>
      <c r="DU89" s="1316"/>
      <c r="DV89" s="1316"/>
      <c r="DW89" s="1594" t="e">
        <f aca="false">IF(AND(BW89&gt;0,CT89&gt;0,DD89&gt;0,CU89&gt;0),newSPRDOPT(BW89,CT89,CY89,0,DD89,CU89,CV89,BT89*365.25,OCallPut,0),0)</f>
        <v>#VALUE!</v>
      </c>
      <c r="DX89" s="1316" t="e">
        <f aca="false">IF(AND(BX89&gt;0,CT89&gt;0,DE89&gt;0,CU89&gt;0),newSPRDOPT(BX89,CT89,CZ89,0,DE89,CU89,CV89,BT89*365.25,OCallPut,0),0)</f>
        <v>#VALUE!</v>
      </c>
      <c r="DY89" s="1591" t="e">
        <f aca="false">IF(BS89,(DH89*BH89+DI89*BI89+DW89*BJ89+DX89*BK89)/BS89,0)</f>
        <v>#VALUE!</v>
      </c>
      <c r="DZ89" s="1551" t="e">
        <f aca="false">DH89*AZ89</f>
        <v>#VALUE!</v>
      </c>
      <c r="EA89" s="1551" t="e">
        <f aca="false">DI89*BA89</f>
        <v>#VALUE!</v>
      </c>
      <c r="EB89" s="1551" t="e">
        <f aca="false">DJ89*BB89</f>
        <v>#VALUE!</v>
      </c>
      <c r="EC89" s="1551" t="e">
        <f aca="false">DK89*BC89</f>
        <v>#VALUE!</v>
      </c>
      <c r="ED89" s="1551" t="e">
        <f aca="false">DL89*BQ89</f>
        <v>#VALUE!</v>
      </c>
      <c r="EE89" s="1595" t="e">
        <f aca="false">IF(BQ89,IF(OCallPut,IF(BU89&gt;(CO89+CW89),BU89-(CO89+CW89),0),IF((CO89+CW89)&gt;BU89,(CO89+CW89)-BU89,0))*AZ89,0)</f>
        <v>#VALUE!</v>
      </c>
      <c r="EF89" s="1596" t="e">
        <f aca="false">IF(BQ89,IF(OCallPut,IF(BV89&gt;(CP89+CX89),BV89-(CP89+CX89),0),IF((CP89+CX89)&gt;BV89,(CP89+CX89)-BV89,0))*BA89,0)</f>
        <v>#VALUE!</v>
      </c>
      <c r="EG89" s="1596" t="e">
        <f aca="false">IF(BQ89,IF(OCallPut,IF(BW89&gt;(CQ89+CY89),BW89-(CQ89+CY89),0),IF((CQ89+CY89)&gt;BW89,(CQ89+CY89)-BW89,0))*BB89,0)</f>
        <v>#VALUE!</v>
      </c>
      <c r="EH89" s="1596" t="e">
        <f aca="false">IF(BQ89,IF(OCallPut,IF(BX89&gt;(CR89+CZ89),BX89-(CR89+CZ89),0),IF((CR89+CZ89)&gt;BX89,(CR89+CZ89)-BX89,0))*BC89,0)</f>
        <v>#VALUE!</v>
      </c>
      <c r="EI89" s="1597" t="e">
        <f aca="false">IF(BQ89,IF(OVolType,IF(OCallPut,IF(BZ89&gt;(CS89+DA89),BZ89-(CS89+DA89),0),IF((CS89+DA89)&gt;BZ89,(CS89+DA89)-BZ89,0))*BQ89,SUM(EE89:EH89)),0)</f>
        <v>#VALUE!</v>
      </c>
      <c r="EJ89" s="1595" t="e">
        <f aca="false">DZ89-EE89</f>
        <v>#VALUE!</v>
      </c>
      <c r="EK89" s="1596" t="e">
        <f aca="false">EA89-EF89</f>
        <v>#VALUE!</v>
      </c>
      <c r="EL89" s="1596" t="e">
        <f aca="false">EB89-EG89</f>
        <v>#VALUE!</v>
      </c>
      <c r="EM89" s="1596" t="e">
        <f aca="false">EC89-EH89</f>
        <v>#VALUE!</v>
      </c>
      <c r="EN89" s="1597" t="e">
        <f aca="false">ED89-EI89</f>
        <v>#VALUE!</v>
      </c>
      <c r="EO89" s="1551" t="e">
        <f aca="false">DH89*BH89</f>
        <v>#VALUE!</v>
      </c>
      <c r="EP89" s="1551" t="e">
        <f aca="false">DI89*BI89</f>
        <v>#VALUE!</v>
      </c>
      <c r="EQ89" s="1551" t="e">
        <f aca="false">DW89*BJ89</f>
        <v>#VALUE!</v>
      </c>
      <c r="ER89" s="1551" t="e">
        <f aca="false">DX89*BK89</f>
        <v>#VALUE!</v>
      </c>
      <c r="ES89" s="1551" t="e">
        <f aca="false">DY89*BS89</f>
        <v>#VALUE!</v>
      </c>
      <c r="ET89" s="1566" t="e">
        <f aca="false">IF(EI89,IF(OCallPut,IF(CA89&gt;(CT89+CW89),CA89-(CT89+CW89),0),IF((CT89+CW89)&gt;CA89,(CT89+CW89)-CA89,0))*BH89,0)</f>
        <v>#VALUE!</v>
      </c>
      <c r="EU89" s="1551" t="e">
        <f aca="false">IF(EI89,IF(OCallPut,IF(CB89&gt;(CT89+CX89),CB89-(CT89+CX89),0),IF((CT89+CX89)&gt;CB89,(CT89+CX89)-CB89,0))*BI89,0)</f>
        <v>#VALUE!</v>
      </c>
      <c r="EV89" s="1551" t="e">
        <f aca="false">IF(EI89,IF(OCallPut,IF(CC89&gt;(CT89+CY89),CC89-(CT89+CY89),0),IF((CT89+CY89)&gt;CC89,(CT89+CY89)-CC89,0))*BJ89,0)</f>
        <v>#VALUE!</v>
      </c>
      <c r="EW89" s="1551" t="e">
        <f aca="false">IF(EI89,IF(OCallPut,IF(CD89&gt;(CT89+CZ89),CD89-(CT89+CZ89),0),IF((CT89+CZ89)&gt;CD89,(CT89+CZ89)-CD89,0))*BK89,0)</f>
        <v>#VALUE!</v>
      </c>
      <c r="EX89" s="1558" t="e">
        <f aca="false">IF(EI89,SUM(ET89:EW89),0)</f>
        <v>#VALUE!</v>
      </c>
      <c r="EY89" s="1551" t="e">
        <f aca="false">EO89-ET89</f>
        <v>#VALUE!</v>
      </c>
      <c r="EZ89" s="1551" t="e">
        <f aca="false">EP89-EU89</f>
        <v>#VALUE!</v>
      </c>
      <c r="FA89" s="1551" t="e">
        <f aca="false">EQ89-EV89</f>
        <v>#VALUE!</v>
      </c>
      <c r="FB89" s="1551" t="e">
        <f aca="false">ER89-EW89</f>
        <v>#VALUE!</v>
      </c>
      <c r="FC89" s="1551" t="e">
        <f aca="false">ES89-EX89</f>
        <v>#VALUE!</v>
      </c>
      <c r="FD89" s="1525" t="n">
        <f aca="false">IF(AX89,IF(VLOOKUP(C89,MAIN!$L$17:$M$28,2)="Yes",VLOOKUP(CALC!B89,MAIN!$H$17:$I$20,2),0),0)</f>
        <v>0</v>
      </c>
      <c r="FE89" s="1552" t="e">
        <f aca="false">$FD89*16*AT89*(1-$AY89)</f>
        <v>#VALUE!</v>
      </c>
      <c r="FF89" s="1553" t="e">
        <f aca="false">$FD89*16*AU89*(1-$AY89)</f>
        <v>#VALUE!</v>
      </c>
      <c r="FG89" s="1553" t="e">
        <f aca="false">$FD89*16*(AV89+AW89)*(1-$AY89)</f>
        <v>#VALUE!</v>
      </c>
      <c r="FH89" s="1554" t="n">
        <f aca="false">$FD89*8*AX89*(1-$AY89)</f>
        <v>0</v>
      </c>
      <c r="FI89" s="1555" t="n">
        <f aca="false">IF(AX89,VLOOKUP(CALC!B89,MAIN!$H$17:$K$20,4),0)</f>
        <v>0</v>
      </c>
      <c r="FJ89" s="1553" t="e">
        <f aca="false">SUM(FE89:FH89)</f>
        <v>#VALUE!</v>
      </c>
      <c r="FK89" s="1556" t="e">
        <f aca="false">FI89*FJ89</f>
        <v>#VALUE!</v>
      </c>
      <c r="FL89" s="1551" t="e">
        <f aca="false">IF($EI89&gt;0,MIN(FE89,AZ89*(1+VLOOKUP($C89,WeatherCapacityAdjustment,2))),0)</f>
        <v>#VALUE!</v>
      </c>
      <c r="FM89" s="1551" t="e">
        <f aca="false">IF($EI89&gt;0,MIN(FF89,BA89*(1+VLOOKUP($C89,WeatherCapacityAdjustment,2))),0)</f>
        <v>#VALUE!</v>
      </c>
      <c r="FN89" s="1551" t="e">
        <f aca="false">IF($EI89&gt;0,MIN(FG89,BB89*(1+VLOOKUP($C89,WeatherCapacityAdjustment,2))),0)</f>
        <v>#VALUE!</v>
      </c>
      <c r="FO89" s="1564" t="e">
        <f aca="false">IF($EI89&gt;0,MIN(FH89,BC89*(1+VLOOKUP($C89,WeatherCapacityAdjustment,3))),0)</f>
        <v>#VALUE!</v>
      </c>
      <c r="FP89" s="1551" t="e">
        <f aca="false">IF(ET89&gt;0,MIN(FE89-FL89,BH89*(1+VLOOKUP($C89,WeatherCapacityAdjustment,2))),0)</f>
        <v>#VALUE!</v>
      </c>
      <c r="FQ89" s="1551" t="e">
        <f aca="false">IF(EU89&gt;0,MIN(FF89-FM89,BI89*(1+VLOOKUP($C89,WeatherCapacityAdjustment,2))),0)</f>
        <v>#VALUE!</v>
      </c>
      <c r="FR89" s="1551" t="e">
        <f aca="false">IF(EV89&gt;0,MIN(FG89-FN89,BJ89*(1+VLOOKUP($C89,WeatherCapacityAdjustment,2))),0)</f>
        <v>#VALUE!</v>
      </c>
      <c r="FS89" s="1558" t="e">
        <f aca="false">IF(EW89&gt;0,MIN(FH89-FO89,BK89*(1+VLOOKUP($C89,WeatherCapacityAdjustment,3))),0)</f>
        <v>#VALUE!</v>
      </c>
      <c r="FT89" s="1566" t="e">
        <f aca="false">IF(AND(Assumptions!$H$71="Yes",A89&gt;=Assumptions!$H$72,A89&lt;=Assumptions!$H$73),0,IF(AND($A89&gt;=Assumptions!$C$17,$A89&lt;=Assumptions!$C$18),MAX(AZ89*(1+VLOOKUP($C89,WeatherCapacityAdjustment,2))-FL89,0),0))</f>
        <v>#VALUE!</v>
      </c>
      <c r="FU89" s="1551" t="e">
        <f aca="false">IF(AND(Assumptions!$H$71="Yes",A89&gt;=Assumptions!$H$72,A89&lt;=Assumptions!$H$73),0,IF(AND($A89&gt;=Assumptions!$C$17,$A89&lt;=Assumptions!$C$18),MAX(BA89*(1+VLOOKUP($C89,WeatherCapacityAdjustment,2))-FM89,0),0))</f>
        <v>#VALUE!</v>
      </c>
      <c r="FV89" s="1551" t="e">
        <f aca="false">IF(AND(Assumptions!$H$71="Yes",A89&gt;=Assumptions!$H$72,A89&lt;=Assumptions!$H$73),0,IF(AND($A89&gt;=Assumptions!$C$17,$A89&lt;=Assumptions!$C$18),MAX(BB89*(1+VLOOKUP($C89,WeatherCapacityAdjustment,2))-FN89,0),0))</f>
        <v>#VALUE!</v>
      </c>
      <c r="FW89" s="1564" t="e">
        <f aca="false">IF(AND(Assumptions!$H$71="Yes",A89&gt;=Assumptions!$H$72,A89&lt;=Assumptions!$H$73),0,IF(AND($A89&gt;=Assumptions!$C$17,$A89&lt;=Assumptions!$C$18),MAX(BC89*(1+VLOOKUP($C89,WeatherCapacityAdjustment,3))-FO89,0),0))</f>
        <v>#VALUE!</v>
      </c>
      <c r="FX89" s="1569" t="e">
        <f aca="false">IF(AND(Assumptions!$H$71="Yes",A89&gt;=Assumptions!$H$72,A89&lt;=Assumptions!$H$73),0,IF(ET89&gt;0,MAX(BH89*(1+VLOOKUP($C89,WeatherCapacityAdjustment,2))-FP89,0),0))</f>
        <v>#VALUE!</v>
      </c>
      <c r="FY89" s="1551" t="e">
        <f aca="false">IF(AND(Assumptions!$H$71="Yes",A89&gt;=Assumptions!$H$72,A89&lt;=Assumptions!$H$73),0,IF(EU89&gt;0,MAX(BI89*(1+VLOOKUP($C89,WeatherCapacityAdjustment,3))-FQ89,0),0))</f>
        <v>#VALUE!</v>
      </c>
      <c r="FZ89" s="1551" t="e">
        <f aca="false">IF(AND(Assumptions!$H$71="Yes",A89&gt;=Assumptions!$H$72,A89&lt;=Assumptions!$H$73),0,IF(EV89&gt;0,MAX(BJ89*(1+VLOOKUP($C89,WeatherCapacityAdjustment,2))-FR89,0),0))</f>
        <v>#VALUE!</v>
      </c>
      <c r="GA89" s="1564" t="e">
        <f aca="false">IF(AND(Assumptions!$H$71="Yes",A89&gt;=Assumptions!$H$72,A89&lt;=Assumptions!$H$73),0,IF(EW89&gt;0,MAX(BK89*(1+VLOOKUP($C89,WeatherCapacityAdjustment,2))-FS89,0),0))</f>
        <v>#VALUE!</v>
      </c>
      <c r="GB89" s="1551" t="e">
        <f aca="false">SUM(FT89:GA89)</f>
        <v>#VALUE!</v>
      </c>
      <c r="GC89" s="1563" t="e">
        <f aca="false">+IF(SUM(FT89:GA89)=0,0,(SUMPRODUCT(BU89:BX89,FT89:FW89)+SUMPRODUCT(CA89:CD89,FX89:GA89))/SUM(FT89:GA89))</f>
        <v>#VALUE!</v>
      </c>
      <c r="GD89" s="1551" t="e">
        <f aca="false">(FT89*BU89+FX89*CA89+FU89*BV89+FY89*CB89+FV89*BW89+FZ89*CC89+FW89*BX89+GA89*CD89)</f>
        <v>#VALUE!</v>
      </c>
      <c r="GE89" s="1561" t="e">
        <f aca="false">+IF(BQ89,((FL89+FM89+FT89+FU89)*HeatRatePeak/1000*(1+VLOOKUP($C89,WeatherHeatRateAdjustment,2))+(FN89+FV89)*IF(EV89&gt;0,HeatRatePeak,HeatRateOffPeak)/1000*(1+VLOOKUP($C89,WeatherHeatRateAdjustment,2))+(FO89+FW89)*IF(EW89&gt;0,HeatRatePeak,HeatRateOffPeak)/1000*(1+VLOOKUP($C89,WeatherHeatRateAdjustment,3)))*(1+VLOOKUP($B89,HeatRateDegradation,$C89+1)),0)</f>
        <v>#VALUE!</v>
      </c>
      <c r="GF89" s="1562" t="e">
        <f aca="false">IF(BQ89,((FP89+FQ89+FR89+FX89+FY89+FZ89)*HeatRatePeak/1000*(1+VLOOKUP($C89,WeatherHeatRateAdjustment,2))+(FS89+GA89)*HeatRatePeak/1000*(1+VLOOKUP($C89,WeatherHeatRateAdjustment,3)))*(1+VLOOKUP($B89,HeatRateDegradation,$C89+1)),0)</f>
        <v>#VALUE!</v>
      </c>
      <c r="GG89" s="1563" t="e">
        <f aca="false">IF(BQ89,VLOOKUP(A89,GasTable,13),0)</f>
        <v>#VALUE!</v>
      </c>
      <c r="GH89" s="1564" t="e">
        <f aca="false">(GE89+GF89)*GG89</f>
        <v>#VALUE!</v>
      </c>
      <c r="GI89" s="1569" t="e">
        <f aca="false">GB89</f>
        <v>#VALUE!</v>
      </c>
      <c r="GJ89" s="1598" t="e">
        <f aca="false">+DA89</f>
        <v>#VALUE!</v>
      </c>
      <c r="GK89" s="1558" t="e">
        <f aca="false">+GI89*GJ89</f>
        <v>#VALUE!</v>
      </c>
      <c r="GL89" s="1566" t="e">
        <f aca="false">MAX(FE89-FL89-FP89,0)</f>
        <v>#VALUE!</v>
      </c>
      <c r="GM89" s="1551" t="e">
        <f aca="false">MAX(FF89-FM89-FQ89,0)</f>
        <v>#VALUE!</v>
      </c>
      <c r="GN89" s="1551" t="e">
        <f aca="false">MAX(FG89-FN89-FR89,0)</f>
        <v>#VALUE!</v>
      </c>
      <c r="GO89" s="1564" t="e">
        <f aca="false">MAX(FH89-FO89-FS89,0)</f>
        <v>#VALUE!</v>
      </c>
      <c r="GP89" s="1551" t="e">
        <f aca="false">SUM(GL89:GO89)</f>
        <v>#VALUE!</v>
      </c>
      <c r="GQ89" s="1563" t="e">
        <f aca="false">IF(SUM(GL89:GO89)=0,0,((GL89*BU89+GM89*BV89+GN89*BW89+GO89*BX89)/SUM(GL89:GO89)))</f>
        <v>#VALUE!</v>
      </c>
      <c r="GR89" s="1558" t="e">
        <f aca="false">(GL89*BU89+GM89*BV89+GN89*BW89+GO89*BX89)</f>
        <v>#VALUE!</v>
      </c>
      <c r="GS89" s="1566" t="n">
        <f aca="false">IF($A89&gt;=BegDate,Assumptions!$C$56*24*($A90-$A89)*(1-VLOOKUP($B89,MAIN!$AA$7:$AM$28,$C89+1))*(1-VLOOKUP($B89,MAIN!$AA$33:$AM$54,$C89+1)),0)*80/168</f>
        <v>257742.857142857</v>
      </c>
      <c r="GT89" s="286" t="n">
        <f aca="false">J89</f>
        <v>34.6915459416694</v>
      </c>
      <c r="GU89" s="286" t="n">
        <f aca="false">IF($A89&gt;=BegDate,VLOOKUP($A89,GasTable,13)+Assumptions!$C$58,0)</f>
        <v>2.42933923572069</v>
      </c>
      <c r="GV89" s="286" t="n">
        <f aca="false">GU89*Assumptions!$C$57/1000</f>
        <v>17.612709458975</v>
      </c>
      <c r="GW89" s="1558" t="n">
        <f aca="false">IF(Assumptions!$C$60="Hourly",MAX(0,GS89*(GT89-GV89)),GS89*(GT89-GV89))</f>
        <v>4401948.11172534</v>
      </c>
      <c r="GX89" s="1566" t="n">
        <f aca="false">IF($A89&gt;=BegDate,Assumptions!$C$56*24*($A90-$A89)*(1-VLOOKUP($B89,MAIN!$AA$7:$AM$28,$C89+1))*(1-VLOOKUP($B89,MAIN!$AA$33:$AM$54,$C89+1)),0)*16/168</f>
        <v>51548.5714285714</v>
      </c>
      <c r="GY89" s="286" t="n">
        <f aca="false">M89</f>
        <v>34.6915459416694</v>
      </c>
      <c r="GZ89" s="286" t="n">
        <f aca="false">IF($A89&gt;=BegDate,VLOOKUP($A89,GasTable,13)+Assumptions!$C$58,0)</f>
        <v>2.42933923572069</v>
      </c>
      <c r="HA89" s="286" t="n">
        <f aca="false">GZ89*Assumptions!$C$57/1000</f>
        <v>17.612709458975</v>
      </c>
      <c r="HB89" s="1558" t="n">
        <f aca="false">IF(Assumptions!$C$60="Hourly",MAX(0,GX89*(GY89-HA89)),GX89*(GY89-HA89))</f>
        <v>880389.622345067</v>
      </c>
      <c r="HC89" s="1566" t="n">
        <f aca="false">IF($A89&gt;=BegDate,Assumptions!$C$56*24*($A90-$A89)*(1-VLOOKUP($B89,MAIN!$AA$7:$AM$28,$C89+1))*(1-VLOOKUP($B89,MAIN!$AA$33:$AM$54,$C89+1)),0)*16/168</f>
        <v>51548.5714285714</v>
      </c>
      <c r="HD89" s="286" t="n">
        <f aca="false">P89</f>
        <v>20.8572037022208</v>
      </c>
      <c r="HE89" s="286" t="n">
        <f aca="false">IF($A89&gt;=BegDate,VLOOKUP($A89,GasTable,13)+Assumptions!$C$58,0)</f>
        <v>2.42933923572069</v>
      </c>
      <c r="HF89" s="286" t="n">
        <f aca="false">HE89*Assumptions!$C$57/1000</f>
        <v>17.612709458975</v>
      </c>
      <c r="HG89" s="1558" t="n">
        <f aca="false">IF(Assumptions!$C$60="Hourly",MAX(0,HC89*(HD89-HF89)),HC89*(HD89-HF89))</f>
        <v>167249.043247548</v>
      </c>
      <c r="HH89" s="1566" t="n">
        <f aca="false">IF($A89&gt;=BegDate,Assumptions!$C$56*24*($A90-$A89)*(1-VLOOKUP($B89,MAIN!$AA$7:$AM$28,$C89+1))*(1-VLOOKUP($B89,MAIN!$AA$33:$AM$54,$C89+1)),0)*56/168</f>
        <v>180420</v>
      </c>
      <c r="HI89" s="286" t="n">
        <f aca="false">S89</f>
        <v>20.8572037022208</v>
      </c>
      <c r="HJ89" s="286" t="n">
        <f aca="false">IF($A89&gt;=BegDate,VLOOKUP($A89,GasTable,13)+Assumptions!$C$58,0)</f>
        <v>2.42933923572069</v>
      </c>
      <c r="HK89" s="286" t="n">
        <f aca="false">HJ89*Assumptions!$C$57/1000</f>
        <v>17.612709458975</v>
      </c>
      <c r="HL89" s="1558" t="n">
        <f aca="false">IF(Assumptions!$C$60="Hourly",MAX(0,HH89*(HI89-HK89)),HH89*(HI89-HK89))</f>
        <v>585371.651366418</v>
      </c>
      <c r="HM89" s="1566" t="n">
        <f aca="false">IF(AND(Assumptions!$H$71="Yes",A89&gt;=Assumptions!$H$72,A89&lt;=Assumptions!$H$73),Assumptions!$H$74*Assumptions!$C$9*1000,0)</f>
        <v>0</v>
      </c>
      <c r="HN89" s="1551"/>
      <c r="HO89" s="1563"/>
      <c r="HP89" s="1563"/>
      <c r="HQ89" s="1563"/>
      <c r="HR89" s="1563"/>
      <c r="HS89" s="1563"/>
      <c r="HT89" s="1563"/>
      <c r="HU89" s="1563"/>
      <c r="HV89" s="1563"/>
      <c r="HW89" s="1563"/>
      <c r="HX89" s="1563"/>
      <c r="HY89" s="1563"/>
      <c r="HZ89" s="1563"/>
      <c r="IA89" s="1563"/>
      <c r="IB89" s="1563"/>
      <c r="IC89" s="1563"/>
      <c r="ID89" s="1563"/>
      <c r="IE89" s="1563"/>
      <c r="IF89" s="1563"/>
      <c r="IG89" s="1563"/>
      <c r="IH89" s="1563"/>
      <c r="II89" s="1610"/>
      <c r="IJ89" s="1309"/>
      <c r="IK89" s="1309"/>
    </row>
    <row r="90" customFormat="false" ht="12.75" hidden="false" customHeight="false" outlineLevel="0" collapsed="false">
      <c r="A90" s="1571" t="n">
        <f aca="false">EOMONTH(A89,0)+1</f>
        <v>38869</v>
      </c>
      <c r="B90" s="594" t="n">
        <f aca="false">+YEAR(A90)</f>
        <v>2006</v>
      </c>
      <c r="C90" s="238" t="n">
        <f aca="false">MONTH(A90)</f>
        <v>6</v>
      </c>
      <c r="D90" s="1572" t="e">
        <f aca="false">IF(E90="","",Holiday(B90,C90))</f>
        <v>#VALUE!</v>
      </c>
      <c r="E90" s="1573" t="n">
        <f aca="false">IF(OR(BegDate&gt;=A91,EndDate&lt;A90,AND(VolumeMonthlyOverFlag,INDEX(VolumeMonthlyOver,C90)=0),NOT(INDEX(MonthKnockOutTable,C90))),"",MAX(A90,BegDate))</f>
        <v>38869</v>
      </c>
      <c r="F90" s="1574" t="n">
        <f aca="false">IF(E90="","",MIN(A91-1,EndDate))</f>
        <v>38898</v>
      </c>
      <c r="G90" s="1575" t="n">
        <v>0</v>
      </c>
      <c r="H90" s="1576" t="n">
        <f aca="false">(1+G90/2)^(-2*(DATE(B91,C91,20)-DateToday)/365.25)</f>
        <v>1</v>
      </c>
      <c r="I90" s="1568" t="n">
        <f aca="false">IF(Assumptions!$L$25=4,VLOOKUP($A90,'Henwood Reference'!$E$9:$R$320,10),(VLOOKUP($A90,PriceTable,2,0)+IF(BasisNumber&lt;&gt;1,VLOOKUP($A90,BasisTable,2,0),0)+I$1)/(1-I$2))</f>
        <v>31.702373032217</v>
      </c>
      <c r="J90" s="1568" t="n">
        <f aca="false">IF(Assumptions!$L$25=4,VLOOKUP($A90,'Henwood Reference'!$E$9:$R$320,10),(VLOOKUP($A90,PriceTable,3,0)+IF(BasisNumber&lt;&gt;1,VLOOKUP($A90,BasisTable,2,0),0)+J$1)/(1-J$2))</f>
        <v>31.702373032217</v>
      </c>
      <c r="K90" s="1568" t="n">
        <f aca="false">IF(Assumptions!$L$25=4,VLOOKUP($A90,'Henwood Reference'!$E$9:$R$320,10),(VLOOKUP($A90,PriceTable,4,0)+IF(BasisNumber&lt;&gt;1,VLOOKUP($A90,BasisTable,2,0),0)+K$1)/(1-K$2))</f>
        <v>31.702373032217</v>
      </c>
      <c r="L90" s="1523" t="n">
        <f aca="false">IF(Assumptions!$L$25=4,VLOOKUP($A90,'Henwood Reference'!$E$9:$R$320,10),(VLOOKUP($A90,PriceTableWeekend,2,0)+IF(BasisNumber&lt;&gt;1,VLOOKUP($A90,BasisTable,2,0),0)+L$1)/(1-L$2))</f>
        <v>31.702373032217</v>
      </c>
      <c r="M90" s="1568" t="n">
        <f aca="false">IF(Assumptions!$L$25=4,VLOOKUP($A90,'Henwood Reference'!$E$9:$R$320,10),(VLOOKUP($A90,PriceTableWeekend,3,0)+IF(BasisNumber&lt;&gt;1,VLOOKUP($A90,BasisTable,2,0),0)+M$1)/(1-M$2))</f>
        <v>31.702373032217</v>
      </c>
      <c r="N90" s="1599" t="n">
        <f aca="false">IF(Assumptions!$L$25=4,VLOOKUP($A90,'Henwood Reference'!$E$9:$R$320,10),(VLOOKUP($A90,PriceTableWeekend,4,0)+IF(BasisNumber&lt;&gt;1,VLOOKUP($A90,BasisTable,2,0),0)+N$1)/(1-N$2))</f>
        <v>31.702373032217</v>
      </c>
      <c r="O90" s="1568" t="n">
        <f aca="false">IF(Assumptions!$L$25=4,VLOOKUP($A90,'Henwood Reference'!$E$9:$R$320,11),(VLOOKUP($A90,PriceTableWeekend,6,0)+IF(BasisNumber&lt;&gt;1,VLOOKUP($A90,BasisTable,3,0),0)+O$1)/(1-O$2))</f>
        <v>18.5626477729704</v>
      </c>
      <c r="P90" s="1568" t="n">
        <f aca="false">IF(Assumptions!$L$25=4,VLOOKUP($A90,'Henwood Reference'!$E$9:$R$320,11),(VLOOKUP($A90,PriceTableWeekend,7,0)+IF(BasisNumber&lt;&gt;1,VLOOKUP($A90,BasisTable,3,0),0)+P$1)/(1-P$2))</f>
        <v>18.5626477729704</v>
      </c>
      <c r="Q90" s="1599" t="n">
        <f aca="false">IF(Assumptions!$L$25=4,VLOOKUP($A90,'Henwood Reference'!$E$9:$R$320,11),(VLOOKUP($A90,PriceTableWeekend,8,0)+IF(BasisNumber&lt;&gt;1,VLOOKUP($A90,BasisTable,3,0),0)+Q$1)/(1-Q$2))</f>
        <v>18.5626477729704</v>
      </c>
      <c r="R90" s="1568" t="n">
        <f aca="false">IF(Assumptions!$L$25=4,VLOOKUP($A90,'Henwood Reference'!$E$9:$R$320,11),(VLOOKUP($A90,PriceTable,6,0)+IF(BasisNumber&lt;&gt;1,VLOOKUP($A90,BasisTable,3,0),0)+R$1)/(1-R$2))</f>
        <v>18.5626477729704</v>
      </c>
      <c r="S90" s="1568" t="n">
        <f aca="false">IF(Assumptions!$L$25=4,VLOOKUP($A90,'Henwood Reference'!$E$9:$R$320,11),(VLOOKUP($A90,PriceTable,7,0)+IF(BasisNumber&lt;&gt;1,VLOOKUP($A90,BasisTable,3,0),0)+S$1)/(1-S$2))</f>
        <v>18.5626477729704</v>
      </c>
      <c r="T90" s="1600" t="n">
        <f aca="false">IF(Assumptions!$L$25=4,VLOOKUP($A90,'Henwood Reference'!$E$9:$R$320,11),(VLOOKUP($A90,PriceTable,8,0)+IF(BasisNumber&lt;&gt;1,VLOOKUP($A90,BasisTable,3,0),0)+T$1)/(1-T$2))</f>
        <v>18.5626477729704</v>
      </c>
      <c r="U90" s="1513" t="n">
        <f aca="false">VLOOKUP($A90,VolatilityTable,14)</f>
        <v>0.14</v>
      </c>
      <c r="V90" s="1513" t="n">
        <f aca="false">VLOOKUP($A90,VolatilityTable,15)</f>
        <v>0.15</v>
      </c>
      <c r="W90" s="1514" t="n">
        <f aca="false">VLOOKUP($A90,VolatilityTable,16)</f>
        <v>0.16</v>
      </c>
      <c r="X90" s="1513" t="n">
        <f aca="false">VLOOKUP($A90,VolatilityTable,14)</f>
        <v>0.14</v>
      </c>
      <c r="Y90" s="1513" t="n">
        <f aca="false">VLOOKUP($A90,VolatilityTable,15)</f>
        <v>0.15</v>
      </c>
      <c r="Z90" s="1514" t="n">
        <f aca="false">VLOOKUP($A90,VolatilityTable,16)</f>
        <v>0.16</v>
      </c>
      <c r="AA90" s="1513" t="n">
        <f aca="false">VLOOKUP($A90,VolatilityTable,18)</f>
        <v>0.09</v>
      </c>
      <c r="AB90" s="1513" t="n">
        <f aca="false">VLOOKUP($A90,VolatilityTable,19)</f>
        <v>0.11</v>
      </c>
      <c r="AC90" s="1514" t="n">
        <f aca="false">VLOOKUP($A90,VolatilityTable,20)</f>
        <v>0.13</v>
      </c>
      <c r="AD90" s="1513" t="n">
        <f aca="false">VLOOKUP($A90,VolatilityTable,18)</f>
        <v>0.09</v>
      </c>
      <c r="AE90" s="1513" t="n">
        <f aca="false">VLOOKUP($A90,VolatilityTable,19)</f>
        <v>0.11</v>
      </c>
      <c r="AF90" s="1514" t="n">
        <f aca="false">VLOOKUP($A90,VolatilityTable,20)</f>
        <v>0.13</v>
      </c>
      <c r="AG90" s="1513" t="n">
        <f aca="false">VLOOKUP($A90,VolatilityTable,22)</f>
        <v>-0.35</v>
      </c>
      <c r="AH90" s="1513" t="n">
        <f aca="false">VLOOKUP($A90,VolatilityTable,23)</f>
        <v>0.65</v>
      </c>
      <c r="AI90" s="1514" t="n">
        <f aca="false">VLOOKUP($A90,VolatilityTable,24)</f>
        <v>0.2</v>
      </c>
      <c r="AJ90" s="1513" t="n">
        <f aca="false">VLOOKUP($A90,VolatilityTable,22)</f>
        <v>-0.35</v>
      </c>
      <c r="AK90" s="1513" t="n">
        <f aca="false">VLOOKUP($A90,VolatilityTable,23)</f>
        <v>0.65</v>
      </c>
      <c r="AL90" s="1514" t="n">
        <f aca="false">VLOOKUP($A90,VolatilityTable,24)</f>
        <v>0.2</v>
      </c>
      <c r="AM90" s="1513" t="n">
        <f aca="false">VLOOKUP($A90,VolatilityTable,26)</f>
        <v>-0.01</v>
      </c>
      <c r="AN90" s="1513" t="n">
        <f aca="false">VLOOKUP($A90,VolatilityTable,27)</f>
        <v>0.16</v>
      </c>
      <c r="AO90" s="1514" t="n">
        <f aca="false">VLOOKUP($A90,VolatilityTable,28)</f>
        <v>0.01</v>
      </c>
      <c r="AP90" s="1513" t="n">
        <f aca="false">VLOOKUP($A90,VolatilityTable,26)</f>
        <v>-0.01</v>
      </c>
      <c r="AQ90" s="1513" t="n">
        <f aca="false">VLOOKUP($A90,VolatilityTable,27)</f>
        <v>0.16</v>
      </c>
      <c r="AR90" s="1515" t="n">
        <f aca="false">VLOOKUP($A90,VolatilityTable,28)</f>
        <v>0.01</v>
      </c>
      <c r="AS90" s="1581" t="n">
        <f aca="false">IF(CorrPeakOffPeakOverFlag,INDEX(CorrPeakOffPeakOver,C90),CorrPeakOffPeak)</f>
        <v>0.5</v>
      </c>
      <c r="AT90" s="594" t="e">
        <f aca="false">AX90-SUM(AU90:AW90)</f>
        <v>#VALUE!</v>
      </c>
      <c r="AU90" s="238" t="e">
        <f aca="false">IF(E90="",0,INT((F90-MOD(F90,7)-E90)/7)+1-IF(AW90,IF(WEEKDAY(D90)=7,1,0),0))</f>
        <v>#VALUE!</v>
      </c>
      <c r="AV90" s="238" t="e">
        <f aca="false">IF(E90="",0,INT((F90-MOD(F90-1,7)-E90)/7)+1-IF(AW90,IF(WEEKDAY(D90)=1,1,0),0))</f>
        <v>#VALUE!</v>
      </c>
      <c r="AW90" s="238" t="e">
        <f aca="false">IF(OR(E90="",D90="",D90&lt;BegDate,D90&gt;EndDate),0,1)</f>
        <v>#VALUE!</v>
      </c>
      <c r="AX90" s="238" t="n">
        <f aca="false">IF(E90="",0,F90-E90+1)</f>
        <v>30</v>
      </c>
      <c r="AY90" s="1582" t="n">
        <f aca="false">IF(E90="",0,MIN((1-(1-VLOOKUP(B90,MAIN!$AA$7:$AM$28,C90+1))*(1-VLOOKUP(B90,MAIN!$AA$33:$AM$54,C90+1))),1))</f>
        <v>0.03</v>
      </c>
      <c r="AZ90" s="1519" t="e">
        <v>#VALUE!</v>
      </c>
      <c r="BA90" s="1520" t="e">
        <v>#VALUE!</v>
      </c>
      <c r="BB90" s="1520" t="e">
        <v>#VALUE!</v>
      </c>
      <c r="BC90" s="1583" t="e">
        <v>#VALUE!</v>
      </c>
      <c r="BD90" s="1522" t="e">
        <v>#VALUE!</v>
      </c>
      <c r="BE90" s="1523" t="e">
        <v>#VALUE!</v>
      </c>
      <c r="BF90" s="1523" t="e">
        <v>#VALUE!</v>
      </c>
      <c r="BG90" s="1584" t="e">
        <v>#VALUE!</v>
      </c>
      <c r="BH90" s="1525" t="e">
        <v>#VALUE!</v>
      </c>
      <c r="BI90" s="1520" t="e">
        <v>#VALUE!</v>
      </c>
      <c r="BJ90" s="1520" t="e">
        <v>#VALUE!</v>
      </c>
      <c r="BK90" s="1583" t="e">
        <v>#VALUE!</v>
      </c>
      <c r="BL90" s="1522" t="e">
        <v>#VALUE!</v>
      </c>
      <c r="BM90" s="1523" t="e">
        <v>#VALUE!</v>
      </c>
      <c r="BN90" s="1523" t="e">
        <v>#VALUE!</v>
      </c>
      <c r="BO90" s="1523" t="e">
        <v>#VALUE!</v>
      </c>
      <c r="BP90" s="1525" t="e">
        <f aca="false">SUM(AZ90:BB90)</f>
        <v>#VALUE!</v>
      </c>
      <c r="BQ90" s="1529" t="e">
        <f aca="false">SUM(AZ90:BC90)</f>
        <v>#VALUE!</v>
      </c>
      <c r="BR90" s="1519" t="e">
        <f aca="false">SUM(BH90:BJ90)</f>
        <v>#VALUE!</v>
      </c>
      <c r="BS90" s="1529" t="e">
        <f aca="false">SUM(BH90:BK90)</f>
        <v>#VALUE!</v>
      </c>
      <c r="BT90" s="1316" t="n">
        <f aca="false">(IF(OVolType&lt;&gt;2,A90+14,IF(OptExpDateShift,ShiftBack(A90,OptExpDateShift,D89),A90))-DateToday)/365.25</f>
        <v>6.13004791238877</v>
      </c>
      <c r="BU90" s="1585" t="e">
        <f aca="false">IF(BQ90,IF(OPriceCurve,IF(OBuySell=OCallPut,I90/(1-AY90),K90/(1-AY90)),J90/(1-AY90))*BD90,0)</f>
        <v>#VALUE!</v>
      </c>
      <c r="BV90" s="1316" t="e">
        <f aca="false">IF(BQ90,IF(OPriceCurve,IF(OBuySell=OCallPut,L90/(1-AY90),N90/(1-AY90)),M90/(1-AY90))*BE90,0)</f>
        <v>#VALUE!</v>
      </c>
      <c r="BW90" s="1316" t="e">
        <f aca="false">IF(BQ90,IF(OPriceCurve,IF(OBuySell=OCallPut,O90/(1-AY90),Q90/(1-AY90)),P90/(1-AY90))*BF90,0)</f>
        <v>#VALUE!</v>
      </c>
      <c r="BX90" s="1316" t="e">
        <f aca="false">IF(BQ90,IF(OPriceCurve,IF(OBuySell=OCallPut,R90/(1-AY90),T90/(1-AY90)),S90/(1-AY90))*BG90,0)</f>
        <v>#VALUE!</v>
      </c>
      <c r="BY90" s="1316" t="e">
        <f aca="false">IF(BP90,(BU90*AZ90+BV90*BA90+BW90*BB90)/BP90,0)</f>
        <v>#VALUE!</v>
      </c>
      <c r="BZ90" s="1316" t="e">
        <f aca="false">IF(BQ90,(BY90*BP90+BX90*BC90)/BQ90,0)</f>
        <v>#VALUE!</v>
      </c>
      <c r="CA90" s="1531" t="e">
        <f aca="false">IF(BS90,IF(OPriceCurve,IF(OBuySell=OCallPut,I90/(1-AY90),K90/(1-AY90)),J90/(1-AY90))*BL90,0)</f>
        <v>#VALUE!</v>
      </c>
      <c r="CB90" s="1316" t="e">
        <f aca="false">IF(BS90,IF(OPriceCurve,IF(OBuySell=OCallPut,L90/(1-AY90),N90/(1-AY90)),M90/(1-AY90))*BM90,0)</f>
        <v>#VALUE!</v>
      </c>
      <c r="CC90" s="1316" t="e">
        <f aca="false">IF(BS90,IF(OPriceCurve,IF(OBuySell=OCallPut,O90/(1-AY90),Q90/(1-AY90)),P90/(1-AY90))*BN90,0)</f>
        <v>#VALUE!</v>
      </c>
      <c r="CD90" s="1316" t="e">
        <f aca="false">IF(BS90,IF(OPriceCurve,IF(OBuySell=OCallPut,R90/(1-AY90),T90/(1-AY90)),S90/(1-AY90))*BO90,0)</f>
        <v>#VALUE!</v>
      </c>
      <c r="CE90" s="1316" t="e">
        <f aca="false">IF(BR90,(BU90*BH90+BV90*BI90+BW90*BJ90)/BR90,0)</f>
        <v>#VALUE!</v>
      </c>
      <c r="CF90" s="1532" t="e">
        <f aca="false">IF(BS90,(CE90*BR90+CD90*BK90)/BS90,0)</f>
        <v>#VALUE!</v>
      </c>
      <c r="CG90" s="1586" t="e">
        <f aca="false">IF(OR(BQ90,BS90),IF(OVolType&lt;&gt;2,SQRT(IF(OVolOverMonthlyPeak,OVolOverMonthlyPeak,IF(OVolCurve,IF(OBuySell,U90,W90),V90))^2*(1-15/365.25/BT90)+IF(OVolOverDailyPeak,OVolOverDailyPeak,IF(OVolCurve,IF(OBuySell,AG90,AI90),AH90))^2*15/365.25/BT90),IF(OVolOverMonthlyPeak,OVolOverMonthlyPeak,IF(OVolCurve,IF(OBuySell,U90,W90),V90))),"")</f>
        <v>#VALUE!</v>
      </c>
      <c r="CH90" s="1587" t="e">
        <f aca="false">IF(OR(BQ90,BS90),IF(OVolType&lt;&gt;2,SQRT(IF(OVolOverMonthlyPeak,OVolOverMonthlyPeak,IF(OVolCurve,IF(OBuySell,X90,Z90),Y90))^2*(1-15/365.25/BT90)+IF(OVolOverDailyPeak,OVolOverDailyPeak,IF(OVolCurve,IF(OBuySell,AJ90,AL90),AK90))^2*15/365.25/BT90),IF(OVolOverMonthlyPeak,OVolOverMonthlyPeak,IF(OVolCurve,IF(OBuySell,X90,Z90),Y90))),"")</f>
        <v>#VALUE!</v>
      </c>
      <c r="CI90" s="1587" t="e">
        <f aca="false">IF(OR(BQ90,BS90),IF(OVolType&lt;&gt;2,SQRT(IF(OVolOverMonthlyPeak,OVolOverMonthlyPeak,IF(OVolCurve,IF(OBuySell,AA90,AC90),AB90))^2*(1-15/365.25/BT90)+IF(OVolOverDailyPeak,OVolOverDailyPeak,IF(OVolCurve,IF(OBuySell,AM90,AO90),AN90))^2*15/365.25/BT90),IF(OVolOverMonthlyPeak,OVolOverMonthlyPeak,IF(OVolCurve,IF(OBuySell,AA90,AC90),AB90))),"")</f>
        <v>#VALUE!</v>
      </c>
      <c r="CJ90" s="1587" t="e">
        <f aca="false">IF(BQ90,IF(BP90,SQRT(LN(1+((BU90*AZ90)^2*(EXP(CG90^2*BT90)-1)+(BV90*BA90)^2*(EXP(CH90^2*BT90)-1)+(BW90*BB90)^2*(EXP(CI90^2*BT90)-1)+2*BU90*AZ90*BV90*BA90*(EXP(CG90*CH90*BT90)-1)+2*BV90*BA90*BW90*BB90*(EXP(CH90*CI90*BT90)-1)+2*BW90*BB90*BU90*AZ90*(EXP(CI90*CG90*BT90)-1))/(BY90*BP90)^2)/BT90),0),"")</f>
        <v>#VALUE!</v>
      </c>
      <c r="CK90" s="1587" t="e">
        <f aca="false">IF(BS90,IF(BR90,SQRT(LN(1+((CA90*BH90)^2*(EXP(CG90^2*BT90)-1)+(CB90*BI90)^2*(EXP(CH90^2*BT90)-1)+(CC90*BJ90)^2*(EXP(CI90^2*BT90)-1)+2*CA90*BH90*CB90*BI90*(EXP(CG90*CH90*BT90)-1)+2*CB90*BI90*CC90*BJ90*(EXP(CH90*CI90*BT90)-1)+2*CC90*BJ90*CA90*BH90*(EXP(CI90*CG90*BT90)-1))/(CE90*BR90)^2)/BT90),0),"")</f>
        <v>#VALUE!</v>
      </c>
      <c r="CL90" s="1587" t="e">
        <f aca="false">IF(OR(BQ90,BS90),IF(OVolType&lt;&gt;2,SQRT(IF(OVolOverMonthlyOffPeak,OVolOverMonthlyOffPeak,IF(OVolCurve,IF(OBuySell,AD90,AF90),AE90))^2*(1-15/365.25/BT90)+IF(OVolOverDailyOffPeak,OVolOverDailyOffPeak,IF(OVolCurve,IF(OBuySell,AP90,AR90),AQ90))^2*15/365.25/BT90),IF(OVolOverMonthlyOffPeak,OVolOverMonthlyOffPeak,IF(OVolCurve,IF(OBuySell,AD90,AF90),AE90))),"")</f>
        <v>#VALUE!</v>
      </c>
      <c r="CM90" s="1587" t="e">
        <f aca="false">IF(BQ90,SQRT(LN(1+((BY90*BP90)^2*(EXP(CJ90^2*BT90)-1)+(BX90*BC90)^2*(EXP(CL90^2*BT90)-1)+2*BY90*BP90*BX90*BC90*(EXP(AS90*CJ90*CL90*BT90)-1))/(BY90*BP90+BX90*BC90)^2)/BT90),"")</f>
        <v>#VALUE!</v>
      </c>
      <c r="CN90" s="1588" t="e">
        <f aca="false">IF(BS90,SQRT(LN(1+((CE90*BR90)^2*(EXP(CK90^2*BT90)-1)+(CD90*BK90)^2*(EXP(CL90^2*BT90)-1)+2*CE90*BR90*CD90*BK90*(EXP(AS90*CK90*CL90*BT90)-1))/(CE90*BR90+CD90*BK90)^2)/BT90),"")</f>
        <v>#VALUE!</v>
      </c>
      <c r="CO90" s="1531" t="e">
        <f aca="false">IF(OR(BQ90,BS90),VLOOKUP(A90,GasTable,13)*HeatRatePeak*(1+VLOOKUP($B90,HeatRateDegradation,$C90+1))/1000,0)</f>
        <v>#VALUE!</v>
      </c>
      <c r="CP90" s="1316" t="e">
        <f aca="false">IF(OR(BQ90,BS90),VLOOKUP(A90,GasTable,13)*HeatRatePeak*(1+VLOOKUP($B90,HeatRateDegradation,$C90+1))/1000,0)</f>
        <v>#VALUE!</v>
      </c>
      <c r="CQ90" s="1316" t="e">
        <f aca="false">IF(OR(BQ90,BS90),VLOOKUP(A90,GasTable,13)*IF(EV90,HeatRatePeak,HeatRateOffPeak)*(1+VLOOKUP($B90,HeatRateDegradation,$C90+1))/1000,0)</f>
        <v>#VALUE!</v>
      </c>
      <c r="CR90" s="1316" t="e">
        <f aca="false">IF(OR(BQ90,BS90),VLOOKUP(A90,GasTable,13)*IF(EW90,HeatRatePeak,HeatRateOffPeak)*(1+VLOOKUP($B90,HeatRateDegradation,$C90+1))/1000,0)</f>
        <v>#VALUE!</v>
      </c>
      <c r="CS90" s="1589" t="e">
        <f aca="false">IF(BQ90,(CO90*AZ90+CP90*BA90+CQ90*BB90+CR90*BC90)/BQ90,0)</f>
        <v>#VALUE!</v>
      </c>
      <c r="CT90" s="1316" t="e">
        <f aca="false">IF(BS90,CO90,0)</f>
        <v>#VALUE!</v>
      </c>
      <c r="CU90" s="1590" t="e">
        <f aca="false">IF(OR(BQ90,BS90),VLOOKUP(A90,GasTable,14),"")</f>
        <v>#VALUE!</v>
      </c>
      <c r="CV90" s="1568" t="e">
        <f aca="false">IF(OR(BQ90,BS90),IF(CorrPowerGasOverFlag,INDEX(CorrPowerGasOver,C90),CorrPowerGas),"")</f>
        <v>#VALUE!</v>
      </c>
      <c r="CW90" s="1316" t="e">
        <f aca="false">IF(OR($BQ90,$BS90),SpreadOptPowerMargin,0)*((1+Assumptions!$C$26)^($B90-YEAR(Assumptions!$C$17)))</f>
        <v>#VALUE!</v>
      </c>
      <c r="CX90" s="1316" t="e">
        <f aca="false">IF(OR($BQ90,$BS90),SpreadOptPowerMargin,0)*((1+Assumptions!$C$26)^($B90-YEAR(Assumptions!$C$17)))</f>
        <v>#VALUE!</v>
      </c>
      <c r="CY90" s="1316" t="e">
        <f aca="false">IF(OR($BQ90,$BS90),SpreadOptPowerMargin,0)*((1+Assumptions!$C$26)^($B90-YEAR(Assumptions!$C$17)))</f>
        <v>#VALUE!</v>
      </c>
      <c r="CZ90" s="1316" t="e">
        <f aca="false">IF(OR($BQ90,$BS90),SpreadOptPowerMargin,0)*((1+Assumptions!$C$26)^($B90-YEAR(Assumptions!$C$17)))</f>
        <v>#VALUE!</v>
      </c>
      <c r="DA90" s="1591" t="e">
        <f aca="false">IF(OR(BQ90,BS90),(CW90*(AZ90+BH90)+CX90*(BA90+BI90)+CY90*(BB90+BJ90)+CZ90*(BC90+BK90))/(BQ90+BS90),0)</f>
        <v>#VALUE!</v>
      </c>
      <c r="DB90" s="1592" t="e">
        <f aca="false">IF(OR(BQ90,BS90),CG90+IF(OVolSmile,VLOOKUP(MAX(-5,CO90+CW90-BU90),IF(OVolSmile=1,VolSmileBook,VolSmileModel),2),0),"")</f>
        <v>#VALUE!</v>
      </c>
      <c r="DC90" s="1592" t="e">
        <f aca="false">IF(OR(BQ90,BS90),CH90+IF(OVolSmile,VLOOKUP(MAX(-5,CP90+CW90-BV90),IF(OVolSmile=1,VolSmileBook,VolSmileModel),2),0),"")</f>
        <v>#VALUE!</v>
      </c>
      <c r="DD90" s="1592" t="e">
        <f aca="false">IF(OR(BQ90,BS90),CI90+IF(OVolSmile,VLOOKUP(MAX(-5,CQ90+CW90-BW90),IF(OVolSmile=1,VolSmileBook,VolSmileModel),2),0),"")</f>
        <v>#VALUE!</v>
      </c>
      <c r="DE90" s="1592" t="e">
        <f aca="false">IF(OR(BQ90,BS90),CL90+IF(OVolSmile,VLOOKUP(MAX(-5,CR90+CZ90-BX90),IF(OVolSmile=1,VolSmileBook,VolSmileModel),2),0),"")</f>
        <v>#VALUE!</v>
      </c>
      <c r="DF90" s="1592" t="e">
        <f aca="false">IF(BQ90,CM90+IF(OVolSmile,VLOOKUP(MAX(-5,CS90+DA90-BZ90),IF(OVolSmile=1,VolSmileBook,VolSmileModel),2),0),"")</f>
        <v>#VALUE!</v>
      </c>
      <c r="DG90" s="1593" t="e">
        <f aca="false">IF(BS90,CN90+IF(OVolSmile,VLOOKUP(MAX(-5,CT90+DA90-CF90),IF(OVolSmile=1,VolSmileBook,VolSmileModel),2),0),"")</f>
        <v>#VALUE!</v>
      </c>
      <c r="DH90" s="1316" t="e">
        <f aca="false">IF(AND(BU90&gt;0,CO90&gt;0,DB90&gt;0,CU90&gt;0),newSPRDOPT(BU90,CO90,CW90,0,DB90,CU90,CV90,BT90*365.25,OCallPut,0),0)</f>
        <v>#VALUE!</v>
      </c>
      <c r="DI90" s="1316" t="e">
        <f aca="false">IF(AND(BV90&gt;0,CP90&gt;0,DC90&gt;0,CU90&gt;0),newSPRDOPT(BV90,CP90,CX90,0,DC90,CU90,CV90,BT90*365.25,OCallPut,0),0)</f>
        <v>#VALUE!</v>
      </c>
      <c r="DJ90" s="1316" t="e">
        <f aca="false">IF(AND(BW90&gt;0,CQ90&gt;0,DD90&gt;0,CU90&gt;0),newSPRDOPT(BW90,CQ90,CY90,0,DD90,CU90,CV90,BT90*365.25,OCallPut,0),0)</f>
        <v>#VALUE!</v>
      </c>
      <c r="DK90" s="1316" t="e">
        <f aca="false">IF(AND(BX90&gt;0,CR90&gt;0,DE90&gt;0,CU90&gt;0),newSPRDOPT(BX90,CR90,CZ90,0,DE90,CU90,CV90,BT90*365.25,OCallPut,0),0)</f>
        <v>#VALUE!</v>
      </c>
      <c r="DL90" s="1316" t="e">
        <f aca="false">IF(OVolType,IF(AND(BZ90&gt;0,CS90&gt;0,DF90&gt;0,CU90&gt;0),newSPRDOPT(BZ90,CS90,DA90,0,DF90,CU90,CV90,BT90*365.25,OCallPut,0),0),IF(BQ90,(DH90*AZ90+DI90*BA90+DJ90*BB90+DK90*BC90)/BQ90,0))</f>
        <v>#VALUE!</v>
      </c>
      <c r="DM90" s="1316"/>
      <c r="DN90" s="1316"/>
      <c r="DO90" s="1316"/>
      <c r="DP90" s="1316"/>
      <c r="DQ90" s="1316"/>
      <c r="DR90" s="1316"/>
      <c r="DS90" s="1316"/>
      <c r="DT90" s="1316"/>
      <c r="DU90" s="1316"/>
      <c r="DV90" s="1316"/>
      <c r="DW90" s="1594" t="e">
        <f aca="false">IF(AND(BW90&gt;0,CT90&gt;0,DD90&gt;0,CU90&gt;0),newSPRDOPT(BW90,CT90,CY90,0,DD90,CU90,CV90,BT90*365.25,OCallPut,0),0)</f>
        <v>#VALUE!</v>
      </c>
      <c r="DX90" s="1316" t="e">
        <f aca="false">IF(AND(BX90&gt;0,CT90&gt;0,DE90&gt;0,CU90&gt;0),newSPRDOPT(BX90,CT90,CZ90,0,DE90,CU90,CV90,BT90*365.25,OCallPut,0),0)</f>
        <v>#VALUE!</v>
      </c>
      <c r="DY90" s="1591" t="e">
        <f aca="false">IF(BS90,(DH90*BH90+DI90*BI90+DW90*BJ90+DX90*BK90)/BS90,0)</f>
        <v>#VALUE!</v>
      </c>
      <c r="DZ90" s="1551" t="e">
        <f aca="false">DH90*AZ90</f>
        <v>#VALUE!</v>
      </c>
      <c r="EA90" s="1551" t="e">
        <f aca="false">DI90*BA90</f>
        <v>#VALUE!</v>
      </c>
      <c r="EB90" s="1551" t="e">
        <f aca="false">DJ90*BB90</f>
        <v>#VALUE!</v>
      </c>
      <c r="EC90" s="1551" t="e">
        <f aca="false">DK90*BC90</f>
        <v>#VALUE!</v>
      </c>
      <c r="ED90" s="1551" t="e">
        <f aca="false">DL90*BQ90</f>
        <v>#VALUE!</v>
      </c>
      <c r="EE90" s="1595" t="e">
        <f aca="false">IF(BQ90,IF(OCallPut,IF(BU90&gt;(CO90+CW90),BU90-(CO90+CW90),0),IF((CO90+CW90)&gt;BU90,(CO90+CW90)-BU90,0))*AZ90,0)</f>
        <v>#VALUE!</v>
      </c>
      <c r="EF90" s="1596" t="e">
        <f aca="false">IF(BQ90,IF(OCallPut,IF(BV90&gt;(CP90+CX90),BV90-(CP90+CX90),0),IF((CP90+CX90)&gt;BV90,(CP90+CX90)-BV90,0))*BA90,0)</f>
        <v>#VALUE!</v>
      </c>
      <c r="EG90" s="1596" t="e">
        <f aca="false">IF(BQ90,IF(OCallPut,IF(BW90&gt;(CQ90+CY90),BW90-(CQ90+CY90),0),IF((CQ90+CY90)&gt;BW90,(CQ90+CY90)-BW90,0))*BB90,0)</f>
        <v>#VALUE!</v>
      </c>
      <c r="EH90" s="1596" t="e">
        <f aca="false">IF(BQ90,IF(OCallPut,IF(BX90&gt;(CR90+CZ90),BX90-(CR90+CZ90),0),IF((CR90+CZ90)&gt;BX90,(CR90+CZ90)-BX90,0))*BC90,0)</f>
        <v>#VALUE!</v>
      </c>
      <c r="EI90" s="1597" t="e">
        <f aca="false">IF(BQ90,IF(OVolType,IF(OCallPut,IF(BZ90&gt;(CS90+DA90),BZ90-(CS90+DA90),0),IF((CS90+DA90)&gt;BZ90,(CS90+DA90)-BZ90,0))*BQ90,SUM(EE90:EH90)),0)</f>
        <v>#VALUE!</v>
      </c>
      <c r="EJ90" s="1595" t="e">
        <f aca="false">DZ90-EE90</f>
        <v>#VALUE!</v>
      </c>
      <c r="EK90" s="1596" t="e">
        <f aca="false">EA90-EF90</f>
        <v>#VALUE!</v>
      </c>
      <c r="EL90" s="1596" t="e">
        <f aca="false">EB90-EG90</f>
        <v>#VALUE!</v>
      </c>
      <c r="EM90" s="1596" t="e">
        <f aca="false">EC90-EH90</f>
        <v>#VALUE!</v>
      </c>
      <c r="EN90" s="1597" t="e">
        <f aca="false">ED90-EI90</f>
        <v>#VALUE!</v>
      </c>
      <c r="EO90" s="1551" t="e">
        <f aca="false">DH90*BH90</f>
        <v>#VALUE!</v>
      </c>
      <c r="EP90" s="1551" t="e">
        <f aca="false">DI90*BI90</f>
        <v>#VALUE!</v>
      </c>
      <c r="EQ90" s="1551" t="e">
        <f aca="false">DW90*BJ90</f>
        <v>#VALUE!</v>
      </c>
      <c r="ER90" s="1551" t="e">
        <f aca="false">DX90*BK90</f>
        <v>#VALUE!</v>
      </c>
      <c r="ES90" s="1551" t="e">
        <f aca="false">DY90*BS90</f>
        <v>#VALUE!</v>
      </c>
      <c r="ET90" s="1566" t="e">
        <f aca="false">IF(EI90,IF(OCallPut,IF(CA90&gt;(CT90+CW90),CA90-(CT90+CW90),0),IF((CT90+CW90)&gt;CA90,(CT90+CW90)-CA90,0))*BH90,0)</f>
        <v>#VALUE!</v>
      </c>
      <c r="EU90" s="1551" t="e">
        <f aca="false">IF(EI90,IF(OCallPut,IF(CB90&gt;(CT90+CX90),CB90-(CT90+CX90),0),IF((CT90+CX90)&gt;CB90,(CT90+CX90)-CB90,0))*BI90,0)</f>
        <v>#VALUE!</v>
      </c>
      <c r="EV90" s="1551" t="e">
        <f aca="false">IF(EI90,IF(OCallPut,IF(CC90&gt;(CT90+CY90),CC90-(CT90+CY90),0),IF((CT90+CY90)&gt;CC90,(CT90+CY90)-CC90,0))*BJ90,0)</f>
        <v>#VALUE!</v>
      </c>
      <c r="EW90" s="1551" t="e">
        <f aca="false">IF(EI90,IF(OCallPut,IF(CD90&gt;(CT90+CZ90),CD90-(CT90+CZ90),0),IF((CT90+CZ90)&gt;CD90,(CT90+CZ90)-CD90,0))*BK90,0)</f>
        <v>#VALUE!</v>
      </c>
      <c r="EX90" s="1558" t="e">
        <f aca="false">IF(EI90,SUM(ET90:EW90),0)</f>
        <v>#VALUE!</v>
      </c>
      <c r="EY90" s="1551" t="e">
        <f aca="false">EO90-ET90</f>
        <v>#VALUE!</v>
      </c>
      <c r="EZ90" s="1551" t="e">
        <f aca="false">EP90-EU90</f>
        <v>#VALUE!</v>
      </c>
      <c r="FA90" s="1551" t="e">
        <f aca="false">EQ90-EV90</f>
        <v>#VALUE!</v>
      </c>
      <c r="FB90" s="1551" t="e">
        <f aca="false">ER90-EW90</f>
        <v>#VALUE!</v>
      </c>
      <c r="FC90" s="1551" t="e">
        <f aca="false">ES90-EX90</f>
        <v>#VALUE!</v>
      </c>
      <c r="FD90" s="1525" t="n">
        <f aca="false">IF(AX90,IF(VLOOKUP(C90,MAIN!$L$17:$M$28,2)="Yes",VLOOKUP(CALC!B90,MAIN!$H$17:$I$20,2),0),0)</f>
        <v>0</v>
      </c>
      <c r="FE90" s="1552" t="e">
        <f aca="false">$FD90*16*AT90*(1-$AY90)</f>
        <v>#VALUE!</v>
      </c>
      <c r="FF90" s="1553" t="e">
        <f aca="false">$FD90*16*AU90*(1-$AY90)</f>
        <v>#VALUE!</v>
      </c>
      <c r="FG90" s="1553" t="e">
        <f aca="false">$FD90*16*(AV90+AW90)*(1-$AY90)</f>
        <v>#VALUE!</v>
      </c>
      <c r="FH90" s="1554" t="n">
        <f aca="false">$FD90*8*AX90*(1-$AY90)</f>
        <v>0</v>
      </c>
      <c r="FI90" s="1555" t="n">
        <f aca="false">IF(AX90,VLOOKUP(CALC!B90,MAIN!$H$17:$K$20,4),0)</f>
        <v>0</v>
      </c>
      <c r="FJ90" s="1553" t="e">
        <f aca="false">SUM(FE90:FH90)</f>
        <v>#VALUE!</v>
      </c>
      <c r="FK90" s="1556" t="e">
        <f aca="false">FI90*FJ90</f>
        <v>#VALUE!</v>
      </c>
      <c r="FL90" s="1551" t="e">
        <f aca="false">IF($EI90&gt;0,MIN(FE90,AZ90*(1+VLOOKUP($C90,WeatherCapacityAdjustment,2))),0)</f>
        <v>#VALUE!</v>
      </c>
      <c r="FM90" s="1551" t="e">
        <f aca="false">IF($EI90&gt;0,MIN(FF90,BA90*(1+VLOOKUP($C90,WeatherCapacityAdjustment,2))),0)</f>
        <v>#VALUE!</v>
      </c>
      <c r="FN90" s="1551" t="e">
        <f aca="false">IF($EI90&gt;0,MIN(FG90,BB90*(1+VLOOKUP($C90,WeatherCapacityAdjustment,2))),0)</f>
        <v>#VALUE!</v>
      </c>
      <c r="FO90" s="1564" t="e">
        <f aca="false">IF($EI90&gt;0,MIN(FH90,BC90*(1+VLOOKUP($C90,WeatherCapacityAdjustment,3))),0)</f>
        <v>#VALUE!</v>
      </c>
      <c r="FP90" s="1551" t="e">
        <f aca="false">IF(ET90&gt;0,MIN(FE90-FL90,BH90*(1+VLOOKUP($C90,WeatherCapacityAdjustment,2))),0)</f>
        <v>#VALUE!</v>
      </c>
      <c r="FQ90" s="1551" t="e">
        <f aca="false">IF(EU90&gt;0,MIN(FF90-FM90,BI90*(1+VLOOKUP($C90,WeatherCapacityAdjustment,2))),0)</f>
        <v>#VALUE!</v>
      </c>
      <c r="FR90" s="1551" t="e">
        <f aca="false">IF(EV90&gt;0,MIN(FG90-FN90,BJ90*(1+VLOOKUP($C90,WeatherCapacityAdjustment,2))),0)</f>
        <v>#VALUE!</v>
      </c>
      <c r="FS90" s="1558" t="e">
        <f aca="false">IF(EW90&gt;0,MIN(FH90-FO90,BK90*(1+VLOOKUP($C90,WeatherCapacityAdjustment,3))),0)</f>
        <v>#VALUE!</v>
      </c>
      <c r="FT90" s="1566" t="e">
        <f aca="false">IF(AND(Assumptions!$H$71="Yes",A90&gt;=Assumptions!$H$72,A90&lt;=Assumptions!$H$73),0,IF(AND($A90&gt;=Assumptions!$C$17,$A90&lt;=Assumptions!$C$18),MAX(AZ90*(1+VLOOKUP($C90,WeatherCapacityAdjustment,2))-FL90,0),0))</f>
        <v>#VALUE!</v>
      </c>
      <c r="FU90" s="1551" t="e">
        <f aca="false">IF(AND(Assumptions!$H$71="Yes",A90&gt;=Assumptions!$H$72,A90&lt;=Assumptions!$H$73),0,IF(AND($A90&gt;=Assumptions!$C$17,$A90&lt;=Assumptions!$C$18),MAX(BA90*(1+VLOOKUP($C90,WeatherCapacityAdjustment,2))-FM90,0),0))</f>
        <v>#VALUE!</v>
      </c>
      <c r="FV90" s="1551" t="e">
        <f aca="false">IF(AND(Assumptions!$H$71="Yes",A90&gt;=Assumptions!$H$72,A90&lt;=Assumptions!$H$73),0,IF(AND($A90&gt;=Assumptions!$C$17,$A90&lt;=Assumptions!$C$18),MAX(BB90*(1+VLOOKUP($C90,WeatherCapacityAdjustment,2))-FN90,0),0))</f>
        <v>#VALUE!</v>
      </c>
      <c r="FW90" s="1564" t="e">
        <f aca="false">IF(AND(Assumptions!$H$71="Yes",A90&gt;=Assumptions!$H$72,A90&lt;=Assumptions!$H$73),0,IF(AND($A90&gt;=Assumptions!$C$17,$A90&lt;=Assumptions!$C$18),MAX(BC90*(1+VLOOKUP($C90,WeatherCapacityAdjustment,3))-FO90,0),0))</f>
        <v>#VALUE!</v>
      </c>
      <c r="FX90" s="1569" t="e">
        <f aca="false">IF(AND(Assumptions!$H$71="Yes",A90&gt;=Assumptions!$H$72,A90&lt;=Assumptions!$H$73),0,IF(ET90&gt;0,MAX(BH90*(1+VLOOKUP($C90,WeatherCapacityAdjustment,2))-FP90,0),0))</f>
        <v>#VALUE!</v>
      </c>
      <c r="FY90" s="1551" t="e">
        <f aca="false">IF(AND(Assumptions!$H$71="Yes",A90&gt;=Assumptions!$H$72,A90&lt;=Assumptions!$H$73),0,IF(EU90&gt;0,MAX(BI90*(1+VLOOKUP($C90,WeatherCapacityAdjustment,3))-FQ90,0),0))</f>
        <v>#VALUE!</v>
      </c>
      <c r="FZ90" s="1551" t="e">
        <f aca="false">IF(AND(Assumptions!$H$71="Yes",A90&gt;=Assumptions!$H$72,A90&lt;=Assumptions!$H$73),0,IF(EV90&gt;0,MAX(BJ90*(1+VLOOKUP($C90,WeatherCapacityAdjustment,2))-FR90,0),0))</f>
        <v>#VALUE!</v>
      </c>
      <c r="GA90" s="1564" t="e">
        <f aca="false">IF(AND(Assumptions!$H$71="Yes",A90&gt;=Assumptions!$H$72,A90&lt;=Assumptions!$H$73),0,IF(EW90&gt;0,MAX(BK90*(1+VLOOKUP($C90,WeatherCapacityAdjustment,2))-FS90,0),0))</f>
        <v>#VALUE!</v>
      </c>
      <c r="GB90" s="1551" t="e">
        <f aca="false">SUM(FT90:GA90)</f>
        <v>#VALUE!</v>
      </c>
      <c r="GC90" s="1563" t="e">
        <f aca="false">+IF(SUM(FT90:GA90)=0,0,(SUMPRODUCT(BU90:BX90,FT90:FW90)+SUMPRODUCT(CA90:CD90,FX90:GA90))/SUM(FT90:GA90))</f>
        <v>#VALUE!</v>
      </c>
      <c r="GD90" s="1551" t="e">
        <f aca="false">(FT90*BU90+FX90*CA90+FU90*BV90+FY90*CB90+FV90*BW90+FZ90*CC90+FW90*BX90+GA90*CD90)</f>
        <v>#VALUE!</v>
      </c>
      <c r="GE90" s="1561" t="e">
        <f aca="false">+IF(BQ90,((FL90+FM90+FT90+FU90)*HeatRatePeak/1000*(1+VLOOKUP($C90,WeatherHeatRateAdjustment,2))+(FN90+FV90)*IF(EV90&gt;0,HeatRatePeak,HeatRateOffPeak)/1000*(1+VLOOKUP($C90,WeatherHeatRateAdjustment,2))+(FO90+FW90)*IF(EW90&gt;0,HeatRatePeak,HeatRateOffPeak)/1000*(1+VLOOKUP($C90,WeatherHeatRateAdjustment,3)))*(1+VLOOKUP($B90,HeatRateDegradation,$C90+1)),0)</f>
        <v>#VALUE!</v>
      </c>
      <c r="GF90" s="1562" t="e">
        <f aca="false">IF(BQ90,((FP90+FQ90+FR90+FX90+FY90+FZ90)*HeatRatePeak/1000*(1+VLOOKUP($C90,WeatherHeatRateAdjustment,2))+(FS90+GA90)*HeatRatePeak/1000*(1+VLOOKUP($C90,WeatherHeatRateAdjustment,3)))*(1+VLOOKUP($B90,HeatRateDegradation,$C90+1)),0)</f>
        <v>#VALUE!</v>
      </c>
      <c r="GG90" s="1563" t="e">
        <f aca="false">IF(BQ90,VLOOKUP(A90,GasTable,13),0)</f>
        <v>#VALUE!</v>
      </c>
      <c r="GH90" s="1564" t="e">
        <f aca="false">(GE90+GF90)*GG90</f>
        <v>#VALUE!</v>
      </c>
      <c r="GI90" s="1569" t="e">
        <f aca="false">GB90</f>
        <v>#VALUE!</v>
      </c>
      <c r="GJ90" s="1598" t="e">
        <f aca="false">+DA90</f>
        <v>#VALUE!</v>
      </c>
      <c r="GK90" s="1558" t="e">
        <f aca="false">+GI90*GJ90</f>
        <v>#VALUE!</v>
      </c>
      <c r="GL90" s="1566" t="e">
        <f aca="false">MAX(FE90-FL90-FP90,0)</f>
        <v>#VALUE!</v>
      </c>
      <c r="GM90" s="1551" t="e">
        <f aca="false">MAX(FF90-FM90-FQ90,0)</f>
        <v>#VALUE!</v>
      </c>
      <c r="GN90" s="1551" t="e">
        <f aca="false">MAX(FG90-FN90-FR90,0)</f>
        <v>#VALUE!</v>
      </c>
      <c r="GO90" s="1564" t="e">
        <f aca="false">MAX(FH90-FO90-FS90,0)</f>
        <v>#VALUE!</v>
      </c>
      <c r="GP90" s="1551" t="e">
        <f aca="false">SUM(GL90:GO90)</f>
        <v>#VALUE!</v>
      </c>
      <c r="GQ90" s="1563" t="e">
        <f aca="false">IF(SUM(GL90:GO90)=0,0,((GL90*BU90+GM90*BV90+GN90*BW90+GO90*BX90)/SUM(GL90:GO90)))</f>
        <v>#VALUE!</v>
      </c>
      <c r="GR90" s="1558" t="e">
        <f aca="false">(GL90*BU90+GM90*BV90+GN90*BW90+GO90*BX90)</f>
        <v>#VALUE!</v>
      </c>
      <c r="GS90" s="1566" t="n">
        <f aca="false">IF($A90&gt;=BegDate,Assumptions!$C$56*24*($A91-$A90)*(1-VLOOKUP($B90,MAIN!$AA$7:$AM$28,$C90+1))*(1-VLOOKUP($B90,MAIN!$AA$33:$AM$54,$C90+1)),0)*80/168</f>
        <v>249428.571428571</v>
      </c>
      <c r="GT90" s="286" t="n">
        <f aca="false">J90</f>
        <v>31.702373032217</v>
      </c>
      <c r="GU90" s="286" t="n">
        <f aca="false">IF($A90&gt;=BegDate,VLOOKUP($A90,GasTable,13)+Assumptions!$C$58,0)</f>
        <v>2.45455537242088</v>
      </c>
      <c r="GV90" s="286" t="n">
        <f aca="false">GU90*Assumptions!$C$57/1000</f>
        <v>17.7955264500514</v>
      </c>
      <c r="GW90" s="1558" t="n">
        <f aca="false">IF(Assumptions!$C$60="Hourly",MAX(0,GS90*(GT90-GV90)),GS90*(GT90-GV90))</f>
        <v>3468764.87606588</v>
      </c>
      <c r="GX90" s="1566" t="n">
        <f aca="false">IF($A90&gt;=BegDate,Assumptions!$C$56*24*($A91-$A90)*(1-VLOOKUP($B90,MAIN!$AA$7:$AM$28,$C90+1))*(1-VLOOKUP($B90,MAIN!$AA$33:$AM$54,$C90+1)),0)*16/168</f>
        <v>49885.7142857143</v>
      </c>
      <c r="GY90" s="286" t="n">
        <f aca="false">M90</f>
        <v>31.702373032217</v>
      </c>
      <c r="GZ90" s="286" t="n">
        <f aca="false">IF($A90&gt;=BegDate,VLOOKUP($A90,GasTable,13)+Assumptions!$C$58,0)</f>
        <v>2.45455537242088</v>
      </c>
      <c r="HA90" s="286" t="n">
        <f aca="false">GZ90*Assumptions!$C$57/1000</f>
        <v>17.7955264500514</v>
      </c>
      <c r="HB90" s="1558" t="n">
        <f aca="false">IF(Assumptions!$C$60="Hourly",MAX(0,GX90*(GY90-HA90)),GX90*(GY90-HA90))</f>
        <v>693752.975213177</v>
      </c>
      <c r="HC90" s="1566" t="n">
        <f aca="false">IF($A90&gt;=BegDate,Assumptions!$C$56*24*($A91-$A90)*(1-VLOOKUP($B90,MAIN!$AA$7:$AM$28,$C90+1))*(1-VLOOKUP($B90,MAIN!$AA$33:$AM$54,$C90+1)),0)*16/168</f>
        <v>49885.7142857143</v>
      </c>
      <c r="HD90" s="286" t="n">
        <f aca="false">P90</f>
        <v>18.5626477729704</v>
      </c>
      <c r="HE90" s="286" t="n">
        <f aca="false">IF($A90&gt;=BegDate,VLOOKUP($A90,GasTable,13)+Assumptions!$C$58,0)</f>
        <v>2.45455537242088</v>
      </c>
      <c r="HF90" s="286" t="n">
        <f aca="false">HE90*Assumptions!$C$57/1000</f>
        <v>17.7955264500514</v>
      </c>
      <c r="HG90" s="1558" t="n">
        <f aca="false">IF(Assumptions!$C$60="Hourly",MAX(0,HC90*(HD90-HF90)),HC90*(HD90-HF90))</f>
        <v>38268.3951376192</v>
      </c>
      <c r="HH90" s="1566" t="n">
        <f aca="false">IF($A90&gt;=BegDate,Assumptions!$C$56*24*($A91-$A90)*(1-VLOOKUP($B90,MAIN!$AA$7:$AM$28,$C90+1))*(1-VLOOKUP($B90,MAIN!$AA$33:$AM$54,$C90+1)),0)*56/168</f>
        <v>174600</v>
      </c>
      <c r="HI90" s="286" t="n">
        <f aca="false">S90</f>
        <v>18.5626477729704</v>
      </c>
      <c r="HJ90" s="286" t="n">
        <f aca="false">IF($A90&gt;=BegDate,VLOOKUP($A90,GasTable,13)+Assumptions!$C$58,0)</f>
        <v>2.45455537242088</v>
      </c>
      <c r="HK90" s="286" t="n">
        <f aca="false">HJ90*Assumptions!$C$57/1000</f>
        <v>17.7955264500514</v>
      </c>
      <c r="HL90" s="1558" t="n">
        <f aca="false">IF(Assumptions!$C$60="Hourly",MAX(0,HH90*(HI90-HK90)),HH90*(HI90-HK90))</f>
        <v>133939.382981667</v>
      </c>
      <c r="HM90" s="1566" t="n">
        <f aca="false">IF(AND(Assumptions!$H$71="Yes",A90&gt;=Assumptions!$H$72,A90&lt;=Assumptions!$H$73),Assumptions!$H$74*Assumptions!$C$9*1000,0)</f>
        <v>0</v>
      </c>
      <c r="HN90" s="1551"/>
      <c r="HO90" s="1563"/>
      <c r="HP90" s="1563"/>
      <c r="HQ90" s="1563"/>
      <c r="HR90" s="1563"/>
      <c r="HS90" s="1563"/>
      <c r="HT90" s="1563"/>
      <c r="HU90" s="1563"/>
      <c r="HV90" s="1563"/>
      <c r="HW90" s="1563"/>
      <c r="HX90" s="1563"/>
      <c r="HY90" s="1563"/>
      <c r="HZ90" s="1563"/>
      <c r="IA90" s="1563"/>
      <c r="IB90" s="1563"/>
      <c r="IC90" s="1563"/>
      <c r="ID90" s="1563"/>
      <c r="IE90" s="1563"/>
      <c r="IF90" s="1563"/>
      <c r="IG90" s="1563"/>
      <c r="IH90" s="1563"/>
      <c r="II90" s="1610"/>
      <c r="IJ90" s="1309"/>
      <c r="IK90" s="1309"/>
    </row>
    <row r="91" customFormat="false" ht="12.75" hidden="false" customHeight="false" outlineLevel="0" collapsed="false">
      <c r="A91" s="1571" t="n">
        <f aca="false">EOMONTH(A90,0)+1</f>
        <v>38899</v>
      </c>
      <c r="B91" s="594" t="n">
        <f aca="false">+YEAR(A91)</f>
        <v>2006</v>
      </c>
      <c r="C91" s="238" t="n">
        <f aca="false">MONTH(A91)</f>
        <v>7</v>
      </c>
      <c r="D91" s="1572" t="e">
        <f aca="false">IF(E91="","",Holiday(B91,C91))</f>
        <v>#VALUE!</v>
      </c>
      <c r="E91" s="1573" t="n">
        <f aca="false">IF(OR(BegDate&gt;=A92,EndDate&lt;A91,AND(VolumeMonthlyOverFlag,INDEX(VolumeMonthlyOver,C91)=0),NOT(INDEX(MonthKnockOutTable,C91))),"",MAX(A91,BegDate))</f>
        <v>38899</v>
      </c>
      <c r="F91" s="1574" t="n">
        <f aca="false">IF(E91="","",MIN(A92-1,EndDate))</f>
        <v>38929</v>
      </c>
      <c r="G91" s="1575" t="n">
        <v>0</v>
      </c>
      <c r="H91" s="1576" t="n">
        <f aca="false">(1+G91/2)^(-2*(DATE(B92,C92,20)-DateToday)/365.25)</f>
        <v>1</v>
      </c>
      <c r="I91" s="1568" t="n">
        <f aca="false">IF(Assumptions!$L$25=4,VLOOKUP($A91,'Henwood Reference'!$E$9:$R$320,10),(VLOOKUP($A91,PriceTable,2,0)+IF(BasisNumber&lt;&gt;1,VLOOKUP($A91,BasisTable,2,0),0)+I$1)/(1-I$2))</f>
        <v>55.2298204467547</v>
      </c>
      <c r="J91" s="1568" t="n">
        <f aca="false">IF(Assumptions!$L$25=4,VLOOKUP($A91,'Henwood Reference'!$E$9:$R$320,10),(VLOOKUP($A91,PriceTable,3,0)+IF(BasisNumber&lt;&gt;1,VLOOKUP($A91,BasisTable,2,0),0)+J$1)/(1-J$2))</f>
        <v>55.2298204467547</v>
      </c>
      <c r="K91" s="1568" t="n">
        <f aca="false">IF(Assumptions!$L$25=4,VLOOKUP($A91,'Henwood Reference'!$E$9:$R$320,10),(VLOOKUP($A91,PriceTable,4,0)+IF(BasisNumber&lt;&gt;1,VLOOKUP($A91,BasisTable,2,0),0)+K$1)/(1-K$2))</f>
        <v>55.2298204467547</v>
      </c>
      <c r="L91" s="1523" t="n">
        <f aca="false">IF(Assumptions!$L$25=4,VLOOKUP($A91,'Henwood Reference'!$E$9:$R$320,10),(VLOOKUP($A91,PriceTableWeekend,2,0)+IF(BasisNumber&lt;&gt;1,VLOOKUP($A91,BasisTable,2,0),0)+L$1)/(1-L$2))</f>
        <v>55.2298204467547</v>
      </c>
      <c r="M91" s="1568" t="n">
        <f aca="false">IF(Assumptions!$L$25=4,VLOOKUP($A91,'Henwood Reference'!$E$9:$R$320,10),(VLOOKUP($A91,PriceTableWeekend,3,0)+IF(BasisNumber&lt;&gt;1,VLOOKUP($A91,BasisTable,2,0),0)+M$1)/(1-M$2))</f>
        <v>55.2298204467547</v>
      </c>
      <c r="N91" s="1599" t="n">
        <f aca="false">IF(Assumptions!$L$25=4,VLOOKUP($A91,'Henwood Reference'!$E$9:$R$320,10),(VLOOKUP($A91,PriceTableWeekend,4,0)+IF(BasisNumber&lt;&gt;1,VLOOKUP($A91,BasisTable,2,0),0)+N$1)/(1-N$2))</f>
        <v>55.2298204467547</v>
      </c>
      <c r="O91" s="1568" t="n">
        <f aca="false">IF(Assumptions!$L$25=4,VLOOKUP($A91,'Henwood Reference'!$E$9:$R$320,11),(VLOOKUP($A91,PriceTableWeekend,6,0)+IF(BasisNumber&lt;&gt;1,VLOOKUP($A91,BasisTable,3,0),0)+O$1)/(1-O$2))</f>
        <v>24.6354786188516</v>
      </c>
      <c r="P91" s="1568" t="n">
        <f aca="false">IF(Assumptions!$L$25=4,VLOOKUP($A91,'Henwood Reference'!$E$9:$R$320,11),(VLOOKUP($A91,PriceTableWeekend,7,0)+IF(BasisNumber&lt;&gt;1,VLOOKUP($A91,BasisTable,3,0),0)+P$1)/(1-P$2))</f>
        <v>24.6354786188516</v>
      </c>
      <c r="Q91" s="1599" t="n">
        <f aca="false">IF(Assumptions!$L$25=4,VLOOKUP($A91,'Henwood Reference'!$E$9:$R$320,11),(VLOOKUP($A91,PriceTableWeekend,8,0)+IF(BasisNumber&lt;&gt;1,VLOOKUP($A91,BasisTable,3,0),0)+Q$1)/(1-Q$2))</f>
        <v>24.6354786188516</v>
      </c>
      <c r="R91" s="1568" t="n">
        <f aca="false">IF(Assumptions!$L$25=4,VLOOKUP($A91,'Henwood Reference'!$E$9:$R$320,11),(VLOOKUP($A91,PriceTable,6,0)+IF(BasisNumber&lt;&gt;1,VLOOKUP($A91,BasisTable,3,0),0)+R$1)/(1-R$2))</f>
        <v>24.6354786188516</v>
      </c>
      <c r="S91" s="1568" t="n">
        <f aca="false">IF(Assumptions!$L$25=4,VLOOKUP($A91,'Henwood Reference'!$E$9:$R$320,11),(VLOOKUP($A91,PriceTable,7,0)+IF(BasisNumber&lt;&gt;1,VLOOKUP($A91,BasisTable,3,0),0)+S$1)/(1-S$2))</f>
        <v>24.6354786188516</v>
      </c>
      <c r="T91" s="1600" t="n">
        <f aca="false">IF(Assumptions!$L$25=4,VLOOKUP($A91,'Henwood Reference'!$E$9:$R$320,11),(VLOOKUP($A91,PriceTable,8,0)+IF(BasisNumber&lt;&gt;1,VLOOKUP($A91,BasisTable,3,0),0)+T$1)/(1-T$2))</f>
        <v>24.6354786188516</v>
      </c>
      <c r="U91" s="1513" t="n">
        <f aca="false">VLOOKUP($A91,VolatilityTable,14)</f>
        <v>0.14</v>
      </c>
      <c r="V91" s="1513" t="n">
        <f aca="false">VLOOKUP($A91,VolatilityTable,15)</f>
        <v>0.15</v>
      </c>
      <c r="W91" s="1514" t="n">
        <f aca="false">VLOOKUP($A91,VolatilityTable,16)</f>
        <v>0.16</v>
      </c>
      <c r="X91" s="1513" t="n">
        <f aca="false">VLOOKUP($A91,VolatilityTable,14)</f>
        <v>0.14</v>
      </c>
      <c r="Y91" s="1513" t="n">
        <f aca="false">VLOOKUP($A91,VolatilityTable,15)</f>
        <v>0.15</v>
      </c>
      <c r="Z91" s="1514" t="n">
        <f aca="false">VLOOKUP($A91,VolatilityTable,16)</f>
        <v>0.16</v>
      </c>
      <c r="AA91" s="1513" t="n">
        <f aca="false">VLOOKUP($A91,VolatilityTable,18)</f>
        <v>0.09</v>
      </c>
      <c r="AB91" s="1513" t="n">
        <f aca="false">VLOOKUP($A91,VolatilityTable,19)</f>
        <v>0.11</v>
      </c>
      <c r="AC91" s="1514" t="n">
        <f aca="false">VLOOKUP($A91,VolatilityTable,20)</f>
        <v>0.13</v>
      </c>
      <c r="AD91" s="1513" t="n">
        <f aca="false">VLOOKUP($A91,VolatilityTable,18)</f>
        <v>0.09</v>
      </c>
      <c r="AE91" s="1513" t="n">
        <f aca="false">VLOOKUP($A91,VolatilityTable,19)</f>
        <v>0.11</v>
      </c>
      <c r="AF91" s="1514" t="n">
        <f aca="false">VLOOKUP($A91,VolatilityTable,20)</f>
        <v>0.13</v>
      </c>
      <c r="AG91" s="1513" t="n">
        <f aca="false">VLOOKUP($A91,VolatilityTable,22)</f>
        <v>-0.35</v>
      </c>
      <c r="AH91" s="1513" t="n">
        <f aca="false">VLOOKUP($A91,VolatilityTable,23)</f>
        <v>3</v>
      </c>
      <c r="AI91" s="1514" t="n">
        <f aca="false">VLOOKUP($A91,VolatilityTable,24)</f>
        <v>0.35</v>
      </c>
      <c r="AJ91" s="1513" t="n">
        <f aca="false">VLOOKUP($A91,VolatilityTable,22)</f>
        <v>-0.35</v>
      </c>
      <c r="AK91" s="1513" t="n">
        <f aca="false">VLOOKUP($A91,VolatilityTable,23)</f>
        <v>3</v>
      </c>
      <c r="AL91" s="1514" t="n">
        <f aca="false">VLOOKUP($A91,VolatilityTable,24)</f>
        <v>0.35</v>
      </c>
      <c r="AM91" s="1513" t="n">
        <f aca="false">VLOOKUP($A91,VolatilityTable,26)</f>
        <v>-0.01</v>
      </c>
      <c r="AN91" s="1513" t="n">
        <f aca="false">VLOOKUP($A91,VolatilityTable,27)</f>
        <v>0.16</v>
      </c>
      <c r="AO91" s="1514" t="n">
        <f aca="false">VLOOKUP($A91,VolatilityTable,28)</f>
        <v>0.01</v>
      </c>
      <c r="AP91" s="1513" t="n">
        <f aca="false">VLOOKUP($A91,VolatilityTable,26)</f>
        <v>-0.01</v>
      </c>
      <c r="AQ91" s="1513" t="n">
        <f aca="false">VLOOKUP($A91,VolatilityTable,27)</f>
        <v>0.16</v>
      </c>
      <c r="AR91" s="1515" t="n">
        <f aca="false">VLOOKUP($A91,VolatilityTable,28)</f>
        <v>0.01</v>
      </c>
      <c r="AS91" s="1581" t="n">
        <f aca="false">IF(CorrPeakOffPeakOverFlag,INDEX(CorrPeakOffPeakOver,C91),CorrPeakOffPeak)</f>
        <v>0.5</v>
      </c>
      <c r="AT91" s="594" t="e">
        <f aca="false">AX91-SUM(AU91:AW91)</f>
        <v>#VALUE!</v>
      </c>
      <c r="AU91" s="238" t="e">
        <f aca="false">IF(E91="",0,INT((F91-MOD(F91,7)-E91)/7)+1-IF(AW91,IF(WEEKDAY(D91)=7,1,0),0))</f>
        <v>#VALUE!</v>
      </c>
      <c r="AV91" s="238" t="e">
        <f aca="false">IF(E91="",0,INT((F91-MOD(F91-1,7)-E91)/7)+1-IF(AW91,IF(WEEKDAY(D91)=1,1,0),0))</f>
        <v>#VALUE!</v>
      </c>
      <c r="AW91" s="238" t="e">
        <f aca="false">IF(OR(E91="",D91="",D91&lt;BegDate,D91&gt;EndDate),0,1)</f>
        <v>#VALUE!</v>
      </c>
      <c r="AX91" s="238" t="n">
        <f aca="false">IF(E91="",0,F91-E91+1)</f>
        <v>31</v>
      </c>
      <c r="AY91" s="1582" t="n">
        <f aca="false">IF(E91="",0,MIN((1-(1-VLOOKUP(B91,MAIN!$AA$7:$AM$28,C91+1))*(1-VLOOKUP(B91,MAIN!$AA$33:$AM$54,C91+1))),1))</f>
        <v>0.03</v>
      </c>
      <c r="AZ91" s="1519" t="e">
        <v>#VALUE!</v>
      </c>
      <c r="BA91" s="1520" t="e">
        <v>#VALUE!</v>
      </c>
      <c r="BB91" s="1520" t="e">
        <v>#VALUE!</v>
      </c>
      <c r="BC91" s="1583" t="e">
        <v>#VALUE!</v>
      </c>
      <c r="BD91" s="1522" t="e">
        <v>#VALUE!</v>
      </c>
      <c r="BE91" s="1523" t="e">
        <v>#VALUE!</v>
      </c>
      <c r="BF91" s="1523" t="e">
        <v>#VALUE!</v>
      </c>
      <c r="BG91" s="1584" t="e">
        <v>#VALUE!</v>
      </c>
      <c r="BH91" s="1525" t="e">
        <v>#VALUE!</v>
      </c>
      <c r="BI91" s="1520" t="e">
        <v>#VALUE!</v>
      </c>
      <c r="BJ91" s="1520" t="e">
        <v>#VALUE!</v>
      </c>
      <c r="BK91" s="1583" t="e">
        <v>#VALUE!</v>
      </c>
      <c r="BL91" s="1522" t="e">
        <v>#VALUE!</v>
      </c>
      <c r="BM91" s="1523" t="e">
        <v>#VALUE!</v>
      </c>
      <c r="BN91" s="1523" t="e">
        <v>#VALUE!</v>
      </c>
      <c r="BO91" s="1523" t="e">
        <v>#VALUE!</v>
      </c>
      <c r="BP91" s="1525" t="e">
        <f aca="false">SUM(AZ91:BB91)</f>
        <v>#VALUE!</v>
      </c>
      <c r="BQ91" s="1529" t="e">
        <f aca="false">SUM(AZ91:BC91)</f>
        <v>#VALUE!</v>
      </c>
      <c r="BR91" s="1519" t="e">
        <f aca="false">SUM(BH91:BJ91)</f>
        <v>#VALUE!</v>
      </c>
      <c r="BS91" s="1529" t="e">
        <f aca="false">SUM(BH91:BK91)</f>
        <v>#VALUE!</v>
      </c>
      <c r="BT91" s="1316" t="n">
        <f aca="false">(IF(OVolType&lt;&gt;2,A91+14,IF(OptExpDateShift,ShiftBack(A91,OptExpDateShift,D90),A91))-DateToday)/365.25</f>
        <v>6.21218343600274</v>
      </c>
      <c r="BU91" s="1585" t="e">
        <f aca="false">IF(BQ91,IF(OPriceCurve,IF(OBuySell=OCallPut,I91/(1-AY91),K91/(1-AY91)),J91/(1-AY91))*BD91,0)</f>
        <v>#VALUE!</v>
      </c>
      <c r="BV91" s="1316" t="e">
        <f aca="false">IF(BQ91,IF(OPriceCurve,IF(OBuySell=OCallPut,L91/(1-AY91),N91/(1-AY91)),M91/(1-AY91))*BE91,0)</f>
        <v>#VALUE!</v>
      </c>
      <c r="BW91" s="1316" t="e">
        <f aca="false">IF(BQ91,IF(OPriceCurve,IF(OBuySell=OCallPut,O91/(1-AY91),Q91/(1-AY91)),P91/(1-AY91))*BF91,0)</f>
        <v>#VALUE!</v>
      </c>
      <c r="BX91" s="1316" t="e">
        <f aca="false">IF(BQ91,IF(OPriceCurve,IF(OBuySell=OCallPut,R91/(1-AY91),T91/(1-AY91)),S91/(1-AY91))*BG91,0)</f>
        <v>#VALUE!</v>
      </c>
      <c r="BY91" s="1316" t="e">
        <f aca="false">IF(BP91,(BU91*AZ91+BV91*BA91+BW91*BB91)/BP91,0)</f>
        <v>#VALUE!</v>
      </c>
      <c r="BZ91" s="1316" t="e">
        <f aca="false">IF(BQ91,(BY91*BP91+BX91*BC91)/BQ91,0)</f>
        <v>#VALUE!</v>
      </c>
      <c r="CA91" s="1531" t="e">
        <f aca="false">IF(BS91,IF(OPriceCurve,IF(OBuySell=OCallPut,I91/(1-AY91),K91/(1-AY91)),J91/(1-AY91))*BL91,0)</f>
        <v>#VALUE!</v>
      </c>
      <c r="CB91" s="1316" t="e">
        <f aca="false">IF(BS91,IF(OPriceCurve,IF(OBuySell=OCallPut,L91/(1-AY91),N91/(1-AY91)),M91/(1-AY91))*BM91,0)</f>
        <v>#VALUE!</v>
      </c>
      <c r="CC91" s="1316" t="e">
        <f aca="false">IF(BS91,IF(OPriceCurve,IF(OBuySell=OCallPut,O91/(1-AY91),Q91/(1-AY91)),P91/(1-AY91))*BN91,0)</f>
        <v>#VALUE!</v>
      </c>
      <c r="CD91" s="1316" t="e">
        <f aca="false">IF(BS91,IF(OPriceCurve,IF(OBuySell=OCallPut,R91/(1-AY91),T91/(1-AY91)),S91/(1-AY91))*BO91,0)</f>
        <v>#VALUE!</v>
      </c>
      <c r="CE91" s="1316" t="e">
        <f aca="false">IF(BR91,(BU91*BH91+BV91*BI91+BW91*BJ91)/BR91,0)</f>
        <v>#VALUE!</v>
      </c>
      <c r="CF91" s="1532" t="e">
        <f aca="false">IF(BS91,(CE91*BR91+CD91*BK91)/BS91,0)</f>
        <v>#VALUE!</v>
      </c>
      <c r="CG91" s="1586" t="e">
        <f aca="false">IF(OR(BQ91,BS91),IF(OVolType&lt;&gt;2,SQRT(IF(OVolOverMonthlyPeak,OVolOverMonthlyPeak,IF(OVolCurve,IF(OBuySell,U91,W91),V91))^2*(1-15/365.25/BT91)+IF(OVolOverDailyPeak,OVolOverDailyPeak,IF(OVolCurve,IF(OBuySell,AG91,AI91),AH91))^2*15/365.25/BT91),IF(OVolOverMonthlyPeak,OVolOverMonthlyPeak,IF(OVolCurve,IF(OBuySell,U91,W91),V91))),"")</f>
        <v>#VALUE!</v>
      </c>
      <c r="CH91" s="1587" t="e">
        <f aca="false">IF(OR(BQ91,BS91),IF(OVolType&lt;&gt;2,SQRT(IF(OVolOverMonthlyPeak,OVolOverMonthlyPeak,IF(OVolCurve,IF(OBuySell,X91,Z91),Y91))^2*(1-15/365.25/BT91)+IF(OVolOverDailyPeak,OVolOverDailyPeak,IF(OVolCurve,IF(OBuySell,AJ91,AL91),AK91))^2*15/365.25/BT91),IF(OVolOverMonthlyPeak,OVolOverMonthlyPeak,IF(OVolCurve,IF(OBuySell,X91,Z91),Y91))),"")</f>
        <v>#VALUE!</v>
      </c>
      <c r="CI91" s="1587" t="e">
        <f aca="false">IF(OR(BQ91,BS91),IF(OVolType&lt;&gt;2,SQRT(IF(OVolOverMonthlyPeak,OVolOverMonthlyPeak,IF(OVolCurve,IF(OBuySell,AA91,AC91),AB91))^2*(1-15/365.25/BT91)+IF(OVolOverDailyPeak,OVolOverDailyPeak,IF(OVolCurve,IF(OBuySell,AM91,AO91),AN91))^2*15/365.25/BT91),IF(OVolOverMonthlyPeak,OVolOverMonthlyPeak,IF(OVolCurve,IF(OBuySell,AA91,AC91),AB91))),"")</f>
        <v>#VALUE!</v>
      </c>
      <c r="CJ91" s="1587" t="e">
        <f aca="false">IF(BQ91,IF(BP91,SQRT(LN(1+((BU91*AZ91)^2*(EXP(CG91^2*BT91)-1)+(BV91*BA91)^2*(EXP(CH91^2*BT91)-1)+(BW91*BB91)^2*(EXP(CI91^2*BT91)-1)+2*BU91*AZ91*BV91*BA91*(EXP(CG91*CH91*BT91)-1)+2*BV91*BA91*BW91*BB91*(EXP(CH91*CI91*BT91)-1)+2*BW91*BB91*BU91*AZ91*(EXP(CI91*CG91*BT91)-1))/(BY91*BP91)^2)/BT91),0),"")</f>
        <v>#VALUE!</v>
      </c>
      <c r="CK91" s="1587" t="e">
        <f aca="false">IF(BS91,IF(BR91,SQRT(LN(1+((CA91*BH91)^2*(EXP(CG91^2*BT91)-1)+(CB91*BI91)^2*(EXP(CH91^2*BT91)-1)+(CC91*BJ91)^2*(EXP(CI91^2*BT91)-1)+2*CA91*BH91*CB91*BI91*(EXP(CG91*CH91*BT91)-1)+2*CB91*BI91*CC91*BJ91*(EXP(CH91*CI91*BT91)-1)+2*CC91*BJ91*CA91*BH91*(EXP(CI91*CG91*BT91)-1))/(CE91*BR91)^2)/BT91),0),"")</f>
        <v>#VALUE!</v>
      </c>
      <c r="CL91" s="1587" t="e">
        <f aca="false">IF(OR(BQ91,BS91),IF(OVolType&lt;&gt;2,SQRT(IF(OVolOverMonthlyOffPeak,OVolOverMonthlyOffPeak,IF(OVolCurve,IF(OBuySell,AD91,AF91),AE91))^2*(1-15/365.25/BT91)+IF(OVolOverDailyOffPeak,OVolOverDailyOffPeak,IF(OVolCurve,IF(OBuySell,AP91,AR91),AQ91))^2*15/365.25/BT91),IF(OVolOverMonthlyOffPeak,OVolOverMonthlyOffPeak,IF(OVolCurve,IF(OBuySell,AD91,AF91),AE91))),"")</f>
        <v>#VALUE!</v>
      </c>
      <c r="CM91" s="1587" t="e">
        <f aca="false">IF(BQ91,SQRT(LN(1+((BY91*BP91)^2*(EXP(CJ91^2*BT91)-1)+(BX91*BC91)^2*(EXP(CL91^2*BT91)-1)+2*BY91*BP91*BX91*BC91*(EXP(AS91*CJ91*CL91*BT91)-1))/(BY91*BP91+BX91*BC91)^2)/BT91),"")</f>
        <v>#VALUE!</v>
      </c>
      <c r="CN91" s="1588" t="e">
        <f aca="false">IF(BS91,SQRT(LN(1+((CE91*BR91)^2*(EXP(CK91^2*BT91)-1)+(CD91*BK91)^2*(EXP(CL91^2*BT91)-1)+2*CE91*BR91*CD91*BK91*(EXP(AS91*CK91*CL91*BT91)-1))/(CE91*BR91+CD91*BK91)^2)/BT91),"")</f>
        <v>#VALUE!</v>
      </c>
      <c r="CO91" s="1531" t="e">
        <f aca="false">IF(OR(BQ91,BS91),VLOOKUP(A91,GasTable,13)*HeatRatePeak*(1+VLOOKUP($B91,HeatRateDegradation,$C91+1))/1000,0)</f>
        <v>#VALUE!</v>
      </c>
      <c r="CP91" s="1316" t="e">
        <f aca="false">IF(OR(BQ91,BS91),VLOOKUP(A91,GasTable,13)*HeatRatePeak*(1+VLOOKUP($B91,HeatRateDegradation,$C91+1))/1000,0)</f>
        <v>#VALUE!</v>
      </c>
      <c r="CQ91" s="1316" t="e">
        <f aca="false">IF(OR(BQ91,BS91),VLOOKUP(A91,GasTable,13)*IF(EV91,HeatRatePeak,HeatRateOffPeak)*(1+VLOOKUP($B91,HeatRateDegradation,$C91+1))/1000,0)</f>
        <v>#VALUE!</v>
      </c>
      <c r="CR91" s="1316" t="e">
        <f aca="false">IF(OR(BQ91,BS91),VLOOKUP(A91,GasTable,13)*IF(EW91,HeatRatePeak,HeatRateOffPeak)*(1+VLOOKUP($B91,HeatRateDegradation,$C91+1))/1000,0)</f>
        <v>#VALUE!</v>
      </c>
      <c r="CS91" s="1589" t="e">
        <f aca="false">IF(BQ91,(CO91*AZ91+CP91*BA91+CQ91*BB91+CR91*BC91)/BQ91,0)</f>
        <v>#VALUE!</v>
      </c>
      <c r="CT91" s="1316" t="e">
        <f aca="false">IF(BS91,CO91,0)</f>
        <v>#VALUE!</v>
      </c>
      <c r="CU91" s="1590" t="e">
        <f aca="false">IF(OR(BQ91,BS91),VLOOKUP(A91,GasTable,14),"")</f>
        <v>#VALUE!</v>
      </c>
      <c r="CV91" s="1568" t="e">
        <f aca="false">IF(OR(BQ91,BS91),IF(CorrPowerGasOverFlag,INDEX(CorrPowerGasOver,C91),CorrPowerGas),"")</f>
        <v>#VALUE!</v>
      </c>
      <c r="CW91" s="1316" t="e">
        <f aca="false">IF(OR($BQ91,$BS91),SpreadOptPowerMargin,0)*((1+Assumptions!$C$26)^($B91-YEAR(Assumptions!$C$17)))</f>
        <v>#VALUE!</v>
      </c>
      <c r="CX91" s="1316" t="e">
        <f aca="false">IF(OR($BQ91,$BS91),SpreadOptPowerMargin,0)*((1+Assumptions!$C$26)^($B91-YEAR(Assumptions!$C$17)))</f>
        <v>#VALUE!</v>
      </c>
      <c r="CY91" s="1316" t="e">
        <f aca="false">IF(OR($BQ91,$BS91),SpreadOptPowerMargin,0)*((1+Assumptions!$C$26)^($B91-YEAR(Assumptions!$C$17)))</f>
        <v>#VALUE!</v>
      </c>
      <c r="CZ91" s="1316" t="e">
        <f aca="false">IF(OR($BQ91,$BS91),SpreadOptPowerMargin,0)*((1+Assumptions!$C$26)^($B91-YEAR(Assumptions!$C$17)))</f>
        <v>#VALUE!</v>
      </c>
      <c r="DA91" s="1591" t="e">
        <f aca="false">IF(OR(BQ91,BS91),(CW91*(AZ91+BH91)+CX91*(BA91+BI91)+CY91*(BB91+BJ91)+CZ91*(BC91+BK91))/(BQ91+BS91),0)</f>
        <v>#VALUE!</v>
      </c>
      <c r="DB91" s="1592" t="e">
        <f aca="false">IF(OR(BQ91,BS91),CG91+IF(OVolSmile,VLOOKUP(MAX(-5,CO91+CW91-BU91),IF(OVolSmile=1,VolSmileBook,VolSmileModel),2),0),"")</f>
        <v>#VALUE!</v>
      </c>
      <c r="DC91" s="1592" t="e">
        <f aca="false">IF(OR(BQ91,BS91),CH91+IF(OVolSmile,VLOOKUP(MAX(-5,CP91+CW91-BV91),IF(OVolSmile=1,VolSmileBook,VolSmileModel),2),0),"")</f>
        <v>#VALUE!</v>
      </c>
      <c r="DD91" s="1592" t="e">
        <f aca="false">IF(OR(BQ91,BS91),CI91+IF(OVolSmile,VLOOKUP(MAX(-5,CQ91+CW91-BW91),IF(OVolSmile=1,VolSmileBook,VolSmileModel),2),0),"")</f>
        <v>#VALUE!</v>
      </c>
      <c r="DE91" s="1592" t="e">
        <f aca="false">IF(OR(BQ91,BS91),CL91+IF(OVolSmile,VLOOKUP(MAX(-5,CR91+CZ91-BX91),IF(OVolSmile=1,VolSmileBook,VolSmileModel),2),0),"")</f>
        <v>#VALUE!</v>
      </c>
      <c r="DF91" s="1592" t="e">
        <f aca="false">IF(BQ91,CM91+IF(OVolSmile,VLOOKUP(MAX(-5,CS91+DA91-BZ91),IF(OVolSmile=1,VolSmileBook,VolSmileModel),2),0),"")</f>
        <v>#VALUE!</v>
      </c>
      <c r="DG91" s="1593" t="e">
        <f aca="false">IF(BS91,CN91+IF(OVolSmile,VLOOKUP(MAX(-5,CT91+DA91-CF91),IF(OVolSmile=1,VolSmileBook,VolSmileModel),2),0),"")</f>
        <v>#VALUE!</v>
      </c>
      <c r="DH91" s="1316" t="e">
        <f aca="false">IF(AND(BU91&gt;0,CO91&gt;0,DB91&gt;0,CU91&gt;0),newSPRDOPT(BU91,CO91,CW91,0,DB91,CU91,CV91,BT91*365.25,OCallPut,0),0)</f>
        <v>#VALUE!</v>
      </c>
      <c r="DI91" s="1316" t="e">
        <f aca="false">IF(AND(BV91&gt;0,CP91&gt;0,DC91&gt;0,CU91&gt;0),newSPRDOPT(BV91,CP91,CX91,0,DC91,CU91,CV91,BT91*365.25,OCallPut,0),0)</f>
        <v>#VALUE!</v>
      </c>
      <c r="DJ91" s="1316" t="e">
        <f aca="false">IF(AND(BW91&gt;0,CQ91&gt;0,DD91&gt;0,CU91&gt;0),newSPRDOPT(BW91,CQ91,CY91,0,DD91,CU91,CV91,BT91*365.25,OCallPut,0),0)</f>
        <v>#VALUE!</v>
      </c>
      <c r="DK91" s="1316" t="e">
        <f aca="false">IF(AND(BX91&gt;0,CR91&gt;0,DE91&gt;0,CU91&gt;0),newSPRDOPT(BX91,CR91,CZ91,0,DE91,CU91,CV91,BT91*365.25,OCallPut,0),0)</f>
        <v>#VALUE!</v>
      </c>
      <c r="DL91" s="1316" t="e">
        <f aca="false">IF(OVolType,IF(AND(BZ91&gt;0,CS91&gt;0,DF91&gt;0,CU91&gt;0),newSPRDOPT(BZ91,CS91,DA91,0,DF91,CU91,CV91,BT91*365.25,OCallPut,0),0),IF(BQ91,(DH91*AZ91+DI91*BA91+DJ91*BB91+DK91*BC91)/BQ91,0))</f>
        <v>#VALUE!</v>
      </c>
      <c r="DM91" s="1316"/>
      <c r="DN91" s="1316"/>
      <c r="DO91" s="1316"/>
      <c r="DP91" s="1316"/>
      <c r="DQ91" s="1316"/>
      <c r="DR91" s="1316"/>
      <c r="DS91" s="1316"/>
      <c r="DT91" s="1316"/>
      <c r="DU91" s="1316"/>
      <c r="DV91" s="1316"/>
      <c r="DW91" s="1594" t="e">
        <f aca="false">IF(AND(BW91&gt;0,CT91&gt;0,DD91&gt;0,CU91&gt;0),newSPRDOPT(BW91,CT91,CY91,0,DD91,CU91,CV91,BT91*365.25,OCallPut,0),0)</f>
        <v>#VALUE!</v>
      </c>
      <c r="DX91" s="1316" t="e">
        <f aca="false">IF(AND(BX91&gt;0,CT91&gt;0,DE91&gt;0,CU91&gt;0),newSPRDOPT(BX91,CT91,CZ91,0,DE91,CU91,CV91,BT91*365.25,OCallPut,0),0)</f>
        <v>#VALUE!</v>
      </c>
      <c r="DY91" s="1591" t="e">
        <f aca="false">IF(BS91,(DH91*BH91+DI91*BI91+DW91*BJ91+DX91*BK91)/BS91,0)</f>
        <v>#VALUE!</v>
      </c>
      <c r="DZ91" s="1551" t="e">
        <f aca="false">DH91*AZ91</f>
        <v>#VALUE!</v>
      </c>
      <c r="EA91" s="1551" t="e">
        <f aca="false">DI91*BA91</f>
        <v>#VALUE!</v>
      </c>
      <c r="EB91" s="1551" t="e">
        <f aca="false">DJ91*BB91</f>
        <v>#VALUE!</v>
      </c>
      <c r="EC91" s="1551" t="e">
        <f aca="false">DK91*BC91</f>
        <v>#VALUE!</v>
      </c>
      <c r="ED91" s="1551" t="e">
        <f aca="false">DL91*BQ91</f>
        <v>#VALUE!</v>
      </c>
      <c r="EE91" s="1595" t="e">
        <f aca="false">IF(BQ91,IF(OCallPut,IF(BU91&gt;(CO91+CW91),BU91-(CO91+CW91),0),IF((CO91+CW91)&gt;BU91,(CO91+CW91)-BU91,0))*AZ91,0)</f>
        <v>#VALUE!</v>
      </c>
      <c r="EF91" s="1596" t="e">
        <f aca="false">IF(BQ91,IF(OCallPut,IF(BV91&gt;(CP91+CX91),BV91-(CP91+CX91),0),IF((CP91+CX91)&gt;BV91,(CP91+CX91)-BV91,0))*BA91,0)</f>
        <v>#VALUE!</v>
      </c>
      <c r="EG91" s="1596" t="e">
        <f aca="false">IF(BQ91,IF(OCallPut,IF(BW91&gt;(CQ91+CY91),BW91-(CQ91+CY91),0),IF((CQ91+CY91)&gt;BW91,(CQ91+CY91)-BW91,0))*BB91,0)</f>
        <v>#VALUE!</v>
      </c>
      <c r="EH91" s="1596" t="e">
        <f aca="false">IF(BQ91,IF(OCallPut,IF(BX91&gt;(CR91+CZ91),BX91-(CR91+CZ91),0),IF((CR91+CZ91)&gt;BX91,(CR91+CZ91)-BX91,0))*BC91,0)</f>
        <v>#VALUE!</v>
      </c>
      <c r="EI91" s="1597" t="e">
        <f aca="false">IF(BQ91,IF(OVolType,IF(OCallPut,IF(BZ91&gt;(CS91+DA91),BZ91-(CS91+DA91),0),IF((CS91+DA91)&gt;BZ91,(CS91+DA91)-BZ91,0))*BQ91,SUM(EE91:EH91)),0)</f>
        <v>#VALUE!</v>
      </c>
      <c r="EJ91" s="1595" t="e">
        <f aca="false">DZ91-EE91</f>
        <v>#VALUE!</v>
      </c>
      <c r="EK91" s="1596" t="e">
        <f aca="false">EA91-EF91</f>
        <v>#VALUE!</v>
      </c>
      <c r="EL91" s="1596" t="e">
        <f aca="false">EB91-EG91</f>
        <v>#VALUE!</v>
      </c>
      <c r="EM91" s="1596" t="e">
        <f aca="false">EC91-EH91</f>
        <v>#VALUE!</v>
      </c>
      <c r="EN91" s="1597" t="e">
        <f aca="false">ED91-EI91</f>
        <v>#VALUE!</v>
      </c>
      <c r="EO91" s="1551" t="e">
        <f aca="false">DH91*BH91</f>
        <v>#VALUE!</v>
      </c>
      <c r="EP91" s="1551" t="e">
        <f aca="false">DI91*BI91</f>
        <v>#VALUE!</v>
      </c>
      <c r="EQ91" s="1551" t="e">
        <f aca="false">DW91*BJ91</f>
        <v>#VALUE!</v>
      </c>
      <c r="ER91" s="1551" t="e">
        <f aca="false">DX91*BK91</f>
        <v>#VALUE!</v>
      </c>
      <c r="ES91" s="1551" t="e">
        <f aca="false">DY91*BS91</f>
        <v>#VALUE!</v>
      </c>
      <c r="ET91" s="1566" t="e">
        <f aca="false">IF(EI91,IF(OCallPut,IF(CA91&gt;(CT91+CW91),CA91-(CT91+CW91),0),IF((CT91+CW91)&gt;CA91,(CT91+CW91)-CA91,0))*BH91,0)</f>
        <v>#VALUE!</v>
      </c>
      <c r="EU91" s="1551" t="e">
        <f aca="false">IF(EI91,IF(OCallPut,IF(CB91&gt;(CT91+CX91),CB91-(CT91+CX91),0),IF((CT91+CX91)&gt;CB91,(CT91+CX91)-CB91,0))*BI91,0)</f>
        <v>#VALUE!</v>
      </c>
      <c r="EV91" s="1551" t="e">
        <f aca="false">IF(EI91,IF(OCallPut,IF(CC91&gt;(CT91+CY91),CC91-(CT91+CY91),0),IF((CT91+CY91)&gt;CC91,(CT91+CY91)-CC91,0))*BJ91,0)</f>
        <v>#VALUE!</v>
      </c>
      <c r="EW91" s="1551" t="e">
        <f aca="false">IF(EI91,IF(OCallPut,IF(CD91&gt;(CT91+CZ91),CD91-(CT91+CZ91),0),IF((CT91+CZ91)&gt;CD91,(CT91+CZ91)-CD91,0))*BK91,0)</f>
        <v>#VALUE!</v>
      </c>
      <c r="EX91" s="1558" t="e">
        <f aca="false">IF(EI91,SUM(ET91:EW91),0)</f>
        <v>#VALUE!</v>
      </c>
      <c r="EY91" s="1551" t="e">
        <f aca="false">EO91-ET91</f>
        <v>#VALUE!</v>
      </c>
      <c r="EZ91" s="1551" t="e">
        <f aca="false">EP91-EU91</f>
        <v>#VALUE!</v>
      </c>
      <c r="FA91" s="1551" t="e">
        <f aca="false">EQ91-EV91</f>
        <v>#VALUE!</v>
      </c>
      <c r="FB91" s="1551" t="e">
        <f aca="false">ER91-EW91</f>
        <v>#VALUE!</v>
      </c>
      <c r="FC91" s="1551" t="e">
        <f aca="false">ES91-EX91</f>
        <v>#VALUE!</v>
      </c>
      <c r="FD91" s="1525" t="n">
        <f aca="false">IF(AX91,IF(VLOOKUP(C91,MAIN!$L$17:$M$28,2)="Yes",VLOOKUP(CALC!B91,MAIN!$H$17:$I$20,2),0),0)</f>
        <v>0</v>
      </c>
      <c r="FE91" s="1552" t="e">
        <f aca="false">$FD91*16*AT91*(1-$AY91)</f>
        <v>#VALUE!</v>
      </c>
      <c r="FF91" s="1553" t="e">
        <f aca="false">$FD91*16*AU91*(1-$AY91)</f>
        <v>#VALUE!</v>
      </c>
      <c r="FG91" s="1553" t="e">
        <f aca="false">$FD91*16*(AV91+AW91)*(1-$AY91)</f>
        <v>#VALUE!</v>
      </c>
      <c r="FH91" s="1554" t="n">
        <f aca="false">$FD91*8*AX91*(1-$AY91)</f>
        <v>0</v>
      </c>
      <c r="FI91" s="1555" t="n">
        <f aca="false">IF(AX91,VLOOKUP(CALC!B91,MAIN!$H$17:$K$20,4),0)</f>
        <v>0</v>
      </c>
      <c r="FJ91" s="1553" t="e">
        <f aca="false">SUM(FE91:FH91)</f>
        <v>#VALUE!</v>
      </c>
      <c r="FK91" s="1556" t="e">
        <f aca="false">FI91*FJ91</f>
        <v>#VALUE!</v>
      </c>
      <c r="FL91" s="1551" t="e">
        <f aca="false">IF($EI91&gt;0,MIN(FE91,AZ91*(1+VLOOKUP($C91,WeatherCapacityAdjustment,2))),0)</f>
        <v>#VALUE!</v>
      </c>
      <c r="FM91" s="1551" t="e">
        <f aca="false">IF($EI91&gt;0,MIN(FF91,BA91*(1+VLOOKUP($C91,WeatherCapacityAdjustment,2))),0)</f>
        <v>#VALUE!</v>
      </c>
      <c r="FN91" s="1551" t="e">
        <f aca="false">IF($EI91&gt;0,MIN(FG91,BB91*(1+VLOOKUP($C91,WeatherCapacityAdjustment,2))),0)</f>
        <v>#VALUE!</v>
      </c>
      <c r="FO91" s="1564" t="e">
        <f aca="false">IF($EI91&gt;0,MIN(FH91,BC91*(1+VLOOKUP($C91,WeatherCapacityAdjustment,3))),0)</f>
        <v>#VALUE!</v>
      </c>
      <c r="FP91" s="1551" t="e">
        <f aca="false">IF(ET91&gt;0,MIN(FE91-FL91,BH91*(1+VLOOKUP($C91,WeatherCapacityAdjustment,2))),0)</f>
        <v>#VALUE!</v>
      </c>
      <c r="FQ91" s="1551" t="e">
        <f aca="false">IF(EU91&gt;0,MIN(FF91-FM91,BI91*(1+VLOOKUP($C91,WeatherCapacityAdjustment,2))),0)</f>
        <v>#VALUE!</v>
      </c>
      <c r="FR91" s="1551" t="e">
        <f aca="false">IF(EV91&gt;0,MIN(FG91-FN91,BJ91*(1+VLOOKUP($C91,WeatherCapacityAdjustment,2))),0)</f>
        <v>#VALUE!</v>
      </c>
      <c r="FS91" s="1558" t="e">
        <f aca="false">IF(EW91&gt;0,MIN(FH91-FO91,BK91*(1+VLOOKUP($C91,WeatherCapacityAdjustment,3))),0)</f>
        <v>#VALUE!</v>
      </c>
      <c r="FT91" s="1566" t="e">
        <f aca="false">IF(AND(Assumptions!$H$71="Yes",A91&gt;=Assumptions!$H$72,A91&lt;=Assumptions!$H$73),0,IF(AND($A91&gt;=Assumptions!$C$17,$A91&lt;=Assumptions!$C$18),MAX(AZ91*(1+VLOOKUP($C91,WeatherCapacityAdjustment,2))-FL91,0),0))</f>
        <v>#VALUE!</v>
      </c>
      <c r="FU91" s="1551" t="e">
        <f aca="false">IF(AND(Assumptions!$H$71="Yes",A91&gt;=Assumptions!$H$72,A91&lt;=Assumptions!$H$73),0,IF(AND($A91&gt;=Assumptions!$C$17,$A91&lt;=Assumptions!$C$18),MAX(BA91*(1+VLOOKUP($C91,WeatherCapacityAdjustment,2))-FM91,0),0))</f>
        <v>#VALUE!</v>
      </c>
      <c r="FV91" s="1551" t="e">
        <f aca="false">IF(AND(Assumptions!$H$71="Yes",A91&gt;=Assumptions!$H$72,A91&lt;=Assumptions!$H$73),0,IF(AND($A91&gt;=Assumptions!$C$17,$A91&lt;=Assumptions!$C$18),MAX(BB91*(1+VLOOKUP($C91,WeatherCapacityAdjustment,2))-FN91,0),0))</f>
        <v>#VALUE!</v>
      </c>
      <c r="FW91" s="1564" t="e">
        <f aca="false">IF(AND(Assumptions!$H$71="Yes",A91&gt;=Assumptions!$H$72,A91&lt;=Assumptions!$H$73),0,IF(AND($A91&gt;=Assumptions!$C$17,$A91&lt;=Assumptions!$C$18),MAX(BC91*(1+VLOOKUP($C91,WeatherCapacityAdjustment,3))-FO91,0),0))</f>
        <v>#VALUE!</v>
      </c>
      <c r="FX91" s="1569" t="e">
        <f aca="false">IF(AND(Assumptions!$H$71="Yes",A91&gt;=Assumptions!$H$72,A91&lt;=Assumptions!$H$73),0,IF(ET91&gt;0,MAX(BH91*(1+VLOOKUP($C91,WeatherCapacityAdjustment,2))-FP91,0),0))</f>
        <v>#VALUE!</v>
      </c>
      <c r="FY91" s="1551" t="e">
        <f aca="false">IF(AND(Assumptions!$H$71="Yes",A91&gt;=Assumptions!$H$72,A91&lt;=Assumptions!$H$73),0,IF(EU91&gt;0,MAX(BI91*(1+VLOOKUP($C91,WeatherCapacityAdjustment,3))-FQ91,0),0))</f>
        <v>#VALUE!</v>
      </c>
      <c r="FZ91" s="1551" t="e">
        <f aca="false">IF(AND(Assumptions!$H$71="Yes",A91&gt;=Assumptions!$H$72,A91&lt;=Assumptions!$H$73),0,IF(EV91&gt;0,MAX(BJ91*(1+VLOOKUP($C91,WeatherCapacityAdjustment,2))-FR91,0),0))</f>
        <v>#VALUE!</v>
      </c>
      <c r="GA91" s="1564" t="e">
        <f aca="false">IF(AND(Assumptions!$H$71="Yes",A91&gt;=Assumptions!$H$72,A91&lt;=Assumptions!$H$73),0,IF(EW91&gt;0,MAX(BK91*(1+VLOOKUP($C91,WeatherCapacityAdjustment,2))-FS91,0),0))</f>
        <v>#VALUE!</v>
      </c>
      <c r="GB91" s="1551" t="e">
        <f aca="false">SUM(FT91:GA91)</f>
        <v>#VALUE!</v>
      </c>
      <c r="GC91" s="1563" t="e">
        <f aca="false">+IF(SUM(FT91:GA91)=0,0,(SUMPRODUCT(BU91:BX91,FT91:FW91)+SUMPRODUCT(CA91:CD91,FX91:GA91))/SUM(FT91:GA91))</f>
        <v>#VALUE!</v>
      </c>
      <c r="GD91" s="1551" t="e">
        <f aca="false">(FT91*BU91+FX91*CA91+FU91*BV91+FY91*CB91+FV91*BW91+FZ91*CC91+FW91*BX91+GA91*CD91)</f>
        <v>#VALUE!</v>
      </c>
      <c r="GE91" s="1561" t="e">
        <f aca="false">+IF(BQ91,((FL91+FM91+FT91+FU91)*HeatRatePeak/1000*(1+VLOOKUP($C91,WeatherHeatRateAdjustment,2))+(FN91+FV91)*IF(EV91&gt;0,HeatRatePeak,HeatRateOffPeak)/1000*(1+VLOOKUP($C91,WeatherHeatRateAdjustment,2))+(FO91+FW91)*IF(EW91&gt;0,HeatRatePeak,HeatRateOffPeak)/1000*(1+VLOOKUP($C91,WeatherHeatRateAdjustment,3)))*(1+VLOOKUP($B91,HeatRateDegradation,$C91+1)),0)</f>
        <v>#VALUE!</v>
      </c>
      <c r="GF91" s="1562" t="e">
        <f aca="false">IF(BQ91,((FP91+FQ91+FR91+FX91+FY91+FZ91)*HeatRatePeak/1000*(1+VLOOKUP($C91,WeatherHeatRateAdjustment,2))+(FS91+GA91)*HeatRatePeak/1000*(1+VLOOKUP($C91,WeatherHeatRateAdjustment,3)))*(1+VLOOKUP($B91,HeatRateDegradation,$C91+1)),0)</f>
        <v>#VALUE!</v>
      </c>
      <c r="GG91" s="1563" t="e">
        <f aca="false">IF(BQ91,VLOOKUP(A91,GasTable,13),0)</f>
        <v>#VALUE!</v>
      </c>
      <c r="GH91" s="1564" t="e">
        <f aca="false">(GE91+GF91)*GG91</f>
        <v>#VALUE!</v>
      </c>
      <c r="GI91" s="1569" t="e">
        <f aca="false">GB91</f>
        <v>#VALUE!</v>
      </c>
      <c r="GJ91" s="1598" t="e">
        <f aca="false">+DA91</f>
        <v>#VALUE!</v>
      </c>
      <c r="GK91" s="1558" t="e">
        <f aca="false">+GI91*GJ91</f>
        <v>#VALUE!</v>
      </c>
      <c r="GL91" s="1566" t="e">
        <f aca="false">MAX(FE91-FL91-FP91,0)</f>
        <v>#VALUE!</v>
      </c>
      <c r="GM91" s="1551" t="e">
        <f aca="false">MAX(FF91-FM91-FQ91,0)</f>
        <v>#VALUE!</v>
      </c>
      <c r="GN91" s="1551" t="e">
        <f aca="false">MAX(FG91-FN91-FR91,0)</f>
        <v>#VALUE!</v>
      </c>
      <c r="GO91" s="1564" t="e">
        <f aca="false">MAX(FH91-FO91-FS91,0)</f>
        <v>#VALUE!</v>
      </c>
      <c r="GP91" s="1551" t="e">
        <f aca="false">SUM(GL91:GO91)</f>
        <v>#VALUE!</v>
      </c>
      <c r="GQ91" s="1563" t="e">
        <f aca="false">IF(SUM(GL91:GO91)=0,0,((GL91*BU91+GM91*BV91+GN91*BW91+GO91*BX91)/SUM(GL91:GO91)))</f>
        <v>#VALUE!</v>
      </c>
      <c r="GR91" s="1558" t="e">
        <f aca="false">(GL91*BU91+GM91*BV91+GN91*BW91+GO91*BX91)</f>
        <v>#VALUE!</v>
      </c>
      <c r="GS91" s="1566" t="n">
        <f aca="false">IF($A91&gt;=BegDate,Assumptions!$C$56*24*($A92-$A91)*(1-VLOOKUP($B91,MAIN!$AA$7:$AM$28,$C91+1))*(1-VLOOKUP($B91,MAIN!$AA$33:$AM$54,$C91+1)),0)*80/168</f>
        <v>257742.857142857</v>
      </c>
      <c r="GT91" s="286" t="n">
        <f aca="false">J91</f>
        <v>55.2298204467547</v>
      </c>
      <c r="GU91" s="286" t="n">
        <f aca="false">IF($A91&gt;=BegDate,VLOOKUP($A91,GasTable,13)+Assumptions!$C$58,0)</f>
        <v>2.51745716396971</v>
      </c>
      <c r="GV91" s="286" t="n">
        <f aca="false">GU91*Assumptions!$C$57/1000</f>
        <v>18.2515644387804</v>
      </c>
      <c r="GW91" s="1558" t="n">
        <f aca="false">IF(Assumptions!$C$60="Hourly",MAX(0,GS91*(GT91-GV91)),GS91*(GT91-GV91))</f>
        <v>9530881.35565532</v>
      </c>
      <c r="GX91" s="1566" t="n">
        <f aca="false">IF($A91&gt;=BegDate,Assumptions!$C$56*24*($A92-$A91)*(1-VLOOKUP($B91,MAIN!$AA$7:$AM$28,$C91+1))*(1-VLOOKUP($B91,MAIN!$AA$33:$AM$54,$C91+1)),0)*16/168</f>
        <v>51548.5714285714</v>
      </c>
      <c r="GY91" s="286" t="n">
        <f aca="false">M91</f>
        <v>55.2298204467547</v>
      </c>
      <c r="GZ91" s="286" t="n">
        <f aca="false">IF($A91&gt;=BegDate,VLOOKUP($A91,GasTable,13)+Assumptions!$C$58,0)</f>
        <v>2.51745716396971</v>
      </c>
      <c r="HA91" s="286" t="n">
        <f aca="false">GZ91*Assumptions!$C$57/1000</f>
        <v>18.2515644387804</v>
      </c>
      <c r="HB91" s="1558" t="n">
        <f aca="false">IF(Assumptions!$C$60="Hourly",MAX(0,GX91*(GY91-HA91)),GX91*(GY91-HA91))</f>
        <v>1906176.27113107</v>
      </c>
      <c r="HC91" s="1566" t="n">
        <f aca="false">IF($A91&gt;=BegDate,Assumptions!$C$56*24*($A92-$A91)*(1-VLOOKUP($B91,MAIN!$AA$7:$AM$28,$C91+1))*(1-VLOOKUP($B91,MAIN!$AA$33:$AM$54,$C91+1)),0)*16/168</f>
        <v>51548.5714285714</v>
      </c>
      <c r="HD91" s="286" t="n">
        <f aca="false">P91</f>
        <v>24.6354786188516</v>
      </c>
      <c r="HE91" s="286" t="n">
        <f aca="false">IF($A91&gt;=BegDate,VLOOKUP($A91,GasTable,13)+Assumptions!$C$58,0)</f>
        <v>2.51745716396971</v>
      </c>
      <c r="HF91" s="286" t="n">
        <f aca="false">HE91*Assumptions!$C$57/1000</f>
        <v>18.2515644387804</v>
      </c>
      <c r="HG91" s="1558" t="n">
        <f aca="false">IF(Assumptions!$C$60="Hourly",MAX(0,HC91*(HD91-HF91)),HC91*(HD91-HF91))</f>
        <v>329081.656105268</v>
      </c>
      <c r="HH91" s="1566" t="n">
        <f aca="false">IF($A91&gt;=BegDate,Assumptions!$C$56*24*($A92-$A91)*(1-VLOOKUP($B91,MAIN!$AA$7:$AM$28,$C91+1))*(1-VLOOKUP($B91,MAIN!$AA$33:$AM$54,$C91+1)),0)*56/168</f>
        <v>180420</v>
      </c>
      <c r="HI91" s="286" t="n">
        <f aca="false">S91</f>
        <v>24.6354786188516</v>
      </c>
      <c r="HJ91" s="286" t="n">
        <f aca="false">IF($A91&gt;=BegDate,VLOOKUP($A91,GasTable,13)+Assumptions!$C$58,0)</f>
        <v>2.51745716396971</v>
      </c>
      <c r="HK91" s="286" t="n">
        <f aca="false">HJ91*Assumptions!$C$57/1000</f>
        <v>18.2515644387804</v>
      </c>
      <c r="HL91" s="1558" t="n">
        <f aca="false">IF(Assumptions!$C$60="Hourly",MAX(0,HH91*(HI91-HK91)),HH91*(HI91-HK91))</f>
        <v>1151785.79636844</v>
      </c>
      <c r="HM91" s="1566" t="n">
        <f aca="false">IF(AND(Assumptions!$H$71="Yes",A91&gt;=Assumptions!$H$72,A91&lt;=Assumptions!$H$73),Assumptions!$H$74*Assumptions!$C$9*1000,0)</f>
        <v>0</v>
      </c>
      <c r="HN91" s="1551"/>
      <c r="HO91" s="1563"/>
      <c r="HP91" s="1563"/>
      <c r="HQ91" s="1563"/>
      <c r="HR91" s="1563"/>
      <c r="HS91" s="1563"/>
      <c r="HT91" s="1563"/>
      <c r="HU91" s="1563"/>
      <c r="HV91" s="1563"/>
      <c r="HW91" s="1563"/>
      <c r="HX91" s="1563"/>
      <c r="HY91" s="1563"/>
      <c r="HZ91" s="1563"/>
      <c r="IA91" s="1563"/>
      <c r="IB91" s="1563"/>
      <c r="IC91" s="1563"/>
      <c r="ID91" s="1563"/>
      <c r="IE91" s="1563"/>
      <c r="IF91" s="1563"/>
      <c r="IG91" s="1563"/>
      <c r="IH91" s="1563"/>
      <c r="II91" s="1610"/>
      <c r="IJ91" s="1309"/>
      <c r="IK91" s="1309"/>
    </row>
    <row r="92" customFormat="false" ht="12.75" hidden="false" customHeight="false" outlineLevel="0" collapsed="false">
      <c r="A92" s="1571" t="n">
        <f aca="false">EOMONTH(A91,0)+1</f>
        <v>38930</v>
      </c>
      <c r="B92" s="594" t="n">
        <f aca="false">+YEAR(A92)</f>
        <v>2006</v>
      </c>
      <c r="C92" s="238" t="n">
        <f aca="false">MONTH(A92)</f>
        <v>8</v>
      </c>
      <c r="D92" s="1572" t="e">
        <f aca="false">IF(E92="","",Holiday(B92,C92))</f>
        <v>#VALUE!</v>
      </c>
      <c r="E92" s="1573" t="n">
        <f aca="false">IF(OR(BegDate&gt;=A93,EndDate&lt;A92,AND(VolumeMonthlyOverFlag,INDEX(VolumeMonthlyOver,C92)=0),NOT(INDEX(MonthKnockOutTable,C92))),"",MAX(A92,BegDate))</f>
        <v>38930</v>
      </c>
      <c r="F92" s="1574" t="n">
        <f aca="false">IF(E92="","",MIN(A93-1,EndDate))</f>
        <v>38960</v>
      </c>
      <c r="G92" s="1575" t="n">
        <v>0</v>
      </c>
      <c r="H92" s="1576" t="n">
        <f aca="false">(1+G92/2)^(-2*(DATE(B93,C93,20)-DateToday)/365.25)</f>
        <v>1</v>
      </c>
      <c r="I92" s="1568" t="n">
        <f aca="false">IF(Assumptions!$L$25=4,VLOOKUP($A92,'Henwood Reference'!$E$9:$R$320,10),(VLOOKUP($A92,PriceTable,2,0)+IF(BasisNumber&lt;&gt;1,VLOOKUP($A92,BasisTable,2,0),0)+I$1)/(1-I$2))</f>
        <v>108.749788492341</v>
      </c>
      <c r="J92" s="1568" t="n">
        <f aca="false">IF(Assumptions!$L$25=4,VLOOKUP($A92,'Henwood Reference'!$E$9:$R$320,10),(VLOOKUP($A92,PriceTable,3,0)+IF(BasisNumber&lt;&gt;1,VLOOKUP($A92,BasisTable,2,0),0)+J$1)/(1-J$2))</f>
        <v>108.749788492341</v>
      </c>
      <c r="K92" s="1568" t="n">
        <f aca="false">IF(Assumptions!$L$25=4,VLOOKUP($A92,'Henwood Reference'!$E$9:$R$320,10),(VLOOKUP($A92,PriceTable,4,0)+IF(BasisNumber&lt;&gt;1,VLOOKUP($A92,BasisTable,2,0),0)+K$1)/(1-K$2))</f>
        <v>108.749788492341</v>
      </c>
      <c r="L92" s="1523" t="n">
        <f aca="false">IF(Assumptions!$L$25=4,VLOOKUP($A92,'Henwood Reference'!$E$9:$R$320,10),(VLOOKUP($A92,PriceTableWeekend,2,0)+IF(BasisNumber&lt;&gt;1,VLOOKUP($A92,BasisTable,2,0),0)+L$1)/(1-L$2))</f>
        <v>108.749788492341</v>
      </c>
      <c r="M92" s="1568" t="n">
        <f aca="false">IF(Assumptions!$L$25=4,VLOOKUP($A92,'Henwood Reference'!$E$9:$R$320,10),(VLOOKUP($A92,PriceTableWeekend,3,0)+IF(BasisNumber&lt;&gt;1,VLOOKUP($A92,BasisTable,2,0),0)+M$1)/(1-M$2))</f>
        <v>108.749788492341</v>
      </c>
      <c r="N92" s="1599" t="n">
        <f aca="false">IF(Assumptions!$L$25=4,VLOOKUP($A92,'Henwood Reference'!$E$9:$R$320,10),(VLOOKUP($A92,PriceTableWeekend,4,0)+IF(BasisNumber&lt;&gt;1,VLOOKUP($A92,BasisTable,2,0),0)+N$1)/(1-N$2))</f>
        <v>108.749788492341</v>
      </c>
      <c r="O92" s="1568" t="n">
        <f aca="false">IF(Assumptions!$L$25=4,VLOOKUP($A92,'Henwood Reference'!$E$9:$R$320,11),(VLOOKUP($A92,PriceTableWeekend,6,0)+IF(BasisNumber&lt;&gt;1,VLOOKUP($A92,BasisTable,3,0),0)+O$1)/(1-O$2))</f>
        <v>30.8925496365243</v>
      </c>
      <c r="P92" s="1568" t="n">
        <f aca="false">IF(Assumptions!$L$25=4,VLOOKUP($A92,'Henwood Reference'!$E$9:$R$320,11),(VLOOKUP($A92,PriceTableWeekend,7,0)+IF(BasisNumber&lt;&gt;1,VLOOKUP($A92,BasisTable,3,0),0)+P$1)/(1-P$2))</f>
        <v>30.8925496365243</v>
      </c>
      <c r="Q92" s="1599" t="n">
        <f aca="false">IF(Assumptions!$L$25=4,VLOOKUP($A92,'Henwood Reference'!$E$9:$R$320,11),(VLOOKUP($A92,PriceTableWeekend,8,0)+IF(BasisNumber&lt;&gt;1,VLOOKUP($A92,BasisTable,3,0),0)+Q$1)/(1-Q$2))</f>
        <v>30.8925496365243</v>
      </c>
      <c r="R92" s="1568" t="n">
        <f aca="false">IF(Assumptions!$L$25=4,VLOOKUP($A92,'Henwood Reference'!$E$9:$R$320,11),(VLOOKUP($A92,PriceTable,6,0)+IF(BasisNumber&lt;&gt;1,VLOOKUP($A92,BasisTable,3,0),0)+R$1)/(1-R$2))</f>
        <v>30.8925496365243</v>
      </c>
      <c r="S92" s="1568" t="n">
        <f aca="false">IF(Assumptions!$L$25=4,VLOOKUP($A92,'Henwood Reference'!$E$9:$R$320,11),(VLOOKUP($A92,PriceTable,7,0)+IF(BasisNumber&lt;&gt;1,VLOOKUP($A92,BasisTable,3,0),0)+S$1)/(1-S$2))</f>
        <v>30.8925496365243</v>
      </c>
      <c r="T92" s="1600" t="n">
        <f aca="false">IF(Assumptions!$L$25=4,VLOOKUP($A92,'Henwood Reference'!$E$9:$R$320,11),(VLOOKUP($A92,PriceTable,8,0)+IF(BasisNumber&lt;&gt;1,VLOOKUP($A92,BasisTable,3,0),0)+T$1)/(1-T$2))</f>
        <v>30.8925496365243</v>
      </c>
      <c r="U92" s="1513" t="n">
        <f aca="false">VLOOKUP($A92,VolatilityTable,14)</f>
        <v>0.14</v>
      </c>
      <c r="V92" s="1513" t="n">
        <f aca="false">VLOOKUP($A92,VolatilityTable,15)</f>
        <v>0.15</v>
      </c>
      <c r="W92" s="1514" t="n">
        <f aca="false">VLOOKUP($A92,VolatilityTable,16)</f>
        <v>0.16</v>
      </c>
      <c r="X92" s="1513" t="n">
        <f aca="false">VLOOKUP($A92,VolatilityTable,14)</f>
        <v>0.14</v>
      </c>
      <c r="Y92" s="1513" t="n">
        <f aca="false">VLOOKUP($A92,VolatilityTable,15)</f>
        <v>0.15</v>
      </c>
      <c r="Z92" s="1514" t="n">
        <f aca="false">VLOOKUP($A92,VolatilityTable,16)</f>
        <v>0.16</v>
      </c>
      <c r="AA92" s="1513" t="n">
        <f aca="false">VLOOKUP($A92,VolatilityTable,18)</f>
        <v>0.09</v>
      </c>
      <c r="AB92" s="1513" t="n">
        <f aca="false">VLOOKUP($A92,VolatilityTable,19)</f>
        <v>0.11</v>
      </c>
      <c r="AC92" s="1514" t="n">
        <f aca="false">VLOOKUP($A92,VolatilityTable,20)</f>
        <v>0.13</v>
      </c>
      <c r="AD92" s="1513" t="n">
        <f aca="false">VLOOKUP($A92,VolatilityTable,18)</f>
        <v>0.09</v>
      </c>
      <c r="AE92" s="1513" t="n">
        <f aca="false">VLOOKUP($A92,VolatilityTable,19)</f>
        <v>0.11</v>
      </c>
      <c r="AF92" s="1514" t="n">
        <f aca="false">VLOOKUP($A92,VolatilityTable,20)</f>
        <v>0.13</v>
      </c>
      <c r="AG92" s="1513" t="n">
        <f aca="false">VLOOKUP($A92,VolatilityTable,22)</f>
        <v>-0.35</v>
      </c>
      <c r="AH92" s="1513" t="n">
        <f aca="false">VLOOKUP($A92,VolatilityTable,23)</f>
        <v>3</v>
      </c>
      <c r="AI92" s="1514" t="n">
        <f aca="false">VLOOKUP($A92,VolatilityTable,24)</f>
        <v>0.35</v>
      </c>
      <c r="AJ92" s="1513" t="n">
        <f aca="false">VLOOKUP($A92,VolatilityTable,22)</f>
        <v>-0.35</v>
      </c>
      <c r="AK92" s="1513" t="n">
        <f aca="false">VLOOKUP($A92,VolatilityTable,23)</f>
        <v>3</v>
      </c>
      <c r="AL92" s="1514" t="n">
        <f aca="false">VLOOKUP($A92,VolatilityTable,24)</f>
        <v>0.35</v>
      </c>
      <c r="AM92" s="1513" t="n">
        <f aca="false">VLOOKUP($A92,VolatilityTable,26)</f>
        <v>-0.01</v>
      </c>
      <c r="AN92" s="1513" t="n">
        <f aca="false">VLOOKUP($A92,VolatilityTable,27)</f>
        <v>0.16</v>
      </c>
      <c r="AO92" s="1514" t="n">
        <f aca="false">VLOOKUP($A92,VolatilityTable,28)</f>
        <v>0.01</v>
      </c>
      <c r="AP92" s="1513" t="n">
        <f aca="false">VLOOKUP($A92,VolatilityTable,26)</f>
        <v>-0.01</v>
      </c>
      <c r="AQ92" s="1513" t="n">
        <f aca="false">VLOOKUP($A92,VolatilityTable,27)</f>
        <v>0.16</v>
      </c>
      <c r="AR92" s="1515" t="n">
        <f aca="false">VLOOKUP($A92,VolatilityTable,28)</f>
        <v>0.01</v>
      </c>
      <c r="AS92" s="1581" t="n">
        <f aca="false">IF(CorrPeakOffPeakOverFlag,INDEX(CorrPeakOffPeakOver,C92),CorrPeakOffPeak)</f>
        <v>0.5</v>
      </c>
      <c r="AT92" s="594" t="e">
        <f aca="false">AX92-SUM(AU92:AW92)</f>
        <v>#VALUE!</v>
      </c>
      <c r="AU92" s="238" t="e">
        <f aca="false">IF(E92="",0,INT((F92-MOD(F92,7)-E92)/7)+1-IF(AW92,IF(WEEKDAY(D92)=7,1,0),0))</f>
        <v>#VALUE!</v>
      </c>
      <c r="AV92" s="238" t="e">
        <f aca="false">IF(E92="",0,INT((F92-MOD(F92-1,7)-E92)/7)+1-IF(AW92,IF(WEEKDAY(D92)=1,1,0),0))</f>
        <v>#VALUE!</v>
      </c>
      <c r="AW92" s="238" t="e">
        <f aca="false">IF(OR(E92="",D92="",D92&lt;BegDate,D92&gt;EndDate),0,1)</f>
        <v>#VALUE!</v>
      </c>
      <c r="AX92" s="238" t="n">
        <f aca="false">IF(E92="",0,F92-E92+1)</f>
        <v>31</v>
      </c>
      <c r="AY92" s="1582" t="n">
        <f aca="false">IF(E92="",0,MIN((1-(1-VLOOKUP(B92,MAIN!$AA$7:$AM$28,C92+1))*(1-VLOOKUP(B92,MAIN!$AA$33:$AM$54,C92+1))),1))</f>
        <v>0.03</v>
      </c>
      <c r="AZ92" s="1519" t="e">
        <v>#VALUE!</v>
      </c>
      <c r="BA92" s="1520" t="e">
        <v>#VALUE!</v>
      </c>
      <c r="BB92" s="1520" t="e">
        <v>#VALUE!</v>
      </c>
      <c r="BC92" s="1583" t="e">
        <v>#VALUE!</v>
      </c>
      <c r="BD92" s="1522" t="e">
        <v>#VALUE!</v>
      </c>
      <c r="BE92" s="1523" t="e">
        <v>#VALUE!</v>
      </c>
      <c r="BF92" s="1523" t="e">
        <v>#VALUE!</v>
      </c>
      <c r="BG92" s="1584" t="e">
        <v>#VALUE!</v>
      </c>
      <c r="BH92" s="1525" t="e">
        <v>#VALUE!</v>
      </c>
      <c r="BI92" s="1520" t="e">
        <v>#VALUE!</v>
      </c>
      <c r="BJ92" s="1520" t="e">
        <v>#VALUE!</v>
      </c>
      <c r="BK92" s="1583" t="e">
        <v>#VALUE!</v>
      </c>
      <c r="BL92" s="1522" t="e">
        <v>#VALUE!</v>
      </c>
      <c r="BM92" s="1523" t="e">
        <v>#VALUE!</v>
      </c>
      <c r="BN92" s="1523" t="e">
        <v>#VALUE!</v>
      </c>
      <c r="BO92" s="1523" t="e">
        <v>#VALUE!</v>
      </c>
      <c r="BP92" s="1525" t="e">
        <f aca="false">SUM(AZ92:BB92)</f>
        <v>#VALUE!</v>
      </c>
      <c r="BQ92" s="1529" t="e">
        <f aca="false">SUM(AZ92:BC92)</f>
        <v>#VALUE!</v>
      </c>
      <c r="BR92" s="1519" t="e">
        <f aca="false">SUM(BH92:BJ92)</f>
        <v>#VALUE!</v>
      </c>
      <c r="BS92" s="1529" t="e">
        <f aca="false">SUM(BH92:BK92)</f>
        <v>#VALUE!</v>
      </c>
      <c r="BT92" s="1316" t="n">
        <f aca="false">(IF(OVolType&lt;&gt;2,A92+14,IF(OptExpDateShift,ShiftBack(A92,OptExpDateShift,D91),A92))-DateToday)/365.25</f>
        <v>6.29705681040383</v>
      </c>
      <c r="BU92" s="1585" t="e">
        <f aca="false">IF(BQ92,IF(OPriceCurve,IF(OBuySell=OCallPut,I92/(1-AY92),K92/(1-AY92)),J92/(1-AY92))*BD92,0)</f>
        <v>#VALUE!</v>
      </c>
      <c r="BV92" s="1316" t="e">
        <f aca="false">IF(BQ92,IF(OPriceCurve,IF(OBuySell=OCallPut,L92/(1-AY92),N92/(1-AY92)),M92/(1-AY92))*BE92,0)</f>
        <v>#VALUE!</v>
      </c>
      <c r="BW92" s="1316" t="e">
        <f aca="false">IF(BQ92,IF(OPriceCurve,IF(OBuySell=OCallPut,O92/(1-AY92),Q92/(1-AY92)),P92/(1-AY92))*BF92,0)</f>
        <v>#VALUE!</v>
      </c>
      <c r="BX92" s="1316" t="e">
        <f aca="false">IF(BQ92,IF(OPriceCurve,IF(OBuySell=OCallPut,R92/(1-AY92),T92/(1-AY92)),S92/(1-AY92))*BG92,0)</f>
        <v>#VALUE!</v>
      </c>
      <c r="BY92" s="1316" t="e">
        <f aca="false">IF(BP92,(BU92*AZ92+BV92*BA92+BW92*BB92)/BP92,0)</f>
        <v>#VALUE!</v>
      </c>
      <c r="BZ92" s="1316" t="e">
        <f aca="false">IF(BQ92,(BY92*BP92+BX92*BC92)/BQ92,0)</f>
        <v>#VALUE!</v>
      </c>
      <c r="CA92" s="1531" t="e">
        <f aca="false">IF(BS92,IF(OPriceCurve,IF(OBuySell=OCallPut,I92/(1-AY92),K92/(1-AY92)),J92/(1-AY92))*BL92,0)</f>
        <v>#VALUE!</v>
      </c>
      <c r="CB92" s="1316" t="e">
        <f aca="false">IF(BS92,IF(OPriceCurve,IF(OBuySell=OCallPut,L92/(1-AY92),N92/(1-AY92)),M92/(1-AY92))*BM92,0)</f>
        <v>#VALUE!</v>
      </c>
      <c r="CC92" s="1316" t="e">
        <f aca="false">IF(BS92,IF(OPriceCurve,IF(OBuySell=OCallPut,O92/(1-AY92),Q92/(1-AY92)),P92/(1-AY92))*BN92,0)</f>
        <v>#VALUE!</v>
      </c>
      <c r="CD92" s="1316" t="e">
        <f aca="false">IF(BS92,IF(OPriceCurve,IF(OBuySell=OCallPut,R92/(1-AY92),T92/(1-AY92)),S92/(1-AY92))*BO92,0)</f>
        <v>#VALUE!</v>
      </c>
      <c r="CE92" s="1316" t="e">
        <f aca="false">IF(BR92,(BU92*BH92+BV92*BI92+BW92*BJ92)/BR92,0)</f>
        <v>#VALUE!</v>
      </c>
      <c r="CF92" s="1532" t="e">
        <f aca="false">IF(BS92,(CE92*BR92+CD92*BK92)/BS92,0)</f>
        <v>#VALUE!</v>
      </c>
      <c r="CG92" s="1586" t="e">
        <f aca="false">IF(OR(BQ92,BS92),IF(OVolType&lt;&gt;2,SQRT(IF(OVolOverMonthlyPeak,OVolOverMonthlyPeak,IF(OVolCurve,IF(OBuySell,U92,W92),V92))^2*(1-15/365.25/BT92)+IF(OVolOverDailyPeak,OVolOverDailyPeak,IF(OVolCurve,IF(OBuySell,AG92,AI92),AH92))^2*15/365.25/BT92),IF(OVolOverMonthlyPeak,OVolOverMonthlyPeak,IF(OVolCurve,IF(OBuySell,U92,W92),V92))),"")</f>
        <v>#VALUE!</v>
      </c>
      <c r="CH92" s="1587" t="e">
        <f aca="false">IF(OR(BQ92,BS92),IF(OVolType&lt;&gt;2,SQRT(IF(OVolOverMonthlyPeak,OVolOverMonthlyPeak,IF(OVolCurve,IF(OBuySell,X92,Z92),Y92))^2*(1-15/365.25/BT92)+IF(OVolOverDailyPeak,OVolOverDailyPeak,IF(OVolCurve,IF(OBuySell,AJ92,AL92),AK92))^2*15/365.25/BT92),IF(OVolOverMonthlyPeak,OVolOverMonthlyPeak,IF(OVolCurve,IF(OBuySell,X92,Z92),Y92))),"")</f>
        <v>#VALUE!</v>
      </c>
      <c r="CI92" s="1587" t="e">
        <f aca="false">IF(OR(BQ92,BS92),IF(OVolType&lt;&gt;2,SQRT(IF(OVolOverMonthlyPeak,OVolOverMonthlyPeak,IF(OVolCurve,IF(OBuySell,AA92,AC92),AB92))^2*(1-15/365.25/BT92)+IF(OVolOverDailyPeak,OVolOverDailyPeak,IF(OVolCurve,IF(OBuySell,AM92,AO92),AN92))^2*15/365.25/BT92),IF(OVolOverMonthlyPeak,OVolOverMonthlyPeak,IF(OVolCurve,IF(OBuySell,AA92,AC92),AB92))),"")</f>
        <v>#VALUE!</v>
      </c>
      <c r="CJ92" s="1587" t="e">
        <f aca="false">IF(BQ92,IF(BP92,SQRT(LN(1+((BU92*AZ92)^2*(EXP(CG92^2*BT92)-1)+(BV92*BA92)^2*(EXP(CH92^2*BT92)-1)+(BW92*BB92)^2*(EXP(CI92^2*BT92)-1)+2*BU92*AZ92*BV92*BA92*(EXP(CG92*CH92*BT92)-1)+2*BV92*BA92*BW92*BB92*(EXP(CH92*CI92*BT92)-1)+2*BW92*BB92*BU92*AZ92*(EXP(CI92*CG92*BT92)-1))/(BY92*BP92)^2)/BT92),0),"")</f>
        <v>#VALUE!</v>
      </c>
      <c r="CK92" s="1587" t="e">
        <f aca="false">IF(BS92,IF(BR92,SQRT(LN(1+((CA92*BH92)^2*(EXP(CG92^2*BT92)-1)+(CB92*BI92)^2*(EXP(CH92^2*BT92)-1)+(CC92*BJ92)^2*(EXP(CI92^2*BT92)-1)+2*CA92*BH92*CB92*BI92*(EXP(CG92*CH92*BT92)-1)+2*CB92*BI92*CC92*BJ92*(EXP(CH92*CI92*BT92)-1)+2*CC92*BJ92*CA92*BH92*(EXP(CI92*CG92*BT92)-1))/(CE92*BR92)^2)/BT92),0),"")</f>
        <v>#VALUE!</v>
      </c>
      <c r="CL92" s="1587" t="e">
        <f aca="false">IF(OR(BQ92,BS92),IF(OVolType&lt;&gt;2,SQRT(IF(OVolOverMonthlyOffPeak,OVolOverMonthlyOffPeak,IF(OVolCurve,IF(OBuySell,AD92,AF92),AE92))^2*(1-15/365.25/BT92)+IF(OVolOverDailyOffPeak,OVolOverDailyOffPeak,IF(OVolCurve,IF(OBuySell,AP92,AR92),AQ92))^2*15/365.25/BT92),IF(OVolOverMonthlyOffPeak,OVolOverMonthlyOffPeak,IF(OVolCurve,IF(OBuySell,AD92,AF92),AE92))),"")</f>
        <v>#VALUE!</v>
      </c>
      <c r="CM92" s="1587" t="e">
        <f aca="false">IF(BQ92,SQRT(LN(1+((BY92*BP92)^2*(EXP(CJ92^2*BT92)-1)+(BX92*BC92)^2*(EXP(CL92^2*BT92)-1)+2*BY92*BP92*BX92*BC92*(EXP(AS92*CJ92*CL92*BT92)-1))/(BY92*BP92+BX92*BC92)^2)/BT92),"")</f>
        <v>#VALUE!</v>
      </c>
      <c r="CN92" s="1588" t="e">
        <f aca="false">IF(BS92,SQRT(LN(1+((CE92*BR92)^2*(EXP(CK92^2*BT92)-1)+(CD92*BK92)^2*(EXP(CL92^2*BT92)-1)+2*CE92*BR92*CD92*BK92*(EXP(AS92*CK92*CL92*BT92)-1))/(CE92*BR92+CD92*BK92)^2)/BT92),"")</f>
        <v>#VALUE!</v>
      </c>
      <c r="CO92" s="1531" t="e">
        <f aca="false">IF(OR(BQ92,BS92),VLOOKUP(A92,GasTable,13)*HeatRatePeak*(1+VLOOKUP($B92,HeatRateDegradation,$C92+1))/1000,0)</f>
        <v>#VALUE!</v>
      </c>
      <c r="CP92" s="1316" t="e">
        <f aca="false">IF(OR(BQ92,BS92),VLOOKUP(A92,GasTable,13)*HeatRatePeak*(1+VLOOKUP($B92,HeatRateDegradation,$C92+1))/1000,0)</f>
        <v>#VALUE!</v>
      </c>
      <c r="CQ92" s="1316" t="e">
        <f aca="false">IF(OR(BQ92,BS92),VLOOKUP(A92,GasTable,13)*IF(EV92,HeatRatePeak,HeatRateOffPeak)*(1+VLOOKUP($B92,HeatRateDegradation,$C92+1))/1000,0)</f>
        <v>#VALUE!</v>
      </c>
      <c r="CR92" s="1316" t="e">
        <f aca="false">IF(OR(BQ92,BS92),VLOOKUP(A92,GasTable,13)*IF(EW92,HeatRatePeak,HeatRateOffPeak)*(1+VLOOKUP($B92,HeatRateDegradation,$C92+1))/1000,0)</f>
        <v>#VALUE!</v>
      </c>
      <c r="CS92" s="1589" t="e">
        <f aca="false">IF(BQ92,(CO92*AZ92+CP92*BA92+CQ92*BB92+CR92*BC92)/BQ92,0)</f>
        <v>#VALUE!</v>
      </c>
      <c r="CT92" s="1316" t="e">
        <f aca="false">IF(BS92,CO92,0)</f>
        <v>#VALUE!</v>
      </c>
      <c r="CU92" s="1590" t="e">
        <f aca="false">IF(OR(BQ92,BS92),VLOOKUP(A92,GasTable,14),"")</f>
        <v>#VALUE!</v>
      </c>
      <c r="CV92" s="1568" t="e">
        <f aca="false">IF(OR(BQ92,BS92),IF(CorrPowerGasOverFlag,INDEX(CorrPowerGasOver,C92),CorrPowerGas),"")</f>
        <v>#VALUE!</v>
      </c>
      <c r="CW92" s="1316" t="e">
        <f aca="false">IF(OR($BQ92,$BS92),SpreadOptPowerMargin,0)*((1+Assumptions!$C$26)^($B92-YEAR(Assumptions!$C$17)))</f>
        <v>#VALUE!</v>
      </c>
      <c r="CX92" s="1316" t="e">
        <f aca="false">IF(OR($BQ92,$BS92),SpreadOptPowerMargin,0)*((1+Assumptions!$C$26)^($B92-YEAR(Assumptions!$C$17)))</f>
        <v>#VALUE!</v>
      </c>
      <c r="CY92" s="1316" t="e">
        <f aca="false">IF(OR($BQ92,$BS92),SpreadOptPowerMargin,0)*((1+Assumptions!$C$26)^($B92-YEAR(Assumptions!$C$17)))</f>
        <v>#VALUE!</v>
      </c>
      <c r="CZ92" s="1316" t="e">
        <f aca="false">IF(OR($BQ92,$BS92),SpreadOptPowerMargin,0)*((1+Assumptions!$C$26)^($B92-YEAR(Assumptions!$C$17)))</f>
        <v>#VALUE!</v>
      </c>
      <c r="DA92" s="1591" t="e">
        <f aca="false">IF(OR(BQ92,BS92),(CW92*(AZ92+BH92)+CX92*(BA92+BI92)+CY92*(BB92+BJ92)+CZ92*(BC92+BK92))/(BQ92+BS92),0)</f>
        <v>#VALUE!</v>
      </c>
      <c r="DB92" s="1592" t="e">
        <f aca="false">IF(OR(BQ92,BS92),CG92+IF(OVolSmile,VLOOKUP(MAX(-5,CO92+CW92-BU92),IF(OVolSmile=1,VolSmileBook,VolSmileModel),2),0),"")</f>
        <v>#VALUE!</v>
      </c>
      <c r="DC92" s="1592" t="e">
        <f aca="false">IF(OR(BQ92,BS92),CH92+IF(OVolSmile,VLOOKUP(MAX(-5,CP92+CW92-BV92),IF(OVolSmile=1,VolSmileBook,VolSmileModel),2),0),"")</f>
        <v>#VALUE!</v>
      </c>
      <c r="DD92" s="1592" t="e">
        <f aca="false">IF(OR(BQ92,BS92),CI92+IF(OVolSmile,VLOOKUP(MAX(-5,CQ92+CW92-BW92),IF(OVolSmile=1,VolSmileBook,VolSmileModel),2),0),"")</f>
        <v>#VALUE!</v>
      </c>
      <c r="DE92" s="1592" t="e">
        <f aca="false">IF(OR(BQ92,BS92),CL92+IF(OVolSmile,VLOOKUP(MAX(-5,CR92+CZ92-BX92),IF(OVolSmile=1,VolSmileBook,VolSmileModel),2),0),"")</f>
        <v>#VALUE!</v>
      </c>
      <c r="DF92" s="1592" t="e">
        <f aca="false">IF(BQ92,CM92+IF(OVolSmile,VLOOKUP(MAX(-5,CS92+DA92-BZ92),IF(OVolSmile=1,VolSmileBook,VolSmileModel),2),0),"")</f>
        <v>#VALUE!</v>
      </c>
      <c r="DG92" s="1593" t="e">
        <f aca="false">IF(BS92,CN92+IF(OVolSmile,VLOOKUP(MAX(-5,CT92+DA92-CF92),IF(OVolSmile=1,VolSmileBook,VolSmileModel),2),0),"")</f>
        <v>#VALUE!</v>
      </c>
      <c r="DH92" s="1316" t="e">
        <f aca="false">IF(AND(BU92&gt;0,CO92&gt;0,DB92&gt;0,CU92&gt;0),newSPRDOPT(BU92,CO92,CW92,0,DB92,CU92,CV92,BT92*365.25,OCallPut,0),0)</f>
        <v>#VALUE!</v>
      </c>
      <c r="DI92" s="1316" t="e">
        <f aca="false">IF(AND(BV92&gt;0,CP92&gt;0,DC92&gt;0,CU92&gt;0),newSPRDOPT(BV92,CP92,CX92,0,DC92,CU92,CV92,BT92*365.25,OCallPut,0),0)</f>
        <v>#VALUE!</v>
      </c>
      <c r="DJ92" s="1316" t="e">
        <f aca="false">IF(AND(BW92&gt;0,CQ92&gt;0,DD92&gt;0,CU92&gt;0),newSPRDOPT(BW92,CQ92,CY92,0,DD92,CU92,CV92,BT92*365.25,OCallPut,0),0)</f>
        <v>#VALUE!</v>
      </c>
      <c r="DK92" s="1316" t="e">
        <f aca="false">IF(AND(BX92&gt;0,CR92&gt;0,DE92&gt;0,CU92&gt;0),newSPRDOPT(BX92,CR92,CZ92,0,DE92,CU92,CV92,BT92*365.25,OCallPut,0),0)</f>
        <v>#VALUE!</v>
      </c>
      <c r="DL92" s="1316" t="e">
        <f aca="false">IF(OVolType,IF(AND(BZ92&gt;0,CS92&gt;0,DF92&gt;0,CU92&gt;0),newSPRDOPT(BZ92,CS92,DA92,0,DF92,CU92,CV92,BT92*365.25,OCallPut,0),0),IF(BQ92,(DH92*AZ92+DI92*BA92+DJ92*BB92+DK92*BC92)/BQ92,0))</f>
        <v>#VALUE!</v>
      </c>
      <c r="DM92" s="1316"/>
      <c r="DN92" s="1316"/>
      <c r="DO92" s="1316"/>
      <c r="DP92" s="1316"/>
      <c r="DQ92" s="1316"/>
      <c r="DR92" s="1316"/>
      <c r="DS92" s="1316"/>
      <c r="DT92" s="1316"/>
      <c r="DU92" s="1316"/>
      <c r="DV92" s="1316"/>
      <c r="DW92" s="1594" t="e">
        <f aca="false">IF(AND(BW92&gt;0,CT92&gt;0,DD92&gt;0,CU92&gt;0),newSPRDOPT(BW92,CT92,CY92,0,DD92,CU92,CV92,BT92*365.25,OCallPut,0),0)</f>
        <v>#VALUE!</v>
      </c>
      <c r="DX92" s="1316" t="e">
        <f aca="false">IF(AND(BX92&gt;0,CT92&gt;0,DE92&gt;0,CU92&gt;0),newSPRDOPT(BX92,CT92,CZ92,0,DE92,CU92,CV92,BT92*365.25,OCallPut,0),0)</f>
        <v>#VALUE!</v>
      </c>
      <c r="DY92" s="1591" t="e">
        <f aca="false">IF(BS92,(DH92*BH92+DI92*BI92+DW92*BJ92+DX92*BK92)/BS92,0)</f>
        <v>#VALUE!</v>
      </c>
      <c r="DZ92" s="1551" t="e">
        <f aca="false">DH92*AZ92</f>
        <v>#VALUE!</v>
      </c>
      <c r="EA92" s="1551" t="e">
        <f aca="false">DI92*BA92</f>
        <v>#VALUE!</v>
      </c>
      <c r="EB92" s="1551" t="e">
        <f aca="false">DJ92*BB92</f>
        <v>#VALUE!</v>
      </c>
      <c r="EC92" s="1551" t="e">
        <f aca="false">DK92*BC92</f>
        <v>#VALUE!</v>
      </c>
      <c r="ED92" s="1551" t="e">
        <f aca="false">DL92*BQ92</f>
        <v>#VALUE!</v>
      </c>
      <c r="EE92" s="1595" t="e">
        <f aca="false">IF(BQ92,IF(OCallPut,IF(BU92&gt;(CO92+CW92),BU92-(CO92+CW92),0),IF((CO92+CW92)&gt;BU92,(CO92+CW92)-BU92,0))*AZ92,0)</f>
        <v>#VALUE!</v>
      </c>
      <c r="EF92" s="1596" t="e">
        <f aca="false">IF(BQ92,IF(OCallPut,IF(BV92&gt;(CP92+CX92),BV92-(CP92+CX92),0),IF((CP92+CX92)&gt;BV92,(CP92+CX92)-BV92,0))*BA92,0)</f>
        <v>#VALUE!</v>
      </c>
      <c r="EG92" s="1596" t="e">
        <f aca="false">IF(BQ92,IF(OCallPut,IF(BW92&gt;(CQ92+CY92),BW92-(CQ92+CY92),0),IF((CQ92+CY92)&gt;BW92,(CQ92+CY92)-BW92,0))*BB92,0)</f>
        <v>#VALUE!</v>
      </c>
      <c r="EH92" s="1596" t="e">
        <f aca="false">IF(BQ92,IF(OCallPut,IF(BX92&gt;(CR92+CZ92),BX92-(CR92+CZ92),0),IF((CR92+CZ92)&gt;BX92,(CR92+CZ92)-BX92,0))*BC92,0)</f>
        <v>#VALUE!</v>
      </c>
      <c r="EI92" s="1597" t="e">
        <f aca="false">IF(BQ92,IF(OVolType,IF(OCallPut,IF(BZ92&gt;(CS92+DA92),BZ92-(CS92+DA92),0),IF((CS92+DA92)&gt;BZ92,(CS92+DA92)-BZ92,0))*BQ92,SUM(EE92:EH92)),0)</f>
        <v>#VALUE!</v>
      </c>
      <c r="EJ92" s="1595" t="e">
        <f aca="false">DZ92-EE92</f>
        <v>#VALUE!</v>
      </c>
      <c r="EK92" s="1596" t="e">
        <f aca="false">EA92-EF92</f>
        <v>#VALUE!</v>
      </c>
      <c r="EL92" s="1596" t="e">
        <f aca="false">EB92-EG92</f>
        <v>#VALUE!</v>
      </c>
      <c r="EM92" s="1596" t="e">
        <f aca="false">EC92-EH92</f>
        <v>#VALUE!</v>
      </c>
      <c r="EN92" s="1597" t="e">
        <f aca="false">ED92-EI92</f>
        <v>#VALUE!</v>
      </c>
      <c r="EO92" s="1551" t="e">
        <f aca="false">DH92*BH92</f>
        <v>#VALUE!</v>
      </c>
      <c r="EP92" s="1551" t="e">
        <f aca="false">DI92*BI92</f>
        <v>#VALUE!</v>
      </c>
      <c r="EQ92" s="1551" t="e">
        <f aca="false">DW92*BJ92</f>
        <v>#VALUE!</v>
      </c>
      <c r="ER92" s="1551" t="e">
        <f aca="false">DX92*BK92</f>
        <v>#VALUE!</v>
      </c>
      <c r="ES92" s="1551" t="e">
        <f aca="false">DY92*BS92</f>
        <v>#VALUE!</v>
      </c>
      <c r="ET92" s="1566" t="e">
        <f aca="false">IF(EI92,IF(OCallPut,IF(CA92&gt;(CT92+CW92),CA92-(CT92+CW92),0),IF((CT92+CW92)&gt;CA92,(CT92+CW92)-CA92,0))*BH92,0)</f>
        <v>#VALUE!</v>
      </c>
      <c r="EU92" s="1551" t="e">
        <f aca="false">IF(EI92,IF(OCallPut,IF(CB92&gt;(CT92+CX92),CB92-(CT92+CX92),0),IF((CT92+CX92)&gt;CB92,(CT92+CX92)-CB92,0))*BI92,0)</f>
        <v>#VALUE!</v>
      </c>
      <c r="EV92" s="1551" t="e">
        <f aca="false">IF(EI92,IF(OCallPut,IF(CC92&gt;(CT92+CY92),CC92-(CT92+CY92),0),IF((CT92+CY92)&gt;CC92,(CT92+CY92)-CC92,0))*BJ92,0)</f>
        <v>#VALUE!</v>
      </c>
      <c r="EW92" s="1551" t="e">
        <f aca="false">IF(EI92,IF(OCallPut,IF(CD92&gt;(CT92+CZ92),CD92-(CT92+CZ92),0),IF((CT92+CZ92)&gt;CD92,(CT92+CZ92)-CD92,0))*BK92,0)</f>
        <v>#VALUE!</v>
      </c>
      <c r="EX92" s="1558" t="e">
        <f aca="false">IF(EI92,SUM(ET92:EW92),0)</f>
        <v>#VALUE!</v>
      </c>
      <c r="EY92" s="1551" t="e">
        <f aca="false">EO92-ET92</f>
        <v>#VALUE!</v>
      </c>
      <c r="EZ92" s="1551" t="e">
        <f aca="false">EP92-EU92</f>
        <v>#VALUE!</v>
      </c>
      <c r="FA92" s="1551" t="e">
        <f aca="false">EQ92-EV92</f>
        <v>#VALUE!</v>
      </c>
      <c r="FB92" s="1551" t="e">
        <f aca="false">ER92-EW92</f>
        <v>#VALUE!</v>
      </c>
      <c r="FC92" s="1551" t="e">
        <f aca="false">ES92-EX92</f>
        <v>#VALUE!</v>
      </c>
      <c r="FD92" s="1525" t="n">
        <f aca="false">IF(AX92,IF(VLOOKUP(C92,MAIN!$L$17:$M$28,2)="Yes",VLOOKUP(CALC!B92,MAIN!$H$17:$I$20,2),0),0)</f>
        <v>0</v>
      </c>
      <c r="FE92" s="1552" t="e">
        <f aca="false">$FD92*16*AT92*(1-$AY92)</f>
        <v>#VALUE!</v>
      </c>
      <c r="FF92" s="1553" t="e">
        <f aca="false">$FD92*16*AU92*(1-$AY92)</f>
        <v>#VALUE!</v>
      </c>
      <c r="FG92" s="1553" t="e">
        <f aca="false">$FD92*16*(AV92+AW92)*(1-$AY92)</f>
        <v>#VALUE!</v>
      </c>
      <c r="FH92" s="1554" t="n">
        <f aca="false">$FD92*8*AX92*(1-$AY92)</f>
        <v>0</v>
      </c>
      <c r="FI92" s="1555" t="n">
        <f aca="false">IF(AX92,VLOOKUP(CALC!B92,MAIN!$H$17:$K$20,4),0)</f>
        <v>0</v>
      </c>
      <c r="FJ92" s="1553" t="e">
        <f aca="false">SUM(FE92:FH92)</f>
        <v>#VALUE!</v>
      </c>
      <c r="FK92" s="1556" t="e">
        <f aca="false">FI92*FJ92</f>
        <v>#VALUE!</v>
      </c>
      <c r="FL92" s="1551" t="e">
        <f aca="false">IF($EI92&gt;0,MIN(FE92,AZ92*(1+VLOOKUP($C92,WeatherCapacityAdjustment,2))),0)</f>
        <v>#VALUE!</v>
      </c>
      <c r="FM92" s="1551" t="e">
        <f aca="false">IF($EI92&gt;0,MIN(FF92,BA92*(1+VLOOKUP($C92,WeatherCapacityAdjustment,2))),0)</f>
        <v>#VALUE!</v>
      </c>
      <c r="FN92" s="1551" t="e">
        <f aca="false">IF($EI92&gt;0,MIN(FG92,BB92*(1+VLOOKUP($C92,WeatherCapacityAdjustment,2))),0)</f>
        <v>#VALUE!</v>
      </c>
      <c r="FO92" s="1564" t="e">
        <f aca="false">IF($EI92&gt;0,MIN(FH92,BC92*(1+VLOOKUP($C92,WeatherCapacityAdjustment,3))),0)</f>
        <v>#VALUE!</v>
      </c>
      <c r="FP92" s="1551" t="e">
        <f aca="false">IF(ET92&gt;0,MIN(FE92-FL92,BH92*(1+VLOOKUP($C92,WeatherCapacityAdjustment,2))),0)</f>
        <v>#VALUE!</v>
      </c>
      <c r="FQ92" s="1551" t="e">
        <f aca="false">IF(EU92&gt;0,MIN(FF92-FM92,BI92*(1+VLOOKUP($C92,WeatherCapacityAdjustment,2))),0)</f>
        <v>#VALUE!</v>
      </c>
      <c r="FR92" s="1551" t="e">
        <f aca="false">IF(EV92&gt;0,MIN(FG92-FN92,BJ92*(1+VLOOKUP($C92,WeatherCapacityAdjustment,2))),0)</f>
        <v>#VALUE!</v>
      </c>
      <c r="FS92" s="1558" t="e">
        <f aca="false">IF(EW92&gt;0,MIN(FH92-FO92,BK92*(1+VLOOKUP($C92,WeatherCapacityAdjustment,3))),0)</f>
        <v>#VALUE!</v>
      </c>
      <c r="FT92" s="1566" t="e">
        <f aca="false">IF(AND(Assumptions!$H$71="Yes",A92&gt;=Assumptions!$H$72,A92&lt;=Assumptions!$H$73),0,IF(AND($A92&gt;=Assumptions!$C$17,$A92&lt;=Assumptions!$C$18),MAX(AZ92*(1+VLOOKUP($C92,WeatherCapacityAdjustment,2))-FL92,0),0))</f>
        <v>#VALUE!</v>
      </c>
      <c r="FU92" s="1551" t="e">
        <f aca="false">IF(AND(Assumptions!$H$71="Yes",A92&gt;=Assumptions!$H$72,A92&lt;=Assumptions!$H$73),0,IF(AND($A92&gt;=Assumptions!$C$17,$A92&lt;=Assumptions!$C$18),MAX(BA92*(1+VLOOKUP($C92,WeatherCapacityAdjustment,2))-FM92,0),0))</f>
        <v>#VALUE!</v>
      </c>
      <c r="FV92" s="1551" t="e">
        <f aca="false">IF(AND(Assumptions!$H$71="Yes",A92&gt;=Assumptions!$H$72,A92&lt;=Assumptions!$H$73),0,IF(AND($A92&gt;=Assumptions!$C$17,$A92&lt;=Assumptions!$C$18),MAX(BB92*(1+VLOOKUP($C92,WeatherCapacityAdjustment,2))-FN92,0),0))</f>
        <v>#VALUE!</v>
      </c>
      <c r="FW92" s="1564" t="e">
        <f aca="false">IF(AND(Assumptions!$H$71="Yes",A92&gt;=Assumptions!$H$72,A92&lt;=Assumptions!$H$73),0,IF(AND($A92&gt;=Assumptions!$C$17,$A92&lt;=Assumptions!$C$18),MAX(BC92*(1+VLOOKUP($C92,WeatherCapacityAdjustment,3))-FO92,0),0))</f>
        <v>#VALUE!</v>
      </c>
      <c r="FX92" s="1569" t="e">
        <f aca="false">IF(AND(Assumptions!$H$71="Yes",A92&gt;=Assumptions!$H$72,A92&lt;=Assumptions!$H$73),0,IF(ET92&gt;0,MAX(BH92*(1+VLOOKUP($C92,WeatherCapacityAdjustment,2))-FP92,0),0))</f>
        <v>#VALUE!</v>
      </c>
      <c r="FY92" s="1551" t="e">
        <f aca="false">IF(AND(Assumptions!$H$71="Yes",A92&gt;=Assumptions!$H$72,A92&lt;=Assumptions!$H$73),0,IF(EU92&gt;0,MAX(BI92*(1+VLOOKUP($C92,WeatherCapacityAdjustment,3))-FQ92,0),0))</f>
        <v>#VALUE!</v>
      </c>
      <c r="FZ92" s="1551" t="e">
        <f aca="false">IF(AND(Assumptions!$H$71="Yes",A92&gt;=Assumptions!$H$72,A92&lt;=Assumptions!$H$73),0,IF(EV92&gt;0,MAX(BJ92*(1+VLOOKUP($C92,WeatherCapacityAdjustment,2))-FR92,0),0))</f>
        <v>#VALUE!</v>
      </c>
      <c r="GA92" s="1564" t="e">
        <f aca="false">IF(AND(Assumptions!$H$71="Yes",A92&gt;=Assumptions!$H$72,A92&lt;=Assumptions!$H$73),0,IF(EW92&gt;0,MAX(BK92*(1+VLOOKUP($C92,WeatherCapacityAdjustment,2))-FS92,0),0))</f>
        <v>#VALUE!</v>
      </c>
      <c r="GB92" s="1551" t="e">
        <f aca="false">SUM(FT92:GA92)</f>
        <v>#VALUE!</v>
      </c>
      <c r="GC92" s="1563" t="e">
        <f aca="false">+IF(SUM(FT92:GA92)=0,0,(SUMPRODUCT(BU92:BX92,FT92:FW92)+SUMPRODUCT(CA92:CD92,FX92:GA92))/SUM(FT92:GA92))</f>
        <v>#VALUE!</v>
      </c>
      <c r="GD92" s="1551" t="e">
        <f aca="false">(FT92*BU92+FX92*CA92+FU92*BV92+FY92*CB92+FV92*BW92+FZ92*CC92+FW92*BX92+GA92*CD92)</f>
        <v>#VALUE!</v>
      </c>
      <c r="GE92" s="1561" t="e">
        <f aca="false">+IF(BQ92,((FL92+FM92+FT92+FU92)*HeatRatePeak/1000*(1+VLOOKUP($C92,WeatherHeatRateAdjustment,2))+(FN92+FV92)*IF(EV92&gt;0,HeatRatePeak,HeatRateOffPeak)/1000*(1+VLOOKUP($C92,WeatherHeatRateAdjustment,2))+(FO92+FW92)*IF(EW92&gt;0,HeatRatePeak,HeatRateOffPeak)/1000*(1+VLOOKUP($C92,WeatherHeatRateAdjustment,3)))*(1+VLOOKUP($B92,HeatRateDegradation,$C92+1)),0)</f>
        <v>#VALUE!</v>
      </c>
      <c r="GF92" s="1562" t="e">
        <f aca="false">IF(BQ92,((FP92+FQ92+FR92+FX92+FY92+FZ92)*HeatRatePeak/1000*(1+VLOOKUP($C92,WeatherHeatRateAdjustment,2))+(FS92+GA92)*HeatRatePeak/1000*(1+VLOOKUP($C92,WeatherHeatRateAdjustment,3)))*(1+VLOOKUP($B92,HeatRateDegradation,$C92+1)),0)</f>
        <v>#VALUE!</v>
      </c>
      <c r="GG92" s="1563" t="e">
        <f aca="false">IF(BQ92,VLOOKUP(A92,GasTable,13),0)</f>
        <v>#VALUE!</v>
      </c>
      <c r="GH92" s="1564" t="e">
        <f aca="false">(GE92+GF92)*GG92</f>
        <v>#VALUE!</v>
      </c>
      <c r="GI92" s="1569" t="e">
        <f aca="false">GB92</f>
        <v>#VALUE!</v>
      </c>
      <c r="GJ92" s="1598" t="e">
        <f aca="false">+DA92</f>
        <v>#VALUE!</v>
      </c>
      <c r="GK92" s="1558" t="e">
        <f aca="false">+GI92*GJ92</f>
        <v>#VALUE!</v>
      </c>
      <c r="GL92" s="1566" t="e">
        <f aca="false">MAX(FE92-FL92-FP92,0)</f>
        <v>#VALUE!</v>
      </c>
      <c r="GM92" s="1551" t="e">
        <f aca="false">MAX(FF92-FM92-FQ92,0)</f>
        <v>#VALUE!</v>
      </c>
      <c r="GN92" s="1551" t="e">
        <f aca="false">MAX(FG92-FN92-FR92,0)</f>
        <v>#VALUE!</v>
      </c>
      <c r="GO92" s="1564" t="e">
        <f aca="false">MAX(FH92-FO92-FS92,0)</f>
        <v>#VALUE!</v>
      </c>
      <c r="GP92" s="1551" t="e">
        <f aca="false">SUM(GL92:GO92)</f>
        <v>#VALUE!</v>
      </c>
      <c r="GQ92" s="1563" t="e">
        <f aca="false">IF(SUM(GL92:GO92)=0,0,((GL92*BU92+GM92*BV92+GN92*BW92+GO92*BX92)/SUM(GL92:GO92)))</f>
        <v>#VALUE!</v>
      </c>
      <c r="GR92" s="1558" t="e">
        <f aca="false">(GL92*BU92+GM92*BV92+GN92*BW92+GO92*BX92)</f>
        <v>#VALUE!</v>
      </c>
      <c r="GS92" s="1566" t="n">
        <f aca="false">IF($A92&gt;=BegDate,Assumptions!$C$56*24*($A93-$A92)*(1-VLOOKUP($B92,MAIN!$AA$7:$AM$28,$C92+1))*(1-VLOOKUP($B92,MAIN!$AA$33:$AM$54,$C92+1)),0)*80/168</f>
        <v>257742.857142857</v>
      </c>
      <c r="GT92" s="286" t="n">
        <f aca="false">J92</f>
        <v>108.749788492341</v>
      </c>
      <c r="GU92" s="286" t="n">
        <f aca="false">IF($A92&gt;=BegDate,VLOOKUP($A92,GasTable,13)+Assumptions!$C$58,0)</f>
        <v>2.60806899584842</v>
      </c>
      <c r="GV92" s="286" t="n">
        <f aca="false">GU92*Assumptions!$C$57/1000</f>
        <v>18.9085002199011</v>
      </c>
      <c r="GW92" s="1558" t="n">
        <f aca="false">IF(Assumptions!$C$60="Hourly",MAX(0,GS92*(GT92-GV92)),GS92*(GT92-GV92))</f>
        <v>23155950.3287337</v>
      </c>
      <c r="GX92" s="1566" t="n">
        <f aca="false">IF($A92&gt;=BegDate,Assumptions!$C$56*24*($A93-$A92)*(1-VLOOKUP($B92,MAIN!$AA$7:$AM$28,$C92+1))*(1-VLOOKUP($B92,MAIN!$AA$33:$AM$54,$C92+1)),0)*16/168</f>
        <v>51548.5714285714</v>
      </c>
      <c r="GY92" s="286" t="n">
        <f aca="false">M92</f>
        <v>108.749788492341</v>
      </c>
      <c r="GZ92" s="286" t="n">
        <f aca="false">IF($A92&gt;=BegDate,VLOOKUP($A92,GasTable,13)+Assumptions!$C$58,0)</f>
        <v>2.60806899584842</v>
      </c>
      <c r="HA92" s="286" t="n">
        <f aca="false">GZ92*Assumptions!$C$57/1000</f>
        <v>18.9085002199011</v>
      </c>
      <c r="HB92" s="1558" t="n">
        <f aca="false">IF(Assumptions!$C$60="Hourly",MAX(0,GX92*(GY92-HA92)),GX92*(GY92-HA92))</f>
        <v>4631190.06574674</v>
      </c>
      <c r="HC92" s="1566" t="n">
        <f aca="false">IF($A92&gt;=BegDate,Assumptions!$C$56*24*($A93-$A92)*(1-VLOOKUP($B92,MAIN!$AA$7:$AM$28,$C92+1))*(1-VLOOKUP($B92,MAIN!$AA$33:$AM$54,$C92+1)),0)*16/168</f>
        <v>51548.5714285714</v>
      </c>
      <c r="HD92" s="286" t="n">
        <f aca="false">P92</f>
        <v>30.8925496365243</v>
      </c>
      <c r="HE92" s="286" t="n">
        <f aca="false">IF($A92&gt;=BegDate,VLOOKUP($A92,GasTable,13)+Assumptions!$C$58,0)</f>
        <v>2.60806899584842</v>
      </c>
      <c r="HF92" s="286" t="n">
        <f aca="false">HE92*Assumptions!$C$57/1000</f>
        <v>18.9085002199011</v>
      </c>
      <c r="HG92" s="1558" t="n">
        <f aca="false">IF(Assumptions!$C$60="Hourly",MAX(0,HC92*(HD92-HF92)),HC92*(HD92-HF92))</f>
        <v>617760.627356331</v>
      </c>
      <c r="HH92" s="1566" t="n">
        <f aca="false">IF($A92&gt;=BegDate,Assumptions!$C$56*24*($A93-$A92)*(1-VLOOKUP($B92,MAIN!$AA$7:$AM$28,$C92+1))*(1-VLOOKUP($B92,MAIN!$AA$33:$AM$54,$C92+1)),0)*56/168</f>
        <v>180420</v>
      </c>
      <c r="HI92" s="286" t="n">
        <f aca="false">S92</f>
        <v>30.8925496365243</v>
      </c>
      <c r="HJ92" s="286" t="n">
        <f aca="false">IF($A92&gt;=BegDate,VLOOKUP($A92,GasTable,13)+Assumptions!$C$58,0)</f>
        <v>2.60806899584842</v>
      </c>
      <c r="HK92" s="286" t="n">
        <f aca="false">HJ92*Assumptions!$C$57/1000</f>
        <v>18.9085002199011</v>
      </c>
      <c r="HL92" s="1558" t="n">
        <f aca="false">IF(Assumptions!$C$60="Hourly",MAX(0,HH92*(HI92-HK92)),HH92*(HI92-HK92))</f>
        <v>2162162.19574716</v>
      </c>
      <c r="HM92" s="1566" t="n">
        <f aca="false">IF(AND(Assumptions!$H$71="Yes",A92&gt;=Assumptions!$H$72,A92&lt;=Assumptions!$H$73),Assumptions!$H$74*Assumptions!$C$9*1000,0)</f>
        <v>0</v>
      </c>
      <c r="HN92" s="1551"/>
      <c r="HO92" s="1563"/>
      <c r="HP92" s="1563"/>
      <c r="HQ92" s="1563"/>
      <c r="HR92" s="1563"/>
      <c r="HS92" s="1563"/>
      <c r="HT92" s="1563"/>
      <c r="HU92" s="1563"/>
      <c r="HV92" s="1563"/>
      <c r="HW92" s="1563"/>
      <c r="HX92" s="1563"/>
      <c r="HY92" s="1563"/>
      <c r="HZ92" s="1563"/>
      <c r="IA92" s="1563"/>
      <c r="IB92" s="1563"/>
      <c r="IC92" s="1563"/>
      <c r="ID92" s="1563"/>
      <c r="IE92" s="1563"/>
      <c r="IF92" s="1563"/>
      <c r="IG92" s="1563"/>
      <c r="IH92" s="1563"/>
      <c r="II92" s="1610"/>
      <c r="IJ92" s="1309"/>
      <c r="IK92" s="1309"/>
    </row>
    <row r="93" customFormat="false" ht="12.75" hidden="false" customHeight="false" outlineLevel="0" collapsed="false">
      <c r="A93" s="1571" t="n">
        <f aca="false">EOMONTH(A92,0)+1</f>
        <v>38961</v>
      </c>
      <c r="B93" s="594" t="n">
        <f aca="false">+YEAR(A93)</f>
        <v>2006</v>
      </c>
      <c r="C93" s="238" t="n">
        <f aca="false">MONTH(A93)</f>
        <v>9</v>
      </c>
      <c r="D93" s="1572" t="e">
        <f aca="false">IF(E93="","",Holiday(B93,C93))</f>
        <v>#VALUE!</v>
      </c>
      <c r="E93" s="1573" t="n">
        <f aca="false">IF(OR(BegDate&gt;=A94,EndDate&lt;A93,AND(VolumeMonthlyOverFlag,INDEX(VolumeMonthlyOver,C93)=0),NOT(INDEX(MonthKnockOutTable,C93))),"",MAX(A93,BegDate))</f>
        <v>38961</v>
      </c>
      <c r="F93" s="1574" t="n">
        <f aca="false">IF(E93="","",MIN(A94-1,EndDate))</f>
        <v>38990</v>
      </c>
      <c r="G93" s="1575" t="n">
        <v>0</v>
      </c>
      <c r="H93" s="1576" t="n">
        <f aca="false">(1+G93/2)^(-2*(DATE(B94,C94,20)-DateToday)/365.25)</f>
        <v>1</v>
      </c>
      <c r="I93" s="1568" t="n">
        <f aca="false">IF(Assumptions!$L$25=4,VLOOKUP($A93,'Henwood Reference'!$E$9:$R$320,10),(VLOOKUP($A93,PriceTable,2,0)+IF(BasisNumber&lt;&gt;1,VLOOKUP($A93,BasisTable,2,0),0)+I$1)/(1-I$2))</f>
        <v>75.6460189455918</v>
      </c>
      <c r="J93" s="1568" t="n">
        <f aca="false">IF(Assumptions!$L$25=4,VLOOKUP($A93,'Henwood Reference'!$E$9:$R$320,10),(VLOOKUP($A93,PriceTable,3,0)+IF(BasisNumber&lt;&gt;1,VLOOKUP($A93,BasisTable,2,0),0)+J$1)/(1-J$2))</f>
        <v>75.6460189455918</v>
      </c>
      <c r="K93" s="1568" t="n">
        <f aca="false">IF(Assumptions!$L$25=4,VLOOKUP($A93,'Henwood Reference'!$E$9:$R$320,10),(VLOOKUP($A93,PriceTable,4,0)+IF(BasisNumber&lt;&gt;1,VLOOKUP($A93,BasisTable,2,0),0)+K$1)/(1-K$2))</f>
        <v>75.6460189455918</v>
      </c>
      <c r="L93" s="1523" t="n">
        <f aca="false">IF(Assumptions!$L$25=4,VLOOKUP($A93,'Henwood Reference'!$E$9:$R$320,10),(VLOOKUP($A93,PriceTableWeekend,2,0)+IF(BasisNumber&lt;&gt;1,VLOOKUP($A93,BasisTable,2,0),0)+L$1)/(1-L$2))</f>
        <v>75.6460189455918</v>
      </c>
      <c r="M93" s="1568" t="n">
        <f aca="false">IF(Assumptions!$L$25=4,VLOOKUP($A93,'Henwood Reference'!$E$9:$R$320,10),(VLOOKUP($A93,PriceTableWeekend,3,0)+IF(BasisNumber&lt;&gt;1,VLOOKUP($A93,BasisTable,2,0),0)+M$1)/(1-M$2))</f>
        <v>75.6460189455918</v>
      </c>
      <c r="N93" s="1599" t="n">
        <f aca="false">IF(Assumptions!$L$25=4,VLOOKUP($A93,'Henwood Reference'!$E$9:$R$320,10),(VLOOKUP($A93,PriceTableWeekend,4,0)+IF(BasisNumber&lt;&gt;1,VLOOKUP($A93,BasisTable,2,0),0)+N$1)/(1-N$2))</f>
        <v>75.6460189455918</v>
      </c>
      <c r="O93" s="1568" t="n">
        <f aca="false">IF(Assumptions!$L$25=4,VLOOKUP($A93,'Henwood Reference'!$E$9:$R$320,11),(VLOOKUP($A93,PriceTableWeekend,6,0)+IF(BasisNumber&lt;&gt;1,VLOOKUP($A93,BasisTable,3,0),0)+O$1)/(1-O$2))</f>
        <v>29.9383522186819</v>
      </c>
      <c r="P93" s="1568" t="n">
        <f aca="false">IF(Assumptions!$L$25=4,VLOOKUP($A93,'Henwood Reference'!$E$9:$R$320,11),(VLOOKUP($A93,PriceTableWeekend,7,0)+IF(BasisNumber&lt;&gt;1,VLOOKUP($A93,BasisTable,3,0),0)+P$1)/(1-P$2))</f>
        <v>29.9383522186819</v>
      </c>
      <c r="Q93" s="1599" t="n">
        <f aca="false">IF(Assumptions!$L$25=4,VLOOKUP($A93,'Henwood Reference'!$E$9:$R$320,11),(VLOOKUP($A93,PriceTableWeekend,8,0)+IF(BasisNumber&lt;&gt;1,VLOOKUP($A93,BasisTable,3,0),0)+Q$1)/(1-Q$2))</f>
        <v>29.9383522186819</v>
      </c>
      <c r="R93" s="1568" t="n">
        <f aca="false">IF(Assumptions!$L$25=4,VLOOKUP($A93,'Henwood Reference'!$E$9:$R$320,11),(VLOOKUP($A93,PriceTable,6,0)+IF(BasisNumber&lt;&gt;1,VLOOKUP($A93,BasisTable,3,0),0)+R$1)/(1-R$2))</f>
        <v>29.9383522186819</v>
      </c>
      <c r="S93" s="1568" t="n">
        <f aca="false">IF(Assumptions!$L$25=4,VLOOKUP($A93,'Henwood Reference'!$E$9:$R$320,11),(VLOOKUP($A93,PriceTable,7,0)+IF(BasisNumber&lt;&gt;1,VLOOKUP($A93,BasisTable,3,0),0)+S$1)/(1-S$2))</f>
        <v>29.9383522186819</v>
      </c>
      <c r="T93" s="1600" t="n">
        <f aca="false">IF(Assumptions!$L$25=4,VLOOKUP($A93,'Henwood Reference'!$E$9:$R$320,11),(VLOOKUP($A93,PriceTable,8,0)+IF(BasisNumber&lt;&gt;1,VLOOKUP($A93,BasisTable,3,0),0)+T$1)/(1-T$2))</f>
        <v>29.9383522186819</v>
      </c>
      <c r="U93" s="1513" t="n">
        <f aca="false">VLOOKUP($A93,VolatilityTable,14)</f>
        <v>0.14</v>
      </c>
      <c r="V93" s="1513" t="n">
        <f aca="false">VLOOKUP($A93,VolatilityTable,15)</f>
        <v>0.15</v>
      </c>
      <c r="W93" s="1514" t="n">
        <f aca="false">VLOOKUP($A93,VolatilityTable,16)</f>
        <v>0.16</v>
      </c>
      <c r="X93" s="1513" t="n">
        <f aca="false">VLOOKUP($A93,VolatilityTable,14)</f>
        <v>0.14</v>
      </c>
      <c r="Y93" s="1513" t="n">
        <f aca="false">VLOOKUP($A93,VolatilityTable,15)</f>
        <v>0.15</v>
      </c>
      <c r="Z93" s="1514" t="n">
        <f aca="false">VLOOKUP($A93,VolatilityTable,16)</f>
        <v>0.16</v>
      </c>
      <c r="AA93" s="1513" t="n">
        <f aca="false">VLOOKUP($A93,VolatilityTable,18)</f>
        <v>0.09</v>
      </c>
      <c r="AB93" s="1513" t="n">
        <f aca="false">VLOOKUP($A93,VolatilityTable,19)</f>
        <v>0.11</v>
      </c>
      <c r="AC93" s="1514" t="n">
        <f aca="false">VLOOKUP($A93,VolatilityTable,20)</f>
        <v>0.13</v>
      </c>
      <c r="AD93" s="1513" t="n">
        <f aca="false">VLOOKUP($A93,VolatilityTable,18)</f>
        <v>0.09</v>
      </c>
      <c r="AE93" s="1513" t="n">
        <f aca="false">VLOOKUP($A93,VolatilityTable,19)</f>
        <v>0.11</v>
      </c>
      <c r="AF93" s="1514" t="n">
        <f aca="false">VLOOKUP($A93,VolatilityTable,20)</f>
        <v>0.13</v>
      </c>
      <c r="AG93" s="1513" t="n">
        <f aca="false">VLOOKUP($A93,VolatilityTable,22)</f>
        <v>-0.35</v>
      </c>
      <c r="AH93" s="1513" t="n">
        <f aca="false">VLOOKUP($A93,VolatilityTable,23)</f>
        <v>3</v>
      </c>
      <c r="AI93" s="1514" t="n">
        <f aca="false">VLOOKUP($A93,VolatilityTable,24)</f>
        <v>0.2</v>
      </c>
      <c r="AJ93" s="1513" t="n">
        <f aca="false">VLOOKUP($A93,VolatilityTable,22)</f>
        <v>-0.35</v>
      </c>
      <c r="AK93" s="1513" t="n">
        <f aca="false">VLOOKUP($A93,VolatilityTable,23)</f>
        <v>3</v>
      </c>
      <c r="AL93" s="1514" t="n">
        <f aca="false">VLOOKUP($A93,VolatilityTable,24)</f>
        <v>0.2</v>
      </c>
      <c r="AM93" s="1513" t="n">
        <f aca="false">VLOOKUP($A93,VolatilityTable,26)</f>
        <v>-0.01</v>
      </c>
      <c r="AN93" s="1513" t="n">
        <f aca="false">VLOOKUP($A93,VolatilityTable,27)</f>
        <v>0.16</v>
      </c>
      <c r="AO93" s="1514" t="n">
        <f aca="false">VLOOKUP($A93,VolatilityTable,28)</f>
        <v>0.01</v>
      </c>
      <c r="AP93" s="1513" t="n">
        <f aca="false">VLOOKUP($A93,VolatilityTable,26)</f>
        <v>-0.01</v>
      </c>
      <c r="AQ93" s="1513" t="n">
        <f aca="false">VLOOKUP($A93,VolatilityTable,27)</f>
        <v>0.16</v>
      </c>
      <c r="AR93" s="1515" t="n">
        <f aca="false">VLOOKUP($A93,VolatilityTable,28)</f>
        <v>0.01</v>
      </c>
      <c r="AS93" s="1581" t="n">
        <f aca="false">IF(CorrPeakOffPeakOverFlag,INDEX(CorrPeakOffPeakOver,C93),CorrPeakOffPeak)</f>
        <v>0.5</v>
      </c>
      <c r="AT93" s="594" t="e">
        <f aca="false">AX93-SUM(AU93:AW93)</f>
        <v>#VALUE!</v>
      </c>
      <c r="AU93" s="238" t="e">
        <f aca="false">IF(E93="",0,INT((F93-MOD(F93,7)-E93)/7)+1-IF(AW93,IF(WEEKDAY(D93)=7,1,0),0))</f>
        <v>#VALUE!</v>
      </c>
      <c r="AV93" s="238" t="e">
        <f aca="false">IF(E93="",0,INT((F93-MOD(F93-1,7)-E93)/7)+1-IF(AW93,IF(WEEKDAY(D93)=1,1,0),0))</f>
        <v>#VALUE!</v>
      </c>
      <c r="AW93" s="238" t="e">
        <f aca="false">IF(OR(E93="",D93="",D93&lt;BegDate,D93&gt;EndDate),0,1)</f>
        <v>#VALUE!</v>
      </c>
      <c r="AX93" s="238" t="n">
        <f aca="false">IF(E93="",0,F93-E93+1)</f>
        <v>30</v>
      </c>
      <c r="AY93" s="1582" t="n">
        <f aca="false">IF(E93="",0,MIN((1-(1-VLOOKUP(B93,MAIN!$AA$7:$AM$28,C93+1))*(1-VLOOKUP(B93,MAIN!$AA$33:$AM$54,C93+1))),1))</f>
        <v>0.03</v>
      </c>
      <c r="AZ93" s="1519" t="e">
        <v>#VALUE!</v>
      </c>
      <c r="BA93" s="1520" t="e">
        <v>#VALUE!</v>
      </c>
      <c r="BB93" s="1520" t="e">
        <v>#VALUE!</v>
      </c>
      <c r="BC93" s="1583" t="e">
        <v>#VALUE!</v>
      </c>
      <c r="BD93" s="1522" t="e">
        <v>#VALUE!</v>
      </c>
      <c r="BE93" s="1523" t="e">
        <v>#VALUE!</v>
      </c>
      <c r="BF93" s="1523" t="e">
        <v>#VALUE!</v>
      </c>
      <c r="BG93" s="1584" t="e">
        <v>#VALUE!</v>
      </c>
      <c r="BH93" s="1525" t="e">
        <v>#VALUE!</v>
      </c>
      <c r="BI93" s="1520" t="e">
        <v>#VALUE!</v>
      </c>
      <c r="BJ93" s="1520" t="e">
        <v>#VALUE!</v>
      </c>
      <c r="BK93" s="1583" t="e">
        <v>#VALUE!</v>
      </c>
      <c r="BL93" s="1522" t="e">
        <v>#VALUE!</v>
      </c>
      <c r="BM93" s="1523" t="e">
        <v>#VALUE!</v>
      </c>
      <c r="BN93" s="1523" t="e">
        <v>#VALUE!</v>
      </c>
      <c r="BO93" s="1523" t="e">
        <v>#VALUE!</v>
      </c>
      <c r="BP93" s="1525" t="e">
        <f aca="false">SUM(AZ93:BB93)</f>
        <v>#VALUE!</v>
      </c>
      <c r="BQ93" s="1529" t="e">
        <f aca="false">SUM(AZ93:BC93)</f>
        <v>#VALUE!</v>
      </c>
      <c r="BR93" s="1519" t="e">
        <f aca="false">SUM(BH93:BJ93)</f>
        <v>#VALUE!</v>
      </c>
      <c r="BS93" s="1529" t="e">
        <f aca="false">SUM(BH93:BK93)</f>
        <v>#VALUE!</v>
      </c>
      <c r="BT93" s="1316" t="n">
        <f aca="false">(IF(OVolType&lt;&gt;2,A93+14,IF(OptExpDateShift,ShiftBack(A93,OptExpDateShift,D92),A93))-DateToday)/365.25</f>
        <v>6.38193018480493</v>
      </c>
      <c r="BU93" s="1585" t="e">
        <f aca="false">IF(BQ93,IF(OPriceCurve,IF(OBuySell=OCallPut,I93/(1-AY93),K93/(1-AY93)),J93/(1-AY93))*BD93,0)</f>
        <v>#VALUE!</v>
      </c>
      <c r="BV93" s="1316" t="e">
        <f aca="false">IF(BQ93,IF(OPriceCurve,IF(OBuySell=OCallPut,L93/(1-AY93),N93/(1-AY93)),M93/(1-AY93))*BE93,0)</f>
        <v>#VALUE!</v>
      </c>
      <c r="BW93" s="1316" t="e">
        <f aca="false">IF(BQ93,IF(OPriceCurve,IF(OBuySell=OCallPut,O93/(1-AY93),Q93/(1-AY93)),P93/(1-AY93))*BF93,0)</f>
        <v>#VALUE!</v>
      </c>
      <c r="BX93" s="1316" t="e">
        <f aca="false">IF(BQ93,IF(OPriceCurve,IF(OBuySell=OCallPut,R93/(1-AY93),T93/(1-AY93)),S93/(1-AY93))*BG93,0)</f>
        <v>#VALUE!</v>
      </c>
      <c r="BY93" s="1316" t="e">
        <f aca="false">IF(BP93,(BU93*AZ93+BV93*BA93+BW93*BB93)/BP93,0)</f>
        <v>#VALUE!</v>
      </c>
      <c r="BZ93" s="1316" t="e">
        <f aca="false">IF(BQ93,(BY93*BP93+BX93*BC93)/BQ93,0)</f>
        <v>#VALUE!</v>
      </c>
      <c r="CA93" s="1531" t="e">
        <f aca="false">IF(BS93,IF(OPriceCurve,IF(OBuySell=OCallPut,I93/(1-AY93),K93/(1-AY93)),J93/(1-AY93))*BL93,0)</f>
        <v>#VALUE!</v>
      </c>
      <c r="CB93" s="1316" t="e">
        <f aca="false">IF(BS93,IF(OPriceCurve,IF(OBuySell=OCallPut,L93/(1-AY93),N93/(1-AY93)),M93/(1-AY93))*BM93,0)</f>
        <v>#VALUE!</v>
      </c>
      <c r="CC93" s="1316" t="e">
        <f aca="false">IF(BS93,IF(OPriceCurve,IF(OBuySell=OCallPut,O93/(1-AY93),Q93/(1-AY93)),P93/(1-AY93))*BN93,0)</f>
        <v>#VALUE!</v>
      </c>
      <c r="CD93" s="1316" t="e">
        <f aca="false">IF(BS93,IF(OPriceCurve,IF(OBuySell=OCallPut,R93/(1-AY93),T93/(1-AY93)),S93/(1-AY93))*BO93,0)</f>
        <v>#VALUE!</v>
      </c>
      <c r="CE93" s="1316" t="e">
        <f aca="false">IF(BR93,(BU93*BH93+BV93*BI93+BW93*BJ93)/BR93,0)</f>
        <v>#VALUE!</v>
      </c>
      <c r="CF93" s="1532" t="e">
        <f aca="false">IF(BS93,(CE93*BR93+CD93*BK93)/BS93,0)</f>
        <v>#VALUE!</v>
      </c>
      <c r="CG93" s="1586" t="e">
        <f aca="false">IF(OR(BQ93,BS93),IF(OVolType&lt;&gt;2,SQRT(IF(OVolOverMonthlyPeak,OVolOverMonthlyPeak,IF(OVolCurve,IF(OBuySell,U93,W93),V93))^2*(1-15/365.25/BT93)+IF(OVolOverDailyPeak,OVolOverDailyPeak,IF(OVolCurve,IF(OBuySell,AG93,AI93),AH93))^2*15/365.25/BT93),IF(OVolOverMonthlyPeak,OVolOverMonthlyPeak,IF(OVolCurve,IF(OBuySell,U93,W93),V93))),"")</f>
        <v>#VALUE!</v>
      </c>
      <c r="CH93" s="1587" t="e">
        <f aca="false">IF(OR(BQ93,BS93),IF(OVolType&lt;&gt;2,SQRT(IF(OVolOverMonthlyPeak,OVolOverMonthlyPeak,IF(OVolCurve,IF(OBuySell,X93,Z93),Y93))^2*(1-15/365.25/BT93)+IF(OVolOverDailyPeak,OVolOverDailyPeak,IF(OVolCurve,IF(OBuySell,AJ93,AL93),AK93))^2*15/365.25/BT93),IF(OVolOverMonthlyPeak,OVolOverMonthlyPeak,IF(OVolCurve,IF(OBuySell,X93,Z93),Y93))),"")</f>
        <v>#VALUE!</v>
      </c>
      <c r="CI93" s="1587" t="e">
        <f aca="false">IF(OR(BQ93,BS93),IF(OVolType&lt;&gt;2,SQRT(IF(OVolOverMonthlyPeak,OVolOverMonthlyPeak,IF(OVolCurve,IF(OBuySell,AA93,AC93),AB93))^2*(1-15/365.25/BT93)+IF(OVolOverDailyPeak,OVolOverDailyPeak,IF(OVolCurve,IF(OBuySell,AM93,AO93),AN93))^2*15/365.25/BT93),IF(OVolOverMonthlyPeak,OVolOverMonthlyPeak,IF(OVolCurve,IF(OBuySell,AA93,AC93),AB93))),"")</f>
        <v>#VALUE!</v>
      </c>
      <c r="CJ93" s="1587" t="e">
        <f aca="false">IF(BQ93,IF(BP93,SQRT(LN(1+((BU93*AZ93)^2*(EXP(CG93^2*BT93)-1)+(BV93*BA93)^2*(EXP(CH93^2*BT93)-1)+(BW93*BB93)^2*(EXP(CI93^2*BT93)-1)+2*BU93*AZ93*BV93*BA93*(EXP(CG93*CH93*BT93)-1)+2*BV93*BA93*BW93*BB93*(EXP(CH93*CI93*BT93)-1)+2*BW93*BB93*BU93*AZ93*(EXP(CI93*CG93*BT93)-1))/(BY93*BP93)^2)/BT93),0),"")</f>
        <v>#VALUE!</v>
      </c>
      <c r="CK93" s="1587" t="e">
        <f aca="false">IF(BS93,IF(BR93,SQRT(LN(1+((CA93*BH93)^2*(EXP(CG93^2*BT93)-1)+(CB93*BI93)^2*(EXP(CH93^2*BT93)-1)+(CC93*BJ93)^2*(EXP(CI93^2*BT93)-1)+2*CA93*BH93*CB93*BI93*(EXP(CG93*CH93*BT93)-1)+2*CB93*BI93*CC93*BJ93*(EXP(CH93*CI93*BT93)-1)+2*CC93*BJ93*CA93*BH93*(EXP(CI93*CG93*BT93)-1))/(CE93*BR93)^2)/BT93),0),"")</f>
        <v>#VALUE!</v>
      </c>
      <c r="CL93" s="1587" t="e">
        <f aca="false">IF(OR(BQ93,BS93),IF(OVolType&lt;&gt;2,SQRT(IF(OVolOverMonthlyOffPeak,OVolOverMonthlyOffPeak,IF(OVolCurve,IF(OBuySell,AD93,AF93),AE93))^2*(1-15/365.25/BT93)+IF(OVolOverDailyOffPeak,OVolOverDailyOffPeak,IF(OVolCurve,IF(OBuySell,AP93,AR93),AQ93))^2*15/365.25/BT93),IF(OVolOverMonthlyOffPeak,OVolOverMonthlyOffPeak,IF(OVolCurve,IF(OBuySell,AD93,AF93),AE93))),"")</f>
        <v>#VALUE!</v>
      </c>
      <c r="CM93" s="1587" t="e">
        <f aca="false">IF(BQ93,SQRT(LN(1+((BY93*BP93)^2*(EXP(CJ93^2*BT93)-1)+(BX93*BC93)^2*(EXP(CL93^2*BT93)-1)+2*BY93*BP93*BX93*BC93*(EXP(AS93*CJ93*CL93*BT93)-1))/(BY93*BP93+BX93*BC93)^2)/BT93),"")</f>
        <v>#VALUE!</v>
      </c>
      <c r="CN93" s="1588" t="e">
        <f aca="false">IF(BS93,SQRT(LN(1+((CE93*BR93)^2*(EXP(CK93^2*BT93)-1)+(CD93*BK93)^2*(EXP(CL93^2*BT93)-1)+2*CE93*BR93*CD93*BK93*(EXP(AS93*CK93*CL93*BT93)-1))/(CE93*BR93+CD93*BK93)^2)/BT93),"")</f>
        <v>#VALUE!</v>
      </c>
      <c r="CO93" s="1531" t="e">
        <f aca="false">IF(OR(BQ93,BS93),VLOOKUP(A93,GasTable,13)*HeatRatePeak*(1+VLOOKUP($B93,HeatRateDegradation,$C93+1))/1000,0)</f>
        <v>#VALUE!</v>
      </c>
      <c r="CP93" s="1316" t="e">
        <f aca="false">IF(OR(BQ93,BS93),VLOOKUP(A93,GasTable,13)*HeatRatePeak*(1+VLOOKUP($B93,HeatRateDegradation,$C93+1))/1000,0)</f>
        <v>#VALUE!</v>
      </c>
      <c r="CQ93" s="1316" t="e">
        <f aca="false">IF(OR(BQ93,BS93),VLOOKUP(A93,GasTable,13)*IF(EV93,HeatRatePeak,HeatRateOffPeak)*(1+VLOOKUP($B93,HeatRateDegradation,$C93+1))/1000,0)</f>
        <v>#VALUE!</v>
      </c>
      <c r="CR93" s="1316" t="e">
        <f aca="false">IF(OR(BQ93,BS93),VLOOKUP(A93,GasTable,13)*IF(EW93,HeatRatePeak,HeatRateOffPeak)*(1+VLOOKUP($B93,HeatRateDegradation,$C93+1))/1000,0)</f>
        <v>#VALUE!</v>
      </c>
      <c r="CS93" s="1589" t="e">
        <f aca="false">IF(BQ93,(CO93*AZ93+CP93*BA93+CQ93*BB93+CR93*BC93)/BQ93,0)</f>
        <v>#VALUE!</v>
      </c>
      <c r="CT93" s="1316" t="e">
        <f aca="false">IF(BS93,CO93,0)</f>
        <v>#VALUE!</v>
      </c>
      <c r="CU93" s="1590" t="e">
        <f aca="false">IF(OR(BQ93,BS93),VLOOKUP(A93,GasTable,14),"")</f>
        <v>#VALUE!</v>
      </c>
      <c r="CV93" s="1568" t="e">
        <f aca="false">IF(OR(BQ93,BS93),IF(CorrPowerGasOverFlag,INDEX(CorrPowerGasOver,C93),CorrPowerGas),"")</f>
        <v>#VALUE!</v>
      </c>
      <c r="CW93" s="1316" t="e">
        <f aca="false">IF(OR($BQ93,$BS93),SpreadOptPowerMargin,0)*((1+Assumptions!$C$26)^($B93-YEAR(Assumptions!$C$17)))</f>
        <v>#VALUE!</v>
      </c>
      <c r="CX93" s="1316" t="e">
        <f aca="false">IF(OR($BQ93,$BS93),SpreadOptPowerMargin,0)*((1+Assumptions!$C$26)^($B93-YEAR(Assumptions!$C$17)))</f>
        <v>#VALUE!</v>
      </c>
      <c r="CY93" s="1316" t="e">
        <f aca="false">IF(OR($BQ93,$BS93),SpreadOptPowerMargin,0)*((1+Assumptions!$C$26)^($B93-YEAR(Assumptions!$C$17)))</f>
        <v>#VALUE!</v>
      </c>
      <c r="CZ93" s="1316" t="e">
        <f aca="false">IF(OR($BQ93,$BS93),SpreadOptPowerMargin,0)*((1+Assumptions!$C$26)^($B93-YEAR(Assumptions!$C$17)))</f>
        <v>#VALUE!</v>
      </c>
      <c r="DA93" s="1591" t="e">
        <f aca="false">IF(OR(BQ93,BS93),(CW93*(AZ93+BH93)+CX93*(BA93+BI93)+CY93*(BB93+BJ93)+CZ93*(BC93+BK93))/(BQ93+BS93),0)</f>
        <v>#VALUE!</v>
      </c>
      <c r="DB93" s="1592" t="e">
        <f aca="false">IF(OR(BQ93,BS93),CG93+IF(OVolSmile,VLOOKUP(MAX(-5,CO93+CW93-BU93),IF(OVolSmile=1,VolSmileBook,VolSmileModel),2),0),"")</f>
        <v>#VALUE!</v>
      </c>
      <c r="DC93" s="1592" t="e">
        <f aca="false">IF(OR(BQ93,BS93),CH93+IF(OVolSmile,VLOOKUP(MAX(-5,CP93+CW93-BV93),IF(OVolSmile=1,VolSmileBook,VolSmileModel),2),0),"")</f>
        <v>#VALUE!</v>
      </c>
      <c r="DD93" s="1592" t="e">
        <f aca="false">IF(OR(BQ93,BS93),CI93+IF(OVolSmile,VLOOKUP(MAX(-5,CQ93+CW93-BW93),IF(OVolSmile=1,VolSmileBook,VolSmileModel),2),0),"")</f>
        <v>#VALUE!</v>
      </c>
      <c r="DE93" s="1592" t="e">
        <f aca="false">IF(OR(BQ93,BS93),CL93+IF(OVolSmile,VLOOKUP(MAX(-5,CR93+CZ93-BX93),IF(OVolSmile=1,VolSmileBook,VolSmileModel),2),0),"")</f>
        <v>#VALUE!</v>
      </c>
      <c r="DF93" s="1592" t="e">
        <f aca="false">IF(BQ93,CM93+IF(OVolSmile,VLOOKUP(MAX(-5,CS93+DA93-BZ93),IF(OVolSmile=1,VolSmileBook,VolSmileModel),2),0),"")</f>
        <v>#VALUE!</v>
      </c>
      <c r="DG93" s="1593" t="e">
        <f aca="false">IF(BS93,CN93+IF(OVolSmile,VLOOKUP(MAX(-5,CT93+DA93-CF93),IF(OVolSmile=1,VolSmileBook,VolSmileModel),2),0),"")</f>
        <v>#VALUE!</v>
      </c>
      <c r="DH93" s="1316" t="e">
        <f aca="false">IF(AND(BU93&gt;0,CO93&gt;0,DB93&gt;0,CU93&gt;0),newSPRDOPT(BU93,CO93,CW93,0,DB93,CU93,CV93,BT93*365.25,OCallPut,0),0)</f>
        <v>#VALUE!</v>
      </c>
      <c r="DI93" s="1316" t="e">
        <f aca="false">IF(AND(BV93&gt;0,CP93&gt;0,DC93&gt;0,CU93&gt;0),newSPRDOPT(BV93,CP93,CX93,0,DC93,CU93,CV93,BT93*365.25,OCallPut,0),0)</f>
        <v>#VALUE!</v>
      </c>
      <c r="DJ93" s="1316" t="e">
        <f aca="false">IF(AND(BW93&gt;0,CQ93&gt;0,DD93&gt;0,CU93&gt;0),newSPRDOPT(BW93,CQ93,CY93,0,DD93,CU93,CV93,BT93*365.25,OCallPut,0),0)</f>
        <v>#VALUE!</v>
      </c>
      <c r="DK93" s="1316" t="e">
        <f aca="false">IF(AND(BX93&gt;0,CR93&gt;0,DE93&gt;0,CU93&gt;0),newSPRDOPT(BX93,CR93,CZ93,0,DE93,CU93,CV93,BT93*365.25,OCallPut,0),0)</f>
        <v>#VALUE!</v>
      </c>
      <c r="DL93" s="1316" t="e">
        <f aca="false">IF(OVolType,IF(AND(BZ93&gt;0,CS93&gt;0,DF93&gt;0,CU93&gt;0),newSPRDOPT(BZ93,CS93,DA93,0,DF93,CU93,CV93,BT93*365.25,OCallPut,0),0),IF(BQ93,(DH93*AZ93+DI93*BA93+DJ93*BB93+DK93*BC93)/BQ93,0))</f>
        <v>#VALUE!</v>
      </c>
      <c r="DM93" s="1316"/>
      <c r="DN93" s="1316"/>
      <c r="DO93" s="1316"/>
      <c r="DP93" s="1316"/>
      <c r="DQ93" s="1316"/>
      <c r="DR93" s="1316"/>
      <c r="DS93" s="1316"/>
      <c r="DT93" s="1316"/>
      <c r="DU93" s="1316"/>
      <c r="DV93" s="1316"/>
      <c r="DW93" s="1594" t="e">
        <f aca="false">IF(AND(BW93&gt;0,CT93&gt;0,DD93&gt;0,CU93&gt;0),newSPRDOPT(BW93,CT93,CY93,0,DD93,CU93,CV93,BT93*365.25,OCallPut,0),0)</f>
        <v>#VALUE!</v>
      </c>
      <c r="DX93" s="1316" t="e">
        <f aca="false">IF(AND(BX93&gt;0,CT93&gt;0,DE93&gt;0,CU93&gt;0),newSPRDOPT(BX93,CT93,CZ93,0,DE93,CU93,CV93,BT93*365.25,OCallPut,0),0)</f>
        <v>#VALUE!</v>
      </c>
      <c r="DY93" s="1591" t="e">
        <f aca="false">IF(BS93,(DH93*BH93+DI93*BI93+DW93*BJ93+DX93*BK93)/BS93,0)</f>
        <v>#VALUE!</v>
      </c>
      <c r="DZ93" s="1551" t="e">
        <f aca="false">DH93*AZ93</f>
        <v>#VALUE!</v>
      </c>
      <c r="EA93" s="1551" t="e">
        <f aca="false">DI93*BA93</f>
        <v>#VALUE!</v>
      </c>
      <c r="EB93" s="1551" t="e">
        <f aca="false">DJ93*BB93</f>
        <v>#VALUE!</v>
      </c>
      <c r="EC93" s="1551" t="e">
        <f aca="false">DK93*BC93</f>
        <v>#VALUE!</v>
      </c>
      <c r="ED93" s="1551" t="e">
        <f aca="false">DL93*BQ93</f>
        <v>#VALUE!</v>
      </c>
      <c r="EE93" s="1595" t="e">
        <f aca="false">IF(BQ93,IF(OCallPut,IF(BU93&gt;(CO93+CW93),BU93-(CO93+CW93),0),IF((CO93+CW93)&gt;BU93,(CO93+CW93)-BU93,0))*AZ93,0)</f>
        <v>#VALUE!</v>
      </c>
      <c r="EF93" s="1596" t="e">
        <f aca="false">IF(BQ93,IF(OCallPut,IF(BV93&gt;(CP93+CX93),BV93-(CP93+CX93),0),IF((CP93+CX93)&gt;BV93,(CP93+CX93)-BV93,0))*BA93,0)</f>
        <v>#VALUE!</v>
      </c>
      <c r="EG93" s="1596" t="e">
        <f aca="false">IF(BQ93,IF(OCallPut,IF(BW93&gt;(CQ93+CY93),BW93-(CQ93+CY93),0),IF((CQ93+CY93)&gt;BW93,(CQ93+CY93)-BW93,0))*BB93,0)</f>
        <v>#VALUE!</v>
      </c>
      <c r="EH93" s="1596" t="e">
        <f aca="false">IF(BQ93,IF(OCallPut,IF(BX93&gt;(CR93+CZ93),BX93-(CR93+CZ93),0),IF((CR93+CZ93)&gt;BX93,(CR93+CZ93)-BX93,0))*BC93,0)</f>
        <v>#VALUE!</v>
      </c>
      <c r="EI93" s="1597" t="e">
        <f aca="false">IF(BQ93,IF(OVolType,IF(OCallPut,IF(BZ93&gt;(CS93+DA93),BZ93-(CS93+DA93),0),IF((CS93+DA93)&gt;BZ93,(CS93+DA93)-BZ93,0))*BQ93,SUM(EE93:EH93)),0)</f>
        <v>#VALUE!</v>
      </c>
      <c r="EJ93" s="1595" t="e">
        <f aca="false">DZ93-EE93</f>
        <v>#VALUE!</v>
      </c>
      <c r="EK93" s="1596" t="e">
        <f aca="false">EA93-EF93</f>
        <v>#VALUE!</v>
      </c>
      <c r="EL93" s="1596" t="e">
        <f aca="false">EB93-EG93</f>
        <v>#VALUE!</v>
      </c>
      <c r="EM93" s="1596" t="e">
        <f aca="false">EC93-EH93</f>
        <v>#VALUE!</v>
      </c>
      <c r="EN93" s="1597" t="e">
        <f aca="false">ED93-EI93</f>
        <v>#VALUE!</v>
      </c>
      <c r="EO93" s="1551" t="e">
        <f aca="false">DH93*BH93</f>
        <v>#VALUE!</v>
      </c>
      <c r="EP93" s="1551" t="e">
        <f aca="false">DI93*BI93</f>
        <v>#VALUE!</v>
      </c>
      <c r="EQ93" s="1551" t="e">
        <f aca="false">DW93*BJ93</f>
        <v>#VALUE!</v>
      </c>
      <c r="ER93" s="1551" t="e">
        <f aca="false">DX93*BK93</f>
        <v>#VALUE!</v>
      </c>
      <c r="ES93" s="1551" t="e">
        <f aca="false">DY93*BS93</f>
        <v>#VALUE!</v>
      </c>
      <c r="ET93" s="1566" t="e">
        <f aca="false">IF(EI93,IF(OCallPut,IF(CA93&gt;(CT93+CW93),CA93-(CT93+CW93),0),IF((CT93+CW93)&gt;CA93,(CT93+CW93)-CA93,0))*BH93,0)</f>
        <v>#VALUE!</v>
      </c>
      <c r="EU93" s="1551" t="e">
        <f aca="false">IF(EI93,IF(OCallPut,IF(CB93&gt;(CT93+CX93),CB93-(CT93+CX93),0),IF((CT93+CX93)&gt;CB93,(CT93+CX93)-CB93,0))*BI93,0)</f>
        <v>#VALUE!</v>
      </c>
      <c r="EV93" s="1551" t="e">
        <f aca="false">IF(EI93,IF(OCallPut,IF(CC93&gt;(CT93+CY93),CC93-(CT93+CY93),0),IF((CT93+CY93)&gt;CC93,(CT93+CY93)-CC93,0))*BJ93,0)</f>
        <v>#VALUE!</v>
      </c>
      <c r="EW93" s="1551" t="e">
        <f aca="false">IF(EI93,IF(OCallPut,IF(CD93&gt;(CT93+CZ93),CD93-(CT93+CZ93),0),IF((CT93+CZ93)&gt;CD93,(CT93+CZ93)-CD93,0))*BK93,0)</f>
        <v>#VALUE!</v>
      </c>
      <c r="EX93" s="1558" t="e">
        <f aca="false">IF(EI93,SUM(ET93:EW93),0)</f>
        <v>#VALUE!</v>
      </c>
      <c r="EY93" s="1551" t="e">
        <f aca="false">EO93-ET93</f>
        <v>#VALUE!</v>
      </c>
      <c r="EZ93" s="1551" t="e">
        <f aca="false">EP93-EU93</f>
        <v>#VALUE!</v>
      </c>
      <c r="FA93" s="1551" t="e">
        <f aca="false">EQ93-EV93</f>
        <v>#VALUE!</v>
      </c>
      <c r="FB93" s="1551" t="e">
        <f aca="false">ER93-EW93</f>
        <v>#VALUE!</v>
      </c>
      <c r="FC93" s="1551" t="e">
        <f aca="false">ES93-EX93</f>
        <v>#VALUE!</v>
      </c>
      <c r="FD93" s="1525" t="n">
        <f aca="false">IF(AX93,IF(VLOOKUP(C93,MAIN!$L$17:$M$28,2)="Yes",VLOOKUP(CALC!B93,MAIN!$H$17:$I$20,2),0),0)</f>
        <v>0</v>
      </c>
      <c r="FE93" s="1552" t="e">
        <f aca="false">$FD93*16*AT93*(1-$AY93)</f>
        <v>#VALUE!</v>
      </c>
      <c r="FF93" s="1553" t="e">
        <f aca="false">$FD93*16*AU93*(1-$AY93)</f>
        <v>#VALUE!</v>
      </c>
      <c r="FG93" s="1553" t="e">
        <f aca="false">$FD93*16*(AV93+AW93)*(1-$AY93)</f>
        <v>#VALUE!</v>
      </c>
      <c r="FH93" s="1554" t="n">
        <f aca="false">$FD93*8*AX93*(1-$AY93)</f>
        <v>0</v>
      </c>
      <c r="FI93" s="1555" t="n">
        <f aca="false">IF(AX93,VLOOKUP(CALC!B93,MAIN!$H$17:$K$20,4),0)</f>
        <v>0</v>
      </c>
      <c r="FJ93" s="1553" t="e">
        <f aca="false">SUM(FE93:FH93)</f>
        <v>#VALUE!</v>
      </c>
      <c r="FK93" s="1556" t="e">
        <f aca="false">FI93*FJ93</f>
        <v>#VALUE!</v>
      </c>
      <c r="FL93" s="1551" t="e">
        <f aca="false">IF($EI93&gt;0,MIN(FE93,AZ93*(1+VLOOKUP($C93,WeatherCapacityAdjustment,2))),0)</f>
        <v>#VALUE!</v>
      </c>
      <c r="FM93" s="1551" t="e">
        <f aca="false">IF($EI93&gt;0,MIN(FF93,BA93*(1+VLOOKUP($C93,WeatherCapacityAdjustment,2))),0)</f>
        <v>#VALUE!</v>
      </c>
      <c r="FN93" s="1551" t="e">
        <f aca="false">IF($EI93&gt;0,MIN(FG93,BB93*(1+VLOOKUP($C93,WeatherCapacityAdjustment,2))),0)</f>
        <v>#VALUE!</v>
      </c>
      <c r="FO93" s="1564" t="e">
        <f aca="false">IF($EI93&gt;0,MIN(FH93,BC93*(1+VLOOKUP($C93,WeatherCapacityAdjustment,3))),0)</f>
        <v>#VALUE!</v>
      </c>
      <c r="FP93" s="1551" t="e">
        <f aca="false">IF(ET93&gt;0,MIN(FE93-FL93,BH93*(1+VLOOKUP($C93,WeatherCapacityAdjustment,2))),0)</f>
        <v>#VALUE!</v>
      </c>
      <c r="FQ93" s="1551" t="e">
        <f aca="false">IF(EU93&gt;0,MIN(FF93-FM93,BI93*(1+VLOOKUP($C93,WeatherCapacityAdjustment,2))),0)</f>
        <v>#VALUE!</v>
      </c>
      <c r="FR93" s="1551" t="e">
        <f aca="false">IF(EV93&gt;0,MIN(FG93-FN93,BJ93*(1+VLOOKUP($C93,WeatherCapacityAdjustment,2))),0)</f>
        <v>#VALUE!</v>
      </c>
      <c r="FS93" s="1558" t="e">
        <f aca="false">IF(EW93&gt;0,MIN(FH93-FO93,BK93*(1+VLOOKUP($C93,WeatherCapacityAdjustment,3))),0)</f>
        <v>#VALUE!</v>
      </c>
      <c r="FT93" s="1566" t="e">
        <f aca="false">IF(AND(Assumptions!$H$71="Yes",A93&gt;=Assumptions!$H$72,A93&lt;=Assumptions!$H$73),0,IF(AND($A93&gt;=Assumptions!$C$17,$A93&lt;=Assumptions!$C$18),MAX(AZ93*(1+VLOOKUP($C93,WeatherCapacityAdjustment,2))-FL93,0),0))</f>
        <v>#VALUE!</v>
      </c>
      <c r="FU93" s="1551" t="e">
        <f aca="false">IF(AND(Assumptions!$H$71="Yes",A93&gt;=Assumptions!$H$72,A93&lt;=Assumptions!$H$73),0,IF(AND($A93&gt;=Assumptions!$C$17,$A93&lt;=Assumptions!$C$18),MAX(BA93*(1+VLOOKUP($C93,WeatherCapacityAdjustment,2))-FM93,0),0))</f>
        <v>#VALUE!</v>
      </c>
      <c r="FV93" s="1551" t="e">
        <f aca="false">IF(AND(Assumptions!$H$71="Yes",A93&gt;=Assumptions!$H$72,A93&lt;=Assumptions!$H$73),0,IF(AND($A93&gt;=Assumptions!$C$17,$A93&lt;=Assumptions!$C$18),MAX(BB93*(1+VLOOKUP($C93,WeatherCapacityAdjustment,2))-FN93,0),0))</f>
        <v>#VALUE!</v>
      </c>
      <c r="FW93" s="1564" t="e">
        <f aca="false">IF(AND(Assumptions!$H$71="Yes",A93&gt;=Assumptions!$H$72,A93&lt;=Assumptions!$H$73),0,IF(AND($A93&gt;=Assumptions!$C$17,$A93&lt;=Assumptions!$C$18),MAX(BC93*(1+VLOOKUP($C93,WeatherCapacityAdjustment,3))-FO93,0),0))</f>
        <v>#VALUE!</v>
      </c>
      <c r="FX93" s="1569" t="e">
        <f aca="false">IF(AND(Assumptions!$H$71="Yes",A93&gt;=Assumptions!$H$72,A93&lt;=Assumptions!$H$73),0,IF(ET93&gt;0,MAX(BH93*(1+VLOOKUP($C93,WeatherCapacityAdjustment,2))-FP93,0),0))</f>
        <v>#VALUE!</v>
      </c>
      <c r="FY93" s="1551" t="e">
        <f aca="false">IF(AND(Assumptions!$H$71="Yes",A93&gt;=Assumptions!$H$72,A93&lt;=Assumptions!$H$73),0,IF(EU93&gt;0,MAX(BI93*(1+VLOOKUP($C93,WeatherCapacityAdjustment,3))-FQ93,0),0))</f>
        <v>#VALUE!</v>
      </c>
      <c r="FZ93" s="1551" t="e">
        <f aca="false">IF(AND(Assumptions!$H$71="Yes",A93&gt;=Assumptions!$H$72,A93&lt;=Assumptions!$H$73),0,IF(EV93&gt;0,MAX(BJ93*(1+VLOOKUP($C93,WeatherCapacityAdjustment,2))-FR93,0),0))</f>
        <v>#VALUE!</v>
      </c>
      <c r="GA93" s="1564" t="e">
        <f aca="false">IF(AND(Assumptions!$H$71="Yes",A93&gt;=Assumptions!$H$72,A93&lt;=Assumptions!$H$73),0,IF(EW93&gt;0,MAX(BK93*(1+VLOOKUP($C93,WeatherCapacityAdjustment,2))-FS93,0),0))</f>
        <v>#VALUE!</v>
      </c>
      <c r="GB93" s="1551" t="e">
        <f aca="false">SUM(FT93:GA93)</f>
        <v>#VALUE!</v>
      </c>
      <c r="GC93" s="1563" t="e">
        <f aca="false">+IF(SUM(FT93:GA93)=0,0,(SUMPRODUCT(BU93:BX93,FT93:FW93)+SUMPRODUCT(CA93:CD93,FX93:GA93))/SUM(FT93:GA93))</f>
        <v>#VALUE!</v>
      </c>
      <c r="GD93" s="1551" t="e">
        <f aca="false">(FT93*BU93+FX93*CA93+FU93*BV93+FY93*CB93+FV93*BW93+FZ93*CC93+FW93*BX93+GA93*CD93)</f>
        <v>#VALUE!</v>
      </c>
      <c r="GE93" s="1561" t="e">
        <f aca="false">+IF(BQ93,((FL93+FM93+FT93+FU93)*HeatRatePeak/1000*(1+VLOOKUP($C93,WeatherHeatRateAdjustment,2))+(FN93+FV93)*IF(EV93&gt;0,HeatRatePeak,HeatRateOffPeak)/1000*(1+VLOOKUP($C93,WeatherHeatRateAdjustment,2))+(FO93+FW93)*IF(EW93&gt;0,HeatRatePeak,HeatRateOffPeak)/1000*(1+VLOOKUP($C93,WeatherHeatRateAdjustment,3)))*(1+VLOOKUP($B93,HeatRateDegradation,$C93+1)),0)</f>
        <v>#VALUE!</v>
      </c>
      <c r="GF93" s="1562" t="e">
        <f aca="false">IF(BQ93,((FP93+FQ93+FR93+FX93+FY93+FZ93)*HeatRatePeak/1000*(1+VLOOKUP($C93,WeatherHeatRateAdjustment,2))+(FS93+GA93)*HeatRatePeak/1000*(1+VLOOKUP($C93,WeatherHeatRateAdjustment,3)))*(1+VLOOKUP($B93,HeatRateDegradation,$C93+1)),0)</f>
        <v>#VALUE!</v>
      </c>
      <c r="GG93" s="1563" t="e">
        <f aca="false">IF(BQ93,VLOOKUP(A93,GasTable,13),0)</f>
        <v>#VALUE!</v>
      </c>
      <c r="GH93" s="1564" t="e">
        <f aca="false">(GE93+GF93)*GG93</f>
        <v>#VALUE!</v>
      </c>
      <c r="GI93" s="1569" t="e">
        <f aca="false">GB93</f>
        <v>#VALUE!</v>
      </c>
      <c r="GJ93" s="1598" t="e">
        <f aca="false">+DA93</f>
        <v>#VALUE!</v>
      </c>
      <c r="GK93" s="1558" t="e">
        <f aca="false">+GI93*GJ93</f>
        <v>#VALUE!</v>
      </c>
      <c r="GL93" s="1566" t="e">
        <f aca="false">MAX(FE93-FL93-FP93,0)</f>
        <v>#VALUE!</v>
      </c>
      <c r="GM93" s="1551" t="e">
        <f aca="false">MAX(FF93-FM93-FQ93,0)</f>
        <v>#VALUE!</v>
      </c>
      <c r="GN93" s="1551" t="e">
        <f aca="false">MAX(FG93-FN93-FR93,0)</f>
        <v>#VALUE!</v>
      </c>
      <c r="GO93" s="1564" t="e">
        <f aca="false">MAX(FH93-FO93-FS93,0)</f>
        <v>#VALUE!</v>
      </c>
      <c r="GP93" s="1551" t="e">
        <f aca="false">SUM(GL93:GO93)</f>
        <v>#VALUE!</v>
      </c>
      <c r="GQ93" s="1563" t="e">
        <f aca="false">IF(SUM(GL93:GO93)=0,0,((GL93*BU93+GM93*BV93+GN93*BW93+GO93*BX93)/SUM(GL93:GO93)))</f>
        <v>#VALUE!</v>
      </c>
      <c r="GR93" s="1558" t="e">
        <f aca="false">(GL93*BU93+GM93*BV93+GN93*BW93+GO93*BX93)</f>
        <v>#VALUE!</v>
      </c>
      <c r="GS93" s="1566" t="n">
        <f aca="false">IF($A93&gt;=BegDate,Assumptions!$C$56*24*($A94-$A93)*(1-VLOOKUP($B93,MAIN!$AA$7:$AM$28,$C93+1))*(1-VLOOKUP($B93,MAIN!$AA$33:$AM$54,$C93+1)),0)*80/168</f>
        <v>249428.571428571</v>
      </c>
      <c r="GT93" s="286" t="n">
        <f aca="false">J93</f>
        <v>75.6460189455918</v>
      </c>
      <c r="GU93" s="286" t="n">
        <f aca="false">IF($A93&gt;=BegDate,VLOOKUP($A93,GasTable,13)+Assumptions!$C$58,0)</f>
        <v>2.71641525353826</v>
      </c>
      <c r="GV93" s="286" t="n">
        <f aca="false">GU93*Assumptions!$C$57/1000</f>
        <v>19.6940105881524</v>
      </c>
      <c r="GW93" s="1558" t="n">
        <f aca="false">IF(Assumptions!$C$60="Hourly",MAX(0,GS93*(GT93-GV93)),GS93*(GT93-GV93))</f>
        <v>13956029.5131556</v>
      </c>
      <c r="GX93" s="1566" t="n">
        <f aca="false">IF($A93&gt;=BegDate,Assumptions!$C$56*24*($A94-$A93)*(1-VLOOKUP($B93,MAIN!$AA$7:$AM$28,$C93+1))*(1-VLOOKUP($B93,MAIN!$AA$33:$AM$54,$C93+1)),0)*16/168</f>
        <v>49885.7142857143</v>
      </c>
      <c r="GY93" s="286" t="n">
        <f aca="false">M93</f>
        <v>75.6460189455918</v>
      </c>
      <c r="GZ93" s="286" t="n">
        <f aca="false">IF($A93&gt;=BegDate,VLOOKUP($A93,GasTable,13)+Assumptions!$C$58,0)</f>
        <v>2.71641525353826</v>
      </c>
      <c r="HA93" s="286" t="n">
        <f aca="false">GZ93*Assumptions!$C$57/1000</f>
        <v>19.6940105881524</v>
      </c>
      <c r="HB93" s="1558" t="n">
        <f aca="false">IF(Assumptions!$C$60="Hourly",MAX(0,GX93*(GY93-HA93)),GX93*(GY93-HA93))</f>
        <v>2791205.90263112</v>
      </c>
      <c r="HC93" s="1566" t="n">
        <f aca="false">IF($A93&gt;=BegDate,Assumptions!$C$56*24*($A94-$A93)*(1-VLOOKUP($B93,MAIN!$AA$7:$AM$28,$C93+1))*(1-VLOOKUP($B93,MAIN!$AA$33:$AM$54,$C93+1)),0)*16/168</f>
        <v>49885.7142857143</v>
      </c>
      <c r="HD93" s="286" t="n">
        <f aca="false">P93</f>
        <v>29.9383522186819</v>
      </c>
      <c r="HE93" s="286" t="n">
        <f aca="false">IF($A93&gt;=BegDate,VLOOKUP($A93,GasTable,13)+Assumptions!$C$58,0)</f>
        <v>2.71641525353826</v>
      </c>
      <c r="HF93" s="286" t="n">
        <f aca="false">HE93*Assumptions!$C$57/1000</f>
        <v>19.6940105881524</v>
      </c>
      <c r="HG93" s="1558" t="n">
        <f aca="false">IF(Assumptions!$C$60="Hourly",MAX(0,HC93*(HD93-HF93)),HC93*(HD93-HF93))</f>
        <v>511046.299625844</v>
      </c>
      <c r="HH93" s="1566" t="n">
        <f aca="false">IF($A93&gt;=BegDate,Assumptions!$C$56*24*($A94-$A93)*(1-VLOOKUP($B93,MAIN!$AA$7:$AM$28,$C93+1))*(1-VLOOKUP($B93,MAIN!$AA$33:$AM$54,$C93+1)),0)*56/168</f>
        <v>174600</v>
      </c>
      <c r="HI93" s="286" t="n">
        <f aca="false">S93</f>
        <v>29.9383522186819</v>
      </c>
      <c r="HJ93" s="286" t="n">
        <f aca="false">IF($A93&gt;=BegDate,VLOOKUP($A93,GasTable,13)+Assumptions!$C$58,0)</f>
        <v>2.71641525353826</v>
      </c>
      <c r="HK93" s="286" t="n">
        <f aca="false">HJ93*Assumptions!$C$57/1000</f>
        <v>19.6940105881524</v>
      </c>
      <c r="HL93" s="1558" t="n">
        <f aca="false">IF(Assumptions!$C$60="Hourly",MAX(0,HH93*(HI93-HK93)),HH93*(HI93-HK93))</f>
        <v>1788662.04869045</v>
      </c>
      <c r="HM93" s="1566" t="n">
        <f aca="false">IF(AND(Assumptions!$H$71="Yes",A93&gt;=Assumptions!$H$72,A93&lt;=Assumptions!$H$73),Assumptions!$H$74*Assumptions!$C$9*1000,0)</f>
        <v>0</v>
      </c>
      <c r="HN93" s="1551"/>
      <c r="HO93" s="1563"/>
      <c r="HP93" s="1563"/>
      <c r="HQ93" s="1563"/>
      <c r="HR93" s="1563"/>
      <c r="HS93" s="1563"/>
      <c r="HT93" s="1563"/>
      <c r="HU93" s="1563"/>
      <c r="HV93" s="1563"/>
      <c r="HW93" s="1563"/>
      <c r="HX93" s="1563"/>
      <c r="HY93" s="1563"/>
      <c r="HZ93" s="1563"/>
      <c r="IA93" s="1563"/>
      <c r="IB93" s="1563"/>
      <c r="IC93" s="1563"/>
      <c r="ID93" s="1563"/>
      <c r="IE93" s="1563"/>
      <c r="IF93" s="1563"/>
      <c r="IG93" s="1563"/>
      <c r="IH93" s="1563"/>
      <c r="II93" s="1610"/>
      <c r="IJ93" s="1309"/>
      <c r="IK93" s="1309"/>
    </row>
    <row r="94" customFormat="false" ht="12.75" hidden="false" customHeight="false" outlineLevel="0" collapsed="false">
      <c r="A94" s="1571" t="n">
        <f aca="false">EOMONTH(A93,0)+1</f>
        <v>38991</v>
      </c>
      <c r="B94" s="594" t="n">
        <f aca="false">+YEAR(A94)</f>
        <v>2006</v>
      </c>
      <c r="C94" s="238" t="n">
        <f aca="false">MONTH(A94)</f>
        <v>10</v>
      </c>
      <c r="D94" s="1572" t="e">
        <f aca="false">IF(E94="","",Holiday(B94,C94))</f>
        <v>#VALUE!</v>
      </c>
      <c r="E94" s="1573" t="n">
        <f aca="false">IF(OR(BegDate&gt;=A95,EndDate&lt;A94,AND(VolumeMonthlyOverFlag,INDEX(VolumeMonthlyOver,C94)=0),NOT(INDEX(MonthKnockOutTable,C94))),"",MAX(A94,BegDate))</f>
        <v>38991</v>
      </c>
      <c r="F94" s="1574" t="n">
        <f aca="false">IF(E94="","",MIN(A95-1,EndDate))</f>
        <v>39021</v>
      </c>
      <c r="G94" s="1575" t="n">
        <v>0</v>
      </c>
      <c r="H94" s="1576" t="n">
        <f aca="false">(1+G94/2)^(-2*(DATE(B95,C95,20)-DateToday)/365.25)</f>
        <v>1</v>
      </c>
      <c r="I94" s="1568" t="n">
        <f aca="false">IF(Assumptions!$L$25=4,VLOOKUP($A94,'Henwood Reference'!$E$9:$R$320,10),(VLOOKUP($A94,PriceTable,2,0)+IF(BasisNumber&lt;&gt;1,VLOOKUP($A94,BasisTable,2,0),0)+I$1)/(1-I$2))</f>
        <v>44.5256466516504</v>
      </c>
      <c r="J94" s="1568" t="n">
        <f aca="false">IF(Assumptions!$L$25=4,VLOOKUP($A94,'Henwood Reference'!$E$9:$R$320,10),(VLOOKUP($A94,PriceTable,3,0)+IF(BasisNumber&lt;&gt;1,VLOOKUP($A94,BasisTable,2,0),0)+J$1)/(1-J$2))</f>
        <v>44.5256466516504</v>
      </c>
      <c r="K94" s="1568" t="n">
        <f aca="false">IF(Assumptions!$L$25=4,VLOOKUP($A94,'Henwood Reference'!$E$9:$R$320,10),(VLOOKUP($A94,PriceTable,4,0)+IF(BasisNumber&lt;&gt;1,VLOOKUP($A94,BasisTable,2,0),0)+K$1)/(1-K$2))</f>
        <v>44.5256466516504</v>
      </c>
      <c r="L94" s="1523" t="n">
        <f aca="false">IF(Assumptions!$L$25=4,VLOOKUP($A94,'Henwood Reference'!$E$9:$R$320,10),(VLOOKUP($A94,PriceTableWeekend,2,0)+IF(BasisNumber&lt;&gt;1,VLOOKUP($A94,BasisTable,2,0),0)+L$1)/(1-L$2))</f>
        <v>44.5256466516504</v>
      </c>
      <c r="M94" s="1568" t="n">
        <f aca="false">IF(Assumptions!$L$25=4,VLOOKUP($A94,'Henwood Reference'!$E$9:$R$320,10),(VLOOKUP($A94,PriceTableWeekend,3,0)+IF(BasisNumber&lt;&gt;1,VLOOKUP($A94,BasisTable,2,0),0)+M$1)/(1-M$2))</f>
        <v>44.5256466516504</v>
      </c>
      <c r="N94" s="1599" t="n">
        <f aca="false">IF(Assumptions!$L$25=4,VLOOKUP($A94,'Henwood Reference'!$E$9:$R$320,10),(VLOOKUP($A94,PriceTableWeekend,4,0)+IF(BasisNumber&lt;&gt;1,VLOOKUP($A94,BasisTable,2,0),0)+N$1)/(1-N$2))</f>
        <v>44.5256466516504</v>
      </c>
      <c r="O94" s="1568" t="n">
        <f aca="false">IF(Assumptions!$L$25=4,VLOOKUP($A94,'Henwood Reference'!$E$9:$R$320,11),(VLOOKUP($A94,PriceTableWeekend,6,0)+IF(BasisNumber&lt;&gt;1,VLOOKUP($A94,BasisTable,3,0),0)+O$1)/(1-O$2))</f>
        <v>26.3344072445532</v>
      </c>
      <c r="P94" s="1568" t="n">
        <f aca="false">IF(Assumptions!$L$25=4,VLOOKUP($A94,'Henwood Reference'!$E$9:$R$320,11),(VLOOKUP($A94,PriceTableWeekend,7,0)+IF(BasisNumber&lt;&gt;1,VLOOKUP($A94,BasisTable,3,0),0)+P$1)/(1-P$2))</f>
        <v>26.3344072445532</v>
      </c>
      <c r="Q94" s="1599" t="n">
        <f aca="false">IF(Assumptions!$L$25=4,VLOOKUP($A94,'Henwood Reference'!$E$9:$R$320,11),(VLOOKUP($A94,PriceTableWeekend,8,0)+IF(BasisNumber&lt;&gt;1,VLOOKUP($A94,BasisTable,3,0),0)+Q$1)/(1-Q$2))</f>
        <v>26.3344072445532</v>
      </c>
      <c r="R94" s="1568" t="n">
        <f aca="false">IF(Assumptions!$L$25=4,VLOOKUP($A94,'Henwood Reference'!$E$9:$R$320,11),(VLOOKUP($A94,PriceTable,6,0)+IF(BasisNumber&lt;&gt;1,VLOOKUP($A94,BasisTable,3,0),0)+R$1)/(1-R$2))</f>
        <v>26.3344072445532</v>
      </c>
      <c r="S94" s="1568" t="n">
        <f aca="false">IF(Assumptions!$L$25=4,VLOOKUP($A94,'Henwood Reference'!$E$9:$R$320,11),(VLOOKUP($A94,PriceTable,7,0)+IF(BasisNumber&lt;&gt;1,VLOOKUP($A94,BasisTable,3,0),0)+S$1)/(1-S$2))</f>
        <v>26.3344072445532</v>
      </c>
      <c r="T94" s="1600" t="n">
        <f aca="false">IF(Assumptions!$L$25=4,VLOOKUP($A94,'Henwood Reference'!$E$9:$R$320,11),(VLOOKUP($A94,PriceTable,8,0)+IF(BasisNumber&lt;&gt;1,VLOOKUP($A94,BasisTable,3,0),0)+T$1)/(1-T$2))</f>
        <v>26.3344072445532</v>
      </c>
      <c r="U94" s="1513" t="n">
        <f aca="false">VLOOKUP($A94,VolatilityTable,14)</f>
        <v>0.14</v>
      </c>
      <c r="V94" s="1513" t="n">
        <f aca="false">VLOOKUP($A94,VolatilityTable,15)</f>
        <v>0.15</v>
      </c>
      <c r="W94" s="1514" t="n">
        <f aca="false">VLOOKUP($A94,VolatilityTable,16)</f>
        <v>0.16</v>
      </c>
      <c r="X94" s="1513" t="n">
        <f aca="false">VLOOKUP($A94,VolatilityTable,14)</f>
        <v>0.14</v>
      </c>
      <c r="Y94" s="1513" t="n">
        <f aca="false">VLOOKUP($A94,VolatilityTable,15)</f>
        <v>0.15</v>
      </c>
      <c r="Z94" s="1514" t="n">
        <f aca="false">VLOOKUP($A94,VolatilityTable,16)</f>
        <v>0.16</v>
      </c>
      <c r="AA94" s="1513" t="n">
        <f aca="false">VLOOKUP($A94,VolatilityTable,18)</f>
        <v>0.09</v>
      </c>
      <c r="AB94" s="1513" t="n">
        <f aca="false">VLOOKUP($A94,VolatilityTable,19)</f>
        <v>0.11</v>
      </c>
      <c r="AC94" s="1514" t="n">
        <f aca="false">VLOOKUP($A94,VolatilityTable,20)</f>
        <v>0.13</v>
      </c>
      <c r="AD94" s="1513" t="n">
        <f aca="false">VLOOKUP($A94,VolatilityTable,18)</f>
        <v>0.09</v>
      </c>
      <c r="AE94" s="1513" t="n">
        <f aca="false">VLOOKUP($A94,VolatilityTable,19)</f>
        <v>0.11</v>
      </c>
      <c r="AF94" s="1514" t="n">
        <f aca="false">VLOOKUP($A94,VolatilityTable,20)</f>
        <v>0.13</v>
      </c>
      <c r="AG94" s="1513" t="n">
        <f aca="false">VLOOKUP($A94,VolatilityTable,22)</f>
        <v>-0.1</v>
      </c>
      <c r="AH94" s="1513" t="n">
        <f aca="false">VLOOKUP($A94,VolatilityTable,23)</f>
        <v>0.6</v>
      </c>
      <c r="AI94" s="1514" t="n">
        <f aca="false">VLOOKUP($A94,VolatilityTable,24)</f>
        <v>0.1</v>
      </c>
      <c r="AJ94" s="1513" t="n">
        <f aca="false">VLOOKUP($A94,VolatilityTable,22)</f>
        <v>-0.1</v>
      </c>
      <c r="AK94" s="1513" t="n">
        <f aca="false">VLOOKUP($A94,VolatilityTable,23)</f>
        <v>0.6</v>
      </c>
      <c r="AL94" s="1514" t="n">
        <f aca="false">VLOOKUP($A94,VolatilityTable,24)</f>
        <v>0.1</v>
      </c>
      <c r="AM94" s="1513" t="n">
        <f aca="false">VLOOKUP($A94,VolatilityTable,26)</f>
        <v>-0.01</v>
      </c>
      <c r="AN94" s="1513" t="n">
        <f aca="false">VLOOKUP($A94,VolatilityTable,27)</f>
        <v>0.16</v>
      </c>
      <c r="AO94" s="1514" t="n">
        <f aca="false">VLOOKUP($A94,VolatilityTable,28)</f>
        <v>0.01</v>
      </c>
      <c r="AP94" s="1513" t="n">
        <f aca="false">VLOOKUP($A94,VolatilityTable,26)</f>
        <v>-0.01</v>
      </c>
      <c r="AQ94" s="1513" t="n">
        <f aca="false">VLOOKUP($A94,VolatilityTable,27)</f>
        <v>0.16</v>
      </c>
      <c r="AR94" s="1515" t="n">
        <f aca="false">VLOOKUP($A94,VolatilityTable,28)</f>
        <v>0.01</v>
      </c>
      <c r="AS94" s="1581" t="n">
        <f aca="false">IF(CorrPeakOffPeakOverFlag,INDEX(CorrPeakOffPeakOver,C94),CorrPeakOffPeak)</f>
        <v>0.5</v>
      </c>
      <c r="AT94" s="594" t="e">
        <f aca="false">AX94-SUM(AU94:AW94)</f>
        <v>#VALUE!</v>
      </c>
      <c r="AU94" s="238" t="e">
        <f aca="false">IF(E94="",0,INT((F94-MOD(F94,7)-E94)/7)+1-IF(AW94,IF(WEEKDAY(D94)=7,1,0),0))</f>
        <v>#VALUE!</v>
      </c>
      <c r="AV94" s="238" t="e">
        <f aca="false">IF(E94="",0,INT((F94-MOD(F94-1,7)-E94)/7)+1-IF(AW94,IF(WEEKDAY(D94)=1,1,0),0))</f>
        <v>#VALUE!</v>
      </c>
      <c r="AW94" s="238" t="e">
        <f aca="false">IF(OR(E94="",D94="",D94&lt;BegDate,D94&gt;EndDate),0,1)</f>
        <v>#VALUE!</v>
      </c>
      <c r="AX94" s="238" t="n">
        <f aca="false">IF(E94="",0,F94-E94+1)</f>
        <v>31</v>
      </c>
      <c r="AY94" s="1582" t="n">
        <f aca="false">IF(E94="",0,MIN((1-(1-VLOOKUP(B94,MAIN!$AA$7:$AM$28,C94+1))*(1-VLOOKUP(B94,MAIN!$AA$33:$AM$54,C94+1))),1))</f>
        <v>0.03</v>
      </c>
      <c r="AZ94" s="1519" t="e">
        <v>#VALUE!</v>
      </c>
      <c r="BA94" s="1520" t="e">
        <v>#VALUE!</v>
      </c>
      <c r="BB94" s="1520" t="e">
        <v>#VALUE!</v>
      </c>
      <c r="BC94" s="1583" t="e">
        <v>#VALUE!</v>
      </c>
      <c r="BD94" s="1522" t="e">
        <v>#VALUE!</v>
      </c>
      <c r="BE94" s="1523" t="e">
        <v>#VALUE!</v>
      </c>
      <c r="BF94" s="1523" t="e">
        <v>#VALUE!</v>
      </c>
      <c r="BG94" s="1584" t="e">
        <v>#VALUE!</v>
      </c>
      <c r="BH94" s="1525" t="e">
        <v>#VALUE!</v>
      </c>
      <c r="BI94" s="1520" t="e">
        <v>#VALUE!</v>
      </c>
      <c r="BJ94" s="1520" t="e">
        <v>#VALUE!</v>
      </c>
      <c r="BK94" s="1583" t="e">
        <v>#VALUE!</v>
      </c>
      <c r="BL94" s="1522" t="e">
        <v>#VALUE!</v>
      </c>
      <c r="BM94" s="1523" t="e">
        <v>#VALUE!</v>
      </c>
      <c r="BN94" s="1523" t="e">
        <v>#VALUE!</v>
      </c>
      <c r="BO94" s="1523" t="e">
        <v>#VALUE!</v>
      </c>
      <c r="BP94" s="1525" t="e">
        <f aca="false">SUM(AZ94:BB94)</f>
        <v>#VALUE!</v>
      </c>
      <c r="BQ94" s="1529" t="e">
        <f aca="false">SUM(AZ94:BC94)</f>
        <v>#VALUE!</v>
      </c>
      <c r="BR94" s="1519" t="e">
        <f aca="false">SUM(BH94:BJ94)</f>
        <v>#VALUE!</v>
      </c>
      <c r="BS94" s="1529" t="e">
        <f aca="false">SUM(BH94:BK94)</f>
        <v>#VALUE!</v>
      </c>
      <c r="BT94" s="1316" t="n">
        <f aca="false">(IF(OVolType&lt;&gt;2,A94+14,IF(OptExpDateShift,ShiftBack(A94,OptExpDateShift,D93),A94))-DateToday)/365.25</f>
        <v>6.46406570841889</v>
      </c>
      <c r="BU94" s="1585" t="e">
        <f aca="false">IF(BQ94,IF(OPriceCurve,IF(OBuySell=OCallPut,I94/(1-AY94),K94/(1-AY94)),J94/(1-AY94))*BD94,0)</f>
        <v>#VALUE!</v>
      </c>
      <c r="BV94" s="1316" t="e">
        <f aca="false">IF(BQ94,IF(OPriceCurve,IF(OBuySell=OCallPut,L94/(1-AY94),N94/(1-AY94)),M94/(1-AY94))*BE94,0)</f>
        <v>#VALUE!</v>
      </c>
      <c r="BW94" s="1316" t="e">
        <f aca="false">IF(BQ94,IF(OPriceCurve,IF(OBuySell=OCallPut,O94/(1-AY94),Q94/(1-AY94)),P94/(1-AY94))*BF94,0)</f>
        <v>#VALUE!</v>
      </c>
      <c r="BX94" s="1316" t="e">
        <f aca="false">IF(BQ94,IF(OPriceCurve,IF(OBuySell=OCallPut,R94/(1-AY94),T94/(1-AY94)),S94/(1-AY94))*BG94,0)</f>
        <v>#VALUE!</v>
      </c>
      <c r="BY94" s="1316" t="e">
        <f aca="false">IF(BP94,(BU94*AZ94+BV94*BA94+BW94*BB94)/BP94,0)</f>
        <v>#VALUE!</v>
      </c>
      <c r="BZ94" s="1316" t="e">
        <f aca="false">IF(BQ94,(BY94*BP94+BX94*BC94)/BQ94,0)</f>
        <v>#VALUE!</v>
      </c>
      <c r="CA94" s="1531" t="e">
        <f aca="false">IF(BS94,IF(OPriceCurve,IF(OBuySell=OCallPut,I94/(1-AY94),K94/(1-AY94)),J94/(1-AY94))*BL94,0)</f>
        <v>#VALUE!</v>
      </c>
      <c r="CB94" s="1316" t="e">
        <f aca="false">IF(BS94,IF(OPriceCurve,IF(OBuySell=OCallPut,L94/(1-AY94),N94/(1-AY94)),M94/(1-AY94))*BM94,0)</f>
        <v>#VALUE!</v>
      </c>
      <c r="CC94" s="1316" t="e">
        <f aca="false">IF(BS94,IF(OPriceCurve,IF(OBuySell=OCallPut,O94/(1-AY94),Q94/(1-AY94)),P94/(1-AY94))*BN94,0)</f>
        <v>#VALUE!</v>
      </c>
      <c r="CD94" s="1316" t="e">
        <f aca="false">IF(BS94,IF(OPriceCurve,IF(OBuySell=OCallPut,R94/(1-AY94),T94/(1-AY94)),S94/(1-AY94))*BO94,0)</f>
        <v>#VALUE!</v>
      </c>
      <c r="CE94" s="1316" t="e">
        <f aca="false">IF(BR94,(BU94*BH94+BV94*BI94+BW94*BJ94)/BR94,0)</f>
        <v>#VALUE!</v>
      </c>
      <c r="CF94" s="1532" t="e">
        <f aca="false">IF(BS94,(CE94*BR94+CD94*BK94)/BS94,0)</f>
        <v>#VALUE!</v>
      </c>
      <c r="CG94" s="1586" t="e">
        <f aca="false">IF(OR(BQ94,BS94),IF(OVolType&lt;&gt;2,SQRT(IF(OVolOverMonthlyPeak,OVolOverMonthlyPeak,IF(OVolCurve,IF(OBuySell,U94,W94),V94))^2*(1-15/365.25/BT94)+IF(OVolOverDailyPeak,OVolOverDailyPeak,IF(OVolCurve,IF(OBuySell,AG94,AI94),AH94))^2*15/365.25/BT94),IF(OVolOverMonthlyPeak,OVolOverMonthlyPeak,IF(OVolCurve,IF(OBuySell,U94,W94),V94))),"")</f>
        <v>#VALUE!</v>
      </c>
      <c r="CH94" s="1587" t="e">
        <f aca="false">IF(OR(BQ94,BS94),IF(OVolType&lt;&gt;2,SQRT(IF(OVolOverMonthlyPeak,OVolOverMonthlyPeak,IF(OVolCurve,IF(OBuySell,X94,Z94),Y94))^2*(1-15/365.25/BT94)+IF(OVolOverDailyPeak,OVolOverDailyPeak,IF(OVolCurve,IF(OBuySell,AJ94,AL94),AK94))^2*15/365.25/BT94),IF(OVolOverMonthlyPeak,OVolOverMonthlyPeak,IF(OVolCurve,IF(OBuySell,X94,Z94),Y94))),"")</f>
        <v>#VALUE!</v>
      </c>
      <c r="CI94" s="1587" t="e">
        <f aca="false">IF(OR(BQ94,BS94),IF(OVolType&lt;&gt;2,SQRT(IF(OVolOverMonthlyPeak,OVolOverMonthlyPeak,IF(OVolCurve,IF(OBuySell,AA94,AC94),AB94))^2*(1-15/365.25/BT94)+IF(OVolOverDailyPeak,OVolOverDailyPeak,IF(OVolCurve,IF(OBuySell,AM94,AO94),AN94))^2*15/365.25/BT94),IF(OVolOverMonthlyPeak,OVolOverMonthlyPeak,IF(OVolCurve,IF(OBuySell,AA94,AC94),AB94))),"")</f>
        <v>#VALUE!</v>
      </c>
      <c r="CJ94" s="1587" t="e">
        <f aca="false">IF(BQ94,IF(BP94,SQRT(LN(1+((BU94*AZ94)^2*(EXP(CG94^2*BT94)-1)+(BV94*BA94)^2*(EXP(CH94^2*BT94)-1)+(BW94*BB94)^2*(EXP(CI94^2*BT94)-1)+2*BU94*AZ94*BV94*BA94*(EXP(CG94*CH94*BT94)-1)+2*BV94*BA94*BW94*BB94*(EXP(CH94*CI94*BT94)-1)+2*BW94*BB94*BU94*AZ94*(EXP(CI94*CG94*BT94)-1))/(BY94*BP94)^2)/BT94),0),"")</f>
        <v>#VALUE!</v>
      </c>
      <c r="CK94" s="1587" t="e">
        <f aca="false">IF(BS94,IF(BR94,SQRT(LN(1+((CA94*BH94)^2*(EXP(CG94^2*BT94)-1)+(CB94*BI94)^2*(EXP(CH94^2*BT94)-1)+(CC94*BJ94)^2*(EXP(CI94^2*BT94)-1)+2*CA94*BH94*CB94*BI94*(EXP(CG94*CH94*BT94)-1)+2*CB94*BI94*CC94*BJ94*(EXP(CH94*CI94*BT94)-1)+2*CC94*BJ94*CA94*BH94*(EXP(CI94*CG94*BT94)-1))/(CE94*BR94)^2)/BT94),0),"")</f>
        <v>#VALUE!</v>
      </c>
      <c r="CL94" s="1587" t="e">
        <f aca="false">IF(OR(BQ94,BS94),IF(OVolType&lt;&gt;2,SQRT(IF(OVolOverMonthlyOffPeak,OVolOverMonthlyOffPeak,IF(OVolCurve,IF(OBuySell,AD94,AF94),AE94))^2*(1-15/365.25/BT94)+IF(OVolOverDailyOffPeak,OVolOverDailyOffPeak,IF(OVolCurve,IF(OBuySell,AP94,AR94),AQ94))^2*15/365.25/BT94),IF(OVolOverMonthlyOffPeak,OVolOverMonthlyOffPeak,IF(OVolCurve,IF(OBuySell,AD94,AF94),AE94))),"")</f>
        <v>#VALUE!</v>
      </c>
      <c r="CM94" s="1587" t="e">
        <f aca="false">IF(BQ94,SQRT(LN(1+((BY94*BP94)^2*(EXP(CJ94^2*BT94)-1)+(BX94*BC94)^2*(EXP(CL94^2*BT94)-1)+2*BY94*BP94*BX94*BC94*(EXP(AS94*CJ94*CL94*BT94)-1))/(BY94*BP94+BX94*BC94)^2)/BT94),"")</f>
        <v>#VALUE!</v>
      </c>
      <c r="CN94" s="1588" t="e">
        <f aca="false">IF(BS94,SQRT(LN(1+((CE94*BR94)^2*(EXP(CK94^2*BT94)-1)+(CD94*BK94)^2*(EXP(CL94^2*BT94)-1)+2*CE94*BR94*CD94*BK94*(EXP(AS94*CK94*CL94*BT94)-1))/(CE94*BR94+CD94*BK94)^2)/BT94),"")</f>
        <v>#VALUE!</v>
      </c>
      <c r="CO94" s="1531" t="e">
        <f aca="false">IF(OR(BQ94,BS94),VLOOKUP(A94,GasTable,13)*HeatRatePeak*(1+VLOOKUP($B94,HeatRateDegradation,$C94+1))/1000,0)</f>
        <v>#VALUE!</v>
      </c>
      <c r="CP94" s="1316" t="e">
        <f aca="false">IF(OR(BQ94,BS94),VLOOKUP(A94,GasTable,13)*HeatRatePeak*(1+VLOOKUP($B94,HeatRateDegradation,$C94+1))/1000,0)</f>
        <v>#VALUE!</v>
      </c>
      <c r="CQ94" s="1316" t="e">
        <f aca="false">IF(OR(BQ94,BS94),VLOOKUP(A94,GasTable,13)*IF(EV94,HeatRatePeak,HeatRateOffPeak)*(1+VLOOKUP($B94,HeatRateDegradation,$C94+1))/1000,0)</f>
        <v>#VALUE!</v>
      </c>
      <c r="CR94" s="1316" t="e">
        <f aca="false">IF(OR(BQ94,BS94),VLOOKUP(A94,GasTable,13)*IF(EW94,HeatRatePeak,HeatRateOffPeak)*(1+VLOOKUP($B94,HeatRateDegradation,$C94+1))/1000,0)</f>
        <v>#VALUE!</v>
      </c>
      <c r="CS94" s="1589" t="e">
        <f aca="false">IF(BQ94,(CO94*AZ94+CP94*BA94+CQ94*BB94+CR94*BC94)/BQ94,0)</f>
        <v>#VALUE!</v>
      </c>
      <c r="CT94" s="1316" t="e">
        <f aca="false">IF(BS94,CO94,0)</f>
        <v>#VALUE!</v>
      </c>
      <c r="CU94" s="1590" t="e">
        <f aca="false">IF(OR(BQ94,BS94),VLOOKUP(A94,GasTable,14),"")</f>
        <v>#VALUE!</v>
      </c>
      <c r="CV94" s="1568" t="e">
        <f aca="false">IF(OR(BQ94,BS94),IF(CorrPowerGasOverFlag,INDEX(CorrPowerGasOver,C94),CorrPowerGas),"")</f>
        <v>#VALUE!</v>
      </c>
      <c r="CW94" s="1316" t="e">
        <f aca="false">IF(OR($BQ94,$BS94),SpreadOptPowerMargin,0)*((1+Assumptions!$C$26)^($B94-YEAR(Assumptions!$C$17)))</f>
        <v>#VALUE!</v>
      </c>
      <c r="CX94" s="1316" t="e">
        <f aca="false">IF(OR($BQ94,$BS94),SpreadOptPowerMargin,0)*((1+Assumptions!$C$26)^($B94-YEAR(Assumptions!$C$17)))</f>
        <v>#VALUE!</v>
      </c>
      <c r="CY94" s="1316" t="e">
        <f aca="false">IF(OR($BQ94,$BS94),SpreadOptPowerMargin,0)*((1+Assumptions!$C$26)^($B94-YEAR(Assumptions!$C$17)))</f>
        <v>#VALUE!</v>
      </c>
      <c r="CZ94" s="1316" t="e">
        <f aca="false">IF(OR($BQ94,$BS94),SpreadOptPowerMargin,0)*((1+Assumptions!$C$26)^($B94-YEAR(Assumptions!$C$17)))</f>
        <v>#VALUE!</v>
      </c>
      <c r="DA94" s="1591" t="e">
        <f aca="false">IF(OR(BQ94,BS94),(CW94*(AZ94+BH94)+CX94*(BA94+BI94)+CY94*(BB94+BJ94)+CZ94*(BC94+BK94))/(BQ94+BS94),0)</f>
        <v>#VALUE!</v>
      </c>
      <c r="DB94" s="1592" t="e">
        <f aca="false">IF(OR(BQ94,BS94),CG94+IF(OVolSmile,VLOOKUP(MAX(-5,CO94+CW94-BU94),IF(OVolSmile=1,VolSmileBook,VolSmileModel),2),0),"")</f>
        <v>#VALUE!</v>
      </c>
      <c r="DC94" s="1592" t="e">
        <f aca="false">IF(OR(BQ94,BS94),CH94+IF(OVolSmile,VLOOKUP(MAX(-5,CP94+CW94-BV94),IF(OVolSmile=1,VolSmileBook,VolSmileModel),2),0),"")</f>
        <v>#VALUE!</v>
      </c>
      <c r="DD94" s="1592" t="e">
        <f aca="false">IF(OR(BQ94,BS94),CI94+IF(OVolSmile,VLOOKUP(MAX(-5,CQ94+CW94-BW94),IF(OVolSmile=1,VolSmileBook,VolSmileModel),2),0),"")</f>
        <v>#VALUE!</v>
      </c>
      <c r="DE94" s="1592" t="e">
        <f aca="false">IF(OR(BQ94,BS94),CL94+IF(OVolSmile,VLOOKUP(MAX(-5,CR94+CZ94-BX94),IF(OVolSmile=1,VolSmileBook,VolSmileModel),2),0),"")</f>
        <v>#VALUE!</v>
      </c>
      <c r="DF94" s="1592" t="e">
        <f aca="false">IF(BQ94,CM94+IF(OVolSmile,VLOOKUP(MAX(-5,CS94+DA94-BZ94),IF(OVolSmile=1,VolSmileBook,VolSmileModel),2),0),"")</f>
        <v>#VALUE!</v>
      </c>
      <c r="DG94" s="1593" t="e">
        <f aca="false">IF(BS94,CN94+IF(OVolSmile,VLOOKUP(MAX(-5,CT94+DA94-CF94),IF(OVolSmile=1,VolSmileBook,VolSmileModel),2),0),"")</f>
        <v>#VALUE!</v>
      </c>
      <c r="DH94" s="1316" t="e">
        <f aca="false">IF(AND(BU94&gt;0,CO94&gt;0,DB94&gt;0,CU94&gt;0),newSPRDOPT(BU94,CO94,CW94,0,DB94,CU94,CV94,BT94*365.25,OCallPut,0),0)</f>
        <v>#VALUE!</v>
      </c>
      <c r="DI94" s="1316" t="e">
        <f aca="false">IF(AND(BV94&gt;0,CP94&gt;0,DC94&gt;0,CU94&gt;0),newSPRDOPT(BV94,CP94,CX94,0,DC94,CU94,CV94,BT94*365.25,OCallPut,0),0)</f>
        <v>#VALUE!</v>
      </c>
      <c r="DJ94" s="1316" t="e">
        <f aca="false">IF(AND(BW94&gt;0,CQ94&gt;0,DD94&gt;0,CU94&gt;0),newSPRDOPT(BW94,CQ94,CY94,0,DD94,CU94,CV94,BT94*365.25,OCallPut,0),0)</f>
        <v>#VALUE!</v>
      </c>
      <c r="DK94" s="1316" t="e">
        <f aca="false">IF(AND(BX94&gt;0,CR94&gt;0,DE94&gt;0,CU94&gt;0),newSPRDOPT(BX94,CR94,CZ94,0,DE94,CU94,CV94,BT94*365.25,OCallPut,0),0)</f>
        <v>#VALUE!</v>
      </c>
      <c r="DL94" s="1316" t="e">
        <f aca="false">IF(OVolType,IF(AND(BZ94&gt;0,CS94&gt;0,DF94&gt;0,CU94&gt;0),newSPRDOPT(BZ94,CS94,DA94,0,DF94,CU94,CV94,BT94*365.25,OCallPut,0),0),IF(BQ94,(DH94*AZ94+DI94*BA94+DJ94*BB94+DK94*BC94)/BQ94,0))</f>
        <v>#VALUE!</v>
      </c>
      <c r="DM94" s="1316"/>
      <c r="DN94" s="1316"/>
      <c r="DO94" s="1316"/>
      <c r="DP94" s="1316"/>
      <c r="DQ94" s="1316"/>
      <c r="DR94" s="1316"/>
      <c r="DS94" s="1316"/>
      <c r="DT94" s="1316"/>
      <c r="DU94" s="1316"/>
      <c r="DV94" s="1316"/>
      <c r="DW94" s="1594" t="e">
        <f aca="false">IF(AND(BW94&gt;0,CT94&gt;0,DD94&gt;0,CU94&gt;0),newSPRDOPT(BW94,CT94,CY94,0,DD94,CU94,CV94,BT94*365.25,OCallPut,0),0)</f>
        <v>#VALUE!</v>
      </c>
      <c r="DX94" s="1316" t="e">
        <f aca="false">IF(AND(BX94&gt;0,CT94&gt;0,DE94&gt;0,CU94&gt;0),newSPRDOPT(BX94,CT94,CZ94,0,DE94,CU94,CV94,BT94*365.25,OCallPut,0),0)</f>
        <v>#VALUE!</v>
      </c>
      <c r="DY94" s="1591" t="e">
        <f aca="false">IF(BS94,(DH94*BH94+DI94*BI94+DW94*BJ94+DX94*BK94)/BS94,0)</f>
        <v>#VALUE!</v>
      </c>
      <c r="DZ94" s="1551" t="e">
        <f aca="false">DH94*AZ94</f>
        <v>#VALUE!</v>
      </c>
      <c r="EA94" s="1551" t="e">
        <f aca="false">DI94*BA94</f>
        <v>#VALUE!</v>
      </c>
      <c r="EB94" s="1551" t="e">
        <f aca="false">DJ94*BB94</f>
        <v>#VALUE!</v>
      </c>
      <c r="EC94" s="1551" t="e">
        <f aca="false">DK94*BC94</f>
        <v>#VALUE!</v>
      </c>
      <c r="ED94" s="1551" t="e">
        <f aca="false">DL94*BQ94</f>
        <v>#VALUE!</v>
      </c>
      <c r="EE94" s="1595" t="e">
        <f aca="false">IF(BQ94,IF(OCallPut,IF(BU94&gt;(CO94+CW94),BU94-(CO94+CW94),0),IF((CO94+CW94)&gt;BU94,(CO94+CW94)-BU94,0))*AZ94,0)</f>
        <v>#VALUE!</v>
      </c>
      <c r="EF94" s="1596" t="e">
        <f aca="false">IF(BQ94,IF(OCallPut,IF(BV94&gt;(CP94+CX94),BV94-(CP94+CX94),0),IF((CP94+CX94)&gt;BV94,(CP94+CX94)-BV94,0))*BA94,0)</f>
        <v>#VALUE!</v>
      </c>
      <c r="EG94" s="1596" t="e">
        <f aca="false">IF(BQ94,IF(OCallPut,IF(BW94&gt;(CQ94+CY94),BW94-(CQ94+CY94),0),IF((CQ94+CY94)&gt;BW94,(CQ94+CY94)-BW94,0))*BB94,0)</f>
        <v>#VALUE!</v>
      </c>
      <c r="EH94" s="1596" t="e">
        <f aca="false">IF(BQ94,IF(OCallPut,IF(BX94&gt;(CR94+CZ94),BX94-(CR94+CZ94),0),IF((CR94+CZ94)&gt;BX94,(CR94+CZ94)-BX94,0))*BC94,0)</f>
        <v>#VALUE!</v>
      </c>
      <c r="EI94" s="1597" t="e">
        <f aca="false">IF(BQ94,IF(OVolType,IF(OCallPut,IF(BZ94&gt;(CS94+DA94),BZ94-(CS94+DA94),0),IF((CS94+DA94)&gt;BZ94,(CS94+DA94)-BZ94,0))*BQ94,SUM(EE94:EH94)),0)</f>
        <v>#VALUE!</v>
      </c>
      <c r="EJ94" s="1595" t="e">
        <f aca="false">DZ94-EE94</f>
        <v>#VALUE!</v>
      </c>
      <c r="EK94" s="1596" t="e">
        <f aca="false">EA94-EF94</f>
        <v>#VALUE!</v>
      </c>
      <c r="EL94" s="1596" t="e">
        <f aca="false">EB94-EG94</f>
        <v>#VALUE!</v>
      </c>
      <c r="EM94" s="1596" t="e">
        <f aca="false">EC94-EH94</f>
        <v>#VALUE!</v>
      </c>
      <c r="EN94" s="1597" t="e">
        <f aca="false">ED94-EI94</f>
        <v>#VALUE!</v>
      </c>
      <c r="EO94" s="1551" t="e">
        <f aca="false">DH94*BH94</f>
        <v>#VALUE!</v>
      </c>
      <c r="EP94" s="1551" t="e">
        <f aca="false">DI94*BI94</f>
        <v>#VALUE!</v>
      </c>
      <c r="EQ94" s="1551" t="e">
        <f aca="false">DW94*BJ94</f>
        <v>#VALUE!</v>
      </c>
      <c r="ER94" s="1551" t="e">
        <f aca="false">DX94*BK94</f>
        <v>#VALUE!</v>
      </c>
      <c r="ES94" s="1551" t="e">
        <f aca="false">DY94*BS94</f>
        <v>#VALUE!</v>
      </c>
      <c r="ET94" s="1566" t="e">
        <f aca="false">IF(EI94,IF(OCallPut,IF(CA94&gt;(CT94+CW94),CA94-(CT94+CW94),0),IF((CT94+CW94)&gt;CA94,(CT94+CW94)-CA94,0))*BH94,0)</f>
        <v>#VALUE!</v>
      </c>
      <c r="EU94" s="1551" t="e">
        <f aca="false">IF(EI94,IF(OCallPut,IF(CB94&gt;(CT94+CX94),CB94-(CT94+CX94),0),IF((CT94+CX94)&gt;CB94,(CT94+CX94)-CB94,0))*BI94,0)</f>
        <v>#VALUE!</v>
      </c>
      <c r="EV94" s="1551" t="e">
        <f aca="false">IF(EI94,IF(OCallPut,IF(CC94&gt;(CT94+CY94),CC94-(CT94+CY94),0),IF((CT94+CY94)&gt;CC94,(CT94+CY94)-CC94,0))*BJ94,0)</f>
        <v>#VALUE!</v>
      </c>
      <c r="EW94" s="1551" t="e">
        <f aca="false">IF(EI94,IF(OCallPut,IF(CD94&gt;(CT94+CZ94),CD94-(CT94+CZ94),0),IF((CT94+CZ94)&gt;CD94,(CT94+CZ94)-CD94,0))*BK94,0)</f>
        <v>#VALUE!</v>
      </c>
      <c r="EX94" s="1558" t="e">
        <f aca="false">IF(EI94,SUM(ET94:EW94),0)</f>
        <v>#VALUE!</v>
      </c>
      <c r="EY94" s="1551" t="e">
        <f aca="false">EO94-ET94</f>
        <v>#VALUE!</v>
      </c>
      <c r="EZ94" s="1551" t="e">
        <f aca="false">EP94-EU94</f>
        <v>#VALUE!</v>
      </c>
      <c r="FA94" s="1551" t="e">
        <f aca="false">EQ94-EV94</f>
        <v>#VALUE!</v>
      </c>
      <c r="FB94" s="1551" t="e">
        <f aca="false">ER94-EW94</f>
        <v>#VALUE!</v>
      </c>
      <c r="FC94" s="1551" t="e">
        <f aca="false">ES94-EX94</f>
        <v>#VALUE!</v>
      </c>
      <c r="FD94" s="1525" t="n">
        <f aca="false">IF(AX94,IF(VLOOKUP(C94,MAIN!$L$17:$M$28,2)="Yes",VLOOKUP(CALC!B94,MAIN!$H$17:$I$20,2),0),0)</f>
        <v>0</v>
      </c>
      <c r="FE94" s="1552" t="e">
        <f aca="false">$FD94*16*AT94*(1-$AY94)</f>
        <v>#VALUE!</v>
      </c>
      <c r="FF94" s="1553" t="e">
        <f aca="false">$FD94*16*AU94*(1-$AY94)</f>
        <v>#VALUE!</v>
      </c>
      <c r="FG94" s="1553" t="e">
        <f aca="false">$FD94*16*(AV94+AW94)*(1-$AY94)</f>
        <v>#VALUE!</v>
      </c>
      <c r="FH94" s="1554" t="n">
        <f aca="false">$FD94*8*AX94*(1-$AY94)</f>
        <v>0</v>
      </c>
      <c r="FI94" s="1555" t="n">
        <f aca="false">IF(AX94,VLOOKUP(CALC!B94,MAIN!$H$17:$K$20,4),0)</f>
        <v>0</v>
      </c>
      <c r="FJ94" s="1553" t="e">
        <f aca="false">SUM(FE94:FH94)</f>
        <v>#VALUE!</v>
      </c>
      <c r="FK94" s="1556" t="e">
        <f aca="false">FI94*FJ94</f>
        <v>#VALUE!</v>
      </c>
      <c r="FL94" s="1551" t="e">
        <f aca="false">IF($EI94&gt;0,MIN(FE94,AZ94*(1+VLOOKUP($C94,WeatherCapacityAdjustment,2))),0)</f>
        <v>#VALUE!</v>
      </c>
      <c r="FM94" s="1551" t="e">
        <f aca="false">IF($EI94&gt;0,MIN(FF94,BA94*(1+VLOOKUP($C94,WeatherCapacityAdjustment,2))),0)</f>
        <v>#VALUE!</v>
      </c>
      <c r="FN94" s="1551" t="e">
        <f aca="false">IF($EI94&gt;0,MIN(FG94,BB94*(1+VLOOKUP($C94,WeatherCapacityAdjustment,2))),0)</f>
        <v>#VALUE!</v>
      </c>
      <c r="FO94" s="1564" t="e">
        <f aca="false">IF($EI94&gt;0,MIN(FH94,BC94*(1+VLOOKUP($C94,WeatherCapacityAdjustment,3))),0)</f>
        <v>#VALUE!</v>
      </c>
      <c r="FP94" s="1551" t="e">
        <f aca="false">IF(ET94&gt;0,MIN(FE94-FL94,BH94*(1+VLOOKUP($C94,WeatherCapacityAdjustment,2))),0)</f>
        <v>#VALUE!</v>
      </c>
      <c r="FQ94" s="1551" t="e">
        <f aca="false">IF(EU94&gt;0,MIN(FF94-FM94,BI94*(1+VLOOKUP($C94,WeatherCapacityAdjustment,2))),0)</f>
        <v>#VALUE!</v>
      </c>
      <c r="FR94" s="1551" t="e">
        <f aca="false">IF(EV94&gt;0,MIN(FG94-FN94,BJ94*(1+VLOOKUP($C94,WeatherCapacityAdjustment,2))),0)</f>
        <v>#VALUE!</v>
      </c>
      <c r="FS94" s="1558" t="e">
        <f aca="false">IF(EW94&gt;0,MIN(FH94-FO94,BK94*(1+VLOOKUP($C94,WeatherCapacityAdjustment,3))),0)</f>
        <v>#VALUE!</v>
      </c>
      <c r="FT94" s="1566" t="e">
        <f aca="false">IF(AND(Assumptions!$H$71="Yes",A94&gt;=Assumptions!$H$72,A94&lt;=Assumptions!$H$73),0,IF(AND($A94&gt;=Assumptions!$C$17,$A94&lt;=Assumptions!$C$18),MAX(AZ94*(1+VLOOKUP($C94,WeatherCapacityAdjustment,2))-FL94,0),0))</f>
        <v>#VALUE!</v>
      </c>
      <c r="FU94" s="1551" t="e">
        <f aca="false">IF(AND(Assumptions!$H$71="Yes",A94&gt;=Assumptions!$H$72,A94&lt;=Assumptions!$H$73),0,IF(AND($A94&gt;=Assumptions!$C$17,$A94&lt;=Assumptions!$C$18),MAX(BA94*(1+VLOOKUP($C94,WeatherCapacityAdjustment,2))-FM94,0),0))</f>
        <v>#VALUE!</v>
      </c>
      <c r="FV94" s="1551" t="e">
        <f aca="false">IF(AND(Assumptions!$H$71="Yes",A94&gt;=Assumptions!$H$72,A94&lt;=Assumptions!$H$73),0,IF(AND($A94&gt;=Assumptions!$C$17,$A94&lt;=Assumptions!$C$18),MAX(BB94*(1+VLOOKUP($C94,WeatherCapacityAdjustment,2))-FN94,0),0))</f>
        <v>#VALUE!</v>
      </c>
      <c r="FW94" s="1564" t="e">
        <f aca="false">IF(AND(Assumptions!$H$71="Yes",A94&gt;=Assumptions!$H$72,A94&lt;=Assumptions!$H$73),0,IF(AND($A94&gt;=Assumptions!$C$17,$A94&lt;=Assumptions!$C$18),MAX(BC94*(1+VLOOKUP($C94,WeatherCapacityAdjustment,3))-FO94,0),0))</f>
        <v>#VALUE!</v>
      </c>
      <c r="FX94" s="1569" t="e">
        <f aca="false">IF(AND(Assumptions!$H$71="Yes",A94&gt;=Assumptions!$H$72,A94&lt;=Assumptions!$H$73),0,IF(ET94&gt;0,MAX(BH94*(1+VLOOKUP($C94,WeatherCapacityAdjustment,2))-FP94,0),0))</f>
        <v>#VALUE!</v>
      </c>
      <c r="FY94" s="1551" t="e">
        <f aca="false">IF(AND(Assumptions!$H$71="Yes",A94&gt;=Assumptions!$H$72,A94&lt;=Assumptions!$H$73),0,IF(EU94&gt;0,MAX(BI94*(1+VLOOKUP($C94,WeatherCapacityAdjustment,3))-FQ94,0),0))</f>
        <v>#VALUE!</v>
      </c>
      <c r="FZ94" s="1551" t="e">
        <f aca="false">IF(AND(Assumptions!$H$71="Yes",A94&gt;=Assumptions!$H$72,A94&lt;=Assumptions!$H$73),0,IF(EV94&gt;0,MAX(BJ94*(1+VLOOKUP($C94,WeatherCapacityAdjustment,2))-FR94,0),0))</f>
        <v>#VALUE!</v>
      </c>
      <c r="GA94" s="1564" t="e">
        <f aca="false">IF(AND(Assumptions!$H$71="Yes",A94&gt;=Assumptions!$H$72,A94&lt;=Assumptions!$H$73),0,IF(EW94&gt;0,MAX(BK94*(1+VLOOKUP($C94,WeatherCapacityAdjustment,2))-FS94,0),0))</f>
        <v>#VALUE!</v>
      </c>
      <c r="GB94" s="1551" t="e">
        <f aca="false">SUM(FT94:GA94)</f>
        <v>#VALUE!</v>
      </c>
      <c r="GC94" s="1563" t="e">
        <f aca="false">+IF(SUM(FT94:GA94)=0,0,(SUMPRODUCT(BU94:BX94,FT94:FW94)+SUMPRODUCT(CA94:CD94,FX94:GA94))/SUM(FT94:GA94))</f>
        <v>#VALUE!</v>
      </c>
      <c r="GD94" s="1551" t="e">
        <f aca="false">(FT94*BU94+FX94*CA94+FU94*BV94+FY94*CB94+FV94*BW94+FZ94*CC94+FW94*BX94+GA94*CD94)</f>
        <v>#VALUE!</v>
      </c>
      <c r="GE94" s="1561" t="e">
        <f aca="false">+IF(BQ94,((FL94+FM94+FT94+FU94)*HeatRatePeak/1000*(1+VLOOKUP($C94,WeatherHeatRateAdjustment,2))+(FN94+FV94)*IF(EV94&gt;0,HeatRatePeak,HeatRateOffPeak)/1000*(1+VLOOKUP($C94,WeatherHeatRateAdjustment,2))+(FO94+FW94)*IF(EW94&gt;0,HeatRatePeak,HeatRateOffPeak)/1000*(1+VLOOKUP($C94,WeatherHeatRateAdjustment,3)))*(1+VLOOKUP($B94,HeatRateDegradation,$C94+1)),0)</f>
        <v>#VALUE!</v>
      </c>
      <c r="GF94" s="1562" t="e">
        <f aca="false">IF(BQ94,((FP94+FQ94+FR94+FX94+FY94+FZ94)*HeatRatePeak/1000*(1+VLOOKUP($C94,WeatherHeatRateAdjustment,2))+(FS94+GA94)*HeatRatePeak/1000*(1+VLOOKUP($C94,WeatherHeatRateAdjustment,3)))*(1+VLOOKUP($B94,HeatRateDegradation,$C94+1)),0)</f>
        <v>#VALUE!</v>
      </c>
      <c r="GG94" s="1563" t="e">
        <f aca="false">IF(BQ94,VLOOKUP(A94,GasTable,13),0)</f>
        <v>#VALUE!</v>
      </c>
      <c r="GH94" s="1564" t="e">
        <f aca="false">(GE94+GF94)*GG94</f>
        <v>#VALUE!</v>
      </c>
      <c r="GI94" s="1569" t="e">
        <f aca="false">GB94</f>
        <v>#VALUE!</v>
      </c>
      <c r="GJ94" s="1598" t="e">
        <f aca="false">+DA94</f>
        <v>#VALUE!</v>
      </c>
      <c r="GK94" s="1558" t="e">
        <f aca="false">+GI94*GJ94</f>
        <v>#VALUE!</v>
      </c>
      <c r="GL94" s="1566" t="e">
        <f aca="false">MAX(FE94-FL94-FP94,0)</f>
        <v>#VALUE!</v>
      </c>
      <c r="GM94" s="1551" t="e">
        <f aca="false">MAX(FF94-FM94-FQ94,0)</f>
        <v>#VALUE!</v>
      </c>
      <c r="GN94" s="1551" t="e">
        <f aca="false">MAX(FG94-FN94-FR94,0)</f>
        <v>#VALUE!</v>
      </c>
      <c r="GO94" s="1564" t="e">
        <f aca="false">MAX(FH94-FO94-FS94,0)</f>
        <v>#VALUE!</v>
      </c>
      <c r="GP94" s="1551" t="e">
        <f aca="false">SUM(GL94:GO94)</f>
        <v>#VALUE!</v>
      </c>
      <c r="GQ94" s="1563" t="e">
        <f aca="false">IF(SUM(GL94:GO94)=0,0,((GL94*BU94+GM94*BV94+GN94*BW94+GO94*BX94)/SUM(GL94:GO94)))</f>
        <v>#VALUE!</v>
      </c>
      <c r="GR94" s="1558" t="e">
        <f aca="false">(GL94*BU94+GM94*BV94+GN94*BW94+GO94*BX94)</f>
        <v>#VALUE!</v>
      </c>
      <c r="GS94" s="1566" t="n">
        <f aca="false">IF($A94&gt;=BegDate,Assumptions!$C$56*24*($A95-$A94)*(1-VLOOKUP($B94,MAIN!$AA$7:$AM$28,$C94+1))*(1-VLOOKUP($B94,MAIN!$AA$33:$AM$54,$C94+1)),0)*80/168</f>
        <v>257742.857142857</v>
      </c>
      <c r="GT94" s="286" t="n">
        <f aca="false">J94</f>
        <v>44.5256466516504</v>
      </c>
      <c r="GU94" s="286" t="n">
        <f aca="false">IF($A94&gt;=BegDate,VLOOKUP($A94,GasTable,13)+Assumptions!$C$58,0)</f>
        <v>2.83252032252046</v>
      </c>
      <c r="GV94" s="286" t="n">
        <f aca="false">GU94*Assumptions!$C$57/1000</f>
        <v>20.5357723382733</v>
      </c>
      <c r="GW94" s="1558" t="n">
        <f aca="false">IF(Assumptions!$C$60="Hourly",MAX(0,GS94*(GT94-GV94)),GS94*(GT94-GV94))</f>
        <v>6183218.74802784</v>
      </c>
      <c r="GX94" s="1566" t="n">
        <f aca="false">IF($A94&gt;=BegDate,Assumptions!$C$56*24*($A95-$A94)*(1-VLOOKUP($B94,MAIN!$AA$7:$AM$28,$C94+1))*(1-VLOOKUP($B94,MAIN!$AA$33:$AM$54,$C94+1)),0)*16/168</f>
        <v>51548.5714285714</v>
      </c>
      <c r="GY94" s="286" t="n">
        <f aca="false">M94</f>
        <v>44.5256466516504</v>
      </c>
      <c r="GZ94" s="286" t="n">
        <f aca="false">IF($A94&gt;=BegDate,VLOOKUP($A94,GasTable,13)+Assumptions!$C$58,0)</f>
        <v>2.83252032252046</v>
      </c>
      <c r="HA94" s="286" t="n">
        <f aca="false">GZ94*Assumptions!$C$57/1000</f>
        <v>20.5357723382733</v>
      </c>
      <c r="HB94" s="1558" t="n">
        <f aca="false">IF(Assumptions!$C$60="Hourly",MAX(0,GX94*(GY94-HA94)),GX94*(GY94-HA94))</f>
        <v>1236643.74960557</v>
      </c>
      <c r="HC94" s="1566" t="n">
        <f aca="false">IF($A94&gt;=BegDate,Assumptions!$C$56*24*($A95-$A94)*(1-VLOOKUP($B94,MAIN!$AA$7:$AM$28,$C94+1))*(1-VLOOKUP($B94,MAIN!$AA$33:$AM$54,$C94+1)),0)*16/168</f>
        <v>51548.5714285714</v>
      </c>
      <c r="HD94" s="286" t="n">
        <f aca="false">P94</f>
        <v>26.3344072445532</v>
      </c>
      <c r="HE94" s="286" t="n">
        <f aca="false">IF($A94&gt;=BegDate,VLOOKUP($A94,GasTable,13)+Assumptions!$C$58,0)</f>
        <v>2.83252032252046</v>
      </c>
      <c r="HF94" s="286" t="n">
        <f aca="false">HE94*Assumptions!$C$57/1000</f>
        <v>20.5357723382733</v>
      </c>
      <c r="HG94" s="1558" t="n">
        <f aca="false">IF(Assumptions!$C$60="Hourly",MAX(0,HC94*(HD94-HF94)),HC94*(HD94-HF94))</f>
        <v>298911.345654577</v>
      </c>
      <c r="HH94" s="1566" t="n">
        <f aca="false">IF($A94&gt;=BegDate,Assumptions!$C$56*24*($A95-$A94)*(1-VLOOKUP($B94,MAIN!$AA$7:$AM$28,$C94+1))*(1-VLOOKUP($B94,MAIN!$AA$33:$AM$54,$C94+1)),0)*56/168</f>
        <v>180420</v>
      </c>
      <c r="HI94" s="286" t="n">
        <f aca="false">S94</f>
        <v>26.3344072445532</v>
      </c>
      <c r="HJ94" s="286" t="n">
        <f aca="false">IF($A94&gt;=BegDate,VLOOKUP($A94,GasTable,13)+Assumptions!$C$58,0)</f>
        <v>2.83252032252046</v>
      </c>
      <c r="HK94" s="286" t="n">
        <f aca="false">HJ94*Assumptions!$C$57/1000</f>
        <v>20.5357723382733</v>
      </c>
      <c r="HL94" s="1558" t="n">
        <f aca="false">IF(Assumptions!$C$60="Hourly",MAX(0,HH94*(HI94-HK94)),HH94*(HI94-HK94))</f>
        <v>1046189.70979102</v>
      </c>
      <c r="HM94" s="1566" t="n">
        <f aca="false">IF(AND(Assumptions!$H$71="Yes",A94&gt;=Assumptions!$H$72,A94&lt;=Assumptions!$H$73),Assumptions!$H$74*Assumptions!$C$9*1000,0)</f>
        <v>0</v>
      </c>
      <c r="HN94" s="1551"/>
      <c r="HO94" s="1563"/>
      <c r="HP94" s="1563"/>
      <c r="HQ94" s="1563"/>
      <c r="HR94" s="1563"/>
      <c r="HS94" s="1563"/>
      <c r="HT94" s="1563"/>
      <c r="HU94" s="1563"/>
      <c r="HV94" s="1563"/>
      <c r="HW94" s="1563"/>
      <c r="HX94" s="1563"/>
      <c r="HY94" s="1563"/>
      <c r="HZ94" s="1563"/>
      <c r="IA94" s="1563"/>
      <c r="IB94" s="1563"/>
      <c r="IC94" s="1563"/>
      <c r="ID94" s="1563"/>
      <c r="IE94" s="1563"/>
      <c r="IF94" s="1563"/>
      <c r="IG94" s="1563"/>
      <c r="IH94" s="1563"/>
      <c r="II94" s="1610"/>
      <c r="IJ94" s="1309"/>
      <c r="IK94" s="1309"/>
    </row>
    <row r="95" customFormat="false" ht="12.75" hidden="false" customHeight="false" outlineLevel="0" collapsed="false">
      <c r="A95" s="1571" t="n">
        <f aca="false">EOMONTH(A94,0)+1</f>
        <v>39022</v>
      </c>
      <c r="B95" s="594" t="n">
        <f aca="false">+YEAR(A95)</f>
        <v>2006</v>
      </c>
      <c r="C95" s="238" t="n">
        <f aca="false">MONTH(A95)</f>
        <v>11</v>
      </c>
      <c r="D95" s="1572" t="e">
        <f aca="false">IF(E95="","",Holiday(B95,C95))</f>
        <v>#VALUE!</v>
      </c>
      <c r="E95" s="1573" t="n">
        <f aca="false">IF(OR(BegDate&gt;=A96,EndDate&lt;A95,AND(VolumeMonthlyOverFlag,INDEX(VolumeMonthlyOver,C95)=0),NOT(INDEX(MonthKnockOutTable,C95))),"",MAX(A95,BegDate))</f>
        <v>39022</v>
      </c>
      <c r="F95" s="1574" t="n">
        <f aca="false">IF(E95="","",MIN(A96-1,EndDate))</f>
        <v>39051</v>
      </c>
      <c r="G95" s="1575" t="n">
        <v>0</v>
      </c>
      <c r="H95" s="1576" t="n">
        <f aca="false">(1+G95/2)^(-2*(DATE(B96,C96,20)-DateToday)/365.25)</f>
        <v>1</v>
      </c>
      <c r="I95" s="1568" t="n">
        <f aca="false">IF(Assumptions!$L$25=4,VLOOKUP($A95,'Henwood Reference'!$E$9:$R$320,10),(VLOOKUP($A95,PriceTable,2,0)+IF(BasisNumber&lt;&gt;1,VLOOKUP($A95,BasisTable,2,0),0)+I$1)/(1-I$2))</f>
        <v>46.0331276660772</v>
      </c>
      <c r="J95" s="1568" t="n">
        <f aca="false">IF(Assumptions!$L$25=4,VLOOKUP($A95,'Henwood Reference'!$E$9:$R$320,10),(VLOOKUP($A95,PriceTable,3,0)+IF(BasisNumber&lt;&gt;1,VLOOKUP($A95,BasisTable,2,0),0)+J$1)/(1-J$2))</f>
        <v>46.0331276660772</v>
      </c>
      <c r="K95" s="1568" t="n">
        <f aca="false">IF(Assumptions!$L$25=4,VLOOKUP($A95,'Henwood Reference'!$E$9:$R$320,10),(VLOOKUP($A95,PriceTable,4,0)+IF(BasisNumber&lt;&gt;1,VLOOKUP($A95,BasisTable,2,0),0)+K$1)/(1-K$2))</f>
        <v>46.0331276660772</v>
      </c>
      <c r="L95" s="1523" t="n">
        <f aca="false">IF(Assumptions!$L$25=4,VLOOKUP($A95,'Henwood Reference'!$E$9:$R$320,10),(VLOOKUP($A95,PriceTableWeekend,2,0)+IF(BasisNumber&lt;&gt;1,VLOOKUP($A95,BasisTable,2,0),0)+L$1)/(1-L$2))</f>
        <v>46.0331276660772</v>
      </c>
      <c r="M95" s="1568" t="n">
        <f aca="false">IF(Assumptions!$L$25=4,VLOOKUP($A95,'Henwood Reference'!$E$9:$R$320,10),(VLOOKUP($A95,PriceTableWeekend,3,0)+IF(BasisNumber&lt;&gt;1,VLOOKUP($A95,BasisTable,2,0),0)+M$1)/(1-M$2))</f>
        <v>46.0331276660772</v>
      </c>
      <c r="N95" s="1599" t="n">
        <f aca="false">IF(Assumptions!$L$25=4,VLOOKUP($A95,'Henwood Reference'!$E$9:$R$320,10),(VLOOKUP($A95,PriceTableWeekend,4,0)+IF(BasisNumber&lt;&gt;1,VLOOKUP($A95,BasisTable,2,0),0)+N$1)/(1-N$2))</f>
        <v>46.0331276660772</v>
      </c>
      <c r="O95" s="1568" t="n">
        <f aca="false">IF(Assumptions!$L$25=4,VLOOKUP($A95,'Henwood Reference'!$E$9:$R$320,11),(VLOOKUP($A95,PriceTableWeekend,6,0)+IF(BasisNumber&lt;&gt;1,VLOOKUP($A95,BasisTable,3,0),0)+O$1)/(1-O$2))</f>
        <v>28.9549871941806</v>
      </c>
      <c r="P95" s="1568" t="n">
        <f aca="false">IF(Assumptions!$L$25=4,VLOOKUP($A95,'Henwood Reference'!$E$9:$R$320,11),(VLOOKUP($A95,PriceTableWeekend,7,0)+IF(BasisNumber&lt;&gt;1,VLOOKUP($A95,BasisTable,3,0),0)+P$1)/(1-P$2))</f>
        <v>28.9549871941806</v>
      </c>
      <c r="Q95" s="1599" t="n">
        <f aca="false">IF(Assumptions!$L$25=4,VLOOKUP($A95,'Henwood Reference'!$E$9:$R$320,11),(VLOOKUP($A95,PriceTableWeekend,8,0)+IF(BasisNumber&lt;&gt;1,VLOOKUP($A95,BasisTable,3,0),0)+Q$1)/(1-Q$2))</f>
        <v>28.9549871941806</v>
      </c>
      <c r="R95" s="1568" t="n">
        <f aca="false">IF(Assumptions!$L$25=4,VLOOKUP($A95,'Henwood Reference'!$E$9:$R$320,11),(VLOOKUP($A95,PriceTable,6,0)+IF(BasisNumber&lt;&gt;1,VLOOKUP($A95,BasisTable,3,0),0)+R$1)/(1-R$2))</f>
        <v>28.9549871941806</v>
      </c>
      <c r="S95" s="1568" t="n">
        <f aca="false">IF(Assumptions!$L$25=4,VLOOKUP($A95,'Henwood Reference'!$E$9:$R$320,11),(VLOOKUP($A95,PriceTable,7,0)+IF(BasisNumber&lt;&gt;1,VLOOKUP($A95,BasisTable,3,0),0)+S$1)/(1-S$2))</f>
        <v>28.9549871941806</v>
      </c>
      <c r="T95" s="1600" t="n">
        <f aca="false">IF(Assumptions!$L$25=4,VLOOKUP($A95,'Henwood Reference'!$E$9:$R$320,11),(VLOOKUP($A95,PriceTable,8,0)+IF(BasisNumber&lt;&gt;1,VLOOKUP($A95,BasisTable,3,0),0)+T$1)/(1-T$2))</f>
        <v>28.9549871941806</v>
      </c>
      <c r="U95" s="1513" t="n">
        <f aca="false">VLOOKUP($A95,VolatilityTable,14)</f>
        <v>0.14</v>
      </c>
      <c r="V95" s="1513" t="n">
        <f aca="false">VLOOKUP($A95,VolatilityTable,15)</f>
        <v>0.15</v>
      </c>
      <c r="W95" s="1514" t="n">
        <f aca="false">VLOOKUP($A95,VolatilityTable,16)</f>
        <v>0.16</v>
      </c>
      <c r="X95" s="1513" t="n">
        <f aca="false">VLOOKUP($A95,VolatilityTable,14)</f>
        <v>0.14</v>
      </c>
      <c r="Y95" s="1513" t="n">
        <f aca="false">VLOOKUP($A95,VolatilityTable,15)</f>
        <v>0.15</v>
      </c>
      <c r="Z95" s="1514" t="n">
        <f aca="false">VLOOKUP($A95,VolatilityTable,16)</f>
        <v>0.16</v>
      </c>
      <c r="AA95" s="1513" t="n">
        <f aca="false">VLOOKUP($A95,VolatilityTable,18)</f>
        <v>0.09</v>
      </c>
      <c r="AB95" s="1513" t="n">
        <f aca="false">VLOOKUP($A95,VolatilityTable,19)</f>
        <v>0.11</v>
      </c>
      <c r="AC95" s="1514" t="n">
        <f aca="false">VLOOKUP($A95,VolatilityTable,20)</f>
        <v>0.13</v>
      </c>
      <c r="AD95" s="1513" t="n">
        <f aca="false">VLOOKUP($A95,VolatilityTable,18)</f>
        <v>0.09</v>
      </c>
      <c r="AE95" s="1513" t="n">
        <f aca="false">VLOOKUP($A95,VolatilityTable,19)</f>
        <v>0.11</v>
      </c>
      <c r="AF95" s="1514" t="n">
        <f aca="false">VLOOKUP($A95,VolatilityTable,20)</f>
        <v>0.13</v>
      </c>
      <c r="AG95" s="1513" t="n">
        <f aca="false">VLOOKUP($A95,VolatilityTable,22)</f>
        <v>-0.1</v>
      </c>
      <c r="AH95" s="1513" t="n">
        <f aca="false">VLOOKUP($A95,VolatilityTable,23)</f>
        <v>0.6</v>
      </c>
      <c r="AI95" s="1514" t="n">
        <f aca="false">VLOOKUP($A95,VolatilityTable,24)</f>
        <v>0.1</v>
      </c>
      <c r="AJ95" s="1513" t="n">
        <f aca="false">VLOOKUP($A95,VolatilityTable,22)</f>
        <v>-0.1</v>
      </c>
      <c r="AK95" s="1513" t="n">
        <f aca="false">VLOOKUP($A95,VolatilityTable,23)</f>
        <v>0.6</v>
      </c>
      <c r="AL95" s="1514" t="n">
        <f aca="false">VLOOKUP($A95,VolatilityTable,24)</f>
        <v>0.1</v>
      </c>
      <c r="AM95" s="1513" t="n">
        <f aca="false">VLOOKUP($A95,VolatilityTable,26)</f>
        <v>-0.01</v>
      </c>
      <c r="AN95" s="1513" t="n">
        <f aca="false">VLOOKUP($A95,VolatilityTable,27)</f>
        <v>0.16</v>
      </c>
      <c r="AO95" s="1514" t="n">
        <f aca="false">VLOOKUP($A95,VolatilityTable,28)</f>
        <v>0.01</v>
      </c>
      <c r="AP95" s="1513" t="n">
        <f aca="false">VLOOKUP($A95,VolatilityTable,26)</f>
        <v>-0.01</v>
      </c>
      <c r="AQ95" s="1513" t="n">
        <f aca="false">VLOOKUP($A95,VolatilityTable,27)</f>
        <v>0.16</v>
      </c>
      <c r="AR95" s="1515" t="n">
        <f aca="false">VLOOKUP($A95,VolatilityTable,28)</f>
        <v>0.01</v>
      </c>
      <c r="AS95" s="1581" t="n">
        <f aca="false">IF(CorrPeakOffPeakOverFlag,INDEX(CorrPeakOffPeakOver,C95),CorrPeakOffPeak)</f>
        <v>0.5</v>
      </c>
      <c r="AT95" s="594" t="e">
        <f aca="false">AX95-SUM(AU95:AW95)</f>
        <v>#VALUE!</v>
      </c>
      <c r="AU95" s="238" t="e">
        <f aca="false">IF(E95="",0,INT((F95-MOD(F95,7)-E95)/7)+1-IF(AW95,IF(WEEKDAY(D95)=7,1,0),0))</f>
        <v>#VALUE!</v>
      </c>
      <c r="AV95" s="238" t="e">
        <f aca="false">IF(E95="",0,INT((F95-MOD(F95-1,7)-E95)/7)+1-IF(AW95,IF(WEEKDAY(D95)=1,1,0),0))</f>
        <v>#VALUE!</v>
      </c>
      <c r="AW95" s="238" t="e">
        <f aca="false">IF(OR(E95="",D95="",D95&lt;BegDate,D95&gt;EndDate),0,1)</f>
        <v>#VALUE!</v>
      </c>
      <c r="AX95" s="238" t="n">
        <f aca="false">IF(E95="",0,F95-E95+1)</f>
        <v>30</v>
      </c>
      <c r="AY95" s="1582" t="n">
        <f aca="false">IF(E95="",0,MIN((1-(1-VLOOKUP(B95,MAIN!$AA$7:$AM$28,C95+1))*(1-VLOOKUP(B95,MAIN!$AA$33:$AM$54,C95+1))),1))</f>
        <v>0.03</v>
      </c>
      <c r="AZ95" s="1519" t="e">
        <v>#VALUE!</v>
      </c>
      <c r="BA95" s="1520" t="e">
        <v>#VALUE!</v>
      </c>
      <c r="BB95" s="1520" t="e">
        <v>#VALUE!</v>
      </c>
      <c r="BC95" s="1583" t="e">
        <v>#VALUE!</v>
      </c>
      <c r="BD95" s="1522" t="e">
        <v>#VALUE!</v>
      </c>
      <c r="BE95" s="1523" t="e">
        <v>#VALUE!</v>
      </c>
      <c r="BF95" s="1523" t="e">
        <v>#VALUE!</v>
      </c>
      <c r="BG95" s="1584" t="e">
        <v>#VALUE!</v>
      </c>
      <c r="BH95" s="1525" t="e">
        <v>#VALUE!</v>
      </c>
      <c r="BI95" s="1520" t="e">
        <v>#VALUE!</v>
      </c>
      <c r="BJ95" s="1520" t="e">
        <v>#VALUE!</v>
      </c>
      <c r="BK95" s="1583" t="e">
        <v>#VALUE!</v>
      </c>
      <c r="BL95" s="1522" t="e">
        <v>#VALUE!</v>
      </c>
      <c r="BM95" s="1523" t="e">
        <v>#VALUE!</v>
      </c>
      <c r="BN95" s="1523" t="e">
        <v>#VALUE!</v>
      </c>
      <c r="BO95" s="1523" t="e">
        <v>#VALUE!</v>
      </c>
      <c r="BP95" s="1525" t="e">
        <f aca="false">SUM(AZ95:BB95)</f>
        <v>#VALUE!</v>
      </c>
      <c r="BQ95" s="1529" t="e">
        <f aca="false">SUM(AZ95:BC95)</f>
        <v>#VALUE!</v>
      </c>
      <c r="BR95" s="1519" t="e">
        <f aca="false">SUM(BH95:BJ95)</f>
        <v>#VALUE!</v>
      </c>
      <c r="BS95" s="1529" t="e">
        <f aca="false">SUM(BH95:BK95)</f>
        <v>#VALUE!</v>
      </c>
      <c r="BT95" s="1316" t="n">
        <f aca="false">(IF(OVolType&lt;&gt;2,A95+14,IF(OptExpDateShift,ShiftBack(A95,OptExpDateShift,D94),A95))-DateToday)/365.25</f>
        <v>6.54893908281999</v>
      </c>
      <c r="BU95" s="1585" t="e">
        <f aca="false">IF(BQ95,IF(OPriceCurve,IF(OBuySell=OCallPut,I95/(1-AY95),K95/(1-AY95)),J95/(1-AY95))*BD95,0)</f>
        <v>#VALUE!</v>
      </c>
      <c r="BV95" s="1316" t="e">
        <f aca="false">IF(BQ95,IF(OPriceCurve,IF(OBuySell=OCallPut,L95/(1-AY95),N95/(1-AY95)),M95/(1-AY95))*BE95,0)</f>
        <v>#VALUE!</v>
      </c>
      <c r="BW95" s="1316" t="e">
        <f aca="false">IF(BQ95,IF(OPriceCurve,IF(OBuySell=OCallPut,O95/(1-AY95),Q95/(1-AY95)),P95/(1-AY95))*BF95,0)</f>
        <v>#VALUE!</v>
      </c>
      <c r="BX95" s="1316" t="e">
        <f aca="false">IF(BQ95,IF(OPriceCurve,IF(OBuySell=OCallPut,R95/(1-AY95),T95/(1-AY95)),S95/(1-AY95))*BG95,0)</f>
        <v>#VALUE!</v>
      </c>
      <c r="BY95" s="1316" t="e">
        <f aca="false">IF(BP95,(BU95*AZ95+BV95*BA95+BW95*BB95)/BP95,0)</f>
        <v>#VALUE!</v>
      </c>
      <c r="BZ95" s="1316" t="e">
        <f aca="false">IF(BQ95,(BY95*BP95+BX95*BC95)/BQ95,0)</f>
        <v>#VALUE!</v>
      </c>
      <c r="CA95" s="1531" t="e">
        <f aca="false">IF(BS95,IF(OPriceCurve,IF(OBuySell=OCallPut,I95/(1-AY95),K95/(1-AY95)),J95/(1-AY95))*BL95,0)</f>
        <v>#VALUE!</v>
      </c>
      <c r="CB95" s="1316" t="e">
        <f aca="false">IF(BS95,IF(OPriceCurve,IF(OBuySell=OCallPut,L95/(1-AY95),N95/(1-AY95)),M95/(1-AY95))*BM95,0)</f>
        <v>#VALUE!</v>
      </c>
      <c r="CC95" s="1316" t="e">
        <f aca="false">IF(BS95,IF(OPriceCurve,IF(OBuySell=OCallPut,O95/(1-AY95),Q95/(1-AY95)),P95/(1-AY95))*BN95,0)</f>
        <v>#VALUE!</v>
      </c>
      <c r="CD95" s="1316" t="e">
        <f aca="false">IF(BS95,IF(OPriceCurve,IF(OBuySell=OCallPut,R95/(1-AY95),T95/(1-AY95)),S95/(1-AY95))*BO95,0)</f>
        <v>#VALUE!</v>
      </c>
      <c r="CE95" s="1316" t="e">
        <f aca="false">IF(BR95,(BU95*BH95+BV95*BI95+BW95*BJ95)/BR95,0)</f>
        <v>#VALUE!</v>
      </c>
      <c r="CF95" s="1532" t="e">
        <f aca="false">IF(BS95,(CE95*BR95+CD95*BK95)/BS95,0)</f>
        <v>#VALUE!</v>
      </c>
      <c r="CG95" s="1586" t="e">
        <f aca="false">IF(OR(BQ95,BS95),IF(OVolType&lt;&gt;2,SQRT(IF(OVolOverMonthlyPeak,OVolOverMonthlyPeak,IF(OVolCurve,IF(OBuySell,U95,W95),V95))^2*(1-15/365.25/BT95)+IF(OVolOverDailyPeak,OVolOverDailyPeak,IF(OVolCurve,IF(OBuySell,AG95,AI95),AH95))^2*15/365.25/BT95),IF(OVolOverMonthlyPeak,OVolOverMonthlyPeak,IF(OVolCurve,IF(OBuySell,U95,W95),V95))),"")</f>
        <v>#VALUE!</v>
      </c>
      <c r="CH95" s="1587" t="e">
        <f aca="false">IF(OR(BQ95,BS95),IF(OVolType&lt;&gt;2,SQRT(IF(OVolOverMonthlyPeak,OVolOverMonthlyPeak,IF(OVolCurve,IF(OBuySell,X95,Z95),Y95))^2*(1-15/365.25/BT95)+IF(OVolOverDailyPeak,OVolOverDailyPeak,IF(OVolCurve,IF(OBuySell,AJ95,AL95),AK95))^2*15/365.25/BT95),IF(OVolOverMonthlyPeak,OVolOverMonthlyPeak,IF(OVolCurve,IF(OBuySell,X95,Z95),Y95))),"")</f>
        <v>#VALUE!</v>
      </c>
      <c r="CI95" s="1587" t="e">
        <f aca="false">IF(OR(BQ95,BS95),IF(OVolType&lt;&gt;2,SQRT(IF(OVolOverMonthlyPeak,OVolOverMonthlyPeak,IF(OVolCurve,IF(OBuySell,AA95,AC95),AB95))^2*(1-15/365.25/BT95)+IF(OVolOverDailyPeak,OVolOverDailyPeak,IF(OVolCurve,IF(OBuySell,AM95,AO95),AN95))^2*15/365.25/BT95),IF(OVolOverMonthlyPeak,OVolOverMonthlyPeak,IF(OVolCurve,IF(OBuySell,AA95,AC95),AB95))),"")</f>
        <v>#VALUE!</v>
      </c>
      <c r="CJ95" s="1587" t="e">
        <f aca="false">IF(BQ95,IF(BP95,SQRT(LN(1+((BU95*AZ95)^2*(EXP(CG95^2*BT95)-1)+(BV95*BA95)^2*(EXP(CH95^2*BT95)-1)+(BW95*BB95)^2*(EXP(CI95^2*BT95)-1)+2*BU95*AZ95*BV95*BA95*(EXP(CG95*CH95*BT95)-1)+2*BV95*BA95*BW95*BB95*(EXP(CH95*CI95*BT95)-1)+2*BW95*BB95*BU95*AZ95*(EXP(CI95*CG95*BT95)-1))/(BY95*BP95)^2)/BT95),0),"")</f>
        <v>#VALUE!</v>
      </c>
      <c r="CK95" s="1587" t="e">
        <f aca="false">IF(BS95,IF(BR95,SQRT(LN(1+((CA95*BH95)^2*(EXP(CG95^2*BT95)-1)+(CB95*BI95)^2*(EXP(CH95^2*BT95)-1)+(CC95*BJ95)^2*(EXP(CI95^2*BT95)-1)+2*CA95*BH95*CB95*BI95*(EXP(CG95*CH95*BT95)-1)+2*CB95*BI95*CC95*BJ95*(EXP(CH95*CI95*BT95)-1)+2*CC95*BJ95*CA95*BH95*(EXP(CI95*CG95*BT95)-1))/(CE95*BR95)^2)/BT95),0),"")</f>
        <v>#VALUE!</v>
      </c>
      <c r="CL95" s="1587" t="e">
        <f aca="false">IF(OR(BQ95,BS95),IF(OVolType&lt;&gt;2,SQRT(IF(OVolOverMonthlyOffPeak,OVolOverMonthlyOffPeak,IF(OVolCurve,IF(OBuySell,AD95,AF95),AE95))^2*(1-15/365.25/BT95)+IF(OVolOverDailyOffPeak,OVolOverDailyOffPeak,IF(OVolCurve,IF(OBuySell,AP95,AR95),AQ95))^2*15/365.25/BT95),IF(OVolOverMonthlyOffPeak,OVolOverMonthlyOffPeak,IF(OVolCurve,IF(OBuySell,AD95,AF95),AE95))),"")</f>
        <v>#VALUE!</v>
      </c>
      <c r="CM95" s="1587" t="e">
        <f aca="false">IF(BQ95,SQRT(LN(1+((BY95*BP95)^2*(EXP(CJ95^2*BT95)-1)+(BX95*BC95)^2*(EXP(CL95^2*BT95)-1)+2*BY95*BP95*BX95*BC95*(EXP(AS95*CJ95*CL95*BT95)-1))/(BY95*BP95+BX95*BC95)^2)/BT95),"")</f>
        <v>#VALUE!</v>
      </c>
      <c r="CN95" s="1588" t="e">
        <f aca="false">IF(BS95,SQRT(LN(1+((CE95*BR95)^2*(EXP(CK95^2*BT95)-1)+(CD95*BK95)^2*(EXP(CL95^2*BT95)-1)+2*CE95*BR95*CD95*BK95*(EXP(AS95*CK95*CL95*BT95)-1))/(CE95*BR95+CD95*BK95)^2)/BT95),"")</f>
        <v>#VALUE!</v>
      </c>
      <c r="CO95" s="1531" t="e">
        <f aca="false">IF(OR(BQ95,BS95),VLOOKUP(A95,GasTable,13)*HeatRatePeak*(1+VLOOKUP($B95,HeatRateDegradation,$C95+1))/1000,0)</f>
        <v>#VALUE!</v>
      </c>
      <c r="CP95" s="1316" t="e">
        <f aca="false">IF(OR(BQ95,BS95),VLOOKUP(A95,GasTable,13)*HeatRatePeak*(1+VLOOKUP($B95,HeatRateDegradation,$C95+1))/1000,0)</f>
        <v>#VALUE!</v>
      </c>
      <c r="CQ95" s="1316" t="e">
        <f aca="false">IF(OR(BQ95,BS95),VLOOKUP(A95,GasTable,13)*IF(EV95,HeatRatePeak,HeatRateOffPeak)*(1+VLOOKUP($B95,HeatRateDegradation,$C95+1))/1000,0)</f>
        <v>#VALUE!</v>
      </c>
      <c r="CR95" s="1316" t="e">
        <f aca="false">IF(OR(BQ95,BS95),VLOOKUP(A95,GasTable,13)*IF(EW95,HeatRatePeak,HeatRateOffPeak)*(1+VLOOKUP($B95,HeatRateDegradation,$C95+1))/1000,0)</f>
        <v>#VALUE!</v>
      </c>
      <c r="CS95" s="1589" t="e">
        <f aca="false">IF(BQ95,(CO95*AZ95+CP95*BA95+CQ95*BB95+CR95*BC95)/BQ95,0)</f>
        <v>#VALUE!</v>
      </c>
      <c r="CT95" s="1316" t="e">
        <f aca="false">IF(BS95,CO95,0)</f>
        <v>#VALUE!</v>
      </c>
      <c r="CU95" s="1590" t="e">
        <f aca="false">IF(OR(BQ95,BS95),VLOOKUP(A95,GasTable,14),"")</f>
        <v>#VALUE!</v>
      </c>
      <c r="CV95" s="1568" t="e">
        <f aca="false">IF(OR(BQ95,BS95),IF(CorrPowerGasOverFlag,INDEX(CorrPowerGasOver,C95),CorrPowerGas),"")</f>
        <v>#VALUE!</v>
      </c>
      <c r="CW95" s="1316" t="e">
        <f aca="false">IF(OR($BQ95,$BS95),SpreadOptPowerMargin,0)*((1+Assumptions!$C$26)^($B95-YEAR(Assumptions!$C$17)))</f>
        <v>#VALUE!</v>
      </c>
      <c r="CX95" s="1316" t="e">
        <f aca="false">IF(OR($BQ95,$BS95),SpreadOptPowerMargin,0)*((1+Assumptions!$C$26)^($B95-YEAR(Assumptions!$C$17)))</f>
        <v>#VALUE!</v>
      </c>
      <c r="CY95" s="1316" t="e">
        <f aca="false">IF(OR($BQ95,$BS95),SpreadOptPowerMargin,0)*((1+Assumptions!$C$26)^($B95-YEAR(Assumptions!$C$17)))</f>
        <v>#VALUE!</v>
      </c>
      <c r="CZ95" s="1316" t="e">
        <f aca="false">IF(OR($BQ95,$BS95),SpreadOptPowerMargin,0)*((1+Assumptions!$C$26)^($B95-YEAR(Assumptions!$C$17)))</f>
        <v>#VALUE!</v>
      </c>
      <c r="DA95" s="1591" t="e">
        <f aca="false">IF(OR(BQ95,BS95),(CW95*(AZ95+BH95)+CX95*(BA95+BI95)+CY95*(BB95+BJ95)+CZ95*(BC95+BK95))/(BQ95+BS95),0)</f>
        <v>#VALUE!</v>
      </c>
      <c r="DB95" s="1592" t="e">
        <f aca="false">IF(OR(BQ95,BS95),CG95+IF(OVolSmile,VLOOKUP(MAX(-5,CO95+CW95-BU95),IF(OVolSmile=1,VolSmileBook,VolSmileModel),2),0),"")</f>
        <v>#VALUE!</v>
      </c>
      <c r="DC95" s="1592" t="e">
        <f aca="false">IF(OR(BQ95,BS95),CH95+IF(OVolSmile,VLOOKUP(MAX(-5,CP95+CW95-BV95),IF(OVolSmile=1,VolSmileBook,VolSmileModel),2),0),"")</f>
        <v>#VALUE!</v>
      </c>
      <c r="DD95" s="1592" t="e">
        <f aca="false">IF(OR(BQ95,BS95),CI95+IF(OVolSmile,VLOOKUP(MAX(-5,CQ95+CW95-BW95),IF(OVolSmile=1,VolSmileBook,VolSmileModel),2),0),"")</f>
        <v>#VALUE!</v>
      </c>
      <c r="DE95" s="1592" t="e">
        <f aca="false">IF(OR(BQ95,BS95),CL95+IF(OVolSmile,VLOOKUP(MAX(-5,CR95+CZ95-BX95),IF(OVolSmile=1,VolSmileBook,VolSmileModel),2),0),"")</f>
        <v>#VALUE!</v>
      </c>
      <c r="DF95" s="1592" t="e">
        <f aca="false">IF(BQ95,CM95+IF(OVolSmile,VLOOKUP(MAX(-5,CS95+DA95-BZ95),IF(OVolSmile=1,VolSmileBook,VolSmileModel),2),0),"")</f>
        <v>#VALUE!</v>
      </c>
      <c r="DG95" s="1593" t="e">
        <f aca="false">IF(BS95,CN95+IF(OVolSmile,VLOOKUP(MAX(-5,CT95+DA95-CF95),IF(OVolSmile=1,VolSmileBook,VolSmileModel),2),0),"")</f>
        <v>#VALUE!</v>
      </c>
      <c r="DH95" s="1316" t="e">
        <f aca="false">IF(AND(BU95&gt;0,CO95&gt;0,DB95&gt;0,CU95&gt;0),newSPRDOPT(BU95,CO95,CW95,0,DB95,CU95,CV95,BT95*365.25,OCallPut,0),0)</f>
        <v>#VALUE!</v>
      </c>
      <c r="DI95" s="1316" t="e">
        <f aca="false">IF(AND(BV95&gt;0,CP95&gt;0,DC95&gt;0,CU95&gt;0),newSPRDOPT(BV95,CP95,CX95,0,DC95,CU95,CV95,BT95*365.25,OCallPut,0),0)</f>
        <v>#VALUE!</v>
      </c>
      <c r="DJ95" s="1316" t="e">
        <f aca="false">IF(AND(BW95&gt;0,CQ95&gt;0,DD95&gt;0,CU95&gt;0),newSPRDOPT(BW95,CQ95,CY95,0,DD95,CU95,CV95,BT95*365.25,OCallPut,0),0)</f>
        <v>#VALUE!</v>
      </c>
      <c r="DK95" s="1316" t="e">
        <f aca="false">IF(AND(BX95&gt;0,CR95&gt;0,DE95&gt;0,CU95&gt;0),newSPRDOPT(BX95,CR95,CZ95,0,DE95,CU95,CV95,BT95*365.25,OCallPut,0),0)</f>
        <v>#VALUE!</v>
      </c>
      <c r="DL95" s="1316" t="e">
        <f aca="false">IF(OVolType,IF(AND(BZ95&gt;0,CS95&gt;0,DF95&gt;0,CU95&gt;0),newSPRDOPT(BZ95,CS95,DA95,0,DF95,CU95,CV95,BT95*365.25,OCallPut,0),0),IF(BQ95,(DH95*AZ95+DI95*BA95+DJ95*BB95+DK95*BC95)/BQ95,0))</f>
        <v>#VALUE!</v>
      </c>
      <c r="DM95" s="1316"/>
      <c r="DN95" s="1316"/>
      <c r="DO95" s="1316"/>
      <c r="DP95" s="1316"/>
      <c r="DQ95" s="1316"/>
      <c r="DR95" s="1316"/>
      <c r="DS95" s="1316"/>
      <c r="DT95" s="1316"/>
      <c r="DU95" s="1316"/>
      <c r="DV95" s="1316"/>
      <c r="DW95" s="1594" t="e">
        <f aca="false">IF(AND(BW95&gt;0,CT95&gt;0,DD95&gt;0,CU95&gt;0),newSPRDOPT(BW95,CT95,CY95,0,DD95,CU95,CV95,BT95*365.25,OCallPut,0),0)</f>
        <v>#VALUE!</v>
      </c>
      <c r="DX95" s="1316" t="e">
        <f aca="false">IF(AND(BX95&gt;0,CT95&gt;0,DE95&gt;0,CU95&gt;0),newSPRDOPT(BX95,CT95,CZ95,0,DE95,CU95,CV95,BT95*365.25,OCallPut,0),0)</f>
        <v>#VALUE!</v>
      </c>
      <c r="DY95" s="1591" t="e">
        <f aca="false">IF(BS95,(DH95*BH95+DI95*BI95+DW95*BJ95+DX95*BK95)/BS95,0)</f>
        <v>#VALUE!</v>
      </c>
      <c r="DZ95" s="1551" t="e">
        <f aca="false">DH95*AZ95</f>
        <v>#VALUE!</v>
      </c>
      <c r="EA95" s="1551" t="e">
        <f aca="false">DI95*BA95</f>
        <v>#VALUE!</v>
      </c>
      <c r="EB95" s="1551" t="e">
        <f aca="false">DJ95*BB95</f>
        <v>#VALUE!</v>
      </c>
      <c r="EC95" s="1551" t="e">
        <f aca="false">DK95*BC95</f>
        <v>#VALUE!</v>
      </c>
      <c r="ED95" s="1551" t="e">
        <f aca="false">DL95*BQ95</f>
        <v>#VALUE!</v>
      </c>
      <c r="EE95" s="1595" t="e">
        <f aca="false">IF(BQ95,IF(OCallPut,IF(BU95&gt;(CO95+CW95),BU95-(CO95+CW95),0),IF((CO95+CW95)&gt;BU95,(CO95+CW95)-BU95,0))*AZ95,0)</f>
        <v>#VALUE!</v>
      </c>
      <c r="EF95" s="1596" t="e">
        <f aca="false">IF(BQ95,IF(OCallPut,IF(BV95&gt;(CP95+CX95),BV95-(CP95+CX95),0),IF((CP95+CX95)&gt;BV95,(CP95+CX95)-BV95,0))*BA95,0)</f>
        <v>#VALUE!</v>
      </c>
      <c r="EG95" s="1596" t="e">
        <f aca="false">IF(BQ95,IF(OCallPut,IF(BW95&gt;(CQ95+CY95),BW95-(CQ95+CY95),0),IF((CQ95+CY95)&gt;BW95,(CQ95+CY95)-BW95,0))*BB95,0)</f>
        <v>#VALUE!</v>
      </c>
      <c r="EH95" s="1596" t="e">
        <f aca="false">IF(BQ95,IF(OCallPut,IF(BX95&gt;(CR95+CZ95),BX95-(CR95+CZ95),0),IF((CR95+CZ95)&gt;BX95,(CR95+CZ95)-BX95,0))*BC95,0)</f>
        <v>#VALUE!</v>
      </c>
      <c r="EI95" s="1597" t="e">
        <f aca="false">IF(BQ95,IF(OVolType,IF(OCallPut,IF(BZ95&gt;(CS95+DA95),BZ95-(CS95+DA95),0),IF((CS95+DA95)&gt;BZ95,(CS95+DA95)-BZ95,0))*BQ95,SUM(EE95:EH95)),0)</f>
        <v>#VALUE!</v>
      </c>
      <c r="EJ95" s="1595" t="e">
        <f aca="false">DZ95-EE95</f>
        <v>#VALUE!</v>
      </c>
      <c r="EK95" s="1596" t="e">
        <f aca="false">EA95-EF95</f>
        <v>#VALUE!</v>
      </c>
      <c r="EL95" s="1596" t="e">
        <f aca="false">EB95-EG95</f>
        <v>#VALUE!</v>
      </c>
      <c r="EM95" s="1596" t="e">
        <f aca="false">EC95-EH95</f>
        <v>#VALUE!</v>
      </c>
      <c r="EN95" s="1597" t="e">
        <f aca="false">ED95-EI95</f>
        <v>#VALUE!</v>
      </c>
      <c r="EO95" s="1551" t="e">
        <f aca="false">DH95*BH95</f>
        <v>#VALUE!</v>
      </c>
      <c r="EP95" s="1551" t="e">
        <f aca="false">DI95*BI95</f>
        <v>#VALUE!</v>
      </c>
      <c r="EQ95" s="1551" t="e">
        <f aca="false">DW95*BJ95</f>
        <v>#VALUE!</v>
      </c>
      <c r="ER95" s="1551" t="e">
        <f aca="false">DX95*BK95</f>
        <v>#VALUE!</v>
      </c>
      <c r="ES95" s="1551" t="e">
        <f aca="false">DY95*BS95</f>
        <v>#VALUE!</v>
      </c>
      <c r="ET95" s="1566" t="e">
        <f aca="false">IF(EI95,IF(OCallPut,IF(CA95&gt;(CT95+CW95),CA95-(CT95+CW95),0),IF((CT95+CW95)&gt;CA95,(CT95+CW95)-CA95,0))*BH95,0)</f>
        <v>#VALUE!</v>
      </c>
      <c r="EU95" s="1551" t="e">
        <f aca="false">IF(EI95,IF(OCallPut,IF(CB95&gt;(CT95+CX95),CB95-(CT95+CX95),0),IF((CT95+CX95)&gt;CB95,(CT95+CX95)-CB95,0))*BI95,0)</f>
        <v>#VALUE!</v>
      </c>
      <c r="EV95" s="1551" t="e">
        <f aca="false">IF(EI95,IF(OCallPut,IF(CC95&gt;(CT95+CY95),CC95-(CT95+CY95),0),IF((CT95+CY95)&gt;CC95,(CT95+CY95)-CC95,0))*BJ95,0)</f>
        <v>#VALUE!</v>
      </c>
      <c r="EW95" s="1551" t="e">
        <f aca="false">IF(EI95,IF(OCallPut,IF(CD95&gt;(CT95+CZ95),CD95-(CT95+CZ95),0),IF((CT95+CZ95)&gt;CD95,(CT95+CZ95)-CD95,0))*BK95,0)</f>
        <v>#VALUE!</v>
      </c>
      <c r="EX95" s="1558" t="e">
        <f aca="false">IF(EI95,SUM(ET95:EW95),0)</f>
        <v>#VALUE!</v>
      </c>
      <c r="EY95" s="1551" t="e">
        <f aca="false">EO95-ET95</f>
        <v>#VALUE!</v>
      </c>
      <c r="EZ95" s="1551" t="e">
        <f aca="false">EP95-EU95</f>
        <v>#VALUE!</v>
      </c>
      <c r="FA95" s="1551" t="e">
        <f aca="false">EQ95-EV95</f>
        <v>#VALUE!</v>
      </c>
      <c r="FB95" s="1551" t="e">
        <f aca="false">ER95-EW95</f>
        <v>#VALUE!</v>
      </c>
      <c r="FC95" s="1551" t="e">
        <f aca="false">ES95-EX95</f>
        <v>#VALUE!</v>
      </c>
      <c r="FD95" s="1525" t="n">
        <f aca="false">IF(AX95,IF(VLOOKUP(C95,MAIN!$L$17:$M$28,2)="Yes",VLOOKUP(CALC!B95,MAIN!$H$17:$I$20,2),0),0)</f>
        <v>0</v>
      </c>
      <c r="FE95" s="1552" t="e">
        <f aca="false">$FD95*16*AT95*(1-$AY95)</f>
        <v>#VALUE!</v>
      </c>
      <c r="FF95" s="1553" t="e">
        <f aca="false">$FD95*16*AU95*(1-$AY95)</f>
        <v>#VALUE!</v>
      </c>
      <c r="FG95" s="1553" t="e">
        <f aca="false">$FD95*16*(AV95+AW95)*(1-$AY95)</f>
        <v>#VALUE!</v>
      </c>
      <c r="FH95" s="1554" t="n">
        <f aca="false">$FD95*8*AX95*(1-$AY95)</f>
        <v>0</v>
      </c>
      <c r="FI95" s="1555" t="n">
        <f aca="false">IF(AX95,VLOOKUP(CALC!B95,MAIN!$H$17:$K$20,4),0)</f>
        <v>0</v>
      </c>
      <c r="FJ95" s="1553" t="e">
        <f aca="false">SUM(FE95:FH95)</f>
        <v>#VALUE!</v>
      </c>
      <c r="FK95" s="1556" t="e">
        <f aca="false">FI95*FJ95</f>
        <v>#VALUE!</v>
      </c>
      <c r="FL95" s="1551" t="e">
        <f aca="false">IF($EI95&gt;0,MIN(FE95,AZ95*(1+VLOOKUP($C95,WeatherCapacityAdjustment,2))),0)</f>
        <v>#VALUE!</v>
      </c>
      <c r="FM95" s="1551" t="e">
        <f aca="false">IF($EI95&gt;0,MIN(FF95,BA95*(1+VLOOKUP($C95,WeatherCapacityAdjustment,2))),0)</f>
        <v>#VALUE!</v>
      </c>
      <c r="FN95" s="1551" t="e">
        <f aca="false">IF($EI95&gt;0,MIN(FG95,BB95*(1+VLOOKUP($C95,WeatherCapacityAdjustment,2))),0)</f>
        <v>#VALUE!</v>
      </c>
      <c r="FO95" s="1564" t="e">
        <f aca="false">IF($EI95&gt;0,MIN(FH95,BC95*(1+VLOOKUP($C95,WeatherCapacityAdjustment,3))),0)</f>
        <v>#VALUE!</v>
      </c>
      <c r="FP95" s="1551" t="e">
        <f aca="false">IF(ET95&gt;0,MIN(FE95-FL95,BH95*(1+VLOOKUP($C95,WeatherCapacityAdjustment,2))),0)</f>
        <v>#VALUE!</v>
      </c>
      <c r="FQ95" s="1551" t="e">
        <f aca="false">IF(EU95&gt;0,MIN(FF95-FM95,BI95*(1+VLOOKUP($C95,WeatherCapacityAdjustment,2))),0)</f>
        <v>#VALUE!</v>
      </c>
      <c r="FR95" s="1551" t="e">
        <f aca="false">IF(EV95&gt;0,MIN(FG95-FN95,BJ95*(1+VLOOKUP($C95,WeatherCapacityAdjustment,2))),0)</f>
        <v>#VALUE!</v>
      </c>
      <c r="FS95" s="1558" t="e">
        <f aca="false">IF(EW95&gt;0,MIN(FH95-FO95,BK95*(1+VLOOKUP($C95,WeatherCapacityAdjustment,3))),0)</f>
        <v>#VALUE!</v>
      </c>
      <c r="FT95" s="1566" t="e">
        <f aca="false">IF(AND(Assumptions!$H$71="Yes",A95&gt;=Assumptions!$H$72,A95&lt;=Assumptions!$H$73),0,IF(AND($A95&gt;=Assumptions!$C$17,$A95&lt;=Assumptions!$C$18),MAX(AZ95*(1+VLOOKUP($C95,WeatherCapacityAdjustment,2))-FL95,0),0))</f>
        <v>#VALUE!</v>
      </c>
      <c r="FU95" s="1551" t="e">
        <f aca="false">IF(AND(Assumptions!$H$71="Yes",A95&gt;=Assumptions!$H$72,A95&lt;=Assumptions!$H$73),0,IF(AND($A95&gt;=Assumptions!$C$17,$A95&lt;=Assumptions!$C$18),MAX(BA95*(1+VLOOKUP($C95,WeatherCapacityAdjustment,2))-FM95,0),0))</f>
        <v>#VALUE!</v>
      </c>
      <c r="FV95" s="1551" t="e">
        <f aca="false">IF(AND(Assumptions!$H$71="Yes",A95&gt;=Assumptions!$H$72,A95&lt;=Assumptions!$H$73),0,IF(AND($A95&gt;=Assumptions!$C$17,$A95&lt;=Assumptions!$C$18),MAX(BB95*(1+VLOOKUP($C95,WeatherCapacityAdjustment,2))-FN95,0),0))</f>
        <v>#VALUE!</v>
      </c>
      <c r="FW95" s="1564" t="e">
        <f aca="false">IF(AND(Assumptions!$H$71="Yes",A95&gt;=Assumptions!$H$72,A95&lt;=Assumptions!$H$73),0,IF(AND($A95&gt;=Assumptions!$C$17,$A95&lt;=Assumptions!$C$18),MAX(BC95*(1+VLOOKUP($C95,WeatherCapacityAdjustment,3))-FO95,0),0))</f>
        <v>#VALUE!</v>
      </c>
      <c r="FX95" s="1569" t="e">
        <f aca="false">IF(AND(Assumptions!$H$71="Yes",A95&gt;=Assumptions!$H$72,A95&lt;=Assumptions!$H$73),0,IF(ET95&gt;0,MAX(BH95*(1+VLOOKUP($C95,WeatherCapacityAdjustment,2))-FP95,0),0))</f>
        <v>#VALUE!</v>
      </c>
      <c r="FY95" s="1551" t="e">
        <f aca="false">IF(AND(Assumptions!$H$71="Yes",A95&gt;=Assumptions!$H$72,A95&lt;=Assumptions!$H$73),0,IF(EU95&gt;0,MAX(BI95*(1+VLOOKUP($C95,WeatherCapacityAdjustment,3))-FQ95,0),0))</f>
        <v>#VALUE!</v>
      </c>
      <c r="FZ95" s="1551" t="e">
        <f aca="false">IF(AND(Assumptions!$H$71="Yes",A95&gt;=Assumptions!$H$72,A95&lt;=Assumptions!$H$73),0,IF(EV95&gt;0,MAX(BJ95*(1+VLOOKUP($C95,WeatherCapacityAdjustment,2))-FR95,0),0))</f>
        <v>#VALUE!</v>
      </c>
      <c r="GA95" s="1564" t="e">
        <f aca="false">IF(AND(Assumptions!$H$71="Yes",A95&gt;=Assumptions!$H$72,A95&lt;=Assumptions!$H$73),0,IF(EW95&gt;0,MAX(BK95*(1+VLOOKUP($C95,WeatherCapacityAdjustment,2))-FS95,0),0))</f>
        <v>#VALUE!</v>
      </c>
      <c r="GB95" s="1551" t="e">
        <f aca="false">SUM(FT95:GA95)</f>
        <v>#VALUE!</v>
      </c>
      <c r="GC95" s="1563" t="e">
        <f aca="false">+IF(SUM(FT95:GA95)=0,0,(SUMPRODUCT(BU95:BX95,FT95:FW95)+SUMPRODUCT(CA95:CD95,FX95:GA95))/SUM(FT95:GA95))</f>
        <v>#VALUE!</v>
      </c>
      <c r="GD95" s="1551" t="e">
        <f aca="false">(FT95*BU95+FX95*CA95+FU95*BV95+FY95*CB95+FV95*BW95+FZ95*CC95+FW95*BX95+GA95*CD95)</f>
        <v>#VALUE!</v>
      </c>
      <c r="GE95" s="1561" t="e">
        <f aca="false">+IF(BQ95,((FL95+FM95+FT95+FU95)*HeatRatePeak/1000*(1+VLOOKUP($C95,WeatherHeatRateAdjustment,2))+(FN95+FV95)*IF(EV95&gt;0,HeatRatePeak,HeatRateOffPeak)/1000*(1+VLOOKUP($C95,WeatherHeatRateAdjustment,2))+(FO95+FW95)*IF(EW95&gt;0,HeatRatePeak,HeatRateOffPeak)/1000*(1+VLOOKUP($C95,WeatherHeatRateAdjustment,3)))*(1+VLOOKUP($B95,HeatRateDegradation,$C95+1)),0)</f>
        <v>#VALUE!</v>
      </c>
      <c r="GF95" s="1562" t="e">
        <f aca="false">IF(BQ95,((FP95+FQ95+FR95+FX95+FY95+FZ95)*HeatRatePeak/1000*(1+VLOOKUP($C95,WeatherHeatRateAdjustment,2))+(FS95+GA95)*HeatRatePeak/1000*(1+VLOOKUP($C95,WeatherHeatRateAdjustment,3)))*(1+VLOOKUP($B95,HeatRateDegradation,$C95+1)),0)</f>
        <v>#VALUE!</v>
      </c>
      <c r="GG95" s="1563" t="e">
        <f aca="false">IF(BQ95,VLOOKUP(A95,GasTable,13),0)</f>
        <v>#VALUE!</v>
      </c>
      <c r="GH95" s="1564" t="e">
        <f aca="false">(GE95+GF95)*GG95</f>
        <v>#VALUE!</v>
      </c>
      <c r="GI95" s="1569" t="e">
        <f aca="false">GB95</f>
        <v>#VALUE!</v>
      </c>
      <c r="GJ95" s="1598" t="e">
        <f aca="false">+DA95</f>
        <v>#VALUE!</v>
      </c>
      <c r="GK95" s="1558" t="e">
        <f aca="false">+GI95*GJ95</f>
        <v>#VALUE!</v>
      </c>
      <c r="GL95" s="1566" t="e">
        <f aca="false">MAX(FE95-FL95-FP95,0)</f>
        <v>#VALUE!</v>
      </c>
      <c r="GM95" s="1551" t="e">
        <f aca="false">MAX(FF95-FM95-FQ95,0)</f>
        <v>#VALUE!</v>
      </c>
      <c r="GN95" s="1551" t="e">
        <f aca="false">MAX(FG95-FN95-FR95,0)</f>
        <v>#VALUE!</v>
      </c>
      <c r="GO95" s="1564" t="e">
        <f aca="false">MAX(FH95-FO95-FS95,0)</f>
        <v>#VALUE!</v>
      </c>
      <c r="GP95" s="1551" t="e">
        <f aca="false">SUM(GL95:GO95)</f>
        <v>#VALUE!</v>
      </c>
      <c r="GQ95" s="1563" t="e">
        <f aca="false">IF(SUM(GL95:GO95)=0,0,((GL95*BU95+GM95*BV95+GN95*BW95+GO95*BX95)/SUM(GL95:GO95)))</f>
        <v>#VALUE!</v>
      </c>
      <c r="GR95" s="1558" t="e">
        <f aca="false">(GL95*BU95+GM95*BV95+GN95*BW95+GO95*BX95)</f>
        <v>#VALUE!</v>
      </c>
      <c r="GS95" s="1566" t="n">
        <f aca="false">IF($A95&gt;=BegDate,Assumptions!$C$56*24*($A96-$A95)*(1-VLOOKUP($B95,MAIN!$AA$7:$AM$28,$C95+1))*(1-VLOOKUP($B95,MAIN!$AA$33:$AM$54,$C95+1)),0)*80/168</f>
        <v>249428.571428571</v>
      </c>
      <c r="GT95" s="286" t="n">
        <f aca="false">J95</f>
        <v>46.0331276660772</v>
      </c>
      <c r="GU95" s="286" t="n">
        <f aca="false">IF($A95&gt;=BegDate,VLOOKUP($A95,GasTable,13)+Assumptions!$C$58,0)</f>
        <v>2.94640858827627</v>
      </c>
      <c r="GV95" s="286" t="n">
        <f aca="false">GU95*Assumptions!$C$57/1000</f>
        <v>21.361462265003</v>
      </c>
      <c r="GW95" s="1558" t="n">
        <f aca="false">IF(Assumptions!$C$60="Hourly",MAX(0,GS95*(GT95-GV95)),GS95*(GT95-GV95))</f>
        <v>6153818.25575366</v>
      </c>
      <c r="GX95" s="1566" t="n">
        <f aca="false">IF($A95&gt;=BegDate,Assumptions!$C$56*24*($A96-$A95)*(1-VLOOKUP($B95,MAIN!$AA$7:$AM$28,$C95+1))*(1-VLOOKUP($B95,MAIN!$AA$33:$AM$54,$C95+1)),0)*16/168</f>
        <v>49885.7142857143</v>
      </c>
      <c r="GY95" s="286" t="n">
        <f aca="false">M95</f>
        <v>46.0331276660772</v>
      </c>
      <c r="GZ95" s="286" t="n">
        <f aca="false">IF($A95&gt;=BegDate,VLOOKUP($A95,GasTable,13)+Assumptions!$C$58,0)</f>
        <v>2.94640858827627</v>
      </c>
      <c r="HA95" s="286" t="n">
        <f aca="false">GZ95*Assumptions!$C$57/1000</f>
        <v>21.361462265003</v>
      </c>
      <c r="HB95" s="1558" t="n">
        <f aca="false">IF(Assumptions!$C$60="Hourly",MAX(0,GX95*(GY95-HA95)),GX95*(GY95-HA95))</f>
        <v>1230763.65115073</v>
      </c>
      <c r="HC95" s="1566" t="n">
        <f aca="false">IF($A95&gt;=BegDate,Assumptions!$C$56*24*($A96-$A95)*(1-VLOOKUP($B95,MAIN!$AA$7:$AM$28,$C95+1))*(1-VLOOKUP($B95,MAIN!$AA$33:$AM$54,$C95+1)),0)*16/168</f>
        <v>49885.7142857143</v>
      </c>
      <c r="HD95" s="286" t="n">
        <f aca="false">P95</f>
        <v>28.9549871941806</v>
      </c>
      <c r="HE95" s="286" t="n">
        <f aca="false">IF($A95&gt;=BegDate,VLOOKUP($A95,GasTable,13)+Assumptions!$C$58,0)</f>
        <v>2.94640858827627</v>
      </c>
      <c r="HF95" s="286" t="n">
        <f aca="false">HE95*Assumptions!$C$57/1000</f>
        <v>21.361462265003</v>
      </c>
      <c r="HG95" s="1558" t="n">
        <f aca="false">IF(Assumptions!$C$60="Hourly",MAX(0,HC95*(HD95-HF95)),HC95*(HD95-HF95))</f>
        <v>378808.415038402</v>
      </c>
      <c r="HH95" s="1566" t="n">
        <f aca="false">IF($A95&gt;=BegDate,Assumptions!$C$56*24*($A96-$A95)*(1-VLOOKUP($B95,MAIN!$AA$7:$AM$28,$C95+1))*(1-VLOOKUP($B95,MAIN!$AA$33:$AM$54,$C95+1)),0)*56/168</f>
        <v>174600</v>
      </c>
      <c r="HI95" s="286" t="n">
        <f aca="false">S95</f>
        <v>28.9549871941806</v>
      </c>
      <c r="HJ95" s="286" t="n">
        <f aca="false">IF($A95&gt;=BegDate,VLOOKUP($A95,GasTable,13)+Assumptions!$C$58,0)</f>
        <v>2.94640858827627</v>
      </c>
      <c r="HK95" s="286" t="n">
        <f aca="false">HJ95*Assumptions!$C$57/1000</f>
        <v>21.361462265003</v>
      </c>
      <c r="HL95" s="1558" t="n">
        <f aca="false">IF(Assumptions!$C$60="Hourly",MAX(0,HH95*(HI95-HK95)),HH95*(HI95-HK95))</f>
        <v>1325829.45263441</v>
      </c>
      <c r="HM95" s="1566" t="n">
        <f aca="false">IF(AND(Assumptions!$H$71="Yes",A95&gt;=Assumptions!$H$72,A95&lt;=Assumptions!$H$73),Assumptions!$H$74*Assumptions!$C$9*1000,0)</f>
        <v>0</v>
      </c>
      <c r="HN95" s="1551"/>
      <c r="HO95" s="1563"/>
      <c r="HP95" s="1563"/>
      <c r="HQ95" s="1563"/>
      <c r="HR95" s="1563"/>
      <c r="HS95" s="1563"/>
      <c r="HT95" s="1563"/>
      <c r="HU95" s="1563"/>
      <c r="HV95" s="1563"/>
      <c r="HW95" s="1563"/>
      <c r="HX95" s="1563"/>
      <c r="HY95" s="1563"/>
      <c r="HZ95" s="1563"/>
      <c r="IA95" s="1563"/>
      <c r="IB95" s="1563"/>
      <c r="IC95" s="1563"/>
      <c r="ID95" s="1563"/>
      <c r="IE95" s="1563"/>
      <c r="IF95" s="1563"/>
      <c r="IG95" s="1563"/>
      <c r="IH95" s="1563"/>
      <c r="II95" s="1610"/>
      <c r="IJ95" s="1309"/>
      <c r="IK95" s="1309"/>
    </row>
    <row r="96" customFormat="false" ht="12.75" hidden="false" customHeight="false" outlineLevel="0" collapsed="false">
      <c r="A96" s="1571" t="n">
        <f aca="false">EOMONTH(A95,0)+1</f>
        <v>39052</v>
      </c>
      <c r="B96" s="594" t="n">
        <f aca="false">+YEAR(A96)</f>
        <v>2006</v>
      </c>
      <c r="C96" s="238" t="n">
        <f aca="false">MONTH(A96)</f>
        <v>12</v>
      </c>
      <c r="D96" s="1572" t="e">
        <f aca="false">IF(E96="","",Holiday(B96,C96))</f>
        <v>#VALUE!</v>
      </c>
      <c r="E96" s="1573" t="n">
        <f aca="false">IF(OR(BegDate&gt;=A97,EndDate&lt;A96,AND(VolumeMonthlyOverFlag,INDEX(VolumeMonthlyOver,C96)=0),NOT(INDEX(MonthKnockOutTable,C96))),"",MAX(A96,BegDate))</f>
        <v>39052</v>
      </c>
      <c r="F96" s="1574" t="n">
        <f aca="false">IF(E96="","",MIN(A97-1,EndDate))</f>
        <v>39082</v>
      </c>
      <c r="G96" s="1575" t="n">
        <v>0</v>
      </c>
      <c r="H96" s="1576" t="n">
        <f aca="false">(1+G96/2)^(-2*(DATE(B97,C97,20)-DateToday)/365.25)</f>
        <v>1</v>
      </c>
      <c r="I96" s="1568" t="n">
        <f aca="false">IF(Assumptions!$L$25=4,VLOOKUP($A96,'Henwood Reference'!$E$9:$R$320,10),(VLOOKUP($A96,PriceTable,2,0)+IF(BasisNumber&lt;&gt;1,VLOOKUP($A96,BasisTable,2,0),0)+I$1)/(1-I$2))</f>
        <v>47.3781034434042</v>
      </c>
      <c r="J96" s="1568" t="n">
        <f aca="false">IF(Assumptions!$L$25=4,VLOOKUP($A96,'Henwood Reference'!$E$9:$R$320,10),(VLOOKUP($A96,PriceTable,3,0)+IF(BasisNumber&lt;&gt;1,VLOOKUP($A96,BasisTable,2,0),0)+J$1)/(1-J$2))</f>
        <v>47.3781034434042</v>
      </c>
      <c r="K96" s="1568" t="n">
        <f aca="false">IF(Assumptions!$L$25=4,VLOOKUP($A96,'Henwood Reference'!$E$9:$R$320,10),(VLOOKUP($A96,PriceTable,4,0)+IF(BasisNumber&lt;&gt;1,VLOOKUP($A96,BasisTable,2,0),0)+K$1)/(1-K$2))</f>
        <v>47.3781034434042</v>
      </c>
      <c r="L96" s="1523" t="n">
        <f aca="false">IF(Assumptions!$L$25=4,VLOOKUP($A96,'Henwood Reference'!$E$9:$R$320,10),(VLOOKUP($A96,PriceTableWeekend,2,0)+IF(BasisNumber&lt;&gt;1,VLOOKUP($A96,BasisTable,2,0),0)+L$1)/(1-L$2))</f>
        <v>47.3781034434042</v>
      </c>
      <c r="M96" s="1568" t="n">
        <f aca="false">IF(Assumptions!$L$25=4,VLOOKUP($A96,'Henwood Reference'!$E$9:$R$320,10),(VLOOKUP($A96,PriceTableWeekend,3,0)+IF(BasisNumber&lt;&gt;1,VLOOKUP($A96,BasisTable,2,0),0)+M$1)/(1-M$2))</f>
        <v>47.3781034434042</v>
      </c>
      <c r="N96" s="1599" t="n">
        <f aca="false">IF(Assumptions!$L$25=4,VLOOKUP($A96,'Henwood Reference'!$E$9:$R$320,10),(VLOOKUP($A96,PriceTableWeekend,4,0)+IF(BasisNumber&lt;&gt;1,VLOOKUP($A96,BasisTable,2,0),0)+N$1)/(1-N$2))</f>
        <v>47.3781034434042</v>
      </c>
      <c r="O96" s="1568" t="n">
        <f aca="false">IF(Assumptions!$L$25=4,VLOOKUP($A96,'Henwood Reference'!$E$9:$R$320,11),(VLOOKUP($A96,PriceTableWeekend,6,0)+IF(BasisNumber&lt;&gt;1,VLOOKUP($A96,BasisTable,3,0),0)+O$1)/(1-O$2))</f>
        <v>29.9398162298269</v>
      </c>
      <c r="P96" s="1568" t="n">
        <f aca="false">IF(Assumptions!$L$25=4,VLOOKUP($A96,'Henwood Reference'!$E$9:$R$320,11),(VLOOKUP($A96,PriceTableWeekend,7,0)+IF(BasisNumber&lt;&gt;1,VLOOKUP($A96,BasisTable,3,0),0)+P$1)/(1-P$2))</f>
        <v>29.9398162298269</v>
      </c>
      <c r="Q96" s="1599" t="n">
        <f aca="false">IF(Assumptions!$L$25=4,VLOOKUP($A96,'Henwood Reference'!$E$9:$R$320,11),(VLOOKUP($A96,PriceTableWeekend,8,0)+IF(BasisNumber&lt;&gt;1,VLOOKUP($A96,BasisTable,3,0),0)+Q$1)/(1-Q$2))</f>
        <v>29.9398162298269</v>
      </c>
      <c r="R96" s="1568" t="n">
        <f aca="false">IF(Assumptions!$L$25=4,VLOOKUP($A96,'Henwood Reference'!$E$9:$R$320,11),(VLOOKUP($A96,PriceTable,6,0)+IF(BasisNumber&lt;&gt;1,VLOOKUP($A96,BasisTable,3,0),0)+R$1)/(1-R$2))</f>
        <v>29.9398162298269</v>
      </c>
      <c r="S96" s="1568" t="n">
        <f aca="false">IF(Assumptions!$L$25=4,VLOOKUP($A96,'Henwood Reference'!$E$9:$R$320,11),(VLOOKUP($A96,PriceTable,7,0)+IF(BasisNumber&lt;&gt;1,VLOOKUP($A96,BasisTable,3,0),0)+S$1)/(1-S$2))</f>
        <v>29.9398162298269</v>
      </c>
      <c r="T96" s="1600" t="n">
        <f aca="false">IF(Assumptions!$L$25=4,VLOOKUP($A96,'Henwood Reference'!$E$9:$R$320,11),(VLOOKUP($A96,PriceTable,8,0)+IF(BasisNumber&lt;&gt;1,VLOOKUP($A96,BasisTable,3,0),0)+T$1)/(1-T$2))</f>
        <v>29.9398162298269</v>
      </c>
      <c r="U96" s="1513" t="n">
        <f aca="false">VLOOKUP($A96,VolatilityTable,14)</f>
        <v>0.14</v>
      </c>
      <c r="V96" s="1513" t="n">
        <f aca="false">VLOOKUP($A96,VolatilityTable,15)</f>
        <v>0.15</v>
      </c>
      <c r="W96" s="1514" t="n">
        <f aca="false">VLOOKUP($A96,VolatilityTable,16)</f>
        <v>0.16</v>
      </c>
      <c r="X96" s="1513" t="n">
        <f aca="false">VLOOKUP($A96,VolatilityTable,14)</f>
        <v>0.14</v>
      </c>
      <c r="Y96" s="1513" t="n">
        <f aca="false">VLOOKUP($A96,VolatilityTable,15)</f>
        <v>0.15</v>
      </c>
      <c r="Z96" s="1514" t="n">
        <f aca="false">VLOOKUP($A96,VolatilityTable,16)</f>
        <v>0.16</v>
      </c>
      <c r="AA96" s="1513" t="n">
        <f aca="false">VLOOKUP($A96,VolatilityTable,18)</f>
        <v>0.09</v>
      </c>
      <c r="AB96" s="1513" t="n">
        <f aca="false">VLOOKUP($A96,VolatilityTable,19)</f>
        <v>0.11</v>
      </c>
      <c r="AC96" s="1514" t="n">
        <f aca="false">VLOOKUP($A96,VolatilityTable,20)</f>
        <v>0.13</v>
      </c>
      <c r="AD96" s="1513" t="n">
        <f aca="false">VLOOKUP($A96,VolatilityTable,18)</f>
        <v>0.09</v>
      </c>
      <c r="AE96" s="1513" t="n">
        <f aca="false">VLOOKUP($A96,VolatilityTable,19)</f>
        <v>0.11</v>
      </c>
      <c r="AF96" s="1514" t="n">
        <f aca="false">VLOOKUP($A96,VolatilityTable,20)</f>
        <v>0.13</v>
      </c>
      <c r="AG96" s="1513" t="n">
        <f aca="false">VLOOKUP($A96,VolatilityTable,22)</f>
        <v>-0.25</v>
      </c>
      <c r="AH96" s="1513" t="n">
        <f aca="false">VLOOKUP($A96,VolatilityTable,23)</f>
        <v>0.6</v>
      </c>
      <c r="AI96" s="1514" t="n">
        <f aca="false">VLOOKUP($A96,VolatilityTable,24)</f>
        <v>0.25</v>
      </c>
      <c r="AJ96" s="1513" t="n">
        <f aca="false">VLOOKUP($A96,VolatilityTable,22)</f>
        <v>-0.25</v>
      </c>
      <c r="AK96" s="1513" t="n">
        <f aca="false">VLOOKUP($A96,VolatilityTable,23)</f>
        <v>0.6</v>
      </c>
      <c r="AL96" s="1514" t="n">
        <f aca="false">VLOOKUP($A96,VolatilityTable,24)</f>
        <v>0.25</v>
      </c>
      <c r="AM96" s="1513" t="n">
        <f aca="false">VLOOKUP($A96,VolatilityTable,26)</f>
        <v>-0.01</v>
      </c>
      <c r="AN96" s="1513" t="n">
        <f aca="false">VLOOKUP($A96,VolatilityTable,27)</f>
        <v>0.16</v>
      </c>
      <c r="AO96" s="1514" t="n">
        <f aca="false">VLOOKUP($A96,VolatilityTable,28)</f>
        <v>0.01</v>
      </c>
      <c r="AP96" s="1513" t="n">
        <f aca="false">VLOOKUP($A96,VolatilityTable,26)</f>
        <v>-0.01</v>
      </c>
      <c r="AQ96" s="1513" t="n">
        <f aca="false">VLOOKUP($A96,VolatilityTable,27)</f>
        <v>0.16</v>
      </c>
      <c r="AR96" s="1515" t="n">
        <f aca="false">VLOOKUP($A96,VolatilityTable,28)</f>
        <v>0.01</v>
      </c>
      <c r="AS96" s="1581" t="n">
        <f aca="false">IF(CorrPeakOffPeakOverFlag,INDEX(CorrPeakOffPeakOver,C96),CorrPeakOffPeak)</f>
        <v>0.5</v>
      </c>
      <c r="AT96" s="594" t="e">
        <f aca="false">AX96-SUM(AU96:AW96)</f>
        <v>#VALUE!</v>
      </c>
      <c r="AU96" s="238" t="e">
        <f aca="false">IF(E96="",0,INT((F96-MOD(F96,7)-E96)/7)+1-IF(AW96,IF(WEEKDAY(D96)=7,1,0),0))</f>
        <v>#VALUE!</v>
      </c>
      <c r="AV96" s="238" t="e">
        <f aca="false">IF(E96="",0,INT((F96-MOD(F96-1,7)-E96)/7)+1-IF(AW96,IF(WEEKDAY(D96)=1,1,0),0))</f>
        <v>#VALUE!</v>
      </c>
      <c r="AW96" s="238" t="e">
        <f aca="false">IF(OR(E96="",D96="",D96&lt;BegDate,D96&gt;EndDate),0,1)</f>
        <v>#VALUE!</v>
      </c>
      <c r="AX96" s="238" t="n">
        <f aca="false">IF(E96="",0,F96-E96+1)</f>
        <v>31</v>
      </c>
      <c r="AY96" s="1582" t="n">
        <f aca="false">IF(E96="",0,MIN((1-(1-VLOOKUP(B96,MAIN!$AA$7:$AM$28,C96+1))*(1-VLOOKUP(B96,MAIN!$AA$33:$AM$54,C96+1))),1))</f>
        <v>0.03</v>
      </c>
      <c r="AZ96" s="1519" t="e">
        <v>#VALUE!</v>
      </c>
      <c r="BA96" s="1520" t="e">
        <v>#VALUE!</v>
      </c>
      <c r="BB96" s="1520" t="e">
        <v>#VALUE!</v>
      </c>
      <c r="BC96" s="1583" t="e">
        <v>#VALUE!</v>
      </c>
      <c r="BD96" s="1522" t="e">
        <v>#VALUE!</v>
      </c>
      <c r="BE96" s="1523" t="e">
        <v>#VALUE!</v>
      </c>
      <c r="BF96" s="1523" t="e">
        <v>#VALUE!</v>
      </c>
      <c r="BG96" s="1584" t="e">
        <v>#VALUE!</v>
      </c>
      <c r="BH96" s="1525" t="e">
        <v>#VALUE!</v>
      </c>
      <c r="BI96" s="1520" t="e">
        <v>#VALUE!</v>
      </c>
      <c r="BJ96" s="1520" t="e">
        <v>#VALUE!</v>
      </c>
      <c r="BK96" s="1583" t="e">
        <v>#VALUE!</v>
      </c>
      <c r="BL96" s="1522" t="e">
        <v>#VALUE!</v>
      </c>
      <c r="BM96" s="1523" t="e">
        <v>#VALUE!</v>
      </c>
      <c r="BN96" s="1523" t="e">
        <v>#VALUE!</v>
      </c>
      <c r="BO96" s="1523" t="e">
        <v>#VALUE!</v>
      </c>
      <c r="BP96" s="1525" t="e">
        <f aca="false">SUM(AZ96:BB96)</f>
        <v>#VALUE!</v>
      </c>
      <c r="BQ96" s="1529" t="e">
        <f aca="false">SUM(AZ96:BC96)</f>
        <v>#VALUE!</v>
      </c>
      <c r="BR96" s="1519" t="e">
        <f aca="false">SUM(BH96:BJ96)</f>
        <v>#VALUE!</v>
      </c>
      <c r="BS96" s="1529" t="e">
        <f aca="false">SUM(BH96:BK96)</f>
        <v>#VALUE!</v>
      </c>
      <c r="BT96" s="1316" t="n">
        <f aca="false">(IF(OVolType&lt;&gt;2,A96+14,IF(OptExpDateShift,ShiftBack(A96,OptExpDateShift,D95),A96))-DateToday)/365.25</f>
        <v>6.63107460643395</v>
      </c>
      <c r="BU96" s="1585" t="e">
        <f aca="false">IF(BQ96,IF(OPriceCurve,IF(OBuySell=OCallPut,I96/(1-AY96),K96/(1-AY96)),J96/(1-AY96))*BD96,0)</f>
        <v>#VALUE!</v>
      </c>
      <c r="BV96" s="1316" t="e">
        <f aca="false">IF(BQ96,IF(OPriceCurve,IF(OBuySell=OCallPut,L96/(1-AY96),N96/(1-AY96)),M96/(1-AY96))*BE96,0)</f>
        <v>#VALUE!</v>
      </c>
      <c r="BW96" s="1316" t="e">
        <f aca="false">IF(BQ96,IF(OPriceCurve,IF(OBuySell=OCallPut,O96/(1-AY96),Q96/(1-AY96)),P96/(1-AY96))*BF96,0)</f>
        <v>#VALUE!</v>
      </c>
      <c r="BX96" s="1316" t="e">
        <f aca="false">IF(BQ96,IF(OPriceCurve,IF(OBuySell=OCallPut,R96/(1-AY96),T96/(1-AY96)),S96/(1-AY96))*BG96,0)</f>
        <v>#VALUE!</v>
      </c>
      <c r="BY96" s="1316" t="e">
        <f aca="false">IF(BP96,(BU96*AZ96+BV96*BA96+BW96*BB96)/BP96,0)</f>
        <v>#VALUE!</v>
      </c>
      <c r="BZ96" s="1316" t="e">
        <f aca="false">IF(BQ96,(BY96*BP96+BX96*BC96)/BQ96,0)</f>
        <v>#VALUE!</v>
      </c>
      <c r="CA96" s="1531" t="e">
        <f aca="false">IF(BS96,IF(OPriceCurve,IF(OBuySell=OCallPut,I96/(1-AY96),K96/(1-AY96)),J96/(1-AY96))*BL96,0)</f>
        <v>#VALUE!</v>
      </c>
      <c r="CB96" s="1316" t="e">
        <f aca="false">IF(BS96,IF(OPriceCurve,IF(OBuySell=OCallPut,L96/(1-AY96),N96/(1-AY96)),M96/(1-AY96))*BM96,0)</f>
        <v>#VALUE!</v>
      </c>
      <c r="CC96" s="1316" t="e">
        <f aca="false">IF(BS96,IF(OPriceCurve,IF(OBuySell=OCallPut,O96/(1-AY96),Q96/(1-AY96)),P96/(1-AY96))*BN96,0)</f>
        <v>#VALUE!</v>
      </c>
      <c r="CD96" s="1316" t="e">
        <f aca="false">IF(BS96,IF(OPriceCurve,IF(OBuySell=OCallPut,R96/(1-AY96),T96/(1-AY96)),S96/(1-AY96))*BO96,0)</f>
        <v>#VALUE!</v>
      </c>
      <c r="CE96" s="1316" t="e">
        <f aca="false">IF(BR96,(BU96*BH96+BV96*BI96+BW96*BJ96)/BR96,0)</f>
        <v>#VALUE!</v>
      </c>
      <c r="CF96" s="1532" t="e">
        <f aca="false">IF(BS96,(CE96*BR96+CD96*BK96)/BS96,0)</f>
        <v>#VALUE!</v>
      </c>
      <c r="CG96" s="1586" t="e">
        <f aca="false">IF(OR(BQ96,BS96),IF(OVolType&lt;&gt;2,SQRT(IF(OVolOverMonthlyPeak,OVolOverMonthlyPeak,IF(OVolCurve,IF(OBuySell,U96,W96),V96))^2*(1-15/365.25/BT96)+IF(OVolOverDailyPeak,OVolOverDailyPeak,IF(OVolCurve,IF(OBuySell,AG96,AI96),AH96))^2*15/365.25/BT96),IF(OVolOverMonthlyPeak,OVolOverMonthlyPeak,IF(OVolCurve,IF(OBuySell,U96,W96),V96))),"")</f>
        <v>#VALUE!</v>
      </c>
      <c r="CH96" s="1587" t="e">
        <f aca="false">IF(OR(BQ96,BS96),IF(OVolType&lt;&gt;2,SQRT(IF(OVolOverMonthlyPeak,OVolOverMonthlyPeak,IF(OVolCurve,IF(OBuySell,X96,Z96),Y96))^2*(1-15/365.25/BT96)+IF(OVolOverDailyPeak,OVolOverDailyPeak,IF(OVolCurve,IF(OBuySell,AJ96,AL96),AK96))^2*15/365.25/BT96),IF(OVolOverMonthlyPeak,OVolOverMonthlyPeak,IF(OVolCurve,IF(OBuySell,X96,Z96),Y96))),"")</f>
        <v>#VALUE!</v>
      </c>
      <c r="CI96" s="1587" t="e">
        <f aca="false">IF(OR(BQ96,BS96),IF(OVolType&lt;&gt;2,SQRT(IF(OVolOverMonthlyPeak,OVolOverMonthlyPeak,IF(OVolCurve,IF(OBuySell,AA96,AC96),AB96))^2*(1-15/365.25/BT96)+IF(OVolOverDailyPeak,OVolOverDailyPeak,IF(OVolCurve,IF(OBuySell,AM96,AO96),AN96))^2*15/365.25/BT96),IF(OVolOverMonthlyPeak,OVolOverMonthlyPeak,IF(OVolCurve,IF(OBuySell,AA96,AC96),AB96))),"")</f>
        <v>#VALUE!</v>
      </c>
      <c r="CJ96" s="1587" t="e">
        <f aca="false">IF(BQ96,IF(BP96,SQRT(LN(1+((BU96*AZ96)^2*(EXP(CG96^2*BT96)-1)+(BV96*BA96)^2*(EXP(CH96^2*BT96)-1)+(BW96*BB96)^2*(EXP(CI96^2*BT96)-1)+2*BU96*AZ96*BV96*BA96*(EXP(CG96*CH96*BT96)-1)+2*BV96*BA96*BW96*BB96*(EXP(CH96*CI96*BT96)-1)+2*BW96*BB96*BU96*AZ96*(EXP(CI96*CG96*BT96)-1))/(BY96*BP96)^2)/BT96),0),"")</f>
        <v>#VALUE!</v>
      </c>
      <c r="CK96" s="1587" t="e">
        <f aca="false">IF(BS96,IF(BR96,SQRT(LN(1+((CA96*BH96)^2*(EXP(CG96^2*BT96)-1)+(CB96*BI96)^2*(EXP(CH96^2*BT96)-1)+(CC96*BJ96)^2*(EXP(CI96^2*BT96)-1)+2*CA96*BH96*CB96*BI96*(EXP(CG96*CH96*BT96)-1)+2*CB96*BI96*CC96*BJ96*(EXP(CH96*CI96*BT96)-1)+2*CC96*BJ96*CA96*BH96*(EXP(CI96*CG96*BT96)-1))/(CE96*BR96)^2)/BT96),0),"")</f>
        <v>#VALUE!</v>
      </c>
      <c r="CL96" s="1587" t="e">
        <f aca="false">IF(OR(BQ96,BS96),IF(OVolType&lt;&gt;2,SQRT(IF(OVolOverMonthlyOffPeak,OVolOverMonthlyOffPeak,IF(OVolCurve,IF(OBuySell,AD96,AF96),AE96))^2*(1-15/365.25/BT96)+IF(OVolOverDailyOffPeak,OVolOverDailyOffPeak,IF(OVolCurve,IF(OBuySell,AP96,AR96),AQ96))^2*15/365.25/BT96),IF(OVolOverMonthlyOffPeak,OVolOverMonthlyOffPeak,IF(OVolCurve,IF(OBuySell,AD96,AF96),AE96))),"")</f>
        <v>#VALUE!</v>
      </c>
      <c r="CM96" s="1587" t="e">
        <f aca="false">IF(BQ96,SQRT(LN(1+((BY96*BP96)^2*(EXP(CJ96^2*BT96)-1)+(BX96*BC96)^2*(EXP(CL96^2*BT96)-1)+2*BY96*BP96*BX96*BC96*(EXP(AS96*CJ96*CL96*BT96)-1))/(BY96*BP96+BX96*BC96)^2)/BT96),"")</f>
        <v>#VALUE!</v>
      </c>
      <c r="CN96" s="1588" t="e">
        <f aca="false">IF(BS96,SQRT(LN(1+((CE96*BR96)^2*(EXP(CK96^2*BT96)-1)+(CD96*BK96)^2*(EXP(CL96^2*BT96)-1)+2*CE96*BR96*CD96*BK96*(EXP(AS96*CK96*CL96*BT96)-1))/(CE96*BR96+CD96*BK96)^2)/BT96),"")</f>
        <v>#VALUE!</v>
      </c>
      <c r="CO96" s="1531" t="e">
        <f aca="false">IF(OR(BQ96,BS96),VLOOKUP(A96,GasTable,13)*HeatRatePeak*(1+VLOOKUP($B96,HeatRateDegradation,$C96+1))/1000,0)</f>
        <v>#VALUE!</v>
      </c>
      <c r="CP96" s="1316" t="e">
        <f aca="false">IF(OR(BQ96,BS96),VLOOKUP(A96,GasTable,13)*HeatRatePeak*(1+VLOOKUP($B96,HeatRateDegradation,$C96+1))/1000,0)</f>
        <v>#VALUE!</v>
      </c>
      <c r="CQ96" s="1316" t="e">
        <f aca="false">IF(OR(BQ96,BS96),VLOOKUP(A96,GasTable,13)*IF(EV96,HeatRatePeak,HeatRateOffPeak)*(1+VLOOKUP($B96,HeatRateDegradation,$C96+1))/1000,0)</f>
        <v>#VALUE!</v>
      </c>
      <c r="CR96" s="1316" t="e">
        <f aca="false">IF(OR(BQ96,BS96),VLOOKUP(A96,GasTable,13)*IF(EW96,HeatRatePeak,HeatRateOffPeak)*(1+VLOOKUP($B96,HeatRateDegradation,$C96+1))/1000,0)</f>
        <v>#VALUE!</v>
      </c>
      <c r="CS96" s="1589" t="e">
        <f aca="false">IF(BQ96,(CO96*AZ96+CP96*BA96+CQ96*BB96+CR96*BC96)/BQ96,0)</f>
        <v>#VALUE!</v>
      </c>
      <c r="CT96" s="1316" t="e">
        <f aca="false">IF(BS96,CO96,0)</f>
        <v>#VALUE!</v>
      </c>
      <c r="CU96" s="1590" t="e">
        <f aca="false">IF(OR(BQ96,BS96),VLOOKUP(A96,GasTable,14),"")</f>
        <v>#VALUE!</v>
      </c>
      <c r="CV96" s="1568" t="e">
        <f aca="false">IF(OR(BQ96,BS96),IF(CorrPowerGasOverFlag,INDEX(CorrPowerGasOver,C96),CorrPowerGas),"")</f>
        <v>#VALUE!</v>
      </c>
      <c r="CW96" s="1316" t="e">
        <f aca="false">IF(OR($BQ96,$BS96),SpreadOptPowerMargin,0)*((1+Assumptions!$C$26)^($B96-YEAR(Assumptions!$C$17)))</f>
        <v>#VALUE!</v>
      </c>
      <c r="CX96" s="1316" t="e">
        <f aca="false">IF(OR($BQ96,$BS96),SpreadOptPowerMargin,0)*((1+Assumptions!$C$26)^($B96-YEAR(Assumptions!$C$17)))</f>
        <v>#VALUE!</v>
      </c>
      <c r="CY96" s="1316" t="e">
        <f aca="false">IF(OR($BQ96,$BS96),SpreadOptPowerMargin,0)*((1+Assumptions!$C$26)^($B96-YEAR(Assumptions!$C$17)))</f>
        <v>#VALUE!</v>
      </c>
      <c r="CZ96" s="1316" t="e">
        <f aca="false">IF(OR($BQ96,$BS96),SpreadOptPowerMargin,0)*((1+Assumptions!$C$26)^($B96-YEAR(Assumptions!$C$17)))</f>
        <v>#VALUE!</v>
      </c>
      <c r="DA96" s="1591" t="e">
        <f aca="false">IF(OR(BQ96,BS96),(CW96*(AZ96+BH96)+CX96*(BA96+BI96)+CY96*(BB96+BJ96)+CZ96*(BC96+BK96))/(BQ96+BS96),0)</f>
        <v>#VALUE!</v>
      </c>
      <c r="DB96" s="1592" t="e">
        <f aca="false">IF(OR(BQ96,BS96),CG96+IF(OVolSmile,VLOOKUP(MAX(-5,CO96+CW96-BU96),IF(OVolSmile=1,VolSmileBook,VolSmileModel),2),0),"")</f>
        <v>#VALUE!</v>
      </c>
      <c r="DC96" s="1592" t="e">
        <f aca="false">IF(OR(BQ96,BS96),CH96+IF(OVolSmile,VLOOKUP(MAX(-5,CP96+CW96-BV96),IF(OVolSmile=1,VolSmileBook,VolSmileModel),2),0),"")</f>
        <v>#VALUE!</v>
      </c>
      <c r="DD96" s="1592" t="e">
        <f aca="false">IF(OR(BQ96,BS96),CI96+IF(OVolSmile,VLOOKUP(MAX(-5,CQ96+CW96-BW96),IF(OVolSmile=1,VolSmileBook,VolSmileModel),2),0),"")</f>
        <v>#VALUE!</v>
      </c>
      <c r="DE96" s="1592" t="e">
        <f aca="false">IF(OR(BQ96,BS96),CL96+IF(OVolSmile,VLOOKUP(MAX(-5,CR96+CZ96-BX96),IF(OVolSmile=1,VolSmileBook,VolSmileModel),2),0),"")</f>
        <v>#VALUE!</v>
      </c>
      <c r="DF96" s="1592" t="e">
        <f aca="false">IF(BQ96,CM96+IF(OVolSmile,VLOOKUP(MAX(-5,CS96+DA96-BZ96),IF(OVolSmile=1,VolSmileBook,VolSmileModel),2),0),"")</f>
        <v>#VALUE!</v>
      </c>
      <c r="DG96" s="1593" t="e">
        <f aca="false">IF(BS96,CN96+IF(OVolSmile,VLOOKUP(MAX(-5,CT96+DA96-CF96),IF(OVolSmile=1,VolSmileBook,VolSmileModel),2),0),"")</f>
        <v>#VALUE!</v>
      </c>
      <c r="DH96" s="1316" t="e">
        <f aca="false">IF(AND(BU96&gt;0,CO96&gt;0,DB96&gt;0,CU96&gt;0),newSPRDOPT(BU96,CO96,CW96,0,DB96,CU96,CV96,BT96*365.25,OCallPut,0),0)</f>
        <v>#VALUE!</v>
      </c>
      <c r="DI96" s="1316" t="e">
        <f aca="false">IF(AND(BV96&gt;0,CP96&gt;0,DC96&gt;0,CU96&gt;0),newSPRDOPT(BV96,CP96,CX96,0,DC96,CU96,CV96,BT96*365.25,OCallPut,0),0)</f>
        <v>#VALUE!</v>
      </c>
      <c r="DJ96" s="1316" t="e">
        <f aca="false">IF(AND(BW96&gt;0,CQ96&gt;0,DD96&gt;0,CU96&gt;0),newSPRDOPT(BW96,CQ96,CY96,0,DD96,CU96,CV96,BT96*365.25,OCallPut,0),0)</f>
        <v>#VALUE!</v>
      </c>
      <c r="DK96" s="1316" t="e">
        <f aca="false">IF(AND(BX96&gt;0,CR96&gt;0,DE96&gt;0,CU96&gt;0),newSPRDOPT(BX96,CR96,CZ96,0,DE96,CU96,CV96,BT96*365.25,OCallPut,0),0)</f>
        <v>#VALUE!</v>
      </c>
      <c r="DL96" s="1316" t="e">
        <f aca="false">IF(OVolType,IF(AND(BZ96&gt;0,CS96&gt;0,DF96&gt;0,CU96&gt;0),newSPRDOPT(BZ96,CS96,DA96,0,DF96,CU96,CV96,BT96*365.25,OCallPut,0),0),IF(BQ96,(DH96*AZ96+DI96*BA96+DJ96*BB96+DK96*BC96)/BQ96,0))</f>
        <v>#VALUE!</v>
      </c>
      <c r="DM96" s="1316"/>
      <c r="DN96" s="1316"/>
      <c r="DO96" s="1316"/>
      <c r="DP96" s="1316"/>
      <c r="DQ96" s="1316"/>
      <c r="DR96" s="1316"/>
      <c r="DS96" s="1316"/>
      <c r="DT96" s="1316"/>
      <c r="DU96" s="1316"/>
      <c r="DV96" s="1316"/>
      <c r="DW96" s="1594" t="e">
        <f aca="false">IF(AND(BW96&gt;0,CT96&gt;0,DD96&gt;0,CU96&gt;0),newSPRDOPT(BW96,CT96,CY96,0,DD96,CU96,CV96,BT96*365.25,OCallPut,0),0)</f>
        <v>#VALUE!</v>
      </c>
      <c r="DX96" s="1316" t="e">
        <f aca="false">IF(AND(BX96&gt;0,CT96&gt;0,DE96&gt;0,CU96&gt;0),newSPRDOPT(BX96,CT96,CZ96,0,DE96,CU96,CV96,BT96*365.25,OCallPut,0),0)</f>
        <v>#VALUE!</v>
      </c>
      <c r="DY96" s="1591" t="e">
        <f aca="false">IF(BS96,(DH96*BH96+DI96*BI96+DW96*BJ96+DX96*BK96)/BS96,0)</f>
        <v>#VALUE!</v>
      </c>
      <c r="DZ96" s="1551" t="e">
        <f aca="false">DH96*AZ96</f>
        <v>#VALUE!</v>
      </c>
      <c r="EA96" s="1551" t="e">
        <f aca="false">DI96*BA96</f>
        <v>#VALUE!</v>
      </c>
      <c r="EB96" s="1551" t="e">
        <f aca="false">DJ96*BB96</f>
        <v>#VALUE!</v>
      </c>
      <c r="EC96" s="1551" t="e">
        <f aca="false">DK96*BC96</f>
        <v>#VALUE!</v>
      </c>
      <c r="ED96" s="1551" t="e">
        <f aca="false">DL96*BQ96</f>
        <v>#VALUE!</v>
      </c>
      <c r="EE96" s="1595" t="e">
        <f aca="false">IF(BQ96,IF(OCallPut,IF(BU96&gt;(CO96+CW96),BU96-(CO96+CW96),0),IF((CO96+CW96)&gt;BU96,(CO96+CW96)-BU96,0))*AZ96,0)</f>
        <v>#VALUE!</v>
      </c>
      <c r="EF96" s="1596" t="e">
        <f aca="false">IF(BQ96,IF(OCallPut,IF(BV96&gt;(CP96+CX96),BV96-(CP96+CX96),0),IF((CP96+CX96)&gt;BV96,(CP96+CX96)-BV96,0))*BA96,0)</f>
        <v>#VALUE!</v>
      </c>
      <c r="EG96" s="1596" t="e">
        <f aca="false">IF(BQ96,IF(OCallPut,IF(BW96&gt;(CQ96+CY96),BW96-(CQ96+CY96),0),IF((CQ96+CY96)&gt;BW96,(CQ96+CY96)-BW96,0))*BB96,0)</f>
        <v>#VALUE!</v>
      </c>
      <c r="EH96" s="1596" t="e">
        <f aca="false">IF(BQ96,IF(OCallPut,IF(BX96&gt;(CR96+CZ96),BX96-(CR96+CZ96),0),IF((CR96+CZ96)&gt;BX96,(CR96+CZ96)-BX96,0))*BC96,0)</f>
        <v>#VALUE!</v>
      </c>
      <c r="EI96" s="1597" t="e">
        <f aca="false">IF(BQ96,IF(OVolType,IF(OCallPut,IF(BZ96&gt;(CS96+DA96),BZ96-(CS96+DA96),0),IF((CS96+DA96)&gt;BZ96,(CS96+DA96)-BZ96,0))*BQ96,SUM(EE96:EH96)),0)</f>
        <v>#VALUE!</v>
      </c>
      <c r="EJ96" s="1595" t="e">
        <f aca="false">DZ96-EE96</f>
        <v>#VALUE!</v>
      </c>
      <c r="EK96" s="1596" t="e">
        <f aca="false">EA96-EF96</f>
        <v>#VALUE!</v>
      </c>
      <c r="EL96" s="1596" t="e">
        <f aca="false">EB96-EG96</f>
        <v>#VALUE!</v>
      </c>
      <c r="EM96" s="1596" t="e">
        <f aca="false">EC96-EH96</f>
        <v>#VALUE!</v>
      </c>
      <c r="EN96" s="1597" t="e">
        <f aca="false">ED96-EI96</f>
        <v>#VALUE!</v>
      </c>
      <c r="EO96" s="1551" t="e">
        <f aca="false">DH96*BH96</f>
        <v>#VALUE!</v>
      </c>
      <c r="EP96" s="1551" t="e">
        <f aca="false">DI96*BI96</f>
        <v>#VALUE!</v>
      </c>
      <c r="EQ96" s="1551" t="e">
        <f aca="false">DW96*BJ96</f>
        <v>#VALUE!</v>
      </c>
      <c r="ER96" s="1551" t="e">
        <f aca="false">DX96*BK96</f>
        <v>#VALUE!</v>
      </c>
      <c r="ES96" s="1551" t="e">
        <f aca="false">DY96*BS96</f>
        <v>#VALUE!</v>
      </c>
      <c r="ET96" s="1566" t="e">
        <f aca="false">IF(EI96,IF(OCallPut,IF(CA96&gt;(CT96+CW96),CA96-(CT96+CW96),0),IF((CT96+CW96)&gt;CA96,(CT96+CW96)-CA96,0))*BH96,0)</f>
        <v>#VALUE!</v>
      </c>
      <c r="EU96" s="1551" t="e">
        <f aca="false">IF(EI96,IF(OCallPut,IF(CB96&gt;(CT96+CX96),CB96-(CT96+CX96),0),IF((CT96+CX96)&gt;CB96,(CT96+CX96)-CB96,0))*BI96,0)</f>
        <v>#VALUE!</v>
      </c>
      <c r="EV96" s="1551" t="e">
        <f aca="false">IF(EI96,IF(OCallPut,IF(CC96&gt;(CT96+CY96),CC96-(CT96+CY96),0),IF((CT96+CY96)&gt;CC96,(CT96+CY96)-CC96,0))*BJ96,0)</f>
        <v>#VALUE!</v>
      </c>
      <c r="EW96" s="1551" t="e">
        <f aca="false">IF(EI96,IF(OCallPut,IF(CD96&gt;(CT96+CZ96),CD96-(CT96+CZ96),0),IF((CT96+CZ96)&gt;CD96,(CT96+CZ96)-CD96,0))*BK96,0)</f>
        <v>#VALUE!</v>
      </c>
      <c r="EX96" s="1558" t="e">
        <f aca="false">IF(EI96,SUM(ET96:EW96),0)</f>
        <v>#VALUE!</v>
      </c>
      <c r="EY96" s="1551" t="e">
        <f aca="false">EO96-ET96</f>
        <v>#VALUE!</v>
      </c>
      <c r="EZ96" s="1551" t="e">
        <f aca="false">EP96-EU96</f>
        <v>#VALUE!</v>
      </c>
      <c r="FA96" s="1551" t="e">
        <f aca="false">EQ96-EV96</f>
        <v>#VALUE!</v>
      </c>
      <c r="FB96" s="1551" t="e">
        <f aca="false">ER96-EW96</f>
        <v>#VALUE!</v>
      </c>
      <c r="FC96" s="1551" t="e">
        <f aca="false">ES96-EX96</f>
        <v>#VALUE!</v>
      </c>
      <c r="FD96" s="1525" t="n">
        <f aca="false">IF(AX96,IF(VLOOKUP(C96,MAIN!$L$17:$M$28,2)="Yes",VLOOKUP(CALC!B96,MAIN!$H$17:$I$20,2),0),0)</f>
        <v>0</v>
      </c>
      <c r="FE96" s="1552" t="e">
        <f aca="false">$FD96*16*AT96*(1-$AY96)</f>
        <v>#VALUE!</v>
      </c>
      <c r="FF96" s="1553" t="e">
        <f aca="false">$FD96*16*AU96*(1-$AY96)</f>
        <v>#VALUE!</v>
      </c>
      <c r="FG96" s="1553" t="e">
        <f aca="false">$FD96*16*(AV96+AW96)*(1-$AY96)</f>
        <v>#VALUE!</v>
      </c>
      <c r="FH96" s="1554" t="n">
        <f aca="false">$FD96*8*AX96*(1-$AY96)</f>
        <v>0</v>
      </c>
      <c r="FI96" s="1555" t="n">
        <f aca="false">IF(AX96,VLOOKUP(CALC!B96,MAIN!$H$17:$K$20,4),0)</f>
        <v>0</v>
      </c>
      <c r="FJ96" s="1553" t="e">
        <f aca="false">SUM(FE96:FH96)</f>
        <v>#VALUE!</v>
      </c>
      <c r="FK96" s="1556" t="e">
        <f aca="false">FI96*FJ96</f>
        <v>#VALUE!</v>
      </c>
      <c r="FL96" s="1551" t="e">
        <f aca="false">IF($EI96&gt;0,MIN(FE96,AZ96*(1+VLOOKUP($C96,WeatherCapacityAdjustment,2))),0)</f>
        <v>#VALUE!</v>
      </c>
      <c r="FM96" s="1551" t="e">
        <f aca="false">IF($EI96&gt;0,MIN(FF96,BA96*(1+VLOOKUP($C96,WeatherCapacityAdjustment,2))),0)</f>
        <v>#VALUE!</v>
      </c>
      <c r="FN96" s="1551" t="e">
        <f aca="false">IF($EI96&gt;0,MIN(FG96,BB96*(1+VLOOKUP($C96,WeatherCapacityAdjustment,2))),0)</f>
        <v>#VALUE!</v>
      </c>
      <c r="FO96" s="1564" t="e">
        <f aca="false">IF($EI96&gt;0,MIN(FH96,BC96*(1+VLOOKUP($C96,WeatherCapacityAdjustment,3))),0)</f>
        <v>#VALUE!</v>
      </c>
      <c r="FP96" s="1551" t="e">
        <f aca="false">IF(ET96&gt;0,MIN(FE96-FL96,BH96*(1+VLOOKUP($C96,WeatherCapacityAdjustment,2))),0)</f>
        <v>#VALUE!</v>
      </c>
      <c r="FQ96" s="1551" t="e">
        <f aca="false">IF(EU96&gt;0,MIN(FF96-FM96,BI96*(1+VLOOKUP($C96,WeatherCapacityAdjustment,2))),0)</f>
        <v>#VALUE!</v>
      </c>
      <c r="FR96" s="1551" t="e">
        <f aca="false">IF(EV96&gt;0,MIN(FG96-FN96,BJ96*(1+VLOOKUP($C96,WeatherCapacityAdjustment,2))),0)</f>
        <v>#VALUE!</v>
      </c>
      <c r="FS96" s="1558" t="e">
        <f aca="false">IF(EW96&gt;0,MIN(FH96-FO96,BK96*(1+VLOOKUP($C96,WeatherCapacityAdjustment,3))),0)</f>
        <v>#VALUE!</v>
      </c>
      <c r="FT96" s="1566" t="e">
        <f aca="false">IF(AND(Assumptions!$H$71="Yes",A96&gt;=Assumptions!$H$72,A96&lt;=Assumptions!$H$73),0,IF(AND($A96&gt;=Assumptions!$C$17,$A96&lt;=Assumptions!$C$18),MAX(AZ96*(1+VLOOKUP($C96,WeatherCapacityAdjustment,2))-FL96,0),0))</f>
        <v>#VALUE!</v>
      </c>
      <c r="FU96" s="1551" t="e">
        <f aca="false">IF(AND(Assumptions!$H$71="Yes",A96&gt;=Assumptions!$H$72,A96&lt;=Assumptions!$H$73),0,IF(AND($A96&gt;=Assumptions!$C$17,$A96&lt;=Assumptions!$C$18),MAX(BA96*(1+VLOOKUP($C96,WeatherCapacityAdjustment,2))-FM96,0),0))</f>
        <v>#VALUE!</v>
      </c>
      <c r="FV96" s="1551" t="e">
        <f aca="false">IF(AND(Assumptions!$H$71="Yes",A96&gt;=Assumptions!$H$72,A96&lt;=Assumptions!$H$73),0,IF(AND($A96&gt;=Assumptions!$C$17,$A96&lt;=Assumptions!$C$18),MAX(BB96*(1+VLOOKUP($C96,WeatherCapacityAdjustment,2))-FN96,0),0))</f>
        <v>#VALUE!</v>
      </c>
      <c r="FW96" s="1564" t="e">
        <f aca="false">IF(AND(Assumptions!$H$71="Yes",A96&gt;=Assumptions!$H$72,A96&lt;=Assumptions!$H$73),0,IF(AND($A96&gt;=Assumptions!$C$17,$A96&lt;=Assumptions!$C$18),MAX(BC96*(1+VLOOKUP($C96,WeatherCapacityAdjustment,3))-FO96,0),0))</f>
        <v>#VALUE!</v>
      </c>
      <c r="FX96" s="1569" t="e">
        <f aca="false">IF(AND(Assumptions!$H$71="Yes",A96&gt;=Assumptions!$H$72,A96&lt;=Assumptions!$H$73),0,IF(ET96&gt;0,MAX(BH96*(1+VLOOKUP($C96,WeatherCapacityAdjustment,2))-FP96,0),0))</f>
        <v>#VALUE!</v>
      </c>
      <c r="FY96" s="1551" t="e">
        <f aca="false">IF(AND(Assumptions!$H$71="Yes",A96&gt;=Assumptions!$H$72,A96&lt;=Assumptions!$H$73),0,IF(EU96&gt;0,MAX(BI96*(1+VLOOKUP($C96,WeatherCapacityAdjustment,3))-FQ96,0),0))</f>
        <v>#VALUE!</v>
      </c>
      <c r="FZ96" s="1551" t="e">
        <f aca="false">IF(AND(Assumptions!$H$71="Yes",A96&gt;=Assumptions!$H$72,A96&lt;=Assumptions!$H$73),0,IF(EV96&gt;0,MAX(BJ96*(1+VLOOKUP($C96,WeatherCapacityAdjustment,2))-FR96,0),0))</f>
        <v>#VALUE!</v>
      </c>
      <c r="GA96" s="1564" t="e">
        <f aca="false">IF(AND(Assumptions!$H$71="Yes",A96&gt;=Assumptions!$H$72,A96&lt;=Assumptions!$H$73),0,IF(EW96&gt;0,MAX(BK96*(1+VLOOKUP($C96,WeatherCapacityAdjustment,2))-FS96,0),0))</f>
        <v>#VALUE!</v>
      </c>
      <c r="GB96" s="1551" t="e">
        <f aca="false">SUM(FT96:GA96)</f>
        <v>#VALUE!</v>
      </c>
      <c r="GC96" s="1563" t="e">
        <f aca="false">+IF(SUM(FT96:GA96)=0,0,(SUMPRODUCT(BU96:BX96,FT96:FW96)+SUMPRODUCT(CA96:CD96,FX96:GA96))/SUM(FT96:GA96))</f>
        <v>#VALUE!</v>
      </c>
      <c r="GD96" s="1551" t="e">
        <f aca="false">(FT96*BU96+FX96*CA96+FU96*BV96+FY96*CB96+FV96*BW96+FZ96*CC96+FW96*BX96+GA96*CD96)</f>
        <v>#VALUE!</v>
      </c>
      <c r="GE96" s="1561" t="e">
        <f aca="false">+IF(BQ96,((FL96+FM96+FT96+FU96)*HeatRatePeak/1000*(1+VLOOKUP($C96,WeatherHeatRateAdjustment,2))+(FN96+FV96)*IF(EV96&gt;0,HeatRatePeak,HeatRateOffPeak)/1000*(1+VLOOKUP($C96,WeatherHeatRateAdjustment,2))+(FO96+FW96)*IF(EW96&gt;0,HeatRatePeak,HeatRateOffPeak)/1000*(1+VLOOKUP($C96,WeatherHeatRateAdjustment,3)))*(1+VLOOKUP($B96,HeatRateDegradation,$C96+1)),0)</f>
        <v>#VALUE!</v>
      </c>
      <c r="GF96" s="1562" t="e">
        <f aca="false">IF(BQ96,((FP96+FQ96+FR96+FX96+FY96+FZ96)*HeatRatePeak/1000*(1+VLOOKUP($C96,WeatherHeatRateAdjustment,2))+(FS96+GA96)*HeatRatePeak/1000*(1+VLOOKUP($C96,WeatherHeatRateAdjustment,3)))*(1+VLOOKUP($B96,HeatRateDegradation,$C96+1)),0)</f>
        <v>#VALUE!</v>
      </c>
      <c r="GG96" s="1563" t="e">
        <f aca="false">IF(BQ96,VLOOKUP(A96,GasTable,13),0)</f>
        <v>#VALUE!</v>
      </c>
      <c r="GH96" s="1564" t="e">
        <f aca="false">(GE96+GF96)*GG96</f>
        <v>#VALUE!</v>
      </c>
      <c r="GI96" s="1569" t="e">
        <f aca="false">GB96</f>
        <v>#VALUE!</v>
      </c>
      <c r="GJ96" s="1598" t="e">
        <f aca="false">+DA96</f>
        <v>#VALUE!</v>
      </c>
      <c r="GK96" s="1558" t="e">
        <f aca="false">+GI96*GJ96</f>
        <v>#VALUE!</v>
      </c>
      <c r="GL96" s="1566" t="e">
        <f aca="false">MAX(FE96-FL96-FP96,0)</f>
        <v>#VALUE!</v>
      </c>
      <c r="GM96" s="1551" t="e">
        <f aca="false">MAX(FF96-FM96-FQ96,0)</f>
        <v>#VALUE!</v>
      </c>
      <c r="GN96" s="1551" t="e">
        <f aca="false">MAX(FG96-FN96-FR96,0)</f>
        <v>#VALUE!</v>
      </c>
      <c r="GO96" s="1564" t="e">
        <f aca="false">MAX(FH96-FO96-FS96,0)</f>
        <v>#VALUE!</v>
      </c>
      <c r="GP96" s="1551" t="e">
        <f aca="false">SUM(GL96:GO96)</f>
        <v>#VALUE!</v>
      </c>
      <c r="GQ96" s="1563" t="e">
        <f aca="false">IF(SUM(GL96:GO96)=0,0,((GL96*BU96+GM96*BV96+GN96*BW96+GO96*BX96)/SUM(GL96:GO96)))</f>
        <v>#VALUE!</v>
      </c>
      <c r="GR96" s="1558" t="e">
        <f aca="false">(GL96*BU96+GM96*BV96+GN96*BW96+GO96*BX96)</f>
        <v>#VALUE!</v>
      </c>
      <c r="GS96" s="1566" t="n">
        <f aca="false">IF($A96&gt;=BegDate,Assumptions!$C$56*24*($A97-$A96)*(1-VLOOKUP($B96,MAIN!$AA$7:$AM$28,$C96+1))*(1-VLOOKUP($B96,MAIN!$AA$33:$AM$54,$C96+1)),0)*80/168</f>
        <v>257742.857142857</v>
      </c>
      <c r="GT96" s="286" t="n">
        <f aca="false">J96</f>
        <v>47.3781034434042</v>
      </c>
      <c r="GU96" s="286" t="n">
        <f aca="false">IF($A96&gt;=BegDate,VLOOKUP($A96,GasTable,13)+Assumptions!$C$58,0)</f>
        <v>3.06674226355431</v>
      </c>
      <c r="GV96" s="286" t="n">
        <f aca="false">GU96*Assumptions!$C$57/1000</f>
        <v>22.2338814107688</v>
      </c>
      <c r="GW96" s="1558" t="n">
        <f aca="false">IF(Assumptions!$C$60="Hourly",MAX(0,GS96*(GT96-GV96)),GS96*(GT96-GV96))</f>
        <v>6480743.62732583</v>
      </c>
      <c r="GX96" s="1566" t="n">
        <f aca="false">IF($A96&gt;=BegDate,Assumptions!$C$56*24*($A97-$A96)*(1-VLOOKUP($B96,MAIN!$AA$7:$AM$28,$C96+1))*(1-VLOOKUP($B96,MAIN!$AA$33:$AM$54,$C96+1)),0)*16/168</f>
        <v>51548.5714285714</v>
      </c>
      <c r="GY96" s="286" t="n">
        <f aca="false">M96</f>
        <v>47.3781034434042</v>
      </c>
      <c r="GZ96" s="286" t="n">
        <f aca="false">IF($A96&gt;=BegDate,VLOOKUP($A96,GasTable,13)+Assumptions!$C$58,0)</f>
        <v>3.06674226355431</v>
      </c>
      <c r="HA96" s="286" t="n">
        <f aca="false">GZ96*Assumptions!$C$57/1000</f>
        <v>22.2338814107688</v>
      </c>
      <c r="HB96" s="1558" t="n">
        <f aca="false">IF(Assumptions!$C$60="Hourly",MAX(0,GX96*(GY96-HA96)),GX96*(GY96-HA96))</f>
        <v>1296148.72546517</v>
      </c>
      <c r="HC96" s="1566" t="n">
        <f aca="false">IF($A96&gt;=BegDate,Assumptions!$C$56*24*($A97-$A96)*(1-VLOOKUP($B96,MAIN!$AA$7:$AM$28,$C96+1))*(1-VLOOKUP($B96,MAIN!$AA$33:$AM$54,$C96+1)),0)*16/168</f>
        <v>51548.5714285714</v>
      </c>
      <c r="HD96" s="286" t="n">
        <f aca="false">P96</f>
        <v>29.9398162298269</v>
      </c>
      <c r="HE96" s="286" t="n">
        <f aca="false">IF($A96&gt;=BegDate,VLOOKUP($A96,GasTable,13)+Assumptions!$C$58,0)</f>
        <v>3.06674226355431</v>
      </c>
      <c r="HF96" s="286" t="n">
        <f aca="false">HE96*Assumptions!$C$57/1000</f>
        <v>22.2338814107688</v>
      </c>
      <c r="HG96" s="1558" t="n">
        <f aca="false">IF(Assumptions!$C$60="Hourly",MAX(0,HC96*(HD96-HF96)),HC96*(HD96-HF96))</f>
        <v>397229.931444135</v>
      </c>
      <c r="HH96" s="1566" t="n">
        <f aca="false">IF($A96&gt;=BegDate,Assumptions!$C$56*24*($A97-$A96)*(1-VLOOKUP($B96,MAIN!$AA$7:$AM$28,$C96+1))*(1-VLOOKUP($B96,MAIN!$AA$33:$AM$54,$C96+1)),0)*56/168</f>
        <v>180420</v>
      </c>
      <c r="HI96" s="286" t="n">
        <f aca="false">S96</f>
        <v>29.9398162298269</v>
      </c>
      <c r="HJ96" s="286" t="n">
        <f aca="false">IF($A96&gt;=BegDate,VLOOKUP($A96,GasTable,13)+Assumptions!$C$58,0)</f>
        <v>3.06674226355431</v>
      </c>
      <c r="HK96" s="286" t="n">
        <f aca="false">HJ96*Assumptions!$C$57/1000</f>
        <v>22.2338814107688</v>
      </c>
      <c r="HL96" s="1558" t="n">
        <f aca="false">IF(Assumptions!$C$60="Hourly",MAX(0,HH96*(HI96-HK96)),HH96*(HI96-HK96))</f>
        <v>1390304.76005447</v>
      </c>
      <c r="HM96" s="1566" t="n">
        <f aca="false">IF(AND(Assumptions!$H$71="Yes",A96&gt;=Assumptions!$H$72,A96&lt;=Assumptions!$H$73),Assumptions!$H$74*Assumptions!$C$9*1000,0)</f>
        <v>0</v>
      </c>
      <c r="HN96" s="1551"/>
      <c r="HO96" s="1563"/>
      <c r="HP96" s="1563"/>
      <c r="HQ96" s="1563"/>
      <c r="HR96" s="1563"/>
      <c r="HS96" s="1563"/>
      <c r="HT96" s="1563"/>
      <c r="HU96" s="1563"/>
      <c r="HV96" s="1563"/>
      <c r="HW96" s="1563"/>
      <c r="HX96" s="1563"/>
      <c r="HY96" s="1563"/>
      <c r="HZ96" s="1563"/>
      <c r="IA96" s="1563"/>
      <c r="IB96" s="1563"/>
      <c r="IC96" s="1563"/>
      <c r="ID96" s="1563"/>
      <c r="IE96" s="1563"/>
      <c r="IF96" s="1563"/>
      <c r="IG96" s="1563"/>
      <c r="IH96" s="1563"/>
      <c r="II96" s="1610"/>
      <c r="IJ96" s="1309"/>
      <c r="IK96" s="1309"/>
    </row>
    <row r="97" customFormat="false" ht="12.75" hidden="false" customHeight="false" outlineLevel="0" collapsed="false">
      <c r="A97" s="1571" t="n">
        <f aca="false">EOMONTH(A96,0)+1</f>
        <v>39083</v>
      </c>
      <c r="B97" s="594" t="n">
        <f aca="false">+YEAR(A97)</f>
        <v>2007</v>
      </c>
      <c r="C97" s="238" t="n">
        <f aca="false">MONTH(A97)</f>
        <v>1</v>
      </c>
      <c r="D97" s="1572" t="e">
        <f aca="false">IF(E97="","",Holiday(B97,C97))</f>
        <v>#VALUE!</v>
      </c>
      <c r="E97" s="1573" t="n">
        <f aca="false">IF(OR(BegDate&gt;=A98,EndDate&lt;A97,AND(VolumeMonthlyOverFlag,INDEX(VolumeMonthlyOver,C97)=0),NOT(INDEX(MonthKnockOutTable,C97))),"",MAX(A97,BegDate))</f>
        <v>39083</v>
      </c>
      <c r="F97" s="1574" t="n">
        <f aca="false">IF(E97="","",MIN(A98-1,EndDate))</f>
        <v>39113</v>
      </c>
      <c r="G97" s="1575" t="n">
        <v>0</v>
      </c>
      <c r="H97" s="1576" t="n">
        <f aca="false">(1+G97/2)^(-2*(DATE(B98,C98,20)-DateToday)/365.25)</f>
        <v>1</v>
      </c>
      <c r="I97" s="1568" t="n">
        <f aca="false">IF(Assumptions!$L$25=4,VLOOKUP($A97,'Henwood Reference'!$E$9:$R$320,10),(VLOOKUP($A97,PriceTable,2,0)+IF(BasisNumber&lt;&gt;1,VLOOKUP($A97,BasisTable,2,0),0)+I$1)/(1-I$2))</f>
        <v>48.2376761901303</v>
      </c>
      <c r="J97" s="1568" t="n">
        <f aca="false">IF(Assumptions!$L$25=4,VLOOKUP($A97,'Henwood Reference'!$E$9:$R$320,10),(VLOOKUP($A97,PriceTable,3,0)+IF(BasisNumber&lt;&gt;1,VLOOKUP($A97,BasisTable,2,0),0)+J$1)/(1-J$2))</f>
        <v>48.2376761901303</v>
      </c>
      <c r="K97" s="1568" t="n">
        <f aca="false">IF(Assumptions!$L$25=4,VLOOKUP($A97,'Henwood Reference'!$E$9:$R$320,10),(VLOOKUP($A97,PriceTable,4,0)+IF(BasisNumber&lt;&gt;1,VLOOKUP($A97,BasisTable,2,0),0)+K$1)/(1-K$2))</f>
        <v>48.2376761901303</v>
      </c>
      <c r="L97" s="1523" t="n">
        <f aca="false">IF(Assumptions!$L$25=4,VLOOKUP($A97,'Henwood Reference'!$E$9:$R$320,10),(VLOOKUP($A97,PriceTableWeekend,2,0)+IF(BasisNumber&lt;&gt;1,VLOOKUP($A97,BasisTable,2,0),0)+L$1)/(1-L$2))</f>
        <v>48.2376761901303</v>
      </c>
      <c r="M97" s="1568" t="n">
        <f aca="false">IF(Assumptions!$L$25=4,VLOOKUP($A97,'Henwood Reference'!$E$9:$R$320,10),(VLOOKUP($A97,PriceTableWeekend,3,0)+IF(BasisNumber&lt;&gt;1,VLOOKUP($A97,BasisTable,2,0),0)+M$1)/(1-M$2))</f>
        <v>48.2376761901303</v>
      </c>
      <c r="N97" s="1599" t="n">
        <f aca="false">IF(Assumptions!$L$25=4,VLOOKUP($A97,'Henwood Reference'!$E$9:$R$320,10),(VLOOKUP($A97,PriceTableWeekend,4,0)+IF(BasisNumber&lt;&gt;1,VLOOKUP($A97,BasisTable,2,0),0)+N$1)/(1-N$2))</f>
        <v>48.2376761901303</v>
      </c>
      <c r="O97" s="1568" t="n">
        <f aca="false">IF(Assumptions!$L$25=4,VLOOKUP($A97,'Henwood Reference'!$E$9:$R$320,11),(VLOOKUP($A97,PriceTableWeekend,6,0)+IF(BasisNumber&lt;&gt;1,VLOOKUP($A97,BasisTable,3,0),0)+O$1)/(1-O$2))</f>
        <v>29.6950178001018</v>
      </c>
      <c r="P97" s="1568" t="n">
        <f aca="false">IF(Assumptions!$L$25=4,VLOOKUP($A97,'Henwood Reference'!$E$9:$R$320,11),(VLOOKUP($A97,PriceTableWeekend,7,0)+IF(BasisNumber&lt;&gt;1,VLOOKUP($A97,BasisTable,3,0),0)+P$1)/(1-P$2))</f>
        <v>29.6950178001018</v>
      </c>
      <c r="Q97" s="1599" t="n">
        <f aca="false">IF(Assumptions!$L$25=4,VLOOKUP($A97,'Henwood Reference'!$E$9:$R$320,11),(VLOOKUP($A97,PriceTableWeekend,8,0)+IF(BasisNumber&lt;&gt;1,VLOOKUP($A97,BasisTable,3,0),0)+Q$1)/(1-Q$2))</f>
        <v>29.6950178001018</v>
      </c>
      <c r="R97" s="1568" t="n">
        <f aca="false">IF(Assumptions!$L$25=4,VLOOKUP($A97,'Henwood Reference'!$E$9:$R$320,11),(VLOOKUP($A97,PriceTable,6,0)+IF(BasisNumber&lt;&gt;1,VLOOKUP($A97,BasisTable,3,0),0)+R$1)/(1-R$2))</f>
        <v>29.6950178001018</v>
      </c>
      <c r="S97" s="1568" t="n">
        <f aca="false">IF(Assumptions!$L$25=4,VLOOKUP($A97,'Henwood Reference'!$E$9:$R$320,11),(VLOOKUP($A97,PriceTable,7,0)+IF(BasisNumber&lt;&gt;1,VLOOKUP($A97,BasisTable,3,0),0)+S$1)/(1-S$2))</f>
        <v>29.6950178001018</v>
      </c>
      <c r="T97" s="1600" t="n">
        <f aca="false">IF(Assumptions!$L$25=4,VLOOKUP($A97,'Henwood Reference'!$E$9:$R$320,11),(VLOOKUP($A97,PriceTable,8,0)+IF(BasisNumber&lt;&gt;1,VLOOKUP($A97,BasisTable,3,0),0)+T$1)/(1-T$2))</f>
        <v>29.6950178001018</v>
      </c>
      <c r="U97" s="1513" t="n">
        <f aca="false">VLOOKUP($A97,VolatilityTable,14)</f>
        <v>0.135</v>
      </c>
      <c r="V97" s="1513" t="n">
        <f aca="false">VLOOKUP($A97,VolatilityTable,15)</f>
        <v>0.145</v>
      </c>
      <c r="W97" s="1514" t="n">
        <f aca="false">VLOOKUP($A97,VolatilityTable,16)</f>
        <v>0.155</v>
      </c>
      <c r="X97" s="1513" t="n">
        <f aca="false">VLOOKUP($A97,VolatilityTable,14)</f>
        <v>0.135</v>
      </c>
      <c r="Y97" s="1513" t="n">
        <f aca="false">VLOOKUP($A97,VolatilityTable,15)</f>
        <v>0.145</v>
      </c>
      <c r="Z97" s="1514" t="n">
        <f aca="false">VLOOKUP($A97,VolatilityTable,16)</f>
        <v>0.155</v>
      </c>
      <c r="AA97" s="1513" t="n">
        <f aca="false">VLOOKUP($A97,VolatilityTable,18)</f>
        <v>0.09</v>
      </c>
      <c r="AB97" s="1513" t="n">
        <f aca="false">VLOOKUP($A97,VolatilityTable,19)</f>
        <v>0.11</v>
      </c>
      <c r="AC97" s="1514" t="n">
        <f aca="false">VLOOKUP($A97,VolatilityTable,20)</f>
        <v>0.13</v>
      </c>
      <c r="AD97" s="1513" t="n">
        <f aca="false">VLOOKUP($A97,VolatilityTable,18)</f>
        <v>0.09</v>
      </c>
      <c r="AE97" s="1513" t="n">
        <f aca="false">VLOOKUP($A97,VolatilityTable,19)</f>
        <v>0.11</v>
      </c>
      <c r="AF97" s="1514" t="n">
        <f aca="false">VLOOKUP($A97,VolatilityTable,20)</f>
        <v>0.13</v>
      </c>
      <c r="AG97" s="1513" t="n">
        <f aca="false">VLOOKUP($A97,VolatilityTable,22)</f>
        <v>-0.25</v>
      </c>
      <c r="AH97" s="1513" t="n">
        <f aca="false">VLOOKUP($A97,VolatilityTable,23)</f>
        <v>0.65</v>
      </c>
      <c r="AI97" s="1514" t="n">
        <f aca="false">VLOOKUP($A97,VolatilityTable,24)</f>
        <v>0.25</v>
      </c>
      <c r="AJ97" s="1513" t="n">
        <f aca="false">VLOOKUP($A97,VolatilityTable,22)</f>
        <v>-0.25</v>
      </c>
      <c r="AK97" s="1513" t="n">
        <f aca="false">VLOOKUP($A97,VolatilityTable,23)</f>
        <v>0.65</v>
      </c>
      <c r="AL97" s="1514" t="n">
        <f aca="false">VLOOKUP($A97,VolatilityTable,24)</f>
        <v>0.25</v>
      </c>
      <c r="AM97" s="1513" t="n">
        <f aca="false">VLOOKUP($A97,VolatilityTable,26)</f>
        <v>-0.01</v>
      </c>
      <c r="AN97" s="1513" t="n">
        <f aca="false">VLOOKUP($A97,VolatilityTable,27)</f>
        <v>0.16</v>
      </c>
      <c r="AO97" s="1514" t="n">
        <f aca="false">VLOOKUP($A97,VolatilityTable,28)</f>
        <v>0.01</v>
      </c>
      <c r="AP97" s="1513" t="n">
        <f aca="false">VLOOKUP($A97,VolatilityTable,26)</f>
        <v>-0.01</v>
      </c>
      <c r="AQ97" s="1513" t="n">
        <f aca="false">VLOOKUP($A97,VolatilityTable,27)</f>
        <v>0.16</v>
      </c>
      <c r="AR97" s="1515" t="n">
        <f aca="false">VLOOKUP($A97,VolatilityTable,28)</f>
        <v>0.01</v>
      </c>
      <c r="AS97" s="1581" t="n">
        <f aca="false">IF(CorrPeakOffPeakOverFlag,INDEX(CorrPeakOffPeakOver,C97),CorrPeakOffPeak)</f>
        <v>0.5</v>
      </c>
      <c r="AT97" s="594" t="e">
        <f aca="false">AX97-SUM(AU97:AW97)</f>
        <v>#VALUE!</v>
      </c>
      <c r="AU97" s="238" t="e">
        <f aca="false">IF(E97="",0,INT((F97-MOD(F97,7)-E97)/7)+1-IF(AW97,IF(WEEKDAY(D97)=7,1,0),0))</f>
        <v>#VALUE!</v>
      </c>
      <c r="AV97" s="238" t="e">
        <f aca="false">IF(E97="",0,INT((F97-MOD(F97-1,7)-E97)/7)+1-IF(AW97,IF(WEEKDAY(D97)=1,1,0),0))</f>
        <v>#VALUE!</v>
      </c>
      <c r="AW97" s="238" t="e">
        <f aca="false">IF(OR(E97="",D97="",D97&lt;BegDate,D97&gt;EndDate),0,1)</f>
        <v>#VALUE!</v>
      </c>
      <c r="AX97" s="238" t="n">
        <f aca="false">IF(E97="",0,F97-E97+1)</f>
        <v>31</v>
      </c>
      <c r="AY97" s="1582" t="n">
        <f aca="false">IF(E97="",0,MIN((1-(1-VLOOKUP(B97,MAIN!$AA$7:$AM$28,C97+1))*(1-VLOOKUP(B97,MAIN!$AA$33:$AM$54,C97+1))),1))</f>
        <v>0.03</v>
      </c>
      <c r="AZ97" s="1519" t="e">
        <v>#VALUE!</v>
      </c>
      <c r="BA97" s="1520" t="e">
        <v>#VALUE!</v>
      </c>
      <c r="BB97" s="1520" t="e">
        <v>#VALUE!</v>
      </c>
      <c r="BC97" s="1583" t="e">
        <v>#VALUE!</v>
      </c>
      <c r="BD97" s="1522" t="e">
        <v>#VALUE!</v>
      </c>
      <c r="BE97" s="1523" t="e">
        <v>#VALUE!</v>
      </c>
      <c r="BF97" s="1523" t="e">
        <v>#VALUE!</v>
      </c>
      <c r="BG97" s="1584" t="e">
        <v>#VALUE!</v>
      </c>
      <c r="BH97" s="1525" t="e">
        <v>#VALUE!</v>
      </c>
      <c r="BI97" s="1520" t="e">
        <v>#VALUE!</v>
      </c>
      <c r="BJ97" s="1520" t="e">
        <v>#VALUE!</v>
      </c>
      <c r="BK97" s="1583" t="e">
        <v>#VALUE!</v>
      </c>
      <c r="BL97" s="1522" t="e">
        <v>#VALUE!</v>
      </c>
      <c r="BM97" s="1523" t="e">
        <v>#VALUE!</v>
      </c>
      <c r="BN97" s="1523" t="e">
        <v>#VALUE!</v>
      </c>
      <c r="BO97" s="1523" t="e">
        <v>#VALUE!</v>
      </c>
      <c r="BP97" s="1525" t="e">
        <f aca="false">SUM(AZ97:BB97)</f>
        <v>#VALUE!</v>
      </c>
      <c r="BQ97" s="1529" t="e">
        <f aca="false">SUM(AZ97:BC97)</f>
        <v>#VALUE!</v>
      </c>
      <c r="BR97" s="1519" t="e">
        <f aca="false">SUM(BH97:BJ97)</f>
        <v>#VALUE!</v>
      </c>
      <c r="BS97" s="1529" t="e">
        <f aca="false">SUM(BH97:BK97)</f>
        <v>#VALUE!</v>
      </c>
      <c r="BT97" s="1316" t="n">
        <f aca="false">(IF(OVolType&lt;&gt;2,A97+14,IF(OptExpDateShift,ShiftBack(A97,OptExpDateShift,D96),A97))-DateToday)/365.25</f>
        <v>6.71594798083504</v>
      </c>
      <c r="BU97" s="1585" t="e">
        <f aca="false">IF(BQ97,IF(OPriceCurve,IF(OBuySell=OCallPut,I97/(1-AY97),K97/(1-AY97)),J97/(1-AY97))*BD97,0)</f>
        <v>#VALUE!</v>
      </c>
      <c r="BV97" s="1316" t="e">
        <f aca="false">IF(BQ97,IF(OPriceCurve,IF(OBuySell=OCallPut,L97/(1-AY97),N97/(1-AY97)),M97/(1-AY97))*BE97,0)</f>
        <v>#VALUE!</v>
      </c>
      <c r="BW97" s="1316" t="e">
        <f aca="false">IF(BQ97,IF(OPriceCurve,IF(OBuySell=OCallPut,O97/(1-AY97),Q97/(1-AY97)),P97/(1-AY97))*BF97,0)</f>
        <v>#VALUE!</v>
      </c>
      <c r="BX97" s="1316" t="e">
        <f aca="false">IF(BQ97,IF(OPriceCurve,IF(OBuySell=OCallPut,R97/(1-AY97),T97/(1-AY97)),S97/(1-AY97))*BG97,0)</f>
        <v>#VALUE!</v>
      </c>
      <c r="BY97" s="1316" t="e">
        <f aca="false">IF(BP97,(BU97*AZ97+BV97*BA97+BW97*BB97)/BP97,0)</f>
        <v>#VALUE!</v>
      </c>
      <c r="BZ97" s="1316" t="e">
        <f aca="false">IF(BQ97,(BY97*BP97+BX97*BC97)/BQ97,0)</f>
        <v>#VALUE!</v>
      </c>
      <c r="CA97" s="1531" t="e">
        <f aca="false">IF(BS97,IF(OPriceCurve,IF(OBuySell=OCallPut,I97/(1-AY97),K97/(1-AY97)),J97/(1-AY97))*BL97,0)</f>
        <v>#VALUE!</v>
      </c>
      <c r="CB97" s="1316" t="e">
        <f aca="false">IF(BS97,IF(OPriceCurve,IF(OBuySell=OCallPut,L97/(1-AY97),N97/(1-AY97)),M97/(1-AY97))*BM97,0)</f>
        <v>#VALUE!</v>
      </c>
      <c r="CC97" s="1316" t="e">
        <f aca="false">IF(BS97,IF(OPriceCurve,IF(OBuySell=OCallPut,O97/(1-AY97),Q97/(1-AY97)),P97/(1-AY97))*BN97,0)</f>
        <v>#VALUE!</v>
      </c>
      <c r="CD97" s="1316" t="e">
        <f aca="false">IF(BS97,IF(OPriceCurve,IF(OBuySell=OCallPut,R97/(1-AY97),T97/(1-AY97)),S97/(1-AY97))*BO97,0)</f>
        <v>#VALUE!</v>
      </c>
      <c r="CE97" s="1316" t="e">
        <f aca="false">IF(BR97,(BU97*BH97+BV97*BI97+BW97*BJ97)/BR97,0)</f>
        <v>#VALUE!</v>
      </c>
      <c r="CF97" s="1532" t="e">
        <f aca="false">IF(BS97,(CE97*BR97+CD97*BK97)/BS97,0)</f>
        <v>#VALUE!</v>
      </c>
      <c r="CG97" s="1586" t="e">
        <f aca="false">IF(OR(BQ97,BS97),IF(OVolType&lt;&gt;2,SQRT(IF(OVolOverMonthlyPeak,OVolOverMonthlyPeak,IF(OVolCurve,IF(OBuySell,U97,W97),V97))^2*(1-15/365.25/BT97)+IF(OVolOverDailyPeak,OVolOverDailyPeak,IF(OVolCurve,IF(OBuySell,AG97,AI97),AH97))^2*15/365.25/BT97),IF(OVolOverMonthlyPeak,OVolOverMonthlyPeak,IF(OVolCurve,IF(OBuySell,U97,W97),V97))),"")</f>
        <v>#VALUE!</v>
      </c>
      <c r="CH97" s="1587" t="e">
        <f aca="false">IF(OR(BQ97,BS97),IF(OVolType&lt;&gt;2,SQRT(IF(OVolOverMonthlyPeak,OVolOverMonthlyPeak,IF(OVolCurve,IF(OBuySell,X97,Z97),Y97))^2*(1-15/365.25/BT97)+IF(OVolOverDailyPeak,OVolOverDailyPeak,IF(OVolCurve,IF(OBuySell,AJ97,AL97),AK97))^2*15/365.25/BT97),IF(OVolOverMonthlyPeak,OVolOverMonthlyPeak,IF(OVolCurve,IF(OBuySell,X97,Z97),Y97))),"")</f>
        <v>#VALUE!</v>
      </c>
      <c r="CI97" s="1587" t="e">
        <f aca="false">IF(OR(BQ97,BS97),IF(OVolType&lt;&gt;2,SQRT(IF(OVolOverMonthlyPeak,OVolOverMonthlyPeak,IF(OVolCurve,IF(OBuySell,AA97,AC97),AB97))^2*(1-15/365.25/BT97)+IF(OVolOverDailyPeak,OVolOverDailyPeak,IF(OVolCurve,IF(OBuySell,AM97,AO97),AN97))^2*15/365.25/BT97),IF(OVolOverMonthlyPeak,OVolOverMonthlyPeak,IF(OVolCurve,IF(OBuySell,AA97,AC97),AB97))),"")</f>
        <v>#VALUE!</v>
      </c>
      <c r="CJ97" s="1587" t="e">
        <f aca="false">IF(BQ97,IF(BP97,SQRT(LN(1+((BU97*AZ97)^2*(EXP(CG97^2*BT97)-1)+(BV97*BA97)^2*(EXP(CH97^2*BT97)-1)+(BW97*BB97)^2*(EXP(CI97^2*BT97)-1)+2*BU97*AZ97*BV97*BA97*(EXP(CG97*CH97*BT97)-1)+2*BV97*BA97*BW97*BB97*(EXP(CH97*CI97*BT97)-1)+2*BW97*BB97*BU97*AZ97*(EXP(CI97*CG97*BT97)-1))/(BY97*BP97)^2)/BT97),0),"")</f>
        <v>#VALUE!</v>
      </c>
      <c r="CK97" s="1587" t="e">
        <f aca="false">IF(BS97,IF(BR97,SQRT(LN(1+((CA97*BH97)^2*(EXP(CG97^2*BT97)-1)+(CB97*BI97)^2*(EXP(CH97^2*BT97)-1)+(CC97*BJ97)^2*(EXP(CI97^2*BT97)-1)+2*CA97*BH97*CB97*BI97*(EXP(CG97*CH97*BT97)-1)+2*CB97*BI97*CC97*BJ97*(EXP(CH97*CI97*BT97)-1)+2*CC97*BJ97*CA97*BH97*(EXP(CI97*CG97*BT97)-1))/(CE97*BR97)^2)/BT97),0),"")</f>
        <v>#VALUE!</v>
      </c>
      <c r="CL97" s="1587" t="e">
        <f aca="false">IF(OR(BQ97,BS97),IF(OVolType&lt;&gt;2,SQRT(IF(OVolOverMonthlyOffPeak,OVolOverMonthlyOffPeak,IF(OVolCurve,IF(OBuySell,AD97,AF97),AE97))^2*(1-15/365.25/BT97)+IF(OVolOverDailyOffPeak,OVolOverDailyOffPeak,IF(OVolCurve,IF(OBuySell,AP97,AR97),AQ97))^2*15/365.25/BT97),IF(OVolOverMonthlyOffPeak,OVolOverMonthlyOffPeak,IF(OVolCurve,IF(OBuySell,AD97,AF97),AE97))),"")</f>
        <v>#VALUE!</v>
      </c>
      <c r="CM97" s="1587" t="e">
        <f aca="false">IF(BQ97,SQRT(LN(1+((BY97*BP97)^2*(EXP(CJ97^2*BT97)-1)+(BX97*BC97)^2*(EXP(CL97^2*BT97)-1)+2*BY97*BP97*BX97*BC97*(EXP(AS97*CJ97*CL97*BT97)-1))/(BY97*BP97+BX97*BC97)^2)/BT97),"")</f>
        <v>#VALUE!</v>
      </c>
      <c r="CN97" s="1588" t="e">
        <f aca="false">IF(BS97,SQRT(LN(1+((CE97*BR97)^2*(EXP(CK97^2*BT97)-1)+(CD97*BK97)^2*(EXP(CL97^2*BT97)-1)+2*CE97*BR97*CD97*BK97*(EXP(AS97*CK97*CL97*BT97)-1))/(CE97*BR97+CD97*BK97)^2)/BT97),"")</f>
        <v>#VALUE!</v>
      </c>
      <c r="CO97" s="1531" t="e">
        <f aca="false">IF(OR(BQ97,BS97),VLOOKUP(A97,GasTable,13)*HeatRatePeak*(1+VLOOKUP($B97,HeatRateDegradation,$C97+1))/1000,0)</f>
        <v>#VALUE!</v>
      </c>
      <c r="CP97" s="1316" t="e">
        <f aca="false">IF(OR(BQ97,BS97),VLOOKUP(A97,GasTable,13)*HeatRatePeak*(1+VLOOKUP($B97,HeatRateDegradation,$C97+1))/1000,0)</f>
        <v>#VALUE!</v>
      </c>
      <c r="CQ97" s="1316" t="e">
        <f aca="false">IF(OR(BQ97,BS97),VLOOKUP(A97,GasTable,13)*IF(EV97,HeatRatePeak,HeatRateOffPeak)*(1+VLOOKUP($B97,HeatRateDegradation,$C97+1))/1000,0)</f>
        <v>#VALUE!</v>
      </c>
      <c r="CR97" s="1316" t="e">
        <f aca="false">IF(OR(BQ97,BS97),VLOOKUP(A97,GasTable,13)*IF(EW97,HeatRatePeak,HeatRateOffPeak)*(1+VLOOKUP($B97,HeatRateDegradation,$C97+1))/1000,0)</f>
        <v>#VALUE!</v>
      </c>
      <c r="CS97" s="1589" t="e">
        <f aca="false">IF(BQ97,(CO97*AZ97+CP97*BA97+CQ97*BB97+CR97*BC97)/BQ97,0)</f>
        <v>#VALUE!</v>
      </c>
      <c r="CT97" s="1316" t="e">
        <f aca="false">IF(BS97,CO97,0)</f>
        <v>#VALUE!</v>
      </c>
      <c r="CU97" s="1590" t="e">
        <f aca="false">IF(OR(BQ97,BS97),VLOOKUP(A97,GasTable,14),"")</f>
        <v>#VALUE!</v>
      </c>
      <c r="CV97" s="1568" t="e">
        <f aca="false">IF(OR(BQ97,BS97),IF(CorrPowerGasOverFlag,INDEX(CorrPowerGasOver,C97),CorrPowerGas),"")</f>
        <v>#VALUE!</v>
      </c>
      <c r="CW97" s="1316" t="e">
        <f aca="false">IF(OR($BQ97,$BS97),SpreadOptPowerMargin,0)*((1+Assumptions!$C$26)^($B97-YEAR(Assumptions!$C$17)))</f>
        <v>#VALUE!</v>
      </c>
      <c r="CX97" s="1316" t="e">
        <f aca="false">IF(OR($BQ97,$BS97),SpreadOptPowerMargin,0)*((1+Assumptions!$C$26)^($B97-YEAR(Assumptions!$C$17)))</f>
        <v>#VALUE!</v>
      </c>
      <c r="CY97" s="1316" t="e">
        <f aca="false">IF(OR($BQ97,$BS97),SpreadOptPowerMargin,0)*((1+Assumptions!$C$26)^($B97-YEAR(Assumptions!$C$17)))</f>
        <v>#VALUE!</v>
      </c>
      <c r="CZ97" s="1316" t="e">
        <f aca="false">IF(OR($BQ97,$BS97),SpreadOptPowerMargin,0)*((1+Assumptions!$C$26)^($B97-YEAR(Assumptions!$C$17)))</f>
        <v>#VALUE!</v>
      </c>
      <c r="DA97" s="1591" t="e">
        <f aca="false">IF(OR(BQ97,BS97),(CW97*(AZ97+BH97)+CX97*(BA97+BI97)+CY97*(BB97+BJ97)+CZ97*(BC97+BK97))/(BQ97+BS97),0)</f>
        <v>#VALUE!</v>
      </c>
      <c r="DB97" s="1592" t="e">
        <f aca="false">IF(OR(BQ97,BS97),CG97+IF(OVolSmile,VLOOKUP(MAX(-5,CO97+CW97-BU97),IF(OVolSmile=1,VolSmileBook,VolSmileModel),2),0),"")</f>
        <v>#VALUE!</v>
      </c>
      <c r="DC97" s="1592" t="e">
        <f aca="false">IF(OR(BQ97,BS97),CH97+IF(OVolSmile,VLOOKUP(MAX(-5,CP97+CW97-BV97),IF(OVolSmile=1,VolSmileBook,VolSmileModel),2),0),"")</f>
        <v>#VALUE!</v>
      </c>
      <c r="DD97" s="1592" t="e">
        <f aca="false">IF(OR(BQ97,BS97),CI97+IF(OVolSmile,VLOOKUP(MAX(-5,CQ97+CW97-BW97),IF(OVolSmile=1,VolSmileBook,VolSmileModel),2),0),"")</f>
        <v>#VALUE!</v>
      </c>
      <c r="DE97" s="1592" t="e">
        <f aca="false">IF(OR(BQ97,BS97),CL97+IF(OVolSmile,VLOOKUP(MAX(-5,CR97+CZ97-BX97),IF(OVolSmile=1,VolSmileBook,VolSmileModel),2),0),"")</f>
        <v>#VALUE!</v>
      </c>
      <c r="DF97" s="1592" t="e">
        <f aca="false">IF(BQ97,CM97+IF(OVolSmile,VLOOKUP(MAX(-5,CS97+DA97-BZ97),IF(OVolSmile=1,VolSmileBook,VolSmileModel),2),0),"")</f>
        <v>#VALUE!</v>
      </c>
      <c r="DG97" s="1593" t="e">
        <f aca="false">IF(BS97,CN97+IF(OVolSmile,VLOOKUP(MAX(-5,CT97+DA97-CF97),IF(OVolSmile=1,VolSmileBook,VolSmileModel),2),0),"")</f>
        <v>#VALUE!</v>
      </c>
      <c r="DH97" s="1316" t="e">
        <f aca="false">IF(AND(BU97&gt;0,CO97&gt;0,DB97&gt;0,CU97&gt;0),newSPRDOPT(BU97,CO97,CW97,0,DB97,CU97,CV97,BT97*365.25,OCallPut,0),0)</f>
        <v>#VALUE!</v>
      </c>
      <c r="DI97" s="1316" t="e">
        <f aca="false">IF(AND(BV97&gt;0,CP97&gt;0,DC97&gt;0,CU97&gt;0),newSPRDOPT(BV97,CP97,CX97,0,DC97,CU97,CV97,BT97*365.25,OCallPut,0),0)</f>
        <v>#VALUE!</v>
      </c>
      <c r="DJ97" s="1316" t="e">
        <f aca="false">IF(AND(BW97&gt;0,CQ97&gt;0,DD97&gt;0,CU97&gt;0),newSPRDOPT(BW97,CQ97,CY97,0,DD97,CU97,CV97,BT97*365.25,OCallPut,0),0)</f>
        <v>#VALUE!</v>
      </c>
      <c r="DK97" s="1316" t="e">
        <f aca="false">IF(AND(BX97&gt;0,CR97&gt;0,DE97&gt;0,CU97&gt;0),newSPRDOPT(BX97,CR97,CZ97,0,DE97,CU97,CV97,BT97*365.25,OCallPut,0),0)</f>
        <v>#VALUE!</v>
      </c>
      <c r="DL97" s="1316" t="e">
        <f aca="false">IF(OVolType,IF(AND(BZ97&gt;0,CS97&gt;0,DF97&gt;0,CU97&gt;0),newSPRDOPT(BZ97,CS97,DA97,0,DF97,CU97,CV97,BT97*365.25,OCallPut,0),0),IF(BQ97,(DH97*AZ97+DI97*BA97+DJ97*BB97+DK97*BC97)/BQ97,0))</f>
        <v>#VALUE!</v>
      </c>
      <c r="DM97" s="1316"/>
      <c r="DN97" s="1316"/>
      <c r="DO97" s="1316"/>
      <c r="DP97" s="1316"/>
      <c r="DQ97" s="1316"/>
      <c r="DR97" s="1316"/>
      <c r="DS97" s="1316"/>
      <c r="DT97" s="1316"/>
      <c r="DU97" s="1316"/>
      <c r="DV97" s="1316"/>
      <c r="DW97" s="1594" t="e">
        <f aca="false">IF(AND(BW97&gt;0,CT97&gt;0,DD97&gt;0,CU97&gt;0),newSPRDOPT(BW97,CT97,CY97,0,DD97,CU97,CV97,BT97*365.25,OCallPut,0),0)</f>
        <v>#VALUE!</v>
      </c>
      <c r="DX97" s="1316" t="e">
        <f aca="false">IF(AND(BX97&gt;0,CT97&gt;0,DE97&gt;0,CU97&gt;0),newSPRDOPT(BX97,CT97,CZ97,0,DE97,CU97,CV97,BT97*365.25,OCallPut,0),0)</f>
        <v>#VALUE!</v>
      </c>
      <c r="DY97" s="1591" t="e">
        <f aca="false">IF(BS97,(DH97*BH97+DI97*BI97+DW97*BJ97+DX97*BK97)/BS97,0)</f>
        <v>#VALUE!</v>
      </c>
      <c r="DZ97" s="1551" t="e">
        <f aca="false">DH97*AZ97</f>
        <v>#VALUE!</v>
      </c>
      <c r="EA97" s="1551" t="e">
        <f aca="false">DI97*BA97</f>
        <v>#VALUE!</v>
      </c>
      <c r="EB97" s="1551" t="e">
        <f aca="false">DJ97*BB97</f>
        <v>#VALUE!</v>
      </c>
      <c r="EC97" s="1551" t="e">
        <f aca="false">DK97*BC97</f>
        <v>#VALUE!</v>
      </c>
      <c r="ED97" s="1551" t="e">
        <f aca="false">DL97*BQ97</f>
        <v>#VALUE!</v>
      </c>
      <c r="EE97" s="1595" t="e">
        <f aca="false">IF(BQ97,IF(OCallPut,IF(BU97&gt;(CO97+CW97),BU97-(CO97+CW97),0),IF((CO97+CW97)&gt;BU97,(CO97+CW97)-BU97,0))*AZ97,0)</f>
        <v>#VALUE!</v>
      </c>
      <c r="EF97" s="1596" t="e">
        <f aca="false">IF(BQ97,IF(OCallPut,IF(BV97&gt;(CP97+CX97),BV97-(CP97+CX97),0),IF((CP97+CX97)&gt;BV97,(CP97+CX97)-BV97,0))*BA97,0)</f>
        <v>#VALUE!</v>
      </c>
      <c r="EG97" s="1596" t="e">
        <f aca="false">IF(BQ97,IF(OCallPut,IF(BW97&gt;(CQ97+CY97),BW97-(CQ97+CY97),0),IF((CQ97+CY97)&gt;BW97,(CQ97+CY97)-BW97,0))*BB97,0)</f>
        <v>#VALUE!</v>
      </c>
      <c r="EH97" s="1596" t="e">
        <f aca="false">IF(BQ97,IF(OCallPut,IF(BX97&gt;(CR97+CZ97),BX97-(CR97+CZ97),0),IF((CR97+CZ97)&gt;BX97,(CR97+CZ97)-BX97,0))*BC97,0)</f>
        <v>#VALUE!</v>
      </c>
      <c r="EI97" s="1597" t="e">
        <f aca="false">IF(BQ97,IF(OVolType,IF(OCallPut,IF(BZ97&gt;(CS97+DA97),BZ97-(CS97+DA97),0),IF((CS97+DA97)&gt;BZ97,(CS97+DA97)-BZ97,0))*BQ97,SUM(EE97:EH97)),0)</f>
        <v>#VALUE!</v>
      </c>
      <c r="EJ97" s="1595" t="e">
        <f aca="false">DZ97-EE97</f>
        <v>#VALUE!</v>
      </c>
      <c r="EK97" s="1596" t="e">
        <f aca="false">EA97-EF97</f>
        <v>#VALUE!</v>
      </c>
      <c r="EL97" s="1596" t="e">
        <f aca="false">EB97-EG97</f>
        <v>#VALUE!</v>
      </c>
      <c r="EM97" s="1596" t="e">
        <f aca="false">EC97-EH97</f>
        <v>#VALUE!</v>
      </c>
      <c r="EN97" s="1597" t="e">
        <f aca="false">ED97-EI97</f>
        <v>#VALUE!</v>
      </c>
      <c r="EO97" s="1551" t="e">
        <f aca="false">DH97*BH97</f>
        <v>#VALUE!</v>
      </c>
      <c r="EP97" s="1551" t="e">
        <f aca="false">DI97*BI97</f>
        <v>#VALUE!</v>
      </c>
      <c r="EQ97" s="1551" t="e">
        <f aca="false">DW97*BJ97</f>
        <v>#VALUE!</v>
      </c>
      <c r="ER97" s="1551" t="e">
        <f aca="false">DX97*BK97</f>
        <v>#VALUE!</v>
      </c>
      <c r="ES97" s="1551" t="e">
        <f aca="false">DY97*BS97</f>
        <v>#VALUE!</v>
      </c>
      <c r="ET97" s="1566" t="e">
        <f aca="false">IF(EI97,IF(OCallPut,IF(CA97&gt;(CT97+CW97),CA97-(CT97+CW97),0),IF((CT97+CW97)&gt;CA97,(CT97+CW97)-CA97,0))*BH97,0)</f>
        <v>#VALUE!</v>
      </c>
      <c r="EU97" s="1551" t="e">
        <f aca="false">IF(EI97,IF(OCallPut,IF(CB97&gt;(CT97+CX97),CB97-(CT97+CX97),0),IF((CT97+CX97)&gt;CB97,(CT97+CX97)-CB97,0))*BI97,0)</f>
        <v>#VALUE!</v>
      </c>
      <c r="EV97" s="1551" t="e">
        <f aca="false">IF(EI97,IF(OCallPut,IF(CC97&gt;(CT97+CY97),CC97-(CT97+CY97),0),IF((CT97+CY97)&gt;CC97,(CT97+CY97)-CC97,0))*BJ97,0)</f>
        <v>#VALUE!</v>
      </c>
      <c r="EW97" s="1551" t="e">
        <f aca="false">IF(EI97,IF(OCallPut,IF(CD97&gt;(CT97+CZ97),CD97-(CT97+CZ97),0),IF((CT97+CZ97)&gt;CD97,(CT97+CZ97)-CD97,0))*BK97,0)</f>
        <v>#VALUE!</v>
      </c>
      <c r="EX97" s="1558" t="e">
        <f aca="false">IF(EI97,SUM(ET97:EW97),0)</f>
        <v>#VALUE!</v>
      </c>
      <c r="EY97" s="1551" t="e">
        <f aca="false">EO97-ET97</f>
        <v>#VALUE!</v>
      </c>
      <c r="EZ97" s="1551" t="e">
        <f aca="false">EP97-EU97</f>
        <v>#VALUE!</v>
      </c>
      <c r="FA97" s="1551" t="e">
        <f aca="false">EQ97-EV97</f>
        <v>#VALUE!</v>
      </c>
      <c r="FB97" s="1551" t="e">
        <f aca="false">ER97-EW97</f>
        <v>#VALUE!</v>
      </c>
      <c r="FC97" s="1551" t="e">
        <f aca="false">ES97-EX97</f>
        <v>#VALUE!</v>
      </c>
      <c r="FD97" s="1525" t="n">
        <f aca="false">IF(AX97,IF(VLOOKUP(C97,MAIN!$L$17:$M$28,2)="Yes",VLOOKUP(CALC!B97,MAIN!$H$17:$I$20,2),0),0)</f>
        <v>0</v>
      </c>
      <c r="FE97" s="1552" t="e">
        <f aca="false">$FD97*16*AT97*(1-$AY97)</f>
        <v>#VALUE!</v>
      </c>
      <c r="FF97" s="1553" t="e">
        <f aca="false">$FD97*16*AU97*(1-$AY97)</f>
        <v>#VALUE!</v>
      </c>
      <c r="FG97" s="1553" t="e">
        <f aca="false">$FD97*16*(AV97+AW97)*(1-$AY97)</f>
        <v>#VALUE!</v>
      </c>
      <c r="FH97" s="1554" t="n">
        <f aca="false">$FD97*8*AX97*(1-$AY97)</f>
        <v>0</v>
      </c>
      <c r="FI97" s="1555" t="n">
        <f aca="false">IF(AX97,VLOOKUP(CALC!B97,MAIN!$H$17:$K$20,4),0)</f>
        <v>0</v>
      </c>
      <c r="FJ97" s="1553" t="e">
        <f aca="false">SUM(FE97:FH97)</f>
        <v>#VALUE!</v>
      </c>
      <c r="FK97" s="1556" t="e">
        <f aca="false">FI97*FJ97</f>
        <v>#VALUE!</v>
      </c>
      <c r="FL97" s="1551" t="e">
        <f aca="false">IF($EI97&gt;0,MIN(FE97,AZ97*(1+VLOOKUP($C97,WeatherCapacityAdjustment,2))),0)</f>
        <v>#VALUE!</v>
      </c>
      <c r="FM97" s="1551" t="e">
        <f aca="false">IF($EI97&gt;0,MIN(FF97,BA97*(1+VLOOKUP($C97,WeatherCapacityAdjustment,2))),0)</f>
        <v>#VALUE!</v>
      </c>
      <c r="FN97" s="1551" t="e">
        <f aca="false">IF($EI97&gt;0,MIN(FG97,BB97*(1+VLOOKUP($C97,WeatherCapacityAdjustment,2))),0)</f>
        <v>#VALUE!</v>
      </c>
      <c r="FO97" s="1564" t="e">
        <f aca="false">IF($EI97&gt;0,MIN(FH97,BC97*(1+VLOOKUP($C97,WeatherCapacityAdjustment,3))),0)</f>
        <v>#VALUE!</v>
      </c>
      <c r="FP97" s="1551" t="e">
        <f aca="false">IF(ET97&gt;0,MIN(FE97-FL97,BH97*(1+VLOOKUP($C97,WeatherCapacityAdjustment,2))),0)</f>
        <v>#VALUE!</v>
      </c>
      <c r="FQ97" s="1551" t="e">
        <f aca="false">IF(EU97&gt;0,MIN(FF97-FM97,BI97*(1+VLOOKUP($C97,WeatherCapacityAdjustment,2))),0)</f>
        <v>#VALUE!</v>
      </c>
      <c r="FR97" s="1551" t="e">
        <f aca="false">IF(EV97&gt;0,MIN(FG97-FN97,BJ97*(1+VLOOKUP($C97,WeatherCapacityAdjustment,2))),0)</f>
        <v>#VALUE!</v>
      </c>
      <c r="FS97" s="1558" t="e">
        <f aca="false">IF(EW97&gt;0,MIN(FH97-FO97,BK97*(1+VLOOKUP($C97,WeatherCapacityAdjustment,3))),0)</f>
        <v>#VALUE!</v>
      </c>
      <c r="FT97" s="1566" t="e">
        <f aca="false">IF(AND(Assumptions!$H$71="Yes",A97&gt;=Assumptions!$H$72,A97&lt;=Assumptions!$H$73),0,IF(AND($A97&gt;=Assumptions!$C$17,$A97&lt;=Assumptions!$C$18),MAX(AZ97*(1+VLOOKUP($C97,WeatherCapacityAdjustment,2))-FL97,0),0))</f>
        <v>#VALUE!</v>
      </c>
      <c r="FU97" s="1551" t="e">
        <f aca="false">IF(AND(Assumptions!$H$71="Yes",A97&gt;=Assumptions!$H$72,A97&lt;=Assumptions!$H$73),0,IF(AND($A97&gt;=Assumptions!$C$17,$A97&lt;=Assumptions!$C$18),MAX(BA97*(1+VLOOKUP($C97,WeatherCapacityAdjustment,2))-FM97,0),0))</f>
        <v>#VALUE!</v>
      </c>
      <c r="FV97" s="1551" t="e">
        <f aca="false">IF(AND(Assumptions!$H$71="Yes",A97&gt;=Assumptions!$H$72,A97&lt;=Assumptions!$H$73),0,IF(AND($A97&gt;=Assumptions!$C$17,$A97&lt;=Assumptions!$C$18),MAX(BB97*(1+VLOOKUP($C97,WeatherCapacityAdjustment,2))-FN97,0),0))</f>
        <v>#VALUE!</v>
      </c>
      <c r="FW97" s="1564" t="e">
        <f aca="false">IF(AND(Assumptions!$H$71="Yes",A97&gt;=Assumptions!$H$72,A97&lt;=Assumptions!$H$73),0,IF(AND($A97&gt;=Assumptions!$C$17,$A97&lt;=Assumptions!$C$18),MAX(BC97*(1+VLOOKUP($C97,WeatherCapacityAdjustment,3))-FO97,0),0))</f>
        <v>#VALUE!</v>
      </c>
      <c r="FX97" s="1569" t="e">
        <f aca="false">IF(AND(Assumptions!$H$71="Yes",A97&gt;=Assumptions!$H$72,A97&lt;=Assumptions!$H$73),0,IF(ET97&gt;0,MAX(BH97*(1+VLOOKUP($C97,WeatherCapacityAdjustment,2))-FP97,0),0))</f>
        <v>#VALUE!</v>
      </c>
      <c r="FY97" s="1551" t="e">
        <f aca="false">IF(AND(Assumptions!$H$71="Yes",A97&gt;=Assumptions!$H$72,A97&lt;=Assumptions!$H$73),0,IF(EU97&gt;0,MAX(BI97*(1+VLOOKUP($C97,WeatherCapacityAdjustment,3))-FQ97,0),0))</f>
        <v>#VALUE!</v>
      </c>
      <c r="FZ97" s="1551" t="e">
        <f aca="false">IF(AND(Assumptions!$H$71="Yes",A97&gt;=Assumptions!$H$72,A97&lt;=Assumptions!$H$73),0,IF(EV97&gt;0,MAX(BJ97*(1+VLOOKUP($C97,WeatherCapacityAdjustment,2))-FR97,0),0))</f>
        <v>#VALUE!</v>
      </c>
      <c r="GA97" s="1564" t="e">
        <f aca="false">IF(AND(Assumptions!$H$71="Yes",A97&gt;=Assumptions!$H$72,A97&lt;=Assumptions!$H$73),0,IF(EW97&gt;0,MAX(BK97*(1+VLOOKUP($C97,WeatherCapacityAdjustment,2))-FS97,0),0))</f>
        <v>#VALUE!</v>
      </c>
      <c r="GB97" s="1551" t="e">
        <f aca="false">SUM(FT97:GA97)</f>
        <v>#VALUE!</v>
      </c>
      <c r="GC97" s="1563" t="e">
        <f aca="false">+IF(SUM(FT97:GA97)=0,0,(SUMPRODUCT(BU97:BX97,FT97:FW97)+SUMPRODUCT(CA97:CD97,FX97:GA97))/SUM(FT97:GA97))</f>
        <v>#VALUE!</v>
      </c>
      <c r="GD97" s="1551" t="e">
        <f aca="false">(FT97*BU97+FX97*CA97+FU97*BV97+FY97*CB97+FV97*BW97+FZ97*CC97+FW97*BX97+GA97*CD97)</f>
        <v>#VALUE!</v>
      </c>
      <c r="GE97" s="1561" t="e">
        <f aca="false">+IF(BQ97,((FL97+FM97+FT97+FU97)*HeatRatePeak/1000*(1+VLOOKUP($C97,WeatherHeatRateAdjustment,2))+(FN97+FV97)*IF(EV97&gt;0,HeatRatePeak,HeatRateOffPeak)/1000*(1+VLOOKUP($C97,WeatherHeatRateAdjustment,2))+(FO97+FW97)*IF(EW97&gt;0,HeatRatePeak,HeatRateOffPeak)/1000*(1+VLOOKUP($C97,WeatherHeatRateAdjustment,3)))*(1+VLOOKUP($B97,HeatRateDegradation,$C97+1)),0)</f>
        <v>#VALUE!</v>
      </c>
      <c r="GF97" s="1562" t="e">
        <f aca="false">IF(BQ97,((FP97+FQ97+FR97+FX97+FY97+FZ97)*HeatRatePeak/1000*(1+VLOOKUP($C97,WeatherHeatRateAdjustment,2))+(FS97+GA97)*HeatRatePeak/1000*(1+VLOOKUP($C97,WeatherHeatRateAdjustment,3)))*(1+VLOOKUP($B97,HeatRateDegradation,$C97+1)),0)</f>
        <v>#VALUE!</v>
      </c>
      <c r="GG97" s="1563" t="e">
        <f aca="false">IF(BQ97,VLOOKUP(A97,GasTable,13),0)</f>
        <v>#VALUE!</v>
      </c>
      <c r="GH97" s="1564" t="e">
        <f aca="false">(GE97+GF97)*GG97</f>
        <v>#VALUE!</v>
      </c>
      <c r="GI97" s="1569" t="e">
        <f aca="false">GB97</f>
        <v>#VALUE!</v>
      </c>
      <c r="GJ97" s="1598" t="e">
        <f aca="false">+DA97</f>
        <v>#VALUE!</v>
      </c>
      <c r="GK97" s="1558" t="e">
        <f aca="false">+GI97*GJ97</f>
        <v>#VALUE!</v>
      </c>
      <c r="GL97" s="1566" t="e">
        <f aca="false">MAX(FE97-FL97-FP97,0)</f>
        <v>#VALUE!</v>
      </c>
      <c r="GM97" s="1551" t="e">
        <f aca="false">MAX(FF97-FM97-FQ97,0)</f>
        <v>#VALUE!</v>
      </c>
      <c r="GN97" s="1551" t="e">
        <f aca="false">MAX(FG97-FN97-FR97,0)</f>
        <v>#VALUE!</v>
      </c>
      <c r="GO97" s="1564" t="e">
        <f aca="false">MAX(FH97-FO97-FS97,0)</f>
        <v>#VALUE!</v>
      </c>
      <c r="GP97" s="1551" t="e">
        <f aca="false">SUM(GL97:GO97)</f>
        <v>#VALUE!</v>
      </c>
      <c r="GQ97" s="1563" t="e">
        <f aca="false">IF(SUM(GL97:GO97)=0,0,((GL97*BU97+GM97*BV97+GN97*BW97+GO97*BX97)/SUM(GL97:GO97)))</f>
        <v>#VALUE!</v>
      </c>
      <c r="GR97" s="1558" t="e">
        <f aca="false">(GL97*BU97+GM97*BV97+GN97*BW97+GO97*BX97)</f>
        <v>#VALUE!</v>
      </c>
      <c r="GS97" s="1566" t="n">
        <f aca="false">IF($A97&gt;=BegDate,Assumptions!$C$56*24*($A98-$A97)*(1-VLOOKUP($B97,MAIN!$AA$7:$AM$28,$C97+1))*(1-VLOOKUP($B97,MAIN!$AA$33:$AM$54,$C97+1)),0)*80/168</f>
        <v>257742.857142857</v>
      </c>
      <c r="GT97" s="286" t="n">
        <f aca="false">J97</f>
        <v>48.2376761901303</v>
      </c>
      <c r="GU97" s="286" t="n">
        <f aca="false">IF($A97&gt;=BegDate,VLOOKUP($A97,GasTable,13)+Assumptions!$C$58,0)</f>
        <v>2.98452482989336</v>
      </c>
      <c r="GV97" s="286" t="n">
        <f aca="false">GU97*Assumptions!$C$57/1000</f>
        <v>21.6378050167269</v>
      </c>
      <c r="GW97" s="1558" t="n">
        <f aca="false">IF(Assumptions!$C$60="Hourly",MAX(0,GS97*(GT97-GV97)),GS97*(GT97-GV97))</f>
        <v>6855926.79586494</v>
      </c>
      <c r="GX97" s="1566" t="n">
        <f aca="false">IF($A97&gt;=BegDate,Assumptions!$C$56*24*($A98-$A97)*(1-VLOOKUP($B97,MAIN!$AA$7:$AM$28,$C97+1))*(1-VLOOKUP($B97,MAIN!$AA$33:$AM$54,$C97+1)),0)*16/168</f>
        <v>51548.5714285714</v>
      </c>
      <c r="GY97" s="286" t="n">
        <f aca="false">M97</f>
        <v>48.2376761901303</v>
      </c>
      <c r="GZ97" s="286" t="n">
        <f aca="false">IF($A97&gt;=BegDate,VLOOKUP($A97,GasTable,13)+Assumptions!$C$58,0)</f>
        <v>2.98452482989336</v>
      </c>
      <c r="HA97" s="286" t="n">
        <f aca="false">GZ97*Assumptions!$C$57/1000</f>
        <v>21.6378050167269</v>
      </c>
      <c r="HB97" s="1558" t="n">
        <f aca="false">IF(Assumptions!$C$60="Hourly",MAX(0,GX97*(GY97-HA97)),GX97*(GY97-HA97))</f>
        <v>1371185.35917299</v>
      </c>
      <c r="HC97" s="1566" t="n">
        <f aca="false">IF($A97&gt;=BegDate,Assumptions!$C$56*24*($A98-$A97)*(1-VLOOKUP($B97,MAIN!$AA$7:$AM$28,$C97+1))*(1-VLOOKUP($B97,MAIN!$AA$33:$AM$54,$C97+1)),0)*16/168</f>
        <v>51548.5714285714</v>
      </c>
      <c r="HD97" s="286" t="n">
        <f aca="false">P97</f>
        <v>29.6950178001018</v>
      </c>
      <c r="HE97" s="286" t="n">
        <f aca="false">IF($A97&gt;=BegDate,VLOOKUP($A97,GasTable,13)+Assumptions!$C$58,0)</f>
        <v>2.98452482989336</v>
      </c>
      <c r="HF97" s="286" t="n">
        <f aca="false">HE97*Assumptions!$C$57/1000</f>
        <v>21.6378050167269</v>
      </c>
      <c r="HG97" s="1558" t="n">
        <f aca="false">IF(Assumptions!$C$60="Hourly",MAX(0,HC97*(HD97-HF97)),HC97*(HD97-HF97))</f>
        <v>415337.808679004</v>
      </c>
      <c r="HH97" s="1566" t="n">
        <f aca="false">IF($A97&gt;=BegDate,Assumptions!$C$56*24*($A98-$A97)*(1-VLOOKUP($B97,MAIN!$AA$7:$AM$28,$C97+1))*(1-VLOOKUP($B97,MAIN!$AA$33:$AM$54,$C97+1)),0)*56/168</f>
        <v>180420</v>
      </c>
      <c r="HI97" s="286" t="n">
        <f aca="false">S97</f>
        <v>29.6950178001018</v>
      </c>
      <c r="HJ97" s="286" t="n">
        <f aca="false">IF($A97&gt;=BegDate,VLOOKUP($A97,GasTable,13)+Assumptions!$C$58,0)</f>
        <v>2.98452482989336</v>
      </c>
      <c r="HK97" s="286" t="n">
        <f aca="false">HJ97*Assumptions!$C$57/1000</f>
        <v>21.6378050167269</v>
      </c>
      <c r="HL97" s="1558" t="n">
        <f aca="false">IF(Assumptions!$C$60="Hourly",MAX(0,HH97*(HI97-HK97)),HH97*(HI97-HK97))</f>
        <v>1453682.33037651</v>
      </c>
      <c r="HM97" s="1566" t="n">
        <f aca="false">IF(AND(Assumptions!$H$71="Yes",A97&gt;=Assumptions!$H$72,A97&lt;=Assumptions!$H$73),Assumptions!$H$74*Assumptions!$C$9*1000,0)</f>
        <v>0</v>
      </c>
      <c r="HN97" s="1551"/>
      <c r="HO97" s="1563"/>
      <c r="HP97" s="1563"/>
      <c r="HQ97" s="1563"/>
      <c r="HR97" s="1563"/>
      <c r="HS97" s="1563"/>
      <c r="HT97" s="1563"/>
      <c r="HU97" s="1563"/>
      <c r="HV97" s="1563"/>
      <c r="HW97" s="1563"/>
      <c r="HX97" s="1563"/>
      <c r="HY97" s="1563"/>
      <c r="HZ97" s="1563"/>
      <c r="IA97" s="1563"/>
      <c r="IB97" s="1563"/>
      <c r="IC97" s="1563"/>
      <c r="ID97" s="1563"/>
      <c r="IE97" s="1563"/>
      <c r="IF97" s="1563"/>
      <c r="IG97" s="1563"/>
      <c r="IH97" s="1563"/>
      <c r="II97" s="1610"/>
      <c r="IJ97" s="1309"/>
      <c r="IK97" s="1309"/>
    </row>
    <row r="98" customFormat="false" ht="12.75" hidden="false" customHeight="false" outlineLevel="0" collapsed="false">
      <c r="A98" s="1571" t="n">
        <f aca="false">EOMONTH(A97,0)+1</f>
        <v>39114</v>
      </c>
      <c r="B98" s="594" t="n">
        <f aca="false">+YEAR(A98)</f>
        <v>2007</v>
      </c>
      <c r="C98" s="238" t="n">
        <f aca="false">MONTH(A98)</f>
        <v>2</v>
      </c>
      <c r="D98" s="1572" t="e">
        <f aca="false">IF(E98="","",Holiday(B98,C98))</f>
        <v>#VALUE!</v>
      </c>
      <c r="E98" s="1573" t="n">
        <f aca="false">IF(OR(BegDate&gt;=A99,EndDate&lt;A98,AND(VolumeMonthlyOverFlag,INDEX(VolumeMonthlyOver,C98)=0),NOT(INDEX(MonthKnockOutTable,C98))),"",MAX(A98,BegDate))</f>
        <v>39114</v>
      </c>
      <c r="F98" s="1574" t="n">
        <f aca="false">IF(E98="","",MIN(A99-1,EndDate))</f>
        <v>39141</v>
      </c>
      <c r="G98" s="1575" t="n">
        <v>0</v>
      </c>
      <c r="H98" s="1576" t="n">
        <f aca="false">(1+G98/2)^(-2*(DATE(B99,C99,20)-DateToday)/365.25)</f>
        <v>1</v>
      </c>
      <c r="I98" s="1568" t="n">
        <f aca="false">IF(Assumptions!$L$25=4,VLOOKUP($A98,'Henwood Reference'!$E$9:$R$320,10),(VLOOKUP($A98,PriceTable,2,0)+IF(BasisNumber&lt;&gt;1,VLOOKUP($A98,BasisTable,2,0),0)+I$1)/(1-I$2))</f>
        <v>41.2963984376593</v>
      </c>
      <c r="J98" s="1568" t="n">
        <f aca="false">IF(Assumptions!$L$25=4,VLOOKUP($A98,'Henwood Reference'!$E$9:$R$320,10),(VLOOKUP($A98,PriceTable,3,0)+IF(BasisNumber&lt;&gt;1,VLOOKUP($A98,BasisTable,2,0),0)+J$1)/(1-J$2))</f>
        <v>41.2963984376593</v>
      </c>
      <c r="K98" s="1568" t="n">
        <f aca="false">IF(Assumptions!$L$25=4,VLOOKUP($A98,'Henwood Reference'!$E$9:$R$320,10),(VLOOKUP($A98,PriceTable,4,0)+IF(BasisNumber&lt;&gt;1,VLOOKUP($A98,BasisTable,2,0),0)+K$1)/(1-K$2))</f>
        <v>41.2963984376593</v>
      </c>
      <c r="L98" s="1523" t="n">
        <f aca="false">IF(Assumptions!$L$25=4,VLOOKUP($A98,'Henwood Reference'!$E$9:$R$320,10),(VLOOKUP($A98,PriceTableWeekend,2,0)+IF(BasisNumber&lt;&gt;1,VLOOKUP($A98,BasisTable,2,0),0)+L$1)/(1-L$2))</f>
        <v>41.2963984376593</v>
      </c>
      <c r="M98" s="1568" t="n">
        <f aca="false">IF(Assumptions!$L$25=4,VLOOKUP($A98,'Henwood Reference'!$E$9:$R$320,10),(VLOOKUP($A98,PriceTableWeekend,3,0)+IF(BasisNumber&lt;&gt;1,VLOOKUP($A98,BasisTable,2,0),0)+M$1)/(1-M$2))</f>
        <v>41.2963984376593</v>
      </c>
      <c r="N98" s="1599" t="n">
        <f aca="false">IF(Assumptions!$L$25=4,VLOOKUP($A98,'Henwood Reference'!$E$9:$R$320,10),(VLOOKUP($A98,PriceTableWeekend,4,0)+IF(BasisNumber&lt;&gt;1,VLOOKUP($A98,BasisTable,2,0),0)+N$1)/(1-N$2))</f>
        <v>41.2963984376593</v>
      </c>
      <c r="O98" s="1568" t="n">
        <f aca="false">IF(Assumptions!$L$25=4,VLOOKUP($A98,'Henwood Reference'!$E$9:$R$320,11),(VLOOKUP($A98,PriceTableWeekend,6,0)+IF(BasisNumber&lt;&gt;1,VLOOKUP($A98,BasisTable,3,0),0)+O$1)/(1-O$2))</f>
        <v>25.2586788830736</v>
      </c>
      <c r="P98" s="1568" t="n">
        <f aca="false">IF(Assumptions!$L$25=4,VLOOKUP($A98,'Henwood Reference'!$E$9:$R$320,11),(VLOOKUP($A98,PriceTableWeekend,7,0)+IF(BasisNumber&lt;&gt;1,VLOOKUP($A98,BasisTable,3,0),0)+P$1)/(1-P$2))</f>
        <v>25.2586788830736</v>
      </c>
      <c r="Q98" s="1599" t="n">
        <f aca="false">IF(Assumptions!$L$25=4,VLOOKUP($A98,'Henwood Reference'!$E$9:$R$320,11),(VLOOKUP($A98,PriceTableWeekend,8,0)+IF(BasisNumber&lt;&gt;1,VLOOKUP($A98,BasisTable,3,0),0)+Q$1)/(1-Q$2))</f>
        <v>25.2586788830736</v>
      </c>
      <c r="R98" s="1568" t="n">
        <f aca="false">IF(Assumptions!$L$25=4,VLOOKUP($A98,'Henwood Reference'!$E$9:$R$320,11),(VLOOKUP($A98,PriceTable,6,0)+IF(BasisNumber&lt;&gt;1,VLOOKUP($A98,BasisTable,3,0),0)+R$1)/(1-R$2))</f>
        <v>25.2586788830736</v>
      </c>
      <c r="S98" s="1568" t="n">
        <f aca="false">IF(Assumptions!$L$25=4,VLOOKUP($A98,'Henwood Reference'!$E$9:$R$320,11),(VLOOKUP($A98,PriceTable,7,0)+IF(BasisNumber&lt;&gt;1,VLOOKUP($A98,BasisTable,3,0),0)+S$1)/(1-S$2))</f>
        <v>25.2586788830736</v>
      </c>
      <c r="T98" s="1600" t="n">
        <f aca="false">IF(Assumptions!$L$25=4,VLOOKUP($A98,'Henwood Reference'!$E$9:$R$320,11),(VLOOKUP($A98,PriceTable,8,0)+IF(BasisNumber&lt;&gt;1,VLOOKUP($A98,BasisTable,3,0),0)+T$1)/(1-T$2))</f>
        <v>25.2586788830736</v>
      </c>
      <c r="U98" s="1513" t="n">
        <f aca="false">VLOOKUP($A98,VolatilityTable,14)</f>
        <v>0.135</v>
      </c>
      <c r="V98" s="1513" t="n">
        <f aca="false">VLOOKUP($A98,VolatilityTable,15)</f>
        <v>0.145</v>
      </c>
      <c r="W98" s="1514" t="n">
        <f aca="false">VLOOKUP($A98,VolatilityTable,16)</f>
        <v>0.155</v>
      </c>
      <c r="X98" s="1513" t="n">
        <f aca="false">VLOOKUP($A98,VolatilityTable,14)</f>
        <v>0.135</v>
      </c>
      <c r="Y98" s="1513" t="n">
        <f aca="false">VLOOKUP($A98,VolatilityTable,15)</f>
        <v>0.145</v>
      </c>
      <c r="Z98" s="1514" t="n">
        <f aca="false">VLOOKUP($A98,VolatilityTable,16)</f>
        <v>0.155</v>
      </c>
      <c r="AA98" s="1513" t="n">
        <f aca="false">VLOOKUP($A98,VolatilityTable,18)</f>
        <v>0.09</v>
      </c>
      <c r="AB98" s="1513" t="n">
        <f aca="false">VLOOKUP($A98,VolatilityTable,19)</f>
        <v>0.11</v>
      </c>
      <c r="AC98" s="1514" t="n">
        <f aca="false">VLOOKUP($A98,VolatilityTable,20)</f>
        <v>0.13</v>
      </c>
      <c r="AD98" s="1513" t="n">
        <f aca="false">VLOOKUP($A98,VolatilityTable,18)</f>
        <v>0.09</v>
      </c>
      <c r="AE98" s="1513" t="n">
        <f aca="false">VLOOKUP($A98,VolatilityTable,19)</f>
        <v>0.11</v>
      </c>
      <c r="AF98" s="1514" t="n">
        <f aca="false">VLOOKUP($A98,VolatilityTable,20)</f>
        <v>0.13</v>
      </c>
      <c r="AG98" s="1513" t="n">
        <f aca="false">VLOOKUP($A98,VolatilityTable,22)</f>
        <v>-0.25</v>
      </c>
      <c r="AH98" s="1513" t="n">
        <f aca="false">VLOOKUP($A98,VolatilityTable,23)</f>
        <v>0.65</v>
      </c>
      <c r="AI98" s="1514" t="n">
        <f aca="false">VLOOKUP($A98,VolatilityTable,24)</f>
        <v>0.25</v>
      </c>
      <c r="AJ98" s="1513" t="n">
        <f aca="false">VLOOKUP($A98,VolatilityTable,22)</f>
        <v>-0.25</v>
      </c>
      <c r="AK98" s="1513" t="n">
        <f aca="false">VLOOKUP($A98,VolatilityTable,23)</f>
        <v>0.65</v>
      </c>
      <c r="AL98" s="1514" t="n">
        <f aca="false">VLOOKUP($A98,VolatilityTable,24)</f>
        <v>0.25</v>
      </c>
      <c r="AM98" s="1513" t="n">
        <f aca="false">VLOOKUP($A98,VolatilityTable,26)</f>
        <v>-0.01</v>
      </c>
      <c r="AN98" s="1513" t="n">
        <f aca="false">VLOOKUP($A98,VolatilityTable,27)</f>
        <v>0.16</v>
      </c>
      <c r="AO98" s="1514" t="n">
        <f aca="false">VLOOKUP($A98,VolatilityTable,28)</f>
        <v>0.01</v>
      </c>
      <c r="AP98" s="1513" t="n">
        <f aca="false">VLOOKUP($A98,VolatilityTable,26)</f>
        <v>-0.01</v>
      </c>
      <c r="AQ98" s="1513" t="n">
        <f aca="false">VLOOKUP($A98,VolatilityTable,27)</f>
        <v>0.16</v>
      </c>
      <c r="AR98" s="1515" t="n">
        <f aca="false">VLOOKUP($A98,VolatilityTable,28)</f>
        <v>0.01</v>
      </c>
      <c r="AS98" s="1581" t="n">
        <f aca="false">IF(CorrPeakOffPeakOverFlag,INDEX(CorrPeakOffPeakOver,C98),CorrPeakOffPeak)</f>
        <v>0.5</v>
      </c>
      <c r="AT98" s="594" t="e">
        <f aca="false">AX98-SUM(AU98:AW98)</f>
        <v>#VALUE!</v>
      </c>
      <c r="AU98" s="238" t="e">
        <f aca="false">IF(E98="",0,INT((F98-MOD(F98,7)-E98)/7)+1-IF(AW98,IF(WEEKDAY(D98)=7,1,0),0))</f>
        <v>#VALUE!</v>
      </c>
      <c r="AV98" s="238" t="e">
        <f aca="false">IF(E98="",0,INT((F98-MOD(F98-1,7)-E98)/7)+1-IF(AW98,IF(WEEKDAY(D98)=1,1,0),0))</f>
        <v>#VALUE!</v>
      </c>
      <c r="AW98" s="238" t="e">
        <f aca="false">IF(OR(E98="",D98="",D98&lt;BegDate,D98&gt;EndDate),0,1)</f>
        <v>#VALUE!</v>
      </c>
      <c r="AX98" s="238" t="n">
        <f aca="false">IF(E98="",0,F98-E98+1)</f>
        <v>28</v>
      </c>
      <c r="AY98" s="1582" t="n">
        <f aca="false">IF(E98="",0,MIN((1-(1-VLOOKUP(B98,MAIN!$AA$7:$AM$28,C98+1))*(1-VLOOKUP(B98,MAIN!$AA$33:$AM$54,C98+1))),1))</f>
        <v>0.03</v>
      </c>
      <c r="AZ98" s="1519" t="e">
        <v>#VALUE!</v>
      </c>
      <c r="BA98" s="1520" t="e">
        <v>#VALUE!</v>
      </c>
      <c r="BB98" s="1520" t="e">
        <v>#VALUE!</v>
      </c>
      <c r="BC98" s="1583" t="e">
        <v>#VALUE!</v>
      </c>
      <c r="BD98" s="1522" t="e">
        <v>#VALUE!</v>
      </c>
      <c r="BE98" s="1523" t="e">
        <v>#VALUE!</v>
      </c>
      <c r="BF98" s="1523" t="e">
        <v>#VALUE!</v>
      </c>
      <c r="BG98" s="1584" t="e">
        <v>#VALUE!</v>
      </c>
      <c r="BH98" s="1525" t="e">
        <v>#VALUE!</v>
      </c>
      <c r="BI98" s="1520" t="e">
        <v>#VALUE!</v>
      </c>
      <c r="BJ98" s="1520" t="e">
        <v>#VALUE!</v>
      </c>
      <c r="BK98" s="1583" t="e">
        <v>#VALUE!</v>
      </c>
      <c r="BL98" s="1522" t="e">
        <v>#VALUE!</v>
      </c>
      <c r="BM98" s="1523" t="e">
        <v>#VALUE!</v>
      </c>
      <c r="BN98" s="1523" t="e">
        <v>#VALUE!</v>
      </c>
      <c r="BO98" s="1523" t="e">
        <v>#VALUE!</v>
      </c>
      <c r="BP98" s="1525" t="e">
        <f aca="false">SUM(AZ98:BB98)</f>
        <v>#VALUE!</v>
      </c>
      <c r="BQ98" s="1529" t="e">
        <f aca="false">SUM(AZ98:BC98)</f>
        <v>#VALUE!</v>
      </c>
      <c r="BR98" s="1519" t="e">
        <f aca="false">SUM(BH98:BJ98)</f>
        <v>#VALUE!</v>
      </c>
      <c r="BS98" s="1529" t="e">
        <f aca="false">SUM(BH98:BK98)</f>
        <v>#VALUE!</v>
      </c>
      <c r="BT98" s="1316" t="n">
        <f aca="false">(IF(OVolType&lt;&gt;2,A98+14,IF(OptExpDateShift,ShiftBack(A98,OptExpDateShift,D97),A98))-DateToday)/365.25</f>
        <v>6.80082135523614</v>
      </c>
      <c r="BU98" s="1585" t="e">
        <f aca="false">IF(BQ98,IF(OPriceCurve,IF(OBuySell=OCallPut,I98/(1-AY98),K98/(1-AY98)),J98/(1-AY98))*BD98,0)</f>
        <v>#VALUE!</v>
      </c>
      <c r="BV98" s="1316" t="e">
        <f aca="false">IF(BQ98,IF(OPriceCurve,IF(OBuySell=OCallPut,L98/(1-AY98),N98/(1-AY98)),M98/(1-AY98))*BE98,0)</f>
        <v>#VALUE!</v>
      </c>
      <c r="BW98" s="1316" t="e">
        <f aca="false">IF(BQ98,IF(OPriceCurve,IF(OBuySell=OCallPut,O98/(1-AY98),Q98/(1-AY98)),P98/(1-AY98))*BF98,0)</f>
        <v>#VALUE!</v>
      </c>
      <c r="BX98" s="1316" t="e">
        <f aca="false">IF(BQ98,IF(OPriceCurve,IF(OBuySell=OCallPut,R98/(1-AY98),T98/(1-AY98)),S98/(1-AY98))*BG98,0)</f>
        <v>#VALUE!</v>
      </c>
      <c r="BY98" s="1316" t="e">
        <f aca="false">IF(BP98,(BU98*AZ98+BV98*BA98+BW98*BB98)/BP98,0)</f>
        <v>#VALUE!</v>
      </c>
      <c r="BZ98" s="1316" t="e">
        <f aca="false">IF(BQ98,(BY98*BP98+BX98*BC98)/BQ98,0)</f>
        <v>#VALUE!</v>
      </c>
      <c r="CA98" s="1531" t="e">
        <f aca="false">IF(BS98,IF(OPriceCurve,IF(OBuySell=OCallPut,I98/(1-AY98),K98/(1-AY98)),J98/(1-AY98))*BL98,0)</f>
        <v>#VALUE!</v>
      </c>
      <c r="CB98" s="1316" t="e">
        <f aca="false">IF(BS98,IF(OPriceCurve,IF(OBuySell=OCallPut,L98/(1-AY98),N98/(1-AY98)),M98/(1-AY98))*BM98,0)</f>
        <v>#VALUE!</v>
      </c>
      <c r="CC98" s="1316" t="e">
        <f aca="false">IF(BS98,IF(OPriceCurve,IF(OBuySell=OCallPut,O98/(1-AY98),Q98/(1-AY98)),P98/(1-AY98))*BN98,0)</f>
        <v>#VALUE!</v>
      </c>
      <c r="CD98" s="1316" t="e">
        <f aca="false">IF(BS98,IF(OPriceCurve,IF(OBuySell=OCallPut,R98/(1-AY98),T98/(1-AY98)),S98/(1-AY98))*BO98,0)</f>
        <v>#VALUE!</v>
      </c>
      <c r="CE98" s="1316" t="e">
        <f aca="false">IF(BR98,(BU98*BH98+BV98*BI98+BW98*BJ98)/BR98,0)</f>
        <v>#VALUE!</v>
      </c>
      <c r="CF98" s="1532" t="e">
        <f aca="false">IF(BS98,(CE98*BR98+CD98*BK98)/BS98,0)</f>
        <v>#VALUE!</v>
      </c>
      <c r="CG98" s="1586" t="e">
        <f aca="false">IF(OR(BQ98,BS98),IF(OVolType&lt;&gt;2,SQRT(IF(OVolOverMonthlyPeak,OVolOverMonthlyPeak,IF(OVolCurve,IF(OBuySell,U98,W98),V98))^2*(1-15/365.25/BT98)+IF(OVolOverDailyPeak,OVolOverDailyPeak,IF(OVolCurve,IF(OBuySell,AG98,AI98),AH98))^2*15/365.25/BT98),IF(OVolOverMonthlyPeak,OVolOverMonthlyPeak,IF(OVolCurve,IF(OBuySell,U98,W98),V98))),"")</f>
        <v>#VALUE!</v>
      </c>
      <c r="CH98" s="1587" t="e">
        <f aca="false">IF(OR(BQ98,BS98),IF(OVolType&lt;&gt;2,SQRT(IF(OVolOverMonthlyPeak,OVolOverMonthlyPeak,IF(OVolCurve,IF(OBuySell,X98,Z98),Y98))^2*(1-15/365.25/BT98)+IF(OVolOverDailyPeak,OVolOverDailyPeak,IF(OVolCurve,IF(OBuySell,AJ98,AL98),AK98))^2*15/365.25/BT98),IF(OVolOverMonthlyPeak,OVolOverMonthlyPeak,IF(OVolCurve,IF(OBuySell,X98,Z98),Y98))),"")</f>
        <v>#VALUE!</v>
      </c>
      <c r="CI98" s="1587" t="e">
        <f aca="false">IF(OR(BQ98,BS98),IF(OVolType&lt;&gt;2,SQRT(IF(OVolOverMonthlyPeak,OVolOverMonthlyPeak,IF(OVolCurve,IF(OBuySell,AA98,AC98),AB98))^2*(1-15/365.25/BT98)+IF(OVolOverDailyPeak,OVolOverDailyPeak,IF(OVolCurve,IF(OBuySell,AM98,AO98),AN98))^2*15/365.25/BT98),IF(OVolOverMonthlyPeak,OVolOverMonthlyPeak,IF(OVolCurve,IF(OBuySell,AA98,AC98),AB98))),"")</f>
        <v>#VALUE!</v>
      </c>
      <c r="CJ98" s="1587" t="e">
        <f aca="false">IF(BQ98,IF(BP98,SQRT(LN(1+((BU98*AZ98)^2*(EXP(CG98^2*BT98)-1)+(BV98*BA98)^2*(EXP(CH98^2*BT98)-1)+(BW98*BB98)^2*(EXP(CI98^2*BT98)-1)+2*BU98*AZ98*BV98*BA98*(EXP(CG98*CH98*BT98)-1)+2*BV98*BA98*BW98*BB98*(EXP(CH98*CI98*BT98)-1)+2*BW98*BB98*BU98*AZ98*(EXP(CI98*CG98*BT98)-1))/(BY98*BP98)^2)/BT98),0),"")</f>
        <v>#VALUE!</v>
      </c>
      <c r="CK98" s="1587" t="e">
        <f aca="false">IF(BS98,IF(BR98,SQRT(LN(1+((CA98*BH98)^2*(EXP(CG98^2*BT98)-1)+(CB98*BI98)^2*(EXP(CH98^2*BT98)-1)+(CC98*BJ98)^2*(EXP(CI98^2*BT98)-1)+2*CA98*BH98*CB98*BI98*(EXP(CG98*CH98*BT98)-1)+2*CB98*BI98*CC98*BJ98*(EXP(CH98*CI98*BT98)-1)+2*CC98*BJ98*CA98*BH98*(EXP(CI98*CG98*BT98)-1))/(CE98*BR98)^2)/BT98),0),"")</f>
        <v>#VALUE!</v>
      </c>
      <c r="CL98" s="1587" t="e">
        <f aca="false">IF(OR(BQ98,BS98),IF(OVolType&lt;&gt;2,SQRT(IF(OVolOverMonthlyOffPeak,OVolOverMonthlyOffPeak,IF(OVolCurve,IF(OBuySell,AD98,AF98),AE98))^2*(1-15/365.25/BT98)+IF(OVolOverDailyOffPeak,OVolOverDailyOffPeak,IF(OVolCurve,IF(OBuySell,AP98,AR98),AQ98))^2*15/365.25/BT98),IF(OVolOverMonthlyOffPeak,OVolOverMonthlyOffPeak,IF(OVolCurve,IF(OBuySell,AD98,AF98),AE98))),"")</f>
        <v>#VALUE!</v>
      </c>
      <c r="CM98" s="1587" t="e">
        <f aca="false">IF(BQ98,SQRT(LN(1+((BY98*BP98)^2*(EXP(CJ98^2*BT98)-1)+(BX98*BC98)^2*(EXP(CL98^2*BT98)-1)+2*BY98*BP98*BX98*BC98*(EXP(AS98*CJ98*CL98*BT98)-1))/(BY98*BP98+BX98*BC98)^2)/BT98),"")</f>
        <v>#VALUE!</v>
      </c>
      <c r="CN98" s="1588" t="e">
        <f aca="false">IF(BS98,SQRT(LN(1+((CE98*BR98)^2*(EXP(CK98^2*BT98)-1)+(CD98*BK98)^2*(EXP(CL98^2*BT98)-1)+2*CE98*BR98*CD98*BK98*(EXP(AS98*CK98*CL98*BT98)-1))/(CE98*BR98+CD98*BK98)^2)/BT98),"")</f>
        <v>#VALUE!</v>
      </c>
      <c r="CO98" s="1531" t="e">
        <f aca="false">IF(OR(BQ98,BS98),VLOOKUP(A98,GasTable,13)*HeatRatePeak*(1+VLOOKUP($B98,HeatRateDegradation,$C98+1))/1000,0)</f>
        <v>#VALUE!</v>
      </c>
      <c r="CP98" s="1316" t="e">
        <f aca="false">IF(OR(BQ98,BS98),VLOOKUP(A98,GasTable,13)*HeatRatePeak*(1+VLOOKUP($B98,HeatRateDegradation,$C98+1))/1000,0)</f>
        <v>#VALUE!</v>
      </c>
      <c r="CQ98" s="1316" t="e">
        <f aca="false">IF(OR(BQ98,BS98),VLOOKUP(A98,GasTable,13)*IF(EV98,HeatRatePeak,HeatRateOffPeak)*(1+VLOOKUP($B98,HeatRateDegradation,$C98+1))/1000,0)</f>
        <v>#VALUE!</v>
      </c>
      <c r="CR98" s="1316" t="e">
        <f aca="false">IF(OR(BQ98,BS98),VLOOKUP(A98,GasTable,13)*IF(EW98,HeatRatePeak,HeatRateOffPeak)*(1+VLOOKUP($B98,HeatRateDegradation,$C98+1))/1000,0)</f>
        <v>#VALUE!</v>
      </c>
      <c r="CS98" s="1589" t="e">
        <f aca="false">IF(BQ98,(CO98*AZ98+CP98*BA98+CQ98*BB98+CR98*BC98)/BQ98,0)</f>
        <v>#VALUE!</v>
      </c>
      <c r="CT98" s="1316" t="e">
        <f aca="false">IF(BS98,CO98,0)</f>
        <v>#VALUE!</v>
      </c>
      <c r="CU98" s="1590" t="e">
        <f aca="false">IF(OR(BQ98,BS98),VLOOKUP(A98,GasTable,14),"")</f>
        <v>#VALUE!</v>
      </c>
      <c r="CV98" s="1568" t="e">
        <f aca="false">IF(OR(BQ98,BS98),IF(CorrPowerGasOverFlag,INDEX(CorrPowerGasOver,C98),CorrPowerGas),"")</f>
        <v>#VALUE!</v>
      </c>
      <c r="CW98" s="1316" t="e">
        <f aca="false">IF(OR($BQ98,$BS98),SpreadOptPowerMargin,0)*((1+Assumptions!$C$26)^($B98-YEAR(Assumptions!$C$17)))</f>
        <v>#VALUE!</v>
      </c>
      <c r="CX98" s="1316" t="e">
        <f aca="false">IF(OR($BQ98,$BS98),SpreadOptPowerMargin,0)*((1+Assumptions!$C$26)^($B98-YEAR(Assumptions!$C$17)))</f>
        <v>#VALUE!</v>
      </c>
      <c r="CY98" s="1316" t="e">
        <f aca="false">IF(OR($BQ98,$BS98),SpreadOptPowerMargin,0)*((1+Assumptions!$C$26)^($B98-YEAR(Assumptions!$C$17)))</f>
        <v>#VALUE!</v>
      </c>
      <c r="CZ98" s="1316" t="e">
        <f aca="false">IF(OR($BQ98,$BS98),SpreadOptPowerMargin,0)*((1+Assumptions!$C$26)^($B98-YEAR(Assumptions!$C$17)))</f>
        <v>#VALUE!</v>
      </c>
      <c r="DA98" s="1591" t="e">
        <f aca="false">IF(OR(BQ98,BS98),(CW98*(AZ98+BH98)+CX98*(BA98+BI98)+CY98*(BB98+BJ98)+CZ98*(BC98+BK98))/(BQ98+BS98),0)</f>
        <v>#VALUE!</v>
      </c>
      <c r="DB98" s="1592" t="e">
        <f aca="false">IF(OR(BQ98,BS98),CG98+IF(OVolSmile,VLOOKUP(MAX(-5,CO98+CW98-BU98),IF(OVolSmile=1,VolSmileBook,VolSmileModel),2),0),"")</f>
        <v>#VALUE!</v>
      </c>
      <c r="DC98" s="1592" t="e">
        <f aca="false">IF(OR(BQ98,BS98),CH98+IF(OVolSmile,VLOOKUP(MAX(-5,CP98+CW98-BV98),IF(OVolSmile=1,VolSmileBook,VolSmileModel),2),0),"")</f>
        <v>#VALUE!</v>
      </c>
      <c r="DD98" s="1592" t="e">
        <f aca="false">IF(OR(BQ98,BS98),CI98+IF(OVolSmile,VLOOKUP(MAX(-5,CQ98+CW98-BW98),IF(OVolSmile=1,VolSmileBook,VolSmileModel),2),0),"")</f>
        <v>#VALUE!</v>
      </c>
      <c r="DE98" s="1592" t="e">
        <f aca="false">IF(OR(BQ98,BS98),CL98+IF(OVolSmile,VLOOKUP(MAX(-5,CR98+CZ98-BX98),IF(OVolSmile=1,VolSmileBook,VolSmileModel),2),0),"")</f>
        <v>#VALUE!</v>
      </c>
      <c r="DF98" s="1592" t="e">
        <f aca="false">IF(BQ98,CM98+IF(OVolSmile,VLOOKUP(MAX(-5,CS98+DA98-BZ98),IF(OVolSmile=1,VolSmileBook,VolSmileModel),2),0),"")</f>
        <v>#VALUE!</v>
      </c>
      <c r="DG98" s="1593" t="e">
        <f aca="false">IF(BS98,CN98+IF(OVolSmile,VLOOKUP(MAX(-5,CT98+DA98-CF98),IF(OVolSmile=1,VolSmileBook,VolSmileModel),2),0),"")</f>
        <v>#VALUE!</v>
      </c>
      <c r="DH98" s="1316" t="e">
        <f aca="false">IF(AND(BU98&gt;0,CO98&gt;0,DB98&gt;0,CU98&gt;0),newSPRDOPT(BU98,CO98,CW98,0,DB98,CU98,CV98,BT98*365.25,OCallPut,0),0)</f>
        <v>#VALUE!</v>
      </c>
      <c r="DI98" s="1316" t="e">
        <f aca="false">IF(AND(BV98&gt;0,CP98&gt;0,DC98&gt;0,CU98&gt;0),newSPRDOPT(BV98,CP98,CX98,0,DC98,CU98,CV98,BT98*365.25,OCallPut,0),0)</f>
        <v>#VALUE!</v>
      </c>
      <c r="DJ98" s="1316" t="e">
        <f aca="false">IF(AND(BW98&gt;0,CQ98&gt;0,DD98&gt;0,CU98&gt;0),newSPRDOPT(BW98,CQ98,CY98,0,DD98,CU98,CV98,BT98*365.25,OCallPut,0),0)</f>
        <v>#VALUE!</v>
      </c>
      <c r="DK98" s="1316" t="e">
        <f aca="false">IF(AND(BX98&gt;0,CR98&gt;0,DE98&gt;0,CU98&gt;0),newSPRDOPT(BX98,CR98,CZ98,0,DE98,CU98,CV98,BT98*365.25,OCallPut,0),0)</f>
        <v>#VALUE!</v>
      </c>
      <c r="DL98" s="1316" t="e">
        <f aca="false">IF(OVolType,IF(AND(BZ98&gt;0,CS98&gt;0,DF98&gt;0,CU98&gt;0),newSPRDOPT(BZ98,CS98,DA98,0,DF98,CU98,CV98,BT98*365.25,OCallPut,0),0),IF(BQ98,(DH98*AZ98+DI98*BA98+DJ98*BB98+DK98*BC98)/BQ98,0))</f>
        <v>#VALUE!</v>
      </c>
      <c r="DM98" s="1316"/>
      <c r="DN98" s="1316"/>
      <c r="DO98" s="1316"/>
      <c r="DP98" s="1316"/>
      <c r="DQ98" s="1316"/>
      <c r="DR98" s="1316"/>
      <c r="DS98" s="1316"/>
      <c r="DT98" s="1316"/>
      <c r="DU98" s="1316"/>
      <c r="DV98" s="1316"/>
      <c r="DW98" s="1594" t="e">
        <f aca="false">IF(AND(BW98&gt;0,CT98&gt;0,DD98&gt;0,CU98&gt;0),newSPRDOPT(BW98,CT98,CY98,0,DD98,CU98,CV98,BT98*365.25,OCallPut,0),0)</f>
        <v>#VALUE!</v>
      </c>
      <c r="DX98" s="1316" t="e">
        <f aca="false">IF(AND(BX98&gt;0,CT98&gt;0,DE98&gt;0,CU98&gt;0),newSPRDOPT(BX98,CT98,CZ98,0,DE98,CU98,CV98,BT98*365.25,OCallPut,0),0)</f>
        <v>#VALUE!</v>
      </c>
      <c r="DY98" s="1591" t="e">
        <f aca="false">IF(BS98,(DH98*BH98+DI98*BI98+DW98*BJ98+DX98*BK98)/BS98,0)</f>
        <v>#VALUE!</v>
      </c>
      <c r="DZ98" s="1551" t="e">
        <f aca="false">DH98*AZ98</f>
        <v>#VALUE!</v>
      </c>
      <c r="EA98" s="1551" t="e">
        <f aca="false">DI98*BA98</f>
        <v>#VALUE!</v>
      </c>
      <c r="EB98" s="1551" t="e">
        <f aca="false">DJ98*BB98</f>
        <v>#VALUE!</v>
      </c>
      <c r="EC98" s="1551" t="e">
        <f aca="false">DK98*BC98</f>
        <v>#VALUE!</v>
      </c>
      <c r="ED98" s="1551" t="e">
        <f aca="false">DL98*BQ98</f>
        <v>#VALUE!</v>
      </c>
      <c r="EE98" s="1595" t="e">
        <f aca="false">IF(BQ98,IF(OCallPut,IF(BU98&gt;(CO98+CW98),BU98-(CO98+CW98),0),IF((CO98+CW98)&gt;BU98,(CO98+CW98)-BU98,0))*AZ98,0)</f>
        <v>#VALUE!</v>
      </c>
      <c r="EF98" s="1596" t="e">
        <f aca="false">IF(BQ98,IF(OCallPut,IF(BV98&gt;(CP98+CX98),BV98-(CP98+CX98),0),IF((CP98+CX98)&gt;BV98,(CP98+CX98)-BV98,0))*BA98,0)</f>
        <v>#VALUE!</v>
      </c>
      <c r="EG98" s="1596" t="e">
        <f aca="false">IF(BQ98,IF(OCallPut,IF(BW98&gt;(CQ98+CY98),BW98-(CQ98+CY98),0),IF((CQ98+CY98)&gt;BW98,(CQ98+CY98)-BW98,0))*BB98,0)</f>
        <v>#VALUE!</v>
      </c>
      <c r="EH98" s="1596" t="e">
        <f aca="false">IF(BQ98,IF(OCallPut,IF(BX98&gt;(CR98+CZ98),BX98-(CR98+CZ98),0),IF((CR98+CZ98)&gt;BX98,(CR98+CZ98)-BX98,0))*BC98,0)</f>
        <v>#VALUE!</v>
      </c>
      <c r="EI98" s="1597" t="e">
        <f aca="false">IF(BQ98,IF(OVolType,IF(OCallPut,IF(BZ98&gt;(CS98+DA98),BZ98-(CS98+DA98),0),IF((CS98+DA98)&gt;BZ98,(CS98+DA98)-BZ98,0))*BQ98,SUM(EE98:EH98)),0)</f>
        <v>#VALUE!</v>
      </c>
      <c r="EJ98" s="1595" t="e">
        <f aca="false">DZ98-EE98</f>
        <v>#VALUE!</v>
      </c>
      <c r="EK98" s="1596" t="e">
        <f aca="false">EA98-EF98</f>
        <v>#VALUE!</v>
      </c>
      <c r="EL98" s="1596" t="e">
        <f aca="false">EB98-EG98</f>
        <v>#VALUE!</v>
      </c>
      <c r="EM98" s="1596" t="e">
        <f aca="false">EC98-EH98</f>
        <v>#VALUE!</v>
      </c>
      <c r="EN98" s="1597" t="e">
        <f aca="false">ED98-EI98</f>
        <v>#VALUE!</v>
      </c>
      <c r="EO98" s="1551" t="e">
        <f aca="false">DH98*BH98</f>
        <v>#VALUE!</v>
      </c>
      <c r="EP98" s="1551" t="e">
        <f aca="false">DI98*BI98</f>
        <v>#VALUE!</v>
      </c>
      <c r="EQ98" s="1551" t="e">
        <f aca="false">DW98*BJ98</f>
        <v>#VALUE!</v>
      </c>
      <c r="ER98" s="1551" t="e">
        <f aca="false">DX98*BK98</f>
        <v>#VALUE!</v>
      </c>
      <c r="ES98" s="1551" t="e">
        <f aca="false">DY98*BS98</f>
        <v>#VALUE!</v>
      </c>
      <c r="ET98" s="1566" t="e">
        <f aca="false">IF(EI98,IF(OCallPut,IF(CA98&gt;(CT98+CW98),CA98-(CT98+CW98),0),IF((CT98+CW98)&gt;CA98,(CT98+CW98)-CA98,0))*BH98,0)</f>
        <v>#VALUE!</v>
      </c>
      <c r="EU98" s="1551" t="e">
        <f aca="false">IF(EI98,IF(OCallPut,IF(CB98&gt;(CT98+CX98),CB98-(CT98+CX98),0),IF((CT98+CX98)&gt;CB98,(CT98+CX98)-CB98,0))*BI98,0)</f>
        <v>#VALUE!</v>
      </c>
      <c r="EV98" s="1551" t="e">
        <f aca="false">IF(EI98,IF(OCallPut,IF(CC98&gt;(CT98+CY98),CC98-(CT98+CY98),0),IF((CT98+CY98)&gt;CC98,(CT98+CY98)-CC98,0))*BJ98,0)</f>
        <v>#VALUE!</v>
      </c>
      <c r="EW98" s="1551" t="e">
        <f aca="false">IF(EI98,IF(OCallPut,IF(CD98&gt;(CT98+CZ98),CD98-(CT98+CZ98),0),IF((CT98+CZ98)&gt;CD98,(CT98+CZ98)-CD98,0))*BK98,0)</f>
        <v>#VALUE!</v>
      </c>
      <c r="EX98" s="1558" t="e">
        <f aca="false">IF(EI98,SUM(ET98:EW98),0)</f>
        <v>#VALUE!</v>
      </c>
      <c r="EY98" s="1551" t="e">
        <f aca="false">EO98-ET98</f>
        <v>#VALUE!</v>
      </c>
      <c r="EZ98" s="1551" t="e">
        <f aca="false">EP98-EU98</f>
        <v>#VALUE!</v>
      </c>
      <c r="FA98" s="1551" t="e">
        <f aca="false">EQ98-EV98</f>
        <v>#VALUE!</v>
      </c>
      <c r="FB98" s="1551" t="e">
        <f aca="false">ER98-EW98</f>
        <v>#VALUE!</v>
      </c>
      <c r="FC98" s="1551" t="e">
        <f aca="false">ES98-EX98</f>
        <v>#VALUE!</v>
      </c>
      <c r="FD98" s="1525" t="n">
        <f aca="false">IF(AX98,IF(VLOOKUP(C98,MAIN!$L$17:$M$28,2)="Yes",VLOOKUP(CALC!B98,MAIN!$H$17:$I$20,2),0),0)</f>
        <v>0</v>
      </c>
      <c r="FE98" s="1552" t="e">
        <f aca="false">$FD98*16*AT98*(1-$AY98)</f>
        <v>#VALUE!</v>
      </c>
      <c r="FF98" s="1553" t="e">
        <f aca="false">$FD98*16*AU98*(1-$AY98)</f>
        <v>#VALUE!</v>
      </c>
      <c r="FG98" s="1553" t="e">
        <f aca="false">$FD98*16*(AV98+AW98)*(1-$AY98)</f>
        <v>#VALUE!</v>
      </c>
      <c r="FH98" s="1554" t="n">
        <f aca="false">$FD98*8*AX98*(1-$AY98)</f>
        <v>0</v>
      </c>
      <c r="FI98" s="1555" t="n">
        <f aca="false">IF(AX98,VLOOKUP(CALC!B98,MAIN!$H$17:$K$20,4),0)</f>
        <v>0</v>
      </c>
      <c r="FJ98" s="1553" t="e">
        <f aca="false">SUM(FE98:FH98)</f>
        <v>#VALUE!</v>
      </c>
      <c r="FK98" s="1556" t="e">
        <f aca="false">FI98*FJ98</f>
        <v>#VALUE!</v>
      </c>
      <c r="FL98" s="1551" t="e">
        <f aca="false">IF($EI98&gt;0,MIN(FE98,AZ98*(1+VLOOKUP($C98,WeatherCapacityAdjustment,2))),0)</f>
        <v>#VALUE!</v>
      </c>
      <c r="FM98" s="1551" t="e">
        <f aca="false">IF($EI98&gt;0,MIN(FF98,BA98*(1+VLOOKUP($C98,WeatherCapacityAdjustment,2))),0)</f>
        <v>#VALUE!</v>
      </c>
      <c r="FN98" s="1551" t="e">
        <f aca="false">IF($EI98&gt;0,MIN(FG98,BB98*(1+VLOOKUP($C98,WeatherCapacityAdjustment,2))),0)</f>
        <v>#VALUE!</v>
      </c>
      <c r="FO98" s="1564" t="e">
        <f aca="false">IF($EI98&gt;0,MIN(FH98,BC98*(1+VLOOKUP($C98,WeatherCapacityAdjustment,3))),0)</f>
        <v>#VALUE!</v>
      </c>
      <c r="FP98" s="1551" t="e">
        <f aca="false">IF(ET98&gt;0,MIN(FE98-FL98,BH98*(1+VLOOKUP($C98,WeatherCapacityAdjustment,2))),0)</f>
        <v>#VALUE!</v>
      </c>
      <c r="FQ98" s="1551" t="e">
        <f aca="false">IF(EU98&gt;0,MIN(FF98-FM98,BI98*(1+VLOOKUP($C98,WeatherCapacityAdjustment,2))),0)</f>
        <v>#VALUE!</v>
      </c>
      <c r="FR98" s="1551" t="e">
        <f aca="false">IF(EV98&gt;0,MIN(FG98-FN98,BJ98*(1+VLOOKUP($C98,WeatherCapacityAdjustment,2))),0)</f>
        <v>#VALUE!</v>
      </c>
      <c r="FS98" s="1558" t="e">
        <f aca="false">IF(EW98&gt;0,MIN(FH98-FO98,BK98*(1+VLOOKUP($C98,WeatherCapacityAdjustment,3))),0)</f>
        <v>#VALUE!</v>
      </c>
      <c r="FT98" s="1566" t="e">
        <f aca="false">IF(AND(Assumptions!$H$71="Yes",A98&gt;=Assumptions!$H$72,A98&lt;=Assumptions!$H$73),0,IF(AND($A98&gt;=Assumptions!$C$17,$A98&lt;=Assumptions!$C$18),MAX(AZ98*(1+VLOOKUP($C98,WeatherCapacityAdjustment,2))-FL98,0),0))</f>
        <v>#VALUE!</v>
      </c>
      <c r="FU98" s="1551" t="e">
        <f aca="false">IF(AND(Assumptions!$H$71="Yes",A98&gt;=Assumptions!$H$72,A98&lt;=Assumptions!$H$73),0,IF(AND($A98&gt;=Assumptions!$C$17,$A98&lt;=Assumptions!$C$18),MAX(BA98*(1+VLOOKUP($C98,WeatherCapacityAdjustment,2))-FM98,0),0))</f>
        <v>#VALUE!</v>
      </c>
      <c r="FV98" s="1551" t="e">
        <f aca="false">IF(AND(Assumptions!$H$71="Yes",A98&gt;=Assumptions!$H$72,A98&lt;=Assumptions!$H$73),0,IF(AND($A98&gt;=Assumptions!$C$17,$A98&lt;=Assumptions!$C$18),MAX(BB98*(1+VLOOKUP($C98,WeatherCapacityAdjustment,2))-FN98,0),0))</f>
        <v>#VALUE!</v>
      </c>
      <c r="FW98" s="1564" t="e">
        <f aca="false">IF(AND(Assumptions!$H$71="Yes",A98&gt;=Assumptions!$H$72,A98&lt;=Assumptions!$H$73),0,IF(AND($A98&gt;=Assumptions!$C$17,$A98&lt;=Assumptions!$C$18),MAX(BC98*(1+VLOOKUP($C98,WeatherCapacityAdjustment,3))-FO98,0),0))</f>
        <v>#VALUE!</v>
      </c>
      <c r="FX98" s="1569" t="e">
        <f aca="false">IF(AND(Assumptions!$H$71="Yes",A98&gt;=Assumptions!$H$72,A98&lt;=Assumptions!$H$73),0,IF(ET98&gt;0,MAX(BH98*(1+VLOOKUP($C98,WeatherCapacityAdjustment,2))-FP98,0),0))</f>
        <v>#VALUE!</v>
      </c>
      <c r="FY98" s="1551" t="e">
        <f aca="false">IF(AND(Assumptions!$H$71="Yes",A98&gt;=Assumptions!$H$72,A98&lt;=Assumptions!$H$73),0,IF(EU98&gt;0,MAX(BI98*(1+VLOOKUP($C98,WeatherCapacityAdjustment,3))-FQ98,0),0))</f>
        <v>#VALUE!</v>
      </c>
      <c r="FZ98" s="1551" t="e">
        <f aca="false">IF(AND(Assumptions!$H$71="Yes",A98&gt;=Assumptions!$H$72,A98&lt;=Assumptions!$H$73),0,IF(EV98&gt;0,MAX(BJ98*(1+VLOOKUP($C98,WeatherCapacityAdjustment,2))-FR98,0),0))</f>
        <v>#VALUE!</v>
      </c>
      <c r="GA98" s="1564" t="e">
        <f aca="false">IF(AND(Assumptions!$H$71="Yes",A98&gt;=Assumptions!$H$72,A98&lt;=Assumptions!$H$73),0,IF(EW98&gt;0,MAX(BK98*(1+VLOOKUP($C98,WeatherCapacityAdjustment,2))-FS98,0),0))</f>
        <v>#VALUE!</v>
      </c>
      <c r="GB98" s="1551" t="e">
        <f aca="false">SUM(FT98:GA98)</f>
        <v>#VALUE!</v>
      </c>
      <c r="GC98" s="1563" t="e">
        <f aca="false">+IF(SUM(FT98:GA98)=0,0,(SUMPRODUCT(BU98:BX98,FT98:FW98)+SUMPRODUCT(CA98:CD98,FX98:GA98))/SUM(FT98:GA98))</f>
        <v>#VALUE!</v>
      </c>
      <c r="GD98" s="1551" t="e">
        <f aca="false">(FT98*BU98+FX98*CA98+FU98*BV98+FY98*CB98+FV98*BW98+FZ98*CC98+FW98*BX98+GA98*CD98)</f>
        <v>#VALUE!</v>
      </c>
      <c r="GE98" s="1561" t="e">
        <f aca="false">+IF(BQ98,((FL98+FM98+FT98+FU98)*HeatRatePeak/1000*(1+VLOOKUP($C98,WeatherHeatRateAdjustment,2))+(FN98+FV98)*IF(EV98&gt;0,HeatRatePeak,HeatRateOffPeak)/1000*(1+VLOOKUP($C98,WeatherHeatRateAdjustment,2))+(FO98+FW98)*IF(EW98&gt;0,HeatRatePeak,HeatRateOffPeak)/1000*(1+VLOOKUP($C98,WeatherHeatRateAdjustment,3)))*(1+VLOOKUP($B98,HeatRateDegradation,$C98+1)),0)</f>
        <v>#VALUE!</v>
      </c>
      <c r="GF98" s="1562" t="e">
        <f aca="false">IF(BQ98,((FP98+FQ98+FR98+FX98+FY98+FZ98)*HeatRatePeak/1000*(1+VLOOKUP($C98,WeatherHeatRateAdjustment,2))+(FS98+GA98)*HeatRatePeak/1000*(1+VLOOKUP($C98,WeatherHeatRateAdjustment,3)))*(1+VLOOKUP($B98,HeatRateDegradation,$C98+1)),0)</f>
        <v>#VALUE!</v>
      </c>
      <c r="GG98" s="1563" t="e">
        <f aca="false">IF(BQ98,VLOOKUP(A98,GasTable,13),0)</f>
        <v>#VALUE!</v>
      </c>
      <c r="GH98" s="1564" t="e">
        <f aca="false">(GE98+GF98)*GG98</f>
        <v>#VALUE!</v>
      </c>
      <c r="GI98" s="1569" t="e">
        <f aca="false">GB98</f>
        <v>#VALUE!</v>
      </c>
      <c r="GJ98" s="1598" t="e">
        <f aca="false">+DA98</f>
        <v>#VALUE!</v>
      </c>
      <c r="GK98" s="1558" t="e">
        <f aca="false">+GI98*GJ98</f>
        <v>#VALUE!</v>
      </c>
      <c r="GL98" s="1566" t="e">
        <f aca="false">MAX(FE98-FL98-FP98,0)</f>
        <v>#VALUE!</v>
      </c>
      <c r="GM98" s="1551" t="e">
        <f aca="false">MAX(FF98-FM98-FQ98,0)</f>
        <v>#VALUE!</v>
      </c>
      <c r="GN98" s="1551" t="e">
        <f aca="false">MAX(FG98-FN98-FR98,0)</f>
        <v>#VALUE!</v>
      </c>
      <c r="GO98" s="1564" t="e">
        <f aca="false">MAX(FH98-FO98-FS98,0)</f>
        <v>#VALUE!</v>
      </c>
      <c r="GP98" s="1551" t="e">
        <f aca="false">SUM(GL98:GO98)</f>
        <v>#VALUE!</v>
      </c>
      <c r="GQ98" s="1563" t="e">
        <f aca="false">IF(SUM(GL98:GO98)=0,0,((GL98*BU98+GM98*BV98+GN98*BW98+GO98*BX98)/SUM(GL98:GO98)))</f>
        <v>#VALUE!</v>
      </c>
      <c r="GR98" s="1558" t="e">
        <f aca="false">(GL98*BU98+GM98*BV98+GN98*BW98+GO98*BX98)</f>
        <v>#VALUE!</v>
      </c>
      <c r="GS98" s="1566" t="n">
        <f aca="false">IF($A98&gt;=BegDate,Assumptions!$C$56*24*($A99-$A98)*(1-VLOOKUP($B98,MAIN!$AA$7:$AM$28,$C98+1))*(1-VLOOKUP($B98,MAIN!$AA$33:$AM$54,$C98+1)),0)*80/168</f>
        <v>232800</v>
      </c>
      <c r="GT98" s="286" t="n">
        <f aca="false">J98</f>
        <v>41.2963984376593</v>
      </c>
      <c r="GU98" s="286" t="n">
        <f aca="false">IF($A98&gt;=BegDate,VLOOKUP($A98,GasTable,13)+Assumptions!$C$58,0)</f>
        <v>2.75192946628056</v>
      </c>
      <c r="GV98" s="286" t="n">
        <f aca="false">GU98*Assumptions!$C$57/1000</f>
        <v>19.9514886305341</v>
      </c>
      <c r="GW98" s="1558" t="n">
        <f aca="false">IF(Assumptions!$C$60="Hourly",MAX(0,GS98*(GT98-GV98)),GS98*(GT98-GV98))</f>
        <v>4969095.00309875</v>
      </c>
      <c r="GX98" s="1566" t="n">
        <f aca="false">IF($A98&gt;=BegDate,Assumptions!$C$56*24*($A99-$A98)*(1-VLOOKUP($B98,MAIN!$AA$7:$AM$28,$C98+1))*(1-VLOOKUP($B98,MAIN!$AA$33:$AM$54,$C98+1)),0)*16/168</f>
        <v>46560</v>
      </c>
      <c r="GY98" s="286" t="n">
        <f aca="false">M98</f>
        <v>41.2963984376593</v>
      </c>
      <c r="GZ98" s="286" t="n">
        <f aca="false">IF($A98&gt;=BegDate,VLOOKUP($A98,GasTable,13)+Assumptions!$C$58,0)</f>
        <v>2.75192946628056</v>
      </c>
      <c r="HA98" s="286" t="n">
        <f aca="false">GZ98*Assumptions!$C$57/1000</f>
        <v>19.9514886305341</v>
      </c>
      <c r="HB98" s="1558" t="n">
        <f aca="false">IF(Assumptions!$C$60="Hourly",MAX(0,GX98*(GY98-HA98)),GX98*(GY98-HA98))</f>
        <v>993819.00061975</v>
      </c>
      <c r="HC98" s="1566" t="n">
        <f aca="false">IF($A98&gt;=BegDate,Assumptions!$C$56*24*($A99-$A98)*(1-VLOOKUP($B98,MAIN!$AA$7:$AM$28,$C98+1))*(1-VLOOKUP($B98,MAIN!$AA$33:$AM$54,$C98+1)),0)*16/168</f>
        <v>46560</v>
      </c>
      <c r="HD98" s="286" t="n">
        <f aca="false">P98</f>
        <v>25.2586788830736</v>
      </c>
      <c r="HE98" s="286" t="n">
        <f aca="false">IF($A98&gt;=BegDate,VLOOKUP($A98,GasTable,13)+Assumptions!$C$58,0)</f>
        <v>2.75192946628056</v>
      </c>
      <c r="HF98" s="286" t="n">
        <f aca="false">HE98*Assumptions!$C$57/1000</f>
        <v>19.9514886305341</v>
      </c>
      <c r="HG98" s="1558" t="n">
        <f aca="false">IF(Assumptions!$C$60="Hourly",MAX(0,HC98*(HD98-HF98)),HC98*(HD98-HF98))</f>
        <v>247102.778158238</v>
      </c>
      <c r="HH98" s="1566" t="n">
        <f aca="false">IF($A98&gt;=BegDate,Assumptions!$C$56*24*($A99-$A98)*(1-VLOOKUP($B98,MAIN!$AA$7:$AM$28,$C98+1))*(1-VLOOKUP($B98,MAIN!$AA$33:$AM$54,$C98+1)),0)*56/168</f>
        <v>162960</v>
      </c>
      <c r="HI98" s="286" t="n">
        <f aca="false">S98</f>
        <v>25.2586788830736</v>
      </c>
      <c r="HJ98" s="286" t="n">
        <f aca="false">IF($A98&gt;=BegDate,VLOOKUP($A98,GasTable,13)+Assumptions!$C$58,0)</f>
        <v>2.75192946628056</v>
      </c>
      <c r="HK98" s="286" t="n">
        <f aca="false">HJ98*Assumptions!$C$57/1000</f>
        <v>19.9514886305341</v>
      </c>
      <c r="HL98" s="1558" t="n">
        <f aca="false">IF(Assumptions!$C$60="Hourly",MAX(0,HH98*(HI98-HK98)),HH98*(HI98-HK98))</f>
        <v>864859.723553835</v>
      </c>
      <c r="HM98" s="1566" t="n">
        <f aca="false">IF(AND(Assumptions!$H$71="Yes",A98&gt;=Assumptions!$H$72,A98&lt;=Assumptions!$H$73),Assumptions!$H$74*Assumptions!$C$9*1000,0)</f>
        <v>0</v>
      </c>
      <c r="HN98" s="1551"/>
      <c r="HO98" s="1563"/>
      <c r="HP98" s="1563"/>
      <c r="HQ98" s="1563"/>
      <c r="HR98" s="1563"/>
      <c r="HS98" s="1563"/>
      <c r="HT98" s="1563"/>
      <c r="HU98" s="1563"/>
      <c r="HV98" s="1563"/>
      <c r="HW98" s="1563"/>
      <c r="HX98" s="1563"/>
      <c r="HY98" s="1563"/>
      <c r="HZ98" s="1563"/>
      <c r="IA98" s="1563"/>
      <c r="IB98" s="1563"/>
      <c r="IC98" s="1563"/>
      <c r="ID98" s="1563"/>
      <c r="IE98" s="1563"/>
      <c r="IF98" s="1563"/>
      <c r="IG98" s="1563"/>
      <c r="IH98" s="1563"/>
      <c r="II98" s="1610"/>
      <c r="IJ98" s="1309"/>
      <c r="IK98" s="1309"/>
    </row>
    <row r="99" customFormat="false" ht="12.75" hidden="false" customHeight="false" outlineLevel="0" collapsed="false">
      <c r="A99" s="1571" t="n">
        <f aca="false">EOMONTH(A98,0)+1</f>
        <v>39142</v>
      </c>
      <c r="B99" s="594" t="n">
        <f aca="false">+YEAR(A99)</f>
        <v>2007</v>
      </c>
      <c r="C99" s="238" t="n">
        <f aca="false">MONTH(A99)</f>
        <v>3</v>
      </c>
      <c r="D99" s="1572" t="e">
        <f aca="false">IF(E99="","",Holiday(B99,C99))</f>
        <v>#VALUE!</v>
      </c>
      <c r="E99" s="1573" t="n">
        <f aca="false">IF(OR(BegDate&gt;=A100,EndDate&lt;A99,AND(VolumeMonthlyOverFlag,INDEX(VolumeMonthlyOver,C99)=0),NOT(INDEX(MonthKnockOutTable,C99))),"",MAX(A99,BegDate))</f>
        <v>39142</v>
      </c>
      <c r="F99" s="1574" t="n">
        <f aca="false">IF(E99="","",MIN(A100-1,EndDate))</f>
        <v>39172</v>
      </c>
      <c r="G99" s="1575" t="n">
        <v>0</v>
      </c>
      <c r="H99" s="1576" t="n">
        <f aca="false">(1+G99/2)^(-2*(DATE(B100,C100,20)-DateToday)/365.25)</f>
        <v>1</v>
      </c>
      <c r="I99" s="1568" t="n">
        <f aca="false">IF(Assumptions!$L$25=4,VLOOKUP($A99,'Henwood Reference'!$E$9:$R$320,10),(VLOOKUP($A99,PriceTable,2,0)+IF(BasisNumber&lt;&gt;1,VLOOKUP($A99,BasisTable,2,0),0)+I$1)/(1-I$2))</f>
        <v>35.6243034793739</v>
      </c>
      <c r="J99" s="1568" t="n">
        <f aca="false">IF(Assumptions!$L$25=4,VLOOKUP($A99,'Henwood Reference'!$E$9:$R$320,10),(VLOOKUP($A99,PriceTable,3,0)+IF(BasisNumber&lt;&gt;1,VLOOKUP($A99,BasisTable,2,0),0)+J$1)/(1-J$2))</f>
        <v>35.6243034793739</v>
      </c>
      <c r="K99" s="1568" t="n">
        <f aca="false">IF(Assumptions!$L$25=4,VLOOKUP($A99,'Henwood Reference'!$E$9:$R$320,10),(VLOOKUP($A99,PriceTable,4,0)+IF(BasisNumber&lt;&gt;1,VLOOKUP($A99,BasisTable,2,0),0)+K$1)/(1-K$2))</f>
        <v>35.6243034793739</v>
      </c>
      <c r="L99" s="1523" t="n">
        <f aca="false">IF(Assumptions!$L$25=4,VLOOKUP($A99,'Henwood Reference'!$E$9:$R$320,10),(VLOOKUP($A99,PriceTableWeekend,2,0)+IF(BasisNumber&lt;&gt;1,VLOOKUP($A99,BasisTable,2,0),0)+L$1)/(1-L$2))</f>
        <v>35.6243034793739</v>
      </c>
      <c r="M99" s="1568" t="n">
        <f aca="false">IF(Assumptions!$L$25=4,VLOOKUP($A99,'Henwood Reference'!$E$9:$R$320,10),(VLOOKUP($A99,PriceTableWeekend,3,0)+IF(BasisNumber&lt;&gt;1,VLOOKUP($A99,BasisTable,2,0),0)+M$1)/(1-M$2))</f>
        <v>35.6243034793739</v>
      </c>
      <c r="N99" s="1599" t="n">
        <f aca="false">IF(Assumptions!$L$25=4,VLOOKUP($A99,'Henwood Reference'!$E$9:$R$320,10),(VLOOKUP($A99,PriceTableWeekend,4,0)+IF(BasisNumber&lt;&gt;1,VLOOKUP($A99,BasisTable,2,0),0)+N$1)/(1-N$2))</f>
        <v>35.6243034793739</v>
      </c>
      <c r="O99" s="1568" t="n">
        <f aca="false">IF(Assumptions!$L$25=4,VLOOKUP($A99,'Henwood Reference'!$E$9:$R$320,11),(VLOOKUP($A99,PriceTableWeekend,6,0)+IF(BasisNumber&lt;&gt;1,VLOOKUP($A99,BasisTable,3,0),0)+O$1)/(1-O$2))</f>
        <v>24.0916142447419</v>
      </c>
      <c r="P99" s="1568" t="n">
        <f aca="false">IF(Assumptions!$L$25=4,VLOOKUP($A99,'Henwood Reference'!$E$9:$R$320,11),(VLOOKUP($A99,PriceTableWeekend,7,0)+IF(BasisNumber&lt;&gt;1,VLOOKUP($A99,BasisTable,3,0),0)+P$1)/(1-P$2))</f>
        <v>24.0916142447419</v>
      </c>
      <c r="Q99" s="1599" t="n">
        <f aca="false">IF(Assumptions!$L$25=4,VLOOKUP($A99,'Henwood Reference'!$E$9:$R$320,11),(VLOOKUP($A99,PriceTableWeekend,8,0)+IF(BasisNumber&lt;&gt;1,VLOOKUP($A99,BasisTable,3,0),0)+Q$1)/(1-Q$2))</f>
        <v>24.0916142447419</v>
      </c>
      <c r="R99" s="1568" t="n">
        <f aca="false">IF(Assumptions!$L$25=4,VLOOKUP($A99,'Henwood Reference'!$E$9:$R$320,11),(VLOOKUP($A99,PriceTable,6,0)+IF(BasisNumber&lt;&gt;1,VLOOKUP($A99,BasisTable,3,0),0)+R$1)/(1-R$2))</f>
        <v>24.0916142447419</v>
      </c>
      <c r="S99" s="1568" t="n">
        <f aca="false">IF(Assumptions!$L$25=4,VLOOKUP($A99,'Henwood Reference'!$E$9:$R$320,11),(VLOOKUP($A99,PriceTable,7,0)+IF(BasisNumber&lt;&gt;1,VLOOKUP($A99,BasisTable,3,0),0)+S$1)/(1-S$2))</f>
        <v>24.0916142447419</v>
      </c>
      <c r="T99" s="1600" t="n">
        <f aca="false">IF(Assumptions!$L$25=4,VLOOKUP($A99,'Henwood Reference'!$E$9:$R$320,11),(VLOOKUP($A99,PriceTable,8,0)+IF(BasisNumber&lt;&gt;1,VLOOKUP($A99,BasisTable,3,0),0)+T$1)/(1-T$2))</f>
        <v>24.0916142447419</v>
      </c>
      <c r="U99" s="1513" t="n">
        <f aca="false">VLOOKUP($A99,VolatilityTable,14)</f>
        <v>0.135</v>
      </c>
      <c r="V99" s="1513" t="n">
        <f aca="false">VLOOKUP($A99,VolatilityTable,15)</f>
        <v>0.145</v>
      </c>
      <c r="W99" s="1514" t="n">
        <f aca="false">VLOOKUP($A99,VolatilityTable,16)</f>
        <v>0.155</v>
      </c>
      <c r="X99" s="1513" t="n">
        <f aca="false">VLOOKUP($A99,VolatilityTable,14)</f>
        <v>0.135</v>
      </c>
      <c r="Y99" s="1513" t="n">
        <f aca="false">VLOOKUP($A99,VolatilityTable,15)</f>
        <v>0.145</v>
      </c>
      <c r="Z99" s="1514" t="n">
        <f aca="false">VLOOKUP($A99,VolatilityTable,16)</f>
        <v>0.155</v>
      </c>
      <c r="AA99" s="1513" t="n">
        <f aca="false">VLOOKUP($A99,VolatilityTable,18)</f>
        <v>0.09</v>
      </c>
      <c r="AB99" s="1513" t="n">
        <f aca="false">VLOOKUP($A99,VolatilityTable,19)</f>
        <v>0.11</v>
      </c>
      <c r="AC99" s="1514" t="n">
        <f aca="false">VLOOKUP($A99,VolatilityTable,20)</f>
        <v>0.13</v>
      </c>
      <c r="AD99" s="1513" t="n">
        <f aca="false">VLOOKUP($A99,VolatilityTable,18)</f>
        <v>0.09</v>
      </c>
      <c r="AE99" s="1513" t="n">
        <f aca="false">VLOOKUP($A99,VolatilityTable,19)</f>
        <v>0.11</v>
      </c>
      <c r="AF99" s="1514" t="n">
        <f aca="false">VLOOKUP($A99,VolatilityTable,20)</f>
        <v>0.13</v>
      </c>
      <c r="AG99" s="1513" t="n">
        <f aca="false">VLOOKUP($A99,VolatilityTable,22)</f>
        <v>-0.1</v>
      </c>
      <c r="AH99" s="1513" t="n">
        <f aca="false">VLOOKUP($A99,VolatilityTable,23)</f>
        <v>0.65</v>
      </c>
      <c r="AI99" s="1514" t="n">
        <f aca="false">VLOOKUP($A99,VolatilityTable,24)</f>
        <v>0.1</v>
      </c>
      <c r="AJ99" s="1513" t="n">
        <f aca="false">VLOOKUP($A99,VolatilityTable,22)</f>
        <v>-0.1</v>
      </c>
      <c r="AK99" s="1513" t="n">
        <f aca="false">VLOOKUP($A99,VolatilityTable,23)</f>
        <v>0.65</v>
      </c>
      <c r="AL99" s="1514" t="n">
        <f aca="false">VLOOKUP($A99,VolatilityTable,24)</f>
        <v>0.1</v>
      </c>
      <c r="AM99" s="1513" t="n">
        <f aca="false">VLOOKUP($A99,VolatilityTable,26)</f>
        <v>-0.01</v>
      </c>
      <c r="AN99" s="1513" t="n">
        <f aca="false">VLOOKUP($A99,VolatilityTable,27)</f>
        <v>0.16</v>
      </c>
      <c r="AO99" s="1514" t="n">
        <f aca="false">VLOOKUP($A99,VolatilityTable,28)</f>
        <v>0.01</v>
      </c>
      <c r="AP99" s="1513" t="n">
        <f aca="false">VLOOKUP($A99,VolatilityTable,26)</f>
        <v>-0.01</v>
      </c>
      <c r="AQ99" s="1513" t="n">
        <f aca="false">VLOOKUP($A99,VolatilityTable,27)</f>
        <v>0.16</v>
      </c>
      <c r="AR99" s="1515" t="n">
        <f aca="false">VLOOKUP($A99,VolatilityTable,28)</f>
        <v>0.01</v>
      </c>
      <c r="AS99" s="1581" t="n">
        <f aca="false">IF(CorrPeakOffPeakOverFlag,INDEX(CorrPeakOffPeakOver,C99),CorrPeakOffPeak)</f>
        <v>0.5</v>
      </c>
      <c r="AT99" s="594" t="e">
        <f aca="false">AX99-SUM(AU99:AW99)</f>
        <v>#VALUE!</v>
      </c>
      <c r="AU99" s="238" t="e">
        <f aca="false">IF(E99="",0,INT((F99-MOD(F99,7)-E99)/7)+1-IF(AW99,IF(WEEKDAY(D99)=7,1,0),0))</f>
        <v>#VALUE!</v>
      </c>
      <c r="AV99" s="238" t="e">
        <f aca="false">IF(E99="",0,INT((F99-MOD(F99-1,7)-E99)/7)+1-IF(AW99,IF(WEEKDAY(D99)=1,1,0),0))</f>
        <v>#VALUE!</v>
      </c>
      <c r="AW99" s="238" t="e">
        <f aca="false">IF(OR(E99="",D99="",D99&lt;BegDate,D99&gt;EndDate),0,1)</f>
        <v>#VALUE!</v>
      </c>
      <c r="AX99" s="238" t="n">
        <f aca="false">IF(E99="",0,F99-E99+1)</f>
        <v>31</v>
      </c>
      <c r="AY99" s="1582" t="n">
        <f aca="false">IF(E99="",0,MIN((1-(1-VLOOKUP(B99,MAIN!$AA$7:$AM$28,C99+1))*(1-VLOOKUP(B99,MAIN!$AA$33:$AM$54,C99+1))),1))</f>
        <v>0.03</v>
      </c>
      <c r="AZ99" s="1519" t="e">
        <v>#VALUE!</v>
      </c>
      <c r="BA99" s="1520" t="e">
        <v>#VALUE!</v>
      </c>
      <c r="BB99" s="1520" t="e">
        <v>#VALUE!</v>
      </c>
      <c r="BC99" s="1583" t="e">
        <v>#VALUE!</v>
      </c>
      <c r="BD99" s="1522" t="e">
        <v>#VALUE!</v>
      </c>
      <c r="BE99" s="1523" t="e">
        <v>#VALUE!</v>
      </c>
      <c r="BF99" s="1523" t="e">
        <v>#VALUE!</v>
      </c>
      <c r="BG99" s="1584" t="e">
        <v>#VALUE!</v>
      </c>
      <c r="BH99" s="1525" t="e">
        <v>#VALUE!</v>
      </c>
      <c r="BI99" s="1520" t="e">
        <v>#VALUE!</v>
      </c>
      <c r="BJ99" s="1520" t="e">
        <v>#VALUE!</v>
      </c>
      <c r="BK99" s="1583" t="e">
        <v>#VALUE!</v>
      </c>
      <c r="BL99" s="1522" t="e">
        <v>#VALUE!</v>
      </c>
      <c r="BM99" s="1523" t="e">
        <v>#VALUE!</v>
      </c>
      <c r="BN99" s="1523" t="e">
        <v>#VALUE!</v>
      </c>
      <c r="BO99" s="1523" t="e">
        <v>#VALUE!</v>
      </c>
      <c r="BP99" s="1525" t="e">
        <f aca="false">SUM(AZ99:BB99)</f>
        <v>#VALUE!</v>
      </c>
      <c r="BQ99" s="1529" t="e">
        <f aca="false">SUM(AZ99:BC99)</f>
        <v>#VALUE!</v>
      </c>
      <c r="BR99" s="1519" t="e">
        <f aca="false">SUM(BH99:BJ99)</f>
        <v>#VALUE!</v>
      </c>
      <c r="BS99" s="1529" t="e">
        <f aca="false">SUM(BH99:BK99)</f>
        <v>#VALUE!</v>
      </c>
      <c r="BT99" s="1316" t="n">
        <f aca="false">(IF(OVolType&lt;&gt;2,A99+14,IF(OptExpDateShift,ShiftBack(A99,OptExpDateShift,D98),A99))-DateToday)/365.25</f>
        <v>6.87748117727584</v>
      </c>
      <c r="BU99" s="1585" t="e">
        <f aca="false">IF(BQ99,IF(OPriceCurve,IF(OBuySell=OCallPut,I99/(1-AY99),K99/(1-AY99)),J99/(1-AY99))*BD99,0)</f>
        <v>#VALUE!</v>
      </c>
      <c r="BV99" s="1316" t="e">
        <f aca="false">IF(BQ99,IF(OPriceCurve,IF(OBuySell=OCallPut,L99/(1-AY99),N99/(1-AY99)),M99/(1-AY99))*BE99,0)</f>
        <v>#VALUE!</v>
      </c>
      <c r="BW99" s="1316" t="e">
        <f aca="false">IF(BQ99,IF(OPriceCurve,IF(OBuySell=OCallPut,O99/(1-AY99),Q99/(1-AY99)),P99/(1-AY99))*BF99,0)</f>
        <v>#VALUE!</v>
      </c>
      <c r="BX99" s="1316" t="e">
        <f aca="false">IF(BQ99,IF(OPriceCurve,IF(OBuySell=OCallPut,R99/(1-AY99),T99/(1-AY99)),S99/(1-AY99))*BG99,0)</f>
        <v>#VALUE!</v>
      </c>
      <c r="BY99" s="1316" t="e">
        <f aca="false">IF(BP99,(BU99*AZ99+BV99*BA99+BW99*BB99)/BP99,0)</f>
        <v>#VALUE!</v>
      </c>
      <c r="BZ99" s="1316" t="e">
        <f aca="false">IF(BQ99,(BY99*BP99+BX99*BC99)/BQ99,0)</f>
        <v>#VALUE!</v>
      </c>
      <c r="CA99" s="1531" t="e">
        <f aca="false">IF(BS99,IF(OPriceCurve,IF(OBuySell=OCallPut,I99/(1-AY99),K99/(1-AY99)),J99/(1-AY99))*BL99,0)</f>
        <v>#VALUE!</v>
      </c>
      <c r="CB99" s="1316" t="e">
        <f aca="false">IF(BS99,IF(OPriceCurve,IF(OBuySell=OCallPut,L99/(1-AY99),N99/(1-AY99)),M99/(1-AY99))*BM99,0)</f>
        <v>#VALUE!</v>
      </c>
      <c r="CC99" s="1316" t="e">
        <f aca="false">IF(BS99,IF(OPriceCurve,IF(OBuySell=OCallPut,O99/(1-AY99),Q99/(1-AY99)),P99/(1-AY99))*BN99,0)</f>
        <v>#VALUE!</v>
      </c>
      <c r="CD99" s="1316" t="e">
        <f aca="false">IF(BS99,IF(OPriceCurve,IF(OBuySell=OCallPut,R99/(1-AY99),T99/(1-AY99)),S99/(1-AY99))*BO99,0)</f>
        <v>#VALUE!</v>
      </c>
      <c r="CE99" s="1316" t="e">
        <f aca="false">IF(BR99,(BU99*BH99+BV99*BI99+BW99*BJ99)/BR99,0)</f>
        <v>#VALUE!</v>
      </c>
      <c r="CF99" s="1532" t="e">
        <f aca="false">IF(BS99,(CE99*BR99+CD99*BK99)/BS99,0)</f>
        <v>#VALUE!</v>
      </c>
      <c r="CG99" s="1586" t="e">
        <f aca="false">IF(OR(BQ99,BS99),IF(OVolType&lt;&gt;2,SQRT(IF(OVolOverMonthlyPeak,OVolOverMonthlyPeak,IF(OVolCurve,IF(OBuySell,U99,W99),V99))^2*(1-15/365.25/BT99)+IF(OVolOverDailyPeak,OVolOverDailyPeak,IF(OVolCurve,IF(OBuySell,AG99,AI99),AH99))^2*15/365.25/BT99),IF(OVolOverMonthlyPeak,OVolOverMonthlyPeak,IF(OVolCurve,IF(OBuySell,U99,W99),V99))),"")</f>
        <v>#VALUE!</v>
      </c>
      <c r="CH99" s="1587" t="e">
        <f aca="false">IF(OR(BQ99,BS99),IF(OVolType&lt;&gt;2,SQRT(IF(OVolOverMonthlyPeak,OVolOverMonthlyPeak,IF(OVolCurve,IF(OBuySell,X99,Z99),Y99))^2*(1-15/365.25/BT99)+IF(OVolOverDailyPeak,OVolOverDailyPeak,IF(OVolCurve,IF(OBuySell,AJ99,AL99),AK99))^2*15/365.25/BT99),IF(OVolOverMonthlyPeak,OVolOverMonthlyPeak,IF(OVolCurve,IF(OBuySell,X99,Z99),Y99))),"")</f>
        <v>#VALUE!</v>
      </c>
      <c r="CI99" s="1587" t="e">
        <f aca="false">IF(OR(BQ99,BS99),IF(OVolType&lt;&gt;2,SQRT(IF(OVolOverMonthlyPeak,OVolOverMonthlyPeak,IF(OVolCurve,IF(OBuySell,AA99,AC99),AB99))^2*(1-15/365.25/BT99)+IF(OVolOverDailyPeak,OVolOverDailyPeak,IF(OVolCurve,IF(OBuySell,AM99,AO99),AN99))^2*15/365.25/BT99),IF(OVolOverMonthlyPeak,OVolOverMonthlyPeak,IF(OVolCurve,IF(OBuySell,AA99,AC99),AB99))),"")</f>
        <v>#VALUE!</v>
      </c>
      <c r="CJ99" s="1587" t="e">
        <f aca="false">IF(BQ99,IF(BP99,SQRT(LN(1+((BU99*AZ99)^2*(EXP(CG99^2*BT99)-1)+(BV99*BA99)^2*(EXP(CH99^2*BT99)-1)+(BW99*BB99)^2*(EXP(CI99^2*BT99)-1)+2*BU99*AZ99*BV99*BA99*(EXP(CG99*CH99*BT99)-1)+2*BV99*BA99*BW99*BB99*(EXP(CH99*CI99*BT99)-1)+2*BW99*BB99*BU99*AZ99*(EXP(CI99*CG99*BT99)-1))/(BY99*BP99)^2)/BT99),0),"")</f>
        <v>#VALUE!</v>
      </c>
      <c r="CK99" s="1587" t="e">
        <f aca="false">IF(BS99,IF(BR99,SQRT(LN(1+((CA99*BH99)^2*(EXP(CG99^2*BT99)-1)+(CB99*BI99)^2*(EXP(CH99^2*BT99)-1)+(CC99*BJ99)^2*(EXP(CI99^2*BT99)-1)+2*CA99*BH99*CB99*BI99*(EXP(CG99*CH99*BT99)-1)+2*CB99*BI99*CC99*BJ99*(EXP(CH99*CI99*BT99)-1)+2*CC99*BJ99*CA99*BH99*(EXP(CI99*CG99*BT99)-1))/(CE99*BR99)^2)/BT99),0),"")</f>
        <v>#VALUE!</v>
      </c>
      <c r="CL99" s="1587" t="e">
        <f aca="false">IF(OR(BQ99,BS99),IF(OVolType&lt;&gt;2,SQRT(IF(OVolOverMonthlyOffPeak,OVolOverMonthlyOffPeak,IF(OVolCurve,IF(OBuySell,AD99,AF99),AE99))^2*(1-15/365.25/BT99)+IF(OVolOverDailyOffPeak,OVolOverDailyOffPeak,IF(OVolCurve,IF(OBuySell,AP99,AR99),AQ99))^2*15/365.25/BT99),IF(OVolOverMonthlyOffPeak,OVolOverMonthlyOffPeak,IF(OVolCurve,IF(OBuySell,AD99,AF99),AE99))),"")</f>
        <v>#VALUE!</v>
      </c>
      <c r="CM99" s="1587" t="e">
        <f aca="false">IF(BQ99,SQRT(LN(1+((BY99*BP99)^2*(EXP(CJ99^2*BT99)-1)+(BX99*BC99)^2*(EXP(CL99^2*BT99)-1)+2*BY99*BP99*BX99*BC99*(EXP(AS99*CJ99*CL99*BT99)-1))/(BY99*BP99+BX99*BC99)^2)/BT99),"")</f>
        <v>#VALUE!</v>
      </c>
      <c r="CN99" s="1588" t="e">
        <f aca="false">IF(BS99,SQRT(LN(1+((CE99*BR99)^2*(EXP(CK99^2*BT99)-1)+(CD99*BK99)^2*(EXP(CL99^2*BT99)-1)+2*CE99*BR99*CD99*BK99*(EXP(AS99*CK99*CL99*BT99)-1))/(CE99*BR99+CD99*BK99)^2)/BT99),"")</f>
        <v>#VALUE!</v>
      </c>
      <c r="CO99" s="1531" t="e">
        <f aca="false">IF(OR(BQ99,BS99),VLOOKUP(A99,GasTable,13)*HeatRatePeak*(1+VLOOKUP($B99,HeatRateDegradation,$C99+1))/1000,0)</f>
        <v>#VALUE!</v>
      </c>
      <c r="CP99" s="1316" t="e">
        <f aca="false">IF(OR(BQ99,BS99),VLOOKUP(A99,GasTable,13)*HeatRatePeak*(1+VLOOKUP($B99,HeatRateDegradation,$C99+1))/1000,0)</f>
        <v>#VALUE!</v>
      </c>
      <c r="CQ99" s="1316" t="e">
        <f aca="false">IF(OR(BQ99,BS99),VLOOKUP(A99,GasTable,13)*IF(EV99,HeatRatePeak,HeatRateOffPeak)*(1+VLOOKUP($B99,HeatRateDegradation,$C99+1))/1000,0)</f>
        <v>#VALUE!</v>
      </c>
      <c r="CR99" s="1316" t="e">
        <f aca="false">IF(OR(BQ99,BS99),VLOOKUP(A99,GasTable,13)*IF(EW99,HeatRatePeak,HeatRateOffPeak)*(1+VLOOKUP($B99,HeatRateDegradation,$C99+1))/1000,0)</f>
        <v>#VALUE!</v>
      </c>
      <c r="CS99" s="1589" t="e">
        <f aca="false">IF(BQ99,(CO99*AZ99+CP99*BA99+CQ99*BB99+CR99*BC99)/BQ99,0)</f>
        <v>#VALUE!</v>
      </c>
      <c r="CT99" s="1316" t="e">
        <f aca="false">IF(BS99,CO99,0)</f>
        <v>#VALUE!</v>
      </c>
      <c r="CU99" s="1590" t="e">
        <f aca="false">IF(OR(BQ99,BS99),VLOOKUP(A99,GasTable,14),"")</f>
        <v>#VALUE!</v>
      </c>
      <c r="CV99" s="1568" t="e">
        <f aca="false">IF(OR(BQ99,BS99),IF(CorrPowerGasOverFlag,INDEX(CorrPowerGasOver,C99),CorrPowerGas),"")</f>
        <v>#VALUE!</v>
      </c>
      <c r="CW99" s="1316" t="e">
        <f aca="false">IF(OR($BQ99,$BS99),SpreadOptPowerMargin,0)*((1+Assumptions!$C$26)^($B99-YEAR(Assumptions!$C$17)))</f>
        <v>#VALUE!</v>
      </c>
      <c r="CX99" s="1316" t="e">
        <f aca="false">IF(OR($BQ99,$BS99),SpreadOptPowerMargin,0)*((1+Assumptions!$C$26)^($B99-YEAR(Assumptions!$C$17)))</f>
        <v>#VALUE!</v>
      </c>
      <c r="CY99" s="1316" t="e">
        <f aca="false">IF(OR($BQ99,$BS99),SpreadOptPowerMargin,0)*((1+Assumptions!$C$26)^($B99-YEAR(Assumptions!$C$17)))</f>
        <v>#VALUE!</v>
      </c>
      <c r="CZ99" s="1316" t="e">
        <f aca="false">IF(OR($BQ99,$BS99),SpreadOptPowerMargin,0)*((1+Assumptions!$C$26)^($B99-YEAR(Assumptions!$C$17)))</f>
        <v>#VALUE!</v>
      </c>
      <c r="DA99" s="1591" t="e">
        <f aca="false">IF(OR(BQ99,BS99),(CW99*(AZ99+BH99)+CX99*(BA99+BI99)+CY99*(BB99+BJ99)+CZ99*(BC99+BK99))/(BQ99+BS99),0)</f>
        <v>#VALUE!</v>
      </c>
      <c r="DB99" s="1592" t="e">
        <f aca="false">IF(OR(BQ99,BS99),CG99+IF(OVolSmile,VLOOKUP(MAX(-5,CO99+CW99-BU99),IF(OVolSmile=1,VolSmileBook,VolSmileModel),2),0),"")</f>
        <v>#VALUE!</v>
      </c>
      <c r="DC99" s="1592" t="e">
        <f aca="false">IF(OR(BQ99,BS99),CH99+IF(OVolSmile,VLOOKUP(MAX(-5,CP99+CW99-BV99),IF(OVolSmile=1,VolSmileBook,VolSmileModel),2),0),"")</f>
        <v>#VALUE!</v>
      </c>
      <c r="DD99" s="1592" t="e">
        <f aca="false">IF(OR(BQ99,BS99),CI99+IF(OVolSmile,VLOOKUP(MAX(-5,CQ99+CW99-BW99),IF(OVolSmile=1,VolSmileBook,VolSmileModel),2),0),"")</f>
        <v>#VALUE!</v>
      </c>
      <c r="DE99" s="1592" t="e">
        <f aca="false">IF(OR(BQ99,BS99),CL99+IF(OVolSmile,VLOOKUP(MAX(-5,CR99+CZ99-BX99),IF(OVolSmile=1,VolSmileBook,VolSmileModel),2),0),"")</f>
        <v>#VALUE!</v>
      </c>
      <c r="DF99" s="1592" t="e">
        <f aca="false">IF(BQ99,CM99+IF(OVolSmile,VLOOKUP(MAX(-5,CS99+DA99-BZ99),IF(OVolSmile=1,VolSmileBook,VolSmileModel),2),0),"")</f>
        <v>#VALUE!</v>
      </c>
      <c r="DG99" s="1593" t="e">
        <f aca="false">IF(BS99,CN99+IF(OVolSmile,VLOOKUP(MAX(-5,CT99+DA99-CF99),IF(OVolSmile=1,VolSmileBook,VolSmileModel),2),0),"")</f>
        <v>#VALUE!</v>
      </c>
      <c r="DH99" s="1316" t="e">
        <f aca="false">IF(AND(BU99&gt;0,CO99&gt;0,DB99&gt;0,CU99&gt;0),newSPRDOPT(BU99,CO99,CW99,0,DB99,CU99,CV99,BT99*365.25,OCallPut,0),0)</f>
        <v>#VALUE!</v>
      </c>
      <c r="DI99" s="1316" t="e">
        <f aca="false">IF(AND(BV99&gt;0,CP99&gt;0,DC99&gt;0,CU99&gt;0),newSPRDOPT(BV99,CP99,CX99,0,DC99,CU99,CV99,BT99*365.25,OCallPut,0),0)</f>
        <v>#VALUE!</v>
      </c>
      <c r="DJ99" s="1316" t="e">
        <f aca="false">IF(AND(BW99&gt;0,CQ99&gt;0,DD99&gt;0,CU99&gt;0),newSPRDOPT(BW99,CQ99,CY99,0,DD99,CU99,CV99,BT99*365.25,OCallPut,0),0)</f>
        <v>#VALUE!</v>
      </c>
      <c r="DK99" s="1316" t="e">
        <f aca="false">IF(AND(BX99&gt;0,CR99&gt;0,DE99&gt;0,CU99&gt;0),newSPRDOPT(BX99,CR99,CZ99,0,DE99,CU99,CV99,BT99*365.25,OCallPut,0),0)</f>
        <v>#VALUE!</v>
      </c>
      <c r="DL99" s="1316" t="e">
        <f aca="false">IF(OVolType,IF(AND(BZ99&gt;0,CS99&gt;0,DF99&gt;0,CU99&gt;0),newSPRDOPT(BZ99,CS99,DA99,0,DF99,CU99,CV99,BT99*365.25,OCallPut,0),0),IF(BQ99,(DH99*AZ99+DI99*BA99+DJ99*BB99+DK99*BC99)/BQ99,0))</f>
        <v>#VALUE!</v>
      </c>
      <c r="DM99" s="1316"/>
      <c r="DN99" s="1316"/>
      <c r="DO99" s="1316"/>
      <c r="DP99" s="1316"/>
      <c r="DQ99" s="1316"/>
      <c r="DR99" s="1316"/>
      <c r="DS99" s="1316"/>
      <c r="DT99" s="1316"/>
      <c r="DU99" s="1316"/>
      <c r="DV99" s="1316"/>
      <c r="DW99" s="1594" t="e">
        <f aca="false">IF(AND(BW99&gt;0,CT99&gt;0,DD99&gt;0,CU99&gt;0),newSPRDOPT(BW99,CT99,CY99,0,DD99,CU99,CV99,BT99*365.25,OCallPut,0),0)</f>
        <v>#VALUE!</v>
      </c>
      <c r="DX99" s="1316" t="e">
        <f aca="false">IF(AND(BX99&gt;0,CT99&gt;0,DE99&gt;0,CU99&gt;0),newSPRDOPT(BX99,CT99,CZ99,0,DE99,CU99,CV99,BT99*365.25,OCallPut,0),0)</f>
        <v>#VALUE!</v>
      </c>
      <c r="DY99" s="1591" t="e">
        <f aca="false">IF(BS99,(DH99*BH99+DI99*BI99+DW99*BJ99+DX99*BK99)/BS99,0)</f>
        <v>#VALUE!</v>
      </c>
      <c r="DZ99" s="1551" t="e">
        <f aca="false">DH99*AZ99</f>
        <v>#VALUE!</v>
      </c>
      <c r="EA99" s="1551" t="e">
        <f aca="false">DI99*BA99</f>
        <v>#VALUE!</v>
      </c>
      <c r="EB99" s="1551" t="e">
        <f aca="false">DJ99*BB99</f>
        <v>#VALUE!</v>
      </c>
      <c r="EC99" s="1551" t="e">
        <f aca="false">DK99*BC99</f>
        <v>#VALUE!</v>
      </c>
      <c r="ED99" s="1551" t="e">
        <f aca="false">DL99*BQ99</f>
        <v>#VALUE!</v>
      </c>
      <c r="EE99" s="1595" t="e">
        <f aca="false">IF(BQ99,IF(OCallPut,IF(BU99&gt;(CO99+CW99),BU99-(CO99+CW99),0),IF((CO99+CW99)&gt;BU99,(CO99+CW99)-BU99,0))*AZ99,0)</f>
        <v>#VALUE!</v>
      </c>
      <c r="EF99" s="1596" t="e">
        <f aca="false">IF(BQ99,IF(OCallPut,IF(BV99&gt;(CP99+CX99),BV99-(CP99+CX99),0),IF((CP99+CX99)&gt;BV99,(CP99+CX99)-BV99,0))*BA99,0)</f>
        <v>#VALUE!</v>
      </c>
      <c r="EG99" s="1596" t="e">
        <f aca="false">IF(BQ99,IF(OCallPut,IF(BW99&gt;(CQ99+CY99),BW99-(CQ99+CY99),0),IF((CQ99+CY99)&gt;BW99,(CQ99+CY99)-BW99,0))*BB99,0)</f>
        <v>#VALUE!</v>
      </c>
      <c r="EH99" s="1596" t="e">
        <f aca="false">IF(BQ99,IF(OCallPut,IF(BX99&gt;(CR99+CZ99),BX99-(CR99+CZ99),0),IF((CR99+CZ99)&gt;BX99,(CR99+CZ99)-BX99,0))*BC99,0)</f>
        <v>#VALUE!</v>
      </c>
      <c r="EI99" s="1597" t="e">
        <f aca="false">IF(BQ99,IF(OVolType,IF(OCallPut,IF(BZ99&gt;(CS99+DA99),BZ99-(CS99+DA99),0),IF((CS99+DA99)&gt;BZ99,(CS99+DA99)-BZ99,0))*BQ99,SUM(EE99:EH99)),0)</f>
        <v>#VALUE!</v>
      </c>
      <c r="EJ99" s="1595" t="e">
        <f aca="false">DZ99-EE99</f>
        <v>#VALUE!</v>
      </c>
      <c r="EK99" s="1596" t="e">
        <f aca="false">EA99-EF99</f>
        <v>#VALUE!</v>
      </c>
      <c r="EL99" s="1596" t="e">
        <f aca="false">EB99-EG99</f>
        <v>#VALUE!</v>
      </c>
      <c r="EM99" s="1596" t="e">
        <f aca="false">EC99-EH99</f>
        <v>#VALUE!</v>
      </c>
      <c r="EN99" s="1597" t="e">
        <f aca="false">ED99-EI99</f>
        <v>#VALUE!</v>
      </c>
      <c r="EO99" s="1551" t="e">
        <f aca="false">DH99*BH99</f>
        <v>#VALUE!</v>
      </c>
      <c r="EP99" s="1551" t="e">
        <f aca="false">DI99*BI99</f>
        <v>#VALUE!</v>
      </c>
      <c r="EQ99" s="1551" t="e">
        <f aca="false">DW99*BJ99</f>
        <v>#VALUE!</v>
      </c>
      <c r="ER99" s="1551" t="e">
        <f aca="false">DX99*BK99</f>
        <v>#VALUE!</v>
      </c>
      <c r="ES99" s="1551" t="e">
        <f aca="false">DY99*BS99</f>
        <v>#VALUE!</v>
      </c>
      <c r="ET99" s="1566" t="e">
        <f aca="false">IF(EI99,IF(OCallPut,IF(CA99&gt;(CT99+CW99),CA99-(CT99+CW99),0),IF((CT99+CW99)&gt;CA99,(CT99+CW99)-CA99,0))*BH99,0)</f>
        <v>#VALUE!</v>
      </c>
      <c r="EU99" s="1551" t="e">
        <f aca="false">IF(EI99,IF(OCallPut,IF(CB99&gt;(CT99+CX99),CB99-(CT99+CX99),0),IF((CT99+CX99)&gt;CB99,(CT99+CX99)-CB99,0))*BI99,0)</f>
        <v>#VALUE!</v>
      </c>
      <c r="EV99" s="1551" t="e">
        <f aca="false">IF(EI99,IF(OCallPut,IF(CC99&gt;(CT99+CY99),CC99-(CT99+CY99),0),IF((CT99+CY99)&gt;CC99,(CT99+CY99)-CC99,0))*BJ99,0)</f>
        <v>#VALUE!</v>
      </c>
      <c r="EW99" s="1551" t="e">
        <f aca="false">IF(EI99,IF(OCallPut,IF(CD99&gt;(CT99+CZ99),CD99-(CT99+CZ99),0),IF((CT99+CZ99)&gt;CD99,(CT99+CZ99)-CD99,0))*BK99,0)</f>
        <v>#VALUE!</v>
      </c>
      <c r="EX99" s="1558" t="e">
        <f aca="false">IF(EI99,SUM(ET99:EW99),0)</f>
        <v>#VALUE!</v>
      </c>
      <c r="EY99" s="1551" t="e">
        <f aca="false">EO99-ET99</f>
        <v>#VALUE!</v>
      </c>
      <c r="EZ99" s="1551" t="e">
        <f aca="false">EP99-EU99</f>
        <v>#VALUE!</v>
      </c>
      <c r="FA99" s="1551" t="e">
        <f aca="false">EQ99-EV99</f>
        <v>#VALUE!</v>
      </c>
      <c r="FB99" s="1551" t="e">
        <f aca="false">ER99-EW99</f>
        <v>#VALUE!</v>
      </c>
      <c r="FC99" s="1551" t="e">
        <f aca="false">ES99-EX99</f>
        <v>#VALUE!</v>
      </c>
      <c r="FD99" s="1525" t="n">
        <f aca="false">IF(AX99,IF(VLOOKUP(C99,MAIN!$L$17:$M$28,2)="Yes",VLOOKUP(CALC!B99,MAIN!$H$17:$I$20,2),0),0)</f>
        <v>0</v>
      </c>
      <c r="FE99" s="1552" t="e">
        <f aca="false">$FD99*16*AT99*(1-$AY99)</f>
        <v>#VALUE!</v>
      </c>
      <c r="FF99" s="1553" t="e">
        <f aca="false">$FD99*16*AU99*(1-$AY99)</f>
        <v>#VALUE!</v>
      </c>
      <c r="FG99" s="1553" t="e">
        <f aca="false">$FD99*16*(AV99+AW99)*(1-$AY99)</f>
        <v>#VALUE!</v>
      </c>
      <c r="FH99" s="1554" t="n">
        <f aca="false">$FD99*8*AX99*(1-$AY99)</f>
        <v>0</v>
      </c>
      <c r="FI99" s="1555" t="n">
        <f aca="false">IF(AX99,VLOOKUP(CALC!B99,MAIN!$H$17:$K$20,4),0)</f>
        <v>0</v>
      </c>
      <c r="FJ99" s="1553" t="e">
        <f aca="false">SUM(FE99:FH99)</f>
        <v>#VALUE!</v>
      </c>
      <c r="FK99" s="1556" t="e">
        <f aca="false">FI99*FJ99</f>
        <v>#VALUE!</v>
      </c>
      <c r="FL99" s="1551" t="e">
        <f aca="false">IF($EI99&gt;0,MIN(FE99,AZ99*(1+VLOOKUP($C99,WeatherCapacityAdjustment,2))),0)</f>
        <v>#VALUE!</v>
      </c>
      <c r="FM99" s="1551" t="e">
        <f aca="false">IF($EI99&gt;0,MIN(FF99,BA99*(1+VLOOKUP($C99,WeatherCapacityAdjustment,2))),0)</f>
        <v>#VALUE!</v>
      </c>
      <c r="FN99" s="1551" t="e">
        <f aca="false">IF($EI99&gt;0,MIN(FG99,BB99*(1+VLOOKUP($C99,WeatherCapacityAdjustment,2))),0)</f>
        <v>#VALUE!</v>
      </c>
      <c r="FO99" s="1564" t="e">
        <f aca="false">IF($EI99&gt;0,MIN(FH99,BC99*(1+VLOOKUP($C99,WeatherCapacityAdjustment,3))),0)</f>
        <v>#VALUE!</v>
      </c>
      <c r="FP99" s="1551" t="e">
        <f aca="false">IF(ET99&gt;0,MIN(FE99-FL99,BH99*(1+VLOOKUP($C99,WeatherCapacityAdjustment,2))),0)</f>
        <v>#VALUE!</v>
      </c>
      <c r="FQ99" s="1551" t="e">
        <f aca="false">IF(EU99&gt;0,MIN(FF99-FM99,BI99*(1+VLOOKUP($C99,WeatherCapacityAdjustment,2))),0)</f>
        <v>#VALUE!</v>
      </c>
      <c r="FR99" s="1551" t="e">
        <f aca="false">IF(EV99&gt;0,MIN(FG99-FN99,BJ99*(1+VLOOKUP($C99,WeatherCapacityAdjustment,2))),0)</f>
        <v>#VALUE!</v>
      </c>
      <c r="FS99" s="1558" t="e">
        <f aca="false">IF(EW99&gt;0,MIN(FH99-FO99,BK99*(1+VLOOKUP($C99,WeatherCapacityAdjustment,3))),0)</f>
        <v>#VALUE!</v>
      </c>
      <c r="FT99" s="1566" t="e">
        <f aca="false">IF(AND(Assumptions!$H$71="Yes",A99&gt;=Assumptions!$H$72,A99&lt;=Assumptions!$H$73),0,IF(AND($A99&gt;=Assumptions!$C$17,$A99&lt;=Assumptions!$C$18),MAX(AZ99*(1+VLOOKUP($C99,WeatherCapacityAdjustment,2))-FL99,0),0))</f>
        <v>#VALUE!</v>
      </c>
      <c r="FU99" s="1551" t="e">
        <f aca="false">IF(AND(Assumptions!$H$71="Yes",A99&gt;=Assumptions!$H$72,A99&lt;=Assumptions!$H$73),0,IF(AND($A99&gt;=Assumptions!$C$17,$A99&lt;=Assumptions!$C$18),MAX(BA99*(1+VLOOKUP($C99,WeatherCapacityAdjustment,2))-FM99,0),0))</f>
        <v>#VALUE!</v>
      </c>
      <c r="FV99" s="1551" t="e">
        <f aca="false">IF(AND(Assumptions!$H$71="Yes",A99&gt;=Assumptions!$H$72,A99&lt;=Assumptions!$H$73),0,IF(AND($A99&gt;=Assumptions!$C$17,$A99&lt;=Assumptions!$C$18),MAX(BB99*(1+VLOOKUP($C99,WeatherCapacityAdjustment,2))-FN99,0),0))</f>
        <v>#VALUE!</v>
      </c>
      <c r="FW99" s="1564" t="e">
        <f aca="false">IF(AND(Assumptions!$H$71="Yes",A99&gt;=Assumptions!$H$72,A99&lt;=Assumptions!$H$73),0,IF(AND($A99&gt;=Assumptions!$C$17,$A99&lt;=Assumptions!$C$18),MAX(BC99*(1+VLOOKUP($C99,WeatherCapacityAdjustment,3))-FO99,0),0))</f>
        <v>#VALUE!</v>
      </c>
      <c r="FX99" s="1569" t="e">
        <f aca="false">IF(AND(Assumptions!$H$71="Yes",A99&gt;=Assumptions!$H$72,A99&lt;=Assumptions!$H$73),0,IF(ET99&gt;0,MAX(BH99*(1+VLOOKUP($C99,WeatherCapacityAdjustment,2))-FP99,0),0))</f>
        <v>#VALUE!</v>
      </c>
      <c r="FY99" s="1551" t="e">
        <f aca="false">IF(AND(Assumptions!$H$71="Yes",A99&gt;=Assumptions!$H$72,A99&lt;=Assumptions!$H$73),0,IF(EU99&gt;0,MAX(BI99*(1+VLOOKUP($C99,WeatherCapacityAdjustment,3))-FQ99,0),0))</f>
        <v>#VALUE!</v>
      </c>
      <c r="FZ99" s="1551" t="e">
        <f aca="false">IF(AND(Assumptions!$H$71="Yes",A99&gt;=Assumptions!$H$72,A99&lt;=Assumptions!$H$73),0,IF(EV99&gt;0,MAX(BJ99*(1+VLOOKUP($C99,WeatherCapacityAdjustment,2))-FR99,0),0))</f>
        <v>#VALUE!</v>
      </c>
      <c r="GA99" s="1564" t="e">
        <f aca="false">IF(AND(Assumptions!$H$71="Yes",A99&gt;=Assumptions!$H$72,A99&lt;=Assumptions!$H$73),0,IF(EW99&gt;0,MAX(BK99*(1+VLOOKUP($C99,WeatherCapacityAdjustment,2))-FS99,0),0))</f>
        <v>#VALUE!</v>
      </c>
      <c r="GB99" s="1551" t="e">
        <f aca="false">SUM(FT99:GA99)</f>
        <v>#VALUE!</v>
      </c>
      <c r="GC99" s="1563" t="e">
        <f aca="false">+IF(SUM(FT99:GA99)=0,0,(SUMPRODUCT(BU99:BX99,FT99:FW99)+SUMPRODUCT(CA99:CD99,FX99:GA99))/SUM(FT99:GA99))</f>
        <v>#VALUE!</v>
      </c>
      <c r="GD99" s="1551" t="e">
        <f aca="false">(FT99*BU99+FX99*CA99+FU99*BV99+FY99*CB99+FV99*BW99+FZ99*CC99+FW99*BX99+GA99*CD99)</f>
        <v>#VALUE!</v>
      </c>
      <c r="GE99" s="1561" t="e">
        <f aca="false">+IF(BQ99,((FL99+FM99+FT99+FU99)*HeatRatePeak/1000*(1+VLOOKUP($C99,WeatherHeatRateAdjustment,2))+(FN99+FV99)*IF(EV99&gt;0,HeatRatePeak,HeatRateOffPeak)/1000*(1+VLOOKUP($C99,WeatherHeatRateAdjustment,2))+(FO99+FW99)*IF(EW99&gt;0,HeatRatePeak,HeatRateOffPeak)/1000*(1+VLOOKUP($C99,WeatherHeatRateAdjustment,3)))*(1+VLOOKUP($B99,HeatRateDegradation,$C99+1)),0)</f>
        <v>#VALUE!</v>
      </c>
      <c r="GF99" s="1562" t="e">
        <f aca="false">IF(BQ99,((FP99+FQ99+FR99+FX99+FY99+FZ99)*HeatRatePeak/1000*(1+VLOOKUP($C99,WeatherHeatRateAdjustment,2))+(FS99+GA99)*HeatRatePeak/1000*(1+VLOOKUP($C99,WeatherHeatRateAdjustment,3)))*(1+VLOOKUP($B99,HeatRateDegradation,$C99+1)),0)</f>
        <v>#VALUE!</v>
      </c>
      <c r="GG99" s="1563" t="e">
        <f aca="false">IF(BQ99,VLOOKUP(A99,GasTable,13),0)</f>
        <v>#VALUE!</v>
      </c>
      <c r="GH99" s="1564" t="e">
        <f aca="false">(GE99+GF99)*GG99</f>
        <v>#VALUE!</v>
      </c>
      <c r="GI99" s="1569" t="e">
        <f aca="false">GB99</f>
        <v>#VALUE!</v>
      </c>
      <c r="GJ99" s="1598" t="e">
        <f aca="false">+DA99</f>
        <v>#VALUE!</v>
      </c>
      <c r="GK99" s="1558" t="e">
        <f aca="false">+GI99*GJ99</f>
        <v>#VALUE!</v>
      </c>
      <c r="GL99" s="1566" t="e">
        <f aca="false">MAX(FE99-FL99-FP99,0)</f>
        <v>#VALUE!</v>
      </c>
      <c r="GM99" s="1551" t="e">
        <f aca="false">MAX(FF99-FM99-FQ99,0)</f>
        <v>#VALUE!</v>
      </c>
      <c r="GN99" s="1551" t="e">
        <f aca="false">MAX(FG99-FN99-FR99,0)</f>
        <v>#VALUE!</v>
      </c>
      <c r="GO99" s="1564" t="e">
        <f aca="false">MAX(FH99-FO99-FS99,0)</f>
        <v>#VALUE!</v>
      </c>
      <c r="GP99" s="1551" t="e">
        <f aca="false">SUM(GL99:GO99)</f>
        <v>#VALUE!</v>
      </c>
      <c r="GQ99" s="1563" t="e">
        <f aca="false">IF(SUM(GL99:GO99)=0,0,((GL99*BU99+GM99*BV99+GN99*BW99+GO99*BX99)/SUM(GL99:GO99)))</f>
        <v>#VALUE!</v>
      </c>
      <c r="GR99" s="1558" t="e">
        <f aca="false">(GL99*BU99+GM99*BV99+GN99*BW99+GO99*BX99)</f>
        <v>#VALUE!</v>
      </c>
      <c r="GS99" s="1566" t="n">
        <f aca="false">IF($A99&gt;=BegDate,Assumptions!$C$56*24*($A100-$A99)*(1-VLOOKUP($B99,MAIN!$AA$7:$AM$28,$C99+1))*(1-VLOOKUP($B99,MAIN!$AA$33:$AM$54,$C99+1)),0)*80/168</f>
        <v>257742.857142857</v>
      </c>
      <c r="GT99" s="286" t="n">
        <f aca="false">J99</f>
        <v>35.6243034793739</v>
      </c>
      <c r="GU99" s="286" t="n">
        <f aca="false">IF($A99&gt;=BegDate,VLOOKUP($A99,GasTable,13)+Assumptions!$C$58,0)</f>
        <v>2.60024607377513</v>
      </c>
      <c r="GV99" s="286" t="n">
        <f aca="false">GU99*Assumptions!$C$57/1000</f>
        <v>18.8517840348697</v>
      </c>
      <c r="GW99" s="1558" t="n">
        <f aca="false">IF(Assumptions!$C$60="Hourly",MAX(0,GS99*(GT99-GV99)),GS99*(GT99-GV99))</f>
        <v>4322997.08311064</v>
      </c>
      <c r="GX99" s="1566" t="n">
        <f aca="false">IF($A99&gt;=BegDate,Assumptions!$C$56*24*($A100-$A99)*(1-VLOOKUP($B99,MAIN!$AA$7:$AM$28,$C99+1))*(1-VLOOKUP($B99,MAIN!$AA$33:$AM$54,$C99+1)),0)*16/168</f>
        <v>51548.5714285714</v>
      </c>
      <c r="GY99" s="286" t="n">
        <f aca="false">M99</f>
        <v>35.6243034793739</v>
      </c>
      <c r="GZ99" s="286" t="n">
        <f aca="false">IF($A99&gt;=BegDate,VLOOKUP($A99,GasTable,13)+Assumptions!$C$58,0)</f>
        <v>2.60024607377513</v>
      </c>
      <c r="HA99" s="286" t="n">
        <f aca="false">GZ99*Assumptions!$C$57/1000</f>
        <v>18.8517840348697</v>
      </c>
      <c r="HB99" s="1558" t="n">
        <f aca="false">IF(Assumptions!$C$60="Hourly",MAX(0,GX99*(GY99-HA99)),GX99*(GY99-HA99))</f>
        <v>864599.416622129</v>
      </c>
      <c r="HC99" s="1566" t="n">
        <f aca="false">IF($A99&gt;=BegDate,Assumptions!$C$56*24*($A100-$A99)*(1-VLOOKUP($B99,MAIN!$AA$7:$AM$28,$C99+1))*(1-VLOOKUP($B99,MAIN!$AA$33:$AM$54,$C99+1)),0)*16/168</f>
        <v>51548.5714285714</v>
      </c>
      <c r="HD99" s="286" t="n">
        <f aca="false">P99</f>
        <v>24.0916142447419</v>
      </c>
      <c r="HE99" s="286" t="n">
        <f aca="false">IF($A99&gt;=BegDate,VLOOKUP($A99,GasTable,13)+Assumptions!$C$58,0)</f>
        <v>2.60024607377513</v>
      </c>
      <c r="HF99" s="286" t="n">
        <f aca="false">HE99*Assumptions!$C$57/1000</f>
        <v>18.8517840348697</v>
      </c>
      <c r="HG99" s="1558" t="n">
        <f aca="false">IF(Assumptions!$C$60="Hourly",MAX(0,HC99*(HD99-HF99)),HC99*(HD99-HF99))</f>
        <v>270105.761847184</v>
      </c>
      <c r="HH99" s="1566" t="n">
        <f aca="false">IF($A99&gt;=BegDate,Assumptions!$C$56*24*($A100-$A99)*(1-VLOOKUP($B99,MAIN!$AA$7:$AM$28,$C99+1))*(1-VLOOKUP($B99,MAIN!$AA$33:$AM$54,$C99+1)),0)*56/168</f>
        <v>180420</v>
      </c>
      <c r="HI99" s="286" t="n">
        <f aca="false">S99</f>
        <v>24.0916142447419</v>
      </c>
      <c r="HJ99" s="286" t="n">
        <f aca="false">IF($A99&gt;=BegDate,VLOOKUP($A99,GasTable,13)+Assumptions!$C$58,0)</f>
        <v>2.60024607377513</v>
      </c>
      <c r="HK99" s="286" t="n">
        <f aca="false">HJ99*Assumptions!$C$57/1000</f>
        <v>18.8517840348697</v>
      </c>
      <c r="HL99" s="1558" t="n">
        <f aca="false">IF(Assumptions!$C$60="Hourly",MAX(0,HH99*(HI99-HK99)),HH99*(HI99-HK99))</f>
        <v>945370.166465143</v>
      </c>
      <c r="HM99" s="1566" t="n">
        <f aca="false">IF(AND(Assumptions!$H$71="Yes",A99&gt;=Assumptions!$H$72,A99&lt;=Assumptions!$H$73),Assumptions!$H$74*Assumptions!$C$9*1000,0)</f>
        <v>0</v>
      </c>
      <c r="HN99" s="1551"/>
      <c r="HO99" s="1563"/>
      <c r="HP99" s="1563"/>
      <c r="HQ99" s="1563"/>
      <c r="HR99" s="1563"/>
      <c r="HS99" s="1563"/>
      <c r="HT99" s="1563"/>
      <c r="HU99" s="1563"/>
      <c r="HV99" s="1563"/>
      <c r="HW99" s="1563"/>
      <c r="HX99" s="1563"/>
      <c r="HY99" s="1563"/>
      <c r="HZ99" s="1563"/>
      <c r="IA99" s="1563"/>
      <c r="IB99" s="1563"/>
      <c r="IC99" s="1563"/>
      <c r="ID99" s="1563"/>
      <c r="IE99" s="1563"/>
      <c r="IF99" s="1563"/>
      <c r="IG99" s="1563"/>
      <c r="IH99" s="1563"/>
      <c r="II99" s="1610"/>
      <c r="IJ99" s="1309"/>
      <c r="IK99" s="1309"/>
    </row>
    <row r="100" customFormat="false" ht="12.75" hidden="false" customHeight="false" outlineLevel="0" collapsed="false">
      <c r="A100" s="1571" t="n">
        <f aca="false">EOMONTH(A99,0)+1</f>
        <v>39173</v>
      </c>
      <c r="B100" s="594" t="n">
        <f aca="false">+YEAR(A100)</f>
        <v>2007</v>
      </c>
      <c r="C100" s="238" t="n">
        <f aca="false">MONTH(A100)</f>
        <v>4</v>
      </c>
      <c r="D100" s="1572" t="e">
        <f aca="false">IF(E100="","",Holiday(B100,C100))</f>
        <v>#VALUE!</v>
      </c>
      <c r="E100" s="1573" t="n">
        <f aca="false">IF(OR(BegDate&gt;=A101,EndDate&lt;A100,AND(VolumeMonthlyOverFlag,INDEX(VolumeMonthlyOver,C100)=0),NOT(INDEX(MonthKnockOutTable,C100))),"",MAX(A100,BegDate))</f>
        <v>39173</v>
      </c>
      <c r="F100" s="1574" t="n">
        <f aca="false">IF(E100="","",MIN(A101-1,EndDate))</f>
        <v>39202</v>
      </c>
      <c r="G100" s="1575" t="n">
        <v>0</v>
      </c>
      <c r="H100" s="1576" t="n">
        <f aca="false">(1+G100/2)^(-2*(DATE(B101,C101,20)-DateToday)/365.25)</f>
        <v>1</v>
      </c>
      <c r="I100" s="1568" t="n">
        <f aca="false">IF(Assumptions!$L$25=4,VLOOKUP($A100,'Henwood Reference'!$E$9:$R$320,10),(VLOOKUP($A100,PriceTable,2,0)+IF(BasisNumber&lt;&gt;1,VLOOKUP($A100,BasisTable,2,0),0)+I$1)/(1-I$2))</f>
        <v>34.5645260824007</v>
      </c>
      <c r="J100" s="1568" t="n">
        <f aca="false">IF(Assumptions!$L$25=4,VLOOKUP($A100,'Henwood Reference'!$E$9:$R$320,10),(VLOOKUP($A100,PriceTable,3,0)+IF(BasisNumber&lt;&gt;1,VLOOKUP($A100,BasisTable,2,0),0)+J$1)/(1-J$2))</f>
        <v>34.5645260824007</v>
      </c>
      <c r="K100" s="1568" t="n">
        <f aca="false">IF(Assumptions!$L$25=4,VLOOKUP($A100,'Henwood Reference'!$E$9:$R$320,10),(VLOOKUP($A100,PriceTable,4,0)+IF(BasisNumber&lt;&gt;1,VLOOKUP($A100,BasisTable,2,0),0)+K$1)/(1-K$2))</f>
        <v>34.5645260824007</v>
      </c>
      <c r="L100" s="1523" t="n">
        <f aca="false">IF(Assumptions!$L$25=4,VLOOKUP($A100,'Henwood Reference'!$E$9:$R$320,10),(VLOOKUP($A100,PriceTableWeekend,2,0)+IF(BasisNumber&lt;&gt;1,VLOOKUP($A100,BasisTable,2,0),0)+L$1)/(1-L$2))</f>
        <v>34.5645260824007</v>
      </c>
      <c r="M100" s="1568" t="n">
        <f aca="false">IF(Assumptions!$L$25=4,VLOOKUP($A100,'Henwood Reference'!$E$9:$R$320,10),(VLOOKUP($A100,PriceTableWeekend,3,0)+IF(BasisNumber&lt;&gt;1,VLOOKUP($A100,BasisTable,2,0),0)+M$1)/(1-M$2))</f>
        <v>34.5645260824007</v>
      </c>
      <c r="N100" s="1599" t="n">
        <f aca="false">IF(Assumptions!$L$25=4,VLOOKUP($A100,'Henwood Reference'!$E$9:$R$320,10),(VLOOKUP($A100,PriceTableWeekend,4,0)+IF(BasisNumber&lt;&gt;1,VLOOKUP($A100,BasisTable,2,0),0)+N$1)/(1-N$2))</f>
        <v>34.5645260824007</v>
      </c>
      <c r="O100" s="1568" t="n">
        <f aca="false">IF(Assumptions!$L$25=4,VLOOKUP($A100,'Henwood Reference'!$E$9:$R$320,11),(VLOOKUP($A100,PriceTableWeekend,6,0)+IF(BasisNumber&lt;&gt;1,VLOOKUP($A100,BasisTable,3,0),0)+O$1)/(1-O$2))</f>
        <v>22.6142896075781</v>
      </c>
      <c r="P100" s="1568" t="n">
        <f aca="false">IF(Assumptions!$L$25=4,VLOOKUP($A100,'Henwood Reference'!$E$9:$R$320,11),(VLOOKUP($A100,PriceTableWeekend,7,0)+IF(BasisNumber&lt;&gt;1,VLOOKUP($A100,BasisTable,3,0),0)+P$1)/(1-P$2))</f>
        <v>22.6142896075781</v>
      </c>
      <c r="Q100" s="1599" t="n">
        <f aca="false">IF(Assumptions!$L$25=4,VLOOKUP($A100,'Henwood Reference'!$E$9:$R$320,11),(VLOOKUP($A100,PriceTableWeekend,8,0)+IF(BasisNumber&lt;&gt;1,VLOOKUP($A100,BasisTable,3,0),0)+Q$1)/(1-Q$2))</f>
        <v>22.6142896075781</v>
      </c>
      <c r="R100" s="1568" t="n">
        <f aca="false">IF(Assumptions!$L$25=4,VLOOKUP($A100,'Henwood Reference'!$E$9:$R$320,11),(VLOOKUP($A100,PriceTable,6,0)+IF(BasisNumber&lt;&gt;1,VLOOKUP($A100,BasisTable,3,0),0)+R$1)/(1-R$2))</f>
        <v>22.6142896075781</v>
      </c>
      <c r="S100" s="1568" t="n">
        <f aca="false">IF(Assumptions!$L$25=4,VLOOKUP($A100,'Henwood Reference'!$E$9:$R$320,11),(VLOOKUP($A100,PriceTable,7,0)+IF(BasisNumber&lt;&gt;1,VLOOKUP($A100,BasisTable,3,0),0)+S$1)/(1-S$2))</f>
        <v>22.6142896075781</v>
      </c>
      <c r="T100" s="1600" t="n">
        <f aca="false">IF(Assumptions!$L$25=4,VLOOKUP($A100,'Henwood Reference'!$E$9:$R$320,11),(VLOOKUP($A100,PriceTable,8,0)+IF(BasisNumber&lt;&gt;1,VLOOKUP($A100,BasisTable,3,0),0)+T$1)/(1-T$2))</f>
        <v>22.6142896075781</v>
      </c>
      <c r="U100" s="1513" t="n">
        <f aca="false">VLOOKUP($A100,VolatilityTable,14)</f>
        <v>0.135</v>
      </c>
      <c r="V100" s="1513" t="n">
        <f aca="false">VLOOKUP($A100,VolatilityTable,15)</f>
        <v>0.145</v>
      </c>
      <c r="W100" s="1514" t="n">
        <f aca="false">VLOOKUP($A100,VolatilityTable,16)</f>
        <v>0.155</v>
      </c>
      <c r="X100" s="1513" t="n">
        <f aca="false">VLOOKUP($A100,VolatilityTable,14)</f>
        <v>0.135</v>
      </c>
      <c r="Y100" s="1513" t="n">
        <f aca="false">VLOOKUP($A100,VolatilityTable,15)</f>
        <v>0.145</v>
      </c>
      <c r="Z100" s="1514" t="n">
        <f aca="false">VLOOKUP($A100,VolatilityTable,16)</f>
        <v>0.155</v>
      </c>
      <c r="AA100" s="1513" t="n">
        <f aca="false">VLOOKUP($A100,VolatilityTable,18)</f>
        <v>0.09</v>
      </c>
      <c r="AB100" s="1513" t="n">
        <f aca="false">VLOOKUP($A100,VolatilityTable,19)</f>
        <v>0.11</v>
      </c>
      <c r="AC100" s="1514" t="n">
        <f aca="false">VLOOKUP($A100,VolatilityTable,20)</f>
        <v>0.13</v>
      </c>
      <c r="AD100" s="1513" t="n">
        <f aca="false">VLOOKUP($A100,VolatilityTable,18)</f>
        <v>0.09</v>
      </c>
      <c r="AE100" s="1513" t="n">
        <f aca="false">VLOOKUP($A100,VolatilityTable,19)</f>
        <v>0.11</v>
      </c>
      <c r="AF100" s="1514" t="n">
        <f aca="false">VLOOKUP($A100,VolatilityTable,20)</f>
        <v>0.13</v>
      </c>
      <c r="AG100" s="1513" t="n">
        <f aca="false">VLOOKUP($A100,VolatilityTable,22)</f>
        <v>-0.1</v>
      </c>
      <c r="AH100" s="1513" t="n">
        <f aca="false">VLOOKUP($A100,VolatilityTable,23)</f>
        <v>0.65</v>
      </c>
      <c r="AI100" s="1514" t="n">
        <f aca="false">VLOOKUP($A100,VolatilityTable,24)</f>
        <v>0.1</v>
      </c>
      <c r="AJ100" s="1513" t="n">
        <f aca="false">VLOOKUP($A100,VolatilityTable,22)</f>
        <v>-0.1</v>
      </c>
      <c r="AK100" s="1513" t="n">
        <f aca="false">VLOOKUP($A100,VolatilityTable,23)</f>
        <v>0.65</v>
      </c>
      <c r="AL100" s="1514" t="n">
        <f aca="false">VLOOKUP($A100,VolatilityTable,24)</f>
        <v>0.1</v>
      </c>
      <c r="AM100" s="1513" t="n">
        <f aca="false">VLOOKUP($A100,VolatilityTable,26)</f>
        <v>-0.01</v>
      </c>
      <c r="AN100" s="1513" t="n">
        <f aca="false">VLOOKUP($A100,VolatilityTable,27)</f>
        <v>0.16</v>
      </c>
      <c r="AO100" s="1514" t="n">
        <f aca="false">VLOOKUP($A100,VolatilityTable,28)</f>
        <v>0.01</v>
      </c>
      <c r="AP100" s="1513" t="n">
        <f aca="false">VLOOKUP($A100,VolatilityTable,26)</f>
        <v>-0.01</v>
      </c>
      <c r="AQ100" s="1513" t="n">
        <f aca="false">VLOOKUP($A100,VolatilityTable,27)</f>
        <v>0.16</v>
      </c>
      <c r="AR100" s="1515" t="n">
        <f aca="false">VLOOKUP($A100,VolatilityTable,28)</f>
        <v>0.01</v>
      </c>
      <c r="AS100" s="1581" t="n">
        <f aca="false">IF(CorrPeakOffPeakOverFlag,INDEX(CorrPeakOffPeakOver,C100),CorrPeakOffPeak)</f>
        <v>0.5</v>
      </c>
      <c r="AT100" s="594" t="e">
        <f aca="false">AX100-SUM(AU100:AW100)</f>
        <v>#VALUE!</v>
      </c>
      <c r="AU100" s="238" t="e">
        <f aca="false">IF(E100="",0,INT((F100-MOD(F100,7)-E100)/7)+1-IF(AW100,IF(WEEKDAY(D100)=7,1,0),0))</f>
        <v>#VALUE!</v>
      </c>
      <c r="AV100" s="238" t="e">
        <f aca="false">IF(E100="",0,INT((F100-MOD(F100-1,7)-E100)/7)+1-IF(AW100,IF(WEEKDAY(D100)=1,1,0),0))</f>
        <v>#VALUE!</v>
      </c>
      <c r="AW100" s="238" t="e">
        <f aca="false">IF(OR(E100="",D100="",D100&lt;BegDate,D100&gt;EndDate),0,1)</f>
        <v>#VALUE!</v>
      </c>
      <c r="AX100" s="238" t="n">
        <f aca="false">IF(E100="",0,F100-E100+1)</f>
        <v>30</v>
      </c>
      <c r="AY100" s="1582" t="n">
        <f aca="false">IF(E100="",0,MIN((1-(1-VLOOKUP(B100,MAIN!$AA$7:$AM$28,C100+1))*(1-VLOOKUP(B100,MAIN!$AA$33:$AM$54,C100+1))),1))</f>
        <v>0.127</v>
      </c>
      <c r="AZ100" s="1519" t="e">
        <v>#VALUE!</v>
      </c>
      <c r="BA100" s="1520" t="e">
        <v>#VALUE!</v>
      </c>
      <c r="BB100" s="1520" t="e">
        <v>#VALUE!</v>
      </c>
      <c r="BC100" s="1583" t="e">
        <v>#VALUE!</v>
      </c>
      <c r="BD100" s="1522" t="e">
        <v>#VALUE!</v>
      </c>
      <c r="BE100" s="1523" t="e">
        <v>#VALUE!</v>
      </c>
      <c r="BF100" s="1523" t="e">
        <v>#VALUE!</v>
      </c>
      <c r="BG100" s="1584" t="e">
        <v>#VALUE!</v>
      </c>
      <c r="BH100" s="1525" t="e">
        <v>#VALUE!</v>
      </c>
      <c r="BI100" s="1520" t="e">
        <v>#VALUE!</v>
      </c>
      <c r="BJ100" s="1520" t="e">
        <v>#VALUE!</v>
      </c>
      <c r="BK100" s="1583" t="e">
        <v>#VALUE!</v>
      </c>
      <c r="BL100" s="1522" t="e">
        <v>#VALUE!</v>
      </c>
      <c r="BM100" s="1523" t="e">
        <v>#VALUE!</v>
      </c>
      <c r="BN100" s="1523" t="e">
        <v>#VALUE!</v>
      </c>
      <c r="BO100" s="1523" t="e">
        <v>#VALUE!</v>
      </c>
      <c r="BP100" s="1525" t="e">
        <f aca="false">SUM(AZ100:BB100)</f>
        <v>#VALUE!</v>
      </c>
      <c r="BQ100" s="1529" t="e">
        <f aca="false">SUM(AZ100:BC100)</f>
        <v>#VALUE!</v>
      </c>
      <c r="BR100" s="1519" t="e">
        <f aca="false">SUM(BH100:BJ100)</f>
        <v>#VALUE!</v>
      </c>
      <c r="BS100" s="1529" t="e">
        <f aca="false">SUM(BH100:BK100)</f>
        <v>#VALUE!</v>
      </c>
      <c r="BT100" s="1316" t="n">
        <f aca="false">(IF(OVolType&lt;&gt;2,A100+14,IF(OptExpDateShift,ShiftBack(A100,OptExpDateShift,D99),A100))-DateToday)/365.25</f>
        <v>6.96235455167693</v>
      </c>
      <c r="BU100" s="1585" t="e">
        <f aca="false">IF(BQ100,IF(OPriceCurve,IF(OBuySell=OCallPut,I100/(1-AY100),K100/(1-AY100)),J100/(1-AY100))*BD100,0)</f>
        <v>#VALUE!</v>
      </c>
      <c r="BV100" s="1316" t="e">
        <f aca="false">IF(BQ100,IF(OPriceCurve,IF(OBuySell=OCallPut,L100/(1-AY100),N100/(1-AY100)),M100/(1-AY100))*BE100,0)</f>
        <v>#VALUE!</v>
      </c>
      <c r="BW100" s="1316" t="e">
        <f aca="false">IF(BQ100,IF(OPriceCurve,IF(OBuySell=OCallPut,O100/(1-AY100),Q100/(1-AY100)),P100/(1-AY100))*BF100,0)</f>
        <v>#VALUE!</v>
      </c>
      <c r="BX100" s="1316" t="e">
        <f aca="false">IF(BQ100,IF(OPriceCurve,IF(OBuySell=OCallPut,R100/(1-AY100),T100/(1-AY100)),S100/(1-AY100))*BG100,0)</f>
        <v>#VALUE!</v>
      </c>
      <c r="BY100" s="1316" t="e">
        <f aca="false">IF(BP100,(BU100*AZ100+BV100*BA100+BW100*BB100)/BP100,0)</f>
        <v>#VALUE!</v>
      </c>
      <c r="BZ100" s="1316" t="e">
        <f aca="false">IF(BQ100,(BY100*BP100+BX100*BC100)/BQ100,0)</f>
        <v>#VALUE!</v>
      </c>
      <c r="CA100" s="1531" t="e">
        <f aca="false">IF(BS100,IF(OPriceCurve,IF(OBuySell=OCallPut,I100/(1-AY100),K100/(1-AY100)),J100/(1-AY100))*BL100,0)</f>
        <v>#VALUE!</v>
      </c>
      <c r="CB100" s="1316" t="e">
        <f aca="false">IF(BS100,IF(OPriceCurve,IF(OBuySell=OCallPut,L100/(1-AY100),N100/(1-AY100)),M100/(1-AY100))*BM100,0)</f>
        <v>#VALUE!</v>
      </c>
      <c r="CC100" s="1316" t="e">
        <f aca="false">IF(BS100,IF(OPriceCurve,IF(OBuySell=OCallPut,O100/(1-AY100),Q100/(1-AY100)),P100/(1-AY100))*BN100,0)</f>
        <v>#VALUE!</v>
      </c>
      <c r="CD100" s="1316" t="e">
        <f aca="false">IF(BS100,IF(OPriceCurve,IF(OBuySell=OCallPut,R100/(1-AY100),T100/(1-AY100)),S100/(1-AY100))*BO100,0)</f>
        <v>#VALUE!</v>
      </c>
      <c r="CE100" s="1316" t="e">
        <f aca="false">IF(BR100,(BU100*BH100+BV100*BI100+BW100*BJ100)/BR100,0)</f>
        <v>#VALUE!</v>
      </c>
      <c r="CF100" s="1532" t="e">
        <f aca="false">IF(BS100,(CE100*BR100+CD100*BK100)/BS100,0)</f>
        <v>#VALUE!</v>
      </c>
      <c r="CG100" s="1586" t="e">
        <f aca="false">IF(OR(BQ100,BS100),IF(OVolType&lt;&gt;2,SQRT(IF(OVolOverMonthlyPeak,OVolOverMonthlyPeak,IF(OVolCurve,IF(OBuySell,U100,W100),V100))^2*(1-15/365.25/BT100)+IF(OVolOverDailyPeak,OVolOverDailyPeak,IF(OVolCurve,IF(OBuySell,AG100,AI100),AH100))^2*15/365.25/BT100),IF(OVolOverMonthlyPeak,OVolOverMonthlyPeak,IF(OVolCurve,IF(OBuySell,U100,W100),V100))),"")</f>
        <v>#VALUE!</v>
      </c>
      <c r="CH100" s="1587" t="e">
        <f aca="false">IF(OR(BQ100,BS100),IF(OVolType&lt;&gt;2,SQRT(IF(OVolOverMonthlyPeak,OVolOverMonthlyPeak,IF(OVolCurve,IF(OBuySell,X100,Z100),Y100))^2*(1-15/365.25/BT100)+IF(OVolOverDailyPeak,OVolOverDailyPeak,IF(OVolCurve,IF(OBuySell,AJ100,AL100),AK100))^2*15/365.25/BT100),IF(OVolOverMonthlyPeak,OVolOverMonthlyPeak,IF(OVolCurve,IF(OBuySell,X100,Z100),Y100))),"")</f>
        <v>#VALUE!</v>
      </c>
      <c r="CI100" s="1587" t="e">
        <f aca="false">IF(OR(BQ100,BS100),IF(OVolType&lt;&gt;2,SQRT(IF(OVolOverMonthlyPeak,OVolOverMonthlyPeak,IF(OVolCurve,IF(OBuySell,AA100,AC100),AB100))^2*(1-15/365.25/BT100)+IF(OVolOverDailyPeak,OVolOverDailyPeak,IF(OVolCurve,IF(OBuySell,AM100,AO100),AN100))^2*15/365.25/BT100),IF(OVolOverMonthlyPeak,OVolOverMonthlyPeak,IF(OVolCurve,IF(OBuySell,AA100,AC100),AB100))),"")</f>
        <v>#VALUE!</v>
      </c>
      <c r="CJ100" s="1587" t="e">
        <f aca="false">IF(BQ100,IF(BP100,SQRT(LN(1+((BU100*AZ100)^2*(EXP(CG100^2*BT100)-1)+(BV100*BA100)^2*(EXP(CH100^2*BT100)-1)+(BW100*BB100)^2*(EXP(CI100^2*BT100)-1)+2*BU100*AZ100*BV100*BA100*(EXP(CG100*CH100*BT100)-1)+2*BV100*BA100*BW100*BB100*(EXP(CH100*CI100*BT100)-1)+2*BW100*BB100*BU100*AZ100*(EXP(CI100*CG100*BT100)-1))/(BY100*BP100)^2)/BT100),0),"")</f>
        <v>#VALUE!</v>
      </c>
      <c r="CK100" s="1587" t="e">
        <f aca="false">IF(BS100,IF(BR100,SQRT(LN(1+((CA100*BH100)^2*(EXP(CG100^2*BT100)-1)+(CB100*BI100)^2*(EXP(CH100^2*BT100)-1)+(CC100*BJ100)^2*(EXP(CI100^2*BT100)-1)+2*CA100*BH100*CB100*BI100*(EXP(CG100*CH100*BT100)-1)+2*CB100*BI100*CC100*BJ100*(EXP(CH100*CI100*BT100)-1)+2*CC100*BJ100*CA100*BH100*(EXP(CI100*CG100*BT100)-1))/(CE100*BR100)^2)/BT100),0),"")</f>
        <v>#VALUE!</v>
      </c>
      <c r="CL100" s="1587" t="e">
        <f aca="false">IF(OR(BQ100,BS100),IF(OVolType&lt;&gt;2,SQRT(IF(OVolOverMonthlyOffPeak,OVolOverMonthlyOffPeak,IF(OVolCurve,IF(OBuySell,AD100,AF100),AE100))^2*(1-15/365.25/BT100)+IF(OVolOverDailyOffPeak,OVolOverDailyOffPeak,IF(OVolCurve,IF(OBuySell,AP100,AR100),AQ100))^2*15/365.25/BT100),IF(OVolOverMonthlyOffPeak,OVolOverMonthlyOffPeak,IF(OVolCurve,IF(OBuySell,AD100,AF100),AE100))),"")</f>
        <v>#VALUE!</v>
      </c>
      <c r="CM100" s="1587" t="e">
        <f aca="false">IF(BQ100,SQRT(LN(1+((BY100*BP100)^2*(EXP(CJ100^2*BT100)-1)+(BX100*BC100)^2*(EXP(CL100^2*BT100)-1)+2*BY100*BP100*BX100*BC100*(EXP(AS100*CJ100*CL100*BT100)-1))/(BY100*BP100+BX100*BC100)^2)/BT100),"")</f>
        <v>#VALUE!</v>
      </c>
      <c r="CN100" s="1588" t="e">
        <f aca="false">IF(BS100,SQRT(LN(1+((CE100*BR100)^2*(EXP(CK100^2*BT100)-1)+(CD100*BK100)^2*(EXP(CL100^2*BT100)-1)+2*CE100*BR100*CD100*BK100*(EXP(AS100*CK100*CL100*BT100)-1))/(CE100*BR100+CD100*BK100)^2)/BT100),"")</f>
        <v>#VALUE!</v>
      </c>
      <c r="CO100" s="1531" t="e">
        <f aca="false">IF(OR(BQ100,BS100),VLOOKUP(A100,GasTable,13)*HeatRatePeak*(1+VLOOKUP($B100,HeatRateDegradation,$C100+1))/1000,0)</f>
        <v>#VALUE!</v>
      </c>
      <c r="CP100" s="1316" t="e">
        <f aca="false">IF(OR(BQ100,BS100),VLOOKUP(A100,GasTable,13)*HeatRatePeak*(1+VLOOKUP($B100,HeatRateDegradation,$C100+1))/1000,0)</f>
        <v>#VALUE!</v>
      </c>
      <c r="CQ100" s="1316" t="e">
        <f aca="false">IF(OR(BQ100,BS100),VLOOKUP(A100,GasTable,13)*IF(EV100,HeatRatePeak,HeatRateOffPeak)*(1+VLOOKUP($B100,HeatRateDegradation,$C100+1))/1000,0)</f>
        <v>#VALUE!</v>
      </c>
      <c r="CR100" s="1316" t="e">
        <f aca="false">IF(OR(BQ100,BS100),VLOOKUP(A100,GasTable,13)*IF(EW100,HeatRatePeak,HeatRateOffPeak)*(1+VLOOKUP($B100,HeatRateDegradation,$C100+1))/1000,0)</f>
        <v>#VALUE!</v>
      </c>
      <c r="CS100" s="1589" t="e">
        <f aca="false">IF(BQ100,(CO100*AZ100+CP100*BA100+CQ100*BB100+CR100*BC100)/BQ100,0)</f>
        <v>#VALUE!</v>
      </c>
      <c r="CT100" s="1316" t="e">
        <f aca="false">IF(BS100,CO100,0)</f>
        <v>#VALUE!</v>
      </c>
      <c r="CU100" s="1590" t="e">
        <f aca="false">IF(OR(BQ100,BS100),VLOOKUP(A100,GasTable,14),"")</f>
        <v>#VALUE!</v>
      </c>
      <c r="CV100" s="1568" t="e">
        <f aca="false">IF(OR(BQ100,BS100),IF(CorrPowerGasOverFlag,INDEX(CorrPowerGasOver,C100),CorrPowerGas),"")</f>
        <v>#VALUE!</v>
      </c>
      <c r="CW100" s="1316" t="e">
        <f aca="false">IF(OR($BQ100,$BS100),SpreadOptPowerMargin,0)*((1+Assumptions!$C$26)^($B100-YEAR(Assumptions!$C$17)))</f>
        <v>#VALUE!</v>
      </c>
      <c r="CX100" s="1316" t="e">
        <f aca="false">IF(OR($BQ100,$BS100),SpreadOptPowerMargin,0)*((1+Assumptions!$C$26)^($B100-YEAR(Assumptions!$C$17)))</f>
        <v>#VALUE!</v>
      </c>
      <c r="CY100" s="1316" t="e">
        <f aca="false">IF(OR($BQ100,$BS100),SpreadOptPowerMargin,0)*((1+Assumptions!$C$26)^($B100-YEAR(Assumptions!$C$17)))</f>
        <v>#VALUE!</v>
      </c>
      <c r="CZ100" s="1316" t="e">
        <f aca="false">IF(OR($BQ100,$BS100),SpreadOptPowerMargin,0)*((1+Assumptions!$C$26)^($B100-YEAR(Assumptions!$C$17)))</f>
        <v>#VALUE!</v>
      </c>
      <c r="DA100" s="1591" t="e">
        <f aca="false">IF(OR(BQ100,BS100),(CW100*(AZ100+BH100)+CX100*(BA100+BI100)+CY100*(BB100+BJ100)+CZ100*(BC100+BK100))/(BQ100+BS100),0)</f>
        <v>#VALUE!</v>
      </c>
      <c r="DB100" s="1592" t="e">
        <f aca="false">IF(OR(BQ100,BS100),CG100+IF(OVolSmile,VLOOKUP(MAX(-5,CO100+CW100-BU100),IF(OVolSmile=1,VolSmileBook,VolSmileModel),2),0),"")</f>
        <v>#VALUE!</v>
      </c>
      <c r="DC100" s="1592" t="e">
        <f aca="false">IF(OR(BQ100,BS100),CH100+IF(OVolSmile,VLOOKUP(MAX(-5,CP100+CW100-BV100),IF(OVolSmile=1,VolSmileBook,VolSmileModel),2),0),"")</f>
        <v>#VALUE!</v>
      </c>
      <c r="DD100" s="1592" t="e">
        <f aca="false">IF(OR(BQ100,BS100),CI100+IF(OVolSmile,VLOOKUP(MAX(-5,CQ100+CW100-BW100),IF(OVolSmile=1,VolSmileBook,VolSmileModel),2),0),"")</f>
        <v>#VALUE!</v>
      </c>
      <c r="DE100" s="1592" t="e">
        <f aca="false">IF(OR(BQ100,BS100),CL100+IF(OVolSmile,VLOOKUP(MAX(-5,CR100+CZ100-BX100),IF(OVolSmile=1,VolSmileBook,VolSmileModel),2),0),"")</f>
        <v>#VALUE!</v>
      </c>
      <c r="DF100" s="1592" t="e">
        <f aca="false">IF(BQ100,CM100+IF(OVolSmile,VLOOKUP(MAX(-5,CS100+DA100-BZ100),IF(OVolSmile=1,VolSmileBook,VolSmileModel),2),0),"")</f>
        <v>#VALUE!</v>
      </c>
      <c r="DG100" s="1593" t="e">
        <f aca="false">IF(BS100,CN100+IF(OVolSmile,VLOOKUP(MAX(-5,CT100+DA100-CF100),IF(OVolSmile=1,VolSmileBook,VolSmileModel),2),0),"")</f>
        <v>#VALUE!</v>
      </c>
      <c r="DH100" s="1316" t="e">
        <f aca="false">IF(AND(BU100&gt;0,CO100&gt;0,DB100&gt;0,CU100&gt;0),newSPRDOPT(BU100,CO100,CW100,0,DB100,CU100,CV100,BT100*365.25,OCallPut,0),0)</f>
        <v>#VALUE!</v>
      </c>
      <c r="DI100" s="1316" t="e">
        <f aca="false">IF(AND(BV100&gt;0,CP100&gt;0,DC100&gt;0,CU100&gt;0),newSPRDOPT(BV100,CP100,CX100,0,DC100,CU100,CV100,BT100*365.25,OCallPut,0),0)</f>
        <v>#VALUE!</v>
      </c>
      <c r="DJ100" s="1316" t="e">
        <f aca="false">IF(AND(BW100&gt;0,CQ100&gt;0,DD100&gt;0,CU100&gt;0),newSPRDOPT(BW100,CQ100,CY100,0,DD100,CU100,CV100,BT100*365.25,OCallPut,0),0)</f>
        <v>#VALUE!</v>
      </c>
      <c r="DK100" s="1316" t="e">
        <f aca="false">IF(AND(BX100&gt;0,CR100&gt;0,DE100&gt;0,CU100&gt;0),newSPRDOPT(BX100,CR100,CZ100,0,DE100,CU100,CV100,BT100*365.25,OCallPut,0),0)</f>
        <v>#VALUE!</v>
      </c>
      <c r="DL100" s="1316" t="e">
        <f aca="false">IF(OVolType,IF(AND(BZ100&gt;0,CS100&gt;0,DF100&gt;0,CU100&gt;0),newSPRDOPT(BZ100,CS100,DA100,0,DF100,CU100,CV100,BT100*365.25,OCallPut,0),0),IF(BQ100,(DH100*AZ100+DI100*BA100+DJ100*BB100+DK100*BC100)/BQ100,0))</f>
        <v>#VALUE!</v>
      </c>
      <c r="DM100" s="1316"/>
      <c r="DN100" s="1316"/>
      <c r="DO100" s="1316"/>
      <c r="DP100" s="1316"/>
      <c r="DQ100" s="1316"/>
      <c r="DR100" s="1316"/>
      <c r="DS100" s="1316"/>
      <c r="DT100" s="1316"/>
      <c r="DU100" s="1316"/>
      <c r="DV100" s="1316"/>
      <c r="DW100" s="1594" t="e">
        <f aca="false">IF(AND(BW100&gt;0,CT100&gt;0,DD100&gt;0,CU100&gt;0),newSPRDOPT(BW100,CT100,CY100,0,DD100,CU100,CV100,BT100*365.25,OCallPut,0),0)</f>
        <v>#VALUE!</v>
      </c>
      <c r="DX100" s="1316" t="e">
        <f aca="false">IF(AND(BX100&gt;0,CT100&gt;0,DE100&gt;0,CU100&gt;0),newSPRDOPT(BX100,CT100,CZ100,0,DE100,CU100,CV100,BT100*365.25,OCallPut,0),0)</f>
        <v>#VALUE!</v>
      </c>
      <c r="DY100" s="1591" t="e">
        <f aca="false">IF(BS100,(DH100*BH100+DI100*BI100+DW100*BJ100+DX100*BK100)/BS100,0)</f>
        <v>#VALUE!</v>
      </c>
      <c r="DZ100" s="1551" t="e">
        <f aca="false">DH100*AZ100</f>
        <v>#VALUE!</v>
      </c>
      <c r="EA100" s="1551" t="e">
        <f aca="false">DI100*BA100</f>
        <v>#VALUE!</v>
      </c>
      <c r="EB100" s="1551" t="e">
        <f aca="false">DJ100*BB100</f>
        <v>#VALUE!</v>
      </c>
      <c r="EC100" s="1551" t="e">
        <f aca="false">DK100*BC100</f>
        <v>#VALUE!</v>
      </c>
      <c r="ED100" s="1551" t="e">
        <f aca="false">DL100*BQ100</f>
        <v>#VALUE!</v>
      </c>
      <c r="EE100" s="1595" t="e">
        <f aca="false">IF(BQ100,IF(OCallPut,IF(BU100&gt;(CO100+CW100),BU100-(CO100+CW100),0),IF((CO100+CW100)&gt;BU100,(CO100+CW100)-BU100,0))*AZ100,0)</f>
        <v>#VALUE!</v>
      </c>
      <c r="EF100" s="1596" t="e">
        <f aca="false">IF(BQ100,IF(OCallPut,IF(BV100&gt;(CP100+CX100),BV100-(CP100+CX100),0),IF((CP100+CX100)&gt;BV100,(CP100+CX100)-BV100,0))*BA100,0)</f>
        <v>#VALUE!</v>
      </c>
      <c r="EG100" s="1596" t="e">
        <f aca="false">IF(BQ100,IF(OCallPut,IF(BW100&gt;(CQ100+CY100),BW100-(CQ100+CY100),0),IF((CQ100+CY100)&gt;BW100,(CQ100+CY100)-BW100,0))*BB100,0)</f>
        <v>#VALUE!</v>
      </c>
      <c r="EH100" s="1596" t="e">
        <f aca="false">IF(BQ100,IF(OCallPut,IF(BX100&gt;(CR100+CZ100),BX100-(CR100+CZ100),0),IF((CR100+CZ100)&gt;BX100,(CR100+CZ100)-BX100,0))*BC100,0)</f>
        <v>#VALUE!</v>
      </c>
      <c r="EI100" s="1597" t="e">
        <f aca="false">IF(BQ100,IF(OVolType,IF(OCallPut,IF(BZ100&gt;(CS100+DA100),BZ100-(CS100+DA100),0),IF((CS100+DA100)&gt;BZ100,(CS100+DA100)-BZ100,0))*BQ100,SUM(EE100:EH100)),0)</f>
        <v>#VALUE!</v>
      </c>
      <c r="EJ100" s="1595" t="e">
        <f aca="false">DZ100-EE100</f>
        <v>#VALUE!</v>
      </c>
      <c r="EK100" s="1596" t="e">
        <f aca="false">EA100-EF100</f>
        <v>#VALUE!</v>
      </c>
      <c r="EL100" s="1596" t="e">
        <f aca="false">EB100-EG100</f>
        <v>#VALUE!</v>
      </c>
      <c r="EM100" s="1596" t="e">
        <f aca="false">EC100-EH100</f>
        <v>#VALUE!</v>
      </c>
      <c r="EN100" s="1597" t="e">
        <f aca="false">ED100-EI100</f>
        <v>#VALUE!</v>
      </c>
      <c r="EO100" s="1551" t="e">
        <f aca="false">DH100*BH100</f>
        <v>#VALUE!</v>
      </c>
      <c r="EP100" s="1551" t="e">
        <f aca="false">DI100*BI100</f>
        <v>#VALUE!</v>
      </c>
      <c r="EQ100" s="1551" t="e">
        <f aca="false">DW100*BJ100</f>
        <v>#VALUE!</v>
      </c>
      <c r="ER100" s="1551" t="e">
        <f aca="false">DX100*BK100</f>
        <v>#VALUE!</v>
      </c>
      <c r="ES100" s="1551" t="e">
        <f aca="false">DY100*BS100</f>
        <v>#VALUE!</v>
      </c>
      <c r="ET100" s="1566" t="e">
        <f aca="false">IF(EI100,IF(OCallPut,IF(CA100&gt;(CT100+CW100),CA100-(CT100+CW100),0),IF((CT100+CW100)&gt;CA100,(CT100+CW100)-CA100,0))*BH100,0)</f>
        <v>#VALUE!</v>
      </c>
      <c r="EU100" s="1551" t="e">
        <f aca="false">IF(EI100,IF(OCallPut,IF(CB100&gt;(CT100+CX100),CB100-(CT100+CX100),0),IF((CT100+CX100)&gt;CB100,(CT100+CX100)-CB100,0))*BI100,0)</f>
        <v>#VALUE!</v>
      </c>
      <c r="EV100" s="1551" t="e">
        <f aca="false">IF(EI100,IF(OCallPut,IF(CC100&gt;(CT100+CY100),CC100-(CT100+CY100),0),IF((CT100+CY100)&gt;CC100,(CT100+CY100)-CC100,0))*BJ100,0)</f>
        <v>#VALUE!</v>
      </c>
      <c r="EW100" s="1551" t="e">
        <f aca="false">IF(EI100,IF(OCallPut,IF(CD100&gt;(CT100+CZ100),CD100-(CT100+CZ100),0),IF((CT100+CZ100)&gt;CD100,(CT100+CZ100)-CD100,0))*BK100,0)</f>
        <v>#VALUE!</v>
      </c>
      <c r="EX100" s="1558" t="e">
        <f aca="false">IF(EI100,SUM(ET100:EW100),0)</f>
        <v>#VALUE!</v>
      </c>
      <c r="EY100" s="1551" t="e">
        <f aca="false">EO100-ET100</f>
        <v>#VALUE!</v>
      </c>
      <c r="EZ100" s="1551" t="e">
        <f aca="false">EP100-EU100</f>
        <v>#VALUE!</v>
      </c>
      <c r="FA100" s="1551" t="e">
        <f aca="false">EQ100-EV100</f>
        <v>#VALUE!</v>
      </c>
      <c r="FB100" s="1551" t="e">
        <f aca="false">ER100-EW100</f>
        <v>#VALUE!</v>
      </c>
      <c r="FC100" s="1551" t="e">
        <f aca="false">ES100-EX100</f>
        <v>#VALUE!</v>
      </c>
      <c r="FD100" s="1525" t="n">
        <f aca="false">IF(AX100,IF(VLOOKUP(C100,MAIN!$L$17:$M$28,2)="Yes",VLOOKUP(CALC!B100,MAIN!$H$17:$I$20,2),0),0)</f>
        <v>0</v>
      </c>
      <c r="FE100" s="1552" t="e">
        <f aca="false">$FD100*16*AT100*(1-$AY100)</f>
        <v>#VALUE!</v>
      </c>
      <c r="FF100" s="1553" t="e">
        <f aca="false">$FD100*16*AU100*(1-$AY100)</f>
        <v>#VALUE!</v>
      </c>
      <c r="FG100" s="1553" t="e">
        <f aca="false">$FD100*16*(AV100+AW100)*(1-$AY100)</f>
        <v>#VALUE!</v>
      </c>
      <c r="FH100" s="1554" t="n">
        <f aca="false">$FD100*8*AX100*(1-$AY100)</f>
        <v>0</v>
      </c>
      <c r="FI100" s="1555" t="n">
        <f aca="false">IF(AX100,VLOOKUP(CALC!B100,MAIN!$H$17:$K$20,4),0)</f>
        <v>0</v>
      </c>
      <c r="FJ100" s="1553" t="e">
        <f aca="false">SUM(FE100:FH100)</f>
        <v>#VALUE!</v>
      </c>
      <c r="FK100" s="1556" t="e">
        <f aca="false">FI100*FJ100</f>
        <v>#VALUE!</v>
      </c>
      <c r="FL100" s="1551" t="e">
        <f aca="false">IF($EI100&gt;0,MIN(FE100,AZ100*(1+VLOOKUP($C100,WeatherCapacityAdjustment,2))),0)</f>
        <v>#VALUE!</v>
      </c>
      <c r="FM100" s="1551" t="e">
        <f aca="false">IF($EI100&gt;0,MIN(FF100,BA100*(1+VLOOKUP($C100,WeatherCapacityAdjustment,2))),0)</f>
        <v>#VALUE!</v>
      </c>
      <c r="FN100" s="1551" t="e">
        <f aca="false">IF($EI100&gt;0,MIN(FG100,BB100*(1+VLOOKUP($C100,WeatherCapacityAdjustment,2))),0)</f>
        <v>#VALUE!</v>
      </c>
      <c r="FO100" s="1564" t="e">
        <f aca="false">IF($EI100&gt;0,MIN(FH100,BC100*(1+VLOOKUP($C100,WeatherCapacityAdjustment,3))),0)</f>
        <v>#VALUE!</v>
      </c>
      <c r="FP100" s="1551" t="e">
        <f aca="false">IF(ET100&gt;0,MIN(FE100-FL100,BH100*(1+VLOOKUP($C100,WeatherCapacityAdjustment,2))),0)</f>
        <v>#VALUE!</v>
      </c>
      <c r="FQ100" s="1551" t="e">
        <f aca="false">IF(EU100&gt;0,MIN(FF100-FM100,BI100*(1+VLOOKUP($C100,WeatherCapacityAdjustment,2))),0)</f>
        <v>#VALUE!</v>
      </c>
      <c r="FR100" s="1551" t="e">
        <f aca="false">IF(EV100&gt;0,MIN(FG100-FN100,BJ100*(1+VLOOKUP($C100,WeatherCapacityAdjustment,2))),0)</f>
        <v>#VALUE!</v>
      </c>
      <c r="FS100" s="1558" t="e">
        <f aca="false">IF(EW100&gt;0,MIN(FH100-FO100,BK100*(1+VLOOKUP($C100,WeatherCapacityAdjustment,3))),0)</f>
        <v>#VALUE!</v>
      </c>
      <c r="FT100" s="1566" t="e">
        <f aca="false">IF(AND(Assumptions!$H$71="Yes",A100&gt;=Assumptions!$H$72,A100&lt;=Assumptions!$H$73),0,IF(AND($A100&gt;=Assumptions!$C$17,$A100&lt;=Assumptions!$C$18),MAX(AZ100*(1+VLOOKUP($C100,WeatherCapacityAdjustment,2))-FL100,0),0))</f>
        <v>#VALUE!</v>
      </c>
      <c r="FU100" s="1551" t="e">
        <f aca="false">IF(AND(Assumptions!$H$71="Yes",A100&gt;=Assumptions!$H$72,A100&lt;=Assumptions!$H$73),0,IF(AND($A100&gt;=Assumptions!$C$17,$A100&lt;=Assumptions!$C$18),MAX(BA100*(1+VLOOKUP($C100,WeatherCapacityAdjustment,2))-FM100,0),0))</f>
        <v>#VALUE!</v>
      </c>
      <c r="FV100" s="1551" t="e">
        <f aca="false">IF(AND(Assumptions!$H$71="Yes",A100&gt;=Assumptions!$H$72,A100&lt;=Assumptions!$H$73),0,IF(AND($A100&gt;=Assumptions!$C$17,$A100&lt;=Assumptions!$C$18),MAX(BB100*(1+VLOOKUP($C100,WeatherCapacityAdjustment,2))-FN100,0),0))</f>
        <v>#VALUE!</v>
      </c>
      <c r="FW100" s="1564" t="e">
        <f aca="false">IF(AND(Assumptions!$H$71="Yes",A100&gt;=Assumptions!$H$72,A100&lt;=Assumptions!$H$73),0,IF(AND($A100&gt;=Assumptions!$C$17,$A100&lt;=Assumptions!$C$18),MAX(BC100*(1+VLOOKUP($C100,WeatherCapacityAdjustment,3))-FO100,0),0))</f>
        <v>#VALUE!</v>
      </c>
      <c r="FX100" s="1569" t="e">
        <f aca="false">IF(AND(Assumptions!$H$71="Yes",A100&gt;=Assumptions!$H$72,A100&lt;=Assumptions!$H$73),0,IF(ET100&gt;0,MAX(BH100*(1+VLOOKUP($C100,WeatherCapacityAdjustment,2))-FP100,0),0))</f>
        <v>#VALUE!</v>
      </c>
      <c r="FY100" s="1551" t="e">
        <f aca="false">IF(AND(Assumptions!$H$71="Yes",A100&gt;=Assumptions!$H$72,A100&lt;=Assumptions!$H$73),0,IF(EU100&gt;0,MAX(BI100*(1+VLOOKUP($C100,WeatherCapacityAdjustment,3))-FQ100,0),0))</f>
        <v>#VALUE!</v>
      </c>
      <c r="FZ100" s="1551" t="e">
        <f aca="false">IF(AND(Assumptions!$H$71="Yes",A100&gt;=Assumptions!$H$72,A100&lt;=Assumptions!$H$73),0,IF(EV100&gt;0,MAX(BJ100*(1+VLOOKUP($C100,WeatherCapacityAdjustment,2))-FR100,0),0))</f>
        <v>#VALUE!</v>
      </c>
      <c r="GA100" s="1564" t="e">
        <f aca="false">IF(AND(Assumptions!$H$71="Yes",A100&gt;=Assumptions!$H$72,A100&lt;=Assumptions!$H$73),0,IF(EW100&gt;0,MAX(BK100*(1+VLOOKUP($C100,WeatherCapacityAdjustment,2))-FS100,0),0))</f>
        <v>#VALUE!</v>
      </c>
      <c r="GB100" s="1551" t="e">
        <f aca="false">SUM(FT100:GA100)</f>
        <v>#VALUE!</v>
      </c>
      <c r="GC100" s="1563" t="e">
        <f aca="false">+IF(SUM(FT100:GA100)=0,0,(SUMPRODUCT(BU100:BX100,FT100:FW100)+SUMPRODUCT(CA100:CD100,FX100:GA100))/SUM(FT100:GA100))</f>
        <v>#VALUE!</v>
      </c>
      <c r="GD100" s="1551" t="e">
        <f aca="false">(FT100*BU100+FX100*CA100+FU100*BV100+FY100*CB100+FV100*BW100+FZ100*CC100+FW100*BX100+GA100*CD100)</f>
        <v>#VALUE!</v>
      </c>
      <c r="GE100" s="1561" t="e">
        <f aca="false">+IF(BQ100,((FL100+FM100+FT100+FU100)*HeatRatePeak/1000*(1+VLOOKUP($C100,WeatherHeatRateAdjustment,2))+(FN100+FV100)*IF(EV100&gt;0,HeatRatePeak,HeatRateOffPeak)/1000*(1+VLOOKUP($C100,WeatherHeatRateAdjustment,2))+(FO100+FW100)*IF(EW100&gt;0,HeatRatePeak,HeatRateOffPeak)/1000*(1+VLOOKUP($C100,WeatherHeatRateAdjustment,3)))*(1+VLOOKUP($B100,HeatRateDegradation,$C100+1)),0)</f>
        <v>#VALUE!</v>
      </c>
      <c r="GF100" s="1562" t="e">
        <f aca="false">IF(BQ100,((FP100+FQ100+FR100+FX100+FY100+FZ100)*HeatRatePeak/1000*(1+VLOOKUP($C100,WeatherHeatRateAdjustment,2))+(FS100+GA100)*HeatRatePeak/1000*(1+VLOOKUP($C100,WeatherHeatRateAdjustment,3)))*(1+VLOOKUP($B100,HeatRateDegradation,$C100+1)),0)</f>
        <v>#VALUE!</v>
      </c>
      <c r="GG100" s="1563" t="e">
        <f aca="false">IF(BQ100,VLOOKUP(A100,GasTable,13),0)</f>
        <v>#VALUE!</v>
      </c>
      <c r="GH100" s="1564" t="e">
        <f aca="false">(GE100+GF100)*GG100</f>
        <v>#VALUE!</v>
      </c>
      <c r="GI100" s="1569" t="e">
        <f aca="false">GB100</f>
        <v>#VALUE!</v>
      </c>
      <c r="GJ100" s="1598" t="e">
        <f aca="false">+DA100</f>
        <v>#VALUE!</v>
      </c>
      <c r="GK100" s="1558" t="e">
        <f aca="false">+GI100*GJ100</f>
        <v>#VALUE!</v>
      </c>
      <c r="GL100" s="1566" t="e">
        <f aca="false">MAX(FE100-FL100-FP100,0)</f>
        <v>#VALUE!</v>
      </c>
      <c r="GM100" s="1551" t="e">
        <f aca="false">MAX(FF100-FM100-FQ100,0)</f>
        <v>#VALUE!</v>
      </c>
      <c r="GN100" s="1551" t="e">
        <f aca="false">MAX(FG100-FN100-FR100,0)</f>
        <v>#VALUE!</v>
      </c>
      <c r="GO100" s="1564" t="e">
        <f aca="false">MAX(FH100-FO100-FS100,0)</f>
        <v>#VALUE!</v>
      </c>
      <c r="GP100" s="1551" t="e">
        <f aca="false">SUM(GL100:GO100)</f>
        <v>#VALUE!</v>
      </c>
      <c r="GQ100" s="1563" t="e">
        <f aca="false">IF(SUM(GL100:GO100)=0,0,((GL100*BU100+GM100*BV100+GN100*BW100+GO100*BX100)/SUM(GL100:GO100)))</f>
        <v>#VALUE!</v>
      </c>
      <c r="GR100" s="1558" t="e">
        <f aca="false">(GL100*BU100+GM100*BV100+GN100*BW100+GO100*BX100)</f>
        <v>#VALUE!</v>
      </c>
      <c r="GS100" s="1566" t="n">
        <f aca="false">IF($A100&gt;=BegDate,Assumptions!$C$56*24*($A101-$A100)*(1-VLOOKUP($B100,MAIN!$AA$7:$AM$28,$C100+1))*(1-VLOOKUP($B100,MAIN!$AA$33:$AM$54,$C100+1)),0)*80/168</f>
        <v>224485.714285714</v>
      </c>
      <c r="GT100" s="286" t="n">
        <f aca="false">J100</f>
        <v>34.5645260824007</v>
      </c>
      <c r="GU100" s="286" t="n">
        <f aca="false">IF($A100&gt;=BegDate,VLOOKUP($A100,GasTable,13)+Assumptions!$C$58,0)</f>
        <v>2.51800123243541</v>
      </c>
      <c r="GV100" s="286" t="n">
        <f aca="false">GU100*Assumptions!$C$57/1000</f>
        <v>18.2555089351567</v>
      </c>
      <c r="GW100" s="1558" t="n">
        <f aca="false">IF(Assumptions!$C$60="Hourly",MAX(0,GS100*(GT100-GV100)),GS100*(GT100-GV100))</f>
        <v>3661141.36359702</v>
      </c>
      <c r="GX100" s="1566" t="n">
        <f aca="false">IF($A100&gt;=BegDate,Assumptions!$C$56*24*($A101-$A100)*(1-VLOOKUP($B100,MAIN!$AA$7:$AM$28,$C100+1))*(1-VLOOKUP($B100,MAIN!$AA$33:$AM$54,$C100+1)),0)*16/168</f>
        <v>44897.1428571429</v>
      </c>
      <c r="GY100" s="286" t="n">
        <f aca="false">M100</f>
        <v>34.5645260824007</v>
      </c>
      <c r="GZ100" s="286" t="n">
        <f aca="false">IF($A100&gt;=BegDate,VLOOKUP($A100,GasTable,13)+Assumptions!$C$58,0)</f>
        <v>2.51800123243541</v>
      </c>
      <c r="HA100" s="286" t="n">
        <f aca="false">GZ100*Assumptions!$C$57/1000</f>
        <v>18.2555089351567</v>
      </c>
      <c r="HB100" s="1558" t="n">
        <f aca="false">IF(Assumptions!$C$60="Hourly",MAX(0,GX100*(GY100-HA100)),GX100*(GY100-HA100))</f>
        <v>732228.272719404</v>
      </c>
      <c r="HC100" s="1566" t="n">
        <f aca="false">IF($A100&gt;=BegDate,Assumptions!$C$56*24*($A101-$A100)*(1-VLOOKUP($B100,MAIN!$AA$7:$AM$28,$C100+1))*(1-VLOOKUP($B100,MAIN!$AA$33:$AM$54,$C100+1)),0)*16/168</f>
        <v>44897.1428571429</v>
      </c>
      <c r="HD100" s="286" t="n">
        <f aca="false">P100</f>
        <v>22.6142896075781</v>
      </c>
      <c r="HE100" s="286" t="n">
        <f aca="false">IF($A100&gt;=BegDate,VLOOKUP($A100,GasTable,13)+Assumptions!$C$58,0)</f>
        <v>2.51800123243541</v>
      </c>
      <c r="HF100" s="286" t="n">
        <f aca="false">HE100*Assumptions!$C$57/1000</f>
        <v>18.2555089351567</v>
      </c>
      <c r="HG100" s="1558" t="n">
        <f aca="false">IF(Assumptions!$C$60="Hourly",MAX(0,HC100*(HD100-HF100)),HC100*(HD100-HF100))</f>
        <v>195696.798532658</v>
      </c>
      <c r="HH100" s="1566" t="n">
        <f aca="false">IF($A100&gt;=BegDate,Assumptions!$C$56*24*($A101-$A100)*(1-VLOOKUP($B100,MAIN!$AA$7:$AM$28,$C100+1))*(1-VLOOKUP($B100,MAIN!$AA$33:$AM$54,$C100+1)),0)*56/168</f>
        <v>157140</v>
      </c>
      <c r="HI100" s="286" t="n">
        <f aca="false">S100</f>
        <v>22.6142896075781</v>
      </c>
      <c r="HJ100" s="286" t="n">
        <f aca="false">IF($A100&gt;=BegDate,VLOOKUP($A100,GasTable,13)+Assumptions!$C$58,0)</f>
        <v>2.51800123243541</v>
      </c>
      <c r="HK100" s="286" t="n">
        <f aca="false">HJ100*Assumptions!$C$57/1000</f>
        <v>18.2555089351567</v>
      </c>
      <c r="HL100" s="1558" t="n">
        <f aca="false">IF(Assumptions!$C$60="Hourly",MAX(0,HH100*(HI100-HK100)),HH100*(HI100-HK100))</f>
        <v>684938.794864303</v>
      </c>
      <c r="HM100" s="1566" t="n">
        <f aca="false">IF(AND(Assumptions!$H$71="Yes",A100&gt;=Assumptions!$H$72,A100&lt;=Assumptions!$H$73),Assumptions!$H$74*Assumptions!$C$9*1000,0)</f>
        <v>0</v>
      </c>
      <c r="HN100" s="1551"/>
      <c r="HO100" s="1563"/>
      <c r="HP100" s="1563"/>
      <c r="HQ100" s="1563"/>
      <c r="HR100" s="1563"/>
      <c r="HS100" s="1563"/>
      <c r="HT100" s="1563"/>
      <c r="HU100" s="1563"/>
      <c r="HV100" s="1563"/>
      <c r="HW100" s="1563"/>
      <c r="HX100" s="1563"/>
      <c r="HY100" s="1563"/>
      <c r="HZ100" s="1563"/>
      <c r="IA100" s="1563"/>
      <c r="IB100" s="1563"/>
      <c r="IC100" s="1563"/>
      <c r="ID100" s="1563"/>
      <c r="IE100" s="1563"/>
      <c r="IF100" s="1563"/>
      <c r="IG100" s="1563"/>
      <c r="IH100" s="1563"/>
      <c r="II100" s="1610"/>
      <c r="IJ100" s="1309"/>
      <c r="IK100" s="1309"/>
    </row>
    <row r="101" customFormat="false" ht="12.75" hidden="false" customHeight="false" outlineLevel="0" collapsed="false">
      <c r="A101" s="1571" t="n">
        <f aca="false">EOMONTH(A100,0)+1</f>
        <v>39203</v>
      </c>
      <c r="B101" s="594" t="n">
        <f aca="false">+YEAR(A101)</f>
        <v>2007</v>
      </c>
      <c r="C101" s="238" t="n">
        <f aca="false">MONTH(A101)</f>
        <v>5</v>
      </c>
      <c r="D101" s="1572" t="e">
        <f aca="false">IF(E101="","",Holiday(B101,C101))</f>
        <v>#VALUE!</v>
      </c>
      <c r="E101" s="1573" t="n">
        <f aca="false">IF(OR(BegDate&gt;=A102,EndDate&lt;A101,AND(VolumeMonthlyOverFlag,INDEX(VolumeMonthlyOver,C101)=0),NOT(INDEX(MonthKnockOutTable,C101))),"",MAX(A101,BegDate))</f>
        <v>39203</v>
      </c>
      <c r="F101" s="1574" t="n">
        <f aca="false">IF(E101="","",MIN(A102-1,EndDate))</f>
        <v>39233</v>
      </c>
      <c r="G101" s="1575" t="n">
        <v>0</v>
      </c>
      <c r="H101" s="1576" t="n">
        <f aca="false">(1+G101/2)^(-2*(DATE(B102,C102,20)-DateToday)/365.25)</f>
        <v>1</v>
      </c>
      <c r="I101" s="1568" t="n">
        <f aca="false">IF(Assumptions!$L$25=4,VLOOKUP($A101,'Henwood Reference'!$E$9:$R$320,10),(VLOOKUP($A101,PriceTable,2,0)+IF(BasisNumber&lt;&gt;1,VLOOKUP($A101,BasisTable,2,0),0)+I$1)/(1-I$2))</f>
        <v>35.3913500259746</v>
      </c>
      <c r="J101" s="1568" t="n">
        <f aca="false">IF(Assumptions!$L$25=4,VLOOKUP($A101,'Henwood Reference'!$E$9:$R$320,10),(VLOOKUP($A101,PriceTable,3,0)+IF(BasisNumber&lt;&gt;1,VLOOKUP($A101,BasisTable,2,0),0)+J$1)/(1-J$2))</f>
        <v>35.3913500259746</v>
      </c>
      <c r="K101" s="1568" t="n">
        <f aca="false">IF(Assumptions!$L$25=4,VLOOKUP($A101,'Henwood Reference'!$E$9:$R$320,10),(VLOOKUP($A101,PriceTable,4,0)+IF(BasisNumber&lt;&gt;1,VLOOKUP($A101,BasisTable,2,0),0)+K$1)/(1-K$2))</f>
        <v>35.3913500259746</v>
      </c>
      <c r="L101" s="1523" t="n">
        <f aca="false">IF(Assumptions!$L$25=4,VLOOKUP($A101,'Henwood Reference'!$E$9:$R$320,10),(VLOOKUP($A101,PriceTableWeekend,2,0)+IF(BasisNumber&lt;&gt;1,VLOOKUP($A101,BasisTable,2,0),0)+L$1)/(1-L$2))</f>
        <v>35.3913500259746</v>
      </c>
      <c r="M101" s="1568" t="n">
        <f aca="false">IF(Assumptions!$L$25=4,VLOOKUP($A101,'Henwood Reference'!$E$9:$R$320,10),(VLOOKUP($A101,PriceTableWeekend,3,0)+IF(BasisNumber&lt;&gt;1,VLOOKUP($A101,BasisTable,2,0),0)+M$1)/(1-M$2))</f>
        <v>35.3913500259746</v>
      </c>
      <c r="N101" s="1599" t="n">
        <f aca="false">IF(Assumptions!$L$25=4,VLOOKUP($A101,'Henwood Reference'!$E$9:$R$320,10),(VLOOKUP($A101,PriceTableWeekend,4,0)+IF(BasisNumber&lt;&gt;1,VLOOKUP($A101,BasisTable,2,0),0)+N$1)/(1-N$2))</f>
        <v>35.3913500259746</v>
      </c>
      <c r="O101" s="1568" t="n">
        <f aca="false">IF(Assumptions!$L$25=4,VLOOKUP($A101,'Henwood Reference'!$E$9:$R$320,11),(VLOOKUP($A101,PriceTableWeekend,6,0)+IF(BasisNumber&lt;&gt;1,VLOOKUP($A101,BasisTable,3,0),0)+O$1)/(1-O$2))</f>
        <v>21.4651444656618</v>
      </c>
      <c r="P101" s="1568" t="n">
        <f aca="false">IF(Assumptions!$L$25=4,VLOOKUP($A101,'Henwood Reference'!$E$9:$R$320,11),(VLOOKUP($A101,PriceTableWeekend,7,0)+IF(BasisNumber&lt;&gt;1,VLOOKUP($A101,BasisTable,3,0),0)+P$1)/(1-P$2))</f>
        <v>21.4651444656618</v>
      </c>
      <c r="Q101" s="1599" t="n">
        <f aca="false">IF(Assumptions!$L$25=4,VLOOKUP($A101,'Henwood Reference'!$E$9:$R$320,11),(VLOOKUP($A101,PriceTableWeekend,8,0)+IF(BasisNumber&lt;&gt;1,VLOOKUP($A101,BasisTable,3,0),0)+Q$1)/(1-Q$2))</f>
        <v>21.4651444656618</v>
      </c>
      <c r="R101" s="1568" t="n">
        <f aca="false">IF(Assumptions!$L$25=4,VLOOKUP($A101,'Henwood Reference'!$E$9:$R$320,11),(VLOOKUP($A101,PriceTable,6,0)+IF(BasisNumber&lt;&gt;1,VLOOKUP($A101,BasisTable,3,0),0)+R$1)/(1-R$2))</f>
        <v>21.4651444656618</v>
      </c>
      <c r="S101" s="1568" t="n">
        <f aca="false">IF(Assumptions!$L$25=4,VLOOKUP($A101,'Henwood Reference'!$E$9:$R$320,11),(VLOOKUP($A101,PriceTable,7,0)+IF(BasisNumber&lt;&gt;1,VLOOKUP($A101,BasisTable,3,0),0)+S$1)/(1-S$2))</f>
        <v>21.4651444656618</v>
      </c>
      <c r="T101" s="1600" t="n">
        <f aca="false">IF(Assumptions!$L$25=4,VLOOKUP($A101,'Henwood Reference'!$E$9:$R$320,11),(VLOOKUP($A101,PriceTable,8,0)+IF(BasisNumber&lt;&gt;1,VLOOKUP($A101,BasisTable,3,0),0)+T$1)/(1-T$2))</f>
        <v>21.4651444656618</v>
      </c>
      <c r="U101" s="1513" t="n">
        <f aca="false">VLOOKUP($A101,VolatilityTable,14)</f>
        <v>0.135</v>
      </c>
      <c r="V101" s="1513" t="n">
        <f aca="false">VLOOKUP($A101,VolatilityTable,15)</f>
        <v>0.145</v>
      </c>
      <c r="W101" s="1514" t="n">
        <f aca="false">VLOOKUP($A101,VolatilityTable,16)</f>
        <v>0.155</v>
      </c>
      <c r="X101" s="1513" t="n">
        <f aca="false">VLOOKUP($A101,VolatilityTable,14)</f>
        <v>0.135</v>
      </c>
      <c r="Y101" s="1513" t="n">
        <f aca="false">VLOOKUP($A101,VolatilityTable,15)</f>
        <v>0.145</v>
      </c>
      <c r="Z101" s="1514" t="n">
        <f aca="false">VLOOKUP($A101,VolatilityTable,16)</f>
        <v>0.155</v>
      </c>
      <c r="AA101" s="1513" t="n">
        <f aca="false">VLOOKUP($A101,VolatilityTable,18)</f>
        <v>0.09</v>
      </c>
      <c r="AB101" s="1513" t="n">
        <f aca="false">VLOOKUP($A101,VolatilityTable,19)</f>
        <v>0.11</v>
      </c>
      <c r="AC101" s="1514" t="n">
        <f aca="false">VLOOKUP($A101,VolatilityTable,20)</f>
        <v>0.13</v>
      </c>
      <c r="AD101" s="1513" t="n">
        <f aca="false">VLOOKUP($A101,VolatilityTable,18)</f>
        <v>0.09</v>
      </c>
      <c r="AE101" s="1513" t="n">
        <f aca="false">VLOOKUP($A101,VolatilityTable,19)</f>
        <v>0.11</v>
      </c>
      <c r="AF101" s="1514" t="n">
        <f aca="false">VLOOKUP($A101,VolatilityTable,20)</f>
        <v>0.13</v>
      </c>
      <c r="AG101" s="1513" t="n">
        <f aca="false">VLOOKUP($A101,VolatilityTable,22)</f>
        <v>-0.1</v>
      </c>
      <c r="AH101" s="1513" t="n">
        <f aca="false">VLOOKUP($A101,VolatilityTable,23)</f>
        <v>0.65</v>
      </c>
      <c r="AI101" s="1514" t="n">
        <f aca="false">VLOOKUP($A101,VolatilityTable,24)</f>
        <v>0.1</v>
      </c>
      <c r="AJ101" s="1513" t="n">
        <f aca="false">VLOOKUP($A101,VolatilityTable,22)</f>
        <v>-0.1</v>
      </c>
      <c r="AK101" s="1513" t="n">
        <f aca="false">VLOOKUP($A101,VolatilityTable,23)</f>
        <v>0.65</v>
      </c>
      <c r="AL101" s="1514" t="n">
        <f aca="false">VLOOKUP($A101,VolatilityTable,24)</f>
        <v>0.1</v>
      </c>
      <c r="AM101" s="1513" t="n">
        <f aca="false">VLOOKUP($A101,VolatilityTable,26)</f>
        <v>-0.01</v>
      </c>
      <c r="AN101" s="1513" t="n">
        <f aca="false">VLOOKUP($A101,VolatilityTable,27)</f>
        <v>0.16</v>
      </c>
      <c r="AO101" s="1514" t="n">
        <f aca="false">VLOOKUP($A101,VolatilityTable,28)</f>
        <v>0.01</v>
      </c>
      <c r="AP101" s="1513" t="n">
        <f aca="false">VLOOKUP($A101,VolatilityTable,26)</f>
        <v>-0.01</v>
      </c>
      <c r="AQ101" s="1513" t="n">
        <f aca="false">VLOOKUP($A101,VolatilityTable,27)</f>
        <v>0.16</v>
      </c>
      <c r="AR101" s="1515" t="n">
        <f aca="false">VLOOKUP($A101,VolatilityTable,28)</f>
        <v>0.01</v>
      </c>
      <c r="AS101" s="1581" t="n">
        <f aca="false">IF(CorrPeakOffPeakOverFlag,INDEX(CorrPeakOffPeakOver,C101),CorrPeakOffPeak)</f>
        <v>0.5</v>
      </c>
      <c r="AT101" s="594" t="e">
        <f aca="false">AX101-SUM(AU101:AW101)</f>
        <v>#VALUE!</v>
      </c>
      <c r="AU101" s="238" t="e">
        <f aca="false">IF(E101="",0,INT((F101-MOD(F101,7)-E101)/7)+1-IF(AW101,IF(WEEKDAY(D101)=7,1,0),0))</f>
        <v>#VALUE!</v>
      </c>
      <c r="AV101" s="238" t="e">
        <f aca="false">IF(E101="",0,INT((F101-MOD(F101-1,7)-E101)/7)+1-IF(AW101,IF(WEEKDAY(D101)=1,1,0),0))</f>
        <v>#VALUE!</v>
      </c>
      <c r="AW101" s="238" t="e">
        <f aca="false">IF(OR(E101="",D101="",D101&lt;BegDate,D101&gt;EndDate),0,1)</f>
        <v>#VALUE!</v>
      </c>
      <c r="AX101" s="238" t="n">
        <f aca="false">IF(E101="",0,F101-E101+1)</f>
        <v>31</v>
      </c>
      <c r="AY101" s="1582" t="n">
        <f aca="false">IF(E101="",0,MIN((1-(1-VLOOKUP(B101,MAIN!$AA$7:$AM$28,C101+1))*(1-VLOOKUP(B101,MAIN!$AA$33:$AM$54,C101+1))),1))</f>
        <v>0.03</v>
      </c>
      <c r="AZ101" s="1519" t="e">
        <v>#VALUE!</v>
      </c>
      <c r="BA101" s="1520" t="e">
        <v>#VALUE!</v>
      </c>
      <c r="BB101" s="1520" t="e">
        <v>#VALUE!</v>
      </c>
      <c r="BC101" s="1583" t="e">
        <v>#VALUE!</v>
      </c>
      <c r="BD101" s="1522" t="e">
        <v>#VALUE!</v>
      </c>
      <c r="BE101" s="1523" t="e">
        <v>#VALUE!</v>
      </c>
      <c r="BF101" s="1523" t="e">
        <v>#VALUE!</v>
      </c>
      <c r="BG101" s="1584" t="e">
        <v>#VALUE!</v>
      </c>
      <c r="BH101" s="1525" t="e">
        <v>#VALUE!</v>
      </c>
      <c r="BI101" s="1520" t="e">
        <v>#VALUE!</v>
      </c>
      <c r="BJ101" s="1520" t="e">
        <v>#VALUE!</v>
      </c>
      <c r="BK101" s="1583" t="e">
        <v>#VALUE!</v>
      </c>
      <c r="BL101" s="1522" t="e">
        <v>#VALUE!</v>
      </c>
      <c r="BM101" s="1523" t="e">
        <v>#VALUE!</v>
      </c>
      <c r="BN101" s="1523" t="e">
        <v>#VALUE!</v>
      </c>
      <c r="BO101" s="1523" t="e">
        <v>#VALUE!</v>
      </c>
      <c r="BP101" s="1525" t="e">
        <f aca="false">SUM(AZ101:BB101)</f>
        <v>#VALUE!</v>
      </c>
      <c r="BQ101" s="1529" t="e">
        <f aca="false">SUM(AZ101:BC101)</f>
        <v>#VALUE!</v>
      </c>
      <c r="BR101" s="1519" t="e">
        <f aca="false">SUM(BH101:BJ101)</f>
        <v>#VALUE!</v>
      </c>
      <c r="BS101" s="1529" t="e">
        <f aca="false">SUM(BH101:BK101)</f>
        <v>#VALUE!</v>
      </c>
      <c r="BT101" s="1316" t="n">
        <f aca="false">(IF(OVolType&lt;&gt;2,A101+14,IF(OptExpDateShift,ShiftBack(A101,OptExpDateShift,D100),A101))-DateToday)/365.25</f>
        <v>7.0444900752909</v>
      </c>
      <c r="BU101" s="1585" t="e">
        <f aca="false">IF(BQ101,IF(OPriceCurve,IF(OBuySell=OCallPut,I101/(1-AY101),K101/(1-AY101)),J101/(1-AY101))*BD101,0)</f>
        <v>#VALUE!</v>
      </c>
      <c r="BV101" s="1316" t="e">
        <f aca="false">IF(BQ101,IF(OPriceCurve,IF(OBuySell=OCallPut,L101/(1-AY101),N101/(1-AY101)),M101/(1-AY101))*BE101,0)</f>
        <v>#VALUE!</v>
      </c>
      <c r="BW101" s="1316" t="e">
        <f aca="false">IF(BQ101,IF(OPriceCurve,IF(OBuySell=OCallPut,O101/(1-AY101),Q101/(1-AY101)),P101/(1-AY101))*BF101,0)</f>
        <v>#VALUE!</v>
      </c>
      <c r="BX101" s="1316" t="e">
        <f aca="false">IF(BQ101,IF(OPriceCurve,IF(OBuySell=OCallPut,R101/(1-AY101),T101/(1-AY101)),S101/(1-AY101))*BG101,0)</f>
        <v>#VALUE!</v>
      </c>
      <c r="BY101" s="1316" t="e">
        <f aca="false">IF(BP101,(BU101*AZ101+BV101*BA101+BW101*BB101)/BP101,0)</f>
        <v>#VALUE!</v>
      </c>
      <c r="BZ101" s="1316" t="e">
        <f aca="false">IF(BQ101,(BY101*BP101+BX101*BC101)/BQ101,0)</f>
        <v>#VALUE!</v>
      </c>
      <c r="CA101" s="1531" t="e">
        <f aca="false">IF(BS101,IF(OPriceCurve,IF(OBuySell=OCallPut,I101/(1-AY101),K101/(1-AY101)),J101/(1-AY101))*BL101,0)</f>
        <v>#VALUE!</v>
      </c>
      <c r="CB101" s="1316" t="e">
        <f aca="false">IF(BS101,IF(OPriceCurve,IF(OBuySell=OCallPut,L101/(1-AY101),N101/(1-AY101)),M101/(1-AY101))*BM101,0)</f>
        <v>#VALUE!</v>
      </c>
      <c r="CC101" s="1316" t="e">
        <f aca="false">IF(BS101,IF(OPriceCurve,IF(OBuySell=OCallPut,O101/(1-AY101),Q101/(1-AY101)),P101/(1-AY101))*BN101,0)</f>
        <v>#VALUE!</v>
      </c>
      <c r="CD101" s="1316" t="e">
        <f aca="false">IF(BS101,IF(OPriceCurve,IF(OBuySell=OCallPut,R101/(1-AY101),T101/(1-AY101)),S101/(1-AY101))*BO101,0)</f>
        <v>#VALUE!</v>
      </c>
      <c r="CE101" s="1316" t="e">
        <f aca="false">IF(BR101,(BU101*BH101+BV101*BI101+BW101*BJ101)/BR101,0)</f>
        <v>#VALUE!</v>
      </c>
      <c r="CF101" s="1532" t="e">
        <f aca="false">IF(BS101,(CE101*BR101+CD101*BK101)/BS101,0)</f>
        <v>#VALUE!</v>
      </c>
      <c r="CG101" s="1586" t="e">
        <f aca="false">IF(OR(BQ101,BS101),IF(OVolType&lt;&gt;2,SQRT(IF(OVolOverMonthlyPeak,OVolOverMonthlyPeak,IF(OVolCurve,IF(OBuySell,U101,W101),V101))^2*(1-15/365.25/BT101)+IF(OVolOverDailyPeak,OVolOverDailyPeak,IF(OVolCurve,IF(OBuySell,AG101,AI101),AH101))^2*15/365.25/BT101),IF(OVolOverMonthlyPeak,OVolOverMonthlyPeak,IF(OVolCurve,IF(OBuySell,U101,W101),V101))),"")</f>
        <v>#VALUE!</v>
      </c>
      <c r="CH101" s="1587" t="e">
        <f aca="false">IF(OR(BQ101,BS101),IF(OVolType&lt;&gt;2,SQRT(IF(OVolOverMonthlyPeak,OVolOverMonthlyPeak,IF(OVolCurve,IF(OBuySell,X101,Z101),Y101))^2*(1-15/365.25/BT101)+IF(OVolOverDailyPeak,OVolOverDailyPeak,IF(OVolCurve,IF(OBuySell,AJ101,AL101),AK101))^2*15/365.25/BT101),IF(OVolOverMonthlyPeak,OVolOverMonthlyPeak,IF(OVolCurve,IF(OBuySell,X101,Z101),Y101))),"")</f>
        <v>#VALUE!</v>
      </c>
      <c r="CI101" s="1587" t="e">
        <f aca="false">IF(OR(BQ101,BS101),IF(OVolType&lt;&gt;2,SQRT(IF(OVolOverMonthlyPeak,OVolOverMonthlyPeak,IF(OVolCurve,IF(OBuySell,AA101,AC101),AB101))^2*(1-15/365.25/BT101)+IF(OVolOverDailyPeak,OVolOverDailyPeak,IF(OVolCurve,IF(OBuySell,AM101,AO101),AN101))^2*15/365.25/BT101),IF(OVolOverMonthlyPeak,OVolOverMonthlyPeak,IF(OVolCurve,IF(OBuySell,AA101,AC101),AB101))),"")</f>
        <v>#VALUE!</v>
      </c>
      <c r="CJ101" s="1587" t="e">
        <f aca="false">IF(BQ101,IF(BP101,SQRT(LN(1+((BU101*AZ101)^2*(EXP(CG101^2*BT101)-1)+(BV101*BA101)^2*(EXP(CH101^2*BT101)-1)+(BW101*BB101)^2*(EXP(CI101^2*BT101)-1)+2*BU101*AZ101*BV101*BA101*(EXP(CG101*CH101*BT101)-1)+2*BV101*BA101*BW101*BB101*(EXP(CH101*CI101*BT101)-1)+2*BW101*BB101*BU101*AZ101*(EXP(CI101*CG101*BT101)-1))/(BY101*BP101)^2)/BT101),0),"")</f>
        <v>#VALUE!</v>
      </c>
      <c r="CK101" s="1587" t="e">
        <f aca="false">IF(BS101,IF(BR101,SQRT(LN(1+((CA101*BH101)^2*(EXP(CG101^2*BT101)-1)+(CB101*BI101)^2*(EXP(CH101^2*BT101)-1)+(CC101*BJ101)^2*(EXP(CI101^2*BT101)-1)+2*CA101*BH101*CB101*BI101*(EXP(CG101*CH101*BT101)-1)+2*CB101*BI101*CC101*BJ101*(EXP(CH101*CI101*BT101)-1)+2*CC101*BJ101*CA101*BH101*(EXP(CI101*CG101*BT101)-1))/(CE101*BR101)^2)/BT101),0),"")</f>
        <v>#VALUE!</v>
      </c>
      <c r="CL101" s="1587" t="e">
        <f aca="false">IF(OR(BQ101,BS101),IF(OVolType&lt;&gt;2,SQRT(IF(OVolOverMonthlyOffPeak,OVolOverMonthlyOffPeak,IF(OVolCurve,IF(OBuySell,AD101,AF101),AE101))^2*(1-15/365.25/BT101)+IF(OVolOverDailyOffPeak,OVolOverDailyOffPeak,IF(OVolCurve,IF(OBuySell,AP101,AR101),AQ101))^2*15/365.25/BT101),IF(OVolOverMonthlyOffPeak,OVolOverMonthlyOffPeak,IF(OVolCurve,IF(OBuySell,AD101,AF101),AE101))),"")</f>
        <v>#VALUE!</v>
      </c>
      <c r="CM101" s="1587" t="e">
        <f aca="false">IF(BQ101,SQRT(LN(1+((BY101*BP101)^2*(EXP(CJ101^2*BT101)-1)+(BX101*BC101)^2*(EXP(CL101^2*BT101)-1)+2*BY101*BP101*BX101*BC101*(EXP(AS101*CJ101*CL101*BT101)-1))/(BY101*BP101+BX101*BC101)^2)/BT101),"")</f>
        <v>#VALUE!</v>
      </c>
      <c r="CN101" s="1588" t="e">
        <f aca="false">IF(BS101,SQRT(LN(1+((CE101*BR101)^2*(EXP(CK101^2*BT101)-1)+(CD101*BK101)^2*(EXP(CL101^2*BT101)-1)+2*CE101*BR101*CD101*BK101*(EXP(AS101*CK101*CL101*BT101)-1))/(CE101*BR101+CD101*BK101)^2)/BT101),"")</f>
        <v>#VALUE!</v>
      </c>
      <c r="CO101" s="1531" t="e">
        <f aca="false">IF(OR(BQ101,BS101),VLOOKUP(A101,GasTable,13)*HeatRatePeak*(1+VLOOKUP($B101,HeatRateDegradation,$C101+1))/1000,0)</f>
        <v>#VALUE!</v>
      </c>
      <c r="CP101" s="1316" t="e">
        <f aca="false">IF(OR(BQ101,BS101),VLOOKUP(A101,GasTable,13)*HeatRatePeak*(1+VLOOKUP($B101,HeatRateDegradation,$C101+1))/1000,0)</f>
        <v>#VALUE!</v>
      </c>
      <c r="CQ101" s="1316" t="e">
        <f aca="false">IF(OR(BQ101,BS101),VLOOKUP(A101,GasTable,13)*IF(EV101,HeatRatePeak,HeatRateOffPeak)*(1+VLOOKUP($B101,HeatRateDegradation,$C101+1))/1000,0)</f>
        <v>#VALUE!</v>
      </c>
      <c r="CR101" s="1316" t="e">
        <f aca="false">IF(OR(BQ101,BS101),VLOOKUP(A101,GasTable,13)*IF(EW101,HeatRatePeak,HeatRateOffPeak)*(1+VLOOKUP($B101,HeatRateDegradation,$C101+1))/1000,0)</f>
        <v>#VALUE!</v>
      </c>
      <c r="CS101" s="1589" t="e">
        <f aca="false">IF(BQ101,(CO101*AZ101+CP101*BA101+CQ101*BB101+CR101*BC101)/BQ101,0)</f>
        <v>#VALUE!</v>
      </c>
      <c r="CT101" s="1316" t="e">
        <f aca="false">IF(BS101,CO101,0)</f>
        <v>#VALUE!</v>
      </c>
      <c r="CU101" s="1590" t="e">
        <f aca="false">IF(OR(BQ101,BS101),VLOOKUP(A101,GasTable,14),"")</f>
        <v>#VALUE!</v>
      </c>
      <c r="CV101" s="1568" t="e">
        <f aca="false">IF(OR(BQ101,BS101),IF(CorrPowerGasOverFlag,INDEX(CorrPowerGasOver,C101),CorrPowerGas),"")</f>
        <v>#VALUE!</v>
      </c>
      <c r="CW101" s="1316" t="e">
        <f aca="false">IF(OR($BQ101,$BS101),SpreadOptPowerMargin,0)*((1+Assumptions!$C$26)^($B101-YEAR(Assumptions!$C$17)))</f>
        <v>#VALUE!</v>
      </c>
      <c r="CX101" s="1316" t="e">
        <f aca="false">IF(OR($BQ101,$BS101),SpreadOptPowerMargin,0)*((1+Assumptions!$C$26)^($B101-YEAR(Assumptions!$C$17)))</f>
        <v>#VALUE!</v>
      </c>
      <c r="CY101" s="1316" t="e">
        <f aca="false">IF(OR($BQ101,$BS101),SpreadOptPowerMargin,0)*((1+Assumptions!$C$26)^($B101-YEAR(Assumptions!$C$17)))</f>
        <v>#VALUE!</v>
      </c>
      <c r="CZ101" s="1316" t="e">
        <f aca="false">IF(OR($BQ101,$BS101),SpreadOptPowerMargin,0)*((1+Assumptions!$C$26)^($B101-YEAR(Assumptions!$C$17)))</f>
        <v>#VALUE!</v>
      </c>
      <c r="DA101" s="1591" t="e">
        <f aca="false">IF(OR(BQ101,BS101),(CW101*(AZ101+BH101)+CX101*(BA101+BI101)+CY101*(BB101+BJ101)+CZ101*(BC101+BK101))/(BQ101+BS101),0)</f>
        <v>#VALUE!</v>
      </c>
      <c r="DB101" s="1592" t="e">
        <f aca="false">IF(OR(BQ101,BS101),CG101+IF(OVolSmile,VLOOKUP(MAX(-5,CO101+CW101-BU101),IF(OVolSmile=1,VolSmileBook,VolSmileModel),2),0),"")</f>
        <v>#VALUE!</v>
      </c>
      <c r="DC101" s="1592" t="e">
        <f aca="false">IF(OR(BQ101,BS101),CH101+IF(OVolSmile,VLOOKUP(MAX(-5,CP101+CW101-BV101),IF(OVolSmile=1,VolSmileBook,VolSmileModel),2),0),"")</f>
        <v>#VALUE!</v>
      </c>
      <c r="DD101" s="1592" t="e">
        <f aca="false">IF(OR(BQ101,BS101),CI101+IF(OVolSmile,VLOOKUP(MAX(-5,CQ101+CW101-BW101),IF(OVolSmile=1,VolSmileBook,VolSmileModel),2),0),"")</f>
        <v>#VALUE!</v>
      </c>
      <c r="DE101" s="1592" t="e">
        <f aca="false">IF(OR(BQ101,BS101),CL101+IF(OVolSmile,VLOOKUP(MAX(-5,CR101+CZ101-BX101),IF(OVolSmile=1,VolSmileBook,VolSmileModel),2),0),"")</f>
        <v>#VALUE!</v>
      </c>
      <c r="DF101" s="1592" t="e">
        <f aca="false">IF(BQ101,CM101+IF(OVolSmile,VLOOKUP(MAX(-5,CS101+DA101-BZ101),IF(OVolSmile=1,VolSmileBook,VolSmileModel),2),0),"")</f>
        <v>#VALUE!</v>
      </c>
      <c r="DG101" s="1593" t="e">
        <f aca="false">IF(BS101,CN101+IF(OVolSmile,VLOOKUP(MAX(-5,CT101+DA101-CF101),IF(OVolSmile=1,VolSmileBook,VolSmileModel),2),0),"")</f>
        <v>#VALUE!</v>
      </c>
      <c r="DH101" s="1316" t="e">
        <f aca="false">IF(AND(BU101&gt;0,CO101&gt;0,DB101&gt;0,CU101&gt;0),newSPRDOPT(BU101,CO101,CW101,0,DB101,CU101,CV101,BT101*365.25,OCallPut,0),0)</f>
        <v>#VALUE!</v>
      </c>
      <c r="DI101" s="1316" t="e">
        <f aca="false">IF(AND(BV101&gt;0,CP101&gt;0,DC101&gt;0,CU101&gt;0),newSPRDOPT(BV101,CP101,CX101,0,DC101,CU101,CV101,BT101*365.25,OCallPut,0),0)</f>
        <v>#VALUE!</v>
      </c>
      <c r="DJ101" s="1316" t="e">
        <f aca="false">IF(AND(BW101&gt;0,CQ101&gt;0,DD101&gt;0,CU101&gt;0),newSPRDOPT(BW101,CQ101,CY101,0,DD101,CU101,CV101,BT101*365.25,OCallPut,0),0)</f>
        <v>#VALUE!</v>
      </c>
      <c r="DK101" s="1316" t="e">
        <f aca="false">IF(AND(BX101&gt;0,CR101&gt;0,DE101&gt;0,CU101&gt;0),newSPRDOPT(BX101,CR101,CZ101,0,DE101,CU101,CV101,BT101*365.25,OCallPut,0),0)</f>
        <v>#VALUE!</v>
      </c>
      <c r="DL101" s="1316" t="e">
        <f aca="false">IF(OVolType,IF(AND(BZ101&gt;0,CS101&gt;0,DF101&gt;0,CU101&gt;0),newSPRDOPT(BZ101,CS101,DA101,0,DF101,CU101,CV101,BT101*365.25,OCallPut,0),0),IF(BQ101,(DH101*AZ101+DI101*BA101+DJ101*BB101+DK101*BC101)/BQ101,0))</f>
        <v>#VALUE!</v>
      </c>
      <c r="DM101" s="1316"/>
      <c r="DN101" s="1316"/>
      <c r="DO101" s="1316"/>
      <c r="DP101" s="1316"/>
      <c r="DQ101" s="1316"/>
      <c r="DR101" s="1316"/>
      <c r="DS101" s="1316"/>
      <c r="DT101" s="1316"/>
      <c r="DU101" s="1316"/>
      <c r="DV101" s="1316"/>
      <c r="DW101" s="1594" t="e">
        <f aca="false">IF(AND(BW101&gt;0,CT101&gt;0,DD101&gt;0,CU101&gt;0),newSPRDOPT(BW101,CT101,CY101,0,DD101,CU101,CV101,BT101*365.25,OCallPut,0),0)</f>
        <v>#VALUE!</v>
      </c>
      <c r="DX101" s="1316" t="e">
        <f aca="false">IF(AND(BX101&gt;0,CT101&gt;0,DE101&gt;0,CU101&gt;0),newSPRDOPT(BX101,CT101,CZ101,0,DE101,CU101,CV101,BT101*365.25,OCallPut,0),0)</f>
        <v>#VALUE!</v>
      </c>
      <c r="DY101" s="1591" t="e">
        <f aca="false">IF(BS101,(DH101*BH101+DI101*BI101+DW101*BJ101+DX101*BK101)/BS101,0)</f>
        <v>#VALUE!</v>
      </c>
      <c r="DZ101" s="1551" t="e">
        <f aca="false">DH101*AZ101</f>
        <v>#VALUE!</v>
      </c>
      <c r="EA101" s="1551" t="e">
        <f aca="false">DI101*BA101</f>
        <v>#VALUE!</v>
      </c>
      <c r="EB101" s="1551" t="e">
        <f aca="false">DJ101*BB101</f>
        <v>#VALUE!</v>
      </c>
      <c r="EC101" s="1551" t="e">
        <f aca="false">DK101*BC101</f>
        <v>#VALUE!</v>
      </c>
      <c r="ED101" s="1551" t="e">
        <f aca="false">DL101*BQ101</f>
        <v>#VALUE!</v>
      </c>
      <c r="EE101" s="1595" t="e">
        <f aca="false">IF(BQ101,IF(OCallPut,IF(BU101&gt;(CO101+CW101),BU101-(CO101+CW101),0),IF((CO101+CW101)&gt;BU101,(CO101+CW101)-BU101,0))*AZ101,0)</f>
        <v>#VALUE!</v>
      </c>
      <c r="EF101" s="1596" t="e">
        <f aca="false">IF(BQ101,IF(OCallPut,IF(BV101&gt;(CP101+CX101),BV101-(CP101+CX101),0),IF((CP101+CX101)&gt;BV101,(CP101+CX101)-BV101,0))*BA101,0)</f>
        <v>#VALUE!</v>
      </c>
      <c r="EG101" s="1596" t="e">
        <f aca="false">IF(BQ101,IF(OCallPut,IF(BW101&gt;(CQ101+CY101),BW101-(CQ101+CY101),0),IF((CQ101+CY101)&gt;BW101,(CQ101+CY101)-BW101,0))*BB101,0)</f>
        <v>#VALUE!</v>
      </c>
      <c r="EH101" s="1596" t="e">
        <f aca="false">IF(BQ101,IF(OCallPut,IF(BX101&gt;(CR101+CZ101),BX101-(CR101+CZ101),0),IF((CR101+CZ101)&gt;BX101,(CR101+CZ101)-BX101,0))*BC101,0)</f>
        <v>#VALUE!</v>
      </c>
      <c r="EI101" s="1597" t="e">
        <f aca="false">IF(BQ101,IF(OVolType,IF(OCallPut,IF(BZ101&gt;(CS101+DA101),BZ101-(CS101+DA101),0),IF((CS101+DA101)&gt;BZ101,(CS101+DA101)-BZ101,0))*BQ101,SUM(EE101:EH101)),0)</f>
        <v>#VALUE!</v>
      </c>
      <c r="EJ101" s="1595" t="e">
        <f aca="false">DZ101-EE101</f>
        <v>#VALUE!</v>
      </c>
      <c r="EK101" s="1596" t="e">
        <f aca="false">EA101-EF101</f>
        <v>#VALUE!</v>
      </c>
      <c r="EL101" s="1596" t="e">
        <f aca="false">EB101-EG101</f>
        <v>#VALUE!</v>
      </c>
      <c r="EM101" s="1596" t="e">
        <f aca="false">EC101-EH101</f>
        <v>#VALUE!</v>
      </c>
      <c r="EN101" s="1597" t="e">
        <f aca="false">ED101-EI101</f>
        <v>#VALUE!</v>
      </c>
      <c r="EO101" s="1551" t="e">
        <f aca="false">DH101*BH101</f>
        <v>#VALUE!</v>
      </c>
      <c r="EP101" s="1551" t="e">
        <f aca="false">DI101*BI101</f>
        <v>#VALUE!</v>
      </c>
      <c r="EQ101" s="1551" t="e">
        <f aca="false">DW101*BJ101</f>
        <v>#VALUE!</v>
      </c>
      <c r="ER101" s="1551" t="e">
        <f aca="false">DX101*BK101</f>
        <v>#VALUE!</v>
      </c>
      <c r="ES101" s="1551" t="e">
        <f aca="false">DY101*BS101</f>
        <v>#VALUE!</v>
      </c>
      <c r="ET101" s="1566" t="e">
        <f aca="false">IF(EI101,IF(OCallPut,IF(CA101&gt;(CT101+CW101),CA101-(CT101+CW101),0),IF((CT101+CW101)&gt;CA101,(CT101+CW101)-CA101,0))*BH101,0)</f>
        <v>#VALUE!</v>
      </c>
      <c r="EU101" s="1551" t="e">
        <f aca="false">IF(EI101,IF(OCallPut,IF(CB101&gt;(CT101+CX101),CB101-(CT101+CX101),0),IF((CT101+CX101)&gt;CB101,(CT101+CX101)-CB101,0))*BI101,0)</f>
        <v>#VALUE!</v>
      </c>
      <c r="EV101" s="1551" t="e">
        <f aca="false">IF(EI101,IF(OCallPut,IF(CC101&gt;(CT101+CY101),CC101-(CT101+CY101),0),IF((CT101+CY101)&gt;CC101,(CT101+CY101)-CC101,0))*BJ101,0)</f>
        <v>#VALUE!</v>
      </c>
      <c r="EW101" s="1551" t="e">
        <f aca="false">IF(EI101,IF(OCallPut,IF(CD101&gt;(CT101+CZ101),CD101-(CT101+CZ101),0),IF((CT101+CZ101)&gt;CD101,(CT101+CZ101)-CD101,0))*BK101,0)</f>
        <v>#VALUE!</v>
      </c>
      <c r="EX101" s="1558" t="e">
        <f aca="false">IF(EI101,SUM(ET101:EW101),0)</f>
        <v>#VALUE!</v>
      </c>
      <c r="EY101" s="1551" t="e">
        <f aca="false">EO101-ET101</f>
        <v>#VALUE!</v>
      </c>
      <c r="EZ101" s="1551" t="e">
        <f aca="false">EP101-EU101</f>
        <v>#VALUE!</v>
      </c>
      <c r="FA101" s="1551" t="e">
        <f aca="false">EQ101-EV101</f>
        <v>#VALUE!</v>
      </c>
      <c r="FB101" s="1551" t="e">
        <f aca="false">ER101-EW101</f>
        <v>#VALUE!</v>
      </c>
      <c r="FC101" s="1551" t="e">
        <f aca="false">ES101-EX101</f>
        <v>#VALUE!</v>
      </c>
      <c r="FD101" s="1525" t="n">
        <f aca="false">IF(AX101,IF(VLOOKUP(C101,MAIN!$L$17:$M$28,2)="Yes",VLOOKUP(CALC!B101,MAIN!$H$17:$I$20,2),0),0)</f>
        <v>0</v>
      </c>
      <c r="FE101" s="1552" t="e">
        <f aca="false">$FD101*16*AT101*(1-$AY101)</f>
        <v>#VALUE!</v>
      </c>
      <c r="FF101" s="1553" t="e">
        <f aca="false">$FD101*16*AU101*(1-$AY101)</f>
        <v>#VALUE!</v>
      </c>
      <c r="FG101" s="1553" t="e">
        <f aca="false">$FD101*16*(AV101+AW101)*(1-$AY101)</f>
        <v>#VALUE!</v>
      </c>
      <c r="FH101" s="1554" t="n">
        <f aca="false">$FD101*8*AX101*(1-$AY101)</f>
        <v>0</v>
      </c>
      <c r="FI101" s="1555" t="n">
        <f aca="false">IF(AX101,VLOOKUP(CALC!B101,MAIN!$H$17:$K$20,4),0)</f>
        <v>0</v>
      </c>
      <c r="FJ101" s="1553" t="e">
        <f aca="false">SUM(FE101:FH101)</f>
        <v>#VALUE!</v>
      </c>
      <c r="FK101" s="1556" t="e">
        <f aca="false">FI101*FJ101</f>
        <v>#VALUE!</v>
      </c>
      <c r="FL101" s="1551" t="e">
        <f aca="false">IF($EI101&gt;0,MIN(FE101,AZ101*(1+VLOOKUP($C101,WeatherCapacityAdjustment,2))),0)</f>
        <v>#VALUE!</v>
      </c>
      <c r="FM101" s="1551" t="e">
        <f aca="false">IF($EI101&gt;0,MIN(FF101,BA101*(1+VLOOKUP($C101,WeatherCapacityAdjustment,2))),0)</f>
        <v>#VALUE!</v>
      </c>
      <c r="FN101" s="1551" t="e">
        <f aca="false">IF($EI101&gt;0,MIN(FG101,BB101*(1+VLOOKUP($C101,WeatherCapacityAdjustment,2))),0)</f>
        <v>#VALUE!</v>
      </c>
      <c r="FO101" s="1564" t="e">
        <f aca="false">IF($EI101&gt;0,MIN(FH101,BC101*(1+VLOOKUP($C101,WeatherCapacityAdjustment,3))),0)</f>
        <v>#VALUE!</v>
      </c>
      <c r="FP101" s="1551" t="e">
        <f aca="false">IF(ET101&gt;0,MIN(FE101-FL101,BH101*(1+VLOOKUP($C101,WeatherCapacityAdjustment,2))),0)</f>
        <v>#VALUE!</v>
      </c>
      <c r="FQ101" s="1551" t="e">
        <f aca="false">IF(EU101&gt;0,MIN(FF101-FM101,BI101*(1+VLOOKUP($C101,WeatherCapacityAdjustment,2))),0)</f>
        <v>#VALUE!</v>
      </c>
      <c r="FR101" s="1551" t="e">
        <f aca="false">IF(EV101&gt;0,MIN(FG101-FN101,BJ101*(1+VLOOKUP($C101,WeatherCapacityAdjustment,2))),0)</f>
        <v>#VALUE!</v>
      </c>
      <c r="FS101" s="1558" t="e">
        <f aca="false">IF(EW101&gt;0,MIN(FH101-FO101,BK101*(1+VLOOKUP($C101,WeatherCapacityAdjustment,3))),0)</f>
        <v>#VALUE!</v>
      </c>
      <c r="FT101" s="1566" t="e">
        <f aca="false">IF(AND(Assumptions!$H$71="Yes",A101&gt;=Assumptions!$H$72,A101&lt;=Assumptions!$H$73),0,IF(AND($A101&gt;=Assumptions!$C$17,$A101&lt;=Assumptions!$C$18),MAX(AZ101*(1+VLOOKUP($C101,WeatherCapacityAdjustment,2))-FL101,0),0))</f>
        <v>#VALUE!</v>
      </c>
      <c r="FU101" s="1551" t="e">
        <f aca="false">IF(AND(Assumptions!$H$71="Yes",A101&gt;=Assumptions!$H$72,A101&lt;=Assumptions!$H$73),0,IF(AND($A101&gt;=Assumptions!$C$17,$A101&lt;=Assumptions!$C$18),MAX(BA101*(1+VLOOKUP($C101,WeatherCapacityAdjustment,2))-FM101,0),0))</f>
        <v>#VALUE!</v>
      </c>
      <c r="FV101" s="1551" t="e">
        <f aca="false">IF(AND(Assumptions!$H$71="Yes",A101&gt;=Assumptions!$H$72,A101&lt;=Assumptions!$H$73),0,IF(AND($A101&gt;=Assumptions!$C$17,$A101&lt;=Assumptions!$C$18),MAX(BB101*(1+VLOOKUP($C101,WeatherCapacityAdjustment,2))-FN101,0),0))</f>
        <v>#VALUE!</v>
      </c>
      <c r="FW101" s="1564" t="e">
        <f aca="false">IF(AND(Assumptions!$H$71="Yes",A101&gt;=Assumptions!$H$72,A101&lt;=Assumptions!$H$73),0,IF(AND($A101&gt;=Assumptions!$C$17,$A101&lt;=Assumptions!$C$18),MAX(BC101*(1+VLOOKUP($C101,WeatherCapacityAdjustment,3))-FO101,0),0))</f>
        <v>#VALUE!</v>
      </c>
      <c r="FX101" s="1569" t="e">
        <f aca="false">IF(AND(Assumptions!$H$71="Yes",A101&gt;=Assumptions!$H$72,A101&lt;=Assumptions!$H$73),0,IF(ET101&gt;0,MAX(BH101*(1+VLOOKUP($C101,WeatherCapacityAdjustment,2))-FP101,0),0))</f>
        <v>#VALUE!</v>
      </c>
      <c r="FY101" s="1551" t="e">
        <f aca="false">IF(AND(Assumptions!$H$71="Yes",A101&gt;=Assumptions!$H$72,A101&lt;=Assumptions!$H$73),0,IF(EU101&gt;0,MAX(BI101*(1+VLOOKUP($C101,WeatherCapacityAdjustment,3))-FQ101,0),0))</f>
        <v>#VALUE!</v>
      </c>
      <c r="FZ101" s="1551" t="e">
        <f aca="false">IF(AND(Assumptions!$H$71="Yes",A101&gt;=Assumptions!$H$72,A101&lt;=Assumptions!$H$73),0,IF(EV101&gt;0,MAX(BJ101*(1+VLOOKUP($C101,WeatherCapacityAdjustment,2))-FR101,0),0))</f>
        <v>#VALUE!</v>
      </c>
      <c r="GA101" s="1564" t="e">
        <f aca="false">IF(AND(Assumptions!$H$71="Yes",A101&gt;=Assumptions!$H$72,A101&lt;=Assumptions!$H$73),0,IF(EW101&gt;0,MAX(BK101*(1+VLOOKUP($C101,WeatherCapacityAdjustment,2))-FS101,0),0))</f>
        <v>#VALUE!</v>
      </c>
      <c r="GB101" s="1551" t="e">
        <f aca="false">SUM(FT101:GA101)</f>
        <v>#VALUE!</v>
      </c>
      <c r="GC101" s="1563" t="e">
        <f aca="false">+IF(SUM(FT101:GA101)=0,0,(SUMPRODUCT(BU101:BX101,FT101:FW101)+SUMPRODUCT(CA101:CD101,FX101:GA101))/SUM(FT101:GA101))</f>
        <v>#VALUE!</v>
      </c>
      <c r="GD101" s="1551" t="e">
        <f aca="false">(FT101*BU101+FX101*CA101+FU101*BV101+FY101*CB101+FV101*BW101+FZ101*CC101+FW101*BX101+GA101*CD101)</f>
        <v>#VALUE!</v>
      </c>
      <c r="GE101" s="1561" t="e">
        <f aca="false">+IF(BQ101,((FL101+FM101+FT101+FU101)*HeatRatePeak/1000*(1+VLOOKUP($C101,WeatherHeatRateAdjustment,2))+(FN101+FV101)*IF(EV101&gt;0,HeatRatePeak,HeatRateOffPeak)/1000*(1+VLOOKUP($C101,WeatherHeatRateAdjustment,2))+(FO101+FW101)*IF(EW101&gt;0,HeatRatePeak,HeatRateOffPeak)/1000*(1+VLOOKUP($C101,WeatherHeatRateAdjustment,3)))*(1+VLOOKUP($B101,HeatRateDegradation,$C101+1)),0)</f>
        <v>#VALUE!</v>
      </c>
      <c r="GF101" s="1562" t="e">
        <f aca="false">IF(BQ101,((FP101+FQ101+FR101+FX101+FY101+FZ101)*HeatRatePeak/1000*(1+VLOOKUP($C101,WeatherHeatRateAdjustment,2))+(FS101+GA101)*HeatRatePeak/1000*(1+VLOOKUP($C101,WeatherHeatRateAdjustment,3)))*(1+VLOOKUP($B101,HeatRateDegradation,$C101+1)),0)</f>
        <v>#VALUE!</v>
      </c>
      <c r="GG101" s="1563" t="e">
        <f aca="false">IF(BQ101,VLOOKUP(A101,GasTable,13),0)</f>
        <v>#VALUE!</v>
      </c>
      <c r="GH101" s="1564" t="e">
        <f aca="false">(GE101+GF101)*GG101</f>
        <v>#VALUE!</v>
      </c>
      <c r="GI101" s="1569" t="e">
        <f aca="false">GB101</f>
        <v>#VALUE!</v>
      </c>
      <c r="GJ101" s="1598" t="e">
        <f aca="false">+DA101</f>
        <v>#VALUE!</v>
      </c>
      <c r="GK101" s="1558" t="e">
        <f aca="false">+GI101*GJ101</f>
        <v>#VALUE!</v>
      </c>
      <c r="GL101" s="1566" t="e">
        <f aca="false">MAX(FE101-FL101-FP101,0)</f>
        <v>#VALUE!</v>
      </c>
      <c r="GM101" s="1551" t="e">
        <f aca="false">MAX(FF101-FM101-FQ101,0)</f>
        <v>#VALUE!</v>
      </c>
      <c r="GN101" s="1551" t="e">
        <f aca="false">MAX(FG101-FN101-FR101,0)</f>
        <v>#VALUE!</v>
      </c>
      <c r="GO101" s="1564" t="e">
        <f aca="false">MAX(FH101-FO101-FS101,0)</f>
        <v>#VALUE!</v>
      </c>
      <c r="GP101" s="1551" t="e">
        <f aca="false">SUM(GL101:GO101)</f>
        <v>#VALUE!</v>
      </c>
      <c r="GQ101" s="1563" t="e">
        <f aca="false">IF(SUM(GL101:GO101)=0,0,((GL101*BU101+GM101*BV101+GN101*BW101+GO101*BX101)/SUM(GL101:GO101)))</f>
        <v>#VALUE!</v>
      </c>
      <c r="GR101" s="1558" t="e">
        <f aca="false">(GL101*BU101+GM101*BV101+GN101*BW101+GO101*BX101)</f>
        <v>#VALUE!</v>
      </c>
      <c r="GS101" s="1566" t="n">
        <f aca="false">IF($A101&gt;=BegDate,Assumptions!$C$56*24*($A102-$A101)*(1-VLOOKUP($B101,MAIN!$AA$7:$AM$28,$C101+1))*(1-VLOOKUP($B101,MAIN!$AA$33:$AM$54,$C101+1)),0)*80/168</f>
        <v>257742.857142857</v>
      </c>
      <c r="GT101" s="286" t="n">
        <f aca="false">J101</f>
        <v>35.3913500259746</v>
      </c>
      <c r="GU101" s="286" t="n">
        <f aca="false">IF($A101&gt;=BegDate,VLOOKUP($A101,GasTable,13)+Assumptions!$C$58,0)</f>
        <v>2.4949499101222</v>
      </c>
      <c r="GV101" s="286" t="n">
        <f aca="false">GU101*Assumptions!$C$57/1000</f>
        <v>18.088386848386</v>
      </c>
      <c r="GW101" s="1558" t="n">
        <f aca="false">IF(Assumptions!$C$60="Hourly",MAX(0,GS101*(GT101-GV101)),GS101*(GT101-GV101))</f>
        <v>4459715.16642935</v>
      </c>
      <c r="GX101" s="1566" t="n">
        <f aca="false">IF($A101&gt;=BegDate,Assumptions!$C$56*24*($A102-$A101)*(1-VLOOKUP($B101,MAIN!$AA$7:$AM$28,$C101+1))*(1-VLOOKUP($B101,MAIN!$AA$33:$AM$54,$C101+1)),0)*16/168</f>
        <v>51548.5714285714</v>
      </c>
      <c r="GY101" s="286" t="n">
        <f aca="false">M101</f>
        <v>35.3913500259746</v>
      </c>
      <c r="GZ101" s="286" t="n">
        <f aca="false">IF($A101&gt;=BegDate,VLOOKUP($A101,GasTable,13)+Assumptions!$C$58,0)</f>
        <v>2.4949499101222</v>
      </c>
      <c r="HA101" s="286" t="n">
        <f aca="false">GZ101*Assumptions!$C$57/1000</f>
        <v>18.088386848386</v>
      </c>
      <c r="HB101" s="1558" t="n">
        <f aca="false">IF(Assumptions!$C$60="Hourly",MAX(0,GX101*(GY101-HA101)),GX101*(GY101-HA101))</f>
        <v>891943.033285871</v>
      </c>
      <c r="HC101" s="1566" t="n">
        <f aca="false">IF($A101&gt;=BegDate,Assumptions!$C$56*24*($A102-$A101)*(1-VLOOKUP($B101,MAIN!$AA$7:$AM$28,$C101+1))*(1-VLOOKUP($B101,MAIN!$AA$33:$AM$54,$C101+1)),0)*16/168</f>
        <v>51548.5714285714</v>
      </c>
      <c r="HD101" s="286" t="n">
        <f aca="false">P101</f>
        <v>21.4651444656618</v>
      </c>
      <c r="HE101" s="286" t="n">
        <f aca="false">IF($A101&gt;=BegDate,VLOOKUP($A101,GasTable,13)+Assumptions!$C$58,0)</f>
        <v>2.4949499101222</v>
      </c>
      <c r="HF101" s="286" t="n">
        <f aca="false">HE101*Assumptions!$C$57/1000</f>
        <v>18.088386848386</v>
      </c>
      <c r="HG101" s="1558" t="n">
        <f aca="false">IF(Assumptions!$C$60="Hourly",MAX(0,HC101*(HD101-HF101)),HC101*(HD101-HF101))</f>
        <v>174067.031231117</v>
      </c>
      <c r="HH101" s="1566" t="n">
        <f aca="false">IF($A101&gt;=BegDate,Assumptions!$C$56*24*($A102-$A101)*(1-VLOOKUP($B101,MAIN!$AA$7:$AM$28,$C101+1))*(1-VLOOKUP($B101,MAIN!$AA$33:$AM$54,$C101+1)),0)*56/168</f>
        <v>180420</v>
      </c>
      <c r="HI101" s="286" t="n">
        <f aca="false">S101</f>
        <v>21.4651444656618</v>
      </c>
      <c r="HJ101" s="286" t="n">
        <f aca="false">IF($A101&gt;=BegDate,VLOOKUP($A101,GasTable,13)+Assumptions!$C$58,0)</f>
        <v>2.4949499101222</v>
      </c>
      <c r="HK101" s="286" t="n">
        <f aca="false">HJ101*Assumptions!$C$57/1000</f>
        <v>18.088386848386</v>
      </c>
      <c r="HL101" s="1558" t="n">
        <f aca="false">IF(Assumptions!$C$60="Hourly",MAX(0,HH101*(HI101-HK101)),HH101*(HI101-HK101))</f>
        <v>609234.609308909</v>
      </c>
      <c r="HM101" s="1566" t="n">
        <f aca="false">IF(AND(Assumptions!$H$71="Yes",A101&gt;=Assumptions!$H$72,A101&lt;=Assumptions!$H$73),Assumptions!$H$74*Assumptions!$C$9*1000,0)</f>
        <v>0</v>
      </c>
      <c r="HN101" s="1551"/>
      <c r="HO101" s="1563"/>
      <c r="HP101" s="1563"/>
      <c r="HQ101" s="1563"/>
      <c r="HR101" s="1563"/>
      <c r="HS101" s="1563"/>
      <c r="HT101" s="1563"/>
      <c r="HU101" s="1563"/>
      <c r="HV101" s="1563"/>
      <c r="HW101" s="1563"/>
      <c r="HX101" s="1563"/>
      <c r="HY101" s="1563"/>
      <c r="HZ101" s="1563"/>
      <c r="IA101" s="1563"/>
      <c r="IB101" s="1563"/>
      <c r="IC101" s="1563"/>
      <c r="ID101" s="1563"/>
      <c r="IE101" s="1563"/>
      <c r="IF101" s="1563"/>
      <c r="IG101" s="1563"/>
      <c r="IH101" s="1563"/>
      <c r="II101" s="1610"/>
      <c r="IJ101" s="1309"/>
      <c r="IK101" s="1309"/>
    </row>
    <row r="102" customFormat="false" ht="12.75" hidden="false" customHeight="false" outlineLevel="0" collapsed="false">
      <c r="A102" s="1571" t="n">
        <f aca="false">EOMONTH(A101,0)+1</f>
        <v>39234</v>
      </c>
      <c r="B102" s="594" t="n">
        <f aca="false">+YEAR(A102)</f>
        <v>2007</v>
      </c>
      <c r="C102" s="238" t="n">
        <f aca="false">MONTH(A102)</f>
        <v>6</v>
      </c>
      <c r="D102" s="1572" t="e">
        <f aca="false">IF(E102="","",Holiday(B102,C102))</f>
        <v>#VALUE!</v>
      </c>
      <c r="E102" s="1573" t="n">
        <f aca="false">IF(OR(BegDate&gt;=A103,EndDate&lt;A102,AND(VolumeMonthlyOverFlag,INDEX(VolumeMonthlyOver,C102)=0),NOT(INDEX(MonthKnockOutTable,C102))),"",MAX(A102,BegDate))</f>
        <v>39234</v>
      </c>
      <c r="F102" s="1574" t="n">
        <f aca="false">IF(E102="","",MIN(A103-1,EndDate))</f>
        <v>39263</v>
      </c>
      <c r="G102" s="1575" t="n">
        <v>0</v>
      </c>
      <c r="H102" s="1576" t="n">
        <f aca="false">(1+G102/2)^(-2*(DATE(B103,C103,20)-DateToday)/365.25)</f>
        <v>1</v>
      </c>
      <c r="I102" s="1568" t="n">
        <f aca="false">IF(Assumptions!$L$25=4,VLOOKUP($A102,'Henwood Reference'!$E$9:$R$320,10),(VLOOKUP($A102,PriceTable,2,0)+IF(BasisNumber&lt;&gt;1,VLOOKUP($A102,BasisTable,2,0),0)+I$1)/(1-I$2))</f>
        <v>33.4655785041606</v>
      </c>
      <c r="J102" s="1568" t="n">
        <f aca="false">IF(Assumptions!$L$25=4,VLOOKUP($A102,'Henwood Reference'!$E$9:$R$320,10),(VLOOKUP($A102,PriceTable,3,0)+IF(BasisNumber&lt;&gt;1,VLOOKUP($A102,BasisTable,2,0),0)+J$1)/(1-J$2))</f>
        <v>33.4655785041606</v>
      </c>
      <c r="K102" s="1568" t="n">
        <f aca="false">IF(Assumptions!$L$25=4,VLOOKUP($A102,'Henwood Reference'!$E$9:$R$320,10),(VLOOKUP($A102,PriceTable,4,0)+IF(BasisNumber&lt;&gt;1,VLOOKUP($A102,BasisTable,2,0),0)+K$1)/(1-K$2))</f>
        <v>33.4655785041606</v>
      </c>
      <c r="L102" s="1523" t="n">
        <f aca="false">IF(Assumptions!$L$25=4,VLOOKUP($A102,'Henwood Reference'!$E$9:$R$320,10),(VLOOKUP($A102,PriceTableWeekend,2,0)+IF(BasisNumber&lt;&gt;1,VLOOKUP($A102,BasisTable,2,0),0)+L$1)/(1-L$2))</f>
        <v>33.4655785041606</v>
      </c>
      <c r="M102" s="1568" t="n">
        <f aca="false">IF(Assumptions!$L$25=4,VLOOKUP($A102,'Henwood Reference'!$E$9:$R$320,10),(VLOOKUP($A102,PriceTableWeekend,3,0)+IF(BasisNumber&lt;&gt;1,VLOOKUP($A102,BasisTable,2,0),0)+M$1)/(1-M$2))</f>
        <v>33.4655785041606</v>
      </c>
      <c r="N102" s="1599" t="n">
        <f aca="false">IF(Assumptions!$L$25=4,VLOOKUP($A102,'Henwood Reference'!$E$9:$R$320,10),(VLOOKUP($A102,PriceTableWeekend,4,0)+IF(BasisNumber&lt;&gt;1,VLOOKUP($A102,BasisTable,2,0),0)+N$1)/(1-N$2))</f>
        <v>33.4655785041606</v>
      </c>
      <c r="O102" s="1568" t="n">
        <f aca="false">IF(Assumptions!$L$25=4,VLOOKUP($A102,'Henwood Reference'!$E$9:$R$320,11),(VLOOKUP($A102,PriceTableWeekend,6,0)+IF(BasisNumber&lt;&gt;1,VLOOKUP($A102,BasisTable,3,0),0)+O$1)/(1-O$2))</f>
        <v>19.6406870197345</v>
      </c>
      <c r="P102" s="1568" t="n">
        <f aca="false">IF(Assumptions!$L$25=4,VLOOKUP($A102,'Henwood Reference'!$E$9:$R$320,11),(VLOOKUP($A102,PriceTableWeekend,7,0)+IF(BasisNumber&lt;&gt;1,VLOOKUP($A102,BasisTable,3,0),0)+P$1)/(1-P$2))</f>
        <v>19.6406870197345</v>
      </c>
      <c r="Q102" s="1599" t="n">
        <f aca="false">IF(Assumptions!$L$25=4,VLOOKUP($A102,'Henwood Reference'!$E$9:$R$320,11),(VLOOKUP($A102,PriceTableWeekend,8,0)+IF(BasisNumber&lt;&gt;1,VLOOKUP($A102,BasisTable,3,0),0)+Q$1)/(1-Q$2))</f>
        <v>19.6406870197345</v>
      </c>
      <c r="R102" s="1568" t="n">
        <f aca="false">IF(Assumptions!$L$25=4,VLOOKUP($A102,'Henwood Reference'!$E$9:$R$320,11),(VLOOKUP($A102,PriceTable,6,0)+IF(BasisNumber&lt;&gt;1,VLOOKUP($A102,BasisTable,3,0),0)+R$1)/(1-R$2))</f>
        <v>19.6406870197345</v>
      </c>
      <c r="S102" s="1568" t="n">
        <f aca="false">IF(Assumptions!$L$25=4,VLOOKUP($A102,'Henwood Reference'!$E$9:$R$320,11),(VLOOKUP($A102,PriceTable,7,0)+IF(BasisNumber&lt;&gt;1,VLOOKUP($A102,BasisTable,3,0),0)+S$1)/(1-S$2))</f>
        <v>19.6406870197345</v>
      </c>
      <c r="T102" s="1600" t="n">
        <f aca="false">IF(Assumptions!$L$25=4,VLOOKUP($A102,'Henwood Reference'!$E$9:$R$320,11),(VLOOKUP($A102,PriceTable,8,0)+IF(BasisNumber&lt;&gt;1,VLOOKUP($A102,BasisTable,3,0),0)+T$1)/(1-T$2))</f>
        <v>19.6406870197345</v>
      </c>
      <c r="U102" s="1513" t="n">
        <f aca="false">VLOOKUP($A102,VolatilityTable,14)</f>
        <v>0.135</v>
      </c>
      <c r="V102" s="1513" t="n">
        <f aca="false">VLOOKUP($A102,VolatilityTable,15)</f>
        <v>0.145</v>
      </c>
      <c r="W102" s="1514" t="n">
        <f aca="false">VLOOKUP($A102,VolatilityTable,16)</f>
        <v>0.155</v>
      </c>
      <c r="X102" s="1513" t="n">
        <f aca="false">VLOOKUP($A102,VolatilityTable,14)</f>
        <v>0.135</v>
      </c>
      <c r="Y102" s="1513" t="n">
        <f aca="false">VLOOKUP($A102,VolatilityTable,15)</f>
        <v>0.145</v>
      </c>
      <c r="Z102" s="1514" t="n">
        <f aca="false">VLOOKUP($A102,VolatilityTable,16)</f>
        <v>0.155</v>
      </c>
      <c r="AA102" s="1513" t="n">
        <f aca="false">VLOOKUP($A102,VolatilityTable,18)</f>
        <v>0.09</v>
      </c>
      <c r="AB102" s="1513" t="n">
        <f aca="false">VLOOKUP($A102,VolatilityTable,19)</f>
        <v>0.11</v>
      </c>
      <c r="AC102" s="1514" t="n">
        <f aca="false">VLOOKUP($A102,VolatilityTable,20)</f>
        <v>0.13</v>
      </c>
      <c r="AD102" s="1513" t="n">
        <f aca="false">VLOOKUP($A102,VolatilityTable,18)</f>
        <v>0.09</v>
      </c>
      <c r="AE102" s="1513" t="n">
        <f aca="false">VLOOKUP($A102,VolatilityTable,19)</f>
        <v>0.11</v>
      </c>
      <c r="AF102" s="1514" t="n">
        <f aca="false">VLOOKUP($A102,VolatilityTable,20)</f>
        <v>0.13</v>
      </c>
      <c r="AG102" s="1513" t="n">
        <f aca="false">VLOOKUP($A102,VolatilityTable,22)</f>
        <v>-0.35</v>
      </c>
      <c r="AH102" s="1513" t="n">
        <f aca="false">VLOOKUP($A102,VolatilityTable,23)</f>
        <v>0.65</v>
      </c>
      <c r="AI102" s="1514" t="n">
        <f aca="false">VLOOKUP($A102,VolatilityTable,24)</f>
        <v>0.2</v>
      </c>
      <c r="AJ102" s="1513" t="n">
        <f aca="false">VLOOKUP($A102,VolatilityTable,22)</f>
        <v>-0.35</v>
      </c>
      <c r="AK102" s="1513" t="n">
        <f aca="false">VLOOKUP($A102,VolatilityTable,23)</f>
        <v>0.65</v>
      </c>
      <c r="AL102" s="1514" t="n">
        <f aca="false">VLOOKUP($A102,VolatilityTable,24)</f>
        <v>0.2</v>
      </c>
      <c r="AM102" s="1513" t="n">
        <f aca="false">VLOOKUP($A102,VolatilityTable,26)</f>
        <v>-0.01</v>
      </c>
      <c r="AN102" s="1513" t="n">
        <f aca="false">VLOOKUP($A102,VolatilityTable,27)</f>
        <v>0.16</v>
      </c>
      <c r="AO102" s="1514" t="n">
        <f aca="false">VLOOKUP($A102,VolatilityTable,28)</f>
        <v>0.01</v>
      </c>
      <c r="AP102" s="1513" t="n">
        <f aca="false">VLOOKUP($A102,VolatilityTable,26)</f>
        <v>-0.01</v>
      </c>
      <c r="AQ102" s="1513" t="n">
        <f aca="false">VLOOKUP($A102,VolatilityTable,27)</f>
        <v>0.16</v>
      </c>
      <c r="AR102" s="1515" t="n">
        <f aca="false">VLOOKUP($A102,VolatilityTable,28)</f>
        <v>0.01</v>
      </c>
      <c r="AS102" s="1581" t="n">
        <f aca="false">IF(CorrPeakOffPeakOverFlag,INDEX(CorrPeakOffPeakOver,C102),CorrPeakOffPeak)</f>
        <v>0.5</v>
      </c>
      <c r="AT102" s="594" t="e">
        <f aca="false">AX102-SUM(AU102:AW102)</f>
        <v>#VALUE!</v>
      </c>
      <c r="AU102" s="238" t="e">
        <f aca="false">IF(E102="",0,INT((F102-MOD(F102,7)-E102)/7)+1-IF(AW102,IF(WEEKDAY(D102)=7,1,0),0))</f>
        <v>#VALUE!</v>
      </c>
      <c r="AV102" s="238" t="e">
        <f aca="false">IF(E102="",0,INT((F102-MOD(F102-1,7)-E102)/7)+1-IF(AW102,IF(WEEKDAY(D102)=1,1,0),0))</f>
        <v>#VALUE!</v>
      </c>
      <c r="AW102" s="238" t="e">
        <f aca="false">IF(OR(E102="",D102="",D102&lt;BegDate,D102&gt;EndDate),0,1)</f>
        <v>#VALUE!</v>
      </c>
      <c r="AX102" s="238" t="n">
        <f aca="false">IF(E102="",0,F102-E102+1)</f>
        <v>30</v>
      </c>
      <c r="AY102" s="1582" t="n">
        <f aca="false">IF(E102="",0,MIN((1-(1-VLOOKUP(B102,MAIN!$AA$7:$AM$28,C102+1))*(1-VLOOKUP(B102,MAIN!$AA$33:$AM$54,C102+1))),1))</f>
        <v>0.03</v>
      </c>
      <c r="AZ102" s="1519" t="e">
        <v>#VALUE!</v>
      </c>
      <c r="BA102" s="1520" t="e">
        <v>#VALUE!</v>
      </c>
      <c r="BB102" s="1520" t="e">
        <v>#VALUE!</v>
      </c>
      <c r="BC102" s="1583" t="e">
        <v>#VALUE!</v>
      </c>
      <c r="BD102" s="1522" t="e">
        <v>#VALUE!</v>
      </c>
      <c r="BE102" s="1523" t="e">
        <v>#VALUE!</v>
      </c>
      <c r="BF102" s="1523" t="e">
        <v>#VALUE!</v>
      </c>
      <c r="BG102" s="1584" t="e">
        <v>#VALUE!</v>
      </c>
      <c r="BH102" s="1525" t="e">
        <v>#VALUE!</v>
      </c>
      <c r="BI102" s="1520" t="e">
        <v>#VALUE!</v>
      </c>
      <c r="BJ102" s="1520" t="e">
        <v>#VALUE!</v>
      </c>
      <c r="BK102" s="1583" t="e">
        <v>#VALUE!</v>
      </c>
      <c r="BL102" s="1522" t="e">
        <v>#VALUE!</v>
      </c>
      <c r="BM102" s="1523" t="e">
        <v>#VALUE!</v>
      </c>
      <c r="BN102" s="1523" t="e">
        <v>#VALUE!</v>
      </c>
      <c r="BO102" s="1523" t="e">
        <v>#VALUE!</v>
      </c>
      <c r="BP102" s="1525" t="e">
        <f aca="false">SUM(AZ102:BB102)</f>
        <v>#VALUE!</v>
      </c>
      <c r="BQ102" s="1529" t="e">
        <f aca="false">SUM(AZ102:BC102)</f>
        <v>#VALUE!</v>
      </c>
      <c r="BR102" s="1519" t="e">
        <f aca="false">SUM(BH102:BJ102)</f>
        <v>#VALUE!</v>
      </c>
      <c r="BS102" s="1529" t="e">
        <f aca="false">SUM(BH102:BK102)</f>
        <v>#VALUE!</v>
      </c>
      <c r="BT102" s="1316" t="n">
        <f aca="false">(IF(OVolType&lt;&gt;2,A102+14,IF(OptExpDateShift,ShiftBack(A102,OptExpDateShift,D101),A102))-DateToday)/365.25</f>
        <v>7.12936344969199</v>
      </c>
      <c r="BU102" s="1585" t="e">
        <f aca="false">IF(BQ102,IF(OPriceCurve,IF(OBuySell=OCallPut,I102/(1-AY102),K102/(1-AY102)),J102/(1-AY102))*BD102,0)</f>
        <v>#VALUE!</v>
      </c>
      <c r="BV102" s="1316" t="e">
        <f aca="false">IF(BQ102,IF(OPriceCurve,IF(OBuySell=OCallPut,L102/(1-AY102),N102/(1-AY102)),M102/(1-AY102))*BE102,0)</f>
        <v>#VALUE!</v>
      </c>
      <c r="BW102" s="1316" t="e">
        <f aca="false">IF(BQ102,IF(OPriceCurve,IF(OBuySell=OCallPut,O102/(1-AY102),Q102/(1-AY102)),P102/(1-AY102))*BF102,0)</f>
        <v>#VALUE!</v>
      </c>
      <c r="BX102" s="1316" t="e">
        <f aca="false">IF(BQ102,IF(OPriceCurve,IF(OBuySell=OCallPut,R102/(1-AY102),T102/(1-AY102)),S102/(1-AY102))*BG102,0)</f>
        <v>#VALUE!</v>
      </c>
      <c r="BY102" s="1316" t="e">
        <f aca="false">IF(BP102,(BU102*AZ102+BV102*BA102+BW102*BB102)/BP102,0)</f>
        <v>#VALUE!</v>
      </c>
      <c r="BZ102" s="1316" t="e">
        <f aca="false">IF(BQ102,(BY102*BP102+BX102*BC102)/BQ102,0)</f>
        <v>#VALUE!</v>
      </c>
      <c r="CA102" s="1531" t="e">
        <f aca="false">IF(BS102,IF(OPriceCurve,IF(OBuySell=OCallPut,I102/(1-AY102),K102/(1-AY102)),J102/(1-AY102))*BL102,0)</f>
        <v>#VALUE!</v>
      </c>
      <c r="CB102" s="1316" t="e">
        <f aca="false">IF(BS102,IF(OPriceCurve,IF(OBuySell=OCallPut,L102/(1-AY102),N102/(1-AY102)),M102/(1-AY102))*BM102,0)</f>
        <v>#VALUE!</v>
      </c>
      <c r="CC102" s="1316" t="e">
        <f aca="false">IF(BS102,IF(OPriceCurve,IF(OBuySell=OCallPut,O102/(1-AY102),Q102/(1-AY102)),P102/(1-AY102))*BN102,0)</f>
        <v>#VALUE!</v>
      </c>
      <c r="CD102" s="1316" t="e">
        <f aca="false">IF(BS102,IF(OPriceCurve,IF(OBuySell=OCallPut,R102/(1-AY102),T102/(1-AY102)),S102/(1-AY102))*BO102,0)</f>
        <v>#VALUE!</v>
      </c>
      <c r="CE102" s="1316" t="e">
        <f aca="false">IF(BR102,(BU102*BH102+BV102*BI102+BW102*BJ102)/BR102,0)</f>
        <v>#VALUE!</v>
      </c>
      <c r="CF102" s="1532" t="e">
        <f aca="false">IF(BS102,(CE102*BR102+CD102*BK102)/BS102,0)</f>
        <v>#VALUE!</v>
      </c>
      <c r="CG102" s="1586" t="e">
        <f aca="false">IF(OR(BQ102,BS102),IF(OVolType&lt;&gt;2,SQRT(IF(OVolOverMonthlyPeak,OVolOverMonthlyPeak,IF(OVolCurve,IF(OBuySell,U102,W102),V102))^2*(1-15/365.25/BT102)+IF(OVolOverDailyPeak,OVolOverDailyPeak,IF(OVolCurve,IF(OBuySell,AG102,AI102),AH102))^2*15/365.25/BT102),IF(OVolOverMonthlyPeak,OVolOverMonthlyPeak,IF(OVolCurve,IF(OBuySell,U102,W102),V102))),"")</f>
        <v>#VALUE!</v>
      </c>
      <c r="CH102" s="1587" t="e">
        <f aca="false">IF(OR(BQ102,BS102),IF(OVolType&lt;&gt;2,SQRT(IF(OVolOverMonthlyPeak,OVolOverMonthlyPeak,IF(OVolCurve,IF(OBuySell,X102,Z102),Y102))^2*(1-15/365.25/BT102)+IF(OVolOverDailyPeak,OVolOverDailyPeak,IF(OVolCurve,IF(OBuySell,AJ102,AL102),AK102))^2*15/365.25/BT102),IF(OVolOverMonthlyPeak,OVolOverMonthlyPeak,IF(OVolCurve,IF(OBuySell,X102,Z102),Y102))),"")</f>
        <v>#VALUE!</v>
      </c>
      <c r="CI102" s="1587" t="e">
        <f aca="false">IF(OR(BQ102,BS102),IF(OVolType&lt;&gt;2,SQRT(IF(OVolOverMonthlyPeak,OVolOverMonthlyPeak,IF(OVolCurve,IF(OBuySell,AA102,AC102),AB102))^2*(1-15/365.25/BT102)+IF(OVolOverDailyPeak,OVolOverDailyPeak,IF(OVolCurve,IF(OBuySell,AM102,AO102),AN102))^2*15/365.25/BT102),IF(OVolOverMonthlyPeak,OVolOverMonthlyPeak,IF(OVolCurve,IF(OBuySell,AA102,AC102),AB102))),"")</f>
        <v>#VALUE!</v>
      </c>
      <c r="CJ102" s="1587" t="e">
        <f aca="false">IF(BQ102,IF(BP102,SQRT(LN(1+((BU102*AZ102)^2*(EXP(CG102^2*BT102)-1)+(BV102*BA102)^2*(EXP(CH102^2*BT102)-1)+(BW102*BB102)^2*(EXP(CI102^2*BT102)-1)+2*BU102*AZ102*BV102*BA102*(EXP(CG102*CH102*BT102)-1)+2*BV102*BA102*BW102*BB102*(EXP(CH102*CI102*BT102)-1)+2*BW102*BB102*BU102*AZ102*(EXP(CI102*CG102*BT102)-1))/(BY102*BP102)^2)/BT102),0),"")</f>
        <v>#VALUE!</v>
      </c>
      <c r="CK102" s="1587" t="e">
        <f aca="false">IF(BS102,IF(BR102,SQRT(LN(1+((CA102*BH102)^2*(EXP(CG102^2*BT102)-1)+(CB102*BI102)^2*(EXP(CH102^2*BT102)-1)+(CC102*BJ102)^2*(EXP(CI102^2*BT102)-1)+2*CA102*BH102*CB102*BI102*(EXP(CG102*CH102*BT102)-1)+2*CB102*BI102*CC102*BJ102*(EXP(CH102*CI102*BT102)-1)+2*CC102*BJ102*CA102*BH102*(EXP(CI102*CG102*BT102)-1))/(CE102*BR102)^2)/BT102),0),"")</f>
        <v>#VALUE!</v>
      </c>
      <c r="CL102" s="1587" t="e">
        <f aca="false">IF(OR(BQ102,BS102),IF(OVolType&lt;&gt;2,SQRT(IF(OVolOverMonthlyOffPeak,OVolOverMonthlyOffPeak,IF(OVolCurve,IF(OBuySell,AD102,AF102),AE102))^2*(1-15/365.25/BT102)+IF(OVolOverDailyOffPeak,OVolOverDailyOffPeak,IF(OVolCurve,IF(OBuySell,AP102,AR102),AQ102))^2*15/365.25/BT102),IF(OVolOverMonthlyOffPeak,OVolOverMonthlyOffPeak,IF(OVolCurve,IF(OBuySell,AD102,AF102),AE102))),"")</f>
        <v>#VALUE!</v>
      </c>
      <c r="CM102" s="1587" t="e">
        <f aca="false">IF(BQ102,SQRT(LN(1+((BY102*BP102)^2*(EXP(CJ102^2*BT102)-1)+(BX102*BC102)^2*(EXP(CL102^2*BT102)-1)+2*BY102*BP102*BX102*BC102*(EXP(AS102*CJ102*CL102*BT102)-1))/(BY102*BP102+BX102*BC102)^2)/BT102),"")</f>
        <v>#VALUE!</v>
      </c>
      <c r="CN102" s="1588" t="e">
        <f aca="false">IF(BS102,SQRT(LN(1+((CE102*BR102)^2*(EXP(CK102^2*BT102)-1)+(CD102*BK102)^2*(EXP(CL102^2*BT102)-1)+2*CE102*BR102*CD102*BK102*(EXP(AS102*CK102*CL102*BT102)-1))/(CE102*BR102+CD102*BK102)^2)/BT102),"")</f>
        <v>#VALUE!</v>
      </c>
      <c r="CO102" s="1531" t="e">
        <f aca="false">IF(OR(BQ102,BS102),VLOOKUP(A102,GasTable,13)*HeatRatePeak*(1+VLOOKUP($B102,HeatRateDegradation,$C102+1))/1000,0)</f>
        <v>#VALUE!</v>
      </c>
      <c r="CP102" s="1316" t="e">
        <f aca="false">IF(OR(BQ102,BS102),VLOOKUP(A102,GasTable,13)*HeatRatePeak*(1+VLOOKUP($B102,HeatRateDegradation,$C102+1))/1000,0)</f>
        <v>#VALUE!</v>
      </c>
      <c r="CQ102" s="1316" t="e">
        <f aca="false">IF(OR(BQ102,BS102),VLOOKUP(A102,GasTable,13)*IF(EV102,HeatRatePeak,HeatRateOffPeak)*(1+VLOOKUP($B102,HeatRateDegradation,$C102+1))/1000,0)</f>
        <v>#VALUE!</v>
      </c>
      <c r="CR102" s="1316" t="e">
        <f aca="false">IF(OR(BQ102,BS102),VLOOKUP(A102,GasTable,13)*IF(EW102,HeatRatePeak,HeatRateOffPeak)*(1+VLOOKUP($B102,HeatRateDegradation,$C102+1))/1000,0)</f>
        <v>#VALUE!</v>
      </c>
      <c r="CS102" s="1589" t="e">
        <f aca="false">IF(BQ102,(CO102*AZ102+CP102*BA102+CQ102*BB102+CR102*BC102)/BQ102,0)</f>
        <v>#VALUE!</v>
      </c>
      <c r="CT102" s="1316" t="e">
        <f aca="false">IF(BS102,CO102,0)</f>
        <v>#VALUE!</v>
      </c>
      <c r="CU102" s="1590" t="e">
        <f aca="false">IF(OR(BQ102,BS102),VLOOKUP(A102,GasTable,14),"")</f>
        <v>#VALUE!</v>
      </c>
      <c r="CV102" s="1568" t="e">
        <f aca="false">IF(OR(BQ102,BS102),IF(CorrPowerGasOverFlag,INDEX(CorrPowerGasOver,C102),CorrPowerGas),"")</f>
        <v>#VALUE!</v>
      </c>
      <c r="CW102" s="1316" t="e">
        <f aca="false">IF(OR($BQ102,$BS102),SpreadOptPowerMargin,0)*((1+Assumptions!$C$26)^($B102-YEAR(Assumptions!$C$17)))</f>
        <v>#VALUE!</v>
      </c>
      <c r="CX102" s="1316" t="e">
        <f aca="false">IF(OR($BQ102,$BS102),SpreadOptPowerMargin,0)*((1+Assumptions!$C$26)^($B102-YEAR(Assumptions!$C$17)))</f>
        <v>#VALUE!</v>
      </c>
      <c r="CY102" s="1316" t="e">
        <f aca="false">IF(OR($BQ102,$BS102),SpreadOptPowerMargin,0)*((1+Assumptions!$C$26)^($B102-YEAR(Assumptions!$C$17)))</f>
        <v>#VALUE!</v>
      </c>
      <c r="CZ102" s="1316" t="e">
        <f aca="false">IF(OR($BQ102,$BS102),SpreadOptPowerMargin,0)*((1+Assumptions!$C$26)^($B102-YEAR(Assumptions!$C$17)))</f>
        <v>#VALUE!</v>
      </c>
      <c r="DA102" s="1591" t="e">
        <f aca="false">IF(OR(BQ102,BS102),(CW102*(AZ102+BH102)+CX102*(BA102+BI102)+CY102*(BB102+BJ102)+CZ102*(BC102+BK102))/(BQ102+BS102),0)</f>
        <v>#VALUE!</v>
      </c>
      <c r="DB102" s="1592" t="e">
        <f aca="false">IF(OR(BQ102,BS102),CG102+IF(OVolSmile,VLOOKUP(MAX(-5,CO102+CW102-BU102),IF(OVolSmile=1,VolSmileBook,VolSmileModel),2),0),"")</f>
        <v>#VALUE!</v>
      </c>
      <c r="DC102" s="1592" t="e">
        <f aca="false">IF(OR(BQ102,BS102),CH102+IF(OVolSmile,VLOOKUP(MAX(-5,CP102+CW102-BV102),IF(OVolSmile=1,VolSmileBook,VolSmileModel),2),0),"")</f>
        <v>#VALUE!</v>
      </c>
      <c r="DD102" s="1592" t="e">
        <f aca="false">IF(OR(BQ102,BS102),CI102+IF(OVolSmile,VLOOKUP(MAX(-5,CQ102+CW102-BW102),IF(OVolSmile=1,VolSmileBook,VolSmileModel),2),0),"")</f>
        <v>#VALUE!</v>
      </c>
      <c r="DE102" s="1592" t="e">
        <f aca="false">IF(OR(BQ102,BS102),CL102+IF(OVolSmile,VLOOKUP(MAX(-5,CR102+CZ102-BX102),IF(OVolSmile=1,VolSmileBook,VolSmileModel),2),0),"")</f>
        <v>#VALUE!</v>
      </c>
      <c r="DF102" s="1592" t="e">
        <f aca="false">IF(BQ102,CM102+IF(OVolSmile,VLOOKUP(MAX(-5,CS102+DA102-BZ102),IF(OVolSmile=1,VolSmileBook,VolSmileModel),2),0),"")</f>
        <v>#VALUE!</v>
      </c>
      <c r="DG102" s="1593" t="e">
        <f aca="false">IF(BS102,CN102+IF(OVolSmile,VLOOKUP(MAX(-5,CT102+DA102-CF102),IF(OVolSmile=1,VolSmileBook,VolSmileModel),2),0),"")</f>
        <v>#VALUE!</v>
      </c>
      <c r="DH102" s="1316" t="e">
        <f aca="false">IF(AND(BU102&gt;0,CO102&gt;0,DB102&gt;0,CU102&gt;0),newSPRDOPT(BU102,CO102,CW102,0,DB102,CU102,CV102,BT102*365.25,OCallPut,0),0)</f>
        <v>#VALUE!</v>
      </c>
      <c r="DI102" s="1316" t="e">
        <f aca="false">IF(AND(BV102&gt;0,CP102&gt;0,DC102&gt;0,CU102&gt;0),newSPRDOPT(BV102,CP102,CX102,0,DC102,CU102,CV102,BT102*365.25,OCallPut,0),0)</f>
        <v>#VALUE!</v>
      </c>
      <c r="DJ102" s="1316" t="e">
        <f aca="false">IF(AND(BW102&gt;0,CQ102&gt;0,DD102&gt;0,CU102&gt;0),newSPRDOPT(BW102,CQ102,CY102,0,DD102,CU102,CV102,BT102*365.25,OCallPut,0),0)</f>
        <v>#VALUE!</v>
      </c>
      <c r="DK102" s="1316" t="e">
        <f aca="false">IF(AND(BX102&gt;0,CR102&gt;0,DE102&gt;0,CU102&gt;0),newSPRDOPT(BX102,CR102,CZ102,0,DE102,CU102,CV102,BT102*365.25,OCallPut,0),0)</f>
        <v>#VALUE!</v>
      </c>
      <c r="DL102" s="1316" t="e">
        <f aca="false">IF(OVolType,IF(AND(BZ102&gt;0,CS102&gt;0,DF102&gt;0,CU102&gt;0),newSPRDOPT(BZ102,CS102,DA102,0,DF102,CU102,CV102,BT102*365.25,OCallPut,0),0),IF(BQ102,(DH102*AZ102+DI102*BA102+DJ102*BB102+DK102*BC102)/BQ102,0))</f>
        <v>#VALUE!</v>
      </c>
      <c r="DM102" s="1316"/>
      <c r="DN102" s="1316"/>
      <c r="DO102" s="1316"/>
      <c r="DP102" s="1316"/>
      <c r="DQ102" s="1316"/>
      <c r="DR102" s="1316"/>
      <c r="DS102" s="1316"/>
      <c r="DT102" s="1316"/>
      <c r="DU102" s="1316"/>
      <c r="DV102" s="1316"/>
      <c r="DW102" s="1594" t="e">
        <f aca="false">IF(AND(BW102&gt;0,CT102&gt;0,DD102&gt;0,CU102&gt;0),newSPRDOPT(BW102,CT102,CY102,0,DD102,CU102,CV102,BT102*365.25,OCallPut,0),0)</f>
        <v>#VALUE!</v>
      </c>
      <c r="DX102" s="1316" t="e">
        <f aca="false">IF(AND(BX102&gt;0,CT102&gt;0,DE102&gt;0,CU102&gt;0),newSPRDOPT(BX102,CT102,CZ102,0,DE102,CU102,CV102,BT102*365.25,OCallPut,0),0)</f>
        <v>#VALUE!</v>
      </c>
      <c r="DY102" s="1591" t="e">
        <f aca="false">IF(BS102,(DH102*BH102+DI102*BI102+DW102*BJ102+DX102*BK102)/BS102,0)</f>
        <v>#VALUE!</v>
      </c>
      <c r="DZ102" s="1551" t="e">
        <f aca="false">DH102*AZ102</f>
        <v>#VALUE!</v>
      </c>
      <c r="EA102" s="1551" t="e">
        <f aca="false">DI102*BA102</f>
        <v>#VALUE!</v>
      </c>
      <c r="EB102" s="1551" t="e">
        <f aca="false">DJ102*BB102</f>
        <v>#VALUE!</v>
      </c>
      <c r="EC102" s="1551" t="e">
        <f aca="false">DK102*BC102</f>
        <v>#VALUE!</v>
      </c>
      <c r="ED102" s="1551" t="e">
        <f aca="false">DL102*BQ102</f>
        <v>#VALUE!</v>
      </c>
      <c r="EE102" s="1595" t="e">
        <f aca="false">IF(BQ102,IF(OCallPut,IF(BU102&gt;(CO102+CW102),BU102-(CO102+CW102),0),IF((CO102+CW102)&gt;BU102,(CO102+CW102)-BU102,0))*AZ102,0)</f>
        <v>#VALUE!</v>
      </c>
      <c r="EF102" s="1596" t="e">
        <f aca="false">IF(BQ102,IF(OCallPut,IF(BV102&gt;(CP102+CX102),BV102-(CP102+CX102),0),IF((CP102+CX102)&gt;BV102,(CP102+CX102)-BV102,0))*BA102,0)</f>
        <v>#VALUE!</v>
      </c>
      <c r="EG102" s="1596" t="e">
        <f aca="false">IF(BQ102,IF(OCallPut,IF(BW102&gt;(CQ102+CY102),BW102-(CQ102+CY102),0),IF((CQ102+CY102)&gt;BW102,(CQ102+CY102)-BW102,0))*BB102,0)</f>
        <v>#VALUE!</v>
      </c>
      <c r="EH102" s="1596" t="e">
        <f aca="false">IF(BQ102,IF(OCallPut,IF(BX102&gt;(CR102+CZ102),BX102-(CR102+CZ102),0),IF((CR102+CZ102)&gt;BX102,(CR102+CZ102)-BX102,0))*BC102,0)</f>
        <v>#VALUE!</v>
      </c>
      <c r="EI102" s="1597" t="e">
        <f aca="false">IF(BQ102,IF(OVolType,IF(OCallPut,IF(BZ102&gt;(CS102+DA102),BZ102-(CS102+DA102),0),IF((CS102+DA102)&gt;BZ102,(CS102+DA102)-BZ102,0))*BQ102,SUM(EE102:EH102)),0)</f>
        <v>#VALUE!</v>
      </c>
      <c r="EJ102" s="1595" t="e">
        <f aca="false">DZ102-EE102</f>
        <v>#VALUE!</v>
      </c>
      <c r="EK102" s="1596" t="e">
        <f aca="false">EA102-EF102</f>
        <v>#VALUE!</v>
      </c>
      <c r="EL102" s="1596" t="e">
        <f aca="false">EB102-EG102</f>
        <v>#VALUE!</v>
      </c>
      <c r="EM102" s="1596" t="e">
        <f aca="false">EC102-EH102</f>
        <v>#VALUE!</v>
      </c>
      <c r="EN102" s="1597" t="e">
        <f aca="false">ED102-EI102</f>
        <v>#VALUE!</v>
      </c>
      <c r="EO102" s="1551" t="e">
        <f aca="false">DH102*BH102</f>
        <v>#VALUE!</v>
      </c>
      <c r="EP102" s="1551" t="e">
        <f aca="false">DI102*BI102</f>
        <v>#VALUE!</v>
      </c>
      <c r="EQ102" s="1551" t="e">
        <f aca="false">DW102*BJ102</f>
        <v>#VALUE!</v>
      </c>
      <c r="ER102" s="1551" t="e">
        <f aca="false">DX102*BK102</f>
        <v>#VALUE!</v>
      </c>
      <c r="ES102" s="1551" t="e">
        <f aca="false">DY102*BS102</f>
        <v>#VALUE!</v>
      </c>
      <c r="ET102" s="1566" t="e">
        <f aca="false">IF(EI102,IF(OCallPut,IF(CA102&gt;(CT102+CW102),CA102-(CT102+CW102),0),IF((CT102+CW102)&gt;CA102,(CT102+CW102)-CA102,0))*BH102,0)</f>
        <v>#VALUE!</v>
      </c>
      <c r="EU102" s="1551" t="e">
        <f aca="false">IF(EI102,IF(OCallPut,IF(CB102&gt;(CT102+CX102),CB102-(CT102+CX102),0),IF((CT102+CX102)&gt;CB102,(CT102+CX102)-CB102,0))*BI102,0)</f>
        <v>#VALUE!</v>
      </c>
      <c r="EV102" s="1551" t="e">
        <f aca="false">IF(EI102,IF(OCallPut,IF(CC102&gt;(CT102+CY102),CC102-(CT102+CY102),0),IF((CT102+CY102)&gt;CC102,(CT102+CY102)-CC102,0))*BJ102,0)</f>
        <v>#VALUE!</v>
      </c>
      <c r="EW102" s="1551" t="e">
        <f aca="false">IF(EI102,IF(OCallPut,IF(CD102&gt;(CT102+CZ102),CD102-(CT102+CZ102),0),IF((CT102+CZ102)&gt;CD102,(CT102+CZ102)-CD102,0))*BK102,0)</f>
        <v>#VALUE!</v>
      </c>
      <c r="EX102" s="1558" t="e">
        <f aca="false">IF(EI102,SUM(ET102:EW102),0)</f>
        <v>#VALUE!</v>
      </c>
      <c r="EY102" s="1551" t="e">
        <f aca="false">EO102-ET102</f>
        <v>#VALUE!</v>
      </c>
      <c r="EZ102" s="1551" t="e">
        <f aca="false">EP102-EU102</f>
        <v>#VALUE!</v>
      </c>
      <c r="FA102" s="1551" t="e">
        <f aca="false">EQ102-EV102</f>
        <v>#VALUE!</v>
      </c>
      <c r="FB102" s="1551" t="e">
        <f aca="false">ER102-EW102</f>
        <v>#VALUE!</v>
      </c>
      <c r="FC102" s="1551" t="e">
        <f aca="false">ES102-EX102</f>
        <v>#VALUE!</v>
      </c>
      <c r="FD102" s="1525" t="n">
        <f aca="false">IF(AX102,IF(VLOOKUP(C102,MAIN!$L$17:$M$28,2)="Yes",VLOOKUP(CALC!B102,MAIN!$H$17:$I$20,2),0),0)</f>
        <v>0</v>
      </c>
      <c r="FE102" s="1552" t="e">
        <f aca="false">$FD102*16*AT102*(1-$AY102)</f>
        <v>#VALUE!</v>
      </c>
      <c r="FF102" s="1553" t="e">
        <f aca="false">$FD102*16*AU102*(1-$AY102)</f>
        <v>#VALUE!</v>
      </c>
      <c r="FG102" s="1553" t="e">
        <f aca="false">$FD102*16*(AV102+AW102)*(1-$AY102)</f>
        <v>#VALUE!</v>
      </c>
      <c r="FH102" s="1554" t="n">
        <f aca="false">$FD102*8*AX102*(1-$AY102)</f>
        <v>0</v>
      </c>
      <c r="FI102" s="1555" t="n">
        <f aca="false">IF(AX102,VLOOKUP(CALC!B102,MAIN!$H$17:$K$20,4),0)</f>
        <v>0</v>
      </c>
      <c r="FJ102" s="1553" t="e">
        <f aca="false">SUM(FE102:FH102)</f>
        <v>#VALUE!</v>
      </c>
      <c r="FK102" s="1556" t="e">
        <f aca="false">FI102*FJ102</f>
        <v>#VALUE!</v>
      </c>
      <c r="FL102" s="1551" t="e">
        <f aca="false">IF($EI102&gt;0,MIN(FE102,AZ102*(1+VLOOKUP($C102,WeatherCapacityAdjustment,2))),0)</f>
        <v>#VALUE!</v>
      </c>
      <c r="FM102" s="1551" t="e">
        <f aca="false">IF($EI102&gt;0,MIN(FF102,BA102*(1+VLOOKUP($C102,WeatherCapacityAdjustment,2))),0)</f>
        <v>#VALUE!</v>
      </c>
      <c r="FN102" s="1551" t="e">
        <f aca="false">IF($EI102&gt;0,MIN(FG102,BB102*(1+VLOOKUP($C102,WeatherCapacityAdjustment,2))),0)</f>
        <v>#VALUE!</v>
      </c>
      <c r="FO102" s="1564" t="e">
        <f aca="false">IF($EI102&gt;0,MIN(FH102,BC102*(1+VLOOKUP($C102,WeatherCapacityAdjustment,3))),0)</f>
        <v>#VALUE!</v>
      </c>
      <c r="FP102" s="1551" t="e">
        <f aca="false">IF(ET102&gt;0,MIN(FE102-FL102,BH102*(1+VLOOKUP($C102,WeatherCapacityAdjustment,2))),0)</f>
        <v>#VALUE!</v>
      </c>
      <c r="FQ102" s="1551" t="e">
        <f aca="false">IF(EU102&gt;0,MIN(FF102-FM102,BI102*(1+VLOOKUP($C102,WeatherCapacityAdjustment,2))),0)</f>
        <v>#VALUE!</v>
      </c>
      <c r="FR102" s="1551" t="e">
        <f aca="false">IF(EV102&gt;0,MIN(FG102-FN102,BJ102*(1+VLOOKUP($C102,WeatherCapacityAdjustment,2))),0)</f>
        <v>#VALUE!</v>
      </c>
      <c r="FS102" s="1558" t="e">
        <f aca="false">IF(EW102&gt;0,MIN(FH102-FO102,BK102*(1+VLOOKUP($C102,WeatherCapacityAdjustment,3))),0)</f>
        <v>#VALUE!</v>
      </c>
      <c r="FT102" s="1566" t="e">
        <f aca="false">IF(AND(Assumptions!$H$71="Yes",A102&gt;=Assumptions!$H$72,A102&lt;=Assumptions!$H$73),0,IF(AND($A102&gt;=Assumptions!$C$17,$A102&lt;=Assumptions!$C$18),MAX(AZ102*(1+VLOOKUP($C102,WeatherCapacityAdjustment,2))-FL102,0),0))</f>
        <v>#VALUE!</v>
      </c>
      <c r="FU102" s="1551" t="e">
        <f aca="false">IF(AND(Assumptions!$H$71="Yes",A102&gt;=Assumptions!$H$72,A102&lt;=Assumptions!$H$73),0,IF(AND($A102&gt;=Assumptions!$C$17,$A102&lt;=Assumptions!$C$18),MAX(BA102*(1+VLOOKUP($C102,WeatherCapacityAdjustment,2))-FM102,0),0))</f>
        <v>#VALUE!</v>
      </c>
      <c r="FV102" s="1551" t="e">
        <f aca="false">IF(AND(Assumptions!$H$71="Yes",A102&gt;=Assumptions!$H$72,A102&lt;=Assumptions!$H$73),0,IF(AND($A102&gt;=Assumptions!$C$17,$A102&lt;=Assumptions!$C$18),MAX(BB102*(1+VLOOKUP($C102,WeatherCapacityAdjustment,2))-FN102,0),0))</f>
        <v>#VALUE!</v>
      </c>
      <c r="FW102" s="1564" t="e">
        <f aca="false">IF(AND(Assumptions!$H$71="Yes",A102&gt;=Assumptions!$H$72,A102&lt;=Assumptions!$H$73),0,IF(AND($A102&gt;=Assumptions!$C$17,$A102&lt;=Assumptions!$C$18),MAX(BC102*(1+VLOOKUP($C102,WeatherCapacityAdjustment,3))-FO102,0),0))</f>
        <v>#VALUE!</v>
      </c>
      <c r="FX102" s="1569" t="e">
        <f aca="false">IF(AND(Assumptions!$H$71="Yes",A102&gt;=Assumptions!$H$72,A102&lt;=Assumptions!$H$73),0,IF(ET102&gt;0,MAX(BH102*(1+VLOOKUP($C102,WeatherCapacityAdjustment,2))-FP102,0),0))</f>
        <v>#VALUE!</v>
      </c>
      <c r="FY102" s="1551" t="e">
        <f aca="false">IF(AND(Assumptions!$H$71="Yes",A102&gt;=Assumptions!$H$72,A102&lt;=Assumptions!$H$73),0,IF(EU102&gt;0,MAX(BI102*(1+VLOOKUP($C102,WeatherCapacityAdjustment,3))-FQ102,0),0))</f>
        <v>#VALUE!</v>
      </c>
      <c r="FZ102" s="1551" t="e">
        <f aca="false">IF(AND(Assumptions!$H$71="Yes",A102&gt;=Assumptions!$H$72,A102&lt;=Assumptions!$H$73),0,IF(EV102&gt;0,MAX(BJ102*(1+VLOOKUP($C102,WeatherCapacityAdjustment,2))-FR102,0),0))</f>
        <v>#VALUE!</v>
      </c>
      <c r="GA102" s="1564" t="e">
        <f aca="false">IF(AND(Assumptions!$H$71="Yes",A102&gt;=Assumptions!$H$72,A102&lt;=Assumptions!$H$73),0,IF(EW102&gt;0,MAX(BK102*(1+VLOOKUP($C102,WeatherCapacityAdjustment,2))-FS102,0),0))</f>
        <v>#VALUE!</v>
      </c>
      <c r="GB102" s="1551" t="e">
        <f aca="false">SUM(FT102:GA102)</f>
        <v>#VALUE!</v>
      </c>
      <c r="GC102" s="1563" t="e">
        <f aca="false">+IF(SUM(FT102:GA102)=0,0,(SUMPRODUCT(BU102:BX102,FT102:FW102)+SUMPRODUCT(CA102:CD102,FX102:GA102))/SUM(FT102:GA102))</f>
        <v>#VALUE!</v>
      </c>
      <c r="GD102" s="1551" t="e">
        <f aca="false">(FT102*BU102+FX102*CA102+FU102*BV102+FY102*CB102+FV102*BW102+FZ102*CC102+FW102*BX102+GA102*CD102)</f>
        <v>#VALUE!</v>
      </c>
      <c r="GE102" s="1561" t="e">
        <f aca="false">+IF(BQ102,((FL102+FM102+FT102+FU102)*HeatRatePeak/1000*(1+VLOOKUP($C102,WeatherHeatRateAdjustment,2))+(FN102+FV102)*IF(EV102&gt;0,HeatRatePeak,HeatRateOffPeak)/1000*(1+VLOOKUP($C102,WeatherHeatRateAdjustment,2))+(FO102+FW102)*IF(EW102&gt;0,HeatRatePeak,HeatRateOffPeak)/1000*(1+VLOOKUP($C102,WeatherHeatRateAdjustment,3)))*(1+VLOOKUP($B102,HeatRateDegradation,$C102+1)),0)</f>
        <v>#VALUE!</v>
      </c>
      <c r="GF102" s="1562" t="e">
        <f aca="false">IF(BQ102,((FP102+FQ102+FR102+FX102+FY102+FZ102)*HeatRatePeak/1000*(1+VLOOKUP($C102,WeatherHeatRateAdjustment,2))+(FS102+GA102)*HeatRatePeak/1000*(1+VLOOKUP($C102,WeatherHeatRateAdjustment,3)))*(1+VLOOKUP($B102,HeatRateDegradation,$C102+1)),0)</f>
        <v>#VALUE!</v>
      </c>
      <c r="GG102" s="1563" t="e">
        <f aca="false">IF(BQ102,VLOOKUP(A102,GasTable,13),0)</f>
        <v>#VALUE!</v>
      </c>
      <c r="GH102" s="1564" t="e">
        <f aca="false">(GE102+GF102)*GG102</f>
        <v>#VALUE!</v>
      </c>
      <c r="GI102" s="1569" t="e">
        <f aca="false">GB102</f>
        <v>#VALUE!</v>
      </c>
      <c r="GJ102" s="1598" t="e">
        <f aca="false">+DA102</f>
        <v>#VALUE!</v>
      </c>
      <c r="GK102" s="1558" t="e">
        <f aca="false">+GI102*GJ102</f>
        <v>#VALUE!</v>
      </c>
      <c r="GL102" s="1566" t="e">
        <f aca="false">MAX(FE102-FL102-FP102,0)</f>
        <v>#VALUE!</v>
      </c>
      <c r="GM102" s="1551" t="e">
        <f aca="false">MAX(FF102-FM102-FQ102,0)</f>
        <v>#VALUE!</v>
      </c>
      <c r="GN102" s="1551" t="e">
        <f aca="false">MAX(FG102-FN102-FR102,0)</f>
        <v>#VALUE!</v>
      </c>
      <c r="GO102" s="1564" t="e">
        <f aca="false">MAX(FH102-FO102-FS102,0)</f>
        <v>#VALUE!</v>
      </c>
      <c r="GP102" s="1551" t="e">
        <f aca="false">SUM(GL102:GO102)</f>
        <v>#VALUE!</v>
      </c>
      <c r="GQ102" s="1563" t="e">
        <f aca="false">IF(SUM(GL102:GO102)=0,0,((GL102*BU102+GM102*BV102+GN102*BW102+GO102*BX102)/SUM(GL102:GO102)))</f>
        <v>#VALUE!</v>
      </c>
      <c r="GR102" s="1558" t="e">
        <f aca="false">(GL102*BU102+GM102*BV102+GN102*BW102+GO102*BX102)</f>
        <v>#VALUE!</v>
      </c>
      <c r="GS102" s="1566" t="n">
        <f aca="false">IF($A102&gt;=BegDate,Assumptions!$C$56*24*($A103-$A102)*(1-VLOOKUP($B102,MAIN!$AA$7:$AM$28,$C102+1))*(1-VLOOKUP($B102,MAIN!$AA$33:$AM$54,$C102+1)),0)*80/168</f>
        <v>249428.571428571</v>
      </c>
      <c r="GT102" s="286" t="n">
        <f aca="false">J102</f>
        <v>33.4655785041606</v>
      </c>
      <c r="GU102" s="286" t="n">
        <f aca="false">IF($A102&gt;=BegDate,VLOOKUP($A102,GasTable,13)+Assumptions!$C$58,0)</f>
        <v>2.5208470746963</v>
      </c>
      <c r="GV102" s="286" t="n">
        <f aca="false">GU102*Assumptions!$C$57/1000</f>
        <v>18.2761412915482</v>
      </c>
      <c r="GW102" s="1558" t="n">
        <f aca="false">IF(Assumptions!$C$60="Hourly",MAX(0,GS102*(GT102-GV102)),GS102*(GT102-GV102))</f>
        <v>3788679.6247459</v>
      </c>
      <c r="GX102" s="1566" t="n">
        <f aca="false">IF($A102&gt;=BegDate,Assumptions!$C$56*24*($A103-$A102)*(1-VLOOKUP($B102,MAIN!$AA$7:$AM$28,$C102+1))*(1-VLOOKUP($B102,MAIN!$AA$33:$AM$54,$C102+1)),0)*16/168</f>
        <v>49885.7142857143</v>
      </c>
      <c r="GY102" s="286" t="n">
        <f aca="false">M102</f>
        <v>33.4655785041606</v>
      </c>
      <c r="GZ102" s="286" t="n">
        <f aca="false">IF($A102&gt;=BegDate,VLOOKUP($A102,GasTable,13)+Assumptions!$C$58,0)</f>
        <v>2.5208470746963</v>
      </c>
      <c r="HA102" s="286" t="n">
        <f aca="false">GZ102*Assumptions!$C$57/1000</f>
        <v>18.2761412915482</v>
      </c>
      <c r="HB102" s="1558" t="n">
        <f aca="false">IF(Assumptions!$C$60="Hourly",MAX(0,GX102*(GY102-HA102)),GX102*(GY102-HA102))</f>
        <v>757735.92494918</v>
      </c>
      <c r="HC102" s="1566" t="n">
        <f aca="false">IF($A102&gt;=BegDate,Assumptions!$C$56*24*($A103-$A102)*(1-VLOOKUP($B102,MAIN!$AA$7:$AM$28,$C102+1))*(1-VLOOKUP($B102,MAIN!$AA$33:$AM$54,$C102+1)),0)*16/168</f>
        <v>49885.7142857143</v>
      </c>
      <c r="HD102" s="286" t="n">
        <f aca="false">P102</f>
        <v>19.6406870197345</v>
      </c>
      <c r="HE102" s="286" t="n">
        <f aca="false">IF($A102&gt;=BegDate,VLOOKUP($A102,GasTable,13)+Assumptions!$C$58,0)</f>
        <v>2.5208470746963</v>
      </c>
      <c r="HF102" s="286" t="n">
        <f aca="false">HE102*Assumptions!$C$57/1000</f>
        <v>18.2761412915482</v>
      </c>
      <c r="HG102" s="1558" t="n">
        <f aca="false">IF(Assumptions!$C$60="Hourly",MAX(0,HC102*(HD102-HF102)),HC102*(HD102-HF102))</f>
        <v>68071.3383260927</v>
      </c>
      <c r="HH102" s="1566" t="n">
        <f aca="false">IF($A102&gt;=BegDate,Assumptions!$C$56*24*($A103-$A102)*(1-VLOOKUP($B102,MAIN!$AA$7:$AM$28,$C102+1))*(1-VLOOKUP($B102,MAIN!$AA$33:$AM$54,$C102+1)),0)*56/168</f>
        <v>174600</v>
      </c>
      <c r="HI102" s="286" t="n">
        <f aca="false">S102</f>
        <v>19.6406870197345</v>
      </c>
      <c r="HJ102" s="286" t="n">
        <f aca="false">IF($A102&gt;=BegDate,VLOOKUP($A102,GasTable,13)+Assumptions!$C$58,0)</f>
        <v>2.5208470746963</v>
      </c>
      <c r="HK102" s="286" t="n">
        <f aca="false">HJ102*Assumptions!$C$57/1000</f>
        <v>18.2761412915482</v>
      </c>
      <c r="HL102" s="1558" t="n">
        <f aca="false">IF(Assumptions!$C$60="Hourly",MAX(0,HH102*(HI102-HK102)),HH102*(HI102-HK102))</f>
        <v>238249.684141324</v>
      </c>
      <c r="HM102" s="1566" t="n">
        <f aca="false">IF(AND(Assumptions!$H$71="Yes",A102&gt;=Assumptions!$H$72,A102&lt;=Assumptions!$H$73),Assumptions!$H$74*Assumptions!$C$9*1000,0)</f>
        <v>0</v>
      </c>
      <c r="HN102" s="1551"/>
      <c r="HO102" s="1563"/>
      <c r="HP102" s="1563"/>
      <c r="HQ102" s="1563"/>
      <c r="HR102" s="1563"/>
      <c r="HS102" s="1563"/>
      <c r="HT102" s="1563"/>
      <c r="HU102" s="1563"/>
      <c r="HV102" s="1563"/>
      <c r="HW102" s="1563"/>
      <c r="HX102" s="1563"/>
      <c r="HY102" s="1563"/>
      <c r="HZ102" s="1563"/>
      <c r="IA102" s="1563"/>
      <c r="IB102" s="1563"/>
      <c r="IC102" s="1563"/>
      <c r="ID102" s="1563"/>
      <c r="IE102" s="1563"/>
      <c r="IF102" s="1563"/>
      <c r="IG102" s="1563"/>
      <c r="IH102" s="1563"/>
      <c r="II102" s="1610"/>
      <c r="IJ102" s="1309"/>
      <c r="IK102" s="1309"/>
    </row>
    <row r="103" customFormat="false" ht="12.75" hidden="false" customHeight="false" outlineLevel="0" collapsed="false">
      <c r="A103" s="1571" t="n">
        <f aca="false">EOMONTH(A102,0)+1</f>
        <v>39264</v>
      </c>
      <c r="B103" s="594" t="n">
        <f aca="false">+YEAR(A103)</f>
        <v>2007</v>
      </c>
      <c r="C103" s="238" t="n">
        <f aca="false">MONTH(A103)</f>
        <v>7</v>
      </c>
      <c r="D103" s="1572" t="e">
        <f aca="false">IF(E103="","",Holiday(B103,C103))</f>
        <v>#VALUE!</v>
      </c>
      <c r="E103" s="1573" t="n">
        <f aca="false">IF(OR(BegDate&gt;=A104,EndDate&lt;A103,AND(VolumeMonthlyOverFlag,INDEX(VolumeMonthlyOver,C103)=0),NOT(INDEX(MonthKnockOutTable,C103))),"",MAX(A103,BegDate))</f>
        <v>39264</v>
      </c>
      <c r="F103" s="1574" t="n">
        <f aca="false">IF(E103="","",MIN(A104-1,EndDate))</f>
        <v>39294</v>
      </c>
      <c r="G103" s="1575" t="n">
        <v>0</v>
      </c>
      <c r="H103" s="1576" t="n">
        <f aca="false">(1+G103/2)^(-2*(DATE(B104,C104,20)-DateToday)/365.25)</f>
        <v>1</v>
      </c>
      <c r="I103" s="1568" t="n">
        <f aca="false">IF(Assumptions!$L$25=4,VLOOKUP($A103,'Henwood Reference'!$E$9:$R$320,10),(VLOOKUP($A103,PriceTable,2,0)+IF(BasisNumber&lt;&gt;1,VLOOKUP($A103,BasisTable,2,0),0)+I$1)/(1-I$2))</f>
        <v>62.8708977788813</v>
      </c>
      <c r="J103" s="1568" t="n">
        <f aca="false">IF(Assumptions!$L$25=4,VLOOKUP($A103,'Henwood Reference'!$E$9:$R$320,10),(VLOOKUP($A103,PriceTable,3,0)+IF(BasisNumber&lt;&gt;1,VLOOKUP($A103,BasisTable,2,0),0)+J$1)/(1-J$2))</f>
        <v>62.8708977788813</v>
      </c>
      <c r="K103" s="1568" t="n">
        <f aca="false">IF(Assumptions!$L$25=4,VLOOKUP($A103,'Henwood Reference'!$E$9:$R$320,10),(VLOOKUP($A103,PriceTable,4,0)+IF(BasisNumber&lt;&gt;1,VLOOKUP($A103,BasisTable,2,0),0)+K$1)/(1-K$2))</f>
        <v>62.8708977788813</v>
      </c>
      <c r="L103" s="1523" t="n">
        <f aca="false">IF(Assumptions!$L$25=4,VLOOKUP($A103,'Henwood Reference'!$E$9:$R$320,10),(VLOOKUP($A103,PriceTableWeekend,2,0)+IF(BasisNumber&lt;&gt;1,VLOOKUP($A103,BasisTable,2,0),0)+L$1)/(1-L$2))</f>
        <v>62.8708977788813</v>
      </c>
      <c r="M103" s="1568" t="n">
        <f aca="false">IF(Assumptions!$L$25=4,VLOOKUP($A103,'Henwood Reference'!$E$9:$R$320,10),(VLOOKUP($A103,PriceTableWeekend,3,0)+IF(BasisNumber&lt;&gt;1,VLOOKUP($A103,BasisTable,2,0),0)+M$1)/(1-M$2))</f>
        <v>62.8708977788813</v>
      </c>
      <c r="N103" s="1599" t="n">
        <f aca="false">IF(Assumptions!$L$25=4,VLOOKUP($A103,'Henwood Reference'!$E$9:$R$320,10),(VLOOKUP($A103,PriceTableWeekend,4,0)+IF(BasisNumber&lt;&gt;1,VLOOKUP($A103,BasisTable,2,0),0)+N$1)/(1-N$2))</f>
        <v>62.8708977788813</v>
      </c>
      <c r="O103" s="1568" t="n">
        <f aca="false">IF(Assumptions!$L$25=4,VLOOKUP($A103,'Henwood Reference'!$E$9:$R$320,11),(VLOOKUP($A103,PriceTableWeekend,6,0)+IF(BasisNumber&lt;&gt;1,VLOOKUP($A103,BasisTable,3,0),0)+O$1)/(1-O$2))</f>
        <v>25.9382413240549</v>
      </c>
      <c r="P103" s="1568" t="n">
        <f aca="false">IF(Assumptions!$L$25=4,VLOOKUP($A103,'Henwood Reference'!$E$9:$R$320,11),(VLOOKUP($A103,PriceTableWeekend,7,0)+IF(BasisNumber&lt;&gt;1,VLOOKUP($A103,BasisTable,3,0),0)+P$1)/(1-P$2))</f>
        <v>25.9382413240549</v>
      </c>
      <c r="Q103" s="1599" t="n">
        <f aca="false">IF(Assumptions!$L$25=4,VLOOKUP($A103,'Henwood Reference'!$E$9:$R$320,11),(VLOOKUP($A103,PriceTableWeekend,8,0)+IF(BasisNumber&lt;&gt;1,VLOOKUP($A103,BasisTable,3,0),0)+Q$1)/(1-Q$2))</f>
        <v>25.9382413240549</v>
      </c>
      <c r="R103" s="1568" t="n">
        <f aca="false">IF(Assumptions!$L$25=4,VLOOKUP($A103,'Henwood Reference'!$E$9:$R$320,11),(VLOOKUP($A103,PriceTable,6,0)+IF(BasisNumber&lt;&gt;1,VLOOKUP($A103,BasisTable,3,0),0)+R$1)/(1-R$2))</f>
        <v>25.9382413240549</v>
      </c>
      <c r="S103" s="1568" t="n">
        <f aca="false">IF(Assumptions!$L$25=4,VLOOKUP($A103,'Henwood Reference'!$E$9:$R$320,11),(VLOOKUP($A103,PriceTable,7,0)+IF(BasisNumber&lt;&gt;1,VLOOKUP($A103,BasisTable,3,0),0)+S$1)/(1-S$2))</f>
        <v>25.9382413240549</v>
      </c>
      <c r="T103" s="1600" t="n">
        <f aca="false">IF(Assumptions!$L$25=4,VLOOKUP($A103,'Henwood Reference'!$E$9:$R$320,11),(VLOOKUP($A103,PriceTable,8,0)+IF(BasisNumber&lt;&gt;1,VLOOKUP($A103,BasisTable,3,0),0)+T$1)/(1-T$2))</f>
        <v>25.9382413240549</v>
      </c>
      <c r="U103" s="1513" t="n">
        <f aca="false">VLOOKUP($A103,VolatilityTable,14)</f>
        <v>0.135</v>
      </c>
      <c r="V103" s="1513" t="n">
        <f aca="false">VLOOKUP($A103,VolatilityTable,15)</f>
        <v>0.145</v>
      </c>
      <c r="W103" s="1514" t="n">
        <f aca="false">VLOOKUP($A103,VolatilityTable,16)</f>
        <v>0.155</v>
      </c>
      <c r="X103" s="1513" t="n">
        <f aca="false">VLOOKUP($A103,VolatilityTable,14)</f>
        <v>0.135</v>
      </c>
      <c r="Y103" s="1513" t="n">
        <f aca="false">VLOOKUP($A103,VolatilityTable,15)</f>
        <v>0.145</v>
      </c>
      <c r="Z103" s="1514" t="n">
        <f aca="false">VLOOKUP($A103,VolatilityTable,16)</f>
        <v>0.155</v>
      </c>
      <c r="AA103" s="1513" t="n">
        <f aca="false">VLOOKUP($A103,VolatilityTable,18)</f>
        <v>0.09</v>
      </c>
      <c r="AB103" s="1513" t="n">
        <f aca="false">VLOOKUP($A103,VolatilityTable,19)</f>
        <v>0.11</v>
      </c>
      <c r="AC103" s="1514" t="n">
        <f aca="false">VLOOKUP($A103,VolatilityTable,20)</f>
        <v>0.13</v>
      </c>
      <c r="AD103" s="1513" t="n">
        <f aca="false">VLOOKUP($A103,VolatilityTable,18)</f>
        <v>0.09</v>
      </c>
      <c r="AE103" s="1513" t="n">
        <f aca="false">VLOOKUP($A103,VolatilityTable,19)</f>
        <v>0.11</v>
      </c>
      <c r="AF103" s="1514" t="n">
        <f aca="false">VLOOKUP($A103,VolatilityTable,20)</f>
        <v>0.13</v>
      </c>
      <c r="AG103" s="1513" t="n">
        <f aca="false">VLOOKUP($A103,VolatilityTable,22)</f>
        <v>-0.35</v>
      </c>
      <c r="AH103" s="1513" t="n">
        <f aca="false">VLOOKUP($A103,VolatilityTable,23)</f>
        <v>3</v>
      </c>
      <c r="AI103" s="1514" t="n">
        <f aca="false">VLOOKUP($A103,VolatilityTable,24)</f>
        <v>0.35</v>
      </c>
      <c r="AJ103" s="1513" t="n">
        <f aca="false">VLOOKUP($A103,VolatilityTable,22)</f>
        <v>-0.35</v>
      </c>
      <c r="AK103" s="1513" t="n">
        <f aca="false">VLOOKUP($A103,VolatilityTable,23)</f>
        <v>3</v>
      </c>
      <c r="AL103" s="1514" t="n">
        <f aca="false">VLOOKUP($A103,VolatilityTable,24)</f>
        <v>0.35</v>
      </c>
      <c r="AM103" s="1513" t="n">
        <f aca="false">VLOOKUP($A103,VolatilityTable,26)</f>
        <v>-0.01</v>
      </c>
      <c r="AN103" s="1513" t="n">
        <f aca="false">VLOOKUP($A103,VolatilityTable,27)</f>
        <v>0.16</v>
      </c>
      <c r="AO103" s="1514" t="n">
        <f aca="false">VLOOKUP($A103,VolatilityTable,28)</f>
        <v>0.01</v>
      </c>
      <c r="AP103" s="1513" t="n">
        <f aca="false">VLOOKUP($A103,VolatilityTable,26)</f>
        <v>-0.01</v>
      </c>
      <c r="AQ103" s="1513" t="n">
        <f aca="false">VLOOKUP($A103,VolatilityTable,27)</f>
        <v>0.16</v>
      </c>
      <c r="AR103" s="1515" t="n">
        <f aca="false">VLOOKUP($A103,VolatilityTable,28)</f>
        <v>0.01</v>
      </c>
      <c r="AS103" s="1581" t="n">
        <f aca="false">IF(CorrPeakOffPeakOverFlag,INDEX(CorrPeakOffPeakOver,C103),CorrPeakOffPeak)</f>
        <v>0.5</v>
      </c>
      <c r="AT103" s="594" t="e">
        <f aca="false">AX103-SUM(AU103:AW103)</f>
        <v>#VALUE!</v>
      </c>
      <c r="AU103" s="238" t="e">
        <f aca="false">IF(E103="",0,INT((F103-MOD(F103,7)-E103)/7)+1-IF(AW103,IF(WEEKDAY(D103)=7,1,0),0))</f>
        <v>#VALUE!</v>
      </c>
      <c r="AV103" s="238" t="e">
        <f aca="false">IF(E103="",0,INT((F103-MOD(F103-1,7)-E103)/7)+1-IF(AW103,IF(WEEKDAY(D103)=1,1,0),0))</f>
        <v>#VALUE!</v>
      </c>
      <c r="AW103" s="238" t="e">
        <f aca="false">IF(OR(E103="",D103="",D103&lt;BegDate,D103&gt;EndDate),0,1)</f>
        <v>#VALUE!</v>
      </c>
      <c r="AX103" s="238" t="n">
        <f aca="false">IF(E103="",0,F103-E103+1)</f>
        <v>31</v>
      </c>
      <c r="AY103" s="1582" t="n">
        <f aca="false">IF(E103="",0,MIN((1-(1-VLOOKUP(B103,MAIN!$AA$7:$AM$28,C103+1))*(1-VLOOKUP(B103,MAIN!$AA$33:$AM$54,C103+1))),1))</f>
        <v>0.03</v>
      </c>
      <c r="AZ103" s="1519" t="e">
        <v>#VALUE!</v>
      </c>
      <c r="BA103" s="1520" t="e">
        <v>#VALUE!</v>
      </c>
      <c r="BB103" s="1520" t="e">
        <v>#VALUE!</v>
      </c>
      <c r="BC103" s="1583" t="e">
        <v>#VALUE!</v>
      </c>
      <c r="BD103" s="1522" t="e">
        <v>#VALUE!</v>
      </c>
      <c r="BE103" s="1523" t="e">
        <v>#VALUE!</v>
      </c>
      <c r="BF103" s="1523" t="e">
        <v>#VALUE!</v>
      </c>
      <c r="BG103" s="1584" t="e">
        <v>#VALUE!</v>
      </c>
      <c r="BH103" s="1525" t="e">
        <v>#VALUE!</v>
      </c>
      <c r="BI103" s="1520" t="e">
        <v>#VALUE!</v>
      </c>
      <c r="BJ103" s="1520" t="e">
        <v>#VALUE!</v>
      </c>
      <c r="BK103" s="1583" t="e">
        <v>#VALUE!</v>
      </c>
      <c r="BL103" s="1522" t="e">
        <v>#VALUE!</v>
      </c>
      <c r="BM103" s="1523" t="e">
        <v>#VALUE!</v>
      </c>
      <c r="BN103" s="1523" t="e">
        <v>#VALUE!</v>
      </c>
      <c r="BO103" s="1523" t="e">
        <v>#VALUE!</v>
      </c>
      <c r="BP103" s="1525" t="e">
        <f aca="false">SUM(AZ103:BB103)</f>
        <v>#VALUE!</v>
      </c>
      <c r="BQ103" s="1529" t="e">
        <f aca="false">SUM(AZ103:BC103)</f>
        <v>#VALUE!</v>
      </c>
      <c r="BR103" s="1519" t="e">
        <f aca="false">SUM(BH103:BJ103)</f>
        <v>#VALUE!</v>
      </c>
      <c r="BS103" s="1529" t="e">
        <f aca="false">SUM(BH103:BK103)</f>
        <v>#VALUE!</v>
      </c>
      <c r="BT103" s="1316" t="n">
        <f aca="false">(IF(OVolType&lt;&gt;2,A103+14,IF(OptExpDateShift,ShiftBack(A103,OptExpDateShift,D102),A103))-DateToday)/365.25</f>
        <v>7.21149897330596</v>
      </c>
      <c r="BU103" s="1585" t="e">
        <f aca="false">IF(BQ103,IF(OPriceCurve,IF(OBuySell=OCallPut,I103/(1-AY103),K103/(1-AY103)),J103/(1-AY103))*BD103,0)</f>
        <v>#VALUE!</v>
      </c>
      <c r="BV103" s="1316" t="e">
        <f aca="false">IF(BQ103,IF(OPriceCurve,IF(OBuySell=OCallPut,L103/(1-AY103),N103/(1-AY103)),M103/(1-AY103))*BE103,0)</f>
        <v>#VALUE!</v>
      </c>
      <c r="BW103" s="1316" t="e">
        <f aca="false">IF(BQ103,IF(OPriceCurve,IF(OBuySell=OCallPut,O103/(1-AY103),Q103/(1-AY103)),P103/(1-AY103))*BF103,0)</f>
        <v>#VALUE!</v>
      </c>
      <c r="BX103" s="1316" t="e">
        <f aca="false">IF(BQ103,IF(OPriceCurve,IF(OBuySell=OCallPut,R103/(1-AY103),T103/(1-AY103)),S103/(1-AY103))*BG103,0)</f>
        <v>#VALUE!</v>
      </c>
      <c r="BY103" s="1316" t="e">
        <f aca="false">IF(BP103,(BU103*AZ103+BV103*BA103+BW103*BB103)/BP103,0)</f>
        <v>#VALUE!</v>
      </c>
      <c r="BZ103" s="1316" t="e">
        <f aca="false">IF(BQ103,(BY103*BP103+BX103*BC103)/BQ103,0)</f>
        <v>#VALUE!</v>
      </c>
      <c r="CA103" s="1531" t="e">
        <f aca="false">IF(BS103,IF(OPriceCurve,IF(OBuySell=OCallPut,I103/(1-AY103),K103/(1-AY103)),J103/(1-AY103))*BL103,0)</f>
        <v>#VALUE!</v>
      </c>
      <c r="CB103" s="1316" t="e">
        <f aca="false">IF(BS103,IF(OPriceCurve,IF(OBuySell=OCallPut,L103/(1-AY103),N103/(1-AY103)),M103/(1-AY103))*BM103,0)</f>
        <v>#VALUE!</v>
      </c>
      <c r="CC103" s="1316" t="e">
        <f aca="false">IF(BS103,IF(OPriceCurve,IF(OBuySell=OCallPut,O103/(1-AY103),Q103/(1-AY103)),P103/(1-AY103))*BN103,0)</f>
        <v>#VALUE!</v>
      </c>
      <c r="CD103" s="1316" t="e">
        <f aca="false">IF(BS103,IF(OPriceCurve,IF(OBuySell=OCallPut,R103/(1-AY103),T103/(1-AY103)),S103/(1-AY103))*BO103,0)</f>
        <v>#VALUE!</v>
      </c>
      <c r="CE103" s="1316" t="e">
        <f aca="false">IF(BR103,(BU103*BH103+BV103*BI103+BW103*BJ103)/BR103,0)</f>
        <v>#VALUE!</v>
      </c>
      <c r="CF103" s="1532" t="e">
        <f aca="false">IF(BS103,(CE103*BR103+CD103*BK103)/BS103,0)</f>
        <v>#VALUE!</v>
      </c>
      <c r="CG103" s="1586" t="e">
        <f aca="false">IF(OR(BQ103,BS103),IF(OVolType&lt;&gt;2,SQRT(IF(OVolOverMonthlyPeak,OVolOverMonthlyPeak,IF(OVolCurve,IF(OBuySell,U103,W103),V103))^2*(1-15/365.25/BT103)+IF(OVolOverDailyPeak,OVolOverDailyPeak,IF(OVolCurve,IF(OBuySell,AG103,AI103),AH103))^2*15/365.25/BT103),IF(OVolOverMonthlyPeak,OVolOverMonthlyPeak,IF(OVolCurve,IF(OBuySell,U103,W103),V103))),"")</f>
        <v>#VALUE!</v>
      </c>
      <c r="CH103" s="1587" t="e">
        <f aca="false">IF(OR(BQ103,BS103),IF(OVolType&lt;&gt;2,SQRT(IF(OVolOverMonthlyPeak,OVolOverMonthlyPeak,IF(OVolCurve,IF(OBuySell,X103,Z103),Y103))^2*(1-15/365.25/BT103)+IF(OVolOverDailyPeak,OVolOverDailyPeak,IF(OVolCurve,IF(OBuySell,AJ103,AL103),AK103))^2*15/365.25/BT103),IF(OVolOverMonthlyPeak,OVolOverMonthlyPeak,IF(OVolCurve,IF(OBuySell,X103,Z103),Y103))),"")</f>
        <v>#VALUE!</v>
      </c>
      <c r="CI103" s="1587" t="e">
        <f aca="false">IF(OR(BQ103,BS103),IF(OVolType&lt;&gt;2,SQRT(IF(OVolOverMonthlyPeak,OVolOverMonthlyPeak,IF(OVolCurve,IF(OBuySell,AA103,AC103),AB103))^2*(1-15/365.25/BT103)+IF(OVolOverDailyPeak,OVolOverDailyPeak,IF(OVolCurve,IF(OBuySell,AM103,AO103),AN103))^2*15/365.25/BT103),IF(OVolOverMonthlyPeak,OVolOverMonthlyPeak,IF(OVolCurve,IF(OBuySell,AA103,AC103),AB103))),"")</f>
        <v>#VALUE!</v>
      </c>
      <c r="CJ103" s="1587" t="e">
        <f aca="false">IF(BQ103,IF(BP103,SQRT(LN(1+((BU103*AZ103)^2*(EXP(CG103^2*BT103)-1)+(BV103*BA103)^2*(EXP(CH103^2*BT103)-1)+(BW103*BB103)^2*(EXP(CI103^2*BT103)-1)+2*BU103*AZ103*BV103*BA103*(EXP(CG103*CH103*BT103)-1)+2*BV103*BA103*BW103*BB103*(EXP(CH103*CI103*BT103)-1)+2*BW103*BB103*BU103*AZ103*(EXP(CI103*CG103*BT103)-1))/(BY103*BP103)^2)/BT103),0),"")</f>
        <v>#VALUE!</v>
      </c>
      <c r="CK103" s="1587" t="e">
        <f aca="false">IF(BS103,IF(BR103,SQRT(LN(1+((CA103*BH103)^2*(EXP(CG103^2*BT103)-1)+(CB103*BI103)^2*(EXP(CH103^2*BT103)-1)+(CC103*BJ103)^2*(EXP(CI103^2*BT103)-1)+2*CA103*BH103*CB103*BI103*(EXP(CG103*CH103*BT103)-1)+2*CB103*BI103*CC103*BJ103*(EXP(CH103*CI103*BT103)-1)+2*CC103*BJ103*CA103*BH103*(EXP(CI103*CG103*BT103)-1))/(CE103*BR103)^2)/BT103),0),"")</f>
        <v>#VALUE!</v>
      </c>
      <c r="CL103" s="1587" t="e">
        <f aca="false">IF(OR(BQ103,BS103),IF(OVolType&lt;&gt;2,SQRT(IF(OVolOverMonthlyOffPeak,OVolOverMonthlyOffPeak,IF(OVolCurve,IF(OBuySell,AD103,AF103),AE103))^2*(1-15/365.25/BT103)+IF(OVolOverDailyOffPeak,OVolOverDailyOffPeak,IF(OVolCurve,IF(OBuySell,AP103,AR103),AQ103))^2*15/365.25/BT103),IF(OVolOverMonthlyOffPeak,OVolOverMonthlyOffPeak,IF(OVolCurve,IF(OBuySell,AD103,AF103),AE103))),"")</f>
        <v>#VALUE!</v>
      </c>
      <c r="CM103" s="1587" t="e">
        <f aca="false">IF(BQ103,SQRT(LN(1+((BY103*BP103)^2*(EXP(CJ103^2*BT103)-1)+(BX103*BC103)^2*(EXP(CL103^2*BT103)-1)+2*BY103*BP103*BX103*BC103*(EXP(AS103*CJ103*CL103*BT103)-1))/(BY103*BP103+BX103*BC103)^2)/BT103),"")</f>
        <v>#VALUE!</v>
      </c>
      <c r="CN103" s="1588" t="e">
        <f aca="false">IF(BS103,SQRT(LN(1+((CE103*BR103)^2*(EXP(CK103^2*BT103)-1)+(CD103*BK103)^2*(EXP(CL103^2*BT103)-1)+2*CE103*BR103*CD103*BK103*(EXP(AS103*CK103*CL103*BT103)-1))/(CE103*BR103+CD103*BK103)^2)/BT103),"")</f>
        <v>#VALUE!</v>
      </c>
      <c r="CO103" s="1531" t="e">
        <f aca="false">IF(OR(BQ103,BS103),VLOOKUP(A103,GasTable,13)*HeatRatePeak*(1+VLOOKUP($B103,HeatRateDegradation,$C103+1))/1000,0)</f>
        <v>#VALUE!</v>
      </c>
      <c r="CP103" s="1316" t="e">
        <f aca="false">IF(OR(BQ103,BS103),VLOOKUP(A103,GasTable,13)*HeatRatePeak*(1+VLOOKUP($B103,HeatRateDegradation,$C103+1))/1000,0)</f>
        <v>#VALUE!</v>
      </c>
      <c r="CQ103" s="1316" t="e">
        <f aca="false">IF(OR(BQ103,BS103),VLOOKUP(A103,GasTable,13)*IF(EV103,HeatRatePeak,HeatRateOffPeak)*(1+VLOOKUP($B103,HeatRateDegradation,$C103+1))/1000,0)</f>
        <v>#VALUE!</v>
      </c>
      <c r="CR103" s="1316" t="e">
        <f aca="false">IF(OR(BQ103,BS103),VLOOKUP(A103,GasTable,13)*IF(EW103,HeatRatePeak,HeatRateOffPeak)*(1+VLOOKUP($B103,HeatRateDegradation,$C103+1))/1000,0)</f>
        <v>#VALUE!</v>
      </c>
      <c r="CS103" s="1589" t="e">
        <f aca="false">IF(BQ103,(CO103*AZ103+CP103*BA103+CQ103*BB103+CR103*BC103)/BQ103,0)</f>
        <v>#VALUE!</v>
      </c>
      <c r="CT103" s="1316" t="e">
        <f aca="false">IF(BS103,CO103,0)</f>
        <v>#VALUE!</v>
      </c>
      <c r="CU103" s="1590" t="e">
        <f aca="false">IF(OR(BQ103,BS103),VLOOKUP(A103,GasTable,14),"")</f>
        <v>#VALUE!</v>
      </c>
      <c r="CV103" s="1568" t="e">
        <f aca="false">IF(OR(BQ103,BS103),IF(CorrPowerGasOverFlag,INDEX(CorrPowerGasOver,C103),CorrPowerGas),"")</f>
        <v>#VALUE!</v>
      </c>
      <c r="CW103" s="1316" t="e">
        <f aca="false">IF(OR($BQ103,$BS103),SpreadOptPowerMargin,0)*((1+Assumptions!$C$26)^($B103-YEAR(Assumptions!$C$17)))</f>
        <v>#VALUE!</v>
      </c>
      <c r="CX103" s="1316" t="e">
        <f aca="false">IF(OR($BQ103,$BS103),SpreadOptPowerMargin,0)*((1+Assumptions!$C$26)^($B103-YEAR(Assumptions!$C$17)))</f>
        <v>#VALUE!</v>
      </c>
      <c r="CY103" s="1316" t="e">
        <f aca="false">IF(OR($BQ103,$BS103),SpreadOptPowerMargin,0)*((1+Assumptions!$C$26)^($B103-YEAR(Assumptions!$C$17)))</f>
        <v>#VALUE!</v>
      </c>
      <c r="CZ103" s="1316" t="e">
        <f aca="false">IF(OR($BQ103,$BS103),SpreadOptPowerMargin,0)*((1+Assumptions!$C$26)^($B103-YEAR(Assumptions!$C$17)))</f>
        <v>#VALUE!</v>
      </c>
      <c r="DA103" s="1591" t="e">
        <f aca="false">IF(OR(BQ103,BS103),(CW103*(AZ103+BH103)+CX103*(BA103+BI103)+CY103*(BB103+BJ103)+CZ103*(BC103+BK103))/(BQ103+BS103),0)</f>
        <v>#VALUE!</v>
      </c>
      <c r="DB103" s="1592" t="e">
        <f aca="false">IF(OR(BQ103,BS103),CG103+IF(OVolSmile,VLOOKUP(MAX(-5,CO103+CW103-BU103),IF(OVolSmile=1,VolSmileBook,VolSmileModel),2),0),"")</f>
        <v>#VALUE!</v>
      </c>
      <c r="DC103" s="1592" t="e">
        <f aca="false">IF(OR(BQ103,BS103),CH103+IF(OVolSmile,VLOOKUP(MAX(-5,CP103+CW103-BV103),IF(OVolSmile=1,VolSmileBook,VolSmileModel),2),0),"")</f>
        <v>#VALUE!</v>
      </c>
      <c r="DD103" s="1592" t="e">
        <f aca="false">IF(OR(BQ103,BS103),CI103+IF(OVolSmile,VLOOKUP(MAX(-5,CQ103+CW103-BW103),IF(OVolSmile=1,VolSmileBook,VolSmileModel),2),0),"")</f>
        <v>#VALUE!</v>
      </c>
      <c r="DE103" s="1592" t="e">
        <f aca="false">IF(OR(BQ103,BS103),CL103+IF(OVolSmile,VLOOKUP(MAX(-5,CR103+CZ103-BX103),IF(OVolSmile=1,VolSmileBook,VolSmileModel),2),0),"")</f>
        <v>#VALUE!</v>
      </c>
      <c r="DF103" s="1592" t="e">
        <f aca="false">IF(BQ103,CM103+IF(OVolSmile,VLOOKUP(MAX(-5,CS103+DA103-BZ103),IF(OVolSmile=1,VolSmileBook,VolSmileModel),2),0),"")</f>
        <v>#VALUE!</v>
      </c>
      <c r="DG103" s="1593" t="e">
        <f aca="false">IF(BS103,CN103+IF(OVolSmile,VLOOKUP(MAX(-5,CT103+DA103-CF103),IF(OVolSmile=1,VolSmileBook,VolSmileModel),2),0),"")</f>
        <v>#VALUE!</v>
      </c>
      <c r="DH103" s="1316" t="e">
        <f aca="false">IF(AND(BU103&gt;0,CO103&gt;0,DB103&gt;0,CU103&gt;0),newSPRDOPT(BU103,CO103,CW103,0,DB103,CU103,CV103,BT103*365.25,OCallPut,0),0)</f>
        <v>#VALUE!</v>
      </c>
      <c r="DI103" s="1316" t="e">
        <f aca="false">IF(AND(BV103&gt;0,CP103&gt;0,DC103&gt;0,CU103&gt;0),newSPRDOPT(BV103,CP103,CX103,0,DC103,CU103,CV103,BT103*365.25,OCallPut,0),0)</f>
        <v>#VALUE!</v>
      </c>
      <c r="DJ103" s="1316" t="e">
        <f aca="false">IF(AND(BW103&gt;0,CQ103&gt;0,DD103&gt;0,CU103&gt;0),newSPRDOPT(BW103,CQ103,CY103,0,DD103,CU103,CV103,BT103*365.25,OCallPut,0),0)</f>
        <v>#VALUE!</v>
      </c>
      <c r="DK103" s="1316" t="e">
        <f aca="false">IF(AND(BX103&gt;0,CR103&gt;0,DE103&gt;0,CU103&gt;0),newSPRDOPT(BX103,CR103,CZ103,0,DE103,CU103,CV103,BT103*365.25,OCallPut,0),0)</f>
        <v>#VALUE!</v>
      </c>
      <c r="DL103" s="1316" t="e">
        <f aca="false">IF(OVolType,IF(AND(BZ103&gt;0,CS103&gt;0,DF103&gt;0,CU103&gt;0),newSPRDOPT(BZ103,CS103,DA103,0,DF103,CU103,CV103,BT103*365.25,OCallPut,0),0),IF(BQ103,(DH103*AZ103+DI103*BA103+DJ103*BB103+DK103*BC103)/BQ103,0))</f>
        <v>#VALUE!</v>
      </c>
      <c r="DM103" s="1316"/>
      <c r="DN103" s="1316"/>
      <c r="DO103" s="1316"/>
      <c r="DP103" s="1316"/>
      <c r="DQ103" s="1316"/>
      <c r="DR103" s="1316"/>
      <c r="DS103" s="1316"/>
      <c r="DT103" s="1316"/>
      <c r="DU103" s="1316"/>
      <c r="DV103" s="1316"/>
      <c r="DW103" s="1594" t="e">
        <f aca="false">IF(AND(BW103&gt;0,CT103&gt;0,DD103&gt;0,CU103&gt;0),newSPRDOPT(BW103,CT103,CY103,0,DD103,CU103,CV103,BT103*365.25,OCallPut,0),0)</f>
        <v>#VALUE!</v>
      </c>
      <c r="DX103" s="1316" t="e">
        <f aca="false">IF(AND(BX103&gt;0,CT103&gt;0,DE103&gt;0,CU103&gt;0),newSPRDOPT(BX103,CT103,CZ103,0,DE103,CU103,CV103,BT103*365.25,OCallPut,0),0)</f>
        <v>#VALUE!</v>
      </c>
      <c r="DY103" s="1591" t="e">
        <f aca="false">IF(BS103,(DH103*BH103+DI103*BI103+DW103*BJ103+DX103*BK103)/BS103,0)</f>
        <v>#VALUE!</v>
      </c>
      <c r="DZ103" s="1551" t="e">
        <f aca="false">DH103*AZ103</f>
        <v>#VALUE!</v>
      </c>
      <c r="EA103" s="1551" t="e">
        <f aca="false">DI103*BA103</f>
        <v>#VALUE!</v>
      </c>
      <c r="EB103" s="1551" t="e">
        <f aca="false">DJ103*BB103</f>
        <v>#VALUE!</v>
      </c>
      <c r="EC103" s="1551" t="e">
        <f aca="false">DK103*BC103</f>
        <v>#VALUE!</v>
      </c>
      <c r="ED103" s="1551" t="e">
        <f aca="false">DL103*BQ103</f>
        <v>#VALUE!</v>
      </c>
      <c r="EE103" s="1595" t="e">
        <f aca="false">IF(BQ103,IF(OCallPut,IF(BU103&gt;(CO103+CW103),BU103-(CO103+CW103),0),IF((CO103+CW103)&gt;BU103,(CO103+CW103)-BU103,0))*AZ103,0)</f>
        <v>#VALUE!</v>
      </c>
      <c r="EF103" s="1596" t="e">
        <f aca="false">IF(BQ103,IF(OCallPut,IF(BV103&gt;(CP103+CX103),BV103-(CP103+CX103),0),IF((CP103+CX103)&gt;BV103,(CP103+CX103)-BV103,0))*BA103,0)</f>
        <v>#VALUE!</v>
      </c>
      <c r="EG103" s="1596" t="e">
        <f aca="false">IF(BQ103,IF(OCallPut,IF(BW103&gt;(CQ103+CY103),BW103-(CQ103+CY103),0),IF((CQ103+CY103)&gt;BW103,(CQ103+CY103)-BW103,0))*BB103,0)</f>
        <v>#VALUE!</v>
      </c>
      <c r="EH103" s="1596" t="e">
        <f aca="false">IF(BQ103,IF(OCallPut,IF(BX103&gt;(CR103+CZ103),BX103-(CR103+CZ103),0),IF((CR103+CZ103)&gt;BX103,(CR103+CZ103)-BX103,0))*BC103,0)</f>
        <v>#VALUE!</v>
      </c>
      <c r="EI103" s="1597" t="e">
        <f aca="false">IF(BQ103,IF(OVolType,IF(OCallPut,IF(BZ103&gt;(CS103+DA103),BZ103-(CS103+DA103),0),IF((CS103+DA103)&gt;BZ103,(CS103+DA103)-BZ103,0))*BQ103,SUM(EE103:EH103)),0)</f>
        <v>#VALUE!</v>
      </c>
      <c r="EJ103" s="1595" t="e">
        <f aca="false">DZ103-EE103</f>
        <v>#VALUE!</v>
      </c>
      <c r="EK103" s="1596" t="e">
        <f aca="false">EA103-EF103</f>
        <v>#VALUE!</v>
      </c>
      <c r="EL103" s="1596" t="e">
        <f aca="false">EB103-EG103</f>
        <v>#VALUE!</v>
      </c>
      <c r="EM103" s="1596" t="e">
        <f aca="false">EC103-EH103</f>
        <v>#VALUE!</v>
      </c>
      <c r="EN103" s="1597" t="e">
        <f aca="false">ED103-EI103</f>
        <v>#VALUE!</v>
      </c>
      <c r="EO103" s="1551" t="e">
        <f aca="false">DH103*BH103</f>
        <v>#VALUE!</v>
      </c>
      <c r="EP103" s="1551" t="e">
        <f aca="false">DI103*BI103</f>
        <v>#VALUE!</v>
      </c>
      <c r="EQ103" s="1551" t="e">
        <f aca="false">DW103*BJ103</f>
        <v>#VALUE!</v>
      </c>
      <c r="ER103" s="1551" t="e">
        <f aca="false">DX103*BK103</f>
        <v>#VALUE!</v>
      </c>
      <c r="ES103" s="1551" t="e">
        <f aca="false">DY103*BS103</f>
        <v>#VALUE!</v>
      </c>
      <c r="ET103" s="1566" t="e">
        <f aca="false">IF(EI103,IF(OCallPut,IF(CA103&gt;(CT103+CW103),CA103-(CT103+CW103),0),IF((CT103+CW103)&gt;CA103,(CT103+CW103)-CA103,0))*BH103,0)</f>
        <v>#VALUE!</v>
      </c>
      <c r="EU103" s="1551" t="e">
        <f aca="false">IF(EI103,IF(OCallPut,IF(CB103&gt;(CT103+CX103),CB103-(CT103+CX103),0),IF((CT103+CX103)&gt;CB103,(CT103+CX103)-CB103,0))*BI103,0)</f>
        <v>#VALUE!</v>
      </c>
      <c r="EV103" s="1551" t="e">
        <f aca="false">IF(EI103,IF(OCallPut,IF(CC103&gt;(CT103+CY103),CC103-(CT103+CY103),0),IF((CT103+CY103)&gt;CC103,(CT103+CY103)-CC103,0))*BJ103,0)</f>
        <v>#VALUE!</v>
      </c>
      <c r="EW103" s="1551" t="e">
        <f aca="false">IF(EI103,IF(OCallPut,IF(CD103&gt;(CT103+CZ103),CD103-(CT103+CZ103),0),IF((CT103+CZ103)&gt;CD103,(CT103+CZ103)-CD103,0))*BK103,0)</f>
        <v>#VALUE!</v>
      </c>
      <c r="EX103" s="1558" t="e">
        <f aca="false">IF(EI103,SUM(ET103:EW103),0)</f>
        <v>#VALUE!</v>
      </c>
      <c r="EY103" s="1551" t="e">
        <f aca="false">EO103-ET103</f>
        <v>#VALUE!</v>
      </c>
      <c r="EZ103" s="1551" t="e">
        <f aca="false">EP103-EU103</f>
        <v>#VALUE!</v>
      </c>
      <c r="FA103" s="1551" t="e">
        <f aca="false">EQ103-EV103</f>
        <v>#VALUE!</v>
      </c>
      <c r="FB103" s="1551" t="e">
        <f aca="false">ER103-EW103</f>
        <v>#VALUE!</v>
      </c>
      <c r="FC103" s="1551" t="e">
        <f aca="false">ES103-EX103</f>
        <v>#VALUE!</v>
      </c>
      <c r="FD103" s="1525" t="n">
        <f aca="false">IF(AX103,IF(VLOOKUP(C103,MAIN!$L$17:$M$28,2)="Yes",VLOOKUP(CALC!B103,MAIN!$H$17:$I$20,2),0),0)</f>
        <v>0</v>
      </c>
      <c r="FE103" s="1552" t="e">
        <f aca="false">$FD103*16*AT103*(1-$AY103)</f>
        <v>#VALUE!</v>
      </c>
      <c r="FF103" s="1553" t="e">
        <f aca="false">$FD103*16*AU103*(1-$AY103)</f>
        <v>#VALUE!</v>
      </c>
      <c r="FG103" s="1553" t="e">
        <f aca="false">$FD103*16*(AV103+AW103)*(1-$AY103)</f>
        <v>#VALUE!</v>
      </c>
      <c r="FH103" s="1554" t="n">
        <f aca="false">$FD103*8*AX103*(1-$AY103)</f>
        <v>0</v>
      </c>
      <c r="FI103" s="1555" t="n">
        <f aca="false">IF(AX103,VLOOKUP(CALC!B103,MAIN!$H$17:$K$20,4),0)</f>
        <v>0</v>
      </c>
      <c r="FJ103" s="1553" t="e">
        <f aca="false">SUM(FE103:FH103)</f>
        <v>#VALUE!</v>
      </c>
      <c r="FK103" s="1556" t="e">
        <f aca="false">FI103*FJ103</f>
        <v>#VALUE!</v>
      </c>
      <c r="FL103" s="1551" t="e">
        <f aca="false">IF($EI103&gt;0,MIN(FE103,AZ103*(1+VLOOKUP($C103,WeatherCapacityAdjustment,2))),0)</f>
        <v>#VALUE!</v>
      </c>
      <c r="FM103" s="1551" t="e">
        <f aca="false">IF($EI103&gt;0,MIN(FF103,BA103*(1+VLOOKUP($C103,WeatherCapacityAdjustment,2))),0)</f>
        <v>#VALUE!</v>
      </c>
      <c r="FN103" s="1551" t="e">
        <f aca="false">IF($EI103&gt;0,MIN(FG103,BB103*(1+VLOOKUP($C103,WeatherCapacityAdjustment,2))),0)</f>
        <v>#VALUE!</v>
      </c>
      <c r="FO103" s="1564" t="e">
        <f aca="false">IF($EI103&gt;0,MIN(FH103,BC103*(1+VLOOKUP($C103,WeatherCapacityAdjustment,3))),0)</f>
        <v>#VALUE!</v>
      </c>
      <c r="FP103" s="1551" t="e">
        <f aca="false">IF(ET103&gt;0,MIN(FE103-FL103,BH103*(1+VLOOKUP($C103,WeatherCapacityAdjustment,2))),0)</f>
        <v>#VALUE!</v>
      </c>
      <c r="FQ103" s="1551" t="e">
        <f aca="false">IF(EU103&gt;0,MIN(FF103-FM103,BI103*(1+VLOOKUP($C103,WeatherCapacityAdjustment,2))),0)</f>
        <v>#VALUE!</v>
      </c>
      <c r="FR103" s="1551" t="e">
        <f aca="false">IF(EV103&gt;0,MIN(FG103-FN103,BJ103*(1+VLOOKUP($C103,WeatherCapacityAdjustment,2))),0)</f>
        <v>#VALUE!</v>
      </c>
      <c r="FS103" s="1558" t="e">
        <f aca="false">IF(EW103&gt;0,MIN(FH103-FO103,BK103*(1+VLOOKUP($C103,WeatherCapacityAdjustment,3))),0)</f>
        <v>#VALUE!</v>
      </c>
      <c r="FT103" s="1566" t="e">
        <f aca="false">IF(AND(Assumptions!$H$71="Yes",A103&gt;=Assumptions!$H$72,A103&lt;=Assumptions!$H$73),0,IF(AND($A103&gt;=Assumptions!$C$17,$A103&lt;=Assumptions!$C$18),MAX(AZ103*(1+VLOOKUP($C103,WeatherCapacityAdjustment,2))-FL103,0),0))</f>
        <v>#VALUE!</v>
      </c>
      <c r="FU103" s="1551" t="e">
        <f aca="false">IF(AND(Assumptions!$H$71="Yes",A103&gt;=Assumptions!$H$72,A103&lt;=Assumptions!$H$73),0,IF(AND($A103&gt;=Assumptions!$C$17,$A103&lt;=Assumptions!$C$18),MAX(BA103*(1+VLOOKUP($C103,WeatherCapacityAdjustment,2))-FM103,0),0))</f>
        <v>#VALUE!</v>
      </c>
      <c r="FV103" s="1551" t="e">
        <f aca="false">IF(AND(Assumptions!$H$71="Yes",A103&gt;=Assumptions!$H$72,A103&lt;=Assumptions!$H$73),0,IF(AND($A103&gt;=Assumptions!$C$17,$A103&lt;=Assumptions!$C$18),MAX(BB103*(1+VLOOKUP($C103,WeatherCapacityAdjustment,2))-FN103,0),0))</f>
        <v>#VALUE!</v>
      </c>
      <c r="FW103" s="1564" t="e">
        <f aca="false">IF(AND(Assumptions!$H$71="Yes",A103&gt;=Assumptions!$H$72,A103&lt;=Assumptions!$H$73),0,IF(AND($A103&gt;=Assumptions!$C$17,$A103&lt;=Assumptions!$C$18),MAX(BC103*(1+VLOOKUP($C103,WeatherCapacityAdjustment,3))-FO103,0),0))</f>
        <v>#VALUE!</v>
      </c>
      <c r="FX103" s="1569" t="e">
        <f aca="false">IF(AND(Assumptions!$H$71="Yes",A103&gt;=Assumptions!$H$72,A103&lt;=Assumptions!$H$73),0,IF(ET103&gt;0,MAX(BH103*(1+VLOOKUP($C103,WeatherCapacityAdjustment,2))-FP103,0),0))</f>
        <v>#VALUE!</v>
      </c>
      <c r="FY103" s="1551" t="e">
        <f aca="false">IF(AND(Assumptions!$H$71="Yes",A103&gt;=Assumptions!$H$72,A103&lt;=Assumptions!$H$73),0,IF(EU103&gt;0,MAX(BI103*(1+VLOOKUP($C103,WeatherCapacityAdjustment,3))-FQ103,0),0))</f>
        <v>#VALUE!</v>
      </c>
      <c r="FZ103" s="1551" t="e">
        <f aca="false">IF(AND(Assumptions!$H$71="Yes",A103&gt;=Assumptions!$H$72,A103&lt;=Assumptions!$H$73),0,IF(EV103&gt;0,MAX(BJ103*(1+VLOOKUP($C103,WeatherCapacityAdjustment,2))-FR103,0),0))</f>
        <v>#VALUE!</v>
      </c>
      <c r="GA103" s="1564" t="e">
        <f aca="false">IF(AND(Assumptions!$H$71="Yes",A103&gt;=Assumptions!$H$72,A103&lt;=Assumptions!$H$73),0,IF(EW103&gt;0,MAX(BK103*(1+VLOOKUP($C103,WeatherCapacityAdjustment,2))-FS103,0),0))</f>
        <v>#VALUE!</v>
      </c>
      <c r="GB103" s="1551" t="e">
        <f aca="false">SUM(FT103:GA103)</f>
        <v>#VALUE!</v>
      </c>
      <c r="GC103" s="1563" t="e">
        <f aca="false">+IF(SUM(FT103:GA103)=0,0,(SUMPRODUCT(BU103:BX103,FT103:FW103)+SUMPRODUCT(CA103:CD103,FX103:GA103))/SUM(FT103:GA103))</f>
        <v>#VALUE!</v>
      </c>
      <c r="GD103" s="1551" t="e">
        <f aca="false">(FT103*BU103+FX103*CA103+FU103*BV103+FY103*CB103+FV103*BW103+FZ103*CC103+FW103*BX103+GA103*CD103)</f>
        <v>#VALUE!</v>
      </c>
      <c r="GE103" s="1561" t="e">
        <f aca="false">+IF(BQ103,((FL103+FM103+FT103+FU103)*HeatRatePeak/1000*(1+VLOOKUP($C103,WeatherHeatRateAdjustment,2))+(FN103+FV103)*IF(EV103&gt;0,HeatRatePeak,HeatRateOffPeak)/1000*(1+VLOOKUP($C103,WeatherHeatRateAdjustment,2))+(FO103+FW103)*IF(EW103&gt;0,HeatRatePeak,HeatRateOffPeak)/1000*(1+VLOOKUP($C103,WeatherHeatRateAdjustment,3)))*(1+VLOOKUP($B103,HeatRateDegradation,$C103+1)),0)</f>
        <v>#VALUE!</v>
      </c>
      <c r="GF103" s="1562" t="e">
        <f aca="false">IF(BQ103,((FP103+FQ103+FR103+FX103+FY103+FZ103)*HeatRatePeak/1000*(1+VLOOKUP($C103,WeatherHeatRateAdjustment,2))+(FS103+GA103)*HeatRatePeak/1000*(1+VLOOKUP($C103,WeatherHeatRateAdjustment,3)))*(1+VLOOKUP($B103,HeatRateDegradation,$C103+1)),0)</f>
        <v>#VALUE!</v>
      </c>
      <c r="GG103" s="1563" t="e">
        <f aca="false">IF(BQ103,VLOOKUP(A103,GasTable,13),0)</f>
        <v>#VALUE!</v>
      </c>
      <c r="GH103" s="1564" t="e">
        <f aca="false">(GE103+GF103)*GG103</f>
        <v>#VALUE!</v>
      </c>
      <c r="GI103" s="1569" t="e">
        <f aca="false">GB103</f>
        <v>#VALUE!</v>
      </c>
      <c r="GJ103" s="1598" t="e">
        <f aca="false">+DA103</f>
        <v>#VALUE!</v>
      </c>
      <c r="GK103" s="1558" t="e">
        <f aca="false">+GI103*GJ103</f>
        <v>#VALUE!</v>
      </c>
      <c r="GL103" s="1566" t="e">
        <f aca="false">MAX(FE103-FL103-FP103,0)</f>
        <v>#VALUE!</v>
      </c>
      <c r="GM103" s="1551" t="e">
        <f aca="false">MAX(FF103-FM103-FQ103,0)</f>
        <v>#VALUE!</v>
      </c>
      <c r="GN103" s="1551" t="e">
        <f aca="false">MAX(FG103-FN103-FR103,0)</f>
        <v>#VALUE!</v>
      </c>
      <c r="GO103" s="1564" t="e">
        <f aca="false">MAX(FH103-FO103-FS103,0)</f>
        <v>#VALUE!</v>
      </c>
      <c r="GP103" s="1551" t="e">
        <f aca="false">SUM(GL103:GO103)</f>
        <v>#VALUE!</v>
      </c>
      <c r="GQ103" s="1563" t="e">
        <f aca="false">IF(SUM(GL103:GO103)=0,0,((GL103*BU103+GM103*BV103+GN103*BW103+GO103*BX103)/SUM(GL103:GO103)))</f>
        <v>#VALUE!</v>
      </c>
      <c r="GR103" s="1558" t="e">
        <f aca="false">(GL103*BU103+GM103*BV103+GN103*BW103+GO103*BX103)</f>
        <v>#VALUE!</v>
      </c>
      <c r="GS103" s="1566" t="n">
        <f aca="false">IF($A103&gt;=BegDate,Assumptions!$C$56*24*($A104-$A103)*(1-VLOOKUP($B103,MAIN!$AA$7:$AM$28,$C103+1))*(1-VLOOKUP($B103,MAIN!$AA$33:$AM$54,$C103+1)),0)*80/168</f>
        <v>257742.857142857</v>
      </c>
      <c r="GT103" s="286" t="n">
        <f aca="false">J103</f>
        <v>62.8708977788813</v>
      </c>
      <c r="GU103" s="286" t="n">
        <f aca="false">IF($A103&gt;=BegDate,VLOOKUP($A103,GasTable,13)+Assumptions!$C$58,0)</f>
        <v>2.5854476940185</v>
      </c>
      <c r="GV103" s="286" t="n">
        <f aca="false">GU103*Assumptions!$C$57/1000</f>
        <v>18.7444957816341</v>
      </c>
      <c r="GW103" s="1558" t="n">
        <f aca="false">IF(Assumptions!$C$60="Hourly",MAX(0,GS103*(GT103-GV103)),GS103*(GT103-GV103))</f>
        <v>11373264.9262048</v>
      </c>
      <c r="GX103" s="1566" t="n">
        <f aca="false">IF($A103&gt;=BegDate,Assumptions!$C$56*24*($A104-$A103)*(1-VLOOKUP($B103,MAIN!$AA$7:$AM$28,$C103+1))*(1-VLOOKUP($B103,MAIN!$AA$33:$AM$54,$C103+1)),0)*16/168</f>
        <v>51548.5714285714</v>
      </c>
      <c r="GY103" s="286" t="n">
        <f aca="false">M103</f>
        <v>62.8708977788813</v>
      </c>
      <c r="GZ103" s="286" t="n">
        <f aca="false">IF($A103&gt;=BegDate,VLOOKUP($A103,GasTable,13)+Assumptions!$C$58,0)</f>
        <v>2.5854476940185</v>
      </c>
      <c r="HA103" s="286" t="n">
        <f aca="false">GZ103*Assumptions!$C$57/1000</f>
        <v>18.7444957816341</v>
      </c>
      <c r="HB103" s="1558" t="n">
        <f aca="false">IF(Assumptions!$C$60="Hourly",MAX(0,GX103*(GY103-HA103)),GX103*(GY103-HA103))</f>
        <v>2274652.98524095</v>
      </c>
      <c r="HC103" s="1566" t="n">
        <f aca="false">IF($A103&gt;=BegDate,Assumptions!$C$56*24*($A104-$A103)*(1-VLOOKUP($B103,MAIN!$AA$7:$AM$28,$C103+1))*(1-VLOOKUP($B103,MAIN!$AA$33:$AM$54,$C103+1)),0)*16/168</f>
        <v>51548.5714285714</v>
      </c>
      <c r="HD103" s="286" t="n">
        <f aca="false">P103</f>
        <v>25.9382413240549</v>
      </c>
      <c r="HE103" s="286" t="n">
        <f aca="false">IF($A103&gt;=BegDate,VLOOKUP($A103,GasTable,13)+Assumptions!$C$58,0)</f>
        <v>2.5854476940185</v>
      </c>
      <c r="HF103" s="286" t="n">
        <f aca="false">HE103*Assumptions!$C$57/1000</f>
        <v>18.7444957816341</v>
      </c>
      <c r="HG103" s="1558" t="n">
        <f aca="false">IF(Assumptions!$C$60="Hourly",MAX(0,HC103*(HD103-HF103)),HC103*(HD103-HF103))</f>
        <v>370827.305932443</v>
      </c>
      <c r="HH103" s="1566" t="n">
        <f aca="false">IF($A103&gt;=BegDate,Assumptions!$C$56*24*($A104-$A103)*(1-VLOOKUP($B103,MAIN!$AA$7:$AM$28,$C103+1))*(1-VLOOKUP($B103,MAIN!$AA$33:$AM$54,$C103+1)),0)*56/168</f>
        <v>180420</v>
      </c>
      <c r="HI103" s="286" t="n">
        <f aca="false">S103</f>
        <v>25.9382413240549</v>
      </c>
      <c r="HJ103" s="286" t="n">
        <f aca="false">IF($A103&gt;=BegDate,VLOOKUP($A103,GasTable,13)+Assumptions!$C$58,0)</f>
        <v>2.5854476940185</v>
      </c>
      <c r="HK103" s="286" t="n">
        <f aca="false">HJ103*Assumptions!$C$57/1000</f>
        <v>18.7444957816341</v>
      </c>
      <c r="HL103" s="1558" t="n">
        <f aca="false">IF(Assumptions!$C$60="Hourly",MAX(0,HH103*(HI103-HK103)),HH103*(HI103-HK103))</f>
        <v>1297895.57076355</v>
      </c>
      <c r="HM103" s="1566" t="n">
        <f aca="false">IF(AND(Assumptions!$H$71="Yes",A103&gt;=Assumptions!$H$72,A103&lt;=Assumptions!$H$73),Assumptions!$H$74*Assumptions!$C$9*1000,0)</f>
        <v>0</v>
      </c>
      <c r="HN103" s="1551"/>
      <c r="HO103" s="1563"/>
      <c r="HP103" s="1563"/>
      <c r="HQ103" s="1563"/>
      <c r="HR103" s="1563"/>
      <c r="HS103" s="1563"/>
      <c r="HT103" s="1563"/>
      <c r="HU103" s="1563"/>
      <c r="HV103" s="1563"/>
      <c r="HW103" s="1563"/>
      <c r="HX103" s="1563"/>
      <c r="HY103" s="1563"/>
      <c r="HZ103" s="1563"/>
      <c r="IA103" s="1563"/>
      <c r="IB103" s="1563"/>
      <c r="IC103" s="1563"/>
      <c r="ID103" s="1563"/>
      <c r="IE103" s="1563"/>
      <c r="IF103" s="1563"/>
      <c r="IG103" s="1563"/>
      <c r="IH103" s="1563"/>
      <c r="II103" s="1610"/>
      <c r="IJ103" s="1309"/>
      <c r="IK103" s="1309"/>
    </row>
    <row r="104" customFormat="false" ht="12.75" hidden="false" customHeight="false" outlineLevel="0" collapsed="false">
      <c r="A104" s="1571" t="n">
        <f aca="false">EOMONTH(A103,0)+1</f>
        <v>39295</v>
      </c>
      <c r="B104" s="594" t="n">
        <f aca="false">+YEAR(A104)</f>
        <v>2007</v>
      </c>
      <c r="C104" s="238" t="n">
        <f aca="false">MONTH(A104)</f>
        <v>8</v>
      </c>
      <c r="D104" s="1572" t="e">
        <f aca="false">IF(E104="","",Holiday(B104,C104))</f>
        <v>#VALUE!</v>
      </c>
      <c r="E104" s="1573" t="n">
        <f aca="false">IF(OR(BegDate&gt;=A105,EndDate&lt;A104,AND(VolumeMonthlyOverFlag,INDEX(VolumeMonthlyOver,C104)=0),NOT(INDEX(MonthKnockOutTable,C104))),"",MAX(A104,BegDate))</f>
        <v>39295</v>
      </c>
      <c r="F104" s="1574" t="n">
        <f aca="false">IF(E104="","",MIN(A105-1,EndDate))</f>
        <v>39325</v>
      </c>
      <c r="G104" s="1575" t="n">
        <v>0</v>
      </c>
      <c r="H104" s="1576" t="n">
        <f aca="false">(1+G104/2)^(-2*(DATE(B105,C105,20)-DateToday)/365.25)</f>
        <v>1</v>
      </c>
      <c r="I104" s="1568" t="n">
        <f aca="false">IF(Assumptions!$L$25=4,VLOOKUP($A104,'Henwood Reference'!$E$9:$R$320,10),(VLOOKUP($A104,PriceTable,2,0)+IF(BasisNumber&lt;&gt;1,VLOOKUP($A104,BasisTable,2,0),0)+I$1)/(1-I$2))</f>
        <v>107.502964526827</v>
      </c>
      <c r="J104" s="1568" t="n">
        <f aca="false">IF(Assumptions!$L$25=4,VLOOKUP($A104,'Henwood Reference'!$E$9:$R$320,10),(VLOOKUP($A104,PriceTable,3,0)+IF(BasisNumber&lt;&gt;1,VLOOKUP($A104,BasisTable,2,0),0)+J$1)/(1-J$2))</f>
        <v>107.502964526827</v>
      </c>
      <c r="K104" s="1568" t="n">
        <f aca="false">IF(Assumptions!$L$25=4,VLOOKUP($A104,'Henwood Reference'!$E$9:$R$320,10),(VLOOKUP($A104,PriceTable,4,0)+IF(BasisNumber&lt;&gt;1,VLOOKUP($A104,BasisTable,2,0),0)+K$1)/(1-K$2))</f>
        <v>107.502964526827</v>
      </c>
      <c r="L104" s="1523" t="n">
        <f aca="false">IF(Assumptions!$L$25=4,VLOOKUP($A104,'Henwood Reference'!$E$9:$R$320,10),(VLOOKUP($A104,PriceTableWeekend,2,0)+IF(BasisNumber&lt;&gt;1,VLOOKUP($A104,BasisTable,2,0),0)+L$1)/(1-L$2))</f>
        <v>107.502964526827</v>
      </c>
      <c r="M104" s="1568" t="n">
        <f aca="false">IF(Assumptions!$L$25=4,VLOOKUP($A104,'Henwood Reference'!$E$9:$R$320,10),(VLOOKUP($A104,PriceTableWeekend,3,0)+IF(BasisNumber&lt;&gt;1,VLOOKUP($A104,BasisTable,2,0),0)+M$1)/(1-M$2))</f>
        <v>107.502964526827</v>
      </c>
      <c r="N104" s="1599" t="n">
        <f aca="false">IF(Assumptions!$L$25=4,VLOOKUP($A104,'Henwood Reference'!$E$9:$R$320,10),(VLOOKUP($A104,PriceTableWeekend,4,0)+IF(BasisNumber&lt;&gt;1,VLOOKUP($A104,BasisTable,2,0),0)+N$1)/(1-N$2))</f>
        <v>107.502964526827</v>
      </c>
      <c r="O104" s="1568" t="n">
        <f aca="false">IF(Assumptions!$L$25=4,VLOOKUP($A104,'Henwood Reference'!$E$9:$R$320,11),(VLOOKUP($A104,PriceTableWeekend,6,0)+IF(BasisNumber&lt;&gt;1,VLOOKUP($A104,BasisTable,3,0),0)+O$1)/(1-O$2))</f>
        <v>31.0937723375984</v>
      </c>
      <c r="P104" s="1568" t="n">
        <f aca="false">IF(Assumptions!$L$25=4,VLOOKUP($A104,'Henwood Reference'!$E$9:$R$320,11),(VLOOKUP($A104,PriceTableWeekend,7,0)+IF(BasisNumber&lt;&gt;1,VLOOKUP($A104,BasisTable,3,0),0)+P$1)/(1-P$2))</f>
        <v>31.0937723375984</v>
      </c>
      <c r="Q104" s="1599" t="n">
        <f aca="false">IF(Assumptions!$L$25=4,VLOOKUP($A104,'Henwood Reference'!$E$9:$R$320,11),(VLOOKUP($A104,PriceTableWeekend,8,0)+IF(BasisNumber&lt;&gt;1,VLOOKUP($A104,BasisTable,3,0),0)+Q$1)/(1-Q$2))</f>
        <v>31.0937723375984</v>
      </c>
      <c r="R104" s="1568" t="n">
        <f aca="false">IF(Assumptions!$L$25=4,VLOOKUP($A104,'Henwood Reference'!$E$9:$R$320,11),(VLOOKUP($A104,PriceTable,6,0)+IF(BasisNumber&lt;&gt;1,VLOOKUP($A104,BasisTable,3,0),0)+R$1)/(1-R$2))</f>
        <v>31.0937723375984</v>
      </c>
      <c r="S104" s="1568" t="n">
        <f aca="false">IF(Assumptions!$L$25=4,VLOOKUP($A104,'Henwood Reference'!$E$9:$R$320,11),(VLOOKUP($A104,PriceTable,7,0)+IF(BasisNumber&lt;&gt;1,VLOOKUP($A104,BasisTable,3,0),0)+S$1)/(1-S$2))</f>
        <v>31.0937723375984</v>
      </c>
      <c r="T104" s="1600" t="n">
        <f aca="false">IF(Assumptions!$L$25=4,VLOOKUP($A104,'Henwood Reference'!$E$9:$R$320,11),(VLOOKUP($A104,PriceTable,8,0)+IF(BasisNumber&lt;&gt;1,VLOOKUP($A104,BasisTable,3,0),0)+T$1)/(1-T$2))</f>
        <v>31.0937723375984</v>
      </c>
      <c r="U104" s="1513" t="n">
        <f aca="false">VLOOKUP($A104,VolatilityTable,14)</f>
        <v>0.135</v>
      </c>
      <c r="V104" s="1513" t="n">
        <f aca="false">VLOOKUP($A104,VolatilityTable,15)</f>
        <v>0.145</v>
      </c>
      <c r="W104" s="1514" t="n">
        <f aca="false">VLOOKUP($A104,VolatilityTable,16)</f>
        <v>0.155</v>
      </c>
      <c r="X104" s="1513" t="n">
        <f aca="false">VLOOKUP($A104,VolatilityTable,14)</f>
        <v>0.135</v>
      </c>
      <c r="Y104" s="1513" t="n">
        <f aca="false">VLOOKUP($A104,VolatilityTable,15)</f>
        <v>0.145</v>
      </c>
      <c r="Z104" s="1514" t="n">
        <f aca="false">VLOOKUP($A104,VolatilityTable,16)</f>
        <v>0.155</v>
      </c>
      <c r="AA104" s="1513" t="n">
        <f aca="false">VLOOKUP($A104,VolatilityTable,18)</f>
        <v>0.09</v>
      </c>
      <c r="AB104" s="1513" t="n">
        <f aca="false">VLOOKUP($A104,VolatilityTable,19)</f>
        <v>0.11</v>
      </c>
      <c r="AC104" s="1514" t="n">
        <f aca="false">VLOOKUP($A104,VolatilityTable,20)</f>
        <v>0.13</v>
      </c>
      <c r="AD104" s="1513" t="n">
        <f aca="false">VLOOKUP($A104,VolatilityTable,18)</f>
        <v>0.09</v>
      </c>
      <c r="AE104" s="1513" t="n">
        <f aca="false">VLOOKUP($A104,VolatilityTable,19)</f>
        <v>0.11</v>
      </c>
      <c r="AF104" s="1514" t="n">
        <f aca="false">VLOOKUP($A104,VolatilityTable,20)</f>
        <v>0.13</v>
      </c>
      <c r="AG104" s="1513" t="n">
        <f aca="false">VLOOKUP($A104,VolatilityTable,22)</f>
        <v>-0.35</v>
      </c>
      <c r="AH104" s="1513" t="n">
        <f aca="false">VLOOKUP($A104,VolatilityTable,23)</f>
        <v>3</v>
      </c>
      <c r="AI104" s="1514" t="n">
        <f aca="false">VLOOKUP($A104,VolatilityTable,24)</f>
        <v>0.35</v>
      </c>
      <c r="AJ104" s="1513" t="n">
        <f aca="false">VLOOKUP($A104,VolatilityTable,22)</f>
        <v>-0.35</v>
      </c>
      <c r="AK104" s="1513" t="n">
        <f aca="false">VLOOKUP($A104,VolatilityTable,23)</f>
        <v>3</v>
      </c>
      <c r="AL104" s="1514" t="n">
        <f aca="false">VLOOKUP($A104,VolatilityTable,24)</f>
        <v>0.35</v>
      </c>
      <c r="AM104" s="1513" t="n">
        <f aca="false">VLOOKUP($A104,VolatilityTable,26)</f>
        <v>-0.01</v>
      </c>
      <c r="AN104" s="1513" t="n">
        <f aca="false">VLOOKUP($A104,VolatilityTable,27)</f>
        <v>0.16</v>
      </c>
      <c r="AO104" s="1514" t="n">
        <f aca="false">VLOOKUP($A104,VolatilityTable,28)</f>
        <v>0.01</v>
      </c>
      <c r="AP104" s="1513" t="n">
        <f aca="false">VLOOKUP($A104,VolatilityTable,26)</f>
        <v>-0.01</v>
      </c>
      <c r="AQ104" s="1513" t="n">
        <f aca="false">VLOOKUP($A104,VolatilityTable,27)</f>
        <v>0.16</v>
      </c>
      <c r="AR104" s="1515" t="n">
        <f aca="false">VLOOKUP($A104,VolatilityTable,28)</f>
        <v>0.01</v>
      </c>
      <c r="AS104" s="1581" t="n">
        <f aca="false">IF(CorrPeakOffPeakOverFlag,INDEX(CorrPeakOffPeakOver,C104),CorrPeakOffPeak)</f>
        <v>0.5</v>
      </c>
      <c r="AT104" s="594" t="e">
        <f aca="false">AX104-SUM(AU104:AW104)</f>
        <v>#VALUE!</v>
      </c>
      <c r="AU104" s="238" t="e">
        <f aca="false">IF(E104="",0,INT((F104-MOD(F104,7)-E104)/7)+1-IF(AW104,IF(WEEKDAY(D104)=7,1,0),0))</f>
        <v>#VALUE!</v>
      </c>
      <c r="AV104" s="238" t="e">
        <f aca="false">IF(E104="",0,INT((F104-MOD(F104-1,7)-E104)/7)+1-IF(AW104,IF(WEEKDAY(D104)=1,1,0),0))</f>
        <v>#VALUE!</v>
      </c>
      <c r="AW104" s="238" t="e">
        <f aca="false">IF(OR(E104="",D104="",D104&lt;BegDate,D104&gt;EndDate),0,1)</f>
        <v>#VALUE!</v>
      </c>
      <c r="AX104" s="238" t="n">
        <f aca="false">IF(E104="",0,F104-E104+1)</f>
        <v>31</v>
      </c>
      <c r="AY104" s="1582" t="n">
        <f aca="false">IF(E104="",0,MIN((1-(1-VLOOKUP(B104,MAIN!$AA$7:$AM$28,C104+1))*(1-VLOOKUP(B104,MAIN!$AA$33:$AM$54,C104+1))),1))</f>
        <v>0.03</v>
      </c>
      <c r="AZ104" s="1519" t="e">
        <v>#VALUE!</v>
      </c>
      <c r="BA104" s="1520" t="e">
        <v>#VALUE!</v>
      </c>
      <c r="BB104" s="1520" t="e">
        <v>#VALUE!</v>
      </c>
      <c r="BC104" s="1583" t="e">
        <v>#VALUE!</v>
      </c>
      <c r="BD104" s="1522" t="e">
        <v>#VALUE!</v>
      </c>
      <c r="BE104" s="1523" t="e">
        <v>#VALUE!</v>
      </c>
      <c r="BF104" s="1523" t="e">
        <v>#VALUE!</v>
      </c>
      <c r="BG104" s="1584" t="e">
        <v>#VALUE!</v>
      </c>
      <c r="BH104" s="1525" t="e">
        <v>#VALUE!</v>
      </c>
      <c r="BI104" s="1520" t="e">
        <v>#VALUE!</v>
      </c>
      <c r="BJ104" s="1520" t="e">
        <v>#VALUE!</v>
      </c>
      <c r="BK104" s="1583" t="e">
        <v>#VALUE!</v>
      </c>
      <c r="BL104" s="1522" t="e">
        <v>#VALUE!</v>
      </c>
      <c r="BM104" s="1523" t="e">
        <v>#VALUE!</v>
      </c>
      <c r="BN104" s="1523" t="e">
        <v>#VALUE!</v>
      </c>
      <c r="BO104" s="1523" t="e">
        <v>#VALUE!</v>
      </c>
      <c r="BP104" s="1525" t="e">
        <f aca="false">SUM(AZ104:BB104)</f>
        <v>#VALUE!</v>
      </c>
      <c r="BQ104" s="1529" t="e">
        <f aca="false">SUM(AZ104:BC104)</f>
        <v>#VALUE!</v>
      </c>
      <c r="BR104" s="1519" t="e">
        <f aca="false">SUM(BH104:BJ104)</f>
        <v>#VALUE!</v>
      </c>
      <c r="BS104" s="1529" t="e">
        <f aca="false">SUM(BH104:BK104)</f>
        <v>#VALUE!</v>
      </c>
      <c r="BT104" s="1316" t="n">
        <f aca="false">(IF(OVolType&lt;&gt;2,A104+14,IF(OptExpDateShift,ShiftBack(A104,OptExpDateShift,D103),A104))-DateToday)/365.25</f>
        <v>7.29637234770705</v>
      </c>
      <c r="BU104" s="1585" t="e">
        <f aca="false">IF(BQ104,IF(OPriceCurve,IF(OBuySell=OCallPut,I104/(1-AY104),K104/(1-AY104)),J104/(1-AY104))*BD104,0)</f>
        <v>#VALUE!</v>
      </c>
      <c r="BV104" s="1316" t="e">
        <f aca="false">IF(BQ104,IF(OPriceCurve,IF(OBuySell=OCallPut,L104/(1-AY104),N104/(1-AY104)),M104/(1-AY104))*BE104,0)</f>
        <v>#VALUE!</v>
      </c>
      <c r="BW104" s="1316" t="e">
        <f aca="false">IF(BQ104,IF(OPriceCurve,IF(OBuySell=OCallPut,O104/(1-AY104),Q104/(1-AY104)),P104/(1-AY104))*BF104,0)</f>
        <v>#VALUE!</v>
      </c>
      <c r="BX104" s="1316" t="e">
        <f aca="false">IF(BQ104,IF(OPriceCurve,IF(OBuySell=OCallPut,R104/(1-AY104),T104/(1-AY104)),S104/(1-AY104))*BG104,0)</f>
        <v>#VALUE!</v>
      </c>
      <c r="BY104" s="1316" t="e">
        <f aca="false">IF(BP104,(BU104*AZ104+BV104*BA104+BW104*BB104)/BP104,0)</f>
        <v>#VALUE!</v>
      </c>
      <c r="BZ104" s="1316" t="e">
        <f aca="false">IF(BQ104,(BY104*BP104+BX104*BC104)/BQ104,0)</f>
        <v>#VALUE!</v>
      </c>
      <c r="CA104" s="1531" t="e">
        <f aca="false">IF(BS104,IF(OPriceCurve,IF(OBuySell=OCallPut,I104/(1-AY104),K104/(1-AY104)),J104/(1-AY104))*BL104,0)</f>
        <v>#VALUE!</v>
      </c>
      <c r="CB104" s="1316" t="e">
        <f aca="false">IF(BS104,IF(OPriceCurve,IF(OBuySell=OCallPut,L104/(1-AY104),N104/(1-AY104)),M104/(1-AY104))*BM104,0)</f>
        <v>#VALUE!</v>
      </c>
      <c r="CC104" s="1316" t="e">
        <f aca="false">IF(BS104,IF(OPriceCurve,IF(OBuySell=OCallPut,O104/(1-AY104),Q104/(1-AY104)),P104/(1-AY104))*BN104,0)</f>
        <v>#VALUE!</v>
      </c>
      <c r="CD104" s="1316" t="e">
        <f aca="false">IF(BS104,IF(OPriceCurve,IF(OBuySell=OCallPut,R104/(1-AY104),T104/(1-AY104)),S104/(1-AY104))*BO104,0)</f>
        <v>#VALUE!</v>
      </c>
      <c r="CE104" s="1316" t="e">
        <f aca="false">IF(BR104,(BU104*BH104+BV104*BI104+BW104*BJ104)/BR104,0)</f>
        <v>#VALUE!</v>
      </c>
      <c r="CF104" s="1532" t="e">
        <f aca="false">IF(BS104,(CE104*BR104+CD104*BK104)/BS104,0)</f>
        <v>#VALUE!</v>
      </c>
      <c r="CG104" s="1586" t="e">
        <f aca="false">IF(OR(BQ104,BS104),IF(OVolType&lt;&gt;2,SQRT(IF(OVolOverMonthlyPeak,OVolOverMonthlyPeak,IF(OVolCurve,IF(OBuySell,U104,W104),V104))^2*(1-15/365.25/BT104)+IF(OVolOverDailyPeak,OVolOverDailyPeak,IF(OVolCurve,IF(OBuySell,AG104,AI104),AH104))^2*15/365.25/BT104),IF(OVolOverMonthlyPeak,OVolOverMonthlyPeak,IF(OVolCurve,IF(OBuySell,U104,W104),V104))),"")</f>
        <v>#VALUE!</v>
      </c>
      <c r="CH104" s="1587" t="e">
        <f aca="false">IF(OR(BQ104,BS104),IF(OVolType&lt;&gt;2,SQRT(IF(OVolOverMonthlyPeak,OVolOverMonthlyPeak,IF(OVolCurve,IF(OBuySell,X104,Z104),Y104))^2*(1-15/365.25/BT104)+IF(OVolOverDailyPeak,OVolOverDailyPeak,IF(OVolCurve,IF(OBuySell,AJ104,AL104),AK104))^2*15/365.25/BT104),IF(OVolOverMonthlyPeak,OVolOverMonthlyPeak,IF(OVolCurve,IF(OBuySell,X104,Z104),Y104))),"")</f>
        <v>#VALUE!</v>
      </c>
      <c r="CI104" s="1587" t="e">
        <f aca="false">IF(OR(BQ104,BS104),IF(OVolType&lt;&gt;2,SQRT(IF(OVolOverMonthlyPeak,OVolOverMonthlyPeak,IF(OVolCurve,IF(OBuySell,AA104,AC104),AB104))^2*(1-15/365.25/BT104)+IF(OVolOverDailyPeak,OVolOverDailyPeak,IF(OVolCurve,IF(OBuySell,AM104,AO104),AN104))^2*15/365.25/BT104),IF(OVolOverMonthlyPeak,OVolOverMonthlyPeak,IF(OVolCurve,IF(OBuySell,AA104,AC104),AB104))),"")</f>
        <v>#VALUE!</v>
      </c>
      <c r="CJ104" s="1587" t="e">
        <f aca="false">IF(BQ104,IF(BP104,SQRT(LN(1+((BU104*AZ104)^2*(EXP(CG104^2*BT104)-1)+(BV104*BA104)^2*(EXP(CH104^2*BT104)-1)+(BW104*BB104)^2*(EXP(CI104^2*BT104)-1)+2*BU104*AZ104*BV104*BA104*(EXP(CG104*CH104*BT104)-1)+2*BV104*BA104*BW104*BB104*(EXP(CH104*CI104*BT104)-1)+2*BW104*BB104*BU104*AZ104*(EXP(CI104*CG104*BT104)-1))/(BY104*BP104)^2)/BT104),0),"")</f>
        <v>#VALUE!</v>
      </c>
      <c r="CK104" s="1587" t="e">
        <f aca="false">IF(BS104,IF(BR104,SQRT(LN(1+((CA104*BH104)^2*(EXP(CG104^2*BT104)-1)+(CB104*BI104)^2*(EXP(CH104^2*BT104)-1)+(CC104*BJ104)^2*(EXP(CI104^2*BT104)-1)+2*CA104*BH104*CB104*BI104*(EXP(CG104*CH104*BT104)-1)+2*CB104*BI104*CC104*BJ104*(EXP(CH104*CI104*BT104)-1)+2*CC104*BJ104*CA104*BH104*(EXP(CI104*CG104*BT104)-1))/(CE104*BR104)^2)/BT104),0),"")</f>
        <v>#VALUE!</v>
      </c>
      <c r="CL104" s="1587" t="e">
        <f aca="false">IF(OR(BQ104,BS104),IF(OVolType&lt;&gt;2,SQRT(IF(OVolOverMonthlyOffPeak,OVolOverMonthlyOffPeak,IF(OVolCurve,IF(OBuySell,AD104,AF104),AE104))^2*(1-15/365.25/BT104)+IF(OVolOverDailyOffPeak,OVolOverDailyOffPeak,IF(OVolCurve,IF(OBuySell,AP104,AR104),AQ104))^2*15/365.25/BT104),IF(OVolOverMonthlyOffPeak,OVolOverMonthlyOffPeak,IF(OVolCurve,IF(OBuySell,AD104,AF104),AE104))),"")</f>
        <v>#VALUE!</v>
      </c>
      <c r="CM104" s="1587" t="e">
        <f aca="false">IF(BQ104,SQRT(LN(1+((BY104*BP104)^2*(EXP(CJ104^2*BT104)-1)+(BX104*BC104)^2*(EXP(CL104^2*BT104)-1)+2*BY104*BP104*BX104*BC104*(EXP(AS104*CJ104*CL104*BT104)-1))/(BY104*BP104+BX104*BC104)^2)/BT104),"")</f>
        <v>#VALUE!</v>
      </c>
      <c r="CN104" s="1588" t="e">
        <f aca="false">IF(BS104,SQRT(LN(1+((CE104*BR104)^2*(EXP(CK104^2*BT104)-1)+(CD104*BK104)^2*(EXP(CL104^2*BT104)-1)+2*CE104*BR104*CD104*BK104*(EXP(AS104*CK104*CL104*BT104)-1))/(CE104*BR104+CD104*BK104)^2)/BT104),"")</f>
        <v>#VALUE!</v>
      </c>
      <c r="CO104" s="1531" t="e">
        <f aca="false">IF(OR(BQ104,BS104),VLOOKUP(A104,GasTable,13)*HeatRatePeak*(1+VLOOKUP($B104,HeatRateDegradation,$C104+1))/1000,0)</f>
        <v>#VALUE!</v>
      </c>
      <c r="CP104" s="1316" t="e">
        <f aca="false">IF(OR(BQ104,BS104),VLOOKUP(A104,GasTable,13)*HeatRatePeak*(1+VLOOKUP($B104,HeatRateDegradation,$C104+1))/1000,0)</f>
        <v>#VALUE!</v>
      </c>
      <c r="CQ104" s="1316" t="e">
        <f aca="false">IF(OR(BQ104,BS104),VLOOKUP(A104,GasTable,13)*IF(EV104,HeatRatePeak,HeatRateOffPeak)*(1+VLOOKUP($B104,HeatRateDegradation,$C104+1))/1000,0)</f>
        <v>#VALUE!</v>
      </c>
      <c r="CR104" s="1316" t="e">
        <f aca="false">IF(OR(BQ104,BS104),VLOOKUP(A104,GasTable,13)*IF(EW104,HeatRatePeak,HeatRateOffPeak)*(1+VLOOKUP($B104,HeatRateDegradation,$C104+1))/1000,0)</f>
        <v>#VALUE!</v>
      </c>
      <c r="CS104" s="1589" t="e">
        <f aca="false">IF(BQ104,(CO104*AZ104+CP104*BA104+CQ104*BB104+CR104*BC104)/BQ104,0)</f>
        <v>#VALUE!</v>
      </c>
      <c r="CT104" s="1316" t="e">
        <f aca="false">IF(BS104,CO104,0)</f>
        <v>#VALUE!</v>
      </c>
      <c r="CU104" s="1590" t="e">
        <f aca="false">IF(OR(BQ104,BS104),VLOOKUP(A104,GasTable,14),"")</f>
        <v>#VALUE!</v>
      </c>
      <c r="CV104" s="1568" t="e">
        <f aca="false">IF(OR(BQ104,BS104),IF(CorrPowerGasOverFlag,INDEX(CorrPowerGasOver,C104),CorrPowerGas),"")</f>
        <v>#VALUE!</v>
      </c>
      <c r="CW104" s="1316" t="e">
        <f aca="false">IF(OR($BQ104,$BS104),SpreadOptPowerMargin,0)*((1+Assumptions!$C$26)^($B104-YEAR(Assumptions!$C$17)))</f>
        <v>#VALUE!</v>
      </c>
      <c r="CX104" s="1316" t="e">
        <f aca="false">IF(OR($BQ104,$BS104),SpreadOptPowerMargin,0)*((1+Assumptions!$C$26)^($B104-YEAR(Assumptions!$C$17)))</f>
        <v>#VALUE!</v>
      </c>
      <c r="CY104" s="1316" t="e">
        <f aca="false">IF(OR($BQ104,$BS104),SpreadOptPowerMargin,0)*((1+Assumptions!$C$26)^($B104-YEAR(Assumptions!$C$17)))</f>
        <v>#VALUE!</v>
      </c>
      <c r="CZ104" s="1316" t="e">
        <f aca="false">IF(OR($BQ104,$BS104),SpreadOptPowerMargin,0)*((1+Assumptions!$C$26)^($B104-YEAR(Assumptions!$C$17)))</f>
        <v>#VALUE!</v>
      </c>
      <c r="DA104" s="1591" t="e">
        <f aca="false">IF(OR(BQ104,BS104),(CW104*(AZ104+BH104)+CX104*(BA104+BI104)+CY104*(BB104+BJ104)+CZ104*(BC104+BK104))/(BQ104+BS104),0)</f>
        <v>#VALUE!</v>
      </c>
      <c r="DB104" s="1592" t="e">
        <f aca="false">IF(OR(BQ104,BS104),CG104+IF(OVolSmile,VLOOKUP(MAX(-5,CO104+CW104-BU104),IF(OVolSmile=1,VolSmileBook,VolSmileModel),2),0),"")</f>
        <v>#VALUE!</v>
      </c>
      <c r="DC104" s="1592" t="e">
        <f aca="false">IF(OR(BQ104,BS104),CH104+IF(OVolSmile,VLOOKUP(MAX(-5,CP104+CW104-BV104),IF(OVolSmile=1,VolSmileBook,VolSmileModel),2),0),"")</f>
        <v>#VALUE!</v>
      </c>
      <c r="DD104" s="1592" t="e">
        <f aca="false">IF(OR(BQ104,BS104),CI104+IF(OVolSmile,VLOOKUP(MAX(-5,CQ104+CW104-BW104),IF(OVolSmile=1,VolSmileBook,VolSmileModel),2),0),"")</f>
        <v>#VALUE!</v>
      </c>
      <c r="DE104" s="1592" t="e">
        <f aca="false">IF(OR(BQ104,BS104),CL104+IF(OVolSmile,VLOOKUP(MAX(-5,CR104+CZ104-BX104),IF(OVolSmile=1,VolSmileBook,VolSmileModel),2),0),"")</f>
        <v>#VALUE!</v>
      </c>
      <c r="DF104" s="1592" t="e">
        <f aca="false">IF(BQ104,CM104+IF(OVolSmile,VLOOKUP(MAX(-5,CS104+DA104-BZ104),IF(OVolSmile=1,VolSmileBook,VolSmileModel),2),0),"")</f>
        <v>#VALUE!</v>
      </c>
      <c r="DG104" s="1593" t="e">
        <f aca="false">IF(BS104,CN104+IF(OVolSmile,VLOOKUP(MAX(-5,CT104+DA104-CF104),IF(OVolSmile=1,VolSmileBook,VolSmileModel),2),0),"")</f>
        <v>#VALUE!</v>
      </c>
      <c r="DH104" s="1316" t="e">
        <f aca="false">IF(AND(BU104&gt;0,CO104&gt;0,DB104&gt;0,CU104&gt;0),newSPRDOPT(BU104,CO104,CW104,0,DB104,CU104,CV104,BT104*365.25,OCallPut,0),0)</f>
        <v>#VALUE!</v>
      </c>
      <c r="DI104" s="1316" t="e">
        <f aca="false">IF(AND(BV104&gt;0,CP104&gt;0,DC104&gt;0,CU104&gt;0),newSPRDOPT(BV104,CP104,CX104,0,DC104,CU104,CV104,BT104*365.25,OCallPut,0),0)</f>
        <v>#VALUE!</v>
      </c>
      <c r="DJ104" s="1316" t="e">
        <f aca="false">IF(AND(BW104&gt;0,CQ104&gt;0,DD104&gt;0,CU104&gt;0),newSPRDOPT(BW104,CQ104,CY104,0,DD104,CU104,CV104,BT104*365.25,OCallPut,0),0)</f>
        <v>#VALUE!</v>
      </c>
      <c r="DK104" s="1316" t="e">
        <f aca="false">IF(AND(BX104&gt;0,CR104&gt;0,DE104&gt;0,CU104&gt;0),newSPRDOPT(BX104,CR104,CZ104,0,DE104,CU104,CV104,BT104*365.25,OCallPut,0),0)</f>
        <v>#VALUE!</v>
      </c>
      <c r="DL104" s="1316" t="e">
        <f aca="false">IF(OVolType,IF(AND(BZ104&gt;0,CS104&gt;0,DF104&gt;0,CU104&gt;0),newSPRDOPT(BZ104,CS104,DA104,0,DF104,CU104,CV104,BT104*365.25,OCallPut,0),0),IF(BQ104,(DH104*AZ104+DI104*BA104+DJ104*BB104+DK104*BC104)/BQ104,0))</f>
        <v>#VALUE!</v>
      </c>
      <c r="DM104" s="1316"/>
      <c r="DN104" s="1316"/>
      <c r="DO104" s="1316"/>
      <c r="DP104" s="1316"/>
      <c r="DQ104" s="1316"/>
      <c r="DR104" s="1316"/>
      <c r="DS104" s="1316"/>
      <c r="DT104" s="1316"/>
      <c r="DU104" s="1316"/>
      <c r="DV104" s="1316"/>
      <c r="DW104" s="1594" t="e">
        <f aca="false">IF(AND(BW104&gt;0,CT104&gt;0,DD104&gt;0,CU104&gt;0),newSPRDOPT(BW104,CT104,CY104,0,DD104,CU104,CV104,BT104*365.25,OCallPut,0),0)</f>
        <v>#VALUE!</v>
      </c>
      <c r="DX104" s="1316" t="e">
        <f aca="false">IF(AND(BX104&gt;0,CT104&gt;0,DE104&gt;0,CU104&gt;0),newSPRDOPT(BX104,CT104,CZ104,0,DE104,CU104,CV104,BT104*365.25,OCallPut,0),0)</f>
        <v>#VALUE!</v>
      </c>
      <c r="DY104" s="1591" t="e">
        <f aca="false">IF(BS104,(DH104*BH104+DI104*BI104+DW104*BJ104+DX104*BK104)/BS104,0)</f>
        <v>#VALUE!</v>
      </c>
      <c r="DZ104" s="1551" t="e">
        <f aca="false">DH104*AZ104</f>
        <v>#VALUE!</v>
      </c>
      <c r="EA104" s="1551" t="e">
        <f aca="false">DI104*BA104</f>
        <v>#VALUE!</v>
      </c>
      <c r="EB104" s="1551" t="e">
        <f aca="false">DJ104*BB104</f>
        <v>#VALUE!</v>
      </c>
      <c r="EC104" s="1551" t="e">
        <f aca="false">DK104*BC104</f>
        <v>#VALUE!</v>
      </c>
      <c r="ED104" s="1551" t="e">
        <f aca="false">DL104*BQ104</f>
        <v>#VALUE!</v>
      </c>
      <c r="EE104" s="1595" t="e">
        <f aca="false">IF(BQ104,IF(OCallPut,IF(BU104&gt;(CO104+CW104),BU104-(CO104+CW104),0),IF((CO104+CW104)&gt;BU104,(CO104+CW104)-BU104,0))*AZ104,0)</f>
        <v>#VALUE!</v>
      </c>
      <c r="EF104" s="1596" t="e">
        <f aca="false">IF(BQ104,IF(OCallPut,IF(BV104&gt;(CP104+CX104),BV104-(CP104+CX104),0),IF((CP104+CX104)&gt;BV104,(CP104+CX104)-BV104,0))*BA104,0)</f>
        <v>#VALUE!</v>
      </c>
      <c r="EG104" s="1596" t="e">
        <f aca="false">IF(BQ104,IF(OCallPut,IF(BW104&gt;(CQ104+CY104),BW104-(CQ104+CY104),0),IF((CQ104+CY104)&gt;BW104,(CQ104+CY104)-BW104,0))*BB104,0)</f>
        <v>#VALUE!</v>
      </c>
      <c r="EH104" s="1596" t="e">
        <f aca="false">IF(BQ104,IF(OCallPut,IF(BX104&gt;(CR104+CZ104),BX104-(CR104+CZ104),0),IF((CR104+CZ104)&gt;BX104,(CR104+CZ104)-BX104,0))*BC104,0)</f>
        <v>#VALUE!</v>
      </c>
      <c r="EI104" s="1597" t="e">
        <f aca="false">IF(BQ104,IF(OVolType,IF(OCallPut,IF(BZ104&gt;(CS104+DA104),BZ104-(CS104+DA104),0),IF((CS104+DA104)&gt;BZ104,(CS104+DA104)-BZ104,0))*BQ104,SUM(EE104:EH104)),0)</f>
        <v>#VALUE!</v>
      </c>
      <c r="EJ104" s="1595" t="e">
        <f aca="false">DZ104-EE104</f>
        <v>#VALUE!</v>
      </c>
      <c r="EK104" s="1596" t="e">
        <f aca="false">EA104-EF104</f>
        <v>#VALUE!</v>
      </c>
      <c r="EL104" s="1596" t="e">
        <f aca="false">EB104-EG104</f>
        <v>#VALUE!</v>
      </c>
      <c r="EM104" s="1596" t="e">
        <f aca="false">EC104-EH104</f>
        <v>#VALUE!</v>
      </c>
      <c r="EN104" s="1597" t="e">
        <f aca="false">ED104-EI104</f>
        <v>#VALUE!</v>
      </c>
      <c r="EO104" s="1551" t="e">
        <f aca="false">DH104*BH104</f>
        <v>#VALUE!</v>
      </c>
      <c r="EP104" s="1551" t="e">
        <f aca="false">DI104*BI104</f>
        <v>#VALUE!</v>
      </c>
      <c r="EQ104" s="1551" t="e">
        <f aca="false">DW104*BJ104</f>
        <v>#VALUE!</v>
      </c>
      <c r="ER104" s="1551" t="e">
        <f aca="false">DX104*BK104</f>
        <v>#VALUE!</v>
      </c>
      <c r="ES104" s="1551" t="e">
        <f aca="false">DY104*BS104</f>
        <v>#VALUE!</v>
      </c>
      <c r="ET104" s="1566" t="e">
        <f aca="false">IF(EI104,IF(OCallPut,IF(CA104&gt;(CT104+CW104),CA104-(CT104+CW104),0),IF((CT104+CW104)&gt;CA104,(CT104+CW104)-CA104,0))*BH104,0)</f>
        <v>#VALUE!</v>
      </c>
      <c r="EU104" s="1551" t="e">
        <f aca="false">IF(EI104,IF(OCallPut,IF(CB104&gt;(CT104+CX104),CB104-(CT104+CX104),0),IF((CT104+CX104)&gt;CB104,(CT104+CX104)-CB104,0))*BI104,0)</f>
        <v>#VALUE!</v>
      </c>
      <c r="EV104" s="1551" t="e">
        <f aca="false">IF(EI104,IF(OCallPut,IF(CC104&gt;(CT104+CY104),CC104-(CT104+CY104),0),IF((CT104+CY104)&gt;CC104,(CT104+CY104)-CC104,0))*BJ104,0)</f>
        <v>#VALUE!</v>
      </c>
      <c r="EW104" s="1551" t="e">
        <f aca="false">IF(EI104,IF(OCallPut,IF(CD104&gt;(CT104+CZ104),CD104-(CT104+CZ104),0),IF((CT104+CZ104)&gt;CD104,(CT104+CZ104)-CD104,0))*BK104,0)</f>
        <v>#VALUE!</v>
      </c>
      <c r="EX104" s="1558" t="e">
        <f aca="false">IF(EI104,SUM(ET104:EW104),0)</f>
        <v>#VALUE!</v>
      </c>
      <c r="EY104" s="1551" t="e">
        <f aca="false">EO104-ET104</f>
        <v>#VALUE!</v>
      </c>
      <c r="EZ104" s="1551" t="e">
        <f aca="false">EP104-EU104</f>
        <v>#VALUE!</v>
      </c>
      <c r="FA104" s="1551" t="e">
        <f aca="false">EQ104-EV104</f>
        <v>#VALUE!</v>
      </c>
      <c r="FB104" s="1551" t="e">
        <f aca="false">ER104-EW104</f>
        <v>#VALUE!</v>
      </c>
      <c r="FC104" s="1551" t="e">
        <f aca="false">ES104-EX104</f>
        <v>#VALUE!</v>
      </c>
      <c r="FD104" s="1525" t="n">
        <f aca="false">IF(AX104,IF(VLOOKUP(C104,MAIN!$L$17:$M$28,2)="Yes",VLOOKUP(CALC!B104,MAIN!$H$17:$I$20,2),0),0)</f>
        <v>0</v>
      </c>
      <c r="FE104" s="1552" t="e">
        <f aca="false">$FD104*16*AT104*(1-$AY104)</f>
        <v>#VALUE!</v>
      </c>
      <c r="FF104" s="1553" t="e">
        <f aca="false">$FD104*16*AU104*(1-$AY104)</f>
        <v>#VALUE!</v>
      </c>
      <c r="FG104" s="1553" t="e">
        <f aca="false">$FD104*16*(AV104+AW104)*(1-$AY104)</f>
        <v>#VALUE!</v>
      </c>
      <c r="FH104" s="1554" t="n">
        <f aca="false">$FD104*8*AX104*(1-$AY104)</f>
        <v>0</v>
      </c>
      <c r="FI104" s="1555" t="n">
        <f aca="false">IF(AX104,VLOOKUP(CALC!B104,MAIN!$H$17:$K$20,4),0)</f>
        <v>0</v>
      </c>
      <c r="FJ104" s="1553" t="e">
        <f aca="false">SUM(FE104:FH104)</f>
        <v>#VALUE!</v>
      </c>
      <c r="FK104" s="1556" t="e">
        <f aca="false">FI104*FJ104</f>
        <v>#VALUE!</v>
      </c>
      <c r="FL104" s="1551" t="e">
        <f aca="false">IF($EI104&gt;0,MIN(FE104,AZ104*(1+VLOOKUP($C104,WeatherCapacityAdjustment,2))),0)</f>
        <v>#VALUE!</v>
      </c>
      <c r="FM104" s="1551" t="e">
        <f aca="false">IF($EI104&gt;0,MIN(FF104,BA104*(1+VLOOKUP($C104,WeatherCapacityAdjustment,2))),0)</f>
        <v>#VALUE!</v>
      </c>
      <c r="FN104" s="1551" t="e">
        <f aca="false">IF($EI104&gt;0,MIN(FG104,BB104*(1+VLOOKUP($C104,WeatherCapacityAdjustment,2))),0)</f>
        <v>#VALUE!</v>
      </c>
      <c r="FO104" s="1564" t="e">
        <f aca="false">IF($EI104&gt;0,MIN(FH104,BC104*(1+VLOOKUP($C104,WeatherCapacityAdjustment,3))),0)</f>
        <v>#VALUE!</v>
      </c>
      <c r="FP104" s="1551" t="e">
        <f aca="false">IF(ET104&gt;0,MIN(FE104-FL104,BH104*(1+VLOOKUP($C104,WeatherCapacityAdjustment,2))),0)</f>
        <v>#VALUE!</v>
      </c>
      <c r="FQ104" s="1551" t="e">
        <f aca="false">IF(EU104&gt;0,MIN(FF104-FM104,BI104*(1+VLOOKUP($C104,WeatherCapacityAdjustment,2))),0)</f>
        <v>#VALUE!</v>
      </c>
      <c r="FR104" s="1551" t="e">
        <f aca="false">IF(EV104&gt;0,MIN(FG104-FN104,BJ104*(1+VLOOKUP($C104,WeatherCapacityAdjustment,2))),0)</f>
        <v>#VALUE!</v>
      </c>
      <c r="FS104" s="1558" t="e">
        <f aca="false">IF(EW104&gt;0,MIN(FH104-FO104,BK104*(1+VLOOKUP($C104,WeatherCapacityAdjustment,3))),0)</f>
        <v>#VALUE!</v>
      </c>
      <c r="FT104" s="1566" t="e">
        <f aca="false">IF(AND(Assumptions!$H$71="Yes",A104&gt;=Assumptions!$H$72,A104&lt;=Assumptions!$H$73),0,IF(AND($A104&gt;=Assumptions!$C$17,$A104&lt;=Assumptions!$C$18),MAX(AZ104*(1+VLOOKUP($C104,WeatherCapacityAdjustment,2))-FL104,0),0))</f>
        <v>#VALUE!</v>
      </c>
      <c r="FU104" s="1551" t="e">
        <f aca="false">IF(AND(Assumptions!$H$71="Yes",A104&gt;=Assumptions!$H$72,A104&lt;=Assumptions!$H$73),0,IF(AND($A104&gt;=Assumptions!$C$17,$A104&lt;=Assumptions!$C$18),MAX(BA104*(1+VLOOKUP($C104,WeatherCapacityAdjustment,2))-FM104,0),0))</f>
        <v>#VALUE!</v>
      </c>
      <c r="FV104" s="1551" t="e">
        <f aca="false">IF(AND(Assumptions!$H$71="Yes",A104&gt;=Assumptions!$H$72,A104&lt;=Assumptions!$H$73),0,IF(AND($A104&gt;=Assumptions!$C$17,$A104&lt;=Assumptions!$C$18),MAX(BB104*(1+VLOOKUP($C104,WeatherCapacityAdjustment,2))-FN104,0),0))</f>
        <v>#VALUE!</v>
      </c>
      <c r="FW104" s="1564" t="e">
        <f aca="false">IF(AND(Assumptions!$H$71="Yes",A104&gt;=Assumptions!$H$72,A104&lt;=Assumptions!$H$73),0,IF(AND($A104&gt;=Assumptions!$C$17,$A104&lt;=Assumptions!$C$18),MAX(BC104*(1+VLOOKUP($C104,WeatherCapacityAdjustment,3))-FO104,0),0))</f>
        <v>#VALUE!</v>
      </c>
      <c r="FX104" s="1569" t="e">
        <f aca="false">IF(AND(Assumptions!$H$71="Yes",A104&gt;=Assumptions!$H$72,A104&lt;=Assumptions!$H$73),0,IF(ET104&gt;0,MAX(BH104*(1+VLOOKUP($C104,WeatherCapacityAdjustment,2))-FP104,0),0))</f>
        <v>#VALUE!</v>
      </c>
      <c r="FY104" s="1551" t="e">
        <f aca="false">IF(AND(Assumptions!$H$71="Yes",A104&gt;=Assumptions!$H$72,A104&lt;=Assumptions!$H$73),0,IF(EU104&gt;0,MAX(BI104*(1+VLOOKUP($C104,WeatherCapacityAdjustment,3))-FQ104,0),0))</f>
        <v>#VALUE!</v>
      </c>
      <c r="FZ104" s="1551" t="e">
        <f aca="false">IF(AND(Assumptions!$H$71="Yes",A104&gt;=Assumptions!$H$72,A104&lt;=Assumptions!$H$73),0,IF(EV104&gt;0,MAX(BJ104*(1+VLOOKUP($C104,WeatherCapacityAdjustment,2))-FR104,0),0))</f>
        <v>#VALUE!</v>
      </c>
      <c r="GA104" s="1564" t="e">
        <f aca="false">IF(AND(Assumptions!$H$71="Yes",A104&gt;=Assumptions!$H$72,A104&lt;=Assumptions!$H$73),0,IF(EW104&gt;0,MAX(BK104*(1+VLOOKUP($C104,WeatherCapacityAdjustment,2))-FS104,0),0))</f>
        <v>#VALUE!</v>
      </c>
      <c r="GB104" s="1551" t="e">
        <f aca="false">SUM(FT104:GA104)</f>
        <v>#VALUE!</v>
      </c>
      <c r="GC104" s="1563" t="e">
        <f aca="false">+IF(SUM(FT104:GA104)=0,0,(SUMPRODUCT(BU104:BX104,FT104:FW104)+SUMPRODUCT(CA104:CD104,FX104:GA104))/SUM(FT104:GA104))</f>
        <v>#VALUE!</v>
      </c>
      <c r="GD104" s="1551" t="e">
        <f aca="false">(FT104*BU104+FX104*CA104+FU104*BV104+FY104*CB104+FV104*BW104+FZ104*CC104+FW104*BX104+GA104*CD104)</f>
        <v>#VALUE!</v>
      </c>
      <c r="GE104" s="1561" t="e">
        <f aca="false">+IF(BQ104,((FL104+FM104+FT104+FU104)*HeatRatePeak/1000*(1+VLOOKUP($C104,WeatherHeatRateAdjustment,2))+(FN104+FV104)*IF(EV104&gt;0,HeatRatePeak,HeatRateOffPeak)/1000*(1+VLOOKUP($C104,WeatherHeatRateAdjustment,2))+(FO104+FW104)*IF(EW104&gt;0,HeatRatePeak,HeatRateOffPeak)/1000*(1+VLOOKUP($C104,WeatherHeatRateAdjustment,3)))*(1+VLOOKUP($B104,HeatRateDegradation,$C104+1)),0)</f>
        <v>#VALUE!</v>
      </c>
      <c r="GF104" s="1562" t="e">
        <f aca="false">IF(BQ104,((FP104+FQ104+FR104+FX104+FY104+FZ104)*HeatRatePeak/1000*(1+VLOOKUP($C104,WeatherHeatRateAdjustment,2))+(FS104+GA104)*HeatRatePeak/1000*(1+VLOOKUP($C104,WeatherHeatRateAdjustment,3)))*(1+VLOOKUP($B104,HeatRateDegradation,$C104+1)),0)</f>
        <v>#VALUE!</v>
      </c>
      <c r="GG104" s="1563" t="e">
        <f aca="false">IF(BQ104,VLOOKUP(A104,GasTable,13),0)</f>
        <v>#VALUE!</v>
      </c>
      <c r="GH104" s="1564" t="e">
        <f aca="false">(GE104+GF104)*GG104</f>
        <v>#VALUE!</v>
      </c>
      <c r="GI104" s="1569" t="e">
        <f aca="false">GB104</f>
        <v>#VALUE!</v>
      </c>
      <c r="GJ104" s="1598" t="e">
        <f aca="false">+DA104</f>
        <v>#VALUE!</v>
      </c>
      <c r="GK104" s="1558" t="e">
        <f aca="false">+GI104*GJ104</f>
        <v>#VALUE!</v>
      </c>
      <c r="GL104" s="1566" t="e">
        <f aca="false">MAX(FE104-FL104-FP104,0)</f>
        <v>#VALUE!</v>
      </c>
      <c r="GM104" s="1551" t="e">
        <f aca="false">MAX(FF104-FM104-FQ104,0)</f>
        <v>#VALUE!</v>
      </c>
      <c r="GN104" s="1551" t="e">
        <f aca="false">MAX(FG104-FN104-FR104,0)</f>
        <v>#VALUE!</v>
      </c>
      <c r="GO104" s="1564" t="e">
        <f aca="false">MAX(FH104-FO104-FS104,0)</f>
        <v>#VALUE!</v>
      </c>
      <c r="GP104" s="1551" t="e">
        <f aca="false">SUM(GL104:GO104)</f>
        <v>#VALUE!</v>
      </c>
      <c r="GQ104" s="1563" t="e">
        <f aca="false">IF(SUM(GL104:GO104)=0,0,((GL104*BU104+GM104*BV104+GN104*BW104+GO104*BX104)/SUM(GL104:GO104)))</f>
        <v>#VALUE!</v>
      </c>
      <c r="GR104" s="1558" t="e">
        <f aca="false">(GL104*BU104+GM104*BV104+GN104*BW104+GO104*BX104)</f>
        <v>#VALUE!</v>
      </c>
      <c r="GS104" s="1566" t="n">
        <f aca="false">IF($A104&gt;=BegDate,Assumptions!$C$56*24*($A105-$A104)*(1-VLOOKUP($B104,MAIN!$AA$7:$AM$28,$C104+1))*(1-VLOOKUP($B104,MAIN!$AA$33:$AM$54,$C104+1)),0)*80/168</f>
        <v>257742.857142857</v>
      </c>
      <c r="GT104" s="286" t="n">
        <f aca="false">J104</f>
        <v>107.502964526827</v>
      </c>
      <c r="GU104" s="286" t="n">
        <f aca="false">IF($A104&gt;=BegDate,VLOOKUP($A104,GasTable,13)+Assumptions!$C$58,0)</f>
        <v>2.6785067359496</v>
      </c>
      <c r="GV104" s="286" t="n">
        <f aca="false">GU104*Assumptions!$C$57/1000</f>
        <v>19.4191738356346</v>
      </c>
      <c r="GW104" s="1558" t="n">
        <f aca="false">IF(Assumptions!$C$60="Hourly",MAX(0,GS104*(GT104-GV104)),GS104*(GT104-GV104))</f>
        <v>22702967.8807214</v>
      </c>
      <c r="GX104" s="1566" t="n">
        <f aca="false">IF($A104&gt;=BegDate,Assumptions!$C$56*24*($A105-$A104)*(1-VLOOKUP($B104,MAIN!$AA$7:$AM$28,$C104+1))*(1-VLOOKUP($B104,MAIN!$AA$33:$AM$54,$C104+1)),0)*16/168</f>
        <v>51548.5714285714</v>
      </c>
      <c r="GY104" s="286" t="n">
        <f aca="false">M104</f>
        <v>107.502964526827</v>
      </c>
      <c r="GZ104" s="286" t="n">
        <f aca="false">IF($A104&gt;=BegDate,VLOOKUP($A104,GasTable,13)+Assumptions!$C$58,0)</f>
        <v>2.6785067359496</v>
      </c>
      <c r="HA104" s="286" t="n">
        <f aca="false">GZ104*Assumptions!$C$57/1000</f>
        <v>19.4191738356346</v>
      </c>
      <c r="HB104" s="1558" t="n">
        <f aca="false">IF(Assumptions!$C$60="Hourly",MAX(0,GX104*(GY104-HA104)),GX104*(GY104-HA104))</f>
        <v>4540593.57614428</v>
      </c>
      <c r="HC104" s="1566" t="n">
        <f aca="false">IF($A104&gt;=BegDate,Assumptions!$C$56*24*($A105-$A104)*(1-VLOOKUP($B104,MAIN!$AA$7:$AM$28,$C104+1))*(1-VLOOKUP($B104,MAIN!$AA$33:$AM$54,$C104+1)),0)*16/168</f>
        <v>51548.5714285714</v>
      </c>
      <c r="HD104" s="286" t="n">
        <f aca="false">P104</f>
        <v>31.0937723375984</v>
      </c>
      <c r="HE104" s="286" t="n">
        <f aca="false">IF($A104&gt;=BegDate,VLOOKUP($A104,GasTable,13)+Assumptions!$C$58,0)</f>
        <v>2.6785067359496</v>
      </c>
      <c r="HF104" s="286" t="n">
        <f aca="false">HE104*Assumptions!$C$57/1000</f>
        <v>19.4191738356346</v>
      </c>
      <c r="HG104" s="1558" t="n">
        <f aca="false">IF(Assumptions!$C$60="Hourly",MAX(0,HC104*(HD104-HF104)),HC104*(HD104-HF104))</f>
        <v>601808.874778371</v>
      </c>
      <c r="HH104" s="1566" t="n">
        <f aca="false">IF($A104&gt;=BegDate,Assumptions!$C$56*24*($A105-$A104)*(1-VLOOKUP($B104,MAIN!$AA$7:$AM$28,$C104+1))*(1-VLOOKUP($B104,MAIN!$AA$33:$AM$54,$C104+1)),0)*56/168</f>
        <v>180420</v>
      </c>
      <c r="HI104" s="286" t="n">
        <f aca="false">S104</f>
        <v>31.0937723375984</v>
      </c>
      <c r="HJ104" s="286" t="n">
        <f aca="false">IF($A104&gt;=BegDate,VLOOKUP($A104,GasTable,13)+Assumptions!$C$58,0)</f>
        <v>2.6785067359496</v>
      </c>
      <c r="HK104" s="286" t="n">
        <f aca="false">HJ104*Assumptions!$C$57/1000</f>
        <v>19.4191738356346</v>
      </c>
      <c r="HL104" s="1558" t="n">
        <f aca="false">IF(Assumptions!$C$60="Hourly",MAX(0,HH104*(HI104-HK104)),HH104*(HI104-HK104))</f>
        <v>2106331.0617243</v>
      </c>
      <c r="HM104" s="1566" t="n">
        <f aca="false">IF(AND(Assumptions!$H$71="Yes",A104&gt;=Assumptions!$H$72,A104&lt;=Assumptions!$H$73),Assumptions!$H$74*Assumptions!$C$9*1000,0)</f>
        <v>0</v>
      </c>
      <c r="HN104" s="1551"/>
      <c r="HO104" s="1563"/>
      <c r="HP104" s="1563"/>
      <c r="HQ104" s="1563"/>
      <c r="HR104" s="1563"/>
      <c r="HS104" s="1563"/>
      <c r="HT104" s="1563"/>
      <c r="HU104" s="1563"/>
      <c r="HV104" s="1563"/>
      <c r="HW104" s="1563"/>
      <c r="HX104" s="1563"/>
      <c r="HY104" s="1563"/>
      <c r="HZ104" s="1563"/>
      <c r="IA104" s="1563"/>
      <c r="IB104" s="1563"/>
      <c r="IC104" s="1563"/>
      <c r="ID104" s="1563"/>
      <c r="IE104" s="1563"/>
      <c r="IF104" s="1563"/>
      <c r="IG104" s="1563"/>
      <c r="IH104" s="1563"/>
      <c r="II104" s="1610"/>
      <c r="IJ104" s="1309"/>
      <c r="IK104" s="1309"/>
    </row>
    <row r="105" customFormat="false" ht="12.75" hidden="false" customHeight="false" outlineLevel="0" collapsed="false">
      <c r="A105" s="1571" t="n">
        <f aca="false">EOMONTH(A104,0)+1</f>
        <v>39326</v>
      </c>
      <c r="B105" s="594" t="n">
        <f aca="false">+YEAR(A105)</f>
        <v>2007</v>
      </c>
      <c r="C105" s="238" t="n">
        <f aca="false">MONTH(A105)</f>
        <v>9</v>
      </c>
      <c r="D105" s="1572" t="e">
        <f aca="false">IF(E105="","",Holiday(B105,C105))</f>
        <v>#VALUE!</v>
      </c>
      <c r="E105" s="1573" t="n">
        <f aca="false">IF(OR(BegDate&gt;=A106,EndDate&lt;A105,AND(VolumeMonthlyOverFlag,INDEX(VolumeMonthlyOver,C105)=0),NOT(INDEX(MonthKnockOutTable,C105))),"",MAX(A105,BegDate))</f>
        <v>39326</v>
      </c>
      <c r="F105" s="1574" t="n">
        <f aca="false">IF(E105="","",MIN(A106-1,EndDate))</f>
        <v>39355</v>
      </c>
      <c r="G105" s="1575" t="n">
        <v>0</v>
      </c>
      <c r="H105" s="1576" t="n">
        <f aca="false">(1+G105/2)^(-2*(DATE(B106,C106,20)-DateToday)/365.25)</f>
        <v>1</v>
      </c>
      <c r="I105" s="1568" t="n">
        <f aca="false">IF(Assumptions!$L$25=4,VLOOKUP($A105,'Henwood Reference'!$E$9:$R$320,10),(VLOOKUP($A105,PriceTable,2,0)+IF(BasisNumber&lt;&gt;1,VLOOKUP($A105,BasisTable,2,0),0)+I$1)/(1-I$2))</f>
        <v>70.3731936114323</v>
      </c>
      <c r="J105" s="1568" t="n">
        <f aca="false">IF(Assumptions!$L$25=4,VLOOKUP($A105,'Henwood Reference'!$E$9:$R$320,10),(VLOOKUP($A105,PriceTable,3,0)+IF(BasisNumber&lt;&gt;1,VLOOKUP($A105,BasisTable,2,0),0)+J$1)/(1-J$2))</f>
        <v>70.3731936114323</v>
      </c>
      <c r="K105" s="1568" t="n">
        <f aca="false">IF(Assumptions!$L$25=4,VLOOKUP($A105,'Henwood Reference'!$E$9:$R$320,10),(VLOOKUP($A105,PriceTable,4,0)+IF(BasisNumber&lt;&gt;1,VLOOKUP($A105,BasisTable,2,0),0)+K$1)/(1-K$2))</f>
        <v>70.3731936114323</v>
      </c>
      <c r="L105" s="1523" t="n">
        <f aca="false">IF(Assumptions!$L$25=4,VLOOKUP($A105,'Henwood Reference'!$E$9:$R$320,10),(VLOOKUP($A105,PriceTableWeekend,2,0)+IF(BasisNumber&lt;&gt;1,VLOOKUP($A105,BasisTable,2,0),0)+L$1)/(1-L$2))</f>
        <v>70.3731936114323</v>
      </c>
      <c r="M105" s="1568" t="n">
        <f aca="false">IF(Assumptions!$L$25=4,VLOOKUP($A105,'Henwood Reference'!$E$9:$R$320,10),(VLOOKUP($A105,PriceTableWeekend,3,0)+IF(BasisNumber&lt;&gt;1,VLOOKUP($A105,BasisTable,2,0),0)+M$1)/(1-M$2))</f>
        <v>70.3731936114323</v>
      </c>
      <c r="N105" s="1599" t="n">
        <f aca="false">IF(Assumptions!$L$25=4,VLOOKUP($A105,'Henwood Reference'!$E$9:$R$320,10),(VLOOKUP($A105,PriceTableWeekend,4,0)+IF(BasisNumber&lt;&gt;1,VLOOKUP($A105,BasisTable,2,0),0)+N$1)/(1-N$2))</f>
        <v>70.3731936114323</v>
      </c>
      <c r="O105" s="1568" t="n">
        <f aca="false">IF(Assumptions!$L$25=4,VLOOKUP($A105,'Henwood Reference'!$E$9:$R$320,11),(VLOOKUP($A105,PriceTableWeekend,6,0)+IF(BasisNumber&lt;&gt;1,VLOOKUP($A105,BasisTable,3,0),0)+O$1)/(1-O$2))</f>
        <v>28.9112695690647</v>
      </c>
      <c r="P105" s="1568" t="n">
        <f aca="false">IF(Assumptions!$L$25=4,VLOOKUP($A105,'Henwood Reference'!$E$9:$R$320,11),(VLOOKUP($A105,PriceTableWeekend,7,0)+IF(BasisNumber&lt;&gt;1,VLOOKUP($A105,BasisTable,3,0),0)+P$1)/(1-P$2))</f>
        <v>28.9112695690647</v>
      </c>
      <c r="Q105" s="1599" t="n">
        <f aca="false">IF(Assumptions!$L$25=4,VLOOKUP($A105,'Henwood Reference'!$E$9:$R$320,11),(VLOOKUP($A105,PriceTableWeekend,8,0)+IF(BasisNumber&lt;&gt;1,VLOOKUP($A105,BasisTable,3,0),0)+Q$1)/(1-Q$2))</f>
        <v>28.9112695690647</v>
      </c>
      <c r="R105" s="1568" t="n">
        <f aca="false">IF(Assumptions!$L$25=4,VLOOKUP($A105,'Henwood Reference'!$E$9:$R$320,11),(VLOOKUP($A105,PriceTable,6,0)+IF(BasisNumber&lt;&gt;1,VLOOKUP($A105,BasisTable,3,0),0)+R$1)/(1-R$2))</f>
        <v>28.9112695690647</v>
      </c>
      <c r="S105" s="1568" t="n">
        <f aca="false">IF(Assumptions!$L$25=4,VLOOKUP($A105,'Henwood Reference'!$E$9:$R$320,11),(VLOOKUP($A105,PriceTable,7,0)+IF(BasisNumber&lt;&gt;1,VLOOKUP($A105,BasisTable,3,0),0)+S$1)/(1-S$2))</f>
        <v>28.9112695690647</v>
      </c>
      <c r="T105" s="1600" t="n">
        <f aca="false">IF(Assumptions!$L$25=4,VLOOKUP($A105,'Henwood Reference'!$E$9:$R$320,11),(VLOOKUP($A105,PriceTable,8,0)+IF(BasisNumber&lt;&gt;1,VLOOKUP($A105,BasisTable,3,0),0)+T$1)/(1-T$2))</f>
        <v>28.9112695690647</v>
      </c>
      <c r="U105" s="1513" t="n">
        <f aca="false">VLOOKUP($A105,VolatilityTable,14)</f>
        <v>0.135</v>
      </c>
      <c r="V105" s="1513" t="n">
        <f aca="false">VLOOKUP($A105,VolatilityTable,15)</f>
        <v>0.145</v>
      </c>
      <c r="W105" s="1514" t="n">
        <f aca="false">VLOOKUP($A105,VolatilityTable,16)</f>
        <v>0.155</v>
      </c>
      <c r="X105" s="1513" t="n">
        <f aca="false">VLOOKUP($A105,VolatilityTable,14)</f>
        <v>0.135</v>
      </c>
      <c r="Y105" s="1513" t="n">
        <f aca="false">VLOOKUP($A105,VolatilityTable,15)</f>
        <v>0.145</v>
      </c>
      <c r="Z105" s="1514" t="n">
        <f aca="false">VLOOKUP($A105,VolatilityTable,16)</f>
        <v>0.155</v>
      </c>
      <c r="AA105" s="1513" t="n">
        <f aca="false">VLOOKUP($A105,VolatilityTable,18)</f>
        <v>0.09</v>
      </c>
      <c r="AB105" s="1513" t="n">
        <f aca="false">VLOOKUP($A105,VolatilityTable,19)</f>
        <v>0.11</v>
      </c>
      <c r="AC105" s="1514" t="n">
        <f aca="false">VLOOKUP($A105,VolatilityTable,20)</f>
        <v>0.13</v>
      </c>
      <c r="AD105" s="1513" t="n">
        <f aca="false">VLOOKUP($A105,VolatilityTable,18)</f>
        <v>0.09</v>
      </c>
      <c r="AE105" s="1513" t="n">
        <f aca="false">VLOOKUP($A105,VolatilityTable,19)</f>
        <v>0.11</v>
      </c>
      <c r="AF105" s="1514" t="n">
        <f aca="false">VLOOKUP($A105,VolatilityTable,20)</f>
        <v>0.13</v>
      </c>
      <c r="AG105" s="1513" t="n">
        <f aca="false">VLOOKUP($A105,VolatilityTable,22)</f>
        <v>-0.35</v>
      </c>
      <c r="AH105" s="1513" t="n">
        <f aca="false">VLOOKUP($A105,VolatilityTable,23)</f>
        <v>3</v>
      </c>
      <c r="AI105" s="1514" t="n">
        <f aca="false">VLOOKUP($A105,VolatilityTable,24)</f>
        <v>0.2</v>
      </c>
      <c r="AJ105" s="1513" t="n">
        <f aca="false">VLOOKUP($A105,VolatilityTable,22)</f>
        <v>-0.35</v>
      </c>
      <c r="AK105" s="1513" t="n">
        <f aca="false">VLOOKUP($A105,VolatilityTable,23)</f>
        <v>3</v>
      </c>
      <c r="AL105" s="1514" t="n">
        <f aca="false">VLOOKUP($A105,VolatilityTable,24)</f>
        <v>0.2</v>
      </c>
      <c r="AM105" s="1513" t="n">
        <f aca="false">VLOOKUP($A105,VolatilityTable,26)</f>
        <v>-0.01</v>
      </c>
      <c r="AN105" s="1513" t="n">
        <f aca="false">VLOOKUP($A105,VolatilityTable,27)</f>
        <v>0.16</v>
      </c>
      <c r="AO105" s="1514" t="n">
        <f aca="false">VLOOKUP($A105,VolatilityTable,28)</f>
        <v>0.01</v>
      </c>
      <c r="AP105" s="1513" t="n">
        <f aca="false">VLOOKUP($A105,VolatilityTable,26)</f>
        <v>-0.01</v>
      </c>
      <c r="AQ105" s="1513" t="n">
        <f aca="false">VLOOKUP($A105,VolatilityTable,27)</f>
        <v>0.16</v>
      </c>
      <c r="AR105" s="1515" t="n">
        <f aca="false">VLOOKUP($A105,VolatilityTable,28)</f>
        <v>0.01</v>
      </c>
      <c r="AS105" s="1581" t="n">
        <f aca="false">IF(CorrPeakOffPeakOverFlag,INDEX(CorrPeakOffPeakOver,C105),CorrPeakOffPeak)</f>
        <v>0.5</v>
      </c>
      <c r="AT105" s="594" t="e">
        <f aca="false">AX105-SUM(AU105:AW105)</f>
        <v>#VALUE!</v>
      </c>
      <c r="AU105" s="238" t="e">
        <f aca="false">IF(E105="",0,INT((F105-MOD(F105,7)-E105)/7)+1-IF(AW105,IF(WEEKDAY(D105)=7,1,0),0))</f>
        <v>#VALUE!</v>
      </c>
      <c r="AV105" s="238" t="e">
        <f aca="false">IF(E105="",0,INT((F105-MOD(F105-1,7)-E105)/7)+1-IF(AW105,IF(WEEKDAY(D105)=1,1,0),0))</f>
        <v>#VALUE!</v>
      </c>
      <c r="AW105" s="238" t="e">
        <f aca="false">IF(OR(E105="",D105="",D105&lt;BegDate,D105&gt;EndDate),0,1)</f>
        <v>#VALUE!</v>
      </c>
      <c r="AX105" s="238" t="n">
        <f aca="false">IF(E105="",0,F105-E105+1)</f>
        <v>30</v>
      </c>
      <c r="AY105" s="1582" t="n">
        <f aca="false">IF(E105="",0,MIN((1-(1-VLOOKUP(B105,MAIN!$AA$7:$AM$28,C105+1))*(1-VLOOKUP(B105,MAIN!$AA$33:$AM$54,C105+1))),1))</f>
        <v>0.03</v>
      </c>
      <c r="AZ105" s="1519" t="e">
        <v>#VALUE!</v>
      </c>
      <c r="BA105" s="1520" t="e">
        <v>#VALUE!</v>
      </c>
      <c r="BB105" s="1520" t="e">
        <v>#VALUE!</v>
      </c>
      <c r="BC105" s="1583" t="e">
        <v>#VALUE!</v>
      </c>
      <c r="BD105" s="1522" t="e">
        <v>#VALUE!</v>
      </c>
      <c r="BE105" s="1523" t="e">
        <v>#VALUE!</v>
      </c>
      <c r="BF105" s="1523" t="e">
        <v>#VALUE!</v>
      </c>
      <c r="BG105" s="1584" t="e">
        <v>#VALUE!</v>
      </c>
      <c r="BH105" s="1525" t="e">
        <v>#VALUE!</v>
      </c>
      <c r="BI105" s="1520" t="e">
        <v>#VALUE!</v>
      </c>
      <c r="BJ105" s="1520" t="e">
        <v>#VALUE!</v>
      </c>
      <c r="BK105" s="1583" t="e">
        <v>#VALUE!</v>
      </c>
      <c r="BL105" s="1522" t="e">
        <v>#VALUE!</v>
      </c>
      <c r="BM105" s="1523" t="e">
        <v>#VALUE!</v>
      </c>
      <c r="BN105" s="1523" t="e">
        <v>#VALUE!</v>
      </c>
      <c r="BO105" s="1523" t="e">
        <v>#VALUE!</v>
      </c>
      <c r="BP105" s="1525" t="e">
        <f aca="false">SUM(AZ105:BB105)</f>
        <v>#VALUE!</v>
      </c>
      <c r="BQ105" s="1529" t="e">
        <f aca="false">SUM(AZ105:BC105)</f>
        <v>#VALUE!</v>
      </c>
      <c r="BR105" s="1519" t="e">
        <f aca="false">SUM(BH105:BJ105)</f>
        <v>#VALUE!</v>
      </c>
      <c r="BS105" s="1529" t="e">
        <f aca="false">SUM(BH105:BK105)</f>
        <v>#VALUE!</v>
      </c>
      <c r="BT105" s="1316" t="n">
        <f aca="false">(IF(OVolType&lt;&gt;2,A105+14,IF(OptExpDateShift,ShiftBack(A105,OptExpDateShift,D104),A105))-DateToday)/365.25</f>
        <v>7.38124572210815</v>
      </c>
      <c r="BU105" s="1585" t="e">
        <f aca="false">IF(BQ105,IF(OPriceCurve,IF(OBuySell=OCallPut,I105/(1-AY105),K105/(1-AY105)),J105/(1-AY105))*BD105,0)</f>
        <v>#VALUE!</v>
      </c>
      <c r="BV105" s="1316" t="e">
        <f aca="false">IF(BQ105,IF(OPriceCurve,IF(OBuySell=OCallPut,L105/(1-AY105),N105/(1-AY105)),M105/(1-AY105))*BE105,0)</f>
        <v>#VALUE!</v>
      </c>
      <c r="BW105" s="1316" t="e">
        <f aca="false">IF(BQ105,IF(OPriceCurve,IF(OBuySell=OCallPut,O105/(1-AY105),Q105/(1-AY105)),P105/(1-AY105))*BF105,0)</f>
        <v>#VALUE!</v>
      </c>
      <c r="BX105" s="1316" t="e">
        <f aca="false">IF(BQ105,IF(OPriceCurve,IF(OBuySell=OCallPut,R105/(1-AY105),T105/(1-AY105)),S105/(1-AY105))*BG105,0)</f>
        <v>#VALUE!</v>
      </c>
      <c r="BY105" s="1316" t="e">
        <f aca="false">IF(BP105,(BU105*AZ105+BV105*BA105+BW105*BB105)/BP105,0)</f>
        <v>#VALUE!</v>
      </c>
      <c r="BZ105" s="1316" t="e">
        <f aca="false">IF(BQ105,(BY105*BP105+BX105*BC105)/BQ105,0)</f>
        <v>#VALUE!</v>
      </c>
      <c r="CA105" s="1531" t="e">
        <f aca="false">IF(BS105,IF(OPriceCurve,IF(OBuySell=OCallPut,I105/(1-AY105),K105/(1-AY105)),J105/(1-AY105))*BL105,0)</f>
        <v>#VALUE!</v>
      </c>
      <c r="CB105" s="1316" t="e">
        <f aca="false">IF(BS105,IF(OPriceCurve,IF(OBuySell=OCallPut,L105/(1-AY105),N105/(1-AY105)),M105/(1-AY105))*BM105,0)</f>
        <v>#VALUE!</v>
      </c>
      <c r="CC105" s="1316" t="e">
        <f aca="false">IF(BS105,IF(OPriceCurve,IF(OBuySell=OCallPut,O105/(1-AY105),Q105/(1-AY105)),P105/(1-AY105))*BN105,0)</f>
        <v>#VALUE!</v>
      </c>
      <c r="CD105" s="1316" t="e">
        <f aca="false">IF(BS105,IF(OPriceCurve,IF(OBuySell=OCallPut,R105/(1-AY105),T105/(1-AY105)),S105/(1-AY105))*BO105,0)</f>
        <v>#VALUE!</v>
      </c>
      <c r="CE105" s="1316" t="e">
        <f aca="false">IF(BR105,(BU105*BH105+BV105*BI105+BW105*BJ105)/BR105,0)</f>
        <v>#VALUE!</v>
      </c>
      <c r="CF105" s="1532" t="e">
        <f aca="false">IF(BS105,(CE105*BR105+CD105*BK105)/BS105,0)</f>
        <v>#VALUE!</v>
      </c>
      <c r="CG105" s="1586" t="e">
        <f aca="false">IF(OR(BQ105,BS105),IF(OVolType&lt;&gt;2,SQRT(IF(OVolOverMonthlyPeak,OVolOverMonthlyPeak,IF(OVolCurve,IF(OBuySell,U105,W105),V105))^2*(1-15/365.25/BT105)+IF(OVolOverDailyPeak,OVolOverDailyPeak,IF(OVolCurve,IF(OBuySell,AG105,AI105),AH105))^2*15/365.25/BT105),IF(OVolOverMonthlyPeak,OVolOverMonthlyPeak,IF(OVolCurve,IF(OBuySell,U105,W105),V105))),"")</f>
        <v>#VALUE!</v>
      </c>
      <c r="CH105" s="1587" t="e">
        <f aca="false">IF(OR(BQ105,BS105),IF(OVolType&lt;&gt;2,SQRT(IF(OVolOverMonthlyPeak,OVolOverMonthlyPeak,IF(OVolCurve,IF(OBuySell,X105,Z105),Y105))^2*(1-15/365.25/BT105)+IF(OVolOverDailyPeak,OVolOverDailyPeak,IF(OVolCurve,IF(OBuySell,AJ105,AL105),AK105))^2*15/365.25/BT105),IF(OVolOverMonthlyPeak,OVolOverMonthlyPeak,IF(OVolCurve,IF(OBuySell,X105,Z105),Y105))),"")</f>
        <v>#VALUE!</v>
      </c>
      <c r="CI105" s="1587" t="e">
        <f aca="false">IF(OR(BQ105,BS105),IF(OVolType&lt;&gt;2,SQRT(IF(OVolOverMonthlyPeak,OVolOverMonthlyPeak,IF(OVolCurve,IF(OBuySell,AA105,AC105),AB105))^2*(1-15/365.25/BT105)+IF(OVolOverDailyPeak,OVolOverDailyPeak,IF(OVolCurve,IF(OBuySell,AM105,AO105),AN105))^2*15/365.25/BT105),IF(OVolOverMonthlyPeak,OVolOverMonthlyPeak,IF(OVolCurve,IF(OBuySell,AA105,AC105),AB105))),"")</f>
        <v>#VALUE!</v>
      </c>
      <c r="CJ105" s="1587" t="e">
        <f aca="false">IF(BQ105,IF(BP105,SQRT(LN(1+((BU105*AZ105)^2*(EXP(CG105^2*BT105)-1)+(BV105*BA105)^2*(EXP(CH105^2*BT105)-1)+(BW105*BB105)^2*(EXP(CI105^2*BT105)-1)+2*BU105*AZ105*BV105*BA105*(EXP(CG105*CH105*BT105)-1)+2*BV105*BA105*BW105*BB105*(EXP(CH105*CI105*BT105)-1)+2*BW105*BB105*BU105*AZ105*(EXP(CI105*CG105*BT105)-1))/(BY105*BP105)^2)/BT105),0),"")</f>
        <v>#VALUE!</v>
      </c>
      <c r="CK105" s="1587" t="e">
        <f aca="false">IF(BS105,IF(BR105,SQRT(LN(1+((CA105*BH105)^2*(EXP(CG105^2*BT105)-1)+(CB105*BI105)^2*(EXP(CH105^2*BT105)-1)+(CC105*BJ105)^2*(EXP(CI105^2*BT105)-1)+2*CA105*BH105*CB105*BI105*(EXP(CG105*CH105*BT105)-1)+2*CB105*BI105*CC105*BJ105*(EXP(CH105*CI105*BT105)-1)+2*CC105*BJ105*CA105*BH105*(EXP(CI105*CG105*BT105)-1))/(CE105*BR105)^2)/BT105),0),"")</f>
        <v>#VALUE!</v>
      </c>
      <c r="CL105" s="1587" t="e">
        <f aca="false">IF(OR(BQ105,BS105),IF(OVolType&lt;&gt;2,SQRT(IF(OVolOverMonthlyOffPeak,OVolOverMonthlyOffPeak,IF(OVolCurve,IF(OBuySell,AD105,AF105),AE105))^2*(1-15/365.25/BT105)+IF(OVolOverDailyOffPeak,OVolOverDailyOffPeak,IF(OVolCurve,IF(OBuySell,AP105,AR105),AQ105))^2*15/365.25/BT105),IF(OVolOverMonthlyOffPeak,OVolOverMonthlyOffPeak,IF(OVolCurve,IF(OBuySell,AD105,AF105),AE105))),"")</f>
        <v>#VALUE!</v>
      </c>
      <c r="CM105" s="1587" t="e">
        <f aca="false">IF(BQ105,SQRT(LN(1+((BY105*BP105)^2*(EXP(CJ105^2*BT105)-1)+(BX105*BC105)^2*(EXP(CL105^2*BT105)-1)+2*BY105*BP105*BX105*BC105*(EXP(AS105*CJ105*CL105*BT105)-1))/(BY105*BP105+BX105*BC105)^2)/BT105),"")</f>
        <v>#VALUE!</v>
      </c>
      <c r="CN105" s="1588" t="e">
        <f aca="false">IF(BS105,SQRT(LN(1+((CE105*BR105)^2*(EXP(CK105^2*BT105)-1)+(CD105*BK105)^2*(EXP(CL105^2*BT105)-1)+2*CE105*BR105*CD105*BK105*(EXP(AS105*CK105*CL105*BT105)-1))/(CE105*BR105+CD105*BK105)^2)/BT105),"")</f>
        <v>#VALUE!</v>
      </c>
      <c r="CO105" s="1531" t="e">
        <f aca="false">IF(OR(BQ105,BS105),VLOOKUP(A105,GasTable,13)*HeatRatePeak*(1+VLOOKUP($B105,HeatRateDegradation,$C105+1))/1000,0)</f>
        <v>#VALUE!</v>
      </c>
      <c r="CP105" s="1316" t="e">
        <f aca="false">IF(OR(BQ105,BS105),VLOOKUP(A105,GasTable,13)*HeatRatePeak*(1+VLOOKUP($B105,HeatRateDegradation,$C105+1))/1000,0)</f>
        <v>#VALUE!</v>
      </c>
      <c r="CQ105" s="1316" t="e">
        <f aca="false">IF(OR(BQ105,BS105),VLOOKUP(A105,GasTable,13)*IF(EV105,HeatRatePeak,HeatRateOffPeak)*(1+VLOOKUP($B105,HeatRateDegradation,$C105+1))/1000,0)</f>
        <v>#VALUE!</v>
      </c>
      <c r="CR105" s="1316" t="e">
        <f aca="false">IF(OR(BQ105,BS105),VLOOKUP(A105,GasTable,13)*IF(EW105,HeatRatePeak,HeatRateOffPeak)*(1+VLOOKUP($B105,HeatRateDegradation,$C105+1))/1000,0)</f>
        <v>#VALUE!</v>
      </c>
      <c r="CS105" s="1589" t="e">
        <f aca="false">IF(BQ105,(CO105*AZ105+CP105*BA105+CQ105*BB105+CR105*BC105)/BQ105,0)</f>
        <v>#VALUE!</v>
      </c>
      <c r="CT105" s="1316" t="e">
        <f aca="false">IF(BS105,CO105,0)</f>
        <v>#VALUE!</v>
      </c>
      <c r="CU105" s="1590" t="e">
        <f aca="false">IF(OR(BQ105,BS105),VLOOKUP(A105,GasTable,14),"")</f>
        <v>#VALUE!</v>
      </c>
      <c r="CV105" s="1568" t="e">
        <f aca="false">IF(OR(BQ105,BS105),IF(CorrPowerGasOverFlag,INDEX(CorrPowerGasOver,C105),CorrPowerGas),"")</f>
        <v>#VALUE!</v>
      </c>
      <c r="CW105" s="1316" t="e">
        <f aca="false">IF(OR($BQ105,$BS105),SpreadOptPowerMargin,0)*((1+Assumptions!$C$26)^($B105-YEAR(Assumptions!$C$17)))</f>
        <v>#VALUE!</v>
      </c>
      <c r="CX105" s="1316" t="e">
        <f aca="false">IF(OR($BQ105,$BS105),SpreadOptPowerMargin,0)*((1+Assumptions!$C$26)^($B105-YEAR(Assumptions!$C$17)))</f>
        <v>#VALUE!</v>
      </c>
      <c r="CY105" s="1316" t="e">
        <f aca="false">IF(OR($BQ105,$BS105),SpreadOptPowerMargin,0)*((1+Assumptions!$C$26)^($B105-YEAR(Assumptions!$C$17)))</f>
        <v>#VALUE!</v>
      </c>
      <c r="CZ105" s="1316" t="e">
        <f aca="false">IF(OR($BQ105,$BS105),SpreadOptPowerMargin,0)*((1+Assumptions!$C$26)^($B105-YEAR(Assumptions!$C$17)))</f>
        <v>#VALUE!</v>
      </c>
      <c r="DA105" s="1591" t="e">
        <f aca="false">IF(OR(BQ105,BS105),(CW105*(AZ105+BH105)+CX105*(BA105+BI105)+CY105*(BB105+BJ105)+CZ105*(BC105+BK105))/(BQ105+BS105),0)</f>
        <v>#VALUE!</v>
      </c>
      <c r="DB105" s="1592" t="e">
        <f aca="false">IF(OR(BQ105,BS105),CG105+IF(OVolSmile,VLOOKUP(MAX(-5,CO105+CW105-BU105),IF(OVolSmile=1,VolSmileBook,VolSmileModel),2),0),"")</f>
        <v>#VALUE!</v>
      </c>
      <c r="DC105" s="1592" t="e">
        <f aca="false">IF(OR(BQ105,BS105),CH105+IF(OVolSmile,VLOOKUP(MAX(-5,CP105+CW105-BV105),IF(OVolSmile=1,VolSmileBook,VolSmileModel),2),0),"")</f>
        <v>#VALUE!</v>
      </c>
      <c r="DD105" s="1592" t="e">
        <f aca="false">IF(OR(BQ105,BS105),CI105+IF(OVolSmile,VLOOKUP(MAX(-5,CQ105+CW105-BW105),IF(OVolSmile=1,VolSmileBook,VolSmileModel),2),0),"")</f>
        <v>#VALUE!</v>
      </c>
      <c r="DE105" s="1592" t="e">
        <f aca="false">IF(OR(BQ105,BS105),CL105+IF(OVolSmile,VLOOKUP(MAX(-5,CR105+CZ105-BX105),IF(OVolSmile=1,VolSmileBook,VolSmileModel),2),0),"")</f>
        <v>#VALUE!</v>
      </c>
      <c r="DF105" s="1592" t="e">
        <f aca="false">IF(BQ105,CM105+IF(OVolSmile,VLOOKUP(MAX(-5,CS105+DA105-BZ105),IF(OVolSmile=1,VolSmileBook,VolSmileModel),2),0),"")</f>
        <v>#VALUE!</v>
      </c>
      <c r="DG105" s="1593" t="e">
        <f aca="false">IF(BS105,CN105+IF(OVolSmile,VLOOKUP(MAX(-5,CT105+DA105-CF105),IF(OVolSmile=1,VolSmileBook,VolSmileModel),2),0),"")</f>
        <v>#VALUE!</v>
      </c>
      <c r="DH105" s="1316" t="e">
        <f aca="false">IF(AND(BU105&gt;0,CO105&gt;0,DB105&gt;0,CU105&gt;0),newSPRDOPT(BU105,CO105,CW105,0,DB105,CU105,CV105,BT105*365.25,OCallPut,0),0)</f>
        <v>#VALUE!</v>
      </c>
      <c r="DI105" s="1316" t="e">
        <f aca="false">IF(AND(BV105&gt;0,CP105&gt;0,DC105&gt;0,CU105&gt;0),newSPRDOPT(BV105,CP105,CX105,0,DC105,CU105,CV105,BT105*365.25,OCallPut,0),0)</f>
        <v>#VALUE!</v>
      </c>
      <c r="DJ105" s="1316" t="e">
        <f aca="false">IF(AND(BW105&gt;0,CQ105&gt;0,DD105&gt;0,CU105&gt;0),newSPRDOPT(BW105,CQ105,CY105,0,DD105,CU105,CV105,BT105*365.25,OCallPut,0),0)</f>
        <v>#VALUE!</v>
      </c>
      <c r="DK105" s="1316" t="e">
        <f aca="false">IF(AND(BX105&gt;0,CR105&gt;0,DE105&gt;0,CU105&gt;0),newSPRDOPT(BX105,CR105,CZ105,0,DE105,CU105,CV105,BT105*365.25,OCallPut,0),0)</f>
        <v>#VALUE!</v>
      </c>
      <c r="DL105" s="1316" t="e">
        <f aca="false">IF(OVolType,IF(AND(BZ105&gt;0,CS105&gt;0,DF105&gt;0,CU105&gt;0),newSPRDOPT(BZ105,CS105,DA105,0,DF105,CU105,CV105,BT105*365.25,OCallPut,0),0),IF(BQ105,(DH105*AZ105+DI105*BA105+DJ105*BB105+DK105*BC105)/BQ105,0))</f>
        <v>#VALUE!</v>
      </c>
      <c r="DM105" s="1316"/>
      <c r="DN105" s="1316"/>
      <c r="DO105" s="1316"/>
      <c r="DP105" s="1316"/>
      <c r="DQ105" s="1316"/>
      <c r="DR105" s="1316"/>
      <c r="DS105" s="1316"/>
      <c r="DT105" s="1316"/>
      <c r="DU105" s="1316"/>
      <c r="DV105" s="1316"/>
      <c r="DW105" s="1594" t="e">
        <f aca="false">IF(AND(BW105&gt;0,CT105&gt;0,DD105&gt;0,CU105&gt;0),newSPRDOPT(BW105,CT105,CY105,0,DD105,CU105,CV105,BT105*365.25,OCallPut,0),0)</f>
        <v>#VALUE!</v>
      </c>
      <c r="DX105" s="1316" t="e">
        <f aca="false">IF(AND(BX105&gt;0,CT105&gt;0,DE105&gt;0,CU105&gt;0),newSPRDOPT(BX105,CT105,CZ105,0,DE105,CU105,CV105,BT105*365.25,OCallPut,0),0)</f>
        <v>#VALUE!</v>
      </c>
      <c r="DY105" s="1591" t="e">
        <f aca="false">IF(BS105,(DH105*BH105+DI105*BI105+DW105*BJ105+DX105*BK105)/BS105,0)</f>
        <v>#VALUE!</v>
      </c>
      <c r="DZ105" s="1551" t="e">
        <f aca="false">DH105*AZ105</f>
        <v>#VALUE!</v>
      </c>
      <c r="EA105" s="1551" t="e">
        <f aca="false">DI105*BA105</f>
        <v>#VALUE!</v>
      </c>
      <c r="EB105" s="1551" t="e">
        <f aca="false">DJ105*BB105</f>
        <v>#VALUE!</v>
      </c>
      <c r="EC105" s="1551" t="e">
        <f aca="false">DK105*BC105</f>
        <v>#VALUE!</v>
      </c>
      <c r="ED105" s="1551" t="e">
        <f aca="false">DL105*BQ105</f>
        <v>#VALUE!</v>
      </c>
      <c r="EE105" s="1595" t="e">
        <f aca="false">IF(BQ105,IF(OCallPut,IF(BU105&gt;(CO105+CW105),BU105-(CO105+CW105),0),IF((CO105+CW105)&gt;BU105,(CO105+CW105)-BU105,0))*AZ105,0)</f>
        <v>#VALUE!</v>
      </c>
      <c r="EF105" s="1596" t="e">
        <f aca="false">IF(BQ105,IF(OCallPut,IF(BV105&gt;(CP105+CX105),BV105-(CP105+CX105),0),IF((CP105+CX105)&gt;BV105,(CP105+CX105)-BV105,0))*BA105,0)</f>
        <v>#VALUE!</v>
      </c>
      <c r="EG105" s="1596" t="e">
        <f aca="false">IF(BQ105,IF(OCallPut,IF(BW105&gt;(CQ105+CY105),BW105-(CQ105+CY105),0),IF((CQ105+CY105)&gt;BW105,(CQ105+CY105)-BW105,0))*BB105,0)</f>
        <v>#VALUE!</v>
      </c>
      <c r="EH105" s="1596" t="e">
        <f aca="false">IF(BQ105,IF(OCallPut,IF(BX105&gt;(CR105+CZ105),BX105-(CR105+CZ105),0),IF((CR105+CZ105)&gt;BX105,(CR105+CZ105)-BX105,0))*BC105,0)</f>
        <v>#VALUE!</v>
      </c>
      <c r="EI105" s="1597" t="e">
        <f aca="false">IF(BQ105,IF(OVolType,IF(OCallPut,IF(BZ105&gt;(CS105+DA105),BZ105-(CS105+DA105),0),IF((CS105+DA105)&gt;BZ105,(CS105+DA105)-BZ105,0))*BQ105,SUM(EE105:EH105)),0)</f>
        <v>#VALUE!</v>
      </c>
      <c r="EJ105" s="1595" t="e">
        <f aca="false">DZ105-EE105</f>
        <v>#VALUE!</v>
      </c>
      <c r="EK105" s="1596" t="e">
        <f aca="false">EA105-EF105</f>
        <v>#VALUE!</v>
      </c>
      <c r="EL105" s="1596" t="e">
        <f aca="false">EB105-EG105</f>
        <v>#VALUE!</v>
      </c>
      <c r="EM105" s="1596" t="e">
        <f aca="false">EC105-EH105</f>
        <v>#VALUE!</v>
      </c>
      <c r="EN105" s="1597" t="e">
        <f aca="false">ED105-EI105</f>
        <v>#VALUE!</v>
      </c>
      <c r="EO105" s="1551" t="e">
        <f aca="false">DH105*BH105</f>
        <v>#VALUE!</v>
      </c>
      <c r="EP105" s="1551" t="e">
        <f aca="false">DI105*BI105</f>
        <v>#VALUE!</v>
      </c>
      <c r="EQ105" s="1551" t="e">
        <f aca="false">DW105*BJ105</f>
        <v>#VALUE!</v>
      </c>
      <c r="ER105" s="1551" t="e">
        <f aca="false">DX105*BK105</f>
        <v>#VALUE!</v>
      </c>
      <c r="ES105" s="1551" t="e">
        <f aca="false">DY105*BS105</f>
        <v>#VALUE!</v>
      </c>
      <c r="ET105" s="1566" t="e">
        <f aca="false">IF(EI105,IF(OCallPut,IF(CA105&gt;(CT105+CW105),CA105-(CT105+CW105),0),IF((CT105+CW105)&gt;CA105,(CT105+CW105)-CA105,0))*BH105,0)</f>
        <v>#VALUE!</v>
      </c>
      <c r="EU105" s="1551" t="e">
        <f aca="false">IF(EI105,IF(OCallPut,IF(CB105&gt;(CT105+CX105),CB105-(CT105+CX105),0),IF((CT105+CX105)&gt;CB105,(CT105+CX105)-CB105,0))*BI105,0)</f>
        <v>#VALUE!</v>
      </c>
      <c r="EV105" s="1551" t="e">
        <f aca="false">IF(EI105,IF(OCallPut,IF(CC105&gt;(CT105+CY105),CC105-(CT105+CY105),0),IF((CT105+CY105)&gt;CC105,(CT105+CY105)-CC105,0))*BJ105,0)</f>
        <v>#VALUE!</v>
      </c>
      <c r="EW105" s="1551" t="e">
        <f aca="false">IF(EI105,IF(OCallPut,IF(CD105&gt;(CT105+CZ105),CD105-(CT105+CZ105),0),IF((CT105+CZ105)&gt;CD105,(CT105+CZ105)-CD105,0))*BK105,0)</f>
        <v>#VALUE!</v>
      </c>
      <c r="EX105" s="1558" t="e">
        <f aca="false">IF(EI105,SUM(ET105:EW105),0)</f>
        <v>#VALUE!</v>
      </c>
      <c r="EY105" s="1551" t="e">
        <f aca="false">EO105-ET105</f>
        <v>#VALUE!</v>
      </c>
      <c r="EZ105" s="1551" t="e">
        <f aca="false">EP105-EU105</f>
        <v>#VALUE!</v>
      </c>
      <c r="FA105" s="1551" t="e">
        <f aca="false">EQ105-EV105</f>
        <v>#VALUE!</v>
      </c>
      <c r="FB105" s="1551" t="e">
        <f aca="false">ER105-EW105</f>
        <v>#VALUE!</v>
      </c>
      <c r="FC105" s="1551" t="e">
        <f aca="false">ES105-EX105</f>
        <v>#VALUE!</v>
      </c>
      <c r="FD105" s="1525" t="n">
        <f aca="false">IF(AX105,IF(VLOOKUP(C105,MAIN!$L$17:$M$28,2)="Yes",VLOOKUP(CALC!B105,MAIN!$H$17:$I$20,2),0),0)</f>
        <v>0</v>
      </c>
      <c r="FE105" s="1552" t="e">
        <f aca="false">$FD105*16*AT105*(1-$AY105)</f>
        <v>#VALUE!</v>
      </c>
      <c r="FF105" s="1553" t="e">
        <f aca="false">$FD105*16*AU105*(1-$AY105)</f>
        <v>#VALUE!</v>
      </c>
      <c r="FG105" s="1553" t="e">
        <f aca="false">$FD105*16*(AV105+AW105)*(1-$AY105)</f>
        <v>#VALUE!</v>
      </c>
      <c r="FH105" s="1554" t="n">
        <f aca="false">$FD105*8*AX105*(1-$AY105)</f>
        <v>0</v>
      </c>
      <c r="FI105" s="1555" t="n">
        <f aca="false">IF(AX105,VLOOKUP(CALC!B105,MAIN!$H$17:$K$20,4),0)</f>
        <v>0</v>
      </c>
      <c r="FJ105" s="1553" t="e">
        <f aca="false">SUM(FE105:FH105)</f>
        <v>#VALUE!</v>
      </c>
      <c r="FK105" s="1556" t="e">
        <f aca="false">FI105*FJ105</f>
        <v>#VALUE!</v>
      </c>
      <c r="FL105" s="1551" t="e">
        <f aca="false">IF($EI105&gt;0,MIN(FE105,AZ105*(1+VLOOKUP($C105,WeatherCapacityAdjustment,2))),0)</f>
        <v>#VALUE!</v>
      </c>
      <c r="FM105" s="1551" t="e">
        <f aca="false">IF($EI105&gt;0,MIN(FF105,BA105*(1+VLOOKUP($C105,WeatherCapacityAdjustment,2))),0)</f>
        <v>#VALUE!</v>
      </c>
      <c r="FN105" s="1551" t="e">
        <f aca="false">IF($EI105&gt;0,MIN(FG105,BB105*(1+VLOOKUP($C105,WeatherCapacityAdjustment,2))),0)</f>
        <v>#VALUE!</v>
      </c>
      <c r="FO105" s="1564" t="e">
        <f aca="false">IF($EI105&gt;0,MIN(FH105,BC105*(1+VLOOKUP($C105,WeatherCapacityAdjustment,3))),0)</f>
        <v>#VALUE!</v>
      </c>
      <c r="FP105" s="1551" t="e">
        <f aca="false">IF(ET105&gt;0,MIN(FE105-FL105,BH105*(1+VLOOKUP($C105,WeatherCapacityAdjustment,2))),0)</f>
        <v>#VALUE!</v>
      </c>
      <c r="FQ105" s="1551" t="e">
        <f aca="false">IF(EU105&gt;0,MIN(FF105-FM105,BI105*(1+VLOOKUP($C105,WeatherCapacityAdjustment,2))),0)</f>
        <v>#VALUE!</v>
      </c>
      <c r="FR105" s="1551" t="e">
        <f aca="false">IF(EV105&gt;0,MIN(FG105-FN105,BJ105*(1+VLOOKUP($C105,WeatherCapacityAdjustment,2))),0)</f>
        <v>#VALUE!</v>
      </c>
      <c r="FS105" s="1558" t="e">
        <f aca="false">IF(EW105&gt;0,MIN(FH105-FO105,BK105*(1+VLOOKUP($C105,WeatherCapacityAdjustment,3))),0)</f>
        <v>#VALUE!</v>
      </c>
      <c r="FT105" s="1566" t="e">
        <f aca="false">IF(AND(Assumptions!$H$71="Yes",A105&gt;=Assumptions!$H$72,A105&lt;=Assumptions!$H$73),0,IF(AND($A105&gt;=Assumptions!$C$17,$A105&lt;=Assumptions!$C$18),MAX(AZ105*(1+VLOOKUP($C105,WeatherCapacityAdjustment,2))-FL105,0),0))</f>
        <v>#VALUE!</v>
      </c>
      <c r="FU105" s="1551" t="e">
        <f aca="false">IF(AND(Assumptions!$H$71="Yes",A105&gt;=Assumptions!$H$72,A105&lt;=Assumptions!$H$73),0,IF(AND($A105&gt;=Assumptions!$C$17,$A105&lt;=Assumptions!$C$18),MAX(BA105*(1+VLOOKUP($C105,WeatherCapacityAdjustment,2))-FM105,0),0))</f>
        <v>#VALUE!</v>
      </c>
      <c r="FV105" s="1551" t="e">
        <f aca="false">IF(AND(Assumptions!$H$71="Yes",A105&gt;=Assumptions!$H$72,A105&lt;=Assumptions!$H$73),0,IF(AND($A105&gt;=Assumptions!$C$17,$A105&lt;=Assumptions!$C$18),MAX(BB105*(1+VLOOKUP($C105,WeatherCapacityAdjustment,2))-FN105,0),0))</f>
        <v>#VALUE!</v>
      </c>
      <c r="FW105" s="1564" t="e">
        <f aca="false">IF(AND(Assumptions!$H$71="Yes",A105&gt;=Assumptions!$H$72,A105&lt;=Assumptions!$H$73),0,IF(AND($A105&gt;=Assumptions!$C$17,$A105&lt;=Assumptions!$C$18),MAX(BC105*(1+VLOOKUP($C105,WeatherCapacityAdjustment,3))-FO105,0),0))</f>
        <v>#VALUE!</v>
      </c>
      <c r="FX105" s="1569" t="e">
        <f aca="false">IF(AND(Assumptions!$H$71="Yes",A105&gt;=Assumptions!$H$72,A105&lt;=Assumptions!$H$73),0,IF(ET105&gt;0,MAX(BH105*(1+VLOOKUP($C105,WeatherCapacityAdjustment,2))-FP105,0),0))</f>
        <v>#VALUE!</v>
      </c>
      <c r="FY105" s="1551" t="e">
        <f aca="false">IF(AND(Assumptions!$H$71="Yes",A105&gt;=Assumptions!$H$72,A105&lt;=Assumptions!$H$73),0,IF(EU105&gt;0,MAX(BI105*(1+VLOOKUP($C105,WeatherCapacityAdjustment,3))-FQ105,0),0))</f>
        <v>#VALUE!</v>
      </c>
      <c r="FZ105" s="1551" t="e">
        <f aca="false">IF(AND(Assumptions!$H$71="Yes",A105&gt;=Assumptions!$H$72,A105&lt;=Assumptions!$H$73),0,IF(EV105&gt;0,MAX(BJ105*(1+VLOOKUP($C105,WeatherCapacityAdjustment,2))-FR105,0),0))</f>
        <v>#VALUE!</v>
      </c>
      <c r="GA105" s="1564" t="e">
        <f aca="false">IF(AND(Assumptions!$H$71="Yes",A105&gt;=Assumptions!$H$72,A105&lt;=Assumptions!$H$73),0,IF(EW105&gt;0,MAX(BK105*(1+VLOOKUP($C105,WeatherCapacityAdjustment,2))-FS105,0),0))</f>
        <v>#VALUE!</v>
      </c>
      <c r="GB105" s="1551" t="e">
        <f aca="false">SUM(FT105:GA105)</f>
        <v>#VALUE!</v>
      </c>
      <c r="GC105" s="1563" t="e">
        <f aca="false">+IF(SUM(FT105:GA105)=0,0,(SUMPRODUCT(BU105:BX105,FT105:FW105)+SUMPRODUCT(CA105:CD105,FX105:GA105))/SUM(FT105:GA105))</f>
        <v>#VALUE!</v>
      </c>
      <c r="GD105" s="1551" t="e">
        <f aca="false">(FT105*BU105+FX105*CA105+FU105*BV105+FY105*CB105+FV105*BW105+FZ105*CC105+FW105*BX105+GA105*CD105)</f>
        <v>#VALUE!</v>
      </c>
      <c r="GE105" s="1561" t="e">
        <f aca="false">+IF(BQ105,((FL105+FM105+FT105+FU105)*HeatRatePeak/1000*(1+VLOOKUP($C105,WeatherHeatRateAdjustment,2))+(FN105+FV105)*IF(EV105&gt;0,HeatRatePeak,HeatRateOffPeak)/1000*(1+VLOOKUP($C105,WeatherHeatRateAdjustment,2))+(FO105+FW105)*IF(EW105&gt;0,HeatRatePeak,HeatRateOffPeak)/1000*(1+VLOOKUP($C105,WeatherHeatRateAdjustment,3)))*(1+VLOOKUP($B105,HeatRateDegradation,$C105+1)),0)</f>
        <v>#VALUE!</v>
      </c>
      <c r="GF105" s="1562" t="e">
        <f aca="false">IF(BQ105,((FP105+FQ105+FR105+FX105+FY105+FZ105)*HeatRatePeak/1000*(1+VLOOKUP($C105,WeatherHeatRateAdjustment,2))+(FS105+GA105)*HeatRatePeak/1000*(1+VLOOKUP($C105,WeatherHeatRateAdjustment,3)))*(1+VLOOKUP($B105,HeatRateDegradation,$C105+1)),0)</f>
        <v>#VALUE!</v>
      </c>
      <c r="GG105" s="1563" t="e">
        <f aca="false">IF(BQ105,VLOOKUP(A105,GasTable,13),0)</f>
        <v>#VALUE!</v>
      </c>
      <c r="GH105" s="1564" t="e">
        <f aca="false">(GE105+GF105)*GG105</f>
        <v>#VALUE!</v>
      </c>
      <c r="GI105" s="1569" t="e">
        <f aca="false">GB105</f>
        <v>#VALUE!</v>
      </c>
      <c r="GJ105" s="1598" t="e">
        <f aca="false">+DA105</f>
        <v>#VALUE!</v>
      </c>
      <c r="GK105" s="1558" t="e">
        <f aca="false">+GI105*GJ105</f>
        <v>#VALUE!</v>
      </c>
      <c r="GL105" s="1566" t="e">
        <f aca="false">MAX(FE105-FL105-FP105,0)</f>
        <v>#VALUE!</v>
      </c>
      <c r="GM105" s="1551" t="e">
        <f aca="false">MAX(FF105-FM105-FQ105,0)</f>
        <v>#VALUE!</v>
      </c>
      <c r="GN105" s="1551" t="e">
        <f aca="false">MAX(FG105-FN105-FR105,0)</f>
        <v>#VALUE!</v>
      </c>
      <c r="GO105" s="1564" t="e">
        <f aca="false">MAX(FH105-FO105-FS105,0)</f>
        <v>#VALUE!</v>
      </c>
      <c r="GP105" s="1551" t="e">
        <f aca="false">SUM(GL105:GO105)</f>
        <v>#VALUE!</v>
      </c>
      <c r="GQ105" s="1563" t="e">
        <f aca="false">IF(SUM(GL105:GO105)=0,0,((GL105*BU105+GM105*BV105+GN105*BW105+GO105*BX105)/SUM(GL105:GO105)))</f>
        <v>#VALUE!</v>
      </c>
      <c r="GR105" s="1558" t="e">
        <f aca="false">(GL105*BU105+GM105*BV105+GN105*BW105+GO105*BX105)</f>
        <v>#VALUE!</v>
      </c>
      <c r="GS105" s="1566" t="n">
        <f aca="false">IF($A105&gt;=BegDate,Assumptions!$C$56*24*($A106-$A105)*(1-VLOOKUP($B105,MAIN!$AA$7:$AM$28,$C105+1))*(1-VLOOKUP($B105,MAIN!$AA$33:$AM$54,$C105+1)),0)*80/168</f>
        <v>249428.571428571</v>
      </c>
      <c r="GT105" s="286" t="n">
        <f aca="false">J105</f>
        <v>70.3731936114323</v>
      </c>
      <c r="GU105" s="286" t="n">
        <f aca="false">IF($A105&gt;=BegDate,VLOOKUP($A105,GasTable,13)+Assumptions!$C$58,0)</f>
        <v>2.7897791683504</v>
      </c>
      <c r="GV105" s="286" t="n">
        <f aca="false">GU105*Assumptions!$C$57/1000</f>
        <v>20.2258989705404</v>
      </c>
      <c r="GW105" s="1558" t="n">
        <f aca="false">IF(Assumptions!$C$60="Hourly",MAX(0,GS105*(GT105-GV105)),GS105*(GT105-GV105))</f>
        <v>12508168.0632853</v>
      </c>
      <c r="GX105" s="1566" t="n">
        <f aca="false">IF($A105&gt;=BegDate,Assumptions!$C$56*24*($A106-$A105)*(1-VLOOKUP($B105,MAIN!$AA$7:$AM$28,$C105+1))*(1-VLOOKUP($B105,MAIN!$AA$33:$AM$54,$C105+1)),0)*16/168</f>
        <v>49885.7142857143</v>
      </c>
      <c r="GY105" s="286" t="n">
        <f aca="false">M105</f>
        <v>70.3731936114323</v>
      </c>
      <c r="GZ105" s="286" t="n">
        <f aca="false">IF($A105&gt;=BegDate,VLOOKUP($A105,GasTable,13)+Assumptions!$C$58,0)</f>
        <v>2.7897791683504</v>
      </c>
      <c r="HA105" s="286" t="n">
        <f aca="false">GZ105*Assumptions!$C$57/1000</f>
        <v>20.2258989705404</v>
      </c>
      <c r="HB105" s="1558" t="n">
        <f aca="false">IF(Assumptions!$C$60="Hourly",MAX(0,GX105*(GY105-HA105)),GX105*(GY105-HA105))</f>
        <v>2501633.61265706</v>
      </c>
      <c r="HC105" s="1566" t="n">
        <f aca="false">IF($A105&gt;=BegDate,Assumptions!$C$56*24*($A106-$A105)*(1-VLOOKUP($B105,MAIN!$AA$7:$AM$28,$C105+1))*(1-VLOOKUP($B105,MAIN!$AA$33:$AM$54,$C105+1)),0)*16/168</f>
        <v>49885.7142857143</v>
      </c>
      <c r="HD105" s="286" t="n">
        <f aca="false">P105</f>
        <v>28.9112695690647</v>
      </c>
      <c r="HE105" s="286" t="n">
        <f aca="false">IF($A105&gt;=BegDate,VLOOKUP($A105,GasTable,13)+Assumptions!$C$58,0)</f>
        <v>2.7897791683504</v>
      </c>
      <c r="HF105" s="286" t="n">
        <f aca="false">HE105*Assumptions!$C$57/1000</f>
        <v>20.2258989705404</v>
      </c>
      <c r="HG105" s="1558" t="n">
        <f aca="false">IF(Assumptions!$C$60="Hourly",MAX(0,HC105*(HD105-HF105)),HC105*(HD105-HF105))</f>
        <v>433275.916143529</v>
      </c>
      <c r="HH105" s="1566" t="n">
        <f aca="false">IF($A105&gt;=BegDate,Assumptions!$C$56*24*($A106-$A105)*(1-VLOOKUP($B105,MAIN!$AA$7:$AM$28,$C105+1))*(1-VLOOKUP($B105,MAIN!$AA$33:$AM$54,$C105+1)),0)*56/168</f>
        <v>174600</v>
      </c>
      <c r="HI105" s="286" t="n">
        <f aca="false">S105</f>
        <v>28.9112695690647</v>
      </c>
      <c r="HJ105" s="286" t="n">
        <f aca="false">IF($A105&gt;=BegDate,VLOOKUP($A105,GasTable,13)+Assumptions!$C$58,0)</f>
        <v>2.7897791683504</v>
      </c>
      <c r="HK105" s="286" t="n">
        <f aca="false">HJ105*Assumptions!$C$57/1000</f>
        <v>20.2258989705404</v>
      </c>
      <c r="HL105" s="1558" t="n">
        <f aca="false">IF(Assumptions!$C$60="Hourly",MAX(0,HH105*(HI105-HK105)),HH105*(HI105-HK105))</f>
        <v>1516465.70650235</v>
      </c>
      <c r="HM105" s="1566" t="n">
        <f aca="false">IF(AND(Assumptions!$H$71="Yes",A105&gt;=Assumptions!$H$72,A105&lt;=Assumptions!$H$73),Assumptions!$H$74*Assumptions!$C$9*1000,0)</f>
        <v>0</v>
      </c>
      <c r="HN105" s="1551"/>
      <c r="HO105" s="1563"/>
      <c r="HP105" s="1563"/>
      <c r="HQ105" s="1563"/>
      <c r="HR105" s="1563"/>
      <c r="HS105" s="1563"/>
      <c r="HT105" s="1563"/>
      <c r="HU105" s="1563"/>
      <c r="HV105" s="1563"/>
      <c r="HW105" s="1563"/>
      <c r="HX105" s="1563"/>
      <c r="HY105" s="1563"/>
      <c r="HZ105" s="1563"/>
      <c r="IA105" s="1563"/>
      <c r="IB105" s="1563"/>
      <c r="IC105" s="1563"/>
      <c r="ID105" s="1563"/>
      <c r="IE105" s="1563"/>
      <c r="IF105" s="1563"/>
      <c r="IG105" s="1563"/>
      <c r="IH105" s="1563"/>
      <c r="II105" s="1610"/>
      <c r="IJ105" s="1309"/>
      <c r="IK105" s="1309"/>
    </row>
    <row r="106" customFormat="false" ht="12.75" hidden="false" customHeight="false" outlineLevel="0" collapsed="false">
      <c r="A106" s="1571" t="n">
        <f aca="false">EOMONTH(A105,0)+1</f>
        <v>39356</v>
      </c>
      <c r="B106" s="594" t="n">
        <f aca="false">+YEAR(A106)</f>
        <v>2007</v>
      </c>
      <c r="C106" s="238" t="n">
        <f aca="false">MONTH(A106)</f>
        <v>10</v>
      </c>
      <c r="D106" s="1572" t="e">
        <f aca="false">IF(E106="","",Holiday(B106,C106))</f>
        <v>#VALUE!</v>
      </c>
      <c r="E106" s="1573" t="n">
        <f aca="false">IF(OR(BegDate&gt;=A107,EndDate&lt;A106,AND(VolumeMonthlyOverFlag,INDEX(VolumeMonthlyOver,C106)=0),NOT(INDEX(MonthKnockOutTable,C106))),"",MAX(A106,BegDate))</f>
        <v>39356</v>
      </c>
      <c r="F106" s="1574" t="n">
        <f aca="false">IF(E106="","",MIN(A107-1,EndDate))</f>
        <v>39386</v>
      </c>
      <c r="G106" s="1575" t="n">
        <v>0</v>
      </c>
      <c r="H106" s="1576" t="n">
        <f aca="false">(1+G106/2)^(-2*(DATE(B107,C107,20)-DateToday)/365.25)</f>
        <v>1</v>
      </c>
      <c r="I106" s="1568" t="n">
        <f aca="false">IF(Assumptions!$L$25=4,VLOOKUP($A106,'Henwood Reference'!$E$9:$R$320,10),(VLOOKUP($A106,PriceTable,2,0)+IF(BasisNumber&lt;&gt;1,VLOOKUP($A106,BasisTable,2,0),0)+I$1)/(1-I$2))</f>
        <v>44.8318231855502</v>
      </c>
      <c r="J106" s="1568" t="n">
        <f aca="false">IF(Assumptions!$L$25=4,VLOOKUP($A106,'Henwood Reference'!$E$9:$R$320,10),(VLOOKUP($A106,PriceTable,3,0)+IF(BasisNumber&lt;&gt;1,VLOOKUP($A106,BasisTable,2,0),0)+J$1)/(1-J$2))</f>
        <v>44.8318231855502</v>
      </c>
      <c r="K106" s="1568" t="n">
        <f aca="false">IF(Assumptions!$L$25=4,VLOOKUP($A106,'Henwood Reference'!$E$9:$R$320,10),(VLOOKUP($A106,PriceTable,4,0)+IF(BasisNumber&lt;&gt;1,VLOOKUP($A106,BasisTable,2,0),0)+K$1)/(1-K$2))</f>
        <v>44.8318231855502</v>
      </c>
      <c r="L106" s="1523" t="n">
        <f aca="false">IF(Assumptions!$L$25=4,VLOOKUP($A106,'Henwood Reference'!$E$9:$R$320,10),(VLOOKUP($A106,PriceTableWeekend,2,0)+IF(BasisNumber&lt;&gt;1,VLOOKUP($A106,BasisTable,2,0),0)+L$1)/(1-L$2))</f>
        <v>44.8318231855502</v>
      </c>
      <c r="M106" s="1568" t="n">
        <f aca="false">IF(Assumptions!$L$25=4,VLOOKUP($A106,'Henwood Reference'!$E$9:$R$320,10),(VLOOKUP($A106,PriceTableWeekend,3,0)+IF(BasisNumber&lt;&gt;1,VLOOKUP($A106,BasisTable,2,0),0)+M$1)/(1-M$2))</f>
        <v>44.8318231855502</v>
      </c>
      <c r="N106" s="1599" t="n">
        <f aca="false">IF(Assumptions!$L$25=4,VLOOKUP($A106,'Henwood Reference'!$E$9:$R$320,10),(VLOOKUP($A106,PriceTableWeekend,4,0)+IF(BasisNumber&lt;&gt;1,VLOOKUP($A106,BasisTable,2,0),0)+N$1)/(1-N$2))</f>
        <v>44.8318231855502</v>
      </c>
      <c r="O106" s="1568" t="n">
        <f aca="false">IF(Assumptions!$L$25=4,VLOOKUP($A106,'Henwood Reference'!$E$9:$R$320,11),(VLOOKUP($A106,PriceTableWeekend,6,0)+IF(BasisNumber&lt;&gt;1,VLOOKUP($A106,BasisTable,3,0),0)+O$1)/(1-O$2))</f>
        <v>25.7939664041981</v>
      </c>
      <c r="P106" s="1568" t="n">
        <f aca="false">IF(Assumptions!$L$25=4,VLOOKUP($A106,'Henwood Reference'!$E$9:$R$320,11),(VLOOKUP($A106,PriceTableWeekend,7,0)+IF(BasisNumber&lt;&gt;1,VLOOKUP($A106,BasisTable,3,0),0)+P$1)/(1-P$2))</f>
        <v>25.7939664041981</v>
      </c>
      <c r="Q106" s="1599" t="n">
        <f aca="false">IF(Assumptions!$L$25=4,VLOOKUP($A106,'Henwood Reference'!$E$9:$R$320,11),(VLOOKUP($A106,PriceTableWeekend,8,0)+IF(BasisNumber&lt;&gt;1,VLOOKUP($A106,BasisTable,3,0),0)+Q$1)/(1-Q$2))</f>
        <v>25.7939664041981</v>
      </c>
      <c r="R106" s="1568" t="n">
        <f aca="false">IF(Assumptions!$L$25=4,VLOOKUP($A106,'Henwood Reference'!$E$9:$R$320,11),(VLOOKUP($A106,PriceTable,6,0)+IF(BasisNumber&lt;&gt;1,VLOOKUP($A106,BasisTable,3,0),0)+R$1)/(1-R$2))</f>
        <v>25.7939664041981</v>
      </c>
      <c r="S106" s="1568" t="n">
        <f aca="false">IF(Assumptions!$L$25=4,VLOOKUP($A106,'Henwood Reference'!$E$9:$R$320,11),(VLOOKUP($A106,PriceTable,7,0)+IF(BasisNumber&lt;&gt;1,VLOOKUP($A106,BasisTable,3,0),0)+S$1)/(1-S$2))</f>
        <v>25.7939664041981</v>
      </c>
      <c r="T106" s="1600" t="n">
        <f aca="false">IF(Assumptions!$L$25=4,VLOOKUP($A106,'Henwood Reference'!$E$9:$R$320,11),(VLOOKUP($A106,PriceTable,8,0)+IF(BasisNumber&lt;&gt;1,VLOOKUP($A106,BasisTable,3,0),0)+T$1)/(1-T$2))</f>
        <v>25.7939664041981</v>
      </c>
      <c r="U106" s="1513" t="n">
        <f aca="false">VLOOKUP($A106,VolatilityTable,14)</f>
        <v>0.135</v>
      </c>
      <c r="V106" s="1513" t="n">
        <f aca="false">VLOOKUP($A106,VolatilityTable,15)</f>
        <v>0.145</v>
      </c>
      <c r="W106" s="1514" t="n">
        <f aca="false">VLOOKUP($A106,VolatilityTable,16)</f>
        <v>0.155</v>
      </c>
      <c r="X106" s="1513" t="n">
        <f aca="false">VLOOKUP($A106,VolatilityTable,14)</f>
        <v>0.135</v>
      </c>
      <c r="Y106" s="1513" t="n">
        <f aca="false">VLOOKUP($A106,VolatilityTable,15)</f>
        <v>0.145</v>
      </c>
      <c r="Z106" s="1514" t="n">
        <f aca="false">VLOOKUP($A106,VolatilityTable,16)</f>
        <v>0.155</v>
      </c>
      <c r="AA106" s="1513" t="n">
        <f aca="false">VLOOKUP($A106,VolatilityTable,18)</f>
        <v>0.09</v>
      </c>
      <c r="AB106" s="1513" t="n">
        <f aca="false">VLOOKUP($A106,VolatilityTable,19)</f>
        <v>0.11</v>
      </c>
      <c r="AC106" s="1514" t="n">
        <f aca="false">VLOOKUP($A106,VolatilityTable,20)</f>
        <v>0.13</v>
      </c>
      <c r="AD106" s="1513" t="n">
        <f aca="false">VLOOKUP($A106,VolatilityTable,18)</f>
        <v>0.09</v>
      </c>
      <c r="AE106" s="1513" t="n">
        <f aca="false">VLOOKUP($A106,VolatilityTable,19)</f>
        <v>0.11</v>
      </c>
      <c r="AF106" s="1514" t="n">
        <f aca="false">VLOOKUP($A106,VolatilityTable,20)</f>
        <v>0.13</v>
      </c>
      <c r="AG106" s="1513" t="n">
        <f aca="false">VLOOKUP($A106,VolatilityTable,22)</f>
        <v>-0.1</v>
      </c>
      <c r="AH106" s="1513" t="n">
        <f aca="false">VLOOKUP($A106,VolatilityTable,23)</f>
        <v>0.6</v>
      </c>
      <c r="AI106" s="1514" t="n">
        <f aca="false">VLOOKUP($A106,VolatilityTable,24)</f>
        <v>0.1</v>
      </c>
      <c r="AJ106" s="1513" t="n">
        <f aca="false">VLOOKUP($A106,VolatilityTable,22)</f>
        <v>-0.1</v>
      </c>
      <c r="AK106" s="1513" t="n">
        <f aca="false">VLOOKUP($A106,VolatilityTable,23)</f>
        <v>0.6</v>
      </c>
      <c r="AL106" s="1514" t="n">
        <f aca="false">VLOOKUP($A106,VolatilityTable,24)</f>
        <v>0.1</v>
      </c>
      <c r="AM106" s="1513" t="n">
        <f aca="false">VLOOKUP($A106,VolatilityTable,26)</f>
        <v>-0.01</v>
      </c>
      <c r="AN106" s="1513" t="n">
        <f aca="false">VLOOKUP($A106,VolatilityTable,27)</f>
        <v>0.16</v>
      </c>
      <c r="AO106" s="1514" t="n">
        <f aca="false">VLOOKUP($A106,VolatilityTable,28)</f>
        <v>0.01</v>
      </c>
      <c r="AP106" s="1513" t="n">
        <f aca="false">VLOOKUP($A106,VolatilityTable,26)</f>
        <v>-0.01</v>
      </c>
      <c r="AQ106" s="1513" t="n">
        <f aca="false">VLOOKUP($A106,VolatilityTable,27)</f>
        <v>0.16</v>
      </c>
      <c r="AR106" s="1515" t="n">
        <f aca="false">VLOOKUP($A106,VolatilityTable,28)</f>
        <v>0.01</v>
      </c>
      <c r="AS106" s="1581" t="n">
        <f aca="false">IF(CorrPeakOffPeakOverFlag,INDEX(CorrPeakOffPeakOver,C106),CorrPeakOffPeak)</f>
        <v>0.5</v>
      </c>
      <c r="AT106" s="594" t="e">
        <f aca="false">AX106-SUM(AU106:AW106)</f>
        <v>#VALUE!</v>
      </c>
      <c r="AU106" s="238" t="e">
        <f aca="false">IF(E106="",0,INT((F106-MOD(F106,7)-E106)/7)+1-IF(AW106,IF(WEEKDAY(D106)=7,1,0),0))</f>
        <v>#VALUE!</v>
      </c>
      <c r="AV106" s="238" t="e">
        <f aca="false">IF(E106="",0,INT((F106-MOD(F106-1,7)-E106)/7)+1-IF(AW106,IF(WEEKDAY(D106)=1,1,0),0))</f>
        <v>#VALUE!</v>
      </c>
      <c r="AW106" s="238" t="e">
        <f aca="false">IF(OR(E106="",D106="",D106&lt;BegDate,D106&gt;EndDate),0,1)</f>
        <v>#VALUE!</v>
      </c>
      <c r="AX106" s="238" t="n">
        <f aca="false">IF(E106="",0,F106-E106+1)</f>
        <v>31</v>
      </c>
      <c r="AY106" s="1582" t="n">
        <f aca="false">IF(E106="",0,MIN((1-(1-VLOOKUP(B106,MAIN!$AA$7:$AM$28,C106+1))*(1-VLOOKUP(B106,MAIN!$AA$33:$AM$54,C106+1))),1))</f>
        <v>0.03</v>
      </c>
      <c r="AZ106" s="1519" t="e">
        <v>#VALUE!</v>
      </c>
      <c r="BA106" s="1520" t="e">
        <v>#VALUE!</v>
      </c>
      <c r="BB106" s="1520" t="e">
        <v>#VALUE!</v>
      </c>
      <c r="BC106" s="1583" t="e">
        <v>#VALUE!</v>
      </c>
      <c r="BD106" s="1522" t="e">
        <v>#VALUE!</v>
      </c>
      <c r="BE106" s="1523" t="e">
        <v>#VALUE!</v>
      </c>
      <c r="BF106" s="1523" t="e">
        <v>#VALUE!</v>
      </c>
      <c r="BG106" s="1584" t="e">
        <v>#VALUE!</v>
      </c>
      <c r="BH106" s="1525" t="e">
        <v>#VALUE!</v>
      </c>
      <c r="BI106" s="1520" t="e">
        <v>#VALUE!</v>
      </c>
      <c r="BJ106" s="1520" t="e">
        <v>#VALUE!</v>
      </c>
      <c r="BK106" s="1583" t="e">
        <v>#VALUE!</v>
      </c>
      <c r="BL106" s="1522" t="e">
        <v>#VALUE!</v>
      </c>
      <c r="BM106" s="1523" t="e">
        <v>#VALUE!</v>
      </c>
      <c r="BN106" s="1523" t="e">
        <v>#VALUE!</v>
      </c>
      <c r="BO106" s="1523" t="e">
        <v>#VALUE!</v>
      </c>
      <c r="BP106" s="1525" t="e">
        <f aca="false">SUM(AZ106:BB106)</f>
        <v>#VALUE!</v>
      </c>
      <c r="BQ106" s="1529" t="e">
        <f aca="false">SUM(AZ106:BC106)</f>
        <v>#VALUE!</v>
      </c>
      <c r="BR106" s="1519" t="e">
        <f aca="false">SUM(BH106:BJ106)</f>
        <v>#VALUE!</v>
      </c>
      <c r="BS106" s="1529" t="e">
        <f aca="false">SUM(BH106:BK106)</f>
        <v>#VALUE!</v>
      </c>
      <c r="BT106" s="1316" t="n">
        <f aca="false">(IF(OVolType&lt;&gt;2,A106+14,IF(OptExpDateShift,ShiftBack(A106,OptExpDateShift,D105),A106))-DateToday)/365.25</f>
        <v>7.46338124572211</v>
      </c>
      <c r="BU106" s="1585" t="e">
        <f aca="false">IF(BQ106,IF(OPriceCurve,IF(OBuySell=OCallPut,I106/(1-AY106),K106/(1-AY106)),J106/(1-AY106))*BD106,0)</f>
        <v>#VALUE!</v>
      </c>
      <c r="BV106" s="1316" t="e">
        <f aca="false">IF(BQ106,IF(OPriceCurve,IF(OBuySell=OCallPut,L106/(1-AY106),N106/(1-AY106)),M106/(1-AY106))*BE106,0)</f>
        <v>#VALUE!</v>
      </c>
      <c r="BW106" s="1316" t="e">
        <f aca="false">IF(BQ106,IF(OPriceCurve,IF(OBuySell=OCallPut,O106/(1-AY106),Q106/(1-AY106)),P106/(1-AY106))*BF106,0)</f>
        <v>#VALUE!</v>
      </c>
      <c r="BX106" s="1316" t="e">
        <f aca="false">IF(BQ106,IF(OPriceCurve,IF(OBuySell=OCallPut,R106/(1-AY106),T106/(1-AY106)),S106/(1-AY106))*BG106,0)</f>
        <v>#VALUE!</v>
      </c>
      <c r="BY106" s="1316" t="e">
        <f aca="false">IF(BP106,(BU106*AZ106+BV106*BA106+BW106*BB106)/BP106,0)</f>
        <v>#VALUE!</v>
      </c>
      <c r="BZ106" s="1316" t="e">
        <f aca="false">IF(BQ106,(BY106*BP106+BX106*BC106)/BQ106,0)</f>
        <v>#VALUE!</v>
      </c>
      <c r="CA106" s="1531" t="e">
        <f aca="false">IF(BS106,IF(OPriceCurve,IF(OBuySell=OCallPut,I106/(1-AY106),K106/(1-AY106)),J106/(1-AY106))*BL106,0)</f>
        <v>#VALUE!</v>
      </c>
      <c r="CB106" s="1316" t="e">
        <f aca="false">IF(BS106,IF(OPriceCurve,IF(OBuySell=OCallPut,L106/(1-AY106),N106/(1-AY106)),M106/(1-AY106))*BM106,0)</f>
        <v>#VALUE!</v>
      </c>
      <c r="CC106" s="1316" t="e">
        <f aca="false">IF(BS106,IF(OPriceCurve,IF(OBuySell=OCallPut,O106/(1-AY106),Q106/(1-AY106)),P106/(1-AY106))*BN106,0)</f>
        <v>#VALUE!</v>
      </c>
      <c r="CD106" s="1316" t="e">
        <f aca="false">IF(BS106,IF(OPriceCurve,IF(OBuySell=OCallPut,R106/(1-AY106),T106/(1-AY106)),S106/(1-AY106))*BO106,0)</f>
        <v>#VALUE!</v>
      </c>
      <c r="CE106" s="1316" t="e">
        <f aca="false">IF(BR106,(BU106*BH106+BV106*BI106+BW106*BJ106)/BR106,0)</f>
        <v>#VALUE!</v>
      </c>
      <c r="CF106" s="1532" t="e">
        <f aca="false">IF(BS106,(CE106*BR106+CD106*BK106)/BS106,0)</f>
        <v>#VALUE!</v>
      </c>
      <c r="CG106" s="1586" t="e">
        <f aca="false">IF(OR(BQ106,BS106),IF(OVolType&lt;&gt;2,SQRT(IF(OVolOverMonthlyPeak,OVolOverMonthlyPeak,IF(OVolCurve,IF(OBuySell,U106,W106),V106))^2*(1-15/365.25/BT106)+IF(OVolOverDailyPeak,OVolOverDailyPeak,IF(OVolCurve,IF(OBuySell,AG106,AI106),AH106))^2*15/365.25/BT106),IF(OVolOverMonthlyPeak,OVolOverMonthlyPeak,IF(OVolCurve,IF(OBuySell,U106,W106),V106))),"")</f>
        <v>#VALUE!</v>
      </c>
      <c r="CH106" s="1587" t="e">
        <f aca="false">IF(OR(BQ106,BS106),IF(OVolType&lt;&gt;2,SQRT(IF(OVolOverMonthlyPeak,OVolOverMonthlyPeak,IF(OVolCurve,IF(OBuySell,X106,Z106),Y106))^2*(1-15/365.25/BT106)+IF(OVolOverDailyPeak,OVolOverDailyPeak,IF(OVolCurve,IF(OBuySell,AJ106,AL106),AK106))^2*15/365.25/BT106),IF(OVolOverMonthlyPeak,OVolOverMonthlyPeak,IF(OVolCurve,IF(OBuySell,X106,Z106),Y106))),"")</f>
        <v>#VALUE!</v>
      </c>
      <c r="CI106" s="1587" t="e">
        <f aca="false">IF(OR(BQ106,BS106),IF(OVolType&lt;&gt;2,SQRT(IF(OVolOverMonthlyPeak,OVolOverMonthlyPeak,IF(OVolCurve,IF(OBuySell,AA106,AC106),AB106))^2*(1-15/365.25/BT106)+IF(OVolOverDailyPeak,OVolOverDailyPeak,IF(OVolCurve,IF(OBuySell,AM106,AO106),AN106))^2*15/365.25/BT106),IF(OVolOverMonthlyPeak,OVolOverMonthlyPeak,IF(OVolCurve,IF(OBuySell,AA106,AC106),AB106))),"")</f>
        <v>#VALUE!</v>
      </c>
      <c r="CJ106" s="1587" t="e">
        <f aca="false">IF(BQ106,IF(BP106,SQRT(LN(1+((BU106*AZ106)^2*(EXP(CG106^2*BT106)-1)+(BV106*BA106)^2*(EXP(CH106^2*BT106)-1)+(BW106*BB106)^2*(EXP(CI106^2*BT106)-1)+2*BU106*AZ106*BV106*BA106*(EXP(CG106*CH106*BT106)-1)+2*BV106*BA106*BW106*BB106*(EXP(CH106*CI106*BT106)-1)+2*BW106*BB106*BU106*AZ106*(EXP(CI106*CG106*BT106)-1))/(BY106*BP106)^2)/BT106),0),"")</f>
        <v>#VALUE!</v>
      </c>
      <c r="CK106" s="1587" t="e">
        <f aca="false">IF(BS106,IF(BR106,SQRT(LN(1+((CA106*BH106)^2*(EXP(CG106^2*BT106)-1)+(CB106*BI106)^2*(EXP(CH106^2*BT106)-1)+(CC106*BJ106)^2*(EXP(CI106^2*BT106)-1)+2*CA106*BH106*CB106*BI106*(EXP(CG106*CH106*BT106)-1)+2*CB106*BI106*CC106*BJ106*(EXP(CH106*CI106*BT106)-1)+2*CC106*BJ106*CA106*BH106*(EXP(CI106*CG106*BT106)-1))/(CE106*BR106)^2)/BT106),0),"")</f>
        <v>#VALUE!</v>
      </c>
      <c r="CL106" s="1587" t="e">
        <f aca="false">IF(OR(BQ106,BS106),IF(OVolType&lt;&gt;2,SQRT(IF(OVolOverMonthlyOffPeak,OVolOverMonthlyOffPeak,IF(OVolCurve,IF(OBuySell,AD106,AF106),AE106))^2*(1-15/365.25/BT106)+IF(OVolOverDailyOffPeak,OVolOverDailyOffPeak,IF(OVolCurve,IF(OBuySell,AP106,AR106),AQ106))^2*15/365.25/BT106),IF(OVolOverMonthlyOffPeak,OVolOverMonthlyOffPeak,IF(OVolCurve,IF(OBuySell,AD106,AF106),AE106))),"")</f>
        <v>#VALUE!</v>
      </c>
      <c r="CM106" s="1587" t="e">
        <f aca="false">IF(BQ106,SQRT(LN(1+((BY106*BP106)^2*(EXP(CJ106^2*BT106)-1)+(BX106*BC106)^2*(EXP(CL106^2*BT106)-1)+2*BY106*BP106*BX106*BC106*(EXP(AS106*CJ106*CL106*BT106)-1))/(BY106*BP106+BX106*BC106)^2)/BT106),"")</f>
        <v>#VALUE!</v>
      </c>
      <c r="CN106" s="1588" t="e">
        <f aca="false">IF(BS106,SQRT(LN(1+((CE106*BR106)^2*(EXP(CK106^2*BT106)-1)+(CD106*BK106)^2*(EXP(CL106^2*BT106)-1)+2*CE106*BR106*CD106*BK106*(EXP(AS106*CK106*CL106*BT106)-1))/(CE106*BR106+CD106*BK106)^2)/BT106),"")</f>
        <v>#VALUE!</v>
      </c>
      <c r="CO106" s="1531" t="e">
        <f aca="false">IF(OR(BQ106,BS106),VLOOKUP(A106,GasTable,13)*HeatRatePeak*(1+VLOOKUP($B106,HeatRateDegradation,$C106+1))/1000,0)</f>
        <v>#VALUE!</v>
      </c>
      <c r="CP106" s="1316" t="e">
        <f aca="false">IF(OR(BQ106,BS106),VLOOKUP(A106,GasTable,13)*HeatRatePeak*(1+VLOOKUP($B106,HeatRateDegradation,$C106+1))/1000,0)</f>
        <v>#VALUE!</v>
      </c>
      <c r="CQ106" s="1316" t="e">
        <f aca="false">IF(OR(BQ106,BS106),VLOOKUP(A106,GasTable,13)*IF(EV106,HeatRatePeak,HeatRateOffPeak)*(1+VLOOKUP($B106,HeatRateDegradation,$C106+1))/1000,0)</f>
        <v>#VALUE!</v>
      </c>
      <c r="CR106" s="1316" t="e">
        <f aca="false">IF(OR(BQ106,BS106),VLOOKUP(A106,GasTable,13)*IF(EW106,HeatRatePeak,HeatRateOffPeak)*(1+VLOOKUP($B106,HeatRateDegradation,$C106+1))/1000,0)</f>
        <v>#VALUE!</v>
      </c>
      <c r="CS106" s="1589" t="e">
        <f aca="false">IF(BQ106,(CO106*AZ106+CP106*BA106+CQ106*BB106+CR106*BC106)/BQ106,0)</f>
        <v>#VALUE!</v>
      </c>
      <c r="CT106" s="1316" t="e">
        <f aca="false">IF(BS106,CO106,0)</f>
        <v>#VALUE!</v>
      </c>
      <c r="CU106" s="1590" t="e">
        <f aca="false">IF(OR(BQ106,BS106),VLOOKUP(A106,GasTable,14),"")</f>
        <v>#VALUE!</v>
      </c>
      <c r="CV106" s="1568" t="e">
        <f aca="false">IF(OR(BQ106,BS106),IF(CorrPowerGasOverFlag,INDEX(CorrPowerGasOver,C106),CorrPowerGas),"")</f>
        <v>#VALUE!</v>
      </c>
      <c r="CW106" s="1316" t="e">
        <f aca="false">IF(OR($BQ106,$BS106),SpreadOptPowerMargin,0)*((1+Assumptions!$C$26)^($B106-YEAR(Assumptions!$C$17)))</f>
        <v>#VALUE!</v>
      </c>
      <c r="CX106" s="1316" t="e">
        <f aca="false">IF(OR($BQ106,$BS106),SpreadOptPowerMargin,0)*((1+Assumptions!$C$26)^($B106-YEAR(Assumptions!$C$17)))</f>
        <v>#VALUE!</v>
      </c>
      <c r="CY106" s="1316" t="e">
        <f aca="false">IF(OR($BQ106,$BS106),SpreadOptPowerMargin,0)*((1+Assumptions!$C$26)^($B106-YEAR(Assumptions!$C$17)))</f>
        <v>#VALUE!</v>
      </c>
      <c r="CZ106" s="1316" t="e">
        <f aca="false">IF(OR($BQ106,$BS106),SpreadOptPowerMargin,0)*((1+Assumptions!$C$26)^($B106-YEAR(Assumptions!$C$17)))</f>
        <v>#VALUE!</v>
      </c>
      <c r="DA106" s="1591" t="e">
        <f aca="false">IF(OR(BQ106,BS106),(CW106*(AZ106+BH106)+CX106*(BA106+BI106)+CY106*(BB106+BJ106)+CZ106*(BC106+BK106))/(BQ106+BS106),0)</f>
        <v>#VALUE!</v>
      </c>
      <c r="DB106" s="1592" t="e">
        <f aca="false">IF(OR(BQ106,BS106),CG106+IF(OVolSmile,VLOOKUP(MAX(-5,CO106+CW106-BU106),IF(OVolSmile=1,VolSmileBook,VolSmileModel),2),0),"")</f>
        <v>#VALUE!</v>
      </c>
      <c r="DC106" s="1592" t="e">
        <f aca="false">IF(OR(BQ106,BS106),CH106+IF(OVolSmile,VLOOKUP(MAX(-5,CP106+CW106-BV106),IF(OVolSmile=1,VolSmileBook,VolSmileModel),2),0),"")</f>
        <v>#VALUE!</v>
      </c>
      <c r="DD106" s="1592" t="e">
        <f aca="false">IF(OR(BQ106,BS106),CI106+IF(OVolSmile,VLOOKUP(MAX(-5,CQ106+CW106-BW106),IF(OVolSmile=1,VolSmileBook,VolSmileModel),2),0),"")</f>
        <v>#VALUE!</v>
      </c>
      <c r="DE106" s="1592" t="e">
        <f aca="false">IF(OR(BQ106,BS106),CL106+IF(OVolSmile,VLOOKUP(MAX(-5,CR106+CZ106-BX106),IF(OVolSmile=1,VolSmileBook,VolSmileModel),2),0),"")</f>
        <v>#VALUE!</v>
      </c>
      <c r="DF106" s="1592" t="e">
        <f aca="false">IF(BQ106,CM106+IF(OVolSmile,VLOOKUP(MAX(-5,CS106+DA106-BZ106),IF(OVolSmile=1,VolSmileBook,VolSmileModel),2),0),"")</f>
        <v>#VALUE!</v>
      </c>
      <c r="DG106" s="1593" t="e">
        <f aca="false">IF(BS106,CN106+IF(OVolSmile,VLOOKUP(MAX(-5,CT106+DA106-CF106),IF(OVolSmile=1,VolSmileBook,VolSmileModel),2),0),"")</f>
        <v>#VALUE!</v>
      </c>
      <c r="DH106" s="1316" t="e">
        <f aca="false">IF(AND(BU106&gt;0,CO106&gt;0,DB106&gt;0,CU106&gt;0),newSPRDOPT(BU106,CO106,CW106,0,DB106,CU106,CV106,BT106*365.25,OCallPut,0),0)</f>
        <v>#VALUE!</v>
      </c>
      <c r="DI106" s="1316" t="e">
        <f aca="false">IF(AND(BV106&gt;0,CP106&gt;0,DC106&gt;0,CU106&gt;0),newSPRDOPT(BV106,CP106,CX106,0,DC106,CU106,CV106,BT106*365.25,OCallPut,0),0)</f>
        <v>#VALUE!</v>
      </c>
      <c r="DJ106" s="1316" t="e">
        <f aca="false">IF(AND(BW106&gt;0,CQ106&gt;0,DD106&gt;0,CU106&gt;0),newSPRDOPT(BW106,CQ106,CY106,0,DD106,CU106,CV106,BT106*365.25,OCallPut,0),0)</f>
        <v>#VALUE!</v>
      </c>
      <c r="DK106" s="1316" t="e">
        <f aca="false">IF(AND(BX106&gt;0,CR106&gt;0,DE106&gt;0,CU106&gt;0),newSPRDOPT(BX106,CR106,CZ106,0,DE106,CU106,CV106,BT106*365.25,OCallPut,0),0)</f>
        <v>#VALUE!</v>
      </c>
      <c r="DL106" s="1316" t="e">
        <f aca="false">IF(OVolType,IF(AND(BZ106&gt;0,CS106&gt;0,DF106&gt;0,CU106&gt;0),newSPRDOPT(BZ106,CS106,DA106,0,DF106,CU106,CV106,BT106*365.25,OCallPut,0),0),IF(BQ106,(DH106*AZ106+DI106*BA106+DJ106*BB106+DK106*BC106)/BQ106,0))</f>
        <v>#VALUE!</v>
      </c>
      <c r="DM106" s="1316"/>
      <c r="DN106" s="1316"/>
      <c r="DO106" s="1316"/>
      <c r="DP106" s="1316"/>
      <c r="DQ106" s="1316"/>
      <c r="DR106" s="1316"/>
      <c r="DS106" s="1316"/>
      <c r="DT106" s="1316"/>
      <c r="DU106" s="1316"/>
      <c r="DV106" s="1316"/>
      <c r="DW106" s="1594" t="e">
        <f aca="false">IF(AND(BW106&gt;0,CT106&gt;0,DD106&gt;0,CU106&gt;0),newSPRDOPT(BW106,CT106,CY106,0,DD106,CU106,CV106,BT106*365.25,OCallPut,0),0)</f>
        <v>#VALUE!</v>
      </c>
      <c r="DX106" s="1316" t="e">
        <f aca="false">IF(AND(BX106&gt;0,CT106&gt;0,DE106&gt;0,CU106&gt;0),newSPRDOPT(BX106,CT106,CZ106,0,DE106,CU106,CV106,BT106*365.25,OCallPut,0),0)</f>
        <v>#VALUE!</v>
      </c>
      <c r="DY106" s="1591" t="e">
        <f aca="false">IF(BS106,(DH106*BH106+DI106*BI106+DW106*BJ106+DX106*BK106)/BS106,0)</f>
        <v>#VALUE!</v>
      </c>
      <c r="DZ106" s="1551" t="e">
        <f aca="false">DH106*AZ106</f>
        <v>#VALUE!</v>
      </c>
      <c r="EA106" s="1551" t="e">
        <f aca="false">DI106*BA106</f>
        <v>#VALUE!</v>
      </c>
      <c r="EB106" s="1551" t="e">
        <f aca="false">DJ106*BB106</f>
        <v>#VALUE!</v>
      </c>
      <c r="EC106" s="1551" t="e">
        <f aca="false">DK106*BC106</f>
        <v>#VALUE!</v>
      </c>
      <c r="ED106" s="1551" t="e">
        <f aca="false">DL106*BQ106</f>
        <v>#VALUE!</v>
      </c>
      <c r="EE106" s="1595" t="e">
        <f aca="false">IF(BQ106,IF(OCallPut,IF(BU106&gt;(CO106+CW106),BU106-(CO106+CW106),0),IF((CO106+CW106)&gt;BU106,(CO106+CW106)-BU106,0))*AZ106,0)</f>
        <v>#VALUE!</v>
      </c>
      <c r="EF106" s="1596" t="e">
        <f aca="false">IF(BQ106,IF(OCallPut,IF(BV106&gt;(CP106+CX106),BV106-(CP106+CX106),0),IF((CP106+CX106)&gt;BV106,(CP106+CX106)-BV106,0))*BA106,0)</f>
        <v>#VALUE!</v>
      </c>
      <c r="EG106" s="1596" t="e">
        <f aca="false">IF(BQ106,IF(OCallPut,IF(BW106&gt;(CQ106+CY106),BW106-(CQ106+CY106),0),IF((CQ106+CY106)&gt;BW106,(CQ106+CY106)-BW106,0))*BB106,0)</f>
        <v>#VALUE!</v>
      </c>
      <c r="EH106" s="1596" t="e">
        <f aca="false">IF(BQ106,IF(OCallPut,IF(BX106&gt;(CR106+CZ106),BX106-(CR106+CZ106),0),IF((CR106+CZ106)&gt;BX106,(CR106+CZ106)-BX106,0))*BC106,0)</f>
        <v>#VALUE!</v>
      </c>
      <c r="EI106" s="1597" t="e">
        <f aca="false">IF(BQ106,IF(OVolType,IF(OCallPut,IF(BZ106&gt;(CS106+DA106),BZ106-(CS106+DA106),0),IF((CS106+DA106)&gt;BZ106,(CS106+DA106)-BZ106,0))*BQ106,SUM(EE106:EH106)),0)</f>
        <v>#VALUE!</v>
      </c>
      <c r="EJ106" s="1595" t="e">
        <f aca="false">DZ106-EE106</f>
        <v>#VALUE!</v>
      </c>
      <c r="EK106" s="1596" t="e">
        <f aca="false">EA106-EF106</f>
        <v>#VALUE!</v>
      </c>
      <c r="EL106" s="1596" t="e">
        <f aca="false">EB106-EG106</f>
        <v>#VALUE!</v>
      </c>
      <c r="EM106" s="1596" t="e">
        <f aca="false">EC106-EH106</f>
        <v>#VALUE!</v>
      </c>
      <c r="EN106" s="1597" t="e">
        <f aca="false">ED106-EI106</f>
        <v>#VALUE!</v>
      </c>
      <c r="EO106" s="1551" t="e">
        <f aca="false">DH106*BH106</f>
        <v>#VALUE!</v>
      </c>
      <c r="EP106" s="1551" t="e">
        <f aca="false">DI106*BI106</f>
        <v>#VALUE!</v>
      </c>
      <c r="EQ106" s="1551" t="e">
        <f aca="false">DW106*BJ106</f>
        <v>#VALUE!</v>
      </c>
      <c r="ER106" s="1551" t="e">
        <f aca="false">DX106*BK106</f>
        <v>#VALUE!</v>
      </c>
      <c r="ES106" s="1551" t="e">
        <f aca="false">DY106*BS106</f>
        <v>#VALUE!</v>
      </c>
      <c r="ET106" s="1566" t="e">
        <f aca="false">IF(EI106,IF(OCallPut,IF(CA106&gt;(CT106+CW106),CA106-(CT106+CW106),0),IF((CT106+CW106)&gt;CA106,(CT106+CW106)-CA106,0))*BH106,0)</f>
        <v>#VALUE!</v>
      </c>
      <c r="EU106" s="1551" t="e">
        <f aca="false">IF(EI106,IF(OCallPut,IF(CB106&gt;(CT106+CX106),CB106-(CT106+CX106),0),IF((CT106+CX106)&gt;CB106,(CT106+CX106)-CB106,0))*BI106,0)</f>
        <v>#VALUE!</v>
      </c>
      <c r="EV106" s="1551" t="e">
        <f aca="false">IF(EI106,IF(OCallPut,IF(CC106&gt;(CT106+CY106),CC106-(CT106+CY106),0),IF((CT106+CY106)&gt;CC106,(CT106+CY106)-CC106,0))*BJ106,0)</f>
        <v>#VALUE!</v>
      </c>
      <c r="EW106" s="1551" t="e">
        <f aca="false">IF(EI106,IF(OCallPut,IF(CD106&gt;(CT106+CZ106),CD106-(CT106+CZ106),0),IF((CT106+CZ106)&gt;CD106,(CT106+CZ106)-CD106,0))*BK106,0)</f>
        <v>#VALUE!</v>
      </c>
      <c r="EX106" s="1558" t="e">
        <f aca="false">IF(EI106,SUM(ET106:EW106),0)</f>
        <v>#VALUE!</v>
      </c>
      <c r="EY106" s="1551" t="e">
        <f aca="false">EO106-ET106</f>
        <v>#VALUE!</v>
      </c>
      <c r="EZ106" s="1551" t="e">
        <f aca="false">EP106-EU106</f>
        <v>#VALUE!</v>
      </c>
      <c r="FA106" s="1551" t="e">
        <f aca="false">EQ106-EV106</f>
        <v>#VALUE!</v>
      </c>
      <c r="FB106" s="1551" t="e">
        <f aca="false">ER106-EW106</f>
        <v>#VALUE!</v>
      </c>
      <c r="FC106" s="1551" t="e">
        <f aca="false">ES106-EX106</f>
        <v>#VALUE!</v>
      </c>
      <c r="FD106" s="1525" t="n">
        <f aca="false">IF(AX106,IF(VLOOKUP(C106,MAIN!$L$17:$M$28,2)="Yes",VLOOKUP(CALC!B106,MAIN!$H$17:$I$20,2),0),0)</f>
        <v>0</v>
      </c>
      <c r="FE106" s="1552" t="e">
        <f aca="false">$FD106*16*AT106*(1-$AY106)</f>
        <v>#VALUE!</v>
      </c>
      <c r="FF106" s="1553" t="e">
        <f aca="false">$FD106*16*AU106*(1-$AY106)</f>
        <v>#VALUE!</v>
      </c>
      <c r="FG106" s="1553" t="e">
        <f aca="false">$FD106*16*(AV106+AW106)*(1-$AY106)</f>
        <v>#VALUE!</v>
      </c>
      <c r="FH106" s="1554" t="n">
        <f aca="false">$FD106*8*AX106*(1-$AY106)</f>
        <v>0</v>
      </c>
      <c r="FI106" s="1555" t="n">
        <f aca="false">IF(AX106,VLOOKUP(CALC!B106,MAIN!$H$17:$K$20,4),0)</f>
        <v>0</v>
      </c>
      <c r="FJ106" s="1553" t="e">
        <f aca="false">SUM(FE106:FH106)</f>
        <v>#VALUE!</v>
      </c>
      <c r="FK106" s="1556" t="e">
        <f aca="false">FI106*FJ106</f>
        <v>#VALUE!</v>
      </c>
      <c r="FL106" s="1551" t="e">
        <f aca="false">IF($EI106&gt;0,MIN(FE106,AZ106*(1+VLOOKUP($C106,WeatherCapacityAdjustment,2))),0)</f>
        <v>#VALUE!</v>
      </c>
      <c r="FM106" s="1551" t="e">
        <f aca="false">IF($EI106&gt;0,MIN(FF106,BA106*(1+VLOOKUP($C106,WeatherCapacityAdjustment,2))),0)</f>
        <v>#VALUE!</v>
      </c>
      <c r="FN106" s="1551" t="e">
        <f aca="false">IF($EI106&gt;0,MIN(FG106,BB106*(1+VLOOKUP($C106,WeatherCapacityAdjustment,2))),0)</f>
        <v>#VALUE!</v>
      </c>
      <c r="FO106" s="1564" t="e">
        <f aca="false">IF($EI106&gt;0,MIN(FH106,BC106*(1+VLOOKUP($C106,WeatherCapacityAdjustment,3))),0)</f>
        <v>#VALUE!</v>
      </c>
      <c r="FP106" s="1551" t="e">
        <f aca="false">IF(ET106&gt;0,MIN(FE106-FL106,BH106*(1+VLOOKUP($C106,WeatherCapacityAdjustment,2))),0)</f>
        <v>#VALUE!</v>
      </c>
      <c r="FQ106" s="1551" t="e">
        <f aca="false">IF(EU106&gt;0,MIN(FF106-FM106,BI106*(1+VLOOKUP($C106,WeatherCapacityAdjustment,2))),0)</f>
        <v>#VALUE!</v>
      </c>
      <c r="FR106" s="1551" t="e">
        <f aca="false">IF(EV106&gt;0,MIN(FG106-FN106,BJ106*(1+VLOOKUP($C106,WeatherCapacityAdjustment,2))),0)</f>
        <v>#VALUE!</v>
      </c>
      <c r="FS106" s="1558" t="e">
        <f aca="false">IF(EW106&gt;0,MIN(FH106-FO106,BK106*(1+VLOOKUP($C106,WeatherCapacityAdjustment,3))),0)</f>
        <v>#VALUE!</v>
      </c>
      <c r="FT106" s="1566" t="e">
        <f aca="false">IF(AND(Assumptions!$H$71="Yes",A106&gt;=Assumptions!$H$72,A106&lt;=Assumptions!$H$73),0,IF(AND($A106&gt;=Assumptions!$C$17,$A106&lt;=Assumptions!$C$18),MAX(AZ106*(1+VLOOKUP($C106,WeatherCapacityAdjustment,2))-FL106,0),0))</f>
        <v>#VALUE!</v>
      </c>
      <c r="FU106" s="1551" t="e">
        <f aca="false">IF(AND(Assumptions!$H$71="Yes",A106&gt;=Assumptions!$H$72,A106&lt;=Assumptions!$H$73),0,IF(AND($A106&gt;=Assumptions!$C$17,$A106&lt;=Assumptions!$C$18),MAX(BA106*(1+VLOOKUP($C106,WeatherCapacityAdjustment,2))-FM106,0),0))</f>
        <v>#VALUE!</v>
      </c>
      <c r="FV106" s="1551" t="e">
        <f aca="false">IF(AND(Assumptions!$H$71="Yes",A106&gt;=Assumptions!$H$72,A106&lt;=Assumptions!$H$73),0,IF(AND($A106&gt;=Assumptions!$C$17,$A106&lt;=Assumptions!$C$18),MAX(BB106*(1+VLOOKUP($C106,WeatherCapacityAdjustment,2))-FN106,0),0))</f>
        <v>#VALUE!</v>
      </c>
      <c r="FW106" s="1564" t="e">
        <f aca="false">IF(AND(Assumptions!$H$71="Yes",A106&gt;=Assumptions!$H$72,A106&lt;=Assumptions!$H$73),0,IF(AND($A106&gt;=Assumptions!$C$17,$A106&lt;=Assumptions!$C$18),MAX(BC106*(1+VLOOKUP($C106,WeatherCapacityAdjustment,3))-FO106,0),0))</f>
        <v>#VALUE!</v>
      </c>
      <c r="FX106" s="1569" t="e">
        <f aca="false">IF(AND(Assumptions!$H$71="Yes",A106&gt;=Assumptions!$H$72,A106&lt;=Assumptions!$H$73),0,IF(ET106&gt;0,MAX(BH106*(1+VLOOKUP($C106,WeatherCapacityAdjustment,2))-FP106,0),0))</f>
        <v>#VALUE!</v>
      </c>
      <c r="FY106" s="1551" t="e">
        <f aca="false">IF(AND(Assumptions!$H$71="Yes",A106&gt;=Assumptions!$H$72,A106&lt;=Assumptions!$H$73),0,IF(EU106&gt;0,MAX(BI106*(1+VLOOKUP($C106,WeatherCapacityAdjustment,3))-FQ106,0),0))</f>
        <v>#VALUE!</v>
      </c>
      <c r="FZ106" s="1551" t="e">
        <f aca="false">IF(AND(Assumptions!$H$71="Yes",A106&gt;=Assumptions!$H$72,A106&lt;=Assumptions!$H$73),0,IF(EV106&gt;0,MAX(BJ106*(1+VLOOKUP($C106,WeatherCapacityAdjustment,2))-FR106,0),0))</f>
        <v>#VALUE!</v>
      </c>
      <c r="GA106" s="1564" t="e">
        <f aca="false">IF(AND(Assumptions!$H$71="Yes",A106&gt;=Assumptions!$H$72,A106&lt;=Assumptions!$H$73),0,IF(EW106&gt;0,MAX(BK106*(1+VLOOKUP($C106,WeatherCapacityAdjustment,2))-FS106,0),0))</f>
        <v>#VALUE!</v>
      </c>
      <c r="GB106" s="1551" t="e">
        <f aca="false">SUM(FT106:GA106)</f>
        <v>#VALUE!</v>
      </c>
      <c r="GC106" s="1563" t="e">
        <f aca="false">+IF(SUM(FT106:GA106)=0,0,(SUMPRODUCT(BU106:BX106,FT106:FW106)+SUMPRODUCT(CA106:CD106,FX106:GA106))/SUM(FT106:GA106))</f>
        <v>#VALUE!</v>
      </c>
      <c r="GD106" s="1551" t="e">
        <f aca="false">(FT106*BU106+FX106*CA106+FU106*BV106+FY106*CB106+FV106*BW106+FZ106*CC106+FW106*BX106+GA106*CD106)</f>
        <v>#VALUE!</v>
      </c>
      <c r="GE106" s="1561" t="e">
        <f aca="false">+IF(BQ106,((FL106+FM106+FT106+FU106)*HeatRatePeak/1000*(1+VLOOKUP($C106,WeatherHeatRateAdjustment,2))+(FN106+FV106)*IF(EV106&gt;0,HeatRatePeak,HeatRateOffPeak)/1000*(1+VLOOKUP($C106,WeatherHeatRateAdjustment,2))+(FO106+FW106)*IF(EW106&gt;0,HeatRatePeak,HeatRateOffPeak)/1000*(1+VLOOKUP($C106,WeatherHeatRateAdjustment,3)))*(1+VLOOKUP($B106,HeatRateDegradation,$C106+1)),0)</f>
        <v>#VALUE!</v>
      </c>
      <c r="GF106" s="1562" t="e">
        <f aca="false">IF(BQ106,((FP106+FQ106+FR106+FX106+FY106+FZ106)*HeatRatePeak/1000*(1+VLOOKUP($C106,WeatherHeatRateAdjustment,2))+(FS106+GA106)*HeatRatePeak/1000*(1+VLOOKUP($C106,WeatherHeatRateAdjustment,3)))*(1+VLOOKUP($B106,HeatRateDegradation,$C106+1)),0)</f>
        <v>#VALUE!</v>
      </c>
      <c r="GG106" s="1563" t="e">
        <f aca="false">IF(BQ106,VLOOKUP(A106,GasTable,13),0)</f>
        <v>#VALUE!</v>
      </c>
      <c r="GH106" s="1564" t="e">
        <f aca="false">(GE106+GF106)*GG106</f>
        <v>#VALUE!</v>
      </c>
      <c r="GI106" s="1569" t="e">
        <f aca="false">GB106</f>
        <v>#VALUE!</v>
      </c>
      <c r="GJ106" s="1598" t="e">
        <f aca="false">+DA106</f>
        <v>#VALUE!</v>
      </c>
      <c r="GK106" s="1558" t="e">
        <f aca="false">+GI106*GJ106</f>
        <v>#VALUE!</v>
      </c>
      <c r="GL106" s="1566" t="e">
        <f aca="false">MAX(FE106-FL106-FP106,0)</f>
        <v>#VALUE!</v>
      </c>
      <c r="GM106" s="1551" t="e">
        <f aca="false">MAX(FF106-FM106-FQ106,0)</f>
        <v>#VALUE!</v>
      </c>
      <c r="GN106" s="1551" t="e">
        <f aca="false">MAX(FG106-FN106-FR106,0)</f>
        <v>#VALUE!</v>
      </c>
      <c r="GO106" s="1564" t="e">
        <f aca="false">MAX(FH106-FO106-FS106,0)</f>
        <v>#VALUE!</v>
      </c>
      <c r="GP106" s="1551" t="e">
        <f aca="false">SUM(GL106:GO106)</f>
        <v>#VALUE!</v>
      </c>
      <c r="GQ106" s="1563" t="e">
        <f aca="false">IF(SUM(GL106:GO106)=0,0,((GL106*BU106+GM106*BV106+GN106*BW106+GO106*BX106)/SUM(GL106:GO106)))</f>
        <v>#VALUE!</v>
      </c>
      <c r="GR106" s="1558" t="e">
        <f aca="false">(GL106*BU106+GM106*BV106+GN106*BW106+GO106*BX106)</f>
        <v>#VALUE!</v>
      </c>
      <c r="GS106" s="1566" t="n">
        <f aca="false">IF($A106&gt;=BegDate,Assumptions!$C$56*24*($A107-$A106)*(1-VLOOKUP($B106,MAIN!$AA$7:$AM$28,$C106+1))*(1-VLOOKUP($B106,MAIN!$AA$33:$AM$54,$C106+1)),0)*80/168</f>
        <v>257742.857142857</v>
      </c>
      <c r="GT106" s="286" t="n">
        <f aca="false">J106</f>
        <v>44.8318231855502</v>
      </c>
      <c r="GU106" s="286" t="n">
        <f aca="false">IF($A106&gt;=BegDate,VLOOKUP($A106,GasTable,13)+Assumptions!$C$58,0)</f>
        <v>2.90901995908169</v>
      </c>
      <c r="GV106" s="286" t="n">
        <f aca="false">GU106*Assumptions!$C$57/1000</f>
        <v>21.0903947033422</v>
      </c>
      <c r="GW106" s="1558" t="n">
        <f aca="false">IF(Assumptions!$C$60="Hourly",MAX(0,GS106*(GT106-GV106)),GS106*(GT106-GV106))</f>
        <v>6119183.6096571</v>
      </c>
      <c r="GX106" s="1566" t="n">
        <f aca="false">IF($A106&gt;=BegDate,Assumptions!$C$56*24*($A107-$A106)*(1-VLOOKUP($B106,MAIN!$AA$7:$AM$28,$C106+1))*(1-VLOOKUP($B106,MAIN!$AA$33:$AM$54,$C106+1)),0)*16/168</f>
        <v>51548.5714285714</v>
      </c>
      <c r="GY106" s="286" t="n">
        <f aca="false">M106</f>
        <v>44.8318231855502</v>
      </c>
      <c r="GZ106" s="286" t="n">
        <f aca="false">IF($A106&gt;=BegDate,VLOOKUP($A106,GasTable,13)+Assumptions!$C$58,0)</f>
        <v>2.90901995908169</v>
      </c>
      <c r="HA106" s="286" t="n">
        <f aca="false">GZ106*Assumptions!$C$57/1000</f>
        <v>21.0903947033422</v>
      </c>
      <c r="HB106" s="1558" t="n">
        <f aca="false">IF(Assumptions!$C$60="Hourly",MAX(0,GX106*(GY106-HA106)),GX106*(GY106-HA106))</f>
        <v>1223836.72193142</v>
      </c>
      <c r="HC106" s="1566" t="n">
        <f aca="false">IF($A106&gt;=BegDate,Assumptions!$C$56*24*($A107-$A106)*(1-VLOOKUP($B106,MAIN!$AA$7:$AM$28,$C106+1))*(1-VLOOKUP($B106,MAIN!$AA$33:$AM$54,$C106+1)),0)*16/168</f>
        <v>51548.5714285714</v>
      </c>
      <c r="HD106" s="286" t="n">
        <f aca="false">P106</f>
        <v>25.7939664041981</v>
      </c>
      <c r="HE106" s="286" t="n">
        <f aca="false">IF($A106&gt;=BegDate,VLOOKUP($A106,GasTable,13)+Assumptions!$C$58,0)</f>
        <v>2.90901995908169</v>
      </c>
      <c r="HF106" s="286" t="n">
        <f aca="false">HE106*Assumptions!$C$57/1000</f>
        <v>21.0903947033422</v>
      </c>
      <c r="HG106" s="1558" t="n">
        <f aca="false">IF(Assumptions!$C$60="Hourly",MAX(0,HC106*(HD106-HF106)),HC106*(HD106-HF106))</f>
        <v>242462.401790977</v>
      </c>
      <c r="HH106" s="1566" t="n">
        <f aca="false">IF($A106&gt;=BegDate,Assumptions!$C$56*24*($A107-$A106)*(1-VLOOKUP($B106,MAIN!$AA$7:$AM$28,$C106+1))*(1-VLOOKUP($B106,MAIN!$AA$33:$AM$54,$C106+1)),0)*56/168</f>
        <v>180420</v>
      </c>
      <c r="HI106" s="286" t="n">
        <f aca="false">S106</f>
        <v>25.7939664041981</v>
      </c>
      <c r="HJ106" s="286" t="n">
        <f aca="false">IF($A106&gt;=BegDate,VLOOKUP($A106,GasTable,13)+Assumptions!$C$58,0)</f>
        <v>2.90901995908169</v>
      </c>
      <c r="HK106" s="286" t="n">
        <f aca="false">HJ106*Assumptions!$C$57/1000</f>
        <v>21.0903947033422</v>
      </c>
      <c r="HL106" s="1558" t="n">
        <f aca="false">IF(Assumptions!$C$60="Hourly",MAX(0,HH106*(HI106-HK106)),HH106*(HI106-HK106))</f>
        <v>848618.40626842</v>
      </c>
      <c r="HM106" s="1566" t="n">
        <f aca="false">IF(AND(Assumptions!$H$71="Yes",A106&gt;=Assumptions!$H$72,A106&lt;=Assumptions!$H$73),Assumptions!$H$74*Assumptions!$C$9*1000,0)</f>
        <v>0</v>
      </c>
      <c r="HN106" s="1551"/>
      <c r="HO106" s="1563"/>
      <c r="HP106" s="1563"/>
      <c r="HQ106" s="1563"/>
      <c r="HR106" s="1563"/>
      <c r="HS106" s="1563"/>
      <c r="HT106" s="1563"/>
      <c r="HU106" s="1563"/>
      <c r="HV106" s="1563"/>
      <c r="HW106" s="1563"/>
      <c r="HX106" s="1563"/>
      <c r="HY106" s="1563"/>
      <c r="HZ106" s="1563"/>
      <c r="IA106" s="1563"/>
      <c r="IB106" s="1563"/>
      <c r="IC106" s="1563"/>
      <c r="ID106" s="1563"/>
      <c r="IE106" s="1563"/>
      <c r="IF106" s="1563"/>
      <c r="IG106" s="1563"/>
      <c r="IH106" s="1563"/>
      <c r="II106" s="1610"/>
      <c r="IJ106" s="1309"/>
      <c r="IK106" s="1309"/>
    </row>
    <row r="107" customFormat="false" ht="12.75" hidden="false" customHeight="false" outlineLevel="0" collapsed="false">
      <c r="A107" s="1571" t="n">
        <f aca="false">EOMONTH(A106,0)+1</f>
        <v>39387</v>
      </c>
      <c r="B107" s="594" t="n">
        <f aca="false">+YEAR(A107)</f>
        <v>2007</v>
      </c>
      <c r="C107" s="238" t="n">
        <f aca="false">MONTH(A107)</f>
        <v>11</v>
      </c>
      <c r="D107" s="1572" t="e">
        <f aca="false">IF(E107="","",Holiday(B107,C107))</f>
        <v>#VALUE!</v>
      </c>
      <c r="E107" s="1573" t="n">
        <f aca="false">IF(OR(BegDate&gt;=A108,EndDate&lt;A107,AND(VolumeMonthlyOverFlag,INDEX(VolumeMonthlyOver,C107)=0),NOT(INDEX(MonthKnockOutTable,C107))),"",MAX(A107,BegDate))</f>
        <v>39387</v>
      </c>
      <c r="F107" s="1574" t="n">
        <f aca="false">IF(E107="","",MIN(A108-1,EndDate))</f>
        <v>39416</v>
      </c>
      <c r="G107" s="1575" t="n">
        <v>0</v>
      </c>
      <c r="H107" s="1576" t="n">
        <f aca="false">(1+G107/2)^(-2*(DATE(B108,C108,20)-DateToday)/365.25)</f>
        <v>1</v>
      </c>
      <c r="I107" s="1568" t="n">
        <f aca="false">IF(Assumptions!$L$25=4,VLOOKUP($A107,'Henwood Reference'!$E$9:$R$320,10),(VLOOKUP($A107,PriceTable,2,0)+IF(BasisNumber&lt;&gt;1,VLOOKUP($A107,BasisTable,2,0),0)+I$1)/(1-I$2))</f>
        <v>45.986596887238</v>
      </c>
      <c r="J107" s="1568" t="n">
        <f aca="false">IF(Assumptions!$L$25=4,VLOOKUP($A107,'Henwood Reference'!$E$9:$R$320,10),(VLOOKUP($A107,PriceTable,3,0)+IF(BasisNumber&lt;&gt;1,VLOOKUP($A107,BasisTable,2,0),0)+J$1)/(1-J$2))</f>
        <v>45.986596887238</v>
      </c>
      <c r="K107" s="1568" t="n">
        <f aca="false">IF(Assumptions!$L$25=4,VLOOKUP($A107,'Henwood Reference'!$E$9:$R$320,10),(VLOOKUP($A107,PriceTable,4,0)+IF(BasisNumber&lt;&gt;1,VLOOKUP($A107,BasisTable,2,0),0)+K$1)/(1-K$2))</f>
        <v>45.986596887238</v>
      </c>
      <c r="L107" s="1523" t="n">
        <f aca="false">IF(Assumptions!$L$25=4,VLOOKUP($A107,'Henwood Reference'!$E$9:$R$320,10),(VLOOKUP($A107,PriceTableWeekend,2,0)+IF(BasisNumber&lt;&gt;1,VLOOKUP($A107,BasisTable,2,0),0)+L$1)/(1-L$2))</f>
        <v>45.986596887238</v>
      </c>
      <c r="M107" s="1568" t="n">
        <f aca="false">IF(Assumptions!$L$25=4,VLOOKUP($A107,'Henwood Reference'!$E$9:$R$320,10),(VLOOKUP($A107,PriceTableWeekend,3,0)+IF(BasisNumber&lt;&gt;1,VLOOKUP($A107,BasisTable,2,0),0)+M$1)/(1-M$2))</f>
        <v>45.986596887238</v>
      </c>
      <c r="N107" s="1599" t="n">
        <f aca="false">IF(Assumptions!$L$25=4,VLOOKUP($A107,'Henwood Reference'!$E$9:$R$320,10),(VLOOKUP($A107,PriceTableWeekend,4,0)+IF(BasisNumber&lt;&gt;1,VLOOKUP($A107,BasisTable,2,0),0)+N$1)/(1-N$2))</f>
        <v>45.986596887238</v>
      </c>
      <c r="O107" s="1568" t="n">
        <f aca="false">IF(Assumptions!$L$25=4,VLOOKUP($A107,'Henwood Reference'!$E$9:$R$320,11),(VLOOKUP($A107,PriceTableWeekend,6,0)+IF(BasisNumber&lt;&gt;1,VLOOKUP($A107,BasisTable,3,0),0)+O$1)/(1-O$2))</f>
        <v>28.1810500901401</v>
      </c>
      <c r="P107" s="1568" t="n">
        <f aca="false">IF(Assumptions!$L$25=4,VLOOKUP($A107,'Henwood Reference'!$E$9:$R$320,11),(VLOOKUP($A107,PriceTableWeekend,7,0)+IF(BasisNumber&lt;&gt;1,VLOOKUP($A107,BasisTable,3,0),0)+P$1)/(1-P$2))</f>
        <v>28.1810500901401</v>
      </c>
      <c r="Q107" s="1599" t="n">
        <f aca="false">IF(Assumptions!$L$25=4,VLOOKUP($A107,'Henwood Reference'!$E$9:$R$320,11),(VLOOKUP($A107,PriceTableWeekend,8,0)+IF(BasisNumber&lt;&gt;1,VLOOKUP($A107,BasisTable,3,0),0)+Q$1)/(1-Q$2))</f>
        <v>28.1810500901401</v>
      </c>
      <c r="R107" s="1568" t="n">
        <f aca="false">IF(Assumptions!$L$25=4,VLOOKUP($A107,'Henwood Reference'!$E$9:$R$320,11),(VLOOKUP($A107,PriceTable,6,0)+IF(BasisNumber&lt;&gt;1,VLOOKUP($A107,BasisTable,3,0),0)+R$1)/(1-R$2))</f>
        <v>28.1810500901401</v>
      </c>
      <c r="S107" s="1568" t="n">
        <f aca="false">IF(Assumptions!$L$25=4,VLOOKUP($A107,'Henwood Reference'!$E$9:$R$320,11),(VLOOKUP($A107,PriceTable,7,0)+IF(BasisNumber&lt;&gt;1,VLOOKUP($A107,BasisTable,3,0),0)+S$1)/(1-S$2))</f>
        <v>28.1810500901401</v>
      </c>
      <c r="T107" s="1600" t="n">
        <f aca="false">IF(Assumptions!$L$25=4,VLOOKUP($A107,'Henwood Reference'!$E$9:$R$320,11),(VLOOKUP($A107,PriceTable,8,0)+IF(BasisNumber&lt;&gt;1,VLOOKUP($A107,BasisTable,3,0),0)+T$1)/(1-T$2))</f>
        <v>28.1810500901401</v>
      </c>
      <c r="U107" s="1513" t="n">
        <f aca="false">VLOOKUP($A107,VolatilityTable,14)</f>
        <v>0.135</v>
      </c>
      <c r="V107" s="1513" t="n">
        <f aca="false">VLOOKUP($A107,VolatilityTable,15)</f>
        <v>0.145</v>
      </c>
      <c r="W107" s="1514" t="n">
        <f aca="false">VLOOKUP($A107,VolatilityTable,16)</f>
        <v>0.155</v>
      </c>
      <c r="X107" s="1513" t="n">
        <f aca="false">VLOOKUP($A107,VolatilityTable,14)</f>
        <v>0.135</v>
      </c>
      <c r="Y107" s="1513" t="n">
        <f aca="false">VLOOKUP($A107,VolatilityTable,15)</f>
        <v>0.145</v>
      </c>
      <c r="Z107" s="1514" t="n">
        <f aca="false">VLOOKUP($A107,VolatilityTable,16)</f>
        <v>0.155</v>
      </c>
      <c r="AA107" s="1513" t="n">
        <f aca="false">VLOOKUP($A107,VolatilityTable,18)</f>
        <v>0.09</v>
      </c>
      <c r="AB107" s="1513" t="n">
        <f aca="false">VLOOKUP($A107,VolatilityTable,19)</f>
        <v>0.11</v>
      </c>
      <c r="AC107" s="1514" t="n">
        <f aca="false">VLOOKUP($A107,VolatilityTable,20)</f>
        <v>0.13</v>
      </c>
      <c r="AD107" s="1513" t="n">
        <f aca="false">VLOOKUP($A107,VolatilityTable,18)</f>
        <v>0.09</v>
      </c>
      <c r="AE107" s="1513" t="n">
        <f aca="false">VLOOKUP($A107,VolatilityTable,19)</f>
        <v>0.11</v>
      </c>
      <c r="AF107" s="1514" t="n">
        <f aca="false">VLOOKUP($A107,VolatilityTable,20)</f>
        <v>0.13</v>
      </c>
      <c r="AG107" s="1513" t="n">
        <f aca="false">VLOOKUP($A107,VolatilityTable,22)</f>
        <v>-0.1</v>
      </c>
      <c r="AH107" s="1513" t="n">
        <f aca="false">VLOOKUP($A107,VolatilityTable,23)</f>
        <v>0.6</v>
      </c>
      <c r="AI107" s="1514" t="n">
        <f aca="false">VLOOKUP($A107,VolatilityTable,24)</f>
        <v>0.1</v>
      </c>
      <c r="AJ107" s="1513" t="n">
        <f aca="false">VLOOKUP($A107,VolatilityTable,22)</f>
        <v>-0.1</v>
      </c>
      <c r="AK107" s="1513" t="n">
        <f aca="false">VLOOKUP($A107,VolatilityTable,23)</f>
        <v>0.6</v>
      </c>
      <c r="AL107" s="1514" t="n">
        <f aca="false">VLOOKUP($A107,VolatilityTable,24)</f>
        <v>0.1</v>
      </c>
      <c r="AM107" s="1513" t="n">
        <f aca="false">VLOOKUP($A107,VolatilityTable,26)</f>
        <v>-0.01</v>
      </c>
      <c r="AN107" s="1513" t="n">
        <f aca="false">VLOOKUP($A107,VolatilityTable,27)</f>
        <v>0.16</v>
      </c>
      <c r="AO107" s="1514" t="n">
        <f aca="false">VLOOKUP($A107,VolatilityTable,28)</f>
        <v>0.01</v>
      </c>
      <c r="AP107" s="1513" t="n">
        <f aca="false">VLOOKUP($A107,VolatilityTable,26)</f>
        <v>-0.01</v>
      </c>
      <c r="AQ107" s="1513" t="n">
        <f aca="false">VLOOKUP($A107,VolatilityTable,27)</f>
        <v>0.16</v>
      </c>
      <c r="AR107" s="1515" t="n">
        <f aca="false">VLOOKUP($A107,VolatilityTable,28)</f>
        <v>0.01</v>
      </c>
      <c r="AS107" s="1581" t="n">
        <f aca="false">IF(CorrPeakOffPeakOverFlag,INDEX(CorrPeakOffPeakOver,C107),CorrPeakOffPeak)</f>
        <v>0.5</v>
      </c>
      <c r="AT107" s="594" t="e">
        <f aca="false">AX107-SUM(AU107:AW107)</f>
        <v>#VALUE!</v>
      </c>
      <c r="AU107" s="238" t="e">
        <f aca="false">IF(E107="",0,INT((F107-MOD(F107,7)-E107)/7)+1-IF(AW107,IF(WEEKDAY(D107)=7,1,0),0))</f>
        <v>#VALUE!</v>
      </c>
      <c r="AV107" s="238" t="e">
        <f aca="false">IF(E107="",0,INT((F107-MOD(F107-1,7)-E107)/7)+1-IF(AW107,IF(WEEKDAY(D107)=1,1,0),0))</f>
        <v>#VALUE!</v>
      </c>
      <c r="AW107" s="238" t="e">
        <f aca="false">IF(OR(E107="",D107="",D107&lt;BegDate,D107&gt;EndDate),0,1)</f>
        <v>#VALUE!</v>
      </c>
      <c r="AX107" s="238" t="n">
        <f aca="false">IF(E107="",0,F107-E107+1)</f>
        <v>30</v>
      </c>
      <c r="AY107" s="1582" t="n">
        <f aca="false">IF(E107="",0,MIN((1-(1-VLOOKUP(B107,MAIN!$AA$7:$AM$28,C107+1))*(1-VLOOKUP(B107,MAIN!$AA$33:$AM$54,C107+1))),1))</f>
        <v>0.03</v>
      </c>
      <c r="AZ107" s="1519" t="e">
        <v>#VALUE!</v>
      </c>
      <c r="BA107" s="1520" t="e">
        <v>#VALUE!</v>
      </c>
      <c r="BB107" s="1520" t="e">
        <v>#VALUE!</v>
      </c>
      <c r="BC107" s="1583" t="e">
        <v>#VALUE!</v>
      </c>
      <c r="BD107" s="1522" t="e">
        <v>#VALUE!</v>
      </c>
      <c r="BE107" s="1523" t="e">
        <v>#VALUE!</v>
      </c>
      <c r="BF107" s="1523" t="e">
        <v>#VALUE!</v>
      </c>
      <c r="BG107" s="1584" t="e">
        <v>#VALUE!</v>
      </c>
      <c r="BH107" s="1525" t="e">
        <v>#VALUE!</v>
      </c>
      <c r="BI107" s="1520" t="e">
        <v>#VALUE!</v>
      </c>
      <c r="BJ107" s="1520" t="e">
        <v>#VALUE!</v>
      </c>
      <c r="BK107" s="1583" t="e">
        <v>#VALUE!</v>
      </c>
      <c r="BL107" s="1522" t="e">
        <v>#VALUE!</v>
      </c>
      <c r="BM107" s="1523" t="e">
        <v>#VALUE!</v>
      </c>
      <c r="BN107" s="1523" t="e">
        <v>#VALUE!</v>
      </c>
      <c r="BO107" s="1523" t="e">
        <v>#VALUE!</v>
      </c>
      <c r="BP107" s="1525" t="e">
        <f aca="false">SUM(AZ107:BB107)</f>
        <v>#VALUE!</v>
      </c>
      <c r="BQ107" s="1529" t="e">
        <f aca="false">SUM(AZ107:BC107)</f>
        <v>#VALUE!</v>
      </c>
      <c r="BR107" s="1519" t="e">
        <f aca="false">SUM(BH107:BJ107)</f>
        <v>#VALUE!</v>
      </c>
      <c r="BS107" s="1529" t="e">
        <f aca="false">SUM(BH107:BK107)</f>
        <v>#VALUE!</v>
      </c>
      <c r="BT107" s="1316" t="n">
        <f aca="false">(IF(OVolType&lt;&gt;2,A107+14,IF(OptExpDateShift,ShiftBack(A107,OptExpDateShift,D106),A107))-DateToday)/365.25</f>
        <v>7.5482546201232</v>
      </c>
      <c r="BU107" s="1585" t="e">
        <f aca="false">IF(BQ107,IF(OPriceCurve,IF(OBuySell=OCallPut,I107/(1-AY107),K107/(1-AY107)),J107/(1-AY107))*BD107,0)</f>
        <v>#VALUE!</v>
      </c>
      <c r="BV107" s="1316" t="e">
        <f aca="false">IF(BQ107,IF(OPriceCurve,IF(OBuySell=OCallPut,L107/(1-AY107),N107/(1-AY107)),M107/(1-AY107))*BE107,0)</f>
        <v>#VALUE!</v>
      </c>
      <c r="BW107" s="1316" t="e">
        <f aca="false">IF(BQ107,IF(OPriceCurve,IF(OBuySell=OCallPut,O107/(1-AY107),Q107/(1-AY107)),P107/(1-AY107))*BF107,0)</f>
        <v>#VALUE!</v>
      </c>
      <c r="BX107" s="1316" t="e">
        <f aca="false">IF(BQ107,IF(OPriceCurve,IF(OBuySell=OCallPut,R107/(1-AY107),T107/(1-AY107)),S107/(1-AY107))*BG107,0)</f>
        <v>#VALUE!</v>
      </c>
      <c r="BY107" s="1316" t="e">
        <f aca="false">IF(BP107,(BU107*AZ107+BV107*BA107+BW107*BB107)/BP107,0)</f>
        <v>#VALUE!</v>
      </c>
      <c r="BZ107" s="1316" t="e">
        <f aca="false">IF(BQ107,(BY107*BP107+BX107*BC107)/BQ107,0)</f>
        <v>#VALUE!</v>
      </c>
      <c r="CA107" s="1531" t="e">
        <f aca="false">IF(BS107,IF(OPriceCurve,IF(OBuySell=OCallPut,I107/(1-AY107),K107/(1-AY107)),J107/(1-AY107))*BL107,0)</f>
        <v>#VALUE!</v>
      </c>
      <c r="CB107" s="1316" t="e">
        <f aca="false">IF(BS107,IF(OPriceCurve,IF(OBuySell=OCallPut,L107/(1-AY107),N107/(1-AY107)),M107/(1-AY107))*BM107,0)</f>
        <v>#VALUE!</v>
      </c>
      <c r="CC107" s="1316" t="e">
        <f aca="false">IF(BS107,IF(OPriceCurve,IF(OBuySell=OCallPut,O107/(1-AY107),Q107/(1-AY107)),P107/(1-AY107))*BN107,0)</f>
        <v>#VALUE!</v>
      </c>
      <c r="CD107" s="1316" t="e">
        <f aca="false">IF(BS107,IF(OPriceCurve,IF(OBuySell=OCallPut,R107/(1-AY107),T107/(1-AY107)),S107/(1-AY107))*BO107,0)</f>
        <v>#VALUE!</v>
      </c>
      <c r="CE107" s="1316" t="e">
        <f aca="false">IF(BR107,(BU107*BH107+BV107*BI107+BW107*BJ107)/BR107,0)</f>
        <v>#VALUE!</v>
      </c>
      <c r="CF107" s="1532" t="e">
        <f aca="false">IF(BS107,(CE107*BR107+CD107*BK107)/BS107,0)</f>
        <v>#VALUE!</v>
      </c>
      <c r="CG107" s="1586" t="e">
        <f aca="false">IF(OR(BQ107,BS107),IF(OVolType&lt;&gt;2,SQRT(IF(OVolOverMonthlyPeak,OVolOverMonthlyPeak,IF(OVolCurve,IF(OBuySell,U107,W107),V107))^2*(1-15/365.25/BT107)+IF(OVolOverDailyPeak,OVolOverDailyPeak,IF(OVolCurve,IF(OBuySell,AG107,AI107),AH107))^2*15/365.25/BT107),IF(OVolOverMonthlyPeak,OVolOverMonthlyPeak,IF(OVolCurve,IF(OBuySell,U107,W107),V107))),"")</f>
        <v>#VALUE!</v>
      </c>
      <c r="CH107" s="1587" t="e">
        <f aca="false">IF(OR(BQ107,BS107),IF(OVolType&lt;&gt;2,SQRT(IF(OVolOverMonthlyPeak,OVolOverMonthlyPeak,IF(OVolCurve,IF(OBuySell,X107,Z107),Y107))^2*(1-15/365.25/BT107)+IF(OVolOverDailyPeak,OVolOverDailyPeak,IF(OVolCurve,IF(OBuySell,AJ107,AL107),AK107))^2*15/365.25/BT107),IF(OVolOverMonthlyPeak,OVolOverMonthlyPeak,IF(OVolCurve,IF(OBuySell,X107,Z107),Y107))),"")</f>
        <v>#VALUE!</v>
      </c>
      <c r="CI107" s="1587" t="e">
        <f aca="false">IF(OR(BQ107,BS107),IF(OVolType&lt;&gt;2,SQRT(IF(OVolOverMonthlyPeak,OVolOverMonthlyPeak,IF(OVolCurve,IF(OBuySell,AA107,AC107),AB107))^2*(1-15/365.25/BT107)+IF(OVolOverDailyPeak,OVolOverDailyPeak,IF(OVolCurve,IF(OBuySell,AM107,AO107),AN107))^2*15/365.25/BT107),IF(OVolOverMonthlyPeak,OVolOverMonthlyPeak,IF(OVolCurve,IF(OBuySell,AA107,AC107),AB107))),"")</f>
        <v>#VALUE!</v>
      </c>
      <c r="CJ107" s="1587" t="e">
        <f aca="false">IF(BQ107,IF(BP107,SQRT(LN(1+((BU107*AZ107)^2*(EXP(CG107^2*BT107)-1)+(BV107*BA107)^2*(EXP(CH107^2*BT107)-1)+(BW107*BB107)^2*(EXP(CI107^2*BT107)-1)+2*BU107*AZ107*BV107*BA107*(EXP(CG107*CH107*BT107)-1)+2*BV107*BA107*BW107*BB107*(EXP(CH107*CI107*BT107)-1)+2*BW107*BB107*BU107*AZ107*(EXP(CI107*CG107*BT107)-1))/(BY107*BP107)^2)/BT107),0),"")</f>
        <v>#VALUE!</v>
      </c>
      <c r="CK107" s="1587" t="e">
        <f aca="false">IF(BS107,IF(BR107,SQRT(LN(1+((CA107*BH107)^2*(EXP(CG107^2*BT107)-1)+(CB107*BI107)^2*(EXP(CH107^2*BT107)-1)+(CC107*BJ107)^2*(EXP(CI107^2*BT107)-1)+2*CA107*BH107*CB107*BI107*(EXP(CG107*CH107*BT107)-1)+2*CB107*BI107*CC107*BJ107*(EXP(CH107*CI107*BT107)-1)+2*CC107*BJ107*CA107*BH107*(EXP(CI107*CG107*BT107)-1))/(CE107*BR107)^2)/BT107),0),"")</f>
        <v>#VALUE!</v>
      </c>
      <c r="CL107" s="1587" t="e">
        <f aca="false">IF(OR(BQ107,BS107),IF(OVolType&lt;&gt;2,SQRT(IF(OVolOverMonthlyOffPeak,OVolOverMonthlyOffPeak,IF(OVolCurve,IF(OBuySell,AD107,AF107),AE107))^2*(1-15/365.25/BT107)+IF(OVolOverDailyOffPeak,OVolOverDailyOffPeak,IF(OVolCurve,IF(OBuySell,AP107,AR107),AQ107))^2*15/365.25/BT107),IF(OVolOverMonthlyOffPeak,OVolOverMonthlyOffPeak,IF(OVolCurve,IF(OBuySell,AD107,AF107),AE107))),"")</f>
        <v>#VALUE!</v>
      </c>
      <c r="CM107" s="1587" t="e">
        <f aca="false">IF(BQ107,SQRT(LN(1+((BY107*BP107)^2*(EXP(CJ107^2*BT107)-1)+(BX107*BC107)^2*(EXP(CL107^2*BT107)-1)+2*BY107*BP107*BX107*BC107*(EXP(AS107*CJ107*CL107*BT107)-1))/(BY107*BP107+BX107*BC107)^2)/BT107),"")</f>
        <v>#VALUE!</v>
      </c>
      <c r="CN107" s="1588" t="e">
        <f aca="false">IF(BS107,SQRT(LN(1+((CE107*BR107)^2*(EXP(CK107^2*BT107)-1)+(CD107*BK107)^2*(EXP(CL107^2*BT107)-1)+2*CE107*BR107*CD107*BK107*(EXP(AS107*CK107*CL107*BT107)-1))/(CE107*BR107+CD107*BK107)^2)/BT107),"")</f>
        <v>#VALUE!</v>
      </c>
      <c r="CO107" s="1531" t="e">
        <f aca="false">IF(OR(BQ107,BS107),VLOOKUP(A107,GasTable,13)*HeatRatePeak*(1+VLOOKUP($B107,HeatRateDegradation,$C107+1))/1000,0)</f>
        <v>#VALUE!</v>
      </c>
      <c r="CP107" s="1316" t="e">
        <f aca="false">IF(OR(BQ107,BS107),VLOOKUP(A107,GasTable,13)*HeatRatePeak*(1+VLOOKUP($B107,HeatRateDegradation,$C107+1))/1000,0)</f>
        <v>#VALUE!</v>
      </c>
      <c r="CQ107" s="1316" t="e">
        <f aca="false">IF(OR(BQ107,BS107),VLOOKUP(A107,GasTable,13)*IF(EV107,HeatRatePeak,HeatRateOffPeak)*(1+VLOOKUP($B107,HeatRateDegradation,$C107+1))/1000,0)</f>
        <v>#VALUE!</v>
      </c>
      <c r="CR107" s="1316" t="e">
        <f aca="false">IF(OR(BQ107,BS107),VLOOKUP(A107,GasTable,13)*IF(EW107,HeatRatePeak,HeatRateOffPeak)*(1+VLOOKUP($B107,HeatRateDegradation,$C107+1))/1000,0)</f>
        <v>#VALUE!</v>
      </c>
      <c r="CS107" s="1589" t="e">
        <f aca="false">IF(BQ107,(CO107*AZ107+CP107*BA107+CQ107*BB107+CR107*BC107)/BQ107,0)</f>
        <v>#VALUE!</v>
      </c>
      <c r="CT107" s="1316" t="e">
        <f aca="false">IF(BS107,CO107,0)</f>
        <v>#VALUE!</v>
      </c>
      <c r="CU107" s="1590" t="e">
        <f aca="false">IF(OR(BQ107,BS107),VLOOKUP(A107,GasTable,14),"")</f>
        <v>#VALUE!</v>
      </c>
      <c r="CV107" s="1568" t="e">
        <f aca="false">IF(OR(BQ107,BS107),IF(CorrPowerGasOverFlag,INDEX(CorrPowerGasOver,C107),CorrPowerGas),"")</f>
        <v>#VALUE!</v>
      </c>
      <c r="CW107" s="1316" t="e">
        <f aca="false">IF(OR($BQ107,$BS107),SpreadOptPowerMargin,0)*((1+Assumptions!$C$26)^($B107-YEAR(Assumptions!$C$17)))</f>
        <v>#VALUE!</v>
      </c>
      <c r="CX107" s="1316" t="e">
        <f aca="false">IF(OR($BQ107,$BS107),SpreadOptPowerMargin,0)*((1+Assumptions!$C$26)^($B107-YEAR(Assumptions!$C$17)))</f>
        <v>#VALUE!</v>
      </c>
      <c r="CY107" s="1316" t="e">
        <f aca="false">IF(OR($BQ107,$BS107),SpreadOptPowerMargin,0)*((1+Assumptions!$C$26)^($B107-YEAR(Assumptions!$C$17)))</f>
        <v>#VALUE!</v>
      </c>
      <c r="CZ107" s="1316" t="e">
        <f aca="false">IF(OR($BQ107,$BS107),SpreadOptPowerMargin,0)*((1+Assumptions!$C$26)^($B107-YEAR(Assumptions!$C$17)))</f>
        <v>#VALUE!</v>
      </c>
      <c r="DA107" s="1591" t="e">
        <f aca="false">IF(OR(BQ107,BS107),(CW107*(AZ107+BH107)+CX107*(BA107+BI107)+CY107*(BB107+BJ107)+CZ107*(BC107+BK107))/(BQ107+BS107),0)</f>
        <v>#VALUE!</v>
      </c>
      <c r="DB107" s="1592" t="e">
        <f aca="false">IF(OR(BQ107,BS107),CG107+IF(OVolSmile,VLOOKUP(MAX(-5,CO107+CW107-BU107),IF(OVolSmile=1,VolSmileBook,VolSmileModel),2),0),"")</f>
        <v>#VALUE!</v>
      </c>
      <c r="DC107" s="1592" t="e">
        <f aca="false">IF(OR(BQ107,BS107),CH107+IF(OVolSmile,VLOOKUP(MAX(-5,CP107+CW107-BV107),IF(OVolSmile=1,VolSmileBook,VolSmileModel),2),0),"")</f>
        <v>#VALUE!</v>
      </c>
      <c r="DD107" s="1592" t="e">
        <f aca="false">IF(OR(BQ107,BS107),CI107+IF(OVolSmile,VLOOKUP(MAX(-5,CQ107+CW107-BW107),IF(OVolSmile=1,VolSmileBook,VolSmileModel),2),0),"")</f>
        <v>#VALUE!</v>
      </c>
      <c r="DE107" s="1592" t="e">
        <f aca="false">IF(OR(BQ107,BS107),CL107+IF(OVolSmile,VLOOKUP(MAX(-5,CR107+CZ107-BX107),IF(OVolSmile=1,VolSmileBook,VolSmileModel),2),0),"")</f>
        <v>#VALUE!</v>
      </c>
      <c r="DF107" s="1592" t="e">
        <f aca="false">IF(BQ107,CM107+IF(OVolSmile,VLOOKUP(MAX(-5,CS107+DA107-BZ107),IF(OVolSmile=1,VolSmileBook,VolSmileModel),2),0),"")</f>
        <v>#VALUE!</v>
      </c>
      <c r="DG107" s="1593" t="e">
        <f aca="false">IF(BS107,CN107+IF(OVolSmile,VLOOKUP(MAX(-5,CT107+DA107-CF107),IF(OVolSmile=1,VolSmileBook,VolSmileModel),2),0),"")</f>
        <v>#VALUE!</v>
      </c>
      <c r="DH107" s="1316" t="e">
        <f aca="false">IF(AND(BU107&gt;0,CO107&gt;0,DB107&gt;0,CU107&gt;0),newSPRDOPT(BU107,CO107,CW107,0,DB107,CU107,CV107,BT107*365.25,OCallPut,0),0)</f>
        <v>#VALUE!</v>
      </c>
      <c r="DI107" s="1316" t="e">
        <f aca="false">IF(AND(BV107&gt;0,CP107&gt;0,DC107&gt;0,CU107&gt;0),newSPRDOPT(BV107,CP107,CX107,0,DC107,CU107,CV107,BT107*365.25,OCallPut,0),0)</f>
        <v>#VALUE!</v>
      </c>
      <c r="DJ107" s="1316" t="e">
        <f aca="false">IF(AND(BW107&gt;0,CQ107&gt;0,DD107&gt;0,CU107&gt;0),newSPRDOPT(BW107,CQ107,CY107,0,DD107,CU107,CV107,BT107*365.25,OCallPut,0),0)</f>
        <v>#VALUE!</v>
      </c>
      <c r="DK107" s="1316" t="e">
        <f aca="false">IF(AND(BX107&gt;0,CR107&gt;0,DE107&gt;0,CU107&gt;0),newSPRDOPT(BX107,CR107,CZ107,0,DE107,CU107,CV107,BT107*365.25,OCallPut,0),0)</f>
        <v>#VALUE!</v>
      </c>
      <c r="DL107" s="1316" t="e">
        <f aca="false">IF(OVolType,IF(AND(BZ107&gt;0,CS107&gt;0,DF107&gt;0,CU107&gt;0),newSPRDOPT(BZ107,CS107,DA107,0,DF107,CU107,CV107,BT107*365.25,OCallPut,0),0),IF(BQ107,(DH107*AZ107+DI107*BA107+DJ107*BB107+DK107*BC107)/BQ107,0))</f>
        <v>#VALUE!</v>
      </c>
      <c r="DM107" s="1316"/>
      <c r="DN107" s="1316"/>
      <c r="DO107" s="1316"/>
      <c r="DP107" s="1316"/>
      <c r="DQ107" s="1316"/>
      <c r="DR107" s="1316"/>
      <c r="DS107" s="1316"/>
      <c r="DT107" s="1316"/>
      <c r="DU107" s="1316"/>
      <c r="DV107" s="1316"/>
      <c r="DW107" s="1594" t="e">
        <f aca="false">IF(AND(BW107&gt;0,CT107&gt;0,DD107&gt;0,CU107&gt;0),newSPRDOPT(BW107,CT107,CY107,0,DD107,CU107,CV107,BT107*365.25,OCallPut,0),0)</f>
        <v>#VALUE!</v>
      </c>
      <c r="DX107" s="1316" t="e">
        <f aca="false">IF(AND(BX107&gt;0,CT107&gt;0,DE107&gt;0,CU107&gt;0),newSPRDOPT(BX107,CT107,CZ107,0,DE107,CU107,CV107,BT107*365.25,OCallPut,0),0)</f>
        <v>#VALUE!</v>
      </c>
      <c r="DY107" s="1591" t="e">
        <f aca="false">IF(BS107,(DH107*BH107+DI107*BI107+DW107*BJ107+DX107*BK107)/BS107,0)</f>
        <v>#VALUE!</v>
      </c>
      <c r="DZ107" s="1551" t="e">
        <f aca="false">DH107*AZ107</f>
        <v>#VALUE!</v>
      </c>
      <c r="EA107" s="1551" t="e">
        <f aca="false">DI107*BA107</f>
        <v>#VALUE!</v>
      </c>
      <c r="EB107" s="1551" t="e">
        <f aca="false">DJ107*BB107</f>
        <v>#VALUE!</v>
      </c>
      <c r="EC107" s="1551" t="e">
        <f aca="false">DK107*BC107</f>
        <v>#VALUE!</v>
      </c>
      <c r="ED107" s="1551" t="e">
        <f aca="false">DL107*BQ107</f>
        <v>#VALUE!</v>
      </c>
      <c r="EE107" s="1595" t="e">
        <f aca="false">IF(BQ107,IF(OCallPut,IF(BU107&gt;(CO107+CW107),BU107-(CO107+CW107),0),IF((CO107+CW107)&gt;BU107,(CO107+CW107)-BU107,0))*AZ107,0)</f>
        <v>#VALUE!</v>
      </c>
      <c r="EF107" s="1596" t="e">
        <f aca="false">IF(BQ107,IF(OCallPut,IF(BV107&gt;(CP107+CX107),BV107-(CP107+CX107),0),IF((CP107+CX107)&gt;BV107,(CP107+CX107)-BV107,0))*BA107,0)</f>
        <v>#VALUE!</v>
      </c>
      <c r="EG107" s="1596" t="e">
        <f aca="false">IF(BQ107,IF(OCallPut,IF(BW107&gt;(CQ107+CY107),BW107-(CQ107+CY107),0),IF((CQ107+CY107)&gt;BW107,(CQ107+CY107)-BW107,0))*BB107,0)</f>
        <v>#VALUE!</v>
      </c>
      <c r="EH107" s="1596" t="e">
        <f aca="false">IF(BQ107,IF(OCallPut,IF(BX107&gt;(CR107+CZ107),BX107-(CR107+CZ107),0),IF((CR107+CZ107)&gt;BX107,(CR107+CZ107)-BX107,0))*BC107,0)</f>
        <v>#VALUE!</v>
      </c>
      <c r="EI107" s="1597" t="e">
        <f aca="false">IF(BQ107,IF(OVolType,IF(OCallPut,IF(BZ107&gt;(CS107+DA107),BZ107-(CS107+DA107),0),IF((CS107+DA107)&gt;BZ107,(CS107+DA107)-BZ107,0))*BQ107,SUM(EE107:EH107)),0)</f>
        <v>#VALUE!</v>
      </c>
      <c r="EJ107" s="1595" t="e">
        <f aca="false">DZ107-EE107</f>
        <v>#VALUE!</v>
      </c>
      <c r="EK107" s="1596" t="e">
        <f aca="false">EA107-EF107</f>
        <v>#VALUE!</v>
      </c>
      <c r="EL107" s="1596" t="e">
        <f aca="false">EB107-EG107</f>
        <v>#VALUE!</v>
      </c>
      <c r="EM107" s="1596" t="e">
        <f aca="false">EC107-EH107</f>
        <v>#VALUE!</v>
      </c>
      <c r="EN107" s="1597" t="e">
        <f aca="false">ED107-EI107</f>
        <v>#VALUE!</v>
      </c>
      <c r="EO107" s="1551" t="e">
        <f aca="false">DH107*BH107</f>
        <v>#VALUE!</v>
      </c>
      <c r="EP107" s="1551" t="e">
        <f aca="false">DI107*BI107</f>
        <v>#VALUE!</v>
      </c>
      <c r="EQ107" s="1551" t="e">
        <f aca="false">DW107*BJ107</f>
        <v>#VALUE!</v>
      </c>
      <c r="ER107" s="1551" t="e">
        <f aca="false">DX107*BK107</f>
        <v>#VALUE!</v>
      </c>
      <c r="ES107" s="1551" t="e">
        <f aca="false">DY107*BS107</f>
        <v>#VALUE!</v>
      </c>
      <c r="ET107" s="1566" t="e">
        <f aca="false">IF(EI107,IF(OCallPut,IF(CA107&gt;(CT107+CW107),CA107-(CT107+CW107),0),IF((CT107+CW107)&gt;CA107,(CT107+CW107)-CA107,0))*BH107,0)</f>
        <v>#VALUE!</v>
      </c>
      <c r="EU107" s="1551" t="e">
        <f aca="false">IF(EI107,IF(OCallPut,IF(CB107&gt;(CT107+CX107),CB107-(CT107+CX107),0),IF((CT107+CX107)&gt;CB107,(CT107+CX107)-CB107,0))*BI107,0)</f>
        <v>#VALUE!</v>
      </c>
      <c r="EV107" s="1551" t="e">
        <f aca="false">IF(EI107,IF(OCallPut,IF(CC107&gt;(CT107+CY107),CC107-(CT107+CY107),0),IF((CT107+CY107)&gt;CC107,(CT107+CY107)-CC107,0))*BJ107,0)</f>
        <v>#VALUE!</v>
      </c>
      <c r="EW107" s="1551" t="e">
        <f aca="false">IF(EI107,IF(OCallPut,IF(CD107&gt;(CT107+CZ107),CD107-(CT107+CZ107),0),IF((CT107+CZ107)&gt;CD107,(CT107+CZ107)-CD107,0))*BK107,0)</f>
        <v>#VALUE!</v>
      </c>
      <c r="EX107" s="1558" t="e">
        <f aca="false">IF(EI107,SUM(ET107:EW107),0)</f>
        <v>#VALUE!</v>
      </c>
      <c r="EY107" s="1551" t="e">
        <f aca="false">EO107-ET107</f>
        <v>#VALUE!</v>
      </c>
      <c r="EZ107" s="1551" t="e">
        <f aca="false">EP107-EU107</f>
        <v>#VALUE!</v>
      </c>
      <c r="FA107" s="1551" t="e">
        <f aca="false">EQ107-EV107</f>
        <v>#VALUE!</v>
      </c>
      <c r="FB107" s="1551" t="e">
        <f aca="false">ER107-EW107</f>
        <v>#VALUE!</v>
      </c>
      <c r="FC107" s="1551" t="e">
        <f aca="false">ES107-EX107</f>
        <v>#VALUE!</v>
      </c>
      <c r="FD107" s="1525" t="n">
        <f aca="false">IF(AX107,IF(VLOOKUP(C107,MAIN!$L$17:$M$28,2)="Yes",VLOOKUP(CALC!B107,MAIN!$H$17:$I$20,2),0),0)</f>
        <v>0</v>
      </c>
      <c r="FE107" s="1552" t="e">
        <f aca="false">$FD107*16*AT107*(1-$AY107)</f>
        <v>#VALUE!</v>
      </c>
      <c r="FF107" s="1553" t="e">
        <f aca="false">$FD107*16*AU107*(1-$AY107)</f>
        <v>#VALUE!</v>
      </c>
      <c r="FG107" s="1553" t="e">
        <f aca="false">$FD107*16*(AV107+AW107)*(1-$AY107)</f>
        <v>#VALUE!</v>
      </c>
      <c r="FH107" s="1554" t="n">
        <f aca="false">$FD107*8*AX107*(1-$AY107)</f>
        <v>0</v>
      </c>
      <c r="FI107" s="1555" t="n">
        <f aca="false">IF(AX107,VLOOKUP(CALC!B107,MAIN!$H$17:$K$20,4),0)</f>
        <v>0</v>
      </c>
      <c r="FJ107" s="1553" t="e">
        <f aca="false">SUM(FE107:FH107)</f>
        <v>#VALUE!</v>
      </c>
      <c r="FK107" s="1556" t="e">
        <f aca="false">FI107*FJ107</f>
        <v>#VALUE!</v>
      </c>
      <c r="FL107" s="1551" t="e">
        <f aca="false">IF($EI107&gt;0,MIN(FE107,AZ107*(1+VLOOKUP($C107,WeatherCapacityAdjustment,2))),0)</f>
        <v>#VALUE!</v>
      </c>
      <c r="FM107" s="1551" t="e">
        <f aca="false">IF($EI107&gt;0,MIN(FF107,BA107*(1+VLOOKUP($C107,WeatherCapacityAdjustment,2))),0)</f>
        <v>#VALUE!</v>
      </c>
      <c r="FN107" s="1551" t="e">
        <f aca="false">IF($EI107&gt;0,MIN(FG107,BB107*(1+VLOOKUP($C107,WeatherCapacityAdjustment,2))),0)</f>
        <v>#VALUE!</v>
      </c>
      <c r="FO107" s="1564" t="e">
        <f aca="false">IF($EI107&gt;0,MIN(FH107,BC107*(1+VLOOKUP($C107,WeatherCapacityAdjustment,3))),0)</f>
        <v>#VALUE!</v>
      </c>
      <c r="FP107" s="1551" t="e">
        <f aca="false">IF(ET107&gt;0,MIN(FE107-FL107,BH107*(1+VLOOKUP($C107,WeatherCapacityAdjustment,2))),0)</f>
        <v>#VALUE!</v>
      </c>
      <c r="FQ107" s="1551" t="e">
        <f aca="false">IF(EU107&gt;0,MIN(FF107-FM107,BI107*(1+VLOOKUP($C107,WeatherCapacityAdjustment,2))),0)</f>
        <v>#VALUE!</v>
      </c>
      <c r="FR107" s="1551" t="e">
        <f aca="false">IF(EV107&gt;0,MIN(FG107-FN107,BJ107*(1+VLOOKUP($C107,WeatherCapacityAdjustment,2))),0)</f>
        <v>#VALUE!</v>
      </c>
      <c r="FS107" s="1558" t="e">
        <f aca="false">IF(EW107&gt;0,MIN(FH107-FO107,BK107*(1+VLOOKUP($C107,WeatherCapacityAdjustment,3))),0)</f>
        <v>#VALUE!</v>
      </c>
      <c r="FT107" s="1566" t="e">
        <f aca="false">IF(AND(Assumptions!$H$71="Yes",A107&gt;=Assumptions!$H$72,A107&lt;=Assumptions!$H$73),0,IF(AND($A107&gt;=Assumptions!$C$17,$A107&lt;=Assumptions!$C$18),MAX(AZ107*(1+VLOOKUP($C107,WeatherCapacityAdjustment,2))-FL107,0),0))</f>
        <v>#VALUE!</v>
      </c>
      <c r="FU107" s="1551" t="e">
        <f aca="false">IF(AND(Assumptions!$H$71="Yes",A107&gt;=Assumptions!$H$72,A107&lt;=Assumptions!$H$73),0,IF(AND($A107&gt;=Assumptions!$C$17,$A107&lt;=Assumptions!$C$18),MAX(BA107*(1+VLOOKUP($C107,WeatherCapacityAdjustment,2))-FM107,0),0))</f>
        <v>#VALUE!</v>
      </c>
      <c r="FV107" s="1551" t="e">
        <f aca="false">IF(AND(Assumptions!$H$71="Yes",A107&gt;=Assumptions!$H$72,A107&lt;=Assumptions!$H$73),0,IF(AND($A107&gt;=Assumptions!$C$17,$A107&lt;=Assumptions!$C$18),MAX(BB107*(1+VLOOKUP($C107,WeatherCapacityAdjustment,2))-FN107,0),0))</f>
        <v>#VALUE!</v>
      </c>
      <c r="FW107" s="1564" t="e">
        <f aca="false">IF(AND(Assumptions!$H$71="Yes",A107&gt;=Assumptions!$H$72,A107&lt;=Assumptions!$H$73),0,IF(AND($A107&gt;=Assumptions!$C$17,$A107&lt;=Assumptions!$C$18),MAX(BC107*(1+VLOOKUP($C107,WeatherCapacityAdjustment,3))-FO107,0),0))</f>
        <v>#VALUE!</v>
      </c>
      <c r="FX107" s="1569" t="e">
        <f aca="false">IF(AND(Assumptions!$H$71="Yes",A107&gt;=Assumptions!$H$72,A107&lt;=Assumptions!$H$73),0,IF(ET107&gt;0,MAX(BH107*(1+VLOOKUP($C107,WeatherCapacityAdjustment,2))-FP107,0),0))</f>
        <v>#VALUE!</v>
      </c>
      <c r="FY107" s="1551" t="e">
        <f aca="false">IF(AND(Assumptions!$H$71="Yes",A107&gt;=Assumptions!$H$72,A107&lt;=Assumptions!$H$73),0,IF(EU107&gt;0,MAX(BI107*(1+VLOOKUP($C107,WeatherCapacityAdjustment,3))-FQ107,0),0))</f>
        <v>#VALUE!</v>
      </c>
      <c r="FZ107" s="1551" t="e">
        <f aca="false">IF(AND(Assumptions!$H$71="Yes",A107&gt;=Assumptions!$H$72,A107&lt;=Assumptions!$H$73),0,IF(EV107&gt;0,MAX(BJ107*(1+VLOOKUP($C107,WeatherCapacityAdjustment,2))-FR107,0),0))</f>
        <v>#VALUE!</v>
      </c>
      <c r="GA107" s="1564" t="e">
        <f aca="false">IF(AND(Assumptions!$H$71="Yes",A107&gt;=Assumptions!$H$72,A107&lt;=Assumptions!$H$73),0,IF(EW107&gt;0,MAX(BK107*(1+VLOOKUP($C107,WeatherCapacityAdjustment,2))-FS107,0),0))</f>
        <v>#VALUE!</v>
      </c>
      <c r="GB107" s="1551" t="e">
        <f aca="false">SUM(FT107:GA107)</f>
        <v>#VALUE!</v>
      </c>
      <c r="GC107" s="1563" t="e">
        <f aca="false">+IF(SUM(FT107:GA107)=0,0,(SUMPRODUCT(BU107:BX107,FT107:FW107)+SUMPRODUCT(CA107:CD107,FX107:GA107))/SUM(FT107:GA107))</f>
        <v>#VALUE!</v>
      </c>
      <c r="GD107" s="1551" t="e">
        <f aca="false">(FT107*BU107+FX107*CA107+FU107*BV107+FY107*CB107+FV107*BW107+FZ107*CC107+FW107*BX107+GA107*CD107)</f>
        <v>#VALUE!</v>
      </c>
      <c r="GE107" s="1561" t="e">
        <f aca="false">+IF(BQ107,((FL107+FM107+FT107+FU107)*HeatRatePeak/1000*(1+VLOOKUP($C107,WeatherHeatRateAdjustment,2))+(FN107+FV107)*IF(EV107&gt;0,HeatRatePeak,HeatRateOffPeak)/1000*(1+VLOOKUP($C107,WeatherHeatRateAdjustment,2))+(FO107+FW107)*IF(EW107&gt;0,HeatRatePeak,HeatRateOffPeak)/1000*(1+VLOOKUP($C107,WeatherHeatRateAdjustment,3)))*(1+VLOOKUP($B107,HeatRateDegradation,$C107+1)),0)</f>
        <v>#VALUE!</v>
      </c>
      <c r="GF107" s="1562" t="e">
        <f aca="false">IF(BQ107,((FP107+FQ107+FR107+FX107+FY107+FZ107)*HeatRatePeak/1000*(1+VLOOKUP($C107,WeatherHeatRateAdjustment,2))+(FS107+GA107)*HeatRatePeak/1000*(1+VLOOKUP($C107,WeatherHeatRateAdjustment,3)))*(1+VLOOKUP($B107,HeatRateDegradation,$C107+1)),0)</f>
        <v>#VALUE!</v>
      </c>
      <c r="GG107" s="1563" t="e">
        <f aca="false">IF(BQ107,VLOOKUP(A107,GasTable,13),0)</f>
        <v>#VALUE!</v>
      </c>
      <c r="GH107" s="1564" t="e">
        <f aca="false">(GE107+GF107)*GG107</f>
        <v>#VALUE!</v>
      </c>
      <c r="GI107" s="1569" t="e">
        <f aca="false">GB107</f>
        <v>#VALUE!</v>
      </c>
      <c r="GJ107" s="1598" t="e">
        <f aca="false">+DA107</f>
        <v>#VALUE!</v>
      </c>
      <c r="GK107" s="1558" t="e">
        <f aca="false">+GI107*GJ107</f>
        <v>#VALUE!</v>
      </c>
      <c r="GL107" s="1566" t="e">
        <f aca="false">MAX(FE107-FL107-FP107,0)</f>
        <v>#VALUE!</v>
      </c>
      <c r="GM107" s="1551" t="e">
        <f aca="false">MAX(FF107-FM107-FQ107,0)</f>
        <v>#VALUE!</v>
      </c>
      <c r="GN107" s="1551" t="e">
        <f aca="false">MAX(FG107-FN107-FR107,0)</f>
        <v>#VALUE!</v>
      </c>
      <c r="GO107" s="1564" t="e">
        <f aca="false">MAX(FH107-FO107-FS107,0)</f>
        <v>#VALUE!</v>
      </c>
      <c r="GP107" s="1551" t="e">
        <f aca="false">SUM(GL107:GO107)</f>
        <v>#VALUE!</v>
      </c>
      <c r="GQ107" s="1563" t="e">
        <f aca="false">IF(SUM(GL107:GO107)=0,0,((GL107*BU107+GM107*BV107+GN107*BW107+GO107*BX107)/SUM(GL107:GO107)))</f>
        <v>#VALUE!</v>
      </c>
      <c r="GR107" s="1558" t="e">
        <f aca="false">(GL107*BU107+GM107*BV107+GN107*BW107+GO107*BX107)</f>
        <v>#VALUE!</v>
      </c>
      <c r="GS107" s="1566" t="n">
        <f aca="false">IF($A107&gt;=BegDate,Assumptions!$C$56*24*($A108-$A107)*(1-VLOOKUP($B107,MAIN!$AA$7:$AM$28,$C107+1))*(1-VLOOKUP($B107,MAIN!$AA$33:$AM$54,$C107+1)),0)*80/168</f>
        <v>249428.571428571</v>
      </c>
      <c r="GT107" s="286" t="n">
        <f aca="false">J107</f>
        <v>45.986596887238</v>
      </c>
      <c r="GU107" s="286" t="n">
        <f aca="false">IF($A107&gt;=BegDate,VLOOKUP($A107,GasTable,13)+Assumptions!$C$58,0)</f>
        <v>3.02598407600426</v>
      </c>
      <c r="GV107" s="286" t="n">
        <f aca="false">GU107*Assumptions!$C$57/1000</f>
        <v>21.9383845510309</v>
      </c>
      <c r="GW107" s="1558" t="n">
        <f aca="false">IF(Assumptions!$C$60="Hourly",MAX(0,GS107*(GT107-GV107)),GS107*(GT107-GV107))</f>
        <v>5998311.2484311</v>
      </c>
      <c r="GX107" s="1566" t="n">
        <f aca="false">IF($A107&gt;=BegDate,Assumptions!$C$56*24*($A108-$A107)*(1-VLOOKUP($B107,MAIN!$AA$7:$AM$28,$C107+1))*(1-VLOOKUP($B107,MAIN!$AA$33:$AM$54,$C107+1)),0)*16/168</f>
        <v>49885.7142857143</v>
      </c>
      <c r="GY107" s="286" t="n">
        <f aca="false">M107</f>
        <v>45.986596887238</v>
      </c>
      <c r="GZ107" s="286" t="n">
        <f aca="false">IF($A107&gt;=BegDate,VLOOKUP($A107,GasTable,13)+Assumptions!$C$58,0)</f>
        <v>3.02598407600426</v>
      </c>
      <c r="HA107" s="286" t="n">
        <f aca="false">GZ107*Assumptions!$C$57/1000</f>
        <v>21.9383845510309</v>
      </c>
      <c r="HB107" s="1558" t="n">
        <f aca="false">IF(Assumptions!$C$60="Hourly",MAX(0,GX107*(GY107-HA107)),GX107*(GY107-HA107))</f>
        <v>1199662.24968622</v>
      </c>
      <c r="HC107" s="1566" t="n">
        <f aca="false">IF($A107&gt;=BegDate,Assumptions!$C$56*24*($A108-$A107)*(1-VLOOKUP($B107,MAIN!$AA$7:$AM$28,$C107+1))*(1-VLOOKUP($B107,MAIN!$AA$33:$AM$54,$C107+1)),0)*16/168</f>
        <v>49885.7142857143</v>
      </c>
      <c r="HD107" s="286" t="n">
        <f aca="false">P107</f>
        <v>28.1810500901401</v>
      </c>
      <c r="HE107" s="286" t="n">
        <f aca="false">IF($A107&gt;=BegDate,VLOOKUP($A107,GasTable,13)+Assumptions!$C$58,0)</f>
        <v>3.02598407600426</v>
      </c>
      <c r="HF107" s="286" t="n">
        <f aca="false">HE107*Assumptions!$C$57/1000</f>
        <v>21.9383845510309</v>
      </c>
      <c r="HG107" s="1558" t="n">
        <f aca="false">IF(Assumptions!$C$60="Hourly",MAX(0,HC107*(HD107-HF107)),HC107*(HD107-HF107))</f>
        <v>311419.829465276</v>
      </c>
      <c r="HH107" s="1566" t="n">
        <f aca="false">IF($A107&gt;=BegDate,Assumptions!$C$56*24*($A108-$A107)*(1-VLOOKUP($B107,MAIN!$AA$7:$AM$28,$C107+1))*(1-VLOOKUP($B107,MAIN!$AA$33:$AM$54,$C107+1)),0)*56/168</f>
        <v>174600</v>
      </c>
      <c r="HI107" s="286" t="n">
        <f aca="false">S107</f>
        <v>28.1810500901401</v>
      </c>
      <c r="HJ107" s="286" t="n">
        <f aca="false">IF($A107&gt;=BegDate,VLOOKUP($A107,GasTable,13)+Assumptions!$C$58,0)</f>
        <v>3.02598407600426</v>
      </c>
      <c r="HK107" s="286" t="n">
        <f aca="false">HJ107*Assumptions!$C$57/1000</f>
        <v>21.9383845510309</v>
      </c>
      <c r="HL107" s="1558" t="n">
        <f aca="false">IF(Assumptions!$C$60="Hourly",MAX(0,HH107*(HI107-HK107)),HH107*(HI107-HK107))</f>
        <v>1089969.40312846</v>
      </c>
      <c r="HM107" s="1566" t="n">
        <f aca="false">IF(AND(Assumptions!$H$71="Yes",A107&gt;=Assumptions!$H$72,A107&lt;=Assumptions!$H$73),Assumptions!$H$74*Assumptions!$C$9*1000,0)</f>
        <v>0</v>
      </c>
      <c r="HN107" s="1551"/>
      <c r="HO107" s="1563"/>
      <c r="HP107" s="1563"/>
      <c r="HQ107" s="1563"/>
      <c r="HR107" s="1563"/>
      <c r="HS107" s="1563"/>
      <c r="HT107" s="1563"/>
      <c r="HU107" s="1563"/>
      <c r="HV107" s="1563"/>
      <c r="HW107" s="1563"/>
      <c r="HX107" s="1563"/>
      <c r="HY107" s="1563"/>
      <c r="HZ107" s="1563"/>
      <c r="IA107" s="1563"/>
      <c r="IB107" s="1563"/>
      <c r="IC107" s="1563"/>
      <c r="ID107" s="1563"/>
      <c r="IE107" s="1563"/>
      <c r="IF107" s="1563"/>
      <c r="IG107" s="1563"/>
      <c r="IH107" s="1563"/>
      <c r="II107" s="1610"/>
      <c r="IJ107" s="1309"/>
      <c r="IK107" s="1309"/>
    </row>
    <row r="108" customFormat="false" ht="12.75" hidden="false" customHeight="false" outlineLevel="0" collapsed="false">
      <c r="A108" s="1571" t="n">
        <f aca="false">EOMONTH(A107,0)+1</f>
        <v>39417</v>
      </c>
      <c r="B108" s="594" t="n">
        <f aca="false">+YEAR(A108)</f>
        <v>2007</v>
      </c>
      <c r="C108" s="238" t="n">
        <f aca="false">MONTH(A108)</f>
        <v>12</v>
      </c>
      <c r="D108" s="1572" t="e">
        <f aca="false">IF(E108="","",Holiday(B108,C108))</f>
        <v>#VALUE!</v>
      </c>
      <c r="E108" s="1573" t="n">
        <f aca="false">IF(OR(BegDate&gt;=A109,EndDate&lt;A108,AND(VolumeMonthlyOverFlag,INDEX(VolumeMonthlyOver,C108)=0),NOT(INDEX(MonthKnockOutTable,C108))),"",MAX(A108,BegDate))</f>
        <v>39417</v>
      </c>
      <c r="F108" s="1574" t="n">
        <f aca="false">IF(E108="","",MIN(A109-1,EndDate))</f>
        <v>39447</v>
      </c>
      <c r="G108" s="1575" t="n">
        <v>0</v>
      </c>
      <c r="H108" s="1576" t="n">
        <f aca="false">(1+G108/2)^(-2*(DATE(B109,C109,20)-DateToday)/365.25)</f>
        <v>1</v>
      </c>
      <c r="I108" s="1568" t="n">
        <f aca="false">IF(Assumptions!$L$25=4,VLOOKUP($A108,'Henwood Reference'!$E$9:$R$320,10),(VLOOKUP($A108,PriceTable,2,0)+IF(BasisNumber&lt;&gt;1,VLOOKUP($A108,BasisTable,2,0),0)+I$1)/(1-I$2))</f>
        <v>45.0932640435072</v>
      </c>
      <c r="J108" s="1568" t="n">
        <f aca="false">IF(Assumptions!$L$25=4,VLOOKUP($A108,'Henwood Reference'!$E$9:$R$320,10),(VLOOKUP($A108,PriceTable,3,0)+IF(BasisNumber&lt;&gt;1,VLOOKUP($A108,BasisTable,2,0),0)+J$1)/(1-J$2))</f>
        <v>45.0932640435072</v>
      </c>
      <c r="K108" s="1568" t="n">
        <f aca="false">IF(Assumptions!$L$25=4,VLOOKUP($A108,'Henwood Reference'!$E$9:$R$320,10),(VLOOKUP($A108,PriceTable,4,0)+IF(BasisNumber&lt;&gt;1,VLOOKUP($A108,BasisTable,2,0),0)+K$1)/(1-K$2))</f>
        <v>45.0932640435072</v>
      </c>
      <c r="L108" s="1523" t="n">
        <f aca="false">IF(Assumptions!$L$25=4,VLOOKUP($A108,'Henwood Reference'!$E$9:$R$320,10),(VLOOKUP($A108,PriceTableWeekend,2,0)+IF(BasisNumber&lt;&gt;1,VLOOKUP($A108,BasisTable,2,0),0)+L$1)/(1-L$2))</f>
        <v>45.0932640435072</v>
      </c>
      <c r="M108" s="1568" t="n">
        <f aca="false">IF(Assumptions!$L$25=4,VLOOKUP($A108,'Henwood Reference'!$E$9:$R$320,10),(VLOOKUP($A108,PriceTableWeekend,3,0)+IF(BasisNumber&lt;&gt;1,VLOOKUP($A108,BasisTable,2,0),0)+M$1)/(1-M$2))</f>
        <v>45.0932640435072</v>
      </c>
      <c r="N108" s="1599" t="n">
        <f aca="false">IF(Assumptions!$L$25=4,VLOOKUP($A108,'Henwood Reference'!$E$9:$R$320,10),(VLOOKUP($A108,PriceTableWeekend,4,0)+IF(BasisNumber&lt;&gt;1,VLOOKUP($A108,BasisTable,2,0),0)+N$1)/(1-N$2))</f>
        <v>45.0932640435072</v>
      </c>
      <c r="O108" s="1568" t="n">
        <f aca="false">IF(Assumptions!$L$25=4,VLOOKUP($A108,'Henwood Reference'!$E$9:$R$320,11),(VLOOKUP($A108,PriceTableWeekend,6,0)+IF(BasisNumber&lt;&gt;1,VLOOKUP($A108,BasisTable,3,0),0)+O$1)/(1-O$2))</f>
        <v>30.4817526138748</v>
      </c>
      <c r="P108" s="1568" t="n">
        <f aca="false">IF(Assumptions!$L$25=4,VLOOKUP($A108,'Henwood Reference'!$E$9:$R$320,11),(VLOOKUP($A108,PriceTableWeekend,7,0)+IF(BasisNumber&lt;&gt;1,VLOOKUP($A108,BasisTable,3,0),0)+P$1)/(1-P$2))</f>
        <v>30.4817526138748</v>
      </c>
      <c r="Q108" s="1599" t="n">
        <f aca="false">IF(Assumptions!$L$25=4,VLOOKUP($A108,'Henwood Reference'!$E$9:$R$320,11),(VLOOKUP($A108,PriceTableWeekend,8,0)+IF(BasisNumber&lt;&gt;1,VLOOKUP($A108,BasisTable,3,0),0)+Q$1)/(1-Q$2))</f>
        <v>30.4817526138748</v>
      </c>
      <c r="R108" s="1568" t="n">
        <f aca="false">IF(Assumptions!$L$25=4,VLOOKUP($A108,'Henwood Reference'!$E$9:$R$320,11),(VLOOKUP($A108,PriceTable,6,0)+IF(BasisNumber&lt;&gt;1,VLOOKUP($A108,BasisTable,3,0),0)+R$1)/(1-R$2))</f>
        <v>30.4817526138748</v>
      </c>
      <c r="S108" s="1568" t="n">
        <f aca="false">IF(Assumptions!$L$25=4,VLOOKUP($A108,'Henwood Reference'!$E$9:$R$320,11),(VLOOKUP($A108,PriceTable,7,0)+IF(BasisNumber&lt;&gt;1,VLOOKUP($A108,BasisTable,3,0),0)+S$1)/(1-S$2))</f>
        <v>30.4817526138748</v>
      </c>
      <c r="T108" s="1600" t="n">
        <f aca="false">IF(Assumptions!$L$25=4,VLOOKUP($A108,'Henwood Reference'!$E$9:$R$320,11),(VLOOKUP($A108,PriceTable,8,0)+IF(BasisNumber&lt;&gt;1,VLOOKUP($A108,BasisTable,3,0),0)+T$1)/(1-T$2))</f>
        <v>30.4817526138748</v>
      </c>
      <c r="U108" s="1513" t="n">
        <f aca="false">VLOOKUP($A108,VolatilityTable,14)</f>
        <v>0.135</v>
      </c>
      <c r="V108" s="1513" t="n">
        <f aca="false">VLOOKUP($A108,VolatilityTable,15)</f>
        <v>0.145</v>
      </c>
      <c r="W108" s="1514" t="n">
        <f aca="false">VLOOKUP($A108,VolatilityTable,16)</f>
        <v>0.155</v>
      </c>
      <c r="X108" s="1513" t="n">
        <f aca="false">VLOOKUP($A108,VolatilityTable,14)</f>
        <v>0.135</v>
      </c>
      <c r="Y108" s="1513" t="n">
        <f aca="false">VLOOKUP($A108,VolatilityTable,15)</f>
        <v>0.145</v>
      </c>
      <c r="Z108" s="1514" t="n">
        <f aca="false">VLOOKUP($A108,VolatilityTable,16)</f>
        <v>0.155</v>
      </c>
      <c r="AA108" s="1513" t="n">
        <f aca="false">VLOOKUP($A108,VolatilityTable,18)</f>
        <v>0.09</v>
      </c>
      <c r="AB108" s="1513" t="n">
        <f aca="false">VLOOKUP($A108,VolatilityTable,19)</f>
        <v>0.11</v>
      </c>
      <c r="AC108" s="1514" t="n">
        <f aca="false">VLOOKUP($A108,VolatilityTable,20)</f>
        <v>0.13</v>
      </c>
      <c r="AD108" s="1513" t="n">
        <f aca="false">VLOOKUP($A108,VolatilityTable,18)</f>
        <v>0.09</v>
      </c>
      <c r="AE108" s="1513" t="n">
        <f aca="false">VLOOKUP($A108,VolatilityTable,19)</f>
        <v>0.11</v>
      </c>
      <c r="AF108" s="1514" t="n">
        <f aca="false">VLOOKUP($A108,VolatilityTable,20)</f>
        <v>0.13</v>
      </c>
      <c r="AG108" s="1513" t="n">
        <f aca="false">VLOOKUP($A108,VolatilityTable,22)</f>
        <v>-0.25</v>
      </c>
      <c r="AH108" s="1513" t="n">
        <f aca="false">VLOOKUP($A108,VolatilityTable,23)</f>
        <v>0.6</v>
      </c>
      <c r="AI108" s="1514" t="n">
        <f aca="false">VLOOKUP($A108,VolatilityTable,24)</f>
        <v>0.25</v>
      </c>
      <c r="AJ108" s="1513" t="n">
        <f aca="false">VLOOKUP($A108,VolatilityTable,22)</f>
        <v>-0.25</v>
      </c>
      <c r="AK108" s="1513" t="n">
        <f aca="false">VLOOKUP($A108,VolatilityTable,23)</f>
        <v>0.6</v>
      </c>
      <c r="AL108" s="1514" t="n">
        <f aca="false">VLOOKUP($A108,VolatilityTable,24)</f>
        <v>0.25</v>
      </c>
      <c r="AM108" s="1513" t="n">
        <f aca="false">VLOOKUP($A108,VolatilityTable,26)</f>
        <v>-0.01</v>
      </c>
      <c r="AN108" s="1513" t="n">
        <f aca="false">VLOOKUP($A108,VolatilityTable,27)</f>
        <v>0.16</v>
      </c>
      <c r="AO108" s="1514" t="n">
        <f aca="false">VLOOKUP($A108,VolatilityTable,28)</f>
        <v>0.01</v>
      </c>
      <c r="AP108" s="1513" t="n">
        <f aca="false">VLOOKUP($A108,VolatilityTable,26)</f>
        <v>-0.01</v>
      </c>
      <c r="AQ108" s="1513" t="n">
        <f aca="false">VLOOKUP($A108,VolatilityTable,27)</f>
        <v>0.16</v>
      </c>
      <c r="AR108" s="1515" t="n">
        <f aca="false">VLOOKUP($A108,VolatilityTable,28)</f>
        <v>0.01</v>
      </c>
      <c r="AS108" s="1581" t="n">
        <f aca="false">IF(CorrPeakOffPeakOverFlag,INDEX(CorrPeakOffPeakOver,C108),CorrPeakOffPeak)</f>
        <v>0.5</v>
      </c>
      <c r="AT108" s="594" t="e">
        <f aca="false">AX108-SUM(AU108:AW108)</f>
        <v>#VALUE!</v>
      </c>
      <c r="AU108" s="238" t="e">
        <f aca="false">IF(E108="",0,INT((F108-MOD(F108,7)-E108)/7)+1-IF(AW108,IF(WEEKDAY(D108)=7,1,0),0))</f>
        <v>#VALUE!</v>
      </c>
      <c r="AV108" s="238" t="e">
        <f aca="false">IF(E108="",0,INT((F108-MOD(F108-1,7)-E108)/7)+1-IF(AW108,IF(WEEKDAY(D108)=1,1,0),0))</f>
        <v>#VALUE!</v>
      </c>
      <c r="AW108" s="238" t="e">
        <f aca="false">IF(OR(E108="",D108="",D108&lt;BegDate,D108&gt;EndDate),0,1)</f>
        <v>#VALUE!</v>
      </c>
      <c r="AX108" s="238" t="n">
        <f aca="false">IF(E108="",0,F108-E108+1)</f>
        <v>31</v>
      </c>
      <c r="AY108" s="1582" t="n">
        <f aca="false">IF(E108="",0,MIN((1-(1-VLOOKUP(B108,MAIN!$AA$7:$AM$28,C108+1))*(1-VLOOKUP(B108,MAIN!$AA$33:$AM$54,C108+1))),1))</f>
        <v>0.03</v>
      </c>
      <c r="AZ108" s="1519" t="e">
        <v>#VALUE!</v>
      </c>
      <c r="BA108" s="1520" t="e">
        <v>#VALUE!</v>
      </c>
      <c r="BB108" s="1520" t="e">
        <v>#VALUE!</v>
      </c>
      <c r="BC108" s="1583" t="e">
        <v>#VALUE!</v>
      </c>
      <c r="BD108" s="1522" t="e">
        <v>#VALUE!</v>
      </c>
      <c r="BE108" s="1523" t="e">
        <v>#VALUE!</v>
      </c>
      <c r="BF108" s="1523" t="e">
        <v>#VALUE!</v>
      </c>
      <c r="BG108" s="1584" t="e">
        <v>#VALUE!</v>
      </c>
      <c r="BH108" s="1525" t="e">
        <v>#VALUE!</v>
      </c>
      <c r="BI108" s="1520" t="e">
        <v>#VALUE!</v>
      </c>
      <c r="BJ108" s="1520" t="e">
        <v>#VALUE!</v>
      </c>
      <c r="BK108" s="1583" t="e">
        <v>#VALUE!</v>
      </c>
      <c r="BL108" s="1522" t="e">
        <v>#VALUE!</v>
      </c>
      <c r="BM108" s="1523" t="e">
        <v>#VALUE!</v>
      </c>
      <c r="BN108" s="1523" t="e">
        <v>#VALUE!</v>
      </c>
      <c r="BO108" s="1523" t="e">
        <v>#VALUE!</v>
      </c>
      <c r="BP108" s="1525" t="e">
        <f aca="false">SUM(AZ108:BB108)</f>
        <v>#VALUE!</v>
      </c>
      <c r="BQ108" s="1529" t="e">
        <f aca="false">SUM(AZ108:BC108)</f>
        <v>#VALUE!</v>
      </c>
      <c r="BR108" s="1519" t="e">
        <f aca="false">SUM(BH108:BJ108)</f>
        <v>#VALUE!</v>
      </c>
      <c r="BS108" s="1529" t="e">
        <f aca="false">SUM(BH108:BK108)</f>
        <v>#VALUE!</v>
      </c>
      <c r="BT108" s="1316" t="n">
        <f aca="false">(IF(OVolType&lt;&gt;2,A108+14,IF(OptExpDateShift,ShiftBack(A108,OptExpDateShift,D107),A108))-DateToday)/365.25</f>
        <v>7.63039014373717</v>
      </c>
      <c r="BU108" s="1585" t="e">
        <f aca="false">IF(BQ108,IF(OPriceCurve,IF(OBuySell=OCallPut,I108/(1-AY108),K108/(1-AY108)),J108/(1-AY108))*BD108,0)</f>
        <v>#VALUE!</v>
      </c>
      <c r="BV108" s="1316" t="e">
        <f aca="false">IF(BQ108,IF(OPriceCurve,IF(OBuySell=OCallPut,L108/(1-AY108),N108/(1-AY108)),M108/(1-AY108))*BE108,0)</f>
        <v>#VALUE!</v>
      </c>
      <c r="BW108" s="1316" t="e">
        <f aca="false">IF(BQ108,IF(OPriceCurve,IF(OBuySell=OCallPut,O108/(1-AY108),Q108/(1-AY108)),P108/(1-AY108))*BF108,0)</f>
        <v>#VALUE!</v>
      </c>
      <c r="BX108" s="1316" t="e">
        <f aca="false">IF(BQ108,IF(OPriceCurve,IF(OBuySell=OCallPut,R108/(1-AY108),T108/(1-AY108)),S108/(1-AY108))*BG108,0)</f>
        <v>#VALUE!</v>
      </c>
      <c r="BY108" s="1316" t="e">
        <f aca="false">IF(BP108,(BU108*AZ108+BV108*BA108+BW108*BB108)/BP108,0)</f>
        <v>#VALUE!</v>
      </c>
      <c r="BZ108" s="1316" t="e">
        <f aca="false">IF(BQ108,(BY108*BP108+BX108*BC108)/BQ108,0)</f>
        <v>#VALUE!</v>
      </c>
      <c r="CA108" s="1531" t="e">
        <f aca="false">IF(BS108,IF(OPriceCurve,IF(OBuySell=OCallPut,I108/(1-AY108),K108/(1-AY108)),J108/(1-AY108))*BL108,0)</f>
        <v>#VALUE!</v>
      </c>
      <c r="CB108" s="1316" t="e">
        <f aca="false">IF(BS108,IF(OPriceCurve,IF(OBuySell=OCallPut,L108/(1-AY108),N108/(1-AY108)),M108/(1-AY108))*BM108,0)</f>
        <v>#VALUE!</v>
      </c>
      <c r="CC108" s="1316" t="e">
        <f aca="false">IF(BS108,IF(OPriceCurve,IF(OBuySell=OCallPut,O108/(1-AY108),Q108/(1-AY108)),P108/(1-AY108))*BN108,0)</f>
        <v>#VALUE!</v>
      </c>
      <c r="CD108" s="1316" t="e">
        <f aca="false">IF(BS108,IF(OPriceCurve,IF(OBuySell=OCallPut,R108/(1-AY108),T108/(1-AY108)),S108/(1-AY108))*BO108,0)</f>
        <v>#VALUE!</v>
      </c>
      <c r="CE108" s="1316" t="e">
        <f aca="false">IF(BR108,(BU108*BH108+BV108*BI108+BW108*BJ108)/BR108,0)</f>
        <v>#VALUE!</v>
      </c>
      <c r="CF108" s="1532" t="e">
        <f aca="false">IF(BS108,(CE108*BR108+CD108*BK108)/BS108,0)</f>
        <v>#VALUE!</v>
      </c>
      <c r="CG108" s="1586" t="e">
        <f aca="false">IF(OR(BQ108,BS108),IF(OVolType&lt;&gt;2,SQRT(IF(OVolOverMonthlyPeak,OVolOverMonthlyPeak,IF(OVolCurve,IF(OBuySell,U108,W108),V108))^2*(1-15/365.25/BT108)+IF(OVolOverDailyPeak,OVolOverDailyPeak,IF(OVolCurve,IF(OBuySell,AG108,AI108),AH108))^2*15/365.25/BT108),IF(OVolOverMonthlyPeak,OVolOverMonthlyPeak,IF(OVolCurve,IF(OBuySell,U108,W108),V108))),"")</f>
        <v>#VALUE!</v>
      </c>
      <c r="CH108" s="1587" t="e">
        <f aca="false">IF(OR(BQ108,BS108),IF(OVolType&lt;&gt;2,SQRT(IF(OVolOverMonthlyPeak,OVolOverMonthlyPeak,IF(OVolCurve,IF(OBuySell,X108,Z108),Y108))^2*(1-15/365.25/BT108)+IF(OVolOverDailyPeak,OVolOverDailyPeak,IF(OVolCurve,IF(OBuySell,AJ108,AL108),AK108))^2*15/365.25/BT108),IF(OVolOverMonthlyPeak,OVolOverMonthlyPeak,IF(OVolCurve,IF(OBuySell,X108,Z108),Y108))),"")</f>
        <v>#VALUE!</v>
      </c>
      <c r="CI108" s="1587" t="e">
        <f aca="false">IF(OR(BQ108,BS108),IF(OVolType&lt;&gt;2,SQRT(IF(OVolOverMonthlyPeak,OVolOverMonthlyPeak,IF(OVolCurve,IF(OBuySell,AA108,AC108),AB108))^2*(1-15/365.25/BT108)+IF(OVolOverDailyPeak,OVolOverDailyPeak,IF(OVolCurve,IF(OBuySell,AM108,AO108),AN108))^2*15/365.25/BT108),IF(OVolOverMonthlyPeak,OVolOverMonthlyPeak,IF(OVolCurve,IF(OBuySell,AA108,AC108),AB108))),"")</f>
        <v>#VALUE!</v>
      </c>
      <c r="CJ108" s="1587" t="e">
        <f aca="false">IF(BQ108,IF(BP108,SQRT(LN(1+((BU108*AZ108)^2*(EXP(CG108^2*BT108)-1)+(BV108*BA108)^2*(EXP(CH108^2*BT108)-1)+(BW108*BB108)^2*(EXP(CI108^2*BT108)-1)+2*BU108*AZ108*BV108*BA108*(EXP(CG108*CH108*BT108)-1)+2*BV108*BA108*BW108*BB108*(EXP(CH108*CI108*BT108)-1)+2*BW108*BB108*BU108*AZ108*(EXP(CI108*CG108*BT108)-1))/(BY108*BP108)^2)/BT108),0),"")</f>
        <v>#VALUE!</v>
      </c>
      <c r="CK108" s="1587" t="e">
        <f aca="false">IF(BS108,IF(BR108,SQRT(LN(1+((CA108*BH108)^2*(EXP(CG108^2*BT108)-1)+(CB108*BI108)^2*(EXP(CH108^2*BT108)-1)+(CC108*BJ108)^2*(EXP(CI108^2*BT108)-1)+2*CA108*BH108*CB108*BI108*(EXP(CG108*CH108*BT108)-1)+2*CB108*BI108*CC108*BJ108*(EXP(CH108*CI108*BT108)-1)+2*CC108*BJ108*CA108*BH108*(EXP(CI108*CG108*BT108)-1))/(CE108*BR108)^2)/BT108),0),"")</f>
        <v>#VALUE!</v>
      </c>
      <c r="CL108" s="1587" t="e">
        <f aca="false">IF(OR(BQ108,BS108),IF(OVolType&lt;&gt;2,SQRT(IF(OVolOverMonthlyOffPeak,OVolOverMonthlyOffPeak,IF(OVolCurve,IF(OBuySell,AD108,AF108),AE108))^2*(1-15/365.25/BT108)+IF(OVolOverDailyOffPeak,OVolOverDailyOffPeak,IF(OVolCurve,IF(OBuySell,AP108,AR108),AQ108))^2*15/365.25/BT108),IF(OVolOverMonthlyOffPeak,OVolOverMonthlyOffPeak,IF(OVolCurve,IF(OBuySell,AD108,AF108),AE108))),"")</f>
        <v>#VALUE!</v>
      </c>
      <c r="CM108" s="1587" t="e">
        <f aca="false">IF(BQ108,SQRT(LN(1+((BY108*BP108)^2*(EXP(CJ108^2*BT108)-1)+(BX108*BC108)^2*(EXP(CL108^2*BT108)-1)+2*BY108*BP108*BX108*BC108*(EXP(AS108*CJ108*CL108*BT108)-1))/(BY108*BP108+BX108*BC108)^2)/BT108),"")</f>
        <v>#VALUE!</v>
      </c>
      <c r="CN108" s="1588" t="e">
        <f aca="false">IF(BS108,SQRT(LN(1+((CE108*BR108)^2*(EXP(CK108^2*BT108)-1)+(CD108*BK108)^2*(EXP(CL108^2*BT108)-1)+2*CE108*BR108*CD108*BK108*(EXP(AS108*CK108*CL108*BT108)-1))/(CE108*BR108+CD108*BK108)^2)/BT108),"")</f>
        <v>#VALUE!</v>
      </c>
      <c r="CO108" s="1531" t="e">
        <f aca="false">IF(OR(BQ108,BS108),VLOOKUP(A108,GasTable,13)*HeatRatePeak*(1+VLOOKUP($B108,HeatRateDegradation,$C108+1))/1000,0)</f>
        <v>#VALUE!</v>
      </c>
      <c r="CP108" s="1316" t="e">
        <f aca="false">IF(OR(BQ108,BS108),VLOOKUP(A108,GasTable,13)*HeatRatePeak*(1+VLOOKUP($B108,HeatRateDegradation,$C108+1))/1000,0)</f>
        <v>#VALUE!</v>
      </c>
      <c r="CQ108" s="1316" t="e">
        <f aca="false">IF(OR(BQ108,BS108),VLOOKUP(A108,GasTable,13)*IF(EV108,HeatRatePeak,HeatRateOffPeak)*(1+VLOOKUP($B108,HeatRateDegradation,$C108+1))/1000,0)</f>
        <v>#VALUE!</v>
      </c>
      <c r="CR108" s="1316" t="e">
        <f aca="false">IF(OR(BQ108,BS108),VLOOKUP(A108,GasTable,13)*IF(EW108,HeatRatePeak,HeatRateOffPeak)*(1+VLOOKUP($B108,HeatRateDegradation,$C108+1))/1000,0)</f>
        <v>#VALUE!</v>
      </c>
      <c r="CS108" s="1589" t="e">
        <f aca="false">IF(BQ108,(CO108*AZ108+CP108*BA108+CQ108*BB108+CR108*BC108)/BQ108,0)</f>
        <v>#VALUE!</v>
      </c>
      <c r="CT108" s="1316" t="e">
        <f aca="false">IF(BS108,CO108,0)</f>
        <v>#VALUE!</v>
      </c>
      <c r="CU108" s="1590" t="e">
        <f aca="false">IF(OR(BQ108,BS108),VLOOKUP(A108,GasTable,14),"")</f>
        <v>#VALUE!</v>
      </c>
      <c r="CV108" s="1568" t="e">
        <f aca="false">IF(OR(BQ108,BS108),IF(CorrPowerGasOverFlag,INDEX(CorrPowerGasOver,C108),CorrPowerGas),"")</f>
        <v>#VALUE!</v>
      </c>
      <c r="CW108" s="1316" t="e">
        <f aca="false">IF(OR($BQ108,$BS108),SpreadOptPowerMargin,0)*((1+Assumptions!$C$26)^($B108-YEAR(Assumptions!$C$17)))</f>
        <v>#VALUE!</v>
      </c>
      <c r="CX108" s="1316" t="e">
        <f aca="false">IF(OR($BQ108,$BS108),SpreadOptPowerMargin,0)*((1+Assumptions!$C$26)^($B108-YEAR(Assumptions!$C$17)))</f>
        <v>#VALUE!</v>
      </c>
      <c r="CY108" s="1316" t="e">
        <f aca="false">IF(OR($BQ108,$BS108),SpreadOptPowerMargin,0)*((1+Assumptions!$C$26)^($B108-YEAR(Assumptions!$C$17)))</f>
        <v>#VALUE!</v>
      </c>
      <c r="CZ108" s="1316" t="e">
        <f aca="false">IF(OR($BQ108,$BS108),SpreadOptPowerMargin,0)*((1+Assumptions!$C$26)^($B108-YEAR(Assumptions!$C$17)))</f>
        <v>#VALUE!</v>
      </c>
      <c r="DA108" s="1591" t="e">
        <f aca="false">IF(OR(BQ108,BS108),(CW108*(AZ108+BH108)+CX108*(BA108+BI108)+CY108*(BB108+BJ108)+CZ108*(BC108+BK108))/(BQ108+BS108),0)</f>
        <v>#VALUE!</v>
      </c>
      <c r="DB108" s="1592" t="e">
        <f aca="false">IF(OR(BQ108,BS108),CG108+IF(OVolSmile,VLOOKUP(MAX(-5,CO108+CW108-BU108),IF(OVolSmile=1,VolSmileBook,VolSmileModel),2),0),"")</f>
        <v>#VALUE!</v>
      </c>
      <c r="DC108" s="1592" t="e">
        <f aca="false">IF(OR(BQ108,BS108),CH108+IF(OVolSmile,VLOOKUP(MAX(-5,CP108+CW108-BV108),IF(OVolSmile=1,VolSmileBook,VolSmileModel),2),0),"")</f>
        <v>#VALUE!</v>
      </c>
      <c r="DD108" s="1592" t="e">
        <f aca="false">IF(OR(BQ108,BS108),CI108+IF(OVolSmile,VLOOKUP(MAX(-5,CQ108+CW108-BW108),IF(OVolSmile=1,VolSmileBook,VolSmileModel),2),0),"")</f>
        <v>#VALUE!</v>
      </c>
      <c r="DE108" s="1592" t="e">
        <f aca="false">IF(OR(BQ108,BS108),CL108+IF(OVolSmile,VLOOKUP(MAX(-5,CR108+CZ108-BX108),IF(OVolSmile=1,VolSmileBook,VolSmileModel),2),0),"")</f>
        <v>#VALUE!</v>
      </c>
      <c r="DF108" s="1592" t="e">
        <f aca="false">IF(BQ108,CM108+IF(OVolSmile,VLOOKUP(MAX(-5,CS108+DA108-BZ108),IF(OVolSmile=1,VolSmileBook,VolSmileModel),2),0),"")</f>
        <v>#VALUE!</v>
      </c>
      <c r="DG108" s="1593" t="e">
        <f aca="false">IF(BS108,CN108+IF(OVolSmile,VLOOKUP(MAX(-5,CT108+DA108-CF108),IF(OVolSmile=1,VolSmileBook,VolSmileModel),2),0),"")</f>
        <v>#VALUE!</v>
      </c>
      <c r="DH108" s="1316" t="e">
        <f aca="false">IF(AND(BU108&gt;0,CO108&gt;0,DB108&gt;0,CU108&gt;0),newSPRDOPT(BU108,CO108,CW108,0,DB108,CU108,CV108,BT108*365.25,OCallPut,0),0)</f>
        <v>#VALUE!</v>
      </c>
      <c r="DI108" s="1316" t="e">
        <f aca="false">IF(AND(BV108&gt;0,CP108&gt;0,DC108&gt;0,CU108&gt;0),newSPRDOPT(BV108,CP108,CX108,0,DC108,CU108,CV108,BT108*365.25,OCallPut,0),0)</f>
        <v>#VALUE!</v>
      </c>
      <c r="DJ108" s="1316" t="e">
        <f aca="false">IF(AND(BW108&gt;0,CQ108&gt;0,DD108&gt;0,CU108&gt;0),newSPRDOPT(BW108,CQ108,CY108,0,DD108,CU108,CV108,BT108*365.25,OCallPut,0),0)</f>
        <v>#VALUE!</v>
      </c>
      <c r="DK108" s="1316" t="e">
        <f aca="false">IF(AND(BX108&gt;0,CR108&gt;0,DE108&gt;0,CU108&gt;0),newSPRDOPT(BX108,CR108,CZ108,0,DE108,CU108,CV108,BT108*365.25,OCallPut,0),0)</f>
        <v>#VALUE!</v>
      </c>
      <c r="DL108" s="1316" t="e">
        <f aca="false">IF(OVolType,IF(AND(BZ108&gt;0,CS108&gt;0,DF108&gt;0,CU108&gt;0),newSPRDOPT(BZ108,CS108,DA108,0,DF108,CU108,CV108,BT108*365.25,OCallPut,0),0),IF(BQ108,(DH108*AZ108+DI108*BA108+DJ108*BB108+DK108*BC108)/BQ108,0))</f>
        <v>#VALUE!</v>
      </c>
      <c r="DM108" s="1316"/>
      <c r="DN108" s="1316"/>
      <c r="DO108" s="1316"/>
      <c r="DP108" s="1316"/>
      <c r="DQ108" s="1316"/>
      <c r="DR108" s="1316"/>
      <c r="DS108" s="1316"/>
      <c r="DT108" s="1316"/>
      <c r="DU108" s="1316"/>
      <c r="DV108" s="1316"/>
      <c r="DW108" s="1594" t="e">
        <f aca="false">IF(AND(BW108&gt;0,CT108&gt;0,DD108&gt;0,CU108&gt;0),newSPRDOPT(BW108,CT108,CY108,0,DD108,CU108,CV108,BT108*365.25,OCallPut,0),0)</f>
        <v>#VALUE!</v>
      </c>
      <c r="DX108" s="1316" t="e">
        <f aca="false">IF(AND(BX108&gt;0,CT108&gt;0,DE108&gt;0,CU108&gt;0),newSPRDOPT(BX108,CT108,CZ108,0,DE108,CU108,CV108,BT108*365.25,OCallPut,0),0)</f>
        <v>#VALUE!</v>
      </c>
      <c r="DY108" s="1591" t="e">
        <f aca="false">IF(BS108,(DH108*BH108+DI108*BI108+DW108*BJ108+DX108*BK108)/BS108,0)</f>
        <v>#VALUE!</v>
      </c>
      <c r="DZ108" s="1551" t="e">
        <f aca="false">DH108*AZ108</f>
        <v>#VALUE!</v>
      </c>
      <c r="EA108" s="1551" t="e">
        <f aca="false">DI108*BA108</f>
        <v>#VALUE!</v>
      </c>
      <c r="EB108" s="1551" t="e">
        <f aca="false">DJ108*BB108</f>
        <v>#VALUE!</v>
      </c>
      <c r="EC108" s="1551" t="e">
        <f aca="false">DK108*BC108</f>
        <v>#VALUE!</v>
      </c>
      <c r="ED108" s="1551" t="e">
        <f aca="false">DL108*BQ108</f>
        <v>#VALUE!</v>
      </c>
      <c r="EE108" s="1595" t="e">
        <f aca="false">IF(BQ108,IF(OCallPut,IF(BU108&gt;(CO108+CW108),BU108-(CO108+CW108),0),IF((CO108+CW108)&gt;BU108,(CO108+CW108)-BU108,0))*AZ108,0)</f>
        <v>#VALUE!</v>
      </c>
      <c r="EF108" s="1596" t="e">
        <f aca="false">IF(BQ108,IF(OCallPut,IF(BV108&gt;(CP108+CX108),BV108-(CP108+CX108),0),IF((CP108+CX108)&gt;BV108,(CP108+CX108)-BV108,0))*BA108,0)</f>
        <v>#VALUE!</v>
      </c>
      <c r="EG108" s="1596" t="e">
        <f aca="false">IF(BQ108,IF(OCallPut,IF(BW108&gt;(CQ108+CY108),BW108-(CQ108+CY108),0),IF((CQ108+CY108)&gt;BW108,(CQ108+CY108)-BW108,0))*BB108,0)</f>
        <v>#VALUE!</v>
      </c>
      <c r="EH108" s="1596" t="e">
        <f aca="false">IF(BQ108,IF(OCallPut,IF(BX108&gt;(CR108+CZ108),BX108-(CR108+CZ108),0),IF((CR108+CZ108)&gt;BX108,(CR108+CZ108)-BX108,0))*BC108,0)</f>
        <v>#VALUE!</v>
      </c>
      <c r="EI108" s="1597" t="e">
        <f aca="false">IF(BQ108,IF(OVolType,IF(OCallPut,IF(BZ108&gt;(CS108+DA108),BZ108-(CS108+DA108),0),IF((CS108+DA108)&gt;BZ108,(CS108+DA108)-BZ108,0))*BQ108,SUM(EE108:EH108)),0)</f>
        <v>#VALUE!</v>
      </c>
      <c r="EJ108" s="1595" t="e">
        <f aca="false">DZ108-EE108</f>
        <v>#VALUE!</v>
      </c>
      <c r="EK108" s="1596" t="e">
        <f aca="false">EA108-EF108</f>
        <v>#VALUE!</v>
      </c>
      <c r="EL108" s="1596" t="e">
        <f aca="false">EB108-EG108</f>
        <v>#VALUE!</v>
      </c>
      <c r="EM108" s="1596" t="e">
        <f aca="false">EC108-EH108</f>
        <v>#VALUE!</v>
      </c>
      <c r="EN108" s="1597" t="e">
        <f aca="false">ED108-EI108</f>
        <v>#VALUE!</v>
      </c>
      <c r="EO108" s="1551" t="e">
        <f aca="false">DH108*BH108</f>
        <v>#VALUE!</v>
      </c>
      <c r="EP108" s="1551" t="e">
        <f aca="false">DI108*BI108</f>
        <v>#VALUE!</v>
      </c>
      <c r="EQ108" s="1551" t="e">
        <f aca="false">DW108*BJ108</f>
        <v>#VALUE!</v>
      </c>
      <c r="ER108" s="1551" t="e">
        <f aca="false">DX108*BK108</f>
        <v>#VALUE!</v>
      </c>
      <c r="ES108" s="1551" t="e">
        <f aca="false">DY108*BS108</f>
        <v>#VALUE!</v>
      </c>
      <c r="ET108" s="1566" t="e">
        <f aca="false">IF(EI108,IF(OCallPut,IF(CA108&gt;(CT108+CW108),CA108-(CT108+CW108),0),IF((CT108+CW108)&gt;CA108,(CT108+CW108)-CA108,0))*BH108,0)</f>
        <v>#VALUE!</v>
      </c>
      <c r="EU108" s="1551" t="e">
        <f aca="false">IF(EI108,IF(OCallPut,IF(CB108&gt;(CT108+CX108),CB108-(CT108+CX108),0),IF((CT108+CX108)&gt;CB108,(CT108+CX108)-CB108,0))*BI108,0)</f>
        <v>#VALUE!</v>
      </c>
      <c r="EV108" s="1551" t="e">
        <f aca="false">IF(EI108,IF(OCallPut,IF(CC108&gt;(CT108+CY108),CC108-(CT108+CY108),0),IF((CT108+CY108)&gt;CC108,(CT108+CY108)-CC108,0))*BJ108,0)</f>
        <v>#VALUE!</v>
      </c>
      <c r="EW108" s="1551" t="e">
        <f aca="false">IF(EI108,IF(OCallPut,IF(CD108&gt;(CT108+CZ108),CD108-(CT108+CZ108),0),IF((CT108+CZ108)&gt;CD108,(CT108+CZ108)-CD108,0))*BK108,0)</f>
        <v>#VALUE!</v>
      </c>
      <c r="EX108" s="1558" t="e">
        <f aca="false">IF(EI108,SUM(ET108:EW108),0)</f>
        <v>#VALUE!</v>
      </c>
      <c r="EY108" s="1551" t="e">
        <f aca="false">EO108-ET108</f>
        <v>#VALUE!</v>
      </c>
      <c r="EZ108" s="1551" t="e">
        <f aca="false">EP108-EU108</f>
        <v>#VALUE!</v>
      </c>
      <c r="FA108" s="1551" t="e">
        <f aca="false">EQ108-EV108</f>
        <v>#VALUE!</v>
      </c>
      <c r="FB108" s="1551" t="e">
        <f aca="false">ER108-EW108</f>
        <v>#VALUE!</v>
      </c>
      <c r="FC108" s="1551" t="e">
        <f aca="false">ES108-EX108</f>
        <v>#VALUE!</v>
      </c>
      <c r="FD108" s="1525" t="n">
        <f aca="false">IF(AX108,IF(VLOOKUP(C108,MAIN!$L$17:$M$28,2)="Yes",VLOOKUP(CALC!B108,MAIN!$H$17:$I$20,2),0),0)</f>
        <v>0</v>
      </c>
      <c r="FE108" s="1552" t="e">
        <f aca="false">$FD108*16*AT108*(1-$AY108)</f>
        <v>#VALUE!</v>
      </c>
      <c r="FF108" s="1553" t="e">
        <f aca="false">$FD108*16*AU108*(1-$AY108)</f>
        <v>#VALUE!</v>
      </c>
      <c r="FG108" s="1553" t="e">
        <f aca="false">$FD108*16*(AV108+AW108)*(1-$AY108)</f>
        <v>#VALUE!</v>
      </c>
      <c r="FH108" s="1554" t="n">
        <f aca="false">$FD108*8*AX108*(1-$AY108)</f>
        <v>0</v>
      </c>
      <c r="FI108" s="1555" t="n">
        <f aca="false">IF(AX108,VLOOKUP(CALC!B108,MAIN!$H$17:$K$20,4),0)</f>
        <v>0</v>
      </c>
      <c r="FJ108" s="1553" t="e">
        <f aca="false">SUM(FE108:FH108)</f>
        <v>#VALUE!</v>
      </c>
      <c r="FK108" s="1556" t="e">
        <f aca="false">FI108*FJ108</f>
        <v>#VALUE!</v>
      </c>
      <c r="FL108" s="1551" t="e">
        <f aca="false">IF($EI108&gt;0,MIN(FE108,AZ108*(1+VLOOKUP($C108,WeatherCapacityAdjustment,2))),0)</f>
        <v>#VALUE!</v>
      </c>
      <c r="FM108" s="1551" t="e">
        <f aca="false">IF($EI108&gt;0,MIN(FF108,BA108*(1+VLOOKUP($C108,WeatherCapacityAdjustment,2))),0)</f>
        <v>#VALUE!</v>
      </c>
      <c r="FN108" s="1551" t="e">
        <f aca="false">IF($EI108&gt;0,MIN(FG108,BB108*(1+VLOOKUP($C108,WeatherCapacityAdjustment,2))),0)</f>
        <v>#VALUE!</v>
      </c>
      <c r="FO108" s="1564" t="e">
        <f aca="false">IF($EI108&gt;0,MIN(FH108,BC108*(1+VLOOKUP($C108,WeatherCapacityAdjustment,3))),0)</f>
        <v>#VALUE!</v>
      </c>
      <c r="FP108" s="1551" t="e">
        <f aca="false">IF(ET108&gt;0,MIN(FE108-FL108,BH108*(1+VLOOKUP($C108,WeatherCapacityAdjustment,2))),0)</f>
        <v>#VALUE!</v>
      </c>
      <c r="FQ108" s="1551" t="e">
        <f aca="false">IF(EU108&gt;0,MIN(FF108-FM108,BI108*(1+VLOOKUP($C108,WeatherCapacityAdjustment,2))),0)</f>
        <v>#VALUE!</v>
      </c>
      <c r="FR108" s="1551" t="e">
        <f aca="false">IF(EV108&gt;0,MIN(FG108-FN108,BJ108*(1+VLOOKUP($C108,WeatherCapacityAdjustment,2))),0)</f>
        <v>#VALUE!</v>
      </c>
      <c r="FS108" s="1558" t="e">
        <f aca="false">IF(EW108&gt;0,MIN(FH108-FO108,BK108*(1+VLOOKUP($C108,WeatherCapacityAdjustment,3))),0)</f>
        <v>#VALUE!</v>
      </c>
      <c r="FT108" s="1566" t="e">
        <f aca="false">IF(AND(Assumptions!$H$71="Yes",A108&gt;=Assumptions!$H$72,A108&lt;=Assumptions!$H$73),0,IF(AND($A108&gt;=Assumptions!$C$17,$A108&lt;=Assumptions!$C$18),MAX(AZ108*(1+VLOOKUP($C108,WeatherCapacityAdjustment,2))-FL108,0),0))</f>
        <v>#VALUE!</v>
      </c>
      <c r="FU108" s="1551" t="e">
        <f aca="false">IF(AND(Assumptions!$H$71="Yes",A108&gt;=Assumptions!$H$72,A108&lt;=Assumptions!$H$73),0,IF(AND($A108&gt;=Assumptions!$C$17,$A108&lt;=Assumptions!$C$18),MAX(BA108*(1+VLOOKUP($C108,WeatherCapacityAdjustment,2))-FM108,0),0))</f>
        <v>#VALUE!</v>
      </c>
      <c r="FV108" s="1551" t="e">
        <f aca="false">IF(AND(Assumptions!$H$71="Yes",A108&gt;=Assumptions!$H$72,A108&lt;=Assumptions!$H$73),0,IF(AND($A108&gt;=Assumptions!$C$17,$A108&lt;=Assumptions!$C$18),MAX(BB108*(1+VLOOKUP($C108,WeatherCapacityAdjustment,2))-FN108,0),0))</f>
        <v>#VALUE!</v>
      </c>
      <c r="FW108" s="1564" t="e">
        <f aca="false">IF(AND(Assumptions!$H$71="Yes",A108&gt;=Assumptions!$H$72,A108&lt;=Assumptions!$H$73),0,IF(AND($A108&gt;=Assumptions!$C$17,$A108&lt;=Assumptions!$C$18),MAX(BC108*(1+VLOOKUP($C108,WeatherCapacityAdjustment,3))-FO108,0),0))</f>
        <v>#VALUE!</v>
      </c>
      <c r="FX108" s="1569" t="e">
        <f aca="false">IF(AND(Assumptions!$H$71="Yes",A108&gt;=Assumptions!$H$72,A108&lt;=Assumptions!$H$73),0,IF(ET108&gt;0,MAX(BH108*(1+VLOOKUP($C108,WeatherCapacityAdjustment,2))-FP108,0),0))</f>
        <v>#VALUE!</v>
      </c>
      <c r="FY108" s="1551" t="e">
        <f aca="false">IF(AND(Assumptions!$H$71="Yes",A108&gt;=Assumptions!$H$72,A108&lt;=Assumptions!$H$73),0,IF(EU108&gt;0,MAX(BI108*(1+VLOOKUP($C108,WeatherCapacityAdjustment,3))-FQ108,0),0))</f>
        <v>#VALUE!</v>
      </c>
      <c r="FZ108" s="1551" t="e">
        <f aca="false">IF(AND(Assumptions!$H$71="Yes",A108&gt;=Assumptions!$H$72,A108&lt;=Assumptions!$H$73),0,IF(EV108&gt;0,MAX(BJ108*(1+VLOOKUP($C108,WeatherCapacityAdjustment,2))-FR108,0),0))</f>
        <v>#VALUE!</v>
      </c>
      <c r="GA108" s="1564" t="e">
        <f aca="false">IF(AND(Assumptions!$H$71="Yes",A108&gt;=Assumptions!$H$72,A108&lt;=Assumptions!$H$73),0,IF(EW108&gt;0,MAX(BK108*(1+VLOOKUP($C108,WeatherCapacityAdjustment,2))-FS108,0),0))</f>
        <v>#VALUE!</v>
      </c>
      <c r="GB108" s="1551" t="e">
        <f aca="false">SUM(FT108:GA108)</f>
        <v>#VALUE!</v>
      </c>
      <c r="GC108" s="1563" t="e">
        <f aca="false">+IF(SUM(FT108:GA108)=0,0,(SUMPRODUCT(BU108:BX108,FT108:FW108)+SUMPRODUCT(CA108:CD108,FX108:GA108))/SUM(FT108:GA108))</f>
        <v>#VALUE!</v>
      </c>
      <c r="GD108" s="1551" t="e">
        <f aca="false">(FT108*BU108+FX108*CA108+FU108*BV108+FY108*CB108+FV108*BW108+FZ108*CC108+FW108*BX108+GA108*CD108)</f>
        <v>#VALUE!</v>
      </c>
      <c r="GE108" s="1561" t="e">
        <f aca="false">+IF(BQ108,((FL108+FM108+FT108+FU108)*HeatRatePeak/1000*(1+VLOOKUP($C108,WeatherHeatRateAdjustment,2))+(FN108+FV108)*IF(EV108&gt;0,HeatRatePeak,HeatRateOffPeak)/1000*(1+VLOOKUP($C108,WeatherHeatRateAdjustment,2))+(FO108+FW108)*IF(EW108&gt;0,HeatRatePeak,HeatRateOffPeak)/1000*(1+VLOOKUP($C108,WeatherHeatRateAdjustment,3)))*(1+VLOOKUP($B108,HeatRateDegradation,$C108+1)),0)</f>
        <v>#VALUE!</v>
      </c>
      <c r="GF108" s="1562" t="e">
        <f aca="false">IF(BQ108,((FP108+FQ108+FR108+FX108+FY108+FZ108)*HeatRatePeak/1000*(1+VLOOKUP($C108,WeatherHeatRateAdjustment,2))+(FS108+GA108)*HeatRatePeak/1000*(1+VLOOKUP($C108,WeatherHeatRateAdjustment,3)))*(1+VLOOKUP($B108,HeatRateDegradation,$C108+1)),0)</f>
        <v>#VALUE!</v>
      </c>
      <c r="GG108" s="1563" t="e">
        <f aca="false">IF(BQ108,VLOOKUP(A108,GasTable,13),0)</f>
        <v>#VALUE!</v>
      </c>
      <c r="GH108" s="1564" t="e">
        <f aca="false">(GE108+GF108)*GG108</f>
        <v>#VALUE!</v>
      </c>
      <c r="GI108" s="1569" t="e">
        <f aca="false">GB108</f>
        <v>#VALUE!</v>
      </c>
      <c r="GJ108" s="1598" t="e">
        <f aca="false">+DA108</f>
        <v>#VALUE!</v>
      </c>
      <c r="GK108" s="1558" t="e">
        <f aca="false">+GI108*GJ108</f>
        <v>#VALUE!</v>
      </c>
      <c r="GL108" s="1566" t="e">
        <f aca="false">MAX(FE108-FL108-FP108,0)</f>
        <v>#VALUE!</v>
      </c>
      <c r="GM108" s="1551" t="e">
        <f aca="false">MAX(FF108-FM108-FQ108,0)</f>
        <v>#VALUE!</v>
      </c>
      <c r="GN108" s="1551" t="e">
        <f aca="false">MAX(FG108-FN108-FR108,0)</f>
        <v>#VALUE!</v>
      </c>
      <c r="GO108" s="1564" t="e">
        <f aca="false">MAX(FH108-FO108-FS108,0)</f>
        <v>#VALUE!</v>
      </c>
      <c r="GP108" s="1551" t="e">
        <f aca="false">SUM(GL108:GO108)</f>
        <v>#VALUE!</v>
      </c>
      <c r="GQ108" s="1563" t="e">
        <f aca="false">IF(SUM(GL108:GO108)=0,0,((GL108*BU108+GM108*BV108+GN108*BW108+GO108*BX108)/SUM(GL108:GO108)))</f>
        <v>#VALUE!</v>
      </c>
      <c r="GR108" s="1558" t="e">
        <f aca="false">(GL108*BU108+GM108*BV108+GN108*BW108+GO108*BX108)</f>
        <v>#VALUE!</v>
      </c>
      <c r="GS108" s="1566" t="n">
        <f aca="false">IF($A108&gt;=BegDate,Assumptions!$C$56*24*($A109-$A108)*(1-VLOOKUP($B108,MAIN!$AA$7:$AM$28,$C108+1))*(1-VLOOKUP($B108,MAIN!$AA$33:$AM$54,$C108+1)),0)*80/168</f>
        <v>257742.857142857</v>
      </c>
      <c r="GT108" s="286" t="n">
        <f aca="false">J108</f>
        <v>45.0932640435072</v>
      </c>
      <c r="GU108" s="286" t="n">
        <f aca="false">IF($A108&gt;=BegDate,VLOOKUP($A108,GasTable,13)+Assumptions!$C$58,0)</f>
        <v>3.1495676776294</v>
      </c>
      <c r="GV108" s="286" t="n">
        <f aca="false">GU108*Assumptions!$C$57/1000</f>
        <v>22.8343656628131</v>
      </c>
      <c r="GW108" s="1558" t="n">
        <f aca="false">IF(Assumptions!$C$60="Hourly",MAX(0,GS108*(GT108-GV108)),GS108*(GT108-GV108))</f>
        <v>5737072.0654926</v>
      </c>
      <c r="GX108" s="1566" t="n">
        <f aca="false">IF($A108&gt;=BegDate,Assumptions!$C$56*24*($A109-$A108)*(1-VLOOKUP($B108,MAIN!$AA$7:$AM$28,$C108+1))*(1-VLOOKUP($B108,MAIN!$AA$33:$AM$54,$C108+1)),0)*16/168</f>
        <v>51548.5714285714</v>
      </c>
      <c r="GY108" s="286" t="n">
        <f aca="false">M108</f>
        <v>45.0932640435072</v>
      </c>
      <c r="GZ108" s="286" t="n">
        <f aca="false">IF($A108&gt;=BegDate,VLOOKUP($A108,GasTable,13)+Assumptions!$C$58,0)</f>
        <v>3.1495676776294</v>
      </c>
      <c r="HA108" s="286" t="n">
        <f aca="false">GZ108*Assumptions!$C$57/1000</f>
        <v>22.8343656628131</v>
      </c>
      <c r="HB108" s="1558" t="n">
        <f aca="false">IF(Assumptions!$C$60="Hourly",MAX(0,GX108*(GY108-HA108)),GX108*(GY108-HA108))</f>
        <v>1147414.41309852</v>
      </c>
      <c r="HC108" s="1566" t="n">
        <f aca="false">IF($A108&gt;=BegDate,Assumptions!$C$56*24*($A109-$A108)*(1-VLOOKUP($B108,MAIN!$AA$7:$AM$28,$C108+1))*(1-VLOOKUP($B108,MAIN!$AA$33:$AM$54,$C108+1)),0)*16/168</f>
        <v>51548.5714285714</v>
      </c>
      <c r="HD108" s="286" t="n">
        <f aca="false">P108</f>
        <v>30.4817526138748</v>
      </c>
      <c r="HE108" s="286" t="n">
        <f aca="false">IF($A108&gt;=BegDate,VLOOKUP($A108,GasTable,13)+Assumptions!$C$58,0)</f>
        <v>3.1495676776294</v>
      </c>
      <c r="HF108" s="286" t="n">
        <f aca="false">HE108*Assumptions!$C$57/1000</f>
        <v>22.8343656628131</v>
      </c>
      <c r="HG108" s="1558" t="n">
        <f aca="false">IF(Assumptions!$C$60="Hourly",MAX(0,HC108*(HD108-HF108)),HC108*(HD108-HF108))</f>
        <v>394211.872488728</v>
      </c>
      <c r="HH108" s="1566" t="n">
        <f aca="false">IF($A108&gt;=BegDate,Assumptions!$C$56*24*($A109-$A108)*(1-VLOOKUP($B108,MAIN!$AA$7:$AM$28,$C108+1))*(1-VLOOKUP($B108,MAIN!$AA$33:$AM$54,$C108+1)),0)*56/168</f>
        <v>180420</v>
      </c>
      <c r="HI108" s="286" t="n">
        <f aca="false">S108</f>
        <v>30.4817526138748</v>
      </c>
      <c r="HJ108" s="286" t="n">
        <f aca="false">IF($A108&gt;=BegDate,VLOOKUP($A108,GasTable,13)+Assumptions!$C$58,0)</f>
        <v>3.1495676776294</v>
      </c>
      <c r="HK108" s="286" t="n">
        <f aca="false">HJ108*Assumptions!$C$57/1000</f>
        <v>22.8343656628131</v>
      </c>
      <c r="HL108" s="1558" t="n">
        <f aca="false">IF(Assumptions!$C$60="Hourly",MAX(0,HH108*(HI108-HK108)),HH108*(HI108-HK108))</f>
        <v>1379741.55371055</v>
      </c>
      <c r="HM108" s="1566" t="n">
        <f aca="false">IF(AND(Assumptions!$H$71="Yes",A108&gt;=Assumptions!$H$72,A108&lt;=Assumptions!$H$73),Assumptions!$H$74*Assumptions!$C$9*1000,0)</f>
        <v>0</v>
      </c>
      <c r="HN108" s="1551"/>
      <c r="HO108" s="1563"/>
      <c r="HP108" s="1563"/>
      <c r="HQ108" s="1563"/>
      <c r="HR108" s="1563"/>
      <c r="HS108" s="1563"/>
      <c r="HT108" s="1563"/>
      <c r="HU108" s="1563"/>
      <c r="HV108" s="1563"/>
      <c r="HW108" s="1563"/>
      <c r="HX108" s="1563"/>
      <c r="HY108" s="1563"/>
      <c r="HZ108" s="1563"/>
      <c r="IA108" s="1563"/>
      <c r="IB108" s="1563"/>
      <c r="IC108" s="1563"/>
      <c r="ID108" s="1563"/>
      <c r="IE108" s="1563"/>
      <c r="IF108" s="1563"/>
      <c r="IG108" s="1563"/>
      <c r="IH108" s="1563"/>
      <c r="II108" s="1610"/>
      <c r="IJ108" s="1309"/>
      <c r="IK108" s="1309"/>
    </row>
    <row r="109" customFormat="false" ht="12.75" hidden="false" customHeight="false" outlineLevel="0" collapsed="false">
      <c r="A109" s="1571" t="n">
        <f aca="false">EOMONTH(A108,0)+1</f>
        <v>39448</v>
      </c>
      <c r="B109" s="594" t="n">
        <f aca="false">+YEAR(A109)</f>
        <v>2008</v>
      </c>
      <c r="C109" s="238" t="n">
        <f aca="false">MONTH(A109)</f>
        <v>1</v>
      </c>
      <c r="D109" s="1572" t="e">
        <f aca="false">IF(E109="","",Holiday(B109,C109))</f>
        <v>#VALUE!</v>
      </c>
      <c r="E109" s="1573" t="n">
        <f aca="false">IF(OR(BegDate&gt;=A110,EndDate&lt;A109,AND(VolumeMonthlyOverFlag,INDEX(VolumeMonthlyOver,C109)=0),NOT(INDEX(MonthKnockOutTable,C109))),"",MAX(A109,BegDate))</f>
        <v>39448</v>
      </c>
      <c r="F109" s="1574" t="n">
        <f aca="false">IF(E109="","",MIN(A110-1,EndDate))</f>
        <v>39478</v>
      </c>
      <c r="G109" s="1575" t="n">
        <v>0</v>
      </c>
      <c r="H109" s="1576" t="n">
        <f aca="false">(1+G109/2)^(-2*(DATE(B110,C110,20)-DateToday)/365.25)</f>
        <v>1</v>
      </c>
      <c r="I109" s="1568" t="n">
        <f aca="false">IF(Assumptions!$L$25=4,VLOOKUP($A109,'Henwood Reference'!$E$9:$R$320,10),(VLOOKUP($A109,PriceTable,2,0)+IF(BasisNumber&lt;&gt;1,VLOOKUP($A109,BasisTable,2,0),0)+I$1)/(1-I$2))</f>
        <v>48.534935364576</v>
      </c>
      <c r="J109" s="1568" t="n">
        <f aca="false">IF(Assumptions!$L$25=4,VLOOKUP($A109,'Henwood Reference'!$E$9:$R$320,10),(VLOOKUP($A109,PriceTable,3,0)+IF(BasisNumber&lt;&gt;1,VLOOKUP($A109,BasisTable,2,0),0)+J$1)/(1-J$2))</f>
        <v>48.534935364576</v>
      </c>
      <c r="K109" s="1568" t="n">
        <f aca="false">IF(Assumptions!$L$25=4,VLOOKUP($A109,'Henwood Reference'!$E$9:$R$320,10),(VLOOKUP($A109,PriceTable,4,0)+IF(BasisNumber&lt;&gt;1,VLOOKUP($A109,BasisTable,2,0),0)+K$1)/(1-K$2))</f>
        <v>48.534935364576</v>
      </c>
      <c r="L109" s="1523" t="n">
        <f aca="false">IF(Assumptions!$L$25=4,VLOOKUP($A109,'Henwood Reference'!$E$9:$R$320,10),(VLOOKUP($A109,PriceTableWeekend,2,0)+IF(BasisNumber&lt;&gt;1,VLOOKUP($A109,BasisTable,2,0),0)+L$1)/(1-L$2))</f>
        <v>48.534935364576</v>
      </c>
      <c r="M109" s="1568" t="n">
        <f aca="false">IF(Assumptions!$L$25=4,VLOOKUP($A109,'Henwood Reference'!$E$9:$R$320,10),(VLOOKUP($A109,PriceTableWeekend,3,0)+IF(BasisNumber&lt;&gt;1,VLOOKUP($A109,BasisTable,2,0),0)+M$1)/(1-M$2))</f>
        <v>48.534935364576</v>
      </c>
      <c r="N109" s="1599" t="n">
        <f aca="false">IF(Assumptions!$L$25=4,VLOOKUP($A109,'Henwood Reference'!$E$9:$R$320,10),(VLOOKUP($A109,PriceTableWeekend,4,0)+IF(BasisNumber&lt;&gt;1,VLOOKUP($A109,BasisTable,2,0),0)+N$1)/(1-N$2))</f>
        <v>48.534935364576</v>
      </c>
      <c r="O109" s="1568" t="n">
        <f aca="false">IF(Assumptions!$L$25=4,VLOOKUP($A109,'Henwood Reference'!$E$9:$R$320,11),(VLOOKUP($A109,PriceTableWeekend,6,0)+IF(BasisNumber&lt;&gt;1,VLOOKUP($A109,BasisTable,3,0),0)+O$1)/(1-O$2))</f>
        <v>29.8318538315749</v>
      </c>
      <c r="P109" s="1568" t="n">
        <f aca="false">IF(Assumptions!$L$25=4,VLOOKUP($A109,'Henwood Reference'!$E$9:$R$320,11),(VLOOKUP($A109,PriceTableWeekend,7,0)+IF(BasisNumber&lt;&gt;1,VLOOKUP($A109,BasisTable,3,0),0)+P$1)/(1-P$2))</f>
        <v>29.8318538315749</v>
      </c>
      <c r="Q109" s="1599" t="n">
        <f aca="false">IF(Assumptions!$L$25=4,VLOOKUP($A109,'Henwood Reference'!$E$9:$R$320,11),(VLOOKUP($A109,PriceTableWeekend,8,0)+IF(BasisNumber&lt;&gt;1,VLOOKUP($A109,BasisTable,3,0),0)+Q$1)/(1-Q$2))</f>
        <v>29.8318538315749</v>
      </c>
      <c r="R109" s="1568" t="n">
        <f aca="false">IF(Assumptions!$L$25=4,VLOOKUP($A109,'Henwood Reference'!$E$9:$R$320,11),(VLOOKUP($A109,PriceTable,6,0)+IF(BasisNumber&lt;&gt;1,VLOOKUP($A109,BasisTable,3,0),0)+R$1)/(1-R$2))</f>
        <v>29.8318538315749</v>
      </c>
      <c r="S109" s="1568" t="n">
        <f aca="false">IF(Assumptions!$L$25=4,VLOOKUP($A109,'Henwood Reference'!$E$9:$R$320,11),(VLOOKUP($A109,PriceTable,7,0)+IF(BasisNumber&lt;&gt;1,VLOOKUP($A109,BasisTable,3,0),0)+S$1)/(1-S$2))</f>
        <v>29.8318538315749</v>
      </c>
      <c r="T109" s="1600" t="n">
        <f aca="false">IF(Assumptions!$L$25=4,VLOOKUP($A109,'Henwood Reference'!$E$9:$R$320,11),(VLOOKUP($A109,PriceTable,8,0)+IF(BasisNumber&lt;&gt;1,VLOOKUP($A109,BasisTable,3,0),0)+T$1)/(1-T$2))</f>
        <v>29.8318538315749</v>
      </c>
      <c r="U109" s="1513" t="n">
        <f aca="false">VLOOKUP($A109,VolatilityTable,14)</f>
        <v>0.13</v>
      </c>
      <c r="V109" s="1513" t="n">
        <f aca="false">VLOOKUP($A109,VolatilityTable,15)</f>
        <v>0.14</v>
      </c>
      <c r="W109" s="1514" t="n">
        <f aca="false">VLOOKUP($A109,VolatilityTable,16)</f>
        <v>0.15</v>
      </c>
      <c r="X109" s="1513" t="n">
        <f aca="false">VLOOKUP($A109,VolatilityTable,14)</f>
        <v>0.13</v>
      </c>
      <c r="Y109" s="1513" t="n">
        <f aca="false">VLOOKUP($A109,VolatilityTable,15)</f>
        <v>0.14</v>
      </c>
      <c r="Z109" s="1514" t="n">
        <f aca="false">VLOOKUP($A109,VolatilityTable,16)</f>
        <v>0.15</v>
      </c>
      <c r="AA109" s="1513" t="n">
        <f aca="false">VLOOKUP($A109,VolatilityTable,18)</f>
        <v>0.09</v>
      </c>
      <c r="AB109" s="1513" t="n">
        <f aca="false">VLOOKUP($A109,VolatilityTable,19)</f>
        <v>0.11</v>
      </c>
      <c r="AC109" s="1514" t="n">
        <f aca="false">VLOOKUP($A109,VolatilityTable,20)</f>
        <v>0.13</v>
      </c>
      <c r="AD109" s="1513" t="n">
        <f aca="false">VLOOKUP($A109,VolatilityTable,18)</f>
        <v>0.09</v>
      </c>
      <c r="AE109" s="1513" t="n">
        <f aca="false">VLOOKUP($A109,VolatilityTable,19)</f>
        <v>0.11</v>
      </c>
      <c r="AF109" s="1514" t="n">
        <f aca="false">VLOOKUP($A109,VolatilityTable,20)</f>
        <v>0.13</v>
      </c>
      <c r="AG109" s="1513" t="n">
        <f aca="false">VLOOKUP($A109,VolatilityTable,22)</f>
        <v>-0.25</v>
      </c>
      <c r="AH109" s="1513" t="n">
        <f aca="false">VLOOKUP($A109,VolatilityTable,23)</f>
        <v>0.65</v>
      </c>
      <c r="AI109" s="1514" t="n">
        <f aca="false">VLOOKUP($A109,VolatilityTable,24)</f>
        <v>0.25</v>
      </c>
      <c r="AJ109" s="1513" t="n">
        <f aca="false">VLOOKUP($A109,VolatilityTable,22)</f>
        <v>-0.25</v>
      </c>
      <c r="AK109" s="1513" t="n">
        <f aca="false">VLOOKUP($A109,VolatilityTable,23)</f>
        <v>0.65</v>
      </c>
      <c r="AL109" s="1514" t="n">
        <f aca="false">VLOOKUP($A109,VolatilityTable,24)</f>
        <v>0.25</v>
      </c>
      <c r="AM109" s="1513" t="n">
        <f aca="false">VLOOKUP($A109,VolatilityTable,26)</f>
        <v>-0.01</v>
      </c>
      <c r="AN109" s="1513" t="n">
        <f aca="false">VLOOKUP($A109,VolatilityTable,27)</f>
        <v>0.16</v>
      </c>
      <c r="AO109" s="1514" t="n">
        <f aca="false">VLOOKUP($A109,VolatilityTable,28)</f>
        <v>0.01</v>
      </c>
      <c r="AP109" s="1513" t="n">
        <f aca="false">VLOOKUP($A109,VolatilityTable,26)</f>
        <v>-0.01</v>
      </c>
      <c r="AQ109" s="1513" t="n">
        <f aca="false">VLOOKUP($A109,VolatilityTable,27)</f>
        <v>0.16</v>
      </c>
      <c r="AR109" s="1515" t="n">
        <f aca="false">VLOOKUP($A109,VolatilityTable,28)</f>
        <v>0.01</v>
      </c>
      <c r="AS109" s="1581" t="n">
        <f aca="false">IF(CorrPeakOffPeakOverFlag,INDEX(CorrPeakOffPeakOver,C109),CorrPeakOffPeak)</f>
        <v>0.5</v>
      </c>
      <c r="AT109" s="594" t="e">
        <f aca="false">AX109-SUM(AU109:AW109)</f>
        <v>#VALUE!</v>
      </c>
      <c r="AU109" s="238" t="e">
        <f aca="false">IF(E109="",0,INT((F109-MOD(F109,7)-E109)/7)+1-IF(AW109,IF(WEEKDAY(D109)=7,1,0),0))</f>
        <v>#VALUE!</v>
      </c>
      <c r="AV109" s="238" t="e">
        <f aca="false">IF(E109="",0,INT((F109-MOD(F109-1,7)-E109)/7)+1-IF(AW109,IF(WEEKDAY(D109)=1,1,0),0))</f>
        <v>#VALUE!</v>
      </c>
      <c r="AW109" s="238" t="e">
        <f aca="false">IF(OR(E109="",D109="",D109&lt;BegDate,D109&gt;EndDate),0,1)</f>
        <v>#VALUE!</v>
      </c>
      <c r="AX109" s="238" t="n">
        <f aca="false">IF(E109="",0,F109-E109+1)</f>
        <v>31</v>
      </c>
      <c r="AY109" s="1582" t="n">
        <f aca="false">IF(E109="",0,MIN((1-(1-VLOOKUP(B109,MAIN!$AA$7:$AM$28,C109+1))*(1-VLOOKUP(B109,MAIN!$AA$33:$AM$54,C109+1))),1))</f>
        <v>0.03</v>
      </c>
      <c r="AZ109" s="1519" t="e">
        <v>#VALUE!</v>
      </c>
      <c r="BA109" s="1520" t="e">
        <v>#VALUE!</v>
      </c>
      <c r="BB109" s="1520" t="e">
        <v>#VALUE!</v>
      </c>
      <c r="BC109" s="1583" t="e">
        <v>#VALUE!</v>
      </c>
      <c r="BD109" s="1522" t="e">
        <v>#VALUE!</v>
      </c>
      <c r="BE109" s="1523" t="e">
        <v>#VALUE!</v>
      </c>
      <c r="BF109" s="1523" t="e">
        <v>#VALUE!</v>
      </c>
      <c r="BG109" s="1584" t="e">
        <v>#VALUE!</v>
      </c>
      <c r="BH109" s="1525" t="e">
        <v>#VALUE!</v>
      </c>
      <c r="BI109" s="1520" t="e">
        <v>#VALUE!</v>
      </c>
      <c r="BJ109" s="1520" t="e">
        <v>#VALUE!</v>
      </c>
      <c r="BK109" s="1583" t="e">
        <v>#VALUE!</v>
      </c>
      <c r="BL109" s="1522" t="e">
        <v>#VALUE!</v>
      </c>
      <c r="BM109" s="1523" t="e">
        <v>#VALUE!</v>
      </c>
      <c r="BN109" s="1523" t="e">
        <v>#VALUE!</v>
      </c>
      <c r="BO109" s="1523" t="e">
        <v>#VALUE!</v>
      </c>
      <c r="BP109" s="1525" t="e">
        <f aca="false">SUM(AZ109:BB109)</f>
        <v>#VALUE!</v>
      </c>
      <c r="BQ109" s="1529" t="e">
        <f aca="false">SUM(AZ109:BC109)</f>
        <v>#VALUE!</v>
      </c>
      <c r="BR109" s="1519" t="e">
        <f aca="false">SUM(BH109:BJ109)</f>
        <v>#VALUE!</v>
      </c>
      <c r="BS109" s="1529" t="e">
        <f aca="false">SUM(BH109:BK109)</f>
        <v>#VALUE!</v>
      </c>
      <c r="BT109" s="1316" t="n">
        <f aca="false">(IF(OVolType&lt;&gt;2,A109+14,IF(OptExpDateShift,ShiftBack(A109,OptExpDateShift,D108),A109))-DateToday)/365.25</f>
        <v>7.71526351813826</v>
      </c>
      <c r="BU109" s="1585" t="e">
        <f aca="false">IF(BQ109,IF(OPriceCurve,IF(OBuySell=OCallPut,I109/(1-AY109),K109/(1-AY109)),J109/(1-AY109))*BD109,0)</f>
        <v>#VALUE!</v>
      </c>
      <c r="BV109" s="1316" t="e">
        <f aca="false">IF(BQ109,IF(OPriceCurve,IF(OBuySell=OCallPut,L109/(1-AY109),N109/(1-AY109)),M109/(1-AY109))*BE109,0)</f>
        <v>#VALUE!</v>
      </c>
      <c r="BW109" s="1316" t="e">
        <f aca="false">IF(BQ109,IF(OPriceCurve,IF(OBuySell=OCallPut,O109/(1-AY109),Q109/(1-AY109)),P109/(1-AY109))*BF109,0)</f>
        <v>#VALUE!</v>
      </c>
      <c r="BX109" s="1316" t="e">
        <f aca="false">IF(BQ109,IF(OPriceCurve,IF(OBuySell=OCallPut,R109/(1-AY109),T109/(1-AY109)),S109/(1-AY109))*BG109,0)</f>
        <v>#VALUE!</v>
      </c>
      <c r="BY109" s="1316" t="e">
        <f aca="false">IF(BP109,(BU109*AZ109+BV109*BA109+BW109*BB109)/BP109,0)</f>
        <v>#VALUE!</v>
      </c>
      <c r="BZ109" s="1316" t="e">
        <f aca="false">IF(BQ109,(BY109*BP109+BX109*BC109)/BQ109,0)</f>
        <v>#VALUE!</v>
      </c>
      <c r="CA109" s="1531" t="e">
        <f aca="false">IF(BS109,IF(OPriceCurve,IF(OBuySell=OCallPut,I109/(1-AY109),K109/(1-AY109)),J109/(1-AY109))*BL109,0)</f>
        <v>#VALUE!</v>
      </c>
      <c r="CB109" s="1316" t="e">
        <f aca="false">IF(BS109,IF(OPriceCurve,IF(OBuySell=OCallPut,L109/(1-AY109),N109/(1-AY109)),M109/(1-AY109))*BM109,0)</f>
        <v>#VALUE!</v>
      </c>
      <c r="CC109" s="1316" t="e">
        <f aca="false">IF(BS109,IF(OPriceCurve,IF(OBuySell=OCallPut,O109/(1-AY109),Q109/(1-AY109)),P109/(1-AY109))*BN109,0)</f>
        <v>#VALUE!</v>
      </c>
      <c r="CD109" s="1316" t="e">
        <f aca="false">IF(BS109,IF(OPriceCurve,IF(OBuySell=OCallPut,R109/(1-AY109),T109/(1-AY109)),S109/(1-AY109))*BO109,0)</f>
        <v>#VALUE!</v>
      </c>
      <c r="CE109" s="1316" t="e">
        <f aca="false">IF(BR109,(BU109*BH109+BV109*BI109+BW109*BJ109)/BR109,0)</f>
        <v>#VALUE!</v>
      </c>
      <c r="CF109" s="1532" t="e">
        <f aca="false">IF(BS109,(CE109*BR109+CD109*BK109)/BS109,0)</f>
        <v>#VALUE!</v>
      </c>
      <c r="CG109" s="1586" t="e">
        <f aca="false">IF(OR(BQ109,BS109),IF(OVolType&lt;&gt;2,SQRT(IF(OVolOverMonthlyPeak,OVolOverMonthlyPeak,IF(OVolCurve,IF(OBuySell,U109,W109),V109))^2*(1-15/365.25/BT109)+IF(OVolOverDailyPeak,OVolOverDailyPeak,IF(OVolCurve,IF(OBuySell,AG109,AI109),AH109))^2*15/365.25/BT109),IF(OVolOverMonthlyPeak,OVolOverMonthlyPeak,IF(OVolCurve,IF(OBuySell,U109,W109),V109))),"")</f>
        <v>#VALUE!</v>
      </c>
      <c r="CH109" s="1587" t="e">
        <f aca="false">IF(OR(BQ109,BS109),IF(OVolType&lt;&gt;2,SQRT(IF(OVolOverMonthlyPeak,OVolOverMonthlyPeak,IF(OVolCurve,IF(OBuySell,X109,Z109),Y109))^2*(1-15/365.25/BT109)+IF(OVolOverDailyPeak,OVolOverDailyPeak,IF(OVolCurve,IF(OBuySell,AJ109,AL109),AK109))^2*15/365.25/BT109),IF(OVolOverMonthlyPeak,OVolOverMonthlyPeak,IF(OVolCurve,IF(OBuySell,X109,Z109),Y109))),"")</f>
        <v>#VALUE!</v>
      </c>
      <c r="CI109" s="1587" t="e">
        <f aca="false">IF(OR(BQ109,BS109),IF(OVolType&lt;&gt;2,SQRT(IF(OVolOverMonthlyPeak,OVolOverMonthlyPeak,IF(OVolCurve,IF(OBuySell,AA109,AC109),AB109))^2*(1-15/365.25/BT109)+IF(OVolOverDailyPeak,OVolOverDailyPeak,IF(OVolCurve,IF(OBuySell,AM109,AO109),AN109))^2*15/365.25/BT109),IF(OVolOverMonthlyPeak,OVolOverMonthlyPeak,IF(OVolCurve,IF(OBuySell,AA109,AC109),AB109))),"")</f>
        <v>#VALUE!</v>
      </c>
      <c r="CJ109" s="1587" t="e">
        <f aca="false">IF(BQ109,IF(BP109,SQRT(LN(1+((BU109*AZ109)^2*(EXP(CG109^2*BT109)-1)+(BV109*BA109)^2*(EXP(CH109^2*BT109)-1)+(BW109*BB109)^2*(EXP(CI109^2*BT109)-1)+2*BU109*AZ109*BV109*BA109*(EXP(CG109*CH109*BT109)-1)+2*BV109*BA109*BW109*BB109*(EXP(CH109*CI109*BT109)-1)+2*BW109*BB109*BU109*AZ109*(EXP(CI109*CG109*BT109)-1))/(BY109*BP109)^2)/BT109),0),"")</f>
        <v>#VALUE!</v>
      </c>
      <c r="CK109" s="1587" t="e">
        <f aca="false">IF(BS109,IF(BR109,SQRT(LN(1+((CA109*BH109)^2*(EXP(CG109^2*BT109)-1)+(CB109*BI109)^2*(EXP(CH109^2*BT109)-1)+(CC109*BJ109)^2*(EXP(CI109^2*BT109)-1)+2*CA109*BH109*CB109*BI109*(EXP(CG109*CH109*BT109)-1)+2*CB109*BI109*CC109*BJ109*(EXP(CH109*CI109*BT109)-1)+2*CC109*BJ109*CA109*BH109*(EXP(CI109*CG109*BT109)-1))/(CE109*BR109)^2)/BT109),0),"")</f>
        <v>#VALUE!</v>
      </c>
      <c r="CL109" s="1587" t="e">
        <f aca="false">IF(OR(BQ109,BS109),IF(OVolType&lt;&gt;2,SQRT(IF(OVolOverMonthlyOffPeak,OVolOverMonthlyOffPeak,IF(OVolCurve,IF(OBuySell,AD109,AF109),AE109))^2*(1-15/365.25/BT109)+IF(OVolOverDailyOffPeak,OVolOverDailyOffPeak,IF(OVolCurve,IF(OBuySell,AP109,AR109),AQ109))^2*15/365.25/BT109),IF(OVolOverMonthlyOffPeak,OVolOverMonthlyOffPeak,IF(OVolCurve,IF(OBuySell,AD109,AF109),AE109))),"")</f>
        <v>#VALUE!</v>
      </c>
      <c r="CM109" s="1587" t="e">
        <f aca="false">IF(BQ109,SQRT(LN(1+((BY109*BP109)^2*(EXP(CJ109^2*BT109)-1)+(BX109*BC109)^2*(EXP(CL109^2*BT109)-1)+2*BY109*BP109*BX109*BC109*(EXP(AS109*CJ109*CL109*BT109)-1))/(BY109*BP109+BX109*BC109)^2)/BT109),"")</f>
        <v>#VALUE!</v>
      </c>
      <c r="CN109" s="1588" t="e">
        <f aca="false">IF(BS109,SQRT(LN(1+((CE109*BR109)^2*(EXP(CK109^2*BT109)-1)+(CD109*BK109)^2*(EXP(CL109^2*BT109)-1)+2*CE109*BR109*CD109*BK109*(EXP(AS109*CK109*CL109*BT109)-1))/(CE109*BR109+CD109*BK109)^2)/BT109),"")</f>
        <v>#VALUE!</v>
      </c>
      <c r="CO109" s="1531" t="e">
        <f aca="false">IF(OR(BQ109,BS109),VLOOKUP(A109,GasTable,13)*HeatRatePeak*(1+VLOOKUP($B109,HeatRateDegradation,$C109+1))/1000,0)</f>
        <v>#VALUE!</v>
      </c>
      <c r="CP109" s="1316" t="e">
        <f aca="false">IF(OR(BQ109,BS109),VLOOKUP(A109,GasTable,13)*HeatRatePeak*(1+VLOOKUP($B109,HeatRateDegradation,$C109+1))/1000,0)</f>
        <v>#VALUE!</v>
      </c>
      <c r="CQ109" s="1316" t="e">
        <f aca="false">IF(OR(BQ109,BS109),VLOOKUP(A109,GasTable,13)*IF(EV109,HeatRatePeak,HeatRateOffPeak)*(1+VLOOKUP($B109,HeatRateDegradation,$C109+1))/1000,0)</f>
        <v>#VALUE!</v>
      </c>
      <c r="CR109" s="1316" t="e">
        <f aca="false">IF(OR(BQ109,BS109),VLOOKUP(A109,GasTable,13)*IF(EW109,HeatRatePeak,HeatRateOffPeak)*(1+VLOOKUP($B109,HeatRateDegradation,$C109+1))/1000,0)</f>
        <v>#VALUE!</v>
      </c>
      <c r="CS109" s="1589" t="e">
        <f aca="false">IF(BQ109,(CO109*AZ109+CP109*BA109+CQ109*BB109+CR109*BC109)/BQ109,0)</f>
        <v>#VALUE!</v>
      </c>
      <c r="CT109" s="1316" t="e">
        <f aca="false">IF(BS109,CO109,0)</f>
        <v>#VALUE!</v>
      </c>
      <c r="CU109" s="1590" t="e">
        <f aca="false">IF(OR(BQ109,BS109),VLOOKUP(A109,GasTable,14),"")</f>
        <v>#VALUE!</v>
      </c>
      <c r="CV109" s="1568" t="e">
        <f aca="false">IF(OR(BQ109,BS109),IF(CorrPowerGasOverFlag,INDEX(CorrPowerGasOver,C109),CorrPowerGas),"")</f>
        <v>#VALUE!</v>
      </c>
      <c r="CW109" s="1316" t="e">
        <f aca="false">IF(OR($BQ109,$BS109),SpreadOptPowerMargin,0)*((1+Assumptions!$C$26)^($B109-YEAR(Assumptions!$C$17)))</f>
        <v>#VALUE!</v>
      </c>
      <c r="CX109" s="1316" t="e">
        <f aca="false">IF(OR($BQ109,$BS109),SpreadOptPowerMargin,0)*((1+Assumptions!$C$26)^($B109-YEAR(Assumptions!$C$17)))</f>
        <v>#VALUE!</v>
      </c>
      <c r="CY109" s="1316" t="e">
        <f aca="false">IF(OR($BQ109,$BS109),SpreadOptPowerMargin,0)*((1+Assumptions!$C$26)^($B109-YEAR(Assumptions!$C$17)))</f>
        <v>#VALUE!</v>
      </c>
      <c r="CZ109" s="1316" t="e">
        <f aca="false">IF(OR($BQ109,$BS109),SpreadOptPowerMargin,0)*((1+Assumptions!$C$26)^($B109-YEAR(Assumptions!$C$17)))</f>
        <v>#VALUE!</v>
      </c>
      <c r="DA109" s="1591" t="e">
        <f aca="false">IF(OR(BQ109,BS109),(CW109*(AZ109+BH109)+CX109*(BA109+BI109)+CY109*(BB109+BJ109)+CZ109*(BC109+BK109))/(BQ109+BS109),0)</f>
        <v>#VALUE!</v>
      </c>
      <c r="DB109" s="1592" t="e">
        <f aca="false">IF(OR(BQ109,BS109),CG109+IF(OVolSmile,VLOOKUP(MAX(-5,CO109+CW109-BU109),IF(OVolSmile=1,VolSmileBook,VolSmileModel),2),0),"")</f>
        <v>#VALUE!</v>
      </c>
      <c r="DC109" s="1592" t="e">
        <f aca="false">IF(OR(BQ109,BS109),CH109+IF(OVolSmile,VLOOKUP(MAX(-5,CP109+CW109-BV109),IF(OVolSmile=1,VolSmileBook,VolSmileModel),2),0),"")</f>
        <v>#VALUE!</v>
      </c>
      <c r="DD109" s="1592" t="e">
        <f aca="false">IF(OR(BQ109,BS109),CI109+IF(OVolSmile,VLOOKUP(MAX(-5,CQ109+CW109-BW109),IF(OVolSmile=1,VolSmileBook,VolSmileModel),2),0),"")</f>
        <v>#VALUE!</v>
      </c>
      <c r="DE109" s="1592" t="e">
        <f aca="false">IF(OR(BQ109,BS109),CL109+IF(OVolSmile,VLOOKUP(MAX(-5,CR109+CZ109-BX109),IF(OVolSmile=1,VolSmileBook,VolSmileModel),2),0),"")</f>
        <v>#VALUE!</v>
      </c>
      <c r="DF109" s="1592" t="e">
        <f aca="false">IF(BQ109,CM109+IF(OVolSmile,VLOOKUP(MAX(-5,CS109+DA109-BZ109),IF(OVolSmile=1,VolSmileBook,VolSmileModel),2),0),"")</f>
        <v>#VALUE!</v>
      </c>
      <c r="DG109" s="1593" t="e">
        <f aca="false">IF(BS109,CN109+IF(OVolSmile,VLOOKUP(MAX(-5,CT109+DA109-CF109),IF(OVolSmile=1,VolSmileBook,VolSmileModel),2),0),"")</f>
        <v>#VALUE!</v>
      </c>
      <c r="DH109" s="1316" t="e">
        <f aca="false">IF(AND(BU109&gt;0,CO109&gt;0,DB109&gt;0,CU109&gt;0),newSPRDOPT(BU109,CO109,CW109,0,DB109,CU109,CV109,BT109*365.25,OCallPut,0),0)</f>
        <v>#VALUE!</v>
      </c>
      <c r="DI109" s="1316" t="e">
        <f aca="false">IF(AND(BV109&gt;0,CP109&gt;0,DC109&gt;0,CU109&gt;0),newSPRDOPT(BV109,CP109,CX109,0,DC109,CU109,CV109,BT109*365.25,OCallPut,0),0)</f>
        <v>#VALUE!</v>
      </c>
      <c r="DJ109" s="1316" t="e">
        <f aca="false">IF(AND(BW109&gt;0,CQ109&gt;0,DD109&gt;0,CU109&gt;0),newSPRDOPT(BW109,CQ109,CY109,0,DD109,CU109,CV109,BT109*365.25,OCallPut,0),0)</f>
        <v>#VALUE!</v>
      </c>
      <c r="DK109" s="1316" t="e">
        <f aca="false">IF(AND(BX109&gt;0,CR109&gt;0,DE109&gt;0,CU109&gt;0),newSPRDOPT(BX109,CR109,CZ109,0,DE109,CU109,CV109,BT109*365.25,OCallPut,0),0)</f>
        <v>#VALUE!</v>
      </c>
      <c r="DL109" s="1316" t="e">
        <f aca="false">IF(OVolType,IF(AND(BZ109&gt;0,CS109&gt;0,DF109&gt;0,CU109&gt;0),newSPRDOPT(BZ109,CS109,DA109,0,DF109,CU109,CV109,BT109*365.25,OCallPut,0),0),IF(BQ109,(DH109*AZ109+DI109*BA109+DJ109*BB109+DK109*BC109)/BQ109,0))</f>
        <v>#VALUE!</v>
      </c>
      <c r="DM109" s="1316"/>
      <c r="DN109" s="1316"/>
      <c r="DO109" s="1316"/>
      <c r="DP109" s="1316"/>
      <c r="DQ109" s="1316"/>
      <c r="DR109" s="1316"/>
      <c r="DS109" s="1316"/>
      <c r="DT109" s="1316"/>
      <c r="DU109" s="1316"/>
      <c r="DV109" s="1316"/>
      <c r="DW109" s="1594" t="e">
        <f aca="false">IF(AND(BW109&gt;0,CT109&gt;0,DD109&gt;0,CU109&gt;0),newSPRDOPT(BW109,CT109,CY109,0,DD109,CU109,CV109,BT109*365.25,OCallPut,0),0)</f>
        <v>#VALUE!</v>
      </c>
      <c r="DX109" s="1316" t="e">
        <f aca="false">IF(AND(BX109&gt;0,CT109&gt;0,DE109&gt;0,CU109&gt;0),newSPRDOPT(BX109,CT109,CZ109,0,DE109,CU109,CV109,BT109*365.25,OCallPut,0),0)</f>
        <v>#VALUE!</v>
      </c>
      <c r="DY109" s="1591" t="e">
        <f aca="false">IF(BS109,(DH109*BH109+DI109*BI109+DW109*BJ109+DX109*BK109)/BS109,0)</f>
        <v>#VALUE!</v>
      </c>
      <c r="DZ109" s="1551" t="e">
        <f aca="false">DH109*AZ109</f>
        <v>#VALUE!</v>
      </c>
      <c r="EA109" s="1551" t="e">
        <f aca="false">DI109*BA109</f>
        <v>#VALUE!</v>
      </c>
      <c r="EB109" s="1551" t="e">
        <f aca="false">DJ109*BB109</f>
        <v>#VALUE!</v>
      </c>
      <c r="EC109" s="1551" t="e">
        <f aca="false">DK109*BC109</f>
        <v>#VALUE!</v>
      </c>
      <c r="ED109" s="1551" t="e">
        <f aca="false">DL109*BQ109</f>
        <v>#VALUE!</v>
      </c>
      <c r="EE109" s="1595" t="e">
        <f aca="false">IF(BQ109,IF(OCallPut,IF(BU109&gt;(CO109+CW109),BU109-(CO109+CW109),0),IF((CO109+CW109)&gt;BU109,(CO109+CW109)-BU109,0))*AZ109,0)</f>
        <v>#VALUE!</v>
      </c>
      <c r="EF109" s="1596" t="e">
        <f aca="false">IF(BQ109,IF(OCallPut,IF(BV109&gt;(CP109+CX109),BV109-(CP109+CX109),0),IF((CP109+CX109)&gt;BV109,(CP109+CX109)-BV109,0))*BA109,0)</f>
        <v>#VALUE!</v>
      </c>
      <c r="EG109" s="1596" t="e">
        <f aca="false">IF(BQ109,IF(OCallPut,IF(BW109&gt;(CQ109+CY109),BW109-(CQ109+CY109),0),IF((CQ109+CY109)&gt;BW109,(CQ109+CY109)-BW109,0))*BB109,0)</f>
        <v>#VALUE!</v>
      </c>
      <c r="EH109" s="1596" t="e">
        <f aca="false">IF(BQ109,IF(OCallPut,IF(BX109&gt;(CR109+CZ109),BX109-(CR109+CZ109),0),IF((CR109+CZ109)&gt;BX109,(CR109+CZ109)-BX109,0))*BC109,0)</f>
        <v>#VALUE!</v>
      </c>
      <c r="EI109" s="1597" t="e">
        <f aca="false">IF(BQ109,IF(OVolType,IF(OCallPut,IF(BZ109&gt;(CS109+DA109),BZ109-(CS109+DA109),0),IF((CS109+DA109)&gt;BZ109,(CS109+DA109)-BZ109,0))*BQ109,SUM(EE109:EH109)),0)</f>
        <v>#VALUE!</v>
      </c>
      <c r="EJ109" s="1595" t="e">
        <f aca="false">DZ109-EE109</f>
        <v>#VALUE!</v>
      </c>
      <c r="EK109" s="1596" t="e">
        <f aca="false">EA109-EF109</f>
        <v>#VALUE!</v>
      </c>
      <c r="EL109" s="1596" t="e">
        <f aca="false">EB109-EG109</f>
        <v>#VALUE!</v>
      </c>
      <c r="EM109" s="1596" t="e">
        <f aca="false">EC109-EH109</f>
        <v>#VALUE!</v>
      </c>
      <c r="EN109" s="1597" t="e">
        <f aca="false">ED109-EI109</f>
        <v>#VALUE!</v>
      </c>
      <c r="EO109" s="1551" t="e">
        <f aca="false">DH109*BH109</f>
        <v>#VALUE!</v>
      </c>
      <c r="EP109" s="1551" t="e">
        <f aca="false">DI109*BI109</f>
        <v>#VALUE!</v>
      </c>
      <c r="EQ109" s="1551" t="e">
        <f aca="false">DW109*BJ109</f>
        <v>#VALUE!</v>
      </c>
      <c r="ER109" s="1551" t="e">
        <f aca="false">DX109*BK109</f>
        <v>#VALUE!</v>
      </c>
      <c r="ES109" s="1551" t="e">
        <f aca="false">DY109*BS109</f>
        <v>#VALUE!</v>
      </c>
      <c r="ET109" s="1566" t="e">
        <f aca="false">IF(EI109,IF(OCallPut,IF(CA109&gt;(CT109+CW109),CA109-(CT109+CW109),0),IF((CT109+CW109)&gt;CA109,(CT109+CW109)-CA109,0))*BH109,0)</f>
        <v>#VALUE!</v>
      </c>
      <c r="EU109" s="1551" t="e">
        <f aca="false">IF(EI109,IF(OCallPut,IF(CB109&gt;(CT109+CX109),CB109-(CT109+CX109),0),IF((CT109+CX109)&gt;CB109,(CT109+CX109)-CB109,0))*BI109,0)</f>
        <v>#VALUE!</v>
      </c>
      <c r="EV109" s="1551" t="e">
        <f aca="false">IF(EI109,IF(OCallPut,IF(CC109&gt;(CT109+CY109),CC109-(CT109+CY109),0),IF((CT109+CY109)&gt;CC109,(CT109+CY109)-CC109,0))*BJ109,0)</f>
        <v>#VALUE!</v>
      </c>
      <c r="EW109" s="1551" t="e">
        <f aca="false">IF(EI109,IF(OCallPut,IF(CD109&gt;(CT109+CZ109),CD109-(CT109+CZ109),0),IF((CT109+CZ109)&gt;CD109,(CT109+CZ109)-CD109,0))*BK109,0)</f>
        <v>#VALUE!</v>
      </c>
      <c r="EX109" s="1558" t="e">
        <f aca="false">IF(EI109,SUM(ET109:EW109),0)</f>
        <v>#VALUE!</v>
      </c>
      <c r="EY109" s="1551" t="e">
        <f aca="false">EO109-ET109</f>
        <v>#VALUE!</v>
      </c>
      <c r="EZ109" s="1551" t="e">
        <f aca="false">EP109-EU109</f>
        <v>#VALUE!</v>
      </c>
      <c r="FA109" s="1551" t="e">
        <f aca="false">EQ109-EV109</f>
        <v>#VALUE!</v>
      </c>
      <c r="FB109" s="1551" t="e">
        <f aca="false">ER109-EW109</f>
        <v>#VALUE!</v>
      </c>
      <c r="FC109" s="1551" t="e">
        <f aca="false">ES109-EX109</f>
        <v>#VALUE!</v>
      </c>
      <c r="FD109" s="1525" t="n">
        <f aca="false">IF(AX109,IF(VLOOKUP(C109,MAIN!$L$17:$M$28,2)="Yes",VLOOKUP(CALC!B109,MAIN!$H$17:$I$20,2),0),0)</f>
        <v>0</v>
      </c>
      <c r="FE109" s="1552" t="e">
        <f aca="false">$FD109*16*AT109*(1-$AY109)</f>
        <v>#VALUE!</v>
      </c>
      <c r="FF109" s="1553" t="e">
        <f aca="false">$FD109*16*AU109*(1-$AY109)</f>
        <v>#VALUE!</v>
      </c>
      <c r="FG109" s="1553" t="e">
        <f aca="false">$FD109*16*(AV109+AW109)*(1-$AY109)</f>
        <v>#VALUE!</v>
      </c>
      <c r="FH109" s="1554" t="n">
        <f aca="false">$FD109*8*AX109*(1-$AY109)</f>
        <v>0</v>
      </c>
      <c r="FI109" s="1555" t="n">
        <f aca="false">IF(AX109,VLOOKUP(CALC!B109,MAIN!$H$17:$K$20,4),0)</f>
        <v>0</v>
      </c>
      <c r="FJ109" s="1553" t="e">
        <f aca="false">SUM(FE109:FH109)</f>
        <v>#VALUE!</v>
      </c>
      <c r="FK109" s="1556" t="e">
        <f aca="false">FI109*FJ109</f>
        <v>#VALUE!</v>
      </c>
      <c r="FL109" s="1551" t="e">
        <f aca="false">IF($EI109&gt;0,MIN(FE109,AZ109*(1+VLOOKUP($C109,WeatherCapacityAdjustment,2))),0)</f>
        <v>#VALUE!</v>
      </c>
      <c r="FM109" s="1551" t="e">
        <f aca="false">IF($EI109&gt;0,MIN(FF109,BA109*(1+VLOOKUP($C109,WeatherCapacityAdjustment,2))),0)</f>
        <v>#VALUE!</v>
      </c>
      <c r="FN109" s="1551" t="e">
        <f aca="false">IF($EI109&gt;0,MIN(FG109,BB109*(1+VLOOKUP($C109,WeatherCapacityAdjustment,2))),0)</f>
        <v>#VALUE!</v>
      </c>
      <c r="FO109" s="1564" t="e">
        <f aca="false">IF($EI109&gt;0,MIN(FH109,BC109*(1+VLOOKUP($C109,WeatherCapacityAdjustment,3))),0)</f>
        <v>#VALUE!</v>
      </c>
      <c r="FP109" s="1551" t="e">
        <f aca="false">IF(ET109&gt;0,MIN(FE109-FL109,BH109*(1+VLOOKUP($C109,WeatherCapacityAdjustment,2))),0)</f>
        <v>#VALUE!</v>
      </c>
      <c r="FQ109" s="1551" t="e">
        <f aca="false">IF(EU109&gt;0,MIN(FF109-FM109,BI109*(1+VLOOKUP($C109,WeatherCapacityAdjustment,2))),0)</f>
        <v>#VALUE!</v>
      </c>
      <c r="FR109" s="1551" t="e">
        <f aca="false">IF(EV109&gt;0,MIN(FG109-FN109,BJ109*(1+VLOOKUP($C109,WeatherCapacityAdjustment,2))),0)</f>
        <v>#VALUE!</v>
      </c>
      <c r="FS109" s="1558" t="e">
        <f aca="false">IF(EW109&gt;0,MIN(FH109-FO109,BK109*(1+VLOOKUP($C109,WeatherCapacityAdjustment,3))),0)</f>
        <v>#VALUE!</v>
      </c>
      <c r="FT109" s="1566" t="e">
        <f aca="false">IF(AND(Assumptions!$H$71="Yes",A109&gt;=Assumptions!$H$72,A109&lt;=Assumptions!$H$73),0,IF(AND($A109&gt;=Assumptions!$C$17,$A109&lt;=Assumptions!$C$18),MAX(AZ109*(1+VLOOKUP($C109,WeatherCapacityAdjustment,2))-FL109,0),0))</f>
        <v>#VALUE!</v>
      </c>
      <c r="FU109" s="1551" t="e">
        <f aca="false">IF(AND(Assumptions!$H$71="Yes",A109&gt;=Assumptions!$H$72,A109&lt;=Assumptions!$H$73),0,IF(AND($A109&gt;=Assumptions!$C$17,$A109&lt;=Assumptions!$C$18),MAX(BA109*(1+VLOOKUP($C109,WeatherCapacityAdjustment,2))-FM109,0),0))</f>
        <v>#VALUE!</v>
      </c>
      <c r="FV109" s="1551" t="e">
        <f aca="false">IF(AND(Assumptions!$H$71="Yes",A109&gt;=Assumptions!$H$72,A109&lt;=Assumptions!$H$73),0,IF(AND($A109&gt;=Assumptions!$C$17,$A109&lt;=Assumptions!$C$18),MAX(BB109*(1+VLOOKUP($C109,WeatherCapacityAdjustment,2))-FN109,0),0))</f>
        <v>#VALUE!</v>
      </c>
      <c r="FW109" s="1564" t="e">
        <f aca="false">IF(AND(Assumptions!$H$71="Yes",A109&gt;=Assumptions!$H$72,A109&lt;=Assumptions!$H$73),0,IF(AND($A109&gt;=Assumptions!$C$17,$A109&lt;=Assumptions!$C$18),MAX(BC109*(1+VLOOKUP($C109,WeatherCapacityAdjustment,3))-FO109,0),0))</f>
        <v>#VALUE!</v>
      </c>
      <c r="FX109" s="1569" t="e">
        <f aca="false">IF(AND(Assumptions!$H$71="Yes",A109&gt;=Assumptions!$H$72,A109&lt;=Assumptions!$H$73),0,IF(ET109&gt;0,MAX(BH109*(1+VLOOKUP($C109,WeatherCapacityAdjustment,2))-FP109,0),0))</f>
        <v>#VALUE!</v>
      </c>
      <c r="FY109" s="1551" t="e">
        <f aca="false">IF(AND(Assumptions!$H$71="Yes",A109&gt;=Assumptions!$H$72,A109&lt;=Assumptions!$H$73),0,IF(EU109&gt;0,MAX(BI109*(1+VLOOKUP($C109,WeatherCapacityAdjustment,3))-FQ109,0),0))</f>
        <v>#VALUE!</v>
      </c>
      <c r="FZ109" s="1551" t="e">
        <f aca="false">IF(AND(Assumptions!$H$71="Yes",A109&gt;=Assumptions!$H$72,A109&lt;=Assumptions!$H$73),0,IF(EV109&gt;0,MAX(BJ109*(1+VLOOKUP($C109,WeatherCapacityAdjustment,2))-FR109,0),0))</f>
        <v>#VALUE!</v>
      </c>
      <c r="GA109" s="1564" t="e">
        <f aca="false">IF(AND(Assumptions!$H$71="Yes",A109&gt;=Assumptions!$H$72,A109&lt;=Assumptions!$H$73),0,IF(EW109&gt;0,MAX(BK109*(1+VLOOKUP($C109,WeatherCapacityAdjustment,2))-FS109,0),0))</f>
        <v>#VALUE!</v>
      </c>
      <c r="GB109" s="1551" t="e">
        <f aca="false">SUM(FT109:GA109)</f>
        <v>#VALUE!</v>
      </c>
      <c r="GC109" s="1563" t="e">
        <f aca="false">+IF(SUM(FT109:GA109)=0,0,(SUMPRODUCT(BU109:BX109,FT109:FW109)+SUMPRODUCT(CA109:CD109,FX109:GA109))/SUM(FT109:GA109))</f>
        <v>#VALUE!</v>
      </c>
      <c r="GD109" s="1551" t="e">
        <f aca="false">(FT109*BU109+FX109*CA109+FU109*BV109+FY109*CB109+FV109*BW109+FZ109*CC109+FW109*BX109+GA109*CD109)</f>
        <v>#VALUE!</v>
      </c>
      <c r="GE109" s="1561" t="e">
        <f aca="false">+IF(BQ109,((FL109+FM109+FT109+FU109)*HeatRatePeak/1000*(1+VLOOKUP($C109,WeatherHeatRateAdjustment,2))+(FN109+FV109)*IF(EV109&gt;0,HeatRatePeak,HeatRateOffPeak)/1000*(1+VLOOKUP($C109,WeatherHeatRateAdjustment,2))+(FO109+FW109)*IF(EW109&gt;0,HeatRatePeak,HeatRateOffPeak)/1000*(1+VLOOKUP($C109,WeatherHeatRateAdjustment,3)))*(1+VLOOKUP($B109,HeatRateDegradation,$C109+1)),0)</f>
        <v>#VALUE!</v>
      </c>
      <c r="GF109" s="1562" t="e">
        <f aca="false">IF(BQ109,((FP109+FQ109+FR109+FX109+FY109+FZ109)*HeatRatePeak/1000*(1+VLOOKUP($C109,WeatherHeatRateAdjustment,2))+(FS109+GA109)*HeatRatePeak/1000*(1+VLOOKUP($C109,WeatherHeatRateAdjustment,3)))*(1+VLOOKUP($B109,HeatRateDegradation,$C109+1)),0)</f>
        <v>#VALUE!</v>
      </c>
      <c r="GG109" s="1563" t="e">
        <f aca="false">IF(BQ109,VLOOKUP(A109,GasTable,13),0)</f>
        <v>#VALUE!</v>
      </c>
      <c r="GH109" s="1564" t="e">
        <f aca="false">(GE109+GF109)*GG109</f>
        <v>#VALUE!</v>
      </c>
      <c r="GI109" s="1569" t="e">
        <f aca="false">GB109</f>
        <v>#VALUE!</v>
      </c>
      <c r="GJ109" s="1598" t="e">
        <f aca="false">+DA109</f>
        <v>#VALUE!</v>
      </c>
      <c r="GK109" s="1558" t="e">
        <f aca="false">+GI109*GJ109</f>
        <v>#VALUE!</v>
      </c>
      <c r="GL109" s="1566" t="e">
        <f aca="false">MAX(FE109-FL109-FP109,0)</f>
        <v>#VALUE!</v>
      </c>
      <c r="GM109" s="1551" t="e">
        <f aca="false">MAX(FF109-FM109-FQ109,0)</f>
        <v>#VALUE!</v>
      </c>
      <c r="GN109" s="1551" t="e">
        <f aca="false">MAX(FG109-FN109-FR109,0)</f>
        <v>#VALUE!</v>
      </c>
      <c r="GO109" s="1564" t="e">
        <f aca="false">MAX(FH109-FO109-FS109,0)</f>
        <v>#VALUE!</v>
      </c>
      <c r="GP109" s="1551" t="e">
        <f aca="false">SUM(GL109:GO109)</f>
        <v>#VALUE!</v>
      </c>
      <c r="GQ109" s="1563" t="e">
        <f aca="false">IF(SUM(GL109:GO109)=0,0,((GL109*BU109+GM109*BV109+GN109*BW109+GO109*BX109)/SUM(GL109:GO109)))</f>
        <v>#VALUE!</v>
      </c>
      <c r="GR109" s="1558" t="e">
        <f aca="false">(GL109*BU109+GM109*BV109+GN109*BW109+GO109*BX109)</f>
        <v>#VALUE!</v>
      </c>
      <c r="GS109" s="1566" t="n">
        <f aca="false">IF($A109&gt;=BegDate,Assumptions!$C$56*24*($A110-$A109)*(1-VLOOKUP($B109,MAIN!$AA$7:$AM$28,$C109+1))*(1-VLOOKUP($B109,MAIN!$AA$33:$AM$54,$C109+1)),0)*80/168</f>
        <v>257742.857142857</v>
      </c>
      <c r="GT109" s="286" t="n">
        <f aca="false">J109</f>
        <v>48.534935364576</v>
      </c>
      <c r="GU109" s="286" t="n">
        <f aca="false">IF($A109&gt;=BegDate,VLOOKUP($A109,GasTable,13)+Assumptions!$C$58,0)</f>
        <v>3.0830649594412</v>
      </c>
      <c r="GV109" s="286" t="n">
        <f aca="false">GU109*Assumptions!$C$57/1000</f>
        <v>22.3522209559487</v>
      </c>
      <c r="GW109" s="1558" t="n">
        <f aca="false">IF(Assumptions!$C$60="Hourly",MAX(0,GS109*(GT109-GV109)),GS109*(GT109-GV109))</f>
        <v>6748407.61943505</v>
      </c>
      <c r="GX109" s="1566" t="n">
        <f aca="false">IF($A109&gt;=BegDate,Assumptions!$C$56*24*($A110-$A109)*(1-VLOOKUP($B109,MAIN!$AA$7:$AM$28,$C109+1))*(1-VLOOKUP($B109,MAIN!$AA$33:$AM$54,$C109+1)),0)*16/168</f>
        <v>51548.5714285714</v>
      </c>
      <c r="GY109" s="286" t="n">
        <f aca="false">M109</f>
        <v>48.534935364576</v>
      </c>
      <c r="GZ109" s="286" t="n">
        <f aca="false">IF($A109&gt;=BegDate,VLOOKUP($A109,GasTable,13)+Assumptions!$C$58,0)</f>
        <v>3.0830649594412</v>
      </c>
      <c r="HA109" s="286" t="n">
        <f aca="false">GZ109*Assumptions!$C$57/1000</f>
        <v>22.3522209559487</v>
      </c>
      <c r="HB109" s="1558" t="n">
        <f aca="false">IF(Assumptions!$C$60="Hourly",MAX(0,GX109*(GY109-HA109)),GX109*(GY109-HA109))</f>
        <v>1349681.52388701</v>
      </c>
      <c r="HC109" s="1566" t="n">
        <f aca="false">IF($A109&gt;=BegDate,Assumptions!$C$56*24*($A110-$A109)*(1-VLOOKUP($B109,MAIN!$AA$7:$AM$28,$C109+1))*(1-VLOOKUP($B109,MAIN!$AA$33:$AM$54,$C109+1)),0)*16/168</f>
        <v>51548.5714285714</v>
      </c>
      <c r="HD109" s="286" t="n">
        <f aca="false">P109</f>
        <v>29.8318538315749</v>
      </c>
      <c r="HE109" s="286" t="n">
        <f aca="false">IF($A109&gt;=BegDate,VLOOKUP($A109,GasTable,13)+Assumptions!$C$58,0)</f>
        <v>3.0830649594412</v>
      </c>
      <c r="HF109" s="286" t="n">
        <f aca="false">HE109*Assumptions!$C$57/1000</f>
        <v>22.3522209559487</v>
      </c>
      <c r="HG109" s="1558" t="n">
        <f aca="false">IF(Assumptions!$C$60="Hourly",MAX(0,HC109*(HD109-HF109)),HC109*(HD109-HF109))</f>
        <v>385564.389548708</v>
      </c>
      <c r="HH109" s="1566" t="n">
        <f aca="false">IF($A109&gt;=BegDate,Assumptions!$C$56*24*($A110-$A109)*(1-VLOOKUP($B109,MAIN!$AA$7:$AM$28,$C109+1))*(1-VLOOKUP($B109,MAIN!$AA$33:$AM$54,$C109+1)),0)*56/168</f>
        <v>180420</v>
      </c>
      <c r="HI109" s="286" t="n">
        <f aca="false">S109</f>
        <v>29.8318538315749</v>
      </c>
      <c r="HJ109" s="286" t="n">
        <f aca="false">IF($A109&gt;=BegDate,VLOOKUP($A109,GasTable,13)+Assumptions!$C$58,0)</f>
        <v>3.0830649594412</v>
      </c>
      <c r="HK109" s="286" t="n">
        <f aca="false">HJ109*Assumptions!$C$57/1000</f>
        <v>22.3522209559487</v>
      </c>
      <c r="HL109" s="1558" t="n">
        <f aca="false">IF(Assumptions!$C$60="Hourly",MAX(0,HH109*(HI109-HK109)),HH109*(HI109-HK109))</f>
        <v>1349475.36342048</v>
      </c>
      <c r="HM109" s="1566" t="n">
        <f aca="false">IF(AND(Assumptions!$H$71="Yes",A109&gt;=Assumptions!$H$72,A109&lt;=Assumptions!$H$73),Assumptions!$H$74*Assumptions!$C$9*1000,0)</f>
        <v>0</v>
      </c>
      <c r="HN109" s="1551"/>
      <c r="HO109" s="1563"/>
      <c r="HP109" s="1563"/>
      <c r="HQ109" s="1563"/>
      <c r="HR109" s="1563"/>
      <c r="HS109" s="1563"/>
      <c r="HT109" s="1563"/>
      <c r="HU109" s="1563"/>
      <c r="HV109" s="1563"/>
      <c r="HW109" s="1563"/>
      <c r="HX109" s="1563"/>
      <c r="HY109" s="1563"/>
      <c r="HZ109" s="1563"/>
      <c r="IA109" s="1563"/>
      <c r="IB109" s="1563"/>
      <c r="IC109" s="1563"/>
      <c r="ID109" s="1563"/>
      <c r="IE109" s="1563"/>
      <c r="IF109" s="1563"/>
      <c r="IG109" s="1563"/>
      <c r="IH109" s="1563"/>
      <c r="II109" s="1610"/>
      <c r="IJ109" s="1309"/>
      <c r="IK109" s="1309"/>
    </row>
    <row r="110" customFormat="false" ht="12.75" hidden="false" customHeight="false" outlineLevel="0" collapsed="false">
      <c r="A110" s="1571" t="n">
        <f aca="false">EOMONTH(A109,0)+1</f>
        <v>39479</v>
      </c>
      <c r="B110" s="594" t="n">
        <f aca="false">+YEAR(A110)</f>
        <v>2008</v>
      </c>
      <c r="C110" s="238" t="n">
        <f aca="false">MONTH(A110)</f>
        <v>2</v>
      </c>
      <c r="D110" s="1572" t="e">
        <f aca="false">IF(E110="","",Holiday(B110,C110))</f>
        <v>#VALUE!</v>
      </c>
      <c r="E110" s="1573" t="n">
        <f aca="false">IF(OR(BegDate&gt;=A111,EndDate&lt;A110,AND(VolumeMonthlyOverFlag,INDEX(VolumeMonthlyOver,C110)=0),NOT(INDEX(MonthKnockOutTable,C110))),"",MAX(A110,BegDate))</f>
        <v>39479</v>
      </c>
      <c r="F110" s="1574" t="n">
        <f aca="false">IF(E110="","",MIN(A111-1,EndDate))</f>
        <v>39507</v>
      </c>
      <c r="G110" s="1575" t="n">
        <v>0</v>
      </c>
      <c r="H110" s="1576" t="n">
        <f aca="false">(1+G110/2)^(-2*(DATE(B111,C111,20)-DateToday)/365.25)</f>
        <v>1</v>
      </c>
      <c r="I110" s="1568" t="n">
        <f aca="false">IF(Assumptions!$L$25=4,VLOOKUP($A110,'Henwood Reference'!$E$9:$R$320,10),(VLOOKUP($A110,PriceTable,2,0)+IF(BasisNumber&lt;&gt;1,VLOOKUP($A110,BasisTable,2,0),0)+I$1)/(1-I$2))</f>
        <v>42.3254921430783</v>
      </c>
      <c r="J110" s="1568" t="n">
        <f aca="false">IF(Assumptions!$L$25=4,VLOOKUP($A110,'Henwood Reference'!$E$9:$R$320,10),(VLOOKUP($A110,PriceTable,3,0)+IF(BasisNumber&lt;&gt;1,VLOOKUP($A110,BasisTable,2,0),0)+J$1)/(1-J$2))</f>
        <v>42.3254921430783</v>
      </c>
      <c r="K110" s="1568" t="n">
        <f aca="false">IF(Assumptions!$L$25=4,VLOOKUP($A110,'Henwood Reference'!$E$9:$R$320,10),(VLOOKUP($A110,PriceTable,4,0)+IF(BasisNumber&lt;&gt;1,VLOOKUP($A110,BasisTable,2,0),0)+K$1)/(1-K$2))</f>
        <v>42.3254921430783</v>
      </c>
      <c r="L110" s="1523" t="n">
        <f aca="false">IF(Assumptions!$L$25=4,VLOOKUP($A110,'Henwood Reference'!$E$9:$R$320,10),(VLOOKUP($A110,PriceTableWeekend,2,0)+IF(BasisNumber&lt;&gt;1,VLOOKUP($A110,BasisTable,2,0),0)+L$1)/(1-L$2))</f>
        <v>42.3254921430783</v>
      </c>
      <c r="M110" s="1568" t="n">
        <f aca="false">IF(Assumptions!$L$25=4,VLOOKUP($A110,'Henwood Reference'!$E$9:$R$320,10),(VLOOKUP($A110,PriceTableWeekend,3,0)+IF(BasisNumber&lt;&gt;1,VLOOKUP($A110,BasisTable,2,0),0)+M$1)/(1-M$2))</f>
        <v>42.3254921430783</v>
      </c>
      <c r="N110" s="1599" t="n">
        <f aca="false">IF(Assumptions!$L$25=4,VLOOKUP($A110,'Henwood Reference'!$E$9:$R$320,10),(VLOOKUP($A110,PriceTableWeekend,4,0)+IF(BasisNumber&lt;&gt;1,VLOOKUP($A110,BasisTable,2,0),0)+N$1)/(1-N$2))</f>
        <v>42.3254921430783</v>
      </c>
      <c r="O110" s="1568" t="n">
        <f aca="false">IF(Assumptions!$L$25=4,VLOOKUP($A110,'Henwood Reference'!$E$9:$R$320,11),(VLOOKUP($A110,PriceTableWeekend,6,0)+IF(BasisNumber&lt;&gt;1,VLOOKUP($A110,BasisTable,3,0),0)+O$1)/(1-O$2))</f>
        <v>24.0053088957887</v>
      </c>
      <c r="P110" s="1568" t="n">
        <f aca="false">IF(Assumptions!$L$25=4,VLOOKUP($A110,'Henwood Reference'!$E$9:$R$320,11),(VLOOKUP($A110,PriceTableWeekend,7,0)+IF(BasisNumber&lt;&gt;1,VLOOKUP($A110,BasisTable,3,0),0)+P$1)/(1-P$2))</f>
        <v>24.0053088957887</v>
      </c>
      <c r="Q110" s="1599" t="n">
        <f aca="false">IF(Assumptions!$L$25=4,VLOOKUP($A110,'Henwood Reference'!$E$9:$R$320,11),(VLOOKUP($A110,PriceTableWeekend,8,0)+IF(BasisNumber&lt;&gt;1,VLOOKUP($A110,BasisTable,3,0),0)+Q$1)/(1-Q$2))</f>
        <v>24.0053088957887</v>
      </c>
      <c r="R110" s="1568" t="n">
        <f aca="false">IF(Assumptions!$L$25=4,VLOOKUP($A110,'Henwood Reference'!$E$9:$R$320,11),(VLOOKUP($A110,PriceTable,6,0)+IF(BasisNumber&lt;&gt;1,VLOOKUP($A110,BasisTable,3,0),0)+R$1)/(1-R$2))</f>
        <v>24.0053088957887</v>
      </c>
      <c r="S110" s="1568" t="n">
        <f aca="false">IF(Assumptions!$L$25=4,VLOOKUP($A110,'Henwood Reference'!$E$9:$R$320,11),(VLOOKUP($A110,PriceTable,7,0)+IF(BasisNumber&lt;&gt;1,VLOOKUP($A110,BasisTable,3,0),0)+S$1)/(1-S$2))</f>
        <v>24.0053088957887</v>
      </c>
      <c r="T110" s="1600" t="n">
        <f aca="false">IF(Assumptions!$L$25=4,VLOOKUP($A110,'Henwood Reference'!$E$9:$R$320,11),(VLOOKUP($A110,PriceTable,8,0)+IF(BasisNumber&lt;&gt;1,VLOOKUP($A110,BasisTable,3,0),0)+T$1)/(1-T$2))</f>
        <v>24.0053088957887</v>
      </c>
      <c r="U110" s="1513" t="n">
        <f aca="false">VLOOKUP($A110,VolatilityTable,14)</f>
        <v>0.13</v>
      </c>
      <c r="V110" s="1513" t="n">
        <f aca="false">VLOOKUP($A110,VolatilityTable,15)</f>
        <v>0.14</v>
      </c>
      <c r="W110" s="1514" t="n">
        <f aca="false">VLOOKUP($A110,VolatilityTable,16)</f>
        <v>0.15</v>
      </c>
      <c r="X110" s="1513" t="n">
        <f aca="false">VLOOKUP($A110,VolatilityTable,14)</f>
        <v>0.13</v>
      </c>
      <c r="Y110" s="1513" t="n">
        <f aca="false">VLOOKUP($A110,VolatilityTable,15)</f>
        <v>0.14</v>
      </c>
      <c r="Z110" s="1514" t="n">
        <f aca="false">VLOOKUP($A110,VolatilityTable,16)</f>
        <v>0.15</v>
      </c>
      <c r="AA110" s="1513" t="n">
        <f aca="false">VLOOKUP($A110,VolatilityTable,18)</f>
        <v>0.09</v>
      </c>
      <c r="AB110" s="1513" t="n">
        <f aca="false">VLOOKUP($A110,VolatilityTable,19)</f>
        <v>0.11</v>
      </c>
      <c r="AC110" s="1514" t="n">
        <f aca="false">VLOOKUP($A110,VolatilityTable,20)</f>
        <v>0.13</v>
      </c>
      <c r="AD110" s="1513" t="n">
        <f aca="false">VLOOKUP($A110,VolatilityTable,18)</f>
        <v>0.09</v>
      </c>
      <c r="AE110" s="1513" t="n">
        <f aca="false">VLOOKUP($A110,VolatilityTable,19)</f>
        <v>0.11</v>
      </c>
      <c r="AF110" s="1514" t="n">
        <f aca="false">VLOOKUP($A110,VolatilityTable,20)</f>
        <v>0.13</v>
      </c>
      <c r="AG110" s="1513" t="n">
        <f aca="false">VLOOKUP($A110,VolatilityTable,22)</f>
        <v>-0.25</v>
      </c>
      <c r="AH110" s="1513" t="n">
        <f aca="false">VLOOKUP($A110,VolatilityTable,23)</f>
        <v>0.65</v>
      </c>
      <c r="AI110" s="1514" t="n">
        <f aca="false">VLOOKUP($A110,VolatilityTable,24)</f>
        <v>0.25</v>
      </c>
      <c r="AJ110" s="1513" t="n">
        <f aca="false">VLOOKUP($A110,VolatilityTable,22)</f>
        <v>-0.25</v>
      </c>
      <c r="AK110" s="1513" t="n">
        <f aca="false">VLOOKUP($A110,VolatilityTable,23)</f>
        <v>0.65</v>
      </c>
      <c r="AL110" s="1514" t="n">
        <f aca="false">VLOOKUP($A110,VolatilityTable,24)</f>
        <v>0.25</v>
      </c>
      <c r="AM110" s="1513" t="n">
        <f aca="false">VLOOKUP($A110,VolatilityTable,26)</f>
        <v>-0.01</v>
      </c>
      <c r="AN110" s="1513" t="n">
        <f aca="false">VLOOKUP($A110,VolatilityTable,27)</f>
        <v>0.16</v>
      </c>
      <c r="AO110" s="1514" t="n">
        <f aca="false">VLOOKUP($A110,VolatilityTable,28)</f>
        <v>0.01</v>
      </c>
      <c r="AP110" s="1513" t="n">
        <f aca="false">VLOOKUP($A110,VolatilityTable,26)</f>
        <v>-0.01</v>
      </c>
      <c r="AQ110" s="1513" t="n">
        <f aca="false">VLOOKUP($A110,VolatilityTable,27)</f>
        <v>0.16</v>
      </c>
      <c r="AR110" s="1515" t="n">
        <f aca="false">VLOOKUP($A110,VolatilityTable,28)</f>
        <v>0.01</v>
      </c>
      <c r="AS110" s="1581" t="n">
        <f aca="false">IF(CorrPeakOffPeakOverFlag,INDEX(CorrPeakOffPeakOver,C110),CorrPeakOffPeak)</f>
        <v>0.5</v>
      </c>
      <c r="AT110" s="594" t="e">
        <f aca="false">AX110-SUM(AU110:AW110)</f>
        <v>#VALUE!</v>
      </c>
      <c r="AU110" s="238" t="e">
        <f aca="false">IF(E110="",0,INT((F110-MOD(F110,7)-E110)/7)+1-IF(AW110,IF(WEEKDAY(D110)=7,1,0),0))</f>
        <v>#VALUE!</v>
      </c>
      <c r="AV110" s="238" t="e">
        <f aca="false">IF(E110="",0,INT((F110-MOD(F110-1,7)-E110)/7)+1-IF(AW110,IF(WEEKDAY(D110)=1,1,0),0))</f>
        <v>#VALUE!</v>
      </c>
      <c r="AW110" s="238" t="e">
        <f aca="false">IF(OR(E110="",D110="",D110&lt;BegDate,D110&gt;EndDate),0,1)</f>
        <v>#VALUE!</v>
      </c>
      <c r="AX110" s="238" t="n">
        <f aca="false">IF(E110="",0,F110-E110+1)</f>
        <v>29</v>
      </c>
      <c r="AY110" s="1582" t="n">
        <f aca="false">IF(E110="",0,MIN((1-(1-VLOOKUP(B110,MAIN!$AA$7:$AM$28,C110+1))*(1-VLOOKUP(B110,MAIN!$AA$33:$AM$54,C110+1))),1))</f>
        <v>0.03</v>
      </c>
      <c r="AZ110" s="1519" t="e">
        <v>#VALUE!</v>
      </c>
      <c r="BA110" s="1520" t="e">
        <v>#VALUE!</v>
      </c>
      <c r="BB110" s="1520" t="e">
        <v>#VALUE!</v>
      </c>
      <c r="BC110" s="1583" t="e">
        <v>#VALUE!</v>
      </c>
      <c r="BD110" s="1522" t="e">
        <v>#VALUE!</v>
      </c>
      <c r="BE110" s="1523" t="e">
        <v>#VALUE!</v>
      </c>
      <c r="BF110" s="1523" t="e">
        <v>#VALUE!</v>
      </c>
      <c r="BG110" s="1584" t="e">
        <v>#VALUE!</v>
      </c>
      <c r="BH110" s="1525" t="e">
        <v>#VALUE!</v>
      </c>
      <c r="BI110" s="1520" t="e">
        <v>#VALUE!</v>
      </c>
      <c r="BJ110" s="1520" t="e">
        <v>#VALUE!</v>
      </c>
      <c r="BK110" s="1583" t="e">
        <v>#VALUE!</v>
      </c>
      <c r="BL110" s="1522" t="e">
        <v>#VALUE!</v>
      </c>
      <c r="BM110" s="1523" t="e">
        <v>#VALUE!</v>
      </c>
      <c r="BN110" s="1523" t="e">
        <v>#VALUE!</v>
      </c>
      <c r="BO110" s="1523" t="e">
        <v>#VALUE!</v>
      </c>
      <c r="BP110" s="1525" t="e">
        <f aca="false">SUM(AZ110:BB110)</f>
        <v>#VALUE!</v>
      </c>
      <c r="BQ110" s="1529" t="e">
        <f aca="false">SUM(AZ110:BC110)</f>
        <v>#VALUE!</v>
      </c>
      <c r="BR110" s="1519" t="e">
        <f aca="false">SUM(BH110:BJ110)</f>
        <v>#VALUE!</v>
      </c>
      <c r="BS110" s="1529" t="e">
        <f aca="false">SUM(BH110:BK110)</f>
        <v>#VALUE!</v>
      </c>
      <c r="BT110" s="1316" t="n">
        <f aca="false">(IF(OVolType&lt;&gt;2,A110+14,IF(OptExpDateShift,ShiftBack(A110,OptExpDateShift,D109),A110))-DateToday)/365.25</f>
        <v>7.80013689253936</v>
      </c>
      <c r="BU110" s="1585" t="e">
        <f aca="false">IF(BQ110,IF(OPriceCurve,IF(OBuySell=OCallPut,I110/(1-AY110),K110/(1-AY110)),J110/(1-AY110))*BD110,0)</f>
        <v>#VALUE!</v>
      </c>
      <c r="BV110" s="1316" t="e">
        <f aca="false">IF(BQ110,IF(OPriceCurve,IF(OBuySell=OCallPut,L110/(1-AY110),N110/(1-AY110)),M110/(1-AY110))*BE110,0)</f>
        <v>#VALUE!</v>
      </c>
      <c r="BW110" s="1316" t="e">
        <f aca="false">IF(BQ110,IF(OPriceCurve,IF(OBuySell=OCallPut,O110/(1-AY110),Q110/(1-AY110)),P110/(1-AY110))*BF110,0)</f>
        <v>#VALUE!</v>
      </c>
      <c r="BX110" s="1316" t="e">
        <f aca="false">IF(BQ110,IF(OPriceCurve,IF(OBuySell=OCallPut,R110/(1-AY110),T110/(1-AY110)),S110/(1-AY110))*BG110,0)</f>
        <v>#VALUE!</v>
      </c>
      <c r="BY110" s="1316" t="e">
        <f aca="false">IF(BP110,(BU110*AZ110+BV110*BA110+BW110*BB110)/BP110,0)</f>
        <v>#VALUE!</v>
      </c>
      <c r="BZ110" s="1316" t="e">
        <f aca="false">IF(BQ110,(BY110*BP110+BX110*BC110)/BQ110,0)</f>
        <v>#VALUE!</v>
      </c>
      <c r="CA110" s="1531" t="e">
        <f aca="false">IF(BS110,IF(OPriceCurve,IF(OBuySell=OCallPut,I110/(1-AY110),K110/(1-AY110)),J110/(1-AY110))*BL110,0)</f>
        <v>#VALUE!</v>
      </c>
      <c r="CB110" s="1316" t="e">
        <f aca="false">IF(BS110,IF(OPriceCurve,IF(OBuySell=OCallPut,L110/(1-AY110),N110/(1-AY110)),M110/(1-AY110))*BM110,0)</f>
        <v>#VALUE!</v>
      </c>
      <c r="CC110" s="1316" t="e">
        <f aca="false">IF(BS110,IF(OPriceCurve,IF(OBuySell=OCallPut,O110/(1-AY110),Q110/(1-AY110)),P110/(1-AY110))*BN110,0)</f>
        <v>#VALUE!</v>
      </c>
      <c r="CD110" s="1316" t="e">
        <f aca="false">IF(BS110,IF(OPriceCurve,IF(OBuySell=OCallPut,R110/(1-AY110),T110/(1-AY110)),S110/(1-AY110))*BO110,0)</f>
        <v>#VALUE!</v>
      </c>
      <c r="CE110" s="1316" t="e">
        <f aca="false">IF(BR110,(BU110*BH110+BV110*BI110+BW110*BJ110)/BR110,0)</f>
        <v>#VALUE!</v>
      </c>
      <c r="CF110" s="1532" t="e">
        <f aca="false">IF(BS110,(CE110*BR110+CD110*BK110)/BS110,0)</f>
        <v>#VALUE!</v>
      </c>
      <c r="CG110" s="1586" t="e">
        <f aca="false">IF(OR(BQ110,BS110),IF(OVolType&lt;&gt;2,SQRT(IF(OVolOverMonthlyPeak,OVolOverMonthlyPeak,IF(OVolCurve,IF(OBuySell,U110,W110),V110))^2*(1-15/365.25/BT110)+IF(OVolOverDailyPeak,OVolOverDailyPeak,IF(OVolCurve,IF(OBuySell,AG110,AI110),AH110))^2*15/365.25/BT110),IF(OVolOverMonthlyPeak,OVolOverMonthlyPeak,IF(OVolCurve,IF(OBuySell,U110,W110),V110))),"")</f>
        <v>#VALUE!</v>
      </c>
      <c r="CH110" s="1587" t="e">
        <f aca="false">IF(OR(BQ110,BS110),IF(OVolType&lt;&gt;2,SQRT(IF(OVolOverMonthlyPeak,OVolOverMonthlyPeak,IF(OVolCurve,IF(OBuySell,X110,Z110),Y110))^2*(1-15/365.25/BT110)+IF(OVolOverDailyPeak,OVolOverDailyPeak,IF(OVolCurve,IF(OBuySell,AJ110,AL110),AK110))^2*15/365.25/BT110),IF(OVolOverMonthlyPeak,OVolOverMonthlyPeak,IF(OVolCurve,IF(OBuySell,X110,Z110),Y110))),"")</f>
        <v>#VALUE!</v>
      </c>
      <c r="CI110" s="1587" t="e">
        <f aca="false">IF(OR(BQ110,BS110),IF(OVolType&lt;&gt;2,SQRT(IF(OVolOverMonthlyPeak,OVolOverMonthlyPeak,IF(OVolCurve,IF(OBuySell,AA110,AC110),AB110))^2*(1-15/365.25/BT110)+IF(OVolOverDailyPeak,OVolOverDailyPeak,IF(OVolCurve,IF(OBuySell,AM110,AO110),AN110))^2*15/365.25/BT110),IF(OVolOverMonthlyPeak,OVolOverMonthlyPeak,IF(OVolCurve,IF(OBuySell,AA110,AC110),AB110))),"")</f>
        <v>#VALUE!</v>
      </c>
      <c r="CJ110" s="1587" t="e">
        <f aca="false">IF(BQ110,IF(BP110,SQRT(LN(1+((BU110*AZ110)^2*(EXP(CG110^2*BT110)-1)+(BV110*BA110)^2*(EXP(CH110^2*BT110)-1)+(BW110*BB110)^2*(EXP(CI110^2*BT110)-1)+2*BU110*AZ110*BV110*BA110*(EXP(CG110*CH110*BT110)-1)+2*BV110*BA110*BW110*BB110*(EXP(CH110*CI110*BT110)-1)+2*BW110*BB110*BU110*AZ110*(EXP(CI110*CG110*BT110)-1))/(BY110*BP110)^2)/BT110),0),"")</f>
        <v>#VALUE!</v>
      </c>
      <c r="CK110" s="1587" t="e">
        <f aca="false">IF(BS110,IF(BR110,SQRT(LN(1+((CA110*BH110)^2*(EXP(CG110^2*BT110)-1)+(CB110*BI110)^2*(EXP(CH110^2*BT110)-1)+(CC110*BJ110)^2*(EXP(CI110^2*BT110)-1)+2*CA110*BH110*CB110*BI110*(EXP(CG110*CH110*BT110)-1)+2*CB110*BI110*CC110*BJ110*(EXP(CH110*CI110*BT110)-1)+2*CC110*BJ110*CA110*BH110*(EXP(CI110*CG110*BT110)-1))/(CE110*BR110)^2)/BT110),0),"")</f>
        <v>#VALUE!</v>
      </c>
      <c r="CL110" s="1587" t="e">
        <f aca="false">IF(OR(BQ110,BS110),IF(OVolType&lt;&gt;2,SQRT(IF(OVolOverMonthlyOffPeak,OVolOverMonthlyOffPeak,IF(OVolCurve,IF(OBuySell,AD110,AF110),AE110))^2*(1-15/365.25/BT110)+IF(OVolOverDailyOffPeak,OVolOverDailyOffPeak,IF(OVolCurve,IF(OBuySell,AP110,AR110),AQ110))^2*15/365.25/BT110),IF(OVolOverMonthlyOffPeak,OVolOverMonthlyOffPeak,IF(OVolCurve,IF(OBuySell,AD110,AF110),AE110))),"")</f>
        <v>#VALUE!</v>
      </c>
      <c r="CM110" s="1587" t="e">
        <f aca="false">IF(BQ110,SQRT(LN(1+((BY110*BP110)^2*(EXP(CJ110^2*BT110)-1)+(BX110*BC110)^2*(EXP(CL110^2*BT110)-1)+2*BY110*BP110*BX110*BC110*(EXP(AS110*CJ110*CL110*BT110)-1))/(BY110*BP110+BX110*BC110)^2)/BT110),"")</f>
        <v>#VALUE!</v>
      </c>
      <c r="CN110" s="1588" t="e">
        <f aca="false">IF(BS110,SQRT(LN(1+((CE110*BR110)^2*(EXP(CK110^2*BT110)-1)+(CD110*BK110)^2*(EXP(CL110^2*BT110)-1)+2*CE110*BR110*CD110*BK110*(EXP(AS110*CK110*CL110*BT110)-1))/(CE110*BR110+CD110*BK110)^2)/BT110),"")</f>
        <v>#VALUE!</v>
      </c>
      <c r="CO110" s="1531" t="e">
        <f aca="false">IF(OR(BQ110,BS110),VLOOKUP(A110,GasTable,13)*HeatRatePeak*(1+VLOOKUP($B110,HeatRateDegradation,$C110+1))/1000,0)</f>
        <v>#VALUE!</v>
      </c>
      <c r="CP110" s="1316" t="e">
        <f aca="false">IF(OR(BQ110,BS110),VLOOKUP(A110,GasTable,13)*HeatRatePeak*(1+VLOOKUP($B110,HeatRateDegradation,$C110+1))/1000,0)</f>
        <v>#VALUE!</v>
      </c>
      <c r="CQ110" s="1316" t="e">
        <f aca="false">IF(OR(BQ110,BS110),VLOOKUP(A110,GasTable,13)*IF(EV110,HeatRatePeak,HeatRateOffPeak)*(1+VLOOKUP($B110,HeatRateDegradation,$C110+1))/1000,0)</f>
        <v>#VALUE!</v>
      </c>
      <c r="CR110" s="1316" t="e">
        <f aca="false">IF(OR(BQ110,BS110),VLOOKUP(A110,GasTable,13)*IF(EW110,HeatRatePeak,HeatRateOffPeak)*(1+VLOOKUP($B110,HeatRateDegradation,$C110+1))/1000,0)</f>
        <v>#VALUE!</v>
      </c>
      <c r="CS110" s="1589" t="e">
        <f aca="false">IF(BQ110,(CO110*AZ110+CP110*BA110+CQ110*BB110+CR110*BC110)/BQ110,0)</f>
        <v>#VALUE!</v>
      </c>
      <c r="CT110" s="1316" t="e">
        <f aca="false">IF(BS110,CO110,0)</f>
        <v>#VALUE!</v>
      </c>
      <c r="CU110" s="1590" t="e">
        <f aca="false">IF(OR(BQ110,BS110),VLOOKUP(A110,GasTable,14),"")</f>
        <v>#VALUE!</v>
      </c>
      <c r="CV110" s="1568" t="e">
        <f aca="false">IF(OR(BQ110,BS110),IF(CorrPowerGasOverFlag,INDEX(CorrPowerGasOver,C110),CorrPowerGas),"")</f>
        <v>#VALUE!</v>
      </c>
      <c r="CW110" s="1316" t="e">
        <f aca="false">IF(OR($BQ110,$BS110),SpreadOptPowerMargin,0)*((1+Assumptions!$C$26)^($B110-YEAR(Assumptions!$C$17)))</f>
        <v>#VALUE!</v>
      </c>
      <c r="CX110" s="1316" t="e">
        <f aca="false">IF(OR($BQ110,$BS110),SpreadOptPowerMargin,0)*((1+Assumptions!$C$26)^($B110-YEAR(Assumptions!$C$17)))</f>
        <v>#VALUE!</v>
      </c>
      <c r="CY110" s="1316" t="e">
        <f aca="false">IF(OR($BQ110,$BS110),SpreadOptPowerMargin,0)*((1+Assumptions!$C$26)^($B110-YEAR(Assumptions!$C$17)))</f>
        <v>#VALUE!</v>
      </c>
      <c r="CZ110" s="1316" t="e">
        <f aca="false">IF(OR($BQ110,$BS110),SpreadOptPowerMargin,0)*((1+Assumptions!$C$26)^($B110-YEAR(Assumptions!$C$17)))</f>
        <v>#VALUE!</v>
      </c>
      <c r="DA110" s="1591" t="e">
        <f aca="false">IF(OR(BQ110,BS110),(CW110*(AZ110+BH110)+CX110*(BA110+BI110)+CY110*(BB110+BJ110)+CZ110*(BC110+BK110))/(BQ110+BS110),0)</f>
        <v>#VALUE!</v>
      </c>
      <c r="DB110" s="1592" t="e">
        <f aca="false">IF(OR(BQ110,BS110),CG110+IF(OVolSmile,VLOOKUP(MAX(-5,CO110+CW110-BU110),IF(OVolSmile=1,VolSmileBook,VolSmileModel),2),0),"")</f>
        <v>#VALUE!</v>
      </c>
      <c r="DC110" s="1592" t="e">
        <f aca="false">IF(OR(BQ110,BS110),CH110+IF(OVolSmile,VLOOKUP(MAX(-5,CP110+CW110-BV110),IF(OVolSmile=1,VolSmileBook,VolSmileModel),2),0),"")</f>
        <v>#VALUE!</v>
      </c>
      <c r="DD110" s="1592" t="e">
        <f aca="false">IF(OR(BQ110,BS110),CI110+IF(OVolSmile,VLOOKUP(MAX(-5,CQ110+CW110-BW110),IF(OVolSmile=1,VolSmileBook,VolSmileModel),2),0),"")</f>
        <v>#VALUE!</v>
      </c>
      <c r="DE110" s="1592" t="e">
        <f aca="false">IF(OR(BQ110,BS110),CL110+IF(OVolSmile,VLOOKUP(MAX(-5,CR110+CZ110-BX110),IF(OVolSmile=1,VolSmileBook,VolSmileModel),2),0),"")</f>
        <v>#VALUE!</v>
      </c>
      <c r="DF110" s="1592" t="e">
        <f aca="false">IF(BQ110,CM110+IF(OVolSmile,VLOOKUP(MAX(-5,CS110+DA110-BZ110),IF(OVolSmile=1,VolSmileBook,VolSmileModel),2),0),"")</f>
        <v>#VALUE!</v>
      </c>
      <c r="DG110" s="1593" t="e">
        <f aca="false">IF(BS110,CN110+IF(OVolSmile,VLOOKUP(MAX(-5,CT110+DA110-CF110),IF(OVolSmile=1,VolSmileBook,VolSmileModel),2),0),"")</f>
        <v>#VALUE!</v>
      </c>
      <c r="DH110" s="1316" t="e">
        <f aca="false">IF(AND(BU110&gt;0,CO110&gt;0,DB110&gt;0,CU110&gt;0),newSPRDOPT(BU110,CO110,CW110,0,DB110,CU110,CV110,BT110*365.25,OCallPut,0),0)</f>
        <v>#VALUE!</v>
      </c>
      <c r="DI110" s="1316" t="e">
        <f aca="false">IF(AND(BV110&gt;0,CP110&gt;0,DC110&gt;0,CU110&gt;0),newSPRDOPT(BV110,CP110,CX110,0,DC110,CU110,CV110,BT110*365.25,OCallPut,0),0)</f>
        <v>#VALUE!</v>
      </c>
      <c r="DJ110" s="1316" t="e">
        <f aca="false">IF(AND(BW110&gt;0,CQ110&gt;0,DD110&gt;0,CU110&gt;0),newSPRDOPT(BW110,CQ110,CY110,0,DD110,CU110,CV110,BT110*365.25,OCallPut,0),0)</f>
        <v>#VALUE!</v>
      </c>
      <c r="DK110" s="1316" t="e">
        <f aca="false">IF(AND(BX110&gt;0,CR110&gt;0,DE110&gt;0,CU110&gt;0),newSPRDOPT(BX110,CR110,CZ110,0,DE110,CU110,CV110,BT110*365.25,OCallPut,0),0)</f>
        <v>#VALUE!</v>
      </c>
      <c r="DL110" s="1316" t="e">
        <f aca="false">IF(OVolType,IF(AND(BZ110&gt;0,CS110&gt;0,DF110&gt;0,CU110&gt;0),newSPRDOPT(BZ110,CS110,DA110,0,DF110,CU110,CV110,BT110*365.25,OCallPut,0),0),IF(BQ110,(DH110*AZ110+DI110*BA110+DJ110*BB110+DK110*BC110)/BQ110,0))</f>
        <v>#VALUE!</v>
      </c>
      <c r="DM110" s="1316"/>
      <c r="DN110" s="1316"/>
      <c r="DO110" s="1316"/>
      <c r="DP110" s="1316"/>
      <c r="DQ110" s="1316"/>
      <c r="DR110" s="1316"/>
      <c r="DS110" s="1316"/>
      <c r="DT110" s="1316"/>
      <c r="DU110" s="1316"/>
      <c r="DV110" s="1316"/>
      <c r="DW110" s="1594" t="e">
        <f aca="false">IF(AND(BW110&gt;0,CT110&gt;0,DD110&gt;0,CU110&gt;0),newSPRDOPT(BW110,CT110,CY110,0,DD110,CU110,CV110,BT110*365.25,OCallPut,0),0)</f>
        <v>#VALUE!</v>
      </c>
      <c r="DX110" s="1316" t="e">
        <f aca="false">IF(AND(BX110&gt;0,CT110&gt;0,DE110&gt;0,CU110&gt;0),newSPRDOPT(BX110,CT110,CZ110,0,DE110,CU110,CV110,BT110*365.25,OCallPut,0),0)</f>
        <v>#VALUE!</v>
      </c>
      <c r="DY110" s="1591" t="e">
        <f aca="false">IF(BS110,(DH110*BH110+DI110*BI110+DW110*BJ110+DX110*BK110)/BS110,0)</f>
        <v>#VALUE!</v>
      </c>
      <c r="DZ110" s="1551" t="e">
        <f aca="false">DH110*AZ110</f>
        <v>#VALUE!</v>
      </c>
      <c r="EA110" s="1551" t="e">
        <f aca="false">DI110*BA110</f>
        <v>#VALUE!</v>
      </c>
      <c r="EB110" s="1551" t="e">
        <f aca="false">DJ110*BB110</f>
        <v>#VALUE!</v>
      </c>
      <c r="EC110" s="1551" t="e">
        <f aca="false">DK110*BC110</f>
        <v>#VALUE!</v>
      </c>
      <c r="ED110" s="1551" t="e">
        <f aca="false">DL110*BQ110</f>
        <v>#VALUE!</v>
      </c>
      <c r="EE110" s="1595" t="e">
        <f aca="false">IF(BQ110,IF(OCallPut,IF(BU110&gt;(CO110+CW110),BU110-(CO110+CW110),0),IF((CO110+CW110)&gt;BU110,(CO110+CW110)-BU110,0))*AZ110,0)</f>
        <v>#VALUE!</v>
      </c>
      <c r="EF110" s="1596" t="e">
        <f aca="false">IF(BQ110,IF(OCallPut,IF(BV110&gt;(CP110+CX110),BV110-(CP110+CX110),0),IF((CP110+CX110)&gt;BV110,(CP110+CX110)-BV110,0))*BA110,0)</f>
        <v>#VALUE!</v>
      </c>
      <c r="EG110" s="1596" t="e">
        <f aca="false">IF(BQ110,IF(OCallPut,IF(BW110&gt;(CQ110+CY110),BW110-(CQ110+CY110),0),IF((CQ110+CY110)&gt;BW110,(CQ110+CY110)-BW110,0))*BB110,0)</f>
        <v>#VALUE!</v>
      </c>
      <c r="EH110" s="1596" t="e">
        <f aca="false">IF(BQ110,IF(OCallPut,IF(BX110&gt;(CR110+CZ110),BX110-(CR110+CZ110),0),IF((CR110+CZ110)&gt;BX110,(CR110+CZ110)-BX110,0))*BC110,0)</f>
        <v>#VALUE!</v>
      </c>
      <c r="EI110" s="1597" t="e">
        <f aca="false">IF(BQ110,IF(OVolType,IF(OCallPut,IF(BZ110&gt;(CS110+DA110),BZ110-(CS110+DA110),0),IF((CS110+DA110)&gt;BZ110,(CS110+DA110)-BZ110,0))*BQ110,SUM(EE110:EH110)),0)</f>
        <v>#VALUE!</v>
      </c>
      <c r="EJ110" s="1595" t="e">
        <f aca="false">DZ110-EE110</f>
        <v>#VALUE!</v>
      </c>
      <c r="EK110" s="1596" t="e">
        <f aca="false">EA110-EF110</f>
        <v>#VALUE!</v>
      </c>
      <c r="EL110" s="1596" t="e">
        <f aca="false">EB110-EG110</f>
        <v>#VALUE!</v>
      </c>
      <c r="EM110" s="1596" t="e">
        <f aca="false">EC110-EH110</f>
        <v>#VALUE!</v>
      </c>
      <c r="EN110" s="1597" t="e">
        <f aca="false">ED110-EI110</f>
        <v>#VALUE!</v>
      </c>
      <c r="EO110" s="1551" t="e">
        <f aca="false">DH110*BH110</f>
        <v>#VALUE!</v>
      </c>
      <c r="EP110" s="1551" t="e">
        <f aca="false">DI110*BI110</f>
        <v>#VALUE!</v>
      </c>
      <c r="EQ110" s="1551" t="e">
        <f aca="false">DW110*BJ110</f>
        <v>#VALUE!</v>
      </c>
      <c r="ER110" s="1551" t="e">
        <f aca="false">DX110*BK110</f>
        <v>#VALUE!</v>
      </c>
      <c r="ES110" s="1551" t="e">
        <f aca="false">DY110*BS110</f>
        <v>#VALUE!</v>
      </c>
      <c r="ET110" s="1566" t="e">
        <f aca="false">IF(EI110,IF(OCallPut,IF(CA110&gt;(CT110+CW110),CA110-(CT110+CW110),0),IF((CT110+CW110)&gt;CA110,(CT110+CW110)-CA110,0))*BH110,0)</f>
        <v>#VALUE!</v>
      </c>
      <c r="EU110" s="1551" t="e">
        <f aca="false">IF(EI110,IF(OCallPut,IF(CB110&gt;(CT110+CX110),CB110-(CT110+CX110),0),IF((CT110+CX110)&gt;CB110,(CT110+CX110)-CB110,0))*BI110,0)</f>
        <v>#VALUE!</v>
      </c>
      <c r="EV110" s="1551" t="e">
        <f aca="false">IF(EI110,IF(OCallPut,IF(CC110&gt;(CT110+CY110),CC110-(CT110+CY110),0),IF((CT110+CY110)&gt;CC110,(CT110+CY110)-CC110,0))*BJ110,0)</f>
        <v>#VALUE!</v>
      </c>
      <c r="EW110" s="1551" t="e">
        <f aca="false">IF(EI110,IF(OCallPut,IF(CD110&gt;(CT110+CZ110),CD110-(CT110+CZ110),0),IF((CT110+CZ110)&gt;CD110,(CT110+CZ110)-CD110,0))*BK110,0)</f>
        <v>#VALUE!</v>
      </c>
      <c r="EX110" s="1558" t="e">
        <f aca="false">IF(EI110,SUM(ET110:EW110),0)</f>
        <v>#VALUE!</v>
      </c>
      <c r="EY110" s="1551" t="e">
        <f aca="false">EO110-ET110</f>
        <v>#VALUE!</v>
      </c>
      <c r="EZ110" s="1551" t="e">
        <f aca="false">EP110-EU110</f>
        <v>#VALUE!</v>
      </c>
      <c r="FA110" s="1551" t="e">
        <f aca="false">EQ110-EV110</f>
        <v>#VALUE!</v>
      </c>
      <c r="FB110" s="1551" t="e">
        <f aca="false">ER110-EW110</f>
        <v>#VALUE!</v>
      </c>
      <c r="FC110" s="1551" t="e">
        <f aca="false">ES110-EX110</f>
        <v>#VALUE!</v>
      </c>
      <c r="FD110" s="1525" t="n">
        <f aca="false">IF(AX110,IF(VLOOKUP(C110,MAIN!$L$17:$M$28,2)="Yes",VLOOKUP(CALC!B110,MAIN!$H$17:$I$20,2),0),0)</f>
        <v>0</v>
      </c>
      <c r="FE110" s="1552" t="e">
        <f aca="false">$FD110*16*AT110*(1-$AY110)</f>
        <v>#VALUE!</v>
      </c>
      <c r="FF110" s="1553" t="e">
        <f aca="false">$FD110*16*AU110*(1-$AY110)</f>
        <v>#VALUE!</v>
      </c>
      <c r="FG110" s="1553" t="e">
        <f aca="false">$FD110*16*(AV110+AW110)*(1-$AY110)</f>
        <v>#VALUE!</v>
      </c>
      <c r="FH110" s="1554" t="n">
        <f aca="false">$FD110*8*AX110*(1-$AY110)</f>
        <v>0</v>
      </c>
      <c r="FI110" s="1555" t="n">
        <f aca="false">IF(AX110,VLOOKUP(CALC!B110,MAIN!$H$17:$K$20,4),0)</f>
        <v>0</v>
      </c>
      <c r="FJ110" s="1553" t="e">
        <f aca="false">SUM(FE110:FH110)</f>
        <v>#VALUE!</v>
      </c>
      <c r="FK110" s="1556" t="e">
        <f aca="false">FI110*FJ110</f>
        <v>#VALUE!</v>
      </c>
      <c r="FL110" s="1551" t="e">
        <f aca="false">IF($EI110&gt;0,MIN(FE110,AZ110*(1+VLOOKUP($C110,WeatherCapacityAdjustment,2))),0)</f>
        <v>#VALUE!</v>
      </c>
      <c r="FM110" s="1551" t="e">
        <f aca="false">IF($EI110&gt;0,MIN(FF110,BA110*(1+VLOOKUP($C110,WeatherCapacityAdjustment,2))),0)</f>
        <v>#VALUE!</v>
      </c>
      <c r="FN110" s="1551" t="e">
        <f aca="false">IF($EI110&gt;0,MIN(FG110,BB110*(1+VLOOKUP($C110,WeatherCapacityAdjustment,2))),0)</f>
        <v>#VALUE!</v>
      </c>
      <c r="FO110" s="1564" t="e">
        <f aca="false">IF($EI110&gt;0,MIN(FH110,BC110*(1+VLOOKUP($C110,WeatherCapacityAdjustment,3))),0)</f>
        <v>#VALUE!</v>
      </c>
      <c r="FP110" s="1551" t="e">
        <f aca="false">IF(ET110&gt;0,MIN(FE110-FL110,BH110*(1+VLOOKUP($C110,WeatherCapacityAdjustment,2))),0)</f>
        <v>#VALUE!</v>
      </c>
      <c r="FQ110" s="1551" t="e">
        <f aca="false">IF(EU110&gt;0,MIN(FF110-FM110,BI110*(1+VLOOKUP($C110,WeatherCapacityAdjustment,2))),0)</f>
        <v>#VALUE!</v>
      </c>
      <c r="FR110" s="1551" t="e">
        <f aca="false">IF(EV110&gt;0,MIN(FG110-FN110,BJ110*(1+VLOOKUP($C110,WeatherCapacityAdjustment,2))),0)</f>
        <v>#VALUE!</v>
      </c>
      <c r="FS110" s="1558" t="e">
        <f aca="false">IF(EW110&gt;0,MIN(FH110-FO110,BK110*(1+VLOOKUP($C110,WeatherCapacityAdjustment,3))),0)</f>
        <v>#VALUE!</v>
      </c>
      <c r="FT110" s="1566" t="e">
        <f aca="false">IF(AND(Assumptions!$H$71="Yes",A110&gt;=Assumptions!$H$72,A110&lt;=Assumptions!$H$73),0,IF(AND($A110&gt;=Assumptions!$C$17,$A110&lt;=Assumptions!$C$18),MAX(AZ110*(1+VLOOKUP($C110,WeatherCapacityAdjustment,2))-FL110,0),0))</f>
        <v>#VALUE!</v>
      </c>
      <c r="FU110" s="1551" t="e">
        <f aca="false">IF(AND(Assumptions!$H$71="Yes",A110&gt;=Assumptions!$H$72,A110&lt;=Assumptions!$H$73),0,IF(AND($A110&gt;=Assumptions!$C$17,$A110&lt;=Assumptions!$C$18),MAX(BA110*(1+VLOOKUP($C110,WeatherCapacityAdjustment,2))-FM110,0),0))</f>
        <v>#VALUE!</v>
      </c>
      <c r="FV110" s="1551" t="e">
        <f aca="false">IF(AND(Assumptions!$H$71="Yes",A110&gt;=Assumptions!$H$72,A110&lt;=Assumptions!$H$73),0,IF(AND($A110&gt;=Assumptions!$C$17,$A110&lt;=Assumptions!$C$18),MAX(BB110*(1+VLOOKUP($C110,WeatherCapacityAdjustment,2))-FN110,0),0))</f>
        <v>#VALUE!</v>
      </c>
      <c r="FW110" s="1564" t="e">
        <f aca="false">IF(AND(Assumptions!$H$71="Yes",A110&gt;=Assumptions!$H$72,A110&lt;=Assumptions!$H$73),0,IF(AND($A110&gt;=Assumptions!$C$17,$A110&lt;=Assumptions!$C$18),MAX(BC110*(1+VLOOKUP($C110,WeatherCapacityAdjustment,3))-FO110,0),0))</f>
        <v>#VALUE!</v>
      </c>
      <c r="FX110" s="1569" t="e">
        <f aca="false">IF(AND(Assumptions!$H$71="Yes",A110&gt;=Assumptions!$H$72,A110&lt;=Assumptions!$H$73),0,IF(ET110&gt;0,MAX(BH110*(1+VLOOKUP($C110,WeatherCapacityAdjustment,2))-FP110,0),0))</f>
        <v>#VALUE!</v>
      </c>
      <c r="FY110" s="1551" t="e">
        <f aca="false">IF(AND(Assumptions!$H$71="Yes",A110&gt;=Assumptions!$H$72,A110&lt;=Assumptions!$H$73),0,IF(EU110&gt;0,MAX(BI110*(1+VLOOKUP($C110,WeatherCapacityAdjustment,3))-FQ110,0),0))</f>
        <v>#VALUE!</v>
      </c>
      <c r="FZ110" s="1551" t="e">
        <f aca="false">IF(AND(Assumptions!$H$71="Yes",A110&gt;=Assumptions!$H$72,A110&lt;=Assumptions!$H$73),0,IF(EV110&gt;0,MAX(BJ110*(1+VLOOKUP($C110,WeatherCapacityAdjustment,2))-FR110,0),0))</f>
        <v>#VALUE!</v>
      </c>
      <c r="GA110" s="1564" t="e">
        <f aca="false">IF(AND(Assumptions!$H$71="Yes",A110&gt;=Assumptions!$H$72,A110&lt;=Assumptions!$H$73),0,IF(EW110&gt;0,MAX(BK110*(1+VLOOKUP($C110,WeatherCapacityAdjustment,2))-FS110,0),0))</f>
        <v>#VALUE!</v>
      </c>
      <c r="GB110" s="1551" t="e">
        <f aca="false">SUM(FT110:GA110)</f>
        <v>#VALUE!</v>
      </c>
      <c r="GC110" s="1563" t="e">
        <f aca="false">+IF(SUM(FT110:GA110)=0,0,(SUMPRODUCT(BU110:BX110,FT110:FW110)+SUMPRODUCT(CA110:CD110,FX110:GA110))/SUM(FT110:GA110))</f>
        <v>#VALUE!</v>
      </c>
      <c r="GD110" s="1551" t="e">
        <f aca="false">(FT110*BU110+FX110*CA110+FU110*BV110+FY110*CB110+FV110*BW110+FZ110*CC110+FW110*BX110+GA110*CD110)</f>
        <v>#VALUE!</v>
      </c>
      <c r="GE110" s="1561" t="e">
        <f aca="false">+IF(BQ110,((FL110+FM110+FT110+FU110)*HeatRatePeak/1000*(1+VLOOKUP($C110,WeatherHeatRateAdjustment,2))+(FN110+FV110)*IF(EV110&gt;0,HeatRatePeak,HeatRateOffPeak)/1000*(1+VLOOKUP($C110,WeatherHeatRateAdjustment,2))+(FO110+FW110)*IF(EW110&gt;0,HeatRatePeak,HeatRateOffPeak)/1000*(1+VLOOKUP($C110,WeatherHeatRateAdjustment,3)))*(1+VLOOKUP($B110,HeatRateDegradation,$C110+1)),0)</f>
        <v>#VALUE!</v>
      </c>
      <c r="GF110" s="1562" t="e">
        <f aca="false">IF(BQ110,((FP110+FQ110+FR110+FX110+FY110+FZ110)*HeatRatePeak/1000*(1+VLOOKUP($C110,WeatherHeatRateAdjustment,2))+(FS110+GA110)*HeatRatePeak/1000*(1+VLOOKUP($C110,WeatherHeatRateAdjustment,3)))*(1+VLOOKUP($B110,HeatRateDegradation,$C110+1)),0)</f>
        <v>#VALUE!</v>
      </c>
      <c r="GG110" s="1563" t="e">
        <f aca="false">IF(BQ110,VLOOKUP(A110,GasTable,13),0)</f>
        <v>#VALUE!</v>
      </c>
      <c r="GH110" s="1564" t="e">
        <f aca="false">(GE110+GF110)*GG110</f>
        <v>#VALUE!</v>
      </c>
      <c r="GI110" s="1569" t="e">
        <f aca="false">GB110</f>
        <v>#VALUE!</v>
      </c>
      <c r="GJ110" s="1598" t="e">
        <f aca="false">+DA110</f>
        <v>#VALUE!</v>
      </c>
      <c r="GK110" s="1558" t="e">
        <f aca="false">+GI110*GJ110</f>
        <v>#VALUE!</v>
      </c>
      <c r="GL110" s="1566" t="e">
        <f aca="false">MAX(FE110-FL110-FP110,0)</f>
        <v>#VALUE!</v>
      </c>
      <c r="GM110" s="1551" t="e">
        <f aca="false">MAX(FF110-FM110-FQ110,0)</f>
        <v>#VALUE!</v>
      </c>
      <c r="GN110" s="1551" t="e">
        <f aca="false">MAX(FG110-FN110-FR110,0)</f>
        <v>#VALUE!</v>
      </c>
      <c r="GO110" s="1564" t="e">
        <f aca="false">MAX(FH110-FO110-FS110,0)</f>
        <v>#VALUE!</v>
      </c>
      <c r="GP110" s="1551" t="e">
        <f aca="false">SUM(GL110:GO110)</f>
        <v>#VALUE!</v>
      </c>
      <c r="GQ110" s="1563" t="e">
        <f aca="false">IF(SUM(GL110:GO110)=0,0,((GL110*BU110+GM110*BV110+GN110*BW110+GO110*BX110)/SUM(GL110:GO110)))</f>
        <v>#VALUE!</v>
      </c>
      <c r="GR110" s="1558" t="e">
        <f aca="false">(GL110*BU110+GM110*BV110+GN110*BW110+GO110*BX110)</f>
        <v>#VALUE!</v>
      </c>
      <c r="GS110" s="1566" t="n">
        <f aca="false">IF($A110&gt;=BegDate,Assumptions!$C$56*24*($A111-$A110)*(1-VLOOKUP($B110,MAIN!$AA$7:$AM$28,$C110+1))*(1-VLOOKUP($B110,MAIN!$AA$33:$AM$54,$C110+1)),0)*80/168</f>
        <v>241114.285714286</v>
      </c>
      <c r="GT110" s="286" t="n">
        <f aca="false">J110</f>
        <v>42.3254921430783</v>
      </c>
      <c r="GU110" s="286" t="n">
        <f aca="false">IF($A110&gt;=BegDate,VLOOKUP($A110,GasTable,13)+Assumptions!$C$58,0)</f>
        <v>2.84278998900018</v>
      </c>
      <c r="GV110" s="286" t="n">
        <f aca="false">GU110*Assumptions!$C$57/1000</f>
        <v>20.6102274202513</v>
      </c>
      <c r="GW110" s="1558" t="n">
        <f aca="false">IF(Assumptions!$C$60="Hourly",MAX(0,GS110*(GT110-GV110)),GS110*(GT110-GV110))</f>
        <v>5235860.54274104</v>
      </c>
      <c r="GX110" s="1566" t="n">
        <f aca="false">IF($A110&gt;=BegDate,Assumptions!$C$56*24*($A111-$A110)*(1-VLOOKUP($B110,MAIN!$AA$7:$AM$28,$C110+1))*(1-VLOOKUP($B110,MAIN!$AA$33:$AM$54,$C110+1)),0)*16/168</f>
        <v>48222.8571428571</v>
      </c>
      <c r="GY110" s="286" t="n">
        <f aca="false">M110</f>
        <v>42.3254921430783</v>
      </c>
      <c r="GZ110" s="286" t="n">
        <f aca="false">IF($A110&gt;=BegDate,VLOOKUP($A110,GasTable,13)+Assumptions!$C$58,0)</f>
        <v>2.84278998900018</v>
      </c>
      <c r="HA110" s="286" t="n">
        <f aca="false">GZ110*Assumptions!$C$57/1000</f>
        <v>20.6102274202513</v>
      </c>
      <c r="HB110" s="1558" t="n">
        <f aca="false">IF(Assumptions!$C$60="Hourly",MAX(0,GX110*(GY110-HA110)),GX110*(GY110-HA110))</f>
        <v>1047172.10854821</v>
      </c>
      <c r="HC110" s="1566" t="n">
        <f aca="false">IF($A110&gt;=BegDate,Assumptions!$C$56*24*($A111-$A110)*(1-VLOOKUP($B110,MAIN!$AA$7:$AM$28,$C110+1))*(1-VLOOKUP($B110,MAIN!$AA$33:$AM$54,$C110+1)),0)*16/168</f>
        <v>48222.8571428571</v>
      </c>
      <c r="HD110" s="286" t="n">
        <f aca="false">P110</f>
        <v>24.0053088957887</v>
      </c>
      <c r="HE110" s="286" t="n">
        <f aca="false">IF($A110&gt;=BegDate,VLOOKUP($A110,GasTable,13)+Assumptions!$C$58,0)</f>
        <v>2.84278998900018</v>
      </c>
      <c r="HF110" s="286" t="n">
        <f aca="false">HE110*Assumptions!$C$57/1000</f>
        <v>20.6102274202513</v>
      </c>
      <c r="HG110" s="1558" t="n">
        <f aca="false">IF(Assumptions!$C$60="Hourly",MAX(0,HC110*(HD110-HF110)),HC110*(HD110-HF110))</f>
        <v>163720.528983201</v>
      </c>
      <c r="HH110" s="1566" t="n">
        <f aca="false">IF($A110&gt;=BegDate,Assumptions!$C$56*24*($A111-$A110)*(1-VLOOKUP($B110,MAIN!$AA$7:$AM$28,$C110+1))*(1-VLOOKUP($B110,MAIN!$AA$33:$AM$54,$C110+1)),0)*56/168</f>
        <v>168780</v>
      </c>
      <c r="HI110" s="286" t="n">
        <f aca="false">S110</f>
        <v>24.0053088957887</v>
      </c>
      <c r="HJ110" s="286" t="n">
        <f aca="false">IF($A110&gt;=BegDate,VLOOKUP($A110,GasTable,13)+Assumptions!$C$58,0)</f>
        <v>2.84278998900018</v>
      </c>
      <c r="HK110" s="286" t="n">
        <f aca="false">HJ110*Assumptions!$C$57/1000</f>
        <v>20.6102274202513</v>
      </c>
      <c r="HL110" s="1558" t="n">
        <f aca="false">IF(Assumptions!$C$60="Hourly",MAX(0,HH110*(HI110-HK110)),HH110*(HI110-HK110))</f>
        <v>573021.851441202</v>
      </c>
      <c r="HM110" s="1566" t="n">
        <f aca="false">IF(AND(Assumptions!$H$71="Yes",A110&gt;=Assumptions!$H$72,A110&lt;=Assumptions!$H$73),Assumptions!$H$74*Assumptions!$C$9*1000,0)</f>
        <v>0</v>
      </c>
      <c r="HN110" s="1551"/>
      <c r="HO110" s="1563"/>
      <c r="HP110" s="1563"/>
      <c r="HQ110" s="1563"/>
      <c r="HR110" s="1563"/>
      <c r="HS110" s="1563"/>
      <c r="HT110" s="1563"/>
      <c r="HU110" s="1563"/>
      <c r="HV110" s="1563"/>
      <c r="HW110" s="1563"/>
      <c r="HX110" s="1563"/>
      <c r="HY110" s="1563"/>
      <c r="HZ110" s="1563"/>
      <c r="IA110" s="1563"/>
      <c r="IB110" s="1563"/>
      <c r="IC110" s="1563"/>
      <c r="ID110" s="1563"/>
      <c r="IE110" s="1563"/>
      <c r="IF110" s="1563"/>
      <c r="IG110" s="1563"/>
      <c r="IH110" s="1563"/>
      <c r="II110" s="1610"/>
      <c r="IJ110" s="1309"/>
      <c r="IK110" s="1309"/>
    </row>
    <row r="111" customFormat="false" ht="12.75" hidden="false" customHeight="false" outlineLevel="0" collapsed="false">
      <c r="A111" s="1571" t="n">
        <f aca="false">EOMONTH(A110,0)+1</f>
        <v>39508</v>
      </c>
      <c r="B111" s="594" t="n">
        <f aca="false">+YEAR(A111)</f>
        <v>2008</v>
      </c>
      <c r="C111" s="238" t="n">
        <f aca="false">MONTH(A111)</f>
        <v>3</v>
      </c>
      <c r="D111" s="1572" t="e">
        <f aca="false">IF(E111="","",Holiday(B111,C111))</f>
        <v>#VALUE!</v>
      </c>
      <c r="E111" s="1573" t="n">
        <f aca="false">IF(OR(BegDate&gt;=A112,EndDate&lt;A111,AND(VolumeMonthlyOverFlag,INDEX(VolumeMonthlyOver,C111)=0),NOT(INDEX(MonthKnockOutTable,C111))),"",MAX(A111,BegDate))</f>
        <v>39508</v>
      </c>
      <c r="F111" s="1574" t="n">
        <f aca="false">IF(E111="","",MIN(A112-1,EndDate))</f>
        <v>39538</v>
      </c>
      <c r="G111" s="1575" t="n">
        <v>0</v>
      </c>
      <c r="H111" s="1576" t="n">
        <f aca="false">(1+G111/2)^(-2*(DATE(B112,C112,20)-DateToday)/365.25)</f>
        <v>1</v>
      </c>
      <c r="I111" s="1568" t="n">
        <f aca="false">IF(Assumptions!$L$25=4,VLOOKUP($A111,'Henwood Reference'!$E$9:$R$320,10),(VLOOKUP($A111,PriceTable,2,0)+IF(BasisNumber&lt;&gt;1,VLOOKUP($A111,BasisTable,2,0),0)+I$1)/(1-I$2))</f>
        <v>36.592328459958</v>
      </c>
      <c r="J111" s="1568" t="n">
        <f aca="false">IF(Assumptions!$L$25=4,VLOOKUP($A111,'Henwood Reference'!$E$9:$R$320,10),(VLOOKUP($A111,PriceTable,3,0)+IF(BasisNumber&lt;&gt;1,VLOOKUP($A111,BasisTable,2,0),0)+J$1)/(1-J$2))</f>
        <v>36.592328459958</v>
      </c>
      <c r="K111" s="1568" t="n">
        <f aca="false">IF(Assumptions!$L$25=4,VLOOKUP($A111,'Henwood Reference'!$E$9:$R$320,10),(VLOOKUP($A111,PriceTable,4,0)+IF(BasisNumber&lt;&gt;1,VLOOKUP($A111,BasisTable,2,0),0)+K$1)/(1-K$2))</f>
        <v>36.592328459958</v>
      </c>
      <c r="L111" s="1523" t="n">
        <f aca="false">IF(Assumptions!$L$25=4,VLOOKUP($A111,'Henwood Reference'!$E$9:$R$320,10),(VLOOKUP($A111,PriceTableWeekend,2,0)+IF(BasisNumber&lt;&gt;1,VLOOKUP($A111,BasisTable,2,0),0)+L$1)/(1-L$2))</f>
        <v>36.592328459958</v>
      </c>
      <c r="M111" s="1568" t="n">
        <f aca="false">IF(Assumptions!$L$25=4,VLOOKUP($A111,'Henwood Reference'!$E$9:$R$320,10),(VLOOKUP($A111,PriceTableWeekend,3,0)+IF(BasisNumber&lt;&gt;1,VLOOKUP($A111,BasisTable,2,0),0)+M$1)/(1-M$2))</f>
        <v>36.592328459958</v>
      </c>
      <c r="N111" s="1599" t="n">
        <f aca="false">IF(Assumptions!$L$25=4,VLOOKUP($A111,'Henwood Reference'!$E$9:$R$320,10),(VLOOKUP($A111,PriceTableWeekend,4,0)+IF(BasisNumber&lt;&gt;1,VLOOKUP($A111,BasisTable,2,0),0)+N$1)/(1-N$2))</f>
        <v>36.592328459958</v>
      </c>
      <c r="O111" s="1568" t="n">
        <f aca="false">IF(Assumptions!$L$25=4,VLOOKUP($A111,'Henwood Reference'!$E$9:$R$320,11),(VLOOKUP($A111,PriceTableWeekend,6,0)+IF(BasisNumber&lt;&gt;1,VLOOKUP($A111,BasisTable,3,0),0)+O$1)/(1-O$2))</f>
        <v>23.314732856626</v>
      </c>
      <c r="P111" s="1568" t="n">
        <f aca="false">IF(Assumptions!$L$25=4,VLOOKUP($A111,'Henwood Reference'!$E$9:$R$320,11),(VLOOKUP($A111,PriceTableWeekend,7,0)+IF(BasisNumber&lt;&gt;1,VLOOKUP($A111,BasisTable,3,0),0)+P$1)/(1-P$2))</f>
        <v>23.314732856626</v>
      </c>
      <c r="Q111" s="1599" t="n">
        <f aca="false">IF(Assumptions!$L$25=4,VLOOKUP($A111,'Henwood Reference'!$E$9:$R$320,11),(VLOOKUP($A111,PriceTableWeekend,8,0)+IF(BasisNumber&lt;&gt;1,VLOOKUP($A111,BasisTable,3,0),0)+Q$1)/(1-Q$2))</f>
        <v>23.314732856626</v>
      </c>
      <c r="R111" s="1568" t="n">
        <f aca="false">IF(Assumptions!$L$25=4,VLOOKUP($A111,'Henwood Reference'!$E$9:$R$320,11),(VLOOKUP($A111,PriceTable,6,0)+IF(BasisNumber&lt;&gt;1,VLOOKUP($A111,BasisTable,3,0),0)+R$1)/(1-R$2))</f>
        <v>23.314732856626</v>
      </c>
      <c r="S111" s="1568" t="n">
        <f aca="false">IF(Assumptions!$L$25=4,VLOOKUP($A111,'Henwood Reference'!$E$9:$R$320,11),(VLOOKUP($A111,PriceTable,7,0)+IF(BasisNumber&lt;&gt;1,VLOOKUP($A111,BasisTable,3,0),0)+S$1)/(1-S$2))</f>
        <v>23.314732856626</v>
      </c>
      <c r="T111" s="1600" t="n">
        <f aca="false">IF(Assumptions!$L$25=4,VLOOKUP($A111,'Henwood Reference'!$E$9:$R$320,11),(VLOOKUP($A111,PriceTable,8,0)+IF(BasisNumber&lt;&gt;1,VLOOKUP($A111,BasisTable,3,0),0)+T$1)/(1-T$2))</f>
        <v>23.314732856626</v>
      </c>
      <c r="U111" s="1513" t="n">
        <f aca="false">VLOOKUP($A111,VolatilityTable,14)</f>
        <v>0.13</v>
      </c>
      <c r="V111" s="1513" t="n">
        <f aca="false">VLOOKUP($A111,VolatilityTable,15)</f>
        <v>0.14</v>
      </c>
      <c r="W111" s="1514" t="n">
        <f aca="false">VLOOKUP($A111,VolatilityTable,16)</f>
        <v>0.15</v>
      </c>
      <c r="X111" s="1513" t="n">
        <f aca="false">VLOOKUP($A111,VolatilityTable,14)</f>
        <v>0.13</v>
      </c>
      <c r="Y111" s="1513" t="n">
        <f aca="false">VLOOKUP($A111,VolatilityTable,15)</f>
        <v>0.14</v>
      </c>
      <c r="Z111" s="1514" t="n">
        <f aca="false">VLOOKUP($A111,VolatilityTable,16)</f>
        <v>0.15</v>
      </c>
      <c r="AA111" s="1513" t="n">
        <f aca="false">VLOOKUP($A111,VolatilityTable,18)</f>
        <v>0.09</v>
      </c>
      <c r="AB111" s="1513" t="n">
        <f aca="false">VLOOKUP($A111,VolatilityTable,19)</f>
        <v>0.11</v>
      </c>
      <c r="AC111" s="1514" t="n">
        <f aca="false">VLOOKUP($A111,VolatilityTable,20)</f>
        <v>0.13</v>
      </c>
      <c r="AD111" s="1513" t="n">
        <f aca="false">VLOOKUP($A111,VolatilityTable,18)</f>
        <v>0.09</v>
      </c>
      <c r="AE111" s="1513" t="n">
        <f aca="false">VLOOKUP($A111,VolatilityTable,19)</f>
        <v>0.11</v>
      </c>
      <c r="AF111" s="1514" t="n">
        <f aca="false">VLOOKUP($A111,VolatilityTable,20)</f>
        <v>0.13</v>
      </c>
      <c r="AG111" s="1513" t="n">
        <f aca="false">VLOOKUP($A111,VolatilityTable,22)</f>
        <v>-0.1</v>
      </c>
      <c r="AH111" s="1513" t="n">
        <f aca="false">VLOOKUP($A111,VolatilityTable,23)</f>
        <v>0.65</v>
      </c>
      <c r="AI111" s="1514" t="n">
        <f aca="false">VLOOKUP($A111,VolatilityTable,24)</f>
        <v>0.1</v>
      </c>
      <c r="AJ111" s="1513" t="n">
        <f aca="false">VLOOKUP($A111,VolatilityTable,22)</f>
        <v>-0.1</v>
      </c>
      <c r="AK111" s="1513" t="n">
        <f aca="false">VLOOKUP($A111,VolatilityTable,23)</f>
        <v>0.65</v>
      </c>
      <c r="AL111" s="1514" t="n">
        <f aca="false">VLOOKUP($A111,VolatilityTable,24)</f>
        <v>0.1</v>
      </c>
      <c r="AM111" s="1513" t="n">
        <f aca="false">VLOOKUP($A111,VolatilityTable,26)</f>
        <v>-0.01</v>
      </c>
      <c r="AN111" s="1513" t="n">
        <f aca="false">VLOOKUP($A111,VolatilityTable,27)</f>
        <v>0.16</v>
      </c>
      <c r="AO111" s="1514" t="n">
        <f aca="false">VLOOKUP($A111,VolatilityTable,28)</f>
        <v>0.01</v>
      </c>
      <c r="AP111" s="1513" t="n">
        <f aca="false">VLOOKUP($A111,VolatilityTable,26)</f>
        <v>-0.01</v>
      </c>
      <c r="AQ111" s="1513" t="n">
        <f aca="false">VLOOKUP($A111,VolatilityTable,27)</f>
        <v>0.16</v>
      </c>
      <c r="AR111" s="1515" t="n">
        <f aca="false">VLOOKUP($A111,VolatilityTable,28)</f>
        <v>0.01</v>
      </c>
      <c r="AS111" s="1581" t="n">
        <f aca="false">IF(CorrPeakOffPeakOverFlag,INDEX(CorrPeakOffPeakOver,C111),CorrPeakOffPeak)</f>
        <v>0.5</v>
      </c>
      <c r="AT111" s="594" t="e">
        <f aca="false">AX111-SUM(AU111:AW111)</f>
        <v>#VALUE!</v>
      </c>
      <c r="AU111" s="238" t="e">
        <f aca="false">IF(E111="",0,INT((F111-MOD(F111,7)-E111)/7)+1-IF(AW111,IF(WEEKDAY(D111)=7,1,0),0))</f>
        <v>#VALUE!</v>
      </c>
      <c r="AV111" s="238" t="e">
        <f aca="false">IF(E111="",0,INT((F111-MOD(F111-1,7)-E111)/7)+1-IF(AW111,IF(WEEKDAY(D111)=1,1,0),0))</f>
        <v>#VALUE!</v>
      </c>
      <c r="AW111" s="238" t="e">
        <f aca="false">IF(OR(E111="",D111="",D111&lt;BegDate,D111&gt;EndDate),0,1)</f>
        <v>#VALUE!</v>
      </c>
      <c r="AX111" s="238" t="n">
        <f aca="false">IF(E111="",0,F111-E111+1)</f>
        <v>31</v>
      </c>
      <c r="AY111" s="1582" t="n">
        <f aca="false">IF(E111="",0,MIN((1-(1-VLOOKUP(B111,MAIN!$AA$7:$AM$28,C111+1))*(1-VLOOKUP(B111,MAIN!$AA$33:$AM$54,C111+1))),1))</f>
        <v>0.03</v>
      </c>
      <c r="AZ111" s="1519" t="e">
        <v>#VALUE!</v>
      </c>
      <c r="BA111" s="1520" t="e">
        <v>#VALUE!</v>
      </c>
      <c r="BB111" s="1520" t="e">
        <v>#VALUE!</v>
      </c>
      <c r="BC111" s="1583" t="e">
        <v>#VALUE!</v>
      </c>
      <c r="BD111" s="1522" t="e">
        <v>#VALUE!</v>
      </c>
      <c r="BE111" s="1523" t="e">
        <v>#VALUE!</v>
      </c>
      <c r="BF111" s="1523" t="e">
        <v>#VALUE!</v>
      </c>
      <c r="BG111" s="1584" t="e">
        <v>#VALUE!</v>
      </c>
      <c r="BH111" s="1525" t="e">
        <v>#VALUE!</v>
      </c>
      <c r="BI111" s="1520" t="e">
        <v>#VALUE!</v>
      </c>
      <c r="BJ111" s="1520" t="e">
        <v>#VALUE!</v>
      </c>
      <c r="BK111" s="1583" t="e">
        <v>#VALUE!</v>
      </c>
      <c r="BL111" s="1522" t="e">
        <v>#VALUE!</v>
      </c>
      <c r="BM111" s="1523" t="e">
        <v>#VALUE!</v>
      </c>
      <c r="BN111" s="1523" t="e">
        <v>#VALUE!</v>
      </c>
      <c r="BO111" s="1523" t="e">
        <v>#VALUE!</v>
      </c>
      <c r="BP111" s="1525" t="e">
        <f aca="false">SUM(AZ111:BB111)</f>
        <v>#VALUE!</v>
      </c>
      <c r="BQ111" s="1529" t="e">
        <f aca="false">SUM(AZ111:BC111)</f>
        <v>#VALUE!</v>
      </c>
      <c r="BR111" s="1519" t="e">
        <f aca="false">SUM(BH111:BJ111)</f>
        <v>#VALUE!</v>
      </c>
      <c r="BS111" s="1529" t="e">
        <f aca="false">SUM(BH111:BK111)</f>
        <v>#VALUE!</v>
      </c>
      <c r="BT111" s="1316" t="n">
        <f aca="false">(IF(OVolType&lt;&gt;2,A111+14,IF(OptExpDateShift,ShiftBack(A111,OptExpDateShift,D110),A111))-DateToday)/365.25</f>
        <v>7.87953456536619</v>
      </c>
      <c r="BU111" s="1585" t="e">
        <f aca="false">IF(BQ111,IF(OPriceCurve,IF(OBuySell=OCallPut,I111/(1-AY111),K111/(1-AY111)),J111/(1-AY111))*BD111,0)</f>
        <v>#VALUE!</v>
      </c>
      <c r="BV111" s="1316" t="e">
        <f aca="false">IF(BQ111,IF(OPriceCurve,IF(OBuySell=OCallPut,L111/(1-AY111),N111/(1-AY111)),M111/(1-AY111))*BE111,0)</f>
        <v>#VALUE!</v>
      </c>
      <c r="BW111" s="1316" t="e">
        <f aca="false">IF(BQ111,IF(OPriceCurve,IF(OBuySell=OCallPut,O111/(1-AY111),Q111/(1-AY111)),P111/(1-AY111))*BF111,0)</f>
        <v>#VALUE!</v>
      </c>
      <c r="BX111" s="1316" t="e">
        <f aca="false">IF(BQ111,IF(OPriceCurve,IF(OBuySell=OCallPut,R111/(1-AY111),T111/(1-AY111)),S111/(1-AY111))*BG111,0)</f>
        <v>#VALUE!</v>
      </c>
      <c r="BY111" s="1316" t="e">
        <f aca="false">IF(BP111,(BU111*AZ111+BV111*BA111+BW111*BB111)/BP111,0)</f>
        <v>#VALUE!</v>
      </c>
      <c r="BZ111" s="1316" t="e">
        <f aca="false">IF(BQ111,(BY111*BP111+BX111*BC111)/BQ111,0)</f>
        <v>#VALUE!</v>
      </c>
      <c r="CA111" s="1531" t="e">
        <f aca="false">IF(BS111,IF(OPriceCurve,IF(OBuySell=OCallPut,I111/(1-AY111),K111/(1-AY111)),J111/(1-AY111))*BL111,0)</f>
        <v>#VALUE!</v>
      </c>
      <c r="CB111" s="1316" t="e">
        <f aca="false">IF(BS111,IF(OPriceCurve,IF(OBuySell=OCallPut,L111/(1-AY111),N111/(1-AY111)),M111/(1-AY111))*BM111,0)</f>
        <v>#VALUE!</v>
      </c>
      <c r="CC111" s="1316" t="e">
        <f aca="false">IF(BS111,IF(OPriceCurve,IF(OBuySell=OCallPut,O111/(1-AY111),Q111/(1-AY111)),P111/(1-AY111))*BN111,0)</f>
        <v>#VALUE!</v>
      </c>
      <c r="CD111" s="1316" t="e">
        <f aca="false">IF(BS111,IF(OPriceCurve,IF(OBuySell=OCallPut,R111/(1-AY111),T111/(1-AY111)),S111/(1-AY111))*BO111,0)</f>
        <v>#VALUE!</v>
      </c>
      <c r="CE111" s="1316" t="e">
        <f aca="false">IF(BR111,(BU111*BH111+BV111*BI111+BW111*BJ111)/BR111,0)</f>
        <v>#VALUE!</v>
      </c>
      <c r="CF111" s="1532" t="e">
        <f aca="false">IF(BS111,(CE111*BR111+CD111*BK111)/BS111,0)</f>
        <v>#VALUE!</v>
      </c>
      <c r="CG111" s="1586" t="e">
        <f aca="false">IF(OR(BQ111,BS111),IF(OVolType&lt;&gt;2,SQRT(IF(OVolOverMonthlyPeak,OVolOverMonthlyPeak,IF(OVolCurve,IF(OBuySell,U111,W111),V111))^2*(1-15/365.25/BT111)+IF(OVolOverDailyPeak,OVolOverDailyPeak,IF(OVolCurve,IF(OBuySell,AG111,AI111),AH111))^2*15/365.25/BT111),IF(OVolOverMonthlyPeak,OVolOverMonthlyPeak,IF(OVolCurve,IF(OBuySell,U111,W111),V111))),"")</f>
        <v>#VALUE!</v>
      </c>
      <c r="CH111" s="1587" t="e">
        <f aca="false">IF(OR(BQ111,BS111),IF(OVolType&lt;&gt;2,SQRT(IF(OVolOverMonthlyPeak,OVolOverMonthlyPeak,IF(OVolCurve,IF(OBuySell,X111,Z111),Y111))^2*(1-15/365.25/BT111)+IF(OVolOverDailyPeak,OVolOverDailyPeak,IF(OVolCurve,IF(OBuySell,AJ111,AL111),AK111))^2*15/365.25/BT111),IF(OVolOverMonthlyPeak,OVolOverMonthlyPeak,IF(OVolCurve,IF(OBuySell,X111,Z111),Y111))),"")</f>
        <v>#VALUE!</v>
      </c>
      <c r="CI111" s="1587" t="e">
        <f aca="false">IF(OR(BQ111,BS111),IF(OVolType&lt;&gt;2,SQRT(IF(OVolOverMonthlyPeak,OVolOverMonthlyPeak,IF(OVolCurve,IF(OBuySell,AA111,AC111),AB111))^2*(1-15/365.25/BT111)+IF(OVolOverDailyPeak,OVolOverDailyPeak,IF(OVolCurve,IF(OBuySell,AM111,AO111),AN111))^2*15/365.25/BT111),IF(OVolOverMonthlyPeak,OVolOverMonthlyPeak,IF(OVolCurve,IF(OBuySell,AA111,AC111),AB111))),"")</f>
        <v>#VALUE!</v>
      </c>
      <c r="CJ111" s="1587" t="e">
        <f aca="false">IF(BQ111,IF(BP111,SQRT(LN(1+((BU111*AZ111)^2*(EXP(CG111^2*BT111)-1)+(BV111*BA111)^2*(EXP(CH111^2*BT111)-1)+(BW111*BB111)^2*(EXP(CI111^2*BT111)-1)+2*BU111*AZ111*BV111*BA111*(EXP(CG111*CH111*BT111)-1)+2*BV111*BA111*BW111*BB111*(EXP(CH111*CI111*BT111)-1)+2*BW111*BB111*BU111*AZ111*(EXP(CI111*CG111*BT111)-1))/(BY111*BP111)^2)/BT111),0),"")</f>
        <v>#VALUE!</v>
      </c>
      <c r="CK111" s="1587" t="e">
        <f aca="false">IF(BS111,IF(BR111,SQRT(LN(1+((CA111*BH111)^2*(EXP(CG111^2*BT111)-1)+(CB111*BI111)^2*(EXP(CH111^2*BT111)-1)+(CC111*BJ111)^2*(EXP(CI111^2*BT111)-1)+2*CA111*BH111*CB111*BI111*(EXP(CG111*CH111*BT111)-1)+2*CB111*BI111*CC111*BJ111*(EXP(CH111*CI111*BT111)-1)+2*CC111*BJ111*CA111*BH111*(EXP(CI111*CG111*BT111)-1))/(CE111*BR111)^2)/BT111),0),"")</f>
        <v>#VALUE!</v>
      </c>
      <c r="CL111" s="1587" t="e">
        <f aca="false">IF(OR(BQ111,BS111),IF(OVolType&lt;&gt;2,SQRT(IF(OVolOverMonthlyOffPeak,OVolOverMonthlyOffPeak,IF(OVolCurve,IF(OBuySell,AD111,AF111),AE111))^2*(1-15/365.25/BT111)+IF(OVolOverDailyOffPeak,OVolOverDailyOffPeak,IF(OVolCurve,IF(OBuySell,AP111,AR111),AQ111))^2*15/365.25/BT111),IF(OVolOverMonthlyOffPeak,OVolOverMonthlyOffPeak,IF(OVolCurve,IF(OBuySell,AD111,AF111),AE111))),"")</f>
        <v>#VALUE!</v>
      </c>
      <c r="CM111" s="1587" t="e">
        <f aca="false">IF(BQ111,SQRT(LN(1+((BY111*BP111)^2*(EXP(CJ111^2*BT111)-1)+(BX111*BC111)^2*(EXP(CL111^2*BT111)-1)+2*BY111*BP111*BX111*BC111*(EXP(AS111*CJ111*CL111*BT111)-1))/(BY111*BP111+BX111*BC111)^2)/BT111),"")</f>
        <v>#VALUE!</v>
      </c>
      <c r="CN111" s="1588" t="e">
        <f aca="false">IF(BS111,SQRT(LN(1+((CE111*BR111)^2*(EXP(CK111^2*BT111)-1)+(CD111*BK111)^2*(EXP(CL111^2*BT111)-1)+2*CE111*BR111*CD111*BK111*(EXP(AS111*CK111*CL111*BT111)-1))/(CE111*BR111+CD111*BK111)^2)/BT111),"")</f>
        <v>#VALUE!</v>
      </c>
      <c r="CO111" s="1531" t="e">
        <f aca="false">IF(OR(BQ111,BS111),VLOOKUP(A111,GasTable,13)*HeatRatePeak*(1+VLOOKUP($B111,HeatRateDegradation,$C111+1))/1000,0)</f>
        <v>#VALUE!</v>
      </c>
      <c r="CP111" s="1316" t="e">
        <f aca="false">IF(OR(BQ111,BS111),VLOOKUP(A111,GasTable,13)*HeatRatePeak*(1+VLOOKUP($B111,HeatRateDegradation,$C111+1))/1000,0)</f>
        <v>#VALUE!</v>
      </c>
      <c r="CQ111" s="1316" t="e">
        <f aca="false">IF(OR(BQ111,BS111),VLOOKUP(A111,GasTable,13)*IF(EV111,HeatRatePeak,HeatRateOffPeak)*(1+VLOOKUP($B111,HeatRateDegradation,$C111+1))/1000,0)</f>
        <v>#VALUE!</v>
      </c>
      <c r="CR111" s="1316" t="e">
        <f aca="false">IF(OR(BQ111,BS111),VLOOKUP(A111,GasTable,13)*IF(EW111,HeatRatePeak,HeatRateOffPeak)*(1+VLOOKUP($B111,HeatRateDegradation,$C111+1))/1000,0)</f>
        <v>#VALUE!</v>
      </c>
      <c r="CS111" s="1589" t="e">
        <f aca="false">IF(BQ111,(CO111*AZ111+CP111*BA111+CQ111*BB111+CR111*BC111)/BQ111,0)</f>
        <v>#VALUE!</v>
      </c>
      <c r="CT111" s="1316" t="e">
        <f aca="false">IF(BS111,CO111,0)</f>
        <v>#VALUE!</v>
      </c>
      <c r="CU111" s="1590" t="e">
        <f aca="false">IF(OR(BQ111,BS111),VLOOKUP(A111,GasTable,14),"")</f>
        <v>#VALUE!</v>
      </c>
      <c r="CV111" s="1568" t="e">
        <f aca="false">IF(OR(BQ111,BS111),IF(CorrPowerGasOverFlag,INDEX(CorrPowerGasOver,C111),CorrPowerGas),"")</f>
        <v>#VALUE!</v>
      </c>
      <c r="CW111" s="1316" t="e">
        <f aca="false">IF(OR($BQ111,$BS111),SpreadOptPowerMargin,0)*((1+Assumptions!$C$26)^($B111-YEAR(Assumptions!$C$17)))</f>
        <v>#VALUE!</v>
      </c>
      <c r="CX111" s="1316" t="e">
        <f aca="false">IF(OR($BQ111,$BS111),SpreadOptPowerMargin,0)*((1+Assumptions!$C$26)^($B111-YEAR(Assumptions!$C$17)))</f>
        <v>#VALUE!</v>
      </c>
      <c r="CY111" s="1316" t="e">
        <f aca="false">IF(OR($BQ111,$BS111),SpreadOptPowerMargin,0)*((1+Assumptions!$C$26)^($B111-YEAR(Assumptions!$C$17)))</f>
        <v>#VALUE!</v>
      </c>
      <c r="CZ111" s="1316" t="e">
        <f aca="false">IF(OR($BQ111,$BS111),SpreadOptPowerMargin,0)*((1+Assumptions!$C$26)^($B111-YEAR(Assumptions!$C$17)))</f>
        <v>#VALUE!</v>
      </c>
      <c r="DA111" s="1591" t="e">
        <f aca="false">IF(OR(BQ111,BS111),(CW111*(AZ111+BH111)+CX111*(BA111+BI111)+CY111*(BB111+BJ111)+CZ111*(BC111+BK111))/(BQ111+BS111),0)</f>
        <v>#VALUE!</v>
      </c>
      <c r="DB111" s="1592" t="e">
        <f aca="false">IF(OR(BQ111,BS111),CG111+IF(OVolSmile,VLOOKUP(MAX(-5,CO111+CW111-BU111),IF(OVolSmile=1,VolSmileBook,VolSmileModel),2),0),"")</f>
        <v>#VALUE!</v>
      </c>
      <c r="DC111" s="1592" t="e">
        <f aca="false">IF(OR(BQ111,BS111),CH111+IF(OVolSmile,VLOOKUP(MAX(-5,CP111+CW111-BV111),IF(OVolSmile=1,VolSmileBook,VolSmileModel),2),0),"")</f>
        <v>#VALUE!</v>
      </c>
      <c r="DD111" s="1592" t="e">
        <f aca="false">IF(OR(BQ111,BS111),CI111+IF(OVolSmile,VLOOKUP(MAX(-5,CQ111+CW111-BW111),IF(OVolSmile=1,VolSmileBook,VolSmileModel),2),0),"")</f>
        <v>#VALUE!</v>
      </c>
      <c r="DE111" s="1592" t="e">
        <f aca="false">IF(OR(BQ111,BS111),CL111+IF(OVolSmile,VLOOKUP(MAX(-5,CR111+CZ111-BX111),IF(OVolSmile=1,VolSmileBook,VolSmileModel),2),0),"")</f>
        <v>#VALUE!</v>
      </c>
      <c r="DF111" s="1592" t="e">
        <f aca="false">IF(BQ111,CM111+IF(OVolSmile,VLOOKUP(MAX(-5,CS111+DA111-BZ111),IF(OVolSmile=1,VolSmileBook,VolSmileModel),2),0),"")</f>
        <v>#VALUE!</v>
      </c>
      <c r="DG111" s="1593" t="e">
        <f aca="false">IF(BS111,CN111+IF(OVolSmile,VLOOKUP(MAX(-5,CT111+DA111-CF111),IF(OVolSmile=1,VolSmileBook,VolSmileModel),2),0),"")</f>
        <v>#VALUE!</v>
      </c>
      <c r="DH111" s="1316" t="e">
        <f aca="false">IF(AND(BU111&gt;0,CO111&gt;0,DB111&gt;0,CU111&gt;0),newSPRDOPT(BU111,CO111,CW111,0,DB111,CU111,CV111,BT111*365.25,OCallPut,0),0)</f>
        <v>#VALUE!</v>
      </c>
      <c r="DI111" s="1316" t="e">
        <f aca="false">IF(AND(BV111&gt;0,CP111&gt;0,DC111&gt;0,CU111&gt;0),newSPRDOPT(BV111,CP111,CX111,0,DC111,CU111,CV111,BT111*365.25,OCallPut,0),0)</f>
        <v>#VALUE!</v>
      </c>
      <c r="DJ111" s="1316" t="e">
        <f aca="false">IF(AND(BW111&gt;0,CQ111&gt;0,DD111&gt;0,CU111&gt;0),newSPRDOPT(BW111,CQ111,CY111,0,DD111,CU111,CV111,BT111*365.25,OCallPut,0),0)</f>
        <v>#VALUE!</v>
      </c>
      <c r="DK111" s="1316" t="e">
        <f aca="false">IF(AND(BX111&gt;0,CR111&gt;0,DE111&gt;0,CU111&gt;0),newSPRDOPT(BX111,CR111,CZ111,0,DE111,CU111,CV111,BT111*365.25,OCallPut,0),0)</f>
        <v>#VALUE!</v>
      </c>
      <c r="DL111" s="1316" t="e">
        <f aca="false">IF(OVolType,IF(AND(BZ111&gt;0,CS111&gt;0,DF111&gt;0,CU111&gt;0),newSPRDOPT(BZ111,CS111,DA111,0,DF111,CU111,CV111,BT111*365.25,OCallPut,0),0),IF(BQ111,(DH111*AZ111+DI111*BA111+DJ111*BB111+DK111*BC111)/BQ111,0))</f>
        <v>#VALUE!</v>
      </c>
      <c r="DM111" s="1316"/>
      <c r="DN111" s="1316"/>
      <c r="DO111" s="1316"/>
      <c r="DP111" s="1316"/>
      <c r="DQ111" s="1316"/>
      <c r="DR111" s="1316"/>
      <c r="DS111" s="1316"/>
      <c r="DT111" s="1316"/>
      <c r="DU111" s="1316"/>
      <c r="DV111" s="1316"/>
      <c r="DW111" s="1594" t="e">
        <f aca="false">IF(AND(BW111&gt;0,CT111&gt;0,DD111&gt;0,CU111&gt;0),newSPRDOPT(BW111,CT111,CY111,0,DD111,CU111,CV111,BT111*365.25,OCallPut,0),0)</f>
        <v>#VALUE!</v>
      </c>
      <c r="DX111" s="1316" t="e">
        <f aca="false">IF(AND(BX111&gt;0,CT111&gt;0,DE111&gt;0,CU111&gt;0),newSPRDOPT(BX111,CT111,CZ111,0,DE111,CU111,CV111,BT111*365.25,OCallPut,0),0)</f>
        <v>#VALUE!</v>
      </c>
      <c r="DY111" s="1591" t="e">
        <f aca="false">IF(BS111,(DH111*BH111+DI111*BI111+DW111*BJ111+DX111*BK111)/BS111,0)</f>
        <v>#VALUE!</v>
      </c>
      <c r="DZ111" s="1551" t="e">
        <f aca="false">DH111*AZ111</f>
        <v>#VALUE!</v>
      </c>
      <c r="EA111" s="1551" t="e">
        <f aca="false">DI111*BA111</f>
        <v>#VALUE!</v>
      </c>
      <c r="EB111" s="1551" t="e">
        <f aca="false">DJ111*BB111</f>
        <v>#VALUE!</v>
      </c>
      <c r="EC111" s="1551" t="e">
        <f aca="false">DK111*BC111</f>
        <v>#VALUE!</v>
      </c>
      <c r="ED111" s="1551" t="e">
        <f aca="false">DL111*BQ111</f>
        <v>#VALUE!</v>
      </c>
      <c r="EE111" s="1595" t="e">
        <f aca="false">IF(BQ111,IF(OCallPut,IF(BU111&gt;(CO111+CW111),BU111-(CO111+CW111),0),IF((CO111+CW111)&gt;BU111,(CO111+CW111)-BU111,0))*AZ111,0)</f>
        <v>#VALUE!</v>
      </c>
      <c r="EF111" s="1596" t="e">
        <f aca="false">IF(BQ111,IF(OCallPut,IF(BV111&gt;(CP111+CX111),BV111-(CP111+CX111),0),IF((CP111+CX111)&gt;BV111,(CP111+CX111)-BV111,0))*BA111,0)</f>
        <v>#VALUE!</v>
      </c>
      <c r="EG111" s="1596" t="e">
        <f aca="false">IF(BQ111,IF(OCallPut,IF(BW111&gt;(CQ111+CY111),BW111-(CQ111+CY111),0),IF((CQ111+CY111)&gt;BW111,(CQ111+CY111)-BW111,0))*BB111,0)</f>
        <v>#VALUE!</v>
      </c>
      <c r="EH111" s="1596" t="e">
        <f aca="false">IF(BQ111,IF(OCallPut,IF(BX111&gt;(CR111+CZ111),BX111-(CR111+CZ111),0),IF((CR111+CZ111)&gt;BX111,(CR111+CZ111)-BX111,0))*BC111,0)</f>
        <v>#VALUE!</v>
      </c>
      <c r="EI111" s="1597" t="e">
        <f aca="false">IF(BQ111,IF(OVolType,IF(OCallPut,IF(BZ111&gt;(CS111+DA111),BZ111-(CS111+DA111),0),IF((CS111+DA111)&gt;BZ111,(CS111+DA111)-BZ111,0))*BQ111,SUM(EE111:EH111)),0)</f>
        <v>#VALUE!</v>
      </c>
      <c r="EJ111" s="1595" t="e">
        <f aca="false">DZ111-EE111</f>
        <v>#VALUE!</v>
      </c>
      <c r="EK111" s="1596" t="e">
        <f aca="false">EA111-EF111</f>
        <v>#VALUE!</v>
      </c>
      <c r="EL111" s="1596" t="e">
        <f aca="false">EB111-EG111</f>
        <v>#VALUE!</v>
      </c>
      <c r="EM111" s="1596" t="e">
        <f aca="false">EC111-EH111</f>
        <v>#VALUE!</v>
      </c>
      <c r="EN111" s="1597" t="e">
        <f aca="false">ED111-EI111</f>
        <v>#VALUE!</v>
      </c>
      <c r="EO111" s="1551" t="e">
        <f aca="false">DH111*BH111</f>
        <v>#VALUE!</v>
      </c>
      <c r="EP111" s="1551" t="e">
        <f aca="false">DI111*BI111</f>
        <v>#VALUE!</v>
      </c>
      <c r="EQ111" s="1551" t="e">
        <f aca="false">DW111*BJ111</f>
        <v>#VALUE!</v>
      </c>
      <c r="ER111" s="1551" t="e">
        <f aca="false">DX111*BK111</f>
        <v>#VALUE!</v>
      </c>
      <c r="ES111" s="1551" t="e">
        <f aca="false">DY111*BS111</f>
        <v>#VALUE!</v>
      </c>
      <c r="ET111" s="1566" t="e">
        <f aca="false">IF(EI111,IF(OCallPut,IF(CA111&gt;(CT111+CW111),CA111-(CT111+CW111),0),IF((CT111+CW111)&gt;CA111,(CT111+CW111)-CA111,0))*BH111,0)</f>
        <v>#VALUE!</v>
      </c>
      <c r="EU111" s="1551" t="e">
        <f aca="false">IF(EI111,IF(OCallPut,IF(CB111&gt;(CT111+CX111),CB111-(CT111+CX111),0),IF((CT111+CX111)&gt;CB111,(CT111+CX111)-CB111,0))*BI111,0)</f>
        <v>#VALUE!</v>
      </c>
      <c r="EV111" s="1551" t="e">
        <f aca="false">IF(EI111,IF(OCallPut,IF(CC111&gt;(CT111+CY111),CC111-(CT111+CY111),0),IF((CT111+CY111)&gt;CC111,(CT111+CY111)-CC111,0))*BJ111,0)</f>
        <v>#VALUE!</v>
      </c>
      <c r="EW111" s="1551" t="e">
        <f aca="false">IF(EI111,IF(OCallPut,IF(CD111&gt;(CT111+CZ111),CD111-(CT111+CZ111),0),IF((CT111+CZ111)&gt;CD111,(CT111+CZ111)-CD111,0))*BK111,0)</f>
        <v>#VALUE!</v>
      </c>
      <c r="EX111" s="1558" t="e">
        <f aca="false">IF(EI111,SUM(ET111:EW111),0)</f>
        <v>#VALUE!</v>
      </c>
      <c r="EY111" s="1551" t="e">
        <f aca="false">EO111-ET111</f>
        <v>#VALUE!</v>
      </c>
      <c r="EZ111" s="1551" t="e">
        <f aca="false">EP111-EU111</f>
        <v>#VALUE!</v>
      </c>
      <c r="FA111" s="1551" t="e">
        <f aca="false">EQ111-EV111</f>
        <v>#VALUE!</v>
      </c>
      <c r="FB111" s="1551" t="e">
        <f aca="false">ER111-EW111</f>
        <v>#VALUE!</v>
      </c>
      <c r="FC111" s="1551" t="e">
        <f aca="false">ES111-EX111</f>
        <v>#VALUE!</v>
      </c>
      <c r="FD111" s="1525" t="n">
        <f aca="false">IF(AX111,IF(VLOOKUP(C111,MAIN!$L$17:$M$28,2)="Yes",VLOOKUP(CALC!B111,MAIN!$H$17:$I$20,2),0),0)</f>
        <v>0</v>
      </c>
      <c r="FE111" s="1552" t="e">
        <f aca="false">$FD111*16*AT111*(1-$AY111)</f>
        <v>#VALUE!</v>
      </c>
      <c r="FF111" s="1553" t="e">
        <f aca="false">$FD111*16*AU111*(1-$AY111)</f>
        <v>#VALUE!</v>
      </c>
      <c r="FG111" s="1553" t="e">
        <f aca="false">$FD111*16*(AV111+AW111)*(1-$AY111)</f>
        <v>#VALUE!</v>
      </c>
      <c r="FH111" s="1554" t="n">
        <f aca="false">$FD111*8*AX111*(1-$AY111)</f>
        <v>0</v>
      </c>
      <c r="FI111" s="1555" t="n">
        <f aca="false">IF(AX111,VLOOKUP(CALC!B111,MAIN!$H$17:$K$20,4),0)</f>
        <v>0</v>
      </c>
      <c r="FJ111" s="1553" t="e">
        <f aca="false">SUM(FE111:FH111)</f>
        <v>#VALUE!</v>
      </c>
      <c r="FK111" s="1556" t="e">
        <f aca="false">FI111*FJ111</f>
        <v>#VALUE!</v>
      </c>
      <c r="FL111" s="1551" t="e">
        <f aca="false">IF($EI111&gt;0,MIN(FE111,AZ111*(1+VLOOKUP($C111,WeatherCapacityAdjustment,2))),0)</f>
        <v>#VALUE!</v>
      </c>
      <c r="FM111" s="1551" t="e">
        <f aca="false">IF($EI111&gt;0,MIN(FF111,BA111*(1+VLOOKUP($C111,WeatherCapacityAdjustment,2))),0)</f>
        <v>#VALUE!</v>
      </c>
      <c r="FN111" s="1551" t="e">
        <f aca="false">IF($EI111&gt;0,MIN(FG111,BB111*(1+VLOOKUP($C111,WeatherCapacityAdjustment,2))),0)</f>
        <v>#VALUE!</v>
      </c>
      <c r="FO111" s="1564" t="e">
        <f aca="false">IF($EI111&gt;0,MIN(FH111,BC111*(1+VLOOKUP($C111,WeatherCapacityAdjustment,3))),0)</f>
        <v>#VALUE!</v>
      </c>
      <c r="FP111" s="1551" t="e">
        <f aca="false">IF(ET111&gt;0,MIN(FE111-FL111,BH111*(1+VLOOKUP($C111,WeatherCapacityAdjustment,2))),0)</f>
        <v>#VALUE!</v>
      </c>
      <c r="FQ111" s="1551" t="e">
        <f aca="false">IF(EU111&gt;0,MIN(FF111-FM111,BI111*(1+VLOOKUP($C111,WeatherCapacityAdjustment,2))),0)</f>
        <v>#VALUE!</v>
      </c>
      <c r="FR111" s="1551" t="e">
        <f aca="false">IF(EV111&gt;0,MIN(FG111-FN111,BJ111*(1+VLOOKUP($C111,WeatherCapacityAdjustment,2))),0)</f>
        <v>#VALUE!</v>
      </c>
      <c r="FS111" s="1558" t="e">
        <f aca="false">IF(EW111&gt;0,MIN(FH111-FO111,BK111*(1+VLOOKUP($C111,WeatherCapacityAdjustment,3))),0)</f>
        <v>#VALUE!</v>
      </c>
      <c r="FT111" s="1566" t="e">
        <f aca="false">IF(AND(Assumptions!$H$71="Yes",A111&gt;=Assumptions!$H$72,A111&lt;=Assumptions!$H$73),0,IF(AND($A111&gt;=Assumptions!$C$17,$A111&lt;=Assumptions!$C$18),MAX(AZ111*(1+VLOOKUP($C111,WeatherCapacityAdjustment,2))-FL111,0),0))</f>
        <v>#VALUE!</v>
      </c>
      <c r="FU111" s="1551" t="e">
        <f aca="false">IF(AND(Assumptions!$H$71="Yes",A111&gt;=Assumptions!$H$72,A111&lt;=Assumptions!$H$73),0,IF(AND($A111&gt;=Assumptions!$C$17,$A111&lt;=Assumptions!$C$18),MAX(BA111*(1+VLOOKUP($C111,WeatherCapacityAdjustment,2))-FM111,0),0))</f>
        <v>#VALUE!</v>
      </c>
      <c r="FV111" s="1551" t="e">
        <f aca="false">IF(AND(Assumptions!$H$71="Yes",A111&gt;=Assumptions!$H$72,A111&lt;=Assumptions!$H$73),0,IF(AND($A111&gt;=Assumptions!$C$17,$A111&lt;=Assumptions!$C$18),MAX(BB111*(1+VLOOKUP($C111,WeatherCapacityAdjustment,2))-FN111,0),0))</f>
        <v>#VALUE!</v>
      </c>
      <c r="FW111" s="1564" t="e">
        <f aca="false">IF(AND(Assumptions!$H$71="Yes",A111&gt;=Assumptions!$H$72,A111&lt;=Assumptions!$H$73),0,IF(AND($A111&gt;=Assumptions!$C$17,$A111&lt;=Assumptions!$C$18),MAX(BC111*(1+VLOOKUP($C111,WeatherCapacityAdjustment,3))-FO111,0),0))</f>
        <v>#VALUE!</v>
      </c>
      <c r="FX111" s="1569" t="e">
        <f aca="false">IF(AND(Assumptions!$H$71="Yes",A111&gt;=Assumptions!$H$72,A111&lt;=Assumptions!$H$73),0,IF(ET111&gt;0,MAX(BH111*(1+VLOOKUP($C111,WeatherCapacityAdjustment,2))-FP111,0),0))</f>
        <v>#VALUE!</v>
      </c>
      <c r="FY111" s="1551" t="e">
        <f aca="false">IF(AND(Assumptions!$H$71="Yes",A111&gt;=Assumptions!$H$72,A111&lt;=Assumptions!$H$73),0,IF(EU111&gt;0,MAX(BI111*(1+VLOOKUP($C111,WeatherCapacityAdjustment,3))-FQ111,0),0))</f>
        <v>#VALUE!</v>
      </c>
      <c r="FZ111" s="1551" t="e">
        <f aca="false">IF(AND(Assumptions!$H$71="Yes",A111&gt;=Assumptions!$H$72,A111&lt;=Assumptions!$H$73),0,IF(EV111&gt;0,MAX(BJ111*(1+VLOOKUP($C111,WeatherCapacityAdjustment,2))-FR111,0),0))</f>
        <v>#VALUE!</v>
      </c>
      <c r="GA111" s="1564" t="e">
        <f aca="false">IF(AND(Assumptions!$H$71="Yes",A111&gt;=Assumptions!$H$72,A111&lt;=Assumptions!$H$73),0,IF(EW111&gt;0,MAX(BK111*(1+VLOOKUP($C111,WeatherCapacityAdjustment,2))-FS111,0),0))</f>
        <v>#VALUE!</v>
      </c>
      <c r="GB111" s="1551" t="e">
        <f aca="false">SUM(FT111:GA111)</f>
        <v>#VALUE!</v>
      </c>
      <c r="GC111" s="1563" t="e">
        <f aca="false">+IF(SUM(FT111:GA111)=0,0,(SUMPRODUCT(BU111:BX111,FT111:FW111)+SUMPRODUCT(CA111:CD111,FX111:GA111))/SUM(FT111:GA111))</f>
        <v>#VALUE!</v>
      </c>
      <c r="GD111" s="1551" t="e">
        <f aca="false">(FT111*BU111+FX111*CA111+FU111*BV111+FY111*CB111+FV111*BW111+FZ111*CC111+FW111*BX111+GA111*CD111)</f>
        <v>#VALUE!</v>
      </c>
      <c r="GE111" s="1561" t="e">
        <f aca="false">+IF(BQ111,((FL111+FM111+FT111+FU111)*HeatRatePeak/1000*(1+VLOOKUP($C111,WeatherHeatRateAdjustment,2))+(FN111+FV111)*IF(EV111&gt;0,HeatRatePeak,HeatRateOffPeak)/1000*(1+VLOOKUP($C111,WeatherHeatRateAdjustment,2))+(FO111+FW111)*IF(EW111&gt;0,HeatRatePeak,HeatRateOffPeak)/1000*(1+VLOOKUP($C111,WeatherHeatRateAdjustment,3)))*(1+VLOOKUP($B111,HeatRateDegradation,$C111+1)),0)</f>
        <v>#VALUE!</v>
      </c>
      <c r="GF111" s="1562" t="e">
        <f aca="false">IF(BQ111,((FP111+FQ111+FR111+FX111+FY111+FZ111)*HeatRatePeak/1000*(1+VLOOKUP($C111,WeatherHeatRateAdjustment,2))+(FS111+GA111)*HeatRatePeak/1000*(1+VLOOKUP($C111,WeatherHeatRateAdjustment,3)))*(1+VLOOKUP($B111,HeatRateDegradation,$C111+1)),0)</f>
        <v>#VALUE!</v>
      </c>
      <c r="GG111" s="1563" t="e">
        <f aca="false">IF(BQ111,VLOOKUP(A111,GasTable,13),0)</f>
        <v>#VALUE!</v>
      </c>
      <c r="GH111" s="1564" t="e">
        <f aca="false">(GE111+GF111)*GG111</f>
        <v>#VALUE!</v>
      </c>
      <c r="GI111" s="1569" t="e">
        <f aca="false">GB111</f>
        <v>#VALUE!</v>
      </c>
      <c r="GJ111" s="1598" t="e">
        <f aca="false">+DA111</f>
        <v>#VALUE!</v>
      </c>
      <c r="GK111" s="1558" t="e">
        <f aca="false">+GI111*GJ111</f>
        <v>#VALUE!</v>
      </c>
      <c r="GL111" s="1566" t="e">
        <f aca="false">MAX(FE111-FL111-FP111,0)</f>
        <v>#VALUE!</v>
      </c>
      <c r="GM111" s="1551" t="e">
        <f aca="false">MAX(FF111-FM111-FQ111,0)</f>
        <v>#VALUE!</v>
      </c>
      <c r="GN111" s="1551" t="e">
        <f aca="false">MAX(FG111-FN111-FR111,0)</f>
        <v>#VALUE!</v>
      </c>
      <c r="GO111" s="1564" t="e">
        <f aca="false">MAX(FH111-FO111-FS111,0)</f>
        <v>#VALUE!</v>
      </c>
      <c r="GP111" s="1551" t="e">
        <f aca="false">SUM(GL111:GO111)</f>
        <v>#VALUE!</v>
      </c>
      <c r="GQ111" s="1563" t="e">
        <f aca="false">IF(SUM(GL111:GO111)=0,0,((GL111*BU111+GM111*BV111+GN111*BW111+GO111*BX111)/SUM(GL111:GO111)))</f>
        <v>#VALUE!</v>
      </c>
      <c r="GR111" s="1558" t="e">
        <f aca="false">(GL111*BU111+GM111*BV111+GN111*BW111+GO111*BX111)</f>
        <v>#VALUE!</v>
      </c>
      <c r="GS111" s="1566" t="n">
        <f aca="false">IF($A111&gt;=BegDate,Assumptions!$C$56*24*($A112-$A111)*(1-VLOOKUP($B111,MAIN!$AA$7:$AM$28,$C111+1))*(1-VLOOKUP($B111,MAIN!$AA$33:$AM$54,$C111+1)),0)*80/168</f>
        <v>257742.857142857</v>
      </c>
      <c r="GT111" s="286" t="n">
        <f aca="false">J111</f>
        <v>36.592328459958</v>
      </c>
      <c r="GU111" s="286" t="n">
        <f aca="false">IF($A111&gt;=BegDate,VLOOKUP($A111,GasTable,13)+Assumptions!$C$58,0)</f>
        <v>2.68609846220214</v>
      </c>
      <c r="GV111" s="286" t="n">
        <f aca="false">GU111*Assumptions!$C$57/1000</f>
        <v>19.4742138509655</v>
      </c>
      <c r="GW111" s="1558" t="n">
        <f aca="false">IF(Assumptions!$C$60="Hourly",MAX(0,GS111*(GT111-GV111)),GS111*(GT111-GV111))</f>
        <v>4412071.7682206</v>
      </c>
      <c r="GX111" s="1566" t="n">
        <f aca="false">IF($A111&gt;=BegDate,Assumptions!$C$56*24*($A112-$A111)*(1-VLOOKUP($B111,MAIN!$AA$7:$AM$28,$C111+1))*(1-VLOOKUP($B111,MAIN!$AA$33:$AM$54,$C111+1)),0)*16/168</f>
        <v>51548.5714285714</v>
      </c>
      <c r="GY111" s="286" t="n">
        <f aca="false">M111</f>
        <v>36.592328459958</v>
      </c>
      <c r="GZ111" s="286" t="n">
        <f aca="false">IF($A111&gt;=BegDate,VLOOKUP($A111,GasTable,13)+Assumptions!$C$58,0)</f>
        <v>2.68609846220214</v>
      </c>
      <c r="HA111" s="286" t="n">
        <f aca="false">GZ111*Assumptions!$C$57/1000</f>
        <v>19.4742138509655</v>
      </c>
      <c r="HB111" s="1558" t="n">
        <f aca="false">IF(Assumptions!$C$60="Hourly",MAX(0,GX111*(GY111-HA111)),GX111*(GY111-HA111))</f>
        <v>882414.35364412</v>
      </c>
      <c r="HC111" s="1566" t="n">
        <f aca="false">IF($A111&gt;=BegDate,Assumptions!$C$56*24*($A112-$A111)*(1-VLOOKUP($B111,MAIN!$AA$7:$AM$28,$C111+1))*(1-VLOOKUP($B111,MAIN!$AA$33:$AM$54,$C111+1)),0)*16/168</f>
        <v>51548.5714285714</v>
      </c>
      <c r="HD111" s="286" t="n">
        <f aca="false">P111</f>
        <v>23.314732856626</v>
      </c>
      <c r="HE111" s="286" t="n">
        <f aca="false">IF($A111&gt;=BegDate,VLOOKUP($A111,GasTable,13)+Assumptions!$C$58,0)</f>
        <v>2.68609846220214</v>
      </c>
      <c r="HF111" s="286" t="n">
        <f aca="false">HE111*Assumptions!$C$57/1000</f>
        <v>19.4742138509655</v>
      </c>
      <c r="HG111" s="1558" t="n">
        <f aca="false">IF(Assumptions!$C$60="Hourly",MAX(0,HC111*(HD111-HF111)),HC111*(HD111-HF111))</f>
        <v>197973.268286076</v>
      </c>
      <c r="HH111" s="1566" t="n">
        <f aca="false">IF($A111&gt;=BegDate,Assumptions!$C$56*24*($A112-$A111)*(1-VLOOKUP($B111,MAIN!$AA$7:$AM$28,$C111+1))*(1-VLOOKUP($B111,MAIN!$AA$33:$AM$54,$C111+1)),0)*56/168</f>
        <v>180420</v>
      </c>
      <c r="HI111" s="286" t="n">
        <f aca="false">S111</f>
        <v>23.314732856626</v>
      </c>
      <c r="HJ111" s="286" t="n">
        <f aca="false">IF($A111&gt;=BegDate,VLOOKUP($A111,GasTable,13)+Assumptions!$C$58,0)</f>
        <v>2.68609846220214</v>
      </c>
      <c r="HK111" s="286" t="n">
        <f aca="false">HJ111*Assumptions!$C$57/1000</f>
        <v>19.4742138509655</v>
      </c>
      <c r="HL111" s="1558" t="n">
        <f aca="false">IF(Assumptions!$C$60="Hourly",MAX(0,HH111*(HI111-HK111)),HH111*(HI111-HK111))</f>
        <v>692906.439001266</v>
      </c>
      <c r="HM111" s="1566" t="n">
        <f aca="false">IF(AND(Assumptions!$H$71="Yes",A111&gt;=Assumptions!$H$72,A111&lt;=Assumptions!$H$73),Assumptions!$H$74*Assumptions!$C$9*1000,0)</f>
        <v>0</v>
      </c>
      <c r="HN111" s="1551"/>
      <c r="HO111" s="1563"/>
      <c r="HP111" s="1563"/>
      <c r="HQ111" s="1563"/>
      <c r="HR111" s="1563"/>
      <c r="HS111" s="1563"/>
      <c r="HT111" s="1563"/>
      <c r="HU111" s="1563"/>
      <c r="HV111" s="1563"/>
      <c r="HW111" s="1563"/>
      <c r="HX111" s="1563"/>
      <c r="HY111" s="1563"/>
      <c r="HZ111" s="1563"/>
      <c r="IA111" s="1563"/>
      <c r="IB111" s="1563"/>
      <c r="IC111" s="1563"/>
      <c r="ID111" s="1563"/>
      <c r="IE111" s="1563"/>
      <c r="IF111" s="1563"/>
      <c r="IG111" s="1563"/>
      <c r="IH111" s="1563"/>
      <c r="II111" s="1610"/>
      <c r="IJ111" s="1309"/>
      <c r="IK111" s="1309"/>
    </row>
    <row r="112" customFormat="false" ht="12.75" hidden="false" customHeight="false" outlineLevel="0" collapsed="false">
      <c r="A112" s="1571" t="n">
        <f aca="false">EOMONTH(A111,0)+1</f>
        <v>39539</v>
      </c>
      <c r="B112" s="594" t="n">
        <f aca="false">+YEAR(A112)</f>
        <v>2008</v>
      </c>
      <c r="C112" s="238" t="n">
        <f aca="false">MONTH(A112)</f>
        <v>4</v>
      </c>
      <c r="D112" s="1572" t="e">
        <f aca="false">IF(E112="","",Holiday(B112,C112))</f>
        <v>#VALUE!</v>
      </c>
      <c r="E112" s="1573" t="n">
        <f aca="false">IF(OR(BegDate&gt;=A113,EndDate&lt;A112,AND(VolumeMonthlyOverFlag,INDEX(VolumeMonthlyOver,C112)=0),NOT(INDEX(MonthKnockOutTable,C112))),"",MAX(A112,BegDate))</f>
        <v>39539</v>
      </c>
      <c r="F112" s="1574" t="n">
        <f aca="false">IF(E112="","",MIN(A113-1,EndDate))</f>
        <v>39568</v>
      </c>
      <c r="G112" s="1575" t="n">
        <v>0</v>
      </c>
      <c r="H112" s="1576" t="n">
        <f aca="false">(1+G112/2)^(-2*(DATE(B113,C113,20)-DateToday)/365.25)</f>
        <v>1</v>
      </c>
      <c r="I112" s="1568" t="n">
        <f aca="false">IF(Assumptions!$L$25=4,VLOOKUP($A112,'Henwood Reference'!$E$9:$R$320,10),(VLOOKUP($A112,PriceTable,2,0)+IF(BasisNumber&lt;&gt;1,VLOOKUP($A112,BasisTable,2,0),0)+I$1)/(1-I$2))</f>
        <v>35.212933870704</v>
      </c>
      <c r="J112" s="1568" t="n">
        <f aca="false">IF(Assumptions!$L$25=4,VLOOKUP($A112,'Henwood Reference'!$E$9:$R$320,10),(VLOOKUP($A112,PriceTable,3,0)+IF(BasisNumber&lt;&gt;1,VLOOKUP($A112,BasisTable,2,0),0)+J$1)/(1-J$2))</f>
        <v>35.212933870704</v>
      </c>
      <c r="K112" s="1568" t="n">
        <f aca="false">IF(Assumptions!$L$25=4,VLOOKUP($A112,'Henwood Reference'!$E$9:$R$320,10),(VLOOKUP($A112,PriceTable,4,0)+IF(BasisNumber&lt;&gt;1,VLOOKUP($A112,BasisTable,2,0),0)+K$1)/(1-K$2))</f>
        <v>35.212933870704</v>
      </c>
      <c r="L112" s="1523" t="n">
        <f aca="false">IF(Assumptions!$L$25=4,VLOOKUP($A112,'Henwood Reference'!$E$9:$R$320,10),(VLOOKUP($A112,PriceTableWeekend,2,0)+IF(BasisNumber&lt;&gt;1,VLOOKUP($A112,BasisTable,2,0),0)+L$1)/(1-L$2))</f>
        <v>35.212933870704</v>
      </c>
      <c r="M112" s="1568" t="n">
        <f aca="false">IF(Assumptions!$L$25=4,VLOOKUP($A112,'Henwood Reference'!$E$9:$R$320,10),(VLOOKUP($A112,PriceTableWeekend,3,0)+IF(BasisNumber&lt;&gt;1,VLOOKUP($A112,BasisTable,2,0),0)+M$1)/(1-M$2))</f>
        <v>35.212933870704</v>
      </c>
      <c r="N112" s="1599" t="n">
        <f aca="false">IF(Assumptions!$L$25=4,VLOOKUP($A112,'Henwood Reference'!$E$9:$R$320,10),(VLOOKUP($A112,PriceTableWeekend,4,0)+IF(BasisNumber&lt;&gt;1,VLOOKUP($A112,BasisTable,2,0),0)+N$1)/(1-N$2))</f>
        <v>35.212933870704</v>
      </c>
      <c r="O112" s="1568" t="n">
        <f aca="false">IF(Assumptions!$L$25=4,VLOOKUP($A112,'Henwood Reference'!$E$9:$R$320,11),(VLOOKUP($A112,PriceTableWeekend,6,0)+IF(BasisNumber&lt;&gt;1,VLOOKUP($A112,BasisTable,3,0),0)+O$1)/(1-O$2))</f>
        <v>23.414089572135</v>
      </c>
      <c r="P112" s="1568" t="n">
        <f aca="false">IF(Assumptions!$L$25=4,VLOOKUP($A112,'Henwood Reference'!$E$9:$R$320,11),(VLOOKUP($A112,PriceTableWeekend,7,0)+IF(BasisNumber&lt;&gt;1,VLOOKUP($A112,BasisTable,3,0),0)+P$1)/(1-P$2))</f>
        <v>23.414089572135</v>
      </c>
      <c r="Q112" s="1599" t="n">
        <f aca="false">IF(Assumptions!$L$25=4,VLOOKUP($A112,'Henwood Reference'!$E$9:$R$320,11),(VLOOKUP($A112,PriceTableWeekend,8,0)+IF(BasisNumber&lt;&gt;1,VLOOKUP($A112,BasisTable,3,0),0)+Q$1)/(1-Q$2))</f>
        <v>23.414089572135</v>
      </c>
      <c r="R112" s="1568" t="n">
        <f aca="false">IF(Assumptions!$L$25=4,VLOOKUP($A112,'Henwood Reference'!$E$9:$R$320,11),(VLOOKUP($A112,PriceTable,6,0)+IF(BasisNumber&lt;&gt;1,VLOOKUP($A112,BasisTable,3,0),0)+R$1)/(1-R$2))</f>
        <v>23.414089572135</v>
      </c>
      <c r="S112" s="1568" t="n">
        <f aca="false">IF(Assumptions!$L$25=4,VLOOKUP($A112,'Henwood Reference'!$E$9:$R$320,11),(VLOOKUP($A112,PriceTable,7,0)+IF(BasisNumber&lt;&gt;1,VLOOKUP($A112,BasisTable,3,0),0)+S$1)/(1-S$2))</f>
        <v>23.414089572135</v>
      </c>
      <c r="T112" s="1600" t="n">
        <f aca="false">IF(Assumptions!$L$25=4,VLOOKUP($A112,'Henwood Reference'!$E$9:$R$320,11),(VLOOKUP($A112,PriceTable,8,0)+IF(BasisNumber&lt;&gt;1,VLOOKUP($A112,BasisTable,3,0),0)+T$1)/(1-T$2))</f>
        <v>23.414089572135</v>
      </c>
      <c r="U112" s="1513" t="n">
        <f aca="false">VLOOKUP($A112,VolatilityTable,14)</f>
        <v>0.13</v>
      </c>
      <c r="V112" s="1513" t="n">
        <f aca="false">VLOOKUP($A112,VolatilityTable,15)</f>
        <v>0.14</v>
      </c>
      <c r="W112" s="1514" t="n">
        <f aca="false">VLOOKUP($A112,VolatilityTable,16)</f>
        <v>0.15</v>
      </c>
      <c r="X112" s="1513" t="n">
        <f aca="false">VLOOKUP($A112,VolatilityTable,14)</f>
        <v>0.13</v>
      </c>
      <c r="Y112" s="1513" t="n">
        <f aca="false">VLOOKUP($A112,VolatilityTable,15)</f>
        <v>0.14</v>
      </c>
      <c r="Z112" s="1514" t="n">
        <f aca="false">VLOOKUP($A112,VolatilityTable,16)</f>
        <v>0.15</v>
      </c>
      <c r="AA112" s="1513" t="n">
        <f aca="false">VLOOKUP($A112,VolatilityTable,18)</f>
        <v>0.09</v>
      </c>
      <c r="AB112" s="1513" t="n">
        <f aca="false">VLOOKUP($A112,VolatilityTable,19)</f>
        <v>0.11</v>
      </c>
      <c r="AC112" s="1514" t="n">
        <f aca="false">VLOOKUP($A112,VolatilityTable,20)</f>
        <v>0.13</v>
      </c>
      <c r="AD112" s="1513" t="n">
        <f aca="false">VLOOKUP($A112,VolatilityTable,18)</f>
        <v>0.09</v>
      </c>
      <c r="AE112" s="1513" t="n">
        <f aca="false">VLOOKUP($A112,VolatilityTable,19)</f>
        <v>0.11</v>
      </c>
      <c r="AF112" s="1514" t="n">
        <f aca="false">VLOOKUP($A112,VolatilityTable,20)</f>
        <v>0.13</v>
      </c>
      <c r="AG112" s="1513" t="n">
        <f aca="false">VLOOKUP($A112,VolatilityTable,22)</f>
        <v>-0.1</v>
      </c>
      <c r="AH112" s="1513" t="n">
        <f aca="false">VLOOKUP($A112,VolatilityTable,23)</f>
        <v>0.65</v>
      </c>
      <c r="AI112" s="1514" t="n">
        <f aca="false">VLOOKUP($A112,VolatilityTable,24)</f>
        <v>0.1</v>
      </c>
      <c r="AJ112" s="1513" t="n">
        <f aca="false">VLOOKUP($A112,VolatilityTable,22)</f>
        <v>-0.1</v>
      </c>
      <c r="AK112" s="1513" t="n">
        <f aca="false">VLOOKUP($A112,VolatilityTable,23)</f>
        <v>0.65</v>
      </c>
      <c r="AL112" s="1514" t="n">
        <f aca="false">VLOOKUP($A112,VolatilityTable,24)</f>
        <v>0.1</v>
      </c>
      <c r="AM112" s="1513" t="n">
        <f aca="false">VLOOKUP($A112,VolatilityTable,26)</f>
        <v>-0.01</v>
      </c>
      <c r="AN112" s="1513" t="n">
        <f aca="false">VLOOKUP($A112,VolatilityTable,27)</f>
        <v>0.16</v>
      </c>
      <c r="AO112" s="1514" t="n">
        <f aca="false">VLOOKUP($A112,VolatilityTable,28)</f>
        <v>0.01</v>
      </c>
      <c r="AP112" s="1513" t="n">
        <f aca="false">VLOOKUP($A112,VolatilityTable,26)</f>
        <v>-0.01</v>
      </c>
      <c r="AQ112" s="1513" t="n">
        <f aca="false">VLOOKUP($A112,VolatilityTable,27)</f>
        <v>0.16</v>
      </c>
      <c r="AR112" s="1515" t="n">
        <f aca="false">VLOOKUP($A112,VolatilityTable,28)</f>
        <v>0.01</v>
      </c>
      <c r="AS112" s="1581" t="n">
        <f aca="false">IF(CorrPeakOffPeakOverFlag,INDEX(CorrPeakOffPeakOver,C112),CorrPeakOffPeak)</f>
        <v>0.5</v>
      </c>
      <c r="AT112" s="594" t="e">
        <f aca="false">AX112-SUM(AU112:AW112)</f>
        <v>#VALUE!</v>
      </c>
      <c r="AU112" s="238" t="e">
        <f aca="false">IF(E112="",0,INT((F112-MOD(F112,7)-E112)/7)+1-IF(AW112,IF(WEEKDAY(D112)=7,1,0),0))</f>
        <v>#VALUE!</v>
      </c>
      <c r="AV112" s="238" t="e">
        <f aca="false">IF(E112="",0,INT((F112-MOD(F112-1,7)-E112)/7)+1-IF(AW112,IF(WEEKDAY(D112)=1,1,0),0))</f>
        <v>#VALUE!</v>
      </c>
      <c r="AW112" s="238" t="e">
        <f aca="false">IF(OR(E112="",D112="",D112&lt;BegDate,D112&gt;EndDate),0,1)</f>
        <v>#VALUE!</v>
      </c>
      <c r="AX112" s="238" t="n">
        <f aca="false">IF(E112="",0,F112-E112+1)</f>
        <v>30</v>
      </c>
      <c r="AY112" s="1582" t="n">
        <f aca="false">IF(E112="",0,MIN((1-(1-VLOOKUP(B112,MAIN!$AA$7:$AM$28,C112+1))*(1-VLOOKUP(B112,MAIN!$AA$33:$AM$54,C112+1))),1))</f>
        <v>0.127</v>
      </c>
      <c r="AZ112" s="1519" t="e">
        <v>#VALUE!</v>
      </c>
      <c r="BA112" s="1520" t="e">
        <v>#VALUE!</v>
      </c>
      <c r="BB112" s="1520" t="e">
        <v>#VALUE!</v>
      </c>
      <c r="BC112" s="1583" t="e">
        <v>#VALUE!</v>
      </c>
      <c r="BD112" s="1522" t="e">
        <v>#VALUE!</v>
      </c>
      <c r="BE112" s="1523" t="e">
        <v>#VALUE!</v>
      </c>
      <c r="BF112" s="1523" t="e">
        <v>#VALUE!</v>
      </c>
      <c r="BG112" s="1584" t="e">
        <v>#VALUE!</v>
      </c>
      <c r="BH112" s="1525" t="e">
        <v>#VALUE!</v>
      </c>
      <c r="BI112" s="1520" t="e">
        <v>#VALUE!</v>
      </c>
      <c r="BJ112" s="1520" t="e">
        <v>#VALUE!</v>
      </c>
      <c r="BK112" s="1583" t="e">
        <v>#VALUE!</v>
      </c>
      <c r="BL112" s="1522" t="e">
        <v>#VALUE!</v>
      </c>
      <c r="BM112" s="1523" t="e">
        <v>#VALUE!</v>
      </c>
      <c r="BN112" s="1523" t="e">
        <v>#VALUE!</v>
      </c>
      <c r="BO112" s="1523" t="e">
        <v>#VALUE!</v>
      </c>
      <c r="BP112" s="1525" t="e">
        <f aca="false">SUM(AZ112:BB112)</f>
        <v>#VALUE!</v>
      </c>
      <c r="BQ112" s="1529" t="e">
        <f aca="false">SUM(AZ112:BC112)</f>
        <v>#VALUE!</v>
      </c>
      <c r="BR112" s="1519" t="e">
        <f aca="false">SUM(BH112:BJ112)</f>
        <v>#VALUE!</v>
      </c>
      <c r="BS112" s="1529" t="e">
        <f aca="false">SUM(BH112:BK112)</f>
        <v>#VALUE!</v>
      </c>
      <c r="BT112" s="1316" t="n">
        <f aca="false">(IF(OVolType&lt;&gt;2,A112+14,IF(OptExpDateShift,ShiftBack(A112,OptExpDateShift,D111),A112))-DateToday)/365.25</f>
        <v>7.96440793976728</v>
      </c>
      <c r="BU112" s="1585" t="e">
        <f aca="false">IF(BQ112,IF(OPriceCurve,IF(OBuySell=OCallPut,I112/(1-AY112),K112/(1-AY112)),J112/(1-AY112))*BD112,0)</f>
        <v>#VALUE!</v>
      </c>
      <c r="BV112" s="1316" t="e">
        <f aca="false">IF(BQ112,IF(OPriceCurve,IF(OBuySell=OCallPut,L112/(1-AY112),N112/(1-AY112)),M112/(1-AY112))*BE112,0)</f>
        <v>#VALUE!</v>
      </c>
      <c r="BW112" s="1316" t="e">
        <f aca="false">IF(BQ112,IF(OPriceCurve,IF(OBuySell=OCallPut,O112/(1-AY112),Q112/(1-AY112)),P112/(1-AY112))*BF112,0)</f>
        <v>#VALUE!</v>
      </c>
      <c r="BX112" s="1316" t="e">
        <f aca="false">IF(BQ112,IF(OPriceCurve,IF(OBuySell=OCallPut,R112/(1-AY112),T112/(1-AY112)),S112/(1-AY112))*BG112,0)</f>
        <v>#VALUE!</v>
      </c>
      <c r="BY112" s="1316" t="e">
        <f aca="false">IF(BP112,(BU112*AZ112+BV112*BA112+BW112*BB112)/BP112,0)</f>
        <v>#VALUE!</v>
      </c>
      <c r="BZ112" s="1316" t="e">
        <f aca="false">IF(BQ112,(BY112*BP112+BX112*BC112)/BQ112,0)</f>
        <v>#VALUE!</v>
      </c>
      <c r="CA112" s="1531" t="e">
        <f aca="false">IF(BS112,IF(OPriceCurve,IF(OBuySell=OCallPut,I112/(1-AY112),K112/(1-AY112)),J112/(1-AY112))*BL112,0)</f>
        <v>#VALUE!</v>
      </c>
      <c r="CB112" s="1316" t="e">
        <f aca="false">IF(BS112,IF(OPriceCurve,IF(OBuySell=OCallPut,L112/(1-AY112),N112/(1-AY112)),M112/(1-AY112))*BM112,0)</f>
        <v>#VALUE!</v>
      </c>
      <c r="CC112" s="1316" t="e">
        <f aca="false">IF(BS112,IF(OPriceCurve,IF(OBuySell=OCallPut,O112/(1-AY112),Q112/(1-AY112)),P112/(1-AY112))*BN112,0)</f>
        <v>#VALUE!</v>
      </c>
      <c r="CD112" s="1316" t="e">
        <f aca="false">IF(BS112,IF(OPriceCurve,IF(OBuySell=OCallPut,R112/(1-AY112),T112/(1-AY112)),S112/(1-AY112))*BO112,0)</f>
        <v>#VALUE!</v>
      </c>
      <c r="CE112" s="1316" t="e">
        <f aca="false">IF(BR112,(BU112*BH112+BV112*BI112+BW112*BJ112)/BR112,0)</f>
        <v>#VALUE!</v>
      </c>
      <c r="CF112" s="1532" t="e">
        <f aca="false">IF(BS112,(CE112*BR112+CD112*BK112)/BS112,0)</f>
        <v>#VALUE!</v>
      </c>
      <c r="CG112" s="1586" t="e">
        <f aca="false">IF(OR(BQ112,BS112),IF(OVolType&lt;&gt;2,SQRT(IF(OVolOverMonthlyPeak,OVolOverMonthlyPeak,IF(OVolCurve,IF(OBuySell,U112,W112),V112))^2*(1-15/365.25/BT112)+IF(OVolOverDailyPeak,OVolOverDailyPeak,IF(OVolCurve,IF(OBuySell,AG112,AI112),AH112))^2*15/365.25/BT112),IF(OVolOverMonthlyPeak,OVolOverMonthlyPeak,IF(OVolCurve,IF(OBuySell,U112,W112),V112))),"")</f>
        <v>#VALUE!</v>
      </c>
      <c r="CH112" s="1587" t="e">
        <f aca="false">IF(OR(BQ112,BS112),IF(OVolType&lt;&gt;2,SQRT(IF(OVolOverMonthlyPeak,OVolOverMonthlyPeak,IF(OVolCurve,IF(OBuySell,X112,Z112),Y112))^2*(1-15/365.25/BT112)+IF(OVolOverDailyPeak,OVolOverDailyPeak,IF(OVolCurve,IF(OBuySell,AJ112,AL112),AK112))^2*15/365.25/BT112),IF(OVolOverMonthlyPeak,OVolOverMonthlyPeak,IF(OVolCurve,IF(OBuySell,X112,Z112),Y112))),"")</f>
        <v>#VALUE!</v>
      </c>
      <c r="CI112" s="1587" t="e">
        <f aca="false">IF(OR(BQ112,BS112),IF(OVolType&lt;&gt;2,SQRT(IF(OVolOverMonthlyPeak,OVolOverMonthlyPeak,IF(OVolCurve,IF(OBuySell,AA112,AC112),AB112))^2*(1-15/365.25/BT112)+IF(OVolOverDailyPeak,OVolOverDailyPeak,IF(OVolCurve,IF(OBuySell,AM112,AO112),AN112))^2*15/365.25/BT112),IF(OVolOverMonthlyPeak,OVolOverMonthlyPeak,IF(OVolCurve,IF(OBuySell,AA112,AC112),AB112))),"")</f>
        <v>#VALUE!</v>
      </c>
      <c r="CJ112" s="1587" t="e">
        <f aca="false">IF(BQ112,IF(BP112,SQRT(LN(1+((BU112*AZ112)^2*(EXP(CG112^2*BT112)-1)+(BV112*BA112)^2*(EXP(CH112^2*BT112)-1)+(BW112*BB112)^2*(EXP(CI112^2*BT112)-1)+2*BU112*AZ112*BV112*BA112*(EXP(CG112*CH112*BT112)-1)+2*BV112*BA112*BW112*BB112*(EXP(CH112*CI112*BT112)-1)+2*BW112*BB112*BU112*AZ112*(EXP(CI112*CG112*BT112)-1))/(BY112*BP112)^2)/BT112),0),"")</f>
        <v>#VALUE!</v>
      </c>
      <c r="CK112" s="1587" t="e">
        <f aca="false">IF(BS112,IF(BR112,SQRT(LN(1+((CA112*BH112)^2*(EXP(CG112^2*BT112)-1)+(CB112*BI112)^2*(EXP(CH112^2*BT112)-1)+(CC112*BJ112)^2*(EXP(CI112^2*BT112)-1)+2*CA112*BH112*CB112*BI112*(EXP(CG112*CH112*BT112)-1)+2*CB112*BI112*CC112*BJ112*(EXP(CH112*CI112*BT112)-1)+2*CC112*BJ112*CA112*BH112*(EXP(CI112*CG112*BT112)-1))/(CE112*BR112)^2)/BT112),0),"")</f>
        <v>#VALUE!</v>
      </c>
      <c r="CL112" s="1587" t="e">
        <f aca="false">IF(OR(BQ112,BS112),IF(OVolType&lt;&gt;2,SQRT(IF(OVolOverMonthlyOffPeak,OVolOverMonthlyOffPeak,IF(OVolCurve,IF(OBuySell,AD112,AF112),AE112))^2*(1-15/365.25/BT112)+IF(OVolOverDailyOffPeak,OVolOverDailyOffPeak,IF(OVolCurve,IF(OBuySell,AP112,AR112),AQ112))^2*15/365.25/BT112),IF(OVolOverMonthlyOffPeak,OVolOverMonthlyOffPeak,IF(OVolCurve,IF(OBuySell,AD112,AF112),AE112))),"")</f>
        <v>#VALUE!</v>
      </c>
      <c r="CM112" s="1587" t="e">
        <f aca="false">IF(BQ112,SQRT(LN(1+((BY112*BP112)^2*(EXP(CJ112^2*BT112)-1)+(BX112*BC112)^2*(EXP(CL112^2*BT112)-1)+2*BY112*BP112*BX112*BC112*(EXP(AS112*CJ112*CL112*BT112)-1))/(BY112*BP112+BX112*BC112)^2)/BT112),"")</f>
        <v>#VALUE!</v>
      </c>
      <c r="CN112" s="1588" t="e">
        <f aca="false">IF(BS112,SQRT(LN(1+((CE112*BR112)^2*(EXP(CK112^2*BT112)-1)+(CD112*BK112)^2*(EXP(CL112^2*BT112)-1)+2*CE112*BR112*CD112*BK112*(EXP(AS112*CK112*CL112*BT112)-1))/(CE112*BR112+CD112*BK112)^2)/BT112),"")</f>
        <v>#VALUE!</v>
      </c>
      <c r="CO112" s="1531" t="e">
        <f aca="false">IF(OR(BQ112,BS112),VLOOKUP(A112,GasTable,13)*HeatRatePeak*(1+VLOOKUP($B112,HeatRateDegradation,$C112+1))/1000,0)</f>
        <v>#VALUE!</v>
      </c>
      <c r="CP112" s="1316" t="e">
        <f aca="false">IF(OR(BQ112,BS112),VLOOKUP(A112,GasTable,13)*HeatRatePeak*(1+VLOOKUP($B112,HeatRateDegradation,$C112+1))/1000,0)</f>
        <v>#VALUE!</v>
      </c>
      <c r="CQ112" s="1316" t="e">
        <f aca="false">IF(OR(BQ112,BS112),VLOOKUP(A112,GasTable,13)*IF(EV112,HeatRatePeak,HeatRateOffPeak)*(1+VLOOKUP($B112,HeatRateDegradation,$C112+1))/1000,0)</f>
        <v>#VALUE!</v>
      </c>
      <c r="CR112" s="1316" t="e">
        <f aca="false">IF(OR(BQ112,BS112),VLOOKUP(A112,GasTable,13)*IF(EW112,HeatRatePeak,HeatRateOffPeak)*(1+VLOOKUP($B112,HeatRateDegradation,$C112+1))/1000,0)</f>
        <v>#VALUE!</v>
      </c>
      <c r="CS112" s="1589" t="e">
        <f aca="false">IF(BQ112,(CO112*AZ112+CP112*BA112+CQ112*BB112+CR112*BC112)/BQ112,0)</f>
        <v>#VALUE!</v>
      </c>
      <c r="CT112" s="1316" t="e">
        <f aca="false">IF(BS112,CO112,0)</f>
        <v>#VALUE!</v>
      </c>
      <c r="CU112" s="1590" t="e">
        <f aca="false">IF(OR(BQ112,BS112),VLOOKUP(A112,GasTable,14),"")</f>
        <v>#VALUE!</v>
      </c>
      <c r="CV112" s="1568" t="e">
        <f aca="false">IF(OR(BQ112,BS112),IF(CorrPowerGasOverFlag,INDEX(CorrPowerGasOver,C112),CorrPowerGas),"")</f>
        <v>#VALUE!</v>
      </c>
      <c r="CW112" s="1316" t="e">
        <f aca="false">IF(OR($BQ112,$BS112),SpreadOptPowerMargin,0)*((1+Assumptions!$C$26)^($B112-YEAR(Assumptions!$C$17)))</f>
        <v>#VALUE!</v>
      </c>
      <c r="CX112" s="1316" t="e">
        <f aca="false">IF(OR($BQ112,$BS112),SpreadOptPowerMargin,0)*((1+Assumptions!$C$26)^($B112-YEAR(Assumptions!$C$17)))</f>
        <v>#VALUE!</v>
      </c>
      <c r="CY112" s="1316" t="e">
        <f aca="false">IF(OR($BQ112,$BS112),SpreadOptPowerMargin,0)*((1+Assumptions!$C$26)^($B112-YEAR(Assumptions!$C$17)))</f>
        <v>#VALUE!</v>
      </c>
      <c r="CZ112" s="1316" t="e">
        <f aca="false">IF(OR($BQ112,$BS112),SpreadOptPowerMargin,0)*((1+Assumptions!$C$26)^($B112-YEAR(Assumptions!$C$17)))</f>
        <v>#VALUE!</v>
      </c>
      <c r="DA112" s="1591" t="e">
        <f aca="false">IF(OR(BQ112,BS112),(CW112*(AZ112+BH112)+CX112*(BA112+BI112)+CY112*(BB112+BJ112)+CZ112*(BC112+BK112))/(BQ112+BS112),0)</f>
        <v>#VALUE!</v>
      </c>
      <c r="DB112" s="1592" t="e">
        <f aca="false">IF(OR(BQ112,BS112),CG112+IF(OVolSmile,VLOOKUP(MAX(-5,CO112+CW112-BU112),IF(OVolSmile=1,VolSmileBook,VolSmileModel),2),0),"")</f>
        <v>#VALUE!</v>
      </c>
      <c r="DC112" s="1592" t="e">
        <f aca="false">IF(OR(BQ112,BS112),CH112+IF(OVolSmile,VLOOKUP(MAX(-5,CP112+CW112-BV112),IF(OVolSmile=1,VolSmileBook,VolSmileModel),2),0),"")</f>
        <v>#VALUE!</v>
      </c>
      <c r="DD112" s="1592" t="e">
        <f aca="false">IF(OR(BQ112,BS112),CI112+IF(OVolSmile,VLOOKUP(MAX(-5,CQ112+CW112-BW112),IF(OVolSmile=1,VolSmileBook,VolSmileModel),2),0),"")</f>
        <v>#VALUE!</v>
      </c>
      <c r="DE112" s="1592" t="e">
        <f aca="false">IF(OR(BQ112,BS112),CL112+IF(OVolSmile,VLOOKUP(MAX(-5,CR112+CZ112-BX112),IF(OVolSmile=1,VolSmileBook,VolSmileModel),2),0),"")</f>
        <v>#VALUE!</v>
      </c>
      <c r="DF112" s="1592" t="e">
        <f aca="false">IF(BQ112,CM112+IF(OVolSmile,VLOOKUP(MAX(-5,CS112+DA112-BZ112),IF(OVolSmile=1,VolSmileBook,VolSmileModel),2),0),"")</f>
        <v>#VALUE!</v>
      </c>
      <c r="DG112" s="1593" t="e">
        <f aca="false">IF(BS112,CN112+IF(OVolSmile,VLOOKUP(MAX(-5,CT112+DA112-CF112),IF(OVolSmile=1,VolSmileBook,VolSmileModel),2),0),"")</f>
        <v>#VALUE!</v>
      </c>
      <c r="DH112" s="1316" t="e">
        <f aca="false">IF(AND(BU112&gt;0,CO112&gt;0,DB112&gt;0,CU112&gt;0),newSPRDOPT(BU112,CO112,CW112,0,DB112,CU112,CV112,BT112*365.25,OCallPut,0),0)</f>
        <v>#VALUE!</v>
      </c>
      <c r="DI112" s="1316" t="e">
        <f aca="false">IF(AND(BV112&gt;0,CP112&gt;0,DC112&gt;0,CU112&gt;0),newSPRDOPT(BV112,CP112,CX112,0,DC112,CU112,CV112,BT112*365.25,OCallPut,0),0)</f>
        <v>#VALUE!</v>
      </c>
      <c r="DJ112" s="1316" t="e">
        <f aca="false">IF(AND(BW112&gt;0,CQ112&gt;0,DD112&gt;0,CU112&gt;0),newSPRDOPT(BW112,CQ112,CY112,0,DD112,CU112,CV112,BT112*365.25,OCallPut,0),0)</f>
        <v>#VALUE!</v>
      </c>
      <c r="DK112" s="1316" t="e">
        <f aca="false">IF(AND(BX112&gt;0,CR112&gt;0,DE112&gt;0,CU112&gt;0),newSPRDOPT(BX112,CR112,CZ112,0,DE112,CU112,CV112,BT112*365.25,OCallPut,0),0)</f>
        <v>#VALUE!</v>
      </c>
      <c r="DL112" s="1316" t="e">
        <f aca="false">IF(OVolType,IF(AND(BZ112&gt;0,CS112&gt;0,DF112&gt;0,CU112&gt;0),newSPRDOPT(BZ112,CS112,DA112,0,DF112,CU112,CV112,BT112*365.25,OCallPut,0),0),IF(BQ112,(DH112*AZ112+DI112*BA112+DJ112*BB112+DK112*BC112)/BQ112,0))</f>
        <v>#VALUE!</v>
      </c>
      <c r="DM112" s="1316"/>
      <c r="DN112" s="1316"/>
      <c r="DO112" s="1316"/>
      <c r="DP112" s="1316"/>
      <c r="DQ112" s="1316"/>
      <c r="DR112" s="1316"/>
      <c r="DS112" s="1316"/>
      <c r="DT112" s="1316"/>
      <c r="DU112" s="1316"/>
      <c r="DV112" s="1316"/>
      <c r="DW112" s="1594" t="e">
        <f aca="false">IF(AND(BW112&gt;0,CT112&gt;0,DD112&gt;0,CU112&gt;0),newSPRDOPT(BW112,CT112,CY112,0,DD112,CU112,CV112,BT112*365.25,OCallPut,0),0)</f>
        <v>#VALUE!</v>
      </c>
      <c r="DX112" s="1316" t="e">
        <f aca="false">IF(AND(BX112&gt;0,CT112&gt;0,DE112&gt;0,CU112&gt;0),newSPRDOPT(BX112,CT112,CZ112,0,DE112,CU112,CV112,BT112*365.25,OCallPut,0),0)</f>
        <v>#VALUE!</v>
      </c>
      <c r="DY112" s="1591" t="e">
        <f aca="false">IF(BS112,(DH112*BH112+DI112*BI112+DW112*BJ112+DX112*BK112)/BS112,0)</f>
        <v>#VALUE!</v>
      </c>
      <c r="DZ112" s="1551" t="e">
        <f aca="false">DH112*AZ112</f>
        <v>#VALUE!</v>
      </c>
      <c r="EA112" s="1551" t="e">
        <f aca="false">DI112*BA112</f>
        <v>#VALUE!</v>
      </c>
      <c r="EB112" s="1551" t="e">
        <f aca="false">DJ112*BB112</f>
        <v>#VALUE!</v>
      </c>
      <c r="EC112" s="1551" t="e">
        <f aca="false">DK112*BC112</f>
        <v>#VALUE!</v>
      </c>
      <c r="ED112" s="1551" t="e">
        <f aca="false">DL112*BQ112</f>
        <v>#VALUE!</v>
      </c>
      <c r="EE112" s="1595" t="e">
        <f aca="false">IF(BQ112,IF(OCallPut,IF(BU112&gt;(CO112+CW112),BU112-(CO112+CW112),0),IF((CO112+CW112)&gt;BU112,(CO112+CW112)-BU112,0))*AZ112,0)</f>
        <v>#VALUE!</v>
      </c>
      <c r="EF112" s="1596" t="e">
        <f aca="false">IF(BQ112,IF(OCallPut,IF(BV112&gt;(CP112+CX112),BV112-(CP112+CX112),0),IF((CP112+CX112)&gt;BV112,(CP112+CX112)-BV112,0))*BA112,0)</f>
        <v>#VALUE!</v>
      </c>
      <c r="EG112" s="1596" t="e">
        <f aca="false">IF(BQ112,IF(OCallPut,IF(BW112&gt;(CQ112+CY112),BW112-(CQ112+CY112),0),IF((CQ112+CY112)&gt;BW112,(CQ112+CY112)-BW112,0))*BB112,0)</f>
        <v>#VALUE!</v>
      </c>
      <c r="EH112" s="1596" t="e">
        <f aca="false">IF(BQ112,IF(OCallPut,IF(BX112&gt;(CR112+CZ112),BX112-(CR112+CZ112),0),IF((CR112+CZ112)&gt;BX112,(CR112+CZ112)-BX112,0))*BC112,0)</f>
        <v>#VALUE!</v>
      </c>
      <c r="EI112" s="1597" t="e">
        <f aca="false">IF(BQ112,IF(OVolType,IF(OCallPut,IF(BZ112&gt;(CS112+DA112),BZ112-(CS112+DA112),0),IF((CS112+DA112)&gt;BZ112,(CS112+DA112)-BZ112,0))*BQ112,SUM(EE112:EH112)),0)</f>
        <v>#VALUE!</v>
      </c>
      <c r="EJ112" s="1595" t="e">
        <f aca="false">DZ112-EE112</f>
        <v>#VALUE!</v>
      </c>
      <c r="EK112" s="1596" t="e">
        <f aca="false">EA112-EF112</f>
        <v>#VALUE!</v>
      </c>
      <c r="EL112" s="1596" t="e">
        <f aca="false">EB112-EG112</f>
        <v>#VALUE!</v>
      </c>
      <c r="EM112" s="1596" t="e">
        <f aca="false">EC112-EH112</f>
        <v>#VALUE!</v>
      </c>
      <c r="EN112" s="1597" t="e">
        <f aca="false">ED112-EI112</f>
        <v>#VALUE!</v>
      </c>
      <c r="EO112" s="1551" t="e">
        <f aca="false">DH112*BH112</f>
        <v>#VALUE!</v>
      </c>
      <c r="EP112" s="1551" t="e">
        <f aca="false">DI112*BI112</f>
        <v>#VALUE!</v>
      </c>
      <c r="EQ112" s="1551" t="e">
        <f aca="false">DW112*BJ112</f>
        <v>#VALUE!</v>
      </c>
      <c r="ER112" s="1551" t="e">
        <f aca="false">DX112*BK112</f>
        <v>#VALUE!</v>
      </c>
      <c r="ES112" s="1551" t="e">
        <f aca="false">DY112*BS112</f>
        <v>#VALUE!</v>
      </c>
      <c r="ET112" s="1566" t="e">
        <f aca="false">IF(EI112,IF(OCallPut,IF(CA112&gt;(CT112+CW112),CA112-(CT112+CW112),0),IF((CT112+CW112)&gt;CA112,(CT112+CW112)-CA112,0))*BH112,0)</f>
        <v>#VALUE!</v>
      </c>
      <c r="EU112" s="1551" t="e">
        <f aca="false">IF(EI112,IF(OCallPut,IF(CB112&gt;(CT112+CX112),CB112-(CT112+CX112),0),IF((CT112+CX112)&gt;CB112,(CT112+CX112)-CB112,0))*BI112,0)</f>
        <v>#VALUE!</v>
      </c>
      <c r="EV112" s="1551" t="e">
        <f aca="false">IF(EI112,IF(OCallPut,IF(CC112&gt;(CT112+CY112),CC112-(CT112+CY112),0),IF((CT112+CY112)&gt;CC112,(CT112+CY112)-CC112,0))*BJ112,0)</f>
        <v>#VALUE!</v>
      </c>
      <c r="EW112" s="1551" t="e">
        <f aca="false">IF(EI112,IF(OCallPut,IF(CD112&gt;(CT112+CZ112),CD112-(CT112+CZ112),0),IF((CT112+CZ112)&gt;CD112,(CT112+CZ112)-CD112,0))*BK112,0)</f>
        <v>#VALUE!</v>
      </c>
      <c r="EX112" s="1558" t="e">
        <f aca="false">IF(EI112,SUM(ET112:EW112),0)</f>
        <v>#VALUE!</v>
      </c>
      <c r="EY112" s="1551" t="e">
        <f aca="false">EO112-ET112</f>
        <v>#VALUE!</v>
      </c>
      <c r="EZ112" s="1551" t="e">
        <f aca="false">EP112-EU112</f>
        <v>#VALUE!</v>
      </c>
      <c r="FA112" s="1551" t="e">
        <f aca="false">EQ112-EV112</f>
        <v>#VALUE!</v>
      </c>
      <c r="FB112" s="1551" t="e">
        <f aca="false">ER112-EW112</f>
        <v>#VALUE!</v>
      </c>
      <c r="FC112" s="1551" t="e">
        <f aca="false">ES112-EX112</f>
        <v>#VALUE!</v>
      </c>
      <c r="FD112" s="1525" t="n">
        <f aca="false">IF(AX112,IF(VLOOKUP(C112,MAIN!$L$17:$M$28,2)="Yes",VLOOKUP(CALC!B112,MAIN!$H$17:$I$20,2),0),0)</f>
        <v>0</v>
      </c>
      <c r="FE112" s="1552" t="e">
        <f aca="false">$FD112*16*AT112*(1-$AY112)</f>
        <v>#VALUE!</v>
      </c>
      <c r="FF112" s="1553" t="e">
        <f aca="false">$FD112*16*AU112*(1-$AY112)</f>
        <v>#VALUE!</v>
      </c>
      <c r="FG112" s="1553" t="e">
        <f aca="false">$FD112*16*(AV112+AW112)*(1-$AY112)</f>
        <v>#VALUE!</v>
      </c>
      <c r="FH112" s="1554" t="n">
        <f aca="false">$FD112*8*AX112*(1-$AY112)</f>
        <v>0</v>
      </c>
      <c r="FI112" s="1555" t="n">
        <f aca="false">IF(AX112,VLOOKUP(CALC!B112,MAIN!$H$17:$K$20,4),0)</f>
        <v>0</v>
      </c>
      <c r="FJ112" s="1553" t="e">
        <f aca="false">SUM(FE112:FH112)</f>
        <v>#VALUE!</v>
      </c>
      <c r="FK112" s="1556" t="e">
        <f aca="false">FI112*FJ112</f>
        <v>#VALUE!</v>
      </c>
      <c r="FL112" s="1551" t="e">
        <f aca="false">IF($EI112&gt;0,MIN(FE112,AZ112*(1+VLOOKUP($C112,WeatherCapacityAdjustment,2))),0)</f>
        <v>#VALUE!</v>
      </c>
      <c r="FM112" s="1551" t="e">
        <f aca="false">IF($EI112&gt;0,MIN(FF112,BA112*(1+VLOOKUP($C112,WeatherCapacityAdjustment,2))),0)</f>
        <v>#VALUE!</v>
      </c>
      <c r="FN112" s="1551" t="e">
        <f aca="false">IF($EI112&gt;0,MIN(FG112,BB112*(1+VLOOKUP($C112,WeatherCapacityAdjustment,2))),0)</f>
        <v>#VALUE!</v>
      </c>
      <c r="FO112" s="1564" t="e">
        <f aca="false">IF($EI112&gt;0,MIN(FH112,BC112*(1+VLOOKUP($C112,WeatherCapacityAdjustment,3))),0)</f>
        <v>#VALUE!</v>
      </c>
      <c r="FP112" s="1551" t="e">
        <f aca="false">IF(ET112&gt;0,MIN(FE112-FL112,BH112*(1+VLOOKUP($C112,WeatherCapacityAdjustment,2))),0)</f>
        <v>#VALUE!</v>
      </c>
      <c r="FQ112" s="1551" t="e">
        <f aca="false">IF(EU112&gt;0,MIN(FF112-FM112,BI112*(1+VLOOKUP($C112,WeatherCapacityAdjustment,2))),0)</f>
        <v>#VALUE!</v>
      </c>
      <c r="FR112" s="1551" t="e">
        <f aca="false">IF(EV112&gt;0,MIN(FG112-FN112,BJ112*(1+VLOOKUP($C112,WeatherCapacityAdjustment,2))),0)</f>
        <v>#VALUE!</v>
      </c>
      <c r="FS112" s="1558" t="e">
        <f aca="false">IF(EW112&gt;0,MIN(FH112-FO112,BK112*(1+VLOOKUP($C112,WeatherCapacityAdjustment,3))),0)</f>
        <v>#VALUE!</v>
      </c>
      <c r="FT112" s="1566" t="e">
        <f aca="false">IF(AND(Assumptions!$H$71="Yes",A112&gt;=Assumptions!$H$72,A112&lt;=Assumptions!$H$73),0,IF(AND($A112&gt;=Assumptions!$C$17,$A112&lt;=Assumptions!$C$18),MAX(AZ112*(1+VLOOKUP($C112,WeatherCapacityAdjustment,2))-FL112,0),0))</f>
        <v>#VALUE!</v>
      </c>
      <c r="FU112" s="1551" t="e">
        <f aca="false">IF(AND(Assumptions!$H$71="Yes",A112&gt;=Assumptions!$H$72,A112&lt;=Assumptions!$H$73),0,IF(AND($A112&gt;=Assumptions!$C$17,$A112&lt;=Assumptions!$C$18),MAX(BA112*(1+VLOOKUP($C112,WeatherCapacityAdjustment,2))-FM112,0),0))</f>
        <v>#VALUE!</v>
      </c>
      <c r="FV112" s="1551" t="e">
        <f aca="false">IF(AND(Assumptions!$H$71="Yes",A112&gt;=Assumptions!$H$72,A112&lt;=Assumptions!$H$73),0,IF(AND($A112&gt;=Assumptions!$C$17,$A112&lt;=Assumptions!$C$18),MAX(BB112*(1+VLOOKUP($C112,WeatherCapacityAdjustment,2))-FN112,0),0))</f>
        <v>#VALUE!</v>
      </c>
      <c r="FW112" s="1564" t="e">
        <f aca="false">IF(AND(Assumptions!$H$71="Yes",A112&gt;=Assumptions!$H$72,A112&lt;=Assumptions!$H$73),0,IF(AND($A112&gt;=Assumptions!$C$17,$A112&lt;=Assumptions!$C$18),MAX(BC112*(1+VLOOKUP($C112,WeatherCapacityAdjustment,3))-FO112,0),0))</f>
        <v>#VALUE!</v>
      </c>
      <c r="FX112" s="1569" t="e">
        <f aca="false">IF(AND(Assumptions!$H$71="Yes",A112&gt;=Assumptions!$H$72,A112&lt;=Assumptions!$H$73),0,IF(ET112&gt;0,MAX(BH112*(1+VLOOKUP($C112,WeatherCapacityAdjustment,2))-FP112,0),0))</f>
        <v>#VALUE!</v>
      </c>
      <c r="FY112" s="1551" t="e">
        <f aca="false">IF(AND(Assumptions!$H$71="Yes",A112&gt;=Assumptions!$H$72,A112&lt;=Assumptions!$H$73),0,IF(EU112&gt;0,MAX(BI112*(1+VLOOKUP($C112,WeatherCapacityAdjustment,3))-FQ112,0),0))</f>
        <v>#VALUE!</v>
      </c>
      <c r="FZ112" s="1551" t="e">
        <f aca="false">IF(AND(Assumptions!$H$71="Yes",A112&gt;=Assumptions!$H$72,A112&lt;=Assumptions!$H$73),0,IF(EV112&gt;0,MAX(BJ112*(1+VLOOKUP($C112,WeatherCapacityAdjustment,2))-FR112,0),0))</f>
        <v>#VALUE!</v>
      </c>
      <c r="GA112" s="1564" t="e">
        <f aca="false">IF(AND(Assumptions!$H$71="Yes",A112&gt;=Assumptions!$H$72,A112&lt;=Assumptions!$H$73),0,IF(EW112&gt;0,MAX(BK112*(1+VLOOKUP($C112,WeatherCapacityAdjustment,2))-FS112,0),0))</f>
        <v>#VALUE!</v>
      </c>
      <c r="GB112" s="1551" t="e">
        <f aca="false">SUM(FT112:GA112)</f>
        <v>#VALUE!</v>
      </c>
      <c r="GC112" s="1563" t="e">
        <f aca="false">+IF(SUM(FT112:GA112)=0,0,(SUMPRODUCT(BU112:BX112,FT112:FW112)+SUMPRODUCT(CA112:CD112,FX112:GA112))/SUM(FT112:GA112))</f>
        <v>#VALUE!</v>
      </c>
      <c r="GD112" s="1551" t="e">
        <f aca="false">(FT112*BU112+FX112*CA112+FU112*BV112+FY112*CB112+FV112*BW112+FZ112*CC112+FW112*BX112+GA112*CD112)</f>
        <v>#VALUE!</v>
      </c>
      <c r="GE112" s="1561" t="e">
        <f aca="false">+IF(BQ112,((FL112+FM112+FT112+FU112)*HeatRatePeak/1000*(1+VLOOKUP($C112,WeatherHeatRateAdjustment,2))+(FN112+FV112)*IF(EV112&gt;0,HeatRatePeak,HeatRateOffPeak)/1000*(1+VLOOKUP($C112,WeatherHeatRateAdjustment,2))+(FO112+FW112)*IF(EW112&gt;0,HeatRatePeak,HeatRateOffPeak)/1000*(1+VLOOKUP($C112,WeatherHeatRateAdjustment,3)))*(1+VLOOKUP($B112,HeatRateDegradation,$C112+1)),0)</f>
        <v>#VALUE!</v>
      </c>
      <c r="GF112" s="1562" t="e">
        <f aca="false">IF(BQ112,((FP112+FQ112+FR112+FX112+FY112+FZ112)*HeatRatePeak/1000*(1+VLOOKUP($C112,WeatherHeatRateAdjustment,2))+(FS112+GA112)*HeatRatePeak/1000*(1+VLOOKUP($C112,WeatherHeatRateAdjustment,3)))*(1+VLOOKUP($B112,HeatRateDegradation,$C112+1)),0)</f>
        <v>#VALUE!</v>
      </c>
      <c r="GG112" s="1563" t="e">
        <f aca="false">IF(BQ112,VLOOKUP(A112,GasTable,13),0)</f>
        <v>#VALUE!</v>
      </c>
      <c r="GH112" s="1564" t="e">
        <f aca="false">(GE112+GF112)*GG112</f>
        <v>#VALUE!</v>
      </c>
      <c r="GI112" s="1569" t="e">
        <f aca="false">GB112</f>
        <v>#VALUE!</v>
      </c>
      <c r="GJ112" s="1598" t="e">
        <f aca="false">+DA112</f>
        <v>#VALUE!</v>
      </c>
      <c r="GK112" s="1558" t="e">
        <f aca="false">+GI112*GJ112</f>
        <v>#VALUE!</v>
      </c>
      <c r="GL112" s="1566" t="e">
        <f aca="false">MAX(FE112-FL112-FP112,0)</f>
        <v>#VALUE!</v>
      </c>
      <c r="GM112" s="1551" t="e">
        <f aca="false">MAX(FF112-FM112-FQ112,0)</f>
        <v>#VALUE!</v>
      </c>
      <c r="GN112" s="1551" t="e">
        <f aca="false">MAX(FG112-FN112-FR112,0)</f>
        <v>#VALUE!</v>
      </c>
      <c r="GO112" s="1564" t="e">
        <f aca="false">MAX(FH112-FO112-FS112,0)</f>
        <v>#VALUE!</v>
      </c>
      <c r="GP112" s="1551" t="e">
        <f aca="false">SUM(GL112:GO112)</f>
        <v>#VALUE!</v>
      </c>
      <c r="GQ112" s="1563" t="e">
        <f aca="false">IF(SUM(GL112:GO112)=0,0,((GL112*BU112+GM112*BV112+GN112*BW112+GO112*BX112)/SUM(GL112:GO112)))</f>
        <v>#VALUE!</v>
      </c>
      <c r="GR112" s="1558" t="e">
        <f aca="false">(GL112*BU112+GM112*BV112+GN112*BW112+GO112*BX112)</f>
        <v>#VALUE!</v>
      </c>
      <c r="GS112" s="1566" t="n">
        <f aca="false">IF($A112&gt;=BegDate,Assumptions!$C$56*24*($A113-$A112)*(1-VLOOKUP($B112,MAIN!$AA$7:$AM$28,$C112+1))*(1-VLOOKUP($B112,MAIN!$AA$33:$AM$54,$C112+1)),0)*80/168</f>
        <v>224485.714285714</v>
      </c>
      <c r="GT112" s="286" t="n">
        <f aca="false">J112</f>
        <v>35.212933870704</v>
      </c>
      <c r="GU112" s="286" t="n">
        <f aca="false">IF($A112&gt;=BegDate,VLOOKUP($A112,GasTable,13)+Assumptions!$C$58,0)</f>
        <v>2.60113814091764</v>
      </c>
      <c r="GV112" s="286" t="n">
        <f aca="false">GU112*Assumptions!$C$57/1000</f>
        <v>18.8582515216529</v>
      </c>
      <c r="GW112" s="1558" t="n">
        <f aca="false">IF(Assumptions!$C$60="Hourly",MAX(0,GS112*(GT112-GV112)),GS112*(GT112-GV112))</f>
        <v>3671392.54904269</v>
      </c>
      <c r="GX112" s="1566" t="n">
        <f aca="false">IF($A112&gt;=BegDate,Assumptions!$C$56*24*($A113-$A112)*(1-VLOOKUP($B112,MAIN!$AA$7:$AM$28,$C112+1))*(1-VLOOKUP($B112,MAIN!$AA$33:$AM$54,$C112+1)),0)*16/168</f>
        <v>44897.1428571429</v>
      </c>
      <c r="GY112" s="286" t="n">
        <f aca="false">M112</f>
        <v>35.212933870704</v>
      </c>
      <c r="GZ112" s="286" t="n">
        <f aca="false">IF($A112&gt;=BegDate,VLOOKUP($A112,GasTable,13)+Assumptions!$C$58,0)</f>
        <v>2.60113814091764</v>
      </c>
      <c r="HA112" s="286" t="n">
        <f aca="false">GZ112*Assumptions!$C$57/1000</f>
        <v>18.8582515216529</v>
      </c>
      <c r="HB112" s="1558" t="n">
        <f aca="false">IF(Assumptions!$C$60="Hourly",MAX(0,GX112*(GY112-HA112)),GX112*(GY112-HA112))</f>
        <v>734278.509808539</v>
      </c>
      <c r="HC112" s="1566" t="n">
        <f aca="false">IF($A112&gt;=BegDate,Assumptions!$C$56*24*($A113-$A112)*(1-VLOOKUP($B112,MAIN!$AA$7:$AM$28,$C112+1))*(1-VLOOKUP($B112,MAIN!$AA$33:$AM$54,$C112+1)),0)*16/168</f>
        <v>44897.1428571429</v>
      </c>
      <c r="HD112" s="286" t="n">
        <f aca="false">P112</f>
        <v>23.414089572135</v>
      </c>
      <c r="HE112" s="286" t="n">
        <f aca="false">IF($A112&gt;=BegDate,VLOOKUP($A112,GasTable,13)+Assumptions!$C$58,0)</f>
        <v>2.60113814091764</v>
      </c>
      <c r="HF112" s="286" t="n">
        <f aca="false">HE112*Assumptions!$C$57/1000</f>
        <v>18.8582515216529</v>
      </c>
      <c r="HG112" s="1558" t="n">
        <f aca="false">IF(Assumptions!$C$60="Hourly",MAX(0,HC112*(HD112-HF112)),HC112*(HD112-HF112))</f>
        <v>204544.1117865</v>
      </c>
      <c r="HH112" s="1566" t="n">
        <f aca="false">IF($A112&gt;=BegDate,Assumptions!$C$56*24*($A113-$A112)*(1-VLOOKUP($B112,MAIN!$AA$7:$AM$28,$C112+1))*(1-VLOOKUP($B112,MAIN!$AA$33:$AM$54,$C112+1)),0)*56/168</f>
        <v>157140</v>
      </c>
      <c r="HI112" s="286" t="n">
        <f aca="false">S112</f>
        <v>23.414089572135</v>
      </c>
      <c r="HJ112" s="286" t="n">
        <f aca="false">IF($A112&gt;=BegDate,VLOOKUP($A112,GasTable,13)+Assumptions!$C$58,0)</f>
        <v>2.60113814091764</v>
      </c>
      <c r="HK112" s="286" t="n">
        <f aca="false">HJ112*Assumptions!$C$57/1000</f>
        <v>18.8582515216529</v>
      </c>
      <c r="HL112" s="1558" t="n">
        <f aca="false">IF(Assumptions!$C$60="Hourly",MAX(0,HH112*(HI112-HK112)),HH112*(HI112-HK112))</f>
        <v>715904.391252751</v>
      </c>
      <c r="HM112" s="1566" t="n">
        <f aca="false">IF(AND(Assumptions!$H$71="Yes",A112&gt;=Assumptions!$H$72,A112&lt;=Assumptions!$H$73),Assumptions!$H$74*Assumptions!$C$9*1000,0)</f>
        <v>0</v>
      </c>
      <c r="HN112" s="1551"/>
      <c r="HO112" s="1563"/>
      <c r="HP112" s="1563"/>
      <c r="HQ112" s="1563"/>
      <c r="HR112" s="1563"/>
      <c r="HS112" s="1563"/>
      <c r="HT112" s="1563"/>
      <c r="HU112" s="1563"/>
      <c r="HV112" s="1563"/>
      <c r="HW112" s="1563"/>
      <c r="HX112" s="1563"/>
      <c r="HY112" s="1563"/>
      <c r="HZ112" s="1563"/>
      <c r="IA112" s="1563"/>
      <c r="IB112" s="1563"/>
      <c r="IC112" s="1563"/>
      <c r="ID112" s="1563"/>
      <c r="IE112" s="1563"/>
      <c r="IF112" s="1563"/>
      <c r="IG112" s="1563"/>
      <c r="IH112" s="1563"/>
      <c r="II112" s="1610"/>
      <c r="IJ112" s="1309"/>
      <c r="IK112" s="1309"/>
    </row>
    <row r="113" customFormat="false" ht="12.75" hidden="false" customHeight="false" outlineLevel="0" collapsed="false">
      <c r="A113" s="1571" t="n">
        <f aca="false">EOMONTH(A112,0)+1</f>
        <v>39569</v>
      </c>
      <c r="B113" s="594" t="n">
        <f aca="false">+YEAR(A113)</f>
        <v>2008</v>
      </c>
      <c r="C113" s="238" t="n">
        <f aca="false">MONTH(A113)</f>
        <v>5</v>
      </c>
      <c r="D113" s="1572" t="e">
        <f aca="false">IF(E113="","",Holiday(B113,C113))</f>
        <v>#VALUE!</v>
      </c>
      <c r="E113" s="1573" t="n">
        <f aca="false">IF(OR(BegDate&gt;=A114,EndDate&lt;A113,AND(VolumeMonthlyOverFlag,INDEX(VolumeMonthlyOver,C113)=0),NOT(INDEX(MonthKnockOutTable,C113))),"",MAX(A113,BegDate))</f>
        <v>39569</v>
      </c>
      <c r="F113" s="1574" t="n">
        <f aca="false">IF(E113="","",MIN(A114-1,EndDate))</f>
        <v>39599</v>
      </c>
      <c r="G113" s="1575" t="n">
        <v>0</v>
      </c>
      <c r="H113" s="1576" t="n">
        <f aca="false">(1+G113/2)^(-2*(DATE(B114,C114,20)-DateToday)/365.25)</f>
        <v>1</v>
      </c>
      <c r="I113" s="1568" t="n">
        <f aca="false">IF(Assumptions!$L$25=4,VLOOKUP($A113,'Henwood Reference'!$E$9:$R$320,10),(VLOOKUP($A113,PriceTable,2,0)+IF(BasisNumber&lt;&gt;1,VLOOKUP($A113,BasisTable,2,0),0)+I$1)/(1-I$2))</f>
        <v>36.6128324991255</v>
      </c>
      <c r="J113" s="1568" t="n">
        <f aca="false">IF(Assumptions!$L$25=4,VLOOKUP($A113,'Henwood Reference'!$E$9:$R$320,10),(VLOOKUP($A113,PriceTable,3,0)+IF(BasisNumber&lt;&gt;1,VLOOKUP($A113,BasisTable,2,0),0)+J$1)/(1-J$2))</f>
        <v>36.6128324991255</v>
      </c>
      <c r="K113" s="1568" t="n">
        <f aca="false">IF(Assumptions!$L$25=4,VLOOKUP($A113,'Henwood Reference'!$E$9:$R$320,10),(VLOOKUP($A113,PriceTable,4,0)+IF(BasisNumber&lt;&gt;1,VLOOKUP($A113,BasisTable,2,0),0)+K$1)/(1-K$2))</f>
        <v>36.6128324991255</v>
      </c>
      <c r="L113" s="1523" t="n">
        <f aca="false">IF(Assumptions!$L$25=4,VLOOKUP($A113,'Henwood Reference'!$E$9:$R$320,10),(VLOOKUP($A113,PriceTableWeekend,2,0)+IF(BasisNumber&lt;&gt;1,VLOOKUP($A113,BasisTable,2,0),0)+L$1)/(1-L$2))</f>
        <v>36.6128324991255</v>
      </c>
      <c r="M113" s="1568" t="n">
        <f aca="false">IF(Assumptions!$L$25=4,VLOOKUP($A113,'Henwood Reference'!$E$9:$R$320,10),(VLOOKUP($A113,PriceTableWeekend,3,0)+IF(BasisNumber&lt;&gt;1,VLOOKUP($A113,BasisTable,2,0),0)+M$1)/(1-M$2))</f>
        <v>36.6128324991255</v>
      </c>
      <c r="N113" s="1599" t="n">
        <f aca="false">IF(Assumptions!$L$25=4,VLOOKUP($A113,'Henwood Reference'!$E$9:$R$320,10),(VLOOKUP($A113,PriceTableWeekend,4,0)+IF(BasisNumber&lt;&gt;1,VLOOKUP($A113,BasisTable,2,0),0)+N$1)/(1-N$2))</f>
        <v>36.6128324991255</v>
      </c>
      <c r="O113" s="1568" t="n">
        <f aca="false">IF(Assumptions!$L$25=4,VLOOKUP($A113,'Henwood Reference'!$E$9:$R$320,11),(VLOOKUP($A113,PriceTableWeekend,6,0)+IF(BasisNumber&lt;&gt;1,VLOOKUP($A113,BasisTable,3,0),0)+O$1)/(1-O$2))</f>
        <v>22.1538527419289</v>
      </c>
      <c r="P113" s="1568" t="n">
        <f aca="false">IF(Assumptions!$L$25=4,VLOOKUP($A113,'Henwood Reference'!$E$9:$R$320,11),(VLOOKUP($A113,PriceTableWeekend,7,0)+IF(BasisNumber&lt;&gt;1,VLOOKUP($A113,BasisTable,3,0),0)+P$1)/(1-P$2))</f>
        <v>22.1538527419289</v>
      </c>
      <c r="Q113" s="1599" t="n">
        <f aca="false">IF(Assumptions!$L$25=4,VLOOKUP($A113,'Henwood Reference'!$E$9:$R$320,11),(VLOOKUP($A113,PriceTableWeekend,8,0)+IF(BasisNumber&lt;&gt;1,VLOOKUP($A113,BasisTable,3,0),0)+Q$1)/(1-Q$2))</f>
        <v>22.1538527419289</v>
      </c>
      <c r="R113" s="1568" t="n">
        <f aca="false">IF(Assumptions!$L$25=4,VLOOKUP($A113,'Henwood Reference'!$E$9:$R$320,11),(VLOOKUP($A113,PriceTable,6,0)+IF(BasisNumber&lt;&gt;1,VLOOKUP($A113,BasisTable,3,0),0)+R$1)/(1-R$2))</f>
        <v>22.1538527419289</v>
      </c>
      <c r="S113" s="1568" t="n">
        <f aca="false">IF(Assumptions!$L$25=4,VLOOKUP($A113,'Henwood Reference'!$E$9:$R$320,11),(VLOOKUP($A113,PriceTable,7,0)+IF(BasisNumber&lt;&gt;1,VLOOKUP($A113,BasisTable,3,0),0)+S$1)/(1-S$2))</f>
        <v>22.1538527419289</v>
      </c>
      <c r="T113" s="1600" t="n">
        <f aca="false">IF(Assumptions!$L$25=4,VLOOKUP($A113,'Henwood Reference'!$E$9:$R$320,11),(VLOOKUP($A113,PriceTable,8,0)+IF(BasisNumber&lt;&gt;1,VLOOKUP($A113,BasisTable,3,0),0)+T$1)/(1-T$2))</f>
        <v>22.1538527419289</v>
      </c>
      <c r="U113" s="1513" t="n">
        <f aca="false">VLOOKUP($A113,VolatilityTable,14)</f>
        <v>0.13</v>
      </c>
      <c r="V113" s="1513" t="n">
        <f aca="false">VLOOKUP($A113,VolatilityTable,15)</f>
        <v>0.14</v>
      </c>
      <c r="W113" s="1514" t="n">
        <f aca="false">VLOOKUP($A113,VolatilityTable,16)</f>
        <v>0.15</v>
      </c>
      <c r="X113" s="1513" t="n">
        <f aca="false">VLOOKUP($A113,VolatilityTable,14)</f>
        <v>0.13</v>
      </c>
      <c r="Y113" s="1513" t="n">
        <f aca="false">VLOOKUP($A113,VolatilityTable,15)</f>
        <v>0.14</v>
      </c>
      <c r="Z113" s="1514" t="n">
        <f aca="false">VLOOKUP($A113,VolatilityTable,16)</f>
        <v>0.15</v>
      </c>
      <c r="AA113" s="1513" t="n">
        <f aca="false">VLOOKUP($A113,VolatilityTable,18)</f>
        <v>0.09</v>
      </c>
      <c r="AB113" s="1513" t="n">
        <f aca="false">VLOOKUP($A113,VolatilityTable,19)</f>
        <v>0.11</v>
      </c>
      <c r="AC113" s="1514" t="n">
        <f aca="false">VLOOKUP($A113,VolatilityTable,20)</f>
        <v>0.13</v>
      </c>
      <c r="AD113" s="1513" t="n">
        <f aca="false">VLOOKUP($A113,VolatilityTable,18)</f>
        <v>0.09</v>
      </c>
      <c r="AE113" s="1513" t="n">
        <f aca="false">VLOOKUP($A113,VolatilityTable,19)</f>
        <v>0.11</v>
      </c>
      <c r="AF113" s="1514" t="n">
        <f aca="false">VLOOKUP($A113,VolatilityTable,20)</f>
        <v>0.13</v>
      </c>
      <c r="AG113" s="1513" t="n">
        <f aca="false">VLOOKUP($A113,VolatilityTable,22)</f>
        <v>-0.1</v>
      </c>
      <c r="AH113" s="1513" t="n">
        <f aca="false">VLOOKUP($A113,VolatilityTable,23)</f>
        <v>0.65</v>
      </c>
      <c r="AI113" s="1514" t="n">
        <f aca="false">VLOOKUP($A113,VolatilityTable,24)</f>
        <v>0.1</v>
      </c>
      <c r="AJ113" s="1513" t="n">
        <f aca="false">VLOOKUP($A113,VolatilityTable,22)</f>
        <v>-0.1</v>
      </c>
      <c r="AK113" s="1513" t="n">
        <f aca="false">VLOOKUP($A113,VolatilityTable,23)</f>
        <v>0.65</v>
      </c>
      <c r="AL113" s="1514" t="n">
        <f aca="false">VLOOKUP($A113,VolatilityTable,24)</f>
        <v>0.1</v>
      </c>
      <c r="AM113" s="1513" t="n">
        <f aca="false">VLOOKUP($A113,VolatilityTable,26)</f>
        <v>-0.01</v>
      </c>
      <c r="AN113" s="1513" t="n">
        <f aca="false">VLOOKUP($A113,VolatilityTable,27)</f>
        <v>0.16</v>
      </c>
      <c r="AO113" s="1514" t="n">
        <f aca="false">VLOOKUP($A113,VolatilityTable,28)</f>
        <v>0.01</v>
      </c>
      <c r="AP113" s="1513" t="n">
        <f aca="false">VLOOKUP($A113,VolatilityTable,26)</f>
        <v>-0.01</v>
      </c>
      <c r="AQ113" s="1513" t="n">
        <f aca="false">VLOOKUP($A113,VolatilityTable,27)</f>
        <v>0.16</v>
      </c>
      <c r="AR113" s="1515" t="n">
        <f aca="false">VLOOKUP($A113,VolatilityTable,28)</f>
        <v>0.01</v>
      </c>
      <c r="AS113" s="1581" t="n">
        <f aca="false">IF(CorrPeakOffPeakOverFlag,INDEX(CorrPeakOffPeakOver,C113),CorrPeakOffPeak)</f>
        <v>0.5</v>
      </c>
      <c r="AT113" s="594" t="e">
        <f aca="false">AX113-SUM(AU113:AW113)</f>
        <v>#VALUE!</v>
      </c>
      <c r="AU113" s="238" t="e">
        <f aca="false">IF(E113="",0,INT((F113-MOD(F113,7)-E113)/7)+1-IF(AW113,IF(WEEKDAY(D113)=7,1,0),0))</f>
        <v>#VALUE!</v>
      </c>
      <c r="AV113" s="238" t="e">
        <f aca="false">IF(E113="",0,INT((F113-MOD(F113-1,7)-E113)/7)+1-IF(AW113,IF(WEEKDAY(D113)=1,1,0),0))</f>
        <v>#VALUE!</v>
      </c>
      <c r="AW113" s="238" t="e">
        <f aca="false">IF(OR(E113="",D113="",D113&lt;BegDate,D113&gt;EndDate),0,1)</f>
        <v>#VALUE!</v>
      </c>
      <c r="AX113" s="238" t="n">
        <f aca="false">IF(E113="",0,F113-E113+1)</f>
        <v>31</v>
      </c>
      <c r="AY113" s="1582" t="n">
        <f aca="false">IF(E113="",0,MIN((1-(1-VLOOKUP(B113,MAIN!$AA$7:$AM$28,C113+1))*(1-VLOOKUP(B113,MAIN!$AA$33:$AM$54,C113+1))),1))</f>
        <v>0.03</v>
      </c>
      <c r="AZ113" s="1519" t="e">
        <v>#VALUE!</v>
      </c>
      <c r="BA113" s="1520" t="e">
        <v>#VALUE!</v>
      </c>
      <c r="BB113" s="1520" t="e">
        <v>#VALUE!</v>
      </c>
      <c r="BC113" s="1583" t="e">
        <v>#VALUE!</v>
      </c>
      <c r="BD113" s="1522" t="e">
        <v>#VALUE!</v>
      </c>
      <c r="BE113" s="1523" t="e">
        <v>#VALUE!</v>
      </c>
      <c r="BF113" s="1523" t="e">
        <v>#VALUE!</v>
      </c>
      <c r="BG113" s="1584" t="e">
        <v>#VALUE!</v>
      </c>
      <c r="BH113" s="1525" t="e">
        <v>#VALUE!</v>
      </c>
      <c r="BI113" s="1520" t="e">
        <v>#VALUE!</v>
      </c>
      <c r="BJ113" s="1520" t="e">
        <v>#VALUE!</v>
      </c>
      <c r="BK113" s="1583" t="e">
        <v>#VALUE!</v>
      </c>
      <c r="BL113" s="1522" t="e">
        <v>#VALUE!</v>
      </c>
      <c r="BM113" s="1523" t="e">
        <v>#VALUE!</v>
      </c>
      <c r="BN113" s="1523" t="e">
        <v>#VALUE!</v>
      </c>
      <c r="BO113" s="1523" t="e">
        <v>#VALUE!</v>
      </c>
      <c r="BP113" s="1525" t="e">
        <f aca="false">SUM(AZ113:BB113)</f>
        <v>#VALUE!</v>
      </c>
      <c r="BQ113" s="1529" t="e">
        <f aca="false">SUM(AZ113:BC113)</f>
        <v>#VALUE!</v>
      </c>
      <c r="BR113" s="1519" t="e">
        <f aca="false">SUM(BH113:BJ113)</f>
        <v>#VALUE!</v>
      </c>
      <c r="BS113" s="1529" t="e">
        <f aca="false">SUM(BH113:BK113)</f>
        <v>#VALUE!</v>
      </c>
      <c r="BT113" s="1316" t="n">
        <f aca="false">(IF(OVolType&lt;&gt;2,A113+14,IF(OptExpDateShift,ShiftBack(A113,OptExpDateShift,D112),A113))-DateToday)/365.25</f>
        <v>8.04654346338125</v>
      </c>
      <c r="BU113" s="1585" t="e">
        <f aca="false">IF(BQ113,IF(OPriceCurve,IF(OBuySell=OCallPut,I113/(1-AY113),K113/(1-AY113)),J113/(1-AY113))*BD113,0)</f>
        <v>#VALUE!</v>
      </c>
      <c r="BV113" s="1316" t="e">
        <f aca="false">IF(BQ113,IF(OPriceCurve,IF(OBuySell=OCallPut,L113/(1-AY113),N113/(1-AY113)),M113/(1-AY113))*BE113,0)</f>
        <v>#VALUE!</v>
      </c>
      <c r="BW113" s="1316" t="e">
        <f aca="false">IF(BQ113,IF(OPriceCurve,IF(OBuySell=OCallPut,O113/(1-AY113),Q113/(1-AY113)),P113/(1-AY113))*BF113,0)</f>
        <v>#VALUE!</v>
      </c>
      <c r="BX113" s="1316" t="e">
        <f aca="false">IF(BQ113,IF(OPriceCurve,IF(OBuySell=OCallPut,R113/(1-AY113),T113/(1-AY113)),S113/(1-AY113))*BG113,0)</f>
        <v>#VALUE!</v>
      </c>
      <c r="BY113" s="1316" t="e">
        <f aca="false">IF(BP113,(BU113*AZ113+BV113*BA113+BW113*BB113)/BP113,0)</f>
        <v>#VALUE!</v>
      </c>
      <c r="BZ113" s="1316" t="e">
        <f aca="false">IF(BQ113,(BY113*BP113+BX113*BC113)/BQ113,0)</f>
        <v>#VALUE!</v>
      </c>
      <c r="CA113" s="1531" t="e">
        <f aca="false">IF(BS113,IF(OPriceCurve,IF(OBuySell=OCallPut,I113/(1-AY113),K113/(1-AY113)),J113/(1-AY113))*BL113,0)</f>
        <v>#VALUE!</v>
      </c>
      <c r="CB113" s="1316" t="e">
        <f aca="false">IF(BS113,IF(OPriceCurve,IF(OBuySell=OCallPut,L113/(1-AY113),N113/(1-AY113)),M113/(1-AY113))*BM113,0)</f>
        <v>#VALUE!</v>
      </c>
      <c r="CC113" s="1316" t="e">
        <f aca="false">IF(BS113,IF(OPriceCurve,IF(OBuySell=OCallPut,O113/(1-AY113),Q113/(1-AY113)),P113/(1-AY113))*BN113,0)</f>
        <v>#VALUE!</v>
      </c>
      <c r="CD113" s="1316" t="e">
        <f aca="false">IF(BS113,IF(OPriceCurve,IF(OBuySell=OCallPut,R113/(1-AY113),T113/(1-AY113)),S113/(1-AY113))*BO113,0)</f>
        <v>#VALUE!</v>
      </c>
      <c r="CE113" s="1316" t="e">
        <f aca="false">IF(BR113,(BU113*BH113+BV113*BI113+BW113*BJ113)/BR113,0)</f>
        <v>#VALUE!</v>
      </c>
      <c r="CF113" s="1532" t="e">
        <f aca="false">IF(BS113,(CE113*BR113+CD113*BK113)/BS113,0)</f>
        <v>#VALUE!</v>
      </c>
      <c r="CG113" s="1586" t="e">
        <f aca="false">IF(OR(BQ113,BS113),IF(OVolType&lt;&gt;2,SQRT(IF(OVolOverMonthlyPeak,OVolOverMonthlyPeak,IF(OVolCurve,IF(OBuySell,U113,W113),V113))^2*(1-15/365.25/BT113)+IF(OVolOverDailyPeak,OVolOverDailyPeak,IF(OVolCurve,IF(OBuySell,AG113,AI113),AH113))^2*15/365.25/BT113),IF(OVolOverMonthlyPeak,OVolOverMonthlyPeak,IF(OVolCurve,IF(OBuySell,U113,W113),V113))),"")</f>
        <v>#VALUE!</v>
      </c>
      <c r="CH113" s="1587" t="e">
        <f aca="false">IF(OR(BQ113,BS113),IF(OVolType&lt;&gt;2,SQRT(IF(OVolOverMonthlyPeak,OVolOverMonthlyPeak,IF(OVolCurve,IF(OBuySell,X113,Z113),Y113))^2*(1-15/365.25/BT113)+IF(OVolOverDailyPeak,OVolOverDailyPeak,IF(OVolCurve,IF(OBuySell,AJ113,AL113),AK113))^2*15/365.25/BT113),IF(OVolOverMonthlyPeak,OVolOverMonthlyPeak,IF(OVolCurve,IF(OBuySell,X113,Z113),Y113))),"")</f>
        <v>#VALUE!</v>
      </c>
      <c r="CI113" s="1587" t="e">
        <f aca="false">IF(OR(BQ113,BS113),IF(OVolType&lt;&gt;2,SQRT(IF(OVolOverMonthlyPeak,OVolOverMonthlyPeak,IF(OVolCurve,IF(OBuySell,AA113,AC113),AB113))^2*(1-15/365.25/BT113)+IF(OVolOverDailyPeak,OVolOverDailyPeak,IF(OVolCurve,IF(OBuySell,AM113,AO113),AN113))^2*15/365.25/BT113),IF(OVolOverMonthlyPeak,OVolOverMonthlyPeak,IF(OVolCurve,IF(OBuySell,AA113,AC113),AB113))),"")</f>
        <v>#VALUE!</v>
      </c>
      <c r="CJ113" s="1587" t="e">
        <f aca="false">IF(BQ113,IF(BP113,SQRT(LN(1+((BU113*AZ113)^2*(EXP(CG113^2*BT113)-1)+(BV113*BA113)^2*(EXP(CH113^2*BT113)-1)+(BW113*BB113)^2*(EXP(CI113^2*BT113)-1)+2*BU113*AZ113*BV113*BA113*(EXP(CG113*CH113*BT113)-1)+2*BV113*BA113*BW113*BB113*(EXP(CH113*CI113*BT113)-1)+2*BW113*BB113*BU113*AZ113*(EXP(CI113*CG113*BT113)-1))/(BY113*BP113)^2)/BT113),0),"")</f>
        <v>#VALUE!</v>
      </c>
      <c r="CK113" s="1587" t="e">
        <f aca="false">IF(BS113,IF(BR113,SQRT(LN(1+((CA113*BH113)^2*(EXP(CG113^2*BT113)-1)+(CB113*BI113)^2*(EXP(CH113^2*BT113)-1)+(CC113*BJ113)^2*(EXP(CI113^2*BT113)-1)+2*CA113*BH113*CB113*BI113*(EXP(CG113*CH113*BT113)-1)+2*CB113*BI113*CC113*BJ113*(EXP(CH113*CI113*BT113)-1)+2*CC113*BJ113*CA113*BH113*(EXP(CI113*CG113*BT113)-1))/(CE113*BR113)^2)/BT113),0),"")</f>
        <v>#VALUE!</v>
      </c>
      <c r="CL113" s="1587" t="e">
        <f aca="false">IF(OR(BQ113,BS113),IF(OVolType&lt;&gt;2,SQRT(IF(OVolOverMonthlyOffPeak,OVolOverMonthlyOffPeak,IF(OVolCurve,IF(OBuySell,AD113,AF113),AE113))^2*(1-15/365.25/BT113)+IF(OVolOverDailyOffPeak,OVolOverDailyOffPeak,IF(OVolCurve,IF(OBuySell,AP113,AR113),AQ113))^2*15/365.25/BT113),IF(OVolOverMonthlyOffPeak,OVolOverMonthlyOffPeak,IF(OVolCurve,IF(OBuySell,AD113,AF113),AE113))),"")</f>
        <v>#VALUE!</v>
      </c>
      <c r="CM113" s="1587" t="e">
        <f aca="false">IF(BQ113,SQRT(LN(1+((BY113*BP113)^2*(EXP(CJ113^2*BT113)-1)+(BX113*BC113)^2*(EXP(CL113^2*BT113)-1)+2*BY113*BP113*BX113*BC113*(EXP(AS113*CJ113*CL113*BT113)-1))/(BY113*BP113+BX113*BC113)^2)/BT113),"")</f>
        <v>#VALUE!</v>
      </c>
      <c r="CN113" s="1588" t="e">
        <f aca="false">IF(BS113,SQRT(LN(1+((CE113*BR113)^2*(EXP(CK113^2*BT113)-1)+(CD113*BK113)^2*(EXP(CL113^2*BT113)-1)+2*CE113*BR113*CD113*BK113*(EXP(AS113*CK113*CL113*BT113)-1))/(CE113*BR113+CD113*BK113)^2)/BT113),"")</f>
        <v>#VALUE!</v>
      </c>
      <c r="CO113" s="1531" t="e">
        <f aca="false">IF(OR(BQ113,BS113),VLOOKUP(A113,GasTable,13)*HeatRatePeak*(1+VLOOKUP($B113,HeatRateDegradation,$C113+1))/1000,0)</f>
        <v>#VALUE!</v>
      </c>
      <c r="CP113" s="1316" t="e">
        <f aca="false">IF(OR(BQ113,BS113),VLOOKUP(A113,GasTable,13)*HeatRatePeak*(1+VLOOKUP($B113,HeatRateDegradation,$C113+1))/1000,0)</f>
        <v>#VALUE!</v>
      </c>
      <c r="CQ113" s="1316" t="e">
        <f aca="false">IF(OR(BQ113,BS113),VLOOKUP(A113,GasTable,13)*IF(EV113,HeatRatePeak,HeatRateOffPeak)*(1+VLOOKUP($B113,HeatRateDegradation,$C113+1))/1000,0)</f>
        <v>#VALUE!</v>
      </c>
      <c r="CR113" s="1316" t="e">
        <f aca="false">IF(OR(BQ113,BS113),VLOOKUP(A113,GasTable,13)*IF(EW113,HeatRatePeak,HeatRateOffPeak)*(1+VLOOKUP($B113,HeatRateDegradation,$C113+1))/1000,0)</f>
        <v>#VALUE!</v>
      </c>
      <c r="CS113" s="1589" t="e">
        <f aca="false">IF(BQ113,(CO113*AZ113+CP113*BA113+CQ113*BB113+CR113*BC113)/BQ113,0)</f>
        <v>#VALUE!</v>
      </c>
      <c r="CT113" s="1316" t="e">
        <f aca="false">IF(BS113,CO113,0)</f>
        <v>#VALUE!</v>
      </c>
      <c r="CU113" s="1590" t="e">
        <f aca="false">IF(OR(BQ113,BS113),VLOOKUP(A113,GasTable,14),"")</f>
        <v>#VALUE!</v>
      </c>
      <c r="CV113" s="1568" t="e">
        <f aca="false">IF(OR(BQ113,BS113),IF(CorrPowerGasOverFlag,INDEX(CorrPowerGasOver,C113),CorrPowerGas),"")</f>
        <v>#VALUE!</v>
      </c>
      <c r="CW113" s="1316" t="e">
        <f aca="false">IF(OR($BQ113,$BS113),SpreadOptPowerMargin,0)*((1+Assumptions!$C$26)^($B113-YEAR(Assumptions!$C$17)))</f>
        <v>#VALUE!</v>
      </c>
      <c r="CX113" s="1316" t="e">
        <f aca="false">IF(OR($BQ113,$BS113),SpreadOptPowerMargin,0)*((1+Assumptions!$C$26)^($B113-YEAR(Assumptions!$C$17)))</f>
        <v>#VALUE!</v>
      </c>
      <c r="CY113" s="1316" t="e">
        <f aca="false">IF(OR($BQ113,$BS113),SpreadOptPowerMargin,0)*((1+Assumptions!$C$26)^($B113-YEAR(Assumptions!$C$17)))</f>
        <v>#VALUE!</v>
      </c>
      <c r="CZ113" s="1316" t="e">
        <f aca="false">IF(OR($BQ113,$BS113),SpreadOptPowerMargin,0)*((1+Assumptions!$C$26)^($B113-YEAR(Assumptions!$C$17)))</f>
        <v>#VALUE!</v>
      </c>
      <c r="DA113" s="1591" t="e">
        <f aca="false">IF(OR(BQ113,BS113),(CW113*(AZ113+BH113)+CX113*(BA113+BI113)+CY113*(BB113+BJ113)+CZ113*(BC113+BK113))/(BQ113+BS113),0)</f>
        <v>#VALUE!</v>
      </c>
      <c r="DB113" s="1592" t="e">
        <f aca="false">IF(OR(BQ113,BS113),CG113+IF(OVolSmile,VLOOKUP(MAX(-5,CO113+CW113-BU113),IF(OVolSmile=1,VolSmileBook,VolSmileModel),2),0),"")</f>
        <v>#VALUE!</v>
      </c>
      <c r="DC113" s="1592" t="e">
        <f aca="false">IF(OR(BQ113,BS113),CH113+IF(OVolSmile,VLOOKUP(MAX(-5,CP113+CW113-BV113),IF(OVolSmile=1,VolSmileBook,VolSmileModel),2),0),"")</f>
        <v>#VALUE!</v>
      </c>
      <c r="DD113" s="1592" t="e">
        <f aca="false">IF(OR(BQ113,BS113),CI113+IF(OVolSmile,VLOOKUP(MAX(-5,CQ113+CW113-BW113),IF(OVolSmile=1,VolSmileBook,VolSmileModel),2),0),"")</f>
        <v>#VALUE!</v>
      </c>
      <c r="DE113" s="1592" t="e">
        <f aca="false">IF(OR(BQ113,BS113),CL113+IF(OVolSmile,VLOOKUP(MAX(-5,CR113+CZ113-BX113),IF(OVolSmile=1,VolSmileBook,VolSmileModel),2),0),"")</f>
        <v>#VALUE!</v>
      </c>
      <c r="DF113" s="1592" t="e">
        <f aca="false">IF(BQ113,CM113+IF(OVolSmile,VLOOKUP(MAX(-5,CS113+DA113-BZ113),IF(OVolSmile=1,VolSmileBook,VolSmileModel),2),0),"")</f>
        <v>#VALUE!</v>
      </c>
      <c r="DG113" s="1593" t="e">
        <f aca="false">IF(BS113,CN113+IF(OVolSmile,VLOOKUP(MAX(-5,CT113+DA113-CF113),IF(OVolSmile=1,VolSmileBook,VolSmileModel),2),0),"")</f>
        <v>#VALUE!</v>
      </c>
      <c r="DH113" s="1316" t="e">
        <f aca="false">IF(AND(BU113&gt;0,CO113&gt;0,DB113&gt;0,CU113&gt;0),newSPRDOPT(BU113,CO113,CW113,0,DB113,CU113,CV113,BT113*365.25,OCallPut,0),0)</f>
        <v>#VALUE!</v>
      </c>
      <c r="DI113" s="1316" t="e">
        <f aca="false">IF(AND(BV113&gt;0,CP113&gt;0,DC113&gt;0,CU113&gt;0),newSPRDOPT(BV113,CP113,CX113,0,DC113,CU113,CV113,BT113*365.25,OCallPut,0),0)</f>
        <v>#VALUE!</v>
      </c>
      <c r="DJ113" s="1316" t="e">
        <f aca="false">IF(AND(BW113&gt;0,CQ113&gt;0,DD113&gt;0,CU113&gt;0),newSPRDOPT(BW113,CQ113,CY113,0,DD113,CU113,CV113,BT113*365.25,OCallPut,0),0)</f>
        <v>#VALUE!</v>
      </c>
      <c r="DK113" s="1316" t="e">
        <f aca="false">IF(AND(BX113&gt;0,CR113&gt;0,DE113&gt;0,CU113&gt;0),newSPRDOPT(BX113,CR113,CZ113,0,DE113,CU113,CV113,BT113*365.25,OCallPut,0),0)</f>
        <v>#VALUE!</v>
      </c>
      <c r="DL113" s="1316" t="e">
        <f aca="false">IF(OVolType,IF(AND(BZ113&gt;0,CS113&gt;0,DF113&gt;0,CU113&gt;0),newSPRDOPT(BZ113,CS113,DA113,0,DF113,CU113,CV113,BT113*365.25,OCallPut,0),0),IF(BQ113,(DH113*AZ113+DI113*BA113+DJ113*BB113+DK113*BC113)/BQ113,0))</f>
        <v>#VALUE!</v>
      </c>
      <c r="DM113" s="1316"/>
      <c r="DN113" s="1316"/>
      <c r="DO113" s="1316"/>
      <c r="DP113" s="1316"/>
      <c r="DQ113" s="1316"/>
      <c r="DR113" s="1316"/>
      <c r="DS113" s="1316"/>
      <c r="DT113" s="1316"/>
      <c r="DU113" s="1316"/>
      <c r="DV113" s="1316"/>
      <c r="DW113" s="1594" t="e">
        <f aca="false">IF(AND(BW113&gt;0,CT113&gt;0,DD113&gt;0,CU113&gt;0),newSPRDOPT(BW113,CT113,CY113,0,DD113,CU113,CV113,BT113*365.25,OCallPut,0),0)</f>
        <v>#VALUE!</v>
      </c>
      <c r="DX113" s="1316" t="e">
        <f aca="false">IF(AND(BX113&gt;0,CT113&gt;0,DE113&gt;0,CU113&gt;0),newSPRDOPT(BX113,CT113,CZ113,0,DE113,CU113,CV113,BT113*365.25,OCallPut,0),0)</f>
        <v>#VALUE!</v>
      </c>
      <c r="DY113" s="1591" t="e">
        <f aca="false">IF(BS113,(DH113*BH113+DI113*BI113+DW113*BJ113+DX113*BK113)/BS113,0)</f>
        <v>#VALUE!</v>
      </c>
      <c r="DZ113" s="1551" t="e">
        <f aca="false">DH113*AZ113</f>
        <v>#VALUE!</v>
      </c>
      <c r="EA113" s="1551" t="e">
        <f aca="false">DI113*BA113</f>
        <v>#VALUE!</v>
      </c>
      <c r="EB113" s="1551" t="e">
        <f aca="false">DJ113*BB113</f>
        <v>#VALUE!</v>
      </c>
      <c r="EC113" s="1551" t="e">
        <f aca="false">DK113*BC113</f>
        <v>#VALUE!</v>
      </c>
      <c r="ED113" s="1551" t="e">
        <f aca="false">DL113*BQ113</f>
        <v>#VALUE!</v>
      </c>
      <c r="EE113" s="1595" t="e">
        <f aca="false">IF(BQ113,IF(OCallPut,IF(BU113&gt;(CO113+CW113),BU113-(CO113+CW113),0),IF((CO113+CW113)&gt;BU113,(CO113+CW113)-BU113,0))*AZ113,0)</f>
        <v>#VALUE!</v>
      </c>
      <c r="EF113" s="1596" t="e">
        <f aca="false">IF(BQ113,IF(OCallPut,IF(BV113&gt;(CP113+CX113),BV113-(CP113+CX113),0),IF((CP113+CX113)&gt;BV113,(CP113+CX113)-BV113,0))*BA113,0)</f>
        <v>#VALUE!</v>
      </c>
      <c r="EG113" s="1596" t="e">
        <f aca="false">IF(BQ113,IF(OCallPut,IF(BW113&gt;(CQ113+CY113),BW113-(CQ113+CY113),0),IF((CQ113+CY113)&gt;BW113,(CQ113+CY113)-BW113,0))*BB113,0)</f>
        <v>#VALUE!</v>
      </c>
      <c r="EH113" s="1596" t="e">
        <f aca="false">IF(BQ113,IF(OCallPut,IF(BX113&gt;(CR113+CZ113),BX113-(CR113+CZ113),0),IF((CR113+CZ113)&gt;BX113,(CR113+CZ113)-BX113,0))*BC113,0)</f>
        <v>#VALUE!</v>
      </c>
      <c r="EI113" s="1597" t="e">
        <f aca="false">IF(BQ113,IF(OVolType,IF(OCallPut,IF(BZ113&gt;(CS113+DA113),BZ113-(CS113+DA113),0),IF((CS113+DA113)&gt;BZ113,(CS113+DA113)-BZ113,0))*BQ113,SUM(EE113:EH113)),0)</f>
        <v>#VALUE!</v>
      </c>
      <c r="EJ113" s="1595" t="e">
        <f aca="false">DZ113-EE113</f>
        <v>#VALUE!</v>
      </c>
      <c r="EK113" s="1596" t="e">
        <f aca="false">EA113-EF113</f>
        <v>#VALUE!</v>
      </c>
      <c r="EL113" s="1596" t="e">
        <f aca="false">EB113-EG113</f>
        <v>#VALUE!</v>
      </c>
      <c r="EM113" s="1596" t="e">
        <f aca="false">EC113-EH113</f>
        <v>#VALUE!</v>
      </c>
      <c r="EN113" s="1597" t="e">
        <f aca="false">ED113-EI113</f>
        <v>#VALUE!</v>
      </c>
      <c r="EO113" s="1551" t="e">
        <f aca="false">DH113*BH113</f>
        <v>#VALUE!</v>
      </c>
      <c r="EP113" s="1551" t="e">
        <f aca="false">DI113*BI113</f>
        <v>#VALUE!</v>
      </c>
      <c r="EQ113" s="1551" t="e">
        <f aca="false">DW113*BJ113</f>
        <v>#VALUE!</v>
      </c>
      <c r="ER113" s="1551" t="e">
        <f aca="false">DX113*BK113</f>
        <v>#VALUE!</v>
      </c>
      <c r="ES113" s="1551" t="e">
        <f aca="false">DY113*BS113</f>
        <v>#VALUE!</v>
      </c>
      <c r="ET113" s="1566" t="e">
        <f aca="false">IF(EI113,IF(OCallPut,IF(CA113&gt;(CT113+CW113),CA113-(CT113+CW113),0),IF((CT113+CW113)&gt;CA113,(CT113+CW113)-CA113,0))*BH113,0)</f>
        <v>#VALUE!</v>
      </c>
      <c r="EU113" s="1551" t="e">
        <f aca="false">IF(EI113,IF(OCallPut,IF(CB113&gt;(CT113+CX113),CB113-(CT113+CX113),0),IF((CT113+CX113)&gt;CB113,(CT113+CX113)-CB113,0))*BI113,0)</f>
        <v>#VALUE!</v>
      </c>
      <c r="EV113" s="1551" t="e">
        <f aca="false">IF(EI113,IF(OCallPut,IF(CC113&gt;(CT113+CY113),CC113-(CT113+CY113),0),IF((CT113+CY113)&gt;CC113,(CT113+CY113)-CC113,0))*BJ113,0)</f>
        <v>#VALUE!</v>
      </c>
      <c r="EW113" s="1551" t="e">
        <f aca="false">IF(EI113,IF(OCallPut,IF(CD113&gt;(CT113+CZ113),CD113-(CT113+CZ113),0),IF((CT113+CZ113)&gt;CD113,(CT113+CZ113)-CD113,0))*BK113,0)</f>
        <v>#VALUE!</v>
      </c>
      <c r="EX113" s="1558" t="e">
        <f aca="false">IF(EI113,SUM(ET113:EW113),0)</f>
        <v>#VALUE!</v>
      </c>
      <c r="EY113" s="1551" t="e">
        <f aca="false">EO113-ET113</f>
        <v>#VALUE!</v>
      </c>
      <c r="EZ113" s="1551" t="e">
        <f aca="false">EP113-EU113</f>
        <v>#VALUE!</v>
      </c>
      <c r="FA113" s="1551" t="e">
        <f aca="false">EQ113-EV113</f>
        <v>#VALUE!</v>
      </c>
      <c r="FB113" s="1551" t="e">
        <f aca="false">ER113-EW113</f>
        <v>#VALUE!</v>
      </c>
      <c r="FC113" s="1551" t="e">
        <f aca="false">ES113-EX113</f>
        <v>#VALUE!</v>
      </c>
      <c r="FD113" s="1525" t="n">
        <f aca="false">IF(AX113,IF(VLOOKUP(C113,MAIN!$L$17:$M$28,2)="Yes",VLOOKUP(CALC!B113,MAIN!$H$17:$I$20,2),0),0)</f>
        <v>0</v>
      </c>
      <c r="FE113" s="1552" t="e">
        <f aca="false">$FD113*16*AT113*(1-$AY113)</f>
        <v>#VALUE!</v>
      </c>
      <c r="FF113" s="1553" t="e">
        <f aca="false">$FD113*16*AU113*(1-$AY113)</f>
        <v>#VALUE!</v>
      </c>
      <c r="FG113" s="1553" t="e">
        <f aca="false">$FD113*16*(AV113+AW113)*(1-$AY113)</f>
        <v>#VALUE!</v>
      </c>
      <c r="FH113" s="1554" t="n">
        <f aca="false">$FD113*8*AX113*(1-$AY113)</f>
        <v>0</v>
      </c>
      <c r="FI113" s="1555" t="n">
        <f aca="false">IF(AX113,VLOOKUP(CALC!B113,MAIN!$H$17:$K$20,4),0)</f>
        <v>0</v>
      </c>
      <c r="FJ113" s="1553" t="e">
        <f aca="false">SUM(FE113:FH113)</f>
        <v>#VALUE!</v>
      </c>
      <c r="FK113" s="1556" t="e">
        <f aca="false">FI113*FJ113</f>
        <v>#VALUE!</v>
      </c>
      <c r="FL113" s="1551" t="e">
        <f aca="false">IF($EI113&gt;0,MIN(FE113,AZ113*(1+VLOOKUP($C113,WeatherCapacityAdjustment,2))),0)</f>
        <v>#VALUE!</v>
      </c>
      <c r="FM113" s="1551" t="e">
        <f aca="false">IF($EI113&gt;0,MIN(FF113,BA113*(1+VLOOKUP($C113,WeatherCapacityAdjustment,2))),0)</f>
        <v>#VALUE!</v>
      </c>
      <c r="FN113" s="1551" t="e">
        <f aca="false">IF($EI113&gt;0,MIN(FG113,BB113*(1+VLOOKUP($C113,WeatherCapacityAdjustment,2))),0)</f>
        <v>#VALUE!</v>
      </c>
      <c r="FO113" s="1564" t="e">
        <f aca="false">IF($EI113&gt;0,MIN(FH113,BC113*(1+VLOOKUP($C113,WeatherCapacityAdjustment,3))),0)</f>
        <v>#VALUE!</v>
      </c>
      <c r="FP113" s="1551" t="e">
        <f aca="false">IF(ET113&gt;0,MIN(FE113-FL113,BH113*(1+VLOOKUP($C113,WeatherCapacityAdjustment,2))),0)</f>
        <v>#VALUE!</v>
      </c>
      <c r="FQ113" s="1551" t="e">
        <f aca="false">IF(EU113&gt;0,MIN(FF113-FM113,BI113*(1+VLOOKUP($C113,WeatherCapacityAdjustment,2))),0)</f>
        <v>#VALUE!</v>
      </c>
      <c r="FR113" s="1551" t="e">
        <f aca="false">IF(EV113&gt;0,MIN(FG113-FN113,BJ113*(1+VLOOKUP($C113,WeatherCapacityAdjustment,2))),0)</f>
        <v>#VALUE!</v>
      </c>
      <c r="FS113" s="1558" t="e">
        <f aca="false">IF(EW113&gt;0,MIN(FH113-FO113,BK113*(1+VLOOKUP($C113,WeatherCapacityAdjustment,3))),0)</f>
        <v>#VALUE!</v>
      </c>
      <c r="FT113" s="1566" t="e">
        <f aca="false">IF(AND(Assumptions!$H$71="Yes",A113&gt;=Assumptions!$H$72,A113&lt;=Assumptions!$H$73),0,IF(AND($A113&gt;=Assumptions!$C$17,$A113&lt;=Assumptions!$C$18),MAX(AZ113*(1+VLOOKUP($C113,WeatherCapacityAdjustment,2))-FL113,0),0))</f>
        <v>#VALUE!</v>
      </c>
      <c r="FU113" s="1551" t="e">
        <f aca="false">IF(AND(Assumptions!$H$71="Yes",A113&gt;=Assumptions!$H$72,A113&lt;=Assumptions!$H$73),0,IF(AND($A113&gt;=Assumptions!$C$17,$A113&lt;=Assumptions!$C$18),MAX(BA113*(1+VLOOKUP($C113,WeatherCapacityAdjustment,2))-FM113,0),0))</f>
        <v>#VALUE!</v>
      </c>
      <c r="FV113" s="1551" t="e">
        <f aca="false">IF(AND(Assumptions!$H$71="Yes",A113&gt;=Assumptions!$H$72,A113&lt;=Assumptions!$H$73),0,IF(AND($A113&gt;=Assumptions!$C$17,$A113&lt;=Assumptions!$C$18),MAX(BB113*(1+VLOOKUP($C113,WeatherCapacityAdjustment,2))-FN113,0),0))</f>
        <v>#VALUE!</v>
      </c>
      <c r="FW113" s="1564" t="e">
        <f aca="false">IF(AND(Assumptions!$H$71="Yes",A113&gt;=Assumptions!$H$72,A113&lt;=Assumptions!$H$73),0,IF(AND($A113&gt;=Assumptions!$C$17,$A113&lt;=Assumptions!$C$18),MAX(BC113*(1+VLOOKUP($C113,WeatherCapacityAdjustment,3))-FO113,0),0))</f>
        <v>#VALUE!</v>
      </c>
      <c r="FX113" s="1569" t="e">
        <f aca="false">IF(AND(Assumptions!$H$71="Yes",A113&gt;=Assumptions!$H$72,A113&lt;=Assumptions!$H$73),0,IF(ET113&gt;0,MAX(BH113*(1+VLOOKUP($C113,WeatherCapacityAdjustment,2))-FP113,0),0))</f>
        <v>#VALUE!</v>
      </c>
      <c r="FY113" s="1551" t="e">
        <f aca="false">IF(AND(Assumptions!$H$71="Yes",A113&gt;=Assumptions!$H$72,A113&lt;=Assumptions!$H$73),0,IF(EU113&gt;0,MAX(BI113*(1+VLOOKUP($C113,WeatherCapacityAdjustment,3))-FQ113,0),0))</f>
        <v>#VALUE!</v>
      </c>
      <c r="FZ113" s="1551" t="e">
        <f aca="false">IF(AND(Assumptions!$H$71="Yes",A113&gt;=Assumptions!$H$72,A113&lt;=Assumptions!$H$73),0,IF(EV113&gt;0,MAX(BJ113*(1+VLOOKUP($C113,WeatherCapacityAdjustment,2))-FR113,0),0))</f>
        <v>#VALUE!</v>
      </c>
      <c r="GA113" s="1564" t="e">
        <f aca="false">IF(AND(Assumptions!$H$71="Yes",A113&gt;=Assumptions!$H$72,A113&lt;=Assumptions!$H$73),0,IF(EW113&gt;0,MAX(BK113*(1+VLOOKUP($C113,WeatherCapacityAdjustment,2))-FS113,0),0))</f>
        <v>#VALUE!</v>
      </c>
      <c r="GB113" s="1551" t="e">
        <f aca="false">SUM(FT113:GA113)</f>
        <v>#VALUE!</v>
      </c>
      <c r="GC113" s="1563" t="e">
        <f aca="false">+IF(SUM(FT113:GA113)=0,0,(SUMPRODUCT(BU113:BX113,FT113:FW113)+SUMPRODUCT(CA113:CD113,FX113:GA113))/SUM(FT113:GA113))</f>
        <v>#VALUE!</v>
      </c>
      <c r="GD113" s="1551" t="e">
        <f aca="false">(FT113*BU113+FX113*CA113+FU113*BV113+FY113*CB113+FV113*BW113+FZ113*CC113+FW113*BX113+GA113*CD113)</f>
        <v>#VALUE!</v>
      </c>
      <c r="GE113" s="1561" t="e">
        <f aca="false">+IF(BQ113,((FL113+FM113+FT113+FU113)*HeatRatePeak/1000*(1+VLOOKUP($C113,WeatherHeatRateAdjustment,2))+(FN113+FV113)*IF(EV113&gt;0,HeatRatePeak,HeatRateOffPeak)/1000*(1+VLOOKUP($C113,WeatherHeatRateAdjustment,2))+(FO113+FW113)*IF(EW113&gt;0,HeatRatePeak,HeatRateOffPeak)/1000*(1+VLOOKUP($C113,WeatherHeatRateAdjustment,3)))*(1+VLOOKUP($B113,HeatRateDegradation,$C113+1)),0)</f>
        <v>#VALUE!</v>
      </c>
      <c r="GF113" s="1562" t="e">
        <f aca="false">IF(BQ113,((FP113+FQ113+FR113+FX113+FY113+FZ113)*HeatRatePeak/1000*(1+VLOOKUP($C113,WeatherHeatRateAdjustment,2))+(FS113+GA113)*HeatRatePeak/1000*(1+VLOOKUP($C113,WeatherHeatRateAdjustment,3)))*(1+VLOOKUP($B113,HeatRateDegradation,$C113+1)),0)</f>
        <v>#VALUE!</v>
      </c>
      <c r="GG113" s="1563" t="e">
        <f aca="false">IF(BQ113,VLOOKUP(A113,GasTable,13),0)</f>
        <v>#VALUE!</v>
      </c>
      <c r="GH113" s="1564" t="e">
        <f aca="false">(GE113+GF113)*GG113</f>
        <v>#VALUE!</v>
      </c>
      <c r="GI113" s="1569" t="e">
        <f aca="false">GB113</f>
        <v>#VALUE!</v>
      </c>
      <c r="GJ113" s="1598" t="e">
        <f aca="false">+DA113</f>
        <v>#VALUE!</v>
      </c>
      <c r="GK113" s="1558" t="e">
        <f aca="false">+GI113*GJ113</f>
        <v>#VALUE!</v>
      </c>
      <c r="GL113" s="1566" t="e">
        <f aca="false">MAX(FE113-FL113-FP113,0)</f>
        <v>#VALUE!</v>
      </c>
      <c r="GM113" s="1551" t="e">
        <f aca="false">MAX(FF113-FM113-FQ113,0)</f>
        <v>#VALUE!</v>
      </c>
      <c r="GN113" s="1551" t="e">
        <f aca="false">MAX(FG113-FN113-FR113,0)</f>
        <v>#VALUE!</v>
      </c>
      <c r="GO113" s="1564" t="e">
        <f aca="false">MAX(FH113-FO113-FS113,0)</f>
        <v>#VALUE!</v>
      </c>
      <c r="GP113" s="1551" t="e">
        <f aca="false">SUM(GL113:GO113)</f>
        <v>#VALUE!</v>
      </c>
      <c r="GQ113" s="1563" t="e">
        <f aca="false">IF(SUM(GL113:GO113)=0,0,((GL113*BU113+GM113*BV113+GN113*BW113+GO113*BX113)/SUM(GL113:GO113)))</f>
        <v>#VALUE!</v>
      </c>
      <c r="GR113" s="1558" t="e">
        <f aca="false">(GL113*BU113+GM113*BV113+GN113*BW113+GO113*BX113)</f>
        <v>#VALUE!</v>
      </c>
      <c r="GS113" s="1566" t="n">
        <f aca="false">IF($A113&gt;=BegDate,Assumptions!$C$56*24*($A114-$A113)*(1-VLOOKUP($B113,MAIN!$AA$7:$AM$28,$C113+1))*(1-VLOOKUP($B113,MAIN!$AA$33:$AM$54,$C113+1)),0)*80/168</f>
        <v>257742.857142857</v>
      </c>
      <c r="GT113" s="286" t="n">
        <f aca="false">J113</f>
        <v>36.6128324991255</v>
      </c>
      <c r="GU113" s="286" t="n">
        <f aca="false">IF($A113&gt;=BegDate,VLOOKUP($A113,GasTable,13)+Assumptions!$C$58,0)</f>
        <v>2.57732573252995</v>
      </c>
      <c r="GV113" s="286" t="n">
        <f aca="false">GU113*Assumptions!$C$57/1000</f>
        <v>18.6856115608421</v>
      </c>
      <c r="GW113" s="1558" t="n">
        <f aca="false">IF(Assumptions!$C$60="Hourly",MAX(0,GS113*(GT113-GV113)),GS113*(GT113-GV113))</f>
        <v>4620613.14526441</v>
      </c>
      <c r="GX113" s="1566" t="n">
        <f aca="false">IF($A113&gt;=BegDate,Assumptions!$C$56*24*($A114-$A113)*(1-VLOOKUP($B113,MAIN!$AA$7:$AM$28,$C113+1))*(1-VLOOKUP($B113,MAIN!$AA$33:$AM$54,$C113+1)),0)*16/168</f>
        <v>51548.5714285714</v>
      </c>
      <c r="GY113" s="286" t="n">
        <f aca="false">M113</f>
        <v>36.6128324991255</v>
      </c>
      <c r="GZ113" s="286" t="n">
        <f aca="false">IF($A113&gt;=BegDate,VLOOKUP($A113,GasTable,13)+Assumptions!$C$58,0)</f>
        <v>2.57732573252995</v>
      </c>
      <c r="HA113" s="286" t="n">
        <f aca="false">GZ113*Assumptions!$C$57/1000</f>
        <v>18.6856115608421</v>
      </c>
      <c r="HB113" s="1558" t="n">
        <f aca="false">IF(Assumptions!$C$60="Hourly",MAX(0,GX113*(GY113-HA113)),GX113*(GY113-HA113))</f>
        <v>924122.629052882</v>
      </c>
      <c r="HC113" s="1566" t="n">
        <f aca="false">IF($A113&gt;=BegDate,Assumptions!$C$56*24*($A114-$A113)*(1-VLOOKUP($B113,MAIN!$AA$7:$AM$28,$C113+1))*(1-VLOOKUP($B113,MAIN!$AA$33:$AM$54,$C113+1)),0)*16/168</f>
        <v>51548.5714285714</v>
      </c>
      <c r="HD113" s="286" t="n">
        <f aca="false">P113</f>
        <v>22.1538527419289</v>
      </c>
      <c r="HE113" s="286" t="n">
        <f aca="false">IF($A113&gt;=BegDate,VLOOKUP($A113,GasTable,13)+Assumptions!$C$58,0)</f>
        <v>2.57732573252995</v>
      </c>
      <c r="HF113" s="286" t="n">
        <f aca="false">HE113*Assumptions!$C$57/1000</f>
        <v>18.6856115608421</v>
      </c>
      <c r="HG113" s="1558" t="n">
        <f aca="false">IF(Assumptions!$C$60="Hourly",MAX(0,HC113*(HD113-HF113)),HC113*(HD113-HF113))</f>
        <v>178782.878254767</v>
      </c>
      <c r="HH113" s="1566" t="n">
        <f aca="false">IF($A113&gt;=BegDate,Assumptions!$C$56*24*($A114-$A113)*(1-VLOOKUP($B113,MAIN!$AA$7:$AM$28,$C113+1))*(1-VLOOKUP($B113,MAIN!$AA$33:$AM$54,$C113+1)),0)*56/168</f>
        <v>180420</v>
      </c>
      <c r="HI113" s="286" t="n">
        <f aca="false">S113</f>
        <v>22.1538527419289</v>
      </c>
      <c r="HJ113" s="286" t="n">
        <f aca="false">IF($A113&gt;=BegDate,VLOOKUP($A113,GasTable,13)+Assumptions!$C$58,0)</f>
        <v>2.57732573252995</v>
      </c>
      <c r="HK113" s="286" t="n">
        <f aca="false">HJ113*Assumptions!$C$57/1000</f>
        <v>18.6856115608421</v>
      </c>
      <c r="HL113" s="1558" t="n">
        <f aca="false">IF(Assumptions!$C$60="Hourly",MAX(0,HH113*(HI113-HK113)),HH113*(HI113-HK113))</f>
        <v>625740.073891685</v>
      </c>
      <c r="HM113" s="1566" t="n">
        <f aca="false">IF(AND(Assumptions!$H$71="Yes",A113&gt;=Assumptions!$H$72,A113&lt;=Assumptions!$H$73),Assumptions!$H$74*Assumptions!$C$9*1000,0)</f>
        <v>0</v>
      </c>
      <c r="HN113" s="1551"/>
      <c r="HO113" s="1563"/>
      <c r="HP113" s="1563"/>
      <c r="HQ113" s="1563"/>
      <c r="HR113" s="1563"/>
      <c r="HS113" s="1563"/>
      <c r="HT113" s="1563"/>
      <c r="HU113" s="1563"/>
      <c r="HV113" s="1563"/>
      <c r="HW113" s="1563"/>
      <c r="HX113" s="1563"/>
      <c r="HY113" s="1563"/>
      <c r="HZ113" s="1563"/>
      <c r="IA113" s="1563"/>
      <c r="IB113" s="1563"/>
      <c r="IC113" s="1563"/>
      <c r="ID113" s="1563"/>
      <c r="IE113" s="1563"/>
      <c r="IF113" s="1563"/>
      <c r="IG113" s="1563"/>
      <c r="IH113" s="1563"/>
      <c r="II113" s="1610"/>
      <c r="IJ113" s="1309"/>
      <c r="IK113" s="1309"/>
    </row>
    <row r="114" customFormat="false" ht="12.75" hidden="false" customHeight="false" outlineLevel="0" collapsed="false">
      <c r="A114" s="1571" t="n">
        <f aca="false">EOMONTH(A113,0)+1</f>
        <v>39600</v>
      </c>
      <c r="B114" s="594" t="n">
        <f aca="false">+YEAR(A114)</f>
        <v>2008</v>
      </c>
      <c r="C114" s="238" t="n">
        <f aca="false">MONTH(A114)</f>
        <v>6</v>
      </c>
      <c r="D114" s="1572" t="e">
        <f aca="false">IF(E114="","",Holiday(B114,C114))</f>
        <v>#VALUE!</v>
      </c>
      <c r="E114" s="1573" t="n">
        <f aca="false">IF(OR(BegDate&gt;=A115,EndDate&lt;A114,AND(VolumeMonthlyOverFlag,INDEX(VolumeMonthlyOver,C114)=0),NOT(INDEX(MonthKnockOutTable,C114))),"",MAX(A114,BegDate))</f>
        <v>39600</v>
      </c>
      <c r="F114" s="1574" t="n">
        <f aca="false">IF(E114="","",MIN(A115-1,EndDate))</f>
        <v>39629</v>
      </c>
      <c r="G114" s="1575" t="n">
        <v>0</v>
      </c>
      <c r="H114" s="1576" t="n">
        <f aca="false">(1+G114/2)^(-2*(DATE(B115,C115,20)-DateToday)/365.25)</f>
        <v>1</v>
      </c>
      <c r="I114" s="1568" t="n">
        <f aca="false">IF(Assumptions!$L$25=4,VLOOKUP($A114,'Henwood Reference'!$E$9:$R$320,10),(VLOOKUP($A114,PriceTable,2,0)+IF(BasisNumber&lt;&gt;1,VLOOKUP($A114,BasisTable,2,0),0)+I$1)/(1-I$2))</f>
        <v>33.3899490398026</v>
      </c>
      <c r="J114" s="1568" t="n">
        <f aca="false">IF(Assumptions!$L$25=4,VLOOKUP($A114,'Henwood Reference'!$E$9:$R$320,10),(VLOOKUP($A114,PriceTable,3,0)+IF(BasisNumber&lt;&gt;1,VLOOKUP($A114,BasisTable,2,0),0)+J$1)/(1-J$2))</f>
        <v>33.3899490398026</v>
      </c>
      <c r="K114" s="1568" t="n">
        <f aca="false">IF(Assumptions!$L$25=4,VLOOKUP($A114,'Henwood Reference'!$E$9:$R$320,10),(VLOOKUP($A114,PriceTable,4,0)+IF(BasisNumber&lt;&gt;1,VLOOKUP($A114,BasisTable,2,0),0)+K$1)/(1-K$2))</f>
        <v>33.3899490398026</v>
      </c>
      <c r="L114" s="1523" t="n">
        <f aca="false">IF(Assumptions!$L$25=4,VLOOKUP($A114,'Henwood Reference'!$E$9:$R$320,10),(VLOOKUP($A114,PriceTableWeekend,2,0)+IF(BasisNumber&lt;&gt;1,VLOOKUP($A114,BasisTable,2,0),0)+L$1)/(1-L$2))</f>
        <v>33.3899490398026</v>
      </c>
      <c r="M114" s="1568" t="n">
        <f aca="false">IF(Assumptions!$L$25=4,VLOOKUP($A114,'Henwood Reference'!$E$9:$R$320,10),(VLOOKUP($A114,PriceTableWeekend,3,0)+IF(BasisNumber&lt;&gt;1,VLOOKUP($A114,BasisTable,2,0),0)+M$1)/(1-M$2))</f>
        <v>33.3899490398026</v>
      </c>
      <c r="N114" s="1599" t="n">
        <f aca="false">IF(Assumptions!$L$25=4,VLOOKUP($A114,'Henwood Reference'!$E$9:$R$320,10),(VLOOKUP($A114,PriceTableWeekend,4,0)+IF(BasisNumber&lt;&gt;1,VLOOKUP($A114,BasisTable,2,0),0)+N$1)/(1-N$2))</f>
        <v>33.3899490398026</v>
      </c>
      <c r="O114" s="1568" t="n">
        <f aca="false">IF(Assumptions!$L$25=4,VLOOKUP($A114,'Henwood Reference'!$E$9:$R$320,11),(VLOOKUP($A114,PriceTableWeekend,6,0)+IF(BasisNumber&lt;&gt;1,VLOOKUP($A114,BasisTable,3,0),0)+O$1)/(1-O$2))</f>
        <v>20.4119467401929</v>
      </c>
      <c r="P114" s="1568" t="n">
        <f aca="false">IF(Assumptions!$L$25=4,VLOOKUP($A114,'Henwood Reference'!$E$9:$R$320,11),(VLOOKUP($A114,PriceTableWeekend,7,0)+IF(BasisNumber&lt;&gt;1,VLOOKUP($A114,BasisTable,3,0),0)+P$1)/(1-P$2))</f>
        <v>20.4119467401929</v>
      </c>
      <c r="Q114" s="1599" t="n">
        <f aca="false">IF(Assumptions!$L$25=4,VLOOKUP($A114,'Henwood Reference'!$E$9:$R$320,11),(VLOOKUP($A114,PriceTableWeekend,8,0)+IF(BasisNumber&lt;&gt;1,VLOOKUP($A114,BasisTable,3,0),0)+Q$1)/(1-Q$2))</f>
        <v>20.4119467401929</v>
      </c>
      <c r="R114" s="1568" t="n">
        <f aca="false">IF(Assumptions!$L$25=4,VLOOKUP($A114,'Henwood Reference'!$E$9:$R$320,11),(VLOOKUP($A114,PriceTable,6,0)+IF(BasisNumber&lt;&gt;1,VLOOKUP($A114,BasisTable,3,0),0)+R$1)/(1-R$2))</f>
        <v>20.4119467401929</v>
      </c>
      <c r="S114" s="1568" t="n">
        <f aca="false">IF(Assumptions!$L$25=4,VLOOKUP($A114,'Henwood Reference'!$E$9:$R$320,11),(VLOOKUP($A114,PriceTable,7,0)+IF(BasisNumber&lt;&gt;1,VLOOKUP($A114,BasisTable,3,0),0)+S$1)/(1-S$2))</f>
        <v>20.4119467401929</v>
      </c>
      <c r="T114" s="1600" t="n">
        <f aca="false">IF(Assumptions!$L$25=4,VLOOKUP($A114,'Henwood Reference'!$E$9:$R$320,11),(VLOOKUP($A114,PriceTable,8,0)+IF(BasisNumber&lt;&gt;1,VLOOKUP($A114,BasisTable,3,0),0)+T$1)/(1-T$2))</f>
        <v>20.4119467401929</v>
      </c>
      <c r="U114" s="1513" t="n">
        <f aca="false">VLOOKUP($A114,VolatilityTable,14)</f>
        <v>0.13</v>
      </c>
      <c r="V114" s="1513" t="n">
        <f aca="false">VLOOKUP($A114,VolatilityTable,15)</f>
        <v>0.14</v>
      </c>
      <c r="W114" s="1514" t="n">
        <f aca="false">VLOOKUP($A114,VolatilityTable,16)</f>
        <v>0.15</v>
      </c>
      <c r="X114" s="1513" t="n">
        <f aca="false">VLOOKUP($A114,VolatilityTable,14)</f>
        <v>0.13</v>
      </c>
      <c r="Y114" s="1513" t="n">
        <f aca="false">VLOOKUP($A114,VolatilityTable,15)</f>
        <v>0.14</v>
      </c>
      <c r="Z114" s="1514" t="n">
        <f aca="false">VLOOKUP($A114,VolatilityTable,16)</f>
        <v>0.15</v>
      </c>
      <c r="AA114" s="1513" t="n">
        <f aca="false">VLOOKUP($A114,VolatilityTable,18)</f>
        <v>0.09</v>
      </c>
      <c r="AB114" s="1513" t="n">
        <f aca="false">VLOOKUP($A114,VolatilityTable,19)</f>
        <v>0.11</v>
      </c>
      <c r="AC114" s="1514" t="n">
        <f aca="false">VLOOKUP($A114,VolatilityTable,20)</f>
        <v>0.13</v>
      </c>
      <c r="AD114" s="1513" t="n">
        <f aca="false">VLOOKUP($A114,VolatilityTable,18)</f>
        <v>0.09</v>
      </c>
      <c r="AE114" s="1513" t="n">
        <f aca="false">VLOOKUP($A114,VolatilityTable,19)</f>
        <v>0.11</v>
      </c>
      <c r="AF114" s="1514" t="n">
        <f aca="false">VLOOKUP($A114,VolatilityTable,20)</f>
        <v>0.13</v>
      </c>
      <c r="AG114" s="1513" t="n">
        <f aca="false">VLOOKUP($A114,VolatilityTable,22)</f>
        <v>-0.35</v>
      </c>
      <c r="AH114" s="1513" t="n">
        <f aca="false">VLOOKUP($A114,VolatilityTable,23)</f>
        <v>0.65</v>
      </c>
      <c r="AI114" s="1514" t="n">
        <f aca="false">VLOOKUP($A114,VolatilityTable,24)</f>
        <v>0.2</v>
      </c>
      <c r="AJ114" s="1513" t="n">
        <f aca="false">VLOOKUP($A114,VolatilityTable,22)</f>
        <v>-0.35</v>
      </c>
      <c r="AK114" s="1513" t="n">
        <f aca="false">VLOOKUP($A114,VolatilityTable,23)</f>
        <v>0.65</v>
      </c>
      <c r="AL114" s="1514" t="n">
        <f aca="false">VLOOKUP($A114,VolatilityTable,24)</f>
        <v>0.2</v>
      </c>
      <c r="AM114" s="1513" t="n">
        <f aca="false">VLOOKUP($A114,VolatilityTable,26)</f>
        <v>-0.01</v>
      </c>
      <c r="AN114" s="1513" t="n">
        <f aca="false">VLOOKUP($A114,VolatilityTable,27)</f>
        <v>0.16</v>
      </c>
      <c r="AO114" s="1514" t="n">
        <f aca="false">VLOOKUP($A114,VolatilityTable,28)</f>
        <v>0.01</v>
      </c>
      <c r="AP114" s="1513" t="n">
        <f aca="false">VLOOKUP($A114,VolatilityTable,26)</f>
        <v>-0.01</v>
      </c>
      <c r="AQ114" s="1513" t="n">
        <f aca="false">VLOOKUP($A114,VolatilityTable,27)</f>
        <v>0.16</v>
      </c>
      <c r="AR114" s="1515" t="n">
        <f aca="false">VLOOKUP($A114,VolatilityTable,28)</f>
        <v>0.01</v>
      </c>
      <c r="AS114" s="1581" t="n">
        <f aca="false">IF(CorrPeakOffPeakOverFlag,INDEX(CorrPeakOffPeakOver,C114),CorrPeakOffPeak)</f>
        <v>0.5</v>
      </c>
      <c r="AT114" s="594" t="e">
        <f aca="false">AX114-SUM(AU114:AW114)</f>
        <v>#VALUE!</v>
      </c>
      <c r="AU114" s="238" t="e">
        <f aca="false">IF(E114="",0,INT((F114-MOD(F114,7)-E114)/7)+1-IF(AW114,IF(WEEKDAY(D114)=7,1,0),0))</f>
        <v>#VALUE!</v>
      </c>
      <c r="AV114" s="238" t="e">
        <f aca="false">IF(E114="",0,INT((F114-MOD(F114-1,7)-E114)/7)+1-IF(AW114,IF(WEEKDAY(D114)=1,1,0),0))</f>
        <v>#VALUE!</v>
      </c>
      <c r="AW114" s="238" t="e">
        <f aca="false">IF(OR(E114="",D114="",D114&lt;BegDate,D114&gt;EndDate),0,1)</f>
        <v>#VALUE!</v>
      </c>
      <c r="AX114" s="238" t="n">
        <f aca="false">IF(E114="",0,F114-E114+1)</f>
        <v>30</v>
      </c>
      <c r="AY114" s="1582" t="n">
        <f aca="false">IF(E114="",0,MIN((1-(1-VLOOKUP(B114,MAIN!$AA$7:$AM$28,C114+1))*(1-VLOOKUP(B114,MAIN!$AA$33:$AM$54,C114+1))),1))</f>
        <v>0.03</v>
      </c>
      <c r="AZ114" s="1519" t="e">
        <v>#VALUE!</v>
      </c>
      <c r="BA114" s="1520" t="e">
        <v>#VALUE!</v>
      </c>
      <c r="BB114" s="1520" t="e">
        <v>#VALUE!</v>
      </c>
      <c r="BC114" s="1583" t="e">
        <v>#VALUE!</v>
      </c>
      <c r="BD114" s="1522" t="e">
        <v>#VALUE!</v>
      </c>
      <c r="BE114" s="1523" t="e">
        <v>#VALUE!</v>
      </c>
      <c r="BF114" s="1523" t="e">
        <v>#VALUE!</v>
      </c>
      <c r="BG114" s="1584" t="e">
        <v>#VALUE!</v>
      </c>
      <c r="BH114" s="1525" t="e">
        <v>#VALUE!</v>
      </c>
      <c r="BI114" s="1520" t="e">
        <v>#VALUE!</v>
      </c>
      <c r="BJ114" s="1520" t="e">
        <v>#VALUE!</v>
      </c>
      <c r="BK114" s="1583" t="e">
        <v>#VALUE!</v>
      </c>
      <c r="BL114" s="1522" t="e">
        <v>#VALUE!</v>
      </c>
      <c r="BM114" s="1523" t="e">
        <v>#VALUE!</v>
      </c>
      <c r="BN114" s="1523" t="e">
        <v>#VALUE!</v>
      </c>
      <c r="BO114" s="1523" t="e">
        <v>#VALUE!</v>
      </c>
      <c r="BP114" s="1525" t="e">
        <f aca="false">SUM(AZ114:BB114)</f>
        <v>#VALUE!</v>
      </c>
      <c r="BQ114" s="1529" t="e">
        <f aca="false">SUM(AZ114:BC114)</f>
        <v>#VALUE!</v>
      </c>
      <c r="BR114" s="1519" t="e">
        <f aca="false">SUM(BH114:BJ114)</f>
        <v>#VALUE!</v>
      </c>
      <c r="BS114" s="1529" t="e">
        <f aca="false">SUM(BH114:BK114)</f>
        <v>#VALUE!</v>
      </c>
      <c r="BT114" s="1316" t="n">
        <f aca="false">(IF(OVolType&lt;&gt;2,A114+14,IF(OptExpDateShift,ShiftBack(A114,OptExpDateShift,D113),A114))-DateToday)/365.25</f>
        <v>8.13141683778234</v>
      </c>
      <c r="BU114" s="1585" t="e">
        <f aca="false">IF(BQ114,IF(OPriceCurve,IF(OBuySell=OCallPut,I114/(1-AY114),K114/(1-AY114)),J114/(1-AY114))*BD114,0)</f>
        <v>#VALUE!</v>
      </c>
      <c r="BV114" s="1316" t="e">
        <f aca="false">IF(BQ114,IF(OPriceCurve,IF(OBuySell=OCallPut,L114/(1-AY114),N114/(1-AY114)),M114/(1-AY114))*BE114,0)</f>
        <v>#VALUE!</v>
      </c>
      <c r="BW114" s="1316" t="e">
        <f aca="false">IF(BQ114,IF(OPriceCurve,IF(OBuySell=OCallPut,O114/(1-AY114),Q114/(1-AY114)),P114/(1-AY114))*BF114,0)</f>
        <v>#VALUE!</v>
      </c>
      <c r="BX114" s="1316" t="e">
        <f aca="false">IF(BQ114,IF(OPriceCurve,IF(OBuySell=OCallPut,R114/(1-AY114),T114/(1-AY114)),S114/(1-AY114))*BG114,0)</f>
        <v>#VALUE!</v>
      </c>
      <c r="BY114" s="1316" t="e">
        <f aca="false">IF(BP114,(BU114*AZ114+BV114*BA114+BW114*BB114)/BP114,0)</f>
        <v>#VALUE!</v>
      </c>
      <c r="BZ114" s="1316" t="e">
        <f aca="false">IF(BQ114,(BY114*BP114+BX114*BC114)/BQ114,0)</f>
        <v>#VALUE!</v>
      </c>
      <c r="CA114" s="1531" t="e">
        <f aca="false">IF(BS114,IF(OPriceCurve,IF(OBuySell=OCallPut,I114/(1-AY114),K114/(1-AY114)),J114/(1-AY114))*BL114,0)</f>
        <v>#VALUE!</v>
      </c>
      <c r="CB114" s="1316" t="e">
        <f aca="false">IF(BS114,IF(OPriceCurve,IF(OBuySell=OCallPut,L114/(1-AY114),N114/(1-AY114)),M114/(1-AY114))*BM114,0)</f>
        <v>#VALUE!</v>
      </c>
      <c r="CC114" s="1316" t="e">
        <f aca="false">IF(BS114,IF(OPriceCurve,IF(OBuySell=OCallPut,O114/(1-AY114),Q114/(1-AY114)),P114/(1-AY114))*BN114,0)</f>
        <v>#VALUE!</v>
      </c>
      <c r="CD114" s="1316" t="e">
        <f aca="false">IF(BS114,IF(OPriceCurve,IF(OBuySell=OCallPut,R114/(1-AY114),T114/(1-AY114)),S114/(1-AY114))*BO114,0)</f>
        <v>#VALUE!</v>
      </c>
      <c r="CE114" s="1316" t="e">
        <f aca="false">IF(BR114,(BU114*BH114+BV114*BI114+BW114*BJ114)/BR114,0)</f>
        <v>#VALUE!</v>
      </c>
      <c r="CF114" s="1532" t="e">
        <f aca="false">IF(BS114,(CE114*BR114+CD114*BK114)/BS114,0)</f>
        <v>#VALUE!</v>
      </c>
      <c r="CG114" s="1586" t="e">
        <f aca="false">IF(OR(BQ114,BS114),IF(OVolType&lt;&gt;2,SQRT(IF(OVolOverMonthlyPeak,OVolOverMonthlyPeak,IF(OVolCurve,IF(OBuySell,U114,W114),V114))^2*(1-15/365.25/BT114)+IF(OVolOverDailyPeak,OVolOverDailyPeak,IF(OVolCurve,IF(OBuySell,AG114,AI114),AH114))^2*15/365.25/BT114),IF(OVolOverMonthlyPeak,OVolOverMonthlyPeak,IF(OVolCurve,IF(OBuySell,U114,W114),V114))),"")</f>
        <v>#VALUE!</v>
      </c>
      <c r="CH114" s="1587" t="e">
        <f aca="false">IF(OR(BQ114,BS114),IF(OVolType&lt;&gt;2,SQRT(IF(OVolOverMonthlyPeak,OVolOverMonthlyPeak,IF(OVolCurve,IF(OBuySell,X114,Z114),Y114))^2*(1-15/365.25/BT114)+IF(OVolOverDailyPeak,OVolOverDailyPeak,IF(OVolCurve,IF(OBuySell,AJ114,AL114),AK114))^2*15/365.25/BT114),IF(OVolOverMonthlyPeak,OVolOverMonthlyPeak,IF(OVolCurve,IF(OBuySell,X114,Z114),Y114))),"")</f>
        <v>#VALUE!</v>
      </c>
      <c r="CI114" s="1587" t="e">
        <f aca="false">IF(OR(BQ114,BS114),IF(OVolType&lt;&gt;2,SQRT(IF(OVolOverMonthlyPeak,OVolOverMonthlyPeak,IF(OVolCurve,IF(OBuySell,AA114,AC114),AB114))^2*(1-15/365.25/BT114)+IF(OVolOverDailyPeak,OVolOverDailyPeak,IF(OVolCurve,IF(OBuySell,AM114,AO114),AN114))^2*15/365.25/BT114),IF(OVolOverMonthlyPeak,OVolOverMonthlyPeak,IF(OVolCurve,IF(OBuySell,AA114,AC114),AB114))),"")</f>
        <v>#VALUE!</v>
      </c>
      <c r="CJ114" s="1587" t="e">
        <f aca="false">IF(BQ114,IF(BP114,SQRT(LN(1+((BU114*AZ114)^2*(EXP(CG114^2*BT114)-1)+(BV114*BA114)^2*(EXP(CH114^2*BT114)-1)+(BW114*BB114)^2*(EXP(CI114^2*BT114)-1)+2*BU114*AZ114*BV114*BA114*(EXP(CG114*CH114*BT114)-1)+2*BV114*BA114*BW114*BB114*(EXP(CH114*CI114*BT114)-1)+2*BW114*BB114*BU114*AZ114*(EXP(CI114*CG114*BT114)-1))/(BY114*BP114)^2)/BT114),0),"")</f>
        <v>#VALUE!</v>
      </c>
      <c r="CK114" s="1587" t="e">
        <f aca="false">IF(BS114,IF(BR114,SQRT(LN(1+((CA114*BH114)^2*(EXP(CG114^2*BT114)-1)+(CB114*BI114)^2*(EXP(CH114^2*BT114)-1)+(CC114*BJ114)^2*(EXP(CI114^2*BT114)-1)+2*CA114*BH114*CB114*BI114*(EXP(CG114*CH114*BT114)-1)+2*CB114*BI114*CC114*BJ114*(EXP(CH114*CI114*BT114)-1)+2*CC114*BJ114*CA114*BH114*(EXP(CI114*CG114*BT114)-1))/(CE114*BR114)^2)/BT114),0),"")</f>
        <v>#VALUE!</v>
      </c>
      <c r="CL114" s="1587" t="e">
        <f aca="false">IF(OR(BQ114,BS114),IF(OVolType&lt;&gt;2,SQRT(IF(OVolOverMonthlyOffPeak,OVolOverMonthlyOffPeak,IF(OVolCurve,IF(OBuySell,AD114,AF114),AE114))^2*(1-15/365.25/BT114)+IF(OVolOverDailyOffPeak,OVolOverDailyOffPeak,IF(OVolCurve,IF(OBuySell,AP114,AR114),AQ114))^2*15/365.25/BT114),IF(OVolOverMonthlyOffPeak,OVolOverMonthlyOffPeak,IF(OVolCurve,IF(OBuySell,AD114,AF114),AE114))),"")</f>
        <v>#VALUE!</v>
      </c>
      <c r="CM114" s="1587" t="e">
        <f aca="false">IF(BQ114,SQRT(LN(1+((BY114*BP114)^2*(EXP(CJ114^2*BT114)-1)+(BX114*BC114)^2*(EXP(CL114^2*BT114)-1)+2*BY114*BP114*BX114*BC114*(EXP(AS114*CJ114*CL114*BT114)-1))/(BY114*BP114+BX114*BC114)^2)/BT114),"")</f>
        <v>#VALUE!</v>
      </c>
      <c r="CN114" s="1588" t="e">
        <f aca="false">IF(BS114,SQRT(LN(1+((CE114*BR114)^2*(EXP(CK114^2*BT114)-1)+(CD114*BK114)^2*(EXP(CL114^2*BT114)-1)+2*CE114*BR114*CD114*BK114*(EXP(AS114*CK114*CL114*BT114)-1))/(CE114*BR114+CD114*BK114)^2)/BT114),"")</f>
        <v>#VALUE!</v>
      </c>
      <c r="CO114" s="1531" t="e">
        <f aca="false">IF(OR(BQ114,BS114),VLOOKUP(A114,GasTable,13)*HeatRatePeak*(1+VLOOKUP($B114,HeatRateDegradation,$C114+1))/1000,0)</f>
        <v>#VALUE!</v>
      </c>
      <c r="CP114" s="1316" t="e">
        <f aca="false">IF(OR(BQ114,BS114),VLOOKUP(A114,GasTable,13)*HeatRatePeak*(1+VLOOKUP($B114,HeatRateDegradation,$C114+1))/1000,0)</f>
        <v>#VALUE!</v>
      </c>
      <c r="CQ114" s="1316" t="e">
        <f aca="false">IF(OR(BQ114,BS114),VLOOKUP(A114,GasTable,13)*IF(EV114,HeatRatePeak,HeatRateOffPeak)*(1+VLOOKUP($B114,HeatRateDegradation,$C114+1))/1000,0)</f>
        <v>#VALUE!</v>
      </c>
      <c r="CR114" s="1316" t="e">
        <f aca="false">IF(OR(BQ114,BS114),VLOOKUP(A114,GasTable,13)*IF(EW114,HeatRatePeak,HeatRateOffPeak)*(1+VLOOKUP($B114,HeatRateDegradation,$C114+1))/1000,0)</f>
        <v>#VALUE!</v>
      </c>
      <c r="CS114" s="1589" t="e">
        <f aca="false">IF(BQ114,(CO114*AZ114+CP114*BA114+CQ114*BB114+CR114*BC114)/BQ114,0)</f>
        <v>#VALUE!</v>
      </c>
      <c r="CT114" s="1316" t="e">
        <f aca="false">IF(BS114,CO114,0)</f>
        <v>#VALUE!</v>
      </c>
      <c r="CU114" s="1590" t="e">
        <f aca="false">IF(OR(BQ114,BS114),VLOOKUP(A114,GasTable,14),"")</f>
        <v>#VALUE!</v>
      </c>
      <c r="CV114" s="1568" t="e">
        <f aca="false">IF(OR(BQ114,BS114),IF(CorrPowerGasOverFlag,INDEX(CorrPowerGasOver,C114),CorrPowerGas),"")</f>
        <v>#VALUE!</v>
      </c>
      <c r="CW114" s="1316" t="e">
        <f aca="false">IF(OR($BQ114,$BS114),SpreadOptPowerMargin,0)*((1+Assumptions!$C$26)^($B114-YEAR(Assumptions!$C$17)))</f>
        <v>#VALUE!</v>
      </c>
      <c r="CX114" s="1316" t="e">
        <f aca="false">IF(OR($BQ114,$BS114),SpreadOptPowerMargin,0)*((1+Assumptions!$C$26)^($B114-YEAR(Assumptions!$C$17)))</f>
        <v>#VALUE!</v>
      </c>
      <c r="CY114" s="1316" t="e">
        <f aca="false">IF(OR($BQ114,$BS114),SpreadOptPowerMargin,0)*((1+Assumptions!$C$26)^($B114-YEAR(Assumptions!$C$17)))</f>
        <v>#VALUE!</v>
      </c>
      <c r="CZ114" s="1316" t="e">
        <f aca="false">IF(OR($BQ114,$BS114),SpreadOptPowerMargin,0)*((1+Assumptions!$C$26)^($B114-YEAR(Assumptions!$C$17)))</f>
        <v>#VALUE!</v>
      </c>
      <c r="DA114" s="1591" t="e">
        <f aca="false">IF(OR(BQ114,BS114),(CW114*(AZ114+BH114)+CX114*(BA114+BI114)+CY114*(BB114+BJ114)+CZ114*(BC114+BK114))/(BQ114+BS114),0)</f>
        <v>#VALUE!</v>
      </c>
      <c r="DB114" s="1592" t="e">
        <f aca="false">IF(OR(BQ114,BS114),CG114+IF(OVolSmile,VLOOKUP(MAX(-5,CO114+CW114-BU114),IF(OVolSmile=1,VolSmileBook,VolSmileModel),2),0),"")</f>
        <v>#VALUE!</v>
      </c>
      <c r="DC114" s="1592" t="e">
        <f aca="false">IF(OR(BQ114,BS114),CH114+IF(OVolSmile,VLOOKUP(MAX(-5,CP114+CW114-BV114),IF(OVolSmile=1,VolSmileBook,VolSmileModel),2),0),"")</f>
        <v>#VALUE!</v>
      </c>
      <c r="DD114" s="1592" t="e">
        <f aca="false">IF(OR(BQ114,BS114),CI114+IF(OVolSmile,VLOOKUP(MAX(-5,CQ114+CW114-BW114),IF(OVolSmile=1,VolSmileBook,VolSmileModel),2),0),"")</f>
        <v>#VALUE!</v>
      </c>
      <c r="DE114" s="1592" t="e">
        <f aca="false">IF(OR(BQ114,BS114),CL114+IF(OVolSmile,VLOOKUP(MAX(-5,CR114+CZ114-BX114),IF(OVolSmile=1,VolSmileBook,VolSmileModel),2),0),"")</f>
        <v>#VALUE!</v>
      </c>
      <c r="DF114" s="1592" t="e">
        <f aca="false">IF(BQ114,CM114+IF(OVolSmile,VLOOKUP(MAX(-5,CS114+DA114-BZ114),IF(OVolSmile=1,VolSmileBook,VolSmileModel),2),0),"")</f>
        <v>#VALUE!</v>
      </c>
      <c r="DG114" s="1593" t="e">
        <f aca="false">IF(BS114,CN114+IF(OVolSmile,VLOOKUP(MAX(-5,CT114+DA114-CF114),IF(OVolSmile=1,VolSmileBook,VolSmileModel),2),0),"")</f>
        <v>#VALUE!</v>
      </c>
      <c r="DH114" s="1316" t="e">
        <f aca="false">IF(AND(BU114&gt;0,CO114&gt;0,DB114&gt;0,CU114&gt;0),newSPRDOPT(BU114,CO114,CW114,0,DB114,CU114,CV114,BT114*365.25,OCallPut,0),0)</f>
        <v>#VALUE!</v>
      </c>
      <c r="DI114" s="1316" t="e">
        <f aca="false">IF(AND(BV114&gt;0,CP114&gt;0,DC114&gt;0,CU114&gt;0),newSPRDOPT(BV114,CP114,CX114,0,DC114,CU114,CV114,BT114*365.25,OCallPut,0),0)</f>
        <v>#VALUE!</v>
      </c>
      <c r="DJ114" s="1316" t="e">
        <f aca="false">IF(AND(BW114&gt;0,CQ114&gt;0,DD114&gt;0,CU114&gt;0),newSPRDOPT(BW114,CQ114,CY114,0,DD114,CU114,CV114,BT114*365.25,OCallPut,0),0)</f>
        <v>#VALUE!</v>
      </c>
      <c r="DK114" s="1316" t="e">
        <f aca="false">IF(AND(BX114&gt;0,CR114&gt;0,DE114&gt;0,CU114&gt;0),newSPRDOPT(BX114,CR114,CZ114,0,DE114,CU114,CV114,BT114*365.25,OCallPut,0),0)</f>
        <v>#VALUE!</v>
      </c>
      <c r="DL114" s="1316" t="e">
        <f aca="false">IF(OVolType,IF(AND(BZ114&gt;0,CS114&gt;0,DF114&gt;0,CU114&gt;0),newSPRDOPT(BZ114,CS114,DA114,0,DF114,CU114,CV114,BT114*365.25,OCallPut,0),0),IF(BQ114,(DH114*AZ114+DI114*BA114+DJ114*BB114+DK114*BC114)/BQ114,0))</f>
        <v>#VALUE!</v>
      </c>
      <c r="DM114" s="1316"/>
      <c r="DN114" s="1316"/>
      <c r="DO114" s="1316"/>
      <c r="DP114" s="1316"/>
      <c r="DQ114" s="1316"/>
      <c r="DR114" s="1316"/>
      <c r="DS114" s="1316"/>
      <c r="DT114" s="1316"/>
      <c r="DU114" s="1316"/>
      <c r="DV114" s="1316"/>
      <c r="DW114" s="1594" t="e">
        <f aca="false">IF(AND(BW114&gt;0,CT114&gt;0,DD114&gt;0,CU114&gt;0),newSPRDOPT(BW114,CT114,CY114,0,DD114,CU114,CV114,BT114*365.25,OCallPut,0),0)</f>
        <v>#VALUE!</v>
      </c>
      <c r="DX114" s="1316" t="e">
        <f aca="false">IF(AND(BX114&gt;0,CT114&gt;0,DE114&gt;0,CU114&gt;0),newSPRDOPT(BX114,CT114,CZ114,0,DE114,CU114,CV114,BT114*365.25,OCallPut,0),0)</f>
        <v>#VALUE!</v>
      </c>
      <c r="DY114" s="1591" t="e">
        <f aca="false">IF(BS114,(DH114*BH114+DI114*BI114+DW114*BJ114+DX114*BK114)/BS114,0)</f>
        <v>#VALUE!</v>
      </c>
      <c r="DZ114" s="1551" t="e">
        <f aca="false">DH114*AZ114</f>
        <v>#VALUE!</v>
      </c>
      <c r="EA114" s="1551" t="e">
        <f aca="false">DI114*BA114</f>
        <v>#VALUE!</v>
      </c>
      <c r="EB114" s="1551" t="e">
        <f aca="false">DJ114*BB114</f>
        <v>#VALUE!</v>
      </c>
      <c r="EC114" s="1551" t="e">
        <f aca="false">DK114*BC114</f>
        <v>#VALUE!</v>
      </c>
      <c r="ED114" s="1551" t="e">
        <f aca="false">DL114*BQ114</f>
        <v>#VALUE!</v>
      </c>
      <c r="EE114" s="1595" t="e">
        <f aca="false">IF(BQ114,IF(OCallPut,IF(BU114&gt;(CO114+CW114),BU114-(CO114+CW114),0),IF((CO114+CW114)&gt;BU114,(CO114+CW114)-BU114,0))*AZ114,0)</f>
        <v>#VALUE!</v>
      </c>
      <c r="EF114" s="1596" t="e">
        <f aca="false">IF(BQ114,IF(OCallPut,IF(BV114&gt;(CP114+CX114),BV114-(CP114+CX114),0),IF((CP114+CX114)&gt;BV114,(CP114+CX114)-BV114,0))*BA114,0)</f>
        <v>#VALUE!</v>
      </c>
      <c r="EG114" s="1596" t="e">
        <f aca="false">IF(BQ114,IF(OCallPut,IF(BW114&gt;(CQ114+CY114),BW114-(CQ114+CY114),0),IF((CQ114+CY114)&gt;BW114,(CQ114+CY114)-BW114,0))*BB114,0)</f>
        <v>#VALUE!</v>
      </c>
      <c r="EH114" s="1596" t="e">
        <f aca="false">IF(BQ114,IF(OCallPut,IF(BX114&gt;(CR114+CZ114),BX114-(CR114+CZ114),0),IF((CR114+CZ114)&gt;BX114,(CR114+CZ114)-BX114,0))*BC114,0)</f>
        <v>#VALUE!</v>
      </c>
      <c r="EI114" s="1597" t="e">
        <f aca="false">IF(BQ114,IF(OVolType,IF(OCallPut,IF(BZ114&gt;(CS114+DA114),BZ114-(CS114+DA114),0),IF((CS114+DA114)&gt;BZ114,(CS114+DA114)-BZ114,0))*BQ114,SUM(EE114:EH114)),0)</f>
        <v>#VALUE!</v>
      </c>
      <c r="EJ114" s="1595" t="e">
        <f aca="false">DZ114-EE114</f>
        <v>#VALUE!</v>
      </c>
      <c r="EK114" s="1596" t="e">
        <f aca="false">EA114-EF114</f>
        <v>#VALUE!</v>
      </c>
      <c r="EL114" s="1596" t="e">
        <f aca="false">EB114-EG114</f>
        <v>#VALUE!</v>
      </c>
      <c r="EM114" s="1596" t="e">
        <f aca="false">EC114-EH114</f>
        <v>#VALUE!</v>
      </c>
      <c r="EN114" s="1597" t="e">
        <f aca="false">ED114-EI114</f>
        <v>#VALUE!</v>
      </c>
      <c r="EO114" s="1551" t="e">
        <f aca="false">DH114*BH114</f>
        <v>#VALUE!</v>
      </c>
      <c r="EP114" s="1551" t="e">
        <f aca="false">DI114*BI114</f>
        <v>#VALUE!</v>
      </c>
      <c r="EQ114" s="1551" t="e">
        <f aca="false">DW114*BJ114</f>
        <v>#VALUE!</v>
      </c>
      <c r="ER114" s="1551" t="e">
        <f aca="false">DX114*BK114</f>
        <v>#VALUE!</v>
      </c>
      <c r="ES114" s="1551" t="e">
        <f aca="false">DY114*BS114</f>
        <v>#VALUE!</v>
      </c>
      <c r="ET114" s="1566" t="e">
        <f aca="false">IF(EI114,IF(OCallPut,IF(CA114&gt;(CT114+CW114),CA114-(CT114+CW114),0),IF((CT114+CW114)&gt;CA114,(CT114+CW114)-CA114,0))*BH114,0)</f>
        <v>#VALUE!</v>
      </c>
      <c r="EU114" s="1551" t="e">
        <f aca="false">IF(EI114,IF(OCallPut,IF(CB114&gt;(CT114+CX114),CB114-(CT114+CX114),0),IF((CT114+CX114)&gt;CB114,(CT114+CX114)-CB114,0))*BI114,0)</f>
        <v>#VALUE!</v>
      </c>
      <c r="EV114" s="1551" t="e">
        <f aca="false">IF(EI114,IF(OCallPut,IF(CC114&gt;(CT114+CY114),CC114-(CT114+CY114),0),IF((CT114+CY114)&gt;CC114,(CT114+CY114)-CC114,0))*BJ114,0)</f>
        <v>#VALUE!</v>
      </c>
      <c r="EW114" s="1551" t="e">
        <f aca="false">IF(EI114,IF(OCallPut,IF(CD114&gt;(CT114+CZ114),CD114-(CT114+CZ114),0),IF((CT114+CZ114)&gt;CD114,(CT114+CZ114)-CD114,0))*BK114,0)</f>
        <v>#VALUE!</v>
      </c>
      <c r="EX114" s="1558" t="e">
        <f aca="false">IF(EI114,SUM(ET114:EW114),0)</f>
        <v>#VALUE!</v>
      </c>
      <c r="EY114" s="1551" t="e">
        <f aca="false">EO114-ET114</f>
        <v>#VALUE!</v>
      </c>
      <c r="EZ114" s="1551" t="e">
        <f aca="false">EP114-EU114</f>
        <v>#VALUE!</v>
      </c>
      <c r="FA114" s="1551" t="e">
        <f aca="false">EQ114-EV114</f>
        <v>#VALUE!</v>
      </c>
      <c r="FB114" s="1551" t="e">
        <f aca="false">ER114-EW114</f>
        <v>#VALUE!</v>
      </c>
      <c r="FC114" s="1551" t="e">
        <f aca="false">ES114-EX114</f>
        <v>#VALUE!</v>
      </c>
      <c r="FD114" s="1525" t="n">
        <f aca="false">IF(AX114,IF(VLOOKUP(C114,MAIN!$L$17:$M$28,2)="Yes",VLOOKUP(CALC!B114,MAIN!$H$17:$I$20,2),0),0)</f>
        <v>0</v>
      </c>
      <c r="FE114" s="1552" t="e">
        <f aca="false">$FD114*16*AT114*(1-$AY114)</f>
        <v>#VALUE!</v>
      </c>
      <c r="FF114" s="1553" t="e">
        <f aca="false">$FD114*16*AU114*(1-$AY114)</f>
        <v>#VALUE!</v>
      </c>
      <c r="FG114" s="1553" t="e">
        <f aca="false">$FD114*16*(AV114+AW114)*(1-$AY114)</f>
        <v>#VALUE!</v>
      </c>
      <c r="FH114" s="1554" t="n">
        <f aca="false">$FD114*8*AX114*(1-$AY114)</f>
        <v>0</v>
      </c>
      <c r="FI114" s="1555" t="n">
        <f aca="false">IF(AX114,VLOOKUP(CALC!B114,MAIN!$H$17:$K$20,4),0)</f>
        <v>0</v>
      </c>
      <c r="FJ114" s="1553" t="e">
        <f aca="false">SUM(FE114:FH114)</f>
        <v>#VALUE!</v>
      </c>
      <c r="FK114" s="1556" t="e">
        <f aca="false">FI114*FJ114</f>
        <v>#VALUE!</v>
      </c>
      <c r="FL114" s="1551" t="e">
        <f aca="false">IF($EI114&gt;0,MIN(FE114,AZ114*(1+VLOOKUP($C114,WeatherCapacityAdjustment,2))),0)</f>
        <v>#VALUE!</v>
      </c>
      <c r="FM114" s="1551" t="e">
        <f aca="false">IF($EI114&gt;0,MIN(FF114,BA114*(1+VLOOKUP($C114,WeatherCapacityAdjustment,2))),0)</f>
        <v>#VALUE!</v>
      </c>
      <c r="FN114" s="1551" t="e">
        <f aca="false">IF($EI114&gt;0,MIN(FG114,BB114*(1+VLOOKUP($C114,WeatherCapacityAdjustment,2))),0)</f>
        <v>#VALUE!</v>
      </c>
      <c r="FO114" s="1564" t="e">
        <f aca="false">IF($EI114&gt;0,MIN(FH114,BC114*(1+VLOOKUP($C114,WeatherCapacityAdjustment,3))),0)</f>
        <v>#VALUE!</v>
      </c>
      <c r="FP114" s="1551" t="e">
        <f aca="false">IF(ET114&gt;0,MIN(FE114-FL114,BH114*(1+VLOOKUP($C114,WeatherCapacityAdjustment,2))),0)</f>
        <v>#VALUE!</v>
      </c>
      <c r="FQ114" s="1551" t="e">
        <f aca="false">IF(EU114&gt;0,MIN(FF114-FM114,BI114*(1+VLOOKUP($C114,WeatherCapacityAdjustment,2))),0)</f>
        <v>#VALUE!</v>
      </c>
      <c r="FR114" s="1551" t="e">
        <f aca="false">IF(EV114&gt;0,MIN(FG114-FN114,BJ114*(1+VLOOKUP($C114,WeatherCapacityAdjustment,2))),0)</f>
        <v>#VALUE!</v>
      </c>
      <c r="FS114" s="1558" t="e">
        <f aca="false">IF(EW114&gt;0,MIN(FH114-FO114,BK114*(1+VLOOKUP($C114,WeatherCapacityAdjustment,3))),0)</f>
        <v>#VALUE!</v>
      </c>
      <c r="FT114" s="1566" t="e">
        <f aca="false">IF(AND(Assumptions!$H$71="Yes",A114&gt;=Assumptions!$H$72,A114&lt;=Assumptions!$H$73),0,IF(AND($A114&gt;=Assumptions!$C$17,$A114&lt;=Assumptions!$C$18),MAX(AZ114*(1+VLOOKUP($C114,WeatherCapacityAdjustment,2))-FL114,0),0))</f>
        <v>#VALUE!</v>
      </c>
      <c r="FU114" s="1551" t="e">
        <f aca="false">IF(AND(Assumptions!$H$71="Yes",A114&gt;=Assumptions!$H$72,A114&lt;=Assumptions!$H$73),0,IF(AND($A114&gt;=Assumptions!$C$17,$A114&lt;=Assumptions!$C$18),MAX(BA114*(1+VLOOKUP($C114,WeatherCapacityAdjustment,2))-FM114,0),0))</f>
        <v>#VALUE!</v>
      </c>
      <c r="FV114" s="1551" t="e">
        <f aca="false">IF(AND(Assumptions!$H$71="Yes",A114&gt;=Assumptions!$H$72,A114&lt;=Assumptions!$H$73),0,IF(AND($A114&gt;=Assumptions!$C$17,$A114&lt;=Assumptions!$C$18),MAX(BB114*(1+VLOOKUP($C114,WeatherCapacityAdjustment,2))-FN114,0),0))</f>
        <v>#VALUE!</v>
      </c>
      <c r="FW114" s="1564" t="e">
        <f aca="false">IF(AND(Assumptions!$H$71="Yes",A114&gt;=Assumptions!$H$72,A114&lt;=Assumptions!$H$73),0,IF(AND($A114&gt;=Assumptions!$C$17,$A114&lt;=Assumptions!$C$18),MAX(BC114*(1+VLOOKUP($C114,WeatherCapacityAdjustment,3))-FO114,0),0))</f>
        <v>#VALUE!</v>
      </c>
      <c r="FX114" s="1569" t="e">
        <f aca="false">IF(AND(Assumptions!$H$71="Yes",A114&gt;=Assumptions!$H$72,A114&lt;=Assumptions!$H$73),0,IF(ET114&gt;0,MAX(BH114*(1+VLOOKUP($C114,WeatherCapacityAdjustment,2))-FP114,0),0))</f>
        <v>#VALUE!</v>
      </c>
      <c r="FY114" s="1551" t="e">
        <f aca="false">IF(AND(Assumptions!$H$71="Yes",A114&gt;=Assumptions!$H$72,A114&lt;=Assumptions!$H$73),0,IF(EU114&gt;0,MAX(BI114*(1+VLOOKUP($C114,WeatherCapacityAdjustment,3))-FQ114,0),0))</f>
        <v>#VALUE!</v>
      </c>
      <c r="FZ114" s="1551" t="e">
        <f aca="false">IF(AND(Assumptions!$H$71="Yes",A114&gt;=Assumptions!$H$72,A114&lt;=Assumptions!$H$73),0,IF(EV114&gt;0,MAX(BJ114*(1+VLOOKUP($C114,WeatherCapacityAdjustment,2))-FR114,0),0))</f>
        <v>#VALUE!</v>
      </c>
      <c r="GA114" s="1564" t="e">
        <f aca="false">IF(AND(Assumptions!$H$71="Yes",A114&gt;=Assumptions!$H$72,A114&lt;=Assumptions!$H$73),0,IF(EW114&gt;0,MAX(BK114*(1+VLOOKUP($C114,WeatherCapacityAdjustment,2))-FS114,0),0))</f>
        <v>#VALUE!</v>
      </c>
      <c r="GB114" s="1551" t="e">
        <f aca="false">SUM(FT114:GA114)</f>
        <v>#VALUE!</v>
      </c>
      <c r="GC114" s="1563" t="e">
        <f aca="false">+IF(SUM(FT114:GA114)=0,0,(SUMPRODUCT(BU114:BX114,FT114:FW114)+SUMPRODUCT(CA114:CD114,FX114:GA114))/SUM(FT114:GA114))</f>
        <v>#VALUE!</v>
      </c>
      <c r="GD114" s="1551" t="e">
        <f aca="false">(FT114*BU114+FX114*CA114+FU114*BV114+FY114*CB114+FV114*BW114+FZ114*CC114+FW114*BX114+GA114*CD114)</f>
        <v>#VALUE!</v>
      </c>
      <c r="GE114" s="1561" t="e">
        <f aca="false">+IF(BQ114,((FL114+FM114+FT114+FU114)*HeatRatePeak/1000*(1+VLOOKUP($C114,WeatherHeatRateAdjustment,2))+(FN114+FV114)*IF(EV114&gt;0,HeatRatePeak,HeatRateOffPeak)/1000*(1+VLOOKUP($C114,WeatherHeatRateAdjustment,2))+(FO114+FW114)*IF(EW114&gt;0,HeatRatePeak,HeatRateOffPeak)/1000*(1+VLOOKUP($C114,WeatherHeatRateAdjustment,3)))*(1+VLOOKUP($B114,HeatRateDegradation,$C114+1)),0)</f>
        <v>#VALUE!</v>
      </c>
      <c r="GF114" s="1562" t="e">
        <f aca="false">IF(BQ114,((FP114+FQ114+FR114+FX114+FY114+FZ114)*HeatRatePeak/1000*(1+VLOOKUP($C114,WeatherHeatRateAdjustment,2))+(FS114+GA114)*HeatRatePeak/1000*(1+VLOOKUP($C114,WeatherHeatRateAdjustment,3)))*(1+VLOOKUP($B114,HeatRateDegradation,$C114+1)),0)</f>
        <v>#VALUE!</v>
      </c>
      <c r="GG114" s="1563" t="e">
        <f aca="false">IF(BQ114,VLOOKUP(A114,GasTable,13),0)</f>
        <v>#VALUE!</v>
      </c>
      <c r="GH114" s="1564" t="e">
        <f aca="false">(GE114+GF114)*GG114</f>
        <v>#VALUE!</v>
      </c>
      <c r="GI114" s="1569" t="e">
        <f aca="false">GB114</f>
        <v>#VALUE!</v>
      </c>
      <c r="GJ114" s="1598" t="e">
        <f aca="false">+DA114</f>
        <v>#VALUE!</v>
      </c>
      <c r="GK114" s="1558" t="e">
        <f aca="false">+GI114*GJ114</f>
        <v>#VALUE!</v>
      </c>
      <c r="GL114" s="1566" t="e">
        <f aca="false">MAX(FE114-FL114-FP114,0)</f>
        <v>#VALUE!</v>
      </c>
      <c r="GM114" s="1551" t="e">
        <f aca="false">MAX(FF114-FM114-FQ114,0)</f>
        <v>#VALUE!</v>
      </c>
      <c r="GN114" s="1551" t="e">
        <f aca="false">MAX(FG114-FN114-FR114,0)</f>
        <v>#VALUE!</v>
      </c>
      <c r="GO114" s="1564" t="e">
        <f aca="false">MAX(FH114-FO114-FS114,0)</f>
        <v>#VALUE!</v>
      </c>
      <c r="GP114" s="1551" t="e">
        <f aca="false">SUM(GL114:GO114)</f>
        <v>#VALUE!</v>
      </c>
      <c r="GQ114" s="1563" t="e">
        <f aca="false">IF(SUM(GL114:GO114)=0,0,((GL114*BU114+GM114*BV114+GN114*BW114+GO114*BX114)/SUM(GL114:GO114)))</f>
        <v>#VALUE!</v>
      </c>
      <c r="GR114" s="1558" t="e">
        <f aca="false">(GL114*BU114+GM114*BV114+GN114*BW114+GO114*BX114)</f>
        <v>#VALUE!</v>
      </c>
      <c r="GS114" s="1566" t="n">
        <f aca="false">IF($A114&gt;=BegDate,Assumptions!$C$56*24*($A115-$A114)*(1-VLOOKUP($B114,MAIN!$AA$7:$AM$28,$C114+1))*(1-VLOOKUP($B114,MAIN!$AA$33:$AM$54,$C114+1)),0)*80/168</f>
        <v>249428.571428571</v>
      </c>
      <c r="GT114" s="286" t="n">
        <f aca="false">J114</f>
        <v>33.3899490398026</v>
      </c>
      <c r="GU114" s="286" t="n">
        <f aca="false">IF($A114&gt;=BegDate,VLOOKUP($A114,GasTable,13)+Assumptions!$C$58,0)</f>
        <v>2.6040779444223</v>
      </c>
      <c r="GV114" s="286" t="n">
        <f aca="false">GU114*Assumptions!$C$57/1000</f>
        <v>18.8795650970617</v>
      </c>
      <c r="GW114" s="1558" t="n">
        <f aca="false">IF(Assumptions!$C$60="Hourly",MAX(0,GS114*(GT114-GV114)),GS114*(GT114-GV114))</f>
        <v>3619304.33771795</v>
      </c>
      <c r="GX114" s="1566" t="n">
        <f aca="false">IF($A114&gt;=BegDate,Assumptions!$C$56*24*($A115-$A114)*(1-VLOOKUP($B114,MAIN!$AA$7:$AM$28,$C114+1))*(1-VLOOKUP($B114,MAIN!$AA$33:$AM$54,$C114+1)),0)*16/168</f>
        <v>49885.7142857143</v>
      </c>
      <c r="GY114" s="286" t="n">
        <f aca="false">M114</f>
        <v>33.3899490398026</v>
      </c>
      <c r="GZ114" s="286" t="n">
        <f aca="false">IF($A114&gt;=BegDate,VLOOKUP($A114,GasTable,13)+Assumptions!$C$58,0)</f>
        <v>2.6040779444223</v>
      </c>
      <c r="HA114" s="286" t="n">
        <f aca="false">GZ114*Assumptions!$C$57/1000</f>
        <v>18.8795650970617</v>
      </c>
      <c r="HB114" s="1558" t="n">
        <f aca="false">IF(Assumptions!$C$60="Hourly",MAX(0,GX114*(GY114-HA114)),GX114*(GY114-HA114))</f>
        <v>723860.86754359</v>
      </c>
      <c r="HC114" s="1566" t="n">
        <f aca="false">IF($A114&gt;=BegDate,Assumptions!$C$56*24*($A115-$A114)*(1-VLOOKUP($B114,MAIN!$AA$7:$AM$28,$C114+1))*(1-VLOOKUP($B114,MAIN!$AA$33:$AM$54,$C114+1)),0)*16/168</f>
        <v>49885.7142857143</v>
      </c>
      <c r="HD114" s="286" t="n">
        <f aca="false">P114</f>
        <v>20.4119467401929</v>
      </c>
      <c r="HE114" s="286" t="n">
        <f aca="false">IF($A114&gt;=BegDate,VLOOKUP($A114,GasTable,13)+Assumptions!$C$58,0)</f>
        <v>2.6040779444223</v>
      </c>
      <c r="HF114" s="286" t="n">
        <f aca="false">HE114*Assumptions!$C$57/1000</f>
        <v>18.8795650970617</v>
      </c>
      <c r="HG114" s="1558" t="n">
        <f aca="false">IF(Assumptions!$C$60="Hourly",MAX(0,HC114*(HD114-HF114)),HC114*(HD114-HF114))</f>
        <v>76443.9528259173</v>
      </c>
      <c r="HH114" s="1566" t="n">
        <f aca="false">IF($A114&gt;=BegDate,Assumptions!$C$56*24*($A115-$A114)*(1-VLOOKUP($B114,MAIN!$AA$7:$AM$28,$C114+1))*(1-VLOOKUP($B114,MAIN!$AA$33:$AM$54,$C114+1)),0)*56/168</f>
        <v>174600</v>
      </c>
      <c r="HI114" s="286" t="n">
        <f aca="false">S114</f>
        <v>20.4119467401929</v>
      </c>
      <c r="HJ114" s="286" t="n">
        <f aca="false">IF($A114&gt;=BegDate,VLOOKUP($A114,GasTable,13)+Assumptions!$C$58,0)</f>
        <v>2.6040779444223</v>
      </c>
      <c r="HK114" s="286" t="n">
        <f aca="false">HJ114*Assumptions!$C$57/1000</f>
        <v>18.8795650970617</v>
      </c>
      <c r="HL114" s="1558" t="n">
        <f aca="false">IF(Assumptions!$C$60="Hourly",MAX(0,HH114*(HI114-HK114)),HH114*(HI114-HK114))</f>
        <v>267553.83489071</v>
      </c>
      <c r="HM114" s="1566" t="n">
        <f aca="false">IF(AND(Assumptions!$H$71="Yes",A114&gt;=Assumptions!$H$72,A114&lt;=Assumptions!$H$73),Assumptions!$H$74*Assumptions!$C$9*1000,0)</f>
        <v>0</v>
      </c>
      <c r="HN114" s="1551"/>
      <c r="HO114" s="1563"/>
      <c r="HP114" s="1563"/>
      <c r="HQ114" s="1563"/>
      <c r="HR114" s="1563"/>
      <c r="HS114" s="1563"/>
      <c r="HT114" s="1563"/>
      <c r="HU114" s="1563"/>
      <c r="HV114" s="1563"/>
      <c r="HW114" s="1563"/>
      <c r="HX114" s="1563"/>
      <c r="HY114" s="1563"/>
      <c r="HZ114" s="1563"/>
      <c r="IA114" s="1563"/>
      <c r="IB114" s="1563"/>
      <c r="IC114" s="1563"/>
      <c r="ID114" s="1563"/>
      <c r="IE114" s="1563"/>
      <c r="IF114" s="1563"/>
      <c r="IG114" s="1563"/>
      <c r="IH114" s="1563"/>
      <c r="II114" s="1610"/>
      <c r="IJ114" s="1309"/>
      <c r="IK114" s="1309"/>
    </row>
    <row r="115" customFormat="false" ht="12.75" hidden="false" customHeight="false" outlineLevel="0" collapsed="false">
      <c r="A115" s="1571" t="n">
        <f aca="false">EOMONTH(A114,0)+1</f>
        <v>39630</v>
      </c>
      <c r="B115" s="594" t="n">
        <f aca="false">+YEAR(A115)</f>
        <v>2008</v>
      </c>
      <c r="C115" s="238" t="n">
        <f aca="false">MONTH(A115)</f>
        <v>7</v>
      </c>
      <c r="D115" s="1572" t="e">
        <f aca="false">IF(E115="","",Holiday(B115,C115))</f>
        <v>#VALUE!</v>
      </c>
      <c r="E115" s="1573" t="n">
        <f aca="false">IF(OR(BegDate&gt;=A116,EndDate&lt;A115,AND(VolumeMonthlyOverFlag,INDEX(VolumeMonthlyOver,C115)=0),NOT(INDEX(MonthKnockOutTable,C115))),"",MAX(A115,BegDate))</f>
        <v>39630</v>
      </c>
      <c r="F115" s="1574" t="n">
        <f aca="false">IF(E115="","",MIN(A116-1,EndDate))</f>
        <v>39660</v>
      </c>
      <c r="G115" s="1575" t="n">
        <v>0</v>
      </c>
      <c r="H115" s="1576" t="n">
        <f aca="false">(1+G115/2)^(-2*(DATE(B116,C116,20)-DateToday)/365.25)</f>
        <v>1</v>
      </c>
      <c r="I115" s="1568" t="n">
        <f aca="false">IF(Assumptions!$L$25=4,VLOOKUP($A115,'Henwood Reference'!$E$9:$R$320,10),(VLOOKUP($A115,PriceTable,2,0)+IF(BasisNumber&lt;&gt;1,VLOOKUP($A115,BasisTable,2,0),0)+I$1)/(1-I$2))</f>
        <v>52.4737027056913</v>
      </c>
      <c r="J115" s="1568" t="n">
        <f aca="false">IF(Assumptions!$L$25=4,VLOOKUP($A115,'Henwood Reference'!$E$9:$R$320,10),(VLOOKUP($A115,PriceTable,3,0)+IF(BasisNumber&lt;&gt;1,VLOOKUP($A115,BasisTable,2,0),0)+J$1)/(1-J$2))</f>
        <v>52.4737027056913</v>
      </c>
      <c r="K115" s="1568" t="n">
        <f aca="false">IF(Assumptions!$L$25=4,VLOOKUP($A115,'Henwood Reference'!$E$9:$R$320,10),(VLOOKUP($A115,PriceTable,4,0)+IF(BasisNumber&lt;&gt;1,VLOOKUP($A115,BasisTable,2,0),0)+K$1)/(1-K$2))</f>
        <v>52.4737027056913</v>
      </c>
      <c r="L115" s="1523" t="n">
        <f aca="false">IF(Assumptions!$L$25=4,VLOOKUP($A115,'Henwood Reference'!$E$9:$R$320,10),(VLOOKUP($A115,PriceTableWeekend,2,0)+IF(BasisNumber&lt;&gt;1,VLOOKUP($A115,BasisTable,2,0),0)+L$1)/(1-L$2))</f>
        <v>52.4737027056913</v>
      </c>
      <c r="M115" s="1568" t="n">
        <f aca="false">IF(Assumptions!$L$25=4,VLOOKUP($A115,'Henwood Reference'!$E$9:$R$320,10),(VLOOKUP($A115,PriceTableWeekend,3,0)+IF(BasisNumber&lt;&gt;1,VLOOKUP($A115,BasisTable,2,0),0)+M$1)/(1-M$2))</f>
        <v>52.4737027056913</v>
      </c>
      <c r="N115" s="1599" t="n">
        <f aca="false">IF(Assumptions!$L$25=4,VLOOKUP($A115,'Henwood Reference'!$E$9:$R$320,10),(VLOOKUP($A115,PriceTableWeekend,4,0)+IF(BasisNumber&lt;&gt;1,VLOOKUP($A115,BasisTable,2,0),0)+N$1)/(1-N$2))</f>
        <v>52.4737027056913</v>
      </c>
      <c r="O115" s="1568" t="n">
        <f aca="false">IF(Assumptions!$L$25=4,VLOOKUP($A115,'Henwood Reference'!$E$9:$R$320,11),(VLOOKUP($A115,PriceTableWeekend,6,0)+IF(BasisNumber&lt;&gt;1,VLOOKUP($A115,BasisTable,3,0),0)+O$1)/(1-O$2))</f>
        <v>26.1094919781307</v>
      </c>
      <c r="P115" s="1568" t="n">
        <f aca="false">IF(Assumptions!$L$25=4,VLOOKUP($A115,'Henwood Reference'!$E$9:$R$320,11),(VLOOKUP($A115,PriceTableWeekend,7,0)+IF(BasisNumber&lt;&gt;1,VLOOKUP($A115,BasisTable,3,0),0)+P$1)/(1-P$2))</f>
        <v>26.1094919781307</v>
      </c>
      <c r="Q115" s="1599" t="n">
        <f aca="false">IF(Assumptions!$L$25=4,VLOOKUP($A115,'Henwood Reference'!$E$9:$R$320,11),(VLOOKUP($A115,PriceTableWeekend,8,0)+IF(BasisNumber&lt;&gt;1,VLOOKUP($A115,BasisTable,3,0),0)+Q$1)/(1-Q$2))</f>
        <v>26.1094919781307</v>
      </c>
      <c r="R115" s="1568" t="n">
        <f aca="false">IF(Assumptions!$L$25=4,VLOOKUP($A115,'Henwood Reference'!$E$9:$R$320,11),(VLOOKUP($A115,PriceTable,6,0)+IF(BasisNumber&lt;&gt;1,VLOOKUP($A115,BasisTable,3,0),0)+R$1)/(1-R$2))</f>
        <v>26.1094919781307</v>
      </c>
      <c r="S115" s="1568" t="n">
        <f aca="false">IF(Assumptions!$L$25=4,VLOOKUP($A115,'Henwood Reference'!$E$9:$R$320,11),(VLOOKUP($A115,PriceTable,7,0)+IF(BasisNumber&lt;&gt;1,VLOOKUP($A115,BasisTable,3,0),0)+S$1)/(1-S$2))</f>
        <v>26.1094919781307</v>
      </c>
      <c r="T115" s="1600" t="n">
        <f aca="false">IF(Assumptions!$L$25=4,VLOOKUP($A115,'Henwood Reference'!$E$9:$R$320,11),(VLOOKUP($A115,PriceTable,8,0)+IF(BasisNumber&lt;&gt;1,VLOOKUP($A115,BasisTable,3,0),0)+T$1)/(1-T$2))</f>
        <v>26.1094919781307</v>
      </c>
      <c r="U115" s="1513" t="n">
        <f aca="false">VLOOKUP($A115,VolatilityTable,14)</f>
        <v>0.13</v>
      </c>
      <c r="V115" s="1513" t="n">
        <f aca="false">VLOOKUP($A115,VolatilityTable,15)</f>
        <v>0.14</v>
      </c>
      <c r="W115" s="1514" t="n">
        <f aca="false">VLOOKUP($A115,VolatilityTable,16)</f>
        <v>0.15</v>
      </c>
      <c r="X115" s="1513" t="n">
        <f aca="false">VLOOKUP($A115,VolatilityTable,14)</f>
        <v>0.13</v>
      </c>
      <c r="Y115" s="1513" t="n">
        <f aca="false">VLOOKUP($A115,VolatilityTable,15)</f>
        <v>0.14</v>
      </c>
      <c r="Z115" s="1514" t="n">
        <f aca="false">VLOOKUP($A115,VolatilityTable,16)</f>
        <v>0.15</v>
      </c>
      <c r="AA115" s="1513" t="n">
        <f aca="false">VLOOKUP($A115,VolatilityTable,18)</f>
        <v>0.09</v>
      </c>
      <c r="AB115" s="1513" t="n">
        <f aca="false">VLOOKUP($A115,VolatilityTable,19)</f>
        <v>0.11</v>
      </c>
      <c r="AC115" s="1514" t="n">
        <f aca="false">VLOOKUP($A115,VolatilityTable,20)</f>
        <v>0.13</v>
      </c>
      <c r="AD115" s="1513" t="n">
        <f aca="false">VLOOKUP($A115,VolatilityTable,18)</f>
        <v>0.09</v>
      </c>
      <c r="AE115" s="1513" t="n">
        <f aca="false">VLOOKUP($A115,VolatilityTable,19)</f>
        <v>0.11</v>
      </c>
      <c r="AF115" s="1514" t="n">
        <f aca="false">VLOOKUP($A115,VolatilityTable,20)</f>
        <v>0.13</v>
      </c>
      <c r="AG115" s="1513" t="n">
        <f aca="false">VLOOKUP($A115,VolatilityTable,22)</f>
        <v>-0.35</v>
      </c>
      <c r="AH115" s="1513" t="n">
        <f aca="false">VLOOKUP($A115,VolatilityTable,23)</f>
        <v>3</v>
      </c>
      <c r="AI115" s="1514" t="n">
        <f aca="false">VLOOKUP($A115,VolatilityTable,24)</f>
        <v>0.35</v>
      </c>
      <c r="AJ115" s="1513" t="n">
        <f aca="false">VLOOKUP($A115,VolatilityTable,22)</f>
        <v>-0.35</v>
      </c>
      <c r="AK115" s="1513" t="n">
        <f aca="false">VLOOKUP($A115,VolatilityTable,23)</f>
        <v>3</v>
      </c>
      <c r="AL115" s="1514" t="n">
        <f aca="false">VLOOKUP($A115,VolatilityTable,24)</f>
        <v>0.35</v>
      </c>
      <c r="AM115" s="1513" t="n">
        <f aca="false">VLOOKUP($A115,VolatilityTable,26)</f>
        <v>-0.01</v>
      </c>
      <c r="AN115" s="1513" t="n">
        <f aca="false">VLOOKUP($A115,VolatilityTable,27)</f>
        <v>0.16</v>
      </c>
      <c r="AO115" s="1514" t="n">
        <f aca="false">VLOOKUP($A115,VolatilityTable,28)</f>
        <v>0.01</v>
      </c>
      <c r="AP115" s="1513" t="n">
        <f aca="false">VLOOKUP($A115,VolatilityTable,26)</f>
        <v>-0.01</v>
      </c>
      <c r="AQ115" s="1513" t="n">
        <f aca="false">VLOOKUP($A115,VolatilityTable,27)</f>
        <v>0.16</v>
      </c>
      <c r="AR115" s="1515" t="n">
        <f aca="false">VLOOKUP($A115,VolatilityTable,28)</f>
        <v>0.01</v>
      </c>
      <c r="AS115" s="1581" t="n">
        <f aca="false">IF(CorrPeakOffPeakOverFlag,INDEX(CorrPeakOffPeakOver,C115),CorrPeakOffPeak)</f>
        <v>0.5</v>
      </c>
      <c r="AT115" s="594" t="e">
        <f aca="false">AX115-SUM(AU115:AW115)</f>
        <v>#VALUE!</v>
      </c>
      <c r="AU115" s="238" t="e">
        <f aca="false">IF(E115="",0,INT((F115-MOD(F115,7)-E115)/7)+1-IF(AW115,IF(WEEKDAY(D115)=7,1,0),0))</f>
        <v>#VALUE!</v>
      </c>
      <c r="AV115" s="238" t="e">
        <f aca="false">IF(E115="",0,INT((F115-MOD(F115-1,7)-E115)/7)+1-IF(AW115,IF(WEEKDAY(D115)=1,1,0),0))</f>
        <v>#VALUE!</v>
      </c>
      <c r="AW115" s="238" t="e">
        <f aca="false">IF(OR(E115="",D115="",D115&lt;BegDate,D115&gt;EndDate),0,1)</f>
        <v>#VALUE!</v>
      </c>
      <c r="AX115" s="238" t="n">
        <f aca="false">IF(E115="",0,F115-E115+1)</f>
        <v>31</v>
      </c>
      <c r="AY115" s="1582" t="n">
        <f aca="false">IF(E115="",0,MIN((1-(1-VLOOKUP(B115,MAIN!$AA$7:$AM$28,C115+1))*(1-VLOOKUP(B115,MAIN!$AA$33:$AM$54,C115+1))),1))</f>
        <v>0.03</v>
      </c>
      <c r="AZ115" s="1519" t="e">
        <v>#VALUE!</v>
      </c>
      <c r="BA115" s="1520" t="e">
        <v>#VALUE!</v>
      </c>
      <c r="BB115" s="1520" t="e">
        <v>#VALUE!</v>
      </c>
      <c r="BC115" s="1583" t="e">
        <v>#VALUE!</v>
      </c>
      <c r="BD115" s="1522" t="e">
        <v>#VALUE!</v>
      </c>
      <c r="BE115" s="1523" t="e">
        <v>#VALUE!</v>
      </c>
      <c r="BF115" s="1523" t="e">
        <v>#VALUE!</v>
      </c>
      <c r="BG115" s="1584" t="e">
        <v>#VALUE!</v>
      </c>
      <c r="BH115" s="1525" t="e">
        <v>#VALUE!</v>
      </c>
      <c r="BI115" s="1520" t="e">
        <v>#VALUE!</v>
      </c>
      <c r="BJ115" s="1520" t="e">
        <v>#VALUE!</v>
      </c>
      <c r="BK115" s="1583" t="e">
        <v>#VALUE!</v>
      </c>
      <c r="BL115" s="1522" t="e">
        <v>#VALUE!</v>
      </c>
      <c r="BM115" s="1523" t="e">
        <v>#VALUE!</v>
      </c>
      <c r="BN115" s="1523" t="e">
        <v>#VALUE!</v>
      </c>
      <c r="BO115" s="1523" t="e">
        <v>#VALUE!</v>
      </c>
      <c r="BP115" s="1525" t="e">
        <f aca="false">SUM(AZ115:BB115)</f>
        <v>#VALUE!</v>
      </c>
      <c r="BQ115" s="1529" t="e">
        <f aca="false">SUM(AZ115:BC115)</f>
        <v>#VALUE!</v>
      </c>
      <c r="BR115" s="1519" t="e">
        <f aca="false">SUM(BH115:BJ115)</f>
        <v>#VALUE!</v>
      </c>
      <c r="BS115" s="1529" t="e">
        <f aca="false">SUM(BH115:BK115)</f>
        <v>#VALUE!</v>
      </c>
      <c r="BT115" s="1316" t="n">
        <f aca="false">(IF(OVolType&lt;&gt;2,A115+14,IF(OptExpDateShift,ShiftBack(A115,OptExpDateShift,D114),A115))-DateToday)/365.25</f>
        <v>8.2135523613963</v>
      </c>
      <c r="BU115" s="1585" t="e">
        <f aca="false">IF(BQ115,IF(OPriceCurve,IF(OBuySell=OCallPut,I115/(1-AY115),K115/(1-AY115)),J115/(1-AY115))*BD115,0)</f>
        <v>#VALUE!</v>
      </c>
      <c r="BV115" s="1316" t="e">
        <f aca="false">IF(BQ115,IF(OPriceCurve,IF(OBuySell=OCallPut,L115/(1-AY115),N115/(1-AY115)),M115/(1-AY115))*BE115,0)</f>
        <v>#VALUE!</v>
      </c>
      <c r="BW115" s="1316" t="e">
        <f aca="false">IF(BQ115,IF(OPriceCurve,IF(OBuySell=OCallPut,O115/(1-AY115),Q115/(1-AY115)),P115/(1-AY115))*BF115,0)</f>
        <v>#VALUE!</v>
      </c>
      <c r="BX115" s="1316" t="e">
        <f aca="false">IF(BQ115,IF(OPriceCurve,IF(OBuySell=OCallPut,R115/(1-AY115),T115/(1-AY115)),S115/(1-AY115))*BG115,0)</f>
        <v>#VALUE!</v>
      </c>
      <c r="BY115" s="1316" t="e">
        <f aca="false">IF(BP115,(BU115*AZ115+BV115*BA115+BW115*BB115)/BP115,0)</f>
        <v>#VALUE!</v>
      </c>
      <c r="BZ115" s="1316" t="e">
        <f aca="false">IF(BQ115,(BY115*BP115+BX115*BC115)/BQ115,0)</f>
        <v>#VALUE!</v>
      </c>
      <c r="CA115" s="1531" t="e">
        <f aca="false">IF(BS115,IF(OPriceCurve,IF(OBuySell=OCallPut,I115/(1-AY115),K115/(1-AY115)),J115/(1-AY115))*BL115,0)</f>
        <v>#VALUE!</v>
      </c>
      <c r="CB115" s="1316" t="e">
        <f aca="false">IF(BS115,IF(OPriceCurve,IF(OBuySell=OCallPut,L115/(1-AY115),N115/(1-AY115)),M115/(1-AY115))*BM115,0)</f>
        <v>#VALUE!</v>
      </c>
      <c r="CC115" s="1316" t="e">
        <f aca="false">IF(BS115,IF(OPriceCurve,IF(OBuySell=OCallPut,O115/(1-AY115),Q115/(1-AY115)),P115/(1-AY115))*BN115,0)</f>
        <v>#VALUE!</v>
      </c>
      <c r="CD115" s="1316" t="e">
        <f aca="false">IF(BS115,IF(OPriceCurve,IF(OBuySell=OCallPut,R115/(1-AY115),T115/(1-AY115)),S115/(1-AY115))*BO115,0)</f>
        <v>#VALUE!</v>
      </c>
      <c r="CE115" s="1316" t="e">
        <f aca="false">IF(BR115,(BU115*BH115+BV115*BI115+BW115*BJ115)/BR115,0)</f>
        <v>#VALUE!</v>
      </c>
      <c r="CF115" s="1532" t="e">
        <f aca="false">IF(BS115,(CE115*BR115+CD115*BK115)/BS115,0)</f>
        <v>#VALUE!</v>
      </c>
      <c r="CG115" s="1586" t="e">
        <f aca="false">IF(OR(BQ115,BS115),IF(OVolType&lt;&gt;2,SQRT(IF(OVolOverMonthlyPeak,OVolOverMonthlyPeak,IF(OVolCurve,IF(OBuySell,U115,W115),V115))^2*(1-15/365.25/BT115)+IF(OVolOverDailyPeak,OVolOverDailyPeak,IF(OVolCurve,IF(OBuySell,AG115,AI115),AH115))^2*15/365.25/BT115),IF(OVolOverMonthlyPeak,OVolOverMonthlyPeak,IF(OVolCurve,IF(OBuySell,U115,W115),V115))),"")</f>
        <v>#VALUE!</v>
      </c>
      <c r="CH115" s="1587" t="e">
        <f aca="false">IF(OR(BQ115,BS115),IF(OVolType&lt;&gt;2,SQRT(IF(OVolOverMonthlyPeak,OVolOverMonthlyPeak,IF(OVolCurve,IF(OBuySell,X115,Z115),Y115))^2*(1-15/365.25/BT115)+IF(OVolOverDailyPeak,OVolOverDailyPeak,IF(OVolCurve,IF(OBuySell,AJ115,AL115),AK115))^2*15/365.25/BT115),IF(OVolOverMonthlyPeak,OVolOverMonthlyPeak,IF(OVolCurve,IF(OBuySell,X115,Z115),Y115))),"")</f>
        <v>#VALUE!</v>
      </c>
      <c r="CI115" s="1587" t="e">
        <f aca="false">IF(OR(BQ115,BS115),IF(OVolType&lt;&gt;2,SQRT(IF(OVolOverMonthlyPeak,OVolOverMonthlyPeak,IF(OVolCurve,IF(OBuySell,AA115,AC115),AB115))^2*(1-15/365.25/BT115)+IF(OVolOverDailyPeak,OVolOverDailyPeak,IF(OVolCurve,IF(OBuySell,AM115,AO115),AN115))^2*15/365.25/BT115),IF(OVolOverMonthlyPeak,OVolOverMonthlyPeak,IF(OVolCurve,IF(OBuySell,AA115,AC115),AB115))),"")</f>
        <v>#VALUE!</v>
      </c>
      <c r="CJ115" s="1587" t="e">
        <f aca="false">IF(BQ115,IF(BP115,SQRT(LN(1+((BU115*AZ115)^2*(EXP(CG115^2*BT115)-1)+(BV115*BA115)^2*(EXP(CH115^2*BT115)-1)+(BW115*BB115)^2*(EXP(CI115^2*BT115)-1)+2*BU115*AZ115*BV115*BA115*(EXP(CG115*CH115*BT115)-1)+2*BV115*BA115*BW115*BB115*(EXP(CH115*CI115*BT115)-1)+2*BW115*BB115*BU115*AZ115*(EXP(CI115*CG115*BT115)-1))/(BY115*BP115)^2)/BT115),0),"")</f>
        <v>#VALUE!</v>
      </c>
      <c r="CK115" s="1587" t="e">
        <f aca="false">IF(BS115,IF(BR115,SQRT(LN(1+((CA115*BH115)^2*(EXP(CG115^2*BT115)-1)+(CB115*BI115)^2*(EXP(CH115^2*BT115)-1)+(CC115*BJ115)^2*(EXP(CI115^2*BT115)-1)+2*CA115*BH115*CB115*BI115*(EXP(CG115*CH115*BT115)-1)+2*CB115*BI115*CC115*BJ115*(EXP(CH115*CI115*BT115)-1)+2*CC115*BJ115*CA115*BH115*(EXP(CI115*CG115*BT115)-1))/(CE115*BR115)^2)/BT115),0),"")</f>
        <v>#VALUE!</v>
      </c>
      <c r="CL115" s="1587" t="e">
        <f aca="false">IF(OR(BQ115,BS115),IF(OVolType&lt;&gt;2,SQRT(IF(OVolOverMonthlyOffPeak,OVolOverMonthlyOffPeak,IF(OVolCurve,IF(OBuySell,AD115,AF115),AE115))^2*(1-15/365.25/BT115)+IF(OVolOverDailyOffPeak,OVolOverDailyOffPeak,IF(OVolCurve,IF(OBuySell,AP115,AR115),AQ115))^2*15/365.25/BT115),IF(OVolOverMonthlyOffPeak,OVolOverMonthlyOffPeak,IF(OVolCurve,IF(OBuySell,AD115,AF115),AE115))),"")</f>
        <v>#VALUE!</v>
      </c>
      <c r="CM115" s="1587" t="e">
        <f aca="false">IF(BQ115,SQRT(LN(1+((BY115*BP115)^2*(EXP(CJ115^2*BT115)-1)+(BX115*BC115)^2*(EXP(CL115^2*BT115)-1)+2*BY115*BP115*BX115*BC115*(EXP(AS115*CJ115*CL115*BT115)-1))/(BY115*BP115+BX115*BC115)^2)/BT115),"")</f>
        <v>#VALUE!</v>
      </c>
      <c r="CN115" s="1588" t="e">
        <f aca="false">IF(BS115,SQRT(LN(1+((CE115*BR115)^2*(EXP(CK115^2*BT115)-1)+(CD115*BK115)^2*(EXP(CL115^2*BT115)-1)+2*CE115*BR115*CD115*BK115*(EXP(AS115*CK115*CL115*BT115)-1))/(CE115*BR115+CD115*BK115)^2)/BT115),"")</f>
        <v>#VALUE!</v>
      </c>
      <c r="CO115" s="1531" t="e">
        <f aca="false">IF(OR(BQ115,BS115),VLOOKUP(A115,GasTable,13)*HeatRatePeak*(1+VLOOKUP($B115,HeatRateDegradation,$C115+1))/1000,0)</f>
        <v>#VALUE!</v>
      </c>
      <c r="CP115" s="1316" t="e">
        <f aca="false">IF(OR(BQ115,BS115),VLOOKUP(A115,GasTable,13)*HeatRatePeak*(1+VLOOKUP($B115,HeatRateDegradation,$C115+1))/1000,0)</f>
        <v>#VALUE!</v>
      </c>
      <c r="CQ115" s="1316" t="e">
        <f aca="false">IF(OR(BQ115,BS115),VLOOKUP(A115,GasTable,13)*IF(EV115,HeatRatePeak,HeatRateOffPeak)*(1+VLOOKUP($B115,HeatRateDegradation,$C115+1))/1000,0)</f>
        <v>#VALUE!</v>
      </c>
      <c r="CR115" s="1316" t="e">
        <f aca="false">IF(OR(BQ115,BS115),VLOOKUP(A115,GasTable,13)*IF(EW115,HeatRatePeak,HeatRateOffPeak)*(1+VLOOKUP($B115,HeatRateDegradation,$C115+1))/1000,0)</f>
        <v>#VALUE!</v>
      </c>
      <c r="CS115" s="1589" t="e">
        <f aca="false">IF(BQ115,(CO115*AZ115+CP115*BA115+CQ115*BB115+CR115*BC115)/BQ115,0)</f>
        <v>#VALUE!</v>
      </c>
      <c r="CT115" s="1316" t="e">
        <f aca="false">IF(BS115,CO115,0)</f>
        <v>#VALUE!</v>
      </c>
      <c r="CU115" s="1590" t="e">
        <f aca="false">IF(OR(BQ115,BS115),VLOOKUP(A115,GasTable,14),"")</f>
        <v>#VALUE!</v>
      </c>
      <c r="CV115" s="1568" t="e">
        <f aca="false">IF(OR(BQ115,BS115),IF(CorrPowerGasOverFlag,INDEX(CorrPowerGasOver,C115),CorrPowerGas),"")</f>
        <v>#VALUE!</v>
      </c>
      <c r="CW115" s="1316" t="e">
        <f aca="false">IF(OR($BQ115,$BS115),SpreadOptPowerMargin,0)*((1+Assumptions!$C$26)^($B115-YEAR(Assumptions!$C$17)))</f>
        <v>#VALUE!</v>
      </c>
      <c r="CX115" s="1316" t="e">
        <f aca="false">IF(OR($BQ115,$BS115),SpreadOptPowerMargin,0)*((1+Assumptions!$C$26)^($B115-YEAR(Assumptions!$C$17)))</f>
        <v>#VALUE!</v>
      </c>
      <c r="CY115" s="1316" t="e">
        <f aca="false">IF(OR($BQ115,$BS115),SpreadOptPowerMargin,0)*((1+Assumptions!$C$26)^($B115-YEAR(Assumptions!$C$17)))</f>
        <v>#VALUE!</v>
      </c>
      <c r="CZ115" s="1316" t="e">
        <f aca="false">IF(OR($BQ115,$BS115),SpreadOptPowerMargin,0)*((1+Assumptions!$C$26)^($B115-YEAR(Assumptions!$C$17)))</f>
        <v>#VALUE!</v>
      </c>
      <c r="DA115" s="1591" t="e">
        <f aca="false">IF(OR(BQ115,BS115),(CW115*(AZ115+BH115)+CX115*(BA115+BI115)+CY115*(BB115+BJ115)+CZ115*(BC115+BK115))/(BQ115+BS115),0)</f>
        <v>#VALUE!</v>
      </c>
      <c r="DB115" s="1592" t="e">
        <f aca="false">IF(OR(BQ115,BS115),CG115+IF(OVolSmile,VLOOKUP(MAX(-5,CO115+CW115-BU115),IF(OVolSmile=1,VolSmileBook,VolSmileModel),2),0),"")</f>
        <v>#VALUE!</v>
      </c>
      <c r="DC115" s="1592" t="e">
        <f aca="false">IF(OR(BQ115,BS115),CH115+IF(OVolSmile,VLOOKUP(MAX(-5,CP115+CW115-BV115),IF(OVolSmile=1,VolSmileBook,VolSmileModel),2),0),"")</f>
        <v>#VALUE!</v>
      </c>
      <c r="DD115" s="1592" t="e">
        <f aca="false">IF(OR(BQ115,BS115),CI115+IF(OVolSmile,VLOOKUP(MAX(-5,CQ115+CW115-BW115),IF(OVolSmile=1,VolSmileBook,VolSmileModel),2),0),"")</f>
        <v>#VALUE!</v>
      </c>
      <c r="DE115" s="1592" t="e">
        <f aca="false">IF(OR(BQ115,BS115),CL115+IF(OVolSmile,VLOOKUP(MAX(-5,CR115+CZ115-BX115),IF(OVolSmile=1,VolSmileBook,VolSmileModel),2),0),"")</f>
        <v>#VALUE!</v>
      </c>
      <c r="DF115" s="1592" t="e">
        <f aca="false">IF(BQ115,CM115+IF(OVolSmile,VLOOKUP(MAX(-5,CS115+DA115-BZ115),IF(OVolSmile=1,VolSmileBook,VolSmileModel),2),0),"")</f>
        <v>#VALUE!</v>
      </c>
      <c r="DG115" s="1593" t="e">
        <f aca="false">IF(BS115,CN115+IF(OVolSmile,VLOOKUP(MAX(-5,CT115+DA115-CF115),IF(OVolSmile=1,VolSmileBook,VolSmileModel),2),0),"")</f>
        <v>#VALUE!</v>
      </c>
      <c r="DH115" s="1316" t="e">
        <f aca="false">IF(AND(BU115&gt;0,CO115&gt;0,DB115&gt;0,CU115&gt;0),newSPRDOPT(BU115,CO115,CW115,0,DB115,CU115,CV115,BT115*365.25,OCallPut,0),0)</f>
        <v>#VALUE!</v>
      </c>
      <c r="DI115" s="1316" t="e">
        <f aca="false">IF(AND(BV115&gt;0,CP115&gt;0,DC115&gt;0,CU115&gt;0),newSPRDOPT(BV115,CP115,CX115,0,DC115,CU115,CV115,BT115*365.25,OCallPut,0),0)</f>
        <v>#VALUE!</v>
      </c>
      <c r="DJ115" s="1316" t="e">
        <f aca="false">IF(AND(BW115&gt;0,CQ115&gt;0,DD115&gt;0,CU115&gt;0),newSPRDOPT(BW115,CQ115,CY115,0,DD115,CU115,CV115,BT115*365.25,OCallPut,0),0)</f>
        <v>#VALUE!</v>
      </c>
      <c r="DK115" s="1316" t="e">
        <f aca="false">IF(AND(BX115&gt;0,CR115&gt;0,DE115&gt;0,CU115&gt;0),newSPRDOPT(BX115,CR115,CZ115,0,DE115,CU115,CV115,BT115*365.25,OCallPut,0),0)</f>
        <v>#VALUE!</v>
      </c>
      <c r="DL115" s="1316" t="e">
        <f aca="false">IF(OVolType,IF(AND(BZ115&gt;0,CS115&gt;0,DF115&gt;0,CU115&gt;0),newSPRDOPT(BZ115,CS115,DA115,0,DF115,CU115,CV115,BT115*365.25,OCallPut,0),0),IF(BQ115,(DH115*AZ115+DI115*BA115+DJ115*BB115+DK115*BC115)/BQ115,0))</f>
        <v>#VALUE!</v>
      </c>
      <c r="DM115" s="1316"/>
      <c r="DN115" s="1316"/>
      <c r="DO115" s="1316"/>
      <c r="DP115" s="1316"/>
      <c r="DQ115" s="1316"/>
      <c r="DR115" s="1316"/>
      <c r="DS115" s="1316"/>
      <c r="DT115" s="1316"/>
      <c r="DU115" s="1316"/>
      <c r="DV115" s="1316"/>
      <c r="DW115" s="1594" t="e">
        <f aca="false">IF(AND(BW115&gt;0,CT115&gt;0,DD115&gt;0,CU115&gt;0),newSPRDOPT(BW115,CT115,CY115,0,DD115,CU115,CV115,BT115*365.25,OCallPut,0),0)</f>
        <v>#VALUE!</v>
      </c>
      <c r="DX115" s="1316" t="e">
        <f aca="false">IF(AND(BX115&gt;0,CT115&gt;0,DE115&gt;0,CU115&gt;0),newSPRDOPT(BX115,CT115,CZ115,0,DE115,CU115,CV115,BT115*365.25,OCallPut,0),0)</f>
        <v>#VALUE!</v>
      </c>
      <c r="DY115" s="1591" t="e">
        <f aca="false">IF(BS115,(DH115*BH115+DI115*BI115+DW115*BJ115+DX115*BK115)/BS115,0)</f>
        <v>#VALUE!</v>
      </c>
      <c r="DZ115" s="1551" t="e">
        <f aca="false">DH115*AZ115</f>
        <v>#VALUE!</v>
      </c>
      <c r="EA115" s="1551" t="e">
        <f aca="false">DI115*BA115</f>
        <v>#VALUE!</v>
      </c>
      <c r="EB115" s="1551" t="e">
        <f aca="false">DJ115*BB115</f>
        <v>#VALUE!</v>
      </c>
      <c r="EC115" s="1551" t="e">
        <f aca="false">DK115*BC115</f>
        <v>#VALUE!</v>
      </c>
      <c r="ED115" s="1551" t="e">
        <f aca="false">DL115*BQ115</f>
        <v>#VALUE!</v>
      </c>
      <c r="EE115" s="1595" t="e">
        <f aca="false">IF(BQ115,IF(OCallPut,IF(BU115&gt;(CO115+CW115),BU115-(CO115+CW115),0),IF((CO115+CW115)&gt;BU115,(CO115+CW115)-BU115,0))*AZ115,0)</f>
        <v>#VALUE!</v>
      </c>
      <c r="EF115" s="1596" t="e">
        <f aca="false">IF(BQ115,IF(OCallPut,IF(BV115&gt;(CP115+CX115),BV115-(CP115+CX115),0),IF((CP115+CX115)&gt;BV115,(CP115+CX115)-BV115,0))*BA115,0)</f>
        <v>#VALUE!</v>
      </c>
      <c r="EG115" s="1596" t="e">
        <f aca="false">IF(BQ115,IF(OCallPut,IF(BW115&gt;(CQ115+CY115),BW115-(CQ115+CY115),0),IF((CQ115+CY115)&gt;BW115,(CQ115+CY115)-BW115,0))*BB115,0)</f>
        <v>#VALUE!</v>
      </c>
      <c r="EH115" s="1596" t="e">
        <f aca="false">IF(BQ115,IF(OCallPut,IF(BX115&gt;(CR115+CZ115),BX115-(CR115+CZ115),0),IF((CR115+CZ115)&gt;BX115,(CR115+CZ115)-BX115,0))*BC115,0)</f>
        <v>#VALUE!</v>
      </c>
      <c r="EI115" s="1597" t="e">
        <f aca="false">IF(BQ115,IF(OVolType,IF(OCallPut,IF(BZ115&gt;(CS115+DA115),BZ115-(CS115+DA115),0),IF((CS115+DA115)&gt;BZ115,(CS115+DA115)-BZ115,0))*BQ115,SUM(EE115:EH115)),0)</f>
        <v>#VALUE!</v>
      </c>
      <c r="EJ115" s="1595" t="e">
        <f aca="false">DZ115-EE115</f>
        <v>#VALUE!</v>
      </c>
      <c r="EK115" s="1596" t="e">
        <f aca="false">EA115-EF115</f>
        <v>#VALUE!</v>
      </c>
      <c r="EL115" s="1596" t="e">
        <f aca="false">EB115-EG115</f>
        <v>#VALUE!</v>
      </c>
      <c r="EM115" s="1596" t="e">
        <f aca="false">EC115-EH115</f>
        <v>#VALUE!</v>
      </c>
      <c r="EN115" s="1597" t="e">
        <f aca="false">ED115-EI115</f>
        <v>#VALUE!</v>
      </c>
      <c r="EO115" s="1551" t="e">
        <f aca="false">DH115*BH115</f>
        <v>#VALUE!</v>
      </c>
      <c r="EP115" s="1551" t="e">
        <f aca="false">DI115*BI115</f>
        <v>#VALUE!</v>
      </c>
      <c r="EQ115" s="1551" t="e">
        <f aca="false">DW115*BJ115</f>
        <v>#VALUE!</v>
      </c>
      <c r="ER115" s="1551" t="e">
        <f aca="false">DX115*BK115</f>
        <v>#VALUE!</v>
      </c>
      <c r="ES115" s="1551" t="e">
        <f aca="false">DY115*BS115</f>
        <v>#VALUE!</v>
      </c>
      <c r="ET115" s="1566" t="e">
        <f aca="false">IF(EI115,IF(OCallPut,IF(CA115&gt;(CT115+CW115),CA115-(CT115+CW115),0),IF((CT115+CW115)&gt;CA115,(CT115+CW115)-CA115,0))*BH115,0)</f>
        <v>#VALUE!</v>
      </c>
      <c r="EU115" s="1551" t="e">
        <f aca="false">IF(EI115,IF(OCallPut,IF(CB115&gt;(CT115+CX115),CB115-(CT115+CX115),0),IF((CT115+CX115)&gt;CB115,(CT115+CX115)-CB115,0))*BI115,0)</f>
        <v>#VALUE!</v>
      </c>
      <c r="EV115" s="1551" t="e">
        <f aca="false">IF(EI115,IF(OCallPut,IF(CC115&gt;(CT115+CY115),CC115-(CT115+CY115),0),IF((CT115+CY115)&gt;CC115,(CT115+CY115)-CC115,0))*BJ115,0)</f>
        <v>#VALUE!</v>
      </c>
      <c r="EW115" s="1551" t="e">
        <f aca="false">IF(EI115,IF(OCallPut,IF(CD115&gt;(CT115+CZ115),CD115-(CT115+CZ115),0),IF((CT115+CZ115)&gt;CD115,(CT115+CZ115)-CD115,0))*BK115,0)</f>
        <v>#VALUE!</v>
      </c>
      <c r="EX115" s="1558" t="e">
        <f aca="false">IF(EI115,SUM(ET115:EW115),0)</f>
        <v>#VALUE!</v>
      </c>
      <c r="EY115" s="1551" t="e">
        <f aca="false">EO115-ET115</f>
        <v>#VALUE!</v>
      </c>
      <c r="EZ115" s="1551" t="e">
        <f aca="false">EP115-EU115</f>
        <v>#VALUE!</v>
      </c>
      <c r="FA115" s="1551" t="e">
        <f aca="false">EQ115-EV115</f>
        <v>#VALUE!</v>
      </c>
      <c r="FB115" s="1551" t="e">
        <f aca="false">ER115-EW115</f>
        <v>#VALUE!</v>
      </c>
      <c r="FC115" s="1551" t="e">
        <f aca="false">ES115-EX115</f>
        <v>#VALUE!</v>
      </c>
      <c r="FD115" s="1525" t="n">
        <f aca="false">IF(AX115,IF(VLOOKUP(C115,MAIN!$L$17:$M$28,2)="Yes",VLOOKUP(CALC!B115,MAIN!$H$17:$I$20,2),0),0)</f>
        <v>0</v>
      </c>
      <c r="FE115" s="1552" t="e">
        <f aca="false">$FD115*16*AT115*(1-$AY115)</f>
        <v>#VALUE!</v>
      </c>
      <c r="FF115" s="1553" t="e">
        <f aca="false">$FD115*16*AU115*(1-$AY115)</f>
        <v>#VALUE!</v>
      </c>
      <c r="FG115" s="1553" t="e">
        <f aca="false">$FD115*16*(AV115+AW115)*(1-$AY115)</f>
        <v>#VALUE!</v>
      </c>
      <c r="FH115" s="1554" t="n">
        <f aca="false">$FD115*8*AX115*(1-$AY115)</f>
        <v>0</v>
      </c>
      <c r="FI115" s="1555" t="n">
        <f aca="false">IF(AX115,VLOOKUP(CALC!B115,MAIN!$H$17:$K$20,4),0)</f>
        <v>0</v>
      </c>
      <c r="FJ115" s="1553" t="e">
        <f aca="false">SUM(FE115:FH115)</f>
        <v>#VALUE!</v>
      </c>
      <c r="FK115" s="1556" t="e">
        <f aca="false">FI115*FJ115</f>
        <v>#VALUE!</v>
      </c>
      <c r="FL115" s="1551" t="e">
        <f aca="false">IF($EI115&gt;0,MIN(FE115,AZ115*(1+VLOOKUP($C115,WeatherCapacityAdjustment,2))),0)</f>
        <v>#VALUE!</v>
      </c>
      <c r="FM115" s="1551" t="e">
        <f aca="false">IF($EI115&gt;0,MIN(FF115,BA115*(1+VLOOKUP($C115,WeatherCapacityAdjustment,2))),0)</f>
        <v>#VALUE!</v>
      </c>
      <c r="FN115" s="1551" t="e">
        <f aca="false">IF($EI115&gt;0,MIN(FG115,BB115*(1+VLOOKUP($C115,WeatherCapacityAdjustment,2))),0)</f>
        <v>#VALUE!</v>
      </c>
      <c r="FO115" s="1564" t="e">
        <f aca="false">IF($EI115&gt;0,MIN(FH115,BC115*(1+VLOOKUP($C115,WeatherCapacityAdjustment,3))),0)</f>
        <v>#VALUE!</v>
      </c>
      <c r="FP115" s="1551" t="e">
        <f aca="false">IF(ET115&gt;0,MIN(FE115-FL115,BH115*(1+VLOOKUP($C115,WeatherCapacityAdjustment,2))),0)</f>
        <v>#VALUE!</v>
      </c>
      <c r="FQ115" s="1551" t="e">
        <f aca="false">IF(EU115&gt;0,MIN(FF115-FM115,BI115*(1+VLOOKUP($C115,WeatherCapacityAdjustment,2))),0)</f>
        <v>#VALUE!</v>
      </c>
      <c r="FR115" s="1551" t="e">
        <f aca="false">IF(EV115&gt;0,MIN(FG115-FN115,BJ115*(1+VLOOKUP($C115,WeatherCapacityAdjustment,2))),0)</f>
        <v>#VALUE!</v>
      </c>
      <c r="FS115" s="1558" t="e">
        <f aca="false">IF(EW115&gt;0,MIN(FH115-FO115,BK115*(1+VLOOKUP($C115,WeatherCapacityAdjustment,3))),0)</f>
        <v>#VALUE!</v>
      </c>
      <c r="FT115" s="1566" t="e">
        <f aca="false">IF(AND(Assumptions!$H$71="Yes",A115&gt;=Assumptions!$H$72,A115&lt;=Assumptions!$H$73),0,IF(AND($A115&gt;=Assumptions!$C$17,$A115&lt;=Assumptions!$C$18),MAX(AZ115*(1+VLOOKUP($C115,WeatherCapacityAdjustment,2))-FL115,0),0))</f>
        <v>#VALUE!</v>
      </c>
      <c r="FU115" s="1551" t="e">
        <f aca="false">IF(AND(Assumptions!$H$71="Yes",A115&gt;=Assumptions!$H$72,A115&lt;=Assumptions!$H$73),0,IF(AND($A115&gt;=Assumptions!$C$17,$A115&lt;=Assumptions!$C$18),MAX(BA115*(1+VLOOKUP($C115,WeatherCapacityAdjustment,2))-FM115,0),0))</f>
        <v>#VALUE!</v>
      </c>
      <c r="FV115" s="1551" t="e">
        <f aca="false">IF(AND(Assumptions!$H$71="Yes",A115&gt;=Assumptions!$H$72,A115&lt;=Assumptions!$H$73),0,IF(AND($A115&gt;=Assumptions!$C$17,$A115&lt;=Assumptions!$C$18),MAX(BB115*(1+VLOOKUP($C115,WeatherCapacityAdjustment,2))-FN115,0),0))</f>
        <v>#VALUE!</v>
      </c>
      <c r="FW115" s="1564" t="e">
        <f aca="false">IF(AND(Assumptions!$H$71="Yes",A115&gt;=Assumptions!$H$72,A115&lt;=Assumptions!$H$73),0,IF(AND($A115&gt;=Assumptions!$C$17,$A115&lt;=Assumptions!$C$18),MAX(BC115*(1+VLOOKUP($C115,WeatherCapacityAdjustment,3))-FO115,0),0))</f>
        <v>#VALUE!</v>
      </c>
      <c r="FX115" s="1569" t="e">
        <f aca="false">IF(AND(Assumptions!$H$71="Yes",A115&gt;=Assumptions!$H$72,A115&lt;=Assumptions!$H$73),0,IF(ET115&gt;0,MAX(BH115*(1+VLOOKUP($C115,WeatherCapacityAdjustment,2))-FP115,0),0))</f>
        <v>#VALUE!</v>
      </c>
      <c r="FY115" s="1551" t="e">
        <f aca="false">IF(AND(Assumptions!$H$71="Yes",A115&gt;=Assumptions!$H$72,A115&lt;=Assumptions!$H$73),0,IF(EU115&gt;0,MAX(BI115*(1+VLOOKUP($C115,WeatherCapacityAdjustment,3))-FQ115,0),0))</f>
        <v>#VALUE!</v>
      </c>
      <c r="FZ115" s="1551" t="e">
        <f aca="false">IF(AND(Assumptions!$H$71="Yes",A115&gt;=Assumptions!$H$72,A115&lt;=Assumptions!$H$73),0,IF(EV115&gt;0,MAX(BJ115*(1+VLOOKUP($C115,WeatherCapacityAdjustment,2))-FR115,0),0))</f>
        <v>#VALUE!</v>
      </c>
      <c r="GA115" s="1564" t="e">
        <f aca="false">IF(AND(Assumptions!$H$71="Yes",A115&gt;=Assumptions!$H$72,A115&lt;=Assumptions!$H$73),0,IF(EW115&gt;0,MAX(BK115*(1+VLOOKUP($C115,WeatherCapacityAdjustment,2))-FS115,0),0))</f>
        <v>#VALUE!</v>
      </c>
      <c r="GB115" s="1551" t="e">
        <f aca="false">SUM(FT115:GA115)</f>
        <v>#VALUE!</v>
      </c>
      <c r="GC115" s="1563" t="e">
        <f aca="false">+IF(SUM(FT115:GA115)=0,0,(SUMPRODUCT(BU115:BX115,FT115:FW115)+SUMPRODUCT(CA115:CD115,FX115:GA115))/SUM(FT115:GA115))</f>
        <v>#VALUE!</v>
      </c>
      <c r="GD115" s="1551" t="e">
        <f aca="false">(FT115*BU115+FX115*CA115+FU115*BV115+FY115*CB115+FV115*BW115+FZ115*CC115+FW115*BX115+GA115*CD115)</f>
        <v>#VALUE!</v>
      </c>
      <c r="GE115" s="1561" t="e">
        <f aca="false">+IF(BQ115,((FL115+FM115+FT115+FU115)*HeatRatePeak/1000*(1+VLOOKUP($C115,WeatherHeatRateAdjustment,2))+(FN115+FV115)*IF(EV115&gt;0,HeatRatePeak,HeatRateOffPeak)/1000*(1+VLOOKUP($C115,WeatherHeatRateAdjustment,2))+(FO115+FW115)*IF(EW115&gt;0,HeatRatePeak,HeatRateOffPeak)/1000*(1+VLOOKUP($C115,WeatherHeatRateAdjustment,3)))*(1+VLOOKUP($B115,HeatRateDegradation,$C115+1)),0)</f>
        <v>#VALUE!</v>
      </c>
      <c r="GF115" s="1562" t="e">
        <f aca="false">IF(BQ115,((FP115+FQ115+FR115+FX115+FY115+FZ115)*HeatRatePeak/1000*(1+VLOOKUP($C115,WeatherHeatRateAdjustment,2))+(FS115+GA115)*HeatRatePeak/1000*(1+VLOOKUP($C115,WeatherHeatRateAdjustment,3)))*(1+VLOOKUP($B115,HeatRateDegradation,$C115+1)),0)</f>
        <v>#VALUE!</v>
      </c>
      <c r="GG115" s="1563" t="e">
        <f aca="false">IF(BQ115,VLOOKUP(A115,GasTable,13),0)</f>
        <v>#VALUE!</v>
      </c>
      <c r="GH115" s="1564" t="e">
        <f aca="false">(GE115+GF115)*GG115</f>
        <v>#VALUE!</v>
      </c>
      <c r="GI115" s="1569" t="e">
        <f aca="false">GB115</f>
        <v>#VALUE!</v>
      </c>
      <c r="GJ115" s="1598" t="e">
        <f aca="false">+DA115</f>
        <v>#VALUE!</v>
      </c>
      <c r="GK115" s="1558" t="e">
        <f aca="false">+GI115*GJ115</f>
        <v>#VALUE!</v>
      </c>
      <c r="GL115" s="1566" t="e">
        <f aca="false">MAX(FE115-FL115-FP115,0)</f>
        <v>#VALUE!</v>
      </c>
      <c r="GM115" s="1551" t="e">
        <f aca="false">MAX(FF115-FM115-FQ115,0)</f>
        <v>#VALUE!</v>
      </c>
      <c r="GN115" s="1551" t="e">
        <f aca="false">MAX(FG115-FN115-FR115,0)</f>
        <v>#VALUE!</v>
      </c>
      <c r="GO115" s="1564" t="e">
        <f aca="false">MAX(FH115-FO115-FS115,0)</f>
        <v>#VALUE!</v>
      </c>
      <c r="GP115" s="1551" t="e">
        <f aca="false">SUM(GL115:GO115)</f>
        <v>#VALUE!</v>
      </c>
      <c r="GQ115" s="1563" t="e">
        <f aca="false">IF(SUM(GL115:GO115)=0,0,((GL115*BU115+GM115*BV115+GN115*BW115+GO115*BX115)/SUM(GL115:GO115)))</f>
        <v>#VALUE!</v>
      </c>
      <c r="GR115" s="1558" t="e">
        <f aca="false">(GL115*BU115+GM115*BV115+GN115*BW115+GO115*BX115)</f>
        <v>#VALUE!</v>
      </c>
      <c r="GS115" s="1566" t="n">
        <f aca="false">IF($A115&gt;=BegDate,Assumptions!$C$56*24*($A116-$A115)*(1-VLOOKUP($B115,MAIN!$AA$7:$AM$28,$C115+1))*(1-VLOOKUP($B115,MAIN!$AA$33:$AM$54,$C115+1)),0)*80/168</f>
        <v>257742.857142857</v>
      </c>
      <c r="GT115" s="286" t="n">
        <f aca="false">J115</f>
        <v>52.4737027056913</v>
      </c>
      <c r="GU115" s="286" t="n">
        <f aca="false">IF($A115&gt;=BegDate,VLOOKUP($A115,GasTable,13)+Assumptions!$C$58,0)</f>
        <v>2.67081148397794</v>
      </c>
      <c r="GV115" s="286" t="n">
        <f aca="false">GU115*Assumptions!$C$57/1000</f>
        <v>19.3633832588401</v>
      </c>
      <c r="GW115" s="1558" t="n">
        <f aca="false">IF(Assumptions!$C$60="Hourly",MAX(0,GS115*(GT115-GV115)),GS115*(GT115-GV115))</f>
        <v>8533948.33514414</v>
      </c>
      <c r="GX115" s="1566" t="n">
        <f aca="false">IF($A115&gt;=BegDate,Assumptions!$C$56*24*($A116-$A115)*(1-VLOOKUP($B115,MAIN!$AA$7:$AM$28,$C115+1))*(1-VLOOKUP($B115,MAIN!$AA$33:$AM$54,$C115+1)),0)*16/168</f>
        <v>51548.5714285714</v>
      </c>
      <c r="GY115" s="286" t="n">
        <f aca="false">M115</f>
        <v>52.4737027056913</v>
      </c>
      <c r="GZ115" s="286" t="n">
        <f aca="false">IF($A115&gt;=BegDate,VLOOKUP($A115,GasTable,13)+Assumptions!$C$58,0)</f>
        <v>2.67081148397794</v>
      </c>
      <c r="HA115" s="286" t="n">
        <f aca="false">GZ115*Assumptions!$C$57/1000</f>
        <v>19.3633832588401</v>
      </c>
      <c r="HB115" s="1558" t="n">
        <f aca="false">IF(Assumptions!$C$60="Hourly",MAX(0,GX115*(GY115-HA115)),GX115*(GY115-HA115))</f>
        <v>1706789.66702883</v>
      </c>
      <c r="HC115" s="1566" t="n">
        <f aca="false">IF($A115&gt;=BegDate,Assumptions!$C$56*24*($A116-$A115)*(1-VLOOKUP($B115,MAIN!$AA$7:$AM$28,$C115+1))*(1-VLOOKUP($B115,MAIN!$AA$33:$AM$54,$C115+1)),0)*16/168</f>
        <v>51548.5714285714</v>
      </c>
      <c r="HD115" s="286" t="n">
        <f aca="false">P115</f>
        <v>26.1094919781307</v>
      </c>
      <c r="HE115" s="286" t="n">
        <f aca="false">IF($A115&gt;=BegDate,VLOOKUP($A115,GasTable,13)+Assumptions!$C$58,0)</f>
        <v>2.67081148397794</v>
      </c>
      <c r="HF115" s="286" t="n">
        <f aca="false">HE115*Assumptions!$C$57/1000</f>
        <v>19.3633832588401</v>
      </c>
      <c r="HG115" s="1558" t="n">
        <f aca="false">IF(Assumptions!$C$60="Hourly",MAX(0,HC115*(HD115-HF115)),HC115*(HD115-HF115))</f>
        <v>347752.267181262</v>
      </c>
      <c r="HH115" s="1566" t="n">
        <f aca="false">IF($A115&gt;=BegDate,Assumptions!$C$56*24*($A116-$A115)*(1-VLOOKUP($B115,MAIN!$AA$7:$AM$28,$C115+1))*(1-VLOOKUP($B115,MAIN!$AA$33:$AM$54,$C115+1)),0)*56/168</f>
        <v>180420</v>
      </c>
      <c r="HI115" s="286" t="n">
        <f aca="false">S115</f>
        <v>26.1094919781307</v>
      </c>
      <c r="HJ115" s="286" t="n">
        <f aca="false">IF($A115&gt;=BegDate,VLOOKUP($A115,GasTable,13)+Assumptions!$C$58,0)</f>
        <v>2.67081148397794</v>
      </c>
      <c r="HK115" s="286" t="n">
        <f aca="false">HJ115*Assumptions!$C$57/1000</f>
        <v>19.3633832588401</v>
      </c>
      <c r="HL115" s="1558" t="n">
        <f aca="false">IF(Assumptions!$C$60="Hourly",MAX(0,HH115*(HI115-HK115)),HH115*(HI115-HK115))</f>
        <v>1217132.93513442</v>
      </c>
      <c r="HM115" s="1566" t="n">
        <f aca="false">IF(AND(Assumptions!$H$71="Yes",A115&gt;=Assumptions!$H$72,A115&lt;=Assumptions!$H$73),Assumptions!$H$74*Assumptions!$C$9*1000,0)</f>
        <v>0</v>
      </c>
      <c r="HN115" s="1551"/>
      <c r="HO115" s="1563"/>
      <c r="HP115" s="1563"/>
      <c r="HQ115" s="1563"/>
      <c r="HR115" s="1563"/>
      <c r="HS115" s="1563"/>
      <c r="HT115" s="1563"/>
      <c r="HU115" s="1563"/>
      <c r="HV115" s="1563"/>
      <c r="HW115" s="1563"/>
      <c r="HX115" s="1563"/>
      <c r="HY115" s="1563"/>
      <c r="HZ115" s="1563"/>
      <c r="IA115" s="1563"/>
      <c r="IB115" s="1563"/>
      <c r="IC115" s="1563"/>
      <c r="ID115" s="1563"/>
      <c r="IE115" s="1563"/>
      <c r="IF115" s="1563"/>
      <c r="IG115" s="1563"/>
      <c r="IH115" s="1563"/>
      <c r="II115" s="1610"/>
      <c r="IJ115" s="1309"/>
      <c r="IK115" s="1309"/>
    </row>
    <row r="116" customFormat="false" ht="12.75" hidden="false" customHeight="false" outlineLevel="0" collapsed="false">
      <c r="A116" s="1571" t="n">
        <f aca="false">EOMONTH(A115,0)+1</f>
        <v>39661</v>
      </c>
      <c r="B116" s="594" t="n">
        <f aca="false">+YEAR(A116)</f>
        <v>2008</v>
      </c>
      <c r="C116" s="238" t="n">
        <f aca="false">MONTH(A116)</f>
        <v>8</v>
      </c>
      <c r="D116" s="1572" t="e">
        <f aca="false">IF(E116="","",Holiday(B116,C116))</f>
        <v>#VALUE!</v>
      </c>
      <c r="E116" s="1573" t="n">
        <f aca="false">IF(OR(BegDate&gt;=A117,EndDate&lt;A116,AND(VolumeMonthlyOverFlag,INDEX(VolumeMonthlyOver,C116)=0),NOT(INDEX(MonthKnockOutTable,C116))),"",MAX(A116,BegDate))</f>
        <v>39661</v>
      </c>
      <c r="F116" s="1574" t="n">
        <f aca="false">IF(E116="","",MIN(A117-1,EndDate))</f>
        <v>39691</v>
      </c>
      <c r="G116" s="1575" t="n">
        <v>0</v>
      </c>
      <c r="H116" s="1576" t="n">
        <f aca="false">(1+G116/2)^(-2*(DATE(B117,C117,20)-DateToday)/365.25)</f>
        <v>1</v>
      </c>
      <c r="I116" s="1568" t="n">
        <f aca="false">IF(Assumptions!$L$25=4,VLOOKUP($A116,'Henwood Reference'!$E$9:$R$320,10),(VLOOKUP($A116,PriceTable,2,0)+IF(BasisNumber&lt;&gt;1,VLOOKUP($A116,BasisTable,2,0),0)+I$1)/(1-I$2))</f>
        <v>101.734246724922</v>
      </c>
      <c r="J116" s="1568" t="n">
        <f aca="false">IF(Assumptions!$L$25=4,VLOOKUP($A116,'Henwood Reference'!$E$9:$R$320,10),(VLOOKUP($A116,PriceTable,3,0)+IF(BasisNumber&lt;&gt;1,VLOOKUP($A116,BasisTable,2,0),0)+J$1)/(1-J$2))</f>
        <v>101.734246724922</v>
      </c>
      <c r="K116" s="1568" t="n">
        <f aca="false">IF(Assumptions!$L$25=4,VLOOKUP($A116,'Henwood Reference'!$E$9:$R$320,10),(VLOOKUP($A116,PriceTable,4,0)+IF(BasisNumber&lt;&gt;1,VLOOKUP($A116,BasisTable,2,0),0)+K$1)/(1-K$2))</f>
        <v>101.734246724922</v>
      </c>
      <c r="L116" s="1523" t="n">
        <f aca="false">IF(Assumptions!$L$25=4,VLOOKUP($A116,'Henwood Reference'!$E$9:$R$320,10),(VLOOKUP($A116,PriceTableWeekend,2,0)+IF(BasisNumber&lt;&gt;1,VLOOKUP($A116,BasisTable,2,0),0)+L$1)/(1-L$2))</f>
        <v>101.734246724922</v>
      </c>
      <c r="M116" s="1568" t="n">
        <f aca="false">IF(Assumptions!$L$25=4,VLOOKUP($A116,'Henwood Reference'!$E$9:$R$320,10),(VLOOKUP($A116,PriceTableWeekend,3,0)+IF(BasisNumber&lt;&gt;1,VLOOKUP($A116,BasisTable,2,0),0)+M$1)/(1-M$2))</f>
        <v>101.734246724922</v>
      </c>
      <c r="N116" s="1599" t="n">
        <f aca="false">IF(Assumptions!$L$25=4,VLOOKUP($A116,'Henwood Reference'!$E$9:$R$320,10),(VLOOKUP($A116,PriceTableWeekend,4,0)+IF(BasisNumber&lt;&gt;1,VLOOKUP($A116,BasisTable,2,0),0)+N$1)/(1-N$2))</f>
        <v>101.734246724922</v>
      </c>
      <c r="O116" s="1568" t="n">
        <f aca="false">IF(Assumptions!$L$25=4,VLOOKUP($A116,'Henwood Reference'!$E$9:$R$320,11),(VLOOKUP($A116,PriceTableWeekend,6,0)+IF(BasisNumber&lt;&gt;1,VLOOKUP($A116,BasisTable,3,0),0)+O$1)/(1-O$2))</f>
        <v>32.3695508848877</v>
      </c>
      <c r="P116" s="1568" t="n">
        <f aca="false">IF(Assumptions!$L$25=4,VLOOKUP($A116,'Henwood Reference'!$E$9:$R$320,11),(VLOOKUP($A116,PriceTableWeekend,7,0)+IF(BasisNumber&lt;&gt;1,VLOOKUP($A116,BasisTable,3,0),0)+P$1)/(1-P$2))</f>
        <v>32.3695508848877</v>
      </c>
      <c r="Q116" s="1599" t="n">
        <f aca="false">IF(Assumptions!$L$25=4,VLOOKUP($A116,'Henwood Reference'!$E$9:$R$320,11),(VLOOKUP($A116,PriceTableWeekend,8,0)+IF(BasisNumber&lt;&gt;1,VLOOKUP($A116,BasisTable,3,0),0)+Q$1)/(1-Q$2))</f>
        <v>32.3695508848877</v>
      </c>
      <c r="R116" s="1568" t="n">
        <f aca="false">IF(Assumptions!$L$25=4,VLOOKUP($A116,'Henwood Reference'!$E$9:$R$320,11),(VLOOKUP($A116,PriceTable,6,0)+IF(BasisNumber&lt;&gt;1,VLOOKUP($A116,BasisTable,3,0),0)+R$1)/(1-R$2))</f>
        <v>32.3695508848877</v>
      </c>
      <c r="S116" s="1568" t="n">
        <f aca="false">IF(Assumptions!$L$25=4,VLOOKUP($A116,'Henwood Reference'!$E$9:$R$320,11),(VLOOKUP($A116,PriceTable,7,0)+IF(BasisNumber&lt;&gt;1,VLOOKUP($A116,BasisTable,3,0),0)+S$1)/(1-S$2))</f>
        <v>32.3695508848877</v>
      </c>
      <c r="T116" s="1600" t="n">
        <f aca="false">IF(Assumptions!$L$25=4,VLOOKUP($A116,'Henwood Reference'!$E$9:$R$320,11),(VLOOKUP($A116,PriceTable,8,0)+IF(BasisNumber&lt;&gt;1,VLOOKUP($A116,BasisTable,3,0),0)+T$1)/(1-T$2))</f>
        <v>32.3695508848877</v>
      </c>
      <c r="U116" s="1513" t="n">
        <f aca="false">VLOOKUP($A116,VolatilityTable,14)</f>
        <v>0.13</v>
      </c>
      <c r="V116" s="1513" t="n">
        <f aca="false">VLOOKUP($A116,VolatilityTable,15)</f>
        <v>0.14</v>
      </c>
      <c r="W116" s="1514" t="n">
        <f aca="false">VLOOKUP($A116,VolatilityTable,16)</f>
        <v>0.15</v>
      </c>
      <c r="X116" s="1513" t="n">
        <f aca="false">VLOOKUP($A116,VolatilityTable,14)</f>
        <v>0.13</v>
      </c>
      <c r="Y116" s="1513" t="n">
        <f aca="false">VLOOKUP($A116,VolatilityTable,15)</f>
        <v>0.14</v>
      </c>
      <c r="Z116" s="1514" t="n">
        <f aca="false">VLOOKUP($A116,VolatilityTable,16)</f>
        <v>0.15</v>
      </c>
      <c r="AA116" s="1513" t="n">
        <f aca="false">VLOOKUP($A116,VolatilityTable,18)</f>
        <v>0.09</v>
      </c>
      <c r="AB116" s="1513" t="n">
        <f aca="false">VLOOKUP($A116,VolatilityTable,19)</f>
        <v>0.11</v>
      </c>
      <c r="AC116" s="1514" t="n">
        <f aca="false">VLOOKUP($A116,VolatilityTable,20)</f>
        <v>0.13</v>
      </c>
      <c r="AD116" s="1513" t="n">
        <f aca="false">VLOOKUP($A116,VolatilityTable,18)</f>
        <v>0.09</v>
      </c>
      <c r="AE116" s="1513" t="n">
        <f aca="false">VLOOKUP($A116,VolatilityTable,19)</f>
        <v>0.11</v>
      </c>
      <c r="AF116" s="1514" t="n">
        <f aca="false">VLOOKUP($A116,VolatilityTable,20)</f>
        <v>0.13</v>
      </c>
      <c r="AG116" s="1513" t="n">
        <f aca="false">VLOOKUP($A116,VolatilityTable,22)</f>
        <v>-0.35</v>
      </c>
      <c r="AH116" s="1513" t="n">
        <f aca="false">VLOOKUP($A116,VolatilityTable,23)</f>
        <v>3</v>
      </c>
      <c r="AI116" s="1514" t="n">
        <f aca="false">VLOOKUP($A116,VolatilityTable,24)</f>
        <v>0.35</v>
      </c>
      <c r="AJ116" s="1513" t="n">
        <f aca="false">VLOOKUP($A116,VolatilityTable,22)</f>
        <v>-0.35</v>
      </c>
      <c r="AK116" s="1513" t="n">
        <f aca="false">VLOOKUP($A116,VolatilityTable,23)</f>
        <v>3</v>
      </c>
      <c r="AL116" s="1514" t="n">
        <f aca="false">VLOOKUP($A116,VolatilityTable,24)</f>
        <v>0.35</v>
      </c>
      <c r="AM116" s="1513" t="n">
        <f aca="false">VLOOKUP($A116,VolatilityTable,26)</f>
        <v>-0.01</v>
      </c>
      <c r="AN116" s="1513" t="n">
        <f aca="false">VLOOKUP($A116,VolatilityTable,27)</f>
        <v>0.16</v>
      </c>
      <c r="AO116" s="1514" t="n">
        <f aca="false">VLOOKUP($A116,VolatilityTable,28)</f>
        <v>0.01</v>
      </c>
      <c r="AP116" s="1513" t="n">
        <f aca="false">VLOOKUP($A116,VolatilityTable,26)</f>
        <v>-0.01</v>
      </c>
      <c r="AQ116" s="1513" t="n">
        <f aca="false">VLOOKUP($A116,VolatilityTable,27)</f>
        <v>0.16</v>
      </c>
      <c r="AR116" s="1515" t="n">
        <f aca="false">VLOOKUP($A116,VolatilityTable,28)</f>
        <v>0.01</v>
      </c>
      <c r="AS116" s="1581" t="n">
        <f aca="false">IF(CorrPeakOffPeakOverFlag,INDEX(CorrPeakOffPeakOver,C116),CorrPeakOffPeak)</f>
        <v>0.5</v>
      </c>
      <c r="AT116" s="594" t="e">
        <f aca="false">AX116-SUM(AU116:AW116)</f>
        <v>#VALUE!</v>
      </c>
      <c r="AU116" s="238" t="e">
        <f aca="false">IF(E116="",0,INT((F116-MOD(F116,7)-E116)/7)+1-IF(AW116,IF(WEEKDAY(D116)=7,1,0),0))</f>
        <v>#VALUE!</v>
      </c>
      <c r="AV116" s="238" t="e">
        <f aca="false">IF(E116="",0,INT((F116-MOD(F116-1,7)-E116)/7)+1-IF(AW116,IF(WEEKDAY(D116)=1,1,0),0))</f>
        <v>#VALUE!</v>
      </c>
      <c r="AW116" s="238" t="e">
        <f aca="false">IF(OR(E116="",D116="",D116&lt;BegDate,D116&gt;EndDate),0,1)</f>
        <v>#VALUE!</v>
      </c>
      <c r="AX116" s="238" t="n">
        <f aca="false">IF(E116="",0,F116-E116+1)</f>
        <v>31</v>
      </c>
      <c r="AY116" s="1582" t="n">
        <f aca="false">IF(E116="",0,MIN((1-(1-VLOOKUP(B116,MAIN!$AA$7:$AM$28,C116+1))*(1-VLOOKUP(B116,MAIN!$AA$33:$AM$54,C116+1))),1))</f>
        <v>0.03</v>
      </c>
      <c r="AZ116" s="1519" t="e">
        <v>#VALUE!</v>
      </c>
      <c r="BA116" s="1520" t="e">
        <v>#VALUE!</v>
      </c>
      <c r="BB116" s="1520" t="e">
        <v>#VALUE!</v>
      </c>
      <c r="BC116" s="1583" t="e">
        <v>#VALUE!</v>
      </c>
      <c r="BD116" s="1522" t="e">
        <v>#VALUE!</v>
      </c>
      <c r="BE116" s="1523" t="e">
        <v>#VALUE!</v>
      </c>
      <c r="BF116" s="1523" t="e">
        <v>#VALUE!</v>
      </c>
      <c r="BG116" s="1584" t="e">
        <v>#VALUE!</v>
      </c>
      <c r="BH116" s="1525" t="e">
        <v>#VALUE!</v>
      </c>
      <c r="BI116" s="1520" t="e">
        <v>#VALUE!</v>
      </c>
      <c r="BJ116" s="1520" t="e">
        <v>#VALUE!</v>
      </c>
      <c r="BK116" s="1583" t="e">
        <v>#VALUE!</v>
      </c>
      <c r="BL116" s="1522" t="e">
        <v>#VALUE!</v>
      </c>
      <c r="BM116" s="1523" t="e">
        <v>#VALUE!</v>
      </c>
      <c r="BN116" s="1523" t="e">
        <v>#VALUE!</v>
      </c>
      <c r="BO116" s="1523" t="e">
        <v>#VALUE!</v>
      </c>
      <c r="BP116" s="1525" t="e">
        <f aca="false">SUM(AZ116:BB116)</f>
        <v>#VALUE!</v>
      </c>
      <c r="BQ116" s="1529" t="e">
        <f aca="false">SUM(AZ116:BC116)</f>
        <v>#VALUE!</v>
      </c>
      <c r="BR116" s="1519" t="e">
        <f aca="false">SUM(BH116:BJ116)</f>
        <v>#VALUE!</v>
      </c>
      <c r="BS116" s="1529" t="e">
        <f aca="false">SUM(BH116:BK116)</f>
        <v>#VALUE!</v>
      </c>
      <c r="BT116" s="1316" t="n">
        <f aca="false">(IF(OVolType&lt;&gt;2,A116+14,IF(OptExpDateShift,ShiftBack(A116,OptExpDateShift,D115),A116))-DateToday)/365.25</f>
        <v>8.2984257357974</v>
      </c>
      <c r="BU116" s="1585" t="e">
        <f aca="false">IF(BQ116,IF(OPriceCurve,IF(OBuySell=OCallPut,I116/(1-AY116),K116/(1-AY116)),J116/(1-AY116))*BD116,0)</f>
        <v>#VALUE!</v>
      </c>
      <c r="BV116" s="1316" t="e">
        <f aca="false">IF(BQ116,IF(OPriceCurve,IF(OBuySell=OCallPut,L116/(1-AY116),N116/(1-AY116)),M116/(1-AY116))*BE116,0)</f>
        <v>#VALUE!</v>
      </c>
      <c r="BW116" s="1316" t="e">
        <f aca="false">IF(BQ116,IF(OPriceCurve,IF(OBuySell=OCallPut,O116/(1-AY116),Q116/(1-AY116)),P116/(1-AY116))*BF116,0)</f>
        <v>#VALUE!</v>
      </c>
      <c r="BX116" s="1316" t="e">
        <f aca="false">IF(BQ116,IF(OPriceCurve,IF(OBuySell=OCallPut,R116/(1-AY116),T116/(1-AY116)),S116/(1-AY116))*BG116,0)</f>
        <v>#VALUE!</v>
      </c>
      <c r="BY116" s="1316" t="e">
        <f aca="false">IF(BP116,(BU116*AZ116+BV116*BA116+BW116*BB116)/BP116,0)</f>
        <v>#VALUE!</v>
      </c>
      <c r="BZ116" s="1316" t="e">
        <f aca="false">IF(BQ116,(BY116*BP116+BX116*BC116)/BQ116,0)</f>
        <v>#VALUE!</v>
      </c>
      <c r="CA116" s="1531" t="e">
        <f aca="false">IF(BS116,IF(OPriceCurve,IF(OBuySell=OCallPut,I116/(1-AY116),K116/(1-AY116)),J116/(1-AY116))*BL116,0)</f>
        <v>#VALUE!</v>
      </c>
      <c r="CB116" s="1316" t="e">
        <f aca="false">IF(BS116,IF(OPriceCurve,IF(OBuySell=OCallPut,L116/(1-AY116),N116/(1-AY116)),M116/(1-AY116))*BM116,0)</f>
        <v>#VALUE!</v>
      </c>
      <c r="CC116" s="1316" t="e">
        <f aca="false">IF(BS116,IF(OPriceCurve,IF(OBuySell=OCallPut,O116/(1-AY116),Q116/(1-AY116)),P116/(1-AY116))*BN116,0)</f>
        <v>#VALUE!</v>
      </c>
      <c r="CD116" s="1316" t="e">
        <f aca="false">IF(BS116,IF(OPriceCurve,IF(OBuySell=OCallPut,R116/(1-AY116),T116/(1-AY116)),S116/(1-AY116))*BO116,0)</f>
        <v>#VALUE!</v>
      </c>
      <c r="CE116" s="1316" t="e">
        <f aca="false">IF(BR116,(BU116*BH116+BV116*BI116+BW116*BJ116)/BR116,0)</f>
        <v>#VALUE!</v>
      </c>
      <c r="CF116" s="1532" t="e">
        <f aca="false">IF(BS116,(CE116*BR116+CD116*BK116)/BS116,0)</f>
        <v>#VALUE!</v>
      </c>
      <c r="CG116" s="1586" t="e">
        <f aca="false">IF(OR(BQ116,BS116),IF(OVolType&lt;&gt;2,SQRT(IF(OVolOverMonthlyPeak,OVolOverMonthlyPeak,IF(OVolCurve,IF(OBuySell,U116,W116),V116))^2*(1-15/365.25/BT116)+IF(OVolOverDailyPeak,OVolOverDailyPeak,IF(OVolCurve,IF(OBuySell,AG116,AI116),AH116))^2*15/365.25/BT116),IF(OVolOverMonthlyPeak,OVolOverMonthlyPeak,IF(OVolCurve,IF(OBuySell,U116,W116),V116))),"")</f>
        <v>#VALUE!</v>
      </c>
      <c r="CH116" s="1587" t="e">
        <f aca="false">IF(OR(BQ116,BS116),IF(OVolType&lt;&gt;2,SQRT(IF(OVolOverMonthlyPeak,OVolOverMonthlyPeak,IF(OVolCurve,IF(OBuySell,X116,Z116),Y116))^2*(1-15/365.25/BT116)+IF(OVolOverDailyPeak,OVolOverDailyPeak,IF(OVolCurve,IF(OBuySell,AJ116,AL116),AK116))^2*15/365.25/BT116),IF(OVolOverMonthlyPeak,OVolOverMonthlyPeak,IF(OVolCurve,IF(OBuySell,X116,Z116),Y116))),"")</f>
        <v>#VALUE!</v>
      </c>
      <c r="CI116" s="1587" t="e">
        <f aca="false">IF(OR(BQ116,BS116),IF(OVolType&lt;&gt;2,SQRT(IF(OVolOverMonthlyPeak,OVolOverMonthlyPeak,IF(OVolCurve,IF(OBuySell,AA116,AC116),AB116))^2*(1-15/365.25/BT116)+IF(OVolOverDailyPeak,OVolOverDailyPeak,IF(OVolCurve,IF(OBuySell,AM116,AO116),AN116))^2*15/365.25/BT116),IF(OVolOverMonthlyPeak,OVolOverMonthlyPeak,IF(OVolCurve,IF(OBuySell,AA116,AC116),AB116))),"")</f>
        <v>#VALUE!</v>
      </c>
      <c r="CJ116" s="1587" t="e">
        <f aca="false">IF(BQ116,IF(BP116,SQRT(LN(1+((BU116*AZ116)^2*(EXP(CG116^2*BT116)-1)+(BV116*BA116)^2*(EXP(CH116^2*BT116)-1)+(BW116*BB116)^2*(EXP(CI116^2*BT116)-1)+2*BU116*AZ116*BV116*BA116*(EXP(CG116*CH116*BT116)-1)+2*BV116*BA116*BW116*BB116*(EXP(CH116*CI116*BT116)-1)+2*BW116*BB116*BU116*AZ116*(EXP(CI116*CG116*BT116)-1))/(BY116*BP116)^2)/BT116),0),"")</f>
        <v>#VALUE!</v>
      </c>
      <c r="CK116" s="1587" t="e">
        <f aca="false">IF(BS116,IF(BR116,SQRT(LN(1+((CA116*BH116)^2*(EXP(CG116^2*BT116)-1)+(CB116*BI116)^2*(EXP(CH116^2*BT116)-1)+(CC116*BJ116)^2*(EXP(CI116^2*BT116)-1)+2*CA116*BH116*CB116*BI116*(EXP(CG116*CH116*BT116)-1)+2*CB116*BI116*CC116*BJ116*(EXP(CH116*CI116*BT116)-1)+2*CC116*BJ116*CA116*BH116*(EXP(CI116*CG116*BT116)-1))/(CE116*BR116)^2)/BT116),0),"")</f>
        <v>#VALUE!</v>
      </c>
      <c r="CL116" s="1587" t="e">
        <f aca="false">IF(OR(BQ116,BS116),IF(OVolType&lt;&gt;2,SQRT(IF(OVolOverMonthlyOffPeak,OVolOverMonthlyOffPeak,IF(OVolCurve,IF(OBuySell,AD116,AF116),AE116))^2*(1-15/365.25/BT116)+IF(OVolOverDailyOffPeak,OVolOverDailyOffPeak,IF(OVolCurve,IF(OBuySell,AP116,AR116),AQ116))^2*15/365.25/BT116),IF(OVolOverMonthlyOffPeak,OVolOverMonthlyOffPeak,IF(OVolCurve,IF(OBuySell,AD116,AF116),AE116))),"")</f>
        <v>#VALUE!</v>
      </c>
      <c r="CM116" s="1587" t="e">
        <f aca="false">IF(BQ116,SQRT(LN(1+((BY116*BP116)^2*(EXP(CJ116^2*BT116)-1)+(BX116*BC116)^2*(EXP(CL116^2*BT116)-1)+2*BY116*BP116*BX116*BC116*(EXP(AS116*CJ116*CL116*BT116)-1))/(BY116*BP116+BX116*BC116)^2)/BT116),"")</f>
        <v>#VALUE!</v>
      </c>
      <c r="CN116" s="1588" t="e">
        <f aca="false">IF(BS116,SQRT(LN(1+((CE116*BR116)^2*(EXP(CK116^2*BT116)-1)+(CD116*BK116)^2*(EXP(CL116^2*BT116)-1)+2*CE116*BR116*CD116*BK116*(EXP(AS116*CK116*CL116*BT116)-1))/(CE116*BR116+CD116*BK116)^2)/BT116),"")</f>
        <v>#VALUE!</v>
      </c>
      <c r="CO116" s="1531" t="e">
        <f aca="false">IF(OR(BQ116,BS116),VLOOKUP(A116,GasTable,13)*HeatRatePeak*(1+VLOOKUP($B116,HeatRateDegradation,$C116+1))/1000,0)</f>
        <v>#VALUE!</v>
      </c>
      <c r="CP116" s="1316" t="e">
        <f aca="false">IF(OR(BQ116,BS116),VLOOKUP(A116,GasTable,13)*HeatRatePeak*(1+VLOOKUP($B116,HeatRateDegradation,$C116+1))/1000,0)</f>
        <v>#VALUE!</v>
      </c>
      <c r="CQ116" s="1316" t="e">
        <f aca="false">IF(OR(BQ116,BS116),VLOOKUP(A116,GasTable,13)*IF(EV116,HeatRatePeak,HeatRateOffPeak)*(1+VLOOKUP($B116,HeatRateDegradation,$C116+1))/1000,0)</f>
        <v>#VALUE!</v>
      </c>
      <c r="CR116" s="1316" t="e">
        <f aca="false">IF(OR(BQ116,BS116),VLOOKUP(A116,GasTable,13)*IF(EW116,HeatRatePeak,HeatRateOffPeak)*(1+VLOOKUP($B116,HeatRateDegradation,$C116+1))/1000,0)</f>
        <v>#VALUE!</v>
      </c>
      <c r="CS116" s="1589" t="e">
        <f aca="false">IF(BQ116,(CO116*AZ116+CP116*BA116+CQ116*BB116+CR116*BC116)/BQ116,0)</f>
        <v>#VALUE!</v>
      </c>
      <c r="CT116" s="1316" t="e">
        <f aca="false">IF(BS116,CO116,0)</f>
        <v>#VALUE!</v>
      </c>
      <c r="CU116" s="1590" t="e">
        <f aca="false">IF(OR(BQ116,BS116),VLOOKUP(A116,GasTable,14),"")</f>
        <v>#VALUE!</v>
      </c>
      <c r="CV116" s="1568" t="e">
        <f aca="false">IF(OR(BQ116,BS116),IF(CorrPowerGasOverFlag,INDEX(CorrPowerGasOver,C116),CorrPowerGas),"")</f>
        <v>#VALUE!</v>
      </c>
      <c r="CW116" s="1316" t="e">
        <f aca="false">IF(OR($BQ116,$BS116),SpreadOptPowerMargin,0)*((1+Assumptions!$C$26)^($B116-YEAR(Assumptions!$C$17)))</f>
        <v>#VALUE!</v>
      </c>
      <c r="CX116" s="1316" t="e">
        <f aca="false">IF(OR($BQ116,$BS116),SpreadOptPowerMargin,0)*((1+Assumptions!$C$26)^($B116-YEAR(Assumptions!$C$17)))</f>
        <v>#VALUE!</v>
      </c>
      <c r="CY116" s="1316" t="e">
        <f aca="false">IF(OR($BQ116,$BS116),SpreadOptPowerMargin,0)*((1+Assumptions!$C$26)^($B116-YEAR(Assumptions!$C$17)))</f>
        <v>#VALUE!</v>
      </c>
      <c r="CZ116" s="1316" t="e">
        <f aca="false">IF(OR($BQ116,$BS116),SpreadOptPowerMargin,0)*((1+Assumptions!$C$26)^($B116-YEAR(Assumptions!$C$17)))</f>
        <v>#VALUE!</v>
      </c>
      <c r="DA116" s="1591" t="e">
        <f aca="false">IF(OR(BQ116,BS116),(CW116*(AZ116+BH116)+CX116*(BA116+BI116)+CY116*(BB116+BJ116)+CZ116*(BC116+BK116))/(BQ116+BS116),0)</f>
        <v>#VALUE!</v>
      </c>
      <c r="DB116" s="1592" t="e">
        <f aca="false">IF(OR(BQ116,BS116),CG116+IF(OVolSmile,VLOOKUP(MAX(-5,CO116+CW116-BU116),IF(OVolSmile=1,VolSmileBook,VolSmileModel),2),0),"")</f>
        <v>#VALUE!</v>
      </c>
      <c r="DC116" s="1592" t="e">
        <f aca="false">IF(OR(BQ116,BS116),CH116+IF(OVolSmile,VLOOKUP(MAX(-5,CP116+CW116-BV116),IF(OVolSmile=1,VolSmileBook,VolSmileModel),2),0),"")</f>
        <v>#VALUE!</v>
      </c>
      <c r="DD116" s="1592" t="e">
        <f aca="false">IF(OR(BQ116,BS116),CI116+IF(OVolSmile,VLOOKUP(MAX(-5,CQ116+CW116-BW116),IF(OVolSmile=1,VolSmileBook,VolSmileModel),2),0),"")</f>
        <v>#VALUE!</v>
      </c>
      <c r="DE116" s="1592" t="e">
        <f aca="false">IF(OR(BQ116,BS116),CL116+IF(OVolSmile,VLOOKUP(MAX(-5,CR116+CZ116-BX116),IF(OVolSmile=1,VolSmileBook,VolSmileModel),2),0),"")</f>
        <v>#VALUE!</v>
      </c>
      <c r="DF116" s="1592" t="e">
        <f aca="false">IF(BQ116,CM116+IF(OVolSmile,VLOOKUP(MAX(-5,CS116+DA116-BZ116),IF(OVolSmile=1,VolSmileBook,VolSmileModel),2),0),"")</f>
        <v>#VALUE!</v>
      </c>
      <c r="DG116" s="1593" t="e">
        <f aca="false">IF(BS116,CN116+IF(OVolSmile,VLOOKUP(MAX(-5,CT116+DA116-CF116),IF(OVolSmile=1,VolSmileBook,VolSmileModel),2),0),"")</f>
        <v>#VALUE!</v>
      </c>
      <c r="DH116" s="1316" t="e">
        <f aca="false">IF(AND(BU116&gt;0,CO116&gt;0,DB116&gt;0,CU116&gt;0),newSPRDOPT(BU116,CO116,CW116,0,DB116,CU116,CV116,BT116*365.25,OCallPut,0),0)</f>
        <v>#VALUE!</v>
      </c>
      <c r="DI116" s="1316" t="e">
        <f aca="false">IF(AND(BV116&gt;0,CP116&gt;0,DC116&gt;0,CU116&gt;0),newSPRDOPT(BV116,CP116,CX116,0,DC116,CU116,CV116,BT116*365.25,OCallPut,0),0)</f>
        <v>#VALUE!</v>
      </c>
      <c r="DJ116" s="1316" t="e">
        <f aca="false">IF(AND(BW116&gt;0,CQ116&gt;0,DD116&gt;0,CU116&gt;0),newSPRDOPT(BW116,CQ116,CY116,0,DD116,CU116,CV116,BT116*365.25,OCallPut,0),0)</f>
        <v>#VALUE!</v>
      </c>
      <c r="DK116" s="1316" t="e">
        <f aca="false">IF(AND(BX116&gt;0,CR116&gt;0,DE116&gt;0,CU116&gt;0),newSPRDOPT(BX116,CR116,CZ116,0,DE116,CU116,CV116,BT116*365.25,OCallPut,0),0)</f>
        <v>#VALUE!</v>
      </c>
      <c r="DL116" s="1316" t="e">
        <f aca="false">IF(OVolType,IF(AND(BZ116&gt;0,CS116&gt;0,DF116&gt;0,CU116&gt;0),newSPRDOPT(BZ116,CS116,DA116,0,DF116,CU116,CV116,BT116*365.25,OCallPut,0),0),IF(BQ116,(DH116*AZ116+DI116*BA116+DJ116*BB116+DK116*BC116)/BQ116,0))</f>
        <v>#VALUE!</v>
      </c>
      <c r="DM116" s="1316"/>
      <c r="DN116" s="1316"/>
      <c r="DO116" s="1316"/>
      <c r="DP116" s="1316"/>
      <c r="DQ116" s="1316"/>
      <c r="DR116" s="1316"/>
      <c r="DS116" s="1316"/>
      <c r="DT116" s="1316"/>
      <c r="DU116" s="1316"/>
      <c r="DV116" s="1316"/>
      <c r="DW116" s="1594" t="e">
        <f aca="false">IF(AND(BW116&gt;0,CT116&gt;0,DD116&gt;0,CU116&gt;0),newSPRDOPT(BW116,CT116,CY116,0,DD116,CU116,CV116,BT116*365.25,OCallPut,0),0)</f>
        <v>#VALUE!</v>
      </c>
      <c r="DX116" s="1316" t="e">
        <f aca="false">IF(AND(BX116&gt;0,CT116&gt;0,DE116&gt;0,CU116&gt;0),newSPRDOPT(BX116,CT116,CZ116,0,DE116,CU116,CV116,BT116*365.25,OCallPut,0),0)</f>
        <v>#VALUE!</v>
      </c>
      <c r="DY116" s="1591" t="e">
        <f aca="false">IF(BS116,(DH116*BH116+DI116*BI116+DW116*BJ116+DX116*BK116)/BS116,0)</f>
        <v>#VALUE!</v>
      </c>
      <c r="DZ116" s="1551" t="e">
        <f aca="false">DH116*AZ116</f>
        <v>#VALUE!</v>
      </c>
      <c r="EA116" s="1551" t="e">
        <f aca="false">DI116*BA116</f>
        <v>#VALUE!</v>
      </c>
      <c r="EB116" s="1551" t="e">
        <f aca="false">DJ116*BB116</f>
        <v>#VALUE!</v>
      </c>
      <c r="EC116" s="1551" t="e">
        <f aca="false">DK116*BC116</f>
        <v>#VALUE!</v>
      </c>
      <c r="ED116" s="1551" t="e">
        <f aca="false">DL116*BQ116</f>
        <v>#VALUE!</v>
      </c>
      <c r="EE116" s="1595" t="e">
        <f aca="false">IF(BQ116,IF(OCallPut,IF(BU116&gt;(CO116+CW116),BU116-(CO116+CW116),0),IF((CO116+CW116)&gt;BU116,(CO116+CW116)-BU116,0))*AZ116,0)</f>
        <v>#VALUE!</v>
      </c>
      <c r="EF116" s="1596" t="e">
        <f aca="false">IF(BQ116,IF(OCallPut,IF(BV116&gt;(CP116+CX116),BV116-(CP116+CX116),0),IF((CP116+CX116)&gt;BV116,(CP116+CX116)-BV116,0))*BA116,0)</f>
        <v>#VALUE!</v>
      </c>
      <c r="EG116" s="1596" t="e">
        <f aca="false">IF(BQ116,IF(OCallPut,IF(BW116&gt;(CQ116+CY116),BW116-(CQ116+CY116),0),IF((CQ116+CY116)&gt;BW116,(CQ116+CY116)-BW116,0))*BB116,0)</f>
        <v>#VALUE!</v>
      </c>
      <c r="EH116" s="1596" t="e">
        <f aca="false">IF(BQ116,IF(OCallPut,IF(BX116&gt;(CR116+CZ116),BX116-(CR116+CZ116),0),IF((CR116+CZ116)&gt;BX116,(CR116+CZ116)-BX116,0))*BC116,0)</f>
        <v>#VALUE!</v>
      </c>
      <c r="EI116" s="1597" t="e">
        <f aca="false">IF(BQ116,IF(OVolType,IF(OCallPut,IF(BZ116&gt;(CS116+DA116),BZ116-(CS116+DA116),0),IF((CS116+DA116)&gt;BZ116,(CS116+DA116)-BZ116,0))*BQ116,SUM(EE116:EH116)),0)</f>
        <v>#VALUE!</v>
      </c>
      <c r="EJ116" s="1595" t="e">
        <f aca="false">DZ116-EE116</f>
        <v>#VALUE!</v>
      </c>
      <c r="EK116" s="1596" t="e">
        <f aca="false">EA116-EF116</f>
        <v>#VALUE!</v>
      </c>
      <c r="EL116" s="1596" t="e">
        <f aca="false">EB116-EG116</f>
        <v>#VALUE!</v>
      </c>
      <c r="EM116" s="1596" t="e">
        <f aca="false">EC116-EH116</f>
        <v>#VALUE!</v>
      </c>
      <c r="EN116" s="1597" t="e">
        <f aca="false">ED116-EI116</f>
        <v>#VALUE!</v>
      </c>
      <c r="EO116" s="1551" t="e">
        <f aca="false">DH116*BH116</f>
        <v>#VALUE!</v>
      </c>
      <c r="EP116" s="1551" t="e">
        <f aca="false">DI116*BI116</f>
        <v>#VALUE!</v>
      </c>
      <c r="EQ116" s="1551" t="e">
        <f aca="false">DW116*BJ116</f>
        <v>#VALUE!</v>
      </c>
      <c r="ER116" s="1551" t="e">
        <f aca="false">DX116*BK116</f>
        <v>#VALUE!</v>
      </c>
      <c r="ES116" s="1551" t="e">
        <f aca="false">DY116*BS116</f>
        <v>#VALUE!</v>
      </c>
      <c r="ET116" s="1566" t="e">
        <f aca="false">IF(EI116,IF(OCallPut,IF(CA116&gt;(CT116+CW116),CA116-(CT116+CW116),0),IF((CT116+CW116)&gt;CA116,(CT116+CW116)-CA116,0))*BH116,0)</f>
        <v>#VALUE!</v>
      </c>
      <c r="EU116" s="1551" t="e">
        <f aca="false">IF(EI116,IF(OCallPut,IF(CB116&gt;(CT116+CX116),CB116-(CT116+CX116),0),IF((CT116+CX116)&gt;CB116,(CT116+CX116)-CB116,0))*BI116,0)</f>
        <v>#VALUE!</v>
      </c>
      <c r="EV116" s="1551" t="e">
        <f aca="false">IF(EI116,IF(OCallPut,IF(CC116&gt;(CT116+CY116),CC116-(CT116+CY116),0),IF((CT116+CY116)&gt;CC116,(CT116+CY116)-CC116,0))*BJ116,0)</f>
        <v>#VALUE!</v>
      </c>
      <c r="EW116" s="1551" t="e">
        <f aca="false">IF(EI116,IF(OCallPut,IF(CD116&gt;(CT116+CZ116),CD116-(CT116+CZ116),0),IF((CT116+CZ116)&gt;CD116,(CT116+CZ116)-CD116,0))*BK116,0)</f>
        <v>#VALUE!</v>
      </c>
      <c r="EX116" s="1558" t="e">
        <f aca="false">IF(EI116,SUM(ET116:EW116),0)</f>
        <v>#VALUE!</v>
      </c>
      <c r="EY116" s="1551" t="e">
        <f aca="false">EO116-ET116</f>
        <v>#VALUE!</v>
      </c>
      <c r="EZ116" s="1551" t="e">
        <f aca="false">EP116-EU116</f>
        <v>#VALUE!</v>
      </c>
      <c r="FA116" s="1551" t="e">
        <f aca="false">EQ116-EV116</f>
        <v>#VALUE!</v>
      </c>
      <c r="FB116" s="1551" t="e">
        <f aca="false">ER116-EW116</f>
        <v>#VALUE!</v>
      </c>
      <c r="FC116" s="1551" t="e">
        <f aca="false">ES116-EX116</f>
        <v>#VALUE!</v>
      </c>
      <c r="FD116" s="1525" t="n">
        <f aca="false">IF(AX116,IF(VLOOKUP(C116,MAIN!$L$17:$M$28,2)="Yes",VLOOKUP(CALC!B116,MAIN!$H$17:$I$20,2),0),0)</f>
        <v>0</v>
      </c>
      <c r="FE116" s="1552" t="e">
        <f aca="false">$FD116*16*AT116*(1-$AY116)</f>
        <v>#VALUE!</v>
      </c>
      <c r="FF116" s="1553" t="e">
        <f aca="false">$FD116*16*AU116*(1-$AY116)</f>
        <v>#VALUE!</v>
      </c>
      <c r="FG116" s="1553" t="e">
        <f aca="false">$FD116*16*(AV116+AW116)*(1-$AY116)</f>
        <v>#VALUE!</v>
      </c>
      <c r="FH116" s="1554" t="n">
        <f aca="false">$FD116*8*AX116*(1-$AY116)</f>
        <v>0</v>
      </c>
      <c r="FI116" s="1555" t="n">
        <f aca="false">IF(AX116,VLOOKUP(CALC!B116,MAIN!$H$17:$K$20,4),0)</f>
        <v>0</v>
      </c>
      <c r="FJ116" s="1553" t="e">
        <f aca="false">SUM(FE116:FH116)</f>
        <v>#VALUE!</v>
      </c>
      <c r="FK116" s="1556" t="e">
        <f aca="false">FI116*FJ116</f>
        <v>#VALUE!</v>
      </c>
      <c r="FL116" s="1551" t="e">
        <f aca="false">IF($EI116&gt;0,MIN(FE116,AZ116*(1+VLOOKUP($C116,WeatherCapacityAdjustment,2))),0)</f>
        <v>#VALUE!</v>
      </c>
      <c r="FM116" s="1551" t="e">
        <f aca="false">IF($EI116&gt;0,MIN(FF116,BA116*(1+VLOOKUP($C116,WeatherCapacityAdjustment,2))),0)</f>
        <v>#VALUE!</v>
      </c>
      <c r="FN116" s="1551" t="e">
        <f aca="false">IF($EI116&gt;0,MIN(FG116,BB116*(1+VLOOKUP($C116,WeatherCapacityAdjustment,2))),0)</f>
        <v>#VALUE!</v>
      </c>
      <c r="FO116" s="1564" t="e">
        <f aca="false">IF($EI116&gt;0,MIN(FH116,BC116*(1+VLOOKUP($C116,WeatherCapacityAdjustment,3))),0)</f>
        <v>#VALUE!</v>
      </c>
      <c r="FP116" s="1551" t="e">
        <f aca="false">IF(ET116&gt;0,MIN(FE116-FL116,BH116*(1+VLOOKUP($C116,WeatherCapacityAdjustment,2))),0)</f>
        <v>#VALUE!</v>
      </c>
      <c r="FQ116" s="1551" t="e">
        <f aca="false">IF(EU116&gt;0,MIN(FF116-FM116,BI116*(1+VLOOKUP($C116,WeatherCapacityAdjustment,2))),0)</f>
        <v>#VALUE!</v>
      </c>
      <c r="FR116" s="1551" t="e">
        <f aca="false">IF(EV116&gt;0,MIN(FG116-FN116,BJ116*(1+VLOOKUP($C116,WeatherCapacityAdjustment,2))),0)</f>
        <v>#VALUE!</v>
      </c>
      <c r="FS116" s="1558" t="e">
        <f aca="false">IF(EW116&gt;0,MIN(FH116-FO116,BK116*(1+VLOOKUP($C116,WeatherCapacityAdjustment,3))),0)</f>
        <v>#VALUE!</v>
      </c>
      <c r="FT116" s="1566" t="e">
        <f aca="false">IF(AND(Assumptions!$H$71="Yes",A116&gt;=Assumptions!$H$72,A116&lt;=Assumptions!$H$73),0,IF(AND($A116&gt;=Assumptions!$C$17,$A116&lt;=Assumptions!$C$18),MAX(AZ116*(1+VLOOKUP($C116,WeatherCapacityAdjustment,2))-FL116,0),0))</f>
        <v>#VALUE!</v>
      </c>
      <c r="FU116" s="1551" t="e">
        <f aca="false">IF(AND(Assumptions!$H$71="Yes",A116&gt;=Assumptions!$H$72,A116&lt;=Assumptions!$H$73),0,IF(AND($A116&gt;=Assumptions!$C$17,$A116&lt;=Assumptions!$C$18),MAX(BA116*(1+VLOOKUP($C116,WeatherCapacityAdjustment,2))-FM116,0),0))</f>
        <v>#VALUE!</v>
      </c>
      <c r="FV116" s="1551" t="e">
        <f aca="false">IF(AND(Assumptions!$H$71="Yes",A116&gt;=Assumptions!$H$72,A116&lt;=Assumptions!$H$73),0,IF(AND($A116&gt;=Assumptions!$C$17,$A116&lt;=Assumptions!$C$18),MAX(BB116*(1+VLOOKUP($C116,WeatherCapacityAdjustment,2))-FN116,0),0))</f>
        <v>#VALUE!</v>
      </c>
      <c r="FW116" s="1564" t="e">
        <f aca="false">IF(AND(Assumptions!$H$71="Yes",A116&gt;=Assumptions!$H$72,A116&lt;=Assumptions!$H$73),0,IF(AND($A116&gt;=Assumptions!$C$17,$A116&lt;=Assumptions!$C$18),MAX(BC116*(1+VLOOKUP($C116,WeatherCapacityAdjustment,3))-FO116,0),0))</f>
        <v>#VALUE!</v>
      </c>
      <c r="FX116" s="1569" t="e">
        <f aca="false">IF(AND(Assumptions!$H$71="Yes",A116&gt;=Assumptions!$H$72,A116&lt;=Assumptions!$H$73),0,IF(ET116&gt;0,MAX(BH116*(1+VLOOKUP($C116,WeatherCapacityAdjustment,2))-FP116,0),0))</f>
        <v>#VALUE!</v>
      </c>
      <c r="FY116" s="1551" t="e">
        <f aca="false">IF(AND(Assumptions!$H$71="Yes",A116&gt;=Assumptions!$H$72,A116&lt;=Assumptions!$H$73),0,IF(EU116&gt;0,MAX(BI116*(1+VLOOKUP($C116,WeatherCapacityAdjustment,3))-FQ116,0),0))</f>
        <v>#VALUE!</v>
      </c>
      <c r="FZ116" s="1551" t="e">
        <f aca="false">IF(AND(Assumptions!$H$71="Yes",A116&gt;=Assumptions!$H$72,A116&lt;=Assumptions!$H$73),0,IF(EV116&gt;0,MAX(BJ116*(1+VLOOKUP($C116,WeatherCapacityAdjustment,2))-FR116,0),0))</f>
        <v>#VALUE!</v>
      </c>
      <c r="GA116" s="1564" t="e">
        <f aca="false">IF(AND(Assumptions!$H$71="Yes",A116&gt;=Assumptions!$H$72,A116&lt;=Assumptions!$H$73),0,IF(EW116&gt;0,MAX(BK116*(1+VLOOKUP($C116,WeatherCapacityAdjustment,2))-FS116,0),0))</f>
        <v>#VALUE!</v>
      </c>
      <c r="GB116" s="1551" t="e">
        <f aca="false">SUM(FT116:GA116)</f>
        <v>#VALUE!</v>
      </c>
      <c r="GC116" s="1563" t="e">
        <f aca="false">+IF(SUM(FT116:GA116)=0,0,(SUMPRODUCT(BU116:BX116,FT116:FW116)+SUMPRODUCT(CA116:CD116,FX116:GA116))/SUM(FT116:GA116))</f>
        <v>#VALUE!</v>
      </c>
      <c r="GD116" s="1551" t="e">
        <f aca="false">(FT116*BU116+FX116*CA116+FU116*BV116+FY116*CB116+FV116*BW116+FZ116*CC116+FW116*BX116+GA116*CD116)</f>
        <v>#VALUE!</v>
      </c>
      <c r="GE116" s="1561" t="e">
        <f aca="false">+IF(BQ116,((FL116+FM116+FT116+FU116)*HeatRatePeak/1000*(1+VLOOKUP($C116,WeatherHeatRateAdjustment,2))+(FN116+FV116)*IF(EV116&gt;0,HeatRatePeak,HeatRateOffPeak)/1000*(1+VLOOKUP($C116,WeatherHeatRateAdjustment,2))+(FO116+FW116)*IF(EW116&gt;0,HeatRatePeak,HeatRateOffPeak)/1000*(1+VLOOKUP($C116,WeatherHeatRateAdjustment,3)))*(1+VLOOKUP($B116,HeatRateDegradation,$C116+1)),0)</f>
        <v>#VALUE!</v>
      </c>
      <c r="GF116" s="1562" t="e">
        <f aca="false">IF(BQ116,((FP116+FQ116+FR116+FX116+FY116+FZ116)*HeatRatePeak/1000*(1+VLOOKUP($C116,WeatherHeatRateAdjustment,2))+(FS116+GA116)*HeatRatePeak/1000*(1+VLOOKUP($C116,WeatherHeatRateAdjustment,3)))*(1+VLOOKUP($B116,HeatRateDegradation,$C116+1)),0)</f>
        <v>#VALUE!</v>
      </c>
      <c r="GG116" s="1563" t="e">
        <f aca="false">IF(BQ116,VLOOKUP(A116,GasTable,13),0)</f>
        <v>#VALUE!</v>
      </c>
      <c r="GH116" s="1564" t="e">
        <f aca="false">(GE116+GF116)*GG116</f>
        <v>#VALUE!</v>
      </c>
      <c r="GI116" s="1569" t="e">
        <f aca="false">GB116</f>
        <v>#VALUE!</v>
      </c>
      <c r="GJ116" s="1598" t="e">
        <f aca="false">+DA116</f>
        <v>#VALUE!</v>
      </c>
      <c r="GK116" s="1558" t="e">
        <f aca="false">+GI116*GJ116</f>
        <v>#VALUE!</v>
      </c>
      <c r="GL116" s="1566" t="e">
        <f aca="false">MAX(FE116-FL116-FP116,0)</f>
        <v>#VALUE!</v>
      </c>
      <c r="GM116" s="1551" t="e">
        <f aca="false">MAX(FF116-FM116-FQ116,0)</f>
        <v>#VALUE!</v>
      </c>
      <c r="GN116" s="1551" t="e">
        <f aca="false">MAX(FG116-FN116-FR116,0)</f>
        <v>#VALUE!</v>
      </c>
      <c r="GO116" s="1564" t="e">
        <f aca="false">MAX(FH116-FO116-FS116,0)</f>
        <v>#VALUE!</v>
      </c>
      <c r="GP116" s="1551" t="e">
        <f aca="false">SUM(GL116:GO116)</f>
        <v>#VALUE!</v>
      </c>
      <c r="GQ116" s="1563" t="e">
        <f aca="false">IF(SUM(GL116:GO116)=0,0,((GL116*BU116+GM116*BV116+GN116*BW116+GO116*BX116)/SUM(GL116:GO116)))</f>
        <v>#VALUE!</v>
      </c>
      <c r="GR116" s="1558" t="e">
        <f aca="false">(GL116*BU116+GM116*BV116+GN116*BW116+GO116*BX116)</f>
        <v>#VALUE!</v>
      </c>
      <c r="GS116" s="1566" t="n">
        <f aca="false">IF($A116&gt;=BegDate,Assumptions!$C$56*24*($A117-$A116)*(1-VLOOKUP($B116,MAIN!$AA$7:$AM$28,$C116+1))*(1-VLOOKUP($B116,MAIN!$AA$33:$AM$54,$C116+1)),0)*80/168</f>
        <v>257742.857142857</v>
      </c>
      <c r="GT116" s="286" t="n">
        <f aca="false">J116</f>
        <v>101.734246724922</v>
      </c>
      <c r="GU116" s="286" t="n">
        <f aca="false">IF($A116&gt;=BegDate,VLOOKUP($A116,GasTable,13)+Assumptions!$C$58,0)</f>
        <v>2.76694305858012</v>
      </c>
      <c r="GV116" s="286" t="n">
        <f aca="false">GU116*Assumptions!$C$57/1000</f>
        <v>20.0603371747058</v>
      </c>
      <c r="GW116" s="1558" t="n">
        <f aca="false">IF(Assumptions!$C$60="Hourly",MAX(0,GS116*(GT116-GV116)),GS116*(GT116-GV116))</f>
        <v>21050866.8015</v>
      </c>
      <c r="GX116" s="1566" t="n">
        <f aca="false">IF($A116&gt;=BegDate,Assumptions!$C$56*24*($A117-$A116)*(1-VLOOKUP($B116,MAIN!$AA$7:$AM$28,$C116+1))*(1-VLOOKUP($B116,MAIN!$AA$33:$AM$54,$C116+1)),0)*16/168</f>
        <v>51548.5714285714</v>
      </c>
      <c r="GY116" s="286" t="n">
        <f aca="false">M116</f>
        <v>101.734246724922</v>
      </c>
      <c r="GZ116" s="286" t="n">
        <f aca="false">IF($A116&gt;=BegDate,VLOOKUP($A116,GasTable,13)+Assumptions!$C$58,0)</f>
        <v>2.76694305858012</v>
      </c>
      <c r="HA116" s="286" t="n">
        <f aca="false">GZ116*Assumptions!$C$57/1000</f>
        <v>20.0603371747058</v>
      </c>
      <c r="HB116" s="1558" t="n">
        <f aca="false">IF(Assumptions!$C$60="Hourly",MAX(0,GX116*(GY116-HA116)),GX116*(GY116-HA116))</f>
        <v>4210173.3603</v>
      </c>
      <c r="HC116" s="1566" t="n">
        <f aca="false">IF($A116&gt;=BegDate,Assumptions!$C$56*24*($A117-$A116)*(1-VLOOKUP($B116,MAIN!$AA$7:$AM$28,$C116+1))*(1-VLOOKUP($B116,MAIN!$AA$33:$AM$54,$C116+1)),0)*16/168</f>
        <v>51548.5714285714</v>
      </c>
      <c r="HD116" s="286" t="n">
        <f aca="false">P116</f>
        <v>32.3695508848877</v>
      </c>
      <c r="HE116" s="286" t="n">
        <f aca="false">IF($A116&gt;=BegDate,VLOOKUP($A116,GasTable,13)+Assumptions!$C$58,0)</f>
        <v>2.76694305858012</v>
      </c>
      <c r="HF116" s="286" t="n">
        <f aca="false">HE116*Assumptions!$C$57/1000</f>
        <v>20.0603371747058</v>
      </c>
      <c r="HG116" s="1558" t="n">
        <f aca="false">IF(Assumptions!$C$60="Hourly",MAX(0,HC116*(HD116-HF116)),HC116*(HD116-HF116))</f>
        <v>634522.38216886</v>
      </c>
      <c r="HH116" s="1566" t="n">
        <f aca="false">IF($A116&gt;=BegDate,Assumptions!$C$56*24*($A117-$A116)*(1-VLOOKUP($B116,MAIN!$AA$7:$AM$28,$C116+1))*(1-VLOOKUP($B116,MAIN!$AA$33:$AM$54,$C116+1)),0)*56/168</f>
        <v>180420</v>
      </c>
      <c r="HI116" s="286" t="n">
        <f aca="false">S116</f>
        <v>32.3695508848877</v>
      </c>
      <c r="HJ116" s="286" t="n">
        <f aca="false">IF($A116&gt;=BegDate,VLOOKUP($A116,GasTable,13)+Assumptions!$C$58,0)</f>
        <v>2.76694305858012</v>
      </c>
      <c r="HK116" s="286" t="n">
        <f aca="false">HJ116*Assumptions!$C$57/1000</f>
        <v>20.0603371747058</v>
      </c>
      <c r="HL116" s="1558" t="n">
        <f aca="false">IF(Assumptions!$C$60="Hourly",MAX(0,HH116*(HI116-HK116)),HH116*(HI116-HK116))</f>
        <v>2220828.33759101</v>
      </c>
      <c r="HM116" s="1566" t="n">
        <f aca="false">IF(AND(Assumptions!$H$71="Yes",A116&gt;=Assumptions!$H$72,A116&lt;=Assumptions!$H$73),Assumptions!$H$74*Assumptions!$C$9*1000,0)</f>
        <v>0</v>
      </c>
      <c r="HN116" s="1551"/>
      <c r="HO116" s="1563"/>
      <c r="HP116" s="1563"/>
      <c r="HQ116" s="1563"/>
      <c r="HR116" s="1563"/>
      <c r="HS116" s="1563"/>
      <c r="HT116" s="1563"/>
      <c r="HU116" s="1563"/>
      <c r="HV116" s="1563"/>
      <c r="HW116" s="1563"/>
      <c r="HX116" s="1563"/>
      <c r="HY116" s="1563"/>
      <c r="HZ116" s="1563"/>
      <c r="IA116" s="1563"/>
      <c r="IB116" s="1563"/>
      <c r="IC116" s="1563"/>
      <c r="ID116" s="1563"/>
      <c r="IE116" s="1563"/>
      <c r="IF116" s="1563"/>
      <c r="IG116" s="1563"/>
      <c r="IH116" s="1563"/>
      <c r="II116" s="1610"/>
      <c r="IJ116" s="1309"/>
      <c r="IK116" s="1309"/>
    </row>
    <row r="117" customFormat="false" ht="12.75" hidden="false" customHeight="false" outlineLevel="0" collapsed="false">
      <c r="A117" s="1571" t="n">
        <f aca="false">EOMONTH(A116,0)+1</f>
        <v>39692</v>
      </c>
      <c r="B117" s="594" t="n">
        <f aca="false">+YEAR(A117)</f>
        <v>2008</v>
      </c>
      <c r="C117" s="238" t="n">
        <f aca="false">MONTH(A117)</f>
        <v>9</v>
      </c>
      <c r="D117" s="1572" t="e">
        <f aca="false">IF(E117="","",Holiday(B117,C117))</f>
        <v>#VALUE!</v>
      </c>
      <c r="E117" s="1573" t="n">
        <f aca="false">IF(OR(BegDate&gt;=A118,EndDate&lt;A117,AND(VolumeMonthlyOverFlag,INDEX(VolumeMonthlyOver,C117)=0),NOT(INDEX(MonthKnockOutTable,C117))),"",MAX(A117,BegDate))</f>
        <v>39692</v>
      </c>
      <c r="F117" s="1574" t="n">
        <f aca="false">IF(E117="","",MIN(A118-1,EndDate))</f>
        <v>39721</v>
      </c>
      <c r="G117" s="1575" t="n">
        <v>0</v>
      </c>
      <c r="H117" s="1576" t="n">
        <f aca="false">(1+G117/2)^(-2*(DATE(B118,C118,20)-DateToday)/365.25)</f>
        <v>1</v>
      </c>
      <c r="I117" s="1568" t="n">
        <f aca="false">IF(Assumptions!$L$25=4,VLOOKUP($A117,'Henwood Reference'!$E$9:$R$320,10),(VLOOKUP($A117,PriceTable,2,0)+IF(BasisNumber&lt;&gt;1,VLOOKUP($A117,BasisTable,2,0),0)+I$1)/(1-I$2))</f>
        <v>67.9780369626181</v>
      </c>
      <c r="J117" s="1568" t="n">
        <f aca="false">IF(Assumptions!$L$25=4,VLOOKUP($A117,'Henwood Reference'!$E$9:$R$320,10),(VLOOKUP($A117,PriceTable,3,0)+IF(BasisNumber&lt;&gt;1,VLOOKUP($A117,BasisTable,2,0),0)+J$1)/(1-J$2))</f>
        <v>67.9780369626181</v>
      </c>
      <c r="K117" s="1568" t="n">
        <f aca="false">IF(Assumptions!$L$25=4,VLOOKUP($A117,'Henwood Reference'!$E$9:$R$320,10),(VLOOKUP($A117,PriceTable,4,0)+IF(BasisNumber&lt;&gt;1,VLOOKUP($A117,BasisTable,2,0),0)+K$1)/(1-K$2))</f>
        <v>67.9780369626181</v>
      </c>
      <c r="L117" s="1523" t="n">
        <f aca="false">IF(Assumptions!$L$25=4,VLOOKUP($A117,'Henwood Reference'!$E$9:$R$320,10),(VLOOKUP($A117,PriceTableWeekend,2,0)+IF(BasisNumber&lt;&gt;1,VLOOKUP($A117,BasisTable,2,0),0)+L$1)/(1-L$2))</f>
        <v>67.9780369626181</v>
      </c>
      <c r="M117" s="1568" t="n">
        <f aca="false">IF(Assumptions!$L$25=4,VLOOKUP($A117,'Henwood Reference'!$E$9:$R$320,10),(VLOOKUP($A117,PriceTableWeekend,3,0)+IF(BasisNumber&lt;&gt;1,VLOOKUP($A117,BasisTable,2,0),0)+M$1)/(1-M$2))</f>
        <v>67.9780369626181</v>
      </c>
      <c r="N117" s="1599" t="n">
        <f aca="false">IF(Assumptions!$L$25=4,VLOOKUP($A117,'Henwood Reference'!$E$9:$R$320,10),(VLOOKUP($A117,PriceTableWeekend,4,0)+IF(BasisNumber&lt;&gt;1,VLOOKUP($A117,BasisTable,2,0),0)+N$1)/(1-N$2))</f>
        <v>67.9780369626181</v>
      </c>
      <c r="O117" s="1568" t="n">
        <f aca="false">IF(Assumptions!$L$25=4,VLOOKUP($A117,'Henwood Reference'!$E$9:$R$320,11),(VLOOKUP($A117,PriceTableWeekend,6,0)+IF(BasisNumber&lt;&gt;1,VLOOKUP($A117,BasisTable,3,0),0)+O$1)/(1-O$2))</f>
        <v>29.4631326243735</v>
      </c>
      <c r="P117" s="1568" t="n">
        <f aca="false">IF(Assumptions!$L$25=4,VLOOKUP($A117,'Henwood Reference'!$E$9:$R$320,11),(VLOOKUP($A117,PriceTableWeekend,7,0)+IF(BasisNumber&lt;&gt;1,VLOOKUP($A117,BasisTable,3,0),0)+P$1)/(1-P$2))</f>
        <v>29.4631326243735</v>
      </c>
      <c r="Q117" s="1599" t="n">
        <f aca="false">IF(Assumptions!$L$25=4,VLOOKUP($A117,'Henwood Reference'!$E$9:$R$320,11),(VLOOKUP($A117,PriceTableWeekend,8,0)+IF(BasisNumber&lt;&gt;1,VLOOKUP($A117,BasisTable,3,0),0)+Q$1)/(1-Q$2))</f>
        <v>29.4631326243735</v>
      </c>
      <c r="R117" s="1568" t="n">
        <f aca="false">IF(Assumptions!$L$25=4,VLOOKUP($A117,'Henwood Reference'!$E$9:$R$320,11),(VLOOKUP($A117,PriceTable,6,0)+IF(BasisNumber&lt;&gt;1,VLOOKUP($A117,BasisTable,3,0),0)+R$1)/(1-R$2))</f>
        <v>29.4631326243735</v>
      </c>
      <c r="S117" s="1568" t="n">
        <f aca="false">IF(Assumptions!$L$25=4,VLOOKUP($A117,'Henwood Reference'!$E$9:$R$320,11),(VLOOKUP($A117,PriceTable,7,0)+IF(BasisNumber&lt;&gt;1,VLOOKUP($A117,BasisTable,3,0),0)+S$1)/(1-S$2))</f>
        <v>29.4631326243735</v>
      </c>
      <c r="T117" s="1600" t="n">
        <f aca="false">IF(Assumptions!$L$25=4,VLOOKUP($A117,'Henwood Reference'!$E$9:$R$320,11),(VLOOKUP($A117,PriceTable,8,0)+IF(BasisNumber&lt;&gt;1,VLOOKUP($A117,BasisTable,3,0),0)+T$1)/(1-T$2))</f>
        <v>29.4631326243735</v>
      </c>
      <c r="U117" s="1513" t="n">
        <f aca="false">VLOOKUP($A117,VolatilityTable,14)</f>
        <v>0.13</v>
      </c>
      <c r="V117" s="1513" t="n">
        <f aca="false">VLOOKUP($A117,VolatilityTable,15)</f>
        <v>0.14</v>
      </c>
      <c r="W117" s="1514" t="n">
        <f aca="false">VLOOKUP($A117,VolatilityTable,16)</f>
        <v>0.15</v>
      </c>
      <c r="X117" s="1513" t="n">
        <f aca="false">VLOOKUP($A117,VolatilityTable,14)</f>
        <v>0.13</v>
      </c>
      <c r="Y117" s="1513" t="n">
        <f aca="false">VLOOKUP($A117,VolatilityTable,15)</f>
        <v>0.14</v>
      </c>
      <c r="Z117" s="1514" t="n">
        <f aca="false">VLOOKUP($A117,VolatilityTable,16)</f>
        <v>0.15</v>
      </c>
      <c r="AA117" s="1513" t="n">
        <f aca="false">VLOOKUP($A117,VolatilityTable,18)</f>
        <v>0.09</v>
      </c>
      <c r="AB117" s="1513" t="n">
        <f aca="false">VLOOKUP($A117,VolatilityTable,19)</f>
        <v>0.11</v>
      </c>
      <c r="AC117" s="1514" t="n">
        <f aca="false">VLOOKUP($A117,VolatilityTable,20)</f>
        <v>0.13</v>
      </c>
      <c r="AD117" s="1513" t="n">
        <f aca="false">VLOOKUP($A117,VolatilityTable,18)</f>
        <v>0.09</v>
      </c>
      <c r="AE117" s="1513" t="n">
        <f aca="false">VLOOKUP($A117,VolatilityTable,19)</f>
        <v>0.11</v>
      </c>
      <c r="AF117" s="1514" t="n">
        <f aca="false">VLOOKUP($A117,VolatilityTable,20)</f>
        <v>0.13</v>
      </c>
      <c r="AG117" s="1513" t="n">
        <f aca="false">VLOOKUP($A117,VolatilityTable,22)</f>
        <v>-0.35</v>
      </c>
      <c r="AH117" s="1513" t="n">
        <f aca="false">VLOOKUP($A117,VolatilityTable,23)</f>
        <v>3</v>
      </c>
      <c r="AI117" s="1514" t="n">
        <f aca="false">VLOOKUP($A117,VolatilityTable,24)</f>
        <v>0.2</v>
      </c>
      <c r="AJ117" s="1513" t="n">
        <f aca="false">VLOOKUP($A117,VolatilityTable,22)</f>
        <v>-0.35</v>
      </c>
      <c r="AK117" s="1513" t="n">
        <f aca="false">VLOOKUP($A117,VolatilityTable,23)</f>
        <v>3</v>
      </c>
      <c r="AL117" s="1514" t="n">
        <f aca="false">VLOOKUP($A117,VolatilityTable,24)</f>
        <v>0.2</v>
      </c>
      <c r="AM117" s="1513" t="n">
        <f aca="false">VLOOKUP($A117,VolatilityTable,26)</f>
        <v>-0.01</v>
      </c>
      <c r="AN117" s="1513" t="n">
        <f aca="false">VLOOKUP($A117,VolatilityTable,27)</f>
        <v>0.16</v>
      </c>
      <c r="AO117" s="1514" t="n">
        <f aca="false">VLOOKUP($A117,VolatilityTable,28)</f>
        <v>0.01</v>
      </c>
      <c r="AP117" s="1513" t="n">
        <f aca="false">VLOOKUP($A117,VolatilityTable,26)</f>
        <v>-0.01</v>
      </c>
      <c r="AQ117" s="1513" t="n">
        <f aca="false">VLOOKUP($A117,VolatilityTable,27)</f>
        <v>0.16</v>
      </c>
      <c r="AR117" s="1515" t="n">
        <f aca="false">VLOOKUP($A117,VolatilityTable,28)</f>
        <v>0.01</v>
      </c>
      <c r="AS117" s="1581" t="n">
        <f aca="false">IF(CorrPeakOffPeakOverFlag,INDEX(CorrPeakOffPeakOver,C117),CorrPeakOffPeak)</f>
        <v>0.5</v>
      </c>
      <c r="AT117" s="594" t="e">
        <f aca="false">AX117-SUM(AU117:AW117)</f>
        <v>#VALUE!</v>
      </c>
      <c r="AU117" s="238" t="e">
        <f aca="false">IF(E117="",0,INT((F117-MOD(F117,7)-E117)/7)+1-IF(AW117,IF(WEEKDAY(D117)=7,1,0),0))</f>
        <v>#VALUE!</v>
      </c>
      <c r="AV117" s="238" t="e">
        <f aca="false">IF(E117="",0,INT((F117-MOD(F117-1,7)-E117)/7)+1-IF(AW117,IF(WEEKDAY(D117)=1,1,0),0))</f>
        <v>#VALUE!</v>
      </c>
      <c r="AW117" s="238" t="e">
        <f aca="false">IF(OR(E117="",D117="",D117&lt;BegDate,D117&gt;EndDate),0,1)</f>
        <v>#VALUE!</v>
      </c>
      <c r="AX117" s="238" t="n">
        <f aca="false">IF(E117="",0,F117-E117+1)</f>
        <v>30</v>
      </c>
      <c r="AY117" s="1582" t="n">
        <f aca="false">IF(E117="",0,MIN((1-(1-VLOOKUP(B117,MAIN!$AA$7:$AM$28,C117+1))*(1-VLOOKUP(B117,MAIN!$AA$33:$AM$54,C117+1))),1))</f>
        <v>0.03</v>
      </c>
      <c r="AZ117" s="1519" t="e">
        <v>#VALUE!</v>
      </c>
      <c r="BA117" s="1520" t="e">
        <v>#VALUE!</v>
      </c>
      <c r="BB117" s="1520" t="e">
        <v>#VALUE!</v>
      </c>
      <c r="BC117" s="1583" t="e">
        <v>#VALUE!</v>
      </c>
      <c r="BD117" s="1522" t="e">
        <v>#VALUE!</v>
      </c>
      <c r="BE117" s="1523" t="e">
        <v>#VALUE!</v>
      </c>
      <c r="BF117" s="1523" t="e">
        <v>#VALUE!</v>
      </c>
      <c r="BG117" s="1584" t="e">
        <v>#VALUE!</v>
      </c>
      <c r="BH117" s="1525" t="e">
        <v>#VALUE!</v>
      </c>
      <c r="BI117" s="1520" t="e">
        <v>#VALUE!</v>
      </c>
      <c r="BJ117" s="1520" t="e">
        <v>#VALUE!</v>
      </c>
      <c r="BK117" s="1583" t="e">
        <v>#VALUE!</v>
      </c>
      <c r="BL117" s="1522" t="e">
        <v>#VALUE!</v>
      </c>
      <c r="BM117" s="1523" t="e">
        <v>#VALUE!</v>
      </c>
      <c r="BN117" s="1523" t="e">
        <v>#VALUE!</v>
      </c>
      <c r="BO117" s="1523" t="e">
        <v>#VALUE!</v>
      </c>
      <c r="BP117" s="1525" t="e">
        <f aca="false">SUM(AZ117:BB117)</f>
        <v>#VALUE!</v>
      </c>
      <c r="BQ117" s="1529" t="e">
        <f aca="false">SUM(AZ117:BC117)</f>
        <v>#VALUE!</v>
      </c>
      <c r="BR117" s="1519" t="e">
        <f aca="false">SUM(BH117:BJ117)</f>
        <v>#VALUE!</v>
      </c>
      <c r="BS117" s="1529" t="e">
        <f aca="false">SUM(BH117:BK117)</f>
        <v>#VALUE!</v>
      </c>
      <c r="BT117" s="1316" t="n">
        <f aca="false">(IF(OVolType&lt;&gt;2,A117+14,IF(OptExpDateShift,ShiftBack(A117,OptExpDateShift,D116),A117))-DateToday)/365.25</f>
        <v>8.3832991101985</v>
      </c>
      <c r="BU117" s="1585" t="e">
        <f aca="false">IF(BQ117,IF(OPriceCurve,IF(OBuySell=OCallPut,I117/(1-AY117),K117/(1-AY117)),J117/(1-AY117))*BD117,0)</f>
        <v>#VALUE!</v>
      </c>
      <c r="BV117" s="1316" t="e">
        <f aca="false">IF(BQ117,IF(OPriceCurve,IF(OBuySell=OCallPut,L117/(1-AY117),N117/(1-AY117)),M117/(1-AY117))*BE117,0)</f>
        <v>#VALUE!</v>
      </c>
      <c r="BW117" s="1316" t="e">
        <f aca="false">IF(BQ117,IF(OPriceCurve,IF(OBuySell=OCallPut,O117/(1-AY117),Q117/(1-AY117)),P117/(1-AY117))*BF117,0)</f>
        <v>#VALUE!</v>
      </c>
      <c r="BX117" s="1316" t="e">
        <f aca="false">IF(BQ117,IF(OPriceCurve,IF(OBuySell=OCallPut,R117/(1-AY117),T117/(1-AY117)),S117/(1-AY117))*BG117,0)</f>
        <v>#VALUE!</v>
      </c>
      <c r="BY117" s="1316" t="e">
        <f aca="false">IF(BP117,(BU117*AZ117+BV117*BA117+BW117*BB117)/BP117,0)</f>
        <v>#VALUE!</v>
      </c>
      <c r="BZ117" s="1316" t="e">
        <f aca="false">IF(BQ117,(BY117*BP117+BX117*BC117)/BQ117,0)</f>
        <v>#VALUE!</v>
      </c>
      <c r="CA117" s="1531" t="e">
        <f aca="false">IF(BS117,IF(OPriceCurve,IF(OBuySell=OCallPut,I117/(1-AY117),K117/(1-AY117)),J117/(1-AY117))*BL117,0)</f>
        <v>#VALUE!</v>
      </c>
      <c r="CB117" s="1316" t="e">
        <f aca="false">IF(BS117,IF(OPriceCurve,IF(OBuySell=OCallPut,L117/(1-AY117),N117/(1-AY117)),M117/(1-AY117))*BM117,0)</f>
        <v>#VALUE!</v>
      </c>
      <c r="CC117" s="1316" t="e">
        <f aca="false">IF(BS117,IF(OPriceCurve,IF(OBuySell=OCallPut,O117/(1-AY117),Q117/(1-AY117)),P117/(1-AY117))*BN117,0)</f>
        <v>#VALUE!</v>
      </c>
      <c r="CD117" s="1316" t="e">
        <f aca="false">IF(BS117,IF(OPriceCurve,IF(OBuySell=OCallPut,R117/(1-AY117),T117/(1-AY117)),S117/(1-AY117))*BO117,0)</f>
        <v>#VALUE!</v>
      </c>
      <c r="CE117" s="1316" t="e">
        <f aca="false">IF(BR117,(BU117*BH117+BV117*BI117+BW117*BJ117)/BR117,0)</f>
        <v>#VALUE!</v>
      </c>
      <c r="CF117" s="1532" t="e">
        <f aca="false">IF(BS117,(CE117*BR117+CD117*BK117)/BS117,0)</f>
        <v>#VALUE!</v>
      </c>
      <c r="CG117" s="1586" t="e">
        <f aca="false">IF(OR(BQ117,BS117),IF(OVolType&lt;&gt;2,SQRT(IF(OVolOverMonthlyPeak,OVolOverMonthlyPeak,IF(OVolCurve,IF(OBuySell,U117,W117),V117))^2*(1-15/365.25/BT117)+IF(OVolOverDailyPeak,OVolOverDailyPeak,IF(OVolCurve,IF(OBuySell,AG117,AI117),AH117))^2*15/365.25/BT117),IF(OVolOverMonthlyPeak,OVolOverMonthlyPeak,IF(OVolCurve,IF(OBuySell,U117,W117),V117))),"")</f>
        <v>#VALUE!</v>
      </c>
      <c r="CH117" s="1587" t="e">
        <f aca="false">IF(OR(BQ117,BS117),IF(OVolType&lt;&gt;2,SQRT(IF(OVolOverMonthlyPeak,OVolOverMonthlyPeak,IF(OVolCurve,IF(OBuySell,X117,Z117),Y117))^2*(1-15/365.25/BT117)+IF(OVolOverDailyPeak,OVolOverDailyPeak,IF(OVolCurve,IF(OBuySell,AJ117,AL117),AK117))^2*15/365.25/BT117),IF(OVolOverMonthlyPeak,OVolOverMonthlyPeak,IF(OVolCurve,IF(OBuySell,X117,Z117),Y117))),"")</f>
        <v>#VALUE!</v>
      </c>
      <c r="CI117" s="1587" t="e">
        <f aca="false">IF(OR(BQ117,BS117),IF(OVolType&lt;&gt;2,SQRT(IF(OVolOverMonthlyPeak,OVolOverMonthlyPeak,IF(OVolCurve,IF(OBuySell,AA117,AC117),AB117))^2*(1-15/365.25/BT117)+IF(OVolOverDailyPeak,OVolOverDailyPeak,IF(OVolCurve,IF(OBuySell,AM117,AO117),AN117))^2*15/365.25/BT117),IF(OVolOverMonthlyPeak,OVolOverMonthlyPeak,IF(OVolCurve,IF(OBuySell,AA117,AC117),AB117))),"")</f>
        <v>#VALUE!</v>
      </c>
      <c r="CJ117" s="1587" t="e">
        <f aca="false">IF(BQ117,IF(BP117,SQRT(LN(1+((BU117*AZ117)^2*(EXP(CG117^2*BT117)-1)+(BV117*BA117)^2*(EXP(CH117^2*BT117)-1)+(BW117*BB117)^2*(EXP(CI117^2*BT117)-1)+2*BU117*AZ117*BV117*BA117*(EXP(CG117*CH117*BT117)-1)+2*BV117*BA117*BW117*BB117*(EXP(CH117*CI117*BT117)-1)+2*BW117*BB117*BU117*AZ117*(EXP(CI117*CG117*BT117)-1))/(BY117*BP117)^2)/BT117),0),"")</f>
        <v>#VALUE!</v>
      </c>
      <c r="CK117" s="1587" t="e">
        <f aca="false">IF(BS117,IF(BR117,SQRT(LN(1+((CA117*BH117)^2*(EXP(CG117^2*BT117)-1)+(CB117*BI117)^2*(EXP(CH117^2*BT117)-1)+(CC117*BJ117)^2*(EXP(CI117^2*BT117)-1)+2*CA117*BH117*CB117*BI117*(EXP(CG117*CH117*BT117)-1)+2*CB117*BI117*CC117*BJ117*(EXP(CH117*CI117*BT117)-1)+2*CC117*BJ117*CA117*BH117*(EXP(CI117*CG117*BT117)-1))/(CE117*BR117)^2)/BT117),0),"")</f>
        <v>#VALUE!</v>
      </c>
      <c r="CL117" s="1587" t="e">
        <f aca="false">IF(OR(BQ117,BS117),IF(OVolType&lt;&gt;2,SQRT(IF(OVolOverMonthlyOffPeak,OVolOverMonthlyOffPeak,IF(OVolCurve,IF(OBuySell,AD117,AF117),AE117))^2*(1-15/365.25/BT117)+IF(OVolOverDailyOffPeak,OVolOverDailyOffPeak,IF(OVolCurve,IF(OBuySell,AP117,AR117),AQ117))^2*15/365.25/BT117),IF(OVolOverMonthlyOffPeak,OVolOverMonthlyOffPeak,IF(OVolCurve,IF(OBuySell,AD117,AF117),AE117))),"")</f>
        <v>#VALUE!</v>
      </c>
      <c r="CM117" s="1587" t="e">
        <f aca="false">IF(BQ117,SQRT(LN(1+((BY117*BP117)^2*(EXP(CJ117^2*BT117)-1)+(BX117*BC117)^2*(EXP(CL117^2*BT117)-1)+2*BY117*BP117*BX117*BC117*(EXP(AS117*CJ117*CL117*BT117)-1))/(BY117*BP117+BX117*BC117)^2)/BT117),"")</f>
        <v>#VALUE!</v>
      </c>
      <c r="CN117" s="1588" t="e">
        <f aca="false">IF(BS117,SQRT(LN(1+((CE117*BR117)^2*(EXP(CK117^2*BT117)-1)+(CD117*BK117)^2*(EXP(CL117^2*BT117)-1)+2*CE117*BR117*CD117*BK117*(EXP(AS117*CK117*CL117*BT117)-1))/(CE117*BR117+CD117*BK117)^2)/BT117),"")</f>
        <v>#VALUE!</v>
      </c>
      <c r="CO117" s="1531" t="e">
        <f aca="false">IF(OR(BQ117,BS117),VLOOKUP(A117,GasTable,13)*HeatRatePeak*(1+VLOOKUP($B117,HeatRateDegradation,$C117+1))/1000,0)</f>
        <v>#VALUE!</v>
      </c>
      <c r="CP117" s="1316" t="e">
        <f aca="false">IF(OR(BQ117,BS117),VLOOKUP(A117,GasTable,13)*HeatRatePeak*(1+VLOOKUP($B117,HeatRateDegradation,$C117+1))/1000,0)</f>
        <v>#VALUE!</v>
      </c>
      <c r="CQ117" s="1316" t="e">
        <f aca="false">IF(OR(BQ117,BS117),VLOOKUP(A117,GasTable,13)*IF(EV117,HeatRatePeak,HeatRateOffPeak)*(1+VLOOKUP($B117,HeatRateDegradation,$C117+1))/1000,0)</f>
        <v>#VALUE!</v>
      </c>
      <c r="CR117" s="1316" t="e">
        <f aca="false">IF(OR(BQ117,BS117),VLOOKUP(A117,GasTable,13)*IF(EW117,HeatRatePeak,HeatRateOffPeak)*(1+VLOOKUP($B117,HeatRateDegradation,$C117+1))/1000,0)</f>
        <v>#VALUE!</v>
      </c>
      <c r="CS117" s="1589" t="e">
        <f aca="false">IF(BQ117,(CO117*AZ117+CP117*BA117+CQ117*BB117+CR117*BC117)/BQ117,0)</f>
        <v>#VALUE!</v>
      </c>
      <c r="CT117" s="1316" t="e">
        <f aca="false">IF(BS117,CO117,0)</f>
        <v>#VALUE!</v>
      </c>
      <c r="CU117" s="1590" t="e">
        <f aca="false">IF(OR(BQ117,BS117),VLOOKUP(A117,GasTable,14),"")</f>
        <v>#VALUE!</v>
      </c>
      <c r="CV117" s="1568" t="e">
        <f aca="false">IF(OR(BQ117,BS117),IF(CorrPowerGasOverFlag,INDEX(CorrPowerGasOver,C117),CorrPowerGas),"")</f>
        <v>#VALUE!</v>
      </c>
      <c r="CW117" s="1316" t="e">
        <f aca="false">IF(OR($BQ117,$BS117),SpreadOptPowerMargin,0)*((1+Assumptions!$C$26)^($B117-YEAR(Assumptions!$C$17)))</f>
        <v>#VALUE!</v>
      </c>
      <c r="CX117" s="1316" t="e">
        <f aca="false">IF(OR($BQ117,$BS117),SpreadOptPowerMargin,0)*((1+Assumptions!$C$26)^($B117-YEAR(Assumptions!$C$17)))</f>
        <v>#VALUE!</v>
      </c>
      <c r="CY117" s="1316" t="e">
        <f aca="false">IF(OR($BQ117,$BS117),SpreadOptPowerMargin,0)*((1+Assumptions!$C$26)^($B117-YEAR(Assumptions!$C$17)))</f>
        <v>#VALUE!</v>
      </c>
      <c r="CZ117" s="1316" t="e">
        <f aca="false">IF(OR($BQ117,$BS117),SpreadOptPowerMargin,0)*((1+Assumptions!$C$26)^($B117-YEAR(Assumptions!$C$17)))</f>
        <v>#VALUE!</v>
      </c>
      <c r="DA117" s="1591" t="e">
        <f aca="false">IF(OR(BQ117,BS117),(CW117*(AZ117+BH117)+CX117*(BA117+BI117)+CY117*(BB117+BJ117)+CZ117*(BC117+BK117))/(BQ117+BS117),0)</f>
        <v>#VALUE!</v>
      </c>
      <c r="DB117" s="1592" t="e">
        <f aca="false">IF(OR(BQ117,BS117),CG117+IF(OVolSmile,VLOOKUP(MAX(-5,CO117+CW117-BU117),IF(OVolSmile=1,VolSmileBook,VolSmileModel),2),0),"")</f>
        <v>#VALUE!</v>
      </c>
      <c r="DC117" s="1592" t="e">
        <f aca="false">IF(OR(BQ117,BS117),CH117+IF(OVolSmile,VLOOKUP(MAX(-5,CP117+CW117-BV117),IF(OVolSmile=1,VolSmileBook,VolSmileModel),2),0),"")</f>
        <v>#VALUE!</v>
      </c>
      <c r="DD117" s="1592" t="e">
        <f aca="false">IF(OR(BQ117,BS117),CI117+IF(OVolSmile,VLOOKUP(MAX(-5,CQ117+CW117-BW117),IF(OVolSmile=1,VolSmileBook,VolSmileModel),2),0),"")</f>
        <v>#VALUE!</v>
      </c>
      <c r="DE117" s="1592" t="e">
        <f aca="false">IF(OR(BQ117,BS117),CL117+IF(OVolSmile,VLOOKUP(MAX(-5,CR117+CZ117-BX117),IF(OVolSmile=1,VolSmileBook,VolSmileModel),2),0),"")</f>
        <v>#VALUE!</v>
      </c>
      <c r="DF117" s="1592" t="e">
        <f aca="false">IF(BQ117,CM117+IF(OVolSmile,VLOOKUP(MAX(-5,CS117+DA117-BZ117),IF(OVolSmile=1,VolSmileBook,VolSmileModel),2),0),"")</f>
        <v>#VALUE!</v>
      </c>
      <c r="DG117" s="1593" t="e">
        <f aca="false">IF(BS117,CN117+IF(OVolSmile,VLOOKUP(MAX(-5,CT117+DA117-CF117),IF(OVolSmile=1,VolSmileBook,VolSmileModel),2),0),"")</f>
        <v>#VALUE!</v>
      </c>
      <c r="DH117" s="1316" t="e">
        <f aca="false">IF(AND(BU117&gt;0,CO117&gt;0,DB117&gt;0,CU117&gt;0),newSPRDOPT(BU117,CO117,CW117,0,DB117,CU117,CV117,BT117*365.25,OCallPut,0),0)</f>
        <v>#VALUE!</v>
      </c>
      <c r="DI117" s="1316" t="e">
        <f aca="false">IF(AND(BV117&gt;0,CP117&gt;0,DC117&gt;0,CU117&gt;0),newSPRDOPT(BV117,CP117,CX117,0,DC117,CU117,CV117,BT117*365.25,OCallPut,0),0)</f>
        <v>#VALUE!</v>
      </c>
      <c r="DJ117" s="1316" t="e">
        <f aca="false">IF(AND(BW117&gt;0,CQ117&gt;0,DD117&gt;0,CU117&gt;0),newSPRDOPT(BW117,CQ117,CY117,0,DD117,CU117,CV117,BT117*365.25,OCallPut,0),0)</f>
        <v>#VALUE!</v>
      </c>
      <c r="DK117" s="1316" t="e">
        <f aca="false">IF(AND(BX117&gt;0,CR117&gt;0,DE117&gt;0,CU117&gt;0),newSPRDOPT(BX117,CR117,CZ117,0,DE117,CU117,CV117,BT117*365.25,OCallPut,0),0)</f>
        <v>#VALUE!</v>
      </c>
      <c r="DL117" s="1316" t="e">
        <f aca="false">IF(OVolType,IF(AND(BZ117&gt;0,CS117&gt;0,DF117&gt;0,CU117&gt;0),newSPRDOPT(BZ117,CS117,DA117,0,DF117,CU117,CV117,BT117*365.25,OCallPut,0),0),IF(BQ117,(DH117*AZ117+DI117*BA117+DJ117*BB117+DK117*BC117)/BQ117,0))</f>
        <v>#VALUE!</v>
      </c>
      <c r="DM117" s="1316"/>
      <c r="DN117" s="1316"/>
      <c r="DO117" s="1316"/>
      <c r="DP117" s="1316"/>
      <c r="DQ117" s="1316"/>
      <c r="DR117" s="1316"/>
      <c r="DS117" s="1316"/>
      <c r="DT117" s="1316"/>
      <c r="DU117" s="1316"/>
      <c r="DV117" s="1316"/>
      <c r="DW117" s="1594" t="e">
        <f aca="false">IF(AND(BW117&gt;0,CT117&gt;0,DD117&gt;0,CU117&gt;0),newSPRDOPT(BW117,CT117,CY117,0,DD117,CU117,CV117,BT117*365.25,OCallPut,0),0)</f>
        <v>#VALUE!</v>
      </c>
      <c r="DX117" s="1316" t="e">
        <f aca="false">IF(AND(BX117&gt;0,CT117&gt;0,DE117&gt;0,CU117&gt;0),newSPRDOPT(BX117,CT117,CZ117,0,DE117,CU117,CV117,BT117*365.25,OCallPut,0),0)</f>
        <v>#VALUE!</v>
      </c>
      <c r="DY117" s="1591" t="e">
        <f aca="false">IF(BS117,(DH117*BH117+DI117*BI117+DW117*BJ117+DX117*BK117)/BS117,0)</f>
        <v>#VALUE!</v>
      </c>
      <c r="DZ117" s="1551" t="e">
        <f aca="false">DH117*AZ117</f>
        <v>#VALUE!</v>
      </c>
      <c r="EA117" s="1551" t="e">
        <f aca="false">DI117*BA117</f>
        <v>#VALUE!</v>
      </c>
      <c r="EB117" s="1551" t="e">
        <f aca="false">DJ117*BB117</f>
        <v>#VALUE!</v>
      </c>
      <c r="EC117" s="1551" t="e">
        <f aca="false">DK117*BC117</f>
        <v>#VALUE!</v>
      </c>
      <c r="ED117" s="1551" t="e">
        <f aca="false">DL117*BQ117</f>
        <v>#VALUE!</v>
      </c>
      <c r="EE117" s="1595" t="e">
        <f aca="false">IF(BQ117,IF(OCallPut,IF(BU117&gt;(CO117+CW117),BU117-(CO117+CW117),0),IF((CO117+CW117)&gt;BU117,(CO117+CW117)-BU117,0))*AZ117,0)</f>
        <v>#VALUE!</v>
      </c>
      <c r="EF117" s="1596" t="e">
        <f aca="false">IF(BQ117,IF(OCallPut,IF(BV117&gt;(CP117+CX117),BV117-(CP117+CX117),0),IF((CP117+CX117)&gt;BV117,(CP117+CX117)-BV117,0))*BA117,0)</f>
        <v>#VALUE!</v>
      </c>
      <c r="EG117" s="1596" t="e">
        <f aca="false">IF(BQ117,IF(OCallPut,IF(BW117&gt;(CQ117+CY117),BW117-(CQ117+CY117),0),IF((CQ117+CY117)&gt;BW117,(CQ117+CY117)-BW117,0))*BB117,0)</f>
        <v>#VALUE!</v>
      </c>
      <c r="EH117" s="1596" t="e">
        <f aca="false">IF(BQ117,IF(OCallPut,IF(BX117&gt;(CR117+CZ117),BX117-(CR117+CZ117),0),IF((CR117+CZ117)&gt;BX117,(CR117+CZ117)-BX117,0))*BC117,0)</f>
        <v>#VALUE!</v>
      </c>
      <c r="EI117" s="1597" t="e">
        <f aca="false">IF(BQ117,IF(OVolType,IF(OCallPut,IF(BZ117&gt;(CS117+DA117),BZ117-(CS117+DA117),0),IF((CS117+DA117)&gt;BZ117,(CS117+DA117)-BZ117,0))*BQ117,SUM(EE117:EH117)),0)</f>
        <v>#VALUE!</v>
      </c>
      <c r="EJ117" s="1595" t="e">
        <f aca="false">DZ117-EE117</f>
        <v>#VALUE!</v>
      </c>
      <c r="EK117" s="1596" t="e">
        <f aca="false">EA117-EF117</f>
        <v>#VALUE!</v>
      </c>
      <c r="EL117" s="1596" t="e">
        <f aca="false">EB117-EG117</f>
        <v>#VALUE!</v>
      </c>
      <c r="EM117" s="1596" t="e">
        <f aca="false">EC117-EH117</f>
        <v>#VALUE!</v>
      </c>
      <c r="EN117" s="1597" t="e">
        <f aca="false">ED117-EI117</f>
        <v>#VALUE!</v>
      </c>
      <c r="EO117" s="1551" t="e">
        <f aca="false">DH117*BH117</f>
        <v>#VALUE!</v>
      </c>
      <c r="EP117" s="1551" t="e">
        <f aca="false">DI117*BI117</f>
        <v>#VALUE!</v>
      </c>
      <c r="EQ117" s="1551" t="e">
        <f aca="false">DW117*BJ117</f>
        <v>#VALUE!</v>
      </c>
      <c r="ER117" s="1551" t="e">
        <f aca="false">DX117*BK117</f>
        <v>#VALUE!</v>
      </c>
      <c r="ES117" s="1551" t="e">
        <f aca="false">DY117*BS117</f>
        <v>#VALUE!</v>
      </c>
      <c r="ET117" s="1566" t="e">
        <f aca="false">IF(EI117,IF(OCallPut,IF(CA117&gt;(CT117+CW117),CA117-(CT117+CW117),0),IF((CT117+CW117)&gt;CA117,(CT117+CW117)-CA117,0))*BH117,0)</f>
        <v>#VALUE!</v>
      </c>
      <c r="EU117" s="1551" t="e">
        <f aca="false">IF(EI117,IF(OCallPut,IF(CB117&gt;(CT117+CX117),CB117-(CT117+CX117),0),IF((CT117+CX117)&gt;CB117,(CT117+CX117)-CB117,0))*BI117,0)</f>
        <v>#VALUE!</v>
      </c>
      <c r="EV117" s="1551" t="e">
        <f aca="false">IF(EI117,IF(OCallPut,IF(CC117&gt;(CT117+CY117),CC117-(CT117+CY117),0),IF((CT117+CY117)&gt;CC117,(CT117+CY117)-CC117,0))*BJ117,0)</f>
        <v>#VALUE!</v>
      </c>
      <c r="EW117" s="1551" t="e">
        <f aca="false">IF(EI117,IF(OCallPut,IF(CD117&gt;(CT117+CZ117),CD117-(CT117+CZ117),0),IF((CT117+CZ117)&gt;CD117,(CT117+CZ117)-CD117,0))*BK117,0)</f>
        <v>#VALUE!</v>
      </c>
      <c r="EX117" s="1558" t="e">
        <f aca="false">IF(EI117,SUM(ET117:EW117),0)</f>
        <v>#VALUE!</v>
      </c>
      <c r="EY117" s="1551" t="e">
        <f aca="false">EO117-ET117</f>
        <v>#VALUE!</v>
      </c>
      <c r="EZ117" s="1551" t="e">
        <f aca="false">EP117-EU117</f>
        <v>#VALUE!</v>
      </c>
      <c r="FA117" s="1551" t="e">
        <f aca="false">EQ117-EV117</f>
        <v>#VALUE!</v>
      </c>
      <c r="FB117" s="1551" t="e">
        <f aca="false">ER117-EW117</f>
        <v>#VALUE!</v>
      </c>
      <c r="FC117" s="1551" t="e">
        <f aca="false">ES117-EX117</f>
        <v>#VALUE!</v>
      </c>
      <c r="FD117" s="1525" t="n">
        <f aca="false">IF(AX117,IF(VLOOKUP(C117,MAIN!$L$17:$M$28,2)="Yes",VLOOKUP(CALC!B117,MAIN!$H$17:$I$20,2),0),0)</f>
        <v>0</v>
      </c>
      <c r="FE117" s="1552" t="e">
        <f aca="false">$FD117*16*AT117*(1-$AY117)</f>
        <v>#VALUE!</v>
      </c>
      <c r="FF117" s="1553" t="e">
        <f aca="false">$FD117*16*AU117*(1-$AY117)</f>
        <v>#VALUE!</v>
      </c>
      <c r="FG117" s="1553" t="e">
        <f aca="false">$FD117*16*(AV117+AW117)*(1-$AY117)</f>
        <v>#VALUE!</v>
      </c>
      <c r="FH117" s="1554" t="n">
        <f aca="false">$FD117*8*AX117*(1-$AY117)</f>
        <v>0</v>
      </c>
      <c r="FI117" s="1555" t="n">
        <f aca="false">IF(AX117,VLOOKUP(CALC!B117,MAIN!$H$17:$K$20,4),0)</f>
        <v>0</v>
      </c>
      <c r="FJ117" s="1553" t="e">
        <f aca="false">SUM(FE117:FH117)</f>
        <v>#VALUE!</v>
      </c>
      <c r="FK117" s="1556" t="e">
        <f aca="false">FI117*FJ117</f>
        <v>#VALUE!</v>
      </c>
      <c r="FL117" s="1551" t="e">
        <f aca="false">IF($EI117&gt;0,MIN(FE117,AZ117*(1+VLOOKUP($C117,WeatherCapacityAdjustment,2))),0)</f>
        <v>#VALUE!</v>
      </c>
      <c r="FM117" s="1551" t="e">
        <f aca="false">IF($EI117&gt;0,MIN(FF117,BA117*(1+VLOOKUP($C117,WeatherCapacityAdjustment,2))),0)</f>
        <v>#VALUE!</v>
      </c>
      <c r="FN117" s="1551" t="e">
        <f aca="false">IF($EI117&gt;0,MIN(FG117,BB117*(1+VLOOKUP($C117,WeatherCapacityAdjustment,2))),0)</f>
        <v>#VALUE!</v>
      </c>
      <c r="FO117" s="1564" t="e">
        <f aca="false">IF($EI117&gt;0,MIN(FH117,BC117*(1+VLOOKUP($C117,WeatherCapacityAdjustment,3))),0)</f>
        <v>#VALUE!</v>
      </c>
      <c r="FP117" s="1551" t="e">
        <f aca="false">IF(ET117&gt;0,MIN(FE117-FL117,BH117*(1+VLOOKUP($C117,WeatherCapacityAdjustment,2))),0)</f>
        <v>#VALUE!</v>
      </c>
      <c r="FQ117" s="1551" t="e">
        <f aca="false">IF(EU117&gt;0,MIN(FF117-FM117,BI117*(1+VLOOKUP($C117,WeatherCapacityAdjustment,2))),0)</f>
        <v>#VALUE!</v>
      </c>
      <c r="FR117" s="1551" t="e">
        <f aca="false">IF(EV117&gt;0,MIN(FG117-FN117,BJ117*(1+VLOOKUP($C117,WeatherCapacityAdjustment,2))),0)</f>
        <v>#VALUE!</v>
      </c>
      <c r="FS117" s="1558" t="e">
        <f aca="false">IF(EW117&gt;0,MIN(FH117-FO117,BK117*(1+VLOOKUP($C117,WeatherCapacityAdjustment,3))),0)</f>
        <v>#VALUE!</v>
      </c>
      <c r="FT117" s="1566" t="e">
        <f aca="false">IF(AND(Assumptions!$H$71="Yes",A117&gt;=Assumptions!$H$72,A117&lt;=Assumptions!$H$73),0,IF(AND($A117&gt;=Assumptions!$C$17,$A117&lt;=Assumptions!$C$18),MAX(AZ117*(1+VLOOKUP($C117,WeatherCapacityAdjustment,2))-FL117,0),0))</f>
        <v>#VALUE!</v>
      </c>
      <c r="FU117" s="1551" t="e">
        <f aca="false">IF(AND(Assumptions!$H$71="Yes",A117&gt;=Assumptions!$H$72,A117&lt;=Assumptions!$H$73),0,IF(AND($A117&gt;=Assumptions!$C$17,$A117&lt;=Assumptions!$C$18),MAX(BA117*(1+VLOOKUP($C117,WeatherCapacityAdjustment,2))-FM117,0),0))</f>
        <v>#VALUE!</v>
      </c>
      <c r="FV117" s="1551" t="e">
        <f aca="false">IF(AND(Assumptions!$H$71="Yes",A117&gt;=Assumptions!$H$72,A117&lt;=Assumptions!$H$73),0,IF(AND($A117&gt;=Assumptions!$C$17,$A117&lt;=Assumptions!$C$18),MAX(BB117*(1+VLOOKUP($C117,WeatherCapacityAdjustment,2))-FN117,0),0))</f>
        <v>#VALUE!</v>
      </c>
      <c r="FW117" s="1564" t="e">
        <f aca="false">IF(AND(Assumptions!$H$71="Yes",A117&gt;=Assumptions!$H$72,A117&lt;=Assumptions!$H$73),0,IF(AND($A117&gt;=Assumptions!$C$17,$A117&lt;=Assumptions!$C$18),MAX(BC117*(1+VLOOKUP($C117,WeatherCapacityAdjustment,3))-FO117,0),0))</f>
        <v>#VALUE!</v>
      </c>
      <c r="FX117" s="1569" t="e">
        <f aca="false">IF(AND(Assumptions!$H$71="Yes",A117&gt;=Assumptions!$H$72,A117&lt;=Assumptions!$H$73),0,IF(ET117&gt;0,MAX(BH117*(1+VLOOKUP($C117,WeatherCapacityAdjustment,2))-FP117,0),0))</f>
        <v>#VALUE!</v>
      </c>
      <c r="FY117" s="1551" t="e">
        <f aca="false">IF(AND(Assumptions!$H$71="Yes",A117&gt;=Assumptions!$H$72,A117&lt;=Assumptions!$H$73),0,IF(EU117&gt;0,MAX(BI117*(1+VLOOKUP($C117,WeatherCapacityAdjustment,3))-FQ117,0),0))</f>
        <v>#VALUE!</v>
      </c>
      <c r="FZ117" s="1551" t="e">
        <f aca="false">IF(AND(Assumptions!$H$71="Yes",A117&gt;=Assumptions!$H$72,A117&lt;=Assumptions!$H$73),0,IF(EV117&gt;0,MAX(BJ117*(1+VLOOKUP($C117,WeatherCapacityAdjustment,2))-FR117,0),0))</f>
        <v>#VALUE!</v>
      </c>
      <c r="GA117" s="1564" t="e">
        <f aca="false">IF(AND(Assumptions!$H$71="Yes",A117&gt;=Assumptions!$H$72,A117&lt;=Assumptions!$H$73),0,IF(EW117&gt;0,MAX(BK117*(1+VLOOKUP($C117,WeatherCapacityAdjustment,2))-FS117,0),0))</f>
        <v>#VALUE!</v>
      </c>
      <c r="GB117" s="1551" t="e">
        <f aca="false">SUM(FT117:GA117)</f>
        <v>#VALUE!</v>
      </c>
      <c r="GC117" s="1563" t="e">
        <f aca="false">+IF(SUM(FT117:GA117)=0,0,(SUMPRODUCT(BU117:BX117,FT117:FW117)+SUMPRODUCT(CA117:CD117,FX117:GA117))/SUM(FT117:GA117))</f>
        <v>#VALUE!</v>
      </c>
      <c r="GD117" s="1551" t="e">
        <f aca="false">(FT117*BU117+FX117*CA117+FU117*BV117+FY117*CB117+FV117*BW117+FZ117*CC117+FW117*BX117+GA117*CD117)</f>
        <v>#VALUE!</v>
      </c>
      <c r="GE117" s="1561" t="e">
        <f aca="false">+IF(BQ117,((FL117+FM117+FT117+FU117)*HeatRatePeak/1000*(1+VLOOKUP($C117,WeatherHeatRateAdjustment,2))+(FN117+FV117)*IF(EV117&gt;0,HeatRatePeak,HeatRateOffPeak)/1000*(1+VLOOKUP($C117,WeatherHeatRateAdjustment,2))+(FO117+FW117)*IF(EW117&gt;0,HeatRatePeak,HeatRateOffPeak)/1000*(1+VLOOKUP($C117,WeatherHeatRateAdjustment,3)))*(1+VLOOKUP($B117,HeatRateDegradation,$C117+1)),0)</f>
        <v>#VALUE!</v>
      </c>
      <c r="GF117" s="1562" t="e">
        <f aca="false">IF(BQ117,((FP117+FQ117+FR117+FX117+FY117+FZ117)*HeatRatePeak/1000*(1+VLOOKUP($C117,WeatherHeatRateAdjustment,2))+(FS117+GA117)*HeatRatePeak/1000*(1+VLOOKUP($C117,WeatherHeatRateAdjustment,3)))*(1+VLOOKUP($B117,HeatRateDegradation,$C117+1)),0)</f>
        <v>#VALUE!</v>
      </c>
      <c r="GG117" s="1563" t="e">
        <f aca="false">IF(BQ117,VLOOKUP(A117,GasTable,13),0)</f>
        <v>#VALUE!</v>
      </c>
      <c r="GH117" s="1564" t="e">
        <f aca="false">(GE117+GF117)*GG117</f>
        <v>#VALUE!</v>
      </c>
      <c r="GI117" s="1569" t="e">
        <f aca="false">GB117</f>
        <v>#VALUE!</v>
      </c>
      <c r="GJ117" s="1598" t="e">
        <f aca="false">+DA117</f>
        <v>#VALUE!</v>
      </c>
      <c r="GK117" s="1558" t="e">
        <f aca="false">+GI117*GJ117</f>
        <v>#VALUE!</v>
      </c>
      <c r="GL117" s="1566" t="e">
        <f aca="false">MAX(FE117-FL117-FP117,0)</f>
        <v>#VALUE!</v>
      </c>
      <c r="GM117" s="1551" t="e">
        <f aca="false">MAX(FF117-FM117-FQ117,0)</f>
        <v>#VALUE!</v>
      </c>
      <c r="GN117" s="1551" t="e">
        <f aca="false">MAX(FG117-FN117-FR117,0)</f>
        <v>#VALUE!</v>
      </c>
      <c r="GO117" s="1564" t="e">
        <f aca="false">MAX(FH117-FO117-FS117,0)</f>
        <v>#VALUE!</v>
      </c>
      <c r="GP117" s="1551" t="e">
        <f aca="false">SUM(GL117:GO117)</f>
        <v>#VALUE!</v>
      </c>
      <c r="GQ117" s="1563" t="e">
        <f aca="false">IF(SUM(GL117:GO117)=0,0,((GL117*BU117+GM117*BV117+GN117*BW117+GO117*BX117)/SUM(GL117:GO117)))</f>
        <v>#VALUE!</v>
      </c>
      <c r="GR117" s="1558" t="e">
        <f aca="false">(GL117*BU117+GM117*BV117+GN117*BW117+GO117*BX117)</f>
        <v>#VALUE!</v>
      </c>
      <c r="GS117" s="1566" t="n">
        <f aca="false">IF($A117&gt;=BegDate,Assumptions!$C$56*24*($A118-$A117)*(1-VLOOKUP($B117,MAIN!$AA$7:$AM$28,$C117+1))*(1-VLOOKUP($B117,MAIN!$AA$33:$AM$54,$C117+1)),0)*80/168</f>
        <v>249428.571428571</v>
      </c>
      <c r="GT117" s="286" t="n">
        <f aca="false">J117</f>
        <v>67.9780369626181</v>
      </c>
      <c r="GU117" s="286" t="n">
        <f aca="false">IF($A117&gt;=BegDate,VLOOKUP($A117,GasTable,13)+Assumptions!$C$58,0)</f>
        <v>2.88188937561208</v>
      </c>
      <c r="GV117" s="286" t="n">
        <f aca="false">GU117*Assumptions!$C$57/1000</f>
        <v>20.8936979731876</v>
      </c>
      <c r="GW117" s="1558" t="n">
        <f aca="false">IF(Assumptions!$C$60="Hourly",MAX(0,GS117*(GT117-GV117)),GS117*(GT117-GV117))</f>
        <v>11744179.4107922</v>
      </c>
      <c r="GX117" s="1566" t="n">
        <f aca="false">IF($A117&gt;=BegDate,Assumptions!$C$56*24*($A118-$A117)*(1-VLOOKUP($B117,MAIN!$AA$7:$AM$28,$C117+1))*(1-VLOOKUP($B117,MAIN!$AA$33:$AM$54,$C117+1)),0)*16/168</f>
        <v>49885.7142857143</v>
      </c>
      <c r="GY117" s="286" t="n">
        <f aca="false">M117</f>
        <v>67.9780369626181</v>
      </c>
      <c r="GZ117" s="286" t="n">
        <f aca="false">IF($A117&gt;=BegDate,VLOOKUP($A117,GasTable,13)+Assumptions!$C$58,0)</f>
        <v>2.88188937561208</v>
      </c>
      <c r="HA117" s="286" t="n">
        <f aca="false">GZ117*Assumptions!$C$57/1000</f>
        <v>20.8936979731876</v>
      </c>
      <c r="HB117" s="1558" t="n">
        <f aca="false">IF(Assumptions!$C$60="Hourly",MAX(0,GX117*(GY117-HA117)),GX117*(GY117-HA117))</f>
        <v>2348835.88215845</v>
      </c>
      <c r="HC117" s="1566" t="n">
        <f aca="false">IF($A117&gt;=BegDate,Assumptions!$C$56*24*($A118-$A117)*(1-VLOOKUP($B117,MAIN!$AA$7:$AM$28,$C117+1))*(1-VLOOKUP($B117,MAIN!$AA$33:$AM$54,$C117+1)),0)*16/168</f>
        <v>49885.7142857143</v>
      </c>
      <c r="HD117" s="286" t="n">
        <f aca="false">P117</f>
        <v>29.4631326243735</v>
      </c>
      <c r="HE117" s="286" t="n">
        <f aca="false">IF($A117&gt;=BegDate,VLOOKUP($A117,GasTable,13)+Assumptions!$C$58,0)</f>
        <v>2.88188937561208</v>
      </c>
      <c r="HF117" s="286" t="n">
        <f aca="false">HE117*Assumptions!$C$57/1000</f>
        <v>20.8936979731876</v>
      </c>
      <c r="HG117" s="1558" t="n">
        <f aca="false">IF(Assumptions!$C$60="Hourly",MAX(0,HC117*(HD117-HF117)),HC117*(HD117-HF117))</f>
        <v>427492.36859916</v>
      </c>
      <c r="HH117" s="1566" t="n">
        <f aca="false">IF($A117&gt;=BegDate,Assumptions!$C$56*24*($A118-$A117)*(1-VLOOKUP($B117,MAIN!$AA$7:$AM$28,$C117+1))*(1-VLOOKUP($B117,MAIN!$AA$33:$AM$54,$C117+1)),0)*56/168</f>
        <v>174600</v>
      </c>
      <c r="HI117" s="286" t="n">
        <f aca="false">S117</f>
        <v>29.4631326243735</v>
      </c>
      <c r="HJ117" s="286" t="n">
        <f aca="false">IF($A117&gt;=BegDate,VLOOKUP($A117,GasTable,13)+Assumptions!$C$58,0)</f>
        <v>2.88188937561208</v>
      </c>
      <c r="HK117" s="286" t="n">
        <f aca="false">HJ117*Assumptions!$C$57/1000</f>
        <v>20.8936979731876</v>
      </c>
      <c r="HL117" s="1558" t="n">
        <f aca="false">IF(Assumptions!$C$60="Hourly",MAX(0,HH117*(HI117-HK117)),HH117*(HI117-HK117))</f>
        <v>1496223.29009706</v>
      </c>
      <c r="HM117" s="1566" t="n">
        <f aca="false">IF(AND(Assumptions!$H$71="Yes",A117&gt;=Assumptions!$H$72,A117&lt;=Assumptions!$H$73),Assumptions!$H$74*Assumptions!$C$9*1000,0)</f>
        <v>0</v>
      </c>
      <c r="HN117" s="1551"/>
      <c r="HO117" s="1563"/>
      <c r="HP117" s="1563"/>
      <c r="HQ117" s="1563"/>
      <c r="HR117" s="1563"/>
      <c r="HS117" s="1563"/>
      <c r="HT117" s="1563"/>
      <c r="HU117" s="1563"/>
      <c r="HV117" s="1563"/>
      <c r="HW117" s="1563"/>
      <c r="HX117" s="1563"/>
      <c r="HY117" s="1563"/>
      <c r="HZ117" s="1563"/>
      <c r="IA117" s="1563"/>
      <c r="IB117" s="1563"/>
      <c r="IC117" s="1563"/>
      <c r="ID117" s="1563"/>
      <c r="IE117" s="1563"/>
      <c r="IF117" s="1563"/>
      <c r="IG117" s="1563"/>
      <c r="IH117" s="1563"/>
      <c r="II117" s="1610"/>
      <c r="IJ117" s="1309"/>
      <c r="IK117" s="1309"/>
    </row>
    <row r="118" customFormat="false" ht="12.75" hidden="false" customHeight="false" outlineLevel="0" collapsed="false">
      <c r="A118" s="1571" t="n">
        <f aca="false">EOMONTH(A117,0)+1</f>
        <v>39722</v>
      </c>
      <c r="B118" s="594" t="n">
        <f aca="false">+YEAR(A118)</f>
        <v>2008</v>
      </c>
      <c r="C118" s="238" t="n">
        <f aca="false">MONTH(A118)</f>
        <v>10</v>
      </c>
      <c r="D118" s="1572" t="e">
        <f aca="false">IF(E118="","",Holiday(B118,C118))</f>
        <v>#VALUE!</v>
      </c>
      <c r="E118" s="1573" t="n">
        <f aca="false">IF(OR(BegDate&gt;=A119,EndDate&lt;A118,AND(VolumeMonthlyOverFlag,INDEX(VolumeMonthlyOver,C118)=0),NOT(INDEX(MonthKnockOutTable,C118))),"",MAX(A118,BegDate))</f>
        <v>39722</v>
      </c>
      <c r="F118" s="1574" t="n">
        <f aca="false">IF(E118="","",MIN(A119-1,EndDate))</f>
        <v>39752</v>
      </c>
      <c r="G118" s="1575" t="n">
        <v>0</v>
      </c>
      <c r="H118" s="1576" t="n">
        <f aca="false">(1+G118/2)^(-2*(DATE(B119,C119,20)-DateToday)/365.25)</f>
        <v>1</v>
      </c>
      <c r="I118" s="1568" t="n">
        <f aca="false">IF(Assumptions!$L$25=4,VLOOKUP($A118,'Henwood Reference'!$E$9:$R$320,10),(VLOOKUP($A118,PriceTable,2,0)+IF(BasisNumber&lt;&gt;1,VLOOKUP($A118,BasisTable,2,0),0)+I$1)/(1-I$2))</f>
        <v>45.932797045308</v>
      </c>
      <c r="J118" s="1568" t="n">
        <f aca="false">IF(Assumptions!$L$25=4,VLOOKUP($A118,'Henwood Reference'!$E$9:$R$320,10),(VLOOKUP($A118,PriceTable,3,0)+IF(BasisNumber&lt;&gt;1,VLOOKUP($A118,BasisTable,2,0),0)+J$1)/(1-J$2))</f>
        <v>45.932797045308</v>
      </c>
      <c r="K118" s="1568" t="n">
        <f aca="false">IF(Assumptions!$L$25=4,VLOOKUP($A118,'Henwood Reference'!$E$9:$R$320,10),(VLOOKUP($A118,PriceTable,4,0)+IF(BasisNumber&lt;&gt;1,VLOOKUP($A118,BasisTable,2,0),0)+K$1)/(1-K$2))</f>
        <v>45.932797045308</v>
      </c>
      <c r="L118" s="1523" t="n">
        <f aca="false">IF(Assumptions!$L$25=4,VLOOKUP($A118,'Henwood Reference'!$E$9:$R$320,10),(VLOOKUP($A118,PriceTableWeekend,2,0)+IF(BasisNumber&lt;&gt;1,VLOOKUP($A118,BasisTable,2,0),0)+L$1)/(1-L$2))</f>
        <v>45.932797045308</v>
      </c>
      <c r="M118" s="1568" t="n">
        <f aca="false">IF(Assumptions!$L$25=4,VLOOKUP($A118,'Henwood Reference'!$E$9:$R$320,10),(VLOOKUP($A118,PriceTableWeekend,3,0)+IF(BasisNumber&lt;&gt;1,VLOOKUP($A118,BasisTable,2,0),0)+M$1)/(1-M$2))</f>
        <v>45.932797045308</v>
      </c>
      <c r="N118" s="1599" t="n">
        <f aca="false">IF(Assumptions!$L$25=4,VLOOKUP($A118,'Henwood Reference'!$E$9:$R$320,10),(VLOOKUP($A118,PriceTableWeekend,4,0)+IF(BasisNumber&lt;&gt;1,VLOOKUP($A118,BasisTable,2,0),0)+N$1)/(1-N$2))</f>
        <v>45.932797045308</v>
      </c>
      <c r="O118" s="1568" t="n">
        <f aca="false">IF(Assumptions!$L$25=4,VLOOKUP($A118,'Henwood Reference'!$E$9:$R$320,11),(VLOOKUP($A118,PriceTableWeekend,6,0)+IF(BasisNumber&lt;&gt;1,VLOOKUP($A118,BasisTable,3,0),0)+O$1)/(1-O$2))</f>
        <v>25.4971827856189</v>
      </c>
      <c r="P118" s="1568" t="n">
        <f aca="false">IF(Assumptions!$L$25=4,VLOOKUP($A118,'Henwood Reference'!$E$9:$R$320,11),(VLOOKUP($A118,PriceTableWeekend,7,0)+IF(BasisNumber&lt;&gt;1,VLOOKUP($A118,BasisTable,3,0),0)+P$1)/(1-P$2))</f>
        <v>25.4971827856189</v>
      </c>
      <c r="Q118" s="1599" t="n">
        <f aca="false">IF(Assumptions!$L$25=4,VLOOKUP($A118,'Henwood Reference'!$E$9:$R$320,11),(VLOOKUP($A118,PriceTableWeekend,8,0)+IF(BasisNumber&lt;&gt;1,VLOOKUP($A118,BasisTable,3,0),0)+Q$1)/(1-Q$2))</f>
        <v>25.4971827856189</v>
      </c>
      <c r="R118" s="1568" t="n">
        <f aca="false">IF(Assumptions!$L$25=4,VLOOKUP($A118,'Henwood Reference'!$E$9:$R$320,11),(VLOOKUP($A118,PriceTable,6,0)+IF(BasisNumber&lt;&gt;1,VLOOKUP($A118,BasisTable,3,0),0)+R$1)/(1-R$2))</f>
        <v>25.4971827856189</v>
      </c>
      <c r="S118" s="1568" t="n">
        <f aca="false">IF(Assumptions!$L$25=4,VLOOKUP($A118,'Henwood Reference'!$E$9:$R$320,11),(VLOOKUP($A118,PriceTable,7,0)+IF(BasisNumber&lt;&gt;1,VLOOKUP($A118,BasisTable,3,0),0)+S$1)/(1-S$2))</f>
        <v>25.4971827856189</v>
      </c>
      <c r="T118" s="1600" t="n">
        <f aca="false">IF(Assumptions!$L$25=4,VLOOKUP($A118,'Henwood Reference'!$E$9:$R$320,11),(VLOOKUP($A118,PriceTable,8,0)+IF(BasisNumber&lt;&gt;1,VLOOKUP($A118,BasisTable,3,0),0)+T$1)/(1-T$2))</f>
        <v>25.4971827856189</v>
      </c>
      <c r="U118" s="1513" t="n">
        <f aca="false">VLOOKUP($A118,VolatilityTable,14)</f>
        <v>0.13</v>
      </c>
      <c r="V118" s="1513" t="n">
        <f aca="false">VLOOKUP($A118,VolatilityTable,15)</f>
        <v>0.14</v>
      </c>
      <c r="W118" s="1514" t="n">
        <f aca="false">VLOOKUP($A118,VolatilityTable,16)</f>
        <v>0.15</v>
      </c>
      <c r="X118" s="1513" t="n">
        <f aca="false">VLOOKUP($A118,VolatilityTable,14)</f>
        <v>0.13</v>
      </c>
      <c r="Y118" s="1513" t="n">
        <f aca="false">VLOOKUP($A118,VolatilityTable,15)</f>
        <v>0.14</v>
      </c>
      <c r="Z118" s="1514" t="n">
        <f aca="false">VLOOKUP($A118,VolatilityTable,16)</f>
        <v>0.15</v>
      </c>
      <c r="AA118" s="1513" t="n">
        <f aca="false">VLOOKUP($A118,VolatilityTable,18)</f>
        <v>0.09</v>
      </c>
      <c r="AB118" s="1513" t="n">
        <f aca="false">VLOOKUP($A118,VolatilityTable,19)</f>
        <v>0.11</v>
      </c>
      <c r="AC118" s="1514" t="n">
        <f aca="false">VLOOKUP($A118,VolatilityTable,20)</f>
        <v>0.13</v>
      </c>
      <c r="AD118" s="1513" t="n">
        <f aca="false">VLOOKUP($A118,VolatilityTable,18)</f>
        <v>0.09</v>
      </c>
      <c r="AE118" s="1513" t="n">
        <f aca="false">VLOOKUP($A118,VolatilityTable,19)</f>
        <v>0.11</v>
      </c>
      <c r="AF118" s="1514" t="n">
        <f aca="false">VLOOKUP($A118,VolatilityTable,20)</f>
        <v>0.13</v>
      </c>
      <c r="AG118" s="1513" t="n">
        <f aca="false">VLOOKUP($A118,VolatilityTable,22)</f>
        <v>-0.1</v>
      </c>
      <c r="AH118" s="1513" t="n">
        <f aca="false">VLOOKUP($A118,VolatilityTable,23)</f>
        <v>0.6</v>
      </c>
      <c r="AI118" s="1514" t="n">
        <f aca="false">VLOOKUP($A118,VolatilityTable,24)</f>
        <v>0.1</v>
      </c>
      <c r="AJ118" s="1513" t="n">
        <f aca="false">VLOOKUP($A118,VolatilityTable,22)</f>
        <v>-0.1</v>
      </c>
      <c r="AK118" s="1513" t="n">
        <f aca="false">VLOOKUP($A118,VolatilityTable,23)</f>
        <v>0.6</v>
      </c>
      <c r="AL118" s="1514" t="n">
        <f aca="false">VLOOKUP($A118,VolatilityTable,24)</f>
        <v>0.1</v>
      </c>
      <c r="AM118" s="1513" t="n">
        <f aca="false">VLOOKUP($A118,VolatilityTable,26)</f>
        <v>-0.01</v>
      </c>
      <c r="AN118" s="1513" t="n">
        <f aca="false">VLOOKUP($A118,VolatilityTable,27)</f>
        <v>0.16</v>
      </c>
      <c r="AO118" s="1514" t="n">
        <f aca="false">VLOOKUP($A118,VolatilityTable,28)</f>
        <v>0.01</v>
      </c>
      <c r="AP118" s="1513" t="n">
        <f aca="false">VLOOKUP($A118,VolatilityTable,26)</f>
        <v>-0.01</v>
      </c>
      <c r="AQ118" s="1513" t="n">
        <f aca="false">VLOOKUP($A118,VolatilityTable,27)</f>
        <v>0.16</v>
      </c>
      <c r="AR118" s="1515" t="n">
        <f aca="false">VLOOKUP($A118,VolatilityTable,28)</f>
        <v>0.01</v>
      </c>
      <c r="AS118" s="1581" t="n">
        <f aca="false">IF(CorrPeakOffPeakOverFlag,INDEX(CorrPeakOffPeakOver,C118),CorrPeakOffPeak)</f>
        <v>0.5</v>
      </c>
      <c r="AT118" s="594" t="e">
        <f aca="false">AX118-SUM(AU118:AW118)</f>
        <v>#VALUE!</v>
      </c>
      <c r="AU118" s="238" t="e">
        <f aca="false">IF(E118="",0,INT((F118-MOD(F118,7)-E118)/7)+1-IF(AW118,IF(WEEKDAY(D118)=7,1,0),0))</f>
        <v>#VALUE!</v>
      </c>
      <c r="AV118" s="238" t="e">
        <f aca="false">IF(E118="",0,INT((F118-MOD(F118-1,7)-E118)/7)+1-IF(AW118,IF(WEEKDAY(D118)=1,1,0),0))</f>
        <v>#VALUE!</v>
      </c>
      <c r="AW118" s="238" t="e">
        <f aca="false">IF(OR(E118="",D118="",D118&lt;BegDate,D118&gt;EndDate),0,1)</f>
        <v>#VALUE!</v>
      </c>
      <c r="AX118" s="238" t="n">
        <f aca="false">IF(E118="",0,F118-E118+1)</f>
        <v>31</v>
      </c>
      <c r="AY118" s="1582" t="n">
        <f aca="false">IF(E118="",0,MIN((1-(1-VLOOKUP(B118,MAIN!$AA$7:$AM$28,C118+1))*(1-VLOOKUP(B118,MAIN!$AA$33:$AM$54,C118+1))),1))</f>
        <v>0.03</v>
      </c>
      <c r="AZ118" s="1519" t="e">
        <v>#VALUE!</v>
      </c>
      <c r="BA118" s="1520" t="e">
        <v>#VALUE!</v>
      </c>
      <c r="BB118" s="1520" t="e">
        <v>#VALUE!</v>
      </c>
      <c r="BC118" s="1583" t="e">
        <v>#VALUE!</v>
      </c>
      <c r="BD118" s="1522" t="e">
        <v>#VALUE!</v>
      </c>
      <c r="BE118" s="1523" t="e">
        <v>#VALUE!</v>
      </c>
      <c r="BF118" s="1523" t="e">
        <v>#VALUE!</v>
      </c>
      <c r="BG118" s="1584" t="e">
        <v>#VALUE!</v>
      </c>
      <c r="BH118" s="1525" t="e">
        <v>#VALUE!</v>
      </c>
      <c r="BI118" s="1520" t="e">
        <v>#VALUE!</v>
      </c>
      <c r="BJ118" s="1520" t="e">
        <v>#VALUE!</v>
      </c>
      <c r="BK118" s="1583" t="e">
        <v>#VALUE!</v>
      </c>
      <c r="BL118" s="1522" t="e">
        <v>#VALUE!</v>
      </c>
      <c r="BM118" s="1523" t="e">
        <v>#VALUE!</v>
      </c>
      <c r="BN118" s="1523" t="e">
        <v>#VALUE!</v>
      </c>
      <c r="BO118" s="1523" t="e">
        <v>#VALUE!</v>
      </c>
      <c r="BP118" s="1525" t="e">
        <f aca="false">SUM(AZ118:BB118)</f>
        <v>#VALUE!</v>
      </c>
      <c r="BQ118" s="1529" t="e">
        <f aca="false">SUM(AZ118:BC118)</f>
        <v>#VALUE!</v>
      </c>
      <c r="BR118" s="1519" t="e">
        <f aca="false">SUM(BH118:BJ118)</f>
        <v>#VALUE!</v>
      </c>
      <c r="BS118" s="1529" t="e">
        <f aca="false">SUM(BH118:BK118)</f>
        <v>#VALUE!</v>
      </c>
      <c r="BT118" s="1316" t="n">
        <f aca="false">(IF(OVolType&lt;&gt;2,A118+14,IF(OptExpDateShift,ShiftBack(A118,OptExpDateShift,D117),A118))-DateToday)/365.25</f>
        <v>8.46543463381246</v>
      </c>
      <c r="BU118" s="1585" t="e">
        <f aca="false">IF(BQ118,IF(OPriceCurve,IF(OBuySell=OCallPut,I118/(1-AY118),K118/(1-AY118)),J118/(1-AY118))*BD118,0)</f>
        <v>#VALUE!</v>
      </c>
      <c r="BV118" s="1316" t="e">
        <f aca="false">IF(BQ118,IF(OPriceCurve,IF(OBuySell=OCallPut,L118/(1-AY118),N118/(1-AY118)),M118/(1-AY118))*BE118,0)</f>
        <v>#VALUE!</v>
      </c>
      <c r="BW118" s="1316" t="e">
        <f aca="false">IF(BQ118,IF(OPriceCurve,IF(OBuySell=OCallPut,O118/(1-AY118),Q118/(1-AY118)),P118/(1-AY118))*BF118,0)</f>
        <v>#VALUE!</v>
      </c>
      <c r="BX118" s="1316" t="e">
        <f aca="false">IF(BQ118,IF(OPriceCurve,IF(OBuySell=OCallPut,R118/(1-AY118),T118/(1-AY118)),S118/(1-AY118))*BG118,0)</f>
        <v>#VALUE!</v>
      </c>
      <c r="BY118" s="1316" t="e">
        <f aca="false">IF(BP118,(BU118*AZ118+BV118*BA118+BW118*BB118)/BP118,0)</f>
        <v>#VALUE!</v>
      </c>
      <c r="BZ118" s="1316" t="e">
        <f aca="false">IF(BQ118,(BY118*BP118+BX118*BC118)/BQ118,0)</f>
        <v>#VALUE!</v>
      </c>
      <c r="CA118" s="1531" t="e">
        <f aca="false">IF(BS118,IF(OPriceCurve,IF(OBuySell=OCallPut,I118/(1-AY118),K118/(1-AY118)),J118/(1-AY118))*BL118,0)</f>
        <v>#VALUE!</v>
      </c>
      <c r="CB118" s="1316" t="e">
        <f aca="false">IF(BS118,IF(OPriceCurve,IF(OBuySell=OCallPut,L118/(1-AY118),N118/(1-AY118)),M118/(1-AY118))*BM118,0)</f>
        <v>#VALUE!</v>
      </c>
      <c r="CC118" s="1316" t="e">
        <f aca="false">IF(BS118,IF(OPriceCurve,IF(OBuySell=OCallPut,O118/(1-AY118),Q118/(1-AY118)),P118/(1-AY118))*BN118,0)</f>
        <v>#VALUE!</v>
      </c>
      <c r="CD118" s="1316" t="e">
        <f aca="false">IF(BS118,IF(OPriceCurve,IF(OBuySell=OCallPut,R118/(1-AY118),T118/(1-AY118)),S118/(1-AY118))*BO118,0)</f>
        <v>#VALUE!</v>
      </c>
      <c r="CE118" s="1316" t="e">
        <f aca="false">IF(BR118,(BU118*BH118+BV118*BI118+BW118*BJ118)/BR118,0)</f>
        <v>#VALUE!</v>
      </c>
      <c r="CF118" s="1532" t="e">
        <f aca="false">IF(BS118,(CE118*BR118+CD118*BK118)/BS118,0)</f>
        <v>#VALUE!</v>
      </c>
      <c r="CG118" s="1586" t="e">
        <f aca="false">IF(OR(BQ118,BS118),IF(OVolType&lt;&gt;2,SQRT(IF(OVolOverMonthlyPeak,OVolOverMonthlyPeak,IF(OVolCurve,IF(OBuySell,U118,W118),V118))^2*(1-15/365.25/BT118)+IF(OVolOverDailyPeak,OVolOverDailyPeak,IF(OVolCurve,IF(OBuySell,AG118,AI118),AH118))^2*15/365.25/BT118),IF(OVolOverMonthlyPeak,OVolOverMonthlyPeak,IF(OVolCurve,IF(OBuySell,U118,W118),V118))),"")</f>
        <v>#VALUE!</v>
      </c>
      <c r="CH118" s="1587" t="e">
        <f aca="false">IF(OR(BQ118,BS118),IF(OVolType&lt;&gt;2,SQRT(IF(OVolOverMonthlyPeak,OVolOverMonthlyPeak,IF(OVolCurve,IF(OBuySell,X118,Z118),Y118))^2*(1-15/365.25/BT118)+IF(OVolOverDailyPeak,OVolOverDailyPeak,IF(OVolCurve,IF(OBuySell,AJ118,AL118),AK118))^2*15/365.25/BT118),IF(OVolOverMonthlyPeak,OVolOverMonthlyPeak,IF(OVolCurve,IF(OBuySell,X118,Z118),Y118))),"")</f>
        <v>#VALUE!</v>
      </c>
      <c r="CI118" s="1587" t="e">
        <f aca="false">IF(OR(BQ118,BS118),IF(OVolType&lt;&gt;2,SQRT(IF(OVolOverMonthlyPeak,OVolOverMonthlyPeak,IF(OVolCurve,IF(OBuySell,AA118,AC118),AB118))^2*(1-15/365.25/BT118)+IF(OVolOverDailyPeak,OVolOverDailyPeak,IF(OVolCurve,IF(OBuySell,AM118,AO118),AN118))^2*15/365.25/BT118),IF(OVolOverMonthlyPeak,OVolOverMonthlyPeak,IF(OVolCurve,IF(OBuySell,AA118,AC118),AB118))),"")</f>
        <v>#VALUE!</v>
      </c>
      <c r="CJ118" s="1587" t="e">
        <f aca="false">IF(BQ118,IF(BP118,SQRT(LN(1+((BU118*AZ118)^2*(EXP(CG118^2*BT118)-1)+(BV118*BA118)^2*(EXP(CH118^2*BT118)-1)+(BW118*BB118)^2*(EXP(CI118^2*BT118)-1)+2*BU118*AZ118*BV118*BA118*(EXP(CG118*CH118*BT118)-1)+2*BV118*BA118*BW118*BB118*(EXP(CH118*CI118*BT118)-1)+2*BW118*BB118*BU118*AZ118*(EXP(CI118*CG118*BT118)-1))/(BY118*BP118)^2)/BT118),0),"")</f>
        <v>#VALUE!</v>
      </c>
      <c r="CK118" s="1587" t="e">
        <f aca="false">IF(BS118,IF(BR118,SQRT(LN(1+((CA118*BH118)^2*(EXP(CG118^2*BT118)-1)+(CB118*BI118)^2*(EXP(CH118^2*BT118)-1)+(CC118*BJ118)^2*(EXP(CI118^2*BT118)-1)+2*CA118*BH118*CB118*BI118*(EXP(CG118*CH118*BT118)-1)+2*CB118*BI118*CC118*BJ118*(EXP(CH118*CI118*BT118)-1)+2*CC118*BJ118*CA118*BH118*(EXP(CI118*CG118*BT118)-1))/(CE118*BR118)^2)/BT118),0),"")</f>
        <v>#VALUE!</v>
      </c>
      <c r="CL118" s="1587" t="e">
        <f aca="false">IF(OR(BQ118,BS118),IF(OVolType&lt;&gt;2,SQRT(IF(OVolOverMonthlyOffPeak,OVolOverMonthlyOffPeak,IF(OVolCurve,IF(OBuySell,AD118,AF118),AE118))^2*(1-15/365.25/BT118)+IF(OVolOverDailyOffPeak,OVolOverDailyOffPeak,IF(OVolCurve,IF(OBuySell,AP118,AR118),AQ118))^2*15/365.25/BT118),IF(OVolOverMonthlyOffPeak,OVolOverMonthlyOffPeak,IF(OVolCurve,IF(OBuySell,AD118,AF118),AE118))),"")</f>
        <v>#VALUE!</v>
      </c>
      <c r="CM118" s="1587" t="e">
        <f aca="false">IF(BQ118,SQRT(LN(1+((BY118*BP118)^2*(EXP(CJ118^2*BT118)-1)+(BX118*BC118)^2*(EXP(CL118^2*BT118)-1)+2*BY118*BP118*BX118*BC118*(EXP(AS118*CJ118*CL118*BT118)-1))/(BY118*BP118+BX118*BC118)^2)/BT118),"")</f>
        <v>#VALUE!</v>
      </c>
      <c r="CN118" s="1588" t="e">
        <f aca="false">IF(BS118,SQRT(LN(1+((CE118*BR118)^2*(EXP(CK118^2*BT118)-1)+(CD118*BK118)^2*(EXP(CL118^2*BT118)-1)+2*CE118*BR118*CD118*BK118*(EXP(AS118*CK118*CL118*BT118)-1))/(CE118*BR118+CD118*BK118)^2)/BT118),"")</f>
        <v>#VALUE!</v>
      </c>
      <c r="CO118" s="1531" t="e">
        <f aca="false">IF(OR(BQ118,BS118),VLOOKUP(A118,GasTable,13)*HeatRatePeak*(1+VLOOKUP($B118,HeatRateDegradation,$C118+1))/1000,0)</f>
        <v>#VALUE!</v>
      </c>
      <c r="CP118" s="1316" t="e">
        <f aca="false">IF(OR(BQ118,BS118),VLOOKUP(A118,GasTable,13)*HeatRatePeak*(1+VLOOKUP($B118,HeatRateDegradation,$C118+1))/1000,0)</f>
        <v>#VALUE!</v>
      </c>
      <c r="CQ118" s="1316" t="e">
        <f aca="false">IF(OR(BQ118,BS118),VLOOKUP(A118,GasTable,13)*IF(EV118,HeatRatePeak,HeatRateOffPeak)*(1+VLOOKUP($B118,HeatRateDegradation,$C118+1))/1000,0)</f>
        <v>#VALUE!</v>
      </c>
      <c r="CR118" s="1316" t="e">
        <f aca="false">IF(OR(BQ118,BS118),VLOOKUP(A118,GasTable,13)*IF(EW118,HeatRatePeak,HeatRateOffPeak)*(1+VLOOKUP($B118,HeatRateDegradation,$C118+1))/1000,0)</f>
        <v>#VALUE!</v>
      </c>
      <c r="CS118" s="1589" t="e">
        <f aca="false">IF(BQ118,(CO118*AZ118+CP118*BA118+CQ118*BB118+CR118*BC118)/BQ118,0)</f>
        <v>#VALUE!</v>
      </c>
      <c r="CT118" s="1316" t="e">
        <f aca="false">IF(BS118,CO118,0)</f>
        <v>#VALUE!</v>
      </c>
      <c r="CU118" s="1590" t="e">
        <f aca="false">IF(OR(BQ118,BS118),VLOOKUP(A118,GasTable,14),"")</f>
        <v>#VALUE!</v>
      </c>
      <c r="CV118" s="1568" t="e">
        <f aca="false">IF(OR(BQ118,BS118),IF(CorrPowerGasOverFlag,INDEX(CorrPowerGasOver,C118),CorrPowerGas),"")</f>
        <v>#VALUE!</v>
      </c>
      <c r="CW118" s="1316" t="e">
        <f aca="false">IF(OR($BQ118,$BS118),SpreadOptPowerMargin,0)*((1+Assumptions!$C$26)^($B118-YEAR(Assumptions!$C$17)))</f>
        <v>#VALUE!</v>
      </c>
      <c r="CX118" s="1316" t="e">
        <f aca="false">IF(OR($BQ118,$BS118),SpreadOptPowerMargin,0)*((1+Assumptions!$C$26)^($B118-YEAR(Assumptions!$C$17)))</f>
        <v>#VALUE!</v>
      </c>
      <c r="CY118" s="1316" t="e">
        <f aca="false">IF(OR($BQ118,$BS118),SpreadOptPowerMargin,0)*((1+Assumptions!$C$26)^($B118-YEAR(Assumptions!$C$17)))</f>
        <v>#VALUE!</v>
      </c>
      <c r="CZ118" s="1316" t="e">
        <f aca="false">IF(OR($BQ118,$BS118),SpreadOptPowerMargin,0)*((1+Assumptions!$C$26)^($B118-YEAR(Assumptions!$C$17)))</f>
        <v>#VALUE!</v>
      </c>
      <c r="DA118" s="1591" t="e">
        <f aca="false">IF(OR(BQ118,BS118),(CW118*(AZ118+BH118)+CX118*(BA118+BI118)+CY118*(BB118+BJ118)+CZ118*(BC118+BK118))/(BQ118+BS118),0)</f>
        <v>#VALUE!</v>
      </c>
      <c r="DB118" s="1592" t="e">
        <f aca="false">IF(OR(BQ118,BS118),CG118+IF(OVolSmile,VLOOKUP(MAX(-5,CO118+CW118-BU118),IF(OVolSmile=1,VolSmileBook,VolSmileModel),2),0),"")</f>
        <v>#VALUE!</v>
      </c>
      <c r="DC118" s="1592" t="e">
        <f aca="false">IF(OR(BQ118,BS118),CH118+IF(OVolSmile,VLOOKUP(MAX(-5,CP118+CW118-BV118),IF(OVolSmile=1,VolSmileBook,VolSmileModel),2),0),"")</f>
        <v>#VALUE!</v>
      </c>
      <c r="DD118" s="1592" t="e">
        <f aca="false">IF(OR(BQ118,BS118),CI118+IF(OVolSmile,VLOOKUP(MAX(-5,CQ118+CW118-BW118),IF(OVolSmile=1,VolSmileBook,VolSmileModel),2),0),"")</f>
        <v>#VALUE!</v>
      </c>
      <c r="DE118" s="1592" t="e">
        <f aca="false">IF(OR(BQ118,BS118),CL118+IF(OVolSmile,VLOOKUP(MAX(-5,CR118+CZ118-BX118),IF(OVolSmile=1,VolSmileBook,VolSmileModel),2),0),"")</f>
        <v>#VALUE!</v>
      </c>
      <c r="DF118" s="1592" t="e">
        <f aca="false">IF(BQ118,CM118+IF(OVolSmile,VLOOKUP(MAX(-5,CS118+DA118-BZ118),IF(OVolSmile=1,VolSmileBook,VolSmileModel),2),0),"")</f>
        <v>#VALUE!</v>
      </c>
      <c r="DG118" s="1593" t="e">
        <f aca="false">IF(BS118,CN118+IF(OVolSmile,VLOOKUP(MAX(-5,CT118+DA118-CF118),IF(OVolSmile=1,VolSmileBook,VolSmileModel),2),0),"")</f>
        <v>#VALUE!</v>
      </c>
      <c r="DH118" s="1316" t="e">
        <f aca="false">IF(AND(BU118&gt;0,CO118&gt;0,DB118&gt;0,CU118&gt;0),newSPRDOPT(BU118,CO118,CW118,0,DB118,CU118,CV118,BT118*365.25,OCallPut,0),0)</f>
        <v>#VALUE!</v>
      </c>
      <c r="DI118" s="1316" t="e">
        <f aca="false">IF(AND(BV118&gt;0,CP118&gt;0,DC118&gt;0,CU118&gt;0),newSPRDOPT(BV118,CP118,CX118,0,DC118,CU118,CV118,BT118*365.25,OCallPut,0),0)</f>
        <v>#VALUE!</v>
      </c>
      <c r="DJ118" s="1316" t="e">
        <f aca="false">IF(AND(BW118&gt;0,CQ118&gt;0,DD118&gt;0,CU118&gt;0),newSPRDOPT(BW118,CQ118,CY118,0,DD118,CU118,CV118,BT118*365.25,OCallPut,0),0)</f>
        <v>#VALUE!</v>
      </c>
      <c r="DK118" s="1316" t="e">
        <f aca="false">IF(AND(BX118&gt;0,CR118&gt;0,DE118&gt;0,CU118&gt;0),newSPRDOPT(BX118,CR118,CZ118,0,DE118,CU118,CV118,BT118*365.25,OCallPut,0),0)</f>
        <v>#VALUE!</v>
      </c>
      <c r="DL118" s="1316" t="e">
        <f aca="false">IF(OVolType,IF(AND(BZ118&gt;0,CS118&gt;0,DF118&gt;0,CU118&gt;0),newSPRDOPT(BZ118,CS118,DA118,0,DF118,CU118,CV118,BT118*365.25,OCallPut,0),0),IF(BQ118,(DH118*AZ118+DI118*BA118+DJ118*BB118+DK118*BC118)/BQ118,0))</f>
        <v>#VALUE!</v>
      </c>
      <c r="DM118" s="1316"/>
      <c r="DN118" s="1316"/>
      <c r="DO118" s="1316"/>
      <c r="DP118" s="1316"/>
      <c r="DQ118" s="1316"/>
      <c r="DR118" s="1316"/>
      <c r="DS118" s="1316"/>
      <c r="DT118" s="1316"/>
      <c r="DU118" s="1316"/>
      <c r="DV118" s="1316"/>
      <c r="DW118" s="1594" t="e">
        <f aca="false">IF(AND(BW118&gt;0,CT118&gt;0,DD118&gt;0,CU118&gt;0),newSPRDOPT(BW118,CT118,CY118,0,DD118,CU118,CV118,BT118*365.25,OCallPut,0),0)</f>
        <v>#VALUE!</v>
      </c>
      <c r="DX118" s="1316" t="e">
        <f aca="false">IF(AND(BX118&gt;0,CT118&gt;0,DE118&gt;0,CU118&gt;0),newSPRDOPT(BX118,CT118,CZ118,0,DE118,CU118,CV118,BT118*365.25,OCallPut,0),0)</f>
        <v>#VALUE!</v>
      </c>
      <c r="DY118" s="1591" t="e">
        <f aca="false">IF(BS118,(DH118*BH118+DI118*BI118+DW118*BJ118+DX118*BK118)/BS118,0)</f>
        <v>#VALUE!</v>
      </c>
      <c r="DZ118" s="1551" t="e">
        <f aca="false">DH118*AZ118</f>
        <v>#VALUE!</v>
      </c>
      <c r="EA118" s="1551" t="e">
        <f aca="false">DI118*BA118</f>
        <v>#VALUE!</v>
      </c>
      <c r="EB118" s="1551" t="e">
        <f aca="false">DJ118*BB118</f>
        <v>#VALUE!</v>
      </c>
      <c r="EC118" s="1551" t="e">
        <f aca="false">DK118*BC118</f>
        <v>#VALUE!</v>
      </c>
      <c r="ED118" s="1551" t="e">
        <f aca="false">DL118*BQ118</f>
        <v>#VALUE!</v>
      </c>
      <c r="EE118" s="1595" t="e">
        <f aca="false">IF(BQ118,IF(OCallPut,IF(BU118&gt;(CO118+CW118),BU118-(CO118+CW118),0),IF((CO118+CW118)&gt;BU118,(CO118+CW118)-BU118,0))*AZ118,0)</f>
        <v>#VALUE!</v>
      </c>
      <c r="EF118" s="1596" t="e">
        <f aca="false">IF(BQ118,IF(OCallPut,IF(BV118&gt;(CP118+CX118),BV118-(CP118+CX118),0),IF((CP118+CX118)&gt;BV118,(CP118+CX118)-BV118,0))*BA118,0)</f>
        <v>#VALUE!</v>
      </c>
      <c r="EG118" s="1596" t="e">
        <f aca="false">IF(BQ118,IF(OCallPut,IF(BW118&gt;(CQ118+CY118),BW118-(CQ118+CY118),0),IF((CQ118+CY118)&gt;BW118,(CQ118+CY118)-BW118,0))*BB118,0)</f>
        <v>#VALUE!</v>
      </c>
      <c r="EH118" s="1596" t="e">
        <f aca="false">IF(BQ118,IF(OCallPut,IF(BX118&gt;(CR118+CZ118),BX118-(CR118+CZ118),0),IF((CR118+CZ118)&gt;BX118,(CR118+CZ118)-BX118,0))*BC118,0)</f>
        <v>#VALUE!</v>
      </c>
      <c r="EI118" s="1597" t="e">
        <f aca="false">IF(BQ118,IF(OVolType,IF(OCallPut,IF(BZ118&gt;(CS118+DA118),BZ118-(CS118+DA118),0),IF((CS118+DA118)&gt;BZ118,(CS118+DA118)-BZ118,0))*BQ118,SUM(EE118:EH118)),0)</f>
        <v>#VALUE!</v>
      </c>
      <c r="EJ118" s="1595" t="e">
        <f aca="false">DZ118-EE118</f>
        <v>#VALUE!</v>
      </c>
      <c r="EK118" s="1596" t="e">
        <f aca="false">EA118-EF118</f>
        <v>#VALUE!</v>
      </c>
      <c r="EL118" s="1596" t="e">
        <f aca="false">EB118-EG118</f>
        <v>#VALUE!</v>
      </c>
      <c r="EM118" s="1596" t="e">
        <f aca="false">EC118-EH118</f>
        <v>#VALUE!</v>
      </c>
      <c r="EN118" s="1597" t="e">
        <f aca="false">ED118-EI118</f>
        <v>#VALUE!</v>
      </c>
      <c r="EO118" s="1551" t="e">
        <f aca="false">DH118*BH118</f>
        <v>#VALUE!</v>
      </c>
      <c r="EP118" s="1551" t="e">
        <f aca="false">DI118*BI118</f>
        <v>#VALUE!</v>
      </c>
      <c r="EQ118" s="1551" t="e">
        <f aca="false">DW118*BJ118</f>
        <v>#VALUE!</v>
      </c>
      <c r="ER118" s="1551" t="e">
        <f aca="false">DX118*BK118</f>
        <v>#VALUE!</v>
      </c>
      <c r="ES118" s="1551" t="e">
        <f aca="false">DY118*BS118</f>
        <v>#VALUE!</v>
      </c>
      <c r="ET118" s="1566" t="e">
        <f aca="false">IF(EI118,IF(OCallPut,IF(CA118&gt;(CT118+CW118),CA118-(CT118+CW118),0),IF((CT118+CW118)&gt;CA118,(CT118+CW118)-CA118,0))*BH118,0)</f>
        <v>#VALUE!</v>
      </c>
      <c r="EU118" s="1551" t="e">
        <f aca="false">IF(EI118,IF(OCallPut,IF(CB118&gt;(CT118+CX118),CB118-(CT118+CX118),0),IF((CT118+CX118)&gt;CB118,(CT118+CX118)-CB118,0))*BI118,0)</f>
        <v>#VALUE!</v>
      </c>
      <c r="EV118" s="1551" t="e">
        <f aca="false">IF(EI118,IF(OCallPut,IF(CC118&gt;(CT118+CY118),CC118-(CT118+CY118),0),IF((CT118+CY118)&gt;CC118,(CT118+CY118)-CC118,0))*BJ118,0)</f>
        <v>#VALUE!</v>
      </c>
      <c r="EW118" s="1551" t="e">
        <f aca="false">IF(EI118,IF(OCallPut,IF(CD118&gt;(CT118+CZ118),CD118-(CT118+CZ118),0),IF((CT118+CZ118)&gt;CD118,(CT118+CZ118)-CD118,0))*BK118,0)</f>
        <v>#VALUE!</v>
      </c>
      <c r="EX118" s="1558" t="e">
        <f aca="false">IF(EI118,SUM(ET118:EW118),0)</f>
        <v>#VALUE!</v>
      </c>
      <c r="EY118" s="1551" t="e">
        <f aca="false">EO118-ET118</f>
        <v>#VALUE!</v>
      </c>
      <c r="EZ118" s="1551" t="e">
        <f aca="false">EP118-EU118</f>
        <v>#VALUE!</v>
      </c>
      <c r="FA118" s="1551" t="e">
        <f aca="false">EQ118-EV118</f>
        <v>#VALUE!</v>
      </c>
      <c r="FB118" s="1551" t="e">
        <f aca="false">ER118-EW118</f>
        <v>#VALUE!</v>
      </c>
      <c r="FC118" s="1551" t="e">
        <f aca="false">ES118-EX118</f>
        <v>#VALUE!</v>
      </c>
      <c r="FD118" s="1525" t="n">
        <f aca="false">IF(AX118,IF(VLOOKUP(C118,MAIN!$L$17:$M$28,2)="Yes",VLOOKUP(CALC!B118,MAIN!$H$17:$I$20,2),0),0)</f>
        <v>0</v>
      </c>
      <c r="FE118" s="1552" t="e">
        <f aca="false">$FD118*16*AT118*(1-$AY118)</f>
        <v>#VALUE!</v>
      </c>
      <c r="FF118" s="1553" t="e">
        <f aca="false">$FD118*16*AU118*(1-$AY118)</f>
        <v>#VALUE!</v>
      </c>
      <c r="FG118" s="1553" t="e">
        <f aca="false">$FD118*16*(AV118+AW118)*(1-$AY118)</f>
        <v>#VALUE!</v>
      </c>
      <c r="FH118" s="1554" t="n">
        <f aca="false">$FD118*8*AX118*(1-$AY118)</f>
        <v>0</v>
      </c>
      <c r="FI118" s="1555" t="n">
        <f aca="false">IF(AX118,VLOOKUP(CALC!B118,MAIN!$H$17:$K$20,4),0)</f>
        <v>0</v>
      </c>
      <c r="FJ118" s="1553" t="e">
        <f aca="false">SUM(FE118:FH118)</f>
        <v>#VALUE!</v>
      </c>
      <c r="FK118" s="1556" t="e">
        <f aca="false">FI118*FJ118</f>
        <v>#VALUE!</v>
      </c>
      <c r="FL118" s="1551" t="e">
        <f aca="false">IF($EI118&gt;0,MIN(FE118,AZ118*(1+VLOOKUP($C118,WeatherCapacityAdjustment,2))),0)</f>
        <v>#VALUE!</v>
      </c>
      <c r="FM118" s="1551" t="e">
        <f aca="false">IF($EI118&gt;0,MIN(FF118,BA118*(1+VLOOKUP($C118,WeatherCapacityAdjustment,2))),0)</f>
        <v>#VALUE!</v>
      </c>
      <c r="FN118" s="1551" t="e">
        <f aca="false">IF($EI118&gt;0,MIN(FG118,BB118*(1+VLOOKUP($C118,WeatherCapacityAdjustment,2))),0)</f>
        <v>#VALUE!</v>
      </c>
      <c r="FO118" s="1564" t="e">
        <f aca="false">IF($EI118&gt;0,MIN(FH118,BC118*(1+VLOOKUP($C118,WeatherCapacityAdjustment,3))),0)</f>
        <v>#VALUE!</v>
      </c>
      <c r="FP118" s="1551" t="e">
        <f aca="false">IF(ET118&gt;0,MIN(FE118-FL118,BH118*(1+VLOOKUP($C118,WeatherCapacityAdjustment,2))),0)</f>
        <v>#VALUE!</v>
      </c>
      <c r="FQ118" s="1551" t="e">
        <f aca="false">IF(EU118&gt;0,MIN(FF118-FM118,BI118*(1+VLOOKUP($C118,WeatherCapacityAdjustment,2))),0)</f>
        <v>#VALUE!</v>
      </c>
      <c r="FR118" s="1551" t="e">
        <f aca="false">IF(EV118&gt;0,MIN(FG118-FN118,BJ118*(1+VLOOKUP($C118,WeatherCapacityAdjustment,2))),0)</f>
        <v>#VALUE!</v>
      </c>
      <c r="FS118" s="1558" t="e">
        <f aca="false">IF(EW118&gt;0,MIN(FH118-FO118,BK118*(1+VLOOKUP($C118,WeatherCapacityAdjustment,3))),0)</f>
        <v>#VALUE!</v>
      </c>
      <c r="FT118" s="1566" t="e">
        <f aca="false">IF(AND(Assumptions!$H$71="Yes",A118&gt;=Assumptions!$H$72,A118&lt;=Assumptions!$H$73),0,IF(AND($A118&gt;=Assumptions!$C$17,$A118&lt;=Assumptions!$C$18),MAX(AZ118*(1+VLOOKUP($C118,WeatherCapacityAdjustment,2))-FL118,0),0))</f>
        <v>#VALUE!</v>
      </c>
      <c r="FU118" s="1551" t="e">
        <f aca="false">IF(AND(Assumptions!$H$71="Yes",A118&gt;=Assumptions!$H$72,A118&lt;=Assumptions!$H$73),0,IF(AND($A118&gt;=Assumptions!$C$17,$A118&lt;=Assumptions!$C$18),MAX(BA118*(1+VLOOKUP($C118,WeatherCapacityAdjustment,2))-FM118,0),0))</f>
        <v>#VALUE!</v>
      </c>
      <c r="FV118" s="1551" t="e">
        <f aca="false">IF(AND(Assumptions!$H$71="Yes",A118&gt;=Assumptions!$H$72,A118&lt;=Assumptions!$H$73),0,IF(AND($A118&gt;=Assumptions!$C$17,$A118&lt;=Assumptions!$C$18),MAX(BB118*(1+VLOOKUP($C118,WeatherCapacityAdjustment,2))-FN118,0),0))</f>
        <v>#VALUE!</v>
      </c>
      <c r="FW118" s="1564" t="e">
        <f aca="false">IF(AND(Assumptions!$H$71="Yes",A118&gt;=Assumptions!$H$72,A118&lt;=Assumptions!$H$73),0,IF(AND($A118&gt;=Assumptions!$C$17,$A118&lt;=Assumptions!$C$18),MAX(BC118*(1+VLOOKUP($C118,WeatherCapacityAdjustment,3))-FO118,0),0))</f>
        <v>#VALUE!</v>
      </c>
      <c r="FX118" s="1569" t="e">
        <f aca="false">IF(AND(Assumptions!$H$71="Yes",A118&gt;=Assumptions!$H$72,A118&lt;=Assumptions!$H$73),0,IF(ET118&gt;0,MAX(BH118*(1+VLOOKUP($C118,WeatherCapacityAdjustment,2))-FP118,0),0))</f>
        <v>#VALUE!</v>
      </c>
      <c r="FY118" s="1551" t="e">
        <f aca="false">IF(AND(Assumptions!$H$71="Yes",A118&gt;=Assumptions!$H$72,A118&lt;=Assumptions!$H$73),0,IF(EU118&gt;0,MAX(BI118*(1+VLOOKUP($C118,WeatherCapacityAdjustment,3))-FQ118,0),0))</f>
        <v>#VALUE!</v>
      </c>
      <c r="FZ118" s="1551" t="e">
        <f aca="false">IF(AND(Assumptions!$H$71="Yes",A118&gt;=Assumptions!$H$72,A118&lt;=Assumptions!$H$73),0,IF(EV118&gt;0,MAX(BJ118*(1+VLOOKUP($C118,WeatherCapacityAdjustment,2))-FR118,0),0))</f>
        <v>#VALUE!</v>
      </c>
      <c r="GA118" s="1564" t="e">
        <f aca="false">IF(AND(Assumptions!$H$71="Yes",A118&gt;=Assumptions!$H$72,A118&lt;=Assumptions!$H$73),0,IF(EW118&gt;0,MAX(BK118*(1+VLOOKUP($C118,WeatherCapacityAdjustment,2))-FS118,0),0))</f>
        <v>#VALUE!</v>
      </c>
      <c r="GB118" s="1551" t="e">
        <f aca="false">SUM(FT118:GA118)</f>
        <v>#VALUE!</v>
      </c>
      <c r="GC118" s="1563" t="e">
        <f aca="false">+IF(SUM(FT118:GA118)=0,0,(SUMPRODUCT(BU118:BX118,FT118:FW118)+SUMPRODUCT(CA118:CD118,FX118:GA118))/SUM(FT118:GA118))</f>
        <v>#VALUE!</v>
      </c>
      <c r="GD118" s="1551" t="e">
        <f aca="false">(FT118*BU118+FX118*CA118+FU118*BV118+FY118*CB118+FV118*BW118+FZ118*CC118+FW118*BX118+GA118*CD118)</f>
        <v>#VALUE!</v>
      </c>
      <c r="GE118" s="1561" t="e">
        <f aca="false">+IF(BQ118,((FL118+FM118+FT118+FU118)*HeatRatePeak/1000*(1+VLOOKUP($C118,WeatherHeatRateAdjustment,2))+(FN118+FV118)*IF(EV118&gt;0,HeatRatePeak,HeatRateOffPeak)/1000*(1+VLOOKUP($C118,WeatherHeatRateAdjustment,2))+(FO118+FW118)*IF(EW118&gt;0,HeatRatePeak,HeatRateOffPeak)/1000*(1+VLOOKUP($C118,WeatherHeatRateAdjustment,3)))*(1+VLOOKUP($B118,HeatRateDegradation,$C118+1)),0)</f>
        <v>#VALUE!</v>
      </c>
      <c r="GF118" s="1562" t="e">
        <f aca="false">IF(BQ118,((FP118+FQ118+FR118+FX118+FY118+FZ118)*HeatRatePeak/1000*(1+VLOOKUP($C118,WeatherHeatRateAdjustment,2))+(FS118+GA118)*HeatRatePeak/1000*(1+VLOOKUP($C118,WeatherHeatRateAdjustment,3)))*(1+VLOOKUP($B118,HeatRateDegradation,$C118+1)),0)</f>
        <v>#VALUE!</v>
      </c>
      <c r="GG118" s="1563" t="e">
        <f aca="false">IF(BQ118,VLOOKUP(A118,GasTable,13),0)</f>
        <v>#VALUE!</v>
      </c>
      <c r="GH118" s="1564" t="e">
        <f aca="false">(GE118+GF118)*GG118</f>
        <v>#VALUE!</v>
      </c>
      <c r="GI118" s="1569" t="e">
        <f aca="false">GB118</f>
        <v>#VALUE!</v>
      </c>
      <c r="GJ118" s="1598" t="e">
        <f aca="false">+DA118</f>
        <v>#VALUE!</v>
      </c>
      <c r="GK118" s="1558" t="e">
        <f aca="false">+GI118*GJ118</f>
        <v>#VALUE!</v>
      </c>
      <c r="GL118" s="1566" t="e">
        <f aca="false">MAX(FE118-FL118-FP118,0)</f>
        <v>#VALUE!</v>
      </c>
      <c r="GM118" s="1551" t="e">
        <f aca="false">MAX(FF118-FM118-FQ118,0)</f>
        <v>#VALUE!</v>
      </c>
      <c r="GN118" s="1551" t="e">
        <f aca="false">MAX(FG118-FN118-FR118,0)</f>
        <v>#VALUE!</v>
      </c>
      <c r="GO118" s="1564" t="e">
        <f aca="false">MAX(FH118-FO118-FS118,0)</f>
        <v>#VALUE!</v>
      </c>
      <c r="GP118" s="1551" t="e">
        <f aca="false">SUM(GL118:GO118)</f>
        <v>#VALUE!</v>
      </c>
      <c r="GQ118" s="1563" t="e">
        <f aca="false">IF(SUM(GL118:GO118)=0,0,((GL118*BU118+GM118*BV118+GN118*BW118+GO118*BX118)/SUM(GL118:GO118)))</f>
        <v>#VALUE!</v>
      </c>
      <c r="GR118" s="1558" t="e">
        <f aca="false">(GL118*BU118+GM118*BV118+GN118*BW118+GO118*BX118)</f>
        <v>#VALUE!</v>
      </c>
      <c r="GS118" s="1566" t="n">
        <f aca="false">IF($A118&gt;=BegDate,Assumptions!$C$56*24*($A119-$A118)*(1-VLOOKUP($B118,MAIN!$AA$7:$AM$28,$C118+1))*(1-VLOOKUP($B118,MAIN!$AA$33:$AM$54,$C118+1)),0)*80/168</f>
        <v>257742.857142857</v>
      </c>
      <c r="GT118" s="286" t="n">
        <f aca="false">J118</f>
        <v>45.932797045308</v>
      </c>
      <c r="GU118" s="286" t="n">
        <f aca="false">IF($A118&gt;=BegDate,VLOOKUP($A118,GasTable,13)+Assumptions!$C$58,0)</f>
        <v>3.00506714245707</v>
      </c>
      <c r="GV118" s="286" t="n">
        <f aca="false">GU118*Assumptions!$C$57/1000</f>
        <v>21.7867367828138</v>
      </c>
      <c r="GW118" s="1558" t="n">
        <f aca="false">IF(Assumptions!$C$60="Hourly",MAX(0,GS118*(GT118-GV118)),GS118*(GT118-GV118))</f>
        <v>6223474.56079888</v>
      </c>
      <c r="GX118" s="1566" t="n">
        <f aca="false">IF($A118&gt;=BegDate,Assumptions!$C$56*24*($A119-$A118)*(1-VLOOKUP($B118,MAIN!$AA$7:$AM$28,$C118+1))*(1-VLOOKUP($B118,MAIN!$AA$33:$AM$54,$C118+1)),0)*16/168</f>
        <v>51548.5714285714</v>
      </c>
      <c r="GY118" s="286" t="n">
        <f aca="false">M118</f>
        <v>45.932797045308</v>
      </c>
      <c r="GZ118" s="286" t="n">
        <f aca="false">IF($A118&gt;=BegDate,VLOOKUP($A118,GasTable,13)+Assumptions!$C$58,0)</f>
        <v>3.00506714245707</v>
      </c>
      <c r="HA118" s="286" t="n">
        <f aca="false">GZ118*Assumptions!$C$57/1000</f>
        <v>21.7867367828138</v>
      </c>
      <c r="HB118" s="1558" t="n">
        <f aca="false">IF(Assumptions!$C$60="Hourly",MAX(0,GX118*(GY118-HA118)),GX118*(GY118-HA118))</f>
        <v>1244694.91215978</v>
      </c>
      <c r="HC118" s="1566" t="n">
        <f aca="false">IF($A118&gt;=BegDate,Assumptions!$C$56*24*($A119-$A118)*(1-VLOOKUP($B118,MAIN!$AA$7:$AM$28,$C118+1))*(1-VLOOKUP($B118,MAIN!$AA$33:$AM$54,$C118+1)),0)*16/168</f>
        <v>51548.5714285714</v>
      </c>
      <c r="HD118" s="286" t="n">
        <f aca="false">P118</f>
        <v>25.4971827856189</v>
      </c>
      <c r="HE118" s="286" t="n">
        <f aca="false">IF($A118&gt;=BegDate,VLOOKUP($A118,GasTable,13)+Assumptions!$C$58,0)</f>
        <v>3.00506714245707</v>
      </c>
      <c r="HF118" s="286" t="n">
        <f aca="false">HE118*Assumptions!$C$57/1000</f>
        <v>21.7867367828138</v>
      </c>
      <c r="HG118" s="1558" t="n">
        <f aca="false">IF(Assumptions!$C$60="Hourly",MAX(0,HC118*(HD118-HF118)),HC118*(HD118-HF118))</f>
        <v>191268.190807458</v>
      </c>
      <c r="HH118" s="1566" t="n">
        <f aca="false">IF($A118&gt;=BegDate,Assumptions!$C$56*24*($A119-$A118)*(1-VLOOKUP($B118,MAIN!$AA$7:$AM$28,$C118+1))*(1-VLOOKUP($B118,MAIN!$AA$33:$AM$54,$C118+1)),0)*56/168</f>
        <v>180420</v>
      </c>
      <c r="HI118" s="286" t="n">
        <f aca="false">S118</f>
        <v>25.4971827856189</v>
      </c>
      <c r="HJ118" s="286" t="n">
        <f aca="false">IF($A118&gt;=BegDate,VLOOKUP($A118,GasTable,13)+Assumptions!$C$58,0)</f>
        <v>3.00506714245707</v>
      </c>
      <c r="HK118" s="286" t="n">
        <f aca="false">HJ118*Assumptions!$C$57/1000</f>
        <v>21.7867367828138</v>
      </c>
      <c r="HL118" s="1558" t="n">
        <f aca="false">IF(Assumptions!$C$60="Hourly",MAX(0,HH118*(HI118-HK118)),HH118*(HI118-HK118))</f>
        <v>669438.667826104</v>
      </c>
      <c r="HM118" s="1566" t="n">
        <f aca="false">IF(AND(Assumptions!$H$71="Yes",A118&gt;=Assumptions!$H$72,A118&lt;=Assumptions!$H$73),Assumptions!$H$74*Assumptions!$C$9*1000,0)</f>
        <v>0</v>
      </c>
      <c r="HN118" s="1551"/>
      <c r="HO118" s="1563"/>
      <c r="HP118" s="1563"/>
      <c r="HQ118" s="1563"/>
      <c r="HR118" s="1563"/>
      <c r="HS118" s="1563"/>
      <c r="HT118" s="1563"/>
      <c r="HU118" s="1563"/>
      <c r="HV118" s="1563"/>
      <c r="HW118" s="1563"/>
      <c r="HX118" s="1563"/>
      <c r="HY118" s="1563"/>
      <c r="HZ118" s="1563"/>
      <c r="IA118" s="1563"/>
      <c r="IB118" s="1563"/>
      <c r="IC118" s="1563"/>
      <c r="ID118" s="1563"/>
      <c r="IE118" s="1563"/>
      <c r="IF118" s="1563"/>
      <c r="IG118" s="1563"/>
      <c r="IH118" s="1563"/>
      <c r="II118" s="1610"/>
      <c r="IJ118" s="1309"/>
      <c r="IK118" s="1309"/>
    </row>
    <row r="119" customFormat="false" ht="12.75" hidden="false" customHeight="false" outlineLevel="0" collapsed="false">
      <c r="A119" s="1571" t="n">
        <f aca="false">EOMONTH(A118,0)+1</f>
        <v>39753</v>
      </c>
      <c r="B119" s="594" t="n">
        <f aca="false">+YEAR(A119)</f>
        <v>2008</v>
      </c>
      <c r="C119" s="238" t="n">
        <f aca="false">MONTH(A119)</f>
        <v>11</v>
      </c>
      <c r="D119" s="1572" t="e">
        <f aca="false">IF(E119="","",Holiday(B119,C119))</f>
        <v>#VALUE!</v>
      </c>
      <c r="E119" s="1573" t="n">
        <f aca="false">IF(OR(BegDate&gt;=A120,EndDate&lt;A119,AND(VolumeMonthlyOverFlag,INDEX(VolumeMonthlyOver,C119)=0),NOT(INDEX(MonthKnockOutTable,C119))),"",MAX(A119,BegDate))</f>
        <v>39753</v>
      </c>
      <c r="F119" s="1574" t="n">
        <f aca="false">IF(E119="","",MIN(A120-1,EndDate))</f>
        <v>39782</v>
      </c>
      <c r="G119" s="1575" t="n">
        <v>0</v>
      </c>
      <c r="H119" s="1576" t="n">
        <f aca="false">(1+G119/2)^(-2*(DATE(B120,C120,20)-DateToday)/365.25)</f>
        <v>1</v>
      </c>
      <c r="I119" s="1568" t="n">
        <f aca="false">IF(Assumptions!$L$25=4,VLOOKUP($A119,'Henwood Reference'!$E$9:$R$320,10),(VLOOKUP($A119,PriceTable,2,0)+IF(BasisNumber&lt;&gt;1,VLOOKUP($A119,BasisTable,2,0),0)+I$1)/(1-I$2))</f>
        <v>47.6328748071423</v>
      </c>
      <c r="J119" s="1568" t="n">
        <f aca="false">IF(Assumptions!$L$25=4,VLOOKUP($A119,'Henwood Reference'!$E$9:$R$320,10),(VLOOKUP($A119,PriceTable,3,0)+IF(BasisNumber&lt;&gt;1,VLOOKUP($A119,BasisTable,2,0),0)+J$1)/(1-J$2))</f>
        <v>47.6328748071423</v>
      </c>
      <c r="K119" s="1568" t="n">
        <f aca="false">IF(Assumptions!$L$25=4,VLOOKUP($A119,'Henwood Reference'!$E$9:$R$320,10),(VLOOKUP($A119,PriceTable,4,0)+IF(BasisNumber&lt;&gt;1,VLOOKUP($A119,BasisTable,2,0),0)+K$1)/(1-K$2))</f>
        <v>47.6328748071423</v>
      </c>
      <c r="L119" s="1523" t="n">
        <f aca="false">IF(Assumptions!$L$25=4,VLOOKUP($A119,'Henwood Reference'!$E$9:$R$320,10),(VLOOKUP($A119,PriceTableWeekend,2,0)+IF(BasisNumber&lt;&gt;1,VLOOKUP($A119,BasisTable,2,0),0)+L$1)/(1-L$2))</f>
        <v>47.6328748071423</v>
      </c>
      <c r="M119" s="1568" t="n">
        <f aca="false">IF(Assumptions!$L$25=4,VLOOKUP($A119,'Henwood Reference'!$E$9:$R$320,10),(VLOOKUP($A119,PriceTableWeekend,3,0)+IF(BasisNumber&lt;&gt;1,VLOOKUP($A119,BasisTable,2,0),0)+M$1)/(1-M$2))</f>
        <v>47.6328748071423</v>
      </c>
      <c r="N119" s="1599" t="n">
        <f aca="false">IF(Assumptions!$L$25=4,VLOOKUP($A119,'Henwood Reference'!$E$9:$R$320,10),(VLOOKUP($A119,PriceTableWeekend,4,0)+IF(BasisNumber&lt;&gt;1,VLOOKUP($A119,BasisTable,2,0),0)+N$1)/(1-N$2))</f>
        <v>47.6328748071423</v>
      </c>
      <c r="O119" s="1568" t="n">
        <f aca="false">IF(Assumptions!$L$25=4,VLOOKUP($A119,'Henwood Reference'!$E$9:$R$320,11),(VLOOKUP($A119,PriceTableWeekend,6,0)+IF(BasisNumber&lt;&gt;1,VLOOKUP($A119,BasisTable,3,0),0)+O$1)/(1-O$2))</f>
        <v>28.7732595808393</v>
      </c>
      <c r="P119" s="1568" t="n">
        <f aca="false">IF(Assumptions!$L$25=4,VLOOKUP($A119,'Henwood Reference'!$E$9:$R$320,11),(VLOOKUP($A119,PriceTableWeekend,7,0)+IF(BasisNumber&lt;&gt;1,VLOOKUP($A119,BasisTable,3,0),0)+P$1)/(1-P$2))</f>
        <v>28.7732595808393</v>
      </c>
      <c r="Q119" s="1599" t="n">
        <f aca="false">IF(Assumptions!$L$25=4,VLOOKUP($A119,'Henwood Reference'!$E$9:$R$320,11),(VLOOKUP($A119,PriceTableWeekend,8,0)+IF(BasisNumber&lt;&gt;1,VLOOKUP($A119,BasisTable,3,0),0)+Q$1)/(1-Q$2))</f>
        <v>28.7732595808393</v>
      </c>
      <c r="R119" s="1568" t="n">
        <f aca="false">IF(Assumptions!$L$25=4,VLOOKUP($A119,'Henwood Reference'!$E$9:$R$320,11),(VLOOKUP($A119,PriceTable,6,0)+IF(BasisNumber&lt;&gt;1,VLOOKUP($A119,BasisTable,3,0),0)+R$1)/(1-R$2))</f>
        <v>28.7732595808393</v>
      </c>
      <c r="S119" s="1568" t="n">
        <f aca="false">IF(Assumptions!$L$25=4,VLOOKUP($A119,'Henwood Reference'!$E$9:$R$320,11),(VLOOKUP($A119,PriceTable,7,0)+IF(BasisNumber&lt;&gt;1,VLOOKUP($A119,BasisTable,3,0),0)+S$1)/(1-S$2))</f>
        <v>28.7732595808393</v>
      </c>
      <c r="T119" s="1600" t="n">
        <f aca="false">IF(Assumptions!$L$25=4,VLOOKUP($A119,'Henwood Reference'!$E$9:$R$320,11),(VLOOKUP($A119,PriceTable,8,0)+IF(BasisNumber&lt;&gt;1,VLOOKUP($A119,BasisTable,3,0),0)+T$1)/(1-T$2))</f>
        <v>28.7732595808393</v>
      </c>
      <c r="U119" s="1513" t="n">
        <f aca="false">VLOOKUP($A119,VolatilityTable,14)</f>
        <v>0.13</v>
      </c>
      <c r="V119" s="1513" t="n">
        <f aca="false">VLOOKUP($A119,VolatilityTable,15)</f>
        <v>0.14</v>
      </c>
      <c r="W119" s="1514" t="n">
        <f aca="false">VLOOKUP($A119,VolatilityTable,16)</f>
        <v>0.15</v>
      </c>
      <c r="X119" s="1513" t="n">
        <f aca="false">VLOOKUP($A119,VolatilityTable,14)</f>
        <v>0.13</v>
      </c>
      <c r="Y119" s="1513" t="n">
        <f aca="false">VLOOKUP($A119,VolatilityTable,15)</f>
        <v>0.14</v>
      </c>
      <c r="Z119" s="1514" t="n">
        <f aca="false">VLOOKUP($A119,VolatilityTable,16)</f>
        <v>0.15</v>
      </c>
      <c r="AA119" s="1513" t="n">
        <f aca="false">VLOOKUP($A119,VolatilityTable,18)</f>
        <v>0.09</v>
      </c>
      <c r="AB119" s="1513" t="n">
        <f aca="false">VLOOKUP($A119,VolatilityTable,19)</f>
        <v>0.11</v>
      </c>
      <c r="AC119" s="1514" t="n">
        <f aca="false">VLOOKUP($A119,VolatilityTable,20)</f>
        <v>0.13</v>
      </c>
      <c r="AD119" s="1513" t="n">
        <f aca="false">VLOOKUP($A119,VolatilityTable,18)</f>
        <v>0.09</v>
      </c>
      <c r="AE119" s="1513" t="n">
        <f aca="false">VLOOKUP($A119,VolatilityTable,19)</f>
        <v>0.11</v>
      </c>
      <c r="AF119" s="1514" t="n">
        <f aca="false">VLOOKUP($A119,VolatilityTable,20)</f>
        <v>0.13</v>
      </c>
      <c r="AG119" s="1513" t="n">
        <f aca="false">VLOOKUP($A119,VolatilityTable,22)</f>
        <v>-0.1</v>
      </c>
      <c r="AH119" s="1513" t="n">
        <f aca="false">VLOOKUP($A119,VolatilityTable,23)</f>
        <v>0.6</v>
      </c>
      <c r="AI119" s="1514" t="n">
        <f aca="false">VLOOKUP($A119,VolatilityTable,24)</f>
        <v>0.1</v>
      </c>
      <c r="AJ119" s="1513" t="n">
        <f aca="false">VLOOKUP($A119,VolatilityTable,22)</f>
        <v>-0.1</v>
      </c>
      <c r="AK119" s="1513" t="n">
        <f aca="false">VLOOKUP($A119,VolatilityTable,23)</f>
        <v>0.6</v>
      </c>
      <c r="AL119" s="1514" t="n">
        <f aca="false">VLOOKUP($A119,VolatilityTable,24)</f>
        <v>0.1</v>
      </c>
      <c r="AM119" s="1513" t="n">
        <f aca="false">VLOOKUP($A119,VolatilityTable,26)</f>
        <v>-0.01</v>
      </c>
      <c r="AN119" s="1513" t="n">
        <f aca="false">VLOOKUP($A119,VolatilityTable,27)</f>
        <v>0.16</v>
      </c>
      <c r="AO119" s="1514" t="n">
        <f aca="false">VLOOKUP($A119,VolatilityTable,28)</f>
        <v>0.01</v>
      </c>
      <c r="AP119" s="1513" t="n">
        <f aca="false">VLOOKUP($A119,VolatilityTable,26)</f>
        <v>-0.01</v>
      </c>
      <c r="AQ119" s="1513" t="n">
        <f aca="false">VLOOKUP($A119,VolatilityTable,27)</f>
        <v>0.16</v>
      </c>
      <c r="AR119" s="1515" t="n">
        <f aca="false">VLOOKUP($A119,VolatilityTable,28)</f>
        <v>0.01</v>
      </c>
      <c r="AS119" s="1581" t="n">
        <f aca="false">IF(CorrPeakOffPeakOverFlag,INDEX(CorrPeakOffPeakOver,C119),CorrPeakOffPeak)</f>
        <v>0.5</v>
      </c>
      <c r="AT119" s="594" t="e">
        <f aca="false">AX119-SUM(AU119:AW119)</f>
        <v>#VALUE!</v>
      </c>
      <c r="AU119" s="238" t="e">
        <f aca="false">IF(E119="",0,INT((F119-MOD(F119,7)-E119)/7)+1-IF(AW119,IF(WEEKDAY(D119)=7,1,0),0))</f>
        <v>#VALUE!</v>
      </c>
      <c r="AV119" s="238" t="e">
        <f aca="false">IF(E119="",0,INT((F119-MOD(F119-1,7)-E119)/7)+1-IF(AW119,IF(WEEKDAY(D119)=1,1,0),0))</f>
        <v>#VALUE!</v>
      </c>
      <c r="AW119" s="238" t="e">
        <f aca="false">IF(OR(E119="",D119="",D119&lt;BegDate,D119&gt;EndDate),0,1)</f>
        <v>#VALUE!</v>
      </c>
      <c r="AX119" s="238" t="n">
        <f aca="false">IF(E119="",0,F119-E119+1)</f>
        <v>30</v>
      </c>
      <c r="AY119" s="1582" t="n">
        <f aca="false">IF(E119="",0,MIN((1-(1-VLOOKUP(B119,MAIN!$AA$7:$AM$28,C119+1))*(1-VLOOKUP(B119,MAIN!$AA$33:$AM$54,C119+1))),1))</f>
        <v>0.03</v>
      </c>
      <c r="AZ119" s="1519" t="e">
        <v>#VALUE!</v>
      </c>
      <c r="BA119" s="1520" t="e">
        <v>#VALUE!</v>
      </c>
      <c r="BB119" s="1520" t="e">
        <v>#VALUE!</v>
      </c>
      <c r="BC119" s="1583" t="e">
        <v>#VALUE!</v>
      </c>
      <c r="BD119" s="1522" t="e">
        <v>#VALUE!</v>
      </c>
      <c r="BE119" s="1523" t="e">
        <v>#VALUE!</v>
      </c>
      <c r="BF119" s="1523" t="e">
        <v>#VALUE!</v>
      </c>
      <c r="BG119" s="1584" t="e">
        <v>#VALUE!</v>
      </c>
      <c r="BH119" s="1525" t="e">
        <v>#VALUE!</v>
      </c>
      <c r="BI119" s="1520" t="e">
        <v>#VALUE!</v>
      </c>
      <c r="BJ119" s="1520" t="e">
        <v>#VALUE!</v>
      </c>
      <c r="BK119" s="1583" t="e">
        <v>#VALUE!</v>
      </c>
      <c r="BL119" s="1522" t="e">
        <v>#VALUE!</v>
      </c>
      <c r="BM119" s="1523" t="e">
        <v>#VALUE!</v>
      </c>
      <c r="BN119" s="1523" t="e">
        <v>#VALUE!</v>
      </c>
      <c r="BO119" s="1523" t="e">
        <v>#VALUE!</v>
      </c>
      <c r="BP119" s="1525" t="e">
        <f aca="false">SUM(AZ119:BB119)</f>
        <v>#VALUE!</v>
      </c>
      <c r="BQ119" s="1529" t="e">
        <f aca="false">SUM(AZ119:BC119)</f>
        <v>#VALUE!</v>
      </c>
      <c r="BR119" s="1519" t="e">
        <f aca="false">SUM(BH119:BJ119)</f>
        <v>#VALUE!</v>
      </c>
      <c r="BS119" s="1529" t="e">
        <f aca="false">SUM(BH119:BK119)</f>
        <v>#VALUE!</v>
      </c>
      <c r="BT119" s="1316" t="n">
        <f aca="false">(IF(OVolType&lt;&gt;2,A119+14,IF(OptExpDateShift,ShiftBack(A119,OptExpDateShift,D118),A119))-DateToday)/365.25</f>
        <v>8.55030800821355</v>
      </c>
      <c r="BU119" s="1585" t="e">
        <f aca="false">IF(BQ119,IF(OPriceCurve,IF(OBuySell=OCallPut,I119/(1-AY119),K119/(1-AY119)),J119/(1-AY119))*BD119,0)</f>
        <v>#VALUE!</v>
      </c>
      <c r="BV119" s="1316" t="e">
        <f aca="false">IF(BQ119,IF(OPriceCurve,IF(OBuySell=OCallPut,L119/(1-AY119),N119/(1-AY119)),M119/(1-AY119))*BE119,0)</f>
        <v>#VALUE!</v>
      </c>
      <c r="BW119" s="1316" t="e">
        <f aca="false">IF(BQ119,IF(OPriceCurve,IF(OBuySell=OCallPut,O119/(1-AY119),Q119/(1-AY119)),P119/(1-AY119))*BF119,0)</f>
        <v>#VALUE!</v>
      </c>
      <c r="BX119" s="1316" t="e">
        <f aca="false">IF(BQ119,IF(OPriceCurve,IF(OBuySell=OCallPut,R119/(1-AY119),T119/(1-AY119)),S119/(1-AY119))*BG119,0)</f>
        <v>#VALUE!</v>
      </c>
      <c r="BY119" s="1316" t="e">
        <f aca="false">IF(BP119,(BU119*AZ119+BV119*BA119+BW119*BB119)/BP119,0)</f>
        <v>#VALUE!</v>
      </c>
      <c r="BZ119" s="1316" t="e">
        <f aca="false">IF(BQ119,(BY119*BP119+BX119*BC119)/BQ119,0)</f>
        <v>#VALUE!</v>
      </c>
      <c r="CA119" s="1531" t="e">
        <f aca="false">IF(BS119,IF(OPriceCurve,IF(OBuySell=OCallPut,I119/(1-AY119),K119/(1-AY119)),J119/(1-AY119))*BL119,0)</f>
        <v>#VALUE!</v>
      </c>
      <c r="CB119" s="1316" t="e">
        <f aca="false">IF(BS119,IF(OPriceCurve,IF(OBuySell=OCallPut,L119/(1-AY119),N119/(1-AY119)),M119/(1-AY119))*BM119,0)</f>
        <v>#VALUE!</v>
      </c>
      <c r="CC119" s="1316" t="e">
        <f aca="false">IF(BS119,IF(OPriceCurve,IF(OBuySell=OCallPut,O119/(1-AY119),Q119/(1-AY119)),P119/(1-AY119))*BN119,0)</f>
        <v>#VALUE!</v>
      </c>
      <c r="CD119" s="1316" t="e">
        <f aca="false">IF(BS119,IF(OPriceCurve,IF(OBuySell=OCallPut,R119/(1-AY119),T119/(1-AY119)),S119/(1-AY119))*BO119,0)</f>
        <v>#VALUE!</v>
      </c>
      <c r="CE119" s="1316" t="e">
        <f aca="false">IF(BR119,(BU119*BH119+BV119*BI119+BW119*BJ119)/BR119,0)</f>
        <v>#VALUE!</v>
      </c>
      <c r="CF119" s="1532" t="e">
        <f aca="false">IF(BS119,(CE119*BR119+CD119*BK119)/BS119,0)</f>
        <v>#VALUE!</v>
      </c>
      <c r="CG119" s="1586" t="e">
        <f aca="false">IF(OR(BQ119,BS119),IF(OVolType&lt;&gt;2,SQRT(IF(OVolOverMonthlyPeak,OVolOverMonthlyPeak,IF(OVolCurve,IF(OBuySell,U119,W119),V119))^2*(1-15/365.25/BT119)+IF(OVolOverDailyPeak,OVolOverDailyPeak,IF(OVolCurve,IF(OBuySell,AG119,AI119),AH119))^2*15/365.25/BT119),IF(OVolOverMonthlyPeak,OVolOverMonthlyPeak,IF(OVolCurve,IF(OBuySell,U119,W119),V119))),"")</f>
        <v>#VALUE!</v>
      </c>
      <c r="CH119" s="1587" t="e">
        <f aca="false">IF(OR(BQ119,BS119),IF(OVolType&lt;&gt;2,SQRT(IF(OVolOverMonthlyPeak,OVolOverMonthlyPeak,IF(OVolCurve,IF(OBuySell,X119,Z119),Y119))^2*(1-15/365.25/BT119)+IF(OVolOverDailyPeak,OVolOverDailyPeak,IF(OVolCurve,IF(OBuySell,AJ119,AL119),AK119))^2*15/365.25/BT119),IF(OVolOverMonthlyPeak,OVolOverMonthlyPeak,IF(OVolCurve,IF(OBuySell,X119,Z119),Y119))),"")</f>
        <v>#VALUE!</v>
      </c>
      <c r="CI119" s="1587" t="e">
        <f aca="false">IF(OR(BQ119,BS119),IF(OVolType&lt;&gt;2,SQRT(IF(OVolOverMonthlyPeak,OVolOverMonthlyPeak,IF(OVolCurve,IF(OBuySell,AA119,AC119),AB119))^2*(1-15/365.25/BT119)+IF(OVolOverDailyPeak,OVolOverDailyPeak,IF(OVolCurve,IF(OBuySell,AM119,AO119),AN119))^2*15/365.25/BT119),IF(OVolOverMonthlyPeak,OVolOverMonthlyPeak,IF(OVolCurve,IF(OBuySell,AA119,AC119),AB119))),"")</f>
        <v>#VALUE!</v>
      </c>
      <c r="CJ119" s="1587" t="e">
        <f aca="false">IF(BQ119,IF(BP119,SQRT(LN(1+((BU119*AZ119)^2*(EXP(CG119^2*BT119)-1)+(BV119*BA119)^2*(EXP(CH119^2*BT119)-1)+(BW119*BB119)^2*(EXP(CI119^2*BT119)-1)+2*BU119*AZ119*BV119*BA119*(EXP(CG119*CH119*BT119)-1)+2*BV119*BA119*BW119*BB119*(EXP(CH119*CI119*BT119)-1)+2*BW119*BB119*BU119*AZ119*(EXP(CI119*CG119*BT119)-1))/(BY119*BP119)^2)/BT119),0),"")</f>
        <v>#VALUE!</v>
      </c>
      <c r="CK119" s="1587" t="e">
        <f aca="false">IF(BS119,IF(BR119,SQRT(LN(1+((CA119*BH119)^2*(EXP(CG119^2*BT119)-1)+(CB119*BI119)^2*(EXP(CH119^2*BT119)-1)+(CC119*BJ119)^2*(EXP(CI119^2*BT119)-1)+2*CA119*BH119*CB119*BI119*(EXP(CG119*CH119*BT119)-1)+2*CB119*BI119*CC119*BJ119*(EXP(CH119*CI119*BT119)-1)+2*CC119*BJ119*CA119*BH119*(EXP(CI119*CG119*BT119)-1))/(CE119*BR119)^2)/BT119),0),"")</f>
        <v>#VALUE!</v>
      </c>
      <c r="CL119" s="1587" t="e">
        <f aca="false">IF(OR(BQ119,BS119),IF(OVolType&lt;&gt;2,SQRT(IF(OVolOverMonthlyOffPeak,OVolOverMonthlyOffPeak,IF(OVolCurve,IF(OBuySell,AD119,AF119),AE119))^2*(1-15/365.25/BT119)+IF(OVolOverDailyOffPeak,OVolOverDailyOffPeak,IF(OVolCurve,IF(OBuySell,AP119,AR119),AQ119))^2*15/365.25/BT119),IF(OVolOverMonthlyOffPeak,OVolOverMonthlyOffPeak,IF(OVolCurve,IF(OBuySell,AD119,AF119),AE119))),"")</f>
        <v>#VALUE!</v>
      </c>
      <c r="CM119" s="1587" t="e">
        <f aca="false">IF(BQ119,SQRT(LN(1+((BY119*BP119)^2*(EXP(CJ119^2*BT119)-1)+(BX119*BC119)^2*(EXP(CL119^2*BT119)-1)+2*BY119*BP119*BX119*BC119*(EXP(AS119*CJ119*CL119*BT119)-1))/(BY119*BP119+BX119*BC119)^2)/BT119),"")</f>
        <v>#VALUE!</v>
      </c>
      <c r="CN119" s="1588" t="e">
        <f aca="false">IF(BS119,SQRT(LN(1+((CE119*BR119)^2*(EXP(CK119^2*BT119)-1)+(CD119*BK119)^2*(EXP(CL119^2*BT119)-1)+2*CE119*BR119*CD119*BK119*(EXP(AS119*CK119*CL119*BT119)-1))/(CE119*BR119+CD119*BK119)^2)/BT119),"")</f>
        <v>#VALUE!</v>
      </c>
      <c r="CO119" s="1531" t="e">
        <f aca="false">IF(OR(BQ119,BS119),VLOOKUP(A119,GasTable,13)*HeatRatePeak*(1+VLOOKUP($B119,HeatRateDegradation,$C119+1))/1000,0)</f>
        <v>#VALUE!</v>
      </c>
      <c r="CP119" s="1316" t="e">
        <f aca="false">IF(OR(BQ119,BS119),VLOOKUP(A119,GasTable,13)*HeatRatePeak*(1+VLOOKUP($B119,HeatRateDegradation,$C119+1))/1000,0)</f>
        <v>#VALUE!</v>
      </c>
      <c r="CQ119" s="1316" t="e">
        <f aca="false">IF(OR(BQ119,BS119),VLOOKUP(A119,GasTable,13)*IF(EV119,HeatRatePeak,HeatRateOffPeak)*(1+VLOOKUP($B119,HeatRateDegradation,$C119+1))/1000,0)</f>
        <v>#VALUE!</v>
      </c>
      <c r="CR119" s="1316" t="e">
        <f aca="false">IF(OR(BQ119,BS119),VLOOKUP(A119,GasTable,13)*IF(EW119,HeatRatePeak,HeatRateOffPeak)*(1+VLOOKUP($B119,HeatRateDegradation,$C119+1))/1000,0)</f>
        <v>#VALUE!</v>
      </c>
      <c r="CS119" s="1589" t="e">
        <f aca="false">IF(BQ119,(CO119*AZ119+CP119*BA119+CQ119*BB119+CR119*BC119)/BQ119,0)</f>
        <v>#VALUE!</v>
      </c>
      <c r="CT119" s="1316" t="e">
        <f aca="false">IF(BS119,CO119,0)</f>
        <v>#VALUE!</v>
      </c>
      <c r="CU119" s="1590" t="e">
        <f aca="false">IF(OR(BQ119,BS119),VLOOKUP(A119,GasTable,14),"")</f>
        <v>#VALUE!</v>
      </c>
      <c r="CV119" s="1568" t="e">
        <f aca="false">IF(OR(BQ119,BS119),IF(CorrPowerGasOverFlag,INDEX(CorrPowerGasOver,C119),CorrPowerGas),"")</f>
        <v>#VALUE!</v>
      </c>
      <c r="CW119" s="1316" t="e">
        <f aca="false">IF(OR($BQ119,$BS119),SpreadOptPowerMargin,0)*((1+Assumptions!$C$26)^($B119-YEAR(Assumptions!$C$17)))</f>
        <v>#VALUE!</v>
      </c>
      <c r="CX119" s="1316" t="e">
        <f aca="false">IF(OR($BQ119,$BS119),SpreadOptPowerMargin,0)*((1+Assumptions!$C$26)^($B119-YEAR(Assumptions!$C$17)))</f>
        <v>#VALUE!</v>
      </c>
      <c r="CY119" s="1316" t="e">
        <f aca="false">IF(OR($BQ119,$BS119),SpreadOptPowerMargin,0)*((1+Assumptions!$C$26)^($B119-YEAR(Assumptions!$C$17)))</f>
        <v>#VALUE!</v>
      </c>
      <c r="CZ119" s="1316" t="e">
        <f aca="false">IF(OR($BQ119,$BS119),SpreadOptPowerMargin,0)*((1+Assumptions!$C$26)^($B119-YEAR(Assumptions!$C$17)))</f>
        <v>#VALUE!</v>
      </c>
      <c r="DA119" s="1591" t="e">
        <f aca="false">IF(OR(BQ119,BS119),(CW119*(AZ119+BH119)+CX119*(BA119+BI119)+CY119*(BB119+BJ119)+CZ119*(BC119+BK119))/(BQ119+BS119),0)</f>
        <v>#VALUE!</v>
      </c>
      <c r="DB119" s="1592" t="e">
        <f aca="false">IF(OR(BQ119,BS119),CG119+IF(OVolSmile,VLOOKUP(MAX(-5,CO119+CW119-BU119),IF(OVolSmile=1,VolSmileBook,VolSmileModel),2),0),"")</f>
        <v>#VALUE!</v>
      </c>
      <c r="DC119" s="1592" t="e">
        <f aca="false">IF(OR(BQ119,BS119),CH119+IF(OVolSmile,VLOOKUP(MAX(-5,CP119+CW119-BV119),IF(OVolSmile=1,VolSmileBook,VolSmileModel),2),0),"")</f>
        <v>#VALUE!</v>
      </c>
      <c r="DD119" s="1592" t="e">
        <f aca="false">IF(OR(BQ119,BS119),CI119+IF(OVolSmile,VLOOKUP(MAX(-5,CQ119+CW119-BW119),IF(OVolSmile=1,VolSmileBook,VolSmileModel),2),0),"")</f>
        <v>#VALUE!</v>
      </c>
      <c r="DE119" s="1592" t="e">
        <f aca="false">IF(OR(BQ119,BS119),CL119+IF(OVolSmile,VLOOKUP(MAX(-5,CR119+CZ119-BX119),IF(OVolSmile=1,VolSmileBook,VolSmileModel),2),0),"")</f>
        <v>#VALUE!</v>
      </c>
      <c r="DF119" s="1592" t="e">
        <f aca="false">IF(BQ119,CM119+IF(OVolSmile,VLOOKUP(MAX(-5,CS119+DA119-BZ119),IF(OVolSmile=1,VolSmileBook,VolSmileModel),2),0),"")</f>
        <v>#VALUE!</v>
      </c>
      <c r="DG119" s="1593" t="e">
        <f aca="false">IF(BS119,CN119+IF(OVolSmile,VLOOKUP(MAX(-5,CT119+DA119-CF119),IF(OVolSmile=1,VolSmileBook,VolSmileModel),2),0),"")</f>
        <v>#VALUE!</v>
      </c>
      <c r="DH119" s="1316" t="e">
        <f aca="false">IF(AND(BU119&gt;0,CO119&gt;0,DB119&gt;0,CU119&gt;0),newSPRDOPT(BU119,CO119,CW119,0,DB119,CU119,CV119,BT119*365.25,OCallPut,0),0)</f>
        <v>#VALUE!</v>
      </c>
      <c r="DI119" s="1316" t="e">
        <f aca="false">IF(AND(BV119&gt;0,CP119&gt;0,DC119&gt;0,CU119&gt;0),newSPRDOPT(BV119,CP119,CX119,0,DC119,CU119,CV119,BT119*365.25,OCallPut,0),0)</f>
        <v>#VALUE!</v>
      </c>
      <c r="DJ119" s="1316" t="e">
        <f aca="false">IF(AND(BW119&gt;0,CQ119&gt;0,DD119&gt;0,CU119&gt;0),newSPRDOPT(BW119,CQ119,CY119,0,DD119,CU119,CV119,BT119*365.25,OCallPut,0),0)</f>
        <v>#VALUE!</v>
      </c>
      <c r="DK119" s="1316" t="e">
        <f aca="false">IF(AND(BX119&gt;0,CR119&gt;0,DE119&gt;0,CU119&gt;0),newSPRDOPT(BX119,CR119,CZ119,0,DE119,CU119,CV119,BT119*365.25,OCallPut,0),0)</f>
        <v>#VALUE!</v>
      </c>
      <c r="DL119" s="1316" t="e">
        <f aca="false">IF(OVolType,IF(AND(BZ119&gt;0,CS119&gt;0,DF119&gt;0,CU119&gt;0),newSPRDOPT(BZ119,CS119,DA119,0,DF119,CU119,CV119,BT119*365.25,OCallPut,0),0),IF(BQ119,(DH119*AZ119+DI119*BA119+DJ119*BB119+DK119*BC119)/BQ119,0))</f>
        <v>#VALUE!</v>
      </c>
      <c r="DM119" s="1316"/>
      <c r="DN119" s="1316"/>
      <c r="DO119" s="1316"/>
      <c r="DP119" s="1316"/>
      <c r="DQ119" s="1316"/>
      <c r="DR119" s="1316"/>
      <c r="DS119" s="1316"/>
      <c r="DT119" s="1316"/>
      <c r="DU119" s="1316"/>
      <c r="DV119" s="1316"/>
      <c r="DW119" s="1594" t="e">
        <f aca="false">IF(AND(BW119&gt;0,CT119&gt;0,DD119&gt;0,CU119&gt;0),newSPRDOPT(BW119,CT119,CY119,0,DD119,CU119,CV119,BT119*365.25,OCallPut,0),0)</f>
        <v>#VALUE!</v>
      </c>
      <c r="DX119" s="1316" t="e">
        <f aca="false">IF(AND(BX119&gt;0,CT119&gt;0,DE119&gt;0,CU119&gt;0),newSPRDOPT(BX119,CT119,CZ119,0,DE119,CU119,CV119,BT119*365.25,OCallPut,0),0)</f>
        <v>#VALUE!</v>
      </c>
      <c r="DY119" s="1591" t="e">
        <f aca="false">IF(BS119,(DH119*BH119+DI119*BI119+DW119*BJ119+DX119*BK119)/BS119,0)</f>
        <v>#VALUE!</v>
      </c>
      <c r="DZ119" s="1551" t="e">
        <f aca="false">DH119*AZ119</f>
        <v>#VALUE!</v>
      </c>
      <c r="EA119" s="1551" t="e">
        <f aca="false">DI119*BA119</f>
        <v>#VALUE!</v>
      </c>
      <c r="EB119" s="1551" t="e">
        <f aca="false">DJ119*BB119</f>
        <v>#VALUE!</v>
      </c>
      <c r="EC119" s="1551" t="e">
        <f aca="false">DK119*BC119</f>
        <v>#VALUE!</v>
      </c>
      <c r="ED119" s="1551" t="e">
        <f aca="false">DL119*BQ119</f>
        <v>#VALUE!</v>
      </c>
      <c r="EE119" s="1595" t="e">
        <f aca="false">IF(BQ119,IF(OCallPut,IF(BU119&gt;(CO119+CW119),BU119-(CO119+CW119),0),IF((CO119+CW119)&gt;BU119,(CO119+CW119)-BU119,0))*AZ119,0)</f>
        <v>#VALUE!</v>
      </c>
      <c r="EF119" s="1596" t="e">
        <f aca="false">IF(BQ119,IF(OCallPut,IF(BV119&gt;(CP119+CX119),BV119-(CP119+CX119),0),IF((CP119+CX119)&gt;BV119,(CP119+CX119)-BV119,0))*BA119,0)</f>
        <v>#VALUE!</v>
      </c>
      <c r="EG119" s="1596" t="e">
        <f aca="false">IF(BQ119,IF(OCallPut,IF(BW119&gt;(CQ119+CY119),BW119-(CQ119+CY119),0),IF((CQ119+CY119)&gt;BW119,(CQ119+CY119)-BW119,0))*BB119,0)</f>
        <v>#VALUE!</v>
      </c>
      <c r="EH119" s="1596" t="e">
        <f aca="false">IF(BQ119,IF(OCallPut,IF(BX119&gt;(CR119+CZ119),BX119-(CR119+CZ119),0),IF((CR119+CZ119)&gt;BX119,(CR119+CZ119)-BX119,0))*BC119,0)</f>
        <v>#VALUE!</v>
      </c>
      <c r="EI119" s="1597" t="e">
        <f aca="false">IF(BQ119,IF(OVolType,IF(OCallPut,IF(BZ119&gt;(CS119+DA119),BZ119-(CS119+DA119),0),IF((CS119+DA119)&gt;BZ119,(CS119+DA119)-BZ119,0))*BQ119,SUM(EE119:EH119)),0)</f>
        <v>#VALUE!</v>
      </c>
      <c r="EJ119" s="1595" t="e">
        <f aca="false">DZ119-EE119</f>
        <v>#VALUE!</v>
      </c>
      <c r="EK119" s="1596" t="e">
        <f aca="false">EA119-EF119</f>
        <v>#VALUE!</v>
      </c>
      <c r="EL119" s="1596" t="e">
        <f aca="false">EB119-EG119</f>
        <v>#VALUE!</v>
      </c>
      <c r="EM119" s="1596" t="e">
        <f aca="false">EC119-EH119</f>
        <v>#VALUE!</v>
      </c>
      <c r="EN119" s="1597" t="e">
        <f aca="false">ED119-EI119</f>
        <v>#VALUE!</v>
      </c>
      <c r="EO119" s="1551" t="e">
        <f aca="false">DH119*BH119</f>
        <v>#VALUE!</v>
      </c>
      <c r="EP119" s="1551" t="e">
        <f aca="false">DI119*BI119</f>
        <v>#VALUE!</v>
      </c>
      <c r="EQ119" s="1551" t="e">
        <f aca="false">DW119*BJ119</f>
        <v>#VALUE!</v>
      </c>
      <c r="ER119" s="1551" t="e">
        <f aca="false">DX119*BK119</f>
        <v>#VALUE!</v>
      </c>
      <c r="ES119" s="1551" t="e">
        <f aca="false">DY119*BS119</f>
        <v>#VALUE!</v>
      </c>
      <c r="ET119" s="1566" t="e">
        <f aca="false">IF(EI119,IF(OCallPut,IF(CA119&gt;(CT119+CW119),CA119-(CT119+CW119),0),IF((CT119+CW119)&gt;CA119,(CT119+CW119)-CA119,0))*BH119,0)</f>
        <v>#VALUE!</v>
      </c>
      <c r="EU119" s="1551" t="e">
        <f aca="false">IF(EI119,IF(OCallPut,IF(CB119&gt;(CT119+CX119),CB119-(CT119+CX119),0),IF((CT119+CX119)&gt;CB119,(CT119+CX119)-CB119,0))*BI119,0)</f>
        <v>#VALUE!</v>
      </c>
      <c r="EV119" s="1551" t="e">
        <f aca="false">IF(EI119,IF(OCallPut,IF(CC119&gt;(CT119+CY119),CC119-(CT119+CY119),0),IF((CT119+CY119)&gt;CC119,(CT119+CY119)-CC119,0))*BJ119,0)</f>
        <v>#VALUE!</v>
      </c>
      <c r="EW119" s="1551" t="e">
        <f aca="false">IF(EI119,IF(OCallPut,IF(CD119&gt;(CT119+CZ119),CD119-(CT119+CZ119),0),IF((CT119+CZ119)&gt;CD119,(CT119+CZ119)-CD119,0))*BK119,0)</f>
        <v>#VALUE!</v>
      </c>
      <c r="EX119" s="1558" t="e">
        <f aca="false">IF(EI119,SUM(ET119:EW119),0)</f>
        <v>#VALUE!</v>
      </c>
      <c r="EY119" s="1551" t="e">
        <f aca="false">EO119-ET119</f>
        <v>#VALUE!</v>
      </c>
      <c r="EZ119" s="1551" t="e">
        <f aca="false">EP119-EU119</f>
        <v>#VALUE!</v>
      </c>
      <c r="FA119" s="1551" t="e">
        <f aca="false">EQ119-EV119</f>
        <v>#VALUE!</v>
      </c>
      <c r="FB119" s="1551" t="e">
        <f aca="false">ER119-EW119</f>
        <v>#VALUE!</v>
      </c>
      <c r="FC119" s="1551" t="e">
        <f aca="false">ES119-EX119</f>
        <v>#VALUE!</v>
      </c>
      <c r="FD119" s="1525" t="n">
        <f aca="false">IF(AX119,IF(VLOOKUP(C119,MAIN!$L$17:$M$28,2)="Yes",VLOOKUP(CALC!B119,MAIN!$H$17:$I$20,2),0),0)</f>
        <v>0</v>
      </c>
      <c r="FE119" s="1552" t="e">
        <f aca="false">$FD119*16*AT119*(1-$AY119)</f>
        <v>#VALUE!</v>
      </c>
      <c r="FF119" s="1553" t="e">
        <f aca="false">$FD119*16*AU119*(1-$AY119)</f>
        <v>#VALUE!</v>
      </c>
      <c r="FG119" s="1553" t="e">
        <f aca="false">$FD119*16*(AV119+AW119)*(1-$AY119)</f>
        <v>#VALUE!</v>
      </c>
      <c r="FH119" s="1554" t="n">
        <f aca="false">$FD119*8*AX119*(1-$AY119)</f>
        <v>0</v>
      </c>
      <c r="FI119" s="1555" t="n">
        <f aca="false">IF(AX119,VLOOKUP(CALC!B119,MAIN!$H$17:$K$20,4),0)</f>
        <v>0</v>
      </c>
      <c r="FJ119" s="1553" t="e">
        <f aca="false">SUM(FE119:FH119)</f>
        <v>#VALUE!</v>
      </c>
      <c r="FK119" s="1556" t="e">
        <f aca="false">FI119*FJ119</f>
        <v>#VALUE!</v>
      </c>
      <c r="FL119" s="1551" t="e">
        <f aca="false">IF($EI119&gt;0,MIN(FE119,AZ119*(1+VLOOKUP($C119,WeatherCapacityAdjustment,2))),0)</f>
        <v>#VALUE!</v>
      </c>
      <c r="FM119" s="1551" t="e">
        <f aca="false">IF($EI119&gt;0,MIN(FF119,BA119*(1+VLOOKUP($C119,WeatherCapacityAdjustment,2))),0)</f>
        <v>#VALUE!</v>
      </c>
      <c r="FN119" s="1551" t="e">
        <f aca="false">IF($EI119&gt;0,MIN(FG119,BB119*(1+VLOOKUP($C119,WeatherCapacityAdjustment,2))),0)</f>
        <v>#VALUE!</v>
      </c>
      <c r="FO119" s="1564" t="e">
        <f aca="false">IF($EI119&gt;0,MIN(FH119,BC119*(1+VLOOKUP($C119,WeatherCapacityAdjustment,3))),0)</f>
        <v>#VALUE!</v>
      </c>
      <c r="FP119" s="1551" t="e">
        <f aca="false">IF(ET119&gt;0,MIN(FE119-FL119,BH119*(1+VLOOKUP($C119,WeatherCapacityAdjustment,2))),0)</f>
        <v>#VALUE!</v>
      </c>
      <c r="FQ119" s="1551" t="e">
        <f aca="false">IF(EU119&gt;0,MIN(FF119-FM119,BI119*(1+VLOOKUP($C119,WeatherCapacityAdjustment,2))),0)</f>
        <v>#VALUE!</v>
      </c>
      <c r="FR119" s="1551" t="e">
        <f aca="false">IF(EV119&gt;0,MIN(FG119-FN119,BJ119*(1+VLOOKUP($C119,WeatherCapacityAdjustment,2))),0)</f>
        <v>#VALUE!</v>
      </c>
      <c r="FS119" s="1558" t="e">
        <f aca="false">IF(EW119&gt;0,MIN(FH119-FO119,BK119*(1+VLOOKUP($C119,WeatherCapacityAdjustment,3))),0)</f>
        <v>#VALUE!</v>
      </c>
      <c r="FT119" s="1566" t="e">
        <f aca="false">IF(AND(Assumptions!$H$71="Yes",A119&gt;=Assumptions!$H$72,A119&lt;=Assumptions!$H$73),0,IF(AND($A119&gt;=Assumptions!$C$17,$A119&lt;=Assumptions!$C$18),MAX(AZ119*(1+VLOOKUP($C119,WeatherCapacityAdjustment,2))-FL119,0),0))</f>
        <v>#VALUE!</v>
      </c>
      <c r="FU119" s="1551" t="e">
        <f aca="false">IF(AND(Assumptions!$H$71="Yes",A119&gt;=Assumptions!$H$72,A119&lt;=Assumptions!$H$73),0,IF(AND($A119&gt;=Assumptions!$C$17,$A119&lt;=Assumptions!$C$18),MAX(BA119*(1+VLOOKUP($C119,WeatherCapacityAdjustment,2))-FM119,0),0))</f>
        <v>#VALUE!</v>
      </c>
      <c r="FV119" s="1551" t="e">
        <f aca="false">IF(AND(Assumptions!$H$71="Yes",A119&gt;=Assumptions!$H$72,A119&lt;=Assumptions!$H$73),0,IF(AND($A119&gt;=Assumptions!$C$17,$A119&lt;=Assumptions!$C$18),MAX(BB119*(1+VLOOKUP($C119,WeatherCapacityAdjustment,2))-FN119,0),0))</f>
        <v>#VALUE!</v>
      </c>
      <c r="FW119" s="1564" t="e">
        <f aca="false">IF(AND(Assumptions!$H$71="Yes",A119&gt;=Assumptions!$H$72,A119&lt;=Assumptions!$H$73),0,IF(AND($A119&gt;=Assumptions!$C$17,$A119&lt;=Assumptions!$C$18),MAX(BC119*(1+VLOOKUP($C119,WeatherCapacityAdjustment,3))-FO119,0),0))</f>
        <v>#VALUE!</v>
      </c>
      <c r="FX119" s="1569" t="e">
        <f aca="false">IF(AND(Assumptions!$H$71="Yes",A119&gt;=Assumptions!$H$72,A119&lt;=Assumptions!$H$73),0,IF(ET119&gt;0,MAX(BH119*(1+VLOOKUP($C119,WeatherCapacityAdjustment,2))-FP119,0),0))</f>
        <v>#VALUE!</v>
      </c>
      <c r="FY119" s="1551" t="e">
        <f aca="false">IF(AND(Assumptions!$H$71="Yes",A119&gt;=Assumptions!$H$72,A119&lt;=Assumptions!$H$73),0,IF(EU119&gt;0,MAX(BI119*(1+VLOOKUP($C119,WeatherCapacityAdjustment,3))-FQ119,0),0))</f>
        <v>#VALUE!</v>
      </c>
      <c r="FZ119" s="1551" t="e">
        <f aca="false">IF(AND(Assumptions!$H$71="Yes",A119&gt;=Assumptions!$H$72,A119&lt;=Assumptions!$H$73),0,IF(EV119&gt;0,MAX(BJ119*(1+VLOOKUP($C119,WeatherCapacityAdjustment,2))-FR119,0),0))</f>
        <v>#VALUE!</v>
      </c>
      <c r="GA119" s="1564" t="e">
        <f aca="false">IF(AND(Assumptions!$H$71="Yes",A119&gt;=Assumptions!$H$72,A119&lt;=Assumptions!$H$73),0,IF(EW119&gt;0,MAX(BK119*(1+VLOOKUP($C119,WeatherCapacityAdjustment,2))-FS119,0),0))</f>
        <v>#VALUE!</v>
      </c>
      <c r="GB119" s="1551" t="e">
        <f aca="false">SUM(FT119:GA119)</f>
        <v>#VALUE!</v>
      </c>
      <c r="GC119" s="1563" t="e">
        <f aca="false">+IF(SUM(FT119:GA119)=0,0,(SUMPRODUCT(BU119:BX119,FT119:FW119)+SUMPRODUCT(CA119:CD119,FX119:GA119))/SUM(FT119:GA119))</f>
        <v>#VALUE!</v>
      </c>
      <c r="GD119" s="1551" t="e">
        <f aca="false">(FT119*BU119+FX119*CA119+FU119*BV119+FY119*CB119+FV119*BW119+FZ119*CC119+FW119*BX119+GA119*CD119)</f>
        <v>#VALUE!</v>
      </c>
      <c r="GE119" s="1561" t="e">
        <f aca="false">+IF(BQ119,((FL119+FM119+FT119+FU119)*HeatRatePeak/1000*(1+VLOOKUP($C119,WeatherHeatRateAdjustment,2))+(FN119+FV119)*IF(EV119&gt;0,HeatRatePeak,HeatRateOffPeak)/1000*(1+VLOOKUP($C119,WeatherHeatRateAdjustment,2))+(FO119+FW119)*IF(EW119&gt;0,HeatRatePeak,HeatRateOffPeak)/1000*(1+VLOOKUP($C119,WeatherHeatRateAdjustment,3)))*(1+VLOOKUP($B119,HeatRateDegradation,$C119+1)),0)</f>
        <v>#VALUE!</v>
      </c>
      <c r="GF119" s="1562" t="e">
        <f aca="false">IF(BQ119,((FP119+FQ119+FR119+FX119+FY119+FZ119)*HeatRatePeak/1000*(1+VLOOKUP($C119,WeatherHeatRateAdjustment,2))+(FS119+GA119)*HeatRatePeak/1000*(1+VLOOKUP($C119,WeatherHeatRateAdjustment,3)))*(1+VLOOKUP($B119,HeatRateDegradation,$C119+1)),0)</f>
        <v>#VALUE!</v>
      </c>
      <c r="GG119" s="1563" t="e">
        <f aca="false">IF(BQ119,VLOOKUP(A119,GasTable,13),0)</f>
        <v>#VALUE!</v>
      </c>
      <c r="GH119" s="1564" t="e">
        <f aca="false">(GE119+GF119)*GG119</f>
        <v>#VALUE!</v>
      </c>
      <c r="GI119" s="1569" t="e">
        <f aca="false">GB119</f>
        <v>#VALUE!</v>
      </c>
      <c r="GJ119" s="1598" t="e">
        <f aca="false">+DA119</f>
        <v>#VALUE!</v>
      </c>
      <c r="GK119" s="1558" t="e">
        <f aca="false">+GI119*GJ119</f>
        <v>#VALUE!</v>
      </c>
      <c r="GL119" s="1566" t="e">
        <f aca="false">MAX(FE119-FL119-FP119,0)</f>
        <v>#VALUE!</v>
      </c>
      <c r="GM119" s="1551" t="e">
        <f aca="false">MAX(FF119-FM119-FQ119,0)</f>
        <v>#VALUE!</v>
      </c>
      <c r="GN119" s="1551" t="e">
        <f aca="false">MAX(FG119-FN119-FR119,0)</f>
        <v>#VALUE!</v>
      </c>
      <c r="GO119" s="1564" t="e">
        <f aca="false">MAX(FH119-FO119-FS119,0)</f>
        <v>#VALUE!</v>
      </c>
      <c r="GP119" s="1551" t="e">
        <f aca="false">SUM(GL119:GO119)</f>
        <v>#VALUE!</v>
      </c>
      <c r="GQ119" s="1563" t="e">
        <f aca="false">IF(SUM(GL119:GO119)=0,0,((GL119*BU119+GM119*BV119+GN119*BW119+GO119*BX119)/SUM(GL119:GO119)))</f>
        <v>#VALUE!</v>
      </c>
      <c r="GR119" s="1558" t="e">
        <f aca="false">(GL119*BU119+GM119*BV119+GN119*BW119+GO119*BX119)</f>
        <v>#VALUE!</v>
      </c>
      <c r="GS119" s="1566" t="n">
        <f aca="false">IF($A119&gt;=BegDate,Assumptions!$C$56*24*($A120-$A119)*(1-VLOOKUP($B119,MAIN!$AA$7:$AM$28,$C119+1))*(1-VLOOKUP($B119,MAIN!$AA$33:$AM$54,$C119+1)),0)*80/168</f>
        <v>249428.571428571</v>
      </c>
      <c r="GT119" s="286" t="n">
        <f aca="false">J119</f>
        <v>47.6328748071423</v>
      </c>
      <c r="GU119" s="286" t="n">
        <f aca="false">IF($A119&gt;=BegDate,VLOOKUP($A119,GasTable,13)+Assumptions!$C$58,0)</f>
        <v>3.12589306649834</v>
      </c>
      <c r="GV119" s="286" t="n">
        <f aca="false">GU119*Assumptions!$C$57/1000</f>
        <v>22.662724732113</v>
      </c>
      <c r="GW119" s="1558" t="n">
        <f aca="false">IF(Assumptions!$C$60="Hourly",MAX(0,GS119*(GT119-GV119)),GS119*(GT119-GV119))</f>
        <v>6228268.86157161</v>
      </c>
      <c r="GX119" s="1566" t="n">
        <f aca="false">IF($A119&gt;=BegDate,Assumptions!$C$56*24*($A120-$A119)*(1-VLOOKUP($B119,MAIN!$AA$7:$AM$28,$C119+1))*(1-VLOOKUP($B119,MAIN!$AA$33:$AM$54,$C119+1)),0)*16/168</f>
        <v>49885.7142857143</v>
      </c>
      <c r="GY119" s="286" t="n">
        <f aca="false">M119</f>
        <v>47.6328748071423</v>
      </c>
      <c r="GZ119" s="286" t="n">
        <f aca="false">IF($A119&gt;=BegDate,VLOOKUP($A119,GasTable,13)+Assumptions!$C$58,0)</f>
        <v>3.12589306649834</v>
      </c>
      <c r="HA119" s="286" t="n">
        <f aca="false">GZ119*Assumptions!$C$57/1000</f>
        <v>22.662724732113</v>
      </c>
      <c r="HB119" s="1558" t="n">
        <f aca="false">IF(Assumptions!$C$60="Hourly",MAX(0,GX119*(GY119-HA119)),GX119*(GY119-HA119))</f>
        <v>1245653.77231432</v>
      </c>
      <c r="HC119" s="1566" t="n">
        <f aca="false">IF($A119&gt;=BegDate,Assumptions!$C$56*24*($A120-$A119)*(1-VLOOKUP($B119,MAIN!$AA$7:$AM$28,$C119+1))*(1-VLOOKUP($B119,MAIN!$AA$33:$AM$54,$C119+1)),0)*16/168</f>
        <v>49885.7142857143</v>
      </c>
      <c r="HD119" s="286" t="n">
        <f aca="false">P119</f>
        <v>28.7732595808393</v>
      </c>
      <c r="HE119" s="286" t="n">
        <f aca="false">IF($A119&gt;=BegDate,VLOOKUP($A119,GasTable,13)+Assumptions!$C$58,0)</f>
        <v>3.12589306649834</v>
      </c>
      <c r="HF119" s="286" t="n">
        <f aca="false">HE119*Assumptions!$C$57/1000</f>
        <v>22.662724732113</v>
      </c>
      <c r="HG119" s="1558" t="n">
        <f aca="false">IF(Assumptions!$C$60="Hourly",MAX(0,HC119*(HD119-HF119)),HC119*(HD119-HF119))</f>
        <v>304828.395596465</v>
      </c>
      <c r="HH119" s="1566" t="n">
        <f aca="false">IF($A119&gt;=BegDate,Assumptions!$C$56*24*($A120-$A119)*(1-VLOOKUP($B119,MAIN!$AA$7:$AM$28,$C119+1))*(1-VLOOKUP($B119,MAIN!$AA$33:$AM$54,$C119+1)),0)*56/168</f>
        <v>174600</v>
      </c>
      <c r="HI119" s="286" t="n">
        <f aca="false">S119</f>
        <v>28.7732595808393</v>
      </c>
      <c r="HJ119" s="286" t="n">
        <f aca="false">IF($A119&gt;=BegDate,VLOOKUP($A119,GasTable,13)+Assumptions!$C$58,0)</f>
        <v>3.12589306649834</v>
      </c>
      <c r="HK119" s="286" t="n">
        <f aca="false">HJ119*Assumptions!$C$57/1000</f>
        <v>22.662724732113</v>
      </c>
      <c r="HL119" s="1558" t="n">
        <f aca="false">IF(Assumptions!$C$60="Hourly",MAX(0,HH119*(HI119-HK119)),HH119*(HI119-HK119))</f>
        <v>1066899.38458763</v>
      </c>
      <c r="HM119" s="1566" t="n">
        <f aca="false">IF(AND(Assumptions!$H$71="Yes",A119&gt;=Assumptions!$H$72,A119&lt;=Assumptions!$H$73),Assumptions!$H$74*Assumptions!$C$9*1000,0)</f>
        <v>0</v>
      </c>
      <c r="HN119" s="1551"/>
      <c r="HO119" s="1563"/>
      <c r="HP119" s="1563"/>
      <c r="HQ119" s="1563"/>
      <c r="HR119" s="1563"/>
      <c r="HS119" s="1563"/>
      <c r="HT119" s="1563"/>
      <c r="HU119" s="1563"/>
      <c r="HV119" s="1563"/>
      <c r="HW119" s="1563"/>
      <c r="HX119" s="1563"/>
      <c r="HY119" s="1563"/>
      <c r="HZ119" s="1563"/>
      <c r="IA119" s="1563"/>
      <c r="IB119" s="1563"/>
      <c r="IC119" s="1563"/>
      <c r="ID119" s="1563"/>
      <c r="IE119" s="1563"/>
      <c r="IF119" s="1563"/>
      <c r="IG119" s="1563"/>
      <c r="IH119" s="1563"/>
      <c r="II119" s="1610"/>
      <c r="IJ119" s="1309"/>
      <c r="IK119" s="1309"/>
    </row>
    <row r="120" customFormat="false" ht="12.75" hidden="false" customHeight="false" outlineLevel="0" collapsed="false">
      <c r="A120" s="1571" t="n">
        <f aca="false">EOMONTH(A119,0)+1</f>
        <v>39783</v>
      </c>
      <c r="B120" s="594" t="n">
        <f aca="false">+YEAR(A120)</f>
        <v>2008</v>
      </c>
      <c r="C120" s="238" t="n">
        <f aca="false">MONTH(A120)</f>
        <v>12</v>
      </c>
      <c r="D120" s="1572" t="e">
        <f aca="false">IF(E120="","",Holiday(B120,C120))</f>
        <v>#VALUE!</v>
      </c>
      <c r="E120" s="1573" t="n">
        <f aca="false">IF(OR(BegDate&gt;=A121,EndDate&lt;A120,AND(VolumeMonthlyOverFlag,INDEX(VolumeMonthlyOver,C120)=0),NOT(INDEX(MonthKnockOutTable,C120))),"",MAX(A120,BegDate))</f>
        <v>39783</v>
      </c>
      <c r="F120" s="1574" t="n">
        <f aca="false">IF(E120="","",MIN(A121-1,EndDate))</f>
        <v>39813</v>
      </c>
      <c r="G120" s="1575" t="n">
        <v>0</v>
      </c>
      <c r="H120" s="1576" t="n">
        <f aca="false">(1+G120/2)^(-2*(DATE(B121,C121,20)-DateToday)/365.25)</f>
        <v>1</v>
      </c>
      <c r="I120" s="1568" t="n">
        <f aca="false">IF(Assumptions!$L$25=4,VLOOKUP($A120,'Henwood Reference'!$E$9:$R$320,10),(VLOOKUP($A120,PriceTable,2,0)+IF(BasisNumber&lt;&gt;1,VLOOKUP($A120,BasisTable,2,0),0)+I$1)/(1-I$2))</f>
        <v>47.6306486543184</v>
      </c>
      <c r="J120" s="1568" t="n">
        <f aca="false">IF(Assumptions!$L$25=4,VLOOKUP($A120,'Henwood Reference'!$E$9:$R$320,10),(VLOOKUP($A120,PriceTable,3,0)+IF(BasisNumber&lt;&gt;1,VLOOKUP($A120,BasisTable,2,0),0)+J$1)/(1-J$2))</f>
        <v>47.6306486543184</v>
      </c>
      <c r="K120" s="1568" t="n">
        <f aca="false">IF(Assumptions!$L$25=4,VLOOKUP($A120,'Henwood Reference'!$E$9:$R$320,10),(VLOOKUP($A120,PriceTable,4,0)+IF(BasisNumber&lt;&gt;1,VLOOKUP($A120,BasisTable,2,0),0)+K$1)/(1-K$2))</f>
        <v>47.6306486543184</v>
      </c>
      <c r="L120" s="1523" t="n">
        <f aca="false">IF(Assumptions!$L$25=4,VLOOKUP($A120,'Henwood Reference'!$E$9:$R$320,10),(VLOOKUP($A120,PriceTableWeekend,2,0)+IF(BasisNumber&lt;&gt;1,VLOOKUP($A120,BasisTable,2,0),0)+L$1)/(1-L$2))</f>
        <v>47.6306486543184</v>
      </c>
      <c r="M120" s="1568" t="n">
        <f aca="false">IF(Assumptions!$L$25=4,VLOOKUP($A120,'Henwood Reference'!$E$9:$R$320,10),(VLOOKUP($A120,PriceTableWeekend,3,0)+IF(BasisNumber&lt;&gt;1,VLOOKUP($A120,BasisTable,2,0),0)+M$1)/(1-M$2))</f>
        <v>47.6306486543184</v>
      </c>
      <c r="N120" s="1599" t="n">
        <f aca="false">IF(Assumptions!$L$25=4,VLOOKUP($A120,'Henwood Reference'!$E$9:$R$320,10),(VLOOKUP($A120,PriceTableWeekend,4,0)+IF(BasisNumber&lt;&gt;1,VLOOKUP($A120,BasisTable,2,0),0)+N$1)/(1-N$2))</f>
        <v>47.6306486543184</v>
      </c>
      <c r="O120" s="1568" t="n">
        <f aca="false">IF(Assumptions!$L$25=4,VLOOKUP($A120,'Henwood Reference'!$E$9:$R$320,11),(VLOOKUP($A120,PriceTableWeekend,6,0)+IF(BasisNumber&lt;&gt;1,VLOOKUP($A120,BasisTable,3,0),0)+O$1)/(1-O$2))</f>
        <v>29.5508899120105</v>
      </c>
      <c r="P120" s="1568" t="n">
        <f aca="false">IF(Assumptions!$L$25=4,VLOOKUP($A120,'Henwood Reference'!$E$9:$R$320,11),(VLOOKUP($A120,PriceTableWeekend,7,0)+IF(BasisNumber&lt;&gt;1,VLOOKUP($A120,BasisTable,3,0),0)+P$1)/(1-P$2))</f>
        <v>29.5508899120105</v>
      </c>
      <c r="Q120" s="1599" t="n">
        <f aca="false">IF(Assumptions!$L$25=4,VLOOKUP($A120,'Henwood Reference'!$E$9:$R$320,11),(VLOOKUP($A120,PriceTableWeekend,8,0)+IF(BasisNumber&lt;&gt;1,VLOOKUP($A120,BasisTable,3,0),0)+Q$1)/(1-Q$2))</f>
        <v>29.5508899120105</v>
      </c>
      <c r="R120" s="1568" t="n">
        <f aca="false">IF(Assumptions!$L$25=4,VLOOKUP($A120,'Henwood Reference'!$E$9:$R$320,11),(VLOOKUP($A120,PriceTable,6,0)+IF(BasisNumber&lt;&gt;1,VLOOKUP($A120,BasisTable,3,0),0)+R$1)/(1-R$2))</f>
        <v>29.5508899120105</v>
      </c>
      <c r="S120" s="1568" t="n">
        <f aca="false">IF(Assumptions!$L$25=4,VLOOKUP($A120,'Henwood Reference'!$E$9:$R$320,11),(VLOOKUP($A120,PriceTable,7,0)+IF(BasisNumber&lt;&gt;1,VLOOKUP($A120,BasisTable,3,0),0)+S$1)/(1-S$2))</f>
        <v>29.5508899120105</v>
      </c>
      <c r="T120" s="1600" t="n">
        <f aca="false">IF(Assumptions!$L$25=4,VLOOKUP($A120,'Henwood Reference'!$E$9:$R$320,11),(VLOOKUP($A120,PriceTable,8,0)+IF(BasisNumber&lt;&gt;1,VLOOKUP($A120,BasisTable,3,0),0)+T$1)/(1-T$2))</f>
        <v>29.5508899120105</v>
      </c>
      <c r="U120" s="1513" t="n">
        <f aca="false">VLOOKUP($A120,VolatilityTable,14)</f>
        <v>0.13</v>
      </c>
      <c r="V120" s="1513" t="n">
        <f aca="false">VLOOKUP($A120,VolatilityTable,15)</f>
        <v>0.14</v>
      </c>
      <c r="W120" s="1514" t="n">
        <f aca="false">VLOOKUP($A120,VolatilityTable,16)</f>
        <v>0.15</v>
      </c>
      <c r="X120" s="1513" t="n">
        <f aca="false">VLOOKUP($A120,VolatilityTable,14)</f>
        <v>0.13</v>
      </c>
      <c r="Y120" s="1513" t="n">
        <f aca="false">VLOOKUP($A120,VolatilityTable,15)</f>
        <v>0.14</v>
      </c>
      <c r="Z120" s="1514" t="n">
        <f aca="false">VLOOKUP($A120,VolatilityTable,16)</f>
        <v>0.15</v>
      </c>
      <c r="AA120" s="1513" t="n">
        <f aca="false">VLOOKUP($A120,VolatilityTable,18)</f>
        <v>0.09</v>
      </c>
      <c r="AB120" s="1513" t="n">
        <f aca="false">VLOOKUP($A120,VolatilityTable,19)</f>
        <v>0.11</v>
      </c>
      <c r="AC120" s="1514" t="n">
        <f aca="false">VLOOKUP($A120,VolatilityTable,20)</f>
        <v>0.13</v>
      </c>
      <c r="AD120" s="1513" t="n">
        <f aca="false">VLOOKUP($A120,VolatilityTable,18)</f>
        <v>0.09</v>
      </c>
      <c r="AE120" s="1513" t="n">
        <f aca="false">VLOOKUP($A120,VolatilityTable,19)</f>
        <v>0.11</v>
      </c>
      <c r="AF120" s="1514" t="n">
        <f aca="false">VLOOKUP($A120,VolatilityTable,20)</f>
        <v>0.13</v>
      </c>
      <c r="AG120" s="1513" t="n">
        <f aca="false">VLOOKUP($A120,VolatilityTable,22)</f>
        <v>-0.25</v>
      </c>
      <c r="AH120" s="1513" t="n">
        <f aca="false">VLOOKUP($A120,VolatilityTable,23)</f>
        <v>0.6</v>
      </c>
      <c r="AI120" s="1514" t="n">
        <f aca="false">VLOOKUP($A120,VolatilityTable,24)</f>
        <v>0.25</v>
      </c>
      <c r="AJ120" s="1513" t="n">
        <f aca="false">VLOOKUP($A120,VolatilityTable,22)</f>
        <v>-0.25</v>
      </c>
      <c r="AK120" s="1513" t="n">
        <f aca="false">VLOOKUP($A120,VolatilityTable,23)</f>
        <v>0.6</v>
      </c>
      <c r="AL120" s="1514" t="n">
        <f aca="false">VLOOKUP($A120,VolatilityTable,24)</f>
        <v>0.25</v>
      </c>
      <c r="AM120" s="1513" t="n">
        <f aca="false">VLOOKUP($A120,VolatilityTable,26)</f>
        <v>-0.01</v>
      </c>
      <c r="AN120" s="1513" t="n">
        <f aca="false">VLOOKUP($A120,VolatilityTable,27)</f>
        <v>0.16</v>
      </c>
      <c r="AO120" s="1514" t="n">
        <f aca="false">VLOOKUP($A120,VolatilityTable,28)</f>
        <v>0.01</v>
      </c>
      <c r="AP120" s="1513" t="n">
        <f aca="false">VLOOKUP($A120,VolatilityTable,26)</f>
        <v>-0.01</v>
      </c>
      <c r="AQ120" s="1513" t="n">
        <f aca="false">VLOOKUP($A120,VolatilityTable,27)</f>
        <v>0.16</v>
      </c>
      <c r="AR120" s="1515" t="n">
        <f aca="false">VLOOKUP($A120,VolatilityTable,28)</f>
        <v>0.01</v>
      </c>
      <c r="AS120" s="1581" t="n">
        <f aca="false">IF(CorrPeakOffPeakOverFlag,INDEX(CorrPeakOffPeakOver,C120),CorrPeakOffPeak)</f>
        <v>0.5</v>
      </c>
      <c r="AT120" s="594" t="e">
        <f aca="false">AX120-SUM(AU120:AW120)</f>
        <v>#VALUE!</v>
      </c>
      <c r="AU120" s="238" t="e">
        <f aca="false">IF(E120="",0,INT((F120-MOD(F120,7)-E120)/7)+1-IF(AW120,IF(WEEKDAY(D120)=7,1,0),0))</f>
        <v>#VALUE!</v>
      </c>
      <c r="AV120" s="238" t="e">
        <f aca="false">IF(E120="",0,INT((F120-MOD(F120-1,7)-E120)/7)+1-IF(AW120,IF(WEEKDAY(D120)=1,1,0),0))</f>
        <v>#VALUE!</v>
      </c>
      <c r="AW120" s="238" t="e">
        <f aca="false">IF(OR(E120="",D120="",D120&lt;BegDate,D120&gt;EndDate),0,1)</f>
        <v>#VALUE!</v>
      </c>
      <c r="AX120" s="238" t="n">
        <f aca="false">IF(E120="",0,F120-E120+1)</f>
        <v>31</v>
      </c>
      <c r="AY120" s="1582" t="n">
        <f aca="false">IF(E120="",0,MIN((1-(1-VLOOKUP(B120,MAIN!$AA$7:$AM$28,C120+1))*(1-VLOOKUP(B120,MAIN!$AA$33:$AM$54,C120+1))),1))</f>
        <v>0.03</v>
      </c>
      <c r="AZ120" s="1519" t="e">
        <v>#VALUE!</v>
      </c>
      <c r="BA120" s="1520" t="e">
        <v>#VALUE!</v>
      </c>
      <c r="BB120" s="1520" t="e">
        <v>#VALUE!</v>
      </c>
      <c r="BC120" s="1583" t="e">
        <v>#VALUE!</v>
      </c>
      <c r="BD120" s="1522" t="e">
        <v>#VALUE!</v>
      </c>
      <c r="BE120" s="1523" t="e">
        <v>#VALUE!</v>
      </c>
      <c r="BF120" s="1523" t="e">
        <v>#VALUE!</v>
      </c>
      <c r="BG120" s="1584" t="e">
        <v>#VALUE!</v>
      </c>
      <c r="BH120" s="1525" t="e">
        <v>#VALUE!</v>
      </c>
      <c r="BI120" s="1520" t="e">
        <v>#VALUE!</v>
      </c>
      <c r="BJ120" s="1520" t="e">
        <v>#VALUE!</v>
      </c>
      <c r="BK120" s="1583" t="e">
        <v>#VALUE!</v>
      </c>
      <c r="BL120" s="1522" t="e">
        <v>#VALUE!</v>
      </c>
      <c r="BM120" s="1523" t="e">
        <v>#VALUE!</v>
      </c>
      <c r="BN120" s="1523" t="e">
        <v>#VALUE!</v>
      </c>
      <c r="BO120" s="1523" t="e">
        <v>#VALUE!</v>
      </c>
      <c r="BP120" s="1525" t="e">
        <f aca="false">SUM(AZ120:BB120)</f>
        <v>#VALUE!</v>
      </c>
      <c r="BQ120" s="1529" t="e">
        <f aca="false">SUM(AZ120:BC120)</f>
        <v>#VALUE!</v>
      </c>
      <c r="BR120" s="1519" t="e">
        <f aca="false">SUM(BH120:BJ120)</f>
        <v>#VALUE!</v>
      </c>
      <c r="BS120" s="1529" t="e">
        <f aca="false">SUM(BH120:BK120)</f>
        <v>#VALUE!</v>
      </c>
      <c r="BT120" s="1316" t="n">
        <f aca="false">(IF(OVolType&lt;&gt;2,A120+14,IF(OptExpDateShift,ShiftBack(A120,OptExpDateShift,D119),A120))-DateToday)/365.25</f>
        <v>8.63244353182752</v>
      </c>
      <c r="BU120" s="1585" t="e">
        <f aca="false">IF(BQ120,IF(OPriceCurve,IF(OBuySell=OCallPut,I120/(1-AY120),K120/(1-AY120)),J120/(1-AY120))*BD120,0)</f>
        <v>#VALUE!</v>
      </c>
      <c r="BV120" s="1316" t="e">
        <f aca="false">IF(BQ120,IF(OPriceCurve,IF(OBuySell=OCallPut,L120/(1-AY120),N120/(1-AY120)),M120/(1-AY120))*BE120,0)</f>
        <v>#VALUE!</v>
      </c>
      <c r="BW120" s="1316" t="e">
        <f aca="false">IF(BQ120,IF(OPriceCurve,IF(OBuySell=OCallPut,O120/(1-AY120),Q120/(1-AY120)),P120/(1-AY120))*BF120,0)</f>
        <v>#VALUE!</v>
      </c>
      <c r="BX120" s="1316" t="e">
        <f aca="false">IF(BQ120,IF(OPriceCurve,IF(OBuySell=OCallPut,R120/(1-AY120),T120/(1-AY120)),S120/(1-AY120))*BG120,0)</f>
        <v>#VALUE!</v>
      </c>
      <c r="BY120" s="1316" t="e">
        <f aca="false">IF(BP120,(BU120*AZ120+BV120*BA120+BW120*BB120)/BP120,0)</f>
        <v>#VALUE!</v>
      </c>
      <c r="BZ120" s="1316" t="e">
        <f aca="false">IF(BQ120,(BY120*BP120+BX120*BC120)/BQ120,0)</f>
        <v>#VALUE!</v>
      </c>
      <c r="CA120" s="1531" t="e">
        <f aca="false">IF(BS120,IF(OPriceCurve,IF(OBuySell=OCallPut,I120/(1-AY120),K120/(1-AY120)),J120/(1-AY120))*BL120,0)</f>
        <v>#VALUE!</v>
      </c>
      <c r="CB120" s="1316" t="e">
        <f aca="false">IF(BS120,IF(OPriceCurve,IF(OBuySell=OCallPut,L120/(1-AY120),N120/(1-AY120)),M120/(1-AY120))*BM120,0)</f>
        <v>#VALUE!</v>
      </c>
      <c r="CC120" s="1316" t="e">
        <f aca="false">IF(BS120,IF(OPriceCurve,IF(OBuySell=OCallPut,O120/(1-AY120),Q120/(1-AY120)),P120/(1-AY120))*BN120,0)</f>
        <v>#VALUE!</v>
      </c>
      <c r="CD120" s="1316" t="e">
        <f aca="false">IF(BS120,IF(OPriceCurve,IF(OBuySell=OCallPut,R120/(1-AY120),T120/(1-AY120)),S120/(1-AY120))*BO120,0)</f>
        <v>#VALUE!</v>
      </c>
      <c r="CE120" s="1316" t="e">
        <f aca="false">IF(BR120,(BU120*BH120+BV120*BI120+BW120*BJ120)/BR120,0)</f>
        <v>#VALUE!</v>
      </c>
      <c r="CF120" s="1532" t="e">
        <f aca="false">IF(BS120,(CE120*BR120+CD120*BK120)/BS120,0)</f>
        <v>#VALUE!</v>
      </c>
      <c r="CG120" s="1586" t="e">
        <f aca="false">IF(OR(BQ120,BS120),IF(OVolType&lt;&gt;2,SQRT(IF(OVolOverMonthlyPeak,OVolOverMonthlyPeak,IF(OVolCurve,IF(OBuySell,U120,W120),V120))^2*(1-15/365.25/BT120)+IF(OVolOverDailyPeak,OVolOverDailyPeak,IF(OVolCurve,IF(OBuySell,AG120,AI120),AH120))^2*15/365.25/BT120),IF(OVolOverMonthlyPeak,OVolOverMonthlyPeak,IF(OVolCurve,IF(OBuySell,U120,W120),V120))),"")</f>
        <v>#VALUE!</v>
      </c>
      <c r="CH120" s="1587" t="e">
        <f aca="false">IF(OR(BQ120,BS120),IF(OVolType&lt;&gt;2,SQRT(IF(OVolOverMonthlyPeak,OVolOverMonthlyPeak,IF(OVolCurve,IF(OBuySell,X120,Z120),Y120))^2*(1-15/365.25/BT120)+IF(OVolOverDailyPeak,OVolOverDailyPeak,IF(OVolCurve,IF(OBuySell,AJ120,AL120),AK120))^2*15/365.25/BT120),IF(OVolOverMonthlyPeak,OVolOverMonthlyPeak,IF(OVolCurve,IF(OBuySell,X120,Z120),Y120))),"")</f>
        <v>#VALUE!</v>
      </c>
      <c r="CI120" s="1587" t="e">
        <f aca="false">IF(OR(BQ120,BS120),IF(OVolType&lt;&gt;2,SQRT(IF(OVolOverMonthlyPeak,OVolOverMonthlyPeak,IF(OVolCurve,IF(OBuySell,AA120,AC120),AB120))^2*(1-15/365.25/BT120)+IF(OVolOverDailyPeak,OVolOverDailyPeak,IF(OVolCurve,IF(OBuySell,AM120,AO120),AN120))^2*15/365.25/BT120),IF(OVolOverMonthlyPeak,OVolOverMonthlyPeak,IF(OVolCurve,IF(OBuySell,AA120,AC120),AB120))),"")</f>
        <v>#VALUE!</v>
      </c>
      <c r="CJ120" s="1587" t="e">
        <f aca="false">IF(BQ120,IF(BP120,SQRT(LN(1+((BU120*AZ120)^2*(EXP(CG120^2*BT120)-1)+(BV120*BA120)^2*(EXP(CH120^2*BT120)-1)+(BW120*BB120)^2*(EXP(CI120^2*BT120)-1)+2*BU120*AZ120*BV120*BA120*(EXP(CG120*CH120*BT120)-1)+2*BV120*BA120*BW120*BB120*(EXP(CH120*CI120*BT120)-1)+2*BW120*BB120*BU120*AZ120*(EXP(CI120*CG120*BT120)-1))/(BY120*BP120)^2)/BT120),0),"")</f>
        <v>#VALUE!</v>
      </c>
      <c r="CK120" s="1587" t="e">
        <f aca="false">IF(BS120,IF(BR120,SQRT(LN(1+((CA120*BH120)^2*(EXP(CG120^2*BT120)-1)+(CB120*BI120)^2*(EXP(CH120^2*BT120)-1)+(CC120*BJ120)^2*(EXP(CI120^2*BT120)-1)+2*CA120*BH120*CB120*BI120*(EXP(CG120*CH120*BT120)-1)+2*CB120*BI120*CC120*BJ120*(EXP(CH120*CI120*BT120)-1)+2*CC120*BJ120*CA120*BH120*(EXP(CI120*CG120*BT120)-1))/(CE120*BR120)^2)/BT120),0),"")</f>
        <v>#VALUE!</v>
      </c>
      <c r="CL120" s="1587" t="e">
        <f aca="false">IF(OR(BQ120,BS120),IF(OVolType&lt;&gt;2,SQRT(IF(OVolOverMonthlyOffPeak,OVolOverMonthlyOffPeak,IF(OVolCurve,IF(OBuySell,AD120,AF120),AE120))^2*(1-15/365.25/BT120)+IF(OVolOverDailyOffPeak,OVolOverDailyOffPeak,IF(OVolCurve,IF(OBuySell,AP120,AR120),AQ120))^2*15/365.25/BT120),IF(OVolOverMonthlyOffPeak,OVolOverMonthlyOffPeak,IF(OVolCurve,IF(OBuySell,AD120,AF120),AE120))),"")</f>
        <v>#VALUE!</v>
      </c>
      <c r="CM120" s="1587" t="e">
        <f aca="false">IF(BQ120,SQRT(LN(1+((BY120*BP120)^2*(EXP(CJ120^2*BT120)-1)+(BX120*BC120)^2*(EXP(CL120^2*BT120)-1)+2*BY120*BP120*BX120*BC120*(EXP(AS120*CJ120*CL120*BT120)-1))/(BY120*BP120+BX120*BC120)^2)/BT120),"")</f>
        <v>#VALUE!</v>
      </c>
      <c r="CN120" s="1588" t="e">
        <f aca="false">IF(BS120,SQRT(LN(1+((CE120*BR120)^2*(EXP(CK120^2*BT120)-1)+(CD120*BK120)^2*(EXP(CL120^2*BT120)-1)+2*CE120*BR120*CD120*BK120*(EXP(AS120*CK120*CL120*BT120)-1))/(CE120*BR120+CD120*BK120)^2)/BT120),"")</f>
        <v>#VALUE!</v>
      </c>
      <c r="CO120" s="1531" t="e">
        <f aca="false">IF(OR(BQ120,BS120),VLOOKUP(A120,GasTable,13)*HeatRatePeak*(1+VLOOKUP($B120,HeatRateDegradation,$C120+1))/1000,0)</f>
        <v>#VALUE!</v>
      </c>
      <c r="CP120" s="1316" t="e">
        <f aca="false">IF(OR(BQ120,BS120),VLOOKUP(A120,GasTable,13)*HeatRatePeak*(1+VLOOKUP($B120,HeatRateDegradation,$C120+1))/1000,0)</f>
        <v>#VALUE!</v>
      </c>
      <c r="CQ120" s="1316" t="e">
        <f aca="false">IF(OR(BQ120,BS120),VLOOKUP(A120,GasTable,13)*IF(EV120,HeatRatePeak,HeatRateOffPeak)*(1+VLOOKUP($B120,HeatRateDegradation,$C120+1))/1000,0)</f>
        <v>#VALUE!</v>
      </c>
      <c r="CR120" s="1316" t="e">
        <f aca="false">IF(OR(BQ120,BS120),VLOOKUP(A120,GasTable,13)*IF(EW120,HeatRatePeak,HeatRateOffPeak)*(1+VLOOKUP($B120,HeatRateDegradation,$C120+1))/1000,0)</f>
        <v>#VALUE!</v>
      </c>
      <c r="CS120" s="1589" t="e">
        <f aca="false">IF(BQ120,(CO120*AZ120+CP120*BA120+CQ120*BB120+CR120*BC120)/BQ120,0)</f>
        <v>#VALUE!</v>
      </c>
      <c r="CT120" s="1316" t="e">
        <f aca="false">IF(BS120,CO120,0)</f>
        <v>#VALUE!</v>
      </c>
      <c r="CU120" s="1590" t="e">
        <f aca="false">IF(OR(BQ120,BS120),VLOOKUP(A120,GasTable,14),"")</f>
        <v>#VALUE!</v>
      </c>
      <c r="CV120" s="1568" t="e">
        <f aca="false">IF(OR(BQ120,BS120),IF(CorrPowerGasOverFlag,INDEX(CorrPowerGasOver,C120),CorrPowerGas),"")</f>
        <v>#VALUE!</v>
      </c>
      <c r="CW120" s="1316" t="e">
        <f aca="false">IF(OR($BQ120,$BS120),SpreadOptPowerMargin,0)*((1+Assumptions!$C$26)^($B120-YEAR(Assumptions!$C$17)))</f>
        <v>#VALUE!</v>
      </c>
      <c r="CX120" s="1316" t="e">
        <f aca="false">IF(OR($BQ120,$BS120),SpreadOptPowerMargin,0)*((1+Assumptions!$C$26)^($B120-YEAR(Assumptions!$C$17)))</f>
        <v>#VALUE!</v>
      </c>
      <c r="CY120" s="1316" t="e">
        <f aca="false">IF(OR($BQ120,$BS120),SpreadOptPowerMargin,0)*((1+Assumptions!$C$26)^($B120-YEAR(Assumptions!$C$17)))</f>
        <v>#VALUE!</v>
      </c>
      <c r="CZ120" s="1316" t="e">
        <f aca="false">IF(OR($BQ120,$BS120),SpreadOptPowerMargin,0)*((1+Assumptions!$C$26)^($B120-YEAR(Assumptions!$C$17)))</f>
        <v>#VALUE!</v>
      </c>
      <c r="DA120" s="1591" t="e">
        <f aca="false">IF(OR(BQ120,BS120),(CW120*(AZ120+BH120)+CX120*(BA120+BI120)+CY120*(BB120+BJ120)+CZ120*(BC120+BK120))/(BQ120+BS120),0)</f>
        <v>#VALUE!</v>
      </c>
      <c r="DB120" s="1592" t="e">
        <f aca="false">IF(OR(BQ120,BS120),CG120+IF(OVolSmile,VLOOKUP(MAX(-5,CO120+CW120-BU120),IF(OVolSmile=1,VolSmileBook,VolSmileModel),2),0),"")</f>
        <v>#VALUE!</v>
      </c>
      <c r="DC120" s="1592" t="e">
        <f aca="false">IF(OR(BQ120,BS120),CH120+IF(OVolSmile,VLOOKUP(MAX(-5,CP120+CW120-BV120),IF(OVolSmile=1,VolSmileBook,VolSmileModel),2),0),"")</f>
        <v>#VALUE!</v>
      </c>
      <c r="DD120" s="1592" t="e">
        <f aca="false">IF(OR(BQ120,BS120),CI120+IF(OVolSmile,VLOOKUP(MAX(-5,CQ120+CW120-BW120),IF(OVolSmile=1,VolSmileBook,VolSmileModel),2),0),"")</f>
        <v>#VALUE!</v>
      </c>
      <c r="DE120" s="1592" t="e">
        <f aca="false">IF(OR(BQ120,BS120),CL120+IF(OVolSmile,VLOOKUP(MAX(-5,CR120+CZ120-BX120),IF(OVolSmile=1,VolSmileBook,VolSmileModel),2),0),"")</f>
        <v>#VALUE!</v>
      </c>
      <c r="DF120" s="1592" t="e">
        <f aca="false">IF(BQ120,CM120+IF(OVolSmile,VLOOKUP(MAX(-5,CS120+DA120-BZ120),IF(OVolSmile=1,VolSmileBook,VolSmileModel),2),0),"")</f>
        <v>#VALUE!</v>
      </c>
      <c r="DG120" s="1593" t="e">
        <f aca="false">IF(BS120,CN120+IF(OVolSmile,VLOOKUP(MAX(-5,CT120+DA120-CF120),IF(OVolSmile=1,VolSmileBook,VolSmileModel),2),0),"")</f>
        <v>#VALUE!</v>
      </c>
      <c r="DH120" s="1316" t="e">
        <f aca="false">IF(AND(BU120&gt;0,CO120&gt;0,DB120&gt;0,CU120&gt;0),newSPRDOPT(BU120,CO120,CW120,0,DB120,CU120,CV120,BT120*365.25,OCallPut,0),0)</f>
        <v>#VALUE!</v>
      </c>
      <c r="DI120" s="1316" t="e">
        <f aca="false">IF(AND(BV120&gt;0,CP120&gt;0,DC120&gt;0,CU120&gt;0),newSPRDOPT(BV120,CP120,CX120,0,DC120,CU120,CV120,BT120*365.25,OCallPut,0),0)</f>
        <v>#VALUE!</v>
      </c>
      <c r="DJ120" s="1316" t="e">
        <f aca="false">IF(AND(BW120&gt;0,CQ120&gt;0,DD120&gt;0,CU120&gt;0),newSPRDOPT(BW120,CQ120,CY120,0,DD120,CU120,CV120,BT120*365.25,OCallPut,0),0)</f>
        <v>#VALUE!</v>
      </c>
      <c r="DK120" s="1316" t="e">
        <f aca="false">IF(AND(BX120&gt;0,CR120&gt;0,DE120&gt;0,CU120&gt;0),newSPRDOPT(BX120,CR120,CZ120,0,DE120,CU120,CV120,BT120*365.25,OCallPut,0),0)</f>
        <v>#VALUE!</v>
      </c>
      <c r="DL120" s="1316" t="e">
        <f aca="false">IF(OVolType,IF(AND(BZ120&gt;0,CS120&gt;0,DF120&gt;0,CU120&gt;0),newSPRDOPT(BZ120,CS120,DA120,0,DF120,CU120,CV120,BT120*365.25,OCallPut,0),0),IF(BQ120,(DH120*AZ120+DI120*BA120+DJ120*BB120+DK120*BC120)/BQ120,0))</f>
        <v>#VALUE!</v>
      </c>
      <c r="DM120" s="1316"/>
      <c r="DN120" s="1316"/>
      <c r="DO120" s="1316"/>
      <c r="DP120" s="1316"/>
      <c r="DQ120" s="1316"/>
      <c r="DR120" s="1316"/>
      <c r="DS120" s="1316"/>
      <c r="DT120" s="1316"/>
      <c r="DU120" s="1316"/>
      <c r="DV120" s="1316"/>
      <c r="DW120" s="1594" t="e">
        <f aca="false">IF(AND(BW120&gt;0,CT120&gt;0,DD120&gt;0,CU120&gt;0),newSPRDOPT(BW120,CT120,CY120,0,DD120,CU120,CV120,BT120*365.25,OCallPut,0),0)</f>
        <v>#VALUE!</v>
      </c>
      <c r="DX120" s="1316" t="e">
        <f aca="false">IF(AND(BX120&gt;0,CT120&gt;0,DE120&gt;0,CU120&gt;0),newSPRDOPT(BX120,CT120,CZ120,0,DE120,CU120,CV120,BT120*365.25,OCallPut,0),0)</f>
        <v>#VALUE!</v>
      </c>
      <c r="DY120" s="1591" t="e">
        <f aca="false">IF(BS120,(DH120*BH120+DI120*BI120+DW120*BJ120+DX120*BK120)/BS120,0)</f>
        <v>#VALUE!</v>
      </c>
      <c r="DZ120" s="1551" t="e">
        <f aca="false">DH120*AZ120</f>
        <v>#VALUE!</v>
      </c>
      <c r="EA120" s="1551" t="e">
        <f aca="false">DI120*BA120</f>
        <v>#VALUE!</v>
      </c>
      <c r="EB120" s="1551" t="e">
        <f aca="false">DJ120*BB120</f>
        <v>#VALUE!</v>
      </c>
      <c r="EC120" s="1551" t="e">
        <f aca="false">DK120*BC120</f>
        <v>#VALUE!</v>
      </c>
      <c r="ED120" s="1551" t="e">
        <f aca="false">DL120*BQ120</f>
        <v>#VALUE!</v>
      </c>
      <c r="EE120" s="1595" t="e">
        <f aca="false">IF(BQ120,IF(OCallPut,IF(BU120&gt;(CO120+CW120),BU120-(CO120+CW120),0),IF((CO120+CW120)&gt;BU120,(CO120+CW120)-BU120,0))*AZ120,0)</f>
        <v>#VALUE!</v>
      </c>
      <c r="EF120" s="1596" t="e">
        <f aca="false">IF(BQ120,IF(OCallPut,IF(BV120&gt;(CP120+CX120),BV120-(CP120+CX120),0),IF((CP120+CX120)&gt;BV120,(CP120+CX120)-BV120,0))*BA120,0)</f>
        <v>#VALUE!</v>
      </c>
      <c r="EG120" s="1596" t="e">
        <f aca="false">IF(BQ120,IF(OCallPut,IF(BW120&gt;(CQ120+CY120),BW120-(CQ120+CY120),0),IF((CQ120+CY120)&gt;BW120,(CQ120+CY120)-BW120,0))*BB120,0)</f>
        <v>#VALUE!</v>
      </c>
      <c r="EH120" s="1596" t="e">
        <f aca="false">IF(BQ120,IF(OCallPut,IF(BX120&gt;(CR120+CZ120),BX120-(CR120+CZ120),0),IF((CR120+CZ120)&gt;BX120,(CR120+CZ120)-BX120,0))*BC120,0)</f>
        <v>#VALUE!</v>
      </c>
      <c r="EI120" s="1597" t="e">
        <f aca="false">IF(BQ120,IF(OVolType,IF(OCallPut,IF(BZ120&gt;(CS120+DA120),BZ120-(CS120+DA120),0),IF((CS120+DA120)&gt;BZ120,(CS120+DA120)-BZ120,0))*BQ120,SUM(EE120:EH120)),0)</f>
        <v>#VALUE!</v>
      </c>
      <c r="EJ120" s="1595" t="e">
        <f aca="false">DZ120-EE120</f>
        <v>#VALUE!</v>
      </c>
      <c r="EK120" s="1596" t="e">
        <f aca="false">EA120-EF120</f>
        <v>#VALUE!</v>
      </c>
      <c r="EL120" s="1596" t="e">
        <f aca="false">EB120-EG120</f>
        <v>#VALUE!</v>
      </c>
      <c r="EM120" s="1596" t="e">
        <f aca="false">EC120-EH120</f>
        <v>#VALUE!</v>
      </c>
      <c r="EN120" s="1597" t="e">
        <f aca="false">ED120-EI120</f>
        <v>#VALUE!</v>
      </c>
      <c r="EO120" s="1551" t="e">
        <f aca="false">DH120*BH120</f>
        <v>#VALUE!</v>
      </c>
      <c r="EP120" s="1551" t="e">
        <f aca="false">DI120*BI120</f>
        <v>#VALUE!</v>
      </c>
      <c r="EQ120" s="1551" t="e">
        <f aca="false">DW120*BJ120</f>
        <v>#VALUE!</v>
      </c>
      <c r="ER120" s="1551" t="e">
        <f aca="false">DX120*BK120</f>
        <v>#VALUE!</v>
      </c>
      <c r="ES120" s="1551" t="e">
        <f aca="false">DY120*BS120</f>
        <v>#VALUE!</v>
      </c>
      <c r="ET120" s="1566" t="e">
        <f aca="false">IF(EI120,IF(OCallPut,IF(CA120&gt;(CT120+CW120),CA120-(CT120+CW120),0),IF((CT120+CW120)&gt;CA120,(CT120+CW120)-CA120,0))*BH120,0)</f>
        <v>#VALUE!</v>
      </c>
      <c r="EU120" s="1551" t="e">
        <f aca="false">IF(EI120,IF(OCallPut,IF(CB120&gt;(CT120+CX120),CB120-(CT120+CX120),0),IF((CT120+CX120)&gt;CB120,(CT120+CX120)-CB120,0))*BI120,0)</f>
        <v>#VALUE!</v>
      </c>
      <c r="EV120" s="1551" t="e">
        <f aca="false">IF(EI120,IF(OCallPut,IF(CC120&gt;(CT120+CY120),CC120-(CT120+CY120),0),IF((CT120+CY120)&gt;CC120,(CT120+CY120)-CC120,0))*BJ120,0)</f>
        <v>#VALUE!</v>
      </c>
      <c r="EW120" s="1551" t="e">
        <f aca="false">IF(EI120,IF(OCallPut,IF(CD120&gt;(CT120+CZ120),CD120-(CT120+CZ120),0),IF((CT120+CZ120)&gt;CD120,(CT120+CZ120)-CD120,0))*BK120,0)</f>
        <v>#VALUE!</v>
      </c>
      <c r="EX120" s="1558" t="e">
        <f aca="false">IF(EI120,SUM(ET120:EW120),0)</f>
        <v>#VALUE!</v>
      </c>
      <c r="EY120" s="1551" t="e">
        <f aca="false">EO120-ET120</f>
        <v>#VALUE!</v>
      </c>
      <c r="EZ120" s="1551" t="e">
        <f aca="false">EP120-EU120</f>
        <v>#VALUE!</v>
      </c>
      <c r="FA120" s="1551" t="e">
        <f aca="false">EQ120-EV120</f>
        <v>#VALUE!</v>
      </c>
      <c r="FB120" s="1551" t="e">
        <f aca="false">ER120-EW120</f>
        <v>#VALUE!</v>
      </c>
      <c r="FC120" s="1551" t="e">
        <f aca="false">ES120-EX120</f>
        <v>#VALUE!</v>
      </c>
      <c r="FD120" s="1525" t="n">
        <f aca="false">IF(AX120,IF(VLOOKUP(C120,MAIN!$L$17:$M$28,2)="Yes",VLOOKUP(CALC!B120,MAIN!$H$17:$I$20,2),0),0)</f>
        <v>0</v>
      </c>
      <c r="FE120" s="1552" t="e">
        <f aca="false">$FD120*16*AT120*(1-$AY120)</f>
        <v>#VALUE!</v>
      </c>
      <c r="FF120" s="1553" t="e">
        <f aca="false">$FD120*16*AU120*(1-$AY120)</f>
        <v>#VALUE!</v>
      </c>
      <c r="FG120" s="1553" t="e">
        <f aca="false">$FD120*16*(AV120+AW120)*(1-$AY120)</f>
        <v>#VALUE!</v>
      </c>
      <c r="FH120" s="1554" t="n">
        <f aca="false">$FD120*8*AX120*(1-$AY120)</f>
        <v>0</v>
      </c>
      <c r="FI120" s="1555" t="n">
        <f aca="false">IF(AX120,VLOOKUP(CALC!B120,MAIN!$H$17:$K$20,4),0)</f>
        <v>0</v>
      </c>
      <c r="FJ120" s="1553" t="e">
        <f aca="false">SUM(FE120:FH120)</f>
        <v>#VALUE!</v>
      </c>
      <c r="FK120" s="1556" t="e">
        <f aca="false">FI120*FJ120</f>
        <v>#VALUE!</v>
      </c>
      <c r="FL120" s="1551" t="e">
        <f aca="false">IF($EI120&gt;0,MIN(FE120,AZ120*(1+VLOOKUP($C120,WeatherCapacityAdjustment,2))),0)</f>
        <v>#VALUE!</v>
      </c>
      <c r="FM120" s="1551" t="e">
        <f aca="false">IF($EI120&gt;0,MIN(FF120,BA120*(1+VLOOKUP($C120,WeatherCapacityAdjustment,2))),0)</f>
        <v>#VALUE!</v>
      </c>
      <c r="FN120" s="1551" t="e">
        <f aca="false">IF($EI120&gt;0,MIN(FG120,BB120*(1+VLOOKUP($C120,WeatherCapacityAdjustment,2))),0)</f>
        <v>#VALUE!</v>
      </c>
      <c r="FO120" s="1564" t="e">
        <f aca="false">IF($EI120&gt;0,MIN(FH120,BC120*(1+VLOOKUP($C120,WeatherCapacityAdjustment,3))),0)</f>
        <v>#VALUE!</v>
      </c>
      <c r="FP120" s="1551" t="e">
        <f aca="false">IF(ET120&gt;0,MIN(FE120-FL120,BH120*(1+VLOOKUP($C120,WeatherCapacityAdjustment,2))),0)</f>
        <v>#VALUE!</v>
      </c>
      <c r="FQ120" s="1551" t="e">
        <f aca="false">IF(EU120&gt;0,MIN(FF120-FM120,BI120*(1+VLOOKUP($C120,WeatherCapacityAdjustment,2))),0)</f>
        <v>#VALUE!</v>
      </c>
      <c r="FR120" s="1551" t="e">
        <f aca="false">IF(EV120&gt;0,MIN(FG120-FN120,BJ120*(1+VLOOKUP($C120,WeatherCapacityAdjustment,2))),0)</f>
        <v>#VALUE!</v>
      </c>
      <c r="FS120" s="1558" t="e">
        <f aca="false">IF(EW120&gt;0,MIN(FH120-FO120,BK120*(1+VLOOKUP($C120,WeatherCapacityAdjustment,3))),0)</f>
        <v>#VALUE!</v>
      </c>
      <c r="FT120" s="1566" t="e">
        <f aca="false">IF(AND(Assumptions!$H$71="Yes",A120&gt;=Assumptions!$H$72,A120&lt;=Assumptions!$H$73),0,IF(AND($A120&gt;=Assumptions!$C$17,$A120&lt;=Assumptions!$C$18),MAX(AZ120*(1+VLOOKUP($C120,WeatherCapacityAdjustment,2))-FL120,0),0))</f>
        <v>#VALUE!</v>
      </c>
      <c r="FU120" s="1551" t="e">
        <f aca="false">IF(AND(Assumptions!$H$71="Yes",A120&gt;=Assumptions!$H$72,A120&lt;=Assumptions!$H$73),0,IF(AND($A120&gt;=Assumptions!$C$17,$A120&lt;=Assumptions!$C$18),MAX(BA120*(1+VLOOKUP($C120,WeatherCapacityAdjustment,2))-FM120,0),0))</f>
        <v>#VALUE!</v>
      </c>
      <c r="FV120" s="1551" t="e">
        <f aca="false">IF(AND(Assumptions!$H$71="Yes",A120&gt;=Assumptions!$H$72,A120&lt;=Assumptions!$H$73),0,IF(AND($A120&gt;=Assumptions!$C$17,$A120&lt;=Assumptions!$C$18),MAX(BB120*(1+VLOOKUP($C120,WeatherCapacityAdjustment,2))-FN120,0),0))</f>
        <v>#VALUE!</v>
      </c>
      <c r="FW120" s="1564" t="e">
        <f aca="false">IF(AND(Assumptions!$H$71="Yes",A120&gt;=Assumptions!$H$72,A120&lt;=Assumptions!$H$73),0,IF(AND($A120&gt;=Assumptions!$C$17,$A120&lt;=Assumptions!$C$18),MAX(BC120*(1+VLOOKUP($C120,WeatherCapacityAdjustment,3))-FO120,0),0))</f>
        <v>#VALUE!</v>
      </c>
      <c r="FX120" s="1569" t="e">
        <f aca="false">IF(AND(Assumptions!$H$71="Yes",A120&gt;=Assumptions!$H$72,A120&lt;=Assumptions!$H$73),0,IF(ET120&gt;0,MAX(BH120*(1+VLOOKUP($C120,WeatherCapacityAdjustment,2))-FP120,0),0))</f>
        <v>#VALUE!</v>
      </c>
      <c r="FY120" s="1551" t="e">
        <f aca="false">IF(AND(Assumptions!$H$71="Yes",A120&gt;=Assumptions!$H$72,A120&lt;=Assumptions!$H$73),0,IF(EU120&gt;0,MAX(BI120*(1+VLOOKUP($C120,WeatherCapacityAdjustment,3))-FQ120,0),0))</f>
        <v>#VALUE!</v>
      </c>
      <c r="FZ120" s="1551" t="e">
        <f aca="false">IF(AND(Assumptions!$H$71="Yes",A120&gt;=Assumptions!$H$72,A120&lt;=Assumptions!$H$73),0,IF(EV120&gt;0,MAX(BJ120*(1+VLOOKUP($C120,WeatherCapacityAdjustment,2))-FR120,0),0))</f>
        <v>#VALUE!</v>
      </c>
      <c r="GA120" s="1564" t="e">
        <f aca="false">IF(AND(Assumptions!$H$71="Yes",A120&gt;=Assumptions!$H$72,A120&lt;=Assumptions!$H$73),0,IF(EW120&gt;0,MAX(BK120*(1+VLOOKUP($C120,WeatherCapacityAdjustment,2))-FS120,0),0))</f>
        <v>#VALUE!</v>
      </c>
      <c r="GB120" s="1551" t="e">
        <f aca="false">SUM(FT120:GA120)</f>
        <v>#VALUE!</v>
      </c>
      <c r="GC120" s="1563" t="e">
        <f aca="false">+IF(SUM(FT120:GA120)=0,0,(SUMPRODUCT(BU120:BX120,FT120:FW120)+SUMPRODUCT(CA120:CD120,FX120:GA120))/SUM(FT120:GA120))</f>
        <v>#VALUE!</v>
      </c>
      <c r="GD120" s="1551" t="e">
        <f aca="false">(FT120*BU120+FX120*CA120+FU120*BV120+FY120*CB120+FV120*BW120+FZ120*CC120+FW120*BX120+GA120*CD120)</f>
        <v>#VALUE!</v>
      </c>
      <c r="GE120" s="1561" t="e">
        <f aca="false">+IF(BQ120,((FL120+FM120+FT120+FU120)*HeatRatePeak/1000*(1+VLOOKUP($C120,WeatherHeatRateAdjustment,2))+(FN120+FV120)*IF(EV120&gt;0,HeatRatePeak,HeatRateOffPeak)/1000*(1+VLOOKUP($C120,WeatherHeatRateAdjustment,2))+(FO120+FW120)*IF(EW120&gt;0,HeatRatePeak,HeatRateOffPeak)/1000*(1+VLOOKUP($C120,WeatherHeatRateAdjustment,3)))*(1+VLOOKUP($B120,HeatRateDegradation,$C120+1)),0)</f>
        <v>#VALUE!</v>
      </c>
      <c r="GF120" s="1562" t="e">
        <f aca="false">IF(BQ120,((FP120+FQ120+FR120+FX120+FY120+FZ120)*HeatRatePeak/1000*(1+VLOOKUP($C120,WeatherHeatRateAdjustment,2))+(FS120+GA120)*HeatRatePeak/1000*(1+VLOOKUP($C120,WeatherHeatRateAdjustment,3)))*(1+VLOOKUP($B120,HeatRateDegradation,$C120+1)),0)</f>
        <v>#VALUE!</v>
      </c>
      <c r="GG120" s="1563" t="e">
        <f aca="false">IF(BQ120,VLOOKUP(A120,GasTable,13),0)</f>
        <v>#VALUE!</v>
      </c>
      <c r="GH120" s="1564" t="e">
        <f aca="false">(GE120+GF120)*GG120</f>
        <v>#VALUE!</v>
      </c>
      <c r="GI120" s="1569" t="e">
        <f aca="false">GB120</f>
        <v>#VALUE!</v>
      </c>
      <c r="GJ120" s="1598" t="e">
        <f aca="false">+DA120</f>
        <v>#VALUE!</v>
      </c>
      <c r="GK120" s="1558" t="e">
        <f aca="false">+GI120*GJ120</f>
        <v>#VALUE!</v>
      </c>
      <c r="GL120" s="1566" t="e">
        <f aca="false">MAX(FE120-FL120-FP120,0)</f>
        <v>#VALUE!</v>
      </c>
      <c r="GM120" s="1551" t="e">
        <f aca="false">MAX(FF120-FM120-FQ120,0)</f>
        <v>#VALUE!</v>
      </c>
      <c r="GN120" s="1551" t="e">
        <f aca="false">MAX(FG120-FN120-FR120,0)</f>
        <v>#VALUE!</v>
      </c>
      <c r="GO120" s="1564" t="e">
        <f aca="false">MAX(FH120-FO120-FS120,0)</f>
        <v>#VALUE!</v>
      </c>
      <c r="GP120" s="1551" t="e">
        <f aca="false">SUM(GL120:GO120)</f>
        <v>#VALUE!</v>
      </c>
      <c r="GQ120" s="1563" t="e">
        <f aca="false">IF(SUM(GL120:GO120)=0,0,((GL120*BU120+GM120*BV120+GN120*BW120+GO120*BX120)/SUM(GL120:GO120)))</f>
        <v>#VALUE!</v>
      </c>
      <c r="GR120" s="1558" t="e">
        <f aca="false">(GL120*BU120+GM120*BV120+GN120*BW120+GO120*BX120)</f>
        <v>#VALUE!</v>
      </c>
      <c r="GS120" s="1566" t="n">
        <f aca="false">IF($A120&gt;=BegDate,Assumptions!$C$56*24*($A121-$A120)*(1-VLOOKUP($B120,MAIN!$AA$7:$AM$28,$C120+1))*(1-VLOOKUP($B120,MAIN!$AA$33:$AM$54,$C120+1)),0)*80/168</f>
        <v>257742.857142857</v>
      </c>
      <c r="GT120" s="286" t="n">
        <f aca="false">J120</f>
        <v>47.6306486543184</v>
      </c>
      <c r="GU120" s="286" t="n">
        <f aca="false">IF($A120&gt;=BegDate,VLOOKUP($A120,GasTable,13)+Assumptions!$C$58,0)</f>
        <v>3.25355703093103</v>
      </c>
      <c r="GV120" s="286" t="n">
        <f aca="false">GU120*Assumptions!$C$57/1000</f>
        <v>23.58828847425</v>
      </c>
      <c r="GW120" s="1558" t="n">
        <f aca="false">IF(Assumptions!$C$60="Hourly",MAX(0,GS120*(GT120-GV120)),GS120*(GT120-GV120))</f>
        <v>6196746.60526849</v>
      </c>
      <c r="GX120" s="1566" t="n">
        <f aca="false">IF($A120&gt;=BegDate,Assumptions!$C$56*24*($A121-$A120)*(1-VLOOKUP($B120,MAIN!$AA$7:$AM$28,$C120+1))*(1-VLOOKUP($B120,MAIN!$AA$33:$AM$54,$C120+1)),0)*16/168</f>
        <v>51548.5714285714</v>
      </c>
      <c r="GY120" s="286" t="n">
        <f aca="false">M120</f>
        <v>47.6306486543184</v>
      </c>
      <c r="GZ120" s="286" t="n">
        <f aca="false">IF($A120&gt;=BegDate,VLOOKUP($A120,GasTable,13)+Assumptions!$C$58,0)</f>
        <v>3.25355703093103</v>
      </c>
      <c r="HA120" s="286" t="n">
        <f aca="false">GZ120*Assumptions!$C$57/1000</f>
        <v>23.58828847425</v>
      </c>
      <c r="HB120" s="1558" t="n">
        <f aca="false">IF(Assumptions!$C$60="Hourly",MAX(0,GX120*(GY120-HA120)),GX120*(GY120-HA120))</f>
        <v>1239349.3210537</v>
      </c>
      <c r="HC120" s="1566" t="n">
        <f aca="false">IF($A120&gt;=BegDate,Assumptions!$C$56*24*($A121-$A120)*(1-VLOOKUP($B120,MAIN!$AA$7:$AM$28,$C120+1))*(1-VLOOKUP($B120,MAIN!$AA$33:$AM$54,$C120+1)),0)*16/168</f>
        <v>51548.5714285714</v>
      </c>
      <c r="HD120" s="286" t="n">
        <f aca="false">P120</f>
        <v>29.5508899120105</v>
      </c>
      <c r="HE120" s="286" t="n">
        <f aca="false">IF($A120&gt;=BegDate,VLOOKUP($A120,GasTable,13)+Assumptions!$C$58,0)</f>
        <v>3.25355703093103</v>
      </c>
      <c r="HF120" s="286" t="n">
        <f aca="false">HE120*Assumptions!$C$57/1000</f>
        <v>23.58828847425</v>
      </c>
      <c r="HG120" s="1558" t="n">
        <f aca="false">IF(Assumptions!$C$60="Hourly",MAX(0,HC120*(HD120-HF120)),HC120*(HD120-HF120))</f>
        <v>307363.586114502</v>
      </c>
      <c r="HH120" s="1566" t="n">
        <f aca="false">IF($A120&gt;=BegDate,Assumptions!$C$56*24*($A121-$A120)*(1-VLOOKUP($B120,MAIN!$AA$7:$AM$28,$C120+1))*(1-VLOOKUP($B120,MAIN!$AA$33:$AM$54,$C120+1)),0)*56/168</f>
        <v>180420</v>
      </c>
      <c r="HI120" s="286" t="n">
        <f aca="false">S120</f>
        <v>29.5508899120105</v>
      </c>
      <c r="HJ120" s="286" t="n">
        <f aca="false">IF($A120&gt;=BegDate,VLOOKUP($A120,GasTable,13)+Assumptions!$C$58,0)</f>
        <v>3.25355703093103</v>
      </c>
      <c r="HK120" s="286" t="n">
        <f aca="false">HJ120*Assumptions!$C$57/1000</f>
        <v>23.58828847425</v>
      </c>
      <c r="HL120" s="1558" t="n">
        <f aca="false">IF(Assumptions!$C$60="Hourly",MAX(0,HH120*(HI120-HK120)),HH120*(HI120-HK120))</f>
        <v>1075772.55140076</v>
      </c>
      <c r="HM120" s="1566" t="n">
        <f aca="false">IF(AND(Assumptions!$H$71="Yes",A120&gt;=Assumptions!$H$72,A120&lt;=Assumptions!$H$73),Assumptions!$H$74*Assumptions!$C$9*1000,0)</f>
        <v>0</v>
      </c>
      <c r="HN120" s="1551"/>
      <c r="HO120" s="1563"/>
      <c r="HP120" s="1563"/>
      <c r="HQ120" s="1563"/>
      <c r="HR120" s="1563"/>
      <c r="HS120" s="1563"/>
      <c r="HT120" s="1563"/>
      <c r="HU120" s="1563"/>
      <c r="HV120" s="1563"/>
      <c r="HW120" s="1563"/>
      <c r="HX120" s="1563"/>
      <c r="HY120" s="1563"/>
      <c r="HZ120" s="1563"/>
      <c r="IA120" s="1563"/>
      <c r="IB120" s="1563"/>
      <c r="IC120" s="1563"/>
      <c r="ID120" s="1563"/>
      <c r="IE120" s="1563"/>
      <c r="IF120" s="1563"/>
      <c r="IG120" s="1563"/>
      <c r="IH120" s="1563"/>
      <c r="II120" s="1610"/>
      <c r="IJ120" s="1309"/>
      <c r="IK120" s="1309"/>
    </row>
    <row r="121" customFormat="false" ht="12.75" hidden="false" customHeight="false" outlineLevel="0" collapsed="false">
      <c r="A121" s="1571" t="n">
        <f aca="false">EOMONTH(A120,0)+1</f>
        <v>39814</v>
      </c>
      <c r="B121" s="594" t="n">
        <f aca="false">+YEAR(A121)</f>
        <v>2009</v>
      </c>
      <c r="C121" s="238" t="n">
        <f aca="false">MONTH(A121)</f>
        <v>1</v>
      </c>
      <c r="D121" s="1572" t="e">
        <f aca="false">IF(E121="","",Holiday(B121,C121))</f>
        <v>#VALUE!</v>
      </c>
      <c r="E121" s="1573" t="n">
        <f aca="false">IF(OR(BegDate&gt;=A122,EndDate&lt;A121,AND(VolumeMonthlyOverFlag,INDEX(VolumeMonthlyOver,C121)=0),NOT(INDEX(MonthKnockOutTable,C121))),"",MAX(A121,BegDate))</f>
        <v>39814</v>
      </c>
      <c r="F121" s="1574" t="n">
        <f aca="false">IF(E121="","",MIN(A122-1,EndDate))</f>
        <v>39844</v>
      </c>
      <c r="G121" s="1575" t="n">
        <v>0</v>
      </c>
      <c r="H121" s="1576" t="n">
        <f aca="false">(1+G121/2)^(-2*(DATE(B122,C122,20)-DateToday)/365.25)</f>
        <v>1</v>
      </c>
      <c r="I121" s="1568" t="n">
        <f aca="false">IF(Assumptions!$L$25=4,VLOOKUP($A121,'Henwood Reference'!$E$9:$R$320,10),(VLOOKUP($A121,PriceTable,2,0)+IF(BasisNumber&lt;&gt;1,VLOOKUP($A121,BasisTable,2,0),0)+I$1)/(1-I$2))</f>
        <v>49.0862760895379</v>
      </c>
      <c r="J121" s="1568" t="n">
        <f aca="false">IF(Assumptions!$L$25=4,VLOOKUP($A121,'Henwood Reference'!$E$9:$R$320,10),(VLOOKUP($A121,PriceTable,3,0)+IF(BasisNumber&lt;&gt;1,VLOOKUP($A121,BasisTable,2,0),0)+J$1)/(1-J$2))</f>
        <v>49.0862760895379</v>
      </c>
      <c r="K121" s="1568" t="n">
        <f aca="false">IF(Assumptions!$L$25=4,VLOOKUP($A121,'Henwood Reference'!$E$9:$R$320,10),(VLOOKUP($A121,PriceTable,4,0)+IF(BasisNumber&lt;&gt;1,VLOOKUP($A121,BasisTable,2,0),0)+K$1)/(1-K$2))</f>
        <v>49.0862760895379</v>
      </c>
      <c r="L121" s="1523" t="n">
        <f aca="false">IF(Assumptions!$L$25=4,VLOOKUP($A121,'Henwood Reference'!$E$9:$R$320,10),(VLOOKUP($A121,PriceTableWeekend,2,0)+IF(BasisNumber&lt;&gt;1,VLOOKUP($A121,BasisTable,2,0),0)+L$1)/(1-L$2))</f>
        <v>49.0862760895379</v>
      </c>
      <c r="M121" s="1568" t="n">
        <f aca="false">IF(Assumptions!$L$25=4,VLOOKUP($A121,'Henwood Reference'!$E$9:$R$320,10),(VLOOKUP($A121,PriceTableWeekend,3,0)+IF(BasisNumber&lt;&gt;1,VLOOKUP($A121,BasisTable,2,0),0)+M$1)/(1-M$2))</f>
        <v>49.0862760895379</v>
      </c>
      <c r="N121" s="1599" t="n">
        <f aca="false">IF(Assumptions!$L$25=4,VLOOKUP($A121,'Henwood Reference'!$E$9:$R$320,10),(VLOOKUP($A121,PriceTableWeekend,4,0)+IF(BasisNumber&lt;&gt;1,VLOOKUP($A121,BasisTable,2,0),0)+N$1)/(1-N$2))</f>
        <v>49.0862760895379</v>
      </c>
      <c r="O121" s="1568" t="n">
        <f aca="false">IF(Assumptions!$L$25=4,VLOOKUP($A121,'Henwood Reference'!$E$9:$R$320,11),(VLOOKUP($A121,PriceTableWeekend,6,0)+IF(BasisNumber&lt;&gt;1,VLOOKUP($A121,BasisTable,3,0),0)+O$1)/(1-O$2))</f>
        <v>30.5113108232119</v>
      </c>
      <c r="P121" s="1568" t="n">
        <f aca="false">IF(Assumptions!$L$25=4,VLOOKUP($A121,'Henwood Reference'!$E$9:$R$320,11),(VLOOKUP($A121,PriceTableWeekend,7,0)+IF(BasisNumber&lt;&gt;1,VLOOKUP($A121,BasisTable,3,0),0)+P$1)/(1-P$2))</f>
        <v>30.5113108232119</v>
      </c>
      <c r="Q121" s="1599" t="n">
        <f aca="false">IF(Assumptions!$L$25=4,VLOOKUP($A121,'Henwood Reference'!$E$9:$R$320,11),(VLOOKUP($A121,PriceTableWeekend,8,0)+IF(BasisNumber&lt;&gt;1,VLOOKUP($A121,BasisTable,3,0),0)+Q$1)/(1-Q$2))</f>
        <v>30.5113108232119</v>
      </c>
      <c r="R121" s="1568" t="n">
        <f aca="false">IF(Assumptions!$L$25=4,VLOOKUP($A121,'Henwood Reference'!$E$9:$R$320,11),(VLOOKUP($A121,PriceTable,6,0)+IF(BasisNumber&lt;&gt;1,VLOOKUP($A121,BasisTable,3,0),0)+R$1)/(1-R$2))</f>
        <v>30.5113108232119</v>
      </c>
      <c r="S121" s="1568" t="n">
        <f aca="false">IF(Assumptions!$L$25=4,VLOOKUP($A121,'Henwood Reference'!$E$9:$R$320,11),(VLOOKUP($A121,PriceTable,7,0)+IF(BasisNumber&lt;&gt;1,VLOOKUP($A121,BasisTable,3,0),0)+S$1)/(1-S$2))</f>
        <v>30.5113108232119</v>
      </c>
      <c r="T121" s="1600" t="n">
        <f aca="false">IF(Assumptions!$L$25=4,VLOOKUP($A121,'Henwood Reference'!$E$9:$R$320,11),(VLOOKUP($A121,PriceTable,8,0)+IF(BasisNumber&lt;&gt;1,VLOOKUP($A121,BasisTable,3,0),0)+T$1)/(1-T$2))</f>
        <v>30.5113108232119</v>
      </c>
      <c r="U121" s="1513" t="n">
        <f aca="false">VLOOKUP($A121,VolatilityTable,14)</f>
        <v>0.125</v>
      </c>
      <c r="V121" s="1513" t="n">
        <f aca="false">VLOOKUP($A121,VolatilityTable,15)</f>
        <v>0.135</v>
      </c>
      <c r="W121" s="1514" t="n">
        <f aca="false">VLOOKUP($A121,VolatilityTable,16)</f>
        <v>0.145</v>
      </c>
      <c r="X121" s="1513" t="n">
        <f aca="false">VLOOKUP($A121,VolatilityTable,14)</f>
        <v>0.125</v>
      </c>
      <c r="Y121" s="1513" t="n">
        <f aca="false">VLOOKUP($A121,VolatilityTable,15)</f>
        <v>0.135</v>
      </c>
      <c r="Z121" s="1514" t="n">
        <f aca="false">VLOOKUP($A121,VolatilityTable,16)</f>
        <v>0.145</v>
      </c>
      <c r="AA121" s="1513" t="n">
        <f aca="false">VLOOKUP($A121,VolatilityTable,18)</f>
        <v>0.09</v>
      </c>
      <c r="AB121" s="1513" t="n">
        <f aca="false">VLOOKUP($A121,VolatilityTable,19)</f>
        <v>0.11</v>
      </c>
      <c r="AC121" s="1514" t="n">
        <f aca="false">VLOOKUP($A121,VolatilityTable,20)</f>
        <v>0.13</v>
      </c>
      <c r="AD121" s="1513" t="n">
        <f aca="false">VLOOKUP($A121,VolatilityTable,18)</f>
        <v>0.09</v>
      </c>
      <c r="AE121" s="1513" t="n">
        <f aca="false">VLOOKUP($A121,VolatilityTable,19)</f>
        <v>0.11</v>
      </c>
      <c r="AF121" s="1514" t="n">
        <f aca="false">VLOOKUP($A121,VolatilityTable,20)</f>
        <v>0.13</v>
      </c>
      <c r="AG121" s="1513" t="n">
        <f aca="false">VLOOKUP($A121,VolatilityTable,22)</f>
        <v>-0.25</v>
      </c>
      <c r="AH121" s="1513" t="n">
        <f aca="false">VLOOKUP($A121,VolatilityTable,23)</f>
        <v>0.65</v>
      </c>
      <c r="AI121" s="1514" t="n">
        <f aca="false">VLOOKUP($A121,VolatilityTable,24)</f>
        <v>0.25</v>
      </c>
      <c r="AJ121" s="1513" t="n">
        <f aca="false">VLOOKUP($A121,VolatilityTable,22)</f>
        <v>-0.25</v>
      </c>
      <c r="AK121" s="1513" t="n">
        <f aca="false">VLOOKUP($A121,VolatilityTable,23)</f>
        <v>0.65</v>
      </c>
      <c r="AL121" s="1514" t="n">
        <f aca="false">VLOOKUP($A121,VolatilityTable,24)</f>
        <v>0.25</v>
      </c>
      <c r="AM121" s="1513" t="n">
        <f aca="false">VLOOKUP($A121,VolatilityTable,26)</f>
        <v>-0.01</v>
      </c>
      <c r="AN121" s="1513" t="n">
        <f aca="false">VLOOKUP($A121,VolatilityTable,27)</f>
        <v>0.16</v>
      </c>
      <c r="AO121" s="1514" t="n">
        <f aca="false">VLOOKUP($A121,VolatilityTable,28)</f>
        <v>0.01</v>
      </c>
      <c r="AP121" s="1513" t="n">
        <f aca="false">VLOOKUP($A121,VolatilityTable,26)</f>
        <v>-0.01</v>
      </c>
      <c r="AQ121" s="1513" t="n">
        <f aca="false">VLOOKUP($A121,VolatilityTable,27)</f>
        <v>0.16</v>
      </c>
      <c r="AR121" s="1515" t="n">
        <f aca="false">VLOOKUP($A121,VolatilityTable,28)</f>
        <v>0.01</v>
      </c>
      <c r="AS121" s="1581" t="n">
        <f aca="false">IF(CorrPeakOffPeakOverFlag,INDEX(CorrPeakOffPeakOver,C121),CorrPeakOffPeak)</f>
        <v>0.5</v>
      </c>
      <c r="AT121" s="594" t="e">
        <f aca="false">AX121-SUM(AU121:AW121)</f>
        <v>#VALUE!</v>
      </c>
      <c r="AU121" s="238" t="e">
        <f aca="false">IF(E121="",0,INT((F121-MOD(F121,7)-E121)/7)+1-IF(AW121,IF(WEEKDAY(D121)=7,1,0),0))</f>
        <v>#VALUE!</v>
      </c>
      <c r="AV121" s="238" t="e">
        <f aca="false">IF(E121="",0,INT((F121-MOD(F121-1,7)-E121)/7)+1-IF(AW121,IF(WEEKDAY(D121)=1,1,0),0))</f>
        <v>#VALUE!</v>
      </c>
      <c r="AW121" s="238" t="e">
        <f aca="false">IF(OR(E121="",D121="",D121&lt;BegDate,D121&gt;EndDate),0,1)</f>
        <v>#VALUE!</v>
      </c>
      <c r="AX121" s="238" t="n">
        <f aca="false">IF(E121="",0,F121-E121+1)</f>
        <v>31</v>
      </c>
      <c r="AY121" s="1582" t="n">
        <f aca="false">IF(E121="",0,MIN((1-(1-VLOOKUP(B121,MAIN!$AA$7:$AM$28,C121+1))*(1-VLOOKUP(B121,MAIN!$AA$33:$AM$54,C121+1))),1))</f>
        <v>0.03</v>
      </c>
      <c r="AZ121" s="1519" t="e">
        <v>#VALUE!</v>
      </c>
      <c r="BA121" s="1520" t="e">
        <v>#VALUE!</v>
      </c>
      <c r="BB121" s="1520" t="e">
        <v>#VALUE!</v>
      </c>
      <c r="BC121" s="1583" t="e">
        <v>#VALUE!</v>
      </c>
      <c r="BD121" s="1522" t="e">
        <v>#VALUE!</v>
      </c>
      <c r="BE121" s="1523" t="e">
        <v>#VALUE!</v>
      </c>
      <c r="BF121" s="1523" t="e">
        <v>#VALUE!</v>
      </c>
      <c r="BG121" s="1584" t="e">
        <v>#VALUE!</v>
      </c>
      <c r="BH121" s="1525" t="e">
        <v>#VALUE!</v>
      </c>
      <c r="BI121" s="1520" t="e">
        <v>#VALUE!</v>
      </c>
      <c r="BJ121" s="1520" t="e">
        <v>#VALUE!</v>
      </c>
      <c r="BK121" s="1583" t="e">
        <v>#VALUE!</v>
      </c>
      <c r="BL121" s="1522" t="e">
        <v>#VALUE!</v>
      </c>
      <c r="BM121" s="1523" t="e">
        <v>#VALUE!</v>
      </c>
      <c r="BN121" s="1523" t="e">
        <v>#VALUE!</v>
      </c>
      <c r="BO121" s="1523" t="e">
        <v>#VALUE!</v>
      </c>
      <c r="BP121" s="1525" t="e">
        <f aca="false">SUM(AZ121:BB121)</f>
        <v>#VALUE!</v>
      </c>
      <c r="BQ121" s="1529" t="e">
        <f aca="false">SUM(AZ121:BC121)</f>
        <v>#VALUE!</v>
      </c>
      <c r="BR121" s="1519" t="e">
        <f aca="false">SUM(BH121:BJ121)</f>
        <v>#VALUE!</v>
      </c>
      <c r="BS121" s="1529" t="e">
        <f aca="false">SUM(BH121:BK121)</f>
        <v>#VALUE!</v>
      </c>
      <c r="BT121" s="1316" t="n">
        <f aca="false">(IF(OVolType&lt;&gt;2,A121+14,IF(OptExpDateShift,ShiftBack(A121,OptExpDateShift,D120),A121))-DateToday)/365.25</f>
        <v>8.71731690622861</v>
      </c>
      <c r="BU121" s="1585" t="e">
        <f aca="false">IF(BQ121,IF(OPriceCurve,IF(OBuySell=OCallPut,I121/(1-AY121),K121/(1-AY121)),J121/(1-AY121))*BD121,0)</f>
        <v>#VALUE!</v>
      </c>
      <c r="BV121" s="1316" t="e">
        <f aca="false">IF(BQ121,IF(OPriceCurve,IF(OBuySell=OCallPut,L121/(1-AY121),N121/(1-AY121)),M121/(1-AY121))*BE121,0)</f>
        <v>#VALUE!</v>
      </c>
      <c r="BW121" s="1316" t="e">
        <f aca="false">IF(BQ121,IF(OPriceCurve,IF(OBuySell=OCallPut,O121/(1-AY121),Q121/(1-AY121)),P121/(1-AY121))*BF121,0)</f>
        <v>#VALUE!</v>
      </c>
      <c r="BX121" s="1316" t="e">
        <f aca="false">IF(BQ121,IF(OPriceCurve,IF(OBuySell=OCallPut,R121/(1-AY121),T121/(1-AY121)),S121/(1-AY121))*BG121,0)</f>
        <v>#VALUE!</v>
      </c>
      <c r="BY121" s="1316" t="e">
        <f aca="false">IF(BP121,(BU121*AZ121+BV121*BA121+BW121*BB121)/BP121,0)</f>
        <v>#VALUE!</v>
      </c>
      <c r="BZ121" s="1316" t="e">
        <f aca="false">IF(BQ121,(BY121*BP121+BX121*BC121)/BQ121,0)</f>
        <v>#VALUE!</v>
      </c>
      <c r="CA121" s="1531" t="e">
        <f aca="false">IF(BS121,IF(OPriceCurve,IF(OBuySell=OCallPut,I121/(1-AY121),K121/(1-AY121)),J121/(1-AY121))*BL121,0)</f>
        <v>#VALUE!</v>
      </c>
      <c r="CB121" s="1316" t="e">
        <f aca="false">IF(BS121,IF(OPriceCurve,IF(OBuySell=OCallPut,L121/(1-AY121),N121/(1-AY121)),M121/(1-AY121))*BM121,0)</f>
        <v>#VALUE!</v>
      </c>
      <c r="CC121" s="1316" t="e">
        <f aca="false">IF(BS121,IF(OPriceCurve,IF(OBuySell=OCallPut,O121/(1-AY121),Q121/(1-AY121)),P121/(1-AY121))*BN121,0)</f>
        <v>#VALUE!</v>
      </c>
      <c r="CD121" s="1316" t="e">
        <f aca="false">IF(BS121,IF(OPriceCurve,IF(OBuySell=OCallPut,R121/(1-AY121),T121/(1-AY121)),S121/(1-AY121))*BO121,0)</f>
        <v>#VALUE!</v>
      </c>
      <c r="CE121" s="1316" t="e">
        <f aca="false">IF(BR121,(BU121*BH121+BV121*BI121+BW121*BJ121)/BR121,0)</f>
        <v>#VALUE!</v>
      </c>
      <c r="CF121" s="1532" t="e">
        <f aca="false">IF(BS121,(CE121*BR121+CD121*BK121)/BS121,0)</f>
        <v>#VALUE!</v>
      </c>
      <c r="CG121" s="1586" t="e">
        <f aca="false">IF(OR(BQ121,BS121),IF(OVolType&lt;&gt;2,SQRT(IF(OVolOverMonthlyPeak,OVolOverMonthlyPeak,IF(OVolCurve,IF(OBuySell,U121,W121),V121))^2*(1-15/365.25/BT121)+IF(OVolOverDailyPeak,OVolOverDailyPeak,IF(OVolCurve,IF(OBuySell,AG121,AI121),AH121))^2*15/365.25/BT121),IF(OVolOverMonthlyPeak,OVolOverMonthlyPeak,IF(OVolCurve,IF(OBuySell,U121,W121),V121))),"")</f>
        <v>#VALUE!</v>
      </c>
      <c r="CH121" s="1587" t="e">
        <f aca="false">IF(OR(BQ121,BS121),IF(OVolType&lt;&gt;2,SQRT(IF(OVolOverMonthlyPeak,OVolOverMonthlyPeak,IF(OVolCurve,IF(OBuySell,X121,Z121),Y121))^2*(1-15/365.25/BT121)+IF(OVolOverDailyPeak,OVolOverDailyPeak,IF(OVolCurve,IF(OBuySell,AJ121,AL121),AK121))^2*15/365.25/BT121),IF(OVolOverMonthlyPeak,OVolOverMonthlyPeak,IF(OVolCurve,IF(OBuySell,X121,Z121),Y121))),"")</f>
        <v>#VALUE!</v>
      </c>
      <c r="CI121" s="1587" t="e">
        <f aca="false">IF(OR(BQ121,BS121),IF(OVolType&lt;&gt;2,SQRT(IF(OVolOverMonthlyPeak,OVolOverMonthlyPeak,IF(OVolCurve,IF(OBuySell,AA121,AC121),AB121))^2*(1-15/365.25/BT121)+IF(OVolOverDailyPeak,OVolOverDailyPeak,IF(OVolCurve,IF(OBuySell,AM121,AO121),AN121))^2*15/365.25/BT121),IF(OVolOverMonthlyPeak,OVolOverMonthlyPeak,IF(OVolCurve,IF(OBuySell,AA121,AC121),AB121))),"")</f>
        <v>#VALUE!</v>
      </c>
      <c r="CJ121" s="1587" t="e">
        <f aca="false">IF(BQ121,IF(BP121,SQRT(LN(1+((BU121*AZ121)^2*(EXP(CG121^2*BT121)-1)+(BV121*BA121)^2*(EXP(CH121^2*BT121)-1)+(BW121*BB121)^2*(EXP(CI121^2*BT121)-1)+2*BU121*AZ121*BV121*BA121*(EXP(CG121*CH121*BT121)-1)+2*BV121*BA121*BW121*BB121*(EXP(CH121*CI121*BT121)-1)+2*BW121*BB121*BU121*AZ121*(EXP(CI121*CG121*BT121)-1))/(BY121*BP121)^2)/BT121),0),"")</f>
        <v>#VALUE!</v>
      </c>
      <c r="CK121" s="1587" t="e">
        <f aca="false">IF(BS121,IF(BR121,SQRT(LN(1+((CA121*BH121)^2*(EXP(CG121^2*BT121)-1)+(CB121*BI121)^2*(EXP(CH121^2*BT121)-1)+(CC121*BJ121)^2*(EXP(CI121^2*BT121)-1)+2*CA121*BH121*CB121*BI121*(EXP(CG121*CH121*BT121)-1)+2*CB121*BI121*CC121*BJ121*(EXP(CH121*CI121*BT121)-1)+2*CC121*BJ121*CA121*BH121*(EXP(CI121*CG121*BT121)-1))/(CE121*BR121)^2)/BT121),0),"")</f>
        <v>#VALUE!</v>
      </c>
      <c r="CL121" s="1587" t="e">
        <f aca="false">IF(OR(BQ121,BS121),IF(OVolType&lt;&gt;2,SQRT(IF(OVolOverMonthlyOffPeak,OVolOverMonthlyOffPeak,IF(OVolCurve,IF(OBuySell,AD121,AF121),AE121))^2*(1-15/365.25/BT121)+IF(OVolOverDailyOffPeak,OVolOverDailyOffPeak,IF(OVolCurve,IF(OBuySell,AP121,AR121),AQ121))^2*15/365.25/BT121),IF(OVolOverMonthlyOffPeak,OVolOverMonthlyOffPeak,IF(OVolCurve,IF(OBuySell,AD121,AF121),AE121))),"")</f>
        <v>#VALUE!</v>
      </c>
      <c r="CM121" s="1587" t="e">
        <f aca="false">IF(BQ121,SQRT(LN(1+((BY121*BP121)^2*(EXP(CJ121^2*BT121)-1)+(BX121*BC121)^2*(EXP(CL121^2*BT121)-1)+2*BY121*BP121*BX121*BC121*(EXP(AS121*CJ121*CL121*BT121)-1))/(BY121*BP121+BX121*BC121)^2)/BT121),"")</f>
        <v>#VALUE!</v>
      </c>
      <c r="CN121" s="1588" t="e">
        <f aca="false">IF(BS121,SQRT(LN(1+((CE121*BR121)^2*(EXP(CK121^2*BT121)-1)+(CD121*BK121)^2*(EXP(CL121^2*BT121)-1)+2*CE121*BR121*CD121*BK121*(EXP(AS121*CK121*CL121*BT121)-1))/(CE121*BR121+CD121*BK121)^2)/BT121),"")</f>
        <v>#VALUE!</v>
      </c>
      <c r="CO121" s="1531" t="e">
        <f aca="false">IF(OR(BQ121,BS121),VLOOKUP(A121,GasTable,13)*HeatRatePeak*(1+VLOOKUP($B121,HeatRateDegradation,$C121+1))/1000,0)</f>
        <v>#VALUE!</v>
      </c>
      <c r="CP121" s="1316" t="e">
        <f aca="false">IF(OR(BQ121,BS121),VLOOKUP(A121,GasTable,13)*HeatRatePeak*(1+VLOOKUP($B121,HeatRateDegradation,$C121+1))/1000,0)</f>
        <v>#VALUE!</v>
      </c>
      <c r="CQ121" s="1316" t="e">
        <f aca="false">IF(OR(BQ121,BS121),VLOOKUP(A121,GasTable,13)*IF(EV121,HeatRatePeak,HeatRateOffPeak)*(1+VLOOKUP($B121,HeatRateDegradation,$C121+1))/1000,0)</f>
        <v>#VALUE!</v>
      </c>
      <c r="CR121" s="1316" t="e">
        <f aca="false">IF(OR(BQ121,BS121),VLOOKUP(A121,GasTable,13)*IF(EW121,HeatRatePeak,HeatRateOffPeak)*(1+VLOOKUP($B121,HeatRateDegradation,$C121+1))/1000,0)</f>
        <v>#VALUE!</v>
      </c>
      <c r="CS121" s="1589" t="e">
        <f aca="false">IF(BQ121,(CO121*AZ121+CP121*BA121+CQ121*BB121+CR121*BC121)/BQ121,0)</f>
        <v>#VALUE!</v>
      </c>
      <c r="CT121" s="1316" t="e">
        <f aca="false">IF(BS121,CO121,0)</f>
        <v>#VALUE!</v>
      </c>
      <c r="CU121" s="1590" t="e">
        <f aca="false">IF(OR(BQ121,BS121),VLOOKUP(A121,GasTable,14),"")</f>
        <v>#VALUE!</v>
      </c>
      <c r="CV121" s="1568" t="e">
        <f aca="false">IF(OR(BQ121,BS121),IF(CorrPowerGasOverFlag,INDEX(CorrPowerGasOver,C121),CorrPowerGas),"")</f>
        <v>#VALUE!</v>
      </c>
      <c r="CW121" s="1316" t="e">
        <f aca="false">IF(OR($BQ121,$BS121),SpreadOptPowerMargin,0)*((1+Assumptions!$C$26)^($B121-YEAR(Assumptions!$C$17)))</f>
        <v>#VALUE!</v>
      </c>
      <c r="CX121" s="1316" t="e">
        <f aca="false">IF(OR($BQ121,$BS121),SpreadOptPowerMargin,0)*((1+Assumptions!$C$26)^($B121-YEAR(Assumptions!$C$17)))</f>
        <v>#VALUE!</v>
      </c>
      <c r="CY121" s="1316" t="e">
        <f aca="false">IF(OR($BQ121,$BS121),SpreadOptPowerMargin,0)*((1+Assumptions!$C$26)^($B121-YEAR(Assumptions!$C$17)))</f>
        <v>#VALUE!</v>
      </c>
      <c r="CZ121" s="1316" t="e">
        <f aca="false">IF(OR($BQ121,$BS121),SpreadOptPowerMargin,0)*((1+Assumptions!$C$26)^($B121-YEAR(Assumptions!$C$17)))</f>
        <v>#VALUE!</v>
      </c>
      <c r="DA121" s="1591" t="e">
        <f aca="false">IF(OR(BQ121,BS121),(CW121*(AZ121+BH121)+CX121*(BA121+BI121)+CY121*(BB121+BJ121)+CZ121*(BC121+BK121))/(BQ121+BS121),0)</f>
        <v>#VALUE!</v>
      </c>
      <c r="DB121" s="1592" t="e">
        <f aca="false">IF(OR(BQ121,BS121),CG121+IF(OVolSmile,VLOOKUP(MAX(-5,CO121+CW121-BU121),IF(OVolSmile=1,VolSmileBook,VolSmileModel),2),0),"")</f>
        <v>#VALUE!</v>
      </c>
      <c r="DC121" s="1592" t="e">
        <f aca="false">IF(OR(BQ121,BS121),CH121+IF(OVolSmile,VLOOKUP(MAX(-5,CP121+CW121-BV121),IF(OVolSmile=1,VolSmileBook,VolSmileModel),2),0),"")</f>
        <v>#VALUE!</v>
      </c>
      <c r="DD121" s="1592" t="e">
        <f aca="false">IF(OR(BQ121,BS121),CI121+IF(OVolSmile,VLOOKUP(MAX(-5,CQ121+CW121-BW121),IF(OVolSmile=1,VolSmileBook,VolSmileModel),2),0),"")</f>
        <v>#VALUE!</v>
      </c>
      <c r="DE121" s="1592" t="e">
        <f aca="false">IF(OR(BQ121,BS121),CL121+IF(OVolSmile,VLOOKUP(MAX(-5,CR121+CZ121-BX121),IF(OVolSmile=1,VolSmileBook,VolSmileModel),2),0),"")</f>
        <v>#VALUE!</v>
      </c>
      <c r="DF121" s="1592" t="e">
        <f aca="false">IF(BQ121,CM121+IF(OVolSmile,VLOOKUP(MAX(-5,CS121+DA121-BZ121),IF(OVolSmile=1,VolSmileBook,VolSmileModel),2),0),"")</f>
        <v>#VALUE!</v>
      </c>
      <c r="DG121" s="1593" t="e">
        <f aca="false">IF(BS121,CN121+IF(OVolSmile,VLOOKUP(MAX(-5,CT121+DA121-CF121),IF(OVolSmile=1,VolSmileBook,VolSmileModel),2),0),"")</f>
        <v>#VALUE!</v>
      </c>
      <c r="DH121" s="1316" t="e">
        <f aca="false">IF(AND(BU121&gt;0,CO121&gt;0,DB121&gt;0,CU121&gt;0),newSPRDOPT(BU121,CO121,CW121,0,DB121,CU121,CV121,BT121*365.25,OCallPut,0),0)</f>
        <v>#VALUE!</v>
      </c>
      <c r="DI121" s="1316" t="e">
        <f aca="false">IF(AND(BV121&gt;0,CP121&gt;0,DC121&gt;0,CU121&gt;0),newSPRDOPT(BV121,CP121,CX121,0,DC121,CU121,CV121,BT121*365.25,OCallPut,0),0)</f>
        <v>#VALUE!</v>
      </c>
      <c r="DJ121" s="1316" t="e">
        <f aca="false">IF(AND(BW121&gt;0,CQ121&gt;0,DD121&gt;0,CU121&gt;0),newSPRDOPT(BW121,CQ121,CY121,0,DD121,CU121,CV121,BT121*365.25,OCallPut,0),0)</f>
        <v>#VALUE!</v>
      </c>
      <c r="DK121" s="1316" t="e">
        <f aca="false">IF(AND(BX121&gt;0,CR121&gt;0,DE121&gt;0,CU121&gt;0),newSPRDOPT(BX121,CR121,CZ121,0,DE121,CU121,CV121,BT121*365.25,OCallPut,0),0)</f>
        <v>#VALUE!</v>
      </c>
      <c r="DL121" s="1316" t="e">
        <f aca="false">IF(OVolType,IF(AND(BZ121&gt;0,CS121&gt;0,DF121&gt;0,CU121&gt;0),newSPRDOPT(BZ121,CS121,DA121,0,DF121,CU121,CV121,BT121*365.25,OCallPut,0),0),IF(BQ121,(DH121*AZ121+DI121*BA121+DJ121*BB121+DK121*BC121)/BQ121,0))</f>
        <v>#VALUE!</v>
      </c>
      <c r="DM121" s="1316"/>
      <c r="DN121" s="1316"/>
      <c r="DO121" s="1316"/>
      <c r="DP121" s="1316"/>
      <c r="DQ121" s="1316"/>
      <c r="DR121" s="1316"/>
      <c r="DS121" s="1316"/>
      <c r="DT121" s="1316"/>
      <c r="DU121" s="1316"/>
      <c r="DV121" s="1316"/>
      <c r="DW121" s="1594" t="e">
        <f aca="false">IF(AND(BW121&gt;0,CT121&gt;0,DD121&gt;0,CU121&gt;0),newSPRDOPT(BW121,CT121,CY121,0,DD121,CU121,CV121,BT121*365.25,OCallPut,0),0)</f>
        <v>#VALUE!</v>
      </c>
      <c r="DX121" s="1316" t="e">
        <f aca="false">IF(AND(BX121&gt;0,CT121&gt;0,DE121&gt;0,CU121&gt;0),newSPRDOPT(BX121,CT121,CZ121,0,DE121,CU121,CV121,BT121*365.25,OCallPut,0),0)</f>
        <v>#VALUE!</v>
      </c>
      <c r="DY121" s="1591" t="e">
        <f aca="false">IF(BS121,(DH121*BH121+DI121*BI121+DW121*BJ121+DX121*BK121)/BS121,0)</f>
        <v>#VALUE!</v>
      </c>
      <c r="DZ121" s="1551" t="e">
        <f aca="false">DH121*AZ121</f>
        <v>#VALUE!</v>
      </c>
      <c r="EA121" s="1551" t="e">
        <f aca="false">DI121*BA121</f>
        <v>#VALUE!</v>
      </c>
      <c r="EB121" s="1551" t="e">
        <f aca="false">DJ121*BB121</f>
        <v>#VALUE!</v>
      </c>
      <c r="EC121" s="1551" t="e">
        <f aca="false">DK121*BC121</f>
        <v>#VALUE!</v>
      </c>
      <c r="ED121" s="1551" t="e">
        <f aca="false">DL121*BQ121</f>
        <v>#VALUE!</v>
      </c>
      <c r="EE121" s="1595" t="e">
        <f aca="false">IF(BQ121,IF(OCallPut,IF(BU121&gt;(CO121+CW121),BU121-(CO121+CW121),0),IF((CO121+CW121)&gt;BU121,(CO121+CW121)-BU121,0))*AZ121,0)</f>
        <v>#VALUE!</v>
      </c>
      <c r="EF121" s="1596" t="e">
        <f aca="false">IF(BQ121,IF(OCallPut,IF(BV121&gt;(CP121+CX121),BV121-(CP121+CX121),0),IF((CP121+CX121)&gt;BV121,(CP121+CX121)-BV121,0))*BA121,0)</f>
        <v>#VALUE!</v>
      </c>
      <c r="EG121" s="1596" t="e">
        <f aca="false">IF(BQ121,IF(OCallPut,IF(BW121&gt;(CQ121+CY121),BW121-(CQ121+CY121),0),IF((CQ121+CY121)&gt;BW121,(CQ121+CY121)-BW121,0))*BB121,0)</f>
        <v>#VALUE!</v>
      </c>
      <c r="EH121" s="1596" t="e">
        <f aca="false">IF(BQ121,IF(OCallPut,IF(BX121&gt;(CR121+CZ121),BX121-(CR121+CZ121),0),IF((CR121+CZ121)&gt;BX121,(CR121+CZ121)-BX121,0))*BC121,0)</f>
        <v>#VALUE!</v>
      </c>
      <c r="EI121" s="1597" t="e">
        <f aca="false">IF(BQ121,IF(OVolType,IF(OCallPut,IF(BZ121&gt;(CS121+DA121),BZ121-(CS121+DA121),0),IF((CS121+DA121)&gt;BZ121,(CS121+DA121)-BZ121,0))*BQ121,SUM(EE121:EH121)),0)</f>
        <v>#VALUE!</v>
      </c>
      <c r="EJ121" s="1595" t="e">
        <f aca="false">DZ121-EE121</f>
        <v>#VALUE!</v>
      </c>
      <c r="EK121" s="1596" t="e">
        <f aca="false">EA121-EF121</f>
        <v>#VALUE!</v>
      </c>
      <c r="EL121" s="1596" t="e">
        <f aca="false">EB121-EG121</f>
        <v>#VALUE!</v>
      </c>
      <c r="EM121" s="1596" t="e">
        <f aca="false">EC121-EH121</f>
        <v>#VALUE!</v>
      </c>
      <c r="EN121" s="1597" t="e">
        <f aca="false">ED121-EI121</f>
        <v>#VALUE!</v>
      </c>
      <c r="EO121" s="1551" t="e">
        <f aca="false">DH121*BH121</f>
        <v>#VALUE!</v>
      </c>
      <c r="EP121" s="1551" t="e">
        <f aca="false">DI121*BI121</f>
        <v>#VALUE!</v>
      </c>
      <c r="EQ121" s="1551" t="e">
        <f aca="false">DW121*BJ121</f>
        <v>#VALUE!</v>
      </c>
      <c r="ER121" s="1551" t="e">
        <f aca="false">DX121*BK121</f>
        <v>#VALUE!</v>
      </c>
      <c r="ES121" s="1551" t="e">
        <f aca="false">DY121*BS121</f>
        <v>#VALUE!</v>
      </c>
      <c r="ET121" s="1566" t="e">
        <f aca="false">IF(EI121,IF(OCallPut,IF(CA121&gt;(CT121+CW121),CA121-(CT121+CW121),0),IF((CT121+CW121)&gt;CA121,(CT121+CW121)-CA121,0))*BH121,0)</f>
        <v>#VALUE!</v>
      </c>
      <c r="EU121" s="1551" t="e">
        <f aca="false">IF(EI121,IF(OCallPut,IF(CB121&gt;(CT121+CX121),CB121-(CT121+CX121),0),IF((CT121+CX121)&gt;CB121,(CT121+CX121)-CB121,0))*BI121,0)</f>
        <v>#VALUE!</v>
      </c>
      <c r="EV121" s="1551" t="e">
        <f aca="false">IF(EI121,IF(OCallPut,IF(CC121&gt;(CT121+CY121),CC121-(CT121+CY121),0),IF((CT121+CY121)&gt;CC121,(CT121+CY121)-CC121,0))*BJ121,0)</f>
        <v>#VALUE!</v>
      </c>
      <c r="EW121" s="1551" t="e">
        <f aca="false">IF(EI121,IF(OCallPut,IF(CD121&gt;(CT121+CZ121),CD121-(CT121+CZ121),0),IF((CT121+CZ121)&gt;CD121,(CT121+CZ121)-CD121,0))*BK121,0)</f>
        <v>#VALUE!</v>
      </c>
      <c r="EX121" s="1558" t="e">
        <f aca="false">IF(EI121,SUM(ET121:EW121),0)</f>
        <v>#VALUE!</v>
      </c>
      <c r="EY121" s="1551" t="e">
        <f aca="false">EO121-ET121</f>
        <v>#VALUE!</v>
      </c>
      <c r="EZ121" s="1551" t="e">
        <f aca="false">EP121-EU121</f>
        <v>#VALUE!</v>
      </c>
      <c r="FA121" s="1551" t="e">
        <f aca="false">EQ121-EV121</f>
        <v>#VALUE!</v>
      </c>
      <c r="FB121" s="1551" t="e">
        <f aca="false">ER121-EW121</f>
        <v>#VALUE!</v>
      </c>
      <c r="FC121" s="1551" t="e">
        <f aca="false">ES121-EX121</f>
        <v>#VALUE!</v>
      </c>
      <c r="FD121" s="1525" t="n">
        <f aca="false">IF(AX121,IF(VLOOKUP(C121,MAIN!$L$17:$M$28,2)="Yes",VLOOKUP(CALC!B121,MAIN!$H$17:$I$20,2),0),0)</f>
        <v>0</v>
      </c>
      <c r="FE121" s="1552" t="e">
        <f aca="false">$FD121*16*AT121*(1-$AY121)</f>
        <v>#VALUE!</v>
      </c>
      <c r="FF121" s="1553" t="e">
        <f aca="false">$FD121*16*AU121*(1-$AY121)</f>
        <v>#VALUE!</v>
      </c>
      <c r="FG121" s="1553" t="e">
        <f aca="false">$FD121*16*(AV121+AW121)*(1-$AY121)</f>
        <v>#VALUE!</v>
      </c>
      <c r="FH121" s="1554" t="n">
        <f aca="false">$FD121*8*AX121*(1-$AY121)</f>
        <v>0</v>
      </c>
      <c r="FI121" s="1555" t="n">
        <f aca="false">IF(AX121,VLOOKUP(CALC!B121,MAIN!$H$17:$K$20,4),0)</f>
        <v>0</v>
      </c>
      <c r="FJ121" s="1553" t="e">
        <f aca="false">SUM(FE121:FH121)</f>
        <v>#VALUE!</v>
      </c>
      <c r="FK121" s="1556" t="e">
        <f aca="false">FI121*FJ121</f>
        <v>#VALUE!</v>
      </c>
      <c r="FL121" s="1551" t="e">
        <f aca="false">IF($EI121&gt;0,MIN(FE121,AZ121*(1+VLOOKUP($C121,WeatherCapacityAdjustment,2))),0)</f>
        <v>#VALUE!</v>
      </c>
      <c r="FM121" s="1551" t="e">
        <f aca="false">IF($EI121&gt;0,MIN(FF121,BA121*(1+VLOOKUP($C121,WeatherCapacityAdjustment,2))),0)</f>
        <v>#VALUE!</v>
      </c>
      <c r="FN121" s="1551" t="e">
        <f aca="false">IF($EI121&gt;0,MIN(FG121,BB121*(1+VLOOKUP($C121,WeatherCapacityAdjustment,2))),0)</f>
        <v>#VALUE!</v>
      </c>
      <c r="FO121" s="1564" t="e">
        <f aca="false">IF($EI121&gt;0,MIN(FH121,BC121*(1+VLOOKUP($C121,WeatherCapacityAdjustment,3))),0)</f>
        <v>#VALUE!</v>
      </c>
      <c r="FP121" s="1551" t="e">
        <f aca="false">IF(ET121&gt;0,MIN(FE121-FL121,BH121*(1+VLOOKUP($C121,WeatherCapacityAdjustment,2))),0)</f>
        <v>#VALUE!</v>
      </c>
      <c r="FQ121" s="1551" t="e">
        <f aca="false">IF(EU121&gt;0,MIN(FF121-FM121,BI121*(1+VLOOKUP($C121,WeatherCapacityAdjustment,2))),0)</f>
        <v>#VALUE!</v>
      </c>
      <c r="FR121" s="1551" t="e">
        <f aca="false">IF(EV121&gt;0,MIN(FG121-FN121,BJ121*(1+VLOOKUP($C121,WeatherCapacityAdjustment,2))),0)</f>
        <v>#VALUE!</v>
      </c>
      <c r="FS121" s="1558" t="e">
        <f aca="false">IF(EW121&gt;0,MIN(FH121-FO121,BK121*(1+VLOOKUP($C121,WeatherCapacityAdjustment,3))),0)</f>
        <v>#VALUE!</v>
      </c>
      <c r="FT121" s="1566" t="e">
        <f aca="false">IF(AND(Assumptions!$H$71="Yes",A121&gt;=Assumptions!$H$72,A121&lt;=Assumptions!$H$73),0,IF(AND($A121&gt;=Assumptions!$C$17,$A121&lt;=Assumptions!$C$18),MAX(AZ121*(1+VLOOKUP($C121,WeatherCapacityAdjustment,2))-FL121,0),0))</f>
        <v>#VALUE!</v>
      </c>
      <c r="FU121" s="1551" t="e">
        <f aca="false">IF(AND(Assumptions!$H$71="Yes",A121&gt;=Assumptions!$H$72,A121&lt;=Assumptions!$H$73),0,IF(AND($A121&gt;=Assumptions!$C$17,$A121&lt;=Assumptions!$C$18),MAX(BA121*(1+VLOOKUP($C121,WeatherCapacityAdjustment,2))-FM121,0),0))</f>
        <v>#VALUE!</v>
      </c>
      <c r="FV121" s="1551" t="e">
        <f aca="false">IF(AND(Assumptions!$H$71="Yes",A121&gt;=Assumptions!$H$72,A121&lt;=Assumptions!$H$73),0,IF(AND($A121&gt;=Assumptions!$C$17,$A121&lt;=Assumptions!$C$18),MAX(BB121*(1+VLOOKUP($C121,WeatherCapacityAdjustment,2))-FN121,0),0))</f>
        <v>#VALUE!</v>
      </c>
      <c r="FW121" s="1564" t="e">
        <f aca="false">IF(AND(Assumptions!$H$71="Yes",A121&gt;=Assumptions!$H$72,A121&lt;=Assumptions!$H$73),0,IF(AND($A121&gt;=Assumptions!$C$17,$A121&lt;=Assumptions!$C$18),MAX(BC121*(1+VLOOKUP($C121,WeatherCapacityAdjustment,3))-FO121,0),0))</f>
        <v>#VALUE!</v>
      </c>
      <c r="FX121" s="1569" t="e">
        <f aca="false">IF(AND(Assumptions!$H$71="Yes",A121&gt;=Assumptions!$H$72,A121&lt;=Assumptions!$H$73),0,IF(ET121&gt;0,MAX(BH121*(1+VLOOKUP($C121,WeatherCapacityAdjustment,2))-FP121,0),0))</f>
        <v>#VALUE!</v>
      </c>
      <c r="FY121" s="1551" t="e">
        <f aca="false">IF(AND(Assumptions!$H$71="Yes",A121&gt;=Assumptions!$H$72,A121&lt;=Assumptions!$H$73),0,IF(EU121&gt;0,MAX(BI121*(1+VLOOKUP($C121,WeatherCapacityAdjustment,3))-FQ121,0),0))</f>
        <v>#VALUE!</v>
      </c>
      <c r="FZ121" s="1551" t="e">
        <f aca="false">IF(AND(Assumptions!$H$71="Yes",A121&gt;=Assumptions!$H$72,A121&lt;=Assumptions!$H$73),0,IF(EV121&gt;0,MAX(BJ121*(1+VLOOKUP($C121,WeatherCapacityAdjustment,2))-FR121,0),0))</f>
        <v>#VALUE!</v>
      </c>
      <c r="GA121" s="1564" t="e">
        <f aca="false">IF(AND(Assumptions!$H$71="Yes",A121&gt;=Assumptions!$H$72,A121&lt;=Assumptions!$H$73),0,IF(EW121&gt;0,MAX(BK121*(1+VLOOKUP($C121,WeatherCapacityAdjustment,2))-FS121,0),0))</f>
        <v>#VALUE!</v>
      </c>
      <c r="GB121" s="1551" t="e">
        <f aca="false">SUM(FT121:GA121)</f>
        <v>#VALUE!</v>
      </c>
      <c r="GC121" s="1563" t="e">
        <f aca="false">+IF(SUM(FT121:GA121)=0,0,(SUMPRODUCT(BU121:BX121,FT121:FW121)+SUMPRODUCT(CA121:CD121,FX121:GA121))/SUM(FT121:GA121))</f>
        <v>#VALUE!</v>
      </c>
      <c r="GD121" s="1551" t="e">
        <f aca="false">(FT121*BU121+FX121*CA121+FU121*BV121+FY121*CB121+FV121*BW121+FZ121*CC121+FW121*BX121+GA121*CD121)</f>
        <v>#VALUE!</v>
      </c>
      <c r="GE121" s="1561" t="e">
        <f aca="false">+IF(BQ121,((FL121+FM121+FT121+FU121)*HeatRatePeak/1000*(1+VLOOKUP($C121,WeatherHeatRateAdjustment,2))+(FN121+FV121)*IF(EV121&gt;0,HeatRatePeak,HeatRateOffPeak)/1000*(1+VLOOKUP($C121,WeatherHeatRateAdjustment,2))+(FO121+FW121)*IF(EW121&gt;0,HeatRatePeak,HeatRateOffPeak)/1000*(1+VLOOKUP($C121,WeatherHeatRateAdjustment,3)))*(1+VLOOKUP($B121,HeatRateDegradation,$C121+1)),0)</f>
        <v>#VALUE!</v>
      </c>
      <c r="GF121" s="1562" t="e">
        <f aca="false">IF(BQ121,((FP121+FQ121+FR121+FX121+FY121+FZ121)*HeatRatePeak/1000*(1+VLOOKUP($C121,WeatherHeatRateAdjustment,2))+(FS121+GA121)*HeatRatePeak/1000*(1+VLOOKUP($C121,WeatherHeatRateAdjustment,3)))*(1+VLOOKUP($B121,HeatRateDegradation,$C121+1)),0)</f>
        <v>#VALUE!</v>
      </c>
      <c r="GG121" s="1563" t="e">
        <f aca="false">IF(BQ121,VLOOKUP(A121,GasTable,13),0)</f>
        <v>#VALUE!</v>
      </c>
      <c r="GH121" s="1564" t="e">
        <f aca="false">(GE121+GF121)*GG121</f>
        <v>#VALUE!</v>
      </c>
      <c r="GI121" s="1569" t="e">
        <f aca="false">GB121</f>
        <v>#VALUE!</v>
      </c>
      <c r="GJ121" s="1598" t="e">
        <f aca="false">+DA121</f>
        <v>#VALUE!</v>
      </c>
      <c r="GK121" s="1558" t="e">
        <f aca="false">+GI121*GJ121</f>
        <v>#VALUE!</v>
      </c>
      <c r="GL121" s="1566" t="e">
        <f aca="false">MAX(FE121-FL121-FP121,0)</f>
        <v>#VALUE!</v>
      </c>
      <c r="GM121" s="1551" t="e">
        <f aca="false">MAX(FF121-FM121-FQ121,0)</f>
        <v>#VALUE!</v>
      </c>
      <c r="GN121" s="1551" t="e">
        <f aca="false">MAX(FG121-FN121-FR121,0)</f>
        <v>#VALUE!</v>
      </c>
      <c r="GO121" s="1564" t="e">
        <f aca="false">MAX(FH121-FO121-FS121,0)</f>
        <v>#VALUE!</v>
      </c>
      <c r="GP121" s="1551" t="e">
        <f aca="false">SUM(GL121:GO121)</f>
        <v>#VALUE!</v>
      </c>
      <c r="GQ121" s="1563" t="e">
        <f aca="false">IF(SUM(GL121:GO121)=0,0,((GL121*BU121+GM121*BV121+GN121*BW121+GO121*BX121)/SUM(GL121:GO121)))</f>
        <v>#VALUE!</v>
      </c>
      <c r="GR121" s="1558" t="e">
        <f aca="false">(GL121*BU121+GM121*BV121+GN121*BW121+GO121*BX121)</f>
        <v>#VALUE!</v>
      </c>
      <c r="GS121" s="1566" t="n">
        <f aca="false">IF($A121&gt;=BegDate,Assumptions!$C$56*24*($A122-$A121)*(1-VLOOKUP($B121,MAIN!$AA$7:$AM$28,$C121+1))*(1-VLOOKUP($B121,MAIN!$AA$33:$AM$54,$C121+1)),0)*80/168</f>
        <v>257742.857142857</v>
      </c>
      <c r="GT121" s="286" t="n">
        <f aca="false">J121</f>
        <v>49.0862760895379</v>
      </c>
      <c r="GU121" s="286" t="n">
        <f aca="false">IF($A121&gt;=BegDate,VLOOKUP($A121,GasTable,13)+Assumptions!$C$58,0)</f>
        <v>3.15491709966252</v>
      </c>
      <c r="GV121" s="286" t="n">
        <f aca="false">GU121*Assumptions!$C$57/1000</f>
        <v>22.8731489725533</v>
      </c>
      <c r="GW121" s="1558" t="n">
        <f aca="false">IF(Assumptions!$C$60="Hourly",MAX(0,GS121*(GT121-GV121)),GS121*(GT121-GV121))</f>
        <v>6756246.27778052</v>
      </c>
      <c r="GX121" s="1566" t="n">
        <f aca="false">IF($A121&gt;=BegDate,Assumptions!$C$56*24*($A122-$A121)*(1-VLOOKUP($B121,MAIN!$AA$7:$AM$28,$C121+1))*(1-VLOOKUP($B121,MAIN!$AA$33:$AM$54,$C121+1)),0)*16/168</f>
        <v>51548.5714285714</v>
      </c>
      <c r="GY121" s="286" t="n">
        <f aca="false">M121</f>
        <v>49.0862760895379</v>
      </c>
      <c r="GZ121" s="286" t="n">
        <f aca="false">IF($A121&gt;=BegDate,VLOOKUP($A121,GasTable,13)+Assumptions!$C$58,0)</f>
        <v>3.15491709966252</v>
      </c>
      <c r="HA121" s="286" t="n">
        <f aca="false">GZ121*Assumptions!$C$57/1000</f>
        <v>22.8731489725533</v>
      </c>
      <c r="HB121" s="1558" t="n">
        <f aca="false">IF(Assumptions!$C$60="Hourly",MAX(0,GX121*(GY121-HA121)),GX121*(GY121-HA121))</f>
        <v>1351249.2555561</v>
      </c>
      <c r="HC121" s="1566" t="n">
        <f aca="false">IF($A121&gt;=BegDate,Assumptions!$C$56*24*($A122-$A121)*(1-VLOOKUP($B121,MAIN!$AA$7:$AM$28,$C121+1))*(1-VLOOKUP($B121,MAIN!$AA$33:$AM$54,$C121+1)),0)*16/168</f>
        <v>51548.5714285714</v>
      </c>
      <c r="HD121" s="286" t="n">
        <f aca="false">P121</f>
        <v>30.5113108232119</v>
      </c>
      <c r="HE121" s="286" t="n">
        <f aca="false">IF($A121&gt;=BegDate,VLOOKUP($A121,GasTable,13)+Assumptions!$C$58,0)</f>
        <v>3.15491709966252</v>
      </c>
      <c r="HF121" s="286" t="n">
        <f aca="false">HE121*Assumptions!$C$57/1000</f>
        <v>22.8731489725533</v>
      </c>
      <c r="HG121" s="1558" t="n">
        <f aca="false">IF(Assumptions!$C$60="Hourly",MAX(0,HC121*(HD121-HF121)),HC121*(HD121-HF121))</f>
        <v>393736.331741665</v>
      </c>
      <c r="HH121" s="1566" t="n">
        <f aca="false">IF($A121&gt;=BegDate,Assumptions!$C$56*24*($A122-$A121)*(1-VLOOKUP($B121,MAIN!$AA$7:$AM$28,$C121+1))*(1-VLOOKUP($B121,MAIN!$AA$33:$AM$54,$C121+1)),0)*56/168</f>
        <v>180420</v>
      </c>
      <c r="HI121" s="286" t="n">
        <f aca="false">S121</f>
        <v>30.5113108232119</v>
      </c>
      <c r="HJ121" s="286" t="n">
        <f aca="false">IF($A121&gt;=BegDate,VLOOKUP($A121,GasTable,13)+Assumptions!$C$58,0)</f>
        <v>3.15491709966252</v>
      </c>
      <c r="HK121" s="286" t="n">
        <f aca="false">HJ121*Assumptions!$C$57/1000</f>
        <v>22.8731489725533</v>
      </c>
      <c r="HL121" s="1558" t="n">
        <f aca="false">IF(Assumptions!$C$60="Hourly",MAX(0,HH121*(HI121-HK121)),HH121*(HI121-HK121))</f>
        <v>1378077.16109583</v>
      </c>
      <c r="HM121" s="1566" t="n">
        <f aca="false">IF(AND(Assumptions!$H$71="Yes",A121&gt;=Assumptions!$H$72,A121&lt;=Assumptions!$H$73),Assumptions!$H$74*Assumptions!$C$9*1000,0)</f>
        <v>0</v>
      </c>
      <c r="HN121" s="1551"/>
      <c r="HO121" s="1563"/>
      <c r="HP121" s="1563"/>
      <c r="HQ121" s="1563"/>
      <c r="HR121" s="1563"/>
      <c r="HS121" s="1563"/>
      <c r="HT121" s="1563"/>
      <c r="HU121" s="1563"/>
      <c r="HV121" s="1563"/>
      <c r="HW121" s="1563"/>
      <c r="HX121" s="1563"/>
      <c r="HY121" s="1563"/>
      <c r="HZ121" s="1563"/>
      <c r="IA121" s="1563"/>
      <c r="IB121" s="1563"/>
      <c r="IC121" s="1563"/>
      <c r="ID121" s="1563"/>
      <c r="IE121" s="1563"/>
      <c r="IF121" s="1563"/>
      <c r="IG121" s="1563"/>
      <c r="IH121" s="1563"/>
      <c r="II121" s="1610"/>
      <c r="IJ121" s="1309"/>
      <c r="IK121" s="1309"/>
    </row>
    <row r="122" customFormat="false" ht="13.5" hidden="false" customHeight="false" outlineLevel="0" collapsed="false">
      <c r="A122" s="1611" t="n">
        <f aca="false">EOMONTH(A121,0)+1</f>
        <v>39845</v>
      </c>
      <c r="B122" s="594" t="n">
        <f aca="false">+YEAR(A122)</f>
        <v>2009</v>
      </c>
      <c r="C122" s="444" t="n">
        <f aca="false">MONTH(A122)</f>
        <v>2</v>
      </c>
      <c r="D122" s="1572" t="e">
        <f aca="false">IF(E122="","",Holiday(B122,C122))</f>
        <v>#VALUE!</v>
      </c>
      <c r="E122" s="1612" t="n">
        <f aca="false">IF(OR(BegDate&gt;=A123,EndDate&lt;A122,AND(VolumeMonthlyOverFlag,INDEX(VolumeMonthlyOver,C122)=0),NOT(INDEX(MonthKnockOutTable,C122))),"",MAX(A122,BegDate))</f>
        <v>39845</v>
      </c>
      <c r="F122" s="1613" t="n">
        <f aca="false">IF(E122="","",MIN(A123-1,EndDate))</f>
        <v>39872</v>
      </c>
      <c r="G122" s="1575" t="n">
        <v>0</v>
      </c>
      <c r="H122" s="1576" t="n">
        <f aca="false">(1+G122/2)^(-2*(DATE(B123,C123,20)-DateToday)/365.25)</f>
        <v>1</v>
      </c>
      <c r="I122" s="1568" t="n">
        <f aca="false">IF(Assumptions!$L$25=4,VLOOKUP($A122,'Henwood Reference'!$E$9:$R$320,10),(VLOOKUP($A122,PriceTable,2,0)+IF(BasisNumber&lt;&gt;1,VLOOKUP($A122,BasisTable,2,0),0)+I$1)/(1-I$2))</f>
        <v>42.7791750586337</v>
      </c>
      <c r="J122" s="1568" t="n">
        <f aca="false">IF(Assumptions!$L$25=4,VLOOKUP($A122,'Henwood Reference'!$E$9:$R$320,10),(VLOOKUP($A122,PriceTable,3,0)+IF(BasisNumber&lt;&gt;1,VLOOKUP($A122,BasisTable,2,0),0)+J$1)/(1-J$2))</f>
        <v>42.7791750586337</v>
      </c>
      <c r="K122" s="1568" t="n">
        <f aca="false">IF(Assumptions!$L$25=4,VLOOKUP($A122,'Henwood Reference'!$E$9:$R$320,10),(VLOOKUP($A122,PriceTable,4,0)+IF(BasisNumber&lt;&gt;1,VLOOKUP($A122,BasisTable,2,0),0)+K$1)/(1-K$2))</f>
        <v>42.7791750586337</v>
      </c>
      <c r="L122" s="1523" t="n">
        <f aca="false">IF(Assumptions!$L$25=4,VLOOKUP($A122,'Henwood Reference'!$E$9:$R$320,10),(VLOOKUP($A122,PriceTableWeekend,2,0)+IF(BasisNumber&lt;&gt;1,VLOOKUP($A122,BasisTable,2,0),0)+L$1)/(1-L$2))</f>
        <v>42.7791750586337</v>
      </c>
      <c r="M122" s="1568" t="n">
        <f aca="false">IF(Assumptions!$L$25=4,VLOOKUP($A122,'Henwood Reference'!$E$9:$R$320,10),(VLOOKUP($A122,PriceTableWeekend,3,0)+IF(BasisNumber&lt;&gt;1,VLOOKUP($A122,BasisTable,2,0),0)+M$1)/(1-M$2))</f>
        <v>42.7791750586337</v>
      </c>
      <c r="N122" s="1599" t="n">
        <f aca="false">IF(Assumptions!$L$25=4,VLOOKUP($A122,'Henwood Reference'!$E$9:$R$320,10),(VLOOKUP($A122,PriceTableWeekend,4,0)+IF(BasisNumber&lt;&gt;1,VLOOKUP($A122,BasisTable,2,0),0)+N$1)/(1-N$2))</f>
        <v>42.7791750586337</v>
      </c>
      <c r="O122" s="1568" t="n">
        <f aca="false">IF(Assumptions!$L$25=4,VLOOKUP($A122,'Henwood Reference'!$E$9:$R$320,11),(VLOOKUP($A122,PriceTableWeekend,6,0)+IF(BasisNumber&lt;&gt;1,VLOOKUP($A122,BasisTable,3,0),0)+O$1)/(1-O$2))</f>
        <v>27.0176967173583</v>
      </c>
      <c r="P122" s="1568" t="n">
        <f aca="false">IF(Assumptions!$L$25=4,VLOOKUP($A122,'Henwood Reference'!$E$9:$R$320,11),(VLOOKUP($A122,PriceTableWeekend,7,0)+IF(BasisNumber&lt;&gt;1,VLOOKUP($A122,BasisTable,3,0),0)+P$1)/(1-P$2))</f>
        <v>27.0176967173583</v>
      </c>
      <c r="Q122" s="1599" t="n">
        <f aca="false">IF(Assumptions!$L$25=4,VLOOKUP($A122,'Henwood Reference'!$E$9:$R$320,11),(VLOOKUP($A122,PriceTableWeekend,8,0)+IF(BasisNumber&lt;&gt;1,VLOOKUP($A122,BasisTable,3,0),0)+Q$1)/(1-Q$2))</f>
        <v>27.0176967173583</v>
      </c>
      <c r="R122" s="1568" t="n">
        <f aca="false">IF(Assumptions!$L$25=4,VLOOKUP($A122,'Henwood Reference'!$E$9:$R$320,11),(VLOOKUP($A122,PriceTable,6,0)+IF(BasisNumber&lt;&gt;1,VLOOKUP($A122,BasisTable,3,0),0)+R$1)/(1-R$2))</f>
        <v>27.0176967173583</v>
      </c>
      <c r="S122" s="1568" t="n">
        <f aca="false">IF(Assumptions!$L$25=4,VLOOKUP($A122,'Henwood Reference'!$E$9:$R$320,11),(VLOOKUP($A122,PriceTable,7,0)+IF(BasisNumber&lt;&gt;1,VLOOKUP($A122,BasisTable,3,0),0)+S$1)/(1-S$2))</f>
        <v>27.0176967173583</v>
      </c>
      <c r="T122" s="1600" t="n">
        <f aca="false">IF(Assumptions!$L$25=4,VLOOKUP($A122,'Henwood Reference'!$E$9:$R$320,11),(VLOOKUP($A122,PriceTable,8,0)+IF(BasisNumber&lt;&gt;1,VLOOKUP($A122,BasisTable,3,0),0)+T$1)/(1-T$2))</f>
        <v>27.0176967173583</v>
      </c>
      <c r="U122" s="1513" t="n">
        <f aca="false">VLOOKUP($A122,VolatilityTable,14)</f>
        <v>0.125</v>
      </c>
      <c r="V122" s="1513" t="n">
        <f aca="false">VLOOKUP($A122,VolatilityTable,15)</f>
        <v>0.135</v>
      </c>
      <c r="W122" s="1514" t="n">
        <f aca="false">VLOOKUP($A122,VolatilityTable,16)</f>
        <v>0.145</v>
      </c>
      <c r="X122" s="1513" t="n">
        <f aca="false">VLOOKUP($A122,VolatilityTable,14)</f>
        <v>0.125</v>
      </c>
      <c r="Y122" s="1513" t="n">
        <f aca="false">VLOOKUP($A122,VolatilityTable,15)</f>
        <v>0.135</v>
      </c>
      <c r="Z122" s="1514" t="n">
        <f aca="false">VLOOKUP($A122,VolatilityTable,16)</f>
        <v>0.145</v>
      </c>
      <c r="AA122" s="1513" t="n">
        <f aca="false">VLOOKUP($A122,VolatilityTable,18)</f>
        <v>0.09</v>
      </c>
      <c r="AB122" s="1513" t="n">
        <f aca="false">VLOOKUP($A122,VolatilityTable,19)</f>
        <v>0.11</v>
      </c>
      <c r="AC122" s="1514" t="n">
        <f aca="false">VLOOKUP($A122,VolatilityTable,20)</f>
        <v>0.13</v>
      </c>
      <c r="AD122" s="1513" t="n">
        <f aca="false">VLOOKUP($A122,VolatilityTable,18)</f>
        <v>0.09</v>
      </c>
      <c r="AE122" s="1513" t="n">
        <f aca="false">VLOOKUP($A122,VolatilityTable,19)</f>
        <v>0.11</v>
      </c>
      <c r="AF122" s="1514" t="n">
        <f aca="false">VLOOKUP($A122,VolatilityTable,20)</f>
        <v>0.13</v>
      </c>
      <c r="AG122" s="1513" t="n">
        <f aca="false">VLOOKUP($A122,VolatilityTable,22)</f>
        <v>-0.25</v>
      </c>
      <c r="AH122" s="1513" t="n">
        <f aca="false">VLOOKUP($A122,VolatilityTable,23)</f>
        <v>0.65</v>
      </c>
      <c r="AI122" s="1514" t="n">
        <f aca="false">VLOOKUP($A122,VolatilityTable,24)</f>
        <v>0.25</v>
      </c>
      <c r="AJ122" s="1513" t="n">
        <f aca="false">VLOOKUP($A122,VolatilityTable,22)</f>
        <v>-0.25</v>
      </c>
      <c r="AK122" s="1513" t="n">
        <f aca="false">VLOOKUP($A122,VolatilityTable,23)</f>
        <v>0.65</v>
      </c>
      <c r="AL122" s="1514" t="n">
        <f aca="false">VLOOKUP($A122,VolatilityTable,24)</f>
        <v>0.25</v>
      </c>
      <c r="AM122" s="1513" t="n">
        <f aca="false">VLOOKUP($A122,VolatilityTable,26)</f>
        <v>-0.01</v>
      </c>
      <c r="AN122" s="1513" t="n">
        <f aca="false">VLOOKUP($A122,VolatilityTable,27)</f>
        <v>0.16</v>
      </c>
      <c r="AO122" s="1514" t="n">
        <f aca="false">VLOOKUP($A122,VolatilityTable,28)</f>
        <v>0.01</v>
      </c>
      <c r="AP122" s="1513" t="n">
        <f aca="false">VLOOKUP($A122,VolatilityTable,26)</f>
        <v>-0.01</v>
      </c>
      <c r="AQ122" s="1513" t="n">
        <f aca="false">VLOOKUP($A122,VolatilityTable,27)</f>
        <v>0.16</v>
      </c>
      <c r="AR122" s="1515" t="n">
        <f aca="false">VLOOKUP($A122,VolatilityTable,28)</f>
        <v>0.01</v>
      </c>
      <c r="AS122" s="1581" t="n">
        <f aca="false">IF(CorrPeakOffPeakOverFlag,INDEX(CorrPeakOffPeakOver,C122),CorrPeakOffPeak)</f>
        <v>0.5</v>
      </c>
      <c r="AT122" s="594" t="e">
        <f aca="false">AX122-SUM(AU122:AW122)</f>
        <v>#VALUE!</v>
      </c>
      <c r="AU122" s="238" t="e">
        <f aca="false">IF(E122="",0,INT((F122-MOD(F122,7)-E122)/7)+1-IF(AW122,IF(WEEKDAY(D122)=7,1,0),0))</f>
        <v>#VALUE!</v>
      </c>
      <c r="AV122" s="238" t="e">
        <f aca="false">IF(E122="",0,INT((F122-MOD(F122-1,7)-E122)/7)+1-IF(AW122,IF(WEEKDAY(D122)=1,1,0),0))</f>
        <v>#VALUE!</v>
      </c>
      <c r="AW122" s="238" t="e">
        <f aca="false">IF(OR(E122="",D122="",D122&lt;BegDate,D122&gt;EndDate),0,1)</f>
        <v>#VALUE!</v>
      </c>
      <c r="AX122" s="238" t="n">
        <f aca="false">IF(E122="",0,F122-E122+1)</f>
        <v>28</v>
      </c>
      <c r="AY122" s="1582" t="n">
        <f aca="false">IF(E122="",0,MIN((1-(1-VLOOKUP(B122,MAIN!$AA$7:$AM$28,C122+1))*(1-VLOOKUP(B122,MAIN!$AA$33:$AM$54,C122+1))),1))</f>
        <v>0.03</v>
      </c>
      <c r="AZ122" s="1519" t="e">
        <v>#VALUE!</v>
      </c>
      <c r="BA122" s="1520" t="e">
        <v>#VALUE!</v>
      </c>
      <c r="BB122" s="1520" t="e">
        <v>#VALUE!</v>
      </c>
      <c r="BC122" s="1583" t="e">
        <v>#VALUE!</v>
      </c>
      <c r="BD122" s="1522" t="e">
        <v>#VALUE!</v>
      </c>
      <c r="BE122" s="1523" t="e">
        <v>#VALUE!</v>
      </c>
      <c r="BF122" s="1523" t="e">
        <v>#VALUE!</v>
      </c>
      <c r="BG122" s="1584" t="e">
        <v>#VALUE!</v>
      </c>
      <c r="BH122" s="1525" t="e">
        <v>#VALUE!</v>
      </c>
      <c r="BI122" s="1520" t="e">
        <v>#VALUE!</v>
      </c>
      <c r="BJ122" s="1520" t="e">
        <v>#VALUE!</v>
      </c>
      <c r="BK122" s="1583" t="e">
        <v>#VALUE!</v>
      </c>
      <c r="BL122" s="1522" t="e">
        <v>#VALUE!</v>
      </c>
      <c r="BM122" s="1523" t="e">
        <v>#VALUE!</v>
      </c>
      <c r="BN122" s="1523" t="e">
        <v>#VALUE!</v>
      </c>
      <c r="BO122" s="1523" t="e">
        <v>#VALUE!</v>
      </c>
      <c r="BP122" s="1525" t="e">
        <f aca="false">SUM(AZ122:BB122)</f>
        <v>#VALUE!</v>
      </c>
      <c r="BQ122" s="1529" t="e">
        <f aca="false">SUM(AZ122:BC122)</f>
        <v>#VALUE!</v>
      </c>
      <c r="BR122" s="1519" t="e">
        <f aca="false">SUM(BH122:BJ122)</f>
        <v>#VALUE!</v>
      </c>
      <c r="BS122" s="1529" t="e">
        <f aca="false">SUM(BH122:BK122)</f>
        <v>#VALUE!</v>
      </c>
      <c r="BT122" s="1316" t="n">
        <f aca="false">(IF(OVolType&lt;&gt;2,A122+14,IF(OptExpDateShift,ShiftBack(A122,OptExpDateShift,D121),A122))-DateToday)/365.25</f>
        <v>8.80219028062971</v>
      </c>
      <c r="BU122" s="1585" t="e">
        <f aca="false">IF(BQ122,IF(OPriceCurve,IF(OBuySell=OCallPut,I122/(1-AY122),K122/(1-AY122)),J122/(1-AY122))*BD122,0)</f>
        <v>#VALUE!</v>
      </c>
      <c r="BV122" s="1316" t="e">
        <f aca="false">IF(BQ122,IF(OPriceCurve,IF(OBuySell=OCallPut,L122/(1-AY122),N122/(1-AY122)),M122/(1-AY122))*BE122,0)</f>
        <v>#VALUE!</v>
      </c>
      <c r="BW122" s="1316" t="e">
        <f aca="false">IF(BQ122,IF(OPriceCurve,IF(OBuySell=OCallPut,O122/(1-AY122),Q122/(1-AY122)),P122/(1-AY122))*BF122,0)</f>
        <v>#VALUE!</v>
      </c>
      <c r="BX122" s="1316" t="e">
        <f aca="false">IF(BQ122,IF(OPriceCurve,IF(OBuySell=OCallPut,R122/(1-AY122),T122/(1-AY122)),S122/(1-AY122))*BG122,0)</f>
        <v>#VALUE!</v>
      </c>
      <c r="BY122" s="1316" t="e">
        <f aca="false">IF(BP122,(BU122*AZ122+BV122*BA122+BW122*BB122)/BP122,0)</f>
        <v>#VALUE!</v>
      </c>
      <c r="BZ122" s="1316" t="e">
        <f aca="false">IF(BQ122,(BY122*BP122+BX122*BC122)/BQ122,0)</f>
        <v>#VALUE!</v>
      </c>
      <c r="CA122" s="1531" t="e">
        <f aca="false">IF(BS122,IF(OPriceCurve,IF(OBuySell=OCallPut,I122/(1-AY122),K122/(1-AY122)),J122/(1-AY122))*BL122,0)</f>
        <v>#VALUE!</v>
      </c>
      <c r="CB122" s="1316" t="e">
        <f aca="false">IF(BS122,IF(OPriceCurve,IF(OBuySell=OCallPut,L122/(1-AY122),N122/(1-AY122)),M122/(1-AY122))*BM122,0)</f>
        <v>#VALUE!</v>
      </c>
      <c r="CC122" s="1316" t="e">
        <f aca="false">IF(BS122,IF(OPriceCurve,IF(OBuySell=OCallPut,O122/(1-AY122),Q122/(1-AY122)),P122/(1-AY122))*BN122,0)</f>
        <v>#VALUE!</v>
      </c>
      <c r="CD122" s="1316" t="e">
        <f aca="false">IF(BS122,IF(OPriceCurve,IF(OBuySell=OCallPut,R122/(1-AY122),T122/(1-AY122)),S122/(1-AY122))*BO122,0)</f>
        <v>#VALUE!</v>
      </c>
      <c r="CE122" s="1316" t="e">
        <f aca="false">IF(BR122,(BU122*BH122+BV122*BI122+BW122*BJ122)/BR122,0)</f>
        <v>#VALUE!</v>
      </c>
      <c r="CF122" s="1532" t="e">
        <f aca="false">IF(BS122,(CE122*BR122+CD122*BK122)/BS122,0)</f>
        <v>#VALUE!</v>
      </c>
      <c r="CG122" s="1586" t="e">
        <f aca="false">IF(OR(BQ122,BS122),IF(OVolType&lt;&gt;2,SQRT(IF(OVolOverMonthlyPeak,OVolOverMonthlyPeak,IF(OVolCurve,IF(OBuySell,U122,W122),V122))^2*(1-15/365.25/BT122)+IF(OVolOverDailyPeak,OVolOverDailyPeak,IF(OVolCurve,IF(OBuySell,AG122,AI122),AH122))^2*15/365.25/BT122),IF(OVolOverMonthlyPeak,OVolOverMonthlyPeak,IF(OVolCurve,IF(OBuySell,U122,W122),V122))),"")</f>
        <v>#VALUE!</v>
      </c>
      <c r="CH122" s="1587" t="e">
        <f aca="false">IF(OR(BQ122,BS122),IF(OVolType&lt;&gt;2,SQRT(IF(OVolOverMonthlyPeak,OVolOverMonthlyPeak,IF(OVolCurve,IF(OBuySell,X122,Z122),Y122))^2*(1-15/365.25/BT122)+IF(OVolOverDailyPeak,OVolOverDailyPeak,IF(OVolCurve,IF(OBuySell,AJ122,AL122),AK122))^2*15/365.25/BT122),IF(OVolOverMonthlyPeak,OVolOverMonthlyPeak,IF(OVolCurve,IF(OBuySell,X122,Z122),Y122))),"")</f>
        <v>#VALUE!</v>
      </c>
      <c r="CI122" s="1587" t="e">
        <f aca="false">IF(OR(BQ122,BS122),IF(OVolType&lt;&gt;2,SQRT(IF(OVolOverMonthlyPeak,OVolOverMonthlyPeak,IF(OVolCurve,IF(OBuySell,AA122,AC122),AB122))^2*(1-15/365.25/BT122)+IF(OVolOverDailyPeak,OVolOverDailyPeak,IF(OVolCurve,IF(OBuySell,AM122,AO122),AN122))^2*15/365.25/BT122),IF(OVolOverMonthlyPeak,OVolOverMonthlyPeak,IF(OVolCurve,IF(OBuySell,AA122,AC122),AB122))),"")</f>
        <v>#VALUE!</v>
      </c>
      <c r="CJ122" s="1587" t="e">
        <f aca="false">IF(BQ122,IF(BP122,SQRT(LN(1+((BU122*AZ122)^2*(EXP(CG122^2*BT122)-1)+(BV122*BA122)^2*(EXP(CH122^2*BT122)-1)+(BW122*BB122)^2*(EXP(CI122^2*BT122)-1)+2*BU122*AZ122*BV122*BA122*(EXP(CG122*CH122*BT122)-1)+2*BV122*BA122*BW122*BB122*(EXP(CH122*CI122*BT122)-1)+2*BW122*BB122*BU122*AZ122*(EXP(CI122*CG122*BT122)-1))/(BY122*BP122)^2)/BT122),0),"")</f>
        <v>#VALUE!</v>
      </c>
      <c r="CK122" s="1587" t="e">
        <f aca="false">IF(BS122,IF(BR122,SQRT(LN(1+((CA122*BH122)^2*(EXP(CG122^2*BT122)-1)+(CB122*BI122)^2*(EXP(CH122^2*BT122)-1)+(CC122*BJ122)^2*(EXP(CI122^2*BT122)-1)+2*CA122*BH122*CB122*BI122*(EXP(CG122*CH122*BT122)-1)+2*CB122*BI122*CC122*BJ122*(EXP(CH122*CI122*BT122)-1)+2*CC122*BJ122*CA122*BH122*(EXP(CI122*CG122*BT122)-1))/(CE122*BR122)^2)/BT122),0),"")</f>
        <v>#VALUE!</v>
      </c>
      <c r="CL122" s="1587" t="e">
        <f aca="false">IF(OR(BQ122,BS122),IF(OVolType&lt;&gt;2,SQRT(IF(OVolOverMonthlyOffPeak,OVolOverMonthlyOffPeak,IF(OVolCurve,IF(OBuySell,AD122,AF122),AE122))^2*(1-15/365.25/BT122)+IF(OVolOverDailyOffPeak,OVolOverDailyOffPeak,IF(OVolCurve,IF(OBuySell,AP122,AR122),AQ122))^2*15/365.25/BT122),IF(OVolOverMonthlyOffPeak,OVolOverMonthlyOffPeak,IF(OVolCurve,IF(OBuySell,AD122,AF122),AE122))),"")</f>
        <v>#VALUE!</v>
      </c>
      <c r="CM122" s="1587" t="e">
        <f aca="false">IF(BQ122,SQRT(LN(1+((BY122*BP122)^2*(EXP(CJ122^2*BT122)-1)+(BX122*BC122)^2*(EXP(CL122^2*BT122)-1)+2*BY122*BP122*BX122*BC122*(EXP(AS122*CJ122*CL122*BT122)-1))/(BY122*BP122+BX122*BC122)^2)/BT122),"")</f>
        <v>#VALUE!</v>
      </c>
      <c r="CN122" s="1588" t="e">
        <f aca="false">IF(BS122,SQRT(LN(1+((CE122*BR122)^2*(EXP(CK122^2*BT122)-1)+(CD122*BK122)^2*(EXP(CL122^2*BT122)-1)+2*CE122*BR122*CD122*BK122*(EXP(AS122*CK122*CL122*BT122)-1))/(CE122*BR122+CD122*BK122)^2)/BT122),"")</f>
        <v>#VALUE!</v>
      </c>
      <c r="CO122" s="1531" t="e">
        <f aca="false">IF(OR(BQ122,BS122),VLOOKUP(A122,GasTable,13)*HeatRatePeak*(1+VLOOKUP($B122,HeatRateDegradation,$C122+1))/1000,0)</f>
        <v>#VALUE!</v>
      </c>
      <c r="CP122" s="1316" t="e">
        <f aca="false">IF(OR(BQ122,BS122),VLOOKUP(A122,GasTable,13)*HeatRatePeak*(1+VLOOKUP($B122,HeatRateDegradation,$C122+1))/1000,0)</f>
        <v>#VALUE!</v>
      </c>
      <c r="CQ122" s="1316" t="e">
        <f aca="false">IF(OR(BQ122,BS122),VLOOKUP(A122,GasTable,13)*IF(EV122,HeatRatePeak,HeatRateOffPeak)*(1+VLOOKUP($B122,HeatRateDegradation,$C122+1))/1000,0)</f>
        <v>#VALUE!</v>
      </c>
      <c r="CR122" s="1316" t="e">
        <f aca="false">IF(OR(BQ122,BS122),VLOOKUP(A122,GasTable,13)*IF(EW122,HeatRatePeak,HeatRateOffPeak)*(1+VLOOKUP($B122,HeatRateDegradation,$C122+1))/1000,0)</f>
        <v>#VALUE!</v>
      </c>
      <c r="CS122" s="1589" t="e">
        <f aca="false">IF(BQ122,(CO122*AZ122+CP122*BA122+CQ122*BB122+CR122*BC122)/BQ122,0)</f>
        <v>#VALUE!</v>
      </c>
      <c r="CT122" s="1316" t="e">
        <f aca="false">IF(BS122,CO122,0)</f>
        <v>#VALUE!</v>
      </c>
      <c r="CU122" s="1590" t="e">
        <f aca="false">IF(OR(BQ122,BS122),VLOOKUP(A122,GasTable,14),"")</f>
        <v>#VALUE!</v>
      </c>
      <c r="CV122" s="1568" t="e">
        <f aca="false">IF(OR(BQ122,BS122),IF(CorrPowerGasOverFlag,INDEX(CorrPowerGasOver,C122),CorrPowerGas),"")</f>
        <v>#VALUE!</v>
      </c>
      <c r="CW122" s="1316" t="e">
        <f aca="false">IF(OR($BQ122,$BS122),SpreadOptPowerMargin,0)*((1+Assumptions!$C$26)^($B122-YEAR(Assumptions!$C$17)))</f>
        <v>#VALUE!</v>
      </c>
      <c r="CX122" s="1316" t="e">
        <f aca="false">IF(OR($BQ122,$BS122),SpreadOptPowerMargin,0)*((1+Assumptions!$C$26)^($B122-YEAR(Assumptions!$C$17)))</f>
        <v>#VALUE!</v>
      </c>
      <c r="CY122" s="1316" t="e">
        <f aca="false">IF(OR($BQ122,$BS122),SpreadOptPowerMargin,0)*((1+Assumptions!$C$26)^($B122-YEAR(Assumptions!$C$17)))</f>
        <v>#VALUE!</v>
      </c>
      <c r="CZ122" s="1316" t="e">
        <f aca="false">IF(OR($BQ122,$BS122),SpreadOptPowerMargin,0)*((1+Assumptions!$C$26)^($B122-YEAR(Assumptions!$C$17)))</f>
        <v>#VALUE!</v>
      </c>
      <c r="DA122" s="1591" t="e">
        <f aca="false">IF(OR(BQ122,BS122),(CW122*(AZ122+BH122)+CX122*(BA122+BI122)+CY122*(BB122+BJ122)+CZ122*(BC122+BK122))/(BQ122+BS122),0)</f>
        <v>#VALUE!</v>
      </c>
      <c r="DB122" s="1592" t="e">
        <f aca="false">IF(OR(BQ122,BS122),CG122+IF(OVolSmile,VLOOKUP(MAX(-5,CO122+CW122-BU122),IF(OVolSmile=1,VolSmileBook,VolSmileModel),2),0),"")</f>
        <v>#VALUE!</v>
      </c>
      <c r="DC122" s="1592" t="e">
        <f aca="false">IF(OR(BQ122,BS122),CH122+IF(OVolSmile,VLOOKUP(MAX(-5,CP122+CW122-BV122),IF(OVolSmile=1,VolSmileBook,VolSmileModel),2),0),"")</f>
        <v>#VALUE!</v>
      </c>
      <c r="DD122" s="1592" t="e">
        <f aca="false">IF(OR(BQ122,BS122),CI122+IF(OVolSmile,VLOOKUP(MAX(-5,CQ122+CW122-BW122),IF(OVolSmile=1,VolSmileBook,VolSmileModel),2),0),"")</f>
        <v>#VALUE!</v>
      </c>
      <c r="DE122" s="1592" t="e">
        <f aca="false">IF(OR(BQ122,BS122),CL122+IF(OVolSmile,VLOOKUP(MAX(-5,CR122+CZ122-BX122),IF(OVolSmile=1,VolSmileBook,VolSmileModel),2),0),"")</f>
        <v>#VALUE!</v>
      </c>
      <c r="DF122" s="1592" t="e">
        <f aca="false">IF(BQ122,CM122+IF(OVolSmile,VLOOKUP(MAX(-5,CS122+DA122-BZ122),IF(OVolSmile=1,VolSmileBook,VolSmileModel),2),0),"")</f>
        <v>#VALUE!</v>
      </c>
      <c r="DG122" s="1593" t="e">
        <f aca="false">IF(BS122,CN122+IF(OVolSmile,VLOOKUP(MAX(-5,CT122+DA122-CF122),IF(OVolSmile=1,VolSmileBook,VolSmileModel),2),0),"")</f>
        <v>#VALUE!</v>
      </c>
      <c r="DH122" s="1316" t="e">
        <f aca="false">IF(AND(BU122&gt;0,CO122&gt;0,DB122&gt;0,CU122&gt;0),newSPRDOPT(BU122,CO122,CW122,0,DB122,CU122,CV122,BT122*365.25,OCallPut,0),0)</f>
        <v>#VALUE!</v>
      </c>
      <c r="DI122" s="1316" t="e">
        <f aca="false">IF(AND(BV122&gt;0,CP122&gt;0,DC122&gt;0,CU122&gt;0),newSPRDOPT(BV122,CP122,CX122,0,DC122,CU122,CV122,BT122*365.25,OCallPut,0),0)</f>
        <v>#VALUE!</v>
      </c>
      <c r="DJ122" s="1316" t="e">
        <f aca="false">IF(AND(BW122&gt;0,CQ122&gt;0,DD122&gt;0,CU122&gt;0),newSPRDOPT(BW122,CQ122,CY122,0,DD122,CU122,CV122,BT122*365.25,OCallPut,0),0)</f>
        <v>#VALUE!</v>
      </c>
      <c r="DK122" s="1316" t="e">
        <f aca="false">IF(AND(BX122&gt;0,CR122&gt;0,DE122&gt;0,CU122&gt;0),newSPRDOPT(BX122,CR122,CZ122,0,DE122,CU122,CV122,BT122*365.25,OCallPut,0),0)</f>
        <v>#VALUE!</v>
      </c>
      <c r="DL122" s="1316" t="e">
        <f aca="false">IF(OVolType,IF(AND(BZ122&gt;0,CS122&gt;0,DF122&gt;0,CU122&gt;0),newSPRDOPT(BZ122,CS122,DA122,0,DF122,CU122,CV122,BT122*365.25,OCallPut,0),0),IF(BQ122,(DH122*AZ122+DI122*BA122+DJ122*BB122+DK122*BC122)/BQ122,0))</f>
        <v>#VALUE!</v>
      </c>
      <c r="DM122" s="1316"/>
      <c r="DN122" s="1316"/>
      <c r="DO122" s="1316"/>
      <c r="DP122" s="1316"/>
      <c r="DQ122" s="1316"/>
      <c r="DR122" s="1316"/>
      <c r="DS122" s="1316"/>
      <c r="DT122" s="1316"/>
      <c r="DU122" s="1316"/>
      <c r="DV122" s="1316"/>
      <c r="DW122" s="1594" t="e">
        <f aca="false">IF(AND(BW122&gt;0,CT122&gt;0,DD122&gt;0,CU122&gt;0),newSPRDOPT(BW122,CT122,CY122,0,DD122,CU122,CV122,BT122*365.25,OCallPut,0),0)</f>
        <v>#VALUE!</v>
      </c>
      <c r="DX122" s="1316" t="e">
        <f aca="false">IF(AND(BX122&gt;0,CT122&gt;0,DE122&gt;0,CU122&gt;0),newSPRDOPT(BX122,CT122,CZ122,0,DE122,CU122,CV122,BT122*365.25,OCallPut,0),0)</f>
        <v>#VALUE!</v>
      </c>
      <c r="DY122" s="1591" t="e">
        <f aca="false">IF(BS122,(DH122*BH122+DI122*BI122+DW122*BJ122+DX122*BK122)/BS122,0)</f>
        <v>#VALUE!</v>
      </c>
      <c r="DZ122" s="1551" t="e">
        <f aca="false">DH122*AZ122</f>
        <v>#VALUE!</v>
      </c>
      <c r="EA122" s="1551" t="e">
        <f aca="false">DI122*BA122</f>
        <v>#VALUE!</v>
      </c>
      <c r="EB122" s="1551" t="e">
        <f aca="false">DJ122*BB122</f>
        <v>#VALUE!</v>
      </c>
      <c r="EC122" s="1551" t="e">
        <f aca="false">DK122*BC122</f>
        <v>#VALUE!</v>
      </c>
      <c r="ED122" s="1551" t="e">
        <f aca="false">DL122*BQ122</f>
        <v>#VALUE!</v>
      </c>
      <c r="EE122" s="1595" t="e">
        <f aca="false">IF(BQ122,IF(OCallPut,IF(BU122&gt;(CO122+CW122),BU122-(CO122+CW122),0),IF((CO122+CW122)&gt;BU122,(CO122+CW122)-BU122,0))*AZ122,0)</f>
        <v>#VALUE!</v>
      </c>
      <c r="EF122" s="1596" t="e">
        <f aca="false">IF(BQ122,IF(OCallPut,IF(BV122&gt;(CP122+CX122),BV122-(CP122+CX122),0),IF((CP122+CX122)&gt;BV122,(CP122+CX122)-BV122,0))*BA122,0)</f>
        <v>#VALUE!</v>
      </c>
      <c r="EG122" s="1596" t="e">
        <f aca="false">IF(BQ122,IF(OCallPut,IF(BW122&gt;(CQ122+CY122),BW122-(CQ122+CY122),0),IF((CQ122+CY122)&gt;BW122,(CQ122+CY122)-BW122,0))*BB122,0)</f>
        <v>#VALUE!</v>
      </c>
      <c r="EH122" s="1596" t="e">
        <f aca="false">IF(BQ122,IF(OCallPut,IF(BX122&gt;(CR122+CZ122),BX122-(CR122+CZ122),0),IF((CR122+CZ122)&gt;BX122,(CR122+CZ122)-BX122,0))*BC122,0)</f>
        <v>#VALUE!</v>
      </c>
      <c r="EI122" s="1597" t="e">
        <f aca="false">IF(BQ122,IF(OVolType,IF(OCallPut,IF(BZ122&gt;(CS122+DA122),BZ122-(CS122+DA122),0),IF((CS122+DA122)&gt;BZ122,(CS122+DA122)-BZ122,0))*BQ122,SUM(EE122:EH122)),0)</f>
        <v>#VALUE!</v>
      </c>
      <c r="EJ122" s="1595" t="e">
        <f aca="false">DZ122-EE122</f>
        <v>#VALUE!</v>
      </c>
      <c r="EK122" s="1596" t="e">
        <f aca="false">EA122-EF122</f>
        <v>#VALUE!</v>
      </c>
      <c r="EL122" s="1596" t="e">
        <f aca="false">EB122-EG122</f>
        <v>#VALUE!</v>
      </c>
      <c r="EM122" s="1596" t="e">
        <f aca="false">EC122-EH122</f>
        <v>#VALUE!</v>
      </c>
      <c r="EN122" s="1597" t="e">
        <f aca="false">ED122-EI122</f>
        <v>#VALUE!</v>
      </c>
      <c r="EO122" s="1551" t="e">
        <f aca="false">DH122*BH122</f>
        <v>#VALUE!</v>
      </c>
      <c r="EP122" s="1551" t="e">
        <f aca="false">DI122*BI122</f>
        <v>#VALUE!</v>
      </c>
      <c r="EQ122" s="1551" t="e">
        <f aca="false">DW122*BJ122</f>
        <v>#VALUE!</v>
      </c>
      <c r="ER122" s="1551" t="e">
        <f aca="false">DX122*BK122</f>
        <v>#VALUE!</v>
      </c>
      <c r="ES122" s="1551" t="e">
        <f aca="false">DY122*BS122</f>
        <v>#VALUE!</v>
      </c>
      <c r="ET122" s="1566" t="e">
        <f aca="false">IF(EI122,IF(OCallPut,IF(CA122&gt;(CT122+CW122),CA122-(CT122+CW122),0),IF((CT122+CW122)&gt;CA122,(CT122+CW122)-CA122,0))*BH122,0)</f>
        <v>#VALUE!</v>
      </c>
      <c r="EU122" s="1551" t="e">
        <f aca="false">IF(EI122,IF(OCallPut,IF(CB122&gt;(CT122+CX122),CB122-(CT122+CX122),0),IF((CT122+CX122)&gt;CB122,(CT122+CX122)-CB122,0))*BI122,0)</f>
        <v>#VALUE!</v>
      </c>
      <c r="EV122" s="1551" t="e">
        <f aca="false">IF(EI122,IF(OCallPut,IF(CC122&gt;(CT122+CY122),CC122-(CT122+CY122),0),IF((CT122+CY122)&gt;CC122,(CT122+CY122)-CC122,0))*BJ122,0)</f>
        <v>#VALUE!</v>
      </c>
      <c r="EW122" s="1551" t="e">
        <f aca="false">IF(EI122,IF(OCallPut,IF(CD122&gt;(CT122+CZ122),CD122-(CT122+CZ122),0),IF((CT122+CZ122)&gt;CD122,(CT122+CZ122)-CD122,0))*BK122,0)</f>
        <v>#VALUE!</v>
      </c>
      <c r="EX122" s="1558" t="e">
        <f aca="false">IF(EI122,SUM(ET122:EW122),0)</f>
        <v>#VALUE!</v>
      </c>
      <c r="EY122" s="1551" t="e">
        <f aca="false">EO122-ET122</f>
        <v>#VALUE!</v>
      </c>
      <c r="EZ122" s="1551" t="e">
        <f aca="false">EP122-EU122</f>
        <v>#VALUE!</v>
      </c>
      <c r="FA122" s="1551" t="e">
        <f aca="false">EQ122-EV122</f>
        <v>#VALUE!</v>
      </c>
      <c r="FB122" s="1551" t="e">
        <f aca="false">ER122-EW122</f>
        <v>#VALUE!</v>
      </c>
      <c r="FC122" s="1551" t="e">
        <f aca="false">ES122-EX122</f>
        <v>#VALUE!</v>
      </c>
      <c r="FD122" s="1525" t="n">
        <f aca="false">IF(AX122,IF(VLOOKUP(C122,MAIN!$L$17:$M$28,2)="Yes",VLOOKUP(CALC!B122,MAIN!$H$17:$I$20,2),0),0)</f>
        <v>0</v>
      </c>
      <c r="FE122" s="1552" t="e">
        <f aca="false">$FD122*16*AT122*(1-$AY122)</f>
        <v>#VALUE!</v>
      </c>
      <c r="FF122" s="1553" t="e">
        <f aca="false">$FD122*16*AU122*(1-$AY122)</f>
        <v>#VALUE!</v>
      </c>
      <c r="FG122" s="1553" t="e">
        <f aca="false">$FD122*16*(AV122+AW122)*(1-$AY122)</f>
        <v>#VALUE!</v>
      </c>
      <c r="FH122" s="1554" t="n">
        <f aca="false">$FD122*8*AX122*(1-$AY122)</f>
        <v>0</v>
      </c>
      <c r="FI122" s="1555" t="n">
        <f aca="false">IF(AX122,VLOOKUP(CALC!B122,MAIN!$H$17:$K$20,4),0)</f>
        <v>0</v>
      </c>
      <c r="FJ122" s="1553" t="e">
        <f aca="false">SUM(FE122:FH122)</f>
        <v>#VALUE!</v>
      </c>
      <c r="FK122" s="1556" t="e">
        <f aca="false">FI122*FJ122</f>
        <v>#VALUE!</v>
      </c>
      <c r="FL122" s="1551" t="e">
        <f aca="false">IF($EI122&gt;0,MIN(FE122,AZ122*(1+VLOOKUP($C122,WeatherCapacityAdjustment,2))),0)</f>
        <v>#VALUE!</v>
      </c>
      <c r="FM122" s="1551" t="e">
        <f aca="false">IF($EI122&gt;0,MIN(FF122,BA122*(1+VLOOKUP($C122,WeatherCapacityAdjustment,2))),0)</f>
        <v>#VALUE!</v>
      </c>
      <c r="FN122" s="1551" t="e">
        <f aca="false">IF($EI122&gt;0,MIN(FG122,BB122*(1+VLOOKUP($C122,WeatherCapacityAdjustment,2))),0)</f>
        <v>#VALUE!</v>
      </c>
      <c r="FO122" s="1564" t="e">
        <f aca="false">IF($EI122&gt;0,MIN(FH122,BC122*(1+VLOOKUP($C122,WeatherCapacityAdjustment,3))),0)</f>
        <v>#VALUE!</v>
      </c>
      <c r="FP122" s="1551" t="e">
        <f aca="false">IF(ET122&gt;0,MIN(FE122-FL122,BH122*(1+VLOOKUP($C122,WeatherCapacityAdjustment,2))),0)</f>
        <v>#VALUE!</v>
      </c>
      <c r="FQ122" s="1551" t="e">
        <f aca="false">IF(EU122&gt;0,MIN(FF122-FM122,BI122*(1+VLOOKUP($C122,WeatherCapacityAdjustment,2))),0)</f>
        <v>#VALUE!</v>
      </c>
      <c r="FR122" s="1551" t="e">
        <f aca="false">IF(EV122&gt;0,MIN(FG122-FN122,BJ122*(1+VLOOKUP($C122,WeatherCapacityAdjustment,2))),0)</f>
        <v>#VALUE!</v>
      </c>
      <c r="FS122" s="1558" t="e">
        <f aca="false">IF(EW122&gt;0,MIN(FH122-FO122,BK122*(1+VLOOKUP($C122,WeatherCapacityAdjustment,3))),0)</f>
        <v>#VALUE!</v>
      </c>
      <c r="FT122" s="1566" t="e">
        <f aca="false">IF(AND(Assumptions!$H$71="Yes",A122&gt;=Assumptions!$H$72,A122&lt;=Assumptions!$H$73),0,IF(AND($A122&gt;=Assumptions!$C$17,$A122&lt;=Assumptions!$C$18),MAX(AZ122*(1+VLOOKUP($C122,WeatherCapacityAdjustment,2))-FL122,0),0))</f>
        <v>#VALUE!</v>
      </c>
      <c r="FU122" s="1551" t="e">
        <f aca="false">IF(AND(Assumptions!$H$71="Yes",A122&gt;=Assumptions!$H$72,A122&lt;=Assumptions!$H$73),0,IF(AND($A122&gt;=Assumptions!$C$17,$A122&lt;=Assumptions!$C$18),MAX(BA122*(1+VLOOKUP($C122,WeatherCapacityAdjustment,2))-FM122,0),0))</f>
        <v>#VALUE!</v>
      </c>
      <c r="FV122" s="1551" t="e">
        <f aca="false">IF(AND(Assumptions!$H$71="Yes",A122&gt;=Assumptions!$H$72,A122&lt;=Assumptions!$H$73),0,IF(AND($A122&gt;=Assumptions!$C$17,$A122&lt;=Assumptions!$C$18),MAX(BB122*(1+VLOOKUP($C122,WeatherCapacityAdjustment,2))-FN122,0),0))</f>
        <v>#VALUE!</v>
      </c>
      <c r="FW122" s="1564" t="e">
        <f aca="false">IF(AND(Assumptions!$H$71="Yes",A122&gt;=Assumptions!$H$72,A122&lt;=Assumptions!$H$73),0,IF(AND($A122&gt;=Assumptions!$C$17,$A122&lt;=Assumptions!$C$18),MAX(BC122*(1+VLOOKUP($C122,WeatherCapacityAdjustment,3))-FO122,0),0))</f>
        <v>#VALUE!</v>
      </c>
      <c r="FX122" s="1569" t="e">
        <f aca="false">IF(AND(Assumptions!$H$71="Yes",A122&gt;=Assumptions!$H$72,A122&lt;=Assumptions!$H$73),0,IF(ET122&gt;0,MAX(BH122*(1+VLOOKUP($C122,WeatherCapacityAdjustment,2))-FP122,0),0))</f>
        <v>#VALUE!</v>
      </c>
      <c r="FY122" s="1551" t="e">
        <f aca="false">IF(AND(Assumptions!$H$71="Yes",A122&gt;=Assumptions!$H$72,A122&lt;=Assumptions!$H$73),0,IF(EU122&gt;0,MAX(BI122*(1+VLOOKUP($C122,WeatherCapacityAdjustment,3))-FQ122,0),0))</f>
        <v>#VALUE!</v>
      </c>
      <c r="FZ122" s="1551" t="e">
        <f aca="false">IF(AND(Assumptions!$H$71="Yes",A122&gt;=Assumptions!$H$72,A122&lt;=Assumptions!$H$73),0,IF(EV122&gt;0,MAX(BJ122*(1+VLOOKUP($C122,WeatherCapacityAdjustment,2))-FR122,0),0))</f>
        <v>#VALUE!</v>
      </c>
      <c r="GA122" s="1564" t="e">
        <f aca="false">IF(AND(Assumptions!$H$71="Yes",A122&gt;=Assumptions!$H$72,A122&lt;=Assumptions!$H$73),0,IF(EW122&gt;0,MAX(BK122*(1+VLOOKUP($C122,WeatherCapacityAdjustment,2))-FS122,0),0))</f>
        <v>#VALUE!</v>
      </c>
      <c r="GB122" s="1551" t="e">
        <f aca="false">SUM(FT122:GA122)</f>
        <v>#VALUE!</v>
      </c>
      <c r="GC122" s="1563" t="e">
        <f aca="false">+IF(SUM(FT122:GA122)=0,0,(SUMPRODUCT(BU122:BX122,FT122:FW122)+SUMPRODUCT(CA122:CD122,FX122:GA122))/SUM(FT122:GA122))</f>
        <v>#VALUE!</v>
      </c>
      <c r="GD122" s="1551" t="e">
        <f aca="false">(FT122*BU122+FX122*CA122+FU122*BV122+FY122*CB122+FV122*BW122+FZ122*CC122+FW122*BX122+GA122*CD122)</f>
        <v>#VALUE!</v>
      </c>
      <c r="GE122" s="1561" t="e">
        <f aca="false">+IF(BQ122,((FL122+FM122+FT122+FU122)*HeatRatePeak/1000*(1+VLOOKUP($C122,WeatherHeatRateAdjustment,2))+(FN122+FV122)*IF(EV122&gt;0,HeatRatePeak,HeatRateOffPeak)/1000*(1+VLOOKUP($C122,WeatherHeatRateAdjustment,2))+(FO122+FW122)*IF(EW122&gt;0,HeatRatePeak,HeatRateOffPeak)/1000*(1+VLOOKUP($C122,WeatherHeatRateAdjustment,3)))*(1+VLOOKUP($B122,HeatRateDegradation,$C122+1)),0)</f>
        <v>#VALUE!</v>
      </c>
      <c r="GF122" s="1562" t="e">
        <f aca="false">IF(BQ122,((FP122+FQ122+FR122+FX122+FY122+FZ122)*HeatRatePeak/1000*(1+VLOOKUP($C122,WeatherHeatRateAdjustment,2))+(FS122+GA122)*HeatRatePeak/1000*(1+VLOOKUP($C122,WeatherHeatRateAdjustment,3)))*(1+VLOOKUP($B122,HeatRateDegradation,$C122+1)),0)</f>
        <v>#VALUE!</v>
      </c>
      <c r="GG122" s="1563" t="e">
        <f aca="false">IF(BQ122,VLOOKUP(A122,GasTable,13),0)</f>
        <v>#VALUE!</v>
      </c>
      <c r="GH122" s="1564" t="e">
        <f aca="false">(GE122+GF122)*GG122</f>
        <v>#VALUE!</v>
      </c>
      <c r="GI122" s="1569" t="e">
        <f aca="false">GB122</f>
        <v>#VALUE!</v>
      </c>
      <c r="GJ122" s="1598" t="e">
        <f aca="false">+DA122</f>
        <v>#VALUE!</v>
      </c>
      <c r="GK122" s="1558" t="e">
        <f aca="false">+GI122*GJ122</f>
        <v>#VALUE!</v>
      </c>
      <c r="GL122" s="1566" t="e">
        <f aca="false">MAX(FE122-FL122-FP122,0)</f>
        <v>#VALUE!</v>
      </c>
      <c r="GM122" s="1551" t="e">
        <f aca="false">MAX(FF122-FM122-FQ122,0)</f>
        <v>#VALUE!</v>
      </c>
      <c r="GN122" s="1551" t="e">
        <f aca="false">MAX(FG122-FN122-FR122,0)</f>
        <v>#VALUE!</v>
      </c>
      <c r="GO122" s="1564" t="e">
        <f aca="false">MAX(FH122-FO122-FS122,0)</f>
        <v>#VALUE!</v>
      </c>
      <c r="GP122" s="1551" t="e">
        <f aca="false">SUM(GL122:GO122)</f>
        <v>#VALUE!</v>
      </c>
      <c r="GQ122" s="1563" t="e">
        <f aca="false">IF(SUM(GL122:GO122)=0,0,((GL122*BU122+GM122*BV122+GN122*BW122+GO122*BX122)/SUM(GL122:GO122)))</f>
        <v>#VALUE!</v>
      </c>
      <c r="GR122" s="1558" t="e">
        <f aca="false">(GL122*BU122+GM122*BV122+GN122*BW122+GO122*BX122)</f>
        <v>#VALUE!</v>
      </c>
      <c r="GS122" s="1566" t="n">
        <f aca="false">IF($A122&gt;=BegDate,Assumptions!$C$56*24*($A123-$A122)*(1-VLOOKUP($B122,MAIN!$AA$7:$AM$28,$C122+1))*(1-VLOOKUP($B122,MAIN!$AA$33:$AM$54,$C122+1)),0)*80/168</f>
        <v>232800</v>
      </c>
      <c r="GT122" s="286" t="n">
        <f aca="false">J122</f>
        <v>42.7791750586337</v>
      </c>
      <c r="GU122" s="286" t="n">
        <f aca="false">IF($A122&gt;=BegDate,VLOOKUP($A122,GasTable,13)+Assumptions!$C$58,0)</f>
        <v>2.90904241883755</v>
      </c>
      <c r="GV122" s="286" t="n">
        <f aca="false">GU122*Assumptions!$C$57/1000</f>
        <v>21.0905575365722</v>
      </c>
      <c r="GW122" s="1558" t="n">
        <f aca="false">IF(Assumptions!$C$60="Hourly",MAX(0,GS122*(GT122-GV122)),GS122*(GT122-GV122))</f>
        <v>5049110.1591359</v>
      </c>
      <c r="GX122" s="1566" t="n">
        <f aca="false">IF($A122&gt;=BegDate,Assumptions!$C$56*24*($A123-$A122)*(1-VLOOKUP($B122,MAIN!$AA$7:$AM$28,$C122+1))*(1-VLOOKUP($B122,MAIN!$AA$33:$AM$54,$C122+1)),0)*16/168</f>
        <v>46560</v>
      </c>
      <c r="GY122" s="286" t="n">
        <f aca="false">M122</f>
        <v>42.7791750586337</v>
      </c>
      <c r="GZ122" s="286" t="n">
        <f aca="false">IF($A122&gt;=BegDate,VLOOKUP($A122,GasTable,13)+Assumptions!$C$58,0)</f>
        <v>2.90904241883755</v>
      </c>
      <c r="HA122" s="286" t="n">
        <f aca="false">GZ122*Assumptions!$C$57/1000</f>
        <v>21.0905575365722</v>
      </c>
      <c r="HB122" s="1558" t="n">
        <f aca="false">IF(Assumptions!$C$60="Hourly",MAX(0,GX122*(GY122-HA122)),GX122*(GY122-HA122))</f>
        <v>1009822.03182718</v>
      </c>
      <c r="HC122" s="1566" t="n">
        <f aca="false">IF($A122&gt;=BegDate,Assumptions!$C$56*24*($A123-$A122)*(1-VLOOKUP($B122,MAIN!$AA$7:$AM$28,$C122+1))*(1-VLOOKUP($B122,MAIN!$AA$33:$AM$54,$C122+1)),0)*16/168</f>
        <v>46560</v>
      </c>
      <c r="HD122" s="286" t="n">
        <f aca="false">P122</f>
        <v>27.0176967173583</v>
      </c>
      <c r="HE122" s="286" t="n">
        <f aca="false">IF($A122&gt;=BegDate,VLOOKUP($A122,GasTable,13)+Assumptions!$C$58,0)</f>
        <v>2.90904241883755</v>
      </c>
      <c r="HF122" s="286" t="n">
        <f aca="false">HE122*Assumptions!$C$57/1000</f>
        <v>21.0905575365722</v>
      </c>
      <c r="HG122" s="1558" t="n">
        <f aca="false">IF(Assumptions!$C$60="Hourly",MAX(0,HC122*(HD122-HF122)),HC122*(HD122-HF122))</f>
        <v>275967.6002574</v>
      </c>
      <c r="HH122" s="1566" t="n">
        <f aca="false">IF($A122&gt;=BegDate,Assumptions!$C$56*24*($A123-$A122)*(1-VLOOKUP($B122,MAIN!$AA$7:$AM$28,$C122+1))*(1-VLOOKUP($B122,MAIN!$AA$33:$AM$54,$C122+1)),0)*56/168</f>
        <v>162960</v>
      </c>
      <c r="HI122" s="286" t="n">
        <f aca="false">S122</f>
        <v>27.0176967173583</v>
      </c>
      <c r="HJ122" s="286" t="n">
        <f aca="false">IF($A122&gt;=BegDate,VLOOKUP($A122,GasTable,13)+Assumptions!$C$58,0)</f>
        <v>2.90904241883755</v>
      </c>
      <c r="HK122" s="286" t="n">
        <f aca="false">HJ122*Assumptions!$C$57/1000</f>
        <v>21.0905575365722</v>
      </c>
      <c r="HL122" s="1558" t="n">
        <f aca="false">IF(Assumptions!$C$60="Hourly",MAX(0,HH122*(HI122-HK122)),HH122*(HI122-HK122))</f>
        <v>965886.6009009</v>
      </c>
      <c r="HM122" s="1566" t="n">
        <f aca="false">IF(AND(Assumptions!$H$71="Yes",A122&gt;=Assumptions!$H$72,A122&lt;=Assumptions!$H$73),Assumptions!$H$74*Assumptions!$C$9*1000,0)</f>
        <v>0</v>
      </c>
      <c r="HN122" s="1551"/>
      <c r="HO122" s="1563"/>
      <c r="HP122" s="1563"/>
      <c r="HQ122" s="1563"/>
      <c r="HR122" s="1563"/>
      <c r="HS122" s="1563"/>
      <c r="HT122" s="1563"/>
      <c r="HU122" s="1563"/>
      <c r="HV122" s="1563"/>
      <c r="HW122" s="1563"/>
      <c r="HX122" s="1563"/>
      <c r="HY122" s="1563"/>
      <c r="HZ122" s="1563"/>
      <c r="IA122" s="1563"/>
      <c r="IB122" s="1563"/>
      <c r="IC122" s="1563"/>
      <c r="ID122" s="1563"/>
      <c r="IE122" s="1563"/>
      <c r="IF122" s="1563"/>
      <c r="IG122" s="1563"/>
      <c r="IH122" s="1563"/>
      <c r="II122" s="1610"/>
      <c r="IJ122" s="1309"/>
      <c r="IK122" s="1309"/>
    </row>
    <row r="123" customFormat="false" ht="12.75" hidden="false" customHeight="false" outlineLevel="0" collapsed="false">
      <c r="A123" s="1571" t="n">
        <f aca="false">EOMONTH(A122,0)+1</f>
        <v>39873</v>
      </c>
      <c r="B123" s="594" t="n">
        <f aca="false">+YEAR(A123)</f>
        <v>2009</v>
      </c>
      <c r="C123" s="238" t="n">
        <f aca="false">MONTH(A123)</f>
        <v>3</v>
      </c>
      <c r="D123" s="1572" t="e">
        <f aca="false">IF(E123="","",Holiday(B123,C123))</f>
        <v>#VALUE!</v>
      </c>
      <c r="E123" s="1573" t="n">
        <f aca="false">IF(OR(BegDate&gt;=A124,EndDate&lt;A123,AND(VolumeMonthlyOverFlag,INDEX(VolumeMonthlyOver,C123)=0),NOT(INDEX(MonthKnockOutTable,C123))),"",MAX(A123,BegDate))</f>
        <v>39873</v>
      </c>
      <c r="F123" s="1574" t="n">
        <f aca="false">IF(E123="","",MIN(A124-1,EndDate))</f>
        <v>39903</v>
      </c>
      <c r="G123" s="1575" t="n">
        <v>0</v>
      </c>
      <c r="H123" s="1576" t="n">
        <f aca="false">(1+G123/2)^(-2*(DATE(B124,C124,20)-DateToday)/365.25)</f>
        <v>1</v>
      </c>
      <c r="I123" s="1568" t="n">
        <f aca="false">IF(Assumptions!$L$25=4,VLOOKUP($A123,'Henwood Reference'!$E$9:$R$320,10),(VLOOKUP($A123,PriceTable,2,0)+IF(BasisNumber&lt;&gt;1,VLOOKUP($A123,BasisTable,2,0),0)+I$1)/(1-I$2))</f>
        <v>37.4583839246134</v>
      </c>
      <c r="J123" s="1568" t="n">
        <f aca="false">IF(Assumptions!$L$25=4,VLOOKUP($A123,'Henwood Reference'!$E$9:$R$320,10),(VLOOKUP($A123,PriceTable,3,0)+IF(BasisNumber&lt;&gt;1,VLOOKUP($A123,BasisTable,2,0),0)+J$1)/(1-J$2))</f>
        <v>37.4583839246134</v>
      </c>
      <c r="K123" s="1568" t="n">
        <f aca="false">IF(Assumptions!$L$25=4,VLOOKUP($A123,'Henwood Reference'!$E$9:$R$320,10),(VLOOKUP($A123,PriceTable,4,0)+IF(BasisNumber&lt;&gt;1,VLOOKUP($A123,BasisTable,2,0),0)+K$1)/(1-K$2))</f>
        <v>37.4583839246134</v>
      </c>
      <c r="L123" s="1523" t="n">
        <f aca="false">IF(Assumptions!$L$25=4,VLOOKUP($A123,'Henwood Reference'!$E$9:$R$320,10),(VLOOKUP($A123,PriceTableWeekend,2,0)+IF(BasisNumber&lt;&gt;1,VLOOKUP($A123,BasisTable,2,0),0)+L$1)/(1-L$2))</f>
        <v>37.4583839246134</v>
      </c>
      <c r="M123" s="1568" t="n">
        <f aca="false">IF(Assumptions!$L$25=4,VLOOKUP($A123,'Henwood Reference'!$E$9:$R$320,10),(VLOOKUP($A123,PriceTableWeekend,3,0)+IF(BasisNumber&lt;&gt;1,VLOOKUP($A123,BasisTable,2,0),0)+M$1)/(1-M$2))</f>
        <v>37.4583839246134</v>
      </c>
      <c r="N123" s="1599" t="n">
        <f aca="false">IF(Assumptions!$L$25=4,VLOOKUP($A123,'Henwood Reference'!$E$9:$R$320,10),(VLOOKUP($A123,PriceTableWeekend,4,0)+IF(BasisNumber&lt;&gt;1,VLOOKUP($A123,BasisTable,2,0),0)+N$1)/(1-N$2))</f>
        <v>37.4583839246134</v>
      </c>
      <c r="O123" s="1568" t="n">
        <f aca="false">IF(Assumptions!$L$25=4,VLOOKUP($A123,'Henwood Reference'!$E$9:$R$320,11),(VLOOKUP($A123,PriceTableWeekend,6,0)+IF(BasisNumber&lt;&gt;1,VLOOKUP($A123,BasisTable,3,0),0)+O$1)/(1-O$2))</f>
        <v>24.2528500598506</v>
      </c>
      <c r="P123" s="1568" t="n">
        <f aca="false">IF(Assumptions!$L$25=4,VLOOKUP($A123,'Henwood Reference'!$E$9:$R$320,11),(VLOOKUP($A123,PriceTableWeekend,7,0)+IF(BasisNumber&lt;&gt;1,VLOOKUP($A123,BasisTable,3,0),0)+P$1)/(1-P$2))</f>
        <v>24.2528500598506</v>
      </c>
      <c r="Q123" s="1599" t="n">
        <f aca="false">IF(Assumptions!$L$25=4,VLOOKUP($A123,'Henwood Reference'!$E$9:$R$320,11),(VLOOKUP($A123,PriceTableWeekend,8,0)+IF(BasisNumber&lt;&gt;1,VLOOKUP($A123,BasisTable,3,0),0)+Q$1)/(1-Q$2))</f>
        <v>24.2528500598506</v>
      </c>
      <c r="R123" s="1568" t="n">
        <f aca="false">IF(Assumptions!$L$25=4,VLOOKUP($A123,'Henwood Reference'!$E$9:$R$320,11),(VLOOKUP($A123,PriceTable,6,0)+IF(BasisNumber&lt;&gt;1,VLOOKUP($A123,BasisTable,3,0),0)+R$1)/(1-R$2))</f>
        <v>24.2528500598506</v>
      </c>
      <c r="S123" s="1568" t="n">
        <f aca="false">IF(Assumptions!$L$25=4,VLOOKUP($A123,'Henwood Reference'!$E$9:$R$320,11),(VLOOKUP($A123,PriceTable,7,0)+IF(BasisNumber&lt;&gt;1,VLOOKUP($A123,BasisTable,3,0),0)+S$1)/(1-S$2))</f>
        <v>24.2528500598506</v>
      </c>
      <c r="T123" s="1600" t="n">
        <f aca="false">IF(Assumptions!$L$25=4,VLOOKUP($A123,'Henwood Reference'!$E$9:$R$320,11),(VLOOKUP($A123,PriceTable,8,0)+IF(BasisNumber&lt;&gt;1,VLOOKUP($A123,BasisTable,3,0),0)+T$1)/(1-T$2))</f>
        <v>24.2528500598506</v>
      </c>
      <c r="U123" s="1513" t="n">
        <f aca="false">VLOOKUP($A123,VolatilityTable,14)</f>
        <v>0.125</v>
      </c>
      <c r="V123" s="1513" t="n">
        <f aca="false">VLOOKUP($A123,VolatilityTable,15)</f>
        <v>0.135</v>
      </c>
      <c r="W123" s="1514" t="n">
        <f aca="false">VLOOKUP($A123,VolatilityTable,16)</f>
        <v>0.145</v>
      </c>
      <c r="X123" s="1513" t="n">
        <f aca="false">VLOOKUP($A123,VolatilityTable,14)</f>
        <v>0.125</v>
      </c>
      <c r="Y123" s="1513" t="n">
        <f aca="false">VLOOKUP($A123,VolatilityTable,15)</f>
        <v>0.135</v>
      </c>
      <c r="Z123" s="1514" t="n">
        <f aca="false">VLOOKUP($A123,VolatilityTable,16)</f>
        <v>0.145</v>
      </c>
      <c r="AA123" s="1513" t="n">
        <f aca="false">VLOOKUP($A123,VolatilityTable,18)</f>
        <v>0.09</v>
      </c>
      <c r="AB123" s="1513" t="n">
        <f aca="false">VLOOKUP($A123,VolatilityTable,19)</f>
        <v>0.11</v>
      </c>
      <c r="AC123" s="1514" t="n">
        <f aca="false">VLOOKUP($A123,VolatilityTable,20)</f>
        <v>0.13</v>
      </c>
      <c r="AD123" s="1513" t="n">
        <f aca="false">VLOOKUP($A123,VolatilityTable,18)</f>
        <v>0.09</v>
      </c>
      <c r="AE123" s="1513" t="n">
        <f aca="false">VLOOKUP($A123,VolatilityTable,19)</f>
        <v>0.11</v>
      </c>
      <c r="AF123" s="1514" t="n">
        <f aca="false">VLOOKUP($A123,VolatilityTable,20)</f>
        <v>0.13</v>
      </c>
      <c r="AG123" s="1513" t="n">
        <f aca="false">VLOOKUP($A123,VolatilityTable,22)</f>
        <v>-0.1</v>
      </c>
      <c r="AH123" s="1513" t="n">
        <f aca="false">VLOOKUP($A123,VolatilityTable,23)</f>
        <v>0.65</v>
      </c>
      <c r="AI123" s="1514" t="n">
        <f aca="false">VLOOKUP($A123,VolatilityTable,24)</f>
        <v>0.1</v>
      </c>
      <c r="AJ123" s="1513" t="n">
        <f aca="false">VLOOKUP($A123,VolatilityTable,22)</f>
        <v>-0.1</v>
      </c>
      <c r="AK123" s="1513" t="n">
        <f aca="false">VLOOKUP($A123,VolatilityTable,23)</f>
        <v>0.65</v>
      </c>
      <c r="AL123" s="1514" t="n">
        <f aca="false">VLOOKUP($A123,VolatilityTable,24)</f>
        <v>0.1</v>
      </c>
      <c r="AM123" s="1513" t="n">
        <f aca="false">VLOOKUP($A123,VolatilityTable,26)</f>
        <v>-0.01</v>
      </c>
      <c r="AN123" s="1513" t="n">
        <f aca="false">VLOOKUP($A123,VolatilityTable,27)</f>
        <v>0.16</v>
      </c>
      <c r="AO123" s="1514" t="n">
        <f aca="false">VLOOKUP($A123,VolatilityTable,28)</f>
        <v>0.01</v>
      </c>
      <c r="AP123" s="1513" t="n">
        <f aca="false">VLOOKUP($A123,VolatilityTable,26)</f>
        <v>-0.01</v>
      </c>
      <c r="AQ123" s="1513" t="n">
        <f aca="false">VLOOKUP($A123,VolatilityTable,27)</f>
        <v>0.16</v>
      </c>
      <c r="AR123" s="1515" t="n">
        <f aca="false">VLOOKUP($A123,VolatilityTable,28)</f>
        <v>0.01</v>
      </c>
      <c r="AS123" s="1581" t="n">
        <f aca="false">IF(CorrPeakOffPeakOverFlag,INDEX(CorrPeakOffPeakOver,C123),CorrPeakOffPeak)</f>
        <v>0.5</v>
      </c>
      <c r="AT123" s="594" t="e">
        <f aca="false">AX123-SUM(AU123:AW123)</f>
        <v>#VALUE!</v>
      </c>
      <c r="AU123" s="238" t="e">
        <f aca="false">IF(E123="",0,INT((F123-MOD(F123,7)-E123)/7)+1-IF(AW123,IF(WEEKDAY(D123)=7,1,0),0))</f>
        <v>#VALUE!</v>
      </c>
      <c r="AV123" s="238" t="e">
        <f aca="false">IF(E123="",0,INT((F123-MOD(F123-1,7)-E123)/7)+1-IF(AW123,IF(WEEKDAY(D123)=1,1,0),0))</f>
        <v>#VALUE!</v>
      </c>
      <c r="AW123" s="238" t="e">
        <f aca="false">IF(OR(E123="",D123="",D123&lt;BegDate,D123&gt;EndDate),0,1)</f>
        <v>#VALUE!</v>
      </c>
      <c r="AX123" s="238" t="n">
        <f aca="false">IF(E123="",0,F123-E123+1)</f>
        <v>31</v>
      </c>
      <c r="AY123" s="1582" t="n">
        <f aca="false">IF(E123="",0,MIN((1-(1-VLOOKUP(B123,MAIN!$AA$7:$AM$28,C123+1))*(1-VLOOKUP(B123,MAIN!$AA$33:$AM$54,C123+1))),1))</f>
        <v>0.03</v>
      </c>
      <c r="AZ123" s="1519" t="e">
        <v>#VALUE!</v>
      </c>
      <c r="BA123" s="1520" t="e">
        <v>#VALUE!</v>
      </c>
      <c r="BB123" s="1520" t="e">
        <v>#VALUE!</v>
      </c>
      <c r="BC123" s="1583" t="e">
        <v>#VALUE!</v>
      </c>
      <c r="BD123" s="1522" t="e">
        <v>#VALUE!</v>
      </c>
      <c r="BE123" s="1523" t="e">
        <v>#VALUE!</v>
      </c>
      <c r="BF123" s="1523" t="e">
        <v>#VALUE!</v>
      </c>
      <c r="BG123" s="1584" t="e">
        <v>#VALUE!</v>
      </c>
      <c r="BH123" s="1525" t="e">
        <v>#VALUE!</v>
      </c>
      <c r="BI123" s="1520" t="e">
        <v>#VALUE!</v>
      </c>
      <c r="BJ123" s="1520" t="e">
        <v>#VALUE!</v>
      </c>
      <c r="BK123" s="1583" t="e">
        <v>#VALUE!</v>
      </c>
      <c r="BL123" s="1522" t="e">
        <v>#VALUE!</v>
      </c>
      <c r="BM123" s="1523" t="e">
        <v>#VALUE!</v>
      </c>
      <c r="BN123" s="1523" t="e">
        <v>#VALUE!</v>
      </c>
      <c r="BO123" s="1523" t="e">
        <v>#VALUE!</v>
      </c>
      <c r="BP123" s="1525" t="e">
        <f aca="false">SUM(AZ123:BB123)</f>
        <v>#VALUE!</v>
      </c>
      <c r="BQ123" s="1529" t="e">
        <f aca="false">SUM(AZ123:BC123)</f>
        <v>#VALUE!</v>
      </c>
      <c r="BR123" s="1519" t="e">
        <f aca="false">SUM(BH123:BJ123)</f>
        <v>#VALUE!</v>
      </c>
      <c r="BS123" s="1529" t="e">
        <f aca="false">SUM(BH123:BK123)</f>
        <v>#VALUE!</v>
      </c>
      <c r="BT123" s="1316" t="n">
        <f aca="false">(IF(OVolType&lt;&gt;2,A123+14,IF(OptExpDateShift,ShiftBack(A123,OptExpDateShift,D122),A123))-DateToday)/365.25</f>
        <v>8.87885010266941</v>
      </c>
      <c r="BU123" s="1585" t="e">
        <f aca="false">IF(BQ123,IF(OPriceCurve,IF(OBuySell=OCallPut,I123/(1-AY123),K123/(1-AY123)),J123/(1-AY123))*BD123,0)</f>
        <v>#VALUE!</v>
      </c>
      <c r="BV123" s="1316" t="e">
        <f aca="false">IF(BQ123,IF(OPriceCurve,IF(OBuySell=OCallPut,L123/(1-AY123),N123/(1-AY123)),M123/(1-AY123))*BE123,0)</f>
        <v>#VALUE!</v>
      </c>
      <c r="BW123" s="1316" t="e">
        <f aca="false">IF(BQ123,IF(OPriceCurve,IF(OBuySell=OCallPut,O123/(1-AY123),Q123/(1-AY123)),P123/(1-AY123))*BF123,0)</f>
        <v>#VALUE!</v>
      </c>
      <c r="BX123" s="1316" t="e">
        <f aca="false">IF(BQ123,IF(OPriceCurve,IF(OBuySell=OCallPut,R123/(1-AY123),T123/(1-AY123)),S123/(1-AY123))*BG123,0)</f>
        <v>#VALUE!</v>
      </c>
      <c r="BY123" s="1316" t="e">
        <f aca="false">IF(BP123,(BU123*AZ123+BV123*BA123+BW123*BB123)/BP123,0)</f>
        <v>#VALUE!</v>
      </c>
      <c r="BZ123" s="1316" t="e">
        <f aca="false">IF(BQ123,(BY123*BP123+BX123*BC123)/BQ123,0)</f>
        <v>#VALUE!</v>
      </c>
      <c r="CA123" s="1531" t="e">
        <f aca="false">IF(BS123,IF(OPriceCurve,IF(OBuySell=OCallPut,I123/(1-AY123),K123/(1-AY123)),J123/(1-AY123))*BL123,0)</f>
        <v>#VALUE!</v>
      </c>
      <c r="CB123" s="1316" t="e">
        <f aca="false">IF(BS123,IF(OPriceCurve,IF(OBuySell=OCallPut,L123/(1-AY123),N123/(1-AY123)),M123/(1-AY123))*BM123,0)</f>
        <v>#VALUE!</v>
      </c>
      <c r="CC123" s="1316" t="e">
        <f aca="false">IF(BS123,IF(OPriceCurve,IF(OBuySell=OCallPut,O123/(1-AY123),Q123/(1-AY123)),P123/(1-AY123))*BN123,0)</f>
        <v>#VALUE!</v>
      </c>
      <c r="CD123" s="1316" t="e">
        <f aca="false">IF(BS123,IF(OPriceCurve,IF(OBuySell=OCallPut,R123/(1-AY123),T123/(1-AY123)),S123/(1-AY123))*BO123,0)</f>
        <v>#VALUE!</v>
      </c>
      <c r="CE123" s="1316" t="e">
        <f aca="false">IF(BR123,(BU123*BH123+BV123*BI123+BW123*BJ123)/BR123,0)</f>
        <v>#VALUE!</v>
      </c>
      <c r="CF123" s="1532" t="e">
        <f aca="false">IF(BS123,(CE123*BR123+CD123*BK123)/BS123,0)</f>
        <v>#VALUE!</v>
      </c>
      <c r="CG123" s="1586" t="e">
        <f aca="false">IF(OR(BQ123,BS123),IF(OVolType&lt;&gt;2,SQRT(IF(OVolOverMonthlyPeak,OVolOverMonthlyPeak,IF(OVolCurve,IF(OBuySell,U123,W123),V123))^2*(1-15/365.25/BT123)+IF(OVolOverDailyPeak,OVolOverDailyPeak,IF(OVolCurve,IF(OBuySell,AG123,AI123),AH123))^2*15/365.25/BT123),IF(OVolOverMonthlyPeak,OVolOverMonthlyPeak,IF(OVolCurve,IF(OBuySell,U123,W123),V123))),"")</f>
        <v>#VALUE!</v>
      </c>
      <c r="CH123" s="1587" t="e">
        <f aca="false">IF(OR(BQ123,BS123),IF(OVolType&lt;&gt;2,SQRT(IF(OVolOverMonthlyPeak,OVolOverMonthlyPeak,IF(OVolCurve,IF(OBuySell,X123,Z123),Y123))^2*(1-15/365.25/BT123)+IF(OVolOverDailyPeak,OVolOverDailyPeak,IF(OVolCurve,IF(OBuySell,AJ123,AL123),AK123))^2*15/365.25/BT123),IF(OVolOverMonthlyPeak,OVolOverMonthlyPeak,IF(OVolCurve,IF(OBuySell,X123,Z123),Y123))),"")</f>
        <v>#VALUE!</v>
      </c>
      <c r="CI123" s="1587" t="e">
        <f aca="false">IF(OR(BQ123,BS123),IF(OVolType&lt;&gt;2,SQRT(IF(OVolOverMonthlyPeak,OVolOverMonthlyPeak,IF(OVolCurve,IF(OBuySell,AA123,AC123),AB123))^2*(1-15/365.25/BT123)+IF(OVolOverDailyPeak,OVolOverDailyPeak,IF(OVolCurve,IF(OBuySell,AM123,AO123),AN123))^2*15/365.25/BT123),IF(OVolOverMonthlyPeak,OVolOverMonthlyPeak,IF(OVolCurve,IF(OBuySell,AA123,AC123),AB123))),"")</f>
        <v>#VALUE!</v>
      </c>
      <c r="CJ123" s="1587" t="e">
        <f aca="false">IF(BQ123,IF(BP123,SQRT(LN(1+((BU123*AZ123)^2*(EXP(CG123^2*BT123)-1)+(BV123*BA123)^2*(EXP(CH123^2*BT123)-1)+(BW123*BB123)^2*(EXP(CI123^2*BT123)-1)+2*BU123*AZ123*BV123*BA123*(EXP(CG123*CH123*BT123)-1)+2*BV123*BA123*BW123*BB123*(EXP(CH123*CI123*BT123)-1)+2*BW123*BB123*BU123*AZ123*(EXP(CI123*CG123*BT123)-1))/(BY123*BP123)^2)/BT123),0),"")</f>
        <v>#VALUE!</v>
      </c>
      <c r="CK123" s="1587" t="e">
        <f aca="false">IF(BS123,IF(BR123,SQRT(LN(1+((CA123*BH123)^2*(EXP(CG123^2*BT123)-1)+(CB123*BI123)^2*(EXP(CH123^2*BT123)-1)+(CC123*BJ123)^2*(EXP(CI123^2*BT123)-1)+2*CA123*BH123*CB123*BI123*(EXP(CG123*CH123*BT123)-1)+2*CB123*BI123*CC123*BJ123*(EXP(CH123*CI123*BT123)-1)+2*CC123*BJ123*CA123*BH123*(EXP(CI123*CG123*BT123)-1))/(CE123*BR123)^2)/BT123),0),"")</f>
        <v>#VALUE!</v>
      </c>
      <c r="CL123" s="1587" t="e">
        <f aca="false">IF(OR(BQ123,BS123),IF(OVolType&lt;&gt;2,SQRT(IF(OVolOverMonthlyOffPeak,OVolOverMonthlyOffPeak,IF(OVolCurve,IF(OBuySell,AD123,AF123),AE123))^2*(1-15/365.25/BT123)+IF(OVolOverDailyOffPeak,OVolOverDailyOffPeak,IF(OVolCurve,IF(OBuySell,AP123,AR123),AQ123))^2*15/365.25/BT123),IF(OVolOverMonthlyOffPeak,OVolOverMonthlyOffPeak,IF(OVolCurve,IF(OBuySell,AD123,AF123),AE123))),"")</f>
        <v>#VALUE!</v>
      </c>
      <c r="CM123" s="1587" t="e">
        <f aca="false">IF(BQ123,SQRT(LN(1+((BY123*BP123)^2*(EXP(CJ123^2*BT123)-1)+(BX123*BC123)^2*(EXP(CL123^2*BT123)-1)+2*BY123*BP123*BX123*BC123*(EXP(AS123*CJ123*CL123*BT123)-1))/(BY123*BP123+BX123*BC123)^2)/BT123),"")</f>
        <v>#VALUE!</v>
      </c>
      <c r="CN123" s="1588" t="e">
        <f aca="false">IF(BS123,SQRT(LN(1+((CE123*BR123)^2*(EXP(CK123^2*BT123)-1)+(CD123*BK123)^2*(EXP(CL123^2*BT123)-1)+2*CE123*BR123*CD123*BK123*(EXP(AS123*CK123*CL123*BT123)-1))/(CE123*BR123+CD123*BK123)^2)/BT123),"")</f>
        <v>#VALUE!</v>
      </c>
      <c r="CO123" s="1531" t="e">
        <f aca="false">IF(OR(BQ123,BS123),VLOOKUP(A123,GasTable,13)*HeatRatePeak*(1+VLOOKUP($B123,HeatRateDegradation,$C123+1))/1000,0)</f>
        <v>#VALUE!</v>
      </c>
      <c r="CP123" s="1316" t="e">
        <f aca="false">IF(OR(BQ123,BS123),VLOOKUP(A123,GasTable,13)*HeatRatePeak*(1+VLOOKUP($B123,HeatRateDegradation,$C123+1))/1000,0)</f>
        <v>#VALUE!</v>
      </c>
      <c r="CQ123" s="1316" t="e">
        <f aca="false">IF(OR(BQ123,BS123),VLOOKUP(A123,GasTable,13)*IF(EV123,HeatRatePeak,HeatRateOffPeak)*(1+VLOOKUP($B123,HeatRateDegradation,$C123+1))/1000,0)</f>
        <v>#VALUE!</v>
      </c>
      <c r="CR123" s="1316" t="e">
        <f aca="false">IF(OR(BQ123,BS123),VLOOKUP(A123,GasTable,13)*IF(EW123,HeatRatePeak,HeatRateOffPeak)*(1+VLOOKUP($B123,HeatRateDegradation,$C123+1))/1000,0)</f>
        <v>#VALUE!</v>
      </c>
      <c r="CS123" s="1589" t="e">
        <f aca="false">IF(BQ123,(CO123*AZ123+CP123*BA123+CQ123*BB123+CR123*BC123)/BQ123,0)</f>
        <v>#VALUE!</v>
      </c>
      <c r="CT123" s="1316" t="e">
        <f aca="false">IF(BS123,CO123,0)</f>
        <v>#VALUE!</v>
      </c>
      <c r="CU123" s="1590" t="e">
        <f aca="false">IF(OR(BQ123,BS123),VLOOKUP(A123,GasTable,14),"")</f>
        <v>#VALUE!</v>
      </c>
      <c r="CV123" s="1568" t="e">
        <f aca="false">IF(OR(BQ123,BS123),IF(CorrPowerGasOverFlag,INDEX(CorrPowerGasOver,C123),CorrPowerGas),"")</f>
        <v>#VALUE!</v>
      </c>
      <c r="CW123" s="1316" t="e">
        <f aca="false">IF(OR($BQ123,$BS123),SpreadOptPowerMargin,0)*((1+Assumptions!$C$26)^($B123-YEAR(Assumptions!$C$17)))</f>
        <v>#VALUE!</v>
      </c>
      <c r="CX123" s="1316" t="e">
        <f aca="false">IF(OR($BQ123,$BS123),SpreadOptPowerMargin,0)*((1+Assumptions!$C$26)^($B123-YEAR(Assumptions!$C$17)))</f>
        <v>#VALUE!</v>
      </c>
      <c r="CY123" s="1316" t="e">
        <f aca="false">IF(OR($BQ123,$BS123),SpreadOptPowerMargin,0)*((1+Assumptions!$C$26)^($B123-YEAR(Assumptions!$C$17)))</f>
        <v>#VALUE!</v>
      </c>
      <c r="CZ123" s="1316" t="e">
        <f aca="false">IF(OR($BQ123,$BS123),SpreadOptPowerMargin,0)*((1+Assumptions!$C$26)^($B123-YEAR(Assumptions!$C$17)))</f>
        <v>#VALUE!</v>
      </c>
      <c r="DA123" s="1591" t="e">
        <f aca="false">IF(OR(BQ123,BS123),(CW123*(AZ123+BH123)+CX123*(BA123+BI123)+CY123*(BB123+BJ123)+CZ123*(BC123+BK123))/(BQ123+BS123),0)</f>
        <v>#VALUE!</v>
      </c>
      <c r="DB123" s="1592" t="e">
        <f aca="false">IF(OR(BQ123,BS123),CG123+IF(OVolSmile,VLOOKUP(MAX(-5,CO123+CW123-BU123),IF(OVolSmile=1,VolSmileBook,VolSmileModel),2),0),"")</f>
        <v>#VALUE!</v>
      </c>
      <c r="DC123" s="1592" t="e">
        <f aca="false">IF(OR(BQ123,BS123),CH123+IF(OVolSmile,VLOOKUP(MAX(-5,CP123+CW123-BV123),IF(OVolSmile=1,VolSmileBook,VolSmileModel),2),0),"")</f>
        <v>#VALUE!</v>
      </c>
      <c r="DD123" s="1592" t="e">
        <f aca="false">IF(OR(BQ123,BS123),CI123+IF(OVolSmile,VLOOKUP(MAX(-5,CQ123+CW123-BW123),IF(OVolSmile=1,VolSmileBook,VolSmileModel),2),0),"")</f>
        <v>#VALUE!</v>
      </c>
      <c r="DE123" s="1592" t="e">
        <f aca="false">IF(OR(BQ123,BS123),CL123+IF(OVolSmile,VLOOKUP(MAX(-5,CR123+CZ123-BX123),IF(OVolSmile=1,VolSmileBook,VolSmileModel),2),0),"")</f>
        <v>#VALUE!</v>
      </c>
      <c r="DF123" s="1592" t="e">
        <f aca="false">IF(BQ123,CM123+IF(OVolSmile,VLOOKUP(MAX(-5,CS123+DA123-BZ123),IF(OVolSmile=1,VolSmileBook,VolSmileModel),2),0),"")</f>
        <v>#VALUE!</v>
      </c>
      <c r="DG123" s="1593" t="e">
        <f aca="false">IF(BS123,CN123+IF(OVolSmile,VLOOKUP(MAX(-5,CT123+DA123-CF123),IF(OVolSmile=1,VolSmileBook,VolSmileModel),2),0),"")</f>
        <v>#VALUE!</v>
      </c>
      <c r="DH123" s="1316" t="e">
        <f aca="false">IF(AND(BU123&gt;0,CO123&gt;0,DB123&gt;0,CU123&gt;0),newSPRDOPT(BU123,CO123,CW123,0,DB123,CU123,CV123,BT123*365.25,OCallPut,0),0)</f>
        <v>#VALUE!</v>
      </c>
      <c r="DI123" s="1316" t="e">
        <f aca="false">IF(AND(BV123&gt;0,CP123&gt;0,DC123&gt;0,CU123&gt;0),newSPRDOPT(BV123,CP123,CX123,0,DC123,CU123,CV123,BT123*365.25,OCallPut,0),0)</f>
        <v>#VALUE!</v>
      </c>
      <c r="DJ123" s="1316" t="e">
        <f aca="false">IF(AND(BW123&gt;0,CQ123&gt;0,DD123&gt;0,CU123&gt;0),newSPRDOPT(BW123,CQ123,CY123,0,DD123,CU123,CV123,BT123*365.25,OCallPut,0),0)</f>
        <v>#VALUE!</v>
      </c>
      <c r="DK123" s="1316" t="e">
        <f aca="false">IF(AND(BX123&gt;0,CR123&gt;0,DE123&gt;0,CU123&gt;0),newSPRDOPT(BX123,CR123,CZ123,0,DE123,CU123,CV123,BT123*365.25,OCallPut,0),0)</f>
        <v>#VALUE!</v>
      </c>
      <c r="DL123" s="1316" t="e">
        <f aca="false">IF(OVolType,IF(AND(BZ123&gt;0,CS123&gt;0,DF123&gt;0,CU123&gt;0),newSPRDOPT(BZ123,CS123,DA123,0,DF123,CU123,CV123,BT123*365.25,OCallPut,0),0),IF(BQ123,(DH123*AZ123+DI123*BA123+DJ123*BB123+DK123*BC123)/BQ123,0))</f>
        <v>#VALUE!</v>
      </c>
      <c r="DM123" s="1316"/>
      <c r="DN123" s="1316"/>
      <c r="DO123" s="1316"/>
      <c r="DP123" s="1316"/>
      <c r="DQ123" s="1316"/>
      <c r="DR123" s="1316"/>
      <c r="DS123" s="1316"/>
      <c r="DT123" s="1316"/>
      <c r="DU123" s="1316"/>
      <c r="DV123" s="1316"/>
      <c r="DW123" s="1594" t="e">
        <f aca="false">IF(AND(BW123&gt;0,CT123&gt;0,DD123&gt;0,CU123&gt;0),newSPRDOPT(BW123,CT123,CY123,0,DD123,CU123,CV123,BT123*365.25,OCallPut,0),0)</f>
        <v>#VALUE!</v>
      </c>
      <c r="DX123" s="1316" t="e">
        <f aca="false">IF(AND(BX123&gt;0,CT123&gt;0,DE123&gt;0,CU123&gt;0),newSPRDOPT(BX123,CT123,CZ123,0,DE123,CU123,CV123,BT123*365.25,OCallPut,0),0)</f>
        <v>#VALUE!</v>
      </c>
      <c r="DY123" s="1591" t="e">
        <f aca="false">IF(BS123,(DH123*BH123+DI123*BI123+DW123*BJ123+DX123*BK123)/BS123,0)</f>
        <v>#VALUE!</v>
      </c>
      <c r="DZ123" s="1551" t="e">
        <f aca="false">DH123*AZ123</f>
        <v>#VALUE!</v>
      </c>
      <c r="EA123" s="1551" t="e">
        <f aca="false">DI123*BA123</f>
        <v>#VALUE!</v>
      </c>
      <c r="EB123" s="1551" t="e">
        <f aca="false">DJ123*BB123</f>
        <v>#VALUE!</v>
      </c>
      <c r="EC123" s="1551" t="e">
        <f aca="false">DK123*BC123</f>
        <v>#VALUE!</v>
      </c>
      <c r="ED123" s="1551" t="e">
        <f aca="false">DL123*BQ123</f>
        <v>#VALUE!</v>
      </c>
      <c r="EE123" s="1595" t="e">
        <f aca="false">IF(BQ123,IF(OCallPut,IF(BU123&gt;(CO123+CW123),BU123-(CO123+CW123),0),IF((CO123+CW123)&gt;BU123,(CO123+CW123)-BU123,0))*AZ123,0)</f>
        <v>#VALUE!</v>
      </c>
      <c r="EF123" s="1596" t="e">
        <f aca="false">IF(BQ123,IF(OCallPut,IF(BV123&gt;(CP123+CX123),BV123-(CP123+CX123),0),IF((CP123+CX123)&gt;BV123,(CP123+CX123)-BV123,0))*BA123,0)</f>
        <v>#VALUE!</v>
      </c>
      <c r="EG123" s="1596" t="e">
        <f aca="false">IF(BQ123,IF(OCallPut,IF(BW123&gt;(CQ123+CY123),BW123-(CQ123+CY123),0),IF((CQ123+CY123)&gt;BW123,(CQ123+CY123)-BW123,0))*BB123,0)</f>
        <v>#VALUE!</v>
      </c>
      <c r="EH123" s="1596" t="e">
        <f aca="false">IF(BQ123,IF(OCallPut,IF(BX123&gt;(CR123+CZ123),BX123-(CR123+CZ123),0),IF((CR123+CZ123)&gt;BX123,(CR123+CZ123)-BX123,0))*BC123,0)</f>
        <v>#VALUE!</v>
      </c>
      <c r="EI123" s="1597" t="e">
        <f aca="false">IF(BQ123,IF(OVolType,IF(OCallPut,IF(BZ123&gt;(CS123+DA123),BZ123-(CS123+DA123),0),IF((CS123+DA123)&gt;BZ123,(CS123+DA123)-BZ123,0))*BQ123,SUM(EE123:EH123)),0)</f>
        <v>#VALUE!</v>
      </c>
      <c r="EJ123" s="1595" t="e">
        <f aca="false">DZ123-EE123</f>
        <v>#VALUE!</v>
      </c>
      <c r="EK123" s="1596" t="e">
        <f aca="false">EA123-EF123</f>
        <v>#VALUE!</v>
      </c>
      <c r="EL123" s="1596" t="e">
        <f aca="false">EB123-EG123</f>
        <v>#VALUE!</v>
      </c>
      <c r="EM123" s="1596" t="e">
        <f aca="false">EC123-EH123</f>
        <v>#VALUE!</v>
      </c>
      <c r="EN123" s="1597" t="e">
        <f aca="false">ED123-EI123</f>
        <v>#VALUE!</v>
      </c>
      <c r="EO123" s="1551" t="e">
        <f aca="false">DH123*BH123</f>
        <v>#VALUE!</v>
      </c>
      <c r="EP123" s="1551" t="e">
        <f aca="false">DI123*BI123</f>
        <v>#VALUE!</v>
      </c>
      <c r="EQ123" s="1551" t="e">
        <f aca="false">DW123*BJ123</f>
        <v>#VALUE!</v>
      </c>
      <c r="ER123" s="1551" t="e">
        <f aca="false">DX123*BK123</f>
        <v>#VALUE!</v>
      </c>
      <c r="ES123" s="1551" t="e">
        <f aca="false">DY123*BS123</f>
        <v>#VALUE!</v>
      </c>
      <c r="ET123" s="1566" t="e">
        <f aca="false">IF(EI123,IF(OCallPut,IF(CA123&gt;(CT123+CW123),CA123-(CT123+CW123),0),IF((CT123+CW123)&gt;CA123,(CT123+CW123)-CA123,0))*BH123,0)</f>
        <v>#VALUE!</v>
      </c>
      <c r="EU123" s="1551" t="e">
        <f aca="false">IF(EI123,IF(OCallPut,IF(CB123&gt;(CT123+CX123),CB123-(CT123+CX123),0),IF((CT123+CX123)&gt;CB123,(CT123+CX123)-CB123,0))*BI123,0)</f>
        <v>#VALUE!</v>
      </c>
      <c r="EV123" s="1551" t="e">
        <f aca="false">IF(EI123,IF(OCallPut,IF(CC123&gt;(CT123+CY123),CC123-(CT123+CY123),0),IF((CT123+CY123)&gt;CC123,(CT123+CY123)-CC123,0))*BJ123,0)</f>
        <v>#VALUE!</v>
      </c>
      <c r="EW123" s="1551" t="e">
        <f aca="false">IF(EI123,IF(OCallPut,IF(CD123&gt;(CT123+CZ123),CD123-(CT123+CZ123),0),IF((CT123+CZ123)&gt;CD123,(CT123+CZ123)-CD123,0))*BK123,0)</f>
        <v>#VALUE!</v>
      </c>
      <c r="EX123" s="1558" t="e">
        <f aca="false">IF(EI123,SUM(ET123:EW123),0)</f>
        <v>#VALUE!</v>
      </c>
      <c r="EY123" s="1551" t="e">
        <f aca="false">EO123-ET123</f>
        <v>#VALUE!</v>
      </c>
      <c r="EZ123" s="1551" t="e">
        <f aca="false">EP123-EU123</f>
        <v>#VALUE!</v>
      </c>
      <c r="FA123" s="1551" t="e">
        <f aca="false">EQ123-EV123</f>
        <v>#VALUE!</v>
      </c>
      <c r="FB123" s="1551" t="e">
        <f aca="false">ER123-EW123</f>
        <v>#VALUE!</v>
      </c>
      <c r="FC123" s="1551" t="e">
        <f aca="false">ES123-EX123</f>
        <v>#VALUE!</v>
      </c>
      <c r="FD123" s="1525" t="n">
        <f aca="false">IF(AX123,IF(VLOOKUP(C123,MAIN!$L$17:$M$28,2)="Yes",VLOOKUP(CALC!B123,MAIN!$H$17:$I$20,2),0),0)</f>
        <v>0</v>
      </c>
      <c r="FE123" s="1552" t="e">
        <f aca="false">$FD123*16*AT123*(1-$AY123)</f>
        <v>#VALUE!</v>
      </c>
      <c r="FF123" s="1553" t="e">
        <f aca="false">$FD123*16*AU123*(1-$AY123)</f>
        <v>#VALUE!</v>
      </c>
      <c r="FG123" s="1553" t="e">
        <f aca="false">$FD123*16*(AV123+AW123)*(1-$AY123)</f>
        <v>#VALUE!</v>
      </c>
      <c r="FH123" s="1554" t="n">
        <f aca="false">$FD123*8*AX123*(1-$AY123)</f>
        <v>0</v>
      </c>
      <c r="FI123" s="1555" t="n">
        <f aca="false">IF(AX123,VLOOKUP(CALC!B123,MAIN!$H$17:$K$20,4),0)</f>
        <v>0</v>
      </c>
      <c r="FJ123" s="1553" t="e">
        <f aca="false">SUM(FE123:FH123)</f>
        <v>#VALUE!</v>
      </c>
      <c r="FK123" s="1556" t="e">
        <f aca="false">FI123*FJ123</f>
        <v>#VALUE!</v>
      </c>
      <c r="FL123" s="1551" t="e">
        <f aca="false">IF($EI123&gt;0,MIN(FE123,AZ123*(1+VLOOKUP($C123,WeatherCapacityAdjustment,2))),0)</f>
        <v>#VALUE!</v>
      </c>
      <c r="FM123" s="1551" t="e">
        <f aca="false">IF($EI123&gt;0,MIN(FF123,BA123*(1+VLOOKUP($C123,WeatherCapacityAdjustment,2))),0)</f>
        <v>#VALUE!</v>
      </c>
      <c r="FN123" s="1551" t="e">
        <f aca="false">IF($EI123&gt;0,MIN(FG123,BB123*(1+VLOOKUP($C123,WeatherCapacityAdjustment,2))),0)</f>
        <v>#VALUE!</v>
      </c>
      <c r="FO123" s="1564" t="e">
        <f aca="false">IF($EI123&gt;0,MIN(FH123,BC123*(1+VLOOKUP($C123,WeatherCapacityAdjustment,3))),0)</f>
        <v>#VALUE!</v>
      </c>
      <c r="FP123" s="1551" t="e">
        <f aca="false">IF(ET123&gt;0,MIN(FE123-FL123,BH123*(1+VLOOKUP($C123,WeatherCapacityAdjustment,2))),0)</f>
        <v>#VALUE!</v>
      </c>
      <c r="FQ123" s="1551" t="e">
        <f aca="false">IF(EU123&gt;0,MIN(FF123-FM123,BI123*(1+VLOOKUP($C123,WeatherCapacityAdjustment,2))),0)</f>
        <v>#VALUE!</v>
      </c>
      <c r="FR123" s="1551" t="e">
        <f aca="false">IF(EV123&gt;0,MIN(FG123-FN123,BJ123*(1+VLOOKUP($C123,WeatherCapacityAdjustment,2))),0)</f>
        <v>#VALUE!</v>
      </c>
      <c r="FS123" s="1558" t="e">
        <f aca="false">IF(EW123&gt;0,MIN(FH123-FO123,BK123*(1+VLOOKUP($C123,WeatherCapacityAdjustment,3))),0)</f>
        <v>#VALUE!</v>
      </c>
      <c r="FT123" s="1566" t="e">
        <f aca="false">IF(AND(Assumptions!$H$71="Yes",A123&gt;=Assumptions!$H$72,A123&lt;=Assumptions!$H$73),0,IF(AND($A123&gt;=Assumptions!$C$17,$A123&lt;=Assumptions!$C$18),MAX(AZ123*(1+VLOOKUP($C123,WeatherCapacityAdjustment,2))-FL123,0),0))</f>
        <v>#VALUE!</v>
      </c>
      <c r="FU123" s="1551" t="e">
        <f aca="false">IF(AND(Assumptions!$H$71="Yes",A123&gt;=Assumptions!$H$72,A123&lt;=Assumptions!$H$73),0,IF(AND($A123&gt;=Assumptions!$C$17,$A123&lt;=Assumptions!$C$18),MAX(BA123*(1+VLOOKUP($C123,WeatherCapacityAdjustment,2))-FM123,0),0))</f>
        <v>#VALUE!</v>
      </c>
      <c r="FV123" s="1551" t="e">
        <f aca="false">IF(AND(Assumptions!$H$71="Yes",A123&gt;=Assumptions!$H$72,A123&lt;=Assumptions!$H$73),0,IF(AND($A123&gt;=Assumptions!$C$17,$A123&lt;=Assumptions!$C$18),MAX(BB123*(1+VLOOKUP($C123,WeatherCapacityAdjustment,2))-FN123,0),0))</f>
        <v>#VALUE!</v>
      </c>
      <c r="FW123" s="1564" t="e">
        <f aca="false">IF(AND(Assumptions!$H$71="Yes",A123&gt;=Assumptions!$H$72,A123&lt;=Assumptions!$H$73),0,IF(AND($A123&gt;=Assumptions!$C$17,$A123&lt;=Assumptions!$C$18),MAX(BC123*(1+VLOOKUP($C123,WeatherCapacityAdjustment,3))-FO123,0),0))</f>
        <v>#VALUE!</v>
      </c>
      <c r="FX123" s="1569" t="e">
        <f aca="false">IF(AND(Assumptions!$H$71="Yes",A123&gt;=Assumptions!$H$72,A123&lt;=Assumptions!$H$73),0,IF(ET123&gt;0,MAX(BH123*(1+VLOOKUP($C123,WeatherCapacityAdjustment,2))-FP123,0),0))</f>
        <v>#VALUE!</v>
      </c>
      <c r="FY123" s="1551" t="e">
        <f aca="false">IF(AND(Assumptions!$H$71="Yes",A123&gt;=Assumptions!$H$72,A123&lt;=Assumptions!$H$73),0,IF(EU123&gt;0,MAX(BI123*(1+VLOOKUP($C123,WeatherCapacityAdjustment,3))-FQ123,0),0))</f>
        <v>#VALUE!</v>
      </c>
      <c r="FZ123" s="1551" t="e">
        <f aca="false">IF(AND(Assumptions!$H$71="Yes",A123&gt;=Assumptions!$H$72,A123&lt;=Assumptions!$H$73),0,IF(EV123&gt;0,MAX(BJ123*(1+VLOOKUP($C123,WeatherCapacityAdjustment,2))-FR123,0),0))</f>
        <v>#VALUE!</v>
      </c>
      <c r="GA123" s="1564" t="e">
        <f aca="false">IF(AND(Assumptions!$H$71="Yes",A123&gt;=Assumptions!$H$72,A123&lt;=Assumptions!$H$73),0,IF(EW123&gt;0,MAX(BK123*(1+VLOOKUP($C123,WeatherCapacityAdjustment,2))-FS123,0),0))</f>
        <v>#VALUE!</v>
      </c>
      <c r="GB123" s="1551" t="e">
        <f aca="false">SUM(FT123:GA123)</f>
        <v>#VALUE!</v>
      </c>
      <c r="GC123" s="1563" t="e">
        <f aca="false">+IF(SUM(FT123:GA123)=0,0,(SUMPRODUCT(BU123:BX123,FT123:FW123)+SUMPRODUCT(CA123:CD123,FX123:GA123))/SUM(FT123:GA123))</f>
        <v>#VALUE!</v>
      </c>
      <c r="GD123" s="1551" t="e">
        <f aca="false">(FT123*BU123+FX123*CA123+FU123*BV123+FY123*CB123+FV123*BW123+FZ123*CC123+FW123*BX123+GA123*CD123)</f>
        <v>#VALUE!</v>
      </c>
      <c r="GE123" s="1561" t="e">
        <f aca="false">+IF(BQ123,((FL123+FM123+FT123+FU123)*HeatRatePeak/1000*(1+VLOOKUP($C123,WeatherHeatRateAdjustment,2))+(FN123+FV123)*IF(EV123&gt;0,HeatRatePeak,HeatRateOffPeak)/1000*(1+VLOOKUP($C123,WeatherHeatRateAdjustment,2))+(FO123+FW123)*IF(EW123&gt;0,HeatRatePeak,HeatRateOffPeak)/1000*(1+VLOOKUP($C123,WeatherHeatRateAdjustment,3)))*(1+VLOOKUP($B123,HeatRateDegradation,$C123+1)),0)</f>
        <v>#VALUE!</v>
      </c>
      <c r="GF123" s="1562" t="e">
        <f aca="false">IF(BQ123,((FP123+FQ123+FR123+FX123+FY123+FZ123)*HeatRatePeak/1000*(1+VLOOKUP($C123,WeatherHeatRateAdjustment,2))+(FS123+GA123)*HeatRatePeak/1000*(1+VLOOKUP($C123,WeatherHeatRateAdjustment,3)))*(1+VLOOKUP($B123,HeatRateDegradation,$C123+1)),0)</f>
        <v>#VALUE!</v>
      </c>
      <c r="GG123" s="1563" t="e">
        <f aca="false">IF(BQ123,VLOOKUP(A123,GasTable,13),0)</f>
        <v>#VALUE!</v>
      </c>
      <c r="GH123" s="1564" t="e">
        <f aca="false">(GE123+GF123)*GG123</f>
        <v>#VALUE!</v>
      </c>
      <c r="GI123" s="1569" t="e">
        <f aca="false">GB123</f>
        <v>#VALUE!</v>
      </c>
      <c r="GJ123" s="1598" t="e">
        <f aca="false">+DA123</f>
        <v>#VALUE!</v>
      </c>
      <c r="GK123" s="1558" t="e">
        <f aca="false">+GI123*GJ123</f>
        <v>#VALUE!</v>
      </c>
      <c r="GL123" s="1566" t="e">
        <f aca="false">MAX(FE123-FL123-FP123,0)</f>
        <v>#VALUE!</v>
      </c>
      <c r="GM123" s="1551" t="e">
        <f aca="false">MAX(FF123-FM123-FQ123,0)</f>
        <v>#VALUE!</v>
      </c>
      <c r="GN123" s="1551" t="e">
        <f aca="false">MAX(FG123-FN123-FR123,0)</f>
        <v>#VALUE!</v>
      </c>
      <c r="GO123" s="1564" t="e">
        <f aca="false">MAX(FH123-FO123-FS123,0)</f>
        <v>#VALUE!</v>
      </c>
      <c r="GP123" s="1551" t="e">
        <f aca="false">SUM(GL123:GO123)</f>
        <v>#VALUE!</v>
      </c>
      <c r="GQ123" s="1563" t="e">
        <f aca="false">IF(SUM(GL123:GO123)=0,0,((GL123*BU123+GM123*BV123+GN123*BW123+GO123*BX123)/SUM(GL123:GO123)))</f>
        <v>#VALUE!</v>
      </c>
      <c r="GR123" s="1558" t="e">
        <f aca="false">(GL123*BU123+GM123*BV123+GN123*BW123+GO123*BX123)</f>
        <v>#VALUE!</v>
      </c>
      <c r="GS123" s="1566" t="n">
        <f aca="false">IF($A123&gt;=BegDate,Assumptions!$C$56*24*($A124-$A123)*(1-VLOOKUP($B123,MAIN!$AA$7:$AM$28,$C123+1))*(1-VLOOKUP($B123,MAIN!$AA$33:$AM$54,$C123+1)),0)*80/168</f>
        <v>257742.857142857</v>
      </c>
      <c r="GT123" s="286" t="n">
        <f aca="false">J123</f>
        <v>37.4583839246134</v>
      </c>
      <c r="GU123" s="286" t="n">
        <f aca="false">IF($A123&gt;=BegDate,VLOOKUP($A123,GasTable,13)+Assumptions!$C$58,0)</f>
        <v>2.74869912936077</v>
      </c>
      <c r="GV123" s="286" t="n">
        <f aca="false">GU123*Assumptions!$C$57/1000</f>
        <v>19.9280686878656</v>
      </c>
      <c r="GW123" s="1558" t="n">
        <f aca="false">IF(Assumptions!$C$60="Hourly",MAX(0,GS123*(GT123-GV123)),GS123*(GT123-GV123))</f>
        <v>4518313.53573434</v>
      </c>
      <c r="GX123" s="1566" t="n">
        <f aca="false">IF($A123&gt;=BegDate,Assumptions!$C$56*24*($A124-$A123)*(1-VLOOKUP($B123,MAIN!$AA$7:$AM$28,$C123+1))*(1-VLOOKUP($B123,MAIN!$AA$33:$AM$54,$C123+1)),0)*16/168</f>
        <v>51548.5714285714</v>
      </c>
      <c r="GY123" s="286" t="n">
        <f aca="false">M123</f>
        <v>37.4583839246134</v>
      </c>
      <c r="GZ123" s="286" t="n">
        <f aca="false">IF($A123&gt;=BegDate,VLOOKUP($A123,GasTable,13)+Assumptions!$C$58,0)</f>
        <v>2.74869912936077</v>
      </c>
      <c r="HA123" s="286" t="n">
        <f aca="false">GZ123*Assumptions!$C$57/1000</f>
        <v>19.9280686878656</v>
      </c>
      <c r="HB123" s="1558" t="n">
        <f aca="false">IF(Assumptions!$C$60="Hourly",MAX(0,GX123*(GY123-HA123)),GX123*(GY123-HA123))</f>
        <v>903662.707146868</v>
      </c>
      <c r="HC123" s="1566" t="n">
        <f aca="false">IF($A123&gt;=BegDate,Assumptions!$C$56*24*($A124-$A123)*(1-VLOOKUP($B123,MAIN!$AA$7:$AM$28,$C123+1))*(1-VLOOKUP($B123,MAIN!$AA$33:$AM$54,$C123+1)),0)*16/168</f>
        <v>51548.5714285714</v>
      </c>
      <c r="HD123" s="286" t="n">
        <f aca="false">P123</f>
        <v>24.2528500598506</v>
      </c>
      <c r="HE123" s="286" t="n">
        <f aca="false">IF($A123&gt;=BegDate,VLOOKUP($A123,GasTable,13)+Assumptions!$C$58,0)</f>
        <v>2.74869912936077</v>
      </c>
      <c r="HF123" s="286" t="n">
        <f aca="false">HE123*Assumptions!$C$57/1000</f>
        <v>19.9280686878656</v>
      </c>
      <c r="HG123" s="1558" t="n">
        <f aca="false">IF(Assumptions!$C$60="Hourly",MAX(0,HC123*(HD123-HF123)),HC123*(HD123-HF123))</f>
        <v>222936.301466723</v>
      </c>
      <c r="HH123" s="1566" t="n">
        <f aca="false">IF($A123&gt;=BegDate,Assumptions!$C$56*24*($A124-$A123)*(1-VLOOKUP($B123,MAIN!$AA$7:$AM$28,$C123+1))*(1-VLOOKUP($B123,MAIN!$AA$33:$AM$54,$C123+1)),0)*56/168</f>
        <v>180420</v>
      </c>
      <c r="HI123" s="286" t="n">
        <f aca="false">S123</f>
        <v>24.2528500598506</v>
      </c>
      <c r="HJ123" s="286" t="n">
        <f aca="false">IF($A123&gt;=BegDate,VLOOKUP($A123,GasTable,13)+Assumptions!$C$58,0)</f>
        <v>2.74869912936077</v>
      </c>
      <c r="HK123" s="286" t="n">
        <f aca="false">HJ123*Assumptions!$C$57/1000</f>
        <v>19.9280686878656</v>
      </c>
      <c r="HL123" s="1558" t="n">
        <f aca="false">IF(Assumptions!$C$60="Hourly",MAX(0,HH123*(HI123-HK123)),HH123*(HI123-HK123))</f>
        <v>780277.055133531</v>
      </c>
      <c r="HM123" s="1566" t="n">
        <f aca="false">IF(AND(Assumptions!$H$71="Yes",A123&gt;=Assumptions!$H$72,A123&lt;=Assumptions!$H$73),Assumptions!$H$74*Assumptions!$C$9*1000,0)</f>
        <v>0</v>
      </c>
      <c r="HN123" s="1551"/>
      <c r="HO123" s="1563"/>
      <c r="HP123" s="1563"/>
      <c r="HQ123" s="1563"/>
      <c r="HR123" s="1563"/>
      <c r="HS123" s="1563"/>
      <c r="HT123" s="1563"/>
      <c r="HU123" s="1563"/>
      <c r="HV123" s="1563"/>
      <c r="HW123" s="1563"/>
      <c r="HX123" s="1563"/>
      <c r="HY123" s="1563"/>
      <c r="HZ123" s="1563"/>
      <c r="IA123" s="1563"/>
      <c r="IB123" s="1563"/>
      <c r="IC123" s="1563"/>
      <c r="ID123" s="1563"/>
      <c r="IE123" s="1563"/>
      <c r="IF123" s="1563"/>
      <c r="IG123" s="1563"/>
      <c r="IH123" s="1563"/>
      <c r="II123" s="1610"/>
      <c r="IJ123" s="1309"/>
      <c r="IK123" s="1309"/>
    </row>
    <row r="124" customFormat="false" ht="12.75" hidden="false" customHeight="false" outlineLevel="0" collapsed="false">
      <c r="A124" s="1571" t="n">
        <f aca="false">EOMONTH(A123,0)+1</f>
        <v>39904</v>
      </c>
      <c r="B124" s="594" t="n">
        <f aca="false">+YEAR(A124)</f>
        <v>2009</v>
      </c>
      <c r="C124" s="238" t="n">
        <f aca="false">MONTH(A124)</f>
        <v>4</v>
      </c>
      <c r="D124" s="1572" t="e">
        <f aca="false">IF(E124="","",Holiday(B124,C124))</f>
        <v>#VALUE!</v>
      </c>
      <c r="E124" s="1573" t="n">
        <f aca="false">IF(OR(BegDate&gt;=A125,EndDate&lt;A124,AND(VolumeMonthlyOverFlag,INDEX(VolumeMonthlyOver,C124)=0),NOT(INDEX(MonthKnockOutTable,C124))),"",MAX(A124,BegDate))</f>
        <v>39904</v>
      </c>
      <c r="F124" s="1574" t="n">
        <f aca="false">IF(E124="","",MIN(A125-1,EndDate))</f>
        <v>39933</v>
      </c>
      <c r="G124" s="1575" t="n">
        <v>0</v>
      </c>
      <c r="H124" s="1576" t="n">
        <f aca="false">(1+G124/2)^(-2*(DATE(B125,C125,20)-DateToday)/365.25)</f>
        <v>1</v>
      </c>
      <c r="I124" s="1568" t="n">
        <f aca="false">IF(Assumptions!$L$25=4,VLOOKUP($A124,'Henwood Reference'!$E$9:$R$320,10),(VLOOKUP($A124,PriceTable,2,0)+IF(BasisNumber&lt;&gt;1,VLOOKUP($A124,BasisTable,2,0),0)+I$1)/(1-I$2))</f>
        <v>36.1115145997761</v>
      </c>
      <c r="J124" s="1568" t="n">
        <f aca="false">IF(Assumptions!$L$25=4,VLOOKUP($A124,'Henwood Reference'!$E$9:$R$320,10),(VLOOKUP($A124,PriceTable,3,0)+IF(BasisNumber&lt;&gt;1,VLOOKUP($A124,BasisTable,2,0),0)+J$1)/(1-J$2))</f>
        <v>36.1115145997761</v>
      </c>
      <c r="K124" s="1568" t="n">
        <f aca="false">IF(Assumptions!$L$25=4,VLOOKUP($A124,'Henwood Reference'!$E$9:$R$320,10),(VLOOKUP($A124,PriceTable,4,0)+IF(BasisNumber&lt;&gt;1,VLOOKUP($A124,BasisTable,2,0),0)+K$1)/(1-K$2))</f>
        <v>36.1115145997761</v>
      </c>
      <c r="L124" s="1523" t="n">
        <f aca="false">IF(Assumptions!$L$25=4,VLOOKUP($A124,'Henwood Reference'!$E$9:$R$320,10),(VLOOKUP($A124,PriceTableWeekend,2,0)+IF(BasisNumber&lt;&gt;1,VLOOKUP($A124,BasisTable,2,0),0)+L$1)/(1-L$2))</f>
        <v>36.1115145997761</v>
      </c>
      <c r="M124" s="1568" t="n">
        <f aca="false">IF(Assumptions!$L$25=4,VLOOKUP($A124,'Henwood Reference'!$E$9:$R$320,10),(VLOOKUP($A124,PriceTableWeekend,3,0)+IF(BasisNumber&lt;&gt;1,VLOOKUP($A124,BasisTable,2,0),0)+M$1)/(1-M$2))</f>
        <v>36.1115145997761</v>
      </c>
      <c r="N124" s="1599" t="n">
        <f aca="false">IF(Assumptions!$L$25=4,VLOOKUP($A124,'Henwood Reference'!$E$9:$R$320,10),(VLOOKUP($A124,PriceTableWeekend,4,0)+IF(BasisNumber&lt;&gt;1,VLOOKUP($A124,BasisTable,2,0),0)+N$1)/(1-N$2))</f>
        <v>36.1115145997761</v>
      </c>
      <c r="O124" s="1568" t="n">
        <f aca="false">IF(Assumptions!$L$25=4,VLOOKUP($A124,'Henwood Reference'!$E$9:$R$320,11),(VLOOKUP($A124,PriceTableWeekend,6,0)+IF(BasisNumber&lt;&gt;1,VLOOKUP($A124,BasisTable,3,0),0)+O$1)/(1-O$2))</f>
        <v>23.5175096023773</v>
      </c>
      <c r="P124" s="1568" t="n">
        <f aca="false">IF(Assumptions!$L$25=4,VLOOKUP($A124,'Henwood Reference'!$E$9:$R$320,11),(VLOOKUP($A124,PriceTableWeekend,7,0)+IF(BasisNumber&lt;&gt;1,VLOOKUP($A124,BasisTable,3,0),0)+P$1)/(1-P$2))</f>
        <v>23.5175096023773</v>
      </c>
      <c r="Q124" s="1599" t="n">
        <f aca="false">IF(Assumptions!$L$25=4,VLOOKUP($A124,'Henwood Reference'!$E$9:$R$320,11),(VLOOKUP($A124,PriceTableWeekend,8,0)+IF(BasisNumber&lt;&gt;1,VLOOKUP($A124,BasisTable,3,0),0)+Q$1)/(1-Q$2))</f>
        <v>23.5175096023773</v>
      </c>
      <c r="R124" s="1568" t="n">
        <f aca="false">IF(Assumptions!$L$25=4,VLOOKUP($A124,'Henwood Reference'!$E$9:$R$320,11),(VLOOKUP($A124,PriceTable,6,0)+IF(BasisNumber&lt;&gt;1,VLOOKUP($A124,BasisTable,3,0),0)+R$1)/(1-R$2))</f>
        <v>23.5175096023773</v>
      </c>
      <c r="S124" s="1568" t="n">
        <f aca="false">IF(Assumptions!$L$25=4,VLOOKUP($A124,'Henwood Reference'!$E$9:$R$320,11),(VLOOKUP($A124,PriceTable,7,0)+IF(BasisNumber&lt;&gt;1,VLOOKUP($A124,BasisTable,3,0),0)+S$1)/(1-S$2))</f>
        <v>23.5175096023773</v>
      </c>
      <c r="T124" s="1600" t="n">
        <f aca="false">IF(Assumptions!$L$25=4,VLOOKUP($A124,'Henwood Reference'!$E$9:$R$320,11),(VLOOKUP($A124,PriceTable,8,0)+IF(BasisNumber&lt;&gt;1,VLOOKUP($A124,BasisTable,3,0),0)+T$1)/(1-T$2))</f>
        <v>23.5175096023773</v>
      </c>
      <c r="U124" s="1513" t="n">
        <f aca="false">VLOOKUP($A124,VolatilityTable,14)</f>
        <v>0.125</v>
      </c>
      <c r="V124" s="1513" t="n">
        <f aca="false">VLOOKUP($A124,VolatilityTable,15)</f>
        <v>0.135</v>
      </c>
      <c r="W124" s="1514" t="n">
        <f aca="false">VLOOKUP($A124,VolatilityTable,16)</f>
        <v>0.145</v>
      </c>
      <c r="X124" s="1513" t="n">
        <f aca="false">VLOOKUP($A124,VolatilityTable,14)</f>
        <v>0.125</v>
      </c>
      <c r="Y124" s="1513" t="n">
        <f aca="false">VLOOKUP($A124,VolatilityTable,15)</f>
        <v>0.135</v>
      </c>
      <c r="Z124" s="1514" t="n">
        <f aca="false">VLOOKUP($A124,VolatilityTable,16)</f>
        <v>0.145</v>
      </c>
      <c r="AA124" s="1513" t="n">
        <f aca="false">VLOOKUP($A124,VolatilityTable,18)</f>
        <v>0.09</v>
      </c>
      <c r="AB124" s="1513" t="n">
        <f aca="false">VLOOKUP($A124,VolatilityTable,19)</f>
        <v>0.11</v>
      </c>
      <c r="AC124" s="1514" t="n">
        <f aca="false">VLOOKUP($A124,VolatilityTable,20)</f>
        <v>0.13</v>
      </c>
      <c r="AD124" s="1513" t="n">
        <f aca="false">VLOOKUP($A124,VolatilityTable,18)</f>
        <v>0.09</v>
      </c>
      <c r="AE124" s="1513" t="n">
        <f aca="false">VLOOKUP($A124,VolatilityTable,19)</f>
        <v>0.11</v>
      </c>
      <c r="AF124" s="1514" t="n">
        <f aca="false">VLOOKUP($A124,VolatilityTable,20)</f>
        <v>0.13</v>
      </c>
      <c r="AG124" s="1513" t="n">
        <f aca="false">VLOOKUP($A124,VolatilityTable,22)</f>
        <v>-0.1</v>
      </c>
      <c r="AH124" s="1513" t="n">
        <f aca="false">VLOOKUP($A124,VolatilityTable,23)</f>
        <v>0.65</v>
      </c>
      <c r="AI124" s="1514" t="n">
        <f aca="false">VLOOKUP($A124,VolatilityTable,24)</f>
        <v>0.1</v>
      </c>
      <c r="AJ124" s="1513" t="n">
        <f aca="false">VLOOKUP($A124,VolatilityTable,22)</f>
        <v>-0.1</v>
      </c>
      <c r="AK124" s="1513" t="n">
        <f aca="false">VLOOKUP($A124,VolatilityTable,23)</f>
        <v>0.65</v>
      </c>
      <c r="AL124" s="1514" t="n">
        <f aca="false">VLOOKUP($A124,VolatilityTable,24)</f>
        <v>0.1</v>
      </c>
      <c r="AM124" s="1513" t="n">
        <f aca="false">VLOOKUP($A124,VolatilityTable,26)</f>
        <v>-0.01</v>
      </c>
      <c r="AN124" s="1513" t="n">
        <f aca="false">VLOOKUP($A124,VolatilityTable,27)</f>
        <v>0.16</v>
      </c>
      <c r="AO124" s="1514" t="n">
        <f aca="false">VLOOKUP($A124,VolatilityTable,28)</f>
        <v>0.01</v>
      </c>
      <c r="AP124" s="1513" t="n">
        <f aca="false">VLOOKUP($A124,VolatilityTable,26)</f>
        <v>-0.01</v>
      </c>
      <c r="AQ124" s="1513" t="n">
        <f aca="false">VLOOKUP($A124,VolatilityTable,27)</f>
        <v>0.16</v>
      </c>
      <c r="AR124" s="1515" t="n">
        <f aca="false">VLOOKUP($A124,VolatilityTable,28)</f>
        <v>0.01</v>
      </c>
      <c r="AS124" s="1581" t="n">
        <f aca="false">IF(CorrPeakOffPeakOverFlag,INDEX(CorrPeakOffPeakOver,C124),CorrPeakOffPeak)</f>
        <v>0.5</v>
      </c>
      <c r="AT124" s="594" t="e">
        <f aca="false">AX124-SUM(AU124:AW124)</f>
        <v>#VALUE!</v>
      </c>
      <c r="AU124" s="238" t="e">
        <f aca="false">IF(E124="",0,INT((F124-MOD(F124,7)-E124)/7)+1-IF(AW124,IF(WEEKDAY(D124)=7,1,0),0))</f>
        <v>#VALUE!</v>
      </c>
      <c r="AV124" s="238" t="e">
        <f aca="false">IF(E124="",0,INT((F124-MOD(F124-1,7)-E124)/7)+1-IF(AW124,IF(WEEKDAY(D124)=1,1,0),0))</f>
        <v>#VALUE!</v>
      </c>
      <c r="AW124" s="238" t="e">
        <f aca="false">IF(OR(E124="",D124="",D124&lt;BegDate,D124&gt;EndDate),0,1)</f>
        <v>#VALUE!</v>
      </c>
      <c r="AX124" s="238" t="n">
        <f aca="false">IF(E124="",0,F124-E124+1)</f>
        <v>30</v>
      </c>
      <c r="AY124" s="1582" t="n">
        <f aca="false">IF(E124="",0,MIN((1-(1-VLOOKUP(B124,MAIN!$AA$7:$AM$28,C124+1))*(1-VLOOKUP(B124,MAIN!$AA$33:$AM$54,C124+1))),1))</f>
        <v>0.709</v>
      </c>
      <c r="AZ124" s="1519" t="e">
        <v>#VALUE!</v>
      </c>
      <c r="BA124" s="1520" t="e">
        <v>#VALUE!</v>
      </c>
      <c r="BB124" s="1520" t="e">
        <v>#VALUE!</v>
      </c>
      <c r="BC124" s="1583" t="e">
        <v>#VALUE!</v>
      </c>
      <c r="BD124" s="1522" t="e">
        <v>#VALUE!</v>
      </c>
      <c r="BE124" s="1523" t="e">
        <v>#VALUE!</v>
      </c>
      <c r="BF124" s="1523" t="e">
        <v>#VALUE!</v>
      </c>
      <c r="BG124" s="1584" t="e">
        <v>#VALUE!</v>
      </c>
      <c r="BH124" s="1525" t="e">
        <v>#VALUE!</v>
      </c>
      <c r="BI124" s="1520" t="e">
        <v>#VALUE!</v>
      </c>
      <c r="BJ124" s="1520" t="e">
        <v>#VALUE!</v>
      </c>
      <c r="BK124" s="1583" t="e">
        <v>#VALUE!</v>
      </c>
      <c r="BL124" s="1522" t="e">
        <v>#VALUE!</v>
      </c>
      <c r="BM124" s="1523" t="e">
        <v>#VALUE!</v>
      </c>
      <c r="BN124" s="1523" t="e">
        <v>#VALUE!</v>
      </c>
      <c r="BO124" s="1523" t="e">
        <v>#VALUE!</v>
      </c>
      <c r="BP124" s="1525" t="e">
        <f aca="false">SUM(AZ124:BB124)</f>
        <v>#VALUE!</v>
      </c>
      <c r="BQ124" s="1529" t="e">
        <f aca="false">SUM(AZ124:BC124)</f>
        <v>#VALUE!</v>
      </c>
      <c r="BR124" s="1519" t="e">
        <f aca="false">SUM(BH124:BJ124)</f>
        <v>#VALUE!</v>
      </c>
      <c r="BS124" s="1529" t="e">
        <f aca="false">SUM(BH124:BK124)</f>
        <v>#VALUE!</v>
      </c>
      <c r="BT124" s="1316" t="n">
        <f aca="false">(IF(OVolType&lt;&gt;2,A124+14,IF(OptExpDateShift,ShiftBack(A124,OptExpDateShift,D123),A124))-DateToday)/365.25</f>
        <v>8.9637234770705</v>
      </c>
      <c r="BU124" s="1585" t="e">
        <f aca="false">IF(BQ124,IF(OPriceCurve,IF(OBuySell=OCallPut,I124/(1-AY124),K124/(1-AY124)),J124/(1-AY124))*BD124,0)</f>
        <v>#VALUE!</v>
      </c>
      <c r="BV124" s="1316" t="e">
        <f aca="false">IF(BQ124,IF(OPriceCurve,IF(OBuySell=OCallPut,L124/(1-AY124),N124/(1-AY124)),M124/(1-AY124))*BE124,0)</f>
        <v>#VALUE!</v>
      </c>
      <c r="BW124" s="1316" t="e">
        <f aca="false">IF(BQ124,IF(OPriceCurve,IF(OBuySell=OCallPut,O124/(1-AY124),Q124/(1-AY124)),P124/(1-AY124))*BF124,0)</f>
        <v>#VALUE!</v>
      </c>
      <c r="BX124" s="1316" t="e">
        <f aca="false">IF(BQ124,IF(OPriceCurve,IF(OBuySell=OCallPut,R124/(1-AY124),T124/(1-AY124)),S124/(1-AY124))*BG124,0)</f>
        <v>#VALUE!</v>
      </c>
      <c r="BY124" s="1316" t="e">
        <f aca="false">IF(BP124,(BU124*AZ124+BV124*BA124+BW124*BB124)/BP124,0)</f>
        <v>#VALUE!</v>
      </c>
      <c r="BZ124" s="1316" t="e">
        <f aca="false">IF(BQ124,(BY124*BP124+BX124*BC124)/BQ124,0)</f>
        <v>#VALUE!</v>
      </c>
      <c r="CA124" s="1531" t="e">
        <f aca="false">IF(BS124,IF(OPriceCurve,IF(OBuySell=OCallPut,I124/(1-AY124),K124/(1-AY124)),J124/(1-AY124))*BL124,0)</f>
        <v>#VALUE!</v>
      </c>
      <c r="CB124" s="1316" t="e">
        <f aca="false">IF(BS124,IF(OPriceCurve,IF(OBuySell=OCallPut,L124/(1-AY124),N124/(1-AY124)),M124/(1-AY124))*BM124,0)</f>
        <v>#VALUE!</v>
      </c>
      <c r="CC124" s="1316" t="e">
        <f aca="false">IF(BS124,IF(OPriceCurve,IF(OBuySell=OCallPut,O124/(1-AY124),Q124/(1-AY124)),P124/(1-AY124))*BN124,0)</f>
        <v>#VALUE!</v>
      </c>
      <c r="CD124" s="1316" t="e">
        <f aca="false">IF(BS124,IF(OPriceCurve,IF(OBuySell=OCallPut,R124/(1-AY124),T124/(1-AY124)),S124/(1-AY124))*BO124,0)</f>
        <v>#VALUE!</v>
      </c>
      <c r="CE124" s="1316" t="e">
        <f aca="false">IF(BR124,(BU124*BH124+BV124*BI124+BW124*BJ124)/BR124,0)</f>
        <v>#VALUE!</v>
      </c>
      <c r="CF124" s="1532" t="e">
        <f aca="false">IF(BS124,(CE124*BR124+CD124*BK124)/BS124,0)</f>
        <v>#VALUE!</v>
      </c>
      <c r="CG124" s="1586" t="e">
        <f aca="false">IF(OR(BQ124,BS124),IF(OVolType&lt;&gt;2,SQRT(IF(OVolOverMonthlyPeak,OVolOverMonthlyPeak,IF(OVolCurve,IF(OBuySell,U124,W124),V124))^2*(1-15/365.25/BT124)+IF(OVolOverDailyPeak,OVolOverDailyPeak,IF(OVolCurve,IF(OBuySell,AG124,AI124),AH124))^2*15/365.25/BT124),IF(OVolOverMonthlyPeak,OVolOverMonthlyPeak,IF(OVolCurve,IF(OBuySell,U124,W124),V124))),"")</f>
        <v>#VALUE!</v>
      </c>
      <c r="CH124" s="1587" t="e">
        <f aca="false">IF(OR(BQ124,BS124),IF(OVolType&lt;&gt;2,SQRT(IF(OVolOverMonthlyPeak,OVolOverMonthlyPeak,IF(OVolCurve,IF(OBuySell,X124,Z124),Y124))^2*(1-15/365.25/BT124)+IF(OVolOverDailyPeak,OVolOverDailyPeak,IF(OVolCurve,IF(OBuySell,AJ124,AL124),AK124))^2*15/365.25/BT124),IF(OVolOverMonthlyPeak,OVolOverMonthlyPeak,IF(OVolCurve,IF(OBuySell,X124,Z124),Y124))),"")</f>
        <v>#VALUE!</v>
      </c>
      <c r="CI124" s="1587" t="e">
        <f aca="false">IF(OR(BQ124,BS124),IF(OVolType&lt;&gt;2,SQRT(IF(OVolOverMonthlyPeak,OVolOverMonthlyPeak,IF(OVolCurve,IF(OBuySell,AA124,AC124),AB124))^2*(1-15/365.25/BT124)+IF(OVolOverDailyPeak,OVolOverDailyPeak,IF(OVolCurve,IF(OBuySell,AM124,AO124),AN124))^2*15/365.25/BT124),IF(OVolOverMonthlyPeak,OVolOverMonthlyPeak,IF(OVolCurve,IF(OBuySell,AA124,AC124),AB124))),"")</f>
        <v>#VALUE!</v>
      </c>
      <c r="CJ124" s="1587" t="e">
        <f aca="false">IF(BQ124,IF(BP124,SQRT(LN(1+((BU124*AZ124)^2*(EXP(CG124^2*BT124)-1)+(BV124*BA124)^2*(EXP(CH124^2*BT124)-1)+(BW124*BB124)^2*(EXP(CI124^2*BT124)-1)+2*BU124*AZ124*BV124*BA124*(EXP(CG124*CH124*BT124)-1)+2*BV124*BA124*BW124*BB124*(EXP(CH124*CI124*BT124)-1)+2*BW124*BB124*BU124*AZ124*(EXP(CI124*CG124*BT124)-1))/(BY124*BP124)^2)/BT124),0),"")</f>
        <v>#VALUE!</v>
      </c>
      <c r="CK124" s="1587" t="e">
        <f aca="false">IF(BS124,IF(BR124,SQRT(LN(1+((CA124*BH124)^2*(EXP(CG124^2*BT124)-1)+(CB124*BI124)^2*(EXP(CH124^2*BT124)-1)+(CC124*BJ124)^2*(EXP(CI124^2*BT124)-1)+2*CA124*BH124*CB124*BI124*(EXP(CG124*CH124*BT124)-1)+2*CB124*BI124*CC124*BJ124*(EXP(CH124*CI124*BT124)-1)+2*CC124*BJ124*CA124*BH124*(EXP(CI124*CG124*BT124)-1))/(CE124*BR124)^2)/BT124),0),"")</f>
        <v>#VALUE!</v>
      </c>
      <c r="CL124" s="1587" t="e">
        <f aca="false">IF(OR(BQ124,BS124),IF(OVolType&lt;&gt;2,SQRT(IF(OVolOverMonthlyOffPeak,OVolOverMonthlyOffPeak,IF(OVolCurve,IF(OBuySell,AD124,AF124),AE124))^2*(1-15/365.25/BT124)+IF(OVolOverDailyOffPeak,OVolOverDailyOffPeak,IF(OVolCurve,IF(OBuySell,AP124,AR124),AQ124))^2*15/365.25/BT124),IF(OVolOverMonthlyOffPeak,OVolOverMonthlyOffPeak,IF(OVolCurve,IF(OBuySell,AD124,AF124),AE124))),"")</f>
        <v>#VALUE!</v>
      </c>
      <c r="CM124" s="1587" t="e">
        <f aca="false">IF(BQ124,SQRT(LN(1+((BY124*BP124)^2*(EXP(CJ124^2*BT124)-1)+(BX124*BC124)^2*(EXP(CL124^2*BT124)-1)+2*BY124*BP124*BX124*BC124*(EXP(AS124*CJ124*CL124*BT124)-1))/(BY124*BP124+BX124*BC124)^2)/BT124),"")</f>
        <v>#VALUE!</v>
      </c>
      <c r="CN124" s="1588" t="e">
        <f aca="false">IF(BS124,SQRT(LN(1+((CE124*BR124)^2*(EXP(CK124^2*BT124)-1)+(CD124*BK124)^2*(EXP(CL124^2*BT124)-1)+2*CE124*BR124*CD124*BK124*(EXP(AS124*CK124*CL124*BT124)-1))/(CE124*BR124+CD124*BK124)^2)/BT124),"")</f>
        <v>#VALUE!</v>
      </c>
      <c r="CO124" s="1531" t="e">
        <f aca="false">IF(OR(BQ124,BS124),VLOOKUP(A124,GasTable,13)*HeatRatePeak*(1+VLOOKUP($B124,HeatRateDegradation,$C124+1))/1000,0)</f>
        <v>#VALUE!</v>
      </c>
      <c r="CP124" s="1316" t="e">
        <f aca="false">IF(OR(BQ124,BS124),VLOOKUP(A124,GasTable,13)*HeatRatePeak*(1+VLOOKUP($B124,HeatRateDegradation,$C124+1))/1000,0)</f>
        <v>#VALUE!</v>
      </c>
      <c r="CQ124" s="1316" t="e">
        <f aca="false">IF(OR(BQ124,BS124),VLOOKUP(A124,GasTable,13)*IF(EV124,HeatRatePeak,HeatRateOffPeak)*(1+VLOOKUP($B124,HeatRateDegradation,$C124+1))/1000,0)</f>
        <v>#VALUE!</v>
      </c>
      <c r="CR124" s="1316" t="e">
        <f aca="false">IF(OR(BQ124,BS124),VLOOKUP(A124,GasTable,13)*IF(EW124,HeatRatePeak,HeatRateOffPeak)*(1+VLOOKUP($B124,HeatRateDegradation,$C124+1))/1000,0)</f>
        <v>#VALUE!</v>
      </c>
      <c r="CS124" s="1589" t="e">
        <f aca="false">IF(BQ124,(CO124*AZ124+CP124*BA124+CQ124*BB124+CR124*BC124)/BQ124,0)</f>
        <v>#VALUE!</v>
      </c>
      <c r="CT124" s="1316" t="e">
        <f aca="false">IF(BS124,CO124,0)</f>
        <v>#VALUE!</v>
      </c>
      <c r="CU124" s="1590" t="e">
        <f aca="false">IF(OR(BQ124,BS124),VLOOKUP(A124,GasTable,14),"")</f>
        <v>#VALUE!</v>
      </c>
      <c r="CV124" s="1568" t="e">
        <f aca="false">IF(OR(BQ124,BS124),IF(CorrPowerGasOverFlag,INDEX(CorrPowerGasOver,C124),CorrPowerGas),"")</f>
        <v>#VALUE!</v>
      </c>
      <c r="CW124" s="1316" t="e">
        <f aca="false">IF(OR($BQ124,$BS124),SpreadOptPowerMargin,0)*((1+Assumptions!$C$26)^($B124-YEAR(Assumptions!$C$17)))</f>
        <v>#VALUE!</v>
      </c>
      <c r="CX124" s="1316" t="e">
        <f aca="false">IF(OR($BQ124,$BS124),SpreadOptPowerMargin,0)*((1+Assumptions!$C$26)^($B124-YEAR(Assumptions!$C$17)))</f>
        <v>#VALUE!</v>
      </c>
      <c r="CY124" s="1316" t="e">
        <f aca="false">IF(OR($BQ124,$BS124),SpreadOptPowerMargin,0)*((1+Assumptions!$C$26)^($B124-YEAR(Assumptions!$C$17)))</f>
        <v>#VALUE!</v>
      </c>
      <c r="CZ124" s="1316" t="e">
        <f aca="false">IF(OR($BQ124,$BS124),SpreadOptPowerMargin,0)*((1+Assumptions!$C$26)^($B124-YEAR(Assumptions!$C$17)))</f>
        <v>#VALUE!</v>
      </c>
      <c r="DA124" s="1591" t="e">
        <f aca="false">IF(OR(BQ124,BS124),(CW124*(AZ124+BH124)+CX124*(BA124+BI124)+CY124*(BB124+BJ124)+CZ124*(BC124+BK124))/(BQ124+BS124),0)</f>
        <v>#VALUE!</v>
      </c>
      <c r="DB124" s="1592" t="e">
        <f aca="false">IF(OR(BQ124,BS124),CG124+IF(OVolSmile,VLOOKUP(MAX(-5,CO124+CW124-BU124),IF(OVolSmile=1,VolSmileBook,VolSmileModel),2),0),"")</f>
        <v>#VALUE!</v>
      </c>
      <c r="DC124" s="1592" t="e">
        <f aca="false">IF(OR(BQ124,BS124),CH124+IF(OVolSmile,VLOOKUP(MAX(-5,CP124+CW124-BV124),IF(OVolSmile=1,VolSmileBook,VolSmileModel),2),0),"")</f>
        <v>#VALUE!</v>
      </c>
      <c r="DD124" s="1592" t="e">
        <f aca="false">IF(OR(BQ124,BS124),CI124+IF(OVolSmile,VLOOKUP(MAX(-5,CQ124+CW124-BW124),IF(OVolSmile=1,VolSmileBook,VolSmileModel),2),0),"")</f>
        <v>#VALUE!</v>
      </c>
      <c r="DE124" s="1592" t="e">
        <f aca="false">IF(OR(BQ124,BS124),CL124+IF(OVolSmile,VLOOKUP(MAX(-5,CR124+CZ124-BX124),IF(OVolSmile=1,VolSmileBook,VolSmileModel),2),0),"")</f>
        <v>#VALUE!</v>
      </c>
      <c r="DF124" s="1592" t="e">
        <f aca="false">IF(BQ124,CM124+IF(OVolSmile,VLOOKUP(MAX(-5,CS124+DA124-BZ124),IF(OVolSmile=1,VolSmileBook,VolSmileModel),2),0),"")</f>
        <v>#VALUE!</v>
      </c>
      <c r="DG124" s="1593" t="e">
        <f aca="false">IF(BS124,CN124+IF(OVolSmile,VLOOKUP(MAX(-5,CT124+DA124-CF124),IF(OVolSmile=1,VolSmileBook,VolSmileModel),2),0),"")</f>
        <v>#VALUE!</v>
      </c>
      <c r="DH124" s="1316" t="e">
        <f aca="false">IF(AND(BU124&gt;0,CO124&gt;0,DB124&gt;0,CU124&gt;0),newSPRDOPT(BU124,CO124,CW124,0,DB124,CU124,CV124,BT124*365.25,OCallPut,0),0)</f>
        <v>#VALUE!</v>
      </c>
      <c r="DI124" s="1316" t="e">
        <f aca="false">IF(AND(BV124&gt;0,CP124&gt;0,DC124&gt;0,CU124&gt;0),newSPRDOPT(BV124,CP124,CX124,0,DC124,CU124,CV124,BT124*365.25,OCallPut,0),0)</f>
        <v>#VALUE!</v>
      </c>
      <c r="DJ124" s="1316" t="e">
        <f aca="false">IF(AND(BW124&gt;0,CQ124&gt;0,DD124&gt;0,CU124&gt;0),newSPRDOPT(BW124,CQ124,CY124,0,DD124,CU124,CV124,BT124*365.25,OCallPut,0),0)</f>
        <v>#VALUE!</v>
      </c>
      <c r="DK124" s="1316" t="e">
        <f aca="false">IF(AND(BX124&gt;0,CR124&gt;0,DE124&gt;0,CU124&gt;0),newSPRDOPT(BX124,CR124,CZ124,0,DE124,CU124,CV124,BT124*365.25,OCallPut,0),0)</f>
        <v>#VALUE!</v>
      </c>
      <c r="DL124" s="1316" t="e">
        <f aca="false">IF(OVolType,IF(AND(BZ124&gt;0,CS124&gt;0,DF124&gt;0,CU124&gt;0),newSPRDOPT(BZ124,CS124,DA124,0,DF124,CU124,CV124,BT124*365.25,OCallPut,0),0),IF(BQ124,(DH124*AZ124+DI124*BA124+DJ124*BB124+DK124*BC124)/BQ124,0))</f>
        <v>#VALUE!</v>
      </c>
      <c r="DM124" s="1316"/>
      <c r="DN124" s="1316"/>
      <c r="DO124" s="1316"/>
      <c r="DP124" s="1316"/>
      <c r="DQ124" s="1316"/>
      <c r="DR124" s="1316"/>
      <c r="DS124" s="1316"/>
      <c r="DT124" s="1316"/>
      <c r="DU124" s="1316"/>
      <c r="DV124" s="1316"/>
      <c r="DW124" s="1594" t="e">
        <f aca="false">IF(AND(BW124&gt;0,CT124&gt;0,DD124&gt;0,CU124&gt;0),newSPRDOPT(BW124,CT124,CY124,0,DD124,CU124,CV124,BT124*365.25,OCallPut,0),0)</f>
        <v>#VALUE!</v>
      </c>
      <c r="DX124" s="1316" t="e">
        <f aca="false">IF(AND(BX124&gt;0,CT124&gt;0,DE124&gt;0,CU124&gt;0),newSPRDOPT(BX124,CT124,CZ124,0,DE124,CU124,CV124,BT124*365.25,OCallPut,0),0)</f>
        <v>#VALUE!</v>
      </c>
      <c r="DY124" s="1591" t="e">
        <f aca="false">IF(BS124,(DH124*BH124+DI124*BI124+DW124*BJ124+DX124*BK124)/BS124,0)</f>
        <v>#VALUE!</v>
      </c>
      <c r="DZ124" s="1551" t="e">
        <f aca="false">DH124*AZ124</f>
        <v>#VALUE!</v>
      </c>
      <c r="EA124" s="1551" t="e">
        <f aca="false">DI124*BA124</f>
        <v>#VALUE!</v>
      </c>
      <c r="EB124" s="1551" t="e">
        <f aca="false">DJ124*BB124</f>
        <v>#VALUE!</v>
      </c>
      <c r="EC124" s="1551" t="e">
        <f aca="false">DK124*BC124</f>
        <v>#VALUE!</v>
      </c>
      <c r="ED124" s="1551" t="e">
        <f aca="false">DL124*BQ124</f>
        <v>#VALUE!</v>
      </c>
      <c r="EE124" s="1595" t="e">
        <f aca="false">IF(BQ124,IF(OCallPut,IF(BU124&gt;(CO124+CW124),BU124-(CO124+CW124),0),IF((CO124+CW124)&gt;BU124,(CO124+CW124)-BU124,0))*AZ124,0)</f>
        <v>#VALUE!</v>
      </c>
      <c r="EF124" s="1596" t="e">
        <f aca="false">IF(BQ124,IF(OCallPut,IF(BV124&gt;(CP124+CX124),BV124-(CP124+CX124),0),IF((CP124+CX124)&gt;BV124,(CP124+CX124)-BV124,0))*BA124,0)</f>
        <v>#VALUE!</v>
      </c>
      <c r="EG124" s="1596" t="e">
        <f aca="false">IF(BQ124,IF(OCallPut,IF(BW124&gt;(CQ124+CY124),BW124-(CQ124+CY124),0),IF((CQ124+CY124)&gt;BW124,(CQ124+CY124)-BW124,0))*BB124,0)</f>
        <v>#VALUE!</v>
      </c>
      <c r="EH124" s="1596" t="e">
        <f aca="false">IF(BQ124,IF(OCallPut,IF(BX124&gt;(CR124+CZ124),BX124-(CR124+CZ124),0),IF((CR124+CZ124)&gt;BX124,(CR124+CZ124)-BX124,0))*BC124,0)</f>
        <v>#VALUE!</v>
      </c>
      <c r="EI124" s="1597" t="e">
        <f aca="false">IF(BQ124,IF(OVolType,IF(OCallPut,IF(BZ124&gt;(CS124+DA124),BZ124-(CS124+DA124),0),IF((CS124+DA124)&gt;BZ124,(CS124+DA124)-BZ124,0))*BQ124,SUM(EE124:EH124)),0)</f>
        <v>#VALUE!</v>
      </c>
      <c r="EJ124" s="1595" t="e">
        <f aca="false">DZ124-EE124</f>
        <v>#VALUE!</v>
      </c>
      <c r="EK124" s="1596" t="e">
        <f aca="false">EA124-EF124</f>
        <v>#VALUE!</v>
      </c>
      <c r="EL124" s="1596" t="e">
        <f aca="false">EB124-EG124</f>
        <v>#VALUE!</v>
      </c>
      <c r="EM124" s="1596" t="e">
        <f aca="false">EC124-EH124</f>
        <v>#VALUE!</v>
      </c>
      <c r="EN124" s="1597" t="e">
        <f aca="false">ED124-EI124</f>
        <v>#VALUE!</v>
      </c>
      <c r="EO124" s="1551" t="e">
        <f aca="false">DH124*BH124</f>
        <v>#VALUE!</v>
      </c>
      <c r="EP124" s="1551" t="e">
        <f aca="false">DI124*BI124</f>
        <v>#VALUE!</v>
      </c>
      <c r="EQ124" s="1551" t="e">
        <f aca="false">DW124*BJ124</f>
        <v>#VALUE!</v>
      </c>
      <c r="ER124" s="1551" t="e">
        <f aca="false">DX124*BK124</f>
        <v>#VALUE!</v>
      </c>
      <c r="ES124" s="1551" t="e">
        <f aca="false">DY124*BS124</f>
        <v>#VALUE!</v>
      </c>
      <c r="ET124" s="1566" t="e">
        <f aca="false">IF(EI124,IF(OCallPut,IF(CA124&gt;(CT124+CW124),CA124-(CT124+CW124),0),IF((CT124+CW124)&gt;CA124,(CT124+CW124)-CA124,0))*BH124,0)</f>
        <v>#VALUE!</v>
      </c>
      <c r="EU124" s="1551" t="e">
        <f aca="false">IF(EI124,IF(OCallPut,IF(CB124&gt;(CT124+CX124),CB124-(CT124+CX124),0),IF((CT124+CX124)&gt;CB124,(CT124+CX124)-CB124,0))*BI124,0)</f>
        <v>#VALUE!</v>
      </c>
      <c r="EV124" s="1551" t="e">
        <f aca="false">IF(EI124,IF(OCallPut,IF(CC124&gt;(CT124+CY124),CC124-(CT124+CY124),0),IF((CT124+CY124)&gt;CC124,(CT124+CY124)-CC124,0))*BJ124,0)</f>
        <v>#VALUE!</v>
      </c>
      <c r="EW124" s="1551" t="e">
        <f aca="false">IF(EI124,IF(OCallPut,IF(CD124&gt;(CT124+CZ124),CD124-(CT124+CZ124),0),IF((CT124+CZ124)&gt;CD124,(CT124+CZ124)-CD124,0))*BK124,0)</f>
        <v>#VALUE!</v>
      </c>
      <c r="EX124" s="1558" t="e">
        <f aca="false">IF(EI124,SUM(ET124:EW124),0)</f>
        <v>#VALUE!</v>
      </c>
      <c r="EY124" s="1551" t="e">
        <f aca="false">EO124-ET124</f>
        <v>#VALUE!</v>
      </c>
      <c r="EZ124" s="1551" t="e">
        <f aca="false">EP124-EU124</f>
        <v>#VALUE!</v>
      </c>
      <c r="FA124" s="1551" t="e">
        <f aca="false">EQ124-EV124</f>
        <v>#VALUE!</v>
      </c>
      <c r="FB124" s="1551" t="e">
        <f aca="false">ER124-EW124</f>
        <v>#VALUE!</v>
      </c>
      <c r="FC124" s="1551" t="e">
        <f aca="false">ES124-EX124</f>
        <v>#VALUE!</v>
      </c>
      <c r="FD124" s="1525" t="n">
        <f aca="false">IF(AX124,IF(VLOOKUP(C124,MAIN!$L$17:$M$28,2)="Yes",VLOOKUP(CALC!B124,MAIN!$H$17:$I$20,2),0),0)</f>
        <v>0</v>
      </c>
      <c r="FE124" s="1552" t="e">
        <f aca="false">$FD124*16*AT124*(1-$AY124)</f>
        <v>#VALUE!</v>
      </c>
      <c r="FF124" s="1553" t="e">
        <f aca="false">$FD124*16*AU124*(1-$AY124)</f>
        <v>#VALUE!</v>
      </c>
      <c r="FG124" s="1553" t="e">
        <f aca="false">$FD124*16*(AV124+AW124)*(1-$AY124)</f>
        <v>#VALUE!</v>
      </c>
      <c r="FH124" s="1554" t="n">
        <f aca="false">$FD124*8*AX124*(1-$AY124)</f>
        <v>0</v>
      </c>
      <c r="FI124" s="1555" t="n">
        <f aca="false">IF(AX124,VLOOKUP(CALC!B124,MAIN!$H$17:$K$20,4),0)</f>
        <v>0</v>
      </c>
      <c r="FJ124" s="1553" t="e">
        <f aca="false">SUM(FE124:FH124)</f>
        <v>#VALUE!</v>
      </c>
      <c r="FK124" s="1556" t="e">
        <f aca="false">FI124*FJ124</f>
        <v>#VALUE!</v>
      </c>
      <c r="FL124" s="1551" t="e">
        <f aca="false">IF($EI124&gt;0,MIN(FE124,AZ124*(1+VLOOKUP($C124,WeatherCapacityAdjustment,2))),0)</f>
        <v>#VALUE!</v>
      </c>
      <c r="FM124" s="1551" t="e">
        <f aca="false">IF($EI124&gt;0,MIN(FF124,BA124*(1+VLOOKUP($C124,WeatherCapacityAdjustment,2))),0)</f>
        <v>#VALUE!</v>
      </c>
      <c r="FN124" s="1551" t="e">
        <f aca="false">IF($EI124&gt;0,MIN(FG124,BB124*(1+VLOOKUP($C124,WeatherCapacityAdjustment,2))),0)</f>
        <v>#VALUE!</v>
      </c>
      <c r="FO124" s="1564" t="e">
        <f aca="false">IF($EI124&gt;0,MIN(FH124,BC124*(1+VLOOKUP($C124,WeatherCapacityAdjustment,3))),0)</f>
        <v>#VALUE!</v>
      </c>
      <c r="FP124" s="1551" t="e">
        <f aca="false">IF(ET124&gt;0,MIN(FE124-FL124,BH124*(1+VLOOKUP($C124,WeatherCapacityAdjustment,2))),0)</f>
        <v>#VALUE!</v>
      </c>
      <c r="FQ124" s="1551" t="e">
        <f aca="false">IF(EU124&gt;0,MIN(FF124-FM124,BI124*(1+VLOOKUP($C124,WeatherCapacityAdjustment,2))),0)</f>
        <v>#VALUE!</v>
      </c>
      <c r="FR124" s="1551" t="e">
        <f aca="false">IF(EV124&gt;0,MIN(FG124-FN124,BJ124*(1+VLOOKUP($C124,WeatherCapacityAdjustment,2))),0)</f>
        <v>#VALUE!</v>
      </c>
      <c r="FS124" s="1558" t="e">
        <f aca="false">IF(EW124&gt;0,MIN(FH124-FO124,BK124*(1+VLOOKUP($C124,WeatherCapacityAdjustment,3))),0)</f>
        <v>#VALUE!</v>
      </c>
      <c r="FT124" s="1566" t="e">
        <f aca="false">IF(AND(Assumptions!$H$71="Yes",A124&gt;=Assumptions!$H$72,A124&lt;=Assumptions!$H$73),0,IF(AND($A124&gt;=Assumptions!$C$17,$A124&lt;=Assumptions!$C$18),MAX(AZ124*(1+VLOOKUP($C124,WeatherCapacityAdjustment,2))-FL124,0),0))</f>
        <v>#VALUE!</v>
      </c>
      <c r="FU124" s="1551" t="e">
        <f aca="false">IF(AND(Assumptions!$H$71="Yes",A124&gt;=Assumptions!$H$72,A124&lt;=Assumptions!$H$73),0,IF(AND($A124&gt;=Assumptions!$C$17,$A124&lt;=Assumptions!$C$18),MAX(BA124*(1+VLOOKUP($C124,WeatherCapacityAdjustment,2))-FM124,0),0))</f>
        <v>#VALUE!</v>
      </c>
      <c r="FV124" s="1551" t="e">
        <f aca="false">IF(AND(Assumptions!$H$71="Yes",A124&gt;=Assumptions!$H$72,A124&lt;=Assumptions!$H$73),0,IF(AND($A124&gt;=Assumptions!$C$17,$A124&lt;=Assumptions!$C$18),MAX(BB124*(1+VLOOKUP($C124,WeatherCapacityAdjustment,2))-FN124,0),0))</f>
        <v>#VALUE!</v>
      </c>
      <c r="FW124" s="1564" t="e">
        <f aca="false">IF(AND(Assumptions!$H$71="Yes",A124&gt;=Assumptions!$H$72,A124&lt;=Assumptions!$H$73),0,IF(AND($A124&gt;=Assumptions!$C$17,$A124&lt;=Assumptions!$C$18),MAX(BC124*(1+VLOOKUP($C124,WeatherCapacityAdjustment,3))-FO124,0),0))</f>
        <v>#VALUE!</v>
      </c>
      <c r="FX124" s="1569" t="e">
        <f aca="false">IF(AND(Assumptions!$H$71="Yes",A124&gt;=Assumptions!$H$72,A124&lt;=Assumptions!$H$73),0,IF(ET124&gt;0,MAX(BH124*(1+VLOOKUP($C124,WeatherCapacityAdjustment,2))-FP124,0),0))</f>
        <v>#VALUE!</v>
      </c>
      <c r="FY124" s="1551" t="e">
        <f aca="false">IF(AND(Assumptions!$H$71="Yes",A124&gt;=Assumptions!$H$72,A124&lt;=Assumptions!$H$73),0,IF(EU124&gt;0,MAX(BI124*(1+VLOOKUP($C124,WeatherCapacityAdjustment,3))-FQ124,0),0))</f>
        <v>#VALUE!</v>
      </c>
      <c r="FZ124" s="1551" t="e">
        <f aca="false">IF(AND(Assumptions!$H$71="Yes",A124&gt;=Assumptions!$H$72,A124&lt;=Assumptions!$H$73),0,IF(EV124&gt;0,MAX(BJ124*(1+VLOOKUP($C124,WeatherCapacityAdjustment,2))-FR124,0),0))</f>
        <v>#VALUE!</v>
      </c>
      <c r="GA124" s="1564" t="e">
        <f aca="false">IF(AND(Assumptions!$H$71="Yes",A124&gt;=Assumptions!$H$72,A124&lt;=Assumptions!$H$73),0,IF(EW124&gt;0,MAX(BK124*(1+VLOOKUP($C124,WeatherCapacityAdjustment,2))-FS124,0),0))</f>
        <v>#VALUE!</v>
      </c>
      <c r="GB124" s="1551" t="e">
        <f aca="false">SUM(FT124:GA124)</f>
        <v>#VALUE!</v>
      </c>
      <c r="GC124" s="1563" t="e">
        <f aca="false">+IF(SUM(FT124:GA124)=0,0,(SUMPRODUCT(BU124:BX124,FT124:FW124)+SUMPRODUCT(CA124:CD124,FX124:GA124))/SUM(FT124:GA124))</f>
        <v>#VALUE!</v>
      </c>
      <c r="GD124" s="1551" t="e">
        <f aca="false">(FT124*BU124+FX124*CA124+FU124*BV124+FY124*CB124+FV124*BW124+FZ124*CC124+FW124*BX124+GA124*CD124)</f>
        <v>#VALUE!</v>
      </c>
      <c r="GE124" s="1561" t="e">
        <f aca="false">+IF(BQ124,((FL124+FM124+FT124+FU124)*HeatRatePeak/1000*(1+VLOOKUP($C124,WeatherHeatRateAdjustment,2))+(FN124+FV124)*IF(EV124&gt;0,HeatRatePeak,HeatRateOffPeak)/1000*(1+VLOOKUP($C124,WeatherHeatRateAdjustment,2))+(FO124+FW124)*IF(EW124&gt;0,HeatRatePeak,HeatRateOffPeak)/1000*(1+VLOOKUP($C124,WeatherHeatRateAdjustment,3)))*(1+VLOOKUP($B124,HeatRateDegradation,$C124+1)),0)</f>
        <v>#VALUE!</v>
      </c>
      <c r="GF124" s="1562" t="e">
        <f aca="false">IF(BQ124,((FP124+FQ124+FR124+FX124+FY124+FZ124)*HeatRatePeak/1000*(1+VLOOKUP($C124,WeatherHeatRateAdjustment,2))+(FS124+GA124)*HeatRatePeak/1000*(1+VLOOKUP($C124,WeatherHeatRateAdjustment,3)))*(1+VLOOKUP($B124,HeatRateDegradation,$C124+1)),0)</f>
        <v>#VALUE!</v>
      </c>
      <c r="GG124" s="1563" t="e">
        <f aca="false">IF(BQ124,VLOOKUP(A124,GasTable,13),0)</f>
        <v>#VALUE!</v>
      </c>
      <c r="GH124" s="1564" t="e">
        <f aca="false">(GE124+GF124)*GG124</f>
        <v>#VALUE!</v>
      </c>
      <c r="GI124" s="1569" t="e">
        <f aca="false">GB124</f>
        <v>#VALUE!</v>
      </c>
      <c r="GJ124" s="1598" t="e">
        <f aca="false">+DA124</f>
        <v>#VALUE!</v>
      </c>
      <c r="GK124" s="1558" t="e">
        <f aca="false">+GI124*GJ124</f>
        <v>#VALUE!</v>
      </c>
      <c r="GL124" s="1566" t="e">
        <f aca="false">MAX(FE124-FL124-FP124,0)</f>
        <v>#VALUE!</v>
      </c>
      <c r="GM124" s="1551" t="e">
        <f aca="false">MAX(FF124-FM124-FQ124,0)</f>
        <v>#VALUE!</v>
      </c>
      <c r="GN124" s="1551" t="e">
        <f aca="false">MAX(FG124-FN124-FR124,0)</f>
        <v>#VALUE!</v>
      </c>
      <c r="GO124" s="1564" t="e">
        <f aca="false">MAX(FH124-FO124-FS124,0)</f>
        <v>#VALUE!</v>
      </c>
      <c r="GP124" s="1551" t="e">
        <f aca="false">SUM(GL124:GO124)</f>
        <v>#VALUE!</v>
      </c>
      <c r="GQ124" s="1563" t="e">
        <f aca="false">IF(SUM(GL124:GO124)=0,0,((GL124*BU124+GM124*BV124+GN124*BW124+GO124*BX124)/SUM(GL124:GO124)))</f>
        <v>#VALUE!</v>
      </c>
      <c r="GR124" s="1558" t="e">
        <f aca="false">(GL124*BU124+GM124*BV124+GN124*BW124+GO124*BX124)</f>
        <v>#VALUE!</v>
      </c>
      <c r="GS124" s="1566" t="n">
        <f aca="false">IF($A124&gt;=BegDate,Assumptions!$C$56*24*($A125-$A124)*(1-VLOOKUP($B124,MAIN!$AA$7:$AM$28,$C124+1))*(1-VLOOKUP($B124,MAIN!$AA$33:$AM$54,$C124+1)),0)*80/168</f>
        <v>74828.5714285714</v>
      </c>
      <c r="GT124" s="286" t="n">
        <f aca="false">J124</f>
        <v>36.1115145997761</v>
      </c>
      <c r="GU124" s="286" t="n">
        <f aca="false">IF($A124&gt;=BegDate,VLOOKUP($A124,GasTable,13)+Assumptions!$C$58,0)</f>
        <v>2.66175877165198</v>
      </c>
      <c r="GV124" s="286" t="n">
        <f aca="false">GU124*Assumptions!$C$57/1000</f>
        <v>19.2977510944768</v>
      </c>
      <c r="GW124" s="1558" t="n">
        <f aca="false">IF(Assumptions!$C$60="Hourly",MAX(0,GS124*(GT124-GV124)),GS124*(GT124-GV124))</f>
        <v>1258149.90343939</v>
      </c>
      <c r="GX124" s="1566" t="n">
        <f aca="false">IF($A124&gt;=BegDate,Assumptions!$C$56*24*($A125-$A124)*(1-VLOOKUP($B124,MAIN!$AA$7:$AM$28,$C124+1))*(1-VLOOKUP($B124,MAIN!$AA$33:$AM$54,$C124+1)),0)*16/168</f>
        <v>14965.7142857143</v>
      </c>
      <c r="GY124" s="286" t="n">
        <f aca="false">M124</f>
        <v>36.1115145997761</v>
      </c>
      <c r="GZ124" s="286" t="n">
        <f aca="false">IF($A124&gt;=BegDate,VLOOKUP($A124,GasTable,13)+Assumptions!$C$58,0)</f>
        <v>2.66175877165198</v>
      </c>
      <c r="HA124" s="286" t="n">
        <f aca="false">GZ124*Assumptions!$C$57/1000</f>
        <v>19.2977510944768</v>
      </c>
      <c r="HB124" s="1558" t="n">
        <f aca="false">IF(Assumptions!$C$60="Hourly",MAX(0,GX124*(GY124-HA124)),GX124*(GY124-HA124))</f>
        <v>251629.980687878</v>
      </c>
      <c r="HC124" s="1566" t="n">
        <f aca="false">IF($A124&gt;=BegDate,Assumptions!$C$56*24*($A125-$A124)*(1-VLOOKUP($B124,MAIN!$AA$7:$AM$28,$C124+1))*(1-VLOOKUP($B124,MAIN!$AA$33:$AM$54,$C124+1)),0)*16/168</f>
        <v>14965.7142857143</v>
      </c>
      <c r="HD124" s="286" t="n">
        <f aca="false">P124</f>
        <v>23.5175096023773</v>
      </c>
      <c r="HE124" s="286" t="n">
        <f aca="false">IF($A124&gt;=BegDate,VLOOKUP($A124,GasTable,13)+Assumptions!$C$58,0)</f>
        <v>2.66175877165198</v>
      </c>
      <c r="HF124" s="286" t="n">
        <f aca="false">HE124*Assumptions!$C$57/1000</f>
        <v>19.2977510944768</v>
      </c>
      <c r="HG124" s="1558" t="n">
        <f aca="false">IF(Assumptions!$C$60="Hourly",MAX(0,HC124*(HD124-HF124)),HC124*(HD124-HF124))</f>
        <v>63151.70018395</v>
      </c>
      <c r="HH124" s="1566" t="n">
        <f aca="false">IF($A124&gt;=BegDate,Assumptions!$C$56*24*($A125-$A124)*(1-VLOOKUP($B124,MAIN!$AA$7:$AM$28,$C124+1))*(1-VLOOKUP($B124,MAIN!$AA$33:$AM$54,$C124+1)),0)*56/168</f>
        <v>52380</v>
      </c>
      <c r="HI124" s="286" t="n">
        <f aca="false">S124</f>
        <v>23.5175096023773</v>
      </c>
      <c r="HJ124" s="286" t="n">
        <f aca="false">IF($A124&gt;=BegDate,VLOOKUP($A124,GasTable,13)+Assumptions!$C$58,0)</f>
        <v>2.66175877165198</v>
      </c>
      <c r="HK124" s="286" t="n">
        <f aca="false">HJ124*Assumptions!$C$57/1000</f>
        <v>19.2977510944768</v>
      </c>
      <c r="HL124" s="1558" t="n">
        <f aca="false">IF(Assumptions!$C$60="Hourly",MAX(0,HH124*(HI124-HK124)),HH124*(HI124-HK124))</f>
        <v>221030.950643825</v>
      </c>
      <c r="HM124" s="1566" t="n">
        <f aca="false">IF(AND(Assumptions!$H$71="Yes",A124&gt;=Assumptions!$H$72,A124&lt;=Assumptions!$H$73),Assumptions!$H$74*Assumptions!$C$9*1000,0)</f>
        <v>0</v>
      </c>
      <c r="HN124" s="1551"/>
      <c r="HO124" s="1563"/>
      <c r="HP124" s="1563"/>
      <c r="HQ124" s="1563"/>
      <c r="HR124" s="1563"/>
      <c r="HS124" s="1563"/>
      <c r="HT124" s="1563"/>
      <c r="HU124" s="1563"/>
      <c r="HV124" s="1563"/>
      <c r="HW124" s="1563"/>
      <c r="HX124" s="1563"/>
      <c r="HY124" s="1563"/>
      <c r="HZ124" s="1563"/>
      <c r="IA124" s="1563"/>
      <c r="IB124" s="1563"/>
      <c r="IC124" s="1563"/>
      <c r="ID124" s="1563"/>
      <c r="IE124" s="1563"/>
      <c r="IF124" s="1563"/>
      <c r="IG124" s="1563"/>
      <c r="IH124" s="1563"/>
      <c r="II124" s="1610"/>
      <c r="IJ124" s="1309"/>
      <c r="IK124" s="1309"/>
    </row>
    <row r="125" customFormat="false" ht="12.75" hidden="false" customHeight="false" outlineLevel="0" collapsed="false">
      <c r="A125" s="1571" t="n">
        <f aca="false">EOMONTH(A124,0)+1</f>
        <v>39934</v>
      </c>
      <c r="B125" s="594" t="n">
        <f aca="false">+YEAR(A125)</f>
        <v>2009</v>
      </c>
      <c r="C125" s="238" t="n">
        <f aca="false">MONTH(A125)</f>
        <v>5</v>
      </c>
      <c r="D125" s="1572" t="e">
        <f aca="false">IF(E125="","",Holiday(B125,C125))</f>
        <v>#VALUE!</v>
      </c>
      <c r="E125" s="1573" t="n">
        <f aca="false">IF(OR(BegDate&gt;=A126,EndDate&lt;A125,AND(VolumeMonthlyOverFlag,INDEX(VolumeMonthlyOver,C125)=0),NOT(INDEX(MonthKnockOutTable,C125))),"",MAX(A125,BegDate))</f>
        <v>39934</v>
      </c>
      <c r="F125" s="1574" t="n">
        <f aca="false">IF(E125="","",MIN(A126-1,EndDate))</f>
        <v>39964</v>
      </c>
      <c r="G125" s="1575" t="n">
        <v>0</v>
      </c>
      <c r="H125" s="1576" t="n">
        <f aca="false">(1+G125/2)^(-2*(DATE(B126,C126,20)-DateToday)/365.25)</f>
        <v>1</v>
      </c>
      <c r="I125" s="1568" t="n">
        <f aca="false">IF(Assumptions!$L$25=4,VLOOKUP($A125,'Henwood Reference'!$E$9:$R$320,10),(VLOOKUP($A125,PriceTable,2,0)+IF(BasisNumber&lt;&gt;1,VLOOKUP($A125,BasisTable,2,0),0)+I$1)/(1-I$2))</f>
        <v>36.8037122155221</v>
      </c>
      <c r="J125" s="1568" t="n">
        <f aca="false">IF(Assumptions!$L$25=4,VLOOKUP($A125,'Henwood Reference'!$E$9:$R$320,10),(VLOOKUP($A125,PriceTable,3,0)+IF(BasisNumber&lt;&gt;1,VLOOKUP($A125,BasisTable,2,0),0)+J$1)/(1-J$2))</f>
        <v>36.8037122155221</v>
      </c>
      <c r="K125" s="1568" t="n">
        <f aca="false">IF(Assumptions!$L$25=4,VLOOKUP($A125,'Henwood Reference'!$E$9:$R$320,10),(VLOOKUP($A125,PriceTable,4,0)+IF(BasisNumber&lt;&gt;1,VLOOKUP($A125,BasisTable,2,0),0)+K$1)/(1-K$2))</f>
        <v>36.8037122155221</v>
      </c>
      <c r="L125" s="1523" t="n">
        <f aca="false">IF(Assumptions!$L$25=4,VLOOKUP($A125,'Henwood Reference'!$E$9:$R$320,10),(VLOOKUP($A125,PriceTableWeekend,2,0)+IF(BasisNumber&lt;&gt;1,VLOOKUP($A125,BasisTable,2,0),0)+L$1)/(1-L$2))</f>
        <v>36.8037122155221</v>
      </c>
      <c r="M125" s="1568" t="n">
        <f aca="false">IF(Assumptions!$L$25=4,VLOOKUP($A125,'Henwood Reference'!$E$9:$R$320,10),(VLOOKUP($A125,PriceTableWeekend,3,0)+IF(BasisNumber&lt;&gt;1,VLOOKUP($A125,BasisTable,2,0),0)+M$1)/(1-M$2))</f>
        <v>36.8037122155221</v>
      </c>
      <c r="N125" s="1599" t="n">
        <f aca="false">IF(Assumptions!$L$25=4,VLOOKUP($A125,'Henwood Reference'!$E$9:$R$320,10),(VLOOKUP($A125,PriceTableWeekend,4,0)+IF(BasisNumber&lt;&gt;1,VLOOKUP($A125,BasisTable,2,0),0)+N$1)/(1-N$2))</f>
        <v>36.8037122155221</v>
      </c>
      <c r="O125" s="1568" t="n">
        <f aca="false">IF(Assumptions!$L$25=4,VLOOKUP($A125,'Henwood Reference'!$E$9:$R$320,11),(VLOOKUP($A125,PriceTableWeekend,6,0)+IF(BasisNumber&lt;&gt;1,VLOOKUP($A125,BasisTable,3,0),0)+O$1)/(1-O$2))</f>
        <v>23.1252802213554</v>
      </c>
      <c r="P125" s="1568" t="n">
        <f aca="false">IF(Assumptions!$L$25=4,VLOOKUP($A125,'Henwood Reference'!$E$9:$R$320,11),(VLOOKUP($A125,PriceTableWeekend,7,0)+IF(BasisNumber&lt;&gt;1,VLOOKUP($A125,BasisTable,3,0),0)+P$1)/(1-P$2))</f>
        <v>23.1252802213554</v>
      </c>
      <c r="Q125" s="1599" t="n">
        <f aca="false">IF(Assumptions!$L$25=4,VLOOKUP($A125,'Henwood Reference'!$E$9:$R$320,11),(VLOOKUP($A125,PriceTableWeekend,8,0)+IF(BasisNumber&lt;&gt;1,VLOOKUP($A125,BasisTable,3,0),0)+Q$1)/(1-Q$2))</f>
        <v>23.1252802213554</v>
      </c>
      <c r="R125" s="1568" t="n">
        <f aca="false">IF(Assumptions!$L$25=4,VLOOKUP($A125,'Henwood Reference'!$E$9:$R$320,11),(VLOOKUP($A125,PriceTable,6,0)+IF(BasisNumber&lt;&gt;1,VLOOKUP($A125,BasisTable,3,0),0)+R$1)/(1-R$2))</f>
        <v>23.1252802213554</v>
      </c>
      <c r="S125" s="1568" t="n">
        <f aca="false">IF(Assumptions!$L$25=4,VLOOKUP($A125,'Henwood Reference'!$E$9:$R$320,11),(VLOOKUP($A125,PriceTable,7,0)+IF(BasisNumber&lt;&gt;1,VLOOKUP($A125,BasisTable,3,0),0)+S$1)/(1-S$2))</f>
        <v>23.1252802213554</v>
      </c>
      <c r="T125" s="1600" t="n">
        <f aca="false">IF(Assumptions!$L$25=4,VLOOKUP($A125,'Henwood Reference'!$E$9:$R$320,11),(VLOOKUP($A125,PriceTable,8,0)+IF(BasisNumber&lt;&gt;1,VLOOKUP($A125,BasisTable,3,0),0)+T$1)/(1-T$2))</f>
        <v>23.1252802213554</v>
      </c>
      <c r="U125" s="1513" t="n">
        <f aca="false">VLOOKUP($A125,VolatilityTable,14)</f>
        <v>0.125</v>
      </c>
      <c r="V125" s="1513" t="n">
        <f aca="false">VLOOKUP($A125,VolatilityTable,15)</f>
        <v>0.135</v>
      </c>
      <c r="W125" s="1514" t="n">
        <f aca="false">VLOOKUP($A125,VolatilityTable,16)</f>
        <v>0.145</v>
      </c>
      <c r="X125" s="1513" t="n">
        <f aca="false">VLOOKUP($A125,VolatilityTable,14)</f>
        <v>0.125</v>
      </c>
      <c r="Y125" s="1513" t="n">
        <f aca="false">VLOOKUP($A125,VolatilityTable,15)</f>
        <v>0.135</v>
      </c>
      <c r="Z125" s="1514" t="n">
        <f aca="false">VLOOKUP($A125,VolatilityTable,16)</f>
        <v>0.145</v>
      </c>
      <c r="AA125" s="1513" t="n">
        <f aca="false">VLOOKUP($A125,VolatilityTable,18)</f>
        <v>0.09</v>
      </c>
      <c r="AB125" s="1513" t="n">
        <f aca="false">VLOOKUP($A125,VolatilityTable,19)</f>
        <v>0.11</v>
      </c>
      <c r="AC125" s="1514" t="n">
        <f aca="false">VLOOKUP($A125,VolatilityTable,20)</f>
        <v>0.13</v>
      </c>
      <c r="AD125" s="1513" t="n">
        <f aca="false">VLOOKUP($A125,VolatilityTable,18)</f>
        <v>0.09</v>
      </c>
      <c r="AE125" s="1513" t="n">
        <f aca="false">VLOOKUP($A125,VolatilityTable,19)</f>
        <v>0.11</v>
      </c>
      <c r="AF125" s="1514" t="n">
        <f aca="false">VLOOKUP($A125,VolatilityTable,20)</f>
        <v>0.13</v>
      </c>
      <c r="AG125" s="1513" t="n">
        <f aca="false">VLOOKUP($A125,VolatilityTable,22)</f>
        <v>-0.1</v>
      </c>
      <c r="AH125" s="1513" t="n">
        <f aca="false">VLOOKUP($A125,VolatilityTable,23)</f>
        <v>0.65</v>
      </c>
      <c r="AI125" s="1514" t="n">
        <f aca="false">VLOOKUP($A125,VolatilityTable,24)</f>
        <v>0.1</v>
      </c>
      <c r="AJ125" s="1513" t="n">
        <f aca="false">VLOOKUP($A125,VolatilityTable,22)</f>
        <v>-0.1</v>
      </c>
      <c r="AK125" s="1513" t="n">
        <f aca="false">VLOOKUP($A125,VolatilityTable,23)</f>
        <v>0.65</v>
      </c>
      <c r="AL125" s="1514" t="n">
        <f aca="false">VLOOKUP($A125,VolatilityTable,24)</f>
        <v>0.1</v>
      </c>
      <c r="AM125" s="1513" t="n">
        <f aca="false">VLOOKUP($A125,VolatilityTable,26)</f>
        <v>-0.01</v>
      </c>
      <c r="AN125" s="1513" t="n">
        <f aca="false">VLOOKUP($A125,VolatilityTable,27)</f>
        <v>0.16</v>
      </c>
      <c r="AO125" s="1514" t="n">
        <f aca="false">VLOOKUP($A125,VolatilityTable,28)</f>
        <v>0.01</v>
      </c>
      <c r="AP125" s="1513" t="n">
        <f aca="false">VLOOKUP($A125,VolatilityTable,26)</f>
        <v>-0.01</v>
      </c>
      <c r="AQ125" s="1513" t="n">
        <f aca="false">VLOOKUP($A125,VolatilityTable,27)</f>
        <v>0.16</v>
      </c>
      <c r="AR125" s="1515" t="n">
        <f aca="false">VLOOKUP($A125,VolatilityTable,28)</f>
        <v>0.01</v>
      </c>
      <c r="AS125" s="1581" t="n">
        <f aca="false">IF(CorrPeakOffPeakOverFlag,INDEX(CorrPeakOffPeakOver,C125),CorrPeakOffPeak)</f>
        <v>0.5</v>
      </c>
      <c r="AT125" s="594" t="e">
        <f aca="false">AX125-SUM(AU125:AW125)</f>
        <v>#VALUE!</v>
      </c>
      <c r="AU125" s="238" t="e">
        <f aca="false">IF(E125="",0,INT((F125-MOD(F125,7)-E125)/7)+1-IF(AW125,IF(WEEKDAY(D125)=7,1,0),0))</f>
        <v>#VALUE!</v>
      </c>
      <c r="AV125" s="238" t="e">
        <f aca="false">IF(E125="",0,INT((F125-MOD(F125-1,7)-E125)/7)+1-IF(AW125,IF(WEEKDAY(D125)=1,1,0),0))</f>
        <v>#VALUE!</v>
      </c>
      <c r="AW125" s="238" t="e">
        <f aca="false">IF(OR(E125="",D125="",D125&lt;BegDate,D125&gt;EndDate),0,1)</f>
        <v>#VALUE!</v>
      </c>
      <c r="AX125" s="238" t="n">
        <f aca="false">IF(E125="",0,F125-E125+1)</f>
        <v>31</v>
      </c>
      <c r="AY125" s="1582" t="n">
        <f aca="false">IF(E125="",0,MIN((1-(1-VLOOKUP(B125,MAIN!$AA$7:$AM$28,C125+1))*(1-VLOOKUP(B125,MAIN!$AA$33:$AM$54,C125+1))),1))</f>
        <v>0.03</v>
      </c>
      <c r="AZ125" s="1519" t="e">
        <v>#VALUE!</v>
      </c>
      <c r="BA125" s="1520" t="e">
        <v>#VALUE!</v>
      </c>
      <c r="BB125" s="1520" t="e">
        <v>#VALUE!</v>
      </c>
      <c r="BC125" s="1583" t="e">
        <v>#VALUE!</v>
      </c>
      <c r="BD125" s="1522" t="e">
        <v>#VALUE!</v>
      </c>
      <c r="BE125" s="1523" t="e">
        <v>#VALUE!</v>
      </c>
      <c r="BF125" s="1523" t="e">
        <v>#VALUE!</v>
      </c>
      <c r="BG125" s="1584" t="e">
        <v>#VALUE!</v>
      </c>
      <c r="BH125" s="1525" t="e">
        <v>#VALUE!</v>
      </c>
      <c r="BI125" s="1520" t="e">
        <v>#VALUE!</v>
      </c>
      <c r="BJ125" s="1520" t="e">
        <v>#VALUE!</v>
      </c>
      <c r="BK125" s="1583" t="e">
        <v>#VALUE!</v>
      </c>
      <c r="BL125" s="1522" t="e">
        <v>#VALUE!</v>
      </c>
      <c r="BM125" s="1523" t="e">
        <v>#VALUE!</v>
      </c>
      <c r="BN125" s="1523" t="e">
        <v>#VALUE!</v>
      </c>
      <c r="BO125" s="1523" t="e">
        <v>#VALUE!</v>
      </c>
      <c r="BP125" s="1525" t="e">
        <f aca="false">SUM(AZ125:BB125)</f>
        <v>#VALUE!</v>
      </c>
      <c r="BQ125" s="1529" t="e">
        <f aca="false">SUM(AZ125:BC125)</f>
        <v>#VALUE!</v>
      </c>
      <c r="BR125" s="1519" t="e">
        <f aca="false">SUM(BH125:BJ125)</f>
        <v>#VALUE!</v>
      </c>
      <c r="BS125" s="1529" t="e">
        <f aca="false">SUM(BH125:BK125)</f>
        <v>#VALUE!</v>
      </c>
      <c r="BT125" s="1316" t="n">
        <f aca="false">(IF(OVolType&lt;&gt;2,A125+14,IF(OptExpDateShift,ShiftBack(A125,OptExpDateShift,D124),A125))-DateToday)/365.25</f>
        <v>9.04585900068446</v>
      </c>
      <c r="BU125" s="1585" t="e">
        <f aca="false">IF(BQ125,IF(OPriceCurve,IF(OBuySell=OCallPut,I125/(1-AY125),K125/(1-AY125)),J125/(1-AY125))*BD125,0)</f>
        <v>#VALUE!</v>
      </c>
      <c r="BV125" s="1316" t="e">
        <f aca="false">IF(BQ125,IF(OPriceCurve,IF(OBuySell=OCallPut,L125/(1-AY125),N125/(1-AY125)),M125/(1-AY125))*BE125,0)</f>
        <v>#VALUE!</v>
      </c>
      <c r="BW125" s="1316" t="e">
        <f aca="false">IF(BQ125,IF(OPriceCurve,IF(OBuySell=OCallPut,O125/(1-AY125),Q125/(1-AY125)),P125/(1-AY125))*BF125,0)</f>
        <v>#VALUE!</v>
      </c>
      <c r="BX125" s="1316" t="e">
        <f aca="false">IF(BQ125,IF(OPriceCurve,IF(OBuySell=OCallPut,R125/(1-AY125),T125/(1-AY125)),S125/(1-AY125))*BG125,0)</f>
        <v>#VALUE!</v>
      </c>
      <c r="BY125" s="1316" t="e">
        <f aca="false">IF(BP125,(BU125*AZ125+BV125*BA125+BW125*BB125)/BP125,0)</f>
        <v>#VALUE!</v>
      </c>
      <c r="BZ125" s="1316" t="e">
        <f aca="false">IF(BQ125,(BY125*BP125+BX125*BC125)/BQ125,0)</f>
        <v>#VALUE!</v>
      </c>
      <c r="CA125" s="1531" t="e">
        <f aca="false">IF(BS125,IF(OPriceCurve,IF(OBuySell=OCallPut,I125/(1-AY125),K125/(1-AY125)),J125/(1-AY125))*BL125,0)</f>
        <v>#VALUE!</v>
      </c>
      <c r="CB125" s="1316" t="e">
        <f aca="false">IF(BS125,IF(OPriceCurve,IF(OBuySell=OCallPut,L125/(1-AY125),N125/(1-AY125)),M125/(1-AY125))*BM125,0)</f>
        <v>#VALUE!</v>
      </c>
      <c r="CC125" s="1316" t="e">
        <f aca="false">IF(BS125,IF(OPriceCurve,IF(OBuySell=OCallPut,O125/(1-AY125),Q125/(1-AY125)),P125/(1-AY125))*BN125,0)</f>
        <v>#VALUE!</v>
      </c>
      <c r="CD125" s="1316" t="e">
        <f aca="false">IF(BS125,IF(OPriceCurve,IF(OBuySell=OCallPut,R125/(1-AY125),T125/(1-AY125)),S125/(1-AY125))*BO125,0)</f>
        <v>#VALUE!</v>
      </c>
      <c r="CE125" s="1316" t="e">
        <f aca="false">IF(BR125,(BU125*BH125+BV125*BI125+BW125*BJ125)/BR125,0)</f>
        <v>#VALUE!</v>
      </c>
      <c r="CF125" s="1532" t="e">
        <f aca="false">IF(BS125,(CE125*BR125+CD125*BK125)/BS125,0)</f>
        <v>#VALUE!</v>
      </c>
      <c r="CG125" s="1586" t="e">
        <f aca="false">IF(OR(BQ125,BS125),IF(OVolType&lt;&gt;2,SQRT(IF(OVolOverMonthlyPeak,OVolOverMonthlyPeak,IF(OVolCurve,IF(OBuySell,U125,W125),V125))^2*(1-15/365.25/BT125)+IF(OVolOverDailyPeak,OVolOverDailyPeak,IF(OVolCurve,IF(OBuySell,AG125,AI125),AH125))^2*15/365.25/BT125),IF(OVolOverMonthlyPeak,OVolOverMonthlyPeak,IF(OVolCurve,IF(OBuySell,U125,W125),V125))),"")</f>
        <v>#VALUE!</v>
      </c>
      <c r="CH125" s="1587" t="e">
        <f aca="false">IF(OR(BQ125,BS125),IF(OVolType&lt;&gt;2,SQRT(IF(OVolOverMonthlyPeak,OVolOverMonthlyPeak,IF(OVolCurve,IF(OBuySell,X125,Z125),Y125))^2*(1-15/365.25/BT125)+IF(OVolOverDailyPeak,OVolOverDailyPeak,IF(OVolCurve,IF(OBuySell,AJ125,AL125),AK125))^2*15/365.25/BT125),IF(OVolOverMonthlyPeak,OVolOverMonthlyPeak,IF(OVolCurve,IF(OBuySell,X125,Z125),Y125))),"")</f>
        <v>#VALUE!</v>
      </c>
      <c r="CI125" s="1587" t="e">
        <f aca="false">IF(OR(BQ125,BS125),IF(OVolType&lt;&gt;2,SQRT(IF(OVolOverMonthlyPeak,OVolOverMonthlyPeak,IF(OVolCurve,IF(OBuySell,AA125,AC125),AB125))^2*(1-15/365.25/BT125)+IF(OVolOverDailyPeak,OVolOverDailyPeak,IF(OVolCurve,IF(OBuySell,AM125,AO125),AN125))^2*15/365.25/BT125),IF(OVolOverMonthlyPeak,OVolOverMonthlyPeak,IF(OVolCurve,IF(OBuySell,AA125,AC125),AB125))),"")</f>
        <v>#VALUE!</v>
      </c>
      <c r="CJ125" s="1587" t="e">
        <f aca="false">IF(BQ125,IF(BP125,SQRT(LN(1+((BU125*AZ125)^2*(EXP(CG125^2*BT125)-1)+(BV125*BA125)^2*(EXP(CH125^2*BT125)-1)+(BW125*BB125)^2*(EXP(CI125^2*BT125)-1)+2*BU125*AZ125*BV125*BA125*(EXP(CG125*CH125*BT125)-1)+2*BV125*BA125*BW125*BB125*(EXP(CH125*CI125*BT125)-1)+2*BW125*BB125*BU125*AZ125*(EXP(CI125*CG125*BT125)-1))/(BY125*BP125)^2)/BT125),0),"")</f>
        <v>#VALUE!</v>
      </c>
      <c r="CK125" s="1587" t="e">
        <f aca="false">IF(BS125,IF(BR125,SQRT(LN(1+((CA125*BH125)^2*(EXP(CG125^2*BT125)-1)+(CB125*BI125)^2*(EXP(CH125^2*BT125)-1)+(CC125*BJ125)^2*(EXP(CI125^2*BT125)-1)+2*CA125*BH125*CB125*BI125*(EXP(CG125*CH125*BT125)-1)+2*CB125*BI125*CC125*BJ125*(EXP(CH125*CI125*BT125)-1)+2*CC125*BJ125*CA125*BH125*(EXP(CI125*CG125*BT125)-1))/(CE125*BR125)^2)/BT125),0),"")</f>
        <v>#VALUE!</v>
      </c>
      <c r="CL125" s="1587" t="e">
        <f aca="false">IF(OR(BQ125,BS125),IF(OVolType&lt;&gt;2,SQRT(IF(OVolOverMonthlyOffPeak,OVolOverMonthlyOffPeak,IF(OVolCurve,IF(OBuySell,AD125,AF125),AE125))^2*(1-15/365.25/BT125)+IF(OVolOverDailyOffPeak,OVolOverDailyOffPeak,IF(OVolCurve,IF(OBuySell,AP125,AR125),AQ125))^2*15/365.25/BT125),IF(OVolOverMonthlyOffPeak,OVolOverMonthlyOffPeak,IF(OVolCurve,IF(OBuySell,AD125,AF125),AE125))),"")</f>
        <v>#VALUE!</v>
      </c>
      <c r="CM125" s="1587" t="e">
        <f aca="false">IF(BQ125,SQRT(LN(1+((BY125*BP125)^2*(EXP(CJ125^2*BT125)-1)+(BX125*BC125)^2*(EXP(CL125^2*BT125)-1)+2*BY125*BP125*BX125*BC125*(EXP(AS125*CJ125*CL125*BT125)-1))/(BY125*BP125+BX125*BC125)^2)/BT125),"")</f>
        <v>#VALUE!</v>
      </c>
      <c r="CN125" s="1588" t="e">
        <f aca="false">IF(BS125,SQRT(LN(1+((CE125*BR125)^2*(EXP(CK125^2*BT125)-1)+(CD125*BK125)^2*(EXP(CL125^2*BT125)-1)+2*CE125*BR125*CD125*BK125*(EXP(AS125*CK125*CL125*BT125)-1))/(CE125*BR125+CD125*BK125)^2)/BT125),"")</f>
        <v>#VALUE!</v>
      </c>
      <c r="CO125" s="1531" t="e">
        <f aca="false">IF(OR(BQ125,BS125),VLOOKUP(A125,GasTable,13)*HeatRatePeak*(1+VLOOKUP($B125,HeatRateDegradation,$C125+1))/1000,0)</f>
        <v>#VALUE!</v>
      </c>
      <c r="CP125" s="1316" t="e">
        <f aca="false">IF(OR(BQ125,BS125),VLOOKUP(A125,GasTable,13)*HeatRatePeak*(1+VLOOKUP($B125,HeatRateDegradation,$C125+1))/1000,0)</f>
        <v>#VALUE!</v>
      </c>
      <c r="CQ125" s="1316" t="e">
        <f aca="false">IF(OR(BQ125,BS125),VLOOKUP(A125,GasTable,13)*IF(EV125,HeatRatePeak,HeatRateOffPeak)*(1+VLOOKUP($B125,HeatRateDegradation,$C125+1))/1000,0)</f>
        <v>#VALUE!</v>
      </c>
      <c r="CR125" s="1316" t="e">
        <f aca="false">IF(OR(BQ125,BS125),VLOOKUP(A125,GasTable,13)*IF(EW125,HeatRatePeak,HeatRateOffPeak)*(1+VLOOKUP($B125,HeatRateDegradation,$C125+1))/1000,0)</f>
        <v>#VALUE!</v>
      </c>
      <c r="CS125" s="1589" t="e">
        <f aca="false">IF(BQ125,(CO125*AZ125+CP125*BA125+CQ125*BB125+CR125*BC125)/BQ125,0)</f>
        <v>#VALUE!</v>
      </c>
      <c r="CT125" s="1316" t="e">
        <f aca="false">IF(BS125,CO125,0)</f>
        <v>#VALUE!</v>
      </c>
      <c r="CU125" s="1590" t="e">
        <f aca="false">IF(OR(BQ125,BS125),VLOOKUP(A125,GasTable,14),"")</f>
        <v>#VALUE!</v>
      </c>
      <c r="CV125" s="1568" t="e">
        <f aca="false">IF(OR(BQ125,BS125),IF(CorrPowerGasOverFlag,INDEX(CorrPowerGasOver,C125),CorrPowerGas),"")</f>
        <v>#VALUE!</v>
      </c>
      <c r="CW125" s="1316" t="e">
        <f aca="false">IF(OR($BQ125,$BS125),SpreadOptPowerMargin,0)*((1+Assumptions!$C$26)^($B125-YEAR(Assumptions!$C$17)))</f>
        <v>#VALUE!</v>
      </c>
      <c r="CX125" s="1316" t="e">
        <f aca="false">IF(OR($BQ125,$BS125),SpreadOptPowerMargin,0)*((1+Assumptions!$C$26)^($B125-YEAR(Assumptions!$C$17)))</f>
        <v>#VALUE!</v>
      </c>
      <c r="CY125" s="1316" t="e">
        <f aca="false">IF(OR($BQ125,$BS125),SpreadOptPowerMargin,0)*((1+Assumptions!$C$26)^($B125-YEAR(Assumptions!$C$17)))</f>
        <v>#VALUE!</v>
      </c>
      <c r="CZ125" s="1316" t="e">
        <f aca="false">IF(OR($BQ125,$BS125),SpreadOptPowerMargin,0)*((1+Assumptions!$C$26)^($B125-YEAR(Assumptions!$C$17)))</f>
        <v>#VALUE!</v>
      </c>
      <c r="DA125" s="1591" t="e">
        <f aca="false">IF(OR(BQ125,BS125),(CW125*(AZ125+BH125)+CX125*(BA125+BI125)+CY125*(BB125+BJ125)+CZ125*(BC125+BK125))/(BQ125+BS125),0)</f>
        <v>#VALUE!</v>
      </c>
      <c r="DB125" s="1592" t="e">
        <f aca="false">IF(OR(BQ125,BS125),CG125+IF(OVolSmile,VLOOKUP(MAX(-5,CO125+CW125-BU125),IF(OVolSmile=1,VolSmileBook,VolSmileModel),2),0),"")</f>
        <v>#VALUE!</v>
      </c>
      <c r="DC125" s="1592" t="e">
        <f aca="false">IF(OR(BQ125,BS125),CH125+IF(OVolSmile,VLOOKUP(MAX(-5,CP125+CW125-BV125),IF(OVolSmile=1,VolSmileBook,VolSmileModel),2),0),"")</f>
        <v>#VALUE!</v>
      </c>
      <c r="DD125" s="1592" t="e">
        <f aca="false">IF(OR(BQ125,BS125),CI125+IF(OVolSmile,VLOOKUP(MAX(-5,CQ125+CW125-BW125),IF(OVolSmile=1,VolSmileBook,VolSmileModel),2),0),"")</f>
        <v>#VALUE!</v>
      </c>
      <c r="DE125" s="1592" t="e">
        <f aca="false">IF(OR(BQ125,BS125),CL125+IF(OVolSmile,VLOOKUP(MAX(-5,CR125+CZ125-BX125),IF(OVolSmile=1,VolSmileBook,VolSmileModel),2),0),"")</f>
        <v>#VALUE!</v>
      </c>
      <c r="DF125" s="1592" t="e">
        <f aca="false">IF(BQ125,CM125+IF(OVolSmile,VLOOKUP(MAX(-5,CS125+DA125-BZ125),IF(OVolSmile=1,VolSmileBook,VolSmileModel),2),0),"")</f>
        <v>#VALUE!</v>
      </c>
      <c r="DG125" s="1593" t="e">
        <f aca="false">IF(BS125,CN125+IF(OVolSmile,VLOOKUP(MAX(-5,CT125+DA125-CF125),IF(OVolSmile=1,VolSmileBook,VolSmileModel),2),0),"")</f>
        <v>#VALUE!</v>
      </c>
      <c r="DH125" s="1316" t="e">
        <f aca="false">IF(AND(BU125&gt;0,CO125&gt;0,DB125&gt;0,CU125&gt;0),newSPRDOPT(BU125,CO125,CW125,0,DB125,CU125,CV125,BT125*365.25,OCallPut,0),0)</f>
        <v>#VALUE!</v>
      </c>
      <c r="DI125" s="1316" t="e">
        <f aca="false">IF(AND(BV125&gt;0,CP125&gt;0,DC125&gt;0,CU125&gt;0),newSPRDOPT(BV125,CP125,CX125,0,DC125,CU125,CV125,BT125*365.25,OCallPut,0),0)</f>
        <v>#VALUE!</v>
      </c>
      <c r="DJ125" s="1316" t="e">
        <f aca="false">IF(AND(BW125&gt;0,CQ125&gt;0,DD125&gt;0,CU125&gt;0),newSPRDOPT(BW125,CQ125,CY125,0,DD125,CU125,CV125,BT125*365.25,OCallPut,0),0)</f>
        <v>#VALUE!</v>
      </c>
      <c r="DK125" s="1316" t="e">
        <f aca="false">IF(AND(BX125&gt;0,CR125&gt;0,DE125&gt;0,CU125&gt;0),newSPRDOPT(BX125,CR125,CZ125,0,DE125,CU125,CV125,BT125*365.25,OCallPut,0),0)</f>
        <v>#VALUE!</v>
      </c>
      <c r="DL125" s="1316" t="e">
        <f aca="false">IF(OVolType,IF(AND(BZ125&gt;0,CS125&gt;0,DF125&gt;0,CU125&gt;0),newSPRDOPT(BZ125,CS125,DA125,0,DF125,CU125,CV125,BT125*365.25,OCallPut,0),0),IF(BQ125,(DH125*AZ125+DI125*BA125+DJ125*BB125+DK125*BC125)/BQ125,0))</f>
        <v>#VALUE!</v>
      </c>
      <c r="DM125" s="1316"/>
      <c r="DN125" s="1316"/>
      <c r="DO125" s="1316"/>
      <c r="DP125" s="1316"/>
      <c r="DQ125" s="1316"/>
      <c r="DR125" s="1316"/>
      <c r="DS125" s="1316"/>
      <c r="DT125" s="1316"/>
      <c r="DU125" s="1316"/>
      <c r="DV125" s="1316"/>
      <c r="DW125" s="1594" t="e">
        <f aca="false">IF(AND(BW125&gt;0,CT125&gt;0,DD125&gt;0,CU125&gt;0),newSPRDOPT(BW125,CT125,CY125,0,DD125,CU125,CV125,BT125*365.25,OCallPut,0),0)</f>
        <v>#VALUE!</v>
      </c>
      <c r="DX125" s="1316" t="e">
        <f aca="false">IF(AND(BX125&gt;0,CT125&gt;0,DE125&gt;0,CU125&gt;0),newSPRDOPT(BX125,CT125,CZ125,0,DE125,CU125,CV125,BT125*365.25,OCallPut,0),0)</f>
        <v>#VALUE!</v>
      </c>
      <c r="DY125" s="1591" t="e">
        <f aca="false">IF(BS125,(DH125*BH125+DI125*BI125+DW125*BJ125+DX125*BK125)/BS125,0)</f>
        <v>#VALUE!</v>
      </c>
      <c r="DZ125" s="1551" t="e">
        <f aca="false">DH125*AZ125</f>
        <v>#VALUE!</v>
      </c>
      <c r="EA125" s="1551" t="e">
        <f aca="false">DI125*BA125</f>
        <v>#VALUE!</v>
      </c>
      <c r="EB125" s="1551" t="e">
        <f aca="false">DJ125*BB125</f>
        <v>#VALUE!</v>
      </c>
      <c r="EC125" s="1551" t="e">
        <f aca="false">DK125*BC125</f>
        <v>#VALUE!</v>
      </c>
      <c r="ED125" s="1551" t="e">
        <f aca="false">DL125*BQ125</f>
        <v>#VALUE!</v>
      </c>
      <c r="EE125" s="1595" t="e">
        <f aca="false">IF(BQ125,IF(OCallPut,IF(BU125&gt;(CO125+CW125),BU125-(CO125+CW125),0),IF((CO125+CW125)&gt;BU125,(CO125+CW125)-BU125,0))*AZ125,0)</f>
        <v>#VALUE!</v>
      </c>
      <c r="EF125" s="1596" t="e">
        <f aca="false">IF(BQ125,IF(OCallPut,IF(BV125&gt;(CP125+CX125),BV125-(CP125+CX125),0),IF((CP125+CX125)&gt;BV125,(CP125+CX125)-BV125,0))*BA125,0)</f>
        <v>#VALUE!</v>
      </c>
      <c r="EG125" s="1596" t="e">
        <f aca="false">IF(BQ125,IF(OCallPut,IF(BW125&gt;(CQ125+CY125),BW125-(CQ125+CY125),0),IF((CQ125+CY125)&gt;BW125,(CQ125+CY125)-BW125,0))*BB125,0)</f>
        <v>#VALUE!</v>
      </c>
      <c r="EH125" s="1596" t="e">
        <f aca="false">IF(BQ125,IF(OCallPut,IF(BX125&gt;(CR125+CZ125),BX125-(CR125+CZ125),0),IF((CR125+CZ125)&gt;BX125,(CR125+CZ125)-BX125,0))*BC125,0)</f>
        <v>#VALUE!</v>
      </c>
      <c r="EI125" s="1597" t="e">
        <f aca="false">IF(BQ125,IF(OVolType,IF(OCallPut,IF(BZ125&gt;(CS125+DA125),BZ125-(CS125+DA125),0),IF((CS125+DA125)&gt;BZ125,(CS125+DA125)-BZ125,0))*BQ125,SUM(EE125:EH125)),0)</f>
        <v>#VALUE!</v>
      </c>
      <c r="EJ125" s="1595" t="e">
        <f aca="false">DZ125-EE125</f>
        <v>#VALUE!</v>
      </c>
      <c r="EK125" s="1596" t="e">
        <f aca="false">EA125-EF125</f>
        <v>#VALUE!</v>
      </c>
      <c r="EL125" s="1596" t="e">
        <f aca="false">EB125-EG125</f>
        <v>#VALUE!</v>
      </c>
      <c r="EM125" s="1596" t="e">
        <f aca="false">EC125-EH125</f>
        <v>#VALUE!</v>
      </c>
      <c r="EN125" s="1597" t="e">
        <f aca="false">ED125-EI125</f>
        <v>#VALUE!</v>
      </c>
      <c r="EO125" s="1551" t="e">
        <f aca="false">DH125*BH125</f>
        <v>#VALUE!</v>
      </c>
      <c r="EP125" s="1551" t="e">
        <f aca="false">DI125*BI125</f>
        <v>#VALUE!</v>
      </c>
      <c r="EQ125" s="1551" t="e">
        <f aca="false">DW125*BJ125</f>
        <v>#VALUE!</v>
      </c>
      <c r="ER125" s="1551" t="e">
        <f aca="false">DX125*BK125</f>
        <v>#VALUE!</v>
      </c>
      <c r="ES125" s="1551" t="e">
        <f aca="false">DY125*BS125</f>
        <v>#VALUE!</v>
      </c>
      <c r="ET125" s="1566" t="e">
        <f aca="false">IF(EI125,IF(OCallPut,IF(CA125&gt;(CT125+CW125),CA125-(CT125+CW125),0),IF((CT125+CW125)&gt;CA125,(CT125+CW125)-CA125,0))*BH125,0)</f>
        <v>#VALUE!</v>
      </c>
      <c r="EU125" s="1551" t="e">
        <f aca="false">IF(EI125,IF(OCallPut,IF(CB125&gt;(CT125+CX125),CB125-(CT125+CX125),0),IF((CT125+CX125)&gt;CB125,(CT125+CX125)-CB125,0))*BI125,0)</f>
        <v>#VALUE!</v>
      </c>
      <c r="EV125" s="1551" t="e">
        <f aca="false">IF(EI125,IF(OCallPut,IF(CC125&gt;(CT125+CY125),CC125-(CT125+CY125),0),IF((CT125+CY125)&gt;CC125,(CT125+CY125)-CC125,0))*BJ125,0)</f>
        <v>#VALUE!</v>
      </c>
      <c r="EW125" s="1551" t="e">
        <f aca="false">IF(EI125,IF(OCallPut,IF(CD125&gt;(CT125+CZ125),CD125-(CT125+CZ125),0),IF((CT125+CZ125)&gt;CD125,(CT125+CZ125)-CD125,0))*BK125,0)</f>
        <v>#VALUE!</v>
      </c>
      <c r="EX125" s="1558" t="e">
        <f aca="false">IF(EI125,SUM(ET125:EW125),0)</f>
        <v>#VALUE!</v>
      </c>
      <c r="EY125" s="1551" t="e">
        <f aca="false">EO125-ET125</f>
        <v>#VALUE!</v>
      </c>
      <c r="EZ125" s="1551" t="e">
        <f aca="false">EP125-EU125</f>
        <v>#VALUE!</v>
      </c>
      <c r="FA125" s="1551" t="e">
        <f aca="false">EQ125-EV125</f>
        <v>#VALUE!</v>
      </c>
      <c r="FB125" s="1551" t="e">
        <f aca="false">ER125-EW125</f>
        <v>#VALUE!</v>
      </c>
      <c r="FC125" s="1551" t="e">
        <f aca="false">ES125-EX125</f>
        <v>#VALUE!</v>
      </c>
      <c r="FD125" s="1525" t="n">
        <f aca="false">IF(AX125,IF(VLOOKUP(C125,MAIN!$L$17:$M$28,2)="Yes",VLOOKUP(CALC!B125,MAIN!$H$17:$I$20,2),0),0)</f>
        <v>0</v>
      </c>
      <c r="FE125" s="1552" t="e">
        <f aca="false">$FD125*16*AT125*(1-$AY125)</f>
        <v>#VALUE!</v>
      </c>
      <c r="FF125" s="1553" t="e">
        <f aca="false">$FD125*16*AU125*(1-$AY125)</f>
        <v>#VALUE!</v>
      </c>
      <c r="FG125" s="1553" t="e">
        <f aca="false">$FD125*16*(AV125+AW125)*(1-$AY125)</f>
        <v>#VALUE!</v>
      </c>
      <c r="FH125" s="1554" t="n">
        <f aca="false">$FD125*8*AX125*(1-$AY125)</f>
        <v>0</v>
      </c>
      <c r="FI125" s="1555" t="n">
        <f aca="false">IF(AX125,VLOOKUP(CALC!B125,MAIN!$H$17:$K$20,4),0)</f>
        <v>0</v>
      </c>
      <c r="FJ125" s="1553" t="e">
        <f aca="false">SUM(FE125:FH125)</f>
        <v>#VALUE!</v>
      </c>
      <c r="FK125" s="1556" t="e">
        <f aca="false">FI125*FJ125</f>
        <v>#VALUE!</v>
      </c>
      <c r="FL125" s="1551" t="e">
        <f aca="false">IF($EI125&gt;0,MIN(FE125,AZ125*(1+VLOOKUP($C125,WeatherCapacityAdjustment,2))),0)</f>
        <v>#VALUE!</v>
      </c>
      <c r="FM125" s="1551" t="e">
        <f aca="false">IF($EI125&gt;0,MIN(FF125,BA125*(1+VLOOKUP($C125,WeatherCapacityAdjustment,2))),0)</f>
        <v>#VALUE!</v>
      </c>
      <c r="FN125" s="1551" t="e">
        <f aca="false">IF($EI125&gt;0,MIN(FG125,BB125*(1+VLOOKUP($C125,WeatherCapacityAdjustment,2))),0)</f>
        <v>#VALUE!</v>
      </c>
      <c r="FO125" s="1564" t="e">
        <f aca="false">IF($EI125&gt;0,MIN(FH125,BC125*(1+VLOOKUP($C125,WeatherCapacityAdjustment,3))),0)</f>
        <v>#VALUE!</v>
      </c>
      <c r="FP125" s="1551" t="e">
        <f aca="false">IF(ET125&gt;0,MIN(FE125-FL125,BH125*(1+VLOOKUP($C125,WeatherCapacityAdjustment,2))),0)</f>
        <v>#VALUE!</v>
      </c>
      <c r="FQ125" s="1551" t="e">
        <f aca="false">IF(EU125&gt;0,MIN(FF125-FM125,BI125*(1+VLOOKUP($C125,WeatherCapacityAdjustment,2))),0)</f>
        <v>#VALUE!</v>
      </c>
      <c r="FR125" s="1551" t="e">
        <f aca="false">IF(EV125&gt;0,MIN(FG125-FN125,BJ125*(1+VLOOKUP($C125,WeatherCapacityAdjustment,2))),0)</f>
        <v>#VALUE!</v>
      </c>
      <c r="FS125" s="1558" t="e">
        <f aca="false">IF(EW125&gt;0,MIN(FH125-FO125,BK125*(1+VLOOKUP($C125,WeatherCapacityAdjustment,3))),0)</f>
        <v>#VALUE!</v>
      </c>
      <c r="FT125" s="1566" t="e">
        <f aca="false">IF(AND(Assumptions!$H$71="Yes",A125&gt;=Assumptions!$H$72,A125&lt;=Assumptions!$H$73),0,IF(AND($A125&gt;=Assumptions!$C$17,$A125&lt;=Assumptions!$C$18),MAX(AZ125*(1+VLOOKUP($C125,WeatherCapacityAdjustment,2))-FL125,0),0))</f>
        <v>#VALUE!</v>
      </c>
      <c r="FU125" s="1551" t="e">
        <f aca="false">IF(AND(Assumptions!$H$71="Yes",A125&gt;=Assumptions!$H$72,A125&lt;=Assumptions!$H$73),0,IF(AND($A125&gt;=Assumptions!$C$17,$A125&lt;=Assumptions!$C$18),MAX(BA125*(1+VLOOKUP($C125,WeatherCapacityAdjustment,2))-FM125,0),0))</f>
        <v>#VALUE!</v>
      </c>
      <c r="FV125" s="1551" t="e">
        <f aca="false">IF(AND(Assumptions!$H$71="Yes",A125&gt;=Assumptions!$H$72,A125&lt;=Assumptions!$H$73),0,IF(AND($A125&gt;=Assumptions!$C$17,$A125&lt;=Assumptions!$C$18),MAX(BB125*(1+VLOOKUP($C125,WeatherCapacityAdjustment,2))-FN125,0),0))</f>
        <v>#VALUE!</v>
      </c>
      <c r="FW125" s="1564" t="e">
        <f aca="false">IF(AND(Assumptions!$H$71="Yes",A125&gt;=Assumptions!$H$72,A125&lt;=Assumptions!$H$73),0,IF(AND($A125&gt;=Assumptions!$C$17,$A125&lt;=Assumptions!$C$18),MAX(BC125*(1+VLOOKUP($C125,WeatherCapacityAdjustment,3))-FO125,0),0))</f>
        <v>#VALUE!</v>
      </c>
      <c r="FX125" s="1569" t="e">
        <f aca="false">IF(AND(Assumptions!$H$71="Yes",A125&gt;=Assumptions!$H$72,A125&lt;=Assumptions!$H$73),0,IF(ET125&gt;0,MAX(BH125*(1+VLOOKUP($C125,WeatherCapacityAdjustment,2))-FP125,0),0))</f>
        <v>#VALUE!</v>
      </c>
      <c r="FY125" s="1551" t="e">
        <f aca="false">IF(AND(Assumptions!$H$71="Yes",A125&gt;=Assumptions!$H$72,A125&lt;=Assumptions!$H$73),0,IF(EU125&gt;0,MAX(BI125*(1+VLOOKUP($C125,WeatherCapacityAdjustment,3))-FQ125,0),0))</f>
        <v>#VALUE!</v>
      </c>
      <c r="FZ125" s="1551" t="e">
        <f aca="false">IF(AND(Assumptions!$H$71="Yes",A125&gt;=Assumptions!$H$72,A125&lt;=Assumptions!$H$73),0,IF(EV125&gt;0,MAX(BJ125*(1+VLOOKUP($C125,WeatherCapacityAdjustment,2))-FR125,0),0))</f>
        <v>#VALUE!</v>
      </c>
      <c r="GA125" s="1564" t="e">
        <f aca="false">IF(AND(Assumptions!$H$71="Yes",A125&gt;=Assumptions!$H$72,A125&lt;=Assumptions!$H$73),0,IF(EW125&gt;0,MAX(BK125*(1+VLOOKUP($C125,WeatherCapacityAdjustment,2))-FS125,0),0))</f>
        <v>#VALUE!</v>
      </c>
      <c r="GB125" s="1551" t="e">
        <f aca="false">SUM(FT125:GA125)</f>
        <v>#VALUE!</v>
      </c>
      <c r="GC125" s="1563" t="e">
        <f aca="false">+IF(SUM(FT125:GA125)=0,0,(SUMPRODUCT(BU125:BX125,FT125:FW125)+SUMPRODUCT(CA125:CD125,FX125:GA125))/SUM(FT125:GA125))</f>
        <v>#VALUE!</v>
      </c>
      <c r="GD125" s="1551" t="e">
        <f aca="false">(FT125*BU125+FX125*CA125+FU125*BV125+FY125*CB125+FV125*BW125+FZ125*CC125+FW125*BX125+GA125*CD125)</f>
        <v>#VALUE!</v>
      </c>
      <c r="GE125" s="1561" t="e">
        <f aca="false">+IF(BQ125,((FL125+FM125+FT125+FU125)*HeatRatePeak/1000*(1+VLOOKUP($C125,WeatherHeatRateAdjustment,2))+(FN125+FV125)*IF(EV125&gt;0,HeatRatePeak,HeatRateOffPeak)/1000*(1+VLOOKUP($C125,WeatherHeatRateAdjustment,2))+(FO125+FW125)*IF(EW125&gt;0,HeatRatePeak,HeatRateOffPeak)/1000*(1+VLOOKUP($C125,WeatherHeatRateAdjustment,3)))*(1+VLOOKUP($B125,HeatRateDegradation,$C125+1)),0)</f>
        <v>#VALUE!</v>
      </c>
      <c r="GF125" s="1562" t="e">
        <f aca="false">IF(BQ125,((FP125+FQ125+FR125+FX125+FY125+FZ125)*HeatRatePeak/1000*(1+VLOOKUP($C125,WeatherHeatRateAdjustment,2))+(FS125+GA125)*HeatRatePeak/1000*(1+VLOOKUP($C125,WeatherHeatRateAdjustment,3)))*(1+VLOOKUP($B125,HeatRateDegradation,$C125+1)),0)</f>
        <v>#VALUE!</v>
      </c>
      <c r="GG125" s="1563" t="e">
        <f aca="false">IF(BQ125,VLOOKUP(A125,GasTable,13),0)</f>
        <v>#VALUE!</v>
      </c>
      <c r="GH125" s="1564" t="e">
        <f aca="false">(GE125+GF125)*GG125</f>
        <v>#VALUE!</v>
      </c>
      <c r="GI125" s="1569" t="e">
        <f aca="false">GB125</f>
        <v>#VALUE!</v>
      </c>
      <c r="GJ125" s="1598" t="e">
        <f aca="false">+DA125</f>
        <v>#VALUE!</v>
      </c>
      <c r="GK125" s="1558" t="e">
        <f aca="false">+GI125*GJ125</f>
        <v>#VALUE!</v>
      </c>
      <c r="GL125" s="1566" t="e">
        <f aca="false">MAX(FE125-FL125-FP125,0)</f>
        <v>#VALUE!</v>
      </c>
      <c r="GM125" s="1551" t="e">
        <f aca="false">MAX(FF125-FM125-FQ125,0)</f>
        <v>#VALUE!</v>
      </c>
      <c r="GN125" s="1551" t="e">
        <f aca="false">MAX(FG125-FN125-FR125,0)</f>
        <v>#VALUE!</v>
      </c>
      <c r="GO125" s="1564" t="e">
        <f aca="false">MAX(FH125-FO125-FS125,0)</f>
        <v>#VALUE!</v>
      </c>
      <c r="GP125" s="1551" t="e">
        <f aca="false">SUM(GL125:GO125)</f>
        <v>#VALUE!</v>
      </c>
      <c r="GQ125" s="1563" t="e">
        <f aca="false">IF(SUM(GL125:GO125)=0,0,((GL125*BU125+GM125*BV125+GN125*BW125+GO125*BX125)/SUM(GL125:GO125)))</f>
        <v>#VALUE!</v>
      </c>
      <c r="GR125" s="1558" t="e">
        <f aca="false">(GL125*BU125+GM125*BV125+GN125*BW125+GO125*BX125)</f>
        <v>#VALUE!</v>
      </c>
      <c r="GS125" s="1566" t="n">
        <f aca="false">IF($A125&gt;=BegDate,Assumptions!$C$56*24*($A126-$A125)*(1-VLOOKUP($B125,MAIN!$AA$7:$AM$28,$C125+1))*(1-VLOOKUP($B125,MAIN!$AA$33:$AM$54,$C125+1)),0)*80/168</f>
        <v>257742.857142857</v>
      </c>
      <c r="GT125" s="286" t="n">
        <f aca="false">J125</f>
        <v>36.8037122155221</v>
      </c>
      <c r="GU125" s="286" t="n">
        <f aca="false">IF($A125&gt;=BegDate,VLOOKUP($A125,GasTable,13)+Assumptions!$C$58,0)</f>
        <v>2.63739140495851</v>
      </c>
      <c r="GV125" s="286" t="n">
        <f aca="false">GU125*Assumptions!$C$57/1000</f>
        <v>19.1210876859492</v>
      </c>
      <c r="GW125" s="1558" t="n">
        <f aca="false">IF(Assumptions!$C$60="Hourly",MAX(0,GS125*(GT125-GV125)),GS125*(GT125-GV125))</f>
        <v>4557570.16803649</v>
      </c>
      <c r="GX125" s="1566" t="n">
        <f aca="false">IF($A125&gt;=BegDate,Assumptions!$C$56*24*($A126-$A125)*(1-VLOOKUP($B125,MAIN!$AA$7:$AM$28,$C125+1))*(1-VLOOKUP($B125,MAIN!$AA$33:$AM$54,$C125+1)),0)*16/168</f>
        <v>51548.5714285714</v>
      </c>
      <c r="GY125" s="286" t="n">
        <f aca="false">M125</f>
        <v>36.8037122155221</v>
      </c>
      <c r="GZ125" s="286" t="n">
        <f aca="false">IF($A125&gt;=BegDate,VLOOKUP($A125,GasTable,13)+Assumptions!$C$58,0)</f>
        <v>2.63739140495851</v>
      </c>
      <c r="HA125" s="286" t="n">
        <f aca="false">GZ125*Assumptions!$C$57/1000</f>
        <v>19.1210876859492</v>
      </c>
      <c r="HB125" s="1558" t="n">
        <f aca="false">IF(Assumptions!$C$60="Hourly",MAX(0,GX125*(GY125-HA125)),GX125*(GY125-HA125))</f>
        <v>911514.033607298</v>
      </c>
      <c r="HC125" s="1566" t="n">
        <f aca="false">IF($A125&gt;=BegDate,Assumptions!$C$56*24*($A126-$A125)*(1-VLOOKUP($B125,MAIN!$AA$7:$AM$28,$C125+1))*(1-VLOOKUP($B125,MAIN!$AA$33:$AM$54,$C125+1)),0)*16/168</f>
        <v>51548.5714285714</v>
      </c>
      <c r="HD125" s="286" t="n">
        <f aca="false">P125</f>
        <v>23.1252802213554</v>
      </c>
      <c r="HE125" s="286" t="n">
        <f aca="false">IF($A125&gt;=BegDate,VLOOKUP($A125,GasTable,13)+Assumptions!$C$58,0)</f>
        <v>2.63739140495851</v>
      </c>
      <c r="HF125" s="286" t="n">
        <f aca="false">HE125*Assumptions!$C$57/1000</f>
        <v>19.1210876859492</v>
      </c>
      <c r="HG125" s="1558" t="n">
        <f aca="false">IF(Assumptions!$C$60="Hourly",MAX(0,HC125*(HD125-HF125)),HC125*(HD125-HF125))</f>
        <v>206410.404925141</v>
      </c>
      <c r="HH125" s="1566" t="n">
        <f aca="false">IF($A125&gt;=BegDate,Assumptions!$C$56*24*($A126-$A125)*(1-VLOOKUP($B125,MAIN!$AA$7:$AM$28,$C125+1))*(1-VLOOKUP($B125,MAIN!$AA$33:$AM$54,$C125+1)),0)*56/168</f>
        <v>180420</v>
      </c>
      <c r="HI125" s="286" t="n">
        <f aca="false">S125</f>
        <v>23.1252802213554</v>
      </c>
      <c r="HJ125" s="286" t="n">
        <f aca="false">IF($A125&gt;=BegDate,VLOOKUP($A125,GasTable,13)+Assumptions!$C$58,0)</f>
        <v>2.63739140495851</v>
      </c>
      <c r="HK125" s="286" t="n">
        <f aca="false">HJ125*Assumptions!$C$57/1000</f>
        <v>19.1210876859492</v>
      </c>
      <c r="HL125" s="1558" t="n">
        <f aca="false">IF(Assumptions!$C$60="Hourly",MAX(0,HH125*(HI125-HK125)),HH125*(HI125-HK125))</f>
        <v>722436.417237995</v>
      </c>
      <c r="HM125" s="1566" t="n">
        <f aca="false">IF(AND(Assumptions!$H$71="Yes",A125&gt;=Assumptions!$H$72,A125&lt;=Assumptions!$H$73),Assumptions!$H$74*Assumptions!$C$9*1000,0)</f>
        <v>0</v>
      </c>
      <c r="HN125" s="1551"/>
      <c r="HO125" s="1563"/>
      <c r="HP125" s="1563"/>
      <c r="HQ125" s="1563"/>
      <c r="HR125" s="1563"/>
      <c r="HS125" s="1563"/>
      <c r="HT125" s="1563"/>
      <c r="HU125" s="1563"/>
      <c r="HV125" s="1563"/>
      <c r="HW125" s="1563"/>
      <c r="HX125" s="1563"/>
      <c r="HY125" s="1563"/>
      <c r="HZ125" s="1563"/>
      <c r="IA125" s="1563"/>
      <c r="IB125" s="1563"/>
      <c r="IC125" s="1563"/>
      <c r="ID125" s="1563"/>
      <c r="IE125" s="1563"/>
      <c r="IF125" s="1563"/>
      <c r="IG125" s="1563"/>
      <c r="IH125" s="1563"/>
      <c r="II125" s="1610"/>
      <c r="IJ125" s="1309"/>
      <c r="IK125" s="1309"/>
    </row>
    <row r="126" customFormat="false" ht="12.75" hidden="false" customHeight="false" outlineLevel="0" collapsed="false">
      <c r="A126" s="1571" t="n">
        <f aca="false">EOMONTH(A125,0)+1</f>
        <v>39965</v>
      </c>
      <c r="B126" s="594" t="n">
        <f aca="false">+YEAR(A126)</f>
        <v>2009</v>
      </c>
      <c r="C126" s="238" t="n">
        <f aca="false">MONTH(A126)</f>
        <v>6</v>
      </c>
      <c r="D126" s="1572" t="e">
        <f aca="false">IF(E126="","",Holiday(B126,C126))</f>
        <v>#VALUE!</v>
      </c>
      <c r="E126" s="1573" t="n">
        <f aca="false">IF(OR(BegDate&gt;=A127,EndDate&lt;A126,AND(VolumeMonthlyOverFlag,INDEX(VolumeMonthlyOver,C126)=0),NOT(INDEX(MonthKnockOutTable,C126))),"",MAX(A126,BegDate))</f>
        <v>39965</v>
      </c>
      <c r="F126" s="1574" t="n">
        <f aca="false">IF(E126="","",MIN(A127-1,EndDate))</f>
        <v>39994</v>
      </c>
      <c r="G126" s="1575" t="n">
        <v>0</v>
      </c>
      <c r="H126" s="1576" t="n">
        <f aca="false">(1+G126/2)^(-2*(DATE(B127,C127,20)-DateToday)/365.25)</f>
        <v>1</v>
      </c>
      <c r="I126" s="1568" t="n">
        <f aca="false">IF(Assumptions!$L$25=4,VLOOKUP($A126,'Henwood Reference'!$E$9:$R$320,10),(VLOOKUP($A126,PriceTable,2,0)+IF(BasisNumber&lt;&gt;1,VLOOKUP($A126,BasisTable,2,0),0)+I$1)/(1-I$2))</f>
        <v>34.3831717270345</v>
      </c>
      <c r="J126" s="1568" t="n">
        <f aca="false">IF(Assumptions!$L$25=4,VLOOKUP($A126,'Henwood Reference'!$E$9:$R$320,10),(VLOOKUP($A126,PriceTable,3,0)+IF(BasisNumber&lt;&gt;1,VLOOKUP($A126,BasisTable,2,0),0)+J$1)/(1-J$2))</f>
        <v>34.3831717270345</v>
      </c>
      <c r="K126" s="1568" t="n">
        <f aca="false">IF(Assumptions!$L$25=4,VLOOKUP($A126,'Henwood Reference'!$E$9:$R$320,10),(VLOOKUP($A126,PriceTable,4,0)+IF(BasisNumber&lt;&gt;1,VLOOKUP($A126,BasisTable,2,0),0)+K$1)/(1-K$2))</f>
        <v>34.3831717270345</v>
      </c>
      <c r="L126" s="1523" t="n">
        <f aca="false">IF(Assumptions!$L$25=4,VLOOKUP($A126,'Henwood Reference'!$E$9:$R$320,10),(VLOOKUP($A126,PriceTableWeekend,2,0)+IF(BasisNumber&lt;&gt;1,VLOOKUP($A126,BasisTable,2,0),0)+L$1)/(1-L$2))</f>
        <v>34.3831717270345</v>
      </c>
      <c r="M126" s="1568" t="n">
        <f aca="false">IF(Assumptions!$L$25=4,VLOOKUP($A126,'Henwood Reference'!$E$9:$R$320,10),(VLOOKUP($A126,PriceTableWeekend,3,0)+IF(BasisNumber&lt;&gt;1,VLOOKUP($A126,BasisTable,2,0),0)+M$1)/(1-M$2))</f>
        <v>34.3831717270345</v>
      </c>
      <c r="N126" s="1599" t="n">
        <f aca="false">IF(Assumptions!$L$25=4,VLOOKUP($A126,'Henwood Reference'!$E$9:$R$320,10),(VLOOKUP($A126,PriceTableWeekend,4,0)+IF(BasisNumber&lt;&gt;1,VLOOKUP($A126,BasisTable,2,0),0)+N$1)/(1-N$2))</f>
        <v>34.3831717270345</v>
      </c>
      <c r="O126" s="1568" t="n">
        <f aca="false">IF(Assumptions!$L$25=4,VLOOKUP($A126,'Henwood Reference'!$E$9:$R$320,11),(VLOOKUP($A126,PriceTableWeekend,6,0)+IF(BasisNumber&lt;&gt;1,VLOOKUP($A126,BasisTable,3,0),0)+O$1)/(1-O$2))</f>
        <v>21.866130691055</v>
      </c>
      <c r="P126" s="1568" t="n">
        <f aca="false">IF(Assumptions!$L$25=4,VLOOKUP($A126,'Henwood Reference'!$E$9:$R$320,11),(VLOOKUP($A126,PriceTableWeekend,7,0)+IF(BasisNumber&lt;&gt;1,VLOOKUP($A126,BasisTable,3,0),0)+P$1)/(1-P$2))</f>
        <v>21.866130691055</v>
      </c>
      <c r="Q126" s="1599" t="n">
        <f aca="false">IF(Assumptions!$L$25=4,VLOOKUP($A126,'Henwood Reference'!$E$9:$R$320,11),(VLOOKUP($A126,PriceTableWeekend,8,0)+IF(BasisNumber&lt;&gt;1,VLOOKUP($A126,BasisTable,3,0),0)+Q$1)/(1-Q$2))</f>
        <v>21.866130691055</v>
      </c>
      <c r="R126" s="1568" t="n">
        <f aca="false">IF(Assumptions!$L$25=4,VLOOKUP($A126,'Henwood Reference'!$E$9:$R$320,11),(VLOOKUP($A126,PriceTable,6,0)+IF(BasisNumber&lt;&gt;1,VLOOKUP($A126,BasisTable,3,0),0)+R$1)/(1-R$2))</f>
        <v>21.866130691055</v>
      </c>
      <c r="S126" s="1568" t="n">
        <f aca="false">IF(Assumptions!$L$25=4,VLOOKUP($A126,'Henwood Reference'!$E$9:$R$320,11),(VLOOKUP($A126,PriceTable,7,0)+IF(BasisNumber&lt;&gt;1,VLOOKUP($A126,BasisTable,3,0),0)+S$1)/(1-S$2))</f>
        <v>21.866130691055</v>
      </c>
      <c r="T126" s="1600" t="n">
        <f aca="false">IF(Assumptions!$L$25=4,VLOOKUP($A126,'Henwood Reference'!$E$9:$R$320,11),(VLOOKUP($A126,PriceTable,8,0)+IF(BasisNumber&lt;&gt;1,VLOOKUP($A126,BasisTable,3,0),0)+T$1)/(1-T$2))</f>
        <v>21.866130691055</v>
      </c>
      <c r="U126" s="1513" t="n">
        <f aca="false">VLOOKUP($A126,VolatilityTable,14)</f>
        <v>0.125</v>
      </c>
      <c r="V126" s="1513" t="n">
        <f aca="false">VLOOKUP($A126,VolatilityTable,15)</f>
        <v>0.135</v>
      </c>
      <c r="W126" s="1514" t="n">
        <f aca="false">VLOOKUP($A126,VolatilityTable,16)</f>
        <v>0.145</v>
      </c>
      <c r="X126" s="1513" t="n">
        <f aca="false">VLOOKUP($A126,VolatilityTable,14)</f>
        <v>0.125</v>
      </c>
      <c r="Y126" s="1513" t="n">
        <f aca="false">VLOOKUP($A126,VolatilityTable,15)</f>
        <v>0.135</v>
      </c>
      <c r="Z126" s="1514" t="n">
        <f aca="false">VLOOKUP($A126,VolatilityTable,16)</f>
        <v>0.145</v>
      </c>
      <c r="AA126" s="1513" t="n">
        <f aca="false">VLOOKUP($A126,VolatilityTable,18)</f>
        <v>0.09</v>
      </c>
      <c r="AB126" s="1513" t="n">
        <f aca="false">VLOOKUP($A126,VolatilityTable,19)</f>
        <v>0.11</v>
      </c>
      <c r="AC126" s="1514" t="n">
        <f aca="false">VLOOKUP($A126,VolatilityTable,20)</f>
        <v>0.13</v>
      </c>
      <c r="AD126" s="1513" t="n">
        <f aca="false">VLOOKUP($A126,VolatilityTable,18)</f>
        <v>0.09</v>
      </c>
      <c r="AE126" s="1513" t="n">
        <f aca="false">VLOOKUP($A126,VolatilityTable,19)</f>
        <v>0.11</v>
      </c>
      <c r="AF126" s="1514" t="n">
        <f aca="false">VLOOKUP($A126,VolatilityTable,20)</f>
        <v>0.13</v>
      </c>
      <c r="AG126" s="1513" t="n">
        <f aca="false">VLOOKUP($A126,VolatilityTable,22)</f>
        <v>-0.35</v>
      </c>
      <c r="AH126" s="1513" t="n">
        <f aca="false">VLOOKUP($A126,VolatilityTable,23)</f>
        <v>0.65</v>
      </c>
      <c r="AI126" s="1514" t="n">
        <f aca="false">VLOOKUP($A126,VolatilityTable,24)</f>
        <v>0.2</v>
      </c>
      <c r="AJ126" s="1513" t="n">
        <f aca="false">VLOOKUP($A126,VolatilityTable,22)</f>
        <v>-0.35</v>
      </c>
      <c r="AK126" s="1513" t="n">
        <f aca="false">VLOOKUP($A126,VolatilityTable,23)</f>
        <v>0.65</v>
      </c>
      <c r="AL126" s="1514" t="n">
        <f aca="false">VLOOKUP($A126,VolatilityTable,24)</f>
        <v>0.2</v>
      </c>
      <c r="AM126" s="1513" t="n">
        <f aca="false">VLOOKUP($A126,VolatilityTable,26)</f>
        <v>-0.01</v>
      </c>
      <c r="AN126" s="1513" t="n">
        <f aca="false">VLOOKUP($A126,VolatilityTable,27)</f>
        <v>0.16</v>
      </c>
      <c r="AO126" s="1514" t="n">
        <f aca="false">VLOOKUP($A126,VolatilityTable,28)</f>
        <v>0.01</v>
      </c>
      <c r="AP126" s="1513" t="n">
        <f aca="false">VLOOKUP($A126,VolatilityTable,26)</f>
        <v>-0.01</v>
      </c>
      <c r="AQ126" s="1513" t="n">
        <f aca="false">VLOOKUP($A126,VolatilityTable,27)</f>
        <v>0.16</v>
      </c>
      <c r="AR126" s="1515" t="n">
        <f aca="false">VLOOKUP($A126,VolatilityTable,28)</f>
        <v>0.01</v>
      </c>
      <c r="AS126" s="1581" t="n">
        <f aca="false">IF(CorrPeakOffPeakOverFlag,INDEX(CorrPeakOffPeakOver,C126),CorrPeakOffPeak)</f>
        <v>0.5</v>
      </c>
      <c r="AT126" s="594" t="e">
        <f aca="false">AX126-SUM(AU126:AW126)</f>
        <v>#VALUE!</v>
      </c>
      <c r="AU126" s="238" t="e">
        <f aca="false">IF(E126="",0,INT((F126-MOD(F126,7)-E126)/7)+1-IF(AW126,IF(WEEKDAY(D126)=7,1,0),0))</f>
        <v>#VALUE!</v>
      </c>
      <c r="AV126" s="238" t="e">
        <f aca="false">IF(E126="",0,INT((F126-MOD(F126-1,7)-E126)/7)+1-IF(AW126,IF(WEEKDAY(D126)=1,1,0),0))</f>
        <v>#VALUE!</v>
      </c>
      <c r="AW126" s="238" t="e">
        <f aca="false">IF(OR(E126="",D126="",D126&lt;BegDate,D126&gt;EndDate),0,1)</f>
        <v>#VALUE!</v>
      </c>
      <c r="AX126" s="238" t="n">
        <f aca="false">IF(E126="",0,F126-E126+1)</f>
        <v>30</v>
      </c>
      <c r="AY126" s="1582" t="n">
        <f aca="false">IF(E126="",0,MIN((1-(1-VLOOKUP(B126,MAIN!$AA$7:$AM$28,C126+1))*(1-VLOOKUP(B126,MAIN!$AA$33:$AM$54,C126+1))),1))</f>
        <v>0.03</v>
      </c>
      <c r="AZ126" s="1519" t="e">
        <v>#VALUE!</v>
      </c>
      <c r="BA126" s="1520" t="e">
        <v>#VALUE!</v>
      </c>
      <c r="BB126" s="1520" t="e">
        <v>#VALUE!</v>
      </c>
      <c r="BC126" s="1583" t="e">
        <v>#VALUE!</v>
      </c>
      <c r="BD126" s="1522" t="e">
        <v>#VALUE!</v>
      </c>
      <c r="BE126" s="1523" t="e">
        <v>#VALUE!</v>
      </c>
      <c r="BF126" s="1523" t="e">
        <v>#VALUE!</v>
      </c>
      <c r="BG126" s="1584" t="e">
        <v>#VALUE!</v>
      </c>
      <c r="BH126" s="1525" t="e">
        <v>#VALUE!</v>
      </c>
      <c r="BI126" s="1520" t="e">
        <v>#VALUE!</v>
      </c>
      <c r="BJ126" s="1520" t="e">
        <v>#VALUE!</v>
      </c>
      <c r="BK126" s="1583" t="e">
        <v>#VALUE!</v>
      </c>
      <c r="BL126" s="1522" t="e">
        <v>#VALUE!</v>
      </c>
      <c r="BM126" s="1523" t="e">
        <v>#VALUE!</v>
      </c>
      <c r="BN126" s="1523" t="e">
        <v>#VALUE!</v>
      </c>
      <c r="BO126" s="1523" t="e">
        <v>#VALUE!</v>
      </c>
      <c r="BP126" s="1525" t="e">
        <f aca="false">SUM(AZ126:BB126)</f>
        <v>#VALUE!</v>
      </c>
      <c r="BQ126" s="1529" t="e">
        <f aca="false">SUM(AZ126:BC126)</f>
        <v>#VALUE!</v>
      </c>
      <c r="BR126" s="1519" t="e">
        <f aca="false">SUM(BH126:BJ126)</f>
        <v>#VALUE!</v>
      </c>
      <c r="BS126" s="1529" t="e">
        <f aca="false">SUM(BH126:BK126)</f>
        <v>#VALUE!</v>
      </c>
      <c r="BT126" s="1316" t="n">
        <f aca="false">(IF(OVolType&lt;&gt;2,A126+14,IF(OptExpDateShift,ShiftBack(A126,OptExpDateShift,D125),A126))-DateToday)/365.25</f>
        <v>9.13073237508556</v>
      </c>
      <c r="BU126" s="1585" t="e">
        <f aca="false">IF(BQ126,IF(OPriceCurve,IF(OBuySell=OCallPut,I126/(1-AY126),K126/(1-AY126)),J126/(1-AY126))*BD126,0)</f>
        <v>#VALUE!</v>
      </c>
      <c r="BV126" s="1316" t="e">
        <f aca="false">IF(BQ126,IF(OPriceCurve,IF(OBuySell=OCallPut,L126/(1-AY126),N126/(1-AY126)),M126/(1-AY126))*BE126,0)</f>
        <v>#VALUE!</v>
      </c>
      <c r="BW126" s="1316" t="e">
        <f aca="false">IF(BQ126,IF(OPriceCurve,IF(OBuySell=OCallPut,O126/(1-AY126),Q126/(1-AY126)),P126/(1-AY126))*BF126,0)</f>
        <v>#VALUE!</v>
      </c>
      <c r="BX126" s="1316" t="e">
        <f aca="false">IF(BQ126,IF(OPriceCurve,IF(OBuySell=OCallPut,R126/(1-AY126),T126/(1-AY126)),S126/(1-AY126))*BG126,0)</f>
        <v>#VALUE!</v>
      </c>
      <c r="BY126" s="1316" t="e">
        <f aca="false">IF(BP126,(BU126*AZ126+BV126*BA126+BW126*BB126)/BP126,0)</f>
        <v>#VALUE!</v>
      </c>
      <c r="BZ126" s="1316" t="e">
        <f aca="false">IF(BQ126,(BY126*BP126+BX126*BC126)/BQ126,0)</f>
        <v>#VALUE!</v>
      </c>
      <c r="CA126" s="1531" t="e">
        <f aca="false">IF(BS126,IF(OPriceCurve,IF(OBuySell=OCallPut,I126/(1-AY126),K126/(1-AY126)),J126/(1-AY126))*BL126,0)</f>
        <v>#VALUE!</v>
      </c>
      <c r="CB126" s="1316" t="e">
        <f aca="false">IF(BS126,IF(OPriceCurve,IF(OBuySell=OCallPut,L126/(1-AY126),N126/(1-AY126)),M126/(1-AY126))*BM126,0)</f>
        <v>#VALUE!</v>
      </c>
      <c r="CC126" s="1316" t="e">
        <f aca="false">IF(BS126,IF(OPriceCurve,IF(OBuySell=OCallPut,O126/(1-AY126),Q126/(1-AY126)),P126/(1-AY126))*BN126,0)</f>
        <v>#VALUE!</v>
      </c>
      <c r="CD126" s="1316" t="e">
        <f aca="false">IF(BS126,IF(OPriceCurve,IF(OBuySell=OCallPut,R126/(1-AY126),T126/(1-AY126)),S126/(1-AY126))*BO126,0)</f>
        <v>#VALUE!</v>
      </c>
      <c r="CE126" s="1316" t="e">
        <f aca="false">IF(BR126,(BU126*BH126+BV126*BI126+BW126*BJ126)/BR126,0)</f>
        <v>#VALUE!</v>
      </c>
      <c r="CF126" s="1532" t="e">
        <f aca="false">IF(BS126,(CE126*BR126+CD126*BK126)/BS126,0)</f>
        <v>#VALUE!</v>
      </c>
      <c r="CG126" s="1586" t="e">
        <f aca="false">IF(OR(BQ126,BS126),IF(OVolType&lt;&gt;2,SQRT(IF(OVolOverMonthlyPeak,OVolOverMonthlyPeak,IF(OVolCurve,IF(OBuySell,U126,W126),V126))^2*(1-15/365.25/BT126)+IF(OVolOverDailyPeak,OVolOverDailyPeak,IF(OVolCurve,IF(OBuySell,AG126,AI126),AH126))^2*15/365.25/BT126),IF(OVolOverMonthlyPeak,OVolOverMonthlyPeak,IF(OVolCurve,IF(OBuySell,U126,W126),V126))),"")</f>
        <v>#VALUE!</v>
      </c>
      <c r="CH126" s="1587" t="e">
        <f aca="false">IF(OR(BQ126,BS126),IF(OVolType&lt;&gt;2,SQRT(IF(OVolOverMonthlyPeak,OVolOverMonthlyPeak,IF(OVolCurve,IF(OBuySell,X126,Z126),Y126))^2*(1-15/365.25/BT126)+IF(OVolOverDailyPeak,OVolOverDailyPeak,IF(OVolCurve,IF(OBuySell,AJ126,AL126),AK126))^2*15/365.25/BT126),IF(OVolOverMonthlyPeak,OVolOverMonthlyPeak,IF(OVolCurve,IF(OBuySell,X126,Z126),Y126))),"")</f>
        <v>#VALUE!</v>
      </c>
      <c r="CI126" s="1587" t="e">
        <f aca="false">IF(OR(BQ126,BS126),IF(OVolType&lt;&gt;2,SQRT(IF(OVolOverMonthlyPeak,OVolOverMonthlyPeak,IF(OVolCurve,IF(OBuySell,AA126,AC126),AB126))^2*(1-15/365.25/BT126)+IF(OVolOverDailyPeak,OVolOverDailyPeak,IF(OVolCurve,IF(OBuySell,AM126,AO126),AN126))^2*15/365.25/BT126),IF(OVolOverMonthlyPeak,OVolOverMonthlyPeak,IF(OVolCurve,IF(OBuySell,AA126,AC126),AB126))),"")</f>
        <v>#VALUE!</v>
      </c>
      <c r="CJ126" s="1587" t="e">
        <f aca="false">IF(BQ126,IF(BP126,SQRT(LN(1+((BU126*AZ126)^2*(EXP(CG126^2*BT126)-1)+(BV126*BA126)^2*(EXP(CH126^2*BT126)-1)+(BW126*BB126)^2*(EXP(CI126^2*BT126)-1)+2*BU126*AZ126*BV126*BA126*(EXP(CG126*CH126*BT126)-1)+2*BV126*BA126*BW126*BB126*(EXP(CH126*CI126*BT126)-1)+2*BW126*BB126*BU126*AZ126*(EXP(CI126*CG126*BT126)-1))/(BY126*BP126)^2)/BT126),0),"")</f>
        <v>#VALUE!</v>
      </c>
      <c r="CK126" s="1587" t="e">
        <f aca="false">IF(BS126,IF(BR126,SQRT(LN(1+((CA126*BH126)^2*(EXP(CG126^2*BT126)-1)+(CB126*BI126)^2*(EXP(CH126^2*BT126)-1)+(CC126*BJ126)^2*(EXP(CI126^2*BT126)-1)+2*CA126*BH126*CB126*BI126*(EXP(CG126*CH126*BT126)-1)+2*CB126*BI126*CC126*BJ126*(EXP(CH126*CI126*BT126)-1)+2*CC126*BJ126*CA126*BH126*(EXP(CI126*CG126*BT126)-1))/(CE126*BR126)^2)/BT126),0),"")</f>
        <v>#VALUE!</v>
      </c>
      <c r="CL126" s="1587" t="e">
        <f aca="false">IF(OR(BQ126,BS126),IF(OVolType&lt;&gt;2,SQRT(IF(OVolOverMonthlyOffPeak,OVolOverMonthlyOffPeak,IF(OVolCurve,IF(OBuySell,AD126,AF126),AE126))^2*(1-15/365.25/BT126)+IF(OVolOverDailyOffPeak,OVolOverDailyOffPeak,IF(OVolCurve,IF(OBuySell,AP126,AR126),AQ126))^2*15/365.25/BT126),IF(OVolOverMonthlyOffPeak,OVolOverMonthlyOffPeak,IF(OVolCurve,IF(OBuySell,AD126,AF126),AE126))),"")</f>
        <v>#VALUE!</v>
      </c>
      <c r="CM126" s="1587" t="e">
        <f aca="false">IF(BQ126,SQRT(LN(1+((BY126*BP126)^2*(EXP(CJ126^2*BT126)-1)+(BX126*BC126)^2*(EXP(CL126^2*BT126)-1)+2*BY126*BP126*BX126*BC126*(EXP(AS126*CJ126*CL126*BT126)-1))/(BY126*BP126+BX126*BC126)^2)/BT126),"")</f>
        <v>#VALUE!</v>
      </c>
      <c r="CN126" s="1588" t="e">
        <f aca="false">IF(BS126,SQRT(LN(1+((CE126*BR126)^2*(EXP(CK126^2*BT126)-1)+(CD126*BK126)^2*(EXP(CL126^2*BT126)-1)+2*CE126*BR126*CD126*BK126*(EXP(AS126*CK126*CL126*BT126)-1))/(CE126*BR126+CD126*BK126)^2)/BT126),"")</f>
        <v>#VALUE!</v>
      </c>
      <c r="CO126" s="1531" t="e">
        <f aca="false">IF(OR(BQ126,BS126),VLOOKUP(A126,GasTable,13)*HeatRatePeak*(1+VLOOKUP($B126,HeatRateDegradation,$C126+1))/1000,0)</f>
        <v>#VALUE!</v>
      </c>
      <c r="CP126" s="1316" t="e">
        <f aca="false">IF(OR(BQ126,BS126),VLOOKUP(A126,GasTable,13)*HeatRatePeak*(1+VLOOKUP($B126,HeatRateDegradation,$C126+1))/1000,0)</f>
        <v>#VALUE!</v>
      </c>
      <c r="CQ126" s="1316" t="e">
        <f aca="false">IF(OR(BQ126,BS126),VLOOKUP(A126,GasTable,13)*IF(EV126,HeatRatePeak,HeatRateOffPeak)*(1+VLOOKUP($B126,HeatRateDegradation,$C126+1))/1000,0)</f>
        <v>#VALUE!</v>
      </c>
      <c r="CR126" s="1316" t="e">
        <f aca="false">IF(OR(BQ126,BS126),VLOOKUP(A126,GasTable,13)*IF(EW126,HeatRatePeak,HeatRateOffPeak)*(1+VLOOKUP($B126,HeatRateDegradation,$C126+1))/1000,0)</f>
        <v>#VALUE!</v>
      </c>
      <c r="CS126" s="1589" t="e">
        <f aca="false">IF(BQ126,(CO126*AZ126+CP126*BA126+CQ126*BB126+CR126*BC126)/BQ126,0)</f>
        <v>#VALUE!</v>
      </c>
      <c r="CT126" s="1316" t="e">
        <f aca="false">IF(BS126,CO126,0)</f>
        <v>#VALUE!</v>
      </c>
      <c r="CU126" s="1590" t="e">
        <f aca="false">IF(OR(BQ126,BS126),VLOOKUP(A126,GasTable,14),"")</f>
        <v>#VALUE!</v>
      </c>
      <c r="CV126" s="1568" t="e">
        <f aca="false">IF(OR(BQ126,BS126),IF(CorrPowerGasOverFlag,INDEX(CorrPowerGasOver,C126),CorrPowerGas),"")</f>
        <v>#VALUE!</v>
      </c>
      <c r="CW126" s="1316" t="e">
        <f aca="false">IF(OR($BQ126,$BS126),SpreadOptPowerMargin,0)*((1+Assumptions!$C$26)^($B126-YEAR(Assumptions!$C$17)))</f>
        <v>#VALUE!</v>
      </c>
      <c r="CX126" s="1316" t="e">
        <f aca="false">IF(OR($BQ126,$BS126),SpreadOptPowerMargin,0)*((1+Assumptions!$C$26)^($B126-YEAR(Assumptions!$C$17)))</f>
        <v>#VALUE!</v>
      </c>
      <c r="CY126" s="1316" t="e">
        <f aca="false">IF(OR($BQ126,$BS126),SpreadOptPowerMargin,0)*((1+Assumptions!$C$26)^($B126-YEAR(Assumptions!$C$17)))</f>
        <v>#VALUE!</v>
      </c>
      <c r="CZ126" s="1316" t="e">
        <f aca="false">IF(OR($BQ126,$BS126),SpreadOptPowerMargin,0)*((1+Assumptions!$C$26)^($B126-YEAR(Assumptions!$C$17)))</f>
        <v>#VALUE!</v>
      </c>
      <c r="DA126" s="1591" t="e">
        <f aca="false">IF(OR(BQ126,BS126),(CW126*(AZ126+BH126)+CX126*(BA126+BI126)+CY126*(BB126+BJ126)+CZ126*(BC126+BK126))/(BQ126+BS126),0)</f>
        <v>#VALUE!</v>
      </c>
      <c r="DB126" s="1592" t="e">
        <f aca="false">IF(OR(BQ126,BS126),CG126+IF(OVolSmile,VLOOKUP(MAX(-5,CO126+CW126-BU126),IF(OVolSmile=1,VolSmileBook,VolSmileModel),2),0),"")</f>
        <v>#VALUE!</v>
      </c>
      <c r="DC126" s="1592" t="e">
        <f aca="false">IF(OR(BQ126,BS126),CH126+IF(OVolSmile,VLOOKUP(MAX(-5,CP126+CW126-BV126),IF(OVolSmile=1,VolSmileBook,VolSmileModel),2),0),"")</f>
        <v>#VALUE!</v>
      </c>
      <c r="DD126" s="1592" t="e">
        <f aca="false">IF(OR(BQ126,BS126),CI126+IF(OVolSmile,VLOOKUP(MAX(-5,CQ126+CW126-BW126),IF(OVolSmile=1,VolSmileBook,VolSmileModel),2),0),"")</f>
        <v>#VALUE!</v>
      </c>
      <c r="DE126" s="1592" t="e">
        <f aca="false">IF(OR(BQ126,BS126),CL126+IF(OVolSmile,VLOOKUP(MAX(-5,CR126+CZ126-BX126),IF(OVolSmile=1,VolSmileBook,VolSmileModel),2),0),"")</f>
        <v>#VALUE!</v>
      </c>
      <c r="DF126" s="1592" t="e">
        <f aca="false">IF(BQ126,CM126+IF(OVolSmile,VLOOKUP(MAX(-5,CS126+DA126-BZ126),IF(OVolSmile=1,VolSmileBook,VolSmileModel),2),0),"")</f>
        <v>#VALUE!</v>
      </c>
      <c r="DG126" s="1593" t="e">
        <f aca="false">IF(BS126,CN126+IF(OVolSmile,VLOOKUP(MAX(-5,CT126+DA126-CF126),IF(OVolSmile=1,VolSmileBook,VolSmileModel),2),0),"")</f>
        <v>#VALUE!</v>
      </c>
      <c r="DH126" s="1316" t="e">
        <f aca="false">IF(AND(BU126&gt;0,CO126&gt;0,DB126&gt;0,CU126&gt;0),newSPRDOPT(BU126,CO126,CW126,0,DB126,CU126,CV126,BT126*365.25,OCallPut,0),0)</f>
        <v>#VALUE!</v>
      </c>
      <c r="DI126" s="1316" t="e">
        <f aca="false">IF(AND(BV126&gt;0,CP126&gt;0,DC126&gt;0,CU126&gt;0),newSPRDOPT(BV126,CP126,CX126,0,DC126,CU126,CV126,BT126*365.25,OCallPut,0),0)</f>
        <v>#VALUE!</v>
      </c>
      <c r="DJ126" s="1316" t="e">
        <f aca="false">IF(AND(BW126&gt;0,CQ126&gt;0,DD126&gt;0,CU126&gt;0),newSPRDOPT(BW126,CQ126,CY126,0,DD126,CU126,CV126,BT126*365.25,OCallPut,0),0)</f>
        <v>#VALUE!</v>
      </c>
      <c r="DK126" s="1316" t="e">
        <f aca="false">IF(AND(BX126&gt;0,CR126&gt;0,DE126&gt;0,CU126&gt;0),newSPRDOPT(BX126,CR126,CZ126,0,DE126,CU126,CV126,BT126*365.25,OCallPut,0),0)</f>
        <v>#VALUE!</v>
      </c>
      <c r="DL126" s="1316" t="e">
        <f aca="false">IF(OVolType,IF(AND(BZ126&gt;0,CS126&gt;0,DF126&gt;0,CU126&gt;0),newSPRDOPT(BZ126,CS126,DA126,0,DF126,CU126,CV126,BT126*365.25,OCallPut,0),0),IF(BQ126,(DH126*AZ126+DI126*BA126+DJ126*BB126+DK126*BC126)/BQ126,0))</f>
        <v>#VALUE!</v>
      </c>
      <c r="DM126" s="1316"/>
      <c r="DN126" s="1316"/>
      <c r="DO126" s="1316"/>
      <c r="DP126" s="1316"/>
      <c r="DQ126" s="1316"/>
      <c r="DR126" s="1316"/>
      <c r="DS126" s="1316"/>
      <c r="DT126" s="1316"/>
      <c r="DU126" s="1316"/>
      <c r="DV126" s="1316"/>
      <c r="DW126" s="1594" t="e">
        <f aca="false">IF(AND(BW126&gt;0,CT126&gt;0,DD126&gt;0,CU126&gt;0),newSPRDOPT(BW126,CT126,CY126,0,DD126,CU126,CV126,BT126*365.25,OCallPut,0),0)</f>
        <v>#VALUE!</v>
      </c>
      <c r="DX126" s="1316" t="e">
        <f aca="false">IF(AND(BX126&gt;0,CT126&gt;0,DE126&gt;0,CU126&gt;0),newSPRDOPT(BX126,CT126,CZ126,0,DE126,CU126,CV126,BT126*365.25,OCallPut,0),0)</f>
        <v>#VALUE!</v>
      </c>
      <c r="DY126" s="1591" t="e">
        <f aca="false">IF(BS126,(DH126*BH126+DI126*BI126+DW126*BJ126+DX126*BK126)/BS126,0)</f>
        <v>#VALUE!</v>
      </c>
      <c r="DZ126" s="1551" t="e">
        <f aca="false">DH126*AZ126</f>
        <v>#VALUE!</v>
      </c>
      <c r="EA126" s="1551" t="e">
        <f aca="false">DI126*BA126</f>
        <v>#VALUE!</v>
      </c>
      <c r="EB126" s="1551" t="e">
        <f aca="false">DJ126*BB126</f>
        <v>#VALUE!</v>
      </c>
      <c r="EC126" s="1551" t="e">
        <f aca="false">DK126*BC126</f>
        <v>#VALUE!</v>
      </c>
      <c r="ED126" s="1551" t="e">
        <f aca="false">DL126*BQ126</f>
        <v>#VALUE!</v>
      </c>
      <c r="EE126" s="1595" t="e">
        <f aca="false">IF(BQ126,IF(OCallPut,IF(BU126&gt;(CO126+CW126),BU126-(CO126+CW126),0),IF((CO126+CW126)&gt;BU126,(CO126+CW126)-BU126,0))*AZ126,0)</f>
        <v>#VALUE!</v>
      </c>
      <c r="EF126" s="1596" t="e">
        <f aca="false">IF(BQ126,IF(OCallPut,IF(BV126&gt;(CP126+CX126),BV126-(CP126+CX126),0),IF((CP126+CX126)&gt;BV126,(CP126+CX126)-BV126,0))*BA126,0)</f>
        <v>#VALUE!</v>
      </c>
      <c r="EG126" s="1596" t="e">
        <f aca="false">IF(BQ126,IF(OCallPut,IF(BW126&gt;(CQ126+CY126),BW126-(CQ126+CY126),0),IF((CQ126+CY126)&gt;BW126,(CQ126+CY126)-BW126,0))*BB126,0)</f>
        <v>#VALUE!</v>
      </c>
      <c r="EH126" s="1596" t="e">
        <f aca="false">IF(BQ126,IF(OCallPut,IF(BX126&gt;(CR126+CZ126),BX126-(CR126+CZ126),0),IF((CR126+CZ126)&gt;BX126,(CR126+CZ126)-BX126,0))*BC126,0)</f>
        <v>#VALUE!</v>
      </c>
      <c r="EI126" s="1597" t="e">
        <f aca="false">IF(BQ126,IF(OVolType,IF(OCallPut,IF(BZ126&gt;(CS126+DA126),BZ126-(CS126+DA126),0),IF((CS126+DA126)&gt;BZ126,(CS126+DA126)-BZ126,0))*BQ126,SUM(EE126:EH126)),0)</f>
        <v>#VALUE!</v>
      </c>
      <c r="EJ126" s="1595" t="e">
        <f aca="false">DZ126-EE126</f>
        <v>#VALUE!</v>
      </c>
      <c r="EK126" s="1596" t="e">
        <f aca="false">EA126-EF126</f>
        <v>#VALUE!</v>
      </c>
      <c r="EL126" s="1596" t="e">
        <f aca="false">EB126-EG126</f>
        <v>#VALUE!</v>
      </c>
      <c r="EM126" s="1596" t="e">
        <f aca="false">EC126-EH126</f>
        <v>#VALUE!</v>
      </c>
      <c r="EN126" s="1597" t="e">
        <f aca="false">ED126-EI126</f>
        <v>#VALUE!</v>
      </c>
      <c r="EO126" s="1551" t="e">
        <f aca="false">DH126*BH126</f>
        <v>#VALUE!</v>
      </c>
      <c r="EP126" s="1551" t="e">
        <f aca="false">DI126*BI126</f>
        <v>#VALUE!</v>
      </c>
      <c r="EQ126" s="1551" t="e">
        <f aca="false">DW126*BJ126</f>
        <v>#VALUE!</v>
      </c>
      <c r="ER126" s="1551" t="e">
        <f aca="false">DX126*BK126</f>
        <v>#VALUE!</v>
      </c>
      <c r="ES126" s="1551" t="e">
        <f aca="false">DY126*BS126</f>
        <v>#VALUE!</v>
      </c>
      <c r="ET126" s="1566" t="e">
        <f aca="false">IF(EI126,IF(OCallPut,IF(CA126&gt;(CT126+CW126),CA126-(CT126+CW126),0),IF((CT126+CW126)&gt;CA126,(CT126+CW126)-CA126,0))*BH126,0)</f>
        <v>#VALUE!</v>
      </c>
      <c r="EU126" s="1551" t="e">
        <f aca="false">IF(EI126,IF(OCallPut,IF(CB126&gt;(CT126+CX126),CB126-(CT126+CX126),0),IF((CT126+CX126)&gt;CB126,(CT126+CX126)-CB126,0))*BI126,0)</f>
        <v>#VALUE!</v>
      </c>
      <c r="EV126" s="1551" t="e">
        <f aca="false">IF(EI126,IF(OCallPut,IF(CC126&gt;(CT126+CY126),CC126-(CT126+CY126),0),IF((CT126+CY126)&gt;CC126,(CT126+CY126)-CC126,0))*BJ126,0)</f>
        <v>#VALUE!</v>
      </c>
      <c r="EW126" s="1551" t="e">
        <f aca="false">IF(EI126,IF(OCallPut,IF(CD126&gt;(CT126+CZ126),CD126-(CT126+CZ126),0),IF((CT126+CZ126)&gt;CD126,(CT126+CZ126)-CD126,0))*BK126,0)</f>
        <v>#VALUE!</v>
      </c>
      <c r="EX126" s="1558" t="e">
        <f aca="false">IF(EI126,SUM(ET126:EW126),0)</f>
        <v>#VALUE!</v>
      </c>
      <c r="EY126" s="1551" t="e">
        <f aca="false">EO126-ET126</f>
        <v>#VALUE!</v>
      </c>
      <c r="EZ126" s="1551" t="e">
        <f aca="false">EP126-EU126</f>
        <v>#VALUE!</v>
      </c>
      <c r="FA126" s="1551" t="e">
        <f aca="false">EQ126-EV126</f>
        <v>#VALUE!</v>
      </c>
      <c r="FB126" s="1551" t="e">
        <f aca="false">ER126-EW126</f>
        <v>#VALUE!</v>
      </c>
      <c r="FC126" s="1551" t="e">
        <f aca="false">ES126-EX126</f>
        <v>#VALUE!</v>
      </c>
      <c r="FD126" s="1525" t="n">
        <f aca="false">IF(AX126,IF(VLOOKUP(C126,MAIN!$L$17:$M$28,2)="Yes",VLOOKUP(CALC!B126,MAIN!$H$17:$I$20,2),0),0)</f>
        <v>0</v>
      </c>
      <c r="FE126" s="1552" t="e">
        <f aca="false">$FD126*16*AT126*(1-$AY126)</f>
        <v>#VALUE!</v>
      </c>
      <c r="FF126" s="1553" t="e">
        <f aca="false">$FD126*16*AU126*(1-$AY126)</f>
        <v>#VALUE!</v>
      </c>
      <c r="FG126" s="1553" t="e">
        <f aca="false">$FD126*16*(AV126+AW126)*(1-$AY126)</f>
        <v>#VALUE!</v>
      </c>
      <c r="FH126" s="1554" t="n">
        <f aca="false">$FD126*8*AX126*(1-$AY126)</f>
        <v>0</v>
      </c>
      <c r="FI126" s="1555" t="n">
        <f aca="false">IF(AX126,VLOOKUP(CALC!B126,MAIN!$H$17:$K$20,4),0)</f>
        <v>0</v>
      </c>
      <c r="FJ126" s="1553" t="e">
        <f aca="false">SUM(FE126:FH126)</f>
        <v>#VALUE!</v>
      </c>
      <c r="FK126" s="1556" t="e">
        <f aca="false">FI126*FJ126</f>
        <v>#VALUE!</v>
      </c>
      <c r="FL126" s="1551" t="e">
        <f aca="false">IF($EI126&gt;0,MIN(FE126,AZ126*(1+VLOOKUP($C126,WeatherCapacityAdjustment,2))),0)</f>
        <v>#VALUE!</v>
      </c>
      <c r="FM126" s="1551" t="e">
        <f aca="false">IF($EI126&gt;0,MIN(FF126,BA126*(1+VLOOKUP($C126,WeatherCapacityAdjustment,2))),0)</f>
        <v>#VALUE!</v>
      </c>
      <c r="FN126" s="1551" t="e">
        <f aca="false">IF($EI126&gt;0,MIN(FG126,BB126*(1+VLOOKUP($C126,WeatherCapacityAdjustment,2))),0)</f>
        <v>#VALUE!</v>
      </c>
      <c r="FO126" s="1564" t="e">
        <f aca="false">IF($EI126&gt;0,MIN(FH126,BC126*(1+VLOOKUP($C126,WeatherCapacityAdjustment,3))),0)</f>
        <v>#VALUE!</v>
      </c>
      <c r="FP126" s="1551" t="e">
        <f aca="false">IF(ET126&gt;0,MIN(FE126-FL126,BH126*(1+VLOOKUP($C126,WeatherCapacityAdjustment,2))),0)</f>
        <v>#VALUE!</v>
      </c>
      <c r="FQ126" s="1551" t="e">
        <f aca="false">IF(EU126&gt;0,MIN(FF126-FM126,BI126*(1+VLOOKUP($C126,WeatherCapacityAdjustment,2))),0)</f>
        <v>#VALUE!</v>
      </c>
      <c r="FR126" s="1551" t="e">
        <f aca="false">IF(EV126&gt;0,MIN(FG126-FN126,BJ126*(1+VLOOKUP($C126,WeatherCapacityAdjustment,2))),0)</f>
        <v>#VALUE!</v>
      </c>
      <c r="FS126" s="1558" t="e">
        <f aca="false">IF(EW126&gt;0,MIN(FH126-FO126,BK126*(1+VLOOKUP($C126,WeatherCapacityAdjustment,3))),0)</f>
        <v>#VALUE!</v>
      </c>
      <c r="FT126" s="1566" t="e">
        <f aca="false">IF(AND(Assumptions!$H$71="Yes",A126&gt;=Assumptions!$H$72,A126&lt;=Assumptions!$H$73),0,IF(AND($A126&gt;=Assumptions!$C$17,$A126&lt;=Assumptions!$C$18),MAX(AZ126*(1+VLOOKUP($C126,WeatherCapacityAdjustment,2))-FL126,0),0))</f>
        <v>#VALUE!</v>
      </c>
      <c r="FU126" s="1551" t="e">
        <f aca="false">IF(AND(Assumptions!$H$71="Yes",A126&gt;=Assumptions!$H$72,A126&lt;=Assumptions!$H$73),0,IF(AND($A126&gt;=Assumptions!$C$17,$A126&lt;=Assumptions!$C$18),MAX(BA126*(1+VLOOKUP($C126,WeatherCapacityAdjustment,2))-FM126,0),0))</f>
        <v>#VALUE!</v>
      </c>
      <c r="FV126" s="1551" t="e">
        <f aca="false">IF(AND(Assumptions!$H$71="Yes",A126&gt;=Assumptions!$H$72,A126&lt;=Assumptions!$H$73),0,IF(AND($A126&gt;=Assumptions!$C$17,$A126&lt;=Assumptions!$C$18),MAX(BB126*(1+VLOOKUP($C126,WeatherCapacityAdjustment,2))-FN126,0),0))</f>
        <v>#VALUE!</v>
      </c>
      <c r="FW126" s="1564" t="e">
        <f aca="false">IF(AND(Assumptions!$H$71="Yes",A126&gt;=Assumptions!$H$72,A126&lt;=Assumptions!$H$73),0,IF(AND($A126&gt;=Assumptions!$C$17,$A126&lt;=Assumptions!$C$18),MAX(BC126*(1+VLOOKUP($C126,WeatherCapacityAdjustment,3))-FO126,0),0))</f>
        <v>#VALUE!</v>
      </c>
      <c r="FX126" s="1569" t="e">
        <f aca="false">IF(AND(Assumptions!$H$71="Yes",A126&gt;=Assumptions!$H$72,A126&lt;=Assumptions!$H$73),0,IF(ET126&gt;0,MAX(BH126*(1+VLOOKUP($C126,WeatherCapacityAdjustment,2))-FP126,0),0))</f>
        <v>#VALUE!</v>
      </c>
      <c r="FY126" s="1551" t="e">
        <f aca="false">IF(AND(Assumptions!$H$71="Yes",A126&gt;=Assumptions!$H$72,A126&lt;=Assumptions!$H$73),0,IF(EU126&gt;0,MAX(BI126*(1+VLOOKUP($C126,WeatherCapacityAdjustment,3))-FQ126,0),0))</f>
        <v>#VALUE!</v>
      </c>
      <c r="FZ126" s="1551" t="e">
        <f aca="false">IF(AND(Assumptions!$H$71="Yes",A126&gt;=Assumptions!$H$72,A126&lt;=Assumptions!$H$73),0,IF(EV126&gt;0,MAX(BJ126*(1+VLOOKUP($C126,WeatherCapacityAdjustment,2))-FR126,0),0))</f>
        <v>#VALUE!</v>
      </c>
      <c r="GA126" s="1564" t="e">
        <f aca="false">IF(AND(Assumptions!$H$71="Yes",A126&gt;=Assumptions!$H$72,A126&lt;=Assumptions!$H$73),0,IF(EW126&gt;0,MAX(BK126*(1+VLOOKUP($C126,WeatherCapacityAdjustment,2))-FS126,0),0))</f>
        <v>#VALUE!</v>
      </c>
      <c r="GB126" s="1551" t="e">
        <f aca="false">SUM(FT126:GA126)</f>
        <v>#VALUE!</v>
      </c>
      <c r="GC126" s="1563" t="e">
        <f aca="false">+IF(SUM(FT126:GA126)=0,0,(SUMPRODUCT(BU126:BX126,FT126:FW126)+SUMPRODUCT(CA126:CD126,FX126:GA126))/SUM(FT126:GA126))</f>
        <v>#VALUE!</v>
      </c>
      <c r="GD126" s="1551" t="e">
        <f aca="false">(FT126*BU126+FX126*CA126+FU126*BV126+FY126*CB126+FV126*BW126+FZ126*CC126+FW126*BX126+GA126*CD126)</f>
        <v>#VALUE!</v>
      </c>
      <c r="GE126" s="1561" t="e">
        <f aca="false">+IF(BQ126,((FL126+FM126+FT126+FU126)*HeatRatePeak/1000*(1+VLOOKUP($C126,WeatherHeatRateAdjustment,2))+(FN126+FV126)*IF(EV126&gt;0,HeatRatePeak,HeatRateOffPeak)/1000*(1+VLOOKUP($C126,WeatherHeatRateAdjustment,2))+(FO126+FW126)*IF(EW126&gt;0,HeatRatePeak,HeatRateOffPeak)/1000*(1+VLOOKUP($C126,WeatherHeatRateAdjustment,3)))*(1+VLOOKUP($B126,HeatRateDegradation,$C126+1)),0)</f>
        <v>#VALUE!</v>
      </c>
      <c r="GF126" s="1562" t="e">
        <f aca="false">IF(BQ126,((FP126+FQ126+FR126+FX126+FY126+FZ126)*HeatRatePeak/1000*(1+VLOOKUP($C126,WeatherHeatRateAdjustment,2))+(FS126+GA126)*HeatRatePeak/1000*(1+VLOOKUP($C126,WeatherHeatRateAdjustment,3)))*(1+VLOOKUP($B126,HeatRateDegradation,$C126+1)),0)</f>
        <v>#VALUE!</v>
      </c>
      <c r="GG126" s="1563" t="e">
        <f aca="false">IF(BQ126,VLOOKUP(A126,GasTable,13),0)</f>
        <v>#VALUE!</v>
      </c>
      <c r="GH126" s="1564" t="e">
        <f aca="false">(GE126+GF126)*GG126</f>
        <v>#VALUE!</v>
      </c>
      <c r="GI126" s="1569" t="e">
        <f aca="false">GB126</f>
        <v>#VALUE!</v>
      </c>
      <c r="GJ126" s="1598" t="e">
        <f aca="false">+DA126</f>
        <v>#VALUE!</v>
      </c>
      <c r="GK126" s="1558" t="e">
        <f aca="false">+GI126*GJ126</f>
        <v>#VALUE!</v>
      </c>
      <c r="GL126" s="1566" t="e">
        <f aca="false">MAX(FE126-FL126-FP126,0)</f>
        <v>#VALUE!</v>
      </c>
      <c r="GM126" s="1551" t="e">
        <f aca="false">MAX(FF126-FM126-FQ126,0)</f>
        <v>#VALUE!</v>
      </c>
      <c r="GN126" s="1551" t="e">
        <f aca="false">MAX(FG126-FN126-FR126,0)</f>
        <v>#VALUE!</v>
      </c>
      <c r="GO126" s="1564" t="e">
        <f aca="false">MAX(FH126-FO126-FS126,0)</f>
        <v>#VALUE!</v>
      </c>
      <c r="GP126" s="1551" t="e">
        <f aca="false">SUM(GL126:GO126)</f>
        <v>#VALUE!</v>
      </c>
      <c r="GQ126" s="1563" t="e">
        <f aca="false">IF(SUM(GL126:GO126)=0,0,((GL126*BU126+GM126*BV126+GN126*BW126+GO126*BX126)/SUM(GL126:GO126)))</f>
        <v>#VALUE!</v>
      </c>
      <c r="GR126" s="1558" t="e">
        <f aca="false">(GL126*BU126+GM126*BV126+GN126*BW126+GO126*BX126)</f>
        <v>#VALUE!</v>
      </c>
      <c r="GS126" s="1566" t="n">
        <f aca="false">IF($A126&gt;=BegDate,Assumptions!$C$56*24*($A127-$A126)*(1-VLOOKUP($B126,MAIN!$AA$7:$AM$28,$C126+1))*(1-VLOOKUP($B126,MAIN!$AA$33:$AM$54,$C126+1)),0)*80/168</f>
        <v>249428.571428571</v>
      </c>
      <c r="GT126" s="286" t="n">
        <f aca="false">J126</f>
        <v>34.3831717270345</v>
      </c>
      <c r="GU126" s="286" t="n">
        <f aca="false">IF($A126&gt;=BegDate,VLOOKUP($A126,GasTable,13)+Assumptions!$C$58,0)</f>
        <v>2.66476708852772</v>
      </c>
      <c r="GV126" s="286" t="n">
        <f aca="false">GU126*Assumptions!$C$57/1000</f>
        <v>19.3195613918259</v>
      </c>
      <c r="GW126" s="1558" t="n">
        <f aca="false">IF(Assumptions!$C$60="Hourly",MAX(0,GS126*(GT126-GV126)),GS126*(GT126-GV126))</f>
        <v>3757294.80646773</v>
      </c>
      <c r="GX126" s="1566" t="n">
        <f aca="false">IF($A126&gt;=BegDate,Assumptions!$C$56*24*($A127-$A126)*(1-VLOOKUP($B126,MAIN!$AA$7:$AM$28,$C126+1))*(1-VLOOKUP($B126,MAIN!$AA$33:$AM$54,$C126+1)),0)*16/168</f>
        <v>49885.7142857143</v>
      </c>
      <c r="GY126" s="286" t="n">
        <f aca="false">M126</f>
        <v>34.3831717270345</v>
      </c>
      <c r="GZ126" s="286" t="n">
        <f aca="false">IF($A126&gt;=BegDate,VLOOKUP($A126,GasTable,13)+Assumptions!$C$58,0)</f>
        <v>2.66476708852772</v>
      </c>
      <c r="HA126" s="286" t="n">
        <f aca="false">GZ126*Assumptions!$C$57/1000</f>
        <v>19.3195613918259</v>
      </c>
      <c r="HB126" s="1558" t="n">
        <f aca="false">IF(Assumptions!$C$60="Hourly",MAX(0,GX126*(GY126-HA126)),GX126*(GY126-HA126))</f>
        <v>751458.961293546</v>
      </c>
      <c r="HC126" s="1566" t="n">
        <f aca="false">IF($A126&gt;=BegDate,Assumptions!$C$56*24*($A127-$A126)*(1-VLOOKUP($B126,MAIN!$AA$7:$AM$28,$C126+1))*(1-VLOOKUP($B126,MAIN!$AA$33:$AM$54,$C126+1)),0)*16/168</f>
        <v>49885.7142857143</v>
      </c>
      <c r="HD126" s="286" t="n">
        <f aca="false">P126</f>
        <v>21.866130691055</v>
      </c>
      <c r="HE126" s="286" t="n">
        <f aca="false">IF($A126&gt;=BegDate,VLOOKUP($A126,GasTable,13)+Assumptions!$C$58,0)</f>
        <v>2.66476708852772</v>
      </c>
      <c r="HF126" s="286" t="n">
        <f aca="false">HE126*Assumptions!$C$57/1000</f>
        <v>19.3195613918259</v>
      </c>
      <c r="HG126" s="1558" t="n">
        <f aca="false">IF(Assumptions!$C$60="Hourly",MAX(0,HC126*(HD126-HF126)),HC126*(HD126-HF126))</f>
        <v>127037.428470111</v>
      </c>
      <c r="HH126" s="1566" t="n">
        <f aca="false">IF($A126&gt;=BegDate,Assumptions!$C$56*24*($A127-$A126)*(1-VLOOKUP($B126,MAIN!$AA$7:$AM$28,$C126+1))*(1-VLOOKUP($B126,MAIN!$AA$33:$AM$54,$C126+1)),0)*56/168</f>
        <v>174600</v>
      </c>
      <c r="HI126" s="286" t="n">
        <f aca="false">S126</f>
        <v>21.866130691055</v>
      </c>
      <c r="HJ126" s="286" t="n">
        <f aca="false">IF($A126&gt;=BegDate,VLOOKUP($A126,GasTable,13)+Assumptions!$C$58,0)</f>
        <v>2.66476708852772</v>
      </c>
      <c r="HK126" s="286" t="n">
        <f aca="false">HJ126*Assumptions!$C$57/1000</f>
        <v>19.3195613918259</v>
      </c>
      <c r="HL126" s="1558" t="n">
        <f aca="false">IF(Assumptions!$C$60="Hourly",MAX(0,HH126*(HI126-HK126)),HH126*(HI126-HK126))</f>
        <v>444630.99964539</v>
      </c>
      <c r="HM126" s="1566" t="n">
        <f aca="false">IF(AND(Assumptions!$H$71="Yes",A126&gt;=Assumptions!$H$72,A126&lt;=Assumptions!$H$73),Assumptions!$H$74*Assumptions!$C$9*1000,0)</f>
        <v>0</v>
      </c>
      <c r="HN126" s="1551"/>
      <c r="HO126" s="1563"/>
      <c r="HP126" s="1563"/>
      <c r="HQ126" s="1563"/>
      <c r="HR126" s="1563"/>
      <c r="HS126" s="1563"/>
      <c r="HT126" s="1563"/>
      <c r="HU126" s="1563"/>
      <c r="HV126" s="1563"/>
      <c r="HW126" s="1563"/>
      <c r="HX126" s="1563"/>
      <c r="HY126" s="1563"/>
      <c r="HZ126" s="1563"/>
      <c r="IA126" s="1563"/>
      <c r="IB126" s="1563"/>
      <c r="IC126" s="1563"/>
      <c r="ID126" s="1563"/>
      <c r="IE126" s="1563"/>
      <c r="IF126" s="1563"/>
      <c r="IG126" s="1563"/>
      <c r="IH126" s="1563"/>
      <c r="II126" s="1610"/>
      <c r="IJ126" s="1309"/>
      <c r="IK126" s="1309"/>
    </row>
    <row r="127" customFormat="false" ht="12.75" hidden="false" customHeight="false" outlineLevel="0" collapsed="false">
      <c r="A127" s="1571" t="n">
        <f aca="false">EOMONTH(A126,0)+1</f>
        <v>39995</v>
      </c>
      <c r="B127" s="594" t="n">
        <f aca="false">+YEAR(A127)</f>
        <v>2009</v>
      </c>
      <c r="C127" s="238" t="n">
        <f aca="false">MONTH(A127)</f>
        <v>7</v>
      </c>
      <c r="D127" s="1572" t="e">
        <f aca="false">IF(E127="","",Holiday(B127,C127))</f>
        <v>#VALUE!</v>
      </c>
      <c r="E127" s="1573" t="n">
        <f aca="false">IF(OR(BegDate&gt;=A128,EndDate&lt;A127,AND(VolumeMonthlyOverFlag,INDEX(VolumeMonthlyOver,C127)=0),NOT(INDEX(MonthKnockOutTable,C127))),"",MAX(A127,BegDate))</f>
        <v>39995</v>
      </c>
      <c r="F127" s="1574" t="n">
        <f aca="false">IF(E127="","",MIN(A128-1,EndDate))</f>
        <v>40025</v>
      </c>
      <c r="G127" s="1575" t="n">
        <v>0</v>
      </c>
      <c r="H127" s="1576" t="n">
        <f aca="false">(1+G127/2)^(-2*(DATE(B128,C128,20)-DateToday)/365.25)</f>
        <v>1</v>
      </c>
      <c r="I127" s="1568" t="n">
        <f aca="false">IF(Assumptions!$L$25=4,VLOOKUP($A127,'Henwood Reference'!$E$9:$R$320,10),(VLOOKUP($A127,PriceTable,2,0)+IF(BasisNumber&lt;&gt;1,VLOOKUP($A127,BasisTable,2,0),0)+I$1)/(1-I$2))</f>
        <v>52.432893809451</v>
      </c>
      <c r="J127" s="1568" t="n">
        <f aca="false">IF(Assumptions!$L$25=4,VLOOKUP($A127,'Henwood Reference'!$E$9:$R$320,10),(VLOOKUP($A127,PriceTable,3,0)+IF(BasisNumber&lt;&gt;1,VLOOKUP($A127,BasisTable,2,0),0)+J$1)/(1-J$2))</f>
        <v>52.432893809451</v>
      </c>
      <c r="K127" s="1568" t="n">
        <f aca="false">IF(Assumptions!$L$25=4,VLOOKUP($A127,'Henwood Reference'!$E$9:$R$320,10),(VLOOKUP($A127,PriceTable,4,0)+IF(BasisNumber&lt;&gt;1,VLOOKUP($A127,BasisTable,2,0),0)+K$1)/(1-K$2))</f>
        <v>52.432893809451</v>
      </c>
      <c r="L127" s="1523" t="n">
        <f aca="false">IF(Assumptions!$L$25=4,VLOOKUP($A127,'Henwood Reference'!$E$9:$R$320,10),(VLOOKUP($A127,PriceTableWeekend,2,0)+IF(BasisNumber&lt;&gt;1,VLOOKUP($A127,BasisTable,2,0),0)+L$1)/(1-L$2))</f>
        <v>52.432893809451</v>
      </c>
      <c r="M127" s="1568" t="n">
        <f aca="false">IF(Assumptions!$L$25=4,VLOOKUP($A127,'Henwood Reference'!$E$9:$R$320,10),(VLOOKUP($A127,PriceTableWeekend,3,0)+IF(BasisNumber&lt;&gt;1,VLOOKUP($A127,BasisTable,2,0),0)+M$1)/(1-M$2))</f>
        <v>52.432893809451</v>
      </c>
      <c r="N127" s="1599" t="n">
        <f aca="false">IF(Assumptions!$L$25=4,VLOOKUP($A127,'Henwood Reference'!$E$9:$R$320,10),(VLOOKUP($A127,PriceTableWeekend,4,0)+IF(BasisNumber&lt;&gt;1,VLOOKUP($A127,BasisTable,2,0),0)+N$1)/(1-N$2))</f>
        <v>52.432893809451</v>
      </c>
      <c r="O127" s="1568" t="n">
        <f aca="false">IF(Assumptions!$L$25=4,VLOOKUP($A127,'Henwood Reference'!$E$9:$R$320,11),(VLOOKUP($A127,PriceTableWeekend,6,0)+IF(BasisNumber&lt;&gt;1,VLOOKUP($A127,BasisTable,3,0),0)+O$1)/(1-O$2))</f>
        <v>26.4050922666825</v>
      </c>
      <c r="P127" s="1568" t="n">
        <f aca="false">IF(Assumptions!$L$25=4,VLOOKUP($A127,'Henwood Reference'!$E$9:$R$320,11),(VLOOKUP($A127,PriceTableWeekend,7,0)+IF(BasisNumber&lt;&gt;1,VLOOKUP($A127,BasisTable,3,0),0)+P$1)/(1-P$2))</f>
        <v>26.4050922666825</v>
      </c>
      <c r="Q127" s="1599" t="n">
        <f aca="false">IF(Assumptions!$L$25=4,VLOOKUP($A127,'Henwood Reference'!$E$9:$R$320,11),(VLOOKUP($A127,PriceTableWeekend,8,0)+IF(BasisNumber&lt;&gt;1,VLOOKUP($A127,BasisTable,3,0),0)+Q$1)/(1-Q$2))</f>
        <v>26.4050922666825</v>
      </c>
      <c r="R127" s="1568" t="n">
        <f aca="false">IF(Assumptions!$L$25=4,VLOOKUP($A127,'Henwood Reference'!$E$9:$R$320,11),(VLOOKUP($A127,PriceTable,6,0)+IF(BasisNumber&lt;&gt;1,VLOOKUP($A127,BasisTable,3,0),0)+R$1)/(1-R$2))</f>
        <v>26.4050922666825</v>
      </c>
      <c r="S127" s="1568" t="n">
        <f aca="false">IF(Assumptions!$L$25=4,VLOOKUP($A127,'Henwood Reference'!$E$9:$R$320,11),(VLOOKUP($A127,PriceTable,7,0)+IF(BasisNumber&lt;&gt;1,VLOOKUP($A127,BasisTable,3,0),0)+S$1)/(1-S$2))</f>
        <v>26.4050922666825</v>
      </c>
      <c r="T127" s="1600" t="n">
        <f aca="false">IF(Assumptions!$L$25=4,VLOOKUP($A127,'Henwood Reference'!$E$9:$R$320,11),(VLOOKUP($A127,PriceTable,8,0)+IF(BasisNumber&lt;&gt;1,VLOOKUP($A127,BasisTable,3,0),0)+T$1)/(1-T$2))</f>
        <v>26.4050922666825</v>
      </c>
      <c r="U127" s="1513" t="n">
        <f aca="false">VLOOKUP($A127,VolatilityTable,14)</f>
        <v>0.125</v>
      </c>
      <c r="V127" s="1513" t="n">
        <f aca="false">VLOOKUP($A127,VolatilityTable,15)</f>
        <v>0.135</v>
      </c>
      <c r="W127" s="1514" t="n">
        <f aca="false">VLOOKUP($A127,VolatilityTable,16)</f>
        <v>0.145</v>
      </c>
      <c r="X127" s="1513" t="n">
        <f aca="false">VLOOKUP($A127,VolatilityTable,14)</f>
        <v>0.125</v>
      </c>
      <c r="Y127" s="1513" t="n">
        <f aca="false">VLOOKUP($A127,VolatilityTable,15)</f>
        <v>0.135</v>
      </c>
      <c r="Z127" s="1514" t="n">
        <f aca="false">VLOOKUP($A127,VolatilityTable,16)</f>
        <v>0.145</v>
      </c>
      <c r="AA127" s="1513" t="n">
        <f aca="false">VLOOKUP($A127,VolatilityTable,18)</f>
        <v>0.09</v>
      </c>
      <c r="AB127" s="1513" t="n">
        <f aca="false">VLOOKUP($A127,VolatilityTable,19)</f>
        <v>0.11</v>
      </c>
      <c r="AC127" s="1514" t="n">
        <f aca="false">VLOOKUP($A127,VolatilityTable,20)</f>
        <v>0.13</v>
      </c>
      <c r="AD127" s="1513" t="n">
        <f aca="false">VLOOKUP($A127,VolatilityTable,18)</f>
        <v>0.09</v>
      </c>
      <c r="AE127" s="1513" t="n">
        <f aca="false">VLOOKUP($A127,VolatilityTable,19)</f>
        <v>0.11</v>
      </c>
      <c r="AF127" s="1514" t="n">
        <f aca="false">VLOOKUP($A127,VolatilityTable,20)</f>
        <v>0.13</v>
      </c>
      <c r="AG127" s="1513" t="n">
        <f aca="false">VLOOKUP($A127,VolatilityTable,22)</f>
        <v>-0.35</v>
      </c>
      <c r="AH127" s="1513" t="n">
        <f aca="false">VLOOKUP($A127,VolatilityTable,23)</f>
        <v>3</v>
      </c>
      <c r="AI127" s="1514" t="n">
        <f aca="false">VLOOKUP($A127,VolatilityTable,24)</f>
        <v>0.35</v>
      </c>
      <c r="AJ127" s="1513" t="n">
        <f aca="false">VLOOKUP($A127,VolatilityTable,22)</f>
        <v>-0.35</v>
      </c>
      <c r="AK127" s="1513" t="n">
        <f aca="false">VLOOKUP($A127,VolatilityTable,23)</f>
        <v>3</v>
      </c>
      <c r="AL127" s="1514" t="n">
        <f aca="false">VLOOKUP($A127,VolatilityTable,24)</f>
        <v>0.35</v>
      </c>
      <c r="AM127" s="1513" t="n">
        <f aca="false">VLOOKUP($A127,VolatilityTable,26)</f>
        <v>-0.01</v>
      </c>
      <c r="AN127" s="1513" t="n">
        <f aca="false">VLOOKUP($A127,VolatilityTable,27)</f>
        <v>0.16</v>
      </c>
      <c r="AO127" s="1514" t="n">
        <f aca="false">VLOOKUP($A127,VolatilityTable,28)</f>
        <v>0.01</v>
      </c>
      <c r="AP127" s="1513" t="n">
        <f aca="false">VLOOKUP($A127,VolatilityTable,26)</f>
        <v>-0.01</v>
      </c>
      <c r="AQ127" s="1513" t="n">
        <f aca="false">VLOOKUP($A127,VolatilityTable,27)</f>
        <v>0.16</v>
      </c>
      <c r="AR127" s="1515" t="n">
        <f aca="false">VLOOKUP($A127,VolatilityTable,28)</f>
        <v>0.01</v>
      </c>
      <c r="AS127" s="1581" t="n">
        <f aca="false">IF(CorrPeakOffPeakOverFlag,INDEX(CorrPeakOffPeakOver,C127),CorrPeakOffPeak)</f>
        <v>0.5</v>
      </c>
      <c r="AT127" s="594" t="e">
        <f aca="false">AX127-SUM(AU127:AW127)</f>
        <v>#VALUE!</v>
      </c>
      <c r="AU127" s="238" t="e">
        <f aca="false">IF(E127="",0,INT((F127-MOD(F127,7)-E127)/7)+1-IF(AW127,IF(WEEKDAY(D127)=7,1,0),0))</f>
        <v>#VALUE!</v>
      </c>
      <c r="AV127" s="238" t="e">
        <f aca="false">IF(E127="",0,INT((F127-MOD(F127-1,7)-E127)/7)+1-IF(AW127,IF(WEEKDAY(D127)=1,1,0),0))</f>
        <v>#VALUE!</v>
      </c>
      <c r="AW127" s="238" t="e">
        <f aca="false">IF(OR(E127="",D127="",D127&lt;BegDate,D127&gt;EndDate),0,1)</f>
        <v>#VALUE!</v>
      </c>
      <c r="AX127" s="238" t="n">
        <f aca="false">IF(E127="",0,F127-E127+1)</f>
        <v>31</v>
      </c>
      <c r="AY127" s="1582" t="n">
        <f aca="false">IF(E127="",0,MIN((1-(1-VLOOKUP(B127,MAIN!$AA$7:$AM$28,C127+1))*(1-VLOOKUP(B127,MAIN!$AA$33:$AM$54,C127+1))),1))</f>
        <v>0.03</v>
      </c>
      <c r="AZ127" s="1519" t="e">
        <v>#VALUE!</v>
      </c>
      <c r="BA127" s="1520" t="e">
        <v>#VALUE!</v>
      </c>
      <c r="BB127" s="1520" t="e">
        <v>#VALUE!</v>
      </c>
      <c r="BC127" s="1583" t="e">
        <v>#VALUE!</v>
      </c>
      <c r="BD127" s="1522" t="e">
        <v>#VALUE!</v>
      </c>
      <c r="BE127" s="1523" t="e">
        <v>#VALUE!</v>
      </c>
      <c r="BF127" s="1523" t="e">
        <v>#VALUE!</v>
      </c>
      <c r="BG127" s="1584" t="e">
        <v>#VALUE!</v>
      </c>
      <c r="BH127" s="1525" t="e">
        <v>#VALUE!</v>
      </c>
      <c r="BI127" s="1520" t="e">
        <v>#VALUE!</v>
      </c>
      <c r="BJ127" s="1520" t="e">
        <v>#VALUE!</v>
      </c>
      <c r="BK127" s="1583" t="e">
        <v>#VALUE!</v>
      </c>
      <c r="BL127" s="1522" t="e">
        <v>#VALUE!</v>
      </c>
      <c r="BM127" s="1523" t="e">
        <v>#VALUE!</v>
      </c>
      <c r="BN127" s="1523" t="e">
        <v>#VALUE!</v>
      </c>
      <c r="BO127" s="1523" t="e">
        <v>#VALUE!</v>
      </c>
      <c r="BP127" s="1525" t="e">
        <f aca="false">SUM(AZ127:BB127)</f>
        <v>#VALUE!</v>
      </c>
      <c r="BQ127" s="1529" t="e">
        <f aca="false">SUM(AZ127:BC127)</f>
        <v>#VALUE!</v>
      </c>
      <c r="BR127" s="1519" t="e">
        <f aca="false">SUM(BH127:BJ127)</f>
        <v>#VALUE!</v>
      </c>
      <c r="BS127" s="1529" t="e">
        <f aca="false">SUM(BH127:BK127)</f>
        <v>#VALUE!</v>
      </c>
      <c r="BT127" s="1316" t="n">
        <f aca="false">(IF(OVolType&lt;&gt;2,A127+14,IF(OptExpDateShift,ShiftBack(A127,OptExpDateShift,D126),A127))-DateToday)/365.25</f>
        <v>9.21286789869952</v>
      </c>
      <c r="BU127" s="1585" t="e">
        <f aca="false">IF(BQ127,IF(OPriceCurve,IF(OBuySell=OCallPut,I127/(1-AY127),K127/(1-AY127)),J127/(1-AY127))*BD127,0)</f>
        <v>#VALUE!</v>
      </c>
      <c r="BV127" s="1316" t="e">
        <f aca="false">IF(BQ127,IF(OPriceCurve,IF(OBuySell=OCallPut,L127/(1-AY127),N127/(1-AY127)),M127/(1-AY127))*BE127,0)</f>
        <v>#VALUE!</v>
      </c>
      <c r="BW127" s="1316" t="e">
        <f aca="false">IF(BQ127,IF(OPriceCurve,IF(OBuySell=OCallPut,O127/(1-AY127),Q127/(1-AY127)),P127/(1-AY127))*BF127,0)</f>
        <v>#VALUE!</v>
      </c>
      <c r="BX127" s="1316" t="e">
        <f aca="false">IF(BQ127,IF(OPriceCurve,IF(OBuySell=OCallPut,R127/(1-AY127),T127/(1-AY127)),S127/(1-AY127))*BG127,0)</f>
        <v>#VALUE!</v>
      </c>
      <c r="BY127" s="1316" t="e">
        <f aca="false">IF(BP127,(BU127*AZ127+BV127*BA127+BW127*BB127)/BP127,0)</f>
        <v>#VALUE!</v>
      </c>
      <c r="BZ127" s="1316" t="e">
        <f aca="false">IF(BQ127,(BY127*BP127+BX127*BC127)/BQ127,0)</f>
        <v>#VALUE!</v>
      </c>
      <c r="CA127" s="1531" t="e">
        <f aca="false">IF(BS127,IF(OPriceCurve,IF(OBuySell=OCallPut,I127/(1-AY127),K127/(1-AY127)),J127/(1-AY127))*BL127,0)</f>
        <v>#VALUE!</v>
      </c>
      <c r="CB127" s="1316" t="e">
        <f aca="false">IF(BS127,IF(OPriceCurve,IF(OBuySell=OCallPut,L127/(1-AY127),N127/(1-AY127)),M127/(1-AY127))*BM127,0)</f>
        <v>#VALUE!</v>
      </c>
      <c r="CC127" s="1316" t="e">
        <f aca="false">IF(BS127,IF(OPriceCurve,IF(OBuySell=OCallPut,O127/(1-AY127),Q127/(1-AY127)),P127/(1-AY127))*BN127,0)</f>
        <v>#VALUE!</v>
      </c>
      <c r="CD127" s="1316" t="e">
        <f aca="false">IF(BS127,IF(OPriceCurve,IF(OBuySell=OCallPut,R127/(1-AY127),T127/(1-AY127)),S127/(1-AY127))*BO127,0)</f>
        <v>#VALUE!</v>
      </c>
      <c r="CE127" s="1316" t="e">
        <f aca="false">IF(BR127,(BU127*BH127+BV127*BI127+BW127*BJ127)/BR127,0)</f>
        <v>#VALUE!</v>
      </c>
      <c r="CF127" s="1532" t="e">
        <f aca="false">IF(BS127,(CE127*BR127+CD127*BK127)/BS127,0)</f>
        <v>#VALUE!</v>
      </c>
      <c r="CG127" s="1586" t="e">
        <f aca="false">IF(OR(BQ127,BS127),IF(OVolType&lt;&gt;2,SQRT(IF(OVolOverMonthlyPeak,OVolOverMonthlyPeak,IF(OVolCurve,IF(OBuySell,U127,W127),V127))^2*(1-15/365.25/BT127)+IF(OVolOverDailyPeak,OVolOverDailyPeak,IF(OVolCurve,IF(OBuySell,AG127,AI127),AH127))^2*15/365.25/BT127),IF(OVolOverMonthlyPeak,OVolOverMonthlyPeak,IF(OVolCurve,IF(OBuySell,U127,W127),V127))),"")</f>
        <v>#VALUE!</v>
      </c>
      <c r="CH127" s="1587" t="e">
        <f aca="false">IF(OR(BQ127,BS127),IF(OVolType&lt;&gt;2,SQRT(IF(OVolOverMonthlyPeak,OVolOverMonthlyPeak,IF(OVolCurve,IF(OBuySell,X127,Z127),Y127))^2*(1-15/365.25/BT127)+IF(OVolOverDailyPeak,OVolOverDailyPeak,IF(OVolCurve,IF(OBuySell,AJ127,AL127),AK127))^2*15/365.25/BT127),IF(OVolOverMonthlyPeak,OVolOverMonthlyPeak,IF(OVolCurve,IF(OBuySell,X127,Z127),Y127))),"")</f>
        <v>#VALUE!</v>
      </c>
      <c r="CI127" s="1587" t="e">
        <f aca="false">IF(OR(BQ127,BS127),IF(OVolType&lt;&gt;2,SQRT(IF(OVolOverMonthlyPeak,OVolOverMonthlyPeak,IF(OVolCurve,IF(OBuySell,AA127,AC127),AB127))^2*(1-15/365.25/BT127)+IF(OVolOverDailyPeak,OVolOverDailyPeak,IF(OVolCurve,IF(OBuySell,AM127,AO127),AN127))^2*15/365.25/BT127),IF(OVolOverMonthlyPeak,OVolOverMonthlyPeak,IF(OVolCurve,IF(OBuySell,AA127,AC127),AB127))),"")</f>
        <v>#VALUE!</v>
      </c>
      <c r="CJ127" s="1587" t="e">
        <f aca="false">IF(BQ127,IF(BP127,SQRT(LN(1+((BU127*AZ127)^2*(EXP(CG127^2*BT127)-1)+(BV127*BA127)^2*(EXP(CH127^2*BT127)-1)+(BW127*BB127)^2*(EXP(CI127^2*BT127)-1)+2*BU127*AZ127*BV127*BA127*(EXP(CG127*CH127*BT127)-1)+2*BV127*BA127*BW127*BB127*(EXP(CH127*CI127*BT127)-1)+2*BW127*BB127*BU127*AZ127*(EXP(CI127*CG127*BT127)-1))/(BY127*BP127)^2)/BT127),0),"")</f>
        <v>#VALUE!</v>
      </c>
      <c r="CK127" s="1587" t="e">
        <f aca="false">IF(BS127,IF(BR127,SQRT(LN(1+((CA127*BH127)^2*(EXP(CG127^2*BT127)-1)+(CB127*BI127)^2*(EXP(CH127^2*BT127)-1)+(CC127*BJ127)^2*(EXP(CI127^2*BT127)-1)+2*CA127*BH127*CB127*BI127*(EXP(CG127*CH127*BT127)-1)+2*CB127*BI127*CC127*BJ127*(EXP(CH127*CI127*BT127)-1)+2*CC127*BJ127*CA127*BH127*(EXP(CI127*CG127*BT127)-1))/(CE127*BR127)^2)/BT127),0),"")</f>
        <v>#VALUE!</v>
      </c>
      <c r="CL127" s="1587" t="e">
        <f aca="false">IF(OR(BQ127,BS127),IF(OVolType&lt;&gt;2,SQRT(IF(OVolOverMonthlyOffPeak,OVolOverMonthlyOffPeak,IF(OVolCurve,IF(OBuySell,AD127,AF127),AE127))^2*(1-15/365.25/BT127)+IF(OVolOverDailyOffPeak,OVolOverDailyOffPeak,IF(OVolCurve,IF(OBuySell,AP127,AR127),AQ127))^2*15/365.25/BT127),IF(OVolOverMonthlyOffPeak,OVolOverMonthlyOffPeak,IF(OVolCurve,IF(OBuySell,AD127,AF127),AE127))),"")</f>
        <v>#VALUE!</v>
      </c>
      <c r="CM127" s="1587" t="e">
        <f aca="false">IF(BQ127,SQRT(LN(1+((BY127*BP127)^2*(EXP(CJ127^2*BT127)-1)+(BX127*BC127)^2*(EXP(CL127^2*BT127)-1)+2*BY127*BP127*BX127*BC127*(EXP(AS127*CJ127*CL127*BT127)-1))/(BY127*BP127+BX127*BC127)^2)/BT127),"")</f>
        <v>#VALUE!</v>
      </c>
      <c r="CN127" s="1588" t="e">
        <f aca="false">IF(BS127,SQRT(LN(1+((CE127*BR127)^2*(EXP(CK127^2*BT127)-1)+(CD127*BK127)^2*(EXP(CL127^2*BT127)-1)+2*CE127*BR127*CD127*BK127*(EXP(AS127*CK127*CL127*BT127)-1))/(CE127*BR127+CD127*BK127)^2)/BT127),"")</f>
        <v>#VALUE!</v>
      </c>
      <c r="CO127" s="1531" t="e">
        <f aca="false">IF(OR(BQ127,BS127),VLOOKUP(A127,GasTable,13)*HeatRatePeak*(1+VLOOKUP($B127,HeatRateDegradation,$C127+1))/1000,0)</f>
        <v>#VALUE!</v>
      </c>
      <c r="CP127" s="1316" t="e">
        <f aca="false">IF(OR(BQ127,BS127),VLOOKUP(A127,GasTable,13)*HeatRatePeak*(1+VLOOKUP($B127,HeatRateDegradation,$C127+1))/1000,0)</f>
        <v>#VALUE!</v>
      </c>
      <c r="CQ127" s="1316" t="e">
        <f aca="false">IF(OR(BQ127,BS127),VLOOKUP(A127,GasTable,13)*IF(EV127,HeatRatePeak,HeatRateOffPeak)*(1+VLOOKUP($B127,HeatRateDegradation,$C127+1))/1000,0)</f>
        <v>#VALUE!</v>
      </c>
      <c r="CR127" s="1316" t="e">
        <f aca="false">IF(OR(BQ127,BS127),VLOOKUP(A127,GasTable,13)*IF(EW127,HeatRatePeak,HeatRateOffPeak)*(1+VLOOKUP($B127,HeatRateDegradation,$C127+1))/1000,0)</f>
        <v>#VALUE!</v>
      </c>
      <c r="CS127" s="1589" t="e">
        <f aca="false">IF(BQ127,(CO127*AZ127+CP127*BA127+CQ127*BB127+CR127*BC127)/BQ127,0)</f>
        <v>#VALUE!</v>
      </c>
      <c r="CT127" s="1316" t="e">
        <f aca="false">IF(BS127,CO127,0)</f>
        <v>#VALUE!</v>
      </c>
      <c r="CU127" s="1590" t="e">
        <f aca="false">IF(OR(BQ127,BS127),VLOOKUP(A127,GasTable,14),"")</f>
        <v>#VALUE!</v>
      </c>
      <c r="CV127" s="1568" t="e">
        <f aca="false">IF(OR(BQ127,BS127),IF(CorrPowerGasOverFlag,INDEX(CorrPowerGasOver,C127),CorrPowerGas),"")</f>
        <v>#VALUE!</v>
      </c>
      <c r="CW127" s="1316" t="e">
        <f aca="false">IF(OR($BQ127,$BS127),SpreadOptPowerMargin,0)*((1+Assumptions!$C$26)^($B127-YEAR(Assumptions!$C$17)))</f>
        <v>#VALUE!</v>
      </c>
      <c r="CX127" s="1316" t="e">
        <f aca="false">IF(OR($BQ127,$BS127),SpreadOptPowerMargin,0)*((1+Assumptions!$C$26)^($B127-YEAR(Assumptions!$C$17)))</f>
        <v>#VALUE!</v>
      </c>
      <c r="CY127" s="1316" t="e">
        <f aca="false">IF(OR($BQ127,$BS127),SpreadOptPowerMargin,0)*((1+Assumptions!$C$26)^($B127-YEAR(Assumptions!$C$17)))</f>
        <v>#VALUE!</v>
      </c>
      <c r="CZ127" s="1316" t="e">
        <f aca="false">IF(OR($BQ127,$BS127),SpreadOptPowerMargin,0)*((1+Assumptions!$C$26)^($B127-YEAR(Assumptions!$C$17)))</f>
        <v>#VALUE!</v>
      </c>
      <c r="DA127" s="1591" t="e">
        <f aca="false">IF(OR(BQ127,BS127),(CW127*(AZ127+BH127)+CX127*(BA127+BI127)+CY127*(BB127+BJ127)+CZ127*(BC127+BK127))/(BQ127+BS127),0)</f>
        <v>#VALUE!</v>
      </c>
      <c r="DB127" s="1592" t="e">
        <f aca="false">IF(OR(BQ127,BS127),CG127+IF(OVolSmile,VLOOKUP(MAX(-5,CO127+CW127-BU127),IF(OVolSmile=1,VolSmileBook,VolSmileModel),2),0),"")</f>
        <v>#VALUE!</v>
      </c>
      <c r="DC127" s="1592" t="e">
        <f aca="false">IF(OR(BQ127,BS127),CH127+IF(OVolSmile,VLOOKUP(MAX(-5,CP127+CW127-BV127),IF(OVolSmile=1,VolSmileBook,VolSmileModel),2),0),"")</f>
        <v>#VALUE!</v>
      </c>
      <c r="DD127" s="1592" t="e">
        <f aca="false">IF(OR(BQ127,BS127),CI127+IF(OVolSmile,VLOOKUP(MAX(-5,CQ127+CW127-BW127),IF(OVolSmile=1,VolSmileBook,VolSmileModel),2),0),"")</f>
        <v>#VALUE!</v>
      </c>
      <c r="DE127" s="1592" t="e">
        <f aca="false">IF(OR(BQ127,BS127),CL127+IF(OVolSmile,VLOOKUP(MAX(-5,CR127+CZ127-BX127),IF(OVolSmile=1,VolSmileBook,VolSmileModel),2),0),"")</f>
        <v>#VALUE!</v>
      </c>
      <c r="DF127" s="1592" t="e">
        <f aca="false">IF(BQ127,CM127+IF(OVolSmile,VLOOKUP(MAX(-5,CS127+DA127-BZ127),IF(OVolSmile=1,VolSmileBook,VolSmileModel),2),0),"")</f>
        <v>#VALUE!</v>
      </c>
      <c r="DG127" s="1593" t="e">
        <f aca="false">IF(BS127,CN127+IF(OVolSmile,VLOOKUP(MAX(-5,CT127+DA127-CF127),IF(OVolSmile=1,VolSmileBook,VolSmileModel),2),0),"")</f>
        <v>#VALUE!</v>
      </c>
      <c r="DH127" s="1316" t="e">
        <f aca="false">IF(AND(BU127&gt;0,CO127&gt;0,DB127&gt;0,CU127&gt;0),newSPRDOPT(BU127,CO127,CW127,0,DB127,CU127,CV127,BT127*365.25,OCallPut,0),0)</f>
        <v>#VALUE!</v>
      </c>
      <c r="DI127" s="1316" t="e">
        <f aca="false">IF(AND(BV127&gt;0,CP127&gt;0,DC127&gt;0,CU127&gt;0),newSPRDOPT(BV127,CP127,CX127,0,DC127,CU127,CV127,BT127*365.25,OCallPut,0),0)</f>
        <v>#VALUE!</v>
      </c>
      <c r="DJ127" s="1316" t="e">
        <f aca="false">IF(AND(BW127&gt;0,CQ127&gt;0,DD127&gt;0,CU127&gt;0),newSPRDOPT(BW127,CQ127,CY127,0,DD127,CU127,CV127,BT127*365.25,OCallPut,0),0)</f>
        <v>#VALUE!</v>
      </c>
      <c r="DK127" s="1316" t="e">
        <f aca="false">IF(AND(BX127&gt;0,CR127&gt;0,DE127&gt;0,CU127&gt;0),newSPRDOPT(BX127,CR127,CZ127,0,DE127,CU127,CV127,BT127*365.25,OCallPut,0),0)</f>
        <v>#VALUE!</v>
      </c>
      <c r="DL127" s="1316" t="e">
        <f aca="false">IF(OVolType,IF(AND(BZ127&gt;0,CS127&gt;0,DF127&gt;0,CU127&gt;0),newSPRDOPT(BZ127,CS127,DA127,0,DF127,CU127,CV127,BT127*365.25,OCallPut,0),0),IF(BQ127,(DH127*AZ127+DI127*BA127+DJ127*BB127+DK127*BC127)/BQ127,0))</f>
        <v>#VALUE!</v>
      </c>
      <c r="DM127" s="1316"/>
      <c r="DN127" s="1316"/>
      <c r="DO127" s="1316"/>
      <c r="DP127" s="1316"/>
      <c r="DQ127" s="1316"/>
      <c r="DR127" s="1316"/>
      <c r="DS127" s="1316"/>
      <c r="DT127" s="1316"/>
      <c r="DU127" s="1316"/>
      <c r="DV127" s="1316"/>
      <c r="DW127" s="1594" t="e">
        <f aca="false">IF(AND(BW127&gt;0,CT127&gt;0,DD127&gt;0,CU127&gt;0),newSPRDOPT(BW127,CT127,CY127,0,DD127,CU127,CV127,BT127*365.25,OCallPut,0),0)</f>
        <v>#VALUE!</v>
      </c>
      <c r="DX127" s="1316" t="e">
        <f aca="false">IF(AND(BX127&gt;0,CT127&gt;0,DE127&gt;0,CU127&gt;0),newSPRDOPT(BX127,CT127,CZ127,0,DE127,CU127,CV127,BT127*365.25,OCallPut,0),0)</f>
        <v>#VALUE!</v>
      </c>
      <c r="DY127" s="1591" t="e">
        <f aca="false">IF(BS127,(DH127*BH127+DI127*BI127+DW127*BJ127+DX127*BK127)/BS127,0)</f>
        <v>#VALUE!</v>
      </c>
      <c r="DZ127" s="1551" t="e">
        <f aca="false">DH127*AZ127</f>
        <v>#VALUE!</v>
      </c>
      <c r="EA127" s="1551" t="e">
        <f aca="false">DI127*BA127</f>
        <v>#VALUE!</v>
      </c>
      <c r="EB127" s="1551" t="e">
        <f aca="false">DJ127*BB127</f>
        <v>#VALUE!</v>
      </c>
      <c r="EC127" s="1551" t="e">
        <f aca="false">DK127*BC127</f>
        <v>#VALUE!</v>
      </c>
      <c r="ED127" s="1551" t="e">
        <f aca="false">DL127*BQ127</f>
        <v>#VALUE!</v>
      </c>
      <c r="EE127" s="1595" t="e">
        <f aca="false">IF(BQ127,IF(OCallPut,IF(BU127&gt;(CO127+CW127),BU127-(CO127+CW127),0),IF((CO127+CW127)&gt;BU127,(CO127+CW127)-BU127,0))*AZ127,0)</f>
        <v>#VALUE!</v>
      </c>
      <c r="EF127" s="1596" t="e">
        <f aca="false">IF(BQ127,IF(OCallPut,IF(BV127&gt;(CP127+CX127),BV127-(CP127+CX127),0),IF((CP127+CX127)&gt;BV127,(CP127+CX127)-BV127,0))*BA127,0)</f>
        <v>#VALUE!</v>
      </c>
      <c r="EG127" s="1596" t="e">
        <f aca="false">IF(BQ127,IF(OCallPut,IF(BW127&gt;(CQ127+CY127),BW127-(CQ127+CY127),0),IF((CQ127+CY127)&gt;BW127,(CQ127+CY127)-BW127,0))*BB127,0)</f>
        <v>#VALUE!</v>
      </c>
      <c r="EH127" s="1596" t="e">
        <f aca="false">IF(BQ127,IF(OCallPut,IF(BX127&gt;(CR127+CZ127),BX127-(CR127+CZ127),0),IF((CR127+CZ127)&gt;BX127,(CR127+CZ127)-BX127,0))*BC127,0)</f>
        <v>#VALUE!</v>
      </c>
      <c r="EI127" s="1597" t="e">
        <f aca="false">IF(BQ127,IF(OVolType,IF(OCallPut,IF(BZ127&gt;(CS127+DA127),BZ127-(CS127+DA127),0),IF((CS127+DA127)&gt;BZ127,(CS127+DA127)-BZ127,0))*BQ127,SUM(EE127:EH127)),0)</f>
        <v>#VALUE!</v>
      </c>
      <c r="EJ127" s="1595" t="e">
        <f aca="false">DZ127-EE127</f>
        <v>#VALUE!</v>
      </c>
      <c r="EK127" s="1596" t="e">
        <f aca="false">EA127-EF127</f>
        <v>#VALUE!</v>
      </c>
      <c r="EL127" s="1596" t="e">
        <f aca="false">EB127-EG127</f>
        <v>#VALUE!</v>
      </c>
      <c r="EM127" s="1596" t="e">
        <f aca="false">EC127-EH127</f>
        <v>#VALUE!</v>
      </c>
      <c r="EN127" s="1597" t="e">
        <f aca="false">ED127-EI127</f>
        <v>#VALUE!</v>
      </c>
      <c r="EO127" s="1551" t="e">
        <f aca="false">DH127*BH127</f>
        <v>#VALUE!</v>
      </c>
      <c r="EP127" s="1551" t="e">
        <f aca="false">DI127*BI127</f>
        <v>#VALUE!</v>
      </c>
      <c r="EQ127" s="1551" t="e">
        <f aca="false">DW127*BJ127</f>
        <v>#VALUE!</v>
      </c>
      <c r="ER127" s="1551" t="e">
        <f aca="false">DX127*BK127</f>
        <v>#VALUE!</v>
      </c>
      <c r="ES127" s="1551" t="e">
        <f aca="false">DY127*BS127</f>
        <v>#VALUE!</v>
      </c>
      <c r="ET127" s="1566" t="e">
        <f aca="false">IF(EI127,IF(OCallPut,IF(CA127&gt;(CT127+CW127),CA127-(CT127+CW127),0),IF((CT127+CW127)&gt;CA127,(CT127+CW127)-CA127,0))*BH127,0)</f>
        <v>#VALUE!</v>
      </c>
      <c r="EU127" s="1551" t="e">
        <f aca="false">IF(EI127,IF(OCallPut,IF(CB127&gt;(CT127+CX127),CB127-(CT127+CX127),0),IF((CT127+CX127)&gt;CB127,(CT127+CX127)-CB127,0))*BI127,0)</f>
        <v>#VALUE!</v>
      </c>
      <c r="EV127" s="1551" t="e">
        <f aca="false">IF(EI127,IF(OCallPut,IF(CC127&gt;(CT127+CY127),CC127-(CT127+CY127),0),IF((CT127+CY127)&gt;CC127,(CT127+CY127)-CC127,0))*BJ127,0)</f>
        <v>#VALUE!</v>
      </c>
      <c r="EW127" s="1551" t="e">
        <f aca="false">IF(EI127,IF(OCallPut,IF(CD127&gt;(CT127+CZ127),CD127-(CT127+CZ127),0),IF((CT127+CZ127)&gt;CD127,(CT127+CZ127)-CD127,0))*BK127,0)</f>
        <v>#VALUE!</v>
      </c>
      <c r="EX127" s="1558" t="e">
        <f aca="false">IF(EI127,SUM(ET127:EW127),0)</f>
        <v>#VALUE!</v>
      </c>
      <c r="EY127" s="1551" t="e">
        <f aca="false">EO127-ET127</f>
        <v>#VALUE!</v>
      </c>
      <c r="EZ127" s="1551" t="e">
        <f aca="false">EP127-EU127</f>
        <v>#VALUE!</v>
      </c>
      <c r="FA127" s="1551" t="e">
        <f aca="false">EQ127-EV127</f>
        <v>#VALUE!</v>
      </c>
      <c r="FB127" s="1551" t="e">
        <f aca="false">ER127-EW127</f>
        <v>#VALUE!</v>
      </c>
      <c r="FC127" s="1551" t="e">
        <f aca="false">ES127-EX127</f>
        <v>#VALUE!</v>
      </c>
      <c r="FD127" s="1525" t="n">
        <f aca="false">IF(AX127,IF(VLOOKUP(C127,MAIN!$L$17:$M$28,2)="Yes",VLOOKUP(CALC!B127,MAIN!$H$17:$I$20,2),0),0)</f>
        <v>0</v>
      </c>
      <c r="FE127" s="1552" t="e">
        <f aca="false">$FD127*16*AT127*(1-$AY127)</f>
        <v>#VALUE!</v>
      </c>
      <c r="FF127" s="1553" t="e">
        <f aca="false">$FD127*16*AU127*(1-$AY127)</f>
        <v>#VALUE!</v>
      </c>
      <c r="FG127" s="1553" t="e">
        <f aca="false">$FD127*16*(AV127+AW127)*(1-$AY127)</f>
        <v>#VALUE!</v>
      </c>
      <c r="FH127" s="1554" t="n">
        <f aca="false">$FD127*8*AX127*(1-$AY127)</f>
        <v>0</v>
      </c>
      <c r="FI127" s="1555" t="n">
        <f aca="false">IF(AX127,VLOOKUP(CALC!B127,MAIN!$H$17:$K$20,4),0)</f>
        <v>0</v>
      </c>
      <c r="FJ127" s="1553" t="e">
        <f aca="false">SUM(FE127:FH127)</f>
        <v>#VALUE!</v>
      </c>
      <c r="FK127" s="1556" t="e">
        <f aca="false">FI127*FJ127</f>
        <v>#VALUE!</v>
      </c>
      <c r="FL127" s="1551" t="e">
        <f aca="false">IF($EI127&gt;0,MIN(FE127,AZ127*(1+VLOOKUP($C127,WeatherCapacityAdjustment,2))),0)</f>
        <v>#VALUE!</v>
      </c>
      <c r="FM127" s="1551" t="e">
        <f aca="false">IF($EI127&gt;0,MIN(FF127,BA127*(1+VLOOKUP($C127,WeatherCapacityAdjustment,2))),0)</f>
        <v>#VALUE!</v>
      </c>
      <c r="FN127" s="1551" t="e">
        <f aca="false">IF($EI127&gt;0,MIN(FG127,BB127*(1+VLOOKUP($C127,WeatherCapacityAdjustment,2))),0)</f>
        <v>#VALUE!</v>
      </c>
      <c r="FO127" s="1564" t="e">
        <f aca="false">IF($EI127&gt;0,MIN(FH127,BC127*(1+VLOOKUP($C127,WeatherCapacityAdjustment,3))),0)</f>
        <v>#VALUE!</v>
      </c>
      <c r="FP127" s="1551" t="e">
        <f aca="false">IF(ET127&gt;0,MIN(FE127-FL127,BH127*(1+VLOOKUP($C127,WeatherCapacityAdjustment,2))),0)</f>
        <v>#VALUE!</v>
      </c>
      <c r="FQ127" s="1551" t="e">
        <f aca="false">IF(EU127&gt;0,MIN(FF127-FM127,BI127*(1+VLOOKUP($C127,WeatherCapacityAdjustment,2))),0)</f>
        <v>#VALUE!</v>
      </c>
      <c r="FR127" s="1551" t="e">
        <f aca="false">IF(EV127&gt;0,MIN(FG127-FN127,BJ127*(1+VLOOKUP($C127,WeatherCapacityAdjustment,2))),0)</f>
        <v>#VALUE!</v>
      </c>
      <c r="FS127" s="1558" t="e">
        <f aca="false">IF(EW127&gt;0,MIN(FH127-FO127,BK127*(1+VLOOKUP($C127,WeatherCapacityAdjustment,3))),0)</f>
        <v>#VALUE!</v>
      </c>
      <c r="FT127" s="1566" t="e">
        <f aca="false">IF(AND(Assumptions!$H$71="Yes",A127&gt;=Assumptions!$H$72,A127&lt;=Assumptions!$H$73),0,IF(AND($A127&gt;=Assumptions!$C$17,$A127&lt;=Assumptions!$C$18),MAX(AZ127*(1+VLOOKUP($C127,WeatherCapacityAdjustment,2))-FL127,0),0))</f>
        <v>#VALUE!</v>
      </c>
      <c r="FU127" s="1551" t="e">
        <f aca="false">IF(AND(Assumptions!$H$71="Yes",A127&gt;=Assumptions!$H$72,A127&lt;=Assumptions!$H$73),0,IF(AND($A127&gt;=Assumptions!$C$17,$A127&lt;=Assumptions!$C$18),MAX(BA127*(1+VLOOKUP($C127,WeatherCapacityAdjustment,2))-FM127,0),0))</f>
        <v>#VALUE!</v>
      </c>
      <c r="FV127" s="1551" t="e">
        <f aca="false">IF(AND(Assumptions!$H$71="Yes",A127&gt;=Assumptions!$H$72,A127&lt;=Assumptions!$H$73),0,IF(AND($A127&gt;=Assumptions!$C$17,$A127&lt;=Assumptions!$C$18),MAX(BB127*(1+VLOOKUP($C127,WeatherCapacityAdjustment,2))-FN127,0),0))</f>
        <v>#VALUE!</v>
      </c>
      <c r="FW127" s="1564" t="e">
        <f aca="false">IF(AND(Assumptions!$H$71="Yes",A127&gt;=Assumptions!$H$72,A127&lt;=Assumptions!$H$73),0,IF(AND($A127&gt;=Assumptions!$C$17,$A127&lt;=Assumptions!$C$18),MAX(BC127*(1+VLOOKUP($C127,WeatherCapacityAdjustment,3))-FO127,0),0))</f>
        <v>#VALUE!</v>
      </c>
      <c r="FX127" s="1569" t="e">
        <f aca="false">IF(AND(Assumptions!$H$71="Yes",A127&gt;=Assumptions!$H$72,A127&lt;=Assumptions!$H$73),0,IF(ET127&gt;0,MAX(BH127*(1+VLOOKUP($C127,WeatherCapacityAdjustment,2))-FP127,0),0))</f>
        <v>#VALUE!</v>
      </c>
      <c r="FY127" s="1551" t="e">
        <f aca="false">IF(AND(Assumptions!$H$71="Yes",A127&gt;=Assumptions!$H$72,A127&lt;=Assumptions!$H$73),0,IF(EU127&gt;0,MAX(BI127*(1+VLOOKUP($C127,WeatherCapacityAdjustment,3))-FQ127,0),0))</f>
        <v>#VALUE!</v>
      </c>
      <c r="FZ127" s="1551" t="e">
        <f aca="false">IF(AND(Assumptions!$H$71="Yes",A127&gt;=Assumptions!$H$72,A127&lt;=Assumptions!$H$73),0,IF(EV127&gt;0,MAX(BJ127*(1+VLOOKUP($C127,WeatherCapacityAdjustment,2))-FR127,0),0))</f>
        <v>#VALUE!</v>
      </c>
      <c r="GA127" s="1564" t="e">
        <f aca="false">IF(AND(Assumptions!$H$71="Yes",A127&gt;=Assumptions!$H$72,A127&lt;=Assumptions!$H$73),0,IF(EW127&gt;0,MAX(BK127*(1+VLOOKUP($C127,WeatherCapacityAdjustment,2))-FS127,0),0))</f>
        <v>#VALUE!</v>
      </c>
      <c r="GB127" s="1551" t="e">
        <f aca="false">SUM(FT127:GA127)</f>
        <v>#VALUE!</v>
      </c>
      <c r="GC127" s="1563" t="e">
        <f aca="false">+IF(SUM(FT127:GA127)=0,0,(SUMPRODUCT(BU127:BX127,FT127:FW127)+SUMPRODUCT(CA127:CD127,FX127:GA127))/SUM(FT127:GA127))</f>
        <v>#VALUE!</v>
      </c>
      <c r="GD127" s="1551" t="e">
        <f aca="false">(FT127*BU127+FX127*CA127+FU127*BV127+FY127*CB127+FV127*BW127+FZ127*CC127+FW127*BX127+GA127*CD127)</f>
        <v>#VALUE!</v>
      </c>
      <c r="GE127" s="1561" t="e">
        <f aca="false">+IF(BQ127,((FL127+FM127+FT127+FU127)*HeatRatePeak/1000*(1+VLOOKUP($C127,WeatherHeatRateAdjustment,2))+(FN127+FV127)*IF(EV127&gt;0,HeatRatePeak,HeatRateOffPeak)/1000*(1+VLOOKUP($C127,WeatherHeatRateAdjustment,2))+(FO127+FW127)*IF(EW127&gt;0,HeatRatePeak,HeatRateOffPeak)/1000*(1+VLOOKUP($C127,WeatherHeatRateAdjustment,3)))*(1+VLOOKUP($B127,HeatRateDegradation,$C127+1)),0)</f>
        <v>#VALUE!</v>
      </c>
      <c r="GF127" s="1562" t="e">
        <f aca="false">IF(BQ127,((FP127+FQ127+FR127+FX127+FY127+FZ127)*HeatRatePeak/1000*(1+VLOOKUP($C127,WeatherHeatRateAdjustment,2))+(FS127+GA127)*HeatRatePeak/1000*(1+VLOOKUP($C127,WeatherHeatRateAdjustment,3)))*(1+VLOOKUP($B127,HeatRateDegradation,$C127+1)),0)</f>
        <v>#VALUE!</v>
      </c>
      <c r="GG127" s="1563" t="e">
        <f aca="false">IF(BQ127,VLOOKUP(A127,GasTable,13),0)</f>
        <v>#VALUE!</v>
      </c>
      <c r="GH127" s="1564" t="e">
        <f aca="false">(GE127+GF127)*GG127</f>
        <v>#VALUE!</v>
      </c>
      <c r="GI127" s="1569" t="e">
        <f aca="false">GB127</f>
        <v>#VALUE!</v>
      </c>
      <c r="GJ127" s="1598" t="e">
        <f aca="false">+DA127</f>
        <v>#VALUE!</v>
      </c>
      <c r="GK127" s="1558" t="e">
        <f aca="false">+GI127*GJ127</f>
        <v>#VALUE!</v>
      </c>
      <c r="GL127" s="1566" t="e">
        <f aca="false">MAX(FE127-FL127-FP127,0)</f>
        <v>#VALUE!</v>
      </c>
      <c r="GM127" s="1551" t="e">
        <f aca="false">MAX(FF127-FM127-FQ127,0)</f>
        <v>#VALUE!</v>
      </c>
      <c r="GN127" s="1551" t="e">
        <f aca="false">MAX(FG127-FN127-FR127,0)</f>
        <v>#VALUE!</v>
      </c>
      <c r="GO127" s="1564" t="e">
        <f aca="false">MAX(FH127-FO127-FS127,0)</f>
        <v>#VALUE!</v>
      </c>
      <c r="GP127" s="1551" t="e">
        <f aca="false">SUM(GL127:GO127)</f>
        <v>#VALUE!</v>
      </c>
      <c r="GQ127" s="1563" t="e">
        <f aca="false">IF(SUM(GL127:GO127)=0,0,((GL127*BU127+GM127*BV127+GN127*BW127+GO127*BX127)/SUM(GL127:GO127)))</f>
        <v>#VALUE!</v>
      </c>
      <c r="GR127" s="1558" t="e">
        <f aca="false">(GL127*BU127+GM127*BV127+GN127*BW127+GO127*BX127)</f>
        <v>#VALUE!</v>
      </c>
      <c r="GS127" s="1566" t="n">
        <f aca="false">IF($A127&gt;=BegDate,Assumptions!$C$56*24*($A128-$A127)*(1-VLOOKUP($B127,MAIN!$AA$7:$AM$28,$C127+1))*(1-VLOOKUP($B127,MAIN!$AA$33:$AM$54,$C127+1)),0)*80/168</f>
        <v>257742.857142857</v>
      </c>
      <c r="GT127" s="286" t="n">
        <f aca="false">J127</f>
        <v>52.432893809451</v>
      </c>
      <c r="GU127" s="286" t="n">
        <f aca="false">IF($A127&gt;=BegDate,VLOOKUP($A127,GasTable,13)+Assumptions!$C$58,0)</f>
        <v>2.73305588160694</v>
      </c>
      <c r="GV127" s="286" t="n">
        <f aca="false">GU127*Assumptions!$C$57/1000</f>
        <v>19.8146551416503</v>
      </c>
      <c r="GW127" s="1558" t="n">
        <f aca="false">IF(Assumptions!$C$60="Hourly",MAX(0,GS127*(GT127-GV127)),GS127*(GT127-GV127))</f>
        <v>8407118.02920656</v>
      </c>
      <c r="GX127" s="1566" t="n">
        <f aca="false">IF($A127&gt;=BegDate,Assumptions!$C$56*24*($A128-$A127)*(1-VLOOKUP($B127,MAIN!$AA$7:$AM$28,$C127+1))*(1-VLOOKUP($B127,MAIN!$AA$33:$AM$54,$C127+1)),0)*16/168</f>
        <v>51548.5714285714</v>
      </c>
      <c r="GY127" s="286" t="n">
        <f aca="false">M127</f>
        <v>52.432893809451</v>
      </c>
      <c r="GZ127" s="286" t="n">
        <f aca="false">IF($A127&gt;=BegDate,VLOOKUP($A127,GasTable,13)+Assumptions!$C$58,0)</f>
        <v>2.73305588160694</v>
      </c>
      <c r="HA127" s="286" t="n">
        <f aca="false">GZ127*Assumptions!$C$57/1000</f>
        <v>19.8146551416503</v>
      </c>
      <c r="HB127" s="1558" t="n">
        <f aca="false">IF(Assumptions!$C$60="Hourly",MAX(0,GX127*(GY127-HA127)),GX127*(GY127-HA127))</f>
        <v>1681423.60584131</v>
      </c>
      <c r="HC127" s="1566" t="n">
        <f aca="false">IF($A127&gt;=BegDate,Assumptions!$C$56*24*($A128-$A127)*(1-VLOOKUP($B127,MAIN!$AA$7:$AM$28,$C127+1))*(1-VLOOKUP($B127,MAIN!$AA$33:$AM$54,$C127+1)),0)*16/168</f>
        <v>51548.5714285714</v>
      </c>
      <c r="HD127" s="286" t="n">
        <f aca="false">P127</f>
        <v>26.4050922666825</v>
      </c>
      <c r="HE127" s="286" t="n">
        <f aca="false">IF($A127&gt;=BegDate,VLOOKUP($A127,GasTable,13)+Assumptions!$C$58,0)</f>
        <v>2.73305588160694</v>
      </c>
      <c r="HF127" s="286" t="n">
        <f aca="false">HE127*Assumptions!$C$57/1000</f>
        <v>19.8146551416503</v>
      </c>
      <c r="HG127" s="1558" t="n">
        <f aca="false">IF(Assumptions!$C$60="Hourly",MAX(0,HC127*(HD127-HF127)),HC127*(HD127-HF127))</f>
        <v>339727.61888523</v>
      </c>
      <c r="HH127" s="1566" t="n">
        <f aca="false">IF($A127&gt;=BegDate,Assumptions!$C$56*24*($A128-$A127)*(1-VLOOKUP($B127,MAIN!$AA$7:$AM$28,$C127+1))*(1-VLOOKUP($B127,MAIN!$AA$33:$AM$54,$C127+1)),0)*56/168</f>
        <v>180420</v>
      </c>
      <c r="HI127" s="286" t="n">
        <f aca="false">S127</f>
        <v>26.4050922666825</v>
      </c>
      <c r="HJ127" s="286" t="n">
        <f aca="false">IF($A127&gt;=BegDate,VLOOKUP($A127,GasTable,13)+Assumptions!$C$58,0)</f>
        <v>2.73305588160694</v>
      </c>
      <c r="HK127" s="286" t="n">
        <f aca="false">HJ127*Assumptions!$C$57/1000</f>
        <v>19.8146551416503</v>
      </c>
      <c r="HL127" s="1558" t="n">
        <f aca="false">IF(Assumptions!$C$60="Hourly",MAX(0,HH127*(HI127-HK127)),HH127*(HI127-HK127))</f>
        <v>1189046.66609831</v>
      </c>
      <c r="HM127" s="1566" t="n">
        <f aca="false">IF(AND(Assumptions!$H$71="Yes",A127&gt;=Assumptions!$H$72,A127&lt;=Assumptions!$H$73),Assumptions!$H$74*Assumptions!$C$9*1000,0)</f>
        <v>0</v>
      </c>
      <c r="HN127" s="1551"/>
      <c r="HO127" s="1563"/>
      <c r="HP127" s="1563"/>
      <c r="HQ127" s="1563"/>
      <c r="HR127" s="1563"/>
      <c r="HS127" s="1563"/>
      <c r="HT127" s="1563"/>
      <c r="HU127" s="1563"/>
      <c r="HV127" s="1563"/>
      <c r="HW127" s="1563"/>
      <c r="HX127" s="1563"/>
      <c r="HY127" s="1563"/>
      <c r="HZ127" s="1563"/>
      <c r="IA127" s="1563"/>
      <c r="IB127" s="1563"/>
      <c r="IC127" s="1563"/>
      <c r="ID127" s="1563"/>
      <c r="IE127" s="1563"/>
      <c r="IF127" s="1563"/>
      <c r="IG127" s="1563"/>
      <c r="IH127" s="1563"/>
      <c r="II127" s="1610"/>
      <c r="IJ127" s="1309"/>
      <c r="IK127" s="1309"/>
    </row>
    <row r="128" customFormat="false" ht="12.75" hidden="false" customHeight="false" outlineLevel="0" collapsed="false">
      <c r="A128" s="1571" t="n">
        <f aca="false">EOMONTH(A127,0)+1</f>
        <v>40026</v>
      </c>
      <c r="B128" s="594" t="n">
        <f aca="false">+YEAR(A128)</f>
        <v>2009</v>
      </c>
      <c r="C128" s="238" t="n">
        <f aca="false">MONTH(A128)</f>
        <v>8</v>
      </c>
      <c r="D128" s="1572" t="e">
        <f aca="false">IF(E128="","",Holiday(B128,C128))</f>
        <v>#VALUE!</v>
      </c>
      <c r="E128" s="1573" t="n">
        <f aca="false">IF(OR(BegDate&gt;=A129,EndDate&lt;A128,AND(VolumeMonthlyOverFlag,INDEX(VolumeMonthlyOver,C128)=0),NOT(INDEX(MonthKnockOutTable,C128))),"",MAX(A128,BegDate))</f>
        <v>40026</v>
      </c>
      <c r="F128" s="1574" t="n">
        <f aca="false">IF(E128="","",MIN(A129-1,EndDate))</f>
        <v>40056</v>
      </c>
      <c r="G128" s="1575" t="n">
        <v>0</v>
      </c>
      <c r="H128" s="1576" t="n">
        <f aca="false">(1+G128/2)^(-2*(DATE(B129,C129,20)-DateToday)/365.25)</f>
        <v>1</v>
      </c>
      <c r="I128" s="1568" t="n">
        <f aca="false">IF(Assumptions!$L$25=4,VLOOKUP($A128,'Henwood Reference'!$E$9:$R$320,10),(VLOOKUP($A128,PriceTable,2,0)+IF(BasisNumber&lt;&gt;1,VLOOKUP($A128,BasisTable,2,0),0)+I$1)/(1-I$2))</f>
        <v>96.5288218601927</v>
      </c>
      <c r="J128" s="1568" t="n">
        <f aca="false">IF(Assumptions!$L$25=4,VLOOKUP($A128,'Henwood Reference'!$E$9:$R$320,10),(VLOOKUP($A128,PriceTable,3,0)+IF(BasisNumber&lt;&gt;1,VLOOKUP($A128,BasisTable,2,0),0)+J$1)/(1-J$2))</f>
        <v>96.5288218601927</v>
      </c>
      <c r="K128" s="1568" t="n">
        <f aca="false">IF(Assumptions!$L$25=4,VLOOKUP($A128,'Henwood Reference'!$E$9:$R$320,10),(VLOOKUP($A128,PriceTable,4,0)+IF(BasisNumber&lt;&gt;1,VLOOKUP($A128,BasisTable,2,0),0)+K$1)/(1-K$2))</f>
        <v>96.5288218601927</v>
      </c>
      <c r="L128" s="1523" t="n">
        <f aca="false">IF(Assumptions!$L$25=4,VLOOKUP($A128,'Henwood Reference'!$E$9:$R$320,10),(VLOOKUP($A128,PriceTableWeekend,2,0)+IF(BasisNumber&lt;&gt;1,VLOOKUP($A128,BasisTable,2,0),0)+L$1)/(1-L$2))</f>
        <v>96.5288218601927</v>
      </c>
      <c r="M128" s="1568" t="n">
        <f aca="false">IF(Assumptions!$L$25=4,VLOOKUP($A128,'Henwood Reference'!$E$9:$R$320,10),(VLOOKUP($A128,PriceTableWeekend,3,0)+IF(BasisNumber&lt;&gt;1,VLOOKUP($A128,BasisTable,2,0),0)+M$1)/(1-M$2))</f>
        <v>96.5288218601927</v>
      </c>
      <c r="N128" s="1599" t="n">
        <f aca="false">IF(Assumptions!$L$25=4,VLOOKUP($A128,'Henwood Reference'!$E$9:$R$320,10),(VLOOKUP($A128,PriceTableWeekend,4,0)+IF(BasisNumber&lt;&gt;1,VLOOKUP($A128,BasisTable,2,0),0)+N$1)/(1-N$2))</f>
        <v>96.5288218601927</v>
      </c>
      <c r="O128" s="1568" t="n">
        <f aca="false">IF(Assumptions!$L$25=4,VLOOKUP($A128,'Henwood Reference'!$E$9:$R$320,11),(VLOOKUP($A128,PriceTableWeekend,6,0)+IF(BasisNumber&lt;&gt;1,VLOOKUP($A128,BasisTable,3,0),0)+O$1)/(1-O$2))</f>
        <v>32.5935206055226</v>
      </c>
      <c r="P128" s="1568" t="n">
        <f aca="false">IF(Assumptions!$L$25=4,VLOOKUP($A128,'Henwood Reference'!$E$9:$R$320,11),(VLOOKUP($A128,PriceTableWeekend,7,0)+IF(BasisNumber&lt;&gt;1,VLOOKUP($A128,BasisTable,3,0),0)+P$1)/(1-P$2))</f>
        <v>32.5935206055226</v>
      </c>
      <c r="Q128" s="1599" t="n">
        <f aca="false">IF(Assumptions!$L$25=4,VLOOKUP($A128,'Henwood Reference'!$E$9:$R$320,11),(VLOOKUP($A128,PriceTableWeekend,8,0)+IF(BasisNumber&lt;&gt;1,VLOOKUP($A128,BasisTable,3,0),0)+Q$1)/(1-Q$2))</f>
        <v>32.5935206055226</v>
      </c>
      <c r="R128" s="1568" t="n">
        <f aca="false">IF(Assumptions!$L$25=4,VLOOKUP($A128,'Henwood Reference'!$E$9:$R$320,11),(VLOOKUP($A128,PriceTable,6,0)+IF(BasisNumber&lt;&gt;1,VLOOKUP($A128,BasisTable,3,0),0)+R$1)/(1-R$2))</f>
        <v>32.5935206055226</v>
      </c>
      <c r="S128" s="1568" t="n">
        <f aca="false">IF(Assumptions!$L$25=4,VLOOKUP($A128,'Henwood Reference'!$E$9:$R$320,11),(VLOOKUP($A128,PriceTable,7,0)+IF(BasisNumber&lt;&gt;1,VLOOKUP($A128,BasisTable,3,0),0)+S$1)/(1-S$2))</f>
        <v>32.5935206055226</v>
      </c>
      <c r="T128" s="1600" t="n">
        <f aca="false">IF(Assumptions!$L$25=4,VLOOKUP($A128,'Henwood Reference'!$E$9:$R$320,11),(VLOOKUP($A128,PriceTable,8,0)+IF(BasisNumber&lt;&gt;1,VLOOKUP($A128,BasisTable,3,0),0)+T$1)/(1-T$2))</f>
        <v>32.5935206055226</v>
      </c>
      <c r="U128" s="1513" t="n">
        <f aca="false">VLOOKUP($A128,VolatilityTable,14)</f>
        <v>0.125</v>
      </c>
      <c r="V128" s="1513" t="n">
        <f aca="false">VLOOKUP($A128,VolatilityTable,15)</f>
        <v>0.135</v>
      </c>
      <c r="W128" s="1514" t="n">
        <f aca="false">VLOOKUP($A128,VolatilityTable,16)</f>
        <v>0.145</v>
      </c>
      <c r="X128" s="1513" t="n">
        <f aca="false">VLOOKUP($A128,VolatilityTable,14)</f>
        <v>0.125</v>
      </c>
      <c r="Y128" s="1513" t="n">
        <f aca="false">VLOOKUP($A128,VolatilityTable,15)</f>
        <v>0.135</v>
      </c>
      <c r="Z128" s="1514" t="n">
        <f aca="false">VLOOKUP($A128,VolatilityTable,16)</f>
        <v>0.145</v>
      </c>
      <c r="AA128" s="1513" t="n">
        <f aca="false">VLOOKUP($A128,VolatilityTable,18)</f>
        <v>0.09</v>
      </c>
      <c r="AB128" s="1513" t="n">
        <f aca="false">VLOOKUP($A128,VolatilityTable,19)</f>
        <v>0.11</v>
      </c>
      <c r="AC128" s="1514" t="n">
        <f aca="false">VLOOKUP($A128,VolatilityTable,20)</f>
        <v>0.13</v>
      </c>
      <c r="AD128" s="1513" t="n">
        <f aca="false">VLOOKUP($A128,VolatilityTable,18)</f>
        <v>0.09</v>
      </c>
      <c r="AE128" s="1513" t="n">
        <f aca="false">VLOOKUP($A128,VolatilityTable,19)</f>
        <v>0.11</v>
      </c>
      <c r="AF128" s="1514" t="n">
        <f aca="false">VLOOKUP($A128,VolatilityTable,20)</f>
        <v>0.13</v>
      </c>
      <c r="AG128" s="1513" t="n">
        <f aca="false">VLOOKUP($A128,VolatilityTable,22)</f>
        <v>-0.35</v>
      </c>
      <c r="AH128" s="1513" t="n">
        <f aca="false">VLOOKUP($A128,VolatilityTable,23)</f>
        <v>3</v>
      </c>
      <c r="AI128" s="1514" t="n">
        <f aca="false">VLOOKUP($A128,VolatilityTable,24)</f>
        <v>0.35</v>
      </c>
      <c r="AJ128" s="1513" t="n">
        <f aca="false">VLOOKUP($A128,VolatilityTable,22)</f>
        <v>-0.35</v>
      </c>
      <c r="AK128" s="1513" t="n">
        <f aca="false">VLOOKUP($A128,VolatilityTable,23)</f>
        <v>3</v>
      </c>
      <c r="AL128" s="1514" t="n">
        <f aca="false">VLOOKUP($A128,VolatilityTable,24)</f>
        <v>0.35</v>
      </c>
      <c r="AM128" s="1513" t="n">
        <f aca="false">VLOOKUP($A128,VolatilityTable,26)</f>
        <v>-0.01</v>
      </c>
      <c r="AN128" s="1513" t="n">
        <f aca="false">VLOOKUP($A128,VolatilityTable,27)</f>
        <v>0.16</v>
      </c>
      <c r="AO128" s="1514" t="n">
        <f aca="false">VLOOKUP($A128,VolatilityTable,28)</f>
        <v>0.01</v>
      </c>
      <c r="AP128" s="1513" t="n">
        <f aca="false">VLOOKUP($A128,VolatilityTable,26)</f>
        <v>-0.01</v>
      </c>
      <c r="AQ128" s="1513" t="n">
        <f aca="false">VLOOKUP($A128,VolatilityTable,27)</f>
        <v>0.16</v>
      </c>
      <c r="AR128" s="1515" t="n">
        <f aca="false">VLOOKUP($A128,VolatilityTable,28)</f>
        <v>0.01</v>
      </c>
      <c r="AS128" s="1581" t="n">
        <f aca="false">IF(CorrPeakOffPeakOverFlag,INDEX(CorrPeakOffPeakOver,C128),CorrPeakOffPeak)</f>
        <v>0.5</v>
      </c>
      <c r="AT128" s="594" t="e">
        <f aca="false">AX128-SUM(AU128:AW128)</f>
        <v>#VALUE!</v>
      </c>
      <c r="AU128" s="238" t="e">
        <f aca="false">IF(E128="",0,INT((F128-MOD(F128,7)-E128)/7)+1-IF(AW128,IF(WEEKDAY(D128)=7,1,0),0))</f>
        <v>#VALUE!</v>
      </c>
      <c r="AV128" s="238" t="e">
        <f aca="false">IF(E128="",0,INT((F128-MOD(F128-1,7)-E128)/7)+1-IF(AW128,IF(WEEKDAY(D128)=1,1,0),0))</f>
        <v>#VALUE!</v>
      </c>
      <c r="AW128" s="238" t="e">
        <f aca="false">IF(OR(E128="",D128="",D128&lt;BegDate,D128&gt;EndDate),0,1)</f>
        <v>#VALUE!</v>
      </c>
      <c r="AX128" s="238" t="n">
        <f aca="false">IF(E128="",0,F128-E128+1)</f>
        <v>31</v>
      </c>
      <c r="AY128" s="1582" t="n">
        <f aca="false">IF(E128="",0,MIN((1-(1-VLOOKUP(B128,MAIN!$AA$7:$AM$28,C128+1))*(1-VLOOKUP(B128,MAIN!$AA$33:$AM$54,C128+1))),1))</f>
        <v>0.03</v>
      </c>
      <c r="AZ128" s="1519" t="e">
        <v>#VALUE!</v>
      </c>
      <c r="BA128" s="1520" t="e">
        <v>#VALUE!</v>
      </c>
      <c r="BB128" s="1520" t="e">
        <v>#VALUE!</v>
      </c>
      <c r="BC128" s="1583" t="e">
        <v>#VALUE!</v>
      </c>
      <c r="BD128" s="1522" t="e">
        <v>#VALUE!</v>
      </c>
      <c r="BE128" s="1523" t="e">
        <v>#VALUE!</v>
      </c>
      <c r="BF128" s="1523" t="e">
        <v>#VALUE!</v>
      </c>
      <c r="BG128" s="1584" t="e">
        <v>#VALUE!</v>
      </c>
      <c r="BH128" s="1525" t="e">
        <v>#VALUE!</v>
      </c>
      <c r="BI128" s="1520" t="e">
        <v>#VALUE!</v>
      </c>
      <c r="BJ128" s="1520" t="e">
        <v>#VALUE!</v>
      </c>
      <c r="BK128" s="1583" t="e">
        <v>#VALUE!</v>
      </c>
      <c r="BL128" s="1522" t="e">
        <v>#VALUE!</v>
      </c>
      <c r="BM128" s="1523" t="e">
        <v>#VALUE!</v>
      </c>
      <c r="BN128" s="1523" t="e">
        <v>#VALUE!</v>
      </c>
      <c r="BO128" s="1523" t="e">
        <v>#VALUE!</v>
      </c>
      <c r="BP128" s="1525" t="e">
        <f aca="false">SUM(AZ128:BB128)</f>
        <v>#VALUE!</v>
      </c>
      <c r="BQ128" s="1529" t="e">
        <f aca="false">SUM(AZ128:BC128)</f>
        <v>#VALUE!</v>
      </c>
      <c r="BR128" s="1519" t="e">
        <f aca="false">SUM(BH128:BJ128)</f>
        <v>#VALUE!</v>
      </c>
      <c r="BS128" s="1529" t="e">
        <f aca="false">SUM(BH128:BK128)</f>
        <v>#VALUE!</v>
      </c>
      <c r="BT128" s="1316" t="n">
        <f aca="false">(IF(OVolType&lt;&gt;2,A128+14,IF(OptExpDateShift,ShiftBack(A128,OptExpDateShift,D127),A128))-DateToday)/365.25</f>
        <v>9.29774127310062</v>
      </c>
      <c r="BU128" s="1585" t="e">
        <f aca="false">IF(BQ128,IF(OPriceCurve,IF(OBuySell=OCallPut,I128/(1-AY128),K128/(1-AY128)),J128/(1-AY128))*BD128,0)</f>
        <v>#VALUE!</v>
      </c>
      <c r="BV128" s="1316" t="e">
        <f aca="false">IF(BQ128,IF(OPriceCurve,IF(OBuySell=OCallPut,L128/(1-AY128),N128/(1-AY128)),M128/(1-AY128))*BE128,0)</f>
        <v>#VALUE!</v>
      </c>
      <c r="BW128" s="1316" t="e">
        <f aca="false">IF(BQ128,IF(OPriceCurve,IF(OBuySell=OCallPut,O128/(1-AY128),Q128/(1-AY128)),P128/(1-AY128))*BF128,0)</f>
        <v>#VALUE!</v>
      </c>
      <c r="BX128" s="1316" t="e">
        <f aca="false">IF(BQ128,IF(OPriceCurve,IF(OBuySell=OCallPut,R128/(1-AY128),T128/(1-AY128)),S128/(1-AY128))*BG128,0)</f>
        <v>#VALUE!</v>
      </c>
      <c r="BY128" s="1316" t="e">
        <f aca="false">IF(BP128,(BU128*AZ128+BV128*BA128+BW128*BB128)/BP128,0)</f>
        <v>#VALUE!</v>
      </c>
      <c r="BZ128" s="1316" t="e">
        <f aca="false">IF(BQ128,(BY128*BP128+BX128*BC128)/BQ128,0)</f>
        <v>#VALUE!</v>
      </c>
      <c r="CA128" s="1531" t="e">
        <f aca="false">IF(BS128,IF(OPriceCurve,IF(OBuySell=OCallPut,I128/(1-AY128),K128/(1-AY128)),J128/(1-AY128))*BL128,0)</f>
        <v>#VALUE!</v>
      </c>
      <c r="CB128" s="1316" t="e">
        <f aca="false">IF(BS128,IF(OPriceCurve,IF(OBuySell=OCallPut,L128/(1-AY128),N128/(1-AY128)),M128/(1-AY128))*BM128,0)</f>
        <v>#VALUE!</v>
      </c>
      <c r="CC128" s="1316" t="e">
        <f aca="false">IF(BS128,IF(OPriceCurve,IF(OBuySell=OCallPut,O128/(1-AY128),Q128/(1-AY128)),P128/(1-AY128))*BN128,0)</f>
        <v>#VALUE!</v>
      </c>
      <c r="CD128" s="1316" t="e">
        <f aca="false">IF(BS128,IF(OPriceCurve,IF(OBuySell=OCallPut,R128/(1-AY128),T128/(1-AY128)),S128/(1-AY128))*BO128,0)</f>
        <v>#VALUE!</v>
      </c>
      <c r="CE128" s="1316" t="e">
        <f aca="false">IF(BR128,(BU128*BH128+BV128*BI128+BW128*BJ128)/BR128,0)</f>
        <v>#VALUE!</v>
      </c>
      <c r="CF128" s="1532" t="e">
        <f aca="false">IF(BS128,(CE128*BR128+CD128*BK128)/BS128,0)</f>
        <v>#VALUE!</v>
      </c>
      <c r="CG128" s="1586" t="e">
        <f aca="false">IF(OR(BQ128,BS128),IF(OVolType&lt;&gt;2,SQRT(IF(OVolOverMonthlyPeak,OVolOverMonthlyPeak,IF(OVolCurve,IF(OBuySell,U128,W128),V128))^2*(1-15/365.25/BT128)+IF(OVolOverDailyPeak,OVolOverDailyPeak,IF(OVolCurve,IF(OBuySell,AG128,AI128),AH128))^2*15/365.25/BT128),IF(OVolOverMonthlyPeak,OVolOverMonthlyPeak,IF(OVolCurve,IF(OBuySell,U128,W128),V128))),"")</f>
        <v>#VALUE!</v>
      </c>
      <c r="CH128" s="1587" t="e">
        <f aca="false">IF(OR(BQ128,BS128),IF(OVolType&lt;&gt;2,SQRT(IF(OVolOverMonthlyPeak,OVolOverMonthlyPeak,IF(OVolCurve,IF(OBuySell,X128,Z128),Y128))^2*(1-15/365.25/BT128)+IF(OVolOverDailyPeak,OVolOverDailyPeak,IF(OVolCurve,IF(OBuySell,AJ128,AL128),AK128))^2*15/365.25/BT128),IF(OVolOverMonthlyPeak,OVolOverMonthlyPeak,IF(OVolCurve,IF(OBuySell,X128,Z128),Y128))),"")</f>
        <v>#VALUE!</v>
      </c>
      <c r="CI128" s="1587" t="e">
        <f aca="false">IF(OR(BQ128,BS128),IF(OVolType&lt;&gt;2,SQRT(IF(OVolOverMonthlyPeak,OVolOverMonthlyPeak,IF(OVolCurve,IF(OBuySell,AA128,AC128),AB128))^2*(1-15/365.25/BT128)+IF(OVolOverDailyPeak,OVolOverDailyPeak,IF(OVolCurve,IF(OBuySell,AM128,AO128),AN128))^2*15/365.25/BT128),IF(OVolOverMonthlyPeak,OVolOverMonthlyPeak,IF(OVolCurve,IF(OBuySell,AA128,AC128),AB128))),"")</f>
        <v>#VALUE!</v>
      </c>
      <c r="CJ128" s="1587" t="e">
        <f aca="false">IF(BQ128,IF(BP128,SQRT(LN(1+((BU128*AZ128)^2*(EXP(CG128^2*BT128)-1)+(BV128*BA128)^2*(EXP(CH128^2*BT128)-1)+(BW128*BB128)^2*(EXP(CI128^2*BT128)-1)+2*BU128*AZ128*BV128*BA128*(EXP(CG128*CH128*BT128)-1)+2*BV128*BA128*BW128*BB128*(EXP(CH128*CI128*BT128)-1)+2*BW128*BB128*BU128*AZ128*(EXP(CI128*CG128*BT128)-1))/(BY128*BP128)^2)/BT128),0),"")</f>
        <v>#VALUE!</v>
      </c>
      <c r="CK128" s="1587" t="e">
        <f aca="false">IF(BS128,IF(BR128,SQRT(LN(1+((CA128*BH128)^2*(EXP(CG128^2*BT128)-1)+(CB128*BI128)^2*(EXP(CH128^2*BT128)-1)+(CC128*BJ128)^2*(EXP(CI128^2*BT128)-1)+2*CA128*BH128*CB128*BI128*(EXP(CG128*CH128*BT128)-1)+2*CB128*BI128*CC128*BJ128*(EXP(CH128*CI128*BT128)-1)+2*CC128*BJ128*CA128*BH128*(EXP(CI128*CG128*BT128)-1))/(CE128*BR128)^2)/BT128),0),"")</f>
        <v>#VALUE!</v>
      </c>
      <c r="CL128" s="1587" t="e">
        <f aca="false">IF(OR(BQ128,BS128),IF(OVolType&lt;&gt;2,SQRT(IF(OVolOverMonthlyOffPeak,OVolOverMonthlyOffPeak,IF(OVolCurve,IF(OBuySell,AD128,AF128),AE128))^2*(1-15/365.25/BT128)+IF(OVolOverDailyOffPeak,OVolOverDailyOffPeak,IF(OVolCurve,IF(OBuySell,AP128,AR128),AQ128))^2*15/365.25/BT128),IF(OVolOverMonthlyOffPeak,OVolOverMonthlyOffPeak,IF(OVolCurve,IF(OBuySell,AD128,AF128),AE128))),"")</f>
        <v>#VALUE!</v>
      </c>
      <c r="CM128" s="1587" t="e">
        <f aca="false">IF(BQ128,SQRT(LN(1+((BY128*BP128)^2*(EXP(CJ128^2*BT128)-1)+(BX128*BC128)^2*(EXP(CL128^2*BT128)-1)+2*BY128*BP128*BX128*BC128*(EXP(AS128*CJ128*CL128*BT128)-1))/(BY128*BP128+BX128*BC128)^2)/BT128),"")</f>
        <v>#VALUE!</v>
      </c>
      <c r="CN128" s="1588" t="e">
        <f aca="false">IF(BS128,SQRT(LN(1+((CE128*BR128)^2*(EXP(CK128^2*BT128)-1)+(CD128*BK128)^2*(EXP(CL128^2*BT128)-1)+2*CE128*BR128*CD128*BK128*(EXP(AS128*CK128*CL128*BT128)-1))/(CE128*BR128+CD128*BK128)^2)/BT128),"")</f>
        <v>#VALUE!</v>
      </c>
      <c r="CO128" s="1531" t="e">
        <f aca="false">IF(OR(BQ128,BS128),VLOOKUP(A128,GasTable,13)*HeatRatePeak*(1+VLOOKUP($B128,HeatRateDegradation,$C128+1))/1000,0)</f>
        <v>#VALUE!</v>
      </c>
      <c r="CP128" s="1316" t="e">
        <f aca="false">IF(OR(BQ128,BS128),VLOOKUP(A128,GasTable,13)*HeatRatePeak*(1+VLOOKUP($B128,HeatRateDegradation,$C128+1))/1000,0)</f>
        <v>#VALUE!</v>
      </c>
      <c r="CQ128" s="1316" t="e">
        <f aca="false">IF(OR(BQ128,BS128),VLOOKUP(A128,GasTable,13)*IF(EV128,HeatRatePeak,HeatRateOffPeak)*(1+VLOOKUP($B128,HeatRateDegradation,$C128+1))/1000,0)</f>
        <v>#VALUE!</v>
      </c>
      <c r="CR128" s="1316" t="e">
        <f aca="false">IF(OR(BQ128,BS128),VLOOKUP(A128,GasTable,13)*IF(EW128,HeatRatePeak,HeatRateOffPeak)*(1+VLOOKUP($B128,HeatRateDegradation,$C128+1))/1000,0)</f>
        <v>#VALUE!</v>
      </c>
      <c r="CS128" s="1589" t="e">
        <f aca="false">IF(BQ128,(CO128*AZ128+CP128*BA128+CQ128*BB128+CR128*BC128)/BQ128,0)</f>
        <v>#VALUE!</v>
      </c>
      <c r="CT128" s="1316" t="e">
        <f aca="false">IF(BS128,CO128,0)</f>
        <v>#VALUE!</v>
      </c>
      <c r="CU128" s="1590" t="e">
        <f aca="false">IF(OR(BQ128,BS128),VLOOKUP(A128,GasTable,14),"")</f>
        <v>#VALUE!</v>
      </c>
      <c r="CV128" s="1568" t="e">
        <f aca="false">IF(OR(BQ128,BS128),IF(CorrPowerGasOverFlag,INDEX(CorrPowerGasOver,C128),CorrPowerGas),"")</f>
        <v>#VALUE!</v>
      </c>
      <c r="CW128" s="1316" t="e">
        <f aca="false">IF(OR($BQ128,$BS128),SpreadOptPowerMargin,0)*((1+Assumptions!$C$26)^($B128-YEAR(Assumptions!$C$17)))</f>
        <v>#VALUE!</v>
      </c>
      <c r="CX128" s="1316" t="e">
        <f aca="false">IF(OR($BQ128,$BS128),SpreadOptPowerMargin,0)*((1+Assumptions!$C$26)^($B128-YEAR(Assumptions!$C$17)))</f>
        <v>#VALUE!</v>
      </c>
      <c r="CY128" s="1316" t="e">
        <f aca="false">IF(OR($BQ128,$BS128),SpreadOptPowerMargin,0)*((1+Assumptions!$C$26)^($B128-YEAR(Assumptions!$C$17)))</f>
        <v>#VALUE!</v>
      </c>
      <c r="CZ128" s="1316" t="e">
        <f aca="false">IF(OR($BQ128,$BS128),SpreadOptPowerMargin,0)*((1+Assumptions!$C$26)^($B128-YEAR(Assumptions!$C$17)))</f>
        <v>#VALUE!</v>
      </c>
      <c r="DA128" s="1591" t="e">
        <f aca="false">IF(OR(BQ128,BS128),(CW128*(AZ128+BH128)+CX128*(BA128+BI128)+CY128*(BB128+BJ128)+CZ128*(BC128+BK128))/(BQ128+BS128),0)</f>
        <v>#VALUE!</v>
      </c>
      <c r="DB128" s="1592" t="e">
        <f aca="false">IF(OR(BQ128,BS128),CG128+IF(OVolSmile,VLOOKUP(MAX(-5,CO128+CW128-BU128),IF(OVolSmile=1,VolSmileBook,VolSmileModel),2),0),"")</f>
        <v>#VALUE!</v>
      </c>
      <c r="DC128" s="1592" t="e">
        <f aca="false">IF(OR(BQ128,BS128),CH128+IF(OVolSmile,VLOOKUP(MAX(-5,CP128+CW128-BV128),IF(OVolSmile=1,VolSmileBook,VolSmileModel),2),0),"")</f>
        <v>#VALUE!</v>
      </c>
      <c r="DD128" s="1592" t="e">
        <f aca="false">IF(OR(BQ128,BS128),CI128+IF(OVolSmile,VLOOKUP(MAX(-5,CQ128+CW128-BW128),IF(OVolSmile=1,VolSmileBook,VolSmileModel),2),0),"")</f>
        <v>#VALUE!</v>
      </c>
      <c r="DE128" s="1592" t="e">
        <f aca="false">IF(OR(BQ128,BS128),CL128+IF(OVolSmile,VLOOKUP(MAX(-5,CR128+CZ128-BX128),IF(OVolSmile=1,VolSmileBook,VolSmileModel),2),0),"")</f>
        <v>#VALUE!</v>
      </c>
      <c r="DF128" s="1592" t="e">
        <f aca="false">IF(BQ128,CM128+IF(OVolSmile,VLOOKUP(MAX(-5,CS128+DA128-BZ128),IF(OVolSmile=1,VolSmileBook,VolSmileModel),2),0),"")</f>
        <v>#VALUE!</v>
      </c>
      <c r="DG128" s="1593" t="e">
        <f aca="false">IF(BS128,CN128+IF(OVolSmile,VLOOKUP(MAX(-5,CT128+DA128-CF128),IF(OVolSmile=1,VolSmileBook,VolSmileModel),2),0),"")</f>
        <v>#VALUE!</v>
      </c>
      <c r="DH128" s="1316" t="e">
        <f aca="false">IF(AND(BU128&gt;0,CO128&gt;0,DB128&gt;0,CU128&gt;0),newSPRDOPT(BU128,CO128,CW128,0,DB128,CU128,CV128,BT128*365.25,OCallPut,0),0)</f>
        <v>#VALUE!</v>
      </c>
      <c r="DI128" s="1316" t="e">
        <f aca="false">IF(AND(BV128&gt;0,CP128&gt;0,DC128&gt;0,CU128&gt;0),newSPRDOPT(BV128,CP128,CX128,0,DC128,CU128,CV128,BT128*365.25,OCallPut,0),0)</f>
        <v>#VALUE!</v>
      </c>
      <c r="DJ128" s="1316" t="e">
        <f aca="false">IF(AND(BW128&gt;0,CQ128&gt;0,DD128&gt;0,CU128&gt;0),newSPRDOPT(BW128,CQ128,CY128,0,DD128,CU128,CV128,BT128*365.25,OCallPut,0),0)</f>
        <v>#VALUE!</v>
      </c>
      <c r="DK128" s="1316" t="e">
        <f aca="false">IF(AND(BX128&gt;0,CR128&gt;0,DE128&gt;0,CU128&gt;0),newSPRDOPT(BX128,CR128,CZ128,0,DE128,CU128,CV128,BT128*365.25,OCallPut,0),0)</f>
        <v>#VALUE!</v>
      </c>
      <c r="DL128" s="1316" t="e">
        <f aca="false">IF(OVolType,IF(AND(BZ128&gt;0,CS128&gt;0,DF128&gt;0,CU128&gt;0),newSPRDOPT(BZ128,CS128,DA128,0,DF128,CU128,CV128,BT128*365.25,OCallPut,0),0),IF(BQ128,(DH128*AZ128+DI128*BA128+DJ128*BB128+DK128*BC128)/BQ128,0))</f>
        <v>#VALUE!</v>
      </c>
      <c r="DM128" s="1316"/>
      <c r="DN128" s="1316"/>
      <c r="DO128" s="1316"/>
      <c r="DP128" s="1316"/>
      <c r="DQ128" s="1316"/>
      <c r="DR128" s="1316"/>
      <c r="DS128" s="1316"/>
      <c r="DT128" s="1316"/>
      <c r="DU128" s="1316"/>
      <c r="DV128" s="1316"/>
      <c r="DW128" s="1594" t="e">
        <f aca="false">IF(AND(BW128&gt;0,CT128&gt;0,DD128&gt;0,CU128&gt;0),newSPRDOPT(BW128,CT128,CY128,0,DD128,CU128,CV128,BT128*365.25,OCallPut,0),0)</f>
        <v>#VALUE!</v>
      </c>
      <c r="DX128" s="1316" t="e">
        <f aca="false">IF(AND(BX128&gt;0,CT128&gt;0,DE128&gt;0,CU128&gt;0),newSPRDOPT(BX128,CT128,CZ128,0,DE128,CU128,CV128,BT128*365.25,OCallPut,0),0)</f>
        <v>#VALUE!</v>
      </c>
      <c r="DY128" s="1591" t="e">
        <f aca="false">IF(BS128,(DH128*BH128+DI128*BI128+DW128*BJ128+DX128*BK128)/BS128,0)</f>
        <v>#VALUE!</v>
      </c>
      <c r="DZ128" s="1551" t="e">
        <f aca="false">DH128*AZ128</f>
        <v>#VALUE!</v>
      </c>
      <c r="EA128" s="1551" t="e">
        <f aca="false">DI128*BA128</f>
        <v>#VALUE!</v>
      </c>
      <c r="EB128" s="1551" t="e">
        <f aca="false">DJ128*BB128</f>
        <v>#VALUE!</v>
      </c>
      <c r="EC128" s="1551" t="e">
        <f aca="false">DK128*BC128</f>
        <v>#VALUE!</v>
      </c>
      <c r="ED128" s="1551" t="e">
        <f aca="false">DL128*BQ128</f>
        <v>#VALUE!</v>
      </c>
      <c r="EE128" s="1595" t="e">
        <f aca="false">IF(BQ128,IF(OCallPut,IF(BU128&gt;(CO128+CW128),BU128-(CO128+CW128),0),IF((CO128+CW128)&gt;BU128,(CO128+CW128)-BU128,0))*AZ128,0)</f>
        <v>#VALUE!</v>
      </c>
      <c r="EF128" s="1596" t="e">
        <f aca="false">IF(BQ128,IF(OCallPut,IF(BV128&gt;(CP128+CX128),BV128-(CP128+CX128),0),IF((CP128+CX128)&gt;BV128,(CP128+CX128)-BV128,0))*BA128,0)</f>
        <v>#VALUE!</v>
      </c>
      <c r="EG128" s="1596" t="e">
        <f aca="false">IF(BQ128,IF(OCallPut,IF(BW128&gt;(CQ128+CY128),BW128-(CQ128+CY128),0),IF((CQ128+CY128)&gt;BW128,(CQ128+CY128)-BW128,0))*BB128,0)</f>
        <v>#VALUE!</v>
      </c>
      <c r="EH128" s="1596" t="e">
        <f aca="false">IF(BQ128,IF(OCallPut,IF(BX128&gt;(CR128+CZ128),BX128-(CR128+CZ128),0),IF((CR128+CZ128)&gt;BX128,(CR128+CZ128)-BX128,0))*BC128,0)</f>
        <v>#VALUE!</v>
      </c>
      <c r="EI128" s="1597" t="e">
        <f aca="false">IF(BQ128,IF(OVolType,IF(OCallPut,IF(BZ128&gt;(CS128+DA128),BZ128-(CS128+DA128),0),IF((CS128+DA128)&gt;BZ128,(CS128+DA128)-BZ128,0))*BQ128,SUM(EE128:EH128)),0)</f>
        <v>#VALUE!</v>
      </c>
      <c r="EJ128" s="1595" t="e">
        <f aca="false">DZ128-EE128</f>
        <v>#VALUE!</v>
      </c>
      <c r="EK128" s="1596" t="e">
        <f aca="false">EA128-EF128</f>
        <v>#VALUE!</v>
      </c>
      <c r="EL128" s="1596" t="e">
        <f aca="false">EB128-EG128</f>
        <v>#VALUE!</v>
      </c>
      <c r="EM128" s="1596" t="e">
        <f aca="false">EC128-EH128</f>
        <v>#VALUE!</v>
      </c>
      <c r="EN128" s="1597" t="e">
        <f aca="false">ED128-EI128</f>
        <v>#VALUE!</v>
      </c>
      <c r="EO128" s="1551" t="e">
        <f aca="false">DH128*BH128</f>
        <v>#VALUE!</v>
      </c>
      <c r="EP128" s="1551" t="e">
        <f aca="false">DI128*BI128</f>
        <v>#VALUE!</v>
      </c>
      <c r="EQ128" s="1551" t="e">
        <f aca="false">DW128*BJ128</f>
        <v>#VALUE!</v>
      </c>
      <c r="ER128" s="1551" t="e">
        <f aca="false">DX128*BK128</f>
        <v>#VALUE!</v>
      </c>
      <c r="ES128" s="1551" t="e">
        <f aca="false">DY128*BS128</f>
        <v>#VALUE!</v>
      </c>
      <c r="ET128" s="1566" t="e">
        <f aca="false">IF(EI128,IF(OCallPut,IF(CA128&gt;(CT128+CW128),CA128-(CT128+CW128),0),IF((CT128+CW128)&gt;CA128,(CT128+CW128)-CA128,0))*BH128,0)</f>
        <v>#VALUE!</v>
      </c>
      <c r="EU128" s="1551" t="e">
        <f aca="false">IF(EI128,IF(OCallPut,IF(CB128&gt;(CT128+CX128),CB128-(CT128+CX128),0),IF((CT128+CX128)&gt;CB128,(CT128+CX128)-CB128,0))*BI128,0)</f>
        <v>#VALUE!</v>
      </c>
      <c r="EV128" s="1551" t="e">
        <f aca="false">IF(EI128,IF(OCallPut,IF(CC128&gt;(CT128+CY128),CC128-(CT128+CY128),0),IF((CT128+CY128)&gt;CC128,(CT128+CY128)-CC128,0))*BJ128,0)</f>
        <v>#VALUE!</v>
      </c>
      <c r="EW128" s="1551" t="e">
        <f aca="false">IF(EI128,IF(OCallPut,IF(CD128&gt;(CT128+CZ128),CD128-(CT128+CZ128),0),IF((CT128+CZ128)&gt;CD128,(CT128+CZ128)-CD128,0))*BK128,0)</f>
        <v>#VALUE!</v>
      </c>
      <c r="EX128" s="1558" t="e">
        <f aca="false">IF(EI128,SUM(ET128:EW128),0)</f>
        <v>#VALUE!</v>
      </c>
      <c r="EY128" s="1551" t="e">
        <f aca="false">EO128-ET128</f>
        <v>#VALUE!</v>
      </c>
      <c r="EZ128" s="1551" t="e">
        <f aca="false">EP128-EU128</f>
        <v>#VALUE!</v>
      </c>
      <c r="FA128" s="1551" t="e">
        <f aca="false">EQ128-EV128</f>
        <v>#VALUE!</v>
      </c>
      <c r="FB128" s="1551" t="e">
        <f aca="false">ER128-EW128</f>
        <v>#VALUE!</v>
      </c>
      <c r="FC128" s="1551" t="e">
        <f aca="false">ES128-EX128</f>
        <v>#VALUE!</v>
      </c>
      <c r="FD128" s="1525" t="n">
        <f aca="false">IF(AX128,IF(VLOOKUP(C128,MAIN!$L$17:$M$28,2)="Yes",VLOOKUP(CALC!B128,MAIN!$H$17:$I$20,2),0),0)</f>
        <v>0</v>
      </c>
      <c r="FE128" s="1552" t="e">
        <f aca="false">$FD128*16*AT128*(1-$AY128)</f>
        <v>#VALUE!</v>
      </c>
      <c r="FF128" s="1553" t="e">
        <f aca="false">$FD128*16*AU128*(1-$AY128)</f>
        <v>#VALUE!</v>
      </c>
      <c r="FG128" s="1553" t="e">
        <f aca="false">$FD128*16*(AV128+AW128)*(1-$AY128)</f>
        <v>#VALUE!</v>
      </c>
      <c r="FH128" s="1554" t="n">
        <f aca="false">$FD128*8*AX128*(1-$AY128)</f>
        <v>0</v>
      </c>
      <c r="FI128" s="1555" t="n">
        <f aca="false">IF(AX128,VLOOKUP(CALC!B128,MAIN!$H$17:$K$20,4),0)</f>
        <v>0</v>
      </c>
      <c r="FJ128" s="1553" t="e">
        <f aca="false">SUM(FE128:FH128)</f>
        <v>#VALUE!</v>
      </c>
      <c r="FK128" s="1556" t="e">
        <f aca="false">FI128*FJ128</f>
        <v>#VALUE!</v>
      </c>
      <c r="FL128" s="1551" t="e">
        <f aca="false">IF($EI128&gt;0,MIN(FE128,AZ128*(1+VLOOKUP($C128,WeatherCapacityAdjustment,2))),0)</f>
        <v>#VALUE!</v>
      </c>
      <c r="FM128" s="1551" t="e">
        <f aca="false">IF($EI128&gt;0,MIN(FF128,BA128*(1+VLOOKUP($C128,WeatherCapacityAdjustment,2))),0)</f>
        <v>#VALUE!</v>
      </c>
      <c r="FN128" s="1551" t="e">
        <f aca="false">IF($EI128&gt;0,MIN(FG128,BB128*(1+VLOOKUP($C128,WeatherCapacityAdjustment,2))),0)</f>
        <v>#VALUE!</v>
      </c>
      <c r="FO128" s="1564" t="e">
        <f aca="false">IF($EI128&gt;0,MIN(FH128,BC128*(1+VLOOKUP($C128,WeatherCapacityAdjustment,3))),0)</f>
        <v>#VALUE!</v>
      </c>
      <c r="FP128" s="1551" t="e">
        <f aca="false">IF(ET128&gt;0,MIN(FE128-FL128,BH128*(1+VLOOKUP($C128,WeatherCapacityAdjustment,2))),0)</f>
        <v>#VALUE!</v>
      </c>
      <c r="FQ128" s="1551" t="e">
        <f aca="false">IF(EU128&gt;0,MIN(FF128-FM128,BI128*(1+VLOOKUP($C128,WeatherCapacityAdjustment,2))),0)</f>
        <v>#VALUE!</v>
      </c>
      <c r="FR128" s="1551" t="e">
        <f aca="false">IF(EV128&gt;0,MIN(FG128-FN128,BJ128*(1+VLOOKUP($C128,WeatherCapacityAdjustment,2))),0)</f>
        <v>#VALUE!</v>
      </c>
      <c r="FS128" s="1558" t="e">
        <f aca="false">IF(EW128&gt;0,MIN(FH128-FO128,BK128*(1+VLOOKUP($C128,WeatherCapacityAdjustment,3))),0)</f>
        <v>#VALUE!</v>
      </c>
      <c r="FT128" s="1566" t="e">
        <f aca="false">IF(AND(Assumptions!$H$71="Yes",A128&gt;=Assumptions!$H$72,A128&lt;=Assumptions!$H$73),0,IF(AND($A128&gt;=Assumptions!$C$17,$A128&lt;=Assumptions!$C$18),MAX(AZ128*(1+VLOOKUP($C128,WeatherCapacityAdjustment,2))-FL128,0),0))</f>
        <v>#VALUE!</v>
      </c>
      <c r="FU128" s="1551" t="e">
        <f aca="false">IF(AND(Assumptions!$H$71="Yes",A128&gt;=Assumptions!$H$72,A128&lt;=Assumptions!$H$73),0,IF(AND($A128&gt;=Assumptions!$C$17,$A128&lt;=Assumptions!$C$18),MAX(BA128*(1+VLOOKUP($C128,WeatherCapacityAdjustment,2))-FM128,0),0))</f>
        <v>#VALUE!</v>
      </c>
      <c r="FV128" s="1551" t="e">
        <f aca="false">IF(AND(Assumptions!$H$71="Yes",A128&gt;=Assumptions!$H$72,A128&lt;=Assumptions!$H$73),0,IF(AND($A128&gt;=Assumptions!$C$17,$A128&lt;=Assumptions!$C$18),MAX(BB128*(1+VLOOKUP($C128,WeatherCapacityAdjustment,2))-FN128,0),0))</f>
        <v>#VALUE!</v>
      </c>
      <c r="FW128" s="1564" t="e">
        <f aca="false">IF(AND(Assumptions!$H$71="Yes",A128&gt;=Assumptions!$H$72,A128&lt;=Assumptions!$H$73),0,IF(AND($A128&gt;=Assumptions!$C$17,$A128&lt;=Assumptions!$C$18),MAX(BC128*(1+VLOOKUP($C128,WeatherCapacityAdjustment,3))-FO128,0),0))</f>
        <v>#VALUE!</v>
      </c>
      <c r="FX128" s="1569" t="e">
        <f aca="false">IF(AND(Assumptions!$H$71="Yes",A128&gt;=Assumptions!$H$72,A128&lt;=Assumptions!$H$73),0,IF(ET128&gt;0,MAX(BH128*(1+VLOOKUP($C128,WeatherCapacityAdjustment,2))-FP128,0),0))</f>
        <v>#VALUE!</v>
      </c>
      <c r="FY128" s="1551" t="e">
        <f aca="false">IF(AND(Assumptions!$H$71="Yes",A128&gt;=Assumptions!$H$72,A128&lt;=Assumptions!$H$73),0,IF(EU128&gt;0,MAX(BI128*(1+VLOOKUP($C128,WeatherCapacityAdjustment,3))-FQ128,0),0))</f>
        <v>#VALUE!</v>
      </c>
      <c r="FZ128" s="1551" t="e">
        <f aca="false">IF(AND(Assumptions!$H$71="Yes",A128&gt;=Assumptions!$H$72,A128&lt;=Assumptions!$H$73),0,IF(EV128&gt;0,MAX(BJ128*(1+VLOOKUP($C128,WeatherCapacityAdjustment,2))-FR128,0),0))</f>
        <v>#VALUE!</v>
      </c>
      <c r="GA128" s="1564" t="e">
        <f aca="false">IF(AND(Assumptions!$H$71="Yes",A128&gt;=Assumptions!$H$72,A128&lt;=Assumptions!$H$73),0,IF(EW128&gt;0,MAX(BK128*(1+VLOOKUP($C128,WeatherCapacityAdjustment,2))-FS128,0),0))</f>
        <v>#VALUE!</v>
      </c>
      <c r="GB128" s="1551" t="e">
        <f aca="false">SUM(FT128:GA128)</f>
        <v>#VALUE!</v>
      </c>
      <c r="GC128" s="1563" t="e">
        <f aca="false">+IF(SUM(FT128:GA128)=0,0,(SUMPRODUCT(BU128:BX128,FT128:FW128)+SUMPRODUCT(CA128:CD128,FX128:GA128))/SUM(FT128:GA128))</f>
        <v>#VALUE!</v>
      </c>
      <c r="GD128" s="1551" t="e">
        <f aca="false">(FT128*BU128+FX128*CA128+FU128*BV128+FY128*CB128+FV128*BW128+FZ128*CC128+FW128*BX128+GA128*CD128)</f>
        <v>#VALUE!</v>
      </c>
      <c r="GE128" s="1561" t="e">
        <f aca="false">+IF(BQ128,((FL128+FM128+FT128+FU128)*HeatRatePeak/1000*(1+VLOOKUP($C128,WeatherHeatRateAdjustment,2))+(FN128+FV128)*IF(EV128&gt;0,HeatRatePeak,HeatRateOffPeak)/1000*(1+VLOOKUP($C128,WeatherHeatRateAdjustment,2))+(FO128+FW128)*IF(EW128&gt;0,HeatRatePeak,HeatRateOffPeak)/1000*(1+VLOOKUP($C128,WeatherHeatRateAdjustment,3)))*(1+VLOOKUP($B128,HeatRateDegradation,$C128+1)),0)</f>
        <v>#VALUE!</v>
      </c>
      <c r="GF128" s="1562" t="e">
        <f aca="false">IF(BQ128,((FP128+FQ128+FR128+FX128+FY128+FZ128)*HeatRatePeak/1000*(1+VLOOKUP($C128,WeatherHeatRateAdjustment,2))+(FS128+GA128)*HeatRatePeak/1000*(1+VLOOKUP($C128,WeatherHeatRateAdjustment,3)))*(1+VLOOKUP($B128,HeatRateDegradation,$C128+1)),0)</f>
        <v>#VALUE!</v>
      </c>
      <c r="GG128" s="1563" t="e">
        <f aca="false">IF(BQ128,VLOOKUP(A128,GasTable,13),0)</f>
        <v>#VALUE!</v>
      </c>
      <c r="GH128" s="1564" t="e">
        <f aca="false">(GE128+GF128)*GG128</f>
        <v>#VALUE!</v>
      </c>
      <c r="GI128" s="1569" t="e">
        <f aca="false">GB128</f>
        <v>#VALUE!</v>
      </c>
      <c r="GJ128" s="1598" t="e">
        <f aca="false">+DA128</f>
        <v>#VALUE!</v>
      </c>
      <c r="GK128" s="1558" t="e">
        <f aca="false">+GI128*GJ128</f>
        <v>#VALUE!</v>
      </c>
      <c r="GL128" s="1566" t="e">
        <f aca="false">MAX(FE128-FL128-FP128,0)</f>
        <v>#VALUE!</v>
      </c>
      <c r="GM128" s="1551" t="e">
        <f aca="false">MAX(FF128-FM128-FQ128,0)</f>
        <v>#VALUE!</v>
      </c>
      <c r="GN128" s="1551" t="e">
        <f aca="false">MAX(FG128-FN128-FR128,0)</f>
        <v>#VALUE!</v>
      </c>
      <c r="GO128" s="1564" t="e">
        <f aca="false">MAX(FH128-FO128-FS128,0)</f>
        <v>#VALUE!</v>
      </c>
      <c r="GP128" s="1551" t="e">
        <f aca="false">SUM(GL128:GO128)</f>
        <v>#VALUE!</v>
      </c>
      <c r="GQ128" s="1563" t="e">
        <f aca="false">IF(SUM(GL128:GO128)=0,0,((GL128*BU128+GM128*BV128+GN128*BW128+GO128*BX128)/SUM(GL128:GO128)))</f>
        <v>#VALUE!</v>
      </c>
      <c r="GR128" s="1558" t="e">
        <f aca="false">(GL128*BU128+GM128*BV128+GN128*BW128+GO128*BX128)</f>
        <v>#VALUE!</v>
      </c>
      <c r="GS128" s="1566" t="n">
        <f aca="false">IF($A128&gt;=BegDate,Assumptions!$C$56*24*($A129-$A128)*(1-VLOOKUP($B128,MAIN!$AA$7:$AM$28,$C128+1))*(1-VLOOKUP($B128,MAIN!$AA$33:$AM$54,$C128+1)),0)*80/168</f>
        <v>257742.857142857</v>
      </c>
      <c r="GT128" s="286" t="n">
        <f aca="false">J128</f>
        <v>96.5288218601927</v>
      </c>
      <c r="GU128" s="286" t="n">
        <f aca="false">IF($A128&gt;=BegDate,VLOOKUP($A128,GasTable,13)+Assumptions!$C$58,0)</f>
        <v>2.83142784344354</v>
      </c>
      <c r="GV128" s="286" t="n">
        <f aca="false">GU128*Assumptions!$C$57/1000</f>
        <v>20.5278518649657</v>
      </c>
      <c r="GW128" s="1558" t="n">
        <f aca="false">IF(Assumptions!$C$60="Hourly",MAX(0,GS128*(GT128-GV128)),GS128*(GT128-GV128))</f>
        <v>19588707.1521984</v>
      </c>
      <c r="GX128" s="1566" t="n">
        <f aca="false">IF($A128&gt;=BegDate,Assumptions!$C$56*24*($A129-$A128)*(1-VLOOKUP($B128,MAIN!$AA$7:$AM$28,$C128+1))*(1-VLOOKUP($B128,MAIN!$AA$33:$AM$54,$C128+1)),0)*16/168</f>
        <v>51548.5714285714</v>
      </c>
      <c r="GY128" s="286" t="n">
        <f aca="false">M128</f>
        <v>96.5288218601927</v>
      </c>
      <c r="GZ128" s="286" t="n">
        <f aca="false">IF($A128&gt;=BegDate,VLOOKUP($A128,GasTable,13)+Assumptions!$C$58,0)</f>
        <v>2.83142784344354</v>
      </c>
      <c r="HA128" s="286" t="n">
        <f aca="false">GZ128*Assumptions!$C$57/1000</f>
        <v>20.5278518649657</v>
      </c>
      <c r="HB128" s="1558" t="n">
        <f aca="false">IF(Assumptions!$C$60="Hourly",MAX(0,GX128*(GY128-HA128)),GX128*(GY128-HA128))</f>
        <v>3917741.43043967</v>
      </c>
      <c r="HC128" s="1566" t="n">
        <f aca="false">IF($A128&gt;=BegDate,Assumptions!$C$56*24*($A129-$A128)*(1-VLOOKUP($B128,MAIN!$AA$7:$AM$28,$C128+1))*(1-VLOOKUP($B128,MAIN!$AA$33:$AM$54,$C128+1)),0)*16/168</f>
        <v>51548.5714285714</v>
      </c>
      <c r="HD128" s="286" t="n">
        <f aca="false">P128</f>
        <v>32.5935206055226</v>
      </c>
      <c r="HE128" s="286" t="n">
        <f aca="false">IF($A128&gt;=BegDate,VLOOKUP($A128,GasTable,13)+Assumptions!$C$58,0)</f>
        <v>2.83142784344354</v>
      </c>
      <c r="HF128" s="286" t="n">
        <f aca="false">HE128*Assumptions!$C$57/1000</f>
        <v>20.5278518649657</v>
      </c>
      <c r="HG128" s="1558" t="n">
        <f aca="false">IF(Assumptions!$C$60="Hourly",MAX(0,HC128*(HD128-HF128)),HC128*(HD128-HF128))</f>
        <v>621967.986906079</v>
      </c>
      <c r="HH128" s="1566" t="n">
        <f aca="false">IF($A128&gt;=BegDate,Assumptions!$C$56*24*($A129-$A128)*(1-VLOOKUP($B128,MAIN!$AA$7:$AM$28,$C128+1))*(1-VLOOKUP($B128,MAIN!$AA$33:$AM$54,$C128+1)),0)*56/168</f>
        <v>180420</v>
      </c>
      <c r="HI128" s="286" t="n">
        <f aca="false">S128</f>
        <v>32.5935206055226</v>
      </c>
      <c r="HJ128" s="286" t="n">
        <f aca="false">IF($A128&gt;=BegDate,VLOOKUP($A128,GasTable,13)+Assumptions!$C$58,0)</f>
        <v>2.83142784344354</v>
      </c>
      <c r="HK128" s="286" t="n">
        <f aca="false">HJ128*Assumptions!$C$57/1000</f>
        <v>20.5278518649657</v>
      </c>
      <c r="HL128" s="1558" t="n">
        <f aca="false">IF(Assumptions!$C$60="Hourly",MAX(0,HH128*(HI128-HK128)),HH128*(HI128-HK128))</f>
        <v>2176887.95417128</v>
      </c>
      <c r="HM128" s="1566" t="n">
        <f aca="false">IF(AND(Assumptions!$H$71="Yes",A128&gt;=Assumptions!$H$72,A128&lt;=Assumptions!$H$73),Assumptions!$H$74*Assumptions!$C$9*1000,0)</f>
        <v>0</v>
      </c>
      <c r="HN128" s="1551"/>
      <c r="HO128" s="1563"/>
      <c r="HP128" s="1563"/>
      <c r="HQ128" s="1563"/>
      <c r="HR128" s="1563"/>
      <c r="HS128" s="1563"/>
      <c r="HT128" s="1563"/>
      <c r="HU128" s="1563"/>
      <c r="HV128" s="1563"/>
      <c r="HW128" s="1563"/>
      <c r="HX128" s="1563"/>
      <c r="HY128" s="1563"/>
      <c r="HZ128" s="1563"/>
      <c r="IA128" s="1563"/>
      <c r="IB128" s="1563"/>
      <c r="IC128" s="1563"/>
      <c r="ID128" s="1563"/>
      <c r="IE128" s="1563"/>
      <c r="IF128" s="1563"/>
      <c r="IG128" s="1563"/>
      <c r="IH128" s="1563"/>
      <c r="II128" s="1610"/>
      <c r="IJ128" s="1309"/>
      <c r="IK128" s="1309"/>
    </row>
    <row r="129" customFormat="false" ht="12.75" hidden="false" customHeight="false" outlineLevel="0" collapsed="false">
      <c r="A129" s="1571" t="n">
        <f aca="false">EOMONTH(A128,0)+1</f>
        <v>40057</v>
      </c>
      <c r="B129" s="594" t="n">
        <f aca="false">+YEAR(A129)</f>
        <v>2009</v>
      </c>
      <c r="C129" s="238" t="n">
        <f aca="false">MONTH(A129)</f>
        <v>9</v>
      </c>
      <c r="D129" s="1572" t="e">
        <f aca="false">IF(E129="","",Holiday(B129,C129))</f>
        <v>#VALUE!</v>
      </c>
      <c r="E129" s="1573" t="n">
        <f aca="false">IF(OR(BegDate&gt;=A130,EndDate&lt;A129,AND(VolumeMonthlyOverFlag,INDEX(VolumeMonthlyOver,C129)=0),NOT(INDEX(MonthKnockOutTable,C129))),"",MAX(A129,BegDate))</f>
        <v>40057</v>
      </c>
      <c r="F129" s="1574" t="n">
        <f aca="false">IF(E129="","",MIN(A130-1,EndDate))</f>
        <v>40086</v>
      </c>
      <c r="G129" s="1575" t="n">
        <v>0</v>
      </c>
      <c r="H129" s="1576" t="n">
        <f aca="false">(1+G129/2)^(-2*(DATE(B130,C130,20)-DateToday)/365.25)</f>
        <v>1</v>
      </c>
      <c r="I129" s="1568" t="n">
        <f aca="false">IF(Assumptions!$L$25=4,VLOOKUP($A129,'Henwood Reference'!$E$9:$R$320,10),(VLOOKUP($A129,PriceTable,2,0)+IF(BasisNumber&lt;&gt;1,VLOOKUP($A129,BasisTable,2,0),0)+I$1)/(1-I$2))</f>
        <v>68.6317760308421</v>
      </c>
      <c r="J129" s="1568" t="n">
        <f aca="false">IF(Assumptions!$L$25=4,VLOOKUP($A129,'Henwood Reference'!$E$9:$R$320,10),(VLOOKUP($A129,PriceTable,3,0)+IF(BasisNumber&lt;&gt;1,VLOOKUP($A129,BasisTable,2,0),0)+J$1)/(1-J$2))</f>
        <v>68.6317760308421</v>
      </c>
      <c r="K129" s="1568" t="n">
        <f aca="false">IF(Assumptions!$L$25=4,VLOOKUP($A129,'Henwood Reference'!$E$9:$R$320,10),(VLOOKUP($A129,PriceTable,4,0)+IF(BasisNumber&lt;&gt;1,VLOOKUP($A129,BasisTable,2,0),0)+K$1)/(1-K$2))</f>
        <v>68.6317760308421</v>
      </c>
      <c r="L129" s="1523" t="n">
        <f aca="false">IF(Assumptions!$L$25=4,VLOOKUP($A129,'Henwood Reference'!$E$9:$R$320,10),(VLOOKUP($A129,PriceTableWeekend,2,0)+IF(BasisNumber&lt;&gt;1,VLOOKUP($A129,BasisTable,2,0),0)+L$1)/(1-L$2))</f>
        <v>68.6317760308421</v>
      </c>
      <c r="M129" s="1568" t="n">
        <f aca="false">IF(Assumptions!$L$25=4,VLOOKUP($A129,'Henwood Reference'!$E$9:$R$320,10),(VLOOKUP($A129,PriceTableWeekend,3,0)+IF(BasisNumber&lt;&gt;1,VLOOKUP($A129,BasisTable,2,0),0)+M$1)/(1-M$2))</f>
        <v>68.6317760308421</v>
      </c>
      <c r="N129" s="1599" t="n">
        <f aca="false">IF(Assumptions!$L$25=4,VLOOKUP($A129,'Henwood Reference'!$E$9:$R$320,10),(VLOOKUP($A129,PriceTableWeekend,4,0)+IF(BasisNumber&lt;&gt;1,VLOOKUP($A129,BasisTable,2,0),0)+N$1)/(1-N$2))</f>
        <v>68.6317760308421</v>
      </c>
      <c r="O129" s="1568" t="n">
        <f aca="false">IF(Assumptions!$L$25=4,VLOOKUP($A129,'Henwood Reference'!$E$9:$R$320,11),(VLOOKUP($A129,PriceTableWeekend,6,0)+IF(BasisNumber&lt;&gt;1,VLOOKUP($A129,BasisTable,3,0),0)+O$1)/(1-O$2))</f>
        <v>30.7025256341915</v>
      </c>
      <c r="P129" s="1568" t="n">
        <f aca="false">IF(Assumptions!$L$25=4,VLOOKUP($A129,'Henwood Reference'!$E$9:$R$320,11),(VLOOKUP($A129,PriceTableWeekend,7,0)+IF(BasisNumber&lt;&gt;1,VLOOKUP($A129,BasisTable,3,0),0)+P$1)/(1-P$2))</f>
        <v>30.7025256341915</v>
      </c>
      <c r="Q129" s="1599" t="n">
        <f aca="false">IF(Assumptions!$L$25=4,VLOOKUP($A129,'Henwood Reference'!$E$9:$R$320,11),(VLOOKUP($A129,PriceTableWeekend,8,0)+IF(BasisNumber&lt;&gt;1,VLOOKUP($A129,BasisTable,3,0),0)+Q$1)/(1-Q$2))</f>
        <v>30.7025256341915</v>
      </c>
      <c r="R129" s="1568" t="n">
        <f aca="false">IF(Assumptions!$L$25=4,VLOOKUP($A129,'Henwood Reference'!$E$9:$R$320,11),(VLOOKUP($A129,PriceTable,6,0)+IF(BasisNumber&lt;&gt;1,VLOOKUP($A129,BasisTable,3,0),0)+R$1)/(1-R$2))</f>
        <v>30.7025256341915</v>
      </c>
      <c r="S129" s="1568" t="n">
        <f aca="false">IF(Assumptions!$L$25=4,VLOOKUP($A129,'Henwood Reference'!$E$9:$R$320,11),(VLOOKUP($A129,PriceTable,7,0)+IF(BasisNumber&lt;&gt;1,VLOOKUP($A129,BasisTable,3,0),0)+S$1)/(1-S$2))</f>
        <v>30.7025256341915</v>
      </c>
      <c r="T129" s="1600" t="n">
        <f aca="false">IF(Assumptions!$L$25=4,VLOOKUP($A129,'Henwood Reference'!$E$9:$R$320,11),(VLOOKUP($A129,PriceTable,8,0)+IF(BasisNumber&lt;&gt;1,VLOOKUP($A129,BasisTable,3,0),0)+T$1)/(1-T$2))</f>
        <v>30.7025256341915</v>
      </c>
      <c r="U129" s="1513" t="n">
        <f aca="false">VLOOKUP($A129,VolatilityTable,14)</f>
        <v>0.125</v>
      </c>
      <c r="V129" s="1513" t="n">
        <f aca="false">VLOOKUP($A129,VolatilityTable,15)</f>
        <v>0.135</v>
      </c>
      <c r="W129" s="1514" t="n">
        <f aca="false">VLOOKUP($A129,VolatilityTable,16)</f>
        <v>0.145</v>
      </c>
      <c r="X129" s="1513" t="n">
        <f aca="false">VLOOKUP($A129,VolatilityTable,14)</f>
        <v>0.125</v>
      </c>
      <c r="Y129" s="1513" t="n">
        <f aca="false">VLOOKUP($A129,VolatilityTable,15)</f>
        <v>0.135</v>
      </c>
      <c r="Z129" s="1514" t="n">
        <f aca="false">VLOOKUP($A129,VolatilityTable,16)</f>
        <v>0.145</v>
      </c>
      <c r="AA129" s="1513" t="n">
        <f aca="false">VLOOKUP($A129,VolatilityTable,18)</f>
        <v>0.09</v>
      </c>
      <c r="AB129" s="1513" t="n">
        <f aca="false">VLOOKUP($A129,VolatilityTable,19)</f>
        <v>0.11</v>
      </c>
      <c r="AC129" s="1514" t="n">
        <f aca="false">VLOOKUP($A129,VolatilityTable,20)</f>
        <v>0.13</v>
      </c>
      <c r="AD129" s="1513" t="n">
        <f aca="false">VLOOKUP($A129,VolatilityTable,18)</f>
        <v>0.09</v>
      </c>
      <c r="AE129" s="1513" t="n">
        <f aca="false">VLOOKUP($A129,VolatilityTable,19)</f>
        <v>0.11</v>
      </c>
      <c r="AF129" s="1514" t="n">
        <f aca="false">VLOOKUP($A129,VolatilityTable,20)</f>
        <v>0.13</v>
      </c>
      <c r="AG129" s="1513" t="n">
        <f aca="false">VLOOKUP($A129,VolatilityTable,22)</f>
        <v>-0.35</v>
      </c>
      <c r="AH129" s="1513" t="n">
        <f aca="false">VLOOKUP($A129,VolatilityTable,23)</f>
        <v>3</v>
      </c>
      <c r="AI129" s="1514" t="n">
        <f aca="false">VLOOKUP($A129,VolatilityTable,24)</f>
        <v>0.2</v>
      </c>
      <c r="AJ129" s="1513" t="n">
        <f aca="false">VLOOKUP($A129,VolatilityTable,22)</f>
        <v>-0.35</v>
      </c>
      <c r="AK129" s="1513" t="n">
        <f aca="false">VLOOKUP($A129,VolatilityTable,23)</f>
        <v>3</v>
      </c>
      <c r="AL129" s="1514" t="n">
        <f aca="false">VLOOKUP($A129,VolatilityTable,24)</f>
        <v>0.2</v>
      </c>
      <c r="AM129" s="1513" t="n">
        <f aca="false">VLOOKUP($A129,VolatilityTable,26)</f>
        <v>-0.01</v>
      </c>
      <c r="AN129" s="1513" t="n">
        <f aca="false">VLOOKUP($A129,VolatilityTable,27)</f>
        <v>0.16</v>
      </c>
      <c r="AO129" s="1514" t="n">
        <f aca="false">VLOOKUP($A129,VolatilityTable,28)</f>
        <v>0.01</v>
      </c>
      <c r="AP129" s="1513" t="n">
        <f aca="false">VLOOKUP($A129,VolatilityTable,26)</f>
        <v>-0.01</v>
      </c>
      <c r="AQ129" s="1513" t="n">
        <f aca="false">VLOOKUP($A129,VolatilityTable,27)</f>
        <v>0.16</v>
      </c>
      <c r="AR129" s="1515" t="n">
        <f aca="false">VLOOKUP($A129,VolatilityTable,28)</f>
        <v>0.01</v>
      </c>
      <c r="AS129" s="1581" t="n">
        <f aca="false">IF(CorrPeakOffPeakOverFlag,INDEX(CorrPeakOffPeakOver,C129),CorrPeakOffPeak)</f>
        <v>0.5</v>
      </c>
      <c r="AT129" s="594" t="e">
        <f aca="false">AX129-SUM(AU129:AW129)</f>
        <v>#VALUE!</v>
      </c>
      <c r="AU129" s="238" t="e">
        <f aca="false">IF(E129="",0,INT((F129-MOD(F129,7)-E129)/7)+1-IF(AW129,IF(WEEKDAY(D129)=7,1,0),0))</f>
        <v>#VALUE!</v>
      </c>
      <c r="AV129" s="238" t="e">
        <f aca="false">IF(E129="",0,INT((F129-MOD(F129-1,7)-E129)/7)+1-IF(AW129,IF(WEEKDAY(D129)=1,1,0),0))</f>
        <v>#VALUE!</v>
      </c>
      <c r="AW129" s="238" t="e">
        <f aca="false">IF(OR(E129="",D129="",D129&lt;BegDate,D129&gt;EndDate),0,1)</f>
        <v>#VALUE!</v>
      </c>
      <c r="AX129" s="238" t="n">
        <f aca="false">IF(E129="",0,F129-E129+1)</f>
        <v>30</v>
      </c>
      <c r="AY129" s="1582" t="n">
        <f aca="false">IF(E129="",0,MIN((1-(1-VLOOKUP(B129,MAIN!$AA$7:$AM$28,C129+1))*(1-VLOOKUP(B129,MAIN!$AA$33:$AM$54,C129+1))),1))</f>
        <v>0.03</v>
      </c>
      <c r="AZ129" s="1519" t="e">
        <v>#VALUE!</v>
      </c>
      <c r="BA129" s="1520" t="e">
        <v>#VALUE!</v>
      </c>
      <c r="BB129" s="1520" t="e">
        <v>#VALUE!</v>
      </c>
      <c r="BC129" s="1583" t="e">
        <v>#VALUE!</v>
      </c>
      <c r="BD129" s="1522" t="e">
        <v>#VALUE!</v>
      </c>
      <c r="BE129" s="1523" t="e">
        <v>#VALUE!</v>
      </c>
      <c r="BF129" s="1523" t="e">
        <v>#VALUE!</v>
      </c>
      <c r="BG129" s="1584" t="e">
        <v>#VALUE!</v>
      </c>
      <c r="BH129" s="1525" t="e">
        <v>#VALUE!</v>
      </c>
      <c r="BI129" s="1520" t="e">
        <v>#VALUE!</v>
      </c>
      <c r="BJ129" s="1520" t="e">
        <v>#VALUE!</v>
      </c>
      <c r="BK129" s="1583" t="e">
        <v>#VALUE!</v>
      </c>
      <c r="BL129" s="1522" t="e">
        <v>#VALUE!</v>
      </c>
      <c r="BM129" s="1523" t="e">
        <v>#VALUE!</v>
      </c>
      <c r="BN129" s="1523" t="e">
        <v>#VALUE!</v>
      </c>
      <c r="BO129" s="1523" t="e">
        <v>#VALUE!</v>
      </c>
      <c r="BP129" s="1525" t="e">
        <f aca="false">SUM(AZ129:BB129)</f>
        <v>#VALUE!</v>
      </c>
      <c r="BQ129" s="1529" t="e">
        <f aca="false">SUM(AZ129:BC129)</f>
        <v>#VALUE!</v>
      </c>
      <c r="BR129" s="1519" t="e">
        <f aca="false">SUM(BH129:BJ129)</f>
        <v>#VALUE!</v>
      </c>
      <c r="BS129" s="1529" t="e">
        <f aca="false">SUM(BH129:BK129)</f>
        <v>#VALUE!</v>
      </c>
      <c r="BT129" s="1316" t="n">
        <f aca="false">(IF(OVolType&lt;&gt;2,A129+14,IF(OptExpDateShift,ShiftBack(A129,OptExpDateShift,D128),A129))-DateToday)/365.25</f>
        <v>9.38261464750171</v>
      </c>
      <c r="BU129" s="1585" t="e">
        <f aca="false">IF(BQ129,IF(OPriceCurve,IF(OBuySell=OCallPut,I129/(1-AY129),K129/(1-AY129)),J129/(1-AY129))*BD129,0)</f>
        <v>#VALUE!</v>
      </c>
      <c r="BV129" s="1316" t="e">
        <f aca="false">IF(BQ129,IF(OPriceCurve,IF(OBuySell=OCallPut,L129/(1-AY129),N129/(1-AY129)),M129/(1-AY129))*BE129,0)</f>
        <v>#VALUE!</v>
      </c>
      <c r="BW129" s="1316" t="e">
        <f aca="false">IF(BQ129,IF(OPriceCurve,IF(OBuySell=OCallPut,O129/(1-AY129),Q129/(1-AY129)),P129/(1-AY129))*BF129,0)</f>
        <v>#VALUE!</v>
      </c>
      <c r="BX129" s="1316" t="e">
        <f aca="false">IF(BQ129,IF(OPriceCurve,IF(OBuySell=OCallPut,R129/(1-AY129),T129/(1-AY129)),S129/(1-AY129))*BG129,0)</f>
        <v>#VALUE!</v>
      </c>
      <c r="BY129" s="1316" t="e">
        <f aca="false">IF(BP129,(BU129*AZ129+BV129*BA129+BW129*BB129)/BP129,0)</f>
        <v>#VALUE!</v>
      </c>
      <c r="BZ129" s="1316" t="e">
        <f aca="false">IF(BQ129,(BY129*BP129+BX129*BC129)/BQ129,0)</f>
        <v>#VALUE!</v>
      </c>
      <c r="CA129" s="1531" t="e">
        <f aca="false">IF(BS129,IF(OPriceCurve,IF(OBuySell=OCallPut,I129/(1-AY129),K129/(1-AY129)),J129/(1-AY129))*BL129,0)</f>
        <v>#VALUE!</v>
      </c>
      <c r="CB129" s="1316" t="e">
        <f aca="false">IF(BS129,IF(OPriceCurve,IF(OBuySell=OCallPut,L129/(1-AY129),N129/(1-AY129)),M129/(1-AY129))*BM129,0)</f>
        <v>#VALUE!</v>
      </c>
      <c r="CC129" s="1316" t="e">
        <f aca="false">IF(BS129,IF(OPriceCurve,IF(OBuySell=OCallPut,O129/(1-AY129),Q129/(1-AY129)),P129/(1-AY129))*BN129,0)</f>
        <v>#VALUE!</v>
      </c>
      <c r="CD129" s="1316" t="e">
        <f aca="false">IF(BS129,IF(OPriceCurve,IF(OBuySell=OCallPut,R129/(1-AY129),T129/(1-AY129)),S129/(1-AY129))*BO129,0)</f>
        <v>#VALUE!</v>
      </c>
      <c r="CE129" s="1316" t="e">
        <f aca="false">IF(BR129,(BU129*BH129+BV129*BI129+BW129*BJ129)/BR129,0)</f>
        <v>#VALUE!</v>
      </c>
      <c r="CF129" s="1532" t="e">
        <f aca="false">IF(BS129,(CE129*BR129+CD129*BK129)/BS129,0)</f>
        <v>#VALUE!</v>
      </c>
      <c r="CG129" s="1586" t="e">
        <f aca="false">IF(OR(BQ129,BS129),IF(OVolType&lt;&gt;2,SQRT(IF(OVolOverMonthlyPeak,OVolOverMonthlyPeak,IF(OVolCurve,IF(OBuySell,U129,W129),V129))^2*(1-15/365.25/BT129)+IF(OVolOverDailyPeak,OVolOverDailyPeak,IF(OVolCurve,IF(OBuySell,AG129,AI129),AH129))^2*15/365.25/BT129),IF(OVolOverMonthlyPeak,OVolOverMonthlyPeak,IF(OVolCurve,IF(OBuySell,U129,W129),V129))),"")</f>
        <v>#VALUE!</v>
      </c>
      <c r="CH129" s="1587" t="e">
        <f aca="false">IF(OR(BQ129,BS129),IF(OVolType&lt;&gt;2,SQRT(IF(OVolOverMonthlyPeak,OVolOverMonthlyPeak,IF(OVolCurve,IF(OBuySell,X129,Z129),Y129))^2*(1-15/365.25/BT129)+IF(OVolOverDailyPeak,OVolOverDailyPeak,IF(OVolCurve,IF(OBuySell,AJ129,AL129),AK129))^2*15/365.25/BT129),IF(OVolOverMonthlyPeak,OVolOverMonthlyPeak,IF(OVolCurve,IF(OBuySell,X129,Z129),Y129))),"")</f>
        <v>#VALUE!</v>
      </c>
      <c r="CI129" s="1587" t="e">
        <f aca="false">IF(OR(BQ129,BS129),IF(OVolType&lt;&gt;2,SQRT(IF(OVolOverMonthlyPeak,OVolOverMonthlyPeak,IF(OVolCurve,IF(OBuySell,AA129,AC129),AB129))^2*(1-15/365.25/BT129)+IF(OVolOverDailyPeak,OVolOverDailyPeak,IF(OVolCurve,IF(OBuySell,AM129,AO129),AN129))^2*15/365.25/BT129),IF(OVolOverMonthlyPeak,OVolOverMonthlyPeak,IF(OVolCurve,IF(OBuySell,AA129,AC129),AB129))),"")</f>
        <v>#VALUE!</v>
      </c>
      <c r="CJ129" s="1587" t="e">
        <f aca="false">IF(BQ129,IF(BP129,SQRT(LN(1+((BU129*AZ129)^2*(EXP(CG129^2*BT129)-1)+(BV129*BA129)^2*(EXP(CH129^2*BT129)-1)+(BW129*BB129)^2*(EXP(CI129^2*BT129)-1)+2*BU129*AZ129*BV129*BA129*(EXP(CG129*CH129*BT129)-1)+2*BV129*BA129*BW129*BB129*(EXP(CH129*CI129*BT129)-1)+2*BW129*BB129*BU129*AZ129*(EXP(CI129*CG129*BT129)-1))/(BY129*BP129)^2)/BT129),0),"")</f>
        <v>#VALUE!</v>
      </c>
      <c r="CK129" s="1587" t="e">
        <f aca="false">IF(BS129,IF(BR129,SQRT(LN(1+((CA129*BH129)^2*(EXP(CG129^2*BT129)-1)+(CB129*BI129)^2*(EXP(CH129^2*BT129)-1)+(CC129*BJ129)^2*(EXP(CI129^2*BT129)-1)+2*CA129*BH129*CB129*BI129*(EXP(CG129*CH129*BT129)-1)+2*CB129*BI129*CC129*BJ129*(EXP(CH129*CI129*BT129)-1)+2*CC129*BJ129*CA129*BH129*(EXP(CI129*CG129*BT129)-1))/(CE129*BR129)^2)/BT129),0),"")</f>
        <v>#VALUE!</v>
      </c>
      <c r="CL129" s="1587" t="e">
        <f aca="false">IF(OR(BQ129,BS129),IF(OVolType&lt;&gt;2,SQRT(IF(OVolOverMonthlyOffPeak,OVolOverMonthlyOffPeak,IF(OVolCurve,IF(OBuySell,AD129,AF129),AE129))^2*(1-15/365.25/BT129)+IF(OVolOverDailyOffPeak,OVolOverDailyOffPeak,IF(OVolCurve,IF(OBuySell,AP129,AR129),AQ129))^2*15/365.25/BT129),IF(OVolOverMonthlyOffPeak,OVolOverMonthlyOffPeak,IF(OVolCurve,IF(OBuySell,AD129,AF129),AE129))),"")</f>
        <v>#VALUE!</v>
      </c>
      <c r="CM129" s="1587" t="e">
        <f aca="false">IF(BQ129,SQRT(LN(1+((BY129*BP129)^2*(EXP(CJ129^2*BT129)-1)+(BX129*BC129)^2*(EXP(CL129^2*BT129)-1)+2*BY129*BP129*BX129*BC129*(EXP(AS129*CJ129*CL129*BT129)-1))/(BY129*BP129+BX129*BC129)^2)/BT129),"")</f>
        <v>#VALUE!</v>
      </c>
      <c r="CN129" s="1588" t="e">
        <f aca="false">IF(BS129,SQRT(LN(1+((CE129*BR129)^2*(EXP(CK129^2*BT129)-1)+(CD129*BK129)^2*(EXP(CL129^2*BT129)-1)+2*CE129*BR129*CD129*BK129*(EXP(AS129*CK129*CL129*BT129)-1))/(CE129*BR129+CD129*BK129)^2)/BT129),"")</f>
        <v>#VALUE!</v>
      </c>
      <c r="CO129" s="1531" t="e">
        <f aca="false">IF(OR(BQ129,BS129),VLOOKUP(A129,GasTable,13)*HeatRatePeak*(1+VLOOKUP($B129,HeatRateDegradation,$C129+1))/1000,0)</f>
        <v>#VALUE!</v>
      </c>
      <c r="CP129" s="1316" t="e">
        <f aca="false">IF(OR(BQ129,BS129),VLOOKUP(A129,GasTable,13)*HeatRatePeak*(1+VLOOKUP($B129,HeatRateDegradation,$C129+1))/1000,0)</f>
        <v>#VALUE!</v>
      </c>
      <c r="CQ129" s="1316" t="e">
        <f aca="false">IF(OR(BQ129,BS129),VLOOKUP(A129,GasTable,13)*IF(EV129,HeatRatePeak,HeatRateOffPeak)*(1+VLOOKUP($B129,HeatRateDegradation,$C129+1))/1000,0)</f>
        <v>#VALUE!</v>
      </c>
      <c r="CR129" s="1316" t="e">
        <f aca="false">IF(OR(BQ129,BS129),VLOOKUP(A129,GasTable,13)*IF(EW129,HeatRatePeak,HeatRateOffPeak)*(1+VLOOKUP($B129,HeatRateDegradation,$C129+1))/1000,0)</f>
        <v>#VALUE!</v>
      </c>
      <c r="CS129" s="1589" t="e">
        <f aca="false">IF(BQ129,(CO129*AZ129+CP129*BA129+CQ129*BB129+CR129*BC129)/BQ129,0)</f>
        <v>#VALUE!</v>
      </c>
      <c r="CT129" s="1316" t="e">
        <f aca="false">IF(BS129,CO129,0)</f>
        <v>#VALUE!</v>
      </c>
      <c r="CU129" s="1590" t="e">
        <f aca="false">IF(OR(BQ129,BS129),VLOOKUP(A129,GasTable,14),"")</f>
        <v>#VALUE!</v>
      </c>
      <c r="CV129" s="1568" t="e">
        <f aca="false">IF(OR(BQ129,BS129),IF(CorrPowerGasOverFlag,INDEX(CorrPowerGasOver,C129),CorrPowerGas),"")</f>
        <v>#VALUE!</v>
      </c>
      <c r="CW129" s="1316" t="e">
        <f aca="false">IF(OR($BQ129,$BS129),SpreadOptPowerMargin,0)*((1+Assumptions!$C$26)^($B129-YEAR(Assumptions!$C$17)))</f>
        <v>#VALUE!</v>
      </c>
      <c r="CX129" s="1316" t="e">
        <f aca="false">IF(OR($BQ129,$BS129),SpreadOptPowerMargin,0)*((1+Assumptions!$C$26)^($B129-YEAR(Assumptions!$C$17)))</f>
        <v>#VALUE!</v>
      </c>
      <c r="CY129" s="1316" t="e">
        <f aca="false">IF(OR($BQ129,$BS129),SpreadOptPowerMargin,0)*((1+Assumptions!$C$26)^($B129-YEAR(Assumptions!$C$17)))</f>
        <v>#VALUE!</v>
      </c>
      <c r="CZ129" s="1316" t="e">
        <f aca="false">IF(OR($BQ129,$BS129),SpreadOptPowerMargin,0)*((1+Assumptions!$C$26)^($B129-YEAR(Assumptions!$C$17)))</f>
        <v>#VALUE!</v>
      </c>
      <c r="DA129" s="1591" t="e">
        <f aca="false">IF(OR(BQ129,BS129),(CW129*(AZ129+BH129)+CX129*(BA129+BI129)+CY129*(BB129+BJ129)+CZ129*(BC129+BK129))/(BQ129+BS129),0)</f>
        <v>#VALUE!</v>
      </c>
      <c r="DB129" s="1592" t="e">
        <f aca="false">IF(OR(BQ129,BS129),CG129+IF(OVolSmile,VLOOKUP(MAX(-5,CO129+CW129-BU129),IF(OVolSmile=1,VolSmileBook,VolSmileModel),2),0),"")</f>
        <v>#VALUE!</v>
      </c>
      <c r="DC129" s="1592" t="e">
        <f aca="false">IF(OR(BQ129,BS129),CH129+IF(OVolSmile,VLOOKUP(MAX(-5,CP129+CW129-BV129),IF(OVolSmile=1,VolSmileBook,VolSmileModel),2),0),"")</f>
        <v>#VALUE!</v>
      </c>
      <c r="DD129" s="1592" t="e">
        <f aca="false">IF(OR(BQ129,BS129),CI129+IF(OVolSmile,VLOOKUP(MAX(-5,CQ129+CW129-BW129),IF(OVolSmile=1,VolSmileBook,VolSmileModel),2),0),"")</f>
        <v>#VALUE!</v>
      </c>
      <c r="DE129" s="1592" t="e">
        <f aca="false">IF(OR(BQ129,BS129),CL129+IF(OVolSmile,VLOOKUP(MAX(-5,CR129+CZ129-BX129),IF(OVolSmile=1,VolSmileBook,VolSmileModel),2),0),"")</f>
        <v>#VALUE!</v>
      </c>
      <c r="DF129" s="1592" t="e">
        <f aca="false">IF(BQ129,CM129+IF(OVolSmile,VLOOKUP(MAX(-5,CS129+DA129-BZ129),IF(OVolSmile=1,VolSmileBook,VolSmileModel),2),0),"")</f>
        <v>#VALUE!</v>
      </c>
      <c r="DG129" s="1593" t="e">
        <f aca="false">IF(BS129,CN129+IF(OVolSmile,VLOOKUP(MAX(-5,CT129+DA129-CF129),IF(OVolSmile=1,VolSmileBook,VolSmileModel),2),0),"")</f>
        <v>#VALUE!</v>
      </c>
      <c r="DH129" s="1316" t="e">
        <f aca="false">IF(AND(BU129&gt;0,CO129&gt;0,DB129&gt;0,CU129&gt;0),newSPRDOPT(BU129,CO129,CW129,0,DB129,CU129,CV129,BT129*365.25,OCallPut,0),0)</f>
        <v>#VALUE!</v>
      </c>
      <c r="DI129" s="1316" t="e">
        <f aca="false">IF(AND(BV129&gt;0,CP129&gt;0,DC129&gt;0,CU129&gt;0),newSPRDOPT(BV129,CP129,CX129,0,DC129,CU129,CV129,BT129*365.25,OCallPut,0),0)</f>
        <v>#VALUE!</v>
      </c>
      <c r="DJ129" s="1316" t="e">
        <f aca="false">IF(AND(BW129&gt;0,CQ129&gt;0,DD129&gt;0,CU129&gt;0),newSPRDOPT(BW129,CQ129,CY129,0,DD129,CU129,CV129,BT129*365.25,OCallPut,0),0)</f>
        <v>#VALUE!</v>
      </c>
      <c r="DK129" s="1316" t="e">
        <f aca="false">IF(AND(BX129&gt;0,CR129&gt;0,DE129&gt;0,CU129&gt;0),newSPRDOPT(BX129,CR129,CZ129,0,DE129,CU129,CV129,BT129*365.25,OCallPut,0),0)</f>
        <v>#VALUE!</v>
      </c>
      <c r="DL129" s="1316" t="e">
        <f aca="false">IF(OVolType,IF(AND(BZ129&gt;0,CS129&gt;0,DF129&gt;0,CU129&gt;0),newSPRDOPT(BZ129,CS129,DA129,0,DF129,CU129,CV129,BT129*365.25,OCallPut,0),0),IF(BQ129,(DH129*AZ129+DI129*BA129+DJ129*BB129+DK129*BC129)/BQ129,0))</f>
        <v>#VALUE!</v>
      </c>
      <c r="DM129" s="1316"/>
      <c r="DN129" s="1316"/>
      <c r="DO129" s="1316"/>
      <c r="DP129" s="1316"/>
      <c r="DQ129" s="1316"/>
      <c r="DR129" s="1316"/>
      <c r="DS129" s="1316"/>
      <c r="DT129" s="1316"/>
      <c r="DU129" s="1316"/>
      <c r="DV129" s="1316"/>
      <c r="DW129" s="1594" t="e">
        <f aca="false">IF(AND(BW129&gt;0,CT129&gt;0,DD129&gt;0,CU129&gt;0),newSPRDOPT(BW129,CT129,CY129,0,DD129,CU129,CV129,BT129*365.25,OCallPut,0),0)</f>
        <v>#VALUE!</v>
      </c>
      <c r="DX129" s="1316" t="e">
        <f aca="false">IF(AND(BX129&gt;0,CT129&gt;0,DE129&gt;0,CU129&gt;0),newSPRDOPT(BX129,CT129,CZ129,0,DE129,CU129,CV129,BT129*365.25,OCallPut,0),0)</f>
        <v>#VALUE!</v>
      </c>
      <c r="DY129" s="1591" t="e">
        <f aca="false">IF(BS129,(DH129*BH129+DI129*BI129+DW129*BJ129+DX129*BK129)/BS129,0)</f>
        <v>#VALUE!</v>
      </c>
      <c r="DZ129" s="1551" t="e">
        <f aca="false">DH129*AZ129</f>
        <v>#VALUE!</v>
      </c>
      <c r="EA129" s="1551" t="e">
        <f aca="false">DI129*BA129</f>
        <v>#VALUE!</v>
      </c>
      <c r="EB129" s="1551" t="e">
        <f aca="false">DJ129*BB129</f>
        <v>#VALUE!</v>
      </c>
      <c r="EC129" s="1551" t="e">
        <f aca="false">DK129*BC129</f>
        <v>#VALUE!</v>
      </c>
      <c r="ED129" s="1551" t="e">
        <f aca="false">DL129*BQ129</f>
        <v>#VALUE!</v>
      </c>
      <c r="EE129" s="1595" t="e">
        <f aca="false">IF(BQ129,IF(OCallPut,IF(BU129&gt;(CO129+CW129),BU129-(CO129+CW129),0),IF((CO129+CW129)&gt;BU129,(CO129+CW129)-BU129,0))*AZ129,0)</f>
        <v>#VALUE!</v>
      </c>
      <c r="EF129" s="1596" t="e">
        <f aca="false">IF(BQ129,IF(OCallPut,IF(BV129&gt;(CP129+CX129),BV129-(CP129+CX129),0),IF((CP129+CX129)&gt;BV129,(CP129+CX129)-BV129,0))*BA129,0)</f>
        <v>#VALUE!</v>
      </c>
      <c r="EG129" s="1596" t="e">
        <f aca="false">IF(BQ129,IF(OCallPut,IF(BW129&gt;(CQ129+CY129),BW129-(CQ129+CY129),0),IF((CQ129+CY129)&gt;BW129,(CQ129+CY129)-BW129,0))*BB129,0)</f>
        <v>#VALUE!</v>
      </c>
      <c r="EH129" s="1596" t="e">
        <f aca="false">IF(BQ129,IF(OCallPut,IF(BX129&gt;(CR129+CZ129),BX129-(CR129+CZ129),0),IF((CR129+CZ129)&gt;BX129,(CR129+CZ129)-BX129,0))*BC129,0)</f>
        <v>#VALUE!</v>
      </c>
      <c r="EI129" s="1597" t="e">
        <f aca="false">IF(BQ129,IF(OVolType,IF(OCallPut,IF(BZ129&gt;(CS129+DA129),BZ129-(CS129+DA129),0),IF((CS129+DA129)&gt;BZ129,(CS129+DA129)-BZ129,0))*BQ129,SUM(EE129:EH129)),0)</f>
        <v>#VALUE!</v>
      </c>
      <c r="EJ129" s="1595" t="e">
        <f aca="false">DZ129-EE129</f>
        <v>#VALUE!</v>
      </c>
      <c r="EK129" s="1596" t="e">
        <f aca="false">EA129-EF129</f>
        <v>#VALUE!</v>
      </c>
      <c r="EL129" s="1596" t="e">
        <f aca="false">EB129-EG129</f>
        <v>#VALUE!</v>
      </c>
      <c r="EM129" s="1596" t="e">
        <f aca="false">EC129-EH129</f>
        <v>#VALUE!</v>
      </c>
      <c r="EN129" s="1597" t="e">
        <f aca="false">ED129-EI129</f>
        <v>#VALUE!</v>
      </c>
      <c r="EO129" s="1551" t="e">
        <f aca="false">DH129*BH129</f>
        <v>#VALUE!</v>
      </c>
      <c r="EP129" s="1551" t="e">
        <f aca="false">DI129*BI129</f>
        <v>#VALUE!</v>
      </c>
      <c r="EQ129" s="1551" t="e">
        <f aca="false">DW129*BJ129</f>
        <v>#VALUE!</v>
      </c>
      <c r="ER129" s="1551" t="e">
        <f aca="false">DX129*BK129</f>
        <v>#VALUE!</v>
      </c>
      <c r="ES129" s="1551" t="e">
        <f aca="false">DY129*BS129</f>
        <v>#VALUE!</v>
      </c>
      <c r="ET129" s="1566" t="e">
        <f aca="false">IF(EI129,IF(OCallPut,IF(CA129&gt;(CT129+CW129),CA129-(CT129+CW129),0),IF((CT129+CW129)&gt;CA129,(CT129+CW129)-CA129,0))*BH129,0)</f>
        <v>#VALUE!</v>
      </c>
      <c r="EU129" s="1551" t="e">
        <f aca="false">IF(EI129,IF(OCallPut,IF(CB129&gt;(CT129+CX129),CB129-(CT129+CX129),0),IF((CT129+CX129)&gt;CB129,(CT129+CX129)-CB129,0))*BI129,0)</f>
        <v>#VALUE!</v>
      </c>
      <c r="EV129" s="1551" t="e">
        <f aca="false">IF(EI129,IF(OCallPut,IF(CC129&gt;(CT129+CY129),CC129-(CT129+CY129),0),IF((CT129+CY129)&gt;CC129,(CT129+CY129)-CC129,0))*BJ129,0)</f>
        <v>#VALUE!</v>
      </c>
      <c r="EW129" s="1551" t="e">
        <f aca="false">IF(EI129,IF(OCallPut,IF(CD129&gt;(CT129+CZ129),CD129-(CT129+CZ129),0),IF((CT129+CZ129)&gt;CD129,(CT129+CZ129)-CD129,0))*BK129,0)</f>
        <v>#VALUE!</v>
      </c>
      <c r="EX129" s="1558" t="e">
        <f aca="false">IF(EI129,SUM(ET129:EW129),0)</f>
        <v>#VALUE!</v>
      </c>
      <c r="EY129" s="1551" t="e">
        <f aca="false">EO129-ET129</f>
        <v>#VALUE!</v>
      </c>
      <c r="EZ129" s="1551" t="e">
        <f aca="false">EP129-EU129</f>
        <v>#VALUE!</v>
      </c>
      <c r="FA129" s="1551" t="e">
        <f aca="false">EQ129-EV129</f>
        <v>#VALUE!</v>
      </c>
      <c r="FB129" s="1551" t="e">
        <f aca="false">ER129-EW129</f>
        <v>#VALUE!</v>
      </c>
      <c r="FC129" s="1551" t="e">
        <f aca="false">ES129-EX129</f>
        <v>#VALUE!</v>
      </c>
      <c r="FD129" s="1525" t="n">
        <f aca="false">IF(AX129,IF(VLOOKUP(C129,MAIN!$L$17:$M$28,2)="Yes",VLOOKUP(CALC!B129,MAIN!$H$17:$I$20,2),0),0)</f>
        <v>0</v>
      </c>
      <c r="FE129" s="1552" t="e">
        <f aca="false">$FD129*16*AT129*(1-$AY129)</f>
        <v>#VALUE!</v>
      </c>
      <c r="FF129" s="1553" t="e">
        <f aca="false">$FD129*16*AU129*(1-$AY129)</f>
        <v>#VALUE!</v>
      </c>
      <c r="FG129" s="1553" t="e">
        <f aca="false">$FD129*16*(AV129+AW129)*(1-$AY129)</f>
        <v>#VALUE!</v>
      </c>
      <c r="FH129" s="1554" t="n">
        <f aca="false">$FD129*8*AX129*(1-$AY129)</f>
        <v>0</v>
      </c>
      <c r="FI129" s="1555" t="n">
        <f aca="false">IF(AX129,VLOOKUP(CALC!B129,MAIN!$H$17:$K$20,4),0)</f>
        <v>0</v>
      </c>
      <c r="FJ129" s="1553" t="e">
        <f aca="false">SUM(FE129:FH129)</f>
        <v>#VALUE!</v>
      </c>
      <c r="FK129" s="1556" t="e">
        <f aca="false">FI129*FJ129</f>
        <v>#VALUE!</v>
      </c>
      <c r="FL129" s="1551" t="e">
        <f aca="false">IF($EI129&gt;0,MIN(FE129,AZ129*(1+VLOOKUP($C129,WeatherCapacityAdjustment,2))),0)</f>
        <v>#VALUE!</v>
      </c>
      <c r="FM129" s="1551" t="e">
        <f aca="false">IF($EI129&gt;0,MIN(FF129,BA129*(1+VLOOKUP($C129,WeatherCapacityAdjustment,2))),0)</f>
        <v>#VALUE!</v>
      </c>
      <c r="FN129" s="1551" t="e">
        <f aca="false">IF($EI129&gt;0,MIN(FG129,BB129*(1+VLOOKUP($C129,WeatherCapacityAdjustment,2))),0)</f>
        <v>#VALUE!</v>
      </c>
      <c r="FO129" s="1564" t="e">
        <f aca="false">IF($EI129&gt;0,MIN(FH129,BC129*(1+VLOOKUP($C129,WeatherCapacityAdjustment,3))),0)</f>
        <v>#VALUE!</v>
      </c>
      <c r="FP129" s="1551" t="e">
        <f aca="false">IF(ET129&gt;0,MIN(FE129-FL129,BH129*(1+VLOOKUP($C129,WeatherCapacityAdjustment,2))),0)</f>
        <v>#VALUE!</v>
      </c>
      <c r="FQ129" s="1551" t="e">
        <f aca="false">IF(EU129&gt;0,MIN(FF129-FM129,BI129*(1+VLOOKUP($C129,WeatherCapacityAdjustment,2))),0)</f>
        <v>#VALUE!</v>
      </c>
      <c r="FR129" s="1551" t="e">
        <f aca="false">IF(EV129&gt;0,MIN(FG129-FN129,BJ129*(1+VLOOKUP($C129,WeatherCapacityAdjustment,2))),0)</f>
        <v>#VALUE!</v>
      </c>
      <c r="FS129" s="1558" t="e">
        <f aca="false">IF(EW129&gt;0,MIN(FH129-FO129,BK129*(1+VLOOKUP($C129,WeatherCapacityAdjustment,3))),0)</f>
        <v>#VALUE!</v>
      </c>
      <c r="FT129" s="1566" t="e">
        <f aca="false">IF(AND(Assumptions!$H$71="Yes",A129&gt;=Assumptions!$H$72,A129&lt;=Assumptions!$H$73),0,IF(AND($A129&gt;=Assumptions!$C$17,$A129&lt;=Assumptions!$C$18),MAX(AZ129*(1+VLOOKUP($C129,WeatherCapacityAdjustment,2))-FL129,0),0))</f>
        <v>#VALUE!</v>
      </c>
      <c r="FU129" s="1551" t="e">
        <f aca="false">IF(AND(Assumptions!$H$71="Yes",A129&gt;=Assumptions!$H$72,A129&lt;=Assumptions!$H$73),0,IF(AND($A129&gt;=Assumptions!$C$17,$A129&lt;=Assumptions!$C$18),MAX(BA129*(1+VLOOKUP($C129,WeatherCapacityAdjustment,2))-FM129,0),0))</f>
        <v>#VALUE!</v>
      </c>
      <c r="FV129" s="1551" t="e">
        <f aca="false">IF(AND(Assumptions!$H$71="Yes",A129&gt;=Assumptions!$H$72,A129&lt;=Assumptions!$H$73),0,IF(AND($A129&gt;=Assumptions!$C$17,$A129&lt;=Assumptions!$C$18),MAX(BB129*(1+VLOOKUP($C129,WeatherCapacityAdjustment,2))-FN129,0),0))</f>
        <v>#VALUE!</v>
      </c>
      <c r="FW129" s="1564" t="e">
        <f aca="false">IF(AND(Assumptions!$H$71="Yes",A129&gt;=Assumptions!$H$72,A129&lt;=Assumptions!$H$73),0,IF(AND($A129&gt;=Assumptions!$C$17,$A129&lt;=Assumptions!$C$18),MAX(BC129*(1+VLOOKUP($C129,WeatherCapacityAdjustment,3))-FO129,0),0))</f>
        <v>#VALUE!</v>
      </c>
      <c r="FX129" s="1569" t="e">
        <f aca="false">IF(AND(Assumptions!$H$71="Yes",A129&gt;=Assumptions!$H$72,A129&lt;=Assumptions!$H$73),0,IF(ET129&gt;0,MAX(BH129*(1+VLOOKUP($C129,WeatherCapacityAdjustment,2))-FP129,0),0))</f>
        <v>#VALUE!</v>
      </c>
      <c r="FY129" s="1551" t="e">
        <f aca="false">IF(AND(Assumptions!$H$71="Yes",A129&gt;=Assumptions!$H$72,A129&lt;=Assumptions!$H$73),0,IF(EU129&gt;0,MAX(BI129*(1+VLOOKUP($C129,WeatherCapacityAdjustment,3))-FQ129,0),0))</f>
        <v>#VALUE!</v>
      </c>
      <c r="FZ129" s="1551" t="e">
        <f aca="false">IF(AND(Assumptions!$H$71="Yes",A129&gt;=Assumptions!$H$72,A129&lt;=Assumptions!$H$73),0,IF(EV129&gt;0,MAX(BJ129*(1+VLOOKUP($C129,WeatherCapacityAdjustment,2))-FR129,0),0))</f>
        <v>#VALUE!</v>
      </c>
      <c r="GA129" s="1564" t="e">
        <f aca="false">IF(AND(Assumptions!$H$71="Yes",A129&gt;=Assumptions!$H$72,A129&lt;=Assumptions!$H$73),0,IF(EW129&gt;0,MAX(BK129*(1+VLOOKUP($C129,WeatherCapacityAdjustment,2))-FS129,0),0))</f>
        <v>#VALUE!</v>
      </c>
      <c r="GB129" s="1551" t="e">
        <f aca="false">SUM(FT129:GA129)</f>
        <v>#VALUE!</v>
      </c>
      <c r="GC129" s="1563" t="e">
        <f aca="false">+IF(SUM(FT129:GA129)=0,0,(SUMPRODUCT(BU129:BX129,FT129:FW129)+SUMPRODUCT(CA129:CD129,FX129:GA129))/SUM(FT129:GA129))</f>
        <v>#VALUE!</v>
      </c>
      <c r="GD129" s="1551" t="e">
        <f aca="false">(FT129*BU129+FX129*CA129+FU129*BV129+FY129*CB129+FV129*BW129+FZ129*CC129+FW129*BX129+GA129*CD129)</f>
        <v>#VALUE!</v>
      </c>
      <c r="GE129" s="1561" t="e">
        <f aca="false">+IF(BQ129,((FL129+FM129+FT129+FU129)*HeatRatePeak/1000*(1+VLOOKUP($C129,WeatherHeatRateAdjustment,2))+(FN129+FV129)*IF(EV129&gt;0,HeatRatePeak,HeatRateOffPeak)/1000*(1+VLOOKUP($C129,WeatherHeatRateAdjustment,2))+(FO129+FW129)*IF(EW129&gt;0,HeatRatePeak,HeatRateOffPeak)/1000*(1+VLOOKUP($C129,WeatherHeatRateAdjustment,3)))*(1+VLOOKUP($B129,HeatRateDegradation,$C129+1)),0)</f>
        <v>#VALUE!</v>
      </c>
      <c r="GF129" s="1562" t="e">
        <f aca="false">IF(BQ129,((FP129+FQ129+FR129+FX129+FY129+FZ129)*HeatRatePeak/1000*(1+VLOOKUP($C129,WeatherHeatRateAdjustment,2))+(FS129+GA129)*HeatRatePeak/1000*(1+VLOOKUP($C129,WeatherHeatRateAdjustment,3)))*(1+VLOOKUP($B129,HeatRateDegradation,$C129+1)),0)</f>
        <v>#VALUE!</v>
      </c>
      <c r="GG129" s="1563" t="e">
        <f aca="false">IF(BQ129,VLOOKUP(A129,GasTable,13),0)</f>
        <v>#VALUE!</v>
      </c>
      <c r="GH129" s="1564" t="e">
        <f aca="false">(GE129+GF129)*GG129</f>
        <v>#VALUE!</v>
      </c>
      <c r="GI129" s="1569" t="e">
        <f aca="false">GB129</f>
        <v>#VALUE!</v>
      </c>
      <c r="GJ129" s="1598" t="e">
        <f aca="false">+DA129</f>
        <v>#VALUE!</v>
      </c>
      <c r="GK129" s="1558" t="e">
        <f aca="false">+GI129*GJ129</f>
        <v>#VALUE!</v>
      </c>
      <c r="GL129" s="1566" t="e">
        <f aca="false">MAX(FE129-FL129-FP129,0)</f>
        <v>#VALUE!</v>
      </c>
      <c r="GM129" s="1551" t="e">
        <f aca="false">MAX(FF129-FM129-FQ129,0)</f>
        <v>#VALUE!</v>
      </c>
      <c r="GN129" s="1551" t="e">
        <f aca="false">MAX(FG129-FN129-FR129,0)</f>
        <v>#VALUE!</v>
      </c>
      <c r="GO129" s="1564" t="e">
        <f aca="false">MAX(FH129-FO129-FS129,0)</f>
        <v>#VALUE!</v>
      </c>
      <c r="GP129" s="1551" t="e">
        <f aca="false">SUM(GL129:GO129)</f>
        <v>#VALUE!</v>
      </c>
      <c r="GQ129" s="1563" t="e">
        <f aca="false">IF(SUM(GL129:GO129)=0,0,((GL129*BU129+GM129*BV129+GN129*BW129+GO129*BX129)/SUM(GL129:GO129)))</f>
        <v>#VALUE!</v>
      </c>
      <c r="GR129" s="1558" t="e">
        <f aca="false">(GL129*BU129+GM129*BV129+GN129*BW129+GO129*BX129)</f>
        <v>#VALUE!</v>
      </c>
      <c r="GS129" s="1566" t="n">
        <f aca="false">IF($A129&gt;=BegDate,Assumptions!$C$56*24*($A130-$A129)*(1-VLOOKUP($B129,MAIN!$AA$7:$AM$28,$C129+1))*(1-VLOOKUP($B129,MAIN!$AA$33:$AM$54,$C129+1)),0)*80/168</f>
        <v>249428.571428571</v>
      </c>
      <c r="GT129" s="286" t="n">
        <f aca="false">J129</f>
        <v>68.6317760308421</v>
      </c>
      <c r="GU129" s="286" t="n">
        <f aca="false">IF($A129&gt;=BegDate,VLOOKUP($A129,GasTable,13)+Assumptions!$C$58,0)</f>
        <v>2.94905303328485</v>
      </c>
      <c r="GV129" s="286" t="n">
        <f aca="false">GU129*Assumptions!$C$57/1000</f>
        <v>21.3806344913152</v>
      </c>
      <c r="GW129" s="1558" t="n">
        <f aca="false">IF(Assumptions!$C$60="Hourly",MAX(0,GS129*(GT129-GV129)),GS129*(GT129-GV129))</f>
        <v>11785784.7325734</v>
      </c>
      <c r="GX129" s="1566" t="n">
        <f aca="false">IF($A129&gt;=BegDate,Assumptions!$C$56*24*($A130-$A129)*(1-VLOOKUP($B129,MAIN!$AA$7:$AM$28,$C129+1))*(1-VLOOKUP($B129,MAIN!$AA$33:$AM$54,$C129+1)),0)*16/168</f>
        <v>49885.7142857143</v>
      </c>
      <c r="GY129" s="286" t="n">
        <f aca="false">M129</f>
        <v>68.6317760308421</v>
      </c>
      <c r="GZ129" s="286" t="n">
        <f aca="false">IF($A129&gt;=BegDate,VLOOKUP($A129,GasTable,13)+Assumptions!$C$58,0)</f>
        <v>2.94905303328485</v>
      </c>
      <c r="HA129" s="286" t="n">
        <f aca="false">GZ129*Assumptions!$C$57/1000</f>
        <v>21.3806344913152</v>
      </c>
      <c r="HB129" s="1558" t="n">
        <f aca="false">IF(Assumptions!$C$60="Hourly",MAX(0,GX129*(GY129-HA129)),GX129*(GY129-HA129))</f>
        <v>2357156.94651469</v>
      </c>
      <c r="HC129" s="1566" t="n">
        <f aca="false">IF($A129&gt;=BegDate,Assumptions!$C$56*24*($A130-$A129)*(1-VLOOKUP($B129,MAIN!$AA$7:$AM$28,$C129+1))*(1-VLOOKUP($B129,MAIN!$AA$33:$AM$54,$C129+1)),0)*16/168</f>
        <v>49885.7142857143</v>
      </c>
      <c r="HD129" s="286" t="n">
        <f aca="false">P129</f>
        <v>30.7025256341915</v>
      </c>
      <c r="HE129" s="286" t="n">
        <f aca="false">IF($A129&gt;=BegDate,VLOOKUP($A129,GasTable,13)+Assumptions!$C$58,0)</f>
        <v>2.94905303328485</v>
      </c>
      <c r="HF129" s="286" t="n">
        <f aca="false">HE129*Assumptions!$C$57/1000</f>
        <v>21.3806344913152</v>
      </c>
      <c r="HG129" s="1558" t="n">
        <f aca="false">IF(Assumptions!$C$60="Hourly",MAX(0,HC129*(HD129-HF129)),HC129*(HD129-HF129))</f>
        <v>465029.198156059</v>
      </c>
      <c r="HH129" s="1566" t="n">
        <f aca="false">IF($A129&gt;=BegDate,Assumptions!$C$56*24*($A130-$A129)*(1-VLOOKUP($B129,MAIN!$AA$7:$AM$28,$C129+1))*(1-VLOOKUP($B129,MAIN!$AA$33:$AM$54,$C129+1)),0)*56/168</f>
        <v>174600</v>
      </c>
      <c r="HI129" s="286" t="n">
        <f aca="false">S129</f>
        <v>30.7025256341915</v>
      </c>
      <c r="HJ129" s="286" t="n">
        <f aca="false">IF($A129&gt;=BegDate,VLOOKUP($A129,GasTable,13)+Assumptions!$C$58,0)</f>
        <v>2.94905303328485</v>
      </c>
      <c r="HK129" s="286" t="n">
        <f aca="false">HJ129*Assumptions!$C$57/1000</f>
        <v>21.3806344913152</v>
      </c>
      <c r="HL129" s="1558" t="n">
        <f aca="false">IF(Assumptions!$C$60="Hourly",MAX(0,HH129*(HI129-HK129)),HH129*(HI129-HK129))</f>
        <v>1627602.19354621</v>
      </c>
      <c r="HM129" s="1566" t="n">
        <f aca="false">IF(AND(Assumptions!$H$71="Yes",A129&gt;=Assumptions!$H$72,A129&lt;=Assumptions!$H$73),Assumptions!$H$74*Assumptions!$C$9*1000,0)</f>
        <v>0</v>
      </c>
      <c r="HN129" s="1551"/>
      <c r="HO129" s="1563"/>
      <c r="HP129" s="1563"/>
      <c r="HQ129" s="1563"/>
      <c r="HR129" s="1563"/>
      <c r="HS129" s="1563"/>
      <c r="HT129" s="1563"/>
      <c r="HU129" s="1563"/>
      <c r="HV129" s="1563"/>
      <c r="HW129" s="1563"/>
      <c r="HX129" s="1563"/>
      <c r="HY129" s="1563"/>
      <c r="HZ129" s="1563"/>
      <c r="IA129" s="1563"/>
      <c r="IB129" s="1563"/>
      <c r="IC129" s="1563"/>
      <c r="ID129" s="1563"/>
      <c r="IE129" s="1563"/>
      <c r="IF129" s="1563"/>
      <c r="IG129" s="1563"/>
      <c r="IH129" s="1563"/>
      <c r="II129" s="1610"/>
      <c r="IJ129" s="1309"/>
      <c r="IK129" s="1309"/>
    </row>
    <row r="130" customFormat="false" ht="12.75" hidden="false" customHeight="false" outlineLevel="0" collapsed="false">
      <c r="A130" s="1571" t="n">
        <f aca="false">EOMONTH(A129,0)+1</f>
        <v>40087</v>
      </c>
      <c r="B130" s="594" t="n">
        <f aca="false">+YEAR(A130)</f>
        <v>2009</v>
      </c>
      <c r="C130" s="238" t="n">
        <f aca="false">MONTH(A130)</f>
        <v>10</v>
      </c>
      <c r="D130" s="1572" t="e">
        <f aca="false">IF(E130="","",Holiday(B130,C130))</f>
        <v>#VALUE!</v>
      </c>
      <c r="E130" s="1573" t="n">
        <f aca="false">IF(OR(BegDate&gt;=A131,EndDate&lt;A130,AND(VolumeMonthlyOverFlag,INDEX(VolumeMonthlyOver,C130)=0),NOT(INDEX(MonthKnockOutTable,C130))),"",MAX(A130,BegDate))</f>
        <v>40087</v>
      </c>
      <c r="F130" s="1574" t="n">
        <f aca="false">IF(E130="","",MIN(A131-1,EndDate))</f>
        <v>40117</v>
      </c>
      <c r="G130" s="1575" t="n">
        <v>0</v>
      </c>
      <c r="H130" s="1576" t="n">
        <f aca="false">(1+G130/2)^(-2*(DATE(B131,C131,20)-DateToday)/365.25)</f>
        <v>1</v>
      </c>
      <c r="I130" s="1568" t="n">
        <f aca="false">IF(Assumptions!$L$25=4,VLOOKUP($A130,'Henwood Reference'!$E$9:$R$320,10),(VLOOKUP($A130,PriceTable,2,0)+IF(BasisNumber&lt;&gt;1,VLOOKUP($A130,BasisTable,2,0),0)+I$1)/(1-I$2))</f>
        <v>47.078042537225</v>
      </c>
      <c r="J130" s="1568" t="n">
        <f aca="false">IF(Assumptions!$L$25=4,VLOOKUP($A130,'Henwood Reference'!$E$9:$R$320,10),(VLOOKUP($A130,PriceTable,3,0)+IF(BasisNumber&lt;&gt;1,VLOOKUP($A130,BasisTable,2,0),0)+J$1)/(1-J$2))</f>
        <v>47.078042537225</v>
      </c>
      <c r="K130" s="1568" t="n">
        <f aca="false">IF(Assumptions!$L$25=4,VLOOKUP($A130,'Henwood Reference'!$E$9:$R$320,10),(VLOOKUP($A130,PriceTable,4,0)+IF(BasisNumber&lt;&gt;1,VLOOKUP($A130,BasisTable,2,0),0)+K$1)/(1-K$2))</f>
        <v>47.078042537225</v>
      </c>
      <c r="L130" s="1523" t="n">
        <f aca="false">IF(Assumptions!$L$25=4,VLOOKUP($A130,'Henwood Reference'!$E$9:$R$320,10),(VLOOKUP($A130,PriceTableWeekend,2,0)+IF(BasisNumber&lt;&gt;1,VLOOKUP($A130,BasisTable,2,0),0)+L$1)/(1-L$2))</f>
        <v>47.078042537225</v>
      </c>
      <c r="M130" s="1568" t="n">
        <f aca="false">IF(Assumptions!$L$25=4,VLOOKUP($A130,'Henwood Reference'!$E$9:$R$320,10),(VLOOKUP($A130,PriceTableWeekend,3,0)+IF(BasisNumber&lt;&gt;1,VLOOKUP($A130,BasisTable,2,0),0)+M$1)/(1-M$2))</f>
        <v>47.078042537225</v>
      </c>
      <c r="N130" s="1599" t="n">
        <f aca="false">IF(Assumptions!$L$25=4,VLOOKUP($A130,'Henwood Reference'!$E$9:$R$320,10),(VLOOKUP($A130,PriceTableWeekend,4,0)+IF(BasisNumber&lt;&gt;1,VLOOKUP($A130,BasisTable,2,0),0)+N$1)/(1-N$2))</f>
        <v>47.078042537225</v>
      </c>
      <c r="O130" s="1568" t="n">
        <f aca="false">IF(Assumptions!$L$25=4,VLOOKUP($A130,'Henwood Reference'!$E$9:$R$320,11),(VLOOKUP($A130,PriceTableWeekend,6,0)+IF(BasisNumber&lt;&gt;1,VLOOKUP($A130,BasisTable,3,0),0)+O$1)/(1-O$2))</f>
        <v>25.8557082128868</v>
      </c>
      <c r="P130" s="1568" t="n">
        <f aca="false">IF(Assumptions!$L$25=4,VLOOKUP($A130,'Henwood Reference'!$E$9:$R$320,11),(VLOOKUP($A130,PriceTableWeekend,7,0)+IF(BasisNumber&lt;&gt;1,VLOOKUP($A130,BasisTable,3,0),0)+P$1)/(1-P$2))</f>
        <v>25.8557082128868</v>
      </c>
      <c r="Q130" s="1599" t="n">
        <f aca="false">IF(Assumptions!$L$25=4,VLOOKUP($A130,'Henwood Reference'!$E$9:$R$320,11),(VLOOKUP($A130,PriceTableWeekend,8,0)+IF(BasisNumber&lt;&gt;1,VLOOKUP($A130,BasisTable,3,0),0)+Q$1)/(1-Q$2))</f>
        <v>25.8557082128868</v>
      </c>
      <c r="R130" s="1568" t="n">
        <f aca="false">IF(Assumptions!$L$25=4,VLOOKUP($A130,'Henwood Reference'!$E$9:$R$320,11),(VLOOKUP($A130,PriceTable,6,0)+IF(BasisNumber&lt;&gt;1,VLOOKUP($A130,BasisTable,3,0),0)+R$1)/(1-R$2))</f>
        <v>25.8557082128868</v>
      </c>
      <c r="S130" s="1568" t="n">
        <f aca="false">IF(Assumptions!$L$25=4,VLOOKUP($A130,'Henwood Reference'!$E$9:$R$320,11),(VLOOKUP($A130,PriceTable,7,0)+IF(BasisNumber&lt;&gt;1,VLOOKUP($A130,BasisTable,3,0),0)+S$1)/(1-S$2))</f>
        <v>25.8557082128868</v>
      </c>
      <c r="T130" s="1600" t="n">
        <f aca="false">IF(Assumptions!$L$25=4,VLOOKUP($A130,'Henwood Reference'!$E$9:$R$320,11),(VLOOKUP($A130,PriceTable,8,0)+IF(BasisNumber&lt;&gt;1,VLOOKUP($A130,BasisTable,3,0),0)+T$1)/(1-T$2))</f>
        <v>25.8557082128868</v>
      </c>
      <c r="U130" s="1513" t="n">
        <f aca="false">VLOOKUP($A130,VolatilityTable,14)</f>
        <v>0.125</v>
      </c>
      <c r="V130" s="1513" t="n">
        <f aca="false">VLOOKUP($A130,VolatilityTable,15)</f>
        <v>0.135</v>
      </c>
      <c r="W130" s="1514" t="n">
        <f aca="false">VLOOKUP($A130,VolatilityTable,16)</f>
        <v>0.145</v>
      </c>
      <c r="X130" s="1513" t="n">
        <f aca="false">VLOOKUP($A130,VolatilityTable,14)</f>
        <v>0.125</v>
      </c>
      <c r="Y130" s="1513" t="n">
        <f aca="false">VLOOKUP($A130,VolatilityTable,15)</f>
        <v>0.135</v>
      </c>
      <c r="Z130" s="1514" t="n">
        <f aca="false">VLOOKUP($A130,VolatilityTable,16)</f>
        <v>0.145</v>
      </c>
      <c r="AA130" s="1513" t="n">
        <f aca="false">VLOOKUP($A130,VolatilityTable,18)</f>
        <v>0.09</v>
      </c>
      <c r="AB130" s="1513" t="n">
        <f aca="false">VLOOKUP($A130,VolatilityTable,19)</f>
        <v>0.11</v>
      </c>
      <c r="AC130" s="1514" t="n">
        <f aca="false">VLOOKUP($A130,VolatilityTable,20)</f>
        <v>0.13</v>
      </c>
      <c r="AD130" s="1513" t="n">
        <f aca="false">VLOOKUP($A130,VolatilityTable,18)</f>
        <v>0.09</v>
      </c>
      <c r="AE130" s="1513" t="n">
        <f aca="false">VLOOKUP($A130,VolatilityTable,19)</f>
        <v>0.11</v>
      </c>
      <c r="AF130" s="1514" t="n">
        <f aca="false">VLOOKUP($A130,VolatilityTable,20)</f>
        <v>0.13</v>
      </c>
      <c r="AG130" s="1513" t="n">
        <f aca="false">VLOOKUP($A130,VolatilityTable,22)</f>
        <v>-0.1</v>
      </c>
      <c r="AH130" s="1513" t="n">
        <f aca="false">VLOOKUP($A130,VolatilityTable,23)</f>
        <v>0.6</v>
      </c>
      <c r="AI130" s="1514" t="n">
        <f aca="false">VLOOKUP($A130,VolatilityTable,24)</f>
        <v>0.1</v>
      </c>
      <c r="AJ130" s="1513" t="n">
        <f aca="false">VLOOKUP($A130,VolatilityTable,22)</f>
        <v>-0.1</v>
      </c>
      <c r="AK130" s="1513" t="n">
        <f aca="false">VLOOKUP($A130,VolatilityTable,23)</f>
        <v>0.6</v>
      </c>
      <c r="AL130" s="1514" t="n">
        <f aca="false">VLOOKUP($A130,VolatilityTable,24)</f>
        <v>0.1</v>
      </c>
      <c r="AM130" s="1513" t="n">
        <f aca="false">VLOOKUP($A130,VolatilityTable,26)</f>
        <v>-0.01</v>
      </c>
      <c r="AN130" s="1513" t="n">
        <f aca="false">VLOOKUP($A130,VolatilityTable,27)</f>
        <v>0.16</v>
      </c>
      <c r="AO130" s="1514" t="n">
        <f aca="false">VLOOKUP($A130,VolatilityTable,28)</f>
        <v>0.01</v>
      </c>
      <c r="AP130" s="1513" t="n">
        <f aca="false">VLOOKUP($A130,VolatilityTable,26)</f>
        <v>-0.01</v>
      </c>
      <c r="AQ130" s="1513" t="n">
        <f aca="false">VLOOKUP($A130,VolatilityTable,27)</f>
        <v>0.16</v>
      </c>
      <c r="AR130" s="1515" t="n">
        <f aca="false">VLOOKUP($A130,VolatilityTable,28)</f>
        <v>0.01</v>
      </c>
      <c r="AS130" s="1581" t="n">
        <f aca="false">IF(CorrPeakOffPeakOverFlag,INDEX(CorrPeakOffPeakOver,C130),CorrPeakOffPeak)</f>
        <v>0.5</v>
      </c>
      <c r="AT130" s="594" t="e">
        <f aca="false">AX130-SUM(AU130:AW130)</f>
        <v>#VALUE!</v>
      </c>
      <c r="AU130" s="238" t="e">
        <f aca="false">IF(E130="",0,INT((F130-MOD(F130,7)-E130)/7)+1-IF(AW130,IF(WEEKDAY(D130)=7,1,0),0))</f>
        <v>#VALUE!</v>
      </c>
      <c r="AV130" s="238" t="e">
        <f aca="false">IF(E130="",0,INT((F130-MOD(F130-1,7)-E130)/7)+1-IF(AW130,IF(WEEKDAY(D130)=1,1,0),0))</f>
        <v>#VALUE!</v>
      </c>
      <c r="AW130" s="238" t="e">
        <f aca="false">IF(OR(E130="",D130="",D130&lt;BegDate,D130&gt;EndDate),0,1)</f>
        <v>#VALUE!</v>
      </c>
      <c r="AX130" s="238" t="n">
        <f aca="false">IF(E130="",0,F130-E130+1)</f>
        <v>31</v>
      </c>
      <c r="AY130" s="1582" t="n">
        <f aca="false">IF(E130="",0,MIN((1-(1-VLOOKUP(B130,MAIN!$AA$7:$AM$28,C130+1))*(1-VLOOKUP(B130,MAIN!$AA$33:$AM$54,C130+1))),1))</f>
        <v>0.03</v>
      </c>
      <c r="AZ130" s="1519" t="e">
        <v>#VALUE!</v>
      </c>
      <c r="BA130" s="1520" t="e">
        <v>#VALUE!</v>
      </c>
      <c r="BB130" s="1520" t="e">
        <v>#VALUE!</v>
      </c>
      <c r="BC130" s="1583" t="e">
        <v>#VALUE!</v>
      </c>
      <c r="BD130" s="1522" t="e">
        <v>#VALUE!</v>
      </c>
      <c r="BE130" s="1523" t="e">
        <v>#VALUE!</v>
      </c>
      <c r="BF130" s="1523" t="e">
        <v>#VALUE!</v>
      </c>
      <c r="BG130" s="1584" t="e">
        <v>#VALUE!</v>
      </c>
      <c r="BH130" s="1525" t="e">
        <v>#VALUE!</v>
      </c>
      <c r="BI130" s="1520" t="e">
        <v>#VALUE!</v>
      </c>
      <c r="BJ130" s="1520" t="e">
        <v>#VALUE!</v>
      </c>
      <c r="BK130" s="1583" t="e">
        <v>#VALUE!</v>
      </c>
      <c r="BL130" s="1522" t="e">
        <v>#VALUE!</v>
      </c>
      <c r="BM130" s="1523" t="e">
        <v>#VALUE!</v>
      </c>
      <c r="BN130" s="1523" t="e">
        <v>#VALUE!</v>
      </c>
      <c r="BO130" s="1523" t="e">
        <v>#VALUE!</v>
      </c>
      <c r="BP130" s="1525" t="e">
        <f aca="false">SUM(AZ130:BB130)</f>
        <v>#VALUE!</v>
      </c>
      <c r="BQ130" s="1529" t="e">
        <f aca="false">SUM(AZ130:BC130)</f>
        <v>#VALUE!</v>
      </c>
      <c r="BR130" s="1519" t="e">
        <f aca="false">SUM(BH130:BJ130)</f>
        <v>#VALUE!</v>
      </c>
      <c r="BS130" s="1529" t="e">
        <f aca="false">SUM(BH130:BK130)</f>
        <v>#VALUE!</v>
      </c>
      <c r="BT130" s="1316" t="n">
        <f aca="false">(IF(OVolType&lt;&gt;2,A130+14,IF(OptExpDateShift,ShiftBack(A130,OptExpDateShift,D129),A130))-DateToday)/365.25</f>
        <v>9.46475017111568</v>
      </c>
      <c r="BU130" s="1585" t="e">
        <f aca="false">IF(BQ130,IF(OPriceCurve,IF(OBuySell=OCallPut,I130/(1-AY130),K130/(1-AY130)),J130/(1-AY130))*BD130,0)</f>
        <v>#VALUE!</v>
      </c>
      <c r="BV130" s="1316" t="e">
        <f aca="false">IF(BQ130,IF(OPriceCurve,IF(OBuySell=OCallPut,L130/(1-AY130),N130/(1-AY130)),M130/(1-AY130))*BE130,0)</f>
        <v>#VALUE!</v>
      </c>
      <c r="BW130" s="1316" t="e">
        <f aca="false">IF(BQ130,IF(OPriceCurve,IF(OBuySell=OCallPut,O130/(1-AY130),Q130/(1-AY130)),P130/(1-AY130))*BF130,0)</f>
        <v>#VALUE!</v>
      </c>
      <c r="BX130" s="1316" t="e">
        <f aca="false">IF(BQ130,IF(OPriceCurve,IF(OBuySell=OCallPut,R130/(1-AY130),T130/(1-AY130)),S130/(1-AY130))*BG130,0)</f>
        <v>#VALUE!</v>
      </c>
      <c r="BY130" s="1316" t="e">
        <f aca="false">IF(BP130,(BU130*AZ130+BV130*BA130+BW130*BB130)/BP130,0)</f>
        <v>#VALUE!</v>
      </c>
      <c r="BZ130" s="1316" t="e">
        <f aca="false">IF(BQ130,(BY130*BP130+BX130*BC130)/BQ130,0)</f>
        <v>#VALUE!</v>
      </c>
      <c r="CA130" s="1531" t="e">
        <f aca="false">IF(BS130,IF(OPriceCurve,IF(OBuySell=OCallPut,I130/(1-AY130),K130/(1-AY130)),J130/(1-AY130))*BL130,0)</f>
        <v>#VALUE!</v>
      </c>
      <c r="CB130" s="1316" t="e">
        <f aca="false">IF(BS130,IF(OPriceCurve,IF(OBuySell=OCallPut,L130/(1-AY130),N130/(1-AY130)),M130/(1-AY130))*BM130,0)</f>
        <v>#VALUE!</v>
      </c>
      <c r="CC130" s="1316" t="e">
        <f aca="false">IF(BS130,IF(OPriceCurve,IF(OBuySell=OCallPut,O130/(1-AY130),Q130/(1-AY130)),P130/(1-AY130))*BN130,0)</f>
        <v>#VALUE!</v>
      </c>
      <c r="CD130" s="1316" t="e">
        <f aca="false">IF(BS130,IF(OPriceCurve,IF(OBuySell=OCallPut,R130/(1-AY130),T130/(1-AY130)),S130/(1-AY130))*BO130,0)</f>
        <v>#VALUE!</v>
      </c>
      <c r="CE130" s="1316" t="e">
        <f aca="false">IF(BR130,(BU130*BH130+BV130*BI130+BW130*BJ130)/BR130,0)</f>
        <v>#VALUE!</v>
      </c>
      <c r="CF130" s="1532" t="e">
        <f aca="false">IF(BS130,(CE130*BR130+CD130*BK130)/BS130,0)</f>
        <v>#VALUE!</v>
      </c>
      <c r="CG130" s="1586" t="e">
        <f aca="false">IF(OR(BQ130,BS130),IF(OVolType&lt;&gt;2,SQRT(IF(OVolOverMonthlyPeak,OVolOverMonthlyPeak,IF(OVolCurve,IF(OBuySell,U130,W130),V130))^2*(1-15/365.25/BT130)+IF(OVolOverDailyPeak,OVolOverDailyPeak,IF(OVolCurve,IF(OBuySell,AG130,AI130),AH130))^2*15/365.25/BT130),IF(OVolOverMonthlyPeak,OVolOverMonthlyPeak,IF(OVolCurve,IF(OBuySell,U130,W130),V130))),"")</f>
        <v>#VALUE!</v>
      </c>
      <c r="CH130" s="1587" t="e">
        <f aca="false">IF(OR(BQ130,BS130),IF(OVolType&lt;&gt;2,SQRT(IF(OVolOverMonthlyPeak,OVolOverMonthlyPeak,IF(OVolCurve,IF(OBuySell,X130,Z130),Y130))^2*(1-15/365.25/BT130)+IF(OVolOverDailyPeak,OVolOverDailyPeak,IF(OVolCurve,IF(OBuySell,AJ130,AL130),AK130))^2*15/365.25/BT130),IF(OVolOverMonthlyPeak,OVolOverMonthlyPeak,IF(OVolCurve,IF(OBuySell,X130,Z130),Y130))),"")</f>
        <v>#VALUE!</v>
      </c>
      <c r="CI130" s="1587" t="e">
        <f aca="false">IF(OR(BQ130,BS130),IF(OVolType&lt;&gt;2,SQRT(IF(OVolOverMonthlyPeak,OVolOverMonthlyPeak,IF(OVolCurve,IF(OBuySell,AA130,AC130),AB130))^2*(1-15/365.25/BT130)+IF(OVolOverDailyPeak,OVolOverDailyPeak,IF(OVolCurve,IF(OBuySell,AM130,AO130),AN130))^2*15/365.25/BT130),IF(OVolOverMonthlyPeak,OVolOverMonthlyPeak,IF(OVolCurve,IF(OBuySell,AA130,AC130),AB130))),"")</f>
        <v>#VALUE!</v>
      </c>
      <c r="CJ130" s="1587" t="e">
        <f aca="false">IF(BQ130,IF(BP130,SQRT(LN(1+((BU130*AZ130)^2*(EXP(CG130^2*BT130)-1)+(BV130*BA130)^2*(EXP(CH130^2*BT130)-1)+(BW130*BB130)^2*(EXP(CI130^2*BT130)-1)+2*BU130*AZ130*BV130*BA130*(EXP(CG130*CH130*BT130)-1)+2*BV130*BA130*BW130*BB130*(EXP(CH130*CI130*BT130)-1)+2*BW130*BB130*BU130*AZ130*(EXP(CI130*CG130*BT130)-1))/(BY130*BP130)^2)/BT130),0),"")</f>
        <v>#VALUE!</v>
      </c>
      <c r="CK130" s="1587" t="e">
        <f aca="false">IF(BS130,IF(BR130,SQRT(LN(1+((CA130*BH130)^2*(EXP(CG130^2*BT130)-1)+(CB130*BI130)^2*(EXP(CH130^2*BT130)-1)+(CC130*BJ130)^2*(EXP(CI130^2*BT130)-1)+2*CA130*BH130*CB130*BI130*(EXP(CG130*CH130*BT130)-1)+2*CB130*BI130*CC130*BJ130*(EXP(CH130*CI130*BT130)-1)+2*CC130*BJ130*CA130*BH130*(EXP(CI130*CG130*BT130)-1))/(CE130*BR130)^2)/BT130),0),"")</f>
        <v>#VALUE!</v>
      </c>
      <c r="CL130" s="1587" t="e">
        <f aca="false">IF(OR(BQ130,BS130),IF(OVolType&lt;&gt;2,SQRT(IF(OVolOverMonthlyOffPeak,OVolOverMonthlyOffPeak,IF(OVolCurve,IF(OBuySell,AD130,AF130),AE130))^2*(1-15/365.25/BT130)+IF(OVolOverDailyOffPeak,OVolOverDailyOffPeak,IF(OVolCurve,IF(OBuySell,AP130,AR130),AQ130))^2*15/365.25/BT130),IF(OVolOverMonthlyOffPeak,OVolOverMonthlyOffPeak,IF(OVolCurve,IF(OBuySell,AD130,AF130),AE130))),"")</f>
        <v>#VALUE!</v>
      </c>
      <c r="CM130" s="1587" t="e">
        <f aca="false">IF(BQ130,SQRT(LN(1+((BY130*BP130)^2*(EXP(CJ130^2*BT130)-1)+(BX130*BC130)^2*(EXP(CL130^2*BT130)-1)+2*BY130*BP130*BX130*BC130*(EXP(AS130*CJ130*CL130*BT130)-1))/(BY130*BP130+BX130*BC130)^2)/BT130),"")</f>
        <v>#VALUE!</v>
      </c>
      <c r="CN130" s="1588" t="e">
        <f aca="false">IF(BS130,SQRT(LN(1+((CE130*BR130)^2*(EXP(CK130^2*BT130)-1)+(CD130*BK130)^2*(EXP(CL130^2*BT130)-1)+2*CE130*BR130*CD130*BK130*(EXP(AS130*CK130*CL130*BT130)-1))/(CE130*BR130+CD130*BK130)^2)/BT130),"")</f>
        <v>#VALUE!</v>
      </c>
      <c r="CO130" s="1531" t="e">
        <f aca="false">IF(OR(BQ130,BS130),VLOOKUP(A130,GasTable,13)*HeatRatePeak*(1+VLOOKUP($B130,HeatRateDegradation,$C130+1))/1000,0)</f>
        <v>#VALUE!</v>
      </c>
      <c r="CP130" s="1316" t="e">
        <f aca="false">IF(OR(BQ130,BS130),VLOOKUP(A130,GasTable,13)*HeatRatePeak*(1+VLOOKUP($B130,HeatRateDegradation,$C130+1))/1000,0)</f>
        <v>#VALUE!</v>
      </c>
      <c r="CQ130" s="1316" t="e">
        <f aca="false">IF(OR(BQ130,BS130),VLOOKUP(A130,GasTable,13)*IF(EV130,HeatRatePeak,HeatRateOffPeak)*(1+VLOOKUP($B130,HeatRateDegradation,$C130+1))/1000,0)</f>
        <v>#VALUE!</v>
      </c>
      <c r="CR130" s="1316" t="e">
        <f aca="false">IF(OR(BQ130,BS130),VLOOKUP(A130,GasTable,13)*IF(EW130,HeatRatePeak,HeatRateOffPeak)*(1+VLOOKUP($B130,HeatRateDegradation,$C130+1))/1000,0)</f>
        <v>#VALUE!</v>
      </c>
      <c r="CS130" s="1589" t="e">
        <f aca="false">IF(BQ130,(CO130*AZ130+CP130*BA130+CQ130*BB130+CR130*BC130)/BQ130,0)</f>
        <v>#VALUE!</v>
      </c>
      <c r="CT130" s="1316" t="e">
        <f aca="false">IF(BS130,CO130,0)</f>
        <v>#VALUE!</v>
      </c>
      <c r="CU130" s="1590" t="e">
        <f aca="false">IF(OR(BQ130,BS130),VLOOKUP(A130,GasTable,14),"")</f>
        <v>#VALUE!</v>
      </c>
      <c r="CV130" s="1568" t="e">
        <f aca="false">IF(OR(BQ130,BS130),IF(CorrPowerGasOverFlag,INDEX(CorrPowerGasOver,C130),CorrPowerGas),"")</f>
        <v>#VALUE!</v>
      </c>
      <c r="CW130" s="1316" t="e">
        <f aca="false">IF(OR($BQ130,$BS130),SpreadOptPowerMargin,0)*((1+Assumptions!$C$26)^($B130-YEAR(Assumptions!$C$17)))</f>
        <v>#VALUE!</v>
      </c>
      <c r="CX130" s="1316" t="e">
        <f aca="false">IF(OR($BQ130,$BS130),SpreadOptPowerMargin,0)*((1+Assumptions!$C$26)^($B130-YEAR(Assumptions!$C$17)))</f>
        <v>#VALUE!</v>
      </c>
      <c r="CY130" s="1316" t="e">
        <f aca="false">IF(OR($BQ130,$BS130),SpreadOptPowerMargin,0)*((1+Assumptions!$C$26)^($B130-YEAR(Assumptions!$C$17)))</f>
        <v>#VALUE!</v>
      </c>
      <c r="CZ130" s="1316" t="e">
        <f aca="false">IF(OR($BQ130,$BS130),SpreadOptPowerMargin,0)*((1+Assumptions!$C$26)^($B130-YEAR(Assumptions!$C$17)))</f>
        <v>#VALUE!</v>
      </c>
      <c r="DA130" s="1591" t="e">
        <f aca="false">IF(OR(BQ130,BS130),(CW130*(AZ130+BH130)+CX130*(BA130+BI130)+CY130*(BB130+BJ130)+CZ130*(BC130+BK130))/(BQ130+BS130),0)</f>
        <v>#VALUE!</v>
      </c>
      <c r="DB130" s="1592" t="e">
        <f aca="false">IF(OR(BQ130,BS130),CG130+IF(OVolSmile,VLOOKUP(MAX(-5,CO130+CW130-BU130),IF(OVolSmile=1,VolSmileBook,VolSmileModel),2),0),"")</f>
        <v>#VALUE!</v>
      </c>
      <c r="DC130" s="1592" t="e">
        <f aca="false">IF(OR(BQ130,BS130),CH130+IF(OVolSmile,VLOOKUP(MAX(-5,CP130+CW130-BV130),IF(OVolSmile=1,VolSmileBook,VolSmileModel),2),0),"")</f>
        <v>#VALUE!</v>
      </c>
      <c r="DD130" s="1592" t="e">
        <f aca="false">IF(OR(BQ130,BS130),CI130+IF(OVolSmile,VLOOKUP(MAX(-5,CQ130+CW130-BW130),IF(OVolSmile=1,VolSmileBook,VolSmileModel),2),0),"")</f>
        <v>#VALUE!</v>
      </c>
      <c r="DE130" s="1592" t="e">
        <f aca="false">IF(OR(BQ130,BS130),CL130+IF(OVolSmile,VLOOKUP(MAX(-5,CR130+CZ130-BX130),IF(OVolSmile=1,VolSmileBook,VolSmileModel),2),0),"")</f>
        <v>#VALUE!</v>
      </c>
      <c r="DF130" s="1592" t="e">
        <f aca="false">IF(BQ130,CM130+IF(OVolSmile,VLOOKUP(MAX(-5,CS130+DA130-BZ130),IF(OVolSmile=1,VolSmileBook,VolSmileModel),2),0),"")</f>
        <v>#VALUE!</v>
      </c>
      <c r="DG130" s="1593" t="e">
        <f aca="false">IF(BS130,CN130+IF(OVolSmile,VLOOKUP(MAX(-5,CT130+DA130-CF130),IF(OVolSmile=1,VolSmileBook,VolSmileModel),2),0),"")</f>
        <v>#VALUE!</v>
      </c>
      <c r="DH130" s="1316" t="e">
        <f aca="false">IF(AND(BU130&gt;0,CO130&gt;0,DB130&gt;0,CU130&gt;0),newSPRDOPT(BU130,CO130,CW130,0,DB130,CU130,CV130,BT130*365.25,OCallPut,0),0)</f>
        <v>#VALUE!</v>
      </c>
      <c r="DI130" s="1316" t="e">
        <f aca="false">IF(AND(BV130&gt;0,CP130&gt;0,DC130&gt;0,CU130&gt;0),newSPRDOPT(BV130,CP130,CX130,0,DC130,CU130,CV130,BT130*365.25,OCallPut,0),0)</f>
        <v>#VALUE!</v>
      </c>
      <c r="DJ130" s="1316" t="e">
        <f aca="false">IF(AND(BW130&gt;0,CQ130&gt;0,DD130&gt;0,CU130&gt;0),newSPRDOPT(BW130,CQ130,CY130,0,DD130,CU130,CV130,BT130*365.25,OCallPut,0),0)</f>
        <v>#VALUE!</v>
      </c>
      <c r="DK130" s="1316" t="e">
        <f aca="false">IF(AND(BX130&gt;0,CR130&gt;0,DE130&gt;0,CU130&gt;0),newSPRDOPT(BX130,CR130,CZ130,0,DE130,CU130,CV130,BT130*365.25,OCallPut,0),0)</f>
        <v>#VALUE!</v>
      </c>
      <c r="DL130" s="1316" t="e">
        <f aca="false">IF(OVolType,IF(AND(BZ130&gt;0,CS130&gt;0,DF130&gt;0,CU130&gt;0),newSPRDOPT(BZ130,CS130,DA130,0,DF130,CU130,CV130,BT130*365.25,OCallPut,0),0),IF(BQ130,(DH130*AZ130+DI130*BA130+DJ130*BB130+DK130*BC130)/BQ130,0))</f>
        <v>#VALUE!</v>
      </c>
      <c r="DM130" s="1316"/>
      <c r="DN130" s="1316"/>
      <c r="DO130" s="1316"/>
      <c r="DP130" s="1316"/>
      <c r="DQ130" s="1316"/>
      <c r="DR130" s="1316"/>
      <c r="DS130" s="1316"/>
      <c r="DT130" s="1316"/>
      <c r="DU130" s="1316"/>
      <c r="DV130" s="1316"/>
      <c r="DW130" s="1594" t="e">
        <f aca="false">IF(AND(BW130&gt;0,CT130&gt;0,DD130&gt;0,CU130&gt;0),newSPRDOPT(BW130,CT130,CY130,0,DD130,CU130,CV130,BT130*365.25,OCallPut,0),0)</f>
        <v>#VALUE!</v>
      </c>
      <c r="DX130" s="1316" t="e">
        <f aca="false">IF(AND(BX130&gt;0,CT130&gt;0,DE130&gt;0,CU130&gt;0),newSPRDOPT(BX130,CT130,CZ130,0,DE130,CU130,CV130,BT130*365.25,OCallPut,0),0)</f>
        <v>#VALUE!</v>
      </c>
      <c r="DY130" s="1591" t="e">
        <f aca="false">IF(BS130,(DH130*BH130+DI130*BI130+DW130*BJ130+DX130*BK130)/BS130,0)</f>
        <v>#VALUE!</v>
      </c>
      <c r="DZ130" s="1551" t="e">
        <f aca="false">DH130*AZ130</f>
        <v>#VALUE!</v>
      </c>
      <c r="EA130" s="1551" t="e">
        <f aca="false">DI130*BA130</f>
        <v>#VALUE!</v>
      </c>
      <c r="EB130" s="1551" t="e">
        <f aca="false">DJ130*BB130</f>
        <v>#VALUE!</v>
      </c>
      <c r="EC130" s="1551" t="e">
        <f aca="false">DK130*BC130</f>
        <v>#VALUE!</v>
      </c>
      <c r="ED130" s="1551" t="e">
        <f aca="false">DL130*BQ130</f>
        <v>#VALUE!</v>
      </c>
      <c r="EE130" s="1595" t="e">
        <f aca="false">IF(BQ130,IF(OCallPut,IF(BU130&gt;(CO130+CW130),BU130-(CO130+CW130),0),IF((CO130+CW130)&gt;BU130,(CO130+CW130)-BU130,0))*AZ130,0)</f>
        <v>#VALUE!</v>
      </c>
      <c r="EF130" s="1596" t="e">
        <f aca="false">IF(BQ130,IF(OCallPut,IF(BV130&gt;(CP130+CX130),BV130-(CP130+CX130),0),IF((CP130+CX130)&gt;BV130,(CP130+CX130)-BV130,0))*BA130,0)</f>
        <v>#VALUE!</v>
      </c>
      <c r="EG130" s="1596" t="e">
        <f aca="false">IF(BQ130,IF(OCallPut,IF(BW130&gt;(CQ130+CY130),BW130-(CQ130+CY130),0),IF((CQ130+CY130)&gt;BW130,(CQ130+CY130)-BW130,0))*BB130,0)</f>
        <v>#VALUE!</v>
      </c>
      <c r="EH130" s="1596" t="e">
        <f aca="false">IF(BQ130,IF(OCallPut,IF(BX130&gt;(CR130+CZ130),BX130-(CR130+CZ130),0),IF((CR130+CZ130)&gt;BX130,(CR130+CZ130)-BX130,0))*BC130,0)</f>
        <v>#VALUE!</v>
      </c>
      <c r="EI130" s="1597" t="e">
        <f aca="false">IF(BQ130,IF(OVolType,IF(OCallPut,IF(BZ130&gt;(CS130+DA130),BZ130-(CS130+DA130),0),IF((CS130+DA130)&gt;BZ130,(CS130+DA130)-BZ130,0))*BQ130,SUM(EE130:EH130)),0)</f>
        <v>#VALUE!</v>
      </c>
      <c r="EJ130" s="1595" t="e">
        <f aca="false">DZ130-EE130</f>
        <v>#VALUE!</v>
      </c>
      <c r="EK130" s="1596" t="e">
        <f aca="false">EA130-EF130</f>
        <v>#VALUE!</v>
      </c>
      <c r="EL130" s="1596" t="e">
        <f aca="false">EB130-EG130</f>
        <v>#VALUE!</v>
      </c>
      <c r="EM130" s="1596" t="e">
        <f aca="false">EC130-EH130</f>
        <v>#VALUE!</v>
      </c>
      <c r="EN130" s="1597" t="e">
        <f aca="false">ED130-EI130</f>
        <v>#VALUE!</v>
      </c>
      <c r="EO130" s="1551" t="e">
        <f aca="false">DH130*BH130</f>
        <v>#VALUE!</v>
      </c>
      <c r="EP130" s="1551" t="e">
        <f aca="false">DI130*BI130</f>
        <v>#VALUE!</v>
      </c>
      <c r="EQ130" s="1551" t="e">
        <f aca="false">DW130*BJ130</f>
        <v>#VALUE!</v>
      </c>
      <c r="ER130" s="1551" t="e">
        <f aca="false">DX130*BK130</f>
        <v>#VALUE!</v>
      </c>
      <c r="ES130" s="1551" t="e">
        <f aca="false">DY130*BS130</f>
        <v>#VALUE!</v>
      </c>
      <c r="ET130" s="1566" t="e">
        <f aca="false">IF(EI130,IF(OCallPut,IF(CA130&gt;(CT130+CW130),CA130-(CT130+CW130),0),IF((CT130+CW130)&gt;CA130,(CT130+CW130)-CA130,0))*BH130,0)</f>
        <v>#VALUE!</v>
      </c>
      <c r="EU130" s="1551" t="e">
        <f aca="false">IF(EI130,IF(OCallPut,IF(CB130&gt;(CT130+CX130),CB130-(CT130+CX130),0),IF((CT130+CX130)&gt;CB130,(CT130+CX130)-CB130,0))*BI130,0)</f>
        <v>#VALUE!</v>
      </c>
      <c r="EV130" s="1551" t="e">
        <f aca="false">IF(EI130,IF(OCallPut,IF(CC130&gt;(CT130+CY130),CC130-(CT130+CY130),0),IF((CT130+CY130)&gt;CC130,(CT130+CY130)-CC130,0))*BJ130,0)</f>
        <v>#VALUE!</v>
      </c>
      <c r="EW130" s="1551" t="e">
        <f aca="false">IF(EI130,IF(OCallPut,IF(CD130&gt;(CT130+CZ130),CD130-(CT130+CZ130),0),IF((CT130+CZ130)&gt;CD130,(CT130+CZ130)-CD130,0))*BK130,0)</f>
        <v>#VALUE!</v>
      </c>
      <c r="EX130" s="1558" t="e">
        <f aca="false">IF(EI130,SUM(ET130:EW130),0)</f>
        <v>#VALUE!</v>
      </c>
      <c r="EY130" s="1551" t="e">
        <f aca="false">EO130-ET130</f>
        <v>#VALUE!</v>
      </c>
      <c r="EZ130" s="1551" t="e">
        <f aca="false">EP130-EU130</f>
        <v>#VALUE!</v>
      </c>
      <c r="FA130" s="1551" t="e">
        <f aca="false">EQ130-EV130</f>
        <v>#VALUE!</v>
      </c>
      <c r="FB130" s="1551" t="e">
        <f aca="false">ER130-EW130</f>
        <v>#VALUE!</v>
      </c>
      <c r="FC130" s="1551" t="e">
        <f aca="false">ES130-EX130</f>
        <v>#VALUE!</v>
      </c>
      <c r="FD130" s="1525" t="n">
        <f aca="false">IF(AX130,IF(VLOOKUP(C130,MAIN!$L$17:$M$28,2)="Yes",VLOOKUP(CALC!B130,MAIN!$H$17:$I$20,2),0),0)</f>
        <v>0</v>
      </c>
      <c r="FE130" s="1552" t="e">
        <f aca="false">$FD130*16*AT130*(1-$AY130)</f>
        <v>#VALUE!</v>
      </c>
      <c r="FF130" s="1553" t="e">
        <f aca="false">$FD130*16*AU130*(1-$AY130)</f>
        <v>#VALUE!</v>
      </c>
      <c r="FG130" s="1553" t="e">
        <f aca="false">$FD130*16*(AV130+AW130)*(1-$AY130)</f>
        <v>#VALUE!</v>
      </c>
      <c r="FH130" s="1554" t="n">
        <f aca="false">$FD130*8*AX130*(1-$AY130)</f>
        <v>0</v>
      </c>
      <c r="FI130" s="1555" t="n">
        <f aca="false">IF(AX130,VLOOKUP(CALC!B130,MAIN!$H$17:$K$20,4),0)</f>
        <v>0</v>
      </c>
      <c r="FJ130" s="1553" t="e">
        <f aca="false">SUM(FE130:FH130)</f>
        <v>#VALUE!</v>
      </c>
      <c r="FK130" s="1556" t="e">
        <f aca="false">FI130*FJ130</f>
        <v>#VALUE!</v>
      </c>
      <c r="FL130" s="1551" t="e">
        <f aca="false">IF($EI130&gt;0,MIN(FE130,AZ130*(1+VLOOKUP($C130,WeatherCapacityAdjustment,2))),0)</f>
        <v>#VALUE!</v>
      </c>
      <c r="FM130" s="1551" t="e">
        <f aca="false">IF($EI130&gt;0,MIN(FF130,BA130*(1+VLOOKUP($C130,WeatherCapacityAdjustment,2))),0)</f>
        <v>#VALUE!</v>
      </c>
      <c r="FN130" s="1551" t="e">
        <f aca="false">IF($EI130&gt;0,MIN(FG130,BB130*(1+VLOOKUP($C130,WeatherCapacityAdjustment,2))),0)</f>
        <v>#VALUE!</v>
      </c>
      <c r="FO130" s="1564" t="e">
        <f aca="false">IF($EI130&gt;0,MIN(FH130,BC130*(1+VLOOKUP($C130,WeatherCapacityAdjustment,3))),0)</f>
        <v>#VALUE!</v>
      </c>
      <c r="FP130" s="1551" t="e">
        <f aca="false">IF(ET130&gt;0,MIN(FE130-FL130,BH130*(1+VLOOKUP($C130,WeatherCapacityAdjustment,2))),0)</f>
        <v>#VALUE!</v>
      </c>
      <c r="FQ130" s="1551" t="e">
        <f aca="false">IF(EU130&gt;0,MIN(FF130-FM130,BI130*(1+VLOOKUP($C130,WeatherCapacityAdjustment,2))),0)</f>
        <v>#VALUE!</v>
      </c>
      <c r="FR130" s="1551" t="e">
        <f aca="false">IF(EV130&gt;0,MIN(FG130-FN130,BJ130*(1+VLOOKUP($C130,WeatherCapacityAdjustment,2))),0)</f>
        <v>#VALUE!</v>
      </c>
      <c r="FS130" s="1558" t="e">
        <f aca="false">IF(EW130&gt;0,MIN(FH130-FO130,BK130*(1+VLOOKUP($C130,WeatherCapacityAdjustment,3))),0)</f>
        <v>#VALUE!</v>
      </c>
      <c r="FT130" s="1566" t="e">
        <f aca="false">IF(AND(Assumptions!$H$71="Yes",A130&gt;=Assumptions!$H$72,A130&lt;=Assumptions!$H$73),0,IF(AND($A130&gt;=Assumptions!$C$17,$A130&lt;=Assumptions!$C$18),MAX(AZ130*(1+VLOOKUP($C130,WeatherCapacityAdjustment,2))-FL130,0),0))</f>
        <v>#VALUE!</v>
      </c>
      <c r="FU130" s="1551" t="e">
        <f aca="false">IF(AND(Assumptions!$H$71="Yes",A130&gt;=Assumptions!$H$72,A130&lt;=Assumptions!$H$73),0,IF(AND($A130&gt;=Assumptions!$C$17,$A130&lt;=Assumptions!$C$18),MAX(BA130*(1+VLOOKUP($C130,WeatherCapacityAdjustment,2))-FM130,0),0))</f>
        <v>#VALUE!</v>
      </c>
      <c r="FV130" s="1551" t="e">
        <f aca="false">IF(AND(Assumptions!$H$71="Yes",A130&gt;=Assumptions!$H$72,A130&lt;=Assumptions!$H$73),0,IF(AND($A130&gt;=Assumptions!$C$17,$A130&lt;=Assumptions!$C$18),MAX(BB130*(1+VLOOKUP($C130,WeatherCapacityAdjustment,2))-FN130,0),0))</f>
        <v>#VALUE!</v>
      </c>
      <c r="FW130" s="1564" t="e">
        <f aca="false">IF(AND(Assumptions!$H$71="Yes",A130&gt;=Assumptions!$H$72,A130&lt;=Assumptions!$H$73),0,IF(AND($A130&gt;=Assumptions!$C$17,$A130&lt;=Assumptions!$C$18),MAX(BC130*(1+VLOOKUP($C130,WeatherCapacityAdjustment,3))-FO130,0),0))</f>
        <v>#VALUE!</v>
      </c>
      <c r="FX130" s="1569" t="e">
        <f aca="false">IF(AND(Assumptions!$H$71="Yes",A130&gt;=Assumptions!$H$72,A130&lt;=Assumptions!$H$73),0,IF(ET130&gt;0,MAX(BH130*(1+VLOOKUP($C130,WeatherCapacityAdjustment,2))-FP130,0),0))</f>
        <v>#VALUE!</v>
      </c>
      <c r="FY130" s="1551" t="e">
        <f aca="false">IF(AND(Assumptions!$H$71="Yes",A130&gt;=Assumptions!$H$72,A130&lt;=Assumptions!$H$73),0,IF(EU130&gt;0,MAX(BI130*(1+VLOOKUP($C130,WeatherCapacityAdjustment,3))-FQ130,0),0))</f>
        <v>#VALUE!</v>
      </c>
      <c r="FZ130" s="1551" t="e">
        <f aca="false">IF(AND(Assumptions!$H$71="Yes",A130&gt;=Assumptions!$H$72,A130&lt;=Assumptions!$H$73),0,IF(EV130&gt;0,MAX(BJ130*(1+VLOOKUP($C130,WeatherCapacityAdjustment,2))-FR130,0),0))</f>
        <v>#VALUE!</v>
      </c>
      <c r="GA130" s="1564" t="e">
        <f aca="false">IF(AND(Assumptions!$H$71="Yes",A130&gt;=Assumptions!$H$72,A130&lt;=Assumptions!$H$73),0,IF(EW130&gt;0,MAX(BK130*(1+VLOOKUP($C130,WeatherCapacityAdjustment,2))-FS130,0),0))</f>
        <v>#VALUE!</v>
      </c>
      <c r="GB130" s="1551" t="e">
        <f aca="false">SUM(FT130:GA130)</f>
        <v>#VALUE!</v>
      </c>
      <c r="GC130" s="1563" t="e">
        <f aca="false">+IF(SUM(FT130:GA130)=0,0,(SUMPRODUCT(BU130:BX130,FT130:FW130)+SUMPRODUCT(CA130:CD130,FX130:GA130))/SUM(FT130:GA130))</f>
        <v>#VALUE!</v>
      </c>
      <c r="GD130" s="1551" t="e">
        <f aca="false">(FT130*BU130+FX130*CA130+FU130*BV130+FY130*CB130+FV130*BW130+FZ130*CC130+FW130*BX130+GA130*CD130)</f>
        <v>#VALUE!</v>
      </c>
      <c r="GE130" s="1561" t="e">
        <f aca="false">+IF(BQ130,((FL130+FM130+FT130+FU130)*HeatRatePeak/1000*(1+VLOOKUP($C130,WeatherHeatRateAdjustment,2))+(FN130+FV130)*IF(EV130&gt;0,HeatRatePeak,HeatRateOffPeak)/1000*(1+VLOOKUP($C130,WeatherHeatRateAdjustment,2))+(FO130+FW130)*IF(EW130&gt;0,HeatRatePeak,HeatRateOffPeak)/1000*(1+VLOOKUP($C130,WeatherHeatRateAdjustment,3)))*(1+VLOOKUP($B130,HeatRateDegradation,$C130+1)),0)</f>
        <v>#VALUE!</v>
      </c>
      <c r="GF130" s="1562" t="e">
        <f aca="false">IF(BQ130,((FP130+FQ130+FR130+FX130+FY130+FZ130)*HeatRatePeak/1000*(1+VLOOKUP($C130,WeatherHeatRateAdjustment,2))+(FS130+GA130)*HeatRatePeak/1000*(1+VLOOKUP($C130,WeatherHeatRateAdjustment,3)))*(1+VLOOKUP($B130,HeatRateDegradation,$C130+1)),0)</f>
        <v>#VALUE!</v>
      </c>
      <c r="GG130" s="1563" t="e">
        <f aca="false">IF(BQ130,VLOOKUP(A130,GasTable,13),0)</f>
        <v>#VALUE!</v>
      </c>
      <c r="GH130" s="1564" t="e">
        <f aca="false">(GE130+GF130)*GG130</f>
        <v>#VALUE!</v>
      </c>
      <c r="GI130" s="1569" t="e">
        <f aca="false">GB130</f>
        <v>#VALUE!</v>
      </c>
      <c r="GJ130" s="1598" t="e">
        <f aca="false">+DA130</f>
        <v>#VALUE!</v>
      </c>
      <c r="GK130" s="1558" t="e">
        <f aca="false">+GI130*GJ130</f>
        <v>#VALUE!</v>
      </c>
      <c r="GL130" s="1566" t="e">
        <f aca="false">MAX(FE130-FL130-FP130,0)</f>
        <v>#VALUE!</v>
      </c>
      <c r="GM130" s="1551" t="e">
        <f aca="false">MAX(FF130-FM130-FQ130,0)</f>
        <v>#VALUE!</v>
      </c>
      <c r="GN130" s="1551" t="e">
        <f aca="false">MAX(FG130-FN130-FR130,0)</f>
        <v>#VALUE!</v>
      </c>
      <c r="GO130" s="1564" t="e">
        <f aca="false">MAX(FH130-FO130-FS130,0)</f>
        <v>#VALUE!</v>
      </c>
      <c r="GP130" s="1551" t="e">
        <f aca="false">SUM(GL130:GO130)</f>
        <v>#VALUE!</v>
      </c>
      <c r="GQ130" s="1563" t="e">
        <f aca="false">IF(SUM(GL130:GO130)=0,0,((GL130*BU130+GM130*BV130+GN130*BW130+GO130*BX130)/SUM(GL130:GO130)))</f>
        <v>#VALUE!</v>
      </c>
      <c r="GR130" s="1558" t="e">
        <f aca="false">(GL130*BU130+GM130*BV130+GN130*BW130+GO130*BX130)</f>
        <v>#VALUE!</v>
      </c>
      <c r="GS130" s="1566" t="n">
        <f aca="false">IF($A130&gt;=BegDate,Assumptions!$C$56*24*($A131-$A130)*(1-VLOOKUP($B130,MAIN!$AA$7:$AM$28,$C130+1))*(1-VLOOKUP($B130,MAIN!$AA$33:$AM$54,$C130+1)),0)*80/168</f>
        <v>257742.857142857</v>
      </c>
      <c r="GT130" s="286" t="n">
        <f aca="false">J130</f>
        <v>47.078042537225</v>
      </c>
      <c r="GU130" s="286" t="n">
        <f aca="false">IF($A130&gt;=BegDate,VLOOKUP($A130,GasTable,13)+Assumptions!$C$58,0)</f>
        <v>3.07510151037822</v>
      </c>
      <c r="GV130" s="286" t="n">
        <f aca="false">GU130*Assumptions!$C$57/1000</f>
        <v>22.2944859502421</v>
      </c>
      <c r="GW130" s="1558" t="n">
        <f aca="false">IF(Assumptions!$C$60="Hourly",MAX(0,GS130*(GT130-GV130)),GS130*(GT130-GV130))</f>
        <v>6387784.68489064</v>
      </c>
      <c r="GX130" s="1566" t="n">
        <f aca="false">IF($A130&gt;=BegDate,Assumptions!$C$56*24*($A131-$A130)*(1-VLOOKUP($B130,MAIN!$AA$7:$AM$28,$C130+1))*(1-VLOOKUP($B130,MAIN!$AA$33:$AM$54,$C130+1)),0)*16/168</f>
        <v>51548.5714285714</v>
      </c>
      <c r="GY130" s="286" t="n">
        <f aca="false">M130</f>
        <v>47.078042537225</v>
      </c>
      <c r="GZ130" s="286" t="n">
        <f aca="false">IF($A130&gt;=BegDate,VLOOKUP($A130,GasTable,13)+Assumptions!$C$58,0)</f>
        <v>3.07510151037822</v>
      </c>
      <c r="HA130" s="286" t="n">
        <f aca="false">GZ130*Assumptions!$C$57/1000</f>
        <v>22.2944859502421</v>
      </c>
      <c r="HB130" s="1558" t="n">
        <f aca="false">IF(Assumptions!$C$60="Hourly",MAX(0,GX130*(GY130-HA130)),GX130*(GY130-HA130))</f>
        <v>1277556.93697813</v>
      </c>
      <c r="HC130" s="1566" t="n">
        <f aca="false">IF($A130&gt;=BegDate,Assumptions!$C$56*24*($A131-$A130)*(1-VLOOKUP($B130,MAIN!$AA$7:$AM$28,$C130+1))*(1-VLOOKUP($B130,MAIN!$AA$33:$AM$54,$C130+1)),0)*16/168</f>
        <v>51548.5714285714</v>
      </c>
      <c r="HD130" s="286" t="n">
        <f aca="false">P130</f>
        <v>25.8557082128868</v>
      </c>
      <c r="HE130" s="286" t="n">
        <f aca="false">IF($A130&gt;=BegDate,VLOOKUP($A130,GasTable,13)+Assumptions!$C$58,0)</f>
        <v>3.07510151037822</v>
      </c>
      <c r="HF130" s="286" t="n">
        <f aca="false">HE130*Assumptions!$C$57/1000</f>
        <v>22.2944859502421</v>
      </c>
      <c r="HG130" s="1558" t="n">
        <f aca="false">IF(Assumptions!$C$60="Hourly",MAX(0,HC130*(HD130-HF130)),HC130*(HD130-HF130))</f>
        <v>183575.92017896</v>
      </c>
      <c r="HH130" s="1566" t="n">
        <f aca="false">IF($A130&gt;=BegDate,Assumptions!$C$56*24*($A131-$A130)*(1-VLOOKUP($B130,MAIN!$AA$7:$AM$28,$C130+1))*(1-VLOOKUP($B130,MAIN!$AA$33:$AM$54,$C130+1)),0)*56/168</f>
        <v>180420</v>
      </c>
      <c r="HI130" s="286" t="n">
        <f aca="false">S130</f>
        <v>25.8557082128868</v>
      </c>
      <c r="HJ130" s="286" t="n">
        <f aca="false">IF($A130&gt;=BegDate,VLOOKUP($A130,GasTable,13)+Assumptions!$C$58,0)</f>
        <v>3.07510151037822</v>
      </c>
      <c r="HK130" s="286" t="n">
        <f aca="false">HJ130*Assumptions!$C$57/1000</f>
        <v>22.2944859502421</v>
      </c>
      <c r="HL130" s="1558" t="n">
        <f aca="false">IF(Assumptions!$C$60="Hourly",MAX(0,HH130*(HI130-HK130)),HH130*(HI130-HK130))</f>
        <v>642515.720626359</v>
      </c>
      <c r="HM130" s="1566" t="n">
        <f aca="false">IF(AND(Assumptions!$H$71="Yes",A130&gt;=Assumptions!$H$72,A130&lt;=Assumptions!$H$73),Assumptions!$H$74*Assumptions!$C$9*1000,0)</f>
        <v>0</v>
      </c>
      <c r="HN130" s="1551"/>
      <c r="HO130" s="1563"/>
      <c r="HP130" s="1563"/>
      <c r="HQ130" s="1563"/>
      <c r="HR130" s="1563"/>
      <c r="HS130" s="1563"/>
      <c r="HT130" s="1563"/>
      <c r="HU130" s="1563"/>
      <c r="HV130" s="1563"/>
      <c r="HW130" s="1563"/>
      <c r="HX130" s="1563"/>
      <c r="HY130" s="1563"/>
      <c r="HZ130" s="1563"/>
      <c r="IA130" s="1563"/>
      <c r="IB130" s="1563"/>
      <c r="IC130" s="1563"/>
      <c r="ID130" s="1563"/>
      <c r="IE130" s="1563"/>
      <c r="IF130" s="1563"/>
      <c r="IG130" s="1563"/>
      <c r="IH130" s="1563"/>
      <c r="II130" s="1610"/>
      <c r="IJ130" s="1309"/>
      <c r="IK130" s="1309"/>
    </row>
    <row r="131" customFormat="false" ht="12.75" hidden="false" customHeight="false" outlineLevel="0" collapsed="false">
      <c r="A131" s="1571" t="n">
        <f aca="false">EOMONTH(A130,0)+1</f>
        <v>40118</v>
      </c>
      <c r="B131" s="594" t="n">
        <f aca="false">+YEAR(A131)</f>
        <v>2009</v>
      </c>
      <c r="C131" s="238" t="n">
        <f aca="false">MONTH(A131)</f>
        <v>11</v>
      </c>
      <c r="D131" s="1572" t="e">
        <f aca="false">IF(E131="","",Holiday(B131,C131))</f>
        <v>#VALUE!</v>
      </c>
      <c r="E131" s="1573" t="n">
        <f aca="false">IF(OR(BegDate&gt;=A132,EndDate&lt;A131,AND(VolumeMonthlyOverFlag,INDEX(VolumeMonthlyOver,C131)=0),NOT(INDEX(MonthKnockOutTable,C131))),"",MAX(A131,BegDate))</f>
        <v>40118</v>
      </c>
      <c r="F131" s="1574" t="n">
        <f aca="false">IF(E131="","",MIN(A132-1,EndDate))</f>
        <v>40147</v>
      </c>
      <c r="G131" s="1575" t="n">
        <v>0</v>
      </c>
      <c r="H131" s="1576" t="n">
        <f aca="false">(1+G131/2)^(-2*(DATE(B132,C132,20)-DateToday)/365.25)</f>
        <v>1</v>
      </c>
      <c r="I131" s="1568" t="n">
        <f aca="false">IF(Assumptions!$L$25=4,VLOOKUP($A131,'Henwood Reference'!$E$9:$R$320,10),(VLOOKUP($A131,PriceTable,2,0)+IF(BasisNumber&lt;&gt;1,VLOOKUP($A131,BasisTable,2,0),0)+I$1)/(1-I$2))</f>
        <v>47.3771742071511</v>
      </c>
      <c r="J131" s="1568" t="n">
        <f aca="false">IF(Assumptions!$L$25=4,VLOOKUP($A131,'Henwood Reference'!$E$9:$R$320,10),(VLOOKUP($A131,PriceTable,3,0)+IF(BasisNumber&lt;&gt;1,VLOOKUP($A131,BasisTable,2,0),0)+J$1)/(1-J$2))</f>
        <v>47.3771742071511</v>
      </c>
      <c r="K131" s="1568" t="n">
        <f aca="false">IF(Assumptions!$L$25=4,VLOOKUP($A131,'Henwood Reference'!$E$9:$R$320,10),(VLOOKUP($A131,PriceTable,4,0)+IF(BasisNumber&lt;&gt;1,VLOOKUP($A131,BasisTable,2,0),0)+K$1)/(1-K$2))</f>
        <v>47.3771742071511</v>
      </c>
      <c r="L131" s="1523" t="n">
        <f aca="false">IF(Assumptions!$L$25=4,VLOOKUP($A131,'Henwood Reference'!$E$9:$R$320,10),(VLOOKUP($A131,PriceTableWeekend,2,0)+IF(BasisNumber&lt;&gt;1,VLOOKUP($A131,BasisTable,2,0),0)+L$1)/(1-L$2))</f>
        <v>47.3771742071511</v>
      </c>
      <c r="M131" s="1568" t="n">
        <f aca="false">IF(Assumptions!$L$25=4,VLOOKUP($A131,'Henwood Reference'!$E$9:$R$320,10),(VLOOKUP($A131,PriceTableWeekend,3,0)+IF(BasisNumber&lt;&gt;1,VLOOKUP($A131,BasisTable,2,0),0)+M$1)/(1-M$2))</f>
        <v>47.3771742071511</v>
      </c>
      <c r="N131" s="1599" t="n">
        <f aca="false">IF(Assumptions!$L$25=4,VLOOKUP($A131,'Henwood Reference'!$E$9:$R$320,10),(VLOOKUP($A131,PriceTableWeekend,4,0)+IF(BasisNumber&lt;&gt;1,VLOOKUP($A131,BasisTable,2,0),0)+N$1)/(1-N$2))</f>
        <v>47.3771742071511</v>
      </c>
      <c r="O131" s="1568" t="n">
        <f aca="false">IF(Assumptions!$L$25=4,VLOOKUP($A131,'Henwood Reference'!$E$9:$R$320,11),(VLOOKUP($A131,PriceTableWeekend,6,0)+IF(BasisNumber&lt;&gt;1,VLOOKUP($A131,BasisTable,3,0),0)+O$1)/(1-O$2))</f>
        <v>29.0393153064398</v>
      </c>
      <c r="P131" s="1568" t="n">
        <f aca="false">IF(Assumptions!$L$25=4,VLOOKUP($A131,'Henwood Reference'!$E$9:$R$320,11),(VLOOKUP($A131,PriceTableWeekend,7,0)+IF(BasisNumber&lt;&gt;1,VLOOKUP($A131,BasisTable,3,0),0)+P$1)/(1-P$2))</f>
        <v>29.0393153064398</v>
      </c>
      <c r="Q131" s="1599" t="n">
        <f aca="false">IF(Assumptions!$L$25=4,VLOOKUP($A131,'Henwood Reference'!$E$9:$R$320,11),(VLOOKUP($A131,PriceTableWeekend,8,0)+IF(BasisNumber&lt;&gt;1,VLOOKUP($A131,BasisTable,3,0),0)+Q$1)/(1-Q$2))</f>
        <v>29.0393153064398</v>
      </c>
      <c r="R131" s="1568" t="n">
        <f aca="false">IF(Assumptions!$L$25=4,VLOOKUP($A131,'Henwood Reference'!$E$9:$R$320,11),(VLOOKUP($A131,PriceTable,6,0)+IF(BasisNumber&lt;&gt;1,VLOOKUP($A131,BasisTable,3,0),0)+R$1)/(1-R$2))</f>
        <v>29.0393153064398</v>
      </c>
      <c r="S131" s="1568" t="n">
        <f aca="false">IF(Assumptions!$L$25=4,VLOOKUP($A131,'Henwood Reference'!$E$9:$R$320,11),(VLOOKUP($A131,PriceTable,7,0)+IF(BasisNumber&lt;&gt;1,VLOOKUP($A131,BasisTable,3,0),0)+S$1)/(1-S$2))</f>
        <v>29.0393153064398</v>
      </c>
      <c r="T131" s="1600" t="n">
        <f aca="false">IF(Assumptions!$L$25=4,VLOOKUP($A131,'Henwood Reference'!$E$9:$R$320,11),(VLOOKUP($A131,PriceTable,8,0)+IF(BasisNumber&lt;&gt;1,VLOOKUP($A131,BasisTable,3,0),0)+T$1)/(1-T$2))</f>
        <v>29.0393153064398</v>
      </c>
      <c r="U131" s="1513" t="n">
        <f aca="false">VLOOKUP($A131,VolatilityTable,14)</f>
        <v>0.125</v>
      </c>
      <c r="V131" s="1513" t="n">
        <f aca="false">VLOOKUP($A131,VolatilityTable,15)</f>
        <v>0.135</v>
      </c>
      <c r="W131" s="1514" t="n">
        <f aca="false">VLOOKUP($A131,VolatilityTable,16)</f>
        <v>0.145</v>
      </c>
      <c r="X131" s="1513" t="n">
        <f aca="false">VLOOKUP($A131,VolatilityTable,14)</f>
        <v>0.125</v>
      </c>
      <c r="Y131" s="1513" t="n">
        <f aca="false">VLOOKUP($A131,VolatilityTable,15)</f>
        <v>0.135</v>
      </c>
      <c r="Z131" s="1514" t="n">
        <f aca="false">VLOOKUP($A131,VolatilityTable,16)</f>
        <v>0.145</v>
      </c>
      <c r="AA131" s="1513" t="n">
        <f aca="false">VLOOKUP($A131,VolatilityTable,18)</f>
        <v>0.09</v>
      </c>
      <c r="AB131" s="1513" t="n">
        <f aca="false">VLOOKUP($A131,VolatilityTable,19)</f>
        <v>0.11</v>
      </c>
      <c r="AC131" s="1514" t="n">
        <f aca="false">VLOOKUP($A131,VolatilityTable,20)</f>
        <v>0.13</v>
      </c>
      <c r="AD131" s="1513" t="n">
        <f aca="false">VLOOKUP($A131,VolatilityTable,18)</f>
        <v>0.09</v>
      </c>
      <c r="AE131" s="1513" t="n">
        <f aca="false">VLOOKUP($A131,VolatilityTable,19)</f>
        <v>0.11</v>
      </c>
      <c r="AF131" s="1514" t="n">
        <f aca="false">VLOOKUP($A131,VolatilityTable,20)</f>
        <v>0.13</v>
      </c>
      <c r="AG131" s="1513" t="n">
        <f aca="false">VLOOKUP($A131,VolatilityTable,22)</f>
        <v>-0.1</v>
      </c>
      <c r="AH131" s="1513" t="n">
        <f aca="false">VLOOKUP($A131,VolatilityTable,23)</f>
        <v>0.6</v>
      </c>
      <c r="AI131" s="1514" t="n">
        <f aca="false">VLOOKUP($A131,VolatilityTable,24)</f>
        <v>0.1</v>
      </c>
      <c r="AJ131" s="1513" t="n">
        <f aca="false">VLOOKUP($A131,VolatilityTable,22)</f>
        <v>-0.1</v>
      </c>
      <c r="AK131" s="1513" t="n">
        <f aca="false">VLOOKUP($A131,VolatilityTable,23)</f>
        <v>0.6</v>
      </c>
      <c r="AL131" s="1514" t="n">
        <f aca="false">VLOOKUP($A131,VolatilityTable,24)</f>
        <v>0.1</v>
      </c>
      <c r="AM131" s="1513" t="n">
        <f aca="false">VLOOKUP($A131,VolatilityTable,26)</f>
        <v>-0.01</v>
      </c>
      <c r="AN131" s="1513" t="n">
        <f aca="false">VLOOKUP($A131,VolatilityTable,27)</f>
        <v>0.16</v>
      </c>
      <c r="AO131" s="1514" t="n">
        <f aca="false">VLOOKUP($A131,VolatilityTable,28)</f>
        <v>0.01</v>
      </c>
      <c r="AP131" s="1513" t="n">
        <f aca="false">VLOOKUP($A131,VolatilityTable,26)</f>
        <v>-0.01</v>
      </c>
      <c r="AQ131" s="1513" t="n">
        <f aca="false">VLOOKUP($A131,VolatilityTable,27)</f>
        <v>0.16</v>
      </c>
      <c r="AR131" s="1515" t="n">
        <f aca="false">VLOOKUP($A131,VolatilityTable,28)</f>
        <v>0.01</v>
      </c>
      <c r="AS131" s="1581" t="n">
        <f aca="false">IF(CorrPeakOffPeakOverFlag,INDEX(CorrPeakOffPeakOver,C131),CorrPeakOffPeak)</f>
        <v>0.5</v>
      </c>
      <c r="AT131" s="594" t="e">
        <f aca="false">AX131-SUM(AU131:AW131)</f>
        <v>#VALUE!</v>
      </c>
      <c r="AU131" s="238" t="e">
        <f aca="false">IF(E131="",0,INT((F131-MOD(F131,7)-E131)/7)+1-IF(AW131,IF(WEEKDAY(D131)=7,1,0),0))</f>
        <v>#VALUE!</v>
      </c>
      <c r="AV131" s="238" t="e">
        <f aca="false">IF(E131="",0,INT((F131-MOD(F131-1,7)-E131)/7)+1-IF(AW131,IF(WEEKDAY(D131)=1,1,0),0))</f>
        <v>#VALUE!</v>
      </c>
      <c r="AW131" s="238" t="e">
        <f aca="false">IF(OR(E131="",D131="",D131&lt;BegDate,D131&gt;EndDate),0,1)</f>
        <v>#VALUE!</v>
      </c>
      <c r="AX131" s="238" t="n">
        <f aca="false">IF(E131="",0,F131-E131+1)</f>
        <v>30</v>
      </c>
      <c r="AY131" s="1582" t="n">
        <f aca="false">IF(E131="",0,MIN((1-(1-VLOOKUP(B131,MAIN!$AA$7:$AM$28,C131+1))*(1-VLOOKUP(B131,MAIN!$AA$33:$AM$54,C131+1))),1))</f>
        <v>0.03</v>
      </c>
      <c r="AZ131" s="1519" t="e">
        <v>#VALUE!</v>
      </c>
      <c r="BA131" s="1520" t="e">
        <v>#VALUE!</v>
      </c>
      <c r="BB131" s="1520" t="e">
        <v>#VALUE!</v>
      </c>
      <c r="BC131" s="1583" t="e">
        <v>#VALUE!</v>
      </c>
      <c r="BD131" s="1522" t="e">
        <v>#VALUE!</v>
      </c>
      <c r="BE131" s="1523" t="e">
        <v>#VALUE!</v>
      </c>
      <c r="BF131" s="1523" t="e">
        <v>#VALUE!</v>
      </c>
      <c r="BG131" s="1584" t="e">
        <v>#VALUE!</v>
      </c>
      <c r="BH131" s="1525" t="e">
        <v>#VALUE!</v>
      </c>
      <c r="BI131" s="1520" t="e">
        <v>#VALUE!</v>
      </c>
      <c r="BJ131" s="1520" t="e">
        <v>#VALUE!</v>
      </c>
      <c r="BK131" s="1583" t="e">
        <v>#VALUE!</v>
      </c>
      <c r="BL131" s="1522" t="e">
        <v>#VALUE!</v>
      </c>
      <c r="BM131" s="1523" t="e">
        <v>#VALUE!</v>
      </c>
      <c r="BN131" s="1523" t="e">
        <v>#VALUE!</v>
      </c>
      <c r="BO131" s="1523" t="e">
        <v>#VALUE!</v>
      </c>
      <c r="BP131" s="1525" t="e">
        <f aca="false">SUM(AZ131:BB131)</f>
        <v>#VALUE!</v>
      </c>
      <c r="BQ131" s="1529" t="e">
        <f aca="false">SUM(AZ131:BC131)</f>
        <v>#VALUE!</v>
      </c>
      <c r="BR131" s="1519" t="e">
        <f aca="false">SUM(BH131:BJ131)</f>
        <v>#VALUE!</v>
      </c>
      <c r="BS131" s="1529" t="e">
        <f aca="false">SUM(BH131:BK131)</f>
        <v>#VALUE!</v>
      </c>
      <c r="BT131" s="1316" t="n">
        <f aca="false">(IF(OVolType&lt;&gt;2,A131+14,IF(OptExpDateShift,ShiftBack(A131,OptExpDateShift,D130),A131))-DateToday)/365.25</f>
        <v>9.54962354551677</v>
      </c>
      <c r="BU131" s="1585" t="e">
        <f aca="false">IF(BQ131,IF(OPriceCurve,IF(OBuySell=OCallPut,I131/(1-AY131),K131/(1-AY131)),J131/(1-AY131))*BD131,0)</f>
        <v>#VALUE!</v>
      </c>
      <c r="BV131" s="1316" t="e">
        <f aca="false">IF(BQ131,IF(OPriceCurve,IF(OBuySell=OCallPut,L131/(1-AY131),N131/(1-AY131)),M131/(1-AY131))*BE131,0)</f>
        <v>#VALUE!</v>
      </c>
      <c r="BW131" s="1316" t="e">
        <f aca="false">IF(BQ131,IF(OPriceCurve,IF(OBuySell=OCallPut,O131/(1-AY131),Q131/(1-AY131)),P131/(1-AY131))*BF131,0)</f>
        <v>#VALUE!</v>
      </c>
      <c r="BX131" s="1316" t="e">
        <f aca="false">IF(BQ131,IF(OPriceCurve,IF(OBuySell=OCallPut,R131/(1-AY131),T131/(1-AY131)),S131/(1-AY131))*BG131,0)</f>
        <v>#VALUE!</v>
      </c>
      <c r="BY131" s="1316" t="e">
        <f aca="false">IF(BP131,(BU131*AZ131+BV131*BA131+BW131*BB131)/BP131,0)</f>
        <v>#VALUE!</v>
      </c>
      <c r="BZ131" s="1316" t="e">
        <f aca="false">IF(BQ131,(BY131*BP131+BX131*BC131)/BQ131,0)</f>
        <v>#VALUE!</v>
      </c>
      <c r="CA131" s="1531" t="e">
        <f aca="false">IF(BS131,IF(OPriceCurve,IF(OBuySell=OCallPut,I131/(1-AY131),K131/(1-AY131)),J131/(1-AY131))*BL131,0)</f>
        <v>#VALUE!</v>
      </c>
      <c r="CB131" s="1316" t="e">
        <f aca="false">IF(BS131,IF(OPriceCurve,IF(OBuySell=OCallPut,L131/(1-AY131),N131/(1-AY131)),M131/(1-AY131))*BM131,0)</f>
        <v>#VALUE!</v>
      </c>
      <c r="CC131" s="1316" t="e">
        <f aca="false">IF(BS131,IF(OPriceCurve,IF(OBuySell=OCallPut,O131/(1-AY131),Q131/(1-AY131)),P131/(1-AY131))*BN131,0)</f>
        <v>#VALUE!</v>
      </c>
      <c r="CD131" s="1316" t="e">
        <f aca="false">IF(BS131,IF(OPriceCurve,IF(OBuySell=OCallPut,R131/(1-AY131),T131/(1-AY131)),S131/(1-AY131))*BO131,0)</f>
        <v>#VALUE!</v>
      </c>
      <c r="CE131" s="1316" t="e">
        <f aca="false">IF(BR131,(BU131*BH131+BV131*BI131+BW131*BJ131)/BR131,0)</f>
        <v>#VALUE!</v>
      </c>
      <c r="CF131" s="1532" t="e">
        <f aca="false">IF(BS131,(CE131*BR131+CD131*BK131)/BS131,0)</f>
        <v>#VALUE!</v>
      </c>
      <c r="CG131" s="1586" t="e">
        <f aca="false">IF(OR(BQ131,BS131),IF(OVolType&lt;&gt;2,SQRT(IF(OVolOverMonthlyPeak,OVolOverMonthlyPeak,IF(OVolCurve,IF(OBuySell,U131,W131),V131))^2*(1-15/365.25/BT131)+IF(OVolOverDailyPeak,OVolOverDailyPeak,IF(OVolCurve,IF(OBuySell,AG131,AI131),AH131))^2*15/365.25/BT131),IF(OVolOverMonthlyPeak,OVolOverMonthlyPeak,IF(OVolCurve,IF(OBuySell,U131,W131),V131))),"")</f>
        <v>#VALUE!</v>
      </c>
      <c r="CH131" s="1587" t="e">
        <f aca="false">IF(OR(BQ131,BS131),IF(OVolType&lt;&gt;2,SQRT(IF(OVolOverMonthlyPeak,OVolOverMonthlyPeak,IF(OVolCurve,IF(OBuySell,X131,Z131),Y131))^2*(1-15/365.25/BT131)+IF(OVolOverDailyPeak,OVolOverDailyPeak,IF(OVolCurve,IF(OBuySell,AJ131,AL131),AK131))^2*15/365.25/BT131),IF(OVolOverMonthlyPeak,OVolOverMonthlyPeak,IF(OVolCurve,IF(OBuySell,X131,Z131),Y131))),"")</f>
        <v>#VALUE!</v>
      </c>
      <c r="CI131" s="1587" t="e">
        <f aca="false">IF(OR(BQ131,BS131),IF(OVolType&lt;&gt;2,SQRT(IF(OVolOverMonthlyPeak,OVolOverMonthlyPeak,IF(OVolCurve,IF(OBuySell,AA131,AC131),AB131))^2*(1-15/365.25/BT131)+IF(OVolOverDailyPeak,OVolOverDailyPeak,IF(OVolCurve,IF(OBuySell,AM131,AO131),AN131))^2*15/365.25/BT131),IF(OVolOverMonthlyPeak,OVolOverMonthlyPeak,IF(OVolCurve,IF(OBuySell,AA131,AC131),AB131))),"")</f>
        <v>#VALUE!</v>
      </c>
      <c r="CJ131" s="1587" t="e">
        <f aca="false">IF(BQ131,IF(BP131,SQRT(LN(1+((BU131*AZ131)^2*(EXP(CG131^2*BT131)-1)+(BV131*BA131)^2*(EXP(CH131^2*BT131)-1)+(BW131*BB131)^2*(EXP(CI131^2*BT131)-1)+2*BU131*AZ131*BV131*BA131*(EXP(CG131*CH131*BT131)-1)+2*BV131*BA131*BW131*BB131*(EXP(CH131*CI131*BT131)-1)+2*BW131*BB131*BU131*AZ131*(EXP(CI131*CG131*BT131)-1))/(BY131*BP131)^2)/BT131),0),"")</f>
        <v>#VALUE!</v>
      </c>
      <c r="CK131" s="1587" t="e">
        <f aca="false">IF(BS131,IF(BR131,SQRT(LN(1+((CA131*BH131)^2*(EXP(CG131^2*BT131)-1)+(CB131*BI131)^2*(EXP(CH131^2*BT131)-1)+(CC131*BJ131)^2*(EXP(CI131^2*BT131)-1)+2*CA131*BH131*CB131*BI131*(EXP(CG131*CH131*BT131)-1)+2*CB131*BI131*CC131*BJ131*(EXP(CH131*CI131*BT131)-1)+2*CC131*BJ131*CA131*BH131*(EXP(CI131*CG131*BT131)-1))/(CE131*BR131)^2)/BT131),0),"")</f>
        <v>#VALUE!</v>
      </c>
      <c r="CL131" s="1587" t="e">
        <f aca="false">IF(OR(BQ131,BS131),IF(OVolType&lt;&gt;2,SQRT(IF(OVolOverMonthlyOffPeak,OVolOverMonthlyOffPeak,IF(OVolCurve,IF(OBuySell,AD131,AF131),AE131))^2*(1-15/365.25/BT131)+IF(OVolOverDailyOffPeak,OVolOverDailyOffPeak,IF(OVolCurve,IF(OBuySell,AP131,AR131),AQ131))^2*15/365.25/BT131),IF(OVolOverMonthlyOffPeak,OVolOverMonthlyOffPeak,IF(OVolCurve,IF(OBuySell,AD131,AF131),AE131))),"")</f>
        <v>#VALUE!</v>
      </c>
      <c r="CM131" s="1587" t="e">
        <f aca="false">IF(BQ131,SQRT(LN(1+((BY131*BP131)^2*(EXP(CJ131^2*BT131)-1)+(BX131*BC131)^2*(EXP(CL131^2*BT131)-1)+2*BY131*BP131*BX131*BC131*(EXP(AS131*CJ131*CL131*BT131)-1))/(BY131*BP131+BX131*BC131)^2)/BT131),"")</f>
        <v>#VALUE!</v>
      </c>
      <c r="CN131" s="1588" t="e">
        <f aca="false">IF(BS131,SQRT(LN(1+((CE131*BR131)^2*(EXP(CK131^2*BT131)-1)+(CD131*BK131)^2*(EXP(CL131^2*BT131)-1)+2*CE131*BR131*CD131*BK131*(EXP(AS131*CK131*CL131*BT131)-1))/(CE131*BR131+CD131*BK131)^2)/BT131),"")</f>
        <v>#VALUE!</v>
      </c>
      <c r="CO131" s="1531" t="e">
        <f aca="false">IF(OR(BQ131,BS131),VLOOKUP(A131,GasTable,13)*HeatRatePeak*(1+VLOOKUP($B131,HeatRateDegradation,$C131+1))/1000,0)</f>
        <v>#VALUE!</v>
      </c>
      <c r="CP131" s="1316" t="e">
        <f aca="false">IF(OR(BQ131,BS131),VLOOKUP(A131,GasTable,13)*HeatRatePeak*(1+VLOOKUP($B131,HeatRateDegradation,$C131+1))/1000,0)</f>
        <v>#VALUE!</v>
      </c>
      <c r="CQ131" s="1316" t="e">
        <f aca="false">IF(OR(BQ131,BS131),VLOOKUP(A131,GasTable,13)*IF(EV131,HeatRatePeak,HeatRateOffPeak)*(1+VLOOKUP($B131,HeatRateDegradation,$C131+1))/1000,0)</f>
        <v>#VALUE!</v>
      </c>
      <c r="CR131" s="1316" t="e">
        <f aca="false">IF(OR(BQ131,BS131),VLOOKUP(A131,GasTable,13)*IF(EW131,HeatRatePeak,HeatRateOffPeak)*(1+VLOOKUP($B131,HeatRateDegradation,$C131+1))/1000,0)</f>
        <v>#VALUE!</v>
      </c>
      <c r="CS131" s="1589" t="e">
        <f aca="false">IF(BQ131,(CO131*AZ131+CP131*BA131+CQ131*BB131+CR131*BC131)/BQ131,0)</f>
        <v>#VALUE!</v>
      </c>
      <c r="CT131" s="1316" t="e">
        <f aca="false">IF(BS131,CO131,0)</f>
        <v>#VALUE!</v>
      </c>
      <c r="CU131" s="1590" t="e">
        <f aca="false">IF(OR(BQ131,BS131),VLOOKUP(A131,GasTable,14),"")</f>
        <v>#VALUE!</v>
      </c>
      <c r="CV131" s="1568" t="e">
        <f aca="false">IF(OR(BQ131,BS131),IF(CorrPowerGasOverFlag,INDEX(CorrPowerGasOver,C131),CorrPowerGas),"")</f>
        <v>#VALUE!</v>
      </c>
      <c r="CW131" s="1316" t="e">
        <f aca="false">IF(OR($BQ131,$BS131),SpreadOptPowerMargin,0)*((1+Assumptions!$C$26)^($B131-YEAR(Assumptions!$C$17)))</f>
        <v>#VALUE!</v>
      </c>
      <c r="CX131" s="1316" t="e">
        <f aca="false">IF(OR($BQ131,$BS131),SpreadOptPowerMargin,0)*((1+Assumptions!$C$26)^($B131-YEAR(Assumptions!$C$17)))</f>
        <v>#VALUE!</v>
      </c>
      <c r="CY131" s="1316" t="e">
        <f aca="false">IF(OR($BQ131,$BS131),SpreadOptPowerMargin,0)*((1+Assumptions!$C$26)^($B131-YEAR(Assumptions!$C$17)))</f>
        <v>#VALUE!</v>
      </c>
      <c r="CZ131" s="1316" t="e">
        <f aca="false">IF(OR($BQ131,$BS131),SpreadOptPowerMargin,0)*((1+Assumptions!$C$26)^($B131-YEAR(Assumptions!$C$17)))</f>
        <v>#VALUE!</v>
      </c>
      <c r="DA131" s="1591" t="e">
        <f aca="false">IF(OR(BQ131,BS131),(CW131*(AZ131+BH131)+CX131*(BA131+BI131)+CY131*(BB131+BJ131)+CZ131*(BC131+BK131))/(BQ131+BS131),0)</f>
        <v>#VALUE!</v>
      </c>
      <c r="DB131" s="1592" t="e">
        <f aca="false">IF(OR(BQ131,BS131),CG131+IF(OVolSmile,VLOOKUP(MAX(-5,CO131+CW131-BU131),IF(OVolSmile=1,VolSmileBook,VolSmileModel),2),0),"")</f>
        <v>#VALUE!</v>
      </c>
      <c r="DC131" s="1592" t="e">
        <f aca="false">IF(OR(BQ131,BS131),CH131+IF(OVolSmile,VLOOKUP(MAX(-5,CP131+CW131-BV131),IF(OVolSmile=1,VolSmileBook,VolSmileModel),2),0),"")</f>
        <v>#VALUE!</v>
      </c>
      <c r="DD131" s="1592" t="e">
        <f aca="false">IF(OR(BQ131,BS131),CI131+IF(OVolSmile,VLOOKUP(MAX(-5,CQ131+CW131-BW131),IF(OVolSmile=1,VolSmileBook,VolSmileModel),2),0),"")</f>
        <v>#VALUE!</v>
      </c>
      <c r="DE131" s="1592" t="e">
        <f aca="false">IF(OR(BQ131,BS131),CL131+IF(OVolSmile,VLOOKUP(MAX(-5,CR131+CZ131-BX131),IF(OVolSmile=1,VolSmileBook,VolSmileModel),2),0),"")</f>
        <v>#VALUE!</v>
      </c>
      <c r="DF131" s="1592" t="e">
        <f aca="false">IF(BQ131,CM131+IF(OVolSmile,VLOOKUP(MAX(-5,CS131+DA131-BZ131),IF(OVolSmile=1,VolSmileBook,VolSmileModel),2),0),"")</f>
        <v>#VALUE!</v>
      </c>
      <c r="DG131" s="1593" t="e">
        <f aca="false">IF(BS131,CN131+IF(OVolSmile,VLOOKUP(MAX(-5,CT131+DA131-CF131),IF(OVolSmile=1,VolSmileBook,VolSmileModel),2),0),"")</f>
        <v>#VALUE!</v>
      </c>
      <c r="DH131" s="1316" t="e">
        <f aca="false">IF(AND(BU131&gt;0,CO131&gt;0,DB131&gt;0,CU131&gt;0),newSPRDOPT(BU131,CO131,CW131,0,DB131,CU131,CV131,BT131*365.25,OCallPut,0),0)</f>
        <v>#VALUE!</v>
      </c>
      <c r="DI131" s="1316" t="e">
        <f aca="false">IF(AND(BV131&gt;0,CP131&gt;0,DC131&gt;0,CU131&gt;0),newSPRDOPT(BV131,CP131,CX131,0,DC131,CU131,CV131,BT131*365.25,OCallPut,0),0)</f>
        <v>#VALUE!</v>
      </c>
      <c r="DJ131" s="1316" t="e">
        <f aca="false">IF(AND(BW131&gt;0,CQ131&gt;0,DD131&gt;0,CU131&gt;0),newSPRDOPT(BW131,CQ131,CY131,0,DD131,CU131,CV131,BT131*365.25,OCallPut,0),0)</f>
        <v>#VALUE!</v>
      </c>
      <c r="DK131" s="1316" t="e">
        <f aca="false">IF(AND(BX131&gt;0,CR131&gt;0,DE131&gt;0,CU131&gt;0),newSPRDOPT(BX131,CR131,CZ131,0,DE131,CU131,CV131,BT131*365.25,OCallPut,0),0)</f>
        <v>#VALUE!</v>
      </c>
      <c r="DL131" s="1316" t="e">
        <f aca="false">IF(OVolType,IF(AND(BZ131&gt;0,CS131&gt;0,DF131&gt;0,CU131&gt;0),newSPRDOPT(BZ131,CS131,DA131,0,DF131,CU131,CV131,BT131*365.25,OCallPut,0),0),IF(BQ131,(DH131*AZ131+DI131*BA131+DJ131*BB131+DK131*BC131)/BQ131,0))</f>
        <v>#VALUE!</v>
      </c>
      <c r="DM131" s="1316"/>
      <c r="DN131" s="1316"/>
      <c r="DO131" s="1316"/>
      <c r="DP131" s="1316"/>
      <c r="DQ131" s="1316"/>
      <c r="DR131" s="1316"/>
      <c r="DS131" s="1316"/>
      <c r="DT131" s="1316"/>
      <c r="DU131" s="1316"/>
      <c r="DV131" s="1316"/>
      <c r="DW131" s="1594" t="e">
        <f aca="false">IF(AND(BW131&gt;0,CT131&gt;0,DD131&gt;0,CU131&gt;0),newSPRDOPT(BW131,CT131,CY131,0,DD131,CU131,CV131,BT131*365.25,OCallPut,0),0)</f>
        <v>#VALUE!</v>
      </c>
      <c r="DX131" s="1316" t="e">
        <f aca="false">IF(AND(BX131&gt;0,CT131&gt;0,DE131&gt;0,CU131&gt;0),newSPRDOPT(BX131,CT131,CZ131,0,DE131,CU131,CV131,BT131*365.25,OCallPut,0),0)</f>
        <v>#VALUE!</v>
      </c>
      <c r="DY131" s="1591" t="e">
        <f aca="false">IF(BS131,(DH131*BH131+DI131*BI131+DW131*BJ131+DX131*BK131)/BS131,0)</f>
        <v>#VALUE!</v>
      </c>
      <c r="DZ131" s="1551" t="e">
        <f aca="false">DH131*AZ131</f>
        <v>#VALUE!</v>
      </c>
      <c r="EA131" s="1551" t="e">
        <f aca="false">DI131*BA131</f>
        <v>#VALUE!</v>
      </c>
      <c r="EB131" s="1551" t="e">
        <f aca="false">DJ131*BB131</f>
        <v>#VALUE!</v>
      </c>
      <c r="EC131" s="1551" t="e">
        <f aca="false">DK131*BC131</f>
        <v>#VALUE!</v>
      </c>
      <c r="ED131" s="1551" t="e">
        <f aca="false">DL131*BQ131</f>
        <v>#VALUE!</v>
      </c>
      <c r="EE131" s="1595" t="e">
        <f aca="false">IF(BQ131,IF(OCallPut,IF(BU131&gt;(CO131+CW131),BU131-(CO131+CW131),0),IF((CO131+CW131)&gt;BU131,(CO131+CW131)-BU131,0))*AZ131,0)</f>
        <v>#VALUE!</v>
      </c>
      <c r="EF131" s="1596" t="e">
        <f aca="false">IF(BQ131,IF(OCallPut,IF(BV131&gt;(CP131+CX131),BV131-(CP131+CX131),0),IF((CP131+CX131)&gt;BV131,(CP131+CX131)-BV131,0))*BA131,0)</f>
        <v>#VALUE!</v>
      </c>
      <c r="EG131" s="1596" t="e">
        <f aca="false">IF(BQ131,IF(OCallPut,IF(BW131&gt;(CQ131+CY131),BW131-(CQ131+CY131),0),IF((CQ131+CY131)&gt;BW131,(CQ131+CY131)-BW131,0))*BB131,0)</f>
        <v>#VALUE!</v>
      </c>
      <c r="EH131" s="1596" t="e">
        <f aca="false">IF(BQ131,IF(OCallPut,IF(BX131&gt;(CR131+CZ131),BX131-(CR131+CZ131),0),IF((CR131+CZ131)&gt;BX131,(CR131+CZ131)-BX131,0))*BC131,0)</f>
        <v>#VALUE!</v>
      </c>
      <c r="EI131" s="1597" t="e">
        <f aca="false">IF(BQ131,IF(OVolType,IF(OCallPut,IF(BZ131&gt;(CS131+DA131),BZ131-(CS131+DA131),0),IF((CS131+DA131)&gt;BZ131,(CS131+DA131)-BZ131,0))*BQ131,SUM(EE131:EH131)),0)</f>
        <v>#VALUE!</v>
      </c>
      <c r="EJ131" s="1595" t="e">
        <f aca="false">DZ131-EE131</f>
        <v>#VALUE!</v>
      </c>
      <c r="EK131" s="1596" t="e">
        <f aca="false">EA131-EF131</f>
        <v>#VALUE!</v>
      </c>
      <c r="EL131" s="1596" t="e">
        <f aca="false">EB131-EG131</f>
        <v>#VALUE!</v>
      </c>
      <c r="EM131" s="1596" t="e">
        <f aca="false">EC131-EH131</f>
        <v>#VALUE!</v>
      </c>
      <c r="EN131" s="1597" t="e">
        <f aca="false">ED131-EI131</f>
        <v>#VALUE!</v>
      </c>
      <c r="EO131" s="1551" t="e">
        <f aca="false">DH131*BH131</f>
        <v>#VALUE!</v>
      </c>
      <c r="EP131" s="1551" t="e">
        <f aca="false">DI131*BI131</f>
        <v>#VALUE!</v>
      </c>
      <c r="EQ131" s="1551" t="e">
        <f aca="false">DW131*BJ131</f>
        <v>#VALUE!</v>
      </c>
      <c r="ER131" s="1551" t="e">
        <f aca="false">DX131*BK131</f>
        <v>#VALUE!</v>
      </c>
      <c r="ES131" s="1551" t="e">
        <f aca="false">DY131*BS131</f>
        <v>#VALUE!</v>
      </c>
      <c r="ET131" s="1566" t="e">
        <f aca="false">IF(EI131,IF(OCallPut,IF(CA131&gt;(CT131+CW131),CA131-(CT131+CW131),0),IF((CT131+CW131)&gt;CA131,(CT131+CW131)-CA131,0))*BH131,0)</f>
        <v>#VALUE!</v>
      </c>
      <c r="EU131" s="1551" t="e">
        <f aca="false">IF(EI131,IF(OCallPut,IF(CB131&gt;(CT131+CX131),CB131-(CT131+CX131),0),IF((CT131+CX131)&gt;CB131,(CT131+CX131)-CB131,0))*BI131,0)</f>
        <v>#VALUE!</v>
      </c>
      <c r="EV131" s="1551" t="e">
        <f aca="false">IF(EI131,IF(OCallPut,IF(CC131&gt;(CT131+CY131),CC131-(CT131+CY131),0),IF((CT131+CY131)&gt;CC131,(CT131+CY131)-CC131,0))*BJ131,0)</f>
        <v>#VALUE!</v>
      </c>
      <c r="EW131" s="1551" t="e">
        <f aca="false">IF(EI131,IF(OCallPut,IF(CD131&gt;(CT131+CZ131),CD131-(CT131+CZ131),0),IF((CT131+CZ131)&gt;CD131,(CT131+CZ131)-CD131,0))*BK131,0)</f>
        <v>#VALUE!</v>
      </c>
      <c r="EX131" s="1558" t="e">
        <f aca="false">IF(EI131,SUM(ET131:EW131),0)</f>
        <v>#VALUE!</v>
      </c>
      <c r="EY131" s="1551" t="e">
        <f aca="false">EO131-ET131</f>
        <v>#VALUE!</v>
      </c>
      <c r="EZ131" s="1551" t="e">
        <f aca="false">EP131-EU131</f>
        <v>#VALUE!</v>
      </c>
      <c r="FA131" s="1551" t="e">
        <f aca="false">EQ131-EV131</f>
        <v>#VALUE!</v>
      </c>
      <c r="FB131" s="1551" t="e">
        <f aca="false">ER131-EW131</f>
        <v>#VALUE!</v>
      </c>
      <c r="FC131" s="1551" t="e">
        <f aca="false">ES131-EX131</f>
        <v>#VALUE!</v>
      </c>
      <c r="FD131" s="1525" t="n">
        <f aca="false">IF(AX131,IF(VLOOKUP(C131,MAIN!$L$17:$M$28,2)="Yes",VLOOKUP(CALC!B131,MAIN!$H$17:$I$20,2),0),0)</f>
        <v>0</v>
      </c>
      <c r="FE131" s="1552" t="e">
        <f aca="false">$FD131*16*AT131*(1-$AY131)</f>
        <v>#VALUE!</v>
      </c>
      <c r="FF131" s="1553" t="e">
        <f aca="false">$FD131*16*AU131*(1-$AY131)</f>
        <v>#VALUE!</v>
      </c>
      <c r="FG131" s="1553" t="e">
        <f aca="false">$FD131*16*(AV131+AW131)*(1-$AY131)</f>
        <v>#VALUE!</v>
      </c>
      <c r="FH131" s="1554" t="n">
        <f aca="false">$FD131*8*AX131*(1-$AY131)</f>
        <v>0</v>
      </c>
      <c r="FI131" s="1555" t="n">
        <f aca="false">IF(AX131,VLOOKUP(CALC!B131,MAIN!$H$17:$K$20,4),0)</f>
        <v>0</v>
      </c>
      <c r="FJ131" s="1553" t="e">
        <f aca="false">SUM(FE131:FH131)</f>
        <v>#VALUE!</v>
      </c>
      <c r="FK131" s="1556" t="e">
        <f aca="false">FI131*FJ131</f>
        <v>#VALUE!</v>
      </c>
      <c r="FL131" s="1551" t="e">
        <f aca="false">IF($EI131&gt;0,MIN(FE131,AZ131*(1+VLOOKUP($C131,WeatherCapacityAdjustment,2))),0)</f>
        <v>#VALUE!</v>
      </c>
      <c r="FM131" s="1551" t="e">
        <f aca="false">IF($EI131&gt;0,MIN(FF131,BA131*(1+VLOOKUP($C131,WeatherCapacityAdjustment,2))),0)</f>
        <v>#VALUE!</v>
      </c>
      <c r="FN131" s="1551" t="e">
        <f aca="false">IF($EI131&gt;0,MIN(FG131,BB131*(1+VLOOKUP($C131,WeatherCapacityAdjustment,2))),0)</f>
        <v>#VALUE!</v>
      </c>
      <c r="FO131" s="1564" t="e">
        <f aca="false">IF($EI131&gt;0,MIN(FH131,BC131*(1+VLOOKUP($C131,WeatherCapacityAdjustment,3))),0)</f>
        <v>#VALUE!</v>
      </c>
      <c r="FP131" s="1551" t="e">
        <f aca="false">IF(ET131&gt;0,MIN(FE131-FL131,BH131*(1+VLOOKUP($C131,WeatherCapacityAdjustment,2))),0)</f>
        <v>#VALUE!</v>
      </c>
      <c r="FQ131" s="1551" t="e">
        <f aca="false">IF(EU131&gt;0,MIN(FF131-FM131,BI131*(1+VLOOKUP($C131,WeatherCapacityAdjustment,2))),0)</f>
        <v>#VALUE!</v>
      </c>
      <c r="FR131" s="1551" t="e">
        <f aca="false">IF(EV131&gt;0,MIN(FG131-FN131,BJ131*(1+VLOOKUP($C131,WeatherCapacityAdjustment,2))),0)</f>
        <v>#VALUE!</v>
      </c>
      <c r="FS131" s="1558" t="e">
        <f aca="false">IF(EW131&gt;0,MIN(FH131-FO131,BK131*(1+VLOOKUP($C131,WeatherCapacityAdjustment,3))),0)</f>
        <v>#VALUE!</v>
      </c>
      <c r="FT131" s="1566" t="e">
        <f aca="false">IF(AND(Assumptions!$H$71="Yes",A131&gt;=Assumptions!$H$72,A131&lt;=Assumptions!$H$73),0,IF(AND($A131&gt;=Assumptions!$C$17,$A131&lt;=Assumptions!$C$18),MAX(AZ131*(1+VLOOKUP($C131,WeatherCapacityAdjustment,2))-FL131,0),0))</f>
        <v>#VALUE!</v>
      </c>
      <c r="FU131" s="1551" t="e">
        <f aca="false">IF(AND(Assumptions!$H$71="Yes",A131&gt;=Assumptions!$H$72,A131&lt;=Assumptions!$H$73),0,IF(AND($A131&gt;=Assumptions!$C$17,$A131&lt;=Assumptions!$C$18),MAX(BA131*(1+VLOOKUP($C131,WeatherCapacityAdjustment,2))-FM131,0),0))</f>
        <v>#VALUE!</v>
      </c>
      <c r="FV131" s="1551" t="e">
        <f aca="false">IF(AND(Assumptions!$H$71="Yes",A131&gt;=Assumptions!$H$72,A131&lt;=Assumptions!$H$73),0,IF(AND($A131&gt;=Assumptions!$C$17,$A131&lt;=Assumptions!$C$18),MAX(BB131*(1+VLOOKUP($C131,WeatherCapacityAdjustment,2))-FN131,0),0))</f>
        <v>#VALUE!</v>
      </c>
      <c r="FW131" s="1564" t="e">
        <f aca="false">IF(AND(Assumptions!$H$71="Yes",A131&gt;=Assumptions!$H$72,A131&lt;=Assumptions!$H$73),0,IF(AND($A131&gt;=Assumptions!$C$17,$A131&lt;=Assumptions!$C$18),MAX(BC131*(1+VLOOKUP($C131,WeatherCapacityAdjustment,3))-FO131,0),0))</f>
        <v>#VALUE!</v>
      </c>
      <c r="FX131" s="1569" t="e">
        <f aca="false">IF(AND(Assumptions!$H$71="Yes",A131&gt;=Assumptions!$H$72,A131&lt;=Assumptions!$H$73),0,IF(ET131&gt;0,MAX(BH131*(1+VLOOKUP($C131,WeatherCapacityAdjustment,2))-FP131,0),0))</f>
        <v>#VALUE!</v>
      </c>
      <c r="FY131" s="1551" t="e">
        <f aca="false">IF(AND(Assumptions!$H$71="Yes",A131&gt;=Assumptions!$H$72,A131&lt;=Assumptions!$H$73),0,IF(EU131&gt;0,MAX(BI131*(1+VLOOKUP($C131,WeatherCapacityAdjustment,3))-FQ131,0),0))</f>
        <v>#VALUE!</v>
      </c>
      <c r="FZ131" s="1551" t="e">
        <f aca="false">IF(AND(Assumptions!$H$71="Yes",A131&gt;=Assumptions!$H$72,A131&lt;=Assumptions!$H$73),0,IF(EV131&gt;0,MAX(BJ131*(1+VLOOKUP($C131,WeatherCapacityAdjustment,2))-FR131,0),0))</f>
        <v>#VALUE!</v>
      </c>
      <c r="GA131" s="1564" t="e">
        <f aca="false">IF(AND(Assumptions!$H$71="Yes",A131&gt;=Assumptions!$H$72,A131&lt;=Assumptions!$H$73),0,IF(EW131&gt;0,MAX(BK131*(1+VLOOKUP($C131,WeatherCapacityAdjustment,2))-FS131,0),0))</f>
        <v>#VALUE!</v>
      </c>
      <c r="GB131" s="1551" t="e">
        <f aca="false">SUM(FT131:GA131)</f>
        <v>#VALUE!</v>
      </c>
      <c r="GC131" s="1563" t="e">
        <f aca="false">+IF(SUM(FT131:GA131)=0,0,(SUMPRODUCT(BU131:BX131,FT131:FW131)+SUMPRODUCT(CA131:CD131,FX131:GA131))/SUM(FT131:GA131))</f>
        <v>#VALUE!</v>
      </c>
      <c r="GD131" s="1551" t="e">
        <f aca="false">(FT131*BU131+FX131*CA131+FU131*BV131+FY131*CB131+FV131*BW131+FZ131*CC131+FW131*BX131+GA131*CD131)</f>
        <v>#VALUE!</v>
      </c>
      <c r="GE131" s="1561" t="e">
        <f aca="false">+IF(BQ131,((FL131+FM131+FT131+FU131)*HeatRatePeak/1000*(1+VLOOKUP($C131,WeatherHeatRateAdjustment,2))+(FN131+FV131)*IF(EV131&gt;0,HeatRatePeak,HeatRateOffPeak)/1000*(1+VLOOKUP($C131,WeatherHeatRateAdjustment,2))+(FO131+FW131)*IF(EW131&gt;0,HeatRatePeak,HeatRateOffPeak)/1000*(1+VLOOKUP($C131,WeatherHeatRateAdjustment,3)))*(1+VLOOKUP($B131,HeatRateDegradation,$C131+1)),0)</f>
        <v>#VALUE!</v>
      </c>
      <c r="GF131" s="1562" t="e">
        <f aca="false">IF(BQ131,((FP131+FQ131+FR131+FX131+FY131+FZ131)*HeatRatePeak/1000*(1+VLOOKUP($C131,WeatherHeatRateAdjustment,2))+(FS131+GA131)*HeatRatePeak/1000*(1+VLOOKUP($C131,WeatherHeatRateAdjustment,3)))*(1+VLOOKUP($B131,HeatRateDegradation,$C131+1)),0)</f>
        <v>#VALUE!</v>
      </c>
      <c r="GG131" s="1563" t="e">
        <f aca="false">IF(BQ131,VLOOKUP(A131,GasTable,13),0)</f>
        <v>#VALUE!</v>
      </c>
      <c r="GH131" s="1564" t="e">
        <f aca="false">(GE131+GF131)*GG131</f>
        <v>#VALUE!</v>
      </c>
      <c r="GI131" s="1569" t="e">
        <f aca="false">GB131</f>
        <v>#VALUE!</v>
      </c>
      <c r="GJ131" s="1598" t="e">
        <f aca="false">+DA131</f>
        <v>#VALUE!</v>
      </c>
      <c r="GK131" s="1558" t="e">
        <f aca="false">+GI131*GJ131</f>
        <v>#VALUE!</v>
      </c>
      <c r="GL131" s="1566" t="e">
        <f aca="false">MAX(FE131-FL131-FP131,0)</f>
        <v>#VALUE!</v>
      </c>
      <c r="GM131" s="1551" t="e">
        <f aca="false">MAX(FF131-FM131-FQ131,0)</f>
        <v>#VALUE!</v>
      </c>
      <c r="GN131" s="1551" t="e">
        <f aca="false">MAX(FG131-FN131-FR131,0)</f>
        <v>#VALUE!</v>
      </c>
      <c r="GO131" s="1564" t="e">
        <f aca="false">MAX(FH131-FO131-FS131,0)</f>
        <v>#VALUE!</v>
      </c>
      <c r="GP131" s="1551" t="e">
        <f aca="false">SUM(GL131:GO131)</f>
        <v>#VALUE!</v>
      </c>
      <c r="GQ131" s="1563" t="e">
        <f aca="false">IF(SUM(GL131:GO131)=0,0,((GL131*BU131+GM131*BV131+GN131*BW131+GO131*BX131)/SUM(GL131:GO131)))</f>
        <v>#VALUE!</v>
      </c>
      <c r="GR131" s="1558" t="e">
        <f aca="false">(GL131*BU131+GM131*BV131+GN131*BW131+GO131*BX131)</f>
        <v>#VALUE!</v>
      </c>
      <c r="GS131" s="1566" t="n">
        <f aca="false">IF($A131&gt;=BegDate,Assumptions!$C$56*24*($A132-$A131)*(1-VLOOKUP($B131,MAIN!$AA$7:$AM$28,$C131+1))*(1-VLOOKUP($B131,MAIN!$AA$33:$AM$54,$C131+1)),0)*80/168</f>
        <v>249428.571428571</v>
      </c>
      <c r="GT131" s="286" t="n">
        <f aca="false">J131</f>
        <v>47.3771742071511</v>
      </c>
      <c r="GU131" s="286" t="n">
        <f aca="false">IF($A131&gt;=BegDate,VLOOKUP($A131,GasTable,13)+Assumptions!$C$58,0)</f>
        <v>3.19874333397101</v>
      </c>
      <c r="GV131" s="286" t="n">
        <f aca="false">GU131*Assumptions!$C$57/1000</f>
        <v>23.1908891712898</v>
      </c>
      <c r="GW131" s="1558" t="n">
        <f aca="false">IF(Assumptions!$C$60="Hourly",MAX(0,GS131*(GT131-GV131)),GS131*(GT131-GV131))</f>
        <v>6032750.52465912</v>
      </c>
      <c r="GX131" s="1566" t="n">
        <f aca="false">IF($A131&gt;=BegDate,Assumptions!$C$56*24*($A132-$A131)*(1-VLOOKUP($B131,MAIN!$AA$7:$AM$28,$C131+1))*(1-VLOOKUP($B131,MAIN!$AA$33:$AM$54,$C131+1)),0)*16/168</f>
        <v>49885.7142857143</v>
      </c>
      <c r="GY131" s="286" t="n">
        <f aca="false">M131</f>
        <v>47.3771742071511</v>
      </c>
      <c r="GZ131" s="286" t="n">
        <f aca="false">IF($A131&gt;=BegDate,VLOOKUP($A131,GasTable,13)+Assumptions!$C$58,0)</f>
        <v>3.19874333397101</v>
      </c>
      <c r="HA131" s="286" t="n">
        <f aca="false">GZ131*Assumptions!$C$57/1000</f>
        <v>23.1908891712898</v>
      </c>
      <c r="HB131" s="1558" t="n">
        <f aca="false">IF(Assumptions!$C$60="Hourly",MAX(0,GX131*(GY131-HA131)),GX131*(GY131-HA131))</f>
        <v>1206550.10493182</v>
      </c>
      <c r="HC131" s="1566" t="n">
        <f aca="false">IF($A131&gt;=BegDate,Assumptions!$C$56*24*($A132-$A131)*(1-VLOOKUP($B131,MAIN!$AA$7:$AM$28,$C131+1))*(1-VLOOKUP($B131,MAIN!$AA$33:$AM$54,$C131+1)),0)*16/168</f>
        <v>49885.7142857143</v>
      </c>
      <c r="HD131" s="286" t="n">
        <f aca="false">P131</f>
        <v>29.0393153064398</v>
      </c>
      <c r="HE131" s="286" t="n">
        <f aca="false">IF($A131&gt;=BegDate,VLOOKUP($A131,GasTable,13)+Assumptions!$C$58,0)</f>
        <v>3.19874333397101</v>
      </c>
      <c r="HF131" s="286" t="n">
        <f aca="false">HE131*Assumptions!$C$57/1000</f>
        <v>23.1908891712898</v>
      </c>
      <c r="HG131" s="1558" t="n">
        <f aca="false">IF(Assumptions!$C$60="Hourly",MAX(0,HC131*(HD131-HF131)),HC131*(HD131-HF131))</f>
        <v>291752.915199197</v>
      </c>
      <c r="HH131" s="1566" t="n">
        <f aca="false">IF($A131&gt;=BegDate,Assumptions!$C$56*24*($A132-$A131)*(1-VLOOKUP($B131,MAIN!$AA$7:$AM$28,$C131+1))*(1-VLOOKUP($B131,MAIN!$AA$33:$AM$54,$C131+1)),0)*56/168</f>
        <v>174600</v>
      </c>
      <c r="HI131" s="286" t="n">
        <f aca="false">S131</f>
        <v>29.0393153064398</v>
      </c>
      <c r="HJ131" s="286" t="n">
        <f aca="false">IF($A131&gt;=BegDate,VLOOKUP($A131,GasTable,13)+Assumptions!$C$58,0)</f>
        <v>3.19874333397101</v>
      </c>
      <c r="HK131" s="286" t="n">
        <f aca="false">HJ131*Assumptions!$C$57/1000</f>
        <v>23.1908891712898</v>
      </c>
      <c r="HL131" s="1558" t="n">
        <f aca="false">IF(Assumptions!$C$60="Hourly",MAX(0,HH131*(HI131-HK131)),HH131*(HI131-HK131))</f>
        <v>1021135.20319719</v>
      </c>
      <c r="HM131" s="1566" t="n">
        <f aca="false">IF(AND(Assumptions!$H$71="Yes",A131&gt;=Assumptions!$H$72,A131&lt;=Assumptions!$H$73),Assumptions!$H$74*Assumptions!$C$9*1000,0)</f>
        <v>0</v>
      </c>
      <c r="HN131" s="1551"/>
      <c r="HO131" s="1563"/>
      <c r="HP131" s="1563"/>
      <c r="HQ131" s="1563"/>
      <c r="HR131" s="1563"/>
      <c r="HS131" s="1563"/>
      <c r="HT131" s="1563"/>
      <c r="HU131" s="1563"/>
      <c r="HV131" s="1563"/>
      <c r="HW131" s="1563"/>
      <c r="HX131" s="1563"/>
      <c r="HY131" s="1563"/>
      <c r="HZ131" s="1563"/>
      <c r="IA131" s="1563"/>
      <c r="IB131" s="1563"/>
      <c r="IC131" s="1563"/>
      <c r="ID131" s="1563"/>
      <c r="IE131" s="1563"/>
      <c r="IF131" s="1563"/>
      <c r="IG131" s="1563"/>
      <c r="IH131" s="1563"/>
      <c r="II131" s="1610"/>
      <c r="IJ131" s="1309"/>
      <c r="IK131" s="1309"/>
    </row>
    <row r="132" customFormat="false" ht="12.75" hidden="false" customHeight="false" outlineLevel="0" collapsed="false">
      <c r="A132" s="1571" t="n">
        <f aca="false">EOMONTH(A131,0)+1</f>
        <v>40148</v>
      </c>
      <c r="B132" s="594" t="n">
        <f aca="false">+YEAR(A132)</f>
        <v>2009</v>
      </c>
      <c r="C132" s="238" t="n">
        <f aca="false">MONTH(A132)</f>
        <v>12</v>
      </c>
      <c r="D132" s="1572" t="e">
        <f aca="false">IF(E132="","",Holiday(B132,C132))</f>
        <v>#VALUE!</v>
      </c>
      <c r="E132" s="1573" t="n">
        <f aca="false">IF(OR(BegDate&gt;=A133,EndDate&lt;A132,AND(VolumeMonthlyOverFlag,INDEX(VolumeMonthlyOver,C132)=0),NOT(INDEX(MonthKnockOutTable,C132))),"",MAX(A132,BegDate))</f>
        <v>40148</v>
      </c>
      <c r="F132" s="1574" t="n">
        <f aca="false">IF(E132="","",MIN(A133-1,EndDate))</f>
        <v>40178</v>
      </c>
      <c r="G132" s="1575" t="n">
        <v>0</v>
      </c>
      <c r="H132" s="1576" t="n">
        <f aca="false">(1+G132/2)^(-2*(DATE(B133,C133,20)-DateToday)/365.25)</f>
        <v>1</v>
      </c>
      <c r="I132" s="1568" t="n">
        <f aca="false">IF(Assumptions!$L$25=4,VLOOKUP($A132,'Henwood Reference'!$E$9:$R$320,10),(VLOOKUP($A132,PriceTable,2,0)+IF(BasisNumber&lt;&gt;1,VLOOKUP($A132,BasisTable,2,0),0)+I$1)/(1-I$2))</f>
        <v>49.0040537208167</v>
      </c>
      <c r="J132" s="1568" t="n">
        <f aca="false">IF(Assumptions!$L$25=4,VLOOKUP($A132,'Henwood Reference'!$E$9:$R$320,10),(VLOOKUP($A132,PriceTable,3,0)+IF(BasisNumber&lt;&gt;1,VLOOKUP($A132,BasisTable,2,0),0)+J$1)/(1-J$2))</f>
        <v>49.0040537208167</v>
      </c>
      <c r="K132" s="1568" t="n">
        <f aca="false">IF(Assumptions!$L$25=4,VLOOKUP($A132,'Henwood Reference'!$E$9:$R$320,10),(VLOOKUP($A132,PriceTable,4,0)+IF(BasisNumber&lt;&gt;1,VLOOKUP($A132,BasisTable,2,0),0)+K$1)/(1-K$2))</f>
        <v>49.0040537208167</v>
      </c>
      <c r="L132" s="1523" t="n">
        <f aca="false">IF(Assumptions!$L$25=4,VLOOKUP($A132,'Henwood Reference'!$E$9:$R$320,10),(VLOOKUP($A132,PriceTableWeekend,2,0)+IF(BasisNumber&lt;&gt;1,VLOOKUP($A132,BasisTable,2,0),0)+L$1)/(1-L$2))</f>
        <v>49.0040537208167</v>
      </c>
      <c r="M132" s="1568" t="n">
        <f aca="false">IF(Assumptions!$L$25=4,VLOOKUP($A132,'Henwood Reference'!$E$9:$R$320,10),(VLOOKUP($A132,PriceTableWeekend,3,0)+IF(BasisNumber&lt;&gt;1,VLOOKUP($A132,BasisTable,2,0),0)+M$1)/(1-M$2))</f>
        <v>49.0040537208167</v>
      </c>
      <c r="N132" s="1599" t="n">
        <f aca="false">IF(Assumptions!$L$25=4,VLOOKUP($A132,'Henwood Reference'!$E$9:$R$320,10),(VLOOKUP($A132,PriceTableWeekend,4,0)+IF(BasisNumber&lt;&gt;1,VLOOKUP($A132,BasisTable,2,0),0)+N$1)/(1-N$2))</f>
        <v>49.0040537208167</v>
      </c>
      <c r="O132" s="1568" t="n">
        <f aca="false">IF(Assumptions!$L$25=4,VLOOKUP($A132,'Henwood Reference'!$E$9:$R$320,11),(VLOOKUP($A132,PriceTableWeekend,6,0)+IF(BasisNumber&lt;&gt;1,VLOOKUP($A132,BasisTable,3,0),0)+O$1)/(1-O$2))</f>
        <v>30.152065997084</v>
      </c>
      <c r="P132" s="1568" t="n">
        <f aca="false">IF(Assumptions!$L$25=4,VLOOKUP($A132,'Henwood Reference'!$E$9:$R$320,11),(VLOOKUP($A132,PriceTableWeekend,7,0)+IF(BasisNumber&lt;&gt;1,VLOOKUP($A132,BasisTable,3,0),0)+P$1)/(1-P$2))</f>
        <v>30.152065997084</v>
      </c>
      <c r="Q132" s="1599" t="n">
        <f aca="false">IF(Assumptions!$L$25=4,VLOOKUP($A132,'Henwood Reference'!$E$9:$R$320,11),(VLOOKUP($A132,PriceTableWeekend,8,0)+IF(BasisNumber&lt;&gt;1,VLOOKUP($A132,BasisTable,3,0),0)+Q$1)/(1-Q$2))</f>
        <v>30.152065997084</v>
      </c>
      <c r="R132" s="1568" t="n">
        <f aca="false">IF(Assumptions!$L$25=4,VLOOKUP($A132,'Henwood Reference'!$E$9:$R$320,11),(VLOOKUP($A132,PriceTable,6,0)+IF(BasisNumber&lt;&gt;1,VLOOKUP($A132,BasisTable,3,0),0)+R$1)/(1-R$2))</f>
        <v>30.152065997084</v>
      </c>
      <c r="S132" s="1568" t="n">
        <f aca="false">IF(Assumptions!$L$25=4,VLOOKUP($A132,'Henwood Reference'!$E$9:$R$320,11),(VLOOKUP($A132,PriceTable,7,0)+IF(BasisNumber&lt;&gt;1,VLOOKUP($A132,BasisTable,3,0),0)+S$1)/(1-S$2))</f>
        <v>30.152065997084</v>
      </c>
      <c r="T132" s="1600" t="n">
        <f aca="false">IF(Assumptions!$L$25=4,VLOOKUP($A132,'Henwood Reference'!$E$9:$R$320,11),(VLOOKUP($A132,PriceTable,8,0)+IF(BasisNumber&lt;&gt;1,VLOOKUP($A132,BasisTable,3,0),0)+T$1)/(1-T$2))</f>
        <v>30.152065997084</v>
      </c>
      <c r="U132" s="1513" t="n">
        <f aca="false">VLOOKUP($A132,VolatilityTable,14)</f>
        <v>0.125</v>
      </c>
      <c r="V132" s="1513" t="n">
        <f aca="false">VLOOKUP($A132,VolatilityTable,15)</f>
        <v>0.135</v>
      </c>
      <c r="W132" s="1514" t="n">
        <f aca="false">VLOOKUP($A132,VolatilityTable,16)</f>
        <v>0.145</v>
      </c>
      <c r="X132" s="1513" t="n">
        <f aca="false">VLOOKUP($A132,VolatilityTable,14)</f>
        <v>0.125</v>
      </c>
      <c r="Y132" s="1513" t="n">
        <f aca="false">VLOOKUP($A132,VolatilityTable,15)</f>
        <v>0.135</v>
      </c>
      <c r="Z132" s="1514" t="n">
        <f aca="false">VLOOKUP($A132,VolatilityTable,16)</f>
        <v>0.145</v>
      </c>
      <c r="AA132" s="1513" t="n">
        <f aca="false">VLOOKUP($A132,VolatilityTable,18)</f>
        <v>0.09</v>
      </c>
      <c r="AB132" s="1513" t="n">
        <f aca="false">VLOOKUP($A132,VolatilityTable,19)</f>
        <v>0.11</v>
      </c>
      <c r="AC132" s="1514" t="n">
        <f aca="false">VLOOKUP($A132,VolatilityTable,20)</f>
        <v>0.13</v>
      </c>
      <c r="AD132" s="1513" t="n">
        <f aca="false">VLOOKUP($A132,VolatilityTable,18)</f>
        <v>0.09</v>
      </c>
      <c r="AE132" s="1513" t="n">
        <f aca="false">VLOOKUP($A132,VolatilityTable,19)</f>
        <v>0.11</v>
      </c>
      <c r="AF132" s="1514" t="n">
        <f aca="false">VLOOKUP($A132,VolatilityTable,20)</f>
        <v>0.13</v>
      </c>
      <c r="AG132" s="1513" t="n">
        <f aca="false">VLOOKUP($A132,VolatilityTable,22)</f>
        <v>-0.25</v>
      </c>
      <c r="AH132" s="1513" t="n">
        <f aca="false">VLOOKUP($A132,VolatilityTable,23)</f>
        <v>0.6</v>
      </c>
      <c r="AI132" s="1514" t="n">
        <f aca="false">VLOOKUP($A132,VolatilityTable,24)</f>
        <v>0.25</v>
      </c>
      <c r="AJ132" s="1513" t="n">
        <f aca="false">VLOOKUP($A132,VolatilityTable,22)</f>
        <v>-0.25</v>
      </c>
      <c r="AK132" s="1513" t="n">
        <f aca="false">VLOOKUP($A132,VolatilityTable,23)</f>
        <v>0.6</v>
      </c>
      <c r="AL132" s="1514" t="n">
        <f aca="false">VLOOKUP($A132,VolatilityTable,24)</f>
        <v>0.25</v>
      </c>
      <c r="AM132" s="1513" t="n">
        <f aca="false">VLOOKUP($A132,VolatilityTable,26)</f>
        <v>-0.01</v>
      </c>
      <c r="AN132" s="1513" t="n">
        <f aca="false">VLOOKUP($A132,VolatilityTable,27)</f>
        <v>0.16</v>
      </c>
      <c r="AO132" s="1514" t="n">
        <f aca="false">VLOOKUP($A132,VolatilityTable,28)</f>
        <v>0.01</v>
      </c>
      <c r="AP132" s="1513" t="n">
        <f aca="false">VLOOKUP($A132,VolatilityTable,26)</f>
        <v>-0.01</v>
      </c>
      <c r="AQ132" s="1513" t="n">
        <f aca="false">VLOOKUP($A132,VolatilityTable,27)</f>
        <v>0.16</v>
      </c>
      <c r="AR132" s="1515" t="n">
        <f aca="false">VLOOKUP($A132,VolatilityTable,28)</f>
        <v>0.01</v>
      </c>
      <c r="AS132" s="1581" t="n">
        <f aca="false">IF(CorrPeakOffPeakOverFlag,INDEX(CorrPeakOffPeakOver,C132),CorrPeakOffPeak)</f>
        <v>0.5</v>
      </c>
      <c r="AT132" s="594" t="e">
        <f aca="false">AX132-SUM(AU132:AW132)</f>
        <v>#VALUE!</v>
      </c>
      <c r="AU132" s="238" t="e">
        <f aca="false">IF(E132="",0,INT((F132-MOD(F132,7)-E132)/7)+1-IF(AW132,IF(WEEKDAY(D132)=7,1,0),0))</f>
        <v>#VALUE!</v>
      </c>
      <c r="AV132" s="238" t="e">
        <f aca="false">IF(E132="",0,INT((F132-MOD(F132-1,7)-E132)/7)+1-IF(AW132,IF(WEEKDAY(D132)=1,1,0),0))</f>
        <v>#VALUE!</v>
      </c>
      <c r="AW132" s="238" t="e">
        <f aca="false">IF(OR(E132="",D132="",D132&lt;BegDate,D132&gt;EndDate),0,1)</f>
        <v>#VALUE!</v>
      </c>
      <c r="AX132" s="238" t="n">
        <f aca="false">IF(E132="",0,F132-E132+1)</f>
        <v>31</v>
      </c>
      <c r="AY132" s="1582" t="n">
        <f aca="false">IF(E132="",0,MIN((1-(1-VLOOKUP(B132,MAIN!$AA$7:$AM$28,C132+1))*(1-VLOOKUP(B132,MAIN!$AA$33:$AM$54,C132+1))),1))</f>
        <v>0.03</v>
      </c>
      <c r="AZ132" s="1519" t="e">
        <v>#VALUE!</v>
      </c>
      <c r="BA132" s="1520" t="e">
        <v>#VALUE!</v>
      </c>
      <c r="BB132" s="1520" t="e">
        <v>#VALUE!</v>
      </c>
      <c r="BC132" s="1583" t="e">
        <v>#VALUE!</v>
      </c>
      <c r="BD132" s="1522" t="e">
        <v>#VALUE!</v>
      </c>
      <c r="BE132" s="1523" t="e">
        <v>#VALUE!</v>
      </c>
      <c r="BF132" s="1523" t="e">
        <v>#VALUE!</v>
      </c>
      <c r="BG132" s="1584" t="e">
        <v>#VALUE!</v>
      </c>
      <c r="BH132" s="1525" t="e">
        <v>#VALUE!</v>
      </c>
      <c r="BI132" s="1520" t="e">
        <v>#VALUE!</v>
      </c>
      <c r="BJ132" s="1520" t="e">
        <v>#VALUE!</v>
      </c>
      <c r="BK132" s="1583" t="e">
        <v>#VALUE!</v>
      </c>
      <c r="BL132" s="1522" t="e">
        <v>#VALUE!</v>
      </c>
      <c r="BM132" s="1523" t="e">
        <v>#VALUE!</v>
      </c>
      <c r="BN132" s="1523" t="e">
        <v>#VALUE!</v>
      </c>
      <c r="BO132" s="1523" t="e">
        <v>#VALUE!</v>
      </c>
      <c r="BP132" s="1525" t="e">
        <f aca="false">SUM(AZ132:BB132)</f>
        <v>#VALUE!</v>
      </c>
      <c r="BQ132" s="1529" t="e">
        <f aca="false">SUM(AZ132:BC132)</f>
        <v>#VALUE!</v>
      </c>
      <c r="BR132" s="1519" t="e">
        <f aca="false">SUM(BH132:BJ132)</f>
        <v>#VALUE!</v>
      </c>
      <c r="BS132" s="1529" t="e">
        <f aca="false">SUM(BH132:BK132)</f>
        <v>#VALUE!</v>
      </c>
      <c r="BT132" s="1316" t="n">
        <f aca="false">(IF(OVolType&lt;&gt;2,A132+14,IF(OptExpDateShift,ShiftBack(A132,OptExpDateShift,D131),A132))-DateToday)/365.25</f>
        <v>9.63175906913073</v>
      </c>
      <c r="BU132" s="1585" t="e">
        <f aca="false">IF(BQ132,IF(OPriceCurve,IF(OBuySell=OCallPut,I132/(1-AY132),K132/(1-AY132)),J132/(1-AY132))*BD132,0)</f>
        <v>#VALUE!</v>
      </c>
      <c r="BV132" s="1316" t="e">
        <f aca="false">IF(BQ132,IF(OPriceCurve,IF(OBuySell=OCallPut,L132/(1-AY132),N132/(1-AY132)),M132/(1-AY132))*BE132,0)</f>
        <v>#VALUE!</v>
      </c>
      <c r="BW132" s="1316" t="e">
        <f aca="false">IF(BQ132,IF(OPriceCurve,IF(OBuySell=OCallPut,O132/(1-AY132),Q132/(1-AY132)),P132/(1-AY132))*BF132,0)</f>
        <v>#VALUE!</v>
      </c>
      <c r="BX132" s="1316" t="e">
        <f aca="false">IF(BQ132,IF(OPriceCurve,IF(OBuySell=OCallPut,R132/(1-AY132),T132/(1-AY132)),S132/(1-AY132))*BG132,0)</f>
        <v>#VALUE!</v>
      </c>
      <c r="BY132" s="1316" t="e">
        <f aca="false">IF(BP132,(BU132*AZ132+BV132*BA132+BW132*BB132)/BP132,0)</f>
        <v>#VALUE!</v>
      </c>
      <c r="BZ132" s="1316" t="e">
        <f aca="false">IF(BQ132,(BY132*BP132+BX132*BC132)/BQ132,0)</f>
        <v>#VALUE!</v>
      </c>
      <c r="CA132" s="1531" t="e">
        <f aca="false">IF(BS132,IF(OPriceCurve,IF(OBuySell=OCallPut,I132/(1-AY132),K132/(1-AY132)),J132/(1-AY132))*BL132,0)</f>
        <v>#VALUE!</v>
      </c>
      <c r="CB132" s="1316" t="e">
        <f aca="false">IF(BS132,IF(OPriceCurve,IF(OBuySell=OCallPut,L132/(1-AY132),N132/(1-AY132)),M132/(1-AY132))*BM132,0)</f>
        <v>#VALUE!</v>
      </c>
      <c r="CC132" s="1316" t="e">
        <f aca="false">IF(BS132,IF(OPriceCurve,IF(OBuySell=OCallPut,O132/(1-AY132),Q132/(1-AY132)),P132/(1-AY132))*BN132,0)</f>
        <v>#VALUE!</v>
      </c>
      <c r="CD132" s="1316" t="e">
        <f aca="false">IF(BS132,IF(OPriceCurve,IF(OBuySell=OCallPut,R132/(1-AY132),T132/(1-AY132)),S132/(1-AY132))*BO132,0)</f>
        <v>#VALUE!</v>
      </c>
      <c r="CE132" s="1316" t="e">
        <f aca="false">IF(BR132,(BU132*BH132+BV132*BI132+BW132*BJ132)/BR132,0)</f>
        <v>#VALUE!</v>
      </c>
      <c r="CF132" s="1532" t="e">
        <f aca="false">IF(BS132,(CE132*BR132+CD132*BK132)/BS132,0)</f>
        <v>#VALUE!</v>
      </c>
      <c r="CG132" s="1586" t="e">
        <f aca="false">IF(OR(BQ132,BS132),IF(OVolType&lt;&gt;2,SQRT(IF(OVolOverMonthlyPeak,OVolOverMonthlyPeak,IF(OVolCurve,IF(OBuySell,U132,W132),V132))^2*(1-15/365.25/BT132)+IF(OVolOverDailyPeak,OVolOverDailyPeak,IF(OVolCurve,IF(OBuySell,AG132,AI132),AH132))^2*15/365.25/BT132),IF(OVolOverMonthlyPeak,OVolOverMonthlyPeak,IF(OVolCurve,IF(OBuySell,U132,W132),V132))),"")</f>
        <v>#VALUE!</v>
      </c>
      <c r="CH132" s="1587" t="e">
        <f aca="false">IF(OR(BQ132,BS132),IF(OVolType&lt;&gt;2,SQRT(IF(OVolOverMonthlyPeak,OVolOverMonthlyPeak,IF(OVolCurve,IF(OBuySell,X132,Z132),Y132))^2*(1-15/365.25/BT132)+IF(OVolOverDailyPeak,OVolOverDailyPeak,IF(OVolCurve,IF(OBuySell,AJ132,AL132),AK132))^2*15/365.25/BT132),IF(OVolOverMonthlyPeak,OVolOverMonthlyPeak,IF(OVolCurve,IF(OBuySell,X132,Z132),Y132))),"")</f>
        <v>#VALUE!</v>
      </c>
      <c r="CI132" s="1587" t="e">
        <f aca="false">IF(OR(BQ132,BS132),IF(OVolType&lt;&gt;2,SQRT(IF(OVolOverMonthlyPeak,OVolOverMonthlyPeak,IF(OVolCurve,IF(OBuySell,AA132,AC132),AB132))^2*(1-15/365.25/BT132)+IF(OVolOverDailyPeak,OVolOverDailyPeak,IF(OVolCurve,IF(OBuySell,AM132,AO132),AN132))^2*15/365.25/BT132),IF(OVolOverMonthlyPeak,OVolOverMonthlyPeak,IF(OVolCurve,IF(OBuySell,AA132,AC132),AB132))),"")</f>
        <v>#VALUE!</v>
      </c>
      <c r="CJ132" s="1587" t="e">
        <f aca="false">IF(BQ132,IF(BP132,SQRT(LN(1+((BU132*AZ132)^2*(EXP(CG132^2*BT132)-1)+(BV132*BA132)^2*(EXP(CH132^2*BT132)-1)+(BW132*BB132)^2*(EXP(CI132^2*BT132)-1)+2*BU132*AZ132*BV132*BA132*(EXP(CG132*CH132*BT132)-1)+2*BV132*BA132*BW132*BB132*(EXP(CH132*CI132*BT132)-1)+2*BW132*BB132*BU132*AZ132*(EXP(CI132*CG132*BT132)-1))/(BY132*BP132)^2)/BT132),0),"")</f>
        <v>#VALUE!</v>
      </c>
      <c r="CK132" s="1587" t="e">
        <f aca="false">IF(BS132,IF(BR132,SQRT(LN(1+((CA132*BH132)^2*(EXP(CG132^2*BT132)-1)+(CB132*BI132)^2*(EXP(CH132^2*BT132)-1)+(CC132*BJ132)^2*(EXP(CI132^2*BT132)-1)+2*CA132*BH132*CB132*BI132*(EXP(CG132*CH132*BT132)-1)+2*CB132*BI132*CC132*BJ132*(EXP(CH132*CI132*BT132)-1)+2*CC132*BJ132*CA132*BH132*(EXP(CI132*CG132*BT132)-1))/(CE132*BR132)^2)/BT132),0),"")</f>
        <v>#VALUE!</v>
      </c>
      <c r="CL132" s="1587" t="e">
        <f aca="false">IF(OR(BQ132,BS132),IF(OVolType&lt;&gt;2,SQRT(IF(OVolOverMonthlyOffPeak,OVolOverMonthlyOffPeak,IF(OVolCurve,IF(OBuySell,AD132,AF132),AE132))^2*(1-15/365.25/BT132)+IF(OVolOverDailyOffPeak,OVolOverDailyOffPeak,IF(OVolCurve,IF(OBuySell,AP132,AR132),AQ132))^2*15/365.25/BT132),IF(OVolOverMonthlyOffPeak,OVolOverMonthlyOffPeak,IF(OVolCurve,IF(OBuySell,AD132,AF132),AE132))),"")</f>
        <v>#VALUE!</v>
      </c>
      <c r="CM132" s="1587" t="e">
        <f aca="false">IF(BQ132,SQRT(LN(1+((BY132*BP132)^2*(EXP(CJ132^2*BT132)-1)+(BX132*BC132)^2*(EXP(CL132^2*BT132)-1)+2*BY132*BP132*BX132*BC132*(EXP(AS132*CJ132*CL132*BT132)-1))/(BY132*BP132+BX132*BC132)^2)/BT132),"")</f>
        <v>#VALUE!</v>
      </c>
      <c r="CN132" s="1588" t="e">
        <f aca="false">IF(BS132,SQRT(LN(1+((CE132*BR132)^2*(EXP(CK132^2*BT132)-1)+(CD132*BK132)^2*(EXP(CL132^2*BT132)-1)+2*CE132*BR132*CD132*BK132*(EXP(AS132*CK132*CL132*BT132)-1))/(CE132*BR132+CD132*BK132)^2)/BT132),"")</f>
        <v>#VALUE!</v>
      </c>
      <c r="CO132" s="1531" t="e">
        <f aca="false">IF(OR(BQ132,BS132),VLOOKUP(A132,GasTable,13)*HeatRatePeak*(1+VLOOKUP($B132,HeatRateDegradation,$C132+1))/1000,0)</f>
        <v>#VALUE!</v>
      </c>
      <c r="CP132" s="1316" t="e">
        <f aca="false">IF(OR(BQ132,BS132),VLOOKUP(A132,GasTable,13)*HeatRatePeak*(1+VLOOKUP($B132,HeatRateDegradation,$C132+1))/1000,0)</f>
        <v>#VALUE!</v>
      </c>
      <c r="CQ132" s="1316" t="e">
        <f aca="false">IF(OR(BQ132,BS132),VLOOKUP(A132,GasTable,13)*IF(EV132,HeatRatePeak,HeatRateOffPeak)*(1+VLOOKUP($B132,HeatRateDegradation,$C132+1))/1000,0)</f>
        <v>#VALUE!</v>
      </c>
      <c r="CR132" s="1316" t="e">
        <f aca="false">IF(OR(BQ132,BS132),VLOOKUP(A132,GasTable,13)*IF(EW132,HeatRatePeak,HeatRateOffPeak)*(1+VLOOKUP($B132,HeatRateDegradation,$C132+1))/1000,0)</f>
        <v>#VALUE!</v>
      </c>
      <c r="CS132" s="1589" t="e">
        <f aca="false">IF(BQ132,(CO132*AZ132+CP132*BA132+CQ132*BB132+CR132*BC132)/BQ132,0)</f>
        <v>#VALUE!</v>
      </c>
      <c r="CT132" s="1316" t="e">
        <f aca="false">IF(BS132,CO132,0)</f>
        <v>#VALUE!</v>
      </c>
      <c r="CU132" s="1590" t="e">
        <f aca="false">IF(OR(BQ132,BS132),VLOOKUP(A132,GasTable,14),"")</f>
        <v>#VALUE!</v>
      </c>
      <c r="CV132" s="1568" t="e">
        <f aca="false">IF(OR(BQ132,BS132),IF(CorrPowerGasOverFlag,INDEX(CorrPowerGasOver,C132),CorrPowerGas),"")</f>
        <v>#VALUE!</v>
      </c>
      <c r="CW132" s="1316" t="e">
        <f aca="false">IF(OR($BQ132,$BS132),SpreadOptPowerMargin,0)*((1+Assumptions!$C$26)^($B132-YEAR(Assumptions!$C$17)))</f>
        <v>#VALUE!</v>
      </c>
      <c r="CX132" s="1316" t="e">
        <f aca="false">IF(OR($BQ132,$BS132),SpreadOptPowerMargin,0)*((1+Assumptions!$C$26)^($B132-YEAR(Assumptions!$C$17)))</f>
        <v>#VALUE!</v>
      </c>
      <c r="CY132" s="1316" t="e">
        <f aca="false">IF(OR($BQ132,$BS132),SpreadOptPowerMargin,0)*((1+Assumptions!$C$26)^($B132-YEAR(Assumptions!$C$17)))</f>
        <v>#VALUE!</v>
      </c>
      <c r="CZ132" s="1316" t="e">
        <f aca="false">IF(OR($BQ132,$BS132),SpreadOptPowerMargin,0)*((1+Assumptions!$C$26)^($B132-YEAR(Assumptions!$C$17)))</f>
        <v>#VALUE!</v>
      </c>
      <c r="DA132" s="1591" t="e">
        <f aca="false">IF(OR(BQ132,BS132),(CW132*(AZ132+BH132)+CX132*(BA132+BI132)+CY132*(BB132+BJ132)+CZ132*(BC132+BK132))/(BQ132+BS132),0)</f>
        <v>#VALUE!</v>
      </c>
      <c r="DB132" s="1592" t="e">
        <f aca="false">IF(OR(BQ132,BS132),CG132+IF(OVolSmile,VLOOKUP(MAX(-5,CO132+CW132-BU132),IF(OVolSmile=1,VolSmileBook,VolSmileModel),2),0),"")</f>
        <v>#VALUE!</v>
      </c>
      <c r="DC132" s="1592" t="e">
        <f aca="false">IF(OR(BQ132,BS132),CH132+IF(OVolSmile,VLOOKUP(MAX(-5,CP132+CW132-BV132),IF(OVolSmile=1,VolSmileBook,VolSmileModel),2),0),"")</f>
        <v>#VALUE!</v>
      </c>
      <c r="DD132" s="1592" t="e">
        <f aca="false">IF(OR(BQ132,BS132),CI132+IF(OVolSmile,VLOOKUP(MAX(-5,CQ132+CW132-BW132),IF(OVolSmile=1,VolSmileBook,VolSmileModel),2),0),"")</f>
        <v>#VALUE!</v>
      </c>
      <c r="DE132" s="1592" t="e">
        <f aca="false">IF(OR(BQ132,BS132),CL132+IF(OVolSmile,VLOOKUP(MAX(-5,CR132+CZ132-BX132),IF(OVolSmile=1,VolSmileBook,VolSmileModel),2),0),"")</f>
        <v>#VALUE!</v>
      </c>
      <c r="DF132" s="1592" t="e">
        <f aca="false">IF(BQ132,CM132+IF(OVolSmile,VLOOKUP(MAX(-5,CS132+DA132-BZ132),IF(OVolSmile=1,VolSmileBook,VolSmileModel),2),0),"")</f>
        <v>#VALUE!</v>
      </c>
      <c r="DG132" s="1593" t="e">
        <f aca="false">IF(BS132,CN132+IF(OVolSmile,VLOOKUP(MAX(-5,CT132+DA132-CF132),IF(OVolSmile=1,VolSmileBook,VolSmileModel),2),0),"")</f>
        <v>#VALUE!</v>
      </c>
      <c r="DH132" s="1316" t="e">
        <f aca="false">IF(AND(BU132&gt;0,CO132&gt;0,DB132&gt;0,CU132&gt;0),newSPRDOPT(BU132,CO132,CW132,0,DB132,CU132,CV132,BT132*365.25,OCallPut,0),0)</f>
        <v>#VALUE!</v>
      </c>
      <c r="DI132" s="1316" t="e">
        <f aca="false">IF(AND(BV132&gt;0,CP132&gt;0,DC132&gt;0,CU132&gt;0),newSPRDOPT(BV132,CP132,CX132,0,DC132,CU132,CV132,BT132*365.25,OCallPut,0),0)</f>
        <v>#VALUE!</v>
      </c>
      <c r="DJ132" s="1316" t="e">
        <f aca="false">IF(AND(BW132&gt;0,CQ132&gt;0,DD132&gt;0,CU132&gt;0),newSPRDOPT(BW132,CQ132,CY132,0,DD132,CU132,CV132,BT132*365.25,OCallPut,0),0)</f>
        <v>#VALUE!</v>
      </c>
      <c r="DK132" s="1316" t="e">
        <f aca="false">IF(AND(BX132&gt;0,CR132&gt;0,DE132&gt;0,CU132&gt;0),newSPRDOPT(BX132,CR132,CZ132,0,DE132,CU132,CV132,BT132*365.25,OCallPut,0),0)</f>
        <v>#VALUE!</v>
      </c>
      <c r="DL132" s="1316" t="e">
        <f aca="false">IF(OVolType,IF(AND(BZ132&gt;0,CS132&gt;0,DF132&gt;0,CU132&gt;0),newSPRDOPT(BZ132,CS132,DA132,0,DF132,CU132,CV132,BT132*365.25,OCallPut,0),0),IF(BQ132,(DH132*AZ132+DI132*BA132+DJ132*BB132+DK132*BC132)/BQ132,0))</f>
        <v>#VALUE!</v>
      </c>
      <c r="DM132" s="1316"/>
      <c r="DN132" s="1316"/>
      <c r="DO132" s="1316"/>
      <c r="DP132" s="1316"/>
      <c r="DQ132" s="1316"/>
      <c r="DR132" s="1316"/>
      <c r="DS132" s="1316"/>
      <c r="DT132" s="1316"/>
      <c r="DU132" s="1316"/>
      <c r="DV132" s="1316"/>
      <c r="DW132" s="1594" t="e">
        <f aca="false">IF(AND(BW132&gt;0,CT132&gt;0,DD132&gt;0,CU132&gt;0),newSPRDOPT(BW132,CT132,CY132,0,DD132,CU132,CV132,BT132*365.25,OCallPut,0),0)</f>
        <v>#VALUE!</v>
      </c>
      <c r="DX132" s="1316" t="e">
        <f aca="false">IF(AND(BX132&gt;0,CT132&gt;0,DE132&gt;0,CU132&gt;0),newSPRDOPT(BX132,CT132,CZ132,0,DE132,CU132,CV132,BT132*365.25,OCallPut,0),0)</f>
        <v>#VALUE!</v>
      </c>
      <c r="DY132" s="1591" t="e">
        <f aca="false">IF(BS132,(DH132*BH132+DI132*BI132+DW132*BJ132+DX132*BK132)/BS132,0)</f>
        <v>#VALUE!</v>
      </c>
      <c r="DZ132" s="1551" t="e">
        <f aca="false">DH132*AZ132</f>
        <v>#VALUE!</v>
      </c>
      <c r="EA132" s="1551" t="e">
        <f aca="false">DI132*BA132</f>
        <v>#VALUE!</v>
      </c>
      <c r="EB132" s="1551" t="e">
        <f aca="false">DJ132*BB132</f>
        <v>#VALUE!</v>
      </c>
      <c r="EC132" s="1551" t="e">
        <f aca="false">DK132*BC132</f>
        <v>#VALUE!</v>
      </c>
      <c r="ED132" s="1551" t="e">
        <f aca="false">DL132*BQ132</f>
        <v>#VALUE!</v>
      </c>
      <c r="EE132" s="1595" t="e">
        <f aca="false">IF(BQ132,IF(OCallPut,IF(BU132&gt;(CO132+CW132),BU132-(CO132+CW132),0),IF((CO132+CW132)&gt;BU132,(CO132+CW132)-BU132,0))*AZ132,0)</f>
        <v>#VALUE!</v>
      </c>
      <c r="EF132" s="1596" t="e">
        <f aca="false">IF(BQ132,IF(OCallPut,IF(BV132&gt;(CP132+CX132),BV132-(CP132+CX132),0),IF((CP132+CX132)&gt;BV132,(CP132+CX132)-BV132,0))*BA132,0)</f>
        <v>#VALUE!</v>
      </c>
      <c r="EG132" s="1596" t="e">
        <f aca="false">IF(BQ132,IF(OCallPut,IF(BW132&gt;(CQ132+CY132),BW132-(CQ132+CY132),0),IF((CQ132+CY132)&gt;BW132,(CQ132+CY132)-BW132,0))*BB132,0)</f>
        <v>#VALUE!</v>
      </c>
      <c r="EH132" s="1596" t="e">
        <f aca="false">IF(BQ132,IF(OCallPut,IF(BX132&gt;(CR132+CZ132),BX132-(CR132+CZ132),0),IF((CR132+CZ132)&gt;BX132,(CR132+CZ132)-BX132,0))*BC132,0)</f>
        <v>#VALUE!</v>
      </c>
      <c r="EI132" s="1597" t="e">
        <f aca="false">IF(BQ132,IF(OVolType,IF(OCallPut,IF(BZ132&gt;(CS132+DA132),BZ132-(CS132+DA132),0),IF((CS132+DA132)&gt;BZ132,(CS132+DA132)-BZ132,0))*BQ132,SUM(EE132:EH132)),0)</f>
        <v>#VALUE!</v>
      </c>
      <c r="EJ132" s="1595" t="e">
        <f aca="false">DZ132-EE132</f>
        <v>#VALUE!</v>
      </c>
      <c r="EK132" s="1596" t="e">
        <f aca="false">EA132-EF132</f>
        <v>#VALUE!</v>
      </c>
      <c r="EL132" s="1596" t="e">
        <f aca="false">EB132-EG132</f>
        <v>#VALUE!</v>
      </c>
      <c r="EM132" s="1596" t="e">
        <f aca="false">EC132-EH132</f>
        <v>#VALUE!</v>
      </c>
      <c r="EN132" s="1597" t="e">
        <f aca="false">ED132-EI132</f>
        <v>#VALUE!</v>
      </c>
      <c r="EO132" s="1551" t="e">
        <f aca="false">DH132*BH132</f>
        <v>#VALUE!</v>
      </c>
      <c r="EP132" s="1551" t="e">
        <f aca="false">DI132*BI132</f>
        <v>#VALUE!</v>
      </c>
      <c r="EQ132" s="1551" t="e">
        <f aca="false">DW132*BJ132</f>
        <v>#VALUE!</v>
      </c>
      <c r="ER132" s="1551" t="e">
        <f aca="false">DX132*BK132</f>
        <v>#VALUE!</v>
      </c>
      <c r="ES132" s="1551" t="e">
        <f aca="false">DY132*BS132</f>
        <v>#VALUE!</v>
      </c>
      <c r="ET132" s="1566" t="e">
        <f aca="false">IF(EI132,IF(OCallPut,IF(CA132&gt;(CT132+CW132),CA132-(CT132+CW132),0),IF((CT132+CW132)&gt;CA132,(CT132+CW132)-CA132,0))*BH132,0)</f>
        <v>#VALUE!</v>
      </c>
      <c r="EU132" s="1551" t="e">
        <f aca="false">IF(EI132,IF(OCallPut,IF(CB132&gt;(CT132+CX132),CB132-(CT132+CX132),0),IF((CT132+CX132)&gt;CB132,(CT132+CX132)-CB132,0))*BI132,0)</f>
        <v>#VALUE!</v>
      </c>
      <c r="EV132" s="1551" t="e">
        <f aca="false">IF(EI132,IF(OCallPut,IF(CC132&gt;(CT132+CY132),CC132-(CT132+CY132),0),IF((CT132+CY132)&gt;CC132,(CT132+CY132)-CC132,0))*BJ132,0)</f>
        <v>#VALUE!</v>
      </c>
      <c r="EW132" s="1551" t="e">
        <f aca="false">IF(EI132,IF(OCallPut,IF(CD132&gt;(CT132+CZ132),CD132-(CT132+CZ132),0),IF((CT132+CZ132)&gt;CD132,(CT132+CZ132)-CD132,0))*BK132,0)</f>
        <v>#VALUE!</v>
      </c>
      <c r="EX132" s="1558" t="e">
        <f aca="false">IF(EI132,SUM(ET132:EW132),0)</f>
        <v>#VALUE!</v>
      </c>
      <c r="EY132" s="1551" t="e">
        <f aca="false">EO132-ET132</f>
        <v>#VALUE!</v>
      </c>
      <c r="EZ132" s="1551" t="e">
        <f aca="false">EP132-EU132</f>
        <v>#VALUE!</v>
      </c>
      <c r="FA132" s="1551" t="e">
        <f aca="false">EQ132-EV132</f>
        <v>#VALUE!</v>
      </c>
      <c r="FB132" s="1551" t="e">
        <f aca="false">ER132-EW132</f>
        <v>#VALUE!</v>
      </c>
      <c r="FC132" s="1551" t="e">
        <f aca="false">ES132-EX132</f>
        <v>#VALUE!</v>
      </c>
      <c r="FD132" s="1525" t="n">
        <f aca="false">IF(AX132,IF(VLOOKUP(C132,MAIN!$L$17:$M$28,2)="Yes",VLOOKUP(CALC!B132,MAIN!$H$17:$I$20,2),0),0)</f>
        <v>0</v>
      </c>
      <c r="FE132" s="1552" t="e">
        <f aca="false">$FD132*16*AT132*(1-$AY132)</f>
        <v>#VALUE!</v>
      </c>
      <c r="FF132" s="1553" t="e">
        <f aca="false">$FD132*16*AU132*(1-$AY132)</f>
        <v>#VALUE!</v>
      </c>
      <c r="FG132" s="1553" t="e">
        <f aca="false">$FD132*16*(AV132+AW132)*(1-$AY132)</f>
        <v>#VALUE!</v>
      </c>
      <c r="FH132" s="1554" t="n">
        <f aca="false">$FD132*8*AX132*(1-$AY132)</f>
        <v>0</v>
      </c>
      <c r="FI132" s="1555" t="n">
        <f aca="false">IF(AX132,VLOOKUP(CALC!B132,MAIN!$H$17:$K$20,4),0)</f>
        <v>0</v>
      </c>
      <c r="FJ132" s="1553" t="e">
        <f aca="false">SUM(FE132:FH132)</f>
        <v>#VALUE!</v>
      </c>
      <c r="FK132" s="1556" t="e">
        <f aca="false">FI132*FJ132</f>
        <v>#VALUE!</v>
      </c>
      <c r="FL132" s="1551" t="e">
        <f aca="false">IF($EI132&gt;0,MIN(FE132,AZ132*(1+VLOOKUP($C132,WeatherCapacityAdjustment,2))),0)</f>
        <v>#VALUE!</v>
      </c>
      <c r="FM132" s="1551" t="e">
        <f aca="false">IF($EI132&gt;0,MIN(FF132,BA132*(1+VLOOKUP($C132,WeatherCapacityAdjustment,2))),0)</f>
        <v>#VALUE!</v>
      </c>
      <c r="FN132" s="1551" t="e">
        <f aca="false">IF($EI132&gt;0,MIN(FG132,BB132*(1+VLOOKUP($C132,WeatherCapacityAdjustment,2))),0)</f>
        <v>#VALUE!</v>
      </c>
      <c r="FO132" s="1564" t="e">
        <f aca="false">IF($EI132&gt;0,MIN(FH132,BC132*(1+VLOOKUP($C132,WeatherCapacityAdjustment,3))),0)</f>
        <v>#VALUE!</v>
      </c>
      <c r="FP132" s="1551" t="e">
        <f aca="false">IF(ET132&gt;0,MIN(FE132-FL132,BH132*(1+VLOOKUP($C132,WeatherCapacityAdjustment,2))),0)</f>
        <v>#VALUE!</v>
      </c>
      <c r="FQ132" s="1551" t="e">
        <f aca="false">IF(EU132&gt;0,MIN(FF132-FM132,BI132*(1+VLOOKUP($C132,WeatherCapacityAdjustment,2))),0)</f>
        <v>#VALUE!</v>
      </c>
      <c r="FR132" s="1551" t="e">
        <f aca="false">IF(EV132&gt;0,MIN(FG132-FN132,BJ132*(1+VLOOKUP($C132,WeatherCapacityAdjustment,2))),0)</f>
        <v>#VALUE!</v>
      </c>
      <c r="FS132" s="1558" t="e">
        <f aca="false">IF(EW132&gt;0,MIN(FH132-FO132,BK132*(1+VLOOKUP($C132,WeatherCapacityAdjustment,3))),0)</f>
        <v>#VALUE!</v>
      </c>
      <c r="FT132" s="1566" t="e">
        <f aca="false">IF(AND(Assumptions!$H$71="Yes",A132&gt;=Assumptions!$H$72,A132&lt;=Assumptions!$H$73),0,IF(AND($A132&gt;=Assumptions!$C$17,$A132&lt;=Assumptions!$C$18),MAX(AZ132*(1+VLOOKUP($C132,WeatherCapacityAdjustment,2))-FL132,0),0))</f>
        <v>#VALUE!</v>
      </c>
      <c r="FU132" s="1551" t="e">
        <f aca="false">IF(AND(Assumptions!$H$71="Yes",A132&gt;=Assumptions!$H$72,A132&lt;=Assumptions!$H$73),0,IF(AND($A132&gt;=Assumptions!$C$17,$A132&lt;=Assumptions!$C$18),MAX(BA132*(1+VLOOKUP($C132,WeatherCapacityAdjustment,2))-FM132,0),0))</f>
        <v>#VALUE!</v>
      </c>
      <c r="FV132" s="1551" t="e">
        <f aca="false">IF(AND(Assumptions!$H$71="Yes",A132&gt;=Assumptions!$H$72,A132&lt;=Assumptions!$H$73),0,IF(AND($A132&gt;=Assumptions!$C$17,$A132&lt;=Assumptions!$C$18),MAX(BB132*(1+VLOOKUP($C132,WeatherCapacityAdjustment,2))-FN132,0),0))</f>
        <v>#VALUE!</v>
      </c>
      <c r="FW132" s="1564" t="e">
        <f aca="false">IF(AND(Assumptions!$H$71="Yes",A132&gt;=Assumptions!$H$72,A132&lt;=Assumptions!$H$73),0,IF(AND($A132&gt;=Assumptions!$C$17,$A132&lt;=Assumptions!$C$18),MAX(BC132*(1+VLOOKUP($C132,WeatherCapacityAdjustment,3))-FO132,0),0))</f>
        <v>#VALUE!</v>
      </c>
      <c r="FX132" s="1569" t="e">
        <f aca="false">IF(AND(Assumptions!$H$71="Yes",A132&gt;=Assumptions!$H$72,A132&lt;=Assumptions!$H$73),0,IF(ET132&gt;0,MAX(BH132*(1+VLOOKUP($C132,WeatherCapacityAdjustment,2))-FP132,0),0))</f>
        <v>#VALUE!</v>
      </c>
      <c r="FY132" s="1551" t="e">
        <f aca="false">IF(AND(Assumptions!$H$71="Yes",A132&gt;=Assumptions!$H$72,A132&lt;=Assumptions!$H$73),0,IF(EU132&gt;0,MAX(BI132*(1+VLOOKUP($C132,WeatherCapacityAdjustment,3))-FQ132,0),0))</f>
        <v>#VALUE!</v>
      </c>
      <c r="FZ132" s="1551" t="e">
        <f aca="false">IF(AND(Assumptions!$H$71="Yes",A132&gt;=Assumptions!$H$72,A132&lt;=Assumptions!$H$73),0,IF(EV132&gt;0,MAX(BJ132*(1+VLOOKUP($C132,WeatherCapacityAdjustment,2))-FR132,0),0))</f>
        <v>#VALUE!</v>
      </c>
      <c r="GA132" s="1564" t="e">
        <f aca="false">IF(AND(Assumptions!$H$71="Yes",A132&gt;=Assumptions!$H$72,A132&lt;=Assumptions!$H$73),0,IF(EW132&gt;0,MAX(BK132*(1+VLOOKUP($C132,WeatherCapacityAdjustment,2))-FS132,0),0))</f>
        <v>#VALUE!</v>
      </c>
      <c r="GB132" s="1551" t="e">
        <f aca="false">SUM(FT132:GA132)</f>
        <v>#VALUE!</v>
      </c>
      <c r="GC132" s="1563" t="e">
        <f aca="false">+IF(SUM(FT132:GA132)=0,0,(SUMPRODUCT(BU132:BX132,FT132:FW132)+SUMPRODUCT(CA132:CD132,FX132:GA132))/SUM(FT132:GA132))</f>
        <v>#VALUE!</v>
      </c>
      <c r="GD132" s="1551" t="e">
        <f aca="false">(FT132*BU132+FX132*CA132+FU132*BV132+FY132*CB132+FV132*BW132+FZ132*CC132+FW132*BX132+GA132*CD132)</f>
        <v>#VALUE!</v>
      </c>
      <c r="GE132" s="1561" t="e">
        <f aca="false">+IF(BQ132,((FL132+FM132+FT132+FU132)*HeatRatePeak/1000*(1+VLOOKUP($C132,WeatherHeatRateAdjustment,2))+(FN132+FV132)*IF(EV132&gt;0,HeatRatePeak,HeatRateOffPeak)/1000*(1+VLOOKUP($C132,WeatherHeatRateAdjustment,2))+(FO132+FW132)*IF(EW132&gt;0,HeatRatePeak,HeatRateOffPeak)/1000*(1+VLOOKUP($C132,WeatherHeatRateAdjustment,3)))*(1+VLOOKUP($B132,HeatRateDegradation,$C132+1)),0)</f>
        <v>#VALUE!</v>
      </c>
      <c r="GF132" s="1562" t="e">
        <f aca="false">IF(BQ132,((FP132+FQ132+FR132+FX132+FY132+FZ132)*HeatRatePeak/1000*(1+VLOOKUP($C132,WeatherHeatRateAdjustment,2))+(FS132+GA132)*HeatRatePeak/1000*(1+VLOOKUP($C132,WeatherHeatRateAdjustment,3)))*(1+VLOOKUP($B132,HeatRateDegradation,$C132+1)),0)</f>
        <v>#VALUE!</v>
      </c>
      <c r="GG132" s="1563" t="e">
        <f aca="false">IF(BQ132,VLOOKUP(A132,GasTable,13),0)</f>
        <v>#VALUE!</v>
      </c>
      <c r="GH132" s="1564" t="e">
        <f aca="false">(GE132+GF132)*GG132</f>
        <v>#VALUE!</v>
      </c>
      <c r="GI132" s="1569" t="e">
        <f aca="false">GB132</f>
        <v>#VALUE!</v>
      </c>
      <c r="GJ132" s="1598" t="e">
        <f aca="false">+DA132</f>
        <v>#VALUE!</v>
      </c>
      <c r="GK132" s="1558" t="e">
        <f aca="false">+GI132*GJ132</f>
        <v>#VALUE!</v>
      </c>
      <c r="GL132" s="1566" t="e">
        <f aca="false">MAX(FE132-FL132-FP132,0)</f>
        <v>#VALUE!</v>
      </c>
      <c r="GM132" s="1551" t="e">
        <f aca="false">MAX(FF132-FM132-FQ132,0)</f>
        <v>#VALUE!</v>
      </c>
      <c r="GN132" s="1551" t="e">
        <f aca="false">MAX(FG132-FN132-FR132,0)</f>
        <v>#VALUE!</v>
      </c>
      <c r="GO132" s="1564" t="e">
        <f aca="false">MAX(FH132-FO132-FS132,0)</f>
        <v>#VALUE!</v>
      </c>
      <c r="GP132" s="1551" t="e">
        <f aca="false">SUM(GL132:GO132)</f>
        <v>#VALUE!</v>
      </c>
      <c r="GQ132" s="1563" t="e">
        <f aca="false">IF(SUM(GL132:GO132)=0,0,((GL132*BU132+GM132*BV132+GN132*BW132+GO132*BX132)/SUM(GL132:GO132)))</f>
        <v>#VALUE!</v>
      </c>
      <c r="GR132" s="1558" t="e">
        <f aca="false">(GL132*BU132+GM132*BV132+GN132*BW132+GO132*BX132)</f>
        <v>#VALUE!</v>
      </c>
      <c r="GS132" s="1566" t="n">
        <f aca="false">IF($A132&gt;=BegDate,Assumptions!$C$56*24*($A133-$A132)*(1-VLOOKUP($B132,MAIN!$AA$7:$AM$28,$C132+1))*(1-VLOOKUP($B132,MAIN!$AA$33:$AM$54,$C132+1)),0)*80/168</f>
        <v>257742.857142857</v>
      </c>
      <c r="GT132" s="286" t="n">
        <f aca="false">J132</f>
        <v>49.0040537208167</v>
      </c>
      <c r="GU132" s="286" t="n">
        <f aca="false">IF($A132&gt;=BegDate,VLOOKUP($A132,GasTable,13)+Assumptions!$C$58,0)</f>
        <v>3.32938256139501</v>
      </c>
      <c r="GV132" s="286" t="n">
        <f aca="false">GU132*Assumptions!$C$57/1000</f>
        <v>24.1380235701139</v>
      </c>
      <c r="GW132" s="1558" t="n">
        <f aca="false">IF(Assumptions!$C$60="Hourly",MAX(0,GS132*(GT132-GV132)),GS132*(GT132-GV132))</f>
        <v>6409041.65684258</v>
      </c>
      <c r="GX132" s="1566" t="n">
        <f aca="false">IF($A132&gt;=BegDate,Assumptions!$C$56*24*($A133-$A132)*(1-VLOOKUP($B132,MAIN!$AA$7:$AM$28,$C132+1))*(1-VLOOKUP($B132,MAIN!$AA$33:$AM$54,$C132+1)),0)*16/168</f>
        <v>51548.5714285714</v>
      </c>
      <c r="GY132" s="286" t="n">
        <f aca="false">M132</f>
        <v>49.0040537208167</v>
      </c>
      <c r="GZ132" s="286" t="n">
        <f aca="false">IF($A132&gt;=BegDate,VLOOKUP($A132,GasTable,13)+Assumptions!$C$58,0)</f>
        <v>3.32938256139501</v>
      </c>
      <c r="HA132" s="286" t="n">
        <f aca="false">GZ132*Assumptions!$C$57/1000</f>
        <v>24.1380235701139</v>
      </c>
      <c r="HB132" s="1558" t="n">
        <f aca="false">IF(Assumptions!$C$60="Hourly",MAX(0,GX132*(GY132-HA132)),GX132*(GY132-HA132))</f>
        <v>1281808.33136852</v>
      </c>
      <c r="HC132" s="1566" t="n">
        <f aca="false">IF($A132&gt;=BegDate,Assumptions!$C$56*24*($A133-$A132)*(1-VLOOKUP($B132,MAIN!$AA$7:$AM$28,$C132+1))*(1-VLOOKUP($B132,MAIN!$AA$33:$AM$54,$C132+1)),0)*16/168</f>
        <v>51548.5714285714</v>
      </c>
      <c r="HD132" s="286" t="n">
        <f aca="false">P132</f>
        <v>30.152065997084</v>
      </c>
      <c r="HE132" s="286" t="n">
        <f aca="false">IF($A132&gt;=BegDate,VLOOKUP($A132,GasTable,13)+Assumptions!$C$58,0)</f>
        <v>3.32938256139501</v>
      </c>
      <c r="HF132" s="286" t="n">
        <f aca="false">HE132*Assumptions!$C$57/1000</f>
        <v>24.1380235701139</v>
      </c>
      <c r="HG132" s="1558" t="n">
        <f aca="false">IF(Assumptions!$C$60="Hourly",MAX(0,HC132*(HD132-HF132)),HC132*(HD132-HF132))</f>
        <v>310015.295621132</v>
      </c>
      <c r="HH132" s="1566" t="n">
        <f aca="false">IF($A132&gt;=BegDate,Assumptions!$C$56*24*($A133-$A132)*(1-VLOOKUP($B132,MAIN!$AA$7:$AM$28,$C132+1))*(1-VLOOKUP($B132,MAIN!$AA$33:$AM$54,$C132+1)),0)*56/168</f>
        <v>180420</v>
      </c>
      <c r="HI132" s="286" t="n">
        <f aca="false">S132</f>
        <v>30.152065997084</v>
      </c>
      <c r="HJ132" s="286" t="n">
        <f aca="false">IF($A132&gt;=BegDate,VLOOKUP($A132,GasTable,13)+Assumptions!$C$58,0)</f>
        <v>3.32938256139501</v>
      </c>
      <c r="HK132" s="286" t="n">
        <f aca="false">HJ132*Assumptions!$C$57/1000</f>
        <v>24.1380235701139</v>
      </c>
      <c r="HL132" s="1558" t="n">
        <f aca="false">IF(Assumptions!$C$60="Hourly",MAX(0,HH132*(HI132-HK132)),HH132*(HI132-HK132))</f>
        <v>1085053.53467396</v>
      </c>
      <c r="HM132" s="1566" t="n">
        <f aca="false">IF(AND(Assumptions!$H$71="Yes",A132&gt;=Assumptions!$H$72,A132&lt;=Assumptions!$H$73),Assumptions!$H$74*Assumptions!$C$9*1000,0)</f>
        <v>0</v>
      </c>
      <c r="HN132" s="1551"/>
      <c r="HO132" s="1563"/>
      <c r="HP132" s="1563"/>
      <c r="HQ132" s="1563"/>
      <c r="HR132" s="1563"/>
      <c r="HS132" s="1563"/>
      <c r="HT132" s="1563"/>
      <c r="HU132" s="1563"/>
      <c r="HV132" s="1563"/>
      <c r="HW132" s="1563"/>
      <c r="HX132" s="1563"/>
      <c r="HY132" s="1563"/>
      <c r="HZ132" s="1563"/>
      <c r="IA132" s="1563"/>
      <c r="IB132" s="1563"/>
      <c r="IC132" s="1563"/>
      <c r="ID132" s="1563"/>
      <c r="IE132" s="1563"/>
      <c r="IF132" s="1563"/>
      <c r="IG132" s="1563"/>
      <c r="IH132" s="1563"/>
      <c r="II132" s="1610"/>
      <c r="IJ132" s="1309"/>
      <c r="IK132" s="1309"/>
    </row>
    <row r="133" customFormat="false" ht="12.75" hidden="false" customHeight="false" outlineLevel="0" collapsed="false">
      <c r="A133" s="1571" t="n">
        <f aca="false">EOMONTH(A132,0)+1</f>
        <v>40179</v>
      </c>
      <c r="B133" s="594" t="n">
        <f aca="false">+YEAR(A133)</f>
        <v>2010</v>
      </c>
      <c r="C133" s="238" t="n">
        <f aca="false">MONTH(A133)</f>
        <v>1</v>
      </c>
      <c r="D133" s="1572" t="e">
        <f aca="false">IF(E133="","",Holiday(B133,C133))</f>
        <v>#VALUE!</v>
      </c>
      <c r="E133" s="1573" t="n">
        <f aca="false">IF(OR(BegDate&gt;=A134,EndDate&lt;A133,AND(VolumeMonthlyOverFlag,INDEX(VolumeMonthlyOver,C133)=0),NOT(INDEX(MonthKnockOutTable,C133))),"",MAX(A133,BegDate))</f>
        <v>40179</v>
      </c>
      <c r="F133" s="1574" t="n">
        <f aca="false">IF(E133="","",MIN(A134-1,EndDate))</f>
        <v>40209</v>
      </c>
      <c r="G133" s="1575" t="n">
        <v>0</v>
      </c>
      <c r="H133" s="1576" t="n">
        <f aca="false">(1+G133/2)^(-2*(DATE(B134,C134,20)-DateToday)/365.25)</f>
        <v>1</v>
      </c>
      <c r="I133" s="1568" t="n">
        <f aca="false">IF(Assumptions!$L$25=4,VLOOKUP($A133,'Henwood Reference'!$E$9:$R$320,10),(VLOOKUP($A133,PriceTable,2,0)+IF(BasisNumber&lt;&gt;1,VLOOKUP($A133,BasisTable,2,0),0)+I$1)/(1-I$2))</f>
        <v>50.2007501036661</v>
      </c>
      <c r="J133" s="1568" t="n">
        <f aca="false">IF(Assumptions!$L$25=4,VLOOKUP($A133,'Henwood Reference'!$E$9:$R$320,10),(VLOOKUP($A133,PriceTable,3,0)+IF(BasisNumber&lt;&gt;1,VLOOKUP($A133,BasisTable,2,0),0)+J$1)/(1-J$2))</f>
        <v>50.2007501036661</v>
      </c>
      <c r="K133" s="1568" t="n">
        <f aca="false">IF(Assumptions!$L$25=4,VLOOKUP($A133,'Henwood Reference'!$E$9:$R$320,10),(VLOOKUP($A133,PriceTable,4,0)+IF(BasisNumber&lt;&gt;1,VLOOKUP($A133,BasisTable,2,0),0)+K$1)/(1-K$2))</f>
        <v>50.2007501036661</v>
      </c>
      <c r="L133" s="1523" t="n">
        <f aca="false">IF(Assumptions!$L$25=4,VLOOKUP($A133,'Henwood Reference'!$E$9:$R$320,10),(VLOOKUP($A133,PriceTableWeekend,2,0)+IF(BasisNumber&lt;&gt;1,VLOOKUP($A133,BasisTable,2,0),0)+L$1)/(1-L$2))</f>
        <v>50.2007501036661</v>
      </c>
      <c r="M133" s="1568" t="n">
        <f aca="false">IF(Assumptions!$L$25=4,VLOOKUP($A133,'Henwood Reference'!$E$9:$R$320,10),(VLOOKUP($A133,PriceTableWeekend,3,0)+IF(BasisNumber&lt;&gt;1,VLOOKUP($A133,BasisTable,2,0),0)+M$1)/(1-M$2))</f>
        <v>50.2007501036661</v>
      </c>
      <c r="N133" s="1599" t="n">
        <f aca="false">IF(Assumptions!$L$25=4,VLOOKUP($A133,'Henwood Reference'!$E$9:$R$320,10),(VLOOKUP($A133,PriceTableWeekend,4,0)+IF(BasisNumber&lt;&gt;1,VLOOKUP($A133,BasisTable,2,0),0)+N$1)/(1-N$2))</f>
        <v>50.2007501036661</v>
      </c>
      <c r="O133" s="1568" t="n">
        <f aca="false">IF(Assumptions!$L$25=4,VLOOKUP($A133,'Henwood Reference'!$E$9:$R$320,11),(VLOOKUP($A133,PriceTableWeekend,6,0)+IF(BasisNumber&lt;&gt;1,VLOOKUP($A133,BasisTable,3,0),0)+O$1)/(1-O$2))</f>
        <v>30.7367005012838</v>
      </c>
      <c r="P133" s="1568" t="n">
        <f aca="false">IF(Assumptions!$L$25=4,VLOOKUP($A133,'Henwood Reference'!$E$9:$R$320,11),(VLOOKUP($A133,PriceTableWeekend,7,0)+IF(BasisNumber&lt;&gt;1,VLOOKUP($A133,BasisTable,3,0),0)+P$1)/(1-P$2))</f>
        <v>30.7367005012838</v>
      </c>
      <c r="Q133" s="1599" t="n">
        <f aca="false">IF(Assumptions!$L$25=4,VLOOKUP($A133,'Henwood Reference'!$E$9:$R$320,11),(VLOOKUP($A133,PriceTableWeekend,8,0)+IF(BasisNumber&lt;&gt;1,VLOOKUP($A133,BasisTable,3,0),0)+Q$1)/(1-Q$2))</f>
        <v>30.7367005012838</v>
      </c>
      <c r="R133" s="1568" t="n">
        <f aca="false">IF(Assumptions!$L$25=4,VLOOKUP($A133,'Henwood Reference'!$E$9:$R$320,11),(VLOOKUP($A133,PriceTable,6,0)+IF(BasisNumber&lt;&gt;1,VLOOKUP($A133,BasisTable,3,0),0)+R$1)/(1-R$2))</f>
        <v>30.7367005012838</v>
      </c>
      <c r="S133" s="1568" t="n">
        <f aca="false">IF(Assumptions!$L$25=4,VLOOKUP($A133,'Henwood Reference'!$E$9:$R$320,11),(VLOOKUP($A133,PriceTable,7,0)+IF(BasisNumber&lt;&gt;1,VLOOKUP($A133,BasisTable,3,0),0)+S$1)/(1-S$2))</f>
        <v>30.7367005012838</v>
      </c>
      <c r="T133" s="1600" t="n">
        <f aca="false">IF(Assumptions!$L$25=4,VLOOKUP($A133,'Henwood Reference'!$E$9:$R$320,11),(VLOOKUP($A133,PriceTable,8,0)+IF(BasisNumber&lt;&gt;1,VLOOKUP($A133,BasisTable,3,0),0)+T$1)/(1-T$2))</f>
        <v>30.7367005012838</v>
      </c>
      <c r="U133" s="1513" t="n">
        <f aca="false">VLOOKUP($A133,VolatilityTable,14)</f>
        <v>0.12</v>
      </c>
      <c r="V133" s="1513" t="n">
        <f aca="false">VLOOKUP($A133,VolatilityTable,15)</f>
        <v>0.13</v>
      </c>
      <c r="W133" s="1514" t="n">
        <f aca="false">VLOOKUP($A133,VolatilityTable,16)</f>
        <v>0.14</v>
      </c>
      <c r="X133" s="1513" t="n">
        <f aca="false">VLOOKUP($A133,VolatilityTable,14)</f>
        <v>0.12</v>
      </c>
      <c r="Y133" s="1513" t="n">
        <f aca="false">VLOOKUP($A133,VolatilityTable,15)</f>
        <v>0.13</v>
      </c>
      <c r="Z133" s="1514" t="n">
        <f aca="false">VLOOKUP($A133,VolatilityTable,16)</f>
        <v>0.14</v>
      </c>
      <c r="AA133" s="1513" t="n">
        <f aca="false">VLOOKUP($A133,VolatilityTable,18)</f>
        <v>0.09</v>
      </c>
      <c r="AB133" s="1513" t="n">
        <f aca="false">VLOOKUP($A133,VolatilityTable,19)</f>
        <v>0.11</v>
      </c>
      <c r="AC133" s="1514" t="n">
        <f aca="false">VLOOKUP($A133,VolatilityTable,20)</f>
        <v>0.13</v>
      </c>
      <c r="AD133" s="1513" t="n">
        <f aca="false">VLOOKUP($A133,VolatilityTable,18)</f>
        <v>0.09</v>
      </c>
      <c r="AE133" s="1513" t="n">
        <f aca="false">VLOOKUP($A133,VolatilityTable,19)</f>
        <v>0.11</v>
      </c>
      <c r="AF133" s="1514" t="n">
        <f aca="false">VLOOKUP($A133,VolatilityTable,20)</f>
        <v>0.13</v>
      </c>
      <c r="AG133" s="1513" t="n">
        <f aca="false">VLOOKUP($A133,VolatilityTable,22)</f>
        <v>-0.25</v>
      </c>
      <c r="AH133" s="1513" t="n">
        <f aca="false">VLOOKUP($A133,VolatilityTable,23)</f>
        <v>0.65</v>
      </c>
      <c r="AI133" s="1514" t="n">
        <f aca="false">VLOOKUP($A133,VolatilityTable,24)</f>
        <v>0.25</v>
      </c>
      <c r="AJ133" s="1513" t="n">
        <f aca="false">VLOOKUP($A133,VolatilityTable,22)</f>
        <v>-0.25</v>
      </c>
      <c r="AK133" s="1513" t="n">
        <f aca="false">VLOOKUP($A133,VolatilityTable,23)</f>
        <v>0.65</v>
      </c>
      <c r="AL133" s="1514" t="n">
        <f aca="false">VLOOKUP($A133,VolatilityTable,24)</f>
        <v>0.25</v>
      </c>
      <c r="AM133" s="1513" t="n">
        <f aca="false">VLOOKUP($A133,VolatilityTable,26)</f>
        <v>-0.01</v>
      </c>
      <c r="AN133" s="1513" t="n">
        <f aca="false">VLOOKUP($A133,VolatilityTable,27)</f>
        <v>0.16</v>
      </c>
      <c r="AO133" s="1514" t="n">
        <f aca="false">VLOOKUP($A133,VolatilityTable,28)</f>
        <v>0.01</v>
      </c>
      <c r="AP133" s="1513" t="n">
        <f aca="false">VLOOKUP($A133,VolatilityTable,26)</f>
        <v>-0.01</v>
      </c>
      <c r="AQ133" s="1513" t="n">
        <f aca="false">VLOOKUP($A133,VolatilityTable,27)</f>
        <v>0.16</v>
      </c>
      <c r="AR133" s="1515" t="n">
        <f aca="false">VLOOKUP($A133,VolatilityTable,28)</f>
        <v>0.01</v>
      </c>
      <c r="AS133" s="1581" t="n">
        <f aca="false">IF(CorrPeakOffPeakOverFlag,INDEX(CorrPeakOffPeakOver,C133),CorrPeakOffPeak)</f>
        <v>0.5</v>
      </c>
      <c r="AT133" s="594" t="e">
        <f aca="false">AX133-SUM(AU133:AW133)</f>
        <v>#VALUE!</v>
      </c>
      <c r="AU133" s="238" t="e">
        <f aca="false">IF(E133="",0,INT((F133-MOD(F133,7)-E133)/7)+1-IF(AW133,IF(WEEKDAY(D133)=7,1,0),0))</f>
        <v>#VALUE!</v>
      </c>
      <c r="AV133" s="238" t="e">
        <f aca="false">IF(E133="",0,INT((F133-MOD(F133-1,7)-E133)/7)+1-IF(AW133,IF(WEEKDAY(D133)=1,1,0),0))</f>
        <v>#VALUE!</v>
      </c>
      <c r="AW133" s="238" t="e">
        <f aca="false">IF(OR(E133="",D133="",D133&lt;BegDate,D133&gt;EndDate),0,1)</f>
        <v>#VALUE!</v>
      </c>
      <c r="AX133" s="238" t="n">
        <f aca="false">IF(E133="",0,F133-E133+1)</f>
        <v>31</v>
      </c>
      <c r="AY133" s="1582" t="n">
        <f aca="false">IF(E133="",0,MIN((1-(1-VLOOKUP(B133,MAIN!$AA$7:$AM$28,C133+1))*(1-VLOOKUP(B133,MAIN!$AA$33:$AM$54,C133+1))),1))</f>
        <v>0.03</v>
      </c>
      <c r="AZ133" s="1519" t="e">
        <v>#VALUE!</v>
      </c>
      <c r="BA133" s="1520" t="e">
        <v>#VALUE!</v>
      </c>
      <c r="BB133" s="1520" t="e">
        <v>#VALUE!</v>
      </c>
      <c r="BC133" s="1583" t="e">
        <v>#VALUE!</v>
      </c>
      <c r="BD133" s="1522" t="e">
        <v>#VALUE!</v>
      </c>
      <c r="BE133" s="1523" t="e">
        <v>#VALUE!</v>
      </c>
      <c r="BF133" s="1523" t="e">
        <v>#VALUE!</v>
      </c>
      <c r="BG133" s="1584" t="e">
        <v>#VALUE!</v>
      </c>
      <c r="BH133" s="1525" t="e">
        <v>#VALUE!</v>
      </c>
      <c r="BI133" s="1520" t="e">
        <v>#VALUE!</v>
      </c>
      <c r="BJ133" s="1520" t="e">
        <v>#VALUE!</v>
      </c>
      <c r="BK133" s="1583" t="e">
        <v>#VALUE!</v>
      </c>
      <c r="BL133" s="1522" t="e">
        <v>#VALUE!</v>
      </c>
      <c r="BM133" s="1523" t="e">
        <v>#VALUE!</v>
      </c>
      <c r="BN133" s="1523" t="e">
        <v>#VALUE!</v>
      </c>
      <c r="BO133" s="1523" t="e">
        <v>#VALUE!</v>
      </c>
      <c r="BP133" s="1525" t="e">
        <f aca="false">SUM(AZ133:BB133)</f>
        <v>#VALUE!</v>
      </c>
      <c r="BQ133" s="1529" t="e">
        <f aca="false">SUM(AZ133:BC133)</f>
        <v>#VALUE!</v>
      </c>
      <c r="BR133" s="1519" t="e">
        <f aca="false">SUM(BH133:BJ133)</f>
        <v>#VALUE!</v>
      </c>
      <c r="BS133" s="1529" t="e">
        <f aca="false">SUM(BH133:BK133)</f>
        <v>#VALUE!</v>
      </c>
      <c r="BT133" s="1316" t="n">
        <f aca="false">(IF(OVolType&lt;&gt;2,A133+14,IF(OptExpDateShift,ShiftBack(A133,OptExpDateShift,D132),A133))-DateToday)/365.25</f>
        <v>9.71663244353183</v>
      </c>
      <c r="BU133" s="1585" t="e">
        <f aca="false">IF(BQ133,IF(OPriceCurve,IF(OBuySell=OCallPut,I133/(1-AY133),K133/(1-AY133)),J133/(1-AY133))*BD133,0)</f>
        <v>#VALUE!</v>
      </c>
      <c r="BV133" s="1316" t="e">
        <f aca="false">IF(BQ133,IF(OPriceCurve,IF(OBuySell=OCallPut,L133/(1-AY133),N133/(1-AY133)),M133/(1-AY133))*BE133,0)</f>
        <v>#VALUE!</v>
      </c>
      <c r="BW133" s="1316" t="e">
        <f aca="false">IF(BQ133,IF(OPriceCurve,IF(OBuySell=OCallPut,O133/(1-AY133),Q133/(1-AY133)),P133/(1-AY133))*BF133,0)</f>
        <v>#VALUE!</v>
      </c>
      <c r="BX133" s="1316" t="e">
        <f aca="false">IF(BQ133,IF(OPriceCurve,IF(OBuySell=OCallPut,R133/(1-AY133),T133/(1-AY133)),S133/(1-AY133))*BG133,0)</f>
        <v>#VALUE!</v>
      </c>
      <c r="BY133" s="1316" t="e">
        <f aca="false">IF(BP133,(BU133*AZ133+BV133*BA133+BW133*BB133)/BP133,0)</f>
        <v>#VALUE!</v>
      </c>
      <c r="BZ133" s="1316" t="e">
        <f aca="false">IF(BQ133,(BY133*BP133+BX133*BC133)/BQ133,0)</f>
        <v>#VALUE!</v>
      </c>
      <c r="CA133" s="1531" t="e">
        <f aca="false">IF(BS133,IF(OPriceCurve,IF(OBuySell=OCallPut,I133/(1-AY133),K133/(1-AY133)),J133/(1-AY133))*BL133,0)</f>
        <v>#VALUE!</v>
      </c>
      <c r="CB133" s="1316" t="e">
        <f aca="false">IF(BS133,IF(OPriceCurve,IF(OBuySell=OCallPut,L133/(1-AY133),N133/(1-AY133)),M133/(1-AY133))*BM133,0)</f>
        <v>#VALUE!</v>
      </c>
      <c r="CC133" s="1316" t="e">
        <f aca="false">IF(BS133,IF(OPriceCurve,IF(OBuySell=OCallPut,O133/(1-AY133),Q133/(1-AY133)),P133/(1-AY133))*BN133,0)</f>
        <v>#VALUE!</v>
      </c>
      <c r="CD133" s="1316" t="e">
        <f aca="false">IF(BS133,IF(OPriceCurve,IF(OBuySell=OCallPut,R133/(1-AY133),T133/(1-AY133)),S133/(1-AY133))*BO133,0)</f>
        <v>#VALUE!</v>
      </c>
      <c r="CE133" s="1316" t="e">
        <f aca="false">IF(BR133,(BU133*BH133+BV133*BI133+BW133*BJ133)/BR133,0)</f>
        <v>#VALUE!</v>
      </c>
      <c r="CF133" s="1532" t="e">
        <f aca="false">IF(BS133,(CE133*BR133+CD133*BK133)/BS133,0)</f>
        <v>#VALUE!</v>
      </c>
      <c r="CG133" s="1586" t="e">
        <f aca="false">IF(OR(BQ133,BS133),IF(OVolType&lt;&gt;2,SQRT(IF(OVolOverMonthlyPeak,OVolOverMonthlyPeak,IF(OVolCurve,IF(OBuySell,U133,W133),V133))^2*(1-15/365.25/BT133)+IF(OVolOverDailyPeak,OVolOverDailyPeak,IF(OVolCurve,IF(OBuySell,AG133,AI133),AH133))^2*15/365.25/BT133),IF(OVolOverMonthlyPeak,OVolOverMonthlyPeak,IF(OVolCurve,IF(OBuySell,U133,W133),V133))),"")</f>
        <v>#VALUE!</v>
      </c>
      <c r="CH133" s="1587" t="e">
        <f aca="false">IF(OR(BQ133,BS133),IF(OVolType&lt;&gt;2,SQRT(IF(OVolOverMonthlyPeak,OVolOverMonthlyPeak,IF(OVolCurve,IF(OBuySell,X133,Z133),Y133))^2*(1-15/365.25/BT133)+IF(OVolOverDailyPeak,OVolOverDailyPeak,IF(OVolCurve,IF(OBuySell,AJ133,AL133),AK133))^2*15/365.25/BT133),IF(OVolOverMonthlyPeak,OVolOverMonthlyPeak,IF(OVolCurve,IF(OBuySell,X133,Z133),Y133))),"")</f>
        <v>#VALUE!</v>
      </c>
      <c r="CI133" s="1587" t="e">
        <f aca="false">IF(OR(BQ133,BS133),IF(OVolType&lt;&gt;2,SQRT(IF(OVolOverMonthlyPeak,OVolOverMonthlyPeak,IF(OVolCurve,IF(OBuySell,AA133,AC133),AB133))^2*(1-15/365.25/BT133)+IF(OVolOverDailyPeak,OVolOverDailyPeak,IF(OVolCurve,IF(OBuySell,AM133,AO133),AN133))^2*15/365.25/BT133),IF(OVolOverMonthlyPeak,OVolOverMonthlyPeak,IF(OVolCurve,IF(OBuySell,AA133,AC133),AB133))),"")</f>
        <v>#VALUE!</v>
      </c>
      <c r="CJ133" s="1587" t="e">
        <f aca="false">IF(BQ133,IF(BP133,SQRT(LN(1+((BU133*AZ133)^2*(EXP(CG133^2*BT133)-1)+(BV133*BA133)^2*(EXP(CH133^2*BT133)-1)+(BW133*BB133)^2*(EXP(CI133^2*BT133)-1)+2*BU133*AZ133*BV133*BA133*(EXP(CG133*CH133*BT133)-1)+2*BV133*BA133*BW133*BB133*(EXP(CH133*CI133*BT133)-1)+2*BW133*BB133*BU133*AZ133*(EXP(CI133*CG133*BT133)-1))/(BY133*BP133)^2)/BT133),0),"")</f>
        <v>#VALUE!</v>
      </c>
      <c r="CK133" s="1587" t="e">
        <f aca="false">IF(BS133,IF(BR133,SQRT(LN(1+((CA133*BH133)^2*(EXP(CG133^2*BT133)-1)+(CB133*BI133)^2*(EXP(CH133^2*BT133)-1)+(CC133*BJ133)^2*(EXP(CI133^2*BT133)-1)+2*CA133*BH133*CB133*BI133*(EXP(CG133*CH133*BT133)-1)+2*CB133*BI133*CC133*BJ133*(EXP(CH133*CI133*BT133)-1)+2*CC133*BJ133*CA133*BH133*(EXP(CI133*CG133*BT133)-1))/(CE133*BR133)^2)/BT133),0),"")</f>
        <v>#VALUE!</v>
      </c>
      <c r="CL133" s="1587" t="e">
        <f aca="false">IF(OR(BQ133,BS133),IF(OVolType&lt;&gt;2,SQRT(IF(OVolOverMonthlyOffPeak,OVolOverMonthlyOffPeak,IF(OVolCurve,IF(OBuySell,AD133,AF133),AE133))^2*(1-15/365.25/BT133)+IF(OVolOverDailyOffPeak,OVolOverDailyOffPeak,IF(OVolCurve,IF(OBuySell,AP133,AR133),AQ133))^2*15/365.25/BT133),IF(OVolOverMonthlyOffPeak,OVolOverMonthlyOffPeak,IF(OVolCurve,IF(OBuySell,AD133,AF133),AE133))),"")</f>
        <v>#VALUE!</v>
      </c>
      <c r="CM133" s="1587" t="e">
        <f aca="false">IF(BQ133,SQRT(LN(1+((BY133*BP133)^2*(EXP(CJ133^2*BT133)-1)+(BX133*BC133)^2*(EXP(CL133^2*BT133)-1)+2*BY133*BP133*BX133*BC133*(EXP(AS133*CJ133*CL133*BT133)-1))/(BY133*BP133+BX133*BC133)^2)/BT133),"")</f>
        <v>#VALUE!</v>
      </c>
      <c r="CN133" s="1588" t="e">
        <f aca="false">IF(BS133,SQRT(LN(1+((CE133*BR133)^2*(EXP(CK133^2*BT133)-1)+(CD133*BK133)^2*(EXP(CL133^2*BT133)-1)+2*CE133*BR133*CD133*BK133*(EXP(AS133*CK133*CL133*BT133)-1))/(CE133*BR133+CD133*BK133)^2)/BT133),"")</f>
        <v>#VALUE!</v>
      </c>
      <c r="CO133" s="1531" t="e">
        <f aca="false">IF(OR(BQ133,BS133),VLOOKUP(A133,GasTable,13)*HeatRatePeak*(1+VLOOKUP($B133,HeatRateDegradation,$C133+1))/1000,0)</f>
        <v>#VALUE!</v>
      </c>
      <c r="CP133" s="1316" t="e">
        <f aca="false">IF(OR(BQ133,BS133),VLOOKUP(A133,GasTable,13)*HeatRatePeak*(1+VLOOKUP($B133,HeatRateDegradation,$C133+1))/1000,0)</f>
        <v>#VALUE!</v>
      </c>
      <c r="CQ133" s="1316" t="e">
        <f aca="false">IF(OR(BQ133,BS133),VLOOKUP(A133,GasTable,13)*IF(EV133,HeatRatePeak,HeatRateOffPeak)*(1+VLOOKUP($B133,HeatRateDegradation,$C133+1))/1000,0)</f>
        <v>#VALUE!</v>
      </c>
      <c r="CR133" s="1316" t="e">
        <f aca="false">IF(OR(BQ133,BS133),VLOOKUP(A133,GasTable,13)*IF(EW133,HeatRatePeak,HeatRateOffPeak)*(1+VLOOKUP($B133,HeatRateDegradation,$C133+1))/1000,0)</f>
        <v>#VALUE!</v>
      </c>
      <c r="CS133" s="1589" t="e">
        <f aca="false">IF(BQ133,(CO133*AZ133+CP133*BA133+CQ133*BB133+CR133*BC133)/BQ133,0)</f>
        <v>#VALUE!</v>
      </c>
      <c r="CT133" s="1316" t="e">
        <f aca="false">IF(BS133,CO133,0)</f>
        <v>#VALUE!</v>
      </c>
      <c r="CU133" s="1590" t="e">
        <f aca="false">IF(OR(BQ133,BS133),VLOOKUP(A133,GasTable,14),"")</f>
        <v>#VALUE!</v>
      </c>
      <c r="CV133" s="1568" t="e">
        <f aca="false">IF(OR(BQ133,BS133),IF(CorrPowerGasOverFlag,INDEX(CorrPowerGasOver,C133),CorrPowerGas),"")</f>
        <v>#VALUE!</v>
      </c>
      <c r="CW133" s="1316" t="e">
        <f aca="false">IF(OR($BQ133,$BS133),SpreadOptPowerMargin,0)*((1+Assumptions!$C$26)^($B133-YEAR(Assumptions!$C$17)))</f>
        <v>#VALUE!</v>
      </c>
      <c r="CX133" s="1316" t="e">
        <f aca="false">IF(OR($BQ133,$BS133),SpreadOptPowerMargin,0)*((1+Assumptions!$C$26)^($B133-YEAR(Assumptions!$C$17)))</f>
        <v>#VALUE!</v>
      </c>
      <c r="CY133" s="1316" t="e">
        <f aca="false">IF(OR($BQ133,$BS133),SpreadOptPowerMargin,0)*((1+Assumptions!$C$26)^($B133-YEAR(Assumptions!$C$17)))</f>
        <v>#VALUE!</v>
      </c>
      <c r="CZ133" s="1316" t="e">
        <f aca="false">IF(OR($BQ133,$BS133),SpreadOptPowerMargin,0)*((1+Assumptions!$C$26)^($B133-YEAR(Assumptions!$C$17)))</f>
        <v>#VALUE!</v>
      </c>
      <c r="DA133" s="1591" t="e">
        <f aca="false">IF(OR(BQ133,BS133),(CW133*(AZ133+BH133)+CX133*(BA133+BI133)+CY133*(BB133+BJ133)+CZ133*(BC133+BK133))/(BQ133+BS133),0)</f>
        <v>#VALUE!</v>
      </c>
      <c r="DB133" s="1592" t="e">
        <f aca="false">IF(OR(BQ133,BS133),CG133+IF(OVolSmile,VLOOKUP(MAX(-5,CO133+CW133-BU133),IF(OVolSmile=1,VolSmileBook,VolSmileModel),2),0),"")</f>
        <v>#VALUE!</v>
      </c>
      <c r="DC133" s="1592" t="e">
        <f aca="false">IF(OR(BQ133,BS133),CH133+IF(OVolSmile,VLOOKUP(MAX(-5,CP133+CW133-BV133),IF(OVolSmile=1,VolSmileBook,VolSmileModel),2),0),"")</f>
        <v>#VALUE!</v>
      </c>
      <c r="DD133" s="1592" t="e">
        <f aca="false">IF(OR(BQ133,BS133),CI133+IF(OVolSmile,VLOOKUP(MAX(-5,CQ133+CW133-BW133),IF(OVolSmile=1,VolSmileBook,VolSmileModel),2),0),"")</f>
        <v>#VALUE!</v>
      </c>
      <c r="DE133" s="1592" t="e">
        <f aca="false">IF(OR(BQ133,BS133),CL133+IF(OVolSmile,VLOOKUP(MAX(-5,CR133+CZ133-BX133),IF(OVolSmile=1,VolSmileBook,VolSmileModel),2),0),"")</f>
        <v>#VALUE!</v>
      </c>
      <c r="DF133" s="1592" t="e">
        <f aca="false">IF(BQ133,CM133+IF(OVolSmile,VLOOKUP(MAX(-5,CS133+DA133-BZ133),IF(OVolSmile=1,VolSmileBook,VolSmileModel),2),0),"")</f>
        <v>#VALUE!</v>
      </c>
      <c r="DG133" s="1593" t="e">
        <f aca="false">IF(BS133,CN133+IF(OVolSmile,VLOOKUP(MAX(-5,CT133+DA133-CF133),IF(OVolSmile=1,VolSmileBook,VolSmileModel),2),0),"")</f>
        <v>#VALUE!</v>
      </c>
      <c r="DH133" s="1316" t="e">
        <f aca="false">IF(AND(BU133&gt;0,CO133&gt;0,DB133&gt;0,CU133&gt;0),newSPRDOPT(BU133,CO133,CW133,0,DB133,CU133,CV133,BT133*365.25,OCallPut,0),0)</f>
        <v>#VALUE!</v>
      </c>
      <c r="DI133" s="1316" t="e">
        <f aca="false">IF(AND(BV133&gt;0,CP133&gt;0,DC133&gt;0,CU133&gt;0),newSPRDOPT(BV133,CP133,CX133,0,DC133,CU133,CV133,BT133*365.25,OCallPut,0),0)</f>
        <v>#VALUE!</v>
      </c>
      <c r="DJ133" s="1316" t="e">
        <f aca="false">IF(AND(BW133&gt;0,CQ133&gt;0,DD133&gt;0,CU133&gt;0),newSPRDOPT(BW133,CQ133,CY133,0,DD133,CU133,CV133,BT133*365.25,OCallPut,0),0)</f>
        <v>#VALUE!</v>
      </c>
      <c r="DK133" s="1316" t="e">
        <f aca="false">IF(AND(BX133&gt;0,CR133&gt;0,DE133&gt;0,CU133&gt;0),newSPRDOPT(BX133,CR133,CZ133,0,DE133,CU133,CV133,BT133*365.25,OCallPut,0),0)</f>
        <v>#VALUE!</v>
      </c>
      <c r="DL133" s="1316" t="e">
        <f aca="false">IF(OVolType,IF(AND(BZ133&gt;0,CS133&gt;0,DF133&gt;0,CU133&gt;0),newSPRDOPT(BZ133,CS133,DA133,0,DF133,CU133,CV133,BT133*365.25,OCallPut,0),0),IF(BQ133,(DH133*AZ133+DI133*BA133+DJ133*BB133+DK133*BC133)/BQ133,0))</f>
        <v>#VALUE!</v>
      </c>
      <c r="DM133" s="1316"/>
      <c r="DN133" s="1316"/>
      <c r="DO133" s="1316"/>
      <c r="DP133" s="1316"/>
      <c r="DQ133" s="1316"/>
      <c r="DR133" s="1316"/>
      <c r="DS133" s="1316"/>
      <c r="DT133" s="1316"/>
      <c r="DU133" s="1316"/>
      <c r="DV133" s="1316"/>
      <c r="DW133" s="1594" t="e">
        <f aca="false">IF(AND(BW133&gt;0,CT133&gt;0,DD133&gt;0,CU133&gt;0),newSPRDOPT(BW133,CT133,CY133,0,DD133,CU133,CV133,BT133*365.25,OCallPut,0),0)</f>
        <v>#VALUE!</v>
      </c>
      <c r="DX133" s="1316" t="e">
        <f aca="false">IF(AND(BX133&gt;0,CT133&gt;0,DE133&gt;0,CU133&gt;0),newSPRDOPT(BX133,CT133,CZ133,0,DE133,CU133,CV133,BT133*365.25,OCallPut,0),0)</f>
        <v>#VALUE!</v>
      </c>
      <c r="DY133" s="1591" t="e">
        <f aca="false">IF(BS133,(DH133*BH133+DI133*BI133+DW133*BJ133+DX133*BK133)/BS133,0)</f>
        <v>#VALUE!</v>
      </c>
      <c r="DZ133" s="1551" t="e">
        <f aca="false">DH133*AZ133</f>
        <v>#VALUE!</v>
      </c>
      <c r="EA133" s="1551" t="e">
        <f aca="false">DI133*BA133</f>
        <v>#VALUE!</v>
      </c>
      <c r="EB133" s="1551" t="e">
        <f aca="false">DJ133*BB133</f>
        <v>#VALUE!</v>
      </c>
      <c r="EC133" s="1551" t="e">
        <f aca="false">DK133*BC133</f>
        <v>#VALUE!</v>
      </c>
      <c r="ED133" s="1551" t="e">
        <f aca="false">DL133*BQ133</f>
        <v>#VALUE!</v>
      </c>
      <c r="EE133" s="1595" t="e">
        <f aca="false">IF(BQ133,IF(OCallPut,IF(BU133&gt;(CO133+CW133),BU133-(CO133+CW133),0),IF((CO133+CW133)&gt;BU133,(CO133+CW133)-BU133,0))*AZ133,0)</f>
        <v>#VALUE!</v>
      </c>
      <c r="EF133" s="1596" t="e">
        <f aca="false">IF(BQ133,IF(OCallPut,IF(BV133&gt;(CP133+CX133),BV133-(CP133+CX133),0),IF((CP133+CX133)&gt;BV133,(CP133+CX133)-BV133,0))*BA133,0)</f>
        <v>#VALUE!</v>
      </c>
      <c r="EG133" s="1596" t="e">
        <f aca="false">IF(BQ133,IF(OCallPut,IF(BW133&gt;(CQ133+CY133),BW133-(CQ133+CY133),0),IF((CQ133+CY133)&gt;BW133,(CQ133+CY133)-BW133,0))*BB133,0)</f>
        <v>#VALUE!</v>
      </c>
      <c r="EH133" s="1596" t="e">
        <f aca="false">IF(BQ133,IF(OCallPut,IF(BX133&gt;(CR133+CZ133),BX133-(CR133+CZ133),0),IF((CR133+CZ133)&gt;BX133,(CR133+CZ133)-BX133,0))*BC133,0)</f>
        <v>#VALUE!</v>
      </c>
      <c r="EI133" s="1597" t="e">
        <f aca="false">IF(BQ133,IF(OVolType,IF(OCallPut,IF(BZ133&gt;(CS133+DA133),BZ133-(CS133+DA133),0),IF((CS133+DA133)&gt;BZ133,(CS133+DA133)-BZ133,0))*BQ133,SUM(EE133:EH133)),0)</f>
        <v>#VALUE!</v>
      </c>
      <c r="EJ133" s="1595" t="e">
        <f aca="false">DZ133-EE133</f>
        <v>#VALUE!</v>
      </c>
      <c r="EK133" s="1596" t="e">
        <f aca="false">EA133-EF133</f>
        <v>#VALUE!</v>
      </c>
      <c r="EL133" s="1596" t="e">
        <f aca="false">EB133-EG133</f>
        <v>#VALUE!</v>
      </c>
      <c r="EM133" s="1596" t="e">
        <f aca="false">EC133-EH133</f>
        <v>#VALUE!</v>
      </c>
      <c r="EN133" s="1597" t="e">
        <f aca="false">ED133-EI133</f>
        <v>#VALUE!</v>
      </c>
      <c r="EO133" s="1551" t="e">
        <f aca="false">DH133*BH133</f>
        <v>#VALUE!</v>
      </c>
      <c r="EP133" s="1551" t="e">
        <f aca="false">DI133*BI133</f>
        <v>#VALUE!</v>
      </c>
      <c r="EQ133" s="1551" t="e">
        <f aca="false">DW133*BJ133</f>
        <v>#VALUE!</v>
      </c>
      <c r="ER133" s="1551" t="e">
        <f aca="false">DX133*BK133</f>
        <v>#VALUE!</v>
      </c>
      <c r="ES133" s="1551" t="e">
        <f aca="false">DY133*BS133</f>
        <v>#VALUE!</v>
      </c>
      <c r="ET133" s="1566" t="e">
        <f aca="false">IF(EI133,IF(OCallPut,IF(CA133&gt;(CT133+CW133),CA133-(CT133+CW133),0),IF((CT133+CW133)&gt;CA133,(CT133+CW133)-CA133,0))*BH133,0)</f>
        <v>#VALUE!</v>
      </c>
      <c r="EU133" s="1551" t="e">
        <f aca="false">IF(EI133,IF(OCallPut,IF(CB133&gt;(CT133+CX133),CB133-(CT133+CX133),0),IF((CT133+CX133)&gt;CB133,(CT133+CX133)-CB133,0))*BI133,0)</f>
        <v>#VALUE!</v>
      </c>
      <c r="EV133" s="1551" t="e">
        <f aca="false">IF(EI133,IF(OCallPut,IF(CC133&gt;(CT133+CY133),CC133-(CT133+CY133),0),IF((CT133+CY133)&gt;CC133,(CT133+CY133)-CC133,0))*BJ133,0)</f>
        <v>#VALUE!</v>
      </c>
      <c r="EW133" s="1551" t="e">
        <f aca="false">IF(EI133,IF(OCallPut,IF(CD133&gt;(CT133+CZ133),CD133-(CT133+CZ133),0),IF((CT133+CZ133)&gt;CD133,(CT133+CZ133)-CD133,0))*BK133,0)</f>
        <v>#VALUE!</v>
      </c>
      <c r="EX133" s="1558" t="e">
        <f aca="false">IF(EI133,SUM(ET133:EW133),0)</f>
        <v>#VALUE!</v>
      </c>
      <c r="EY133" s="1551" t="e">
        <f aca="false">EO133-ET133</f>
        <v>#VALUE!</v>
      </c>
      <c r="EZ133" s="1551" t="e">
        <f aca="false">EP133-EU133</f>
        <v>#VALUE!</v>
      </c>
      <c r="FA133" s="1551" t="e">
        <f aca="false">EQ133-EV133</f>
        <v>#VALUE!</v>
      </c>
      <c r="FB133" s="1551" t="e">
        <f aca="false">ER133-EW133</f>
        <v>#VALUE!</v>
      </c>
      <c r="FC133" s="1551" t="e">
        <f aca="false">ES133-EX133</f>
        <v>#VALUE!</v>
      </c>
      <c r="FD133" s="1525" t="n">
        <f aca="false">IF(AX133,IF(VLOOKUP(C133,MAIN!$L$17:$M$28,2)="Yes",VLOOKUP(CALC!B133,MAIN!$H$17:$I$20,2),0),0)</f>
        <v>0</v>
      </c>
      <c r="FE133" s="1552" t="e">
        <f aca="false">$FD133*16*AT133*(1-$AY133)</f>
        <v>#VALUE!</v>
      </c>
      <c r="FF133" s="1553" t="e">
        <f aca="false">$FD133*16*AU133*(1-$AY133)</f>
        <v>#VALUE!</v>
      </c>
      <c r="FG133" s="1553" t="e">
        <f aca="false">$FD133*16*(AV133+AW133)*(1-$AY133)</f>
        <v>#VALUE!</v>
      </c>
      <c r="FH133" s="1554" t="n">
        <f aca="false">$FD133*8*AX133*(1-$AY133)</f>
        <v>0</v>
      </c>
      <c r="FI133" s="1555" t="n">
        <f aca="false">IF(AX133,VLOOKUP(CALC!B133,MAIN!$H$17:$K$20,4),0)</f>
        <v>0</v>
      </c>
      <c r="FJ133" s="1553" t="e">
        <f aca="false">SUM(FE133:FH133)</f>
        <v>#VALUE!</v>
      </c>
      <c r="FK133" s="1556" t="e">
        <f aca="false">FI133*FJ133</f>
        <v>#VALUE!</v>
      </c>
      <c r="FL133" s="1551" t="e">
        <f aca="false">IF($EI133&gt;0,MIN(FE133,AZ133*(1+VLOOKUP($C133,WeatherCapacityAdjustment,2))),0)</f>
        <v>#VALUE!</v>
      </c>
      <c r="FM133" s="1551" t="e">
        <f aca="false">IF($EI133&gt;0,MIN(FF133,BA133*(1+VLOOKUP($C133,WeatherCapacityAdjustment,2))),0)</f>
        <v>#VALUE!</v>
      </c>
      <c r="FN133" s="1551" t="e">
        <f aca="false">IF($EI133&gt;0,MIN(FG133,BB133*(1+VLOOKUP($C133,WeatherCapacityAdjustment,2))),0)</f>
        <v>#VALUE!</v>
      </c>
      <c r="FO133" s="1564" t="e">
        <f aca="false">IF($EI133&gt;0,MIN(FH133,BC133*(1+VLOOKUP($C133,WeatherCapacityAdjustment,3))),0)</f>
        <v>#VALUE!</v>
      </c>
      <c r="FP133" s="1551" t="e">
        <f aca="false">IF(ET133&gt;0,MIN(FE133-FL133,BH133*(1+VLOOKUP($C133,WeatherCapacityAdjustment,2))),0)</f>
        <v>#VALUE!</v>
      </c>
      <c r="FQ133" s="1551" t="e">
        <f aca="false">IF(EU133&gt;0,MIN(FF133-FM133,BI133*(1+VLOOKUP($C133,WeatherCapacityAdjustment,2))),0)</f>
        <v>#VALUE!</v>
      </c>
      <c r="FR133" s="1551" t="e">
        <f aca="false">IF(EV133&gt;0,MIN(FG133-FN133,BJ133*(1+VLOOKUP($C133,WeatherCapacityAdjustment,2))),0)</f>
        <v>#VALUE!</v>
      </c>
      <c r="FS133" s="1558" t="e">
        <f aca="false">IF(EW133&gt;0,MIN(FH133-FO133,BK133*(1+VLOOKUP($C133,WeatherCapacityAdjustment,3))),0)</f>
        <v>#VALUE!</v>
      </c>
      <c r="FT133" s="1566" t="e">
        <f aca="false">IF(AND(Assumptions!$H$71="Yes",A133&gt;=Assumptions!$H$72,A133&lt;=Assumptions!$H$73),0,IF(AND($A133&gt;=Assumptions!$C$17,$A133&lt;=Assumptions!$C$18),MAX(AZ133*(1+VLOOKUP($C133,WeatherCapacityAdjustment,2))-FL133,0),0))</f>
        <v>#VALUE!</v>
      </c>
      <c r="FU133" s="1551" t="e">
        <f aca="false">IF(AND(Assumptions!$H$71="Yes",A133&gt;=Assumptions!$H$72,A133&lt;=Assumptions!$H$73),0,IF(AND($A133&gt;=Assumptions!$C$17,$A133&lt;=Assumptions!$C$18),MAX(BA133*(1+VLOOKUP($C133,WeatherCapacityAdjustment,2))-FM133,0),0))</f>
        <v>#VALUE!</v>
      </c>
      <c r="FV133" s="1551" t="e">
        <f aca="false">IF(AND(Assumptions!$H$71="Yes",A133&gt;=Assumptions!$H$72,A133&lt;=Assumptions!$H$73),0,IF(AND($A133&gt;=Assumptions!$C$17,$A133&lt;=Assumptions!$C$18),MAX(BB133*(1+VLOOKUP($C133,WeatherCapacityAdjustment,2))-FN133,0),0))</f>
        <v>#VALUE!</v>
      </c>
      <c r="FW133" s="1564" t="e">
        <f aca="false">IF(AND(Assumptions!$H$71="Yes",A133&gt;=Assumptions!$H$72,A133&lt;=Assumptions!$H$73),0,IF(AND($A133&gt;=Assumptions!$C$17,$A133&lt;=Assumptions!$C$18),MAX(BC133*(1+VLOOKUP($C133,WeatherCapacityAdjustment,3))-FO133,0),0))</f>
        <v>#VALUE!</v>
      </c>
      <c r="FX133" s="1569" t="e">
        <f aca="false">IF(AND(Assumptions!$H$71="Yes",A133&gt;=Assumptions!$H$72,A133&lt;=Assumptions!$H$73),0,IF(ET133&gt;0,MAX(BH133*(1+VLOOKUP($C133,WeatherCapacityAdjustment,2))-FP133,0),0))</f>
        <v>#VALUE!</v>
      </c>
      <c r="FY133" s="1551" t="e">
        <f aca="false">IF(AND(Assumptions!$H$71="Yes",A133&gt;=Assumptions!$H$72,A133&lt;=Assumptions!$H$73),0,IF(EU133&gt;0,MAX(BI133*(1+VLOOKUP($C133,WeatherCapacityAdjustment,3))-FQ133,0),0))</f>
        <v>#VALUE!</v>
      </c>
      <c r="FZ133" s="1551" t="e">
        <f aca="false">IF(AND(Assumptions!$H$71="Yes",A133&gt;=Assumptions!$H$72,A133&lt;=Assumptions!$H$73),0,IF(EV133&gt;0,MAX(BJ133*(1+VLOOKUP($C133,WeatherCapacityAdjustment,2))-FR133,0),0))</f>
        <v>#VALUE!</v>
      </c>
      <c r="GA133" s="1564" t="e">
        <f aca="false">IF(AND(Assumptions!$H$71="Yes",A133&gt;=Assumptions!$H$72,A133&lt;=Assumptions!$H$73),0,IF(EW133&gt;0,MAX(BK133*(1+VLOOKUP($C133,WeatherCapacityAdjustment,2))-FS133,0),0))</f>
        <v>#VALUE!</v>
      </c>
      <c r="GB133" s="1551" t="e">
        <f aca="false">SUM(FT133:GA133)</f>
        <v>#VALUE!</v>
      </c>
      <c r="GC133" s="1563" t="e">
        <f aca="false">+IF(SUM(FT133:GA133)=0,0,(SUMPRODUCT(BU133:BX133,FT133:FW133)+SUMPRODUCT(CA133:CD133,FX133:GA133))/SUM(FT133:GA133))</f>
        <v>#VALUE!</v>
      </c>
      <c r="GD133" s="1551" t="e">
        <f aca="false">(FT133*BU133+FX133*CA133+FU133*BV133+FY133*CB133+FV133*BW133+FZ133*CC133+FW133*BX133+GA133*CD133)</f>
        <v>#VALUE!</v>
      </c>
      <c r="GE133" s="1561" t="e">
        <f aca="false">+IF(BQ133,((FL133+FM133+FT133+FU133)*HeatRatePeak/1000*(1+VLOOKUP($C133,WeatherHeatRateAdjustment,2))+(FN133+FV133)*IF(EV133&gt;0,HeatRatePeak,HeatRateOffPeak)/1000*(1+VLOOKUP($C133,WeatherHeatRateAdjustment,2))+(FO133+FW133)*IF(EW133&gt;0,HeatRatePeak,HeatRateOffPeak)/1000*(1+VLOOKUP($C133,WeatherHeatRateAdjustment,3)))*(1+VLOOKUP($B133,HeatRateDegradation,$C133+1)),0)</f>
        <v>#VALUE!</v>
      </c>
      <c r="GF133" s="1562" t="e">
        <f aca="false">IF(BQ133,((FP133+FQ133+FR133+FX133+FY133+FZ133)*HeatRatePeak/1000*(1+VLOOKUP($C133,WeatherHeatRateAdjustment,2))+(FS133+GA133)*HeatRatePeak/1000*(1+VLOOKUP($C133,WeatherHeatRateAdjustment,3)))*(1+VLOOKUP($B133,HeatRateDegradation,$C133+1)),0)</f>
        <v>#VALUE!</v>
      </c>
      <c r="GG133" s="1563" t="e">
        <f aca="false">IF(BQ133,VLOOKUP(A133,GasTable,13),0)</f>
        <v>#VALUE!</v>
      </c>
      <c r="GH133" s="1564" t="e">
        <f aca="false">(GE133+GF133)*GG133</f>
        <v>#VALUE!</v>
      </c>
      <c r="GI133" s="1569" t="e">
        <f aca="false">GB133</f>
        <v>#VALUE!</v>
      </c>
      <c r="GJ133" s="1598" t="e">
        <f aca="false">+DA133</f>
        <v>#VALUE!</v>
      </c>
      <c r="GK133" s="1558" t="e">
        <f aca="false">+GI133*GJ133</f>
        <v>#VALUE!</v>
      </c>
      <c r="GL133" s="1566" t="e">
        <f aca="false">MAX(FE133-FL133-FP133,0)</f>
        <v>#VALUE!</v>
      </c>
      <c r="GM133" s="1551" t="e">
        <f aca="false">MAX(FF133-FM133-FQ133,0)</f>
        <v>#VALUE!</v>
      </c>
      <c r="GN133" s="1551" t="e">
        <f aca="false">MAX(FG133-FN133-FR133,0)</f>
        <v>#VALUE!</v>
      </c>
      <c r="GO133" s="1564" t="e">
        <f aca="false">MAX(FH133-FO133-FS133,0)</f>
        <v>#VALUE!</v>
      </c>
      <c r="GP133" s="1551" t="e">
        <f aca="false">SUM(GL133:GO133)</f>
        <v>#VALUE!</v>
      </c>
      <c r="GQ133" s="1563" t="e">
        <f aca="false">IF(SUM(GL133:GO133)=0,0,((GL133*BU133+GM133*BV133+GN133*BW133+GO133*BX133)/SUM(GL133:GO133)))</f>
        <v>#VALUE!</v>
      </c>
      <c r="GR133" s="1558" t="e">
        <f aca="false">(GL133*BU133+GM133*BV133+GN133*BW133+GO133*BX133)</f>
        <v>#VALUE!</v>
      </c>
      <c r="GS133" s="1566" t="n">
        <f aca="false">IF($A133&gt;=BegDate,Assumptions!$C$56*24*($A134-$A133)*(1-VLOOKUP($B133,MAIN!$AA$7:$AM$28,$C133+1))*(1-VLOOKUP($B133,MAIN!$AA$33:$AM$54,$C133+1)),0)*80/168</f>
        <v>257742.857142857</v>
      </c>
      <c r="GT133" s="286" t="n">
        <f aca="false">J133</f>
        <v>50.2007501036661</v>
      </c>
      <c r="GU133" s="286" t="n">
        <f aca="false">IF($A133&gt;=BegDate,VLOOKUP($A133,GasTable,13)+Assumptions!$C$58,0)</f>
        <v>3.2364646792102</v>
      </c>
      <c r="GV133" s="286" t="n">
        <f aca="false">GU133*Assumptions!$C$57/1000</f>
        <v>23.4643689242739</v>
      </c>
      <c r="GW133" s="1558" t="n">
        <f aca="false">IF(Assumptions!$C$60="Hourly",MAX(0,GS133*(GT133-GV133)),GS133*(GT133-GV133))</f>
        <v>6891111.27483705</v>
      </c>
      <c r="GX133" s="1566" t="n">
        <f aca="false">IF($A133&gt;=BegDate,Assumptions!$C$56*24*($A134-$A133)*(1-VLOOKUP($B133,MAIN!$AA$7:$AM$28,$C133+1))*(1-VLOOKUP($B133,MAIN!$AA$33:$AM$54,$C133+1)),0)*16/168</f>
        <v>51548.5714285714</v>
      </c>
      <c r="GY133" s="286" t="n">
        <f aca="false">M133</f>
        <v>50.2007501036661</v>
      </c>
      <c r="GZ133" s="286" t="n">
        <f aca="false">IF($A133&gt;=BegDate,VLOOKUP($A133,GasTable,13)+Assumptions!$C$58,0)</f>
        <v>3.2364646792102</v>
      </c>
      <c r="HA133" s="286" t="n">
        <f aca="false">GZ133*Assumptions!$C$57/1000</f>
        <v>23.4643689242739</v>
      </c>
      <c r="HB133" s="1558" t="n">
        <f aca="false">IF(Assumptions!$C$60="Hourly",MAX(0,GX133*(GY133-HA133)),GX133*(GY133-HA133))</f>
        <v>1378222.25496741</v>
      </c>
      <c r="HC133" s="1566" t="n">
        <f aca="false">IF($A133&gt;=BegDate,Assumptions!$C$56*24*($A134-$A133)*(1-VLOOKUP($B133,MAIN!$AA$7:$AM$28,$C133+1))*(1-VLOOKUP($B133,MAIN!$AA$33:$AM$54,$C133+1)),0)*16/168</f>
        <v>51548.5714285714</v>
      </c>
      <c r="HD133" s="286" t="n">
        <f aca="false">P133</f>
        <v>30.7367005012838</v>
      </c>
      <c r="HE133" s="286" t="n">
        <f aca="false">IF($A133&gt;=BegDate,VLOOKUP($A133,GasTable,13)+Assumptions!$C$58,0)</f>
        <v>3.2364646792102</v>
      </c>
      <c r="HF133" s="286" t="n">
        <f aca="false">HE133*Assumptions!$C$57/1000</f>
        <v>23.4643689242739</v>
      </c>
      <c r="HG133" s="1558" t="n">
        <f aca="false">IF(Assumptions!$C$60="Hourly",MAX(0,HC133*(HD133-HF133)),HC133*(HD133-HF133))</f>
        <v>374878.303749748</v>
      </c>
      <c r="HH133" s="1566" t="n">
        <f aca="false">IF($A133&gt;=BegDate,Assumptions!$C$56*24*($A134-$A133)*(1-VLOOKUP($B133,MAIN!$AA$7:$AM$28,$C133+1))*(1-VLOOKUP($B133,MAIN!$AA$33:$AM$54,$C133+1)),0)*56/168</f>
        <v>180420</v>
      </c>
      <c r="HI133" s="286" t="n">
        <f aca="false">S133</f>
        <v>30.7367005012838</v>
      </c>
      <c r="HJ133" s="286" t="n">
        <f aca="false">IF($A133&gt;=BegDate,VLOOKUP($A133,GasTable,13)+Assumptions!$C$58,0)</f>
        <v>3.2364646792102</v>
      </c>
      <c r="HK133" s="286" t="n">
        <f aca="false">HJ133*Assumptions!$C$57/1000</f>
        <v>23.4643689242739</v>
      </c>
      <c r="HL133" s="1558" t="n">
        <f aca="false">IF(Assumptions!$C$60="Hourly",MAX(0,HH133*(HI133-HK133)),HH133*(HI133-HK133))</f>
        <v>1312074.06312412</v>
      </c>
      <c r="HM133" s="1566" t="n">
        <f aca="false">IF(AND(Assumptions!$H$71="Yes",A133&gt;=Assumptions!$H$72,A133&lt;=Assumptions!$H$73),Assumptions!$H$74*Assumptions!$C$9*1000,0)</f>
        <v>0</v>
      </c>
      <c r="HN133" s="1551"/>
      <c r="HO133" s="1563"/>
      <c r="HP133" s="1563"/>
      <c r="HQ133" s="1563"/>
      <c r="HR133" s="1563"/>
      <c r="HS133" s="1563"/>
      <c r="HT133" s="1563"/>
      <c r="HU133" s="1563"/>
      <c r="HV133" s="1563"/>
      <c r="HW133" s="1563"/>
      <c r="HX133" s="1563"/>
      <c r="HY133" s="1563"/>
      <c r="HZ133" s="1563"/>
      <c r="IA133" s="1563"/>
      <c r="IB133" s="1563"/>
      <c r="IC133" s="1563"/>
      <c r="ID133" s="1563"/>
      <c r="IE133" s="1563"/>
      <c r="IF133" s="1563"/>
      <c r="IG133" s="1563"/>
      <c r="IH133" s="1563"/>
      <c r="II133" s="1610"/>
      <c r="IJ133" s="1309"/>
      <c r="IK133" s="1309"/>
    </row>
    <row r="134" customFormat="false" ht="12.75" hidden="false" customHeight="false" outlineLevel="0" collapsed="false">
      <c r="A134" s="1571" t="n">
        <f aca="false">EOMONTH(A133,0)+1</f>
        <v>40210</v>
      </c>
      <c r="B134" s="594" t="n">
        <f aca="false">+YEAR(A134)</f>
        <v>2010</v>
      </c>
      <c r="C134" s="238" t="n">
        <f aca="false">MONTH(A134)</f>
        <v>2</v>
      </c>
      <c r="D134" s="1572" t="e">
        <f aca="false">IF(E134="","",Holiday(B134,C134))</f>
        <v>#VALUE!</v>
      </c>
      <c r="E134" s="1573" t="n">
        <f aca="false">IF(OR(BegDate&gt;=A135,EndDate&lt;A134,AND(VolumeMonthlyOverFlag,INDEX(VolumeMonthlyOver,C134)=0),NOT(INDEX(MonthKnockOutTable,C134))),"",MAX(A134,BegDate))</f>
        <v>40210</v>
      </c>
      <c r="F134" s="1574" t="n">
        <f aca="false">IF(E134="","",MIN(A135-1,EndDate))</f>
        <v>40237</v>
      </c>
      <c r="G134" s="1575" t="n">
        <v>0</v>
      </c>
      <c r="H134" s="1576" t="n">
        <f aca="false">(1+G134/2)^(-2*(DATE(B135,C135,20)-DateToday)/365.25)</f>
        <v>1</v>
      </c>
      <c r="I134" s="1568" t="n">
        <f aca="false">IF(Assumptions!$L$25=4,VLOOKUP($A134,'Henwood Reference'!$E$9:$R$320,10),(VLOOKUP($A134,PriceTable,2,0)+IF(BasisNumber&lt;&gt;1,VLOOKUP($A134,BasisTable,2,0),0)+I$1)/(1-I$2))</f>
        <v>48.1939195900287</v>
      </c>
      <c r="J134" s="1568" t="n">
        <f aca="false">IF(Assumptions!$L$25=4,VLOOKUP($A134,'Henwood Reference'!$E$9:$R$320,10),(VLOOKUP($A134,PriceTable,3,0)+IF(BasisNumber&lt;&gt;1,VLOOKUP($A134,BasisTable,2,0),0)+J$1)/(1-J$2))</f>
        <v>48.1939195900287</v>
      </c>
      <c r="K134" s="1568" t="n">
        <f aca="false">IF(Assumptions!$L$25=4,VLOOKUP($A134,'Henwood Reference'!$E$9:$R$320,10),(VLOOKUP($A134,PriceTable,4,0)+IF(BasisNumber&lt;&gt;1,VLOOKUP($A134,BasisTable,2,0),0)+K$1)/(1-K$2))</f>
        <v>48.1939195900287</v>
      </c>
      <c r="L134" s="1523" t="n">
        <f aca="false">IF(Assumptions!$L$25=4,VLOOKUP($A134,'Henwood Reference'!$E$9:$R$320,10),(VLOOKUP($A134,PriceTableWeekend,2,0)+IF(BasisNumber&lt;&gt;1,VLOOKUP($A134,BasisTable,2,0),0)+L$1)/(1-L$2))</f>
        <v>48.1939195900287</v>
      </c>
      <c r="M134" s="1568" t="n">
        <f aca="false">IF(Assumptions!$L$25=4,VLOOKUP($A134,'Henwood Reference'!$E$9:$R$320,10),(VLOOKUP($A134,PriceTableWeekend,3,0)+IF(BasisNumber&lt;&gt;1,VLOOKUP($A134,BasisTable,2,0),0)+M$1)/(1-M$2))</f>
        <v>48.1939195900287</v>
      </c>
      <c r="N134" s="1599" t="n">
        <f aca="false">IF(Assumptions!$L$25=4,VLOOKUP($A134,'Henwood Reference'!$E$9:$R$320,10),(VLOOKUP($A134,PriceTableWeekend,4,0)+IF(BasisNumber&lt;&gt;1,VLOOKUP($A134,BasisTable,2,0),0)+N$1)/(1-N$2))</f>
        <v>48.1939195900287</v>
      </c>
      <c r="O134" s="1568" t="n">
        <f aca="false">IF(Assumptions!$L$25=4,VLOOKUP($A134,'Henwood Reference'!$E$9:$R$320,11),(VLOOKUP($A134,PriceTableWeekend,6,0)+IF(BasisNumber&lt;&gt;1,VLOOKUP($A134,BasisTable,3,0),0)+O$1)/(1-O$2))</f>
        <v>26.2377577954092</v>
      </c>
      <c r="P134" s="1568" t="n">
        <f aca="false">IF(Assumptions!$L$25=4,VLOOKUP($A134,'Henwood Reference'!$E$9:$R$320,11),(VLOOKUP($A134,PriceTableWeekend,7,0)+IF(BasisNumber&lt;&gt;1,VLOOKUP($A134,BasisTable,3,0),0)+P$1)/(1-P$2))</f>
        <v>26.2377577954092</v>
      </c>
      <c r="Q134" s="1599" t="n">
        <f aca="false">IF(Assumptions!$L$25=4,VLOOKUP($A134,'Henwood Reference'!$E$9:$R$320,11),(VLOOKUP($A134,PriceTableWeekend,8,0)+IF(BasisNumber&lt;&gt;1,VLOOKUP($A134,BasisTable,3,0),0)+Q$1)/(1-Q$2))</f>
        <v>26.2377577954092</v>
      </c>
      <c r="R134" s="1568" t="n">
        <f aca="false">IF(Assumptions!$L$25=4,VLOOKUP($A134,'Henwood Reference'!$E$9:$R$320,11),(VLOOKUP($A134,PriceTable,6,0)+IF(BasisNumber&lt;&gt;1,VLOOKUP($A134,BasisTable,3,0),0)+R$1)/(1-R$2))</f>
        <v>26.2377577954092</v>
      </c>
      <c r="S134" s="1568" t="n">
        <f aca="false">IF(Assumptions!$L$25=4,VLOOKUP($A134,'Henwood Reference'!$E$9:$R$320,11),(VLOOKUP($A134,PriceTable,7,0)+IF(BasisNumber&lt;&gt;1,VLOOKUP($A134,BasisTable,3,0),0)+S$1)/(1-S$2))</f>
        <v>26.2377577954092</v>
      </c>
      <c r="T134" s="1600" t="n">
        <f aca="false">IF(Assumptions!$L$25=4,VLOOKUP($A134,'Henwood Reference'!$E$9:$R$320,11),(VLOOKUP($A134,PriceTable,8,0)+IF(BasisNumber&lt;&gt;1,VLOOKUP($A134,BasisTable,3,0),0)+T$1)/(1-T$2))</f>
        <v>26.2377577954092</v>
      </c>
      <c r="U134" s="1513" t="n">
        <f aca="false">VLOOKUP($A134,VolatilityTable,14)</f>
        <v>0.12</v>
      </c>
      <c r="V134" s="1513" t="n">
        <f aca="false">VLOOKUP($A134,VolatilityTable,15)</f>
        <v>0.13</v>
      </c>
      <c r="W134" s="1514" t="n">
        <f aca="false">VLOOKUP($A134,VolatilityTable,16)</f>
        <v>0.14</v>
      </c>
      <c r="X134" s="1513" t="n">
        <f aca="false">VLOOKUP($A134,VolatilityTable,14)</f>
        <v>0.12</v>
      </c>
      <c r="Y134" s="1513" t="n">
        <f aca="false">VLOOKUP($A134,VolatilityTable,15)</f>
        <v>0.13</v>
      </c>
      <c r="Z134" s="1514" t="n">
        <f aca="false">VLOOKUP($A134,VolatilityTable,16)</f>
        <v>0.14</v>
      </c>
      <c r="AA134" s="1513" t="n">
        <f aca="false">VLOOKUP($A134,VolatilityTable,18)</f>
        <v>0.09</v>
      </c>
      <c r="AB134" s="1513" t="n">
        <f aca="false">VLOOKUP($A134,VolatilityTable,19)</f>
        <v>0.11</v>
      </c>
      <c r="AC134" s="1514" t="n">
        <f aca="false">VLOOKUP($A134,VolatilityTable,20)</f>
        <v>0.13</v>
      </c>
      <c r="AD134" s="1513" t="n">
        <f aca="false">VLOOKUP($A134,VolatilityTable,18)</f>
        <v>0.09</v>
      </c>
      <c r="AE134" s="1513" t="n">
        <f aca="false">VLOOKUP($A134,VolatilityTable,19)</f>
        <v>0.11</v>
      </c>
      <c r="AF134" s="1514" t="n">
        <f aca="false">VLOOKUP($A134,VolatilityTable,20)</f>
        <v>0.13</v>
      </c>
      <c r="AG134" s="1513" t="n">
        <f aca="false">VLOOKUP($A134,VolatilityTable,22)</f>
        <v>-0.25</v>
      </c>
      <c r="AH134" s="1513" t="n">
        <f aca="false">VLOOKUP($A134,VolatilityTable,23)</f>
        <v>0.65</v>
      </c>
      <c r="AI134" s="1514" t="n">
        <f aca="false">VLOOKUP($A134,VolatilityTable,24)</f>
        <v>0.25</v>
      </c>
      <c r="AJ134" s="1513" t="n">
        <f aca="false">VLOOKUP($A134,VolatilityTable,22)</f>
        <v>-0.25</v>
      </c>
      <c r="AK134" s="1513" t="n">
        <f aca="false">VLOOKUP($A134,VolatilityTable,23)</f>
        <v>0.65</v>
      </c>
      <c r="AL134" s="1514" t="n">
        <f aca="false">VLOOKUP($A134,VolatilityTable,24)</f>
        <v>0.25</v>
      </c>
      <c r="AM134" s="1513" t="n">
        <f aca="false">VLOOKUP($A134,VolatilityTable,26)</f>
        <v>-0.01</v>
      </c>
      <c r="AN134" s="1513" t="n">
        <f aca="false">VLOOKUP($A134,VolatilityTable,27)</f>
        <v>0.16</v>
      </c>
      <c r="AO134" s="1514" t="n">
        <f aca="false">VLOOKUP($A134,VolatilityTable,28)</f>
        <v>0.01</v>
      </c>
      <c r="AP134" s="1513" t="n">
        <f aca="false">VLOOKUP($A134,VolatilityTable,26)</f>
        <v>-0.01</v>
      </c>
      <c r="AQ134" s="1513" t="n">
        <f aca="false">VLOOKUP($A134,VolatilityTable,27)</f>
        <v>0.16</v>
      </c>
      <c r="AR134" s="1515" t="n">
        <f aca="false">VLOOKUP($A134,VolatilityTable,28)</f>
        <v>0.01</v>
      </c>
      <c r="AS134" s="1581" t="n">
        <f aca="false">IF(CorrPeakOffPeakOverFlag,INDEX(CorrPeakOffPeakOver,C134),CorrPeakOffPeak)</f>
        <v>0.5</v>
      </c>
      <c r="AT134" s="594" t="e">
        <f aca="false">AX134-SUM(AU134:AW134)</f>
        <v>#VALUE!</v>
      </c>
      <c r="AU134" s="238" t="e">
        <f aca="false">IF(E134="",0,INT((F134-MOD(F134,7)-E134)/7)+1-IF(AW134,IF(WEEKDAY(D134)=7,1,0),0))</f>
        <v>#VALUE!</v>
      </c>
      <c r="AV134" s="238" t="e">
        <f aca="false">IF(E134="",0,INT((F134-MOD(F134-1,7)-E134)/7)+1-IF(AW134,IF(WEEKDAY(D134)=1,1,0),0))</f>
        <v>#VALUE!</v>
      </c>
      <c r="AW134" s="238" t="e">
        <f aca="false">IF(OR(E134="",D134="",D134&lt;BegDate,D134&gt;EndDate),0,1)</f>
        <v>#VALUE!</v>
      </c>
      <c r="AX134" s="238" t="n">
        <f aca="false">IF(E134="",0,F134-E134+1)</f>
        <v>28</v>
      </c>
      <c r="AY134" s="1582" t="n">
        <f aca="false">IF(E134="",0,MIN((1-(1-VLOOKUP(B134,MAIN!$AA$7:$AM$28,C134+1))*(1-VLOOKUP(B134,MAIN!$AA$33:$AM$54,C134+1))),1))</f>
        <v>0.03</v>
      </c>
      <c r="AZ134" s="1519" t="e">
        <v>#VALUE!</v>
      </c>
      <c r="BA134" s="1520" t="e">
        <v>#VALUE!</v>
      </c>
      <c r="BB134" s="1520" t="e">
        <v>#VALUE!</v>
      </c>
      <c r="BC134" s="1583" t="e">
        <v>#VALUE!</v>
      </c>
      <c r="BD134" s="1522" t="e">
        <v>#VALUE!</v>
      </c>
      <c r="BE134" s="1523" t="e">
        <v>#VALUE!</v>
      </c>
      <c r="BF134" s="1523" t="e">
        <v>#VALUE!</v>
      </c>
      <c r="BG134" s="1584" t="e">
        <v>#VALUE!</v>
      </c>
      <c r="BH134" s="1525" t="e">
        <v>#VALUE!</v>
      </c>
      <c r="BI134" s="1520" t="e">
        <v>#VALUE!</v>
      </c>
      <c r="BJ134" s="1520" t="e">
        <v>#VALUE!</v>
      </c>
      <c r="BK134" s="1583" t="e">
        <v>#VALUE!</v>
      </c>
      <c r="BL134" s="1522" t="e">
        <v>#VALUE!</v>
      </c>
      <c r="BM134" s="1523" t="e">
        <v>#VALUE!</v>
      </c>
      <c r="BN134" s="1523" t="e">
        <v>#VALUE!</v>
      </c>
      <c r="BO134" s="1523" t="e">
        <v>#VALUE!</v>
      </c>
      <c r="BP134" s="1525" t="e">
        <f aca="false">SUM(AZ134:BB134)</f>
        <v>#VALUE!</v>
      </c>
      <c r="BQ134" s="1529" t="e">
        <f aca="false">SUM(AZ134:BC134)</f>
        <v>#VALUE!</v>
      </c>
      <c r="BR134" s="1519" t="e">
        <f aca="false">SUM(BH134:BJ134)</f>
        <v>#VALUE!</v>
      </c>
      <c r="BS134" s="1529" t="e">
        <f aca="false">SUM(BH134:BK134)</f>
        <v>#VALUE!</v>
      </c>
      <c r="BT134" s="1316" t="n">
        <f aca="false">(IF(OVolType&lt;&gt;2,A134+14,IF(OptExpDateShift,ShiftBack(A134,OptExpDateShift,D133),A134))-DateToday)/365.25</f>
        <v>9.80150581793292</v>
      </c>
      <c r="BU134" s="1585" t="e">
        <f aca="false">IF(BQ134,IF(OPriceCurve,IF(OBuySell=OCallPut,I134/(1-AY134),K134/(1-AY134)),J134/(1-AY134))*BD134,0)</f>
        <v>#VALUE!</v>
      </c>
      <c r="BV134" s="1316" t="e">
        <f aca="false">IF(BQ134,IF(OPriceCurve,IF(OBuySell=OCallPut,L134/(1-AY134),N134/(1-AY134)),M134/(1-AY134))*BE134,0)</f>
        <v>#VALUE!</v>
      </c>
      <c r="BW134" s="1316" t="e">
        <f aca="false">IF(BQ134,IF(OPriceCurve,IF(OBuySell=OCallPut,O134/(1-AY134),Q134/(1-AY134)),P134/(1-AY134))*BF134,0)</f>
        <v>#VALUE!</v>
      </c>
      <c r="BX134" s="1316" t="e">
        <f aca="false">IF(BQ134,IF(OPriceCurve,IF(OBuySell=OCallPut,R134/(1-AY134),T134/(1-AY134)),S134/(1-AY134))*BG134,0)</f>
        <v>#VALUE!</v>
      </c>
      <c r="BY134" s="1316" t="e">
        <f aca="false">IF(BP134,(BU134*AZ134+BV134*BA134+BW134*BB134)/BP134,0)</f>
        <v>#VALUE!</v>
      </c>
      <c r="BZ134" s="1316" t="e">
        <f aca="false">IF(BQ134,(BY134*BP134+BX134*BC134)/BQ134,0)</f>
        <v>#VALUE!</v>
      </c>
      <c r="CA134" s="1531" t="e">
        <f aca="false">IF(BS134,IF(OPriceCurve,IF(OBuySell=OCallPut,I134/(1-AY134),K134/(1-AY134)),J134/(1-AY134))*BL134,0)</f>
        <v>#VALUE!</v>
      </c>
      <c r="CB134" s="1316" t="e">
        <f aca="false">IF(BS134,IF(OPriceCurve,IF(OBuySell=OCallPut,L134/(1-AY134),N134/(1-AY134)),M134/(1-AY134))*BM134,0)</f>
        <v>#VALUE!</v>
      </c>
      <c r="CC134" s="1316" t="e">
        <f aca="false">IF(BS134,IF(OPriceCurve,IF(OBuySell=OCallPut,O134/(1-AY134),Q134/(1-AY134)),P134/(1-AY134))*BN134,0)</f>
        <v>#VALUE!</v>
      </c>
      <c r="CD134" s="1316" t="e">
        <f aca="false">IF(BS134,IF(OPriceCurve,IF(OBuySell=OCallPut,R134/(1-AY134),T134/(1-AY134)),S134/(1-AY134))*BO134,0)</f>
        <v>#VALUE!</v>
      </c>
      <c r="CE134" s="1316" t="e">
        <f aca="false">IF(BR134,(BU134*BH134+BV134*BI134+BW134*BJ134)/BR134,0)</f>
        <v>#VALUE!</v>
      </c>
      <c r="CF134" s="1532" t="e">
        <f aca="false">IF(BS134,(CE134*BR134+CD134*BK134)/BS134,0)</f>
        <v>#VALUE!</v>
      </c>
      <c r="CG134" s="1586" t="e">
        <f aca="false">IF(OR(BQ134,BS134),IF(OVolType&lt;&gt;2,SQRT(IF(OVolOverMonthlyPeak,OVolOverMonthlyPeak,IF(OVolCurve,IF(OBuySell,U134,W134),V134))^2*(1-15/365.25/BT134)+IF(OVolOverDailyPeak,OVolOverDailyPeak,IF(OVolCurve,IF(OBuySell,AG134,AI134),AH134))^2*15/365.25/BT134),IF(OVolOverMonthlyPeak,OVolOverMonthlyPeak,IF(OVolCurve,IF(OBuySell,U134,W134),V134))),"")</f>
        <v>#VALUE!</v>
      </c>
      <c r="CH134" s="1587" t="e">
        <f aca="false">IF(OR(BQ134,BS134),IF(OVolType&lt;&gt;2,SQRT(IF(OVolOverMonthlyPeak,OVolOverMonthlyPeak,IF(OVolCurve,IF(OBuySell,X134,Z134),Y134))^2*(1-15/365.25/BT134)+IF(OVolOverDailyPeak,OVolOverDailyPeak,IF(OVolCurve,IF(OBuySell,AJ134,AL134),AK134))^2*15/365.25/BT134),IF(OVolOverMonthlyPeak,OVolOverMonthlyPeak,IF(OVolCurve,IF(OBuySell,X134,Z134),Y134))),"")</f>
        <v>#VALUE!</v>
      </c>
      <c r="CI134" s="1587" t="e">
        <f aca="false">IF(OR(BQ134,BS134),IF(OVolType&lt;&gt;2,SQRT(IF(OVolOverMonthlyPeak,OVolOverMonthlyPeak,IF(OVolCurve,IF(OBuySell,AA134,AC134),AB134))^2*(1-15/365.25/BT134)+IF(OVolOverDailyPeak,OVolOverDailyPeak,IF(OVolCurve,IF(OBuySell,AM134,AO134),AN134))^2*15/365.25/BT134),IF(OVolOverMonthlyPeak,OVolOverMonthlyPeak,IF(OVolCurve,IF(OBuySell,AA134,AC134),AB134))),"")</f>
        <v>#VALUE!</v>
      </c>
      <c r="CJ134" s="1587" t="e">
        <f aca="false">IF(BQ134,IF(BP134,SQRT(LN(1+((BU134*AZ134)^2*(EXP(CG134^2*BT134)-1)+(BV134*BA134)^2*(EXP(CH134^2*BT134)-1)+(BW134*BB134)^2*(EXP(CI134^2*BT134)-1)+2*BU134*AZ134*BV134*BA134*(EXP(CG134*CH134*BT134)-1)+2*BV134*BA134*BW134*BB134*(EXP(CH134*CI134*BT134)-1)+2*BW134*BB134*BU134*AZ134*(EXP(CI134*CG134*BT134)-1))/(BY134*BP134)^2)/BT134),0),"")</f>
        <v>#VALUE!</v>
      </c>
      <c r="CK134" s="1587" t="e">
        <f aca="false">IF(BS134,IF(BR134,SQRT(LN(1+((CA134*BH134)^2*(EXP(CG134^2*BT134)-1)+(CB134*BI134)^2*(EXP(CH134^2*BT134)-1)+(CC134*BJ134)^2*(EXP(CI134^2*BT134)-1)+2*CA134*BH134*CB134*BI134*(EXP(CG134*CH134*BT134)-1)+2*CB134*BI134*CC134*BJ134*(EXP(CH134*CI134*BT134)-1)+2*CC134*BJ134*CA134*BH134*(EXP(CI134*CG134*BT134)-1))/(CE134*BR134)^2)/BT134),0),"")</f>
        <v>#VALUE!</v>
      </c>
      <c r="CL134" s="1587" t="e">
        <f aca="false">IF(OR(BQ134,BS134),IF(OVolType&lt;&gt;2,SQRT(IF(OVolOverMonthlyOffPeak,OVolOverMonthlyOffPeak,IF(OVolCurve,IF(OBuySell,AD134,AF134),AE134))^2*(1-15/365.25/BT134)+IF(OVolOverDailyOffPeak,OVolOverDailyOffPeak,IF(OVolCurve,IF(OBuySell,AP134,AR134),AQ134))^2*15/365.25/BT134),IF(OVolOverMonthlyOffPeak,OVolOverMonthlyOffPeak,IF(OVolCurve,IF(OBuySell,AD134,AF134),AE134))),"")</f>
        <v>#VALUE!</v>
      </c>
      <c r="CM134" s="1587" t="e">
        <f aca="false">IF(BQ134,SQRT(LN(1+((BY134*BP134)^2*(EXP(CJ134^2*BT134)-1)+(BX134*BC134)^2*(EXP(CL134^2*BT134)-1)+2*BY134*BP134*BX134*BC134*(EXP(AS134*CJ134*CL134*BT134)-1))/(BY134*BP134+BX134*BC134)^2)/BT134),"")</f>
        <v>#VALUE!</v>
      </c>
      <c r="CN134" s="1588" t="e">
        <f aca="false">IF(BS134,SQRT(LN(1+((CE134*BR134)^2*(EXP(CK134^2*BT134)-1)+(CD134*BK134)^2*(EXP(CL134^2*BT134)-1)+2*CE134*BR134*CD134*BK134*(EXP(AS134*CK134*CL134*BT134)-1))/(CE134*BR134+CD134*BK134)^2)/BT134),"")</f>
        <v>#VALUE!</v>
      </c>
      <c r="CO134" s="1531" t="e">
        <f aca="false">IF(OR(BQ134,BS134),VLOOKUP(A134,GasTable,13)*HeatRatePeak*(1+VLOOKUP($B134,HeatRateDegradation,$C134+1))/1000,0)</f>
        <v>#VALUE!</v>
      </c>
      <c r="CP134" s="1316" t="e">
        <f aca="false">IF(OR(BQ134,BS134),VLOOKUP(A134,GasTable,13)*HeatRatePeak*(1+VLOOKUP($B134,HeatRateDegradation,$C134+1))/1000,0)</f>
        <v>#VALUE!</v>
      </c>
      <c r="CQ134" s="1316" t="e">
        <f aca="false">IF(OR(BQ134,BS134),VLOOKUP(A134,GasTable,13)*IF(EV134,HeatRatePeak,HeatRateOffPeak)*(1+VLOOKUP($B134,HeatRateDegradation,$C134+1))/1000,0)</f>
        <v>#VALUE!</v>
      </c>
      <c r="CR134" s="1316" t="e">
        <f aca="false">IF(OR(BQ134,BS134),VLOOKUP(A134,GasTable,13)*IF(EW134,HeatRatePeak,HeatRateOffPeak)*(1+VLOOKUP($B134,HeatRateDegradation,$C134+1))/1000,0)</f>
        <v>#VALUE!</v>
      </c>
      <c r="CS134" s="1589" t="e">
        <f aca="false">IF(BQ134,(CO134*AZ134+CP134*BA134+CQ134*BB134+CR134*BC134)/BQ134,0)</f>
        <v>#VALUE!</v>
      </c>
      <c r="CT134" s="1316" t="e">
        <f aca="false">IF(BS134,CO134,0)</f>
        <v>#VALUE!</v>
      </c>
      <c r="CU134" s="1590" t="e">
        <f aca="false">IF(OR(BQ134,BS134),VLOOKUP(A134,GasTable,14),"")</f>
        <v>#VALUE!</v>
      </c>
      <c r="CV134" s="1568" t="e">
        <f aca="false">IF(OR(BQ134,BS134),IF(CorrPowerGasOverFlag,INDEX(CorrPowerGasOver,C134),CorrPowerGas),"")</f>
        <v>#VALUE!</v>
      </c>
      <c r="CW134" s="1316" t="e">
        <f aca="false">IF(OR($BQ134,$BS134),SpreadOptPowerMargin,0)*((1+Assumptions!$C$26)^($B134-YEAR(Assumptions!$C$17)))</f>
        <v>#VALUE!</v>
      </c>
      <c r="CX134" s="1316" t="e">
        <f aca="false">IF(OR($BQ134,$BS134),SpreadOptPowerMargin,0)*((1+Assumptions!$C$26)^($B134-YEAR(Assumptions!$C$17)))</f>
        <v>#VALUE!</v>
      </c>
      <c r="CY134" s="1316" t="e">
        <f aca="false">IF(OR($BQ134,$BS134),SpreadOptPowerMargin,0)*((1+Assumptions!$C$26)^($B134-YEAR(Assumptions!$C$17)))</f>
        <v>#VALUE!</v>
      </c>
      <c r="CZ134" s="1316" t="e">
        <f aca="false">IF(OR($BQ134,$BS134),SpreadOptPowerMargin,0)*((1+Assumptions!$C$26)^($B134-YEAR(Assumptions!$C$17)))</f>
        <v>#VALUE!</v>
      </c>
      <c r="DA134" s="1591" t="e">
        <f aca="false">IF(OR(BQ134,BS134),(CW134*(AZ134+BH134)+CX134*(BA134+BI134)+CY134*(BB134+BJ134)+CZ134*(BC134+BK134))/(BQ134+BS134),0)</f>
        <v>#VALUE!</v>
      </c>
      <c r="DB134" s="1592" t="e">
        <f aca="false">IF(OR(BQ134,BS134),CG134+IF(OVolSmile,VLOOKUP(MAX(-5,CO134+CW134-BU134),IF(OVolSmile=1,VolSmileBook,VolSmileModel),2),0),"")</f>
        <v>#VALUE!</v>
      </c>
      <c r="DC134" s="1592" t="e">
        <f aca="false">IF(OR(BQ134,BS134),CH134+IF(OVolSmile,VLOOKUP(MAX(-5,CP134+CW134-BV134),IF(OVolSmile=1,VolSmileBook,VolSmileModel),2),0),"")</f>
        <v>#VALUE!</v>
      </c>
      <c r="DD134" s="1592" t="e">
        <f aca="false">IF(OR(BQ134,BS134),CI134+IF(OVolSmile,VLOOKUP(MAX(-5,CQ134+CW134-BW134),IF(OVolSmile=1,VolSmileBook,VolSmileModel),2),0),"")</f>
        <v>#VALUE!</v>
      </c>
      <c r="DE134" s="1592" t="e">
        <f aca="false">IF(OR(BQ134,BS134),CL134+IF(OVolSmile,VLOOKUP(MAX(-5,CR134+CZ134-BX134),IF(OVolSmile=1,VolSmileBook,VolSmileModel),2),0),"")</f>
        <v>#VALUE!</v>
      </c>
      <c r="DF134" s="1592" t="e">
        <f aca="false">IF(BQ134,CM134+IF(OVolSmile,VLOOKUP(MAX(-5,CS134+DA134-BZ134),IF(OVolSmile=1,VolSmileBook,VolSmileModel),2),0),"")</f>
        <v>#VALUE!</v>
      </c>
      <c r="DG134" s="1593" t="e">
        <f aca="false">IF(BS134,CN134+IF(OVolSmile,VLOOKUP(MAX(-5,CT134+DA134-CF134),IF(OVolSmile=1,VolSmileBook,VolSmileModel),2),0),"")</f>
        <v>#VALUE!</v>
      </c>
      <c r="DH134" s="1316" t="e">
        <f aca="false">IF(AND(BU134&gt;0,CO134&gt;0,DB134&gt;0,CU134&gt;0),newSPRDOPT(BU134,CO134,CW134,0,DB134,CU134,CV134,BT134*365.25,OCallPut,0),0)</f>
        <v>#VALUE!</v>
      </c>
      <c r="DI134" s="1316" t="e">
        <f aca="false">IF(AND(BV134&gt;0,CP134&gt;0,DC134&gt;0,CU134&gt;0),newSPRDOPT(BV134,CP134,CX134,0,DC134,CU134,CV134,BT134*365.25,OCallPut,0),0)</f>
        <v>#VALUE!</v>
      </c>
      <c r="DJ134" s="1316" t="e">
        <f aca="false">IF(AND(BW134&gt;0,CQ134&gt;0,DD134&gt;0,CU134&gt;0),newSPRDOPT(BW134,CQ134,CY134,0,DD134,CU134,CV134,BT134*365.25,OCallPut,0),0)</f>
        <v>#VALUE!</v>
      </c>
      <c r="DK134" s="1316" t="e">
        <f aca="false">IF(AND(BX134&gt;0,CR134&gt;0,DE134&gt;0,CU134&gt;0),newSPRDOPT(BX134,CR134,CZ134,0,DE134,CU134,CV134,BT134*365.25,OCallPut,0),0)</f>
        <v>#VALUE!</v>
      </c>
      <c r="DL134" s="1316" t="e">
        <f aca="false">IF(OVolType,IF(AND(BZ134&gt;0,CS134&gt;0,DF134&gt;0,CU134&gt;0),newSPRDOPT(BZ134,CS134,DA134,0,DF134,CU134,CV134,BT134*365.25,OCallPut,0),0),IF(BQ134,(DH134*AZ134+DI134*BA134+DJ134*BB134+DK134*BC134)/BQ134,0))</f>
        <v>#VALUE!</v>
      </c>
      <c r="DM134" s="1316"/>
      <c r="DN134" s="1316"/>
      <c r="DO134" s="1316"/>
      <c r="DP134" s="1316"/>
      <c r="DQ134" s="1316"/>
      <c r="DR134" s="1316"/>
      <c r="DS134" s="1316"/>
      <c r="DT134" s="1316"/>
      <c r="DU134" s="1316"/>
      <c r="DV134" s="1316"/>
      <c r="DW134" s="1594" t="e">
        <f aca="false">IF(AND(BW134&gt;0,CT134&gt;0,DD134&gt;0,CU134&gt;0),newSPRDOPT(BW134,CT134,CY134,0,DD134,CU134,CV134,BT134*365.25,OCallPut,0),0)</f>
        <v>#VALUE!</v>
      </c>
      <c r="DX134" s="1316" t="e">
        <f aca="false">IF(AND(BX134&gt;0,CT134&gt;0,DE134&gt;0,CU134&gt;0),newSPRDOPT(BX134,CT134,CZ134,0,DE134,CU134,CV134,BT134*365.25,OCallPut,0),0)</f>
        <v>#VALUE!</v>
      </c>
      <c r="DY134" s="1591" t="e">
        <f aca="false">IF(BS134,(DH134*BH134+DI134*BI134+DW134*BJ134+DX134*BK134)/BS134,0)</f>
        <v>#VALUE!</v>
      </c>
      <c r="DZ134" s="1551" t="e">
        <f aca="false">DH134*AZ134</f>
        <v>#VALUE!</v>
      </c>
      <c r="EA134" s="1551" t="e">
        <f aca="false">DI134*BA134</f>
        <v>#VALUE!</v>
      </c>
      <c r="EB134" s="1551" t="e">
        <f aca="false">DJ134*BB134</f>
        <v>#VALUE!</v>
      </c>
      <c r="EC134" s="1551" t="e">
        <f aca="false">DK134*BC134</f>
        <v>#VALUE!</v>
      </c>
      <c r="ED134" s="1551" t="e">
        <f aca="false">DL134*BQ134</f>
        <v>#VALUE!</v>
      </c>
      <c r="EE134" s="1595" t="e">
        <f aca="false">IF(BQ134,IF(OCallPut,IF(BU134&gt;(CO134+CW134),BU134-(CO134+CW134),0),IF((CO134+CW134)&gt;BU134,(CO134+CW134)-BU134,0))*AZ134,0)</f>
        <v>#VALUE!</v>
      </c>
      <c r="EF134" s="1596" t="e">
        <f aca="false">IF(BQ134,IF(OCallPut,IF(BV134&gt;(CP134+CX134),BV134-(CP134+CX134),0),IF((CP134+CX134)&gt;BV134,(CP134+CX134)-BV134,0))*BA134,0)</f>
        <v>#VALUE!</v>
      </c>
      <c r="EG134" s="1596" t="e">
        <f aca="false">IF(BQ134,IF(OCallPut,IF(BW134&gt;(CQ134+CY134),BW134-(CQ134+CY134),0),IF((CQ134+CY134)&gt;BW134,(CQ134+CY134)-BW134,0))*BB134,0)</f>
        <v>#VALUE!</v>
      </c>
      <c r="EH134" s="1596" t="e">
        <f aca="false">IF(BQ134,IF(OCallPut,IF(BX134&gt;(CR134+CZ134),BX134-(CR134+CZ134),0),IF((CR134+CZ134)&gt;BX134,(CR134+CZ134)-BX134,0))*BC134,0)</f>
        <v>#VALUE!</v>
      </c>
      <c r="EI134" s="1597" t="e">
        <f aca="false">IF(BQ134,IF(OVolType,IF(OCallPut,IF(BZ134&gt;(CS134+DA134),BZ134-(CS134+DA134),0),IF((CS134+DA134)&gt;BZ134,(CS134+DA134)-BZ134,0))*BQ134,SUM(EE134:EH134)),0)</f>
        <v>#VALUE!</v>
      </c>
      <c r="EJ134" s="1595" t="e">
        <f aca="false">DZ134-EE134</f>
        <v>#VALUE!</v>
      </c>
      <c r="EK134" s="1596" t="e">
        <f aca="false">EA134-EF134</f>
        <v>#VALUE!</v>
      </c>
      <c r="EL134" s="1596" t="e">
        <f aca="false">EB134-EG134</f>
        <v>#VALUE!</v>
      </c>
      <c r="EM134" s="1596" t="e">
        <f aca="false">EC134-EH134</f>
        <v>#VALUE!</v>
      </c>
      <c r="EN134" s="1597" t="e">
        <f aca="false">ED134-EI134</f>
        <v>#VALUE!</v>
      </c>
      <c r="EO134" s="1551" t="e">
        <f aca="false">DH134*BH134</f>
        <v>#VALUE!</v>
      </c>
      <c r="EP134" s="1551" t="e">
        <f aca="false">DI134*BI134</f>
        <v>#VALUE!</v>
      </c>
      <c r="EQ134" s="1551" t="e">
        <f aca="false">DW134*BJ134</f>
        <v>#VALUE!</v>
      </c>
      <c r="ER134" s="1551" t="e">
        <f aca="false">DX134*BK134</f>
        <v>#VALUE!</v>
      </c>
      <c r="ES134" s="1551" t="e">
        <f aca="false">DY134*BS134</f>
        <v>#VALUE!</v>
      </c>
      <c r="ET134" s="1566" t="e">
        <f aca="false">IF(EI134,IF(OCallPut,IF(CA134&gt;(CT134+CW134),CA134-(CT134+CW134),0),IF((CT134+CW134)&gt;CA134,(CT134+CW134)-CA134,0))*BH134,0)</f>
        <v>#VALUE!</v>
      </c>
      <c r="EU134" s="1551" t="e">
        <f aca="false">IF(EI134,IF(OCallPut,IF(CB134&gt;(CT134+CX134),CB134-(CT134+CX134),0),IF((CT134+CX134)&gt;CB134,(CT134+CX134)-CB134,0))*BI134,0)</f>
        <v>#VALUE!</v>
      </c>
      <c r="EV134" s="1551" t="e">
        <f aca="false">IF(EI134,IF(OCallPut,IF(CC134&gt;(CT134+CY134),CC134-(CT134+CY134),0),IF((CT134+CY134)&gt;CC134,(CT134+CY134)-CC134,0))*BJ134,0)</f>
        <v>#VALUE!</v>
      </c>
      <c r="EW134" s="1551" t="e">
        <f aca="false">IF(EI134,IF(OCallPut,IF(CD134&gt;(CT134+CZ134),CD134-(CT134+CZ134),0),IF((CT134+CZ134)&gt;CD134,(CT134+CZ134)-CD134,0))*BK134,0)</f>
        <v>#VALUE!</v>
      </c>
      <c r="EX134" s="1558" t="e">
        <f aca="false">IF(EI134,SUM(ET134:EW134),0)</f>
        <v>#VALUE!</v>
      </c>
      <c r="EY134" s="1551" t="e">
        <f aca="false">EO134-ET134</f>
        <v>#VALUE!</v>
      </c>
      <c r="EZ134" s="1551" t="e">
        <f aca="false">EP134-EU134</f>
        <v>#VALUE!</v>
      </c>
      <c r="FA134" s="1551" t="e">
        <f aca="false">EQ134-EV134</f>
        <v>#VALUE!</v>
      </c>
      <c r="FB134" s="1551" t="e">
        <f aca="false">ER134-EW134</f>
        <v>#VALUE!</v>
      </c>
      <c r="FC134" s="1551" t="e">
        <f aca="false">ES134-EX134</f>
        <v>#VALUE!</v>
      </c>
      <c r="FD134" s="1525" t="n">
        <f aca="false">IF(AX134,IF(VLOOKUP(C134,MAIN!$L$17:$M$28,2)="Yes",VLOOKUP(CALC!B134,MAIN!$H$17:$I$20,2),0),0)</f>
        <v>0</v>
      </c>
      <c r="FE134" s="1552" t="e">
        <f aca="false">$FD134*16*AT134*(1-$AY134)</f>
        <v>#VALUE!</v>
      </c>
      <c r="FF134" s="1553" t="e">
        <f aca="false">$FD134*16*AU134*(1-$AY134)</f>
        <v>#VALUE!</v>
      </c>
      <c r="FG134" s="1553" t="e">
        <f aca="false">$FD134*16*(AV134+AW134)*(1-$AY134)</f>
        <v>#VALUE!</v>
      </c>
      <c r="FH134" s="1554" t="n">
        <f aca="false">$FD134*8*AX134*(1-$AY134)</f>
        <v>0</v>
      </c>
      <c r="FI134" s="1555" t="n">
        <f aca="false">IF(AX134,VLOOKUP(CALC!B134,MAIN!$H$17:$K$20,4),0)</f>
        <v>0</v>
      </c>
      <c r="FJ134" s="1553" t="e">
        <f aca="false">SUM(FE134:FH134)</f>
        <v>#VALUE!</v>
      </c>
      <c r="FK134" s="1556" t="e">
        <f aca="false">FI134*FJ134</f>
        <v>#VALUE!</v>
      </c>
      <c r="FL134" s="1551" t="e">
        <f aca="false">IF($EI134&gt;0,MIN(FE134,AZ134*(1+VLOOKUP($C134,WeatherCapacityAdjustment,2))),0)</f>
        <v>#VALUE!</v>
      </c>
      <c r="FM134" s="1551" t="e">
        <f aca="false">IF($EI134&gt;0,MIN(FF134,BA134*(1+VLOOKUP($C134,WeatherCapacityAdjustment,2))),0)</f>
        <v>#VALUE!</v>
      </c>
      <c r="FN134" s="1551" t="e">
        <f aca="false">IF($EI134&gt;0,MIN(FG134,BB134*(1+VLOOKUP($C134,WeatherCapacityAdjustment,2))),0)</f>
        <v>#VALUE!</v>
      </c>
      <c r="FO134" s="1564" t="e">
        <f aca="false">IF($EI134&gt;0,MIN(FH134,BC134*(1+VLOOKUP($C134,WeatherCapacityAdjustment,3))),0)</f>
        <v>#VALUE!</v>
      </c>
      <c r="FP134" s="1551" t="e">
        <f aca="false">IF(ET134&gt;0,MIN(FE134-FL134,BH134*(1+VLOOKUP($C134,WeatherCapacityAdjustment,2))),0)</f>
        <v>#VALUE!</v>
      </c>
      <c r="FQ134" s="1551" t="e">
        <f aca="false">IF(EU134&gt;0,MIN(FF134-FM134,BI134*(1+VLOOKUP($C134,WeatherCapacityAdjustment,2))),0)</f>
        <v>#VALUE!</v>
      </c>
      <c r="FR134" s="1551" t="e">
        <f aca="false">IF(EV134&gt;0,MIN(FG134-FN134,BJ134*(1+VLOOKUP($C134,WeatherCapacityAdjustment,2))),0)</f>
        <v>#VALUE!</v>
      </c>
      <c r="FS134" s="1558" t="e">
        <f aca="false">IF(EW134&gt;0,MIN(FH134-FO134,BK134*(1+VLOOKUP($C134,WeatherCapacityAdjustment,3))),0)</f>
        <v>#VALUE!</v>
      </c>
      <c r="FT134" s="1566" t="e">
        <f aca="false">IF(AND(Assumptions!$H$71="Yes",A134&gt;=Assumptions!$H$72,A134&lt;=Assumptions!$H$73),0,IF(AND($A134&gt;=Assumptions!$C$17,$A134&lt;=Assumptions!$C$18),MAX(AZ134*(1+VLOOKUP($C134,WeatherCapacityAdjustment,2))-FL134,0),0))</f>
        <v>#VALUE!</v>
      </c>
      <c r="FU134" s="1551" t="e">
        <f aca="false">IF(AND(Assumptions!$H$71="Yes",A134&gt;=Assumptions!$H$72,A134&lt;=Assumptions!$H$73),0,IF(AND($A134&gt;=Assumptions!$C$17,$A134&lt;=Assumptions!$C$18),MAX(BA134*(1+VLOOKUP($C134,WeatherCapacityAdjustment,2))-FM134,0),0))</f>
        <v>#VALUE!</v>
      </c>
      <c r="FV134" s="1551" t="e">
        <f aca="false">IF(AND(Assumptions!$H$71="Yes",A134&gt;=Assumptions!$H$72,A134&lt;=Assumptions!$H$73),0,IF(AND($A134&gt;=Assumptions!$C$17,$A134&lt;=Assumptions!$C$18),MAX(BB134*(1+VLOOKUP($C134,WeatherCapacityAdjustment,2))-FN134,0),0))</f>
        <v>#VALUE!</v>
      </c>
      <c r="FW134" s="1564" t="e">
        <f aca="false">IF(AND(Assumptions!$H$71="Yes",A134&gt;=Assumptions!$H$72,A134&lt;=Assumptions!$H$73),0,IF(AND($A134&gt;=Assumptions!$C$17,$A134&lt;=Assumptions!$C$18),MAX(BC134*(1+VLOOKUP($C134,WeatherCapacityAdjustment,3))-FO134,0),0))</f>
        <v>#VALUE!</v>
      </c>
      <c r="FX134" s="1569" t="e">
        <f aca="false">IF(AND(Assumptions!$H$71="Yes",A134&gt;=Assumptions!$H$72,A134&lt;=Assumptions!$H$73),0,IF(ET134&gt;0,MAX(BH134*(1+VLOOKUP($C134,WeatherCapacityAdjustment,2))-FP134,0),0))</f>
        <v>#VALUE!</v>
      </c>
      <c r="FY134" s="1551" t="e">
        <f aca="false">IF(AND(Assumptions!$H$71="Yes",A134&gt;=Assumptions!$H$72,A134&lt;=Assumptions!$H$73),0,IF(EU134&gt;0,MAX(BI134*(1+VLOOKUP($C134,WeatherCapacityAdjustment,3))-FQ134,0),0))</f>
        <v>#VALUE!</v>
      </c>
      <c r="FZ134" s="1551" t="e">
        <f aca="false">IF(AND(Assumptions!$H$71="Yes",A134&gt;=Assumptions!$H$72,A134&lt;=Assumptions!$H$73),0,IF(EV134&gt;0,MAX(BJ134*(1+VLOOKUP($C134,WeatherCapacityAdjustment,2))-FR134,0),0))</f>
        <v>#VALUE!</v>
      </c>
      <c r="GA134" s="1564" t="e">
        <f aca="false">IF(AND(Assumptions!$H$71="Yes",A134&gt;=Assumptions!$H$72,A134&lt;=Assumptions!$H$73),0,IF(EW134&gt;0,MAX(BK134*(1+VLOOKUP($C134,WeatherCapacityAdjustment,2))-FS134,0),0))</f>
        <v>#VALUE!</v>
      </c>
      <c r="GB134" s="1551" t="e">
        <f aca="false">SUM(FT134:GA134)</f>
        <v>#VALUE!</v>
      </c>
      <c r="GC134" s="1563" t="e">
        <f aca="false">+IF(SUM(FT134:GA134)=0,0,(SUMPRODUCT(BU134:BX134,FT134:FW134)+SUMPRODUCT(CA134:CD134,FX134:GA134))/SUM(FT134:GA134))</f>
        <v>#VALUE!</v>
      </c>
      <c r="GD134" s="1551" t="e">
        <f aca="false">(FT134*BU134+FX134*CA134+FU134*BV134+FY134*CB134+FV134*BW134+FZ134*CC134+FW134*BX134+GA134*CD134)</f>
        <v>#VALUE!</v>
      </c>
      <c r="GE134" s="1561" t="e">
        <f aca="false">+IF(BQ134,((FL134+FM134+FT134+FU134)*HeatRatePeak/1000*(1+VLOOKUP($C134,WeatherHeatRateAdjustment,2))+(FN134+FV134)*IF(EV134&gt;0,HeatRatePeak,HeatRateOffPeak)/1000*(1+VLOOKUP($C134,WeatherHeatRateAdjustment,2))+(FO134+FW134)*IF(EW134&gt;0,HeatRatePeak,HeatRateOffPeak)/1000*(1+VLOOKUP($C134,WeatherHeatRateAdjustment,3)))*(1+VLOOKUP($B134,HeatRateDegradation,$C134+1)),0)</f>
        <v>#VALUE!</v>
      </c>
      <c r="GF134" s="1562" t="e">
        <f aca="false">IF(BQ134,((FP134+FQ134+FR134+FX134+FY134+FZ134)*HeatRatePeak/1000*(1+VLOOKUP($C134,WeatherHeatRateAdjustment,2))+(FS134+GA134)*HeatRatePeak/1000*(1+VLOOKUP($C134,WeatherHeatRateAdjustment,3)))*(1+VLOOKUP($B134,HeatRateDegradation,$C134+1)),0)</f>
        <v>#VALUE!</v>
      </c>
      <c r="GG134" s="1563" t="e">
        <f aca="false">IF(BQ134,VLOOKUP(A134,GasTable,13),0)</f>
        <v>#VALUE!</v>
      </c>
      <c r="GH134" s="1564" t="e">
        <f aca="false">(GE134+GF134)*GG134</f>
        <v>#VALUE!</v>
      </c>
      <c r="GI134" s="1569" t="e">
        <f aca="false">GB134</f>
        <v>#VALUE!</v>
      </c>
      <c r="GJ134" s="1598" t="e">
        <f aca="false">+DA134</f>
        <v>#VALUE!</v>
      </c>
      <c r="GK134" s="1558" t="e">
        <f aca="false">+GI134*GJ134</f>
        <v>#VALUE!</v>
      </c>
      <c r="GL134" s="1566" t="e">
        <f aca="false">MAX(FE134-FL134-FP134,0)</f>
        <v>#VALUE!</v>
      </c>
      <c r="GM134" s="1551" t="e">
        <f aca="false">MAX(FF134-FM134-FQ134,0)</f>
        <v>#VALUE!</v>
      </c>
      <c r="GN134" s="1551" t="e">
        <f aca="false">MAX(FG134-FN134-FR134,0)</f>
        <v>#VALUE!</v>
      </c>
      <c r="GO134" s="1564" t="e">
        <f aca="false">MAX(FH134-FO134-FS134,0)</f>
        <v>#VALUE!</v>
      </c>
      <c r="GP134" s="1551" t="e">
        <f aca="false">SUM(GL134:GO134)</f>
        <v>#VALUE!</v>
      </c>
      <c r="GQ134" s="1563" t="e">
        <f aca="false">IF(SUM(GL134:GO134)=0,0,((GL134*BU134+GM134*BV134+GN134*BW134+GO134*BX134)/SUM(GL134:GO134)))</f>
        <v>#VALUE!</v>
      </c>
      <c r="GR134" s="1558" t="e">
        <f aca="false">(GL134*BU134+GM134*BV134+GN134*BW134+GO134*BX134)</f>
        <v>#VALUE!</v>
      </c>
      <c r="GS134" s="1566" t="n">
        <f aca="false">IF($A134&gt;=BegDate,Assumptions!$C$56*24*($A135-$A134)*(1-VLOOKUP($B134,MAIN!$AA$7:$AM$28,$C134+1))*(1-VLOOKUP($B134,MAIN!$AA$33:$AM$54,$C134+1)),0)*80/168</f>
        <v>232800</v>
      </c>
      <c r="GT134" s="286" t="n">
        <f aca="false">J134</f>
        <v>48.1939195900287</v>
      </c>
      <c r="GU134" s="286" t="n">
        <f aca="false">IF($A134&gt;=BegDate,VLOOKUP($A134,GasTable,13)+Assumptions!$C$58,0)</f>
        <v>2.98423468556402</v>
      </c>
      <c r="GV134" s="286" t="n">
        <f aca="false">GU134*Assumptions!$C$57/1000</f>
        <v>21.6357014703391</v>
      </c>
      <c r="GW134" s="1558" t="n">
        <f aca="false">IF(Assumptions!$C$60="Hourly",MAX(0,GS134*(GT134-GV134)),GS134*(GT134-GV134))</f>
        <v>6182753.17826374</v>
      </c>
      <c r="GX134" s="1566" t="n">
        <f aca="false">IF($A134&gt;=BegDate,Assumptions!$C$56*24*($A135-$A134)*(1-VLOOKUP($B134,MAIN!$AA$7:$AM$28,$C134+1))*(1-VLOOKUP($B134,MAIN!$AA$33:$AM$54,$C134+1)),0)*16/168</f>
        <v>46560</v>
      </c>
      <c r="GY134" s="286" t="n">
        <f aca="false">M134</f>
        <v>48.1939195900287</v>
      </c>
      <c r="GZ134" s="286" t="n">
        <f aca="false">IF($A134&gt;=BegDate,VLOOKUP($A134,GasTable,13)+Assumptions!$C$58,0)</f>
        <v>2.98423468556402</v>
      </c>
      <c r="HA134" s="286" t="n">
        <f aca="false">GZ134*Assumptions!$C$57/1000</f>
        <v>21.6357014703391</v>
      </c>
      <c r="HB134" s="1558" t="n">
        <f aca="false">IF(Assumptions!$C$60="Hourly",MAX(0,GX134*(GY134-HA134)),GX134*(GY134-HA134))</f>
        <v>1236550.63565275</v>
      </c>
      <c r="HC134" s="1566" t="n">
        <f aca="false">IF($A134&gt;=BegDate,Assumptions!$C$56*24*($A135-$A134)*(1-VLOOKUP($B134,MAIN!$AA$7:$AM$28,$C134+1))*(1-VLOOKUP($B134,MAIN!$AA$33:$AM$54,$C134+1)),0)*16/168</f>
        <v>46560</v>
      </c>
      <c r="HD134" s="286" t="n">
        <f aca="false">P134</f>
        <v>26.2377577954092</v>
      </c>
      <c r="HE134" s="286" t="n">
        <f aca="false">IF($A134&gt;=BegDate,VLOOKUP($A134,GasTable,13)+Assumptions!$C$58,0)</f>
        <v>2.98423468556402</v>
      </c>
      <c r="HF134" s="286" t="n">
        <f aca="false">HE134*Assumptions!$C$57/1000</f>
        <v>21.6357014703391</v>
      </c>
      <c r="HG134" s="1558" t="n">
        <f aca="false">IF(Assumptions!$C$60="Hourly",MAX(0,HC134*(HD134-HF134)),HC134*(HD134-HF134))</f>
        <v>214271.742495261</v>
      </c>
      <c r="HH134" s="1566" t="n">
        <f aca="false">IF($A134&gt;=BegDate,Assumptions!$C$56*24*($A135-$A134)*(1-VLOOKUP($B134,MAIN!$AA$7:$AM$28,$C134+1))*(1-VLOOKUP($B134,MAIN!$AA$33:$AM$54,$C134+1)),0)*56/168</f>
        <v>162960</v>
      </c>
      <c r="HI134" s="286" t="n">
        <f aca="false">S134</f>
        <v>26.2377577954092</v>
      </c>
      <c r="HJ134" s="286" t="n">
        <f aca="false">IF($A134&gt;=BegDate,VLOOKUP($A134,GasTable,13)+Assumptions!$C$58,0)</f>
        <v>2.98423468556402</v>
      </c>
      <c r="HK134" s="286" t="n">
        <f aca="false">HJ134*Assumptions!$C$57/1000</f>
        <v>21.6357014703391</v>
      </c>
      <c r="HL134" s="1558" t="n">
        <f aca="false">IF(Assumptions!$C$60="Hourly",MAX(0,HH134*(HI134-HK134)),HH134*(HI134-HK134))</f>
        <v>749951.098733413</v>
      </c>
      <c r="HM134" s="1566" t="n">
        <f aca="false">IF(AND(Assumptions!$H$71="Yes",A134&gt;=Assumptions!$H$72,A134&lt;=Assumptions!$H$73),Assumptions!$H$74*Assumptions!$C$9*1000,0)</f>
        <v>0</v>
      </c>
      <c r="HN134" s="1551"/>
      <c r="HO134" s="1563"/>
      <c r="HP134" s="1563"/>
      <c r="HQ134" s="1563"/>
      <c r="HR134" s="1563"/>
      <c r="HS134" s="1563"/>
      <c r="HT134" s="1563"/>
      <c r="HU134" s="1563"/>
      <c r="HV134" s="1563"/>
      <c r="HW134" s="1563"/>
      <c r="HX134" s="1563"/>
      <c r="HY134" s="1563"/>
      <c r="HZ134" s="1563"/>
      <c r="IA134" s="1563"/>
      <c r="IB134" s="1563"/>
      <c r="IC134" s="1563"/>
      <c r="ID134" s="1563"/>
      <c r="IE134" s="1563"/>
      <c r="IF134" s="1563"/>
      <c r="IG134" s="1563"/>
      <c r="IH134" s="1563"/>
      <c r="II134" s="1610"/>
      <c r="IJ134" s="1309"/>
      <c r="IK134" s="1309"/>
    </row>
    <row r="135" customFormat="false" ht="12.75" hidden="false" customHeight="false" outlineLevel="0" collapsed="false">
      <c r="A135" s="1571" t="n">
        <f aca="false">EOMONTH(A134,0)+1</f>
        <v>40238</v>
      </c>
      <c r="B135" s="594" t="n">
        <f aca="false">+YEAR(A135)</f>
        <v>2010</v>
      </c>
      <c r="C135" s="238" t="n">
        <f aca="false">MONTH(A135)</f>
        <v>3</v>
      </c>
      <c r="D135" s="1572" t="e">
        <f aca="false">IF(E135="","",Holiday(B135,C135))</f>
        <v>#VALUE!</v>
      </c>
      <c r="E135" s="1573" t="n">
        <f aca="false">IF(OR(BegDate&gt;=A136,EndDate&lt;A135,AND(VolumeMonthlyOverFlag,INDEX(VolumeMonthlyOver,C135)=0),NOT(INDEX(MonthKnockOutTable,C135))),"",MAX(A135,BegDate))</f>
        <v>40238</v>
      </c>
      <c r="F135" s="1574" t="n">
        <f aca="false">IF(E135="","",MIN(A136-1,EndDate))</f>
        <v>40268</v>
      </c>
      <c r="G135" s="1575" t="n">
        <v>0</v>
      </c>
      <c r="H135" s="1576" t="n">
        <f aca="false">(1+G135/2)^(-2*(DATE(B136,C136,20)-DateToday)/365.25)</f>
        <v>1</v>
      </c>
      <c r="I135" s="1568" t="n">
        <f aca="false">IF(Assumptions!$L$25=4,VLOOKUP($A135,'Henwood Reference'!$E$9:$R$320,10),(VLOOKUP($A135,PriceTable,2,0)+IF(BasisNumber&lt;&gt;1,VLOOKUP($A135,BasisTable,2,0),0)+I$1)/(1-I$2))</f>
        <v>41.9128070421217</v>
      </c>
      <c r="J135" s="1568" t="n">
        <f aca="false">IF(Assumptions!$L$25=4,VLOOKUP($A135,'Henwood Reference'!$E$9:$R$320,10),(VLOOKUP($A135,PriceTable,3,0)+IF(BasisNumber&lt;&gt;1,VLOOKUP($A135,BasisTable,2,0),0)+J$1)/(1-J$2))</f>
        <v>41.9128070421217</v>
      </c>
      <c r="K135" s="1568" t="n">
        <f aca="false">IF(Assumptions!$L$25=4,VLOOKUP($A135,'Henwood Reference'!$E$9:$R$320,10),(VLOOKUP($A135,PriceTable,4,0)+IF(BasisNumber&lt;&gt;1,VLOOKUP($A135,BasisTable,2,0),0)+K$1)/(1-K$2))</f>
        <v>41.9128070421217</v>
      </c>
      <c r="L135" s="1523" t="n">
        <f aca="false">IF(Assumptions!$L$25=4,VLOOKUP($A135,'Henwood Reference'!$E$9:$R$320,10),(VLOOKUP($A135,PriceTableWeekend,2,0)+IF(BasisNumber&lt;&gt;1,VLOOKUP($A135,BasisTable,2,0),0)+L$1)/(1-L$2))</f>
        <v>41.9128070421217</v>
      </c>
      <c r="M135" s="1568" t="n">
        <f aca="false">IF(Assumptions!$L$25=4,VLOOKUP($A135,'Henwood Reference'!$E$9:$R$320,10),(VLOOKUP($A135,PriceTableWeekend,3,0)+IF(BasisNumber&lt;&gt;1,VLOOKUP($A135,BasisTable,2,0),0)+M$1)/(1-M$2))</f>
        <v>41.9128070421217</v>
      </c>
      <c r="N135" s="1599" t="n">
        <f aca="false">IF(Assumptions!$L$25=4,VLOOKUP($A135,'Henwood Reference'!$E$9:$R$320,10),(VLOOKUP($A135,PriceTableWeekend,4,0)+IF(BasisNumber&lt;&gt;1,VLOOKUP($A135,BasisTable,2,0),0)+N$1)/(1-N$2))</f>
        <v>41.9128070421217</v>
      </c>
      <c r="O135" s="1568" t="n">
        <f aca="false">IF(Assumptions!$L$25=4,VLOOKUP($A135,'Henwood Reference'!$E$9:$R$320,11),(VLOOKUP($A135,PriceTableWeekend,6,0)+IF(BasisNumber&lt;&gt;1,VLOOKUP($A135,BasisTable,3,0),0)+O$1)/(1-O$2))</f>
        <v>24.0351567779206</v>
      </c>
      <c r="P135" s="1568" t="n">
        <f aca="false">IF(Assumptions!$L$25=4,VLOOKUP($A135,'Henwood Reference'!$E$9:$R$320,11),(VLOOKUP($A135,PriceTableWeekend,7,0)+IF(BasisNumber&lt;&gt;1,VLOOKUP($A135,BasisTable,3,0),0)+P$1)/(1-P$2))</f>
        <v>24.0351567779206</v>
      </c>
      <c r="Q135" s="1599" t="n">
        <f aca="false">IF(Assumptions!$L$25=4,VLOOKUP($A135,'Henwood Reference'!$E$9:$R$320,11),(VLOOKUP($A135,PriceTableWeekend,8,0)+IF(BasisNumber&lt;&gt;1,VLOOKUP($A135,BasisTable,3,0),0)+Q$1)/(1-Q$2))</f>
        <v>24.0351567779206</v>
      </c>
      <c r="R135" s="1568" t="n">
        <f aca="false">IF(Assumptions!$L$25=4,VLOOKUP($A135,'Henwood Reference'!$E$9:$R$320,11),(VLOOKUP($A135,PriceTable,6,0)+IF(BasisNumber&lt;&gt;1,VLOOKUP($A135,BasisTable,3,0),0)+R$1)/(1-R$2))</f>
        <v>24.0351567779206</v>
      </c>
      <c r="S135" s="1568" t="n">
        <f aca="false">IF(Assumptions!$L$25=4,VLOOKUP($A135,'Henwood Reference'!$E$9:$R$320,11),(VLOOKUP($A135,PriceTable,7,0)+IF(BasisNumber&lt;&gt;1,VLOOKUP($A135,BasisTable,3,0),0)+S$1)/(1-S$2))</f>
        <v>24.0351567779206</v>
      </c>
      <c r="T135" s="1600" t="n">
        <f aca="false">IF(Assumptions!$L$25=4,VLOOKUP($A135,'Henwood Reference'!$E$9:$R$320,11),(VLOOKUP($A135,PriceTable,8,0)+IF(BasisNumber&lt;&gt;1,VLOOKUP($A135,BasisTable,3,0),0)+T$1)/(1-T$2))</f>
        <v>24.0351567779206</v>
      </c>
      <c r="U135" s="1513" t="n">
        <f aca="false">VLOOKUP($A135,VolatilityTable,14)</f>
        <v>0.12</v>
      </c>
      <c r="V135" s="1513" t="n">
        <f aca="false">VLOOKUP($A135,VolatilityTable,15)</f>
        <v>0.13</v>
      </c>
      <c r="W135" s="1514" t="n">
        <f aca="false">VLOOKUP($A135,VolatilityTable,16)</f>
        <v>0.14</v>
      </c>
      <c r="X135" s="1513" t="n">
        <f aca="false">VLOOKUP($A135,VolatilityTable,14)</f>
        <v>0.12</v>
      </c>
      <c r="Y135" s="1513" t="n">
        <f aca="false">VLOOKUP($A135,VolatilityTable,15)</f>
        <v>0.13</v>
      </c>
      <c r="Z135" s="1514" t="n">
        <f aca="false">VLOOKUP($A135,VolatilityTable,16)</f>
        <v>0.14</v>
      </c>
      <c r="AA135" s="1513" t="n">
        <f aca="false">VLOOKUP($A135,VolatilityTable,18)</f>
        <v>0.09</v>
      </c>
      <c r="AB135" s="1513" t="n">
        <f aca="false">VLOOKUP($A135,VolatilityTable,19)</f>
        <v>0.11</v>
      </c>
      <c r="AC135" s="1514" t="n">
        <f aca="false">VLOOKUP($A135,VolatilityTable,20)</f>
        <v>0.13</v>
      </c>
      <c r="AD135" s="1513" t="n">
        <f aca="false">VLOOKUP($A135,VolatilityTable,18)</f>
        <v>0.09</v>
      </c>
      <c r="AE135" s="1513" t="n">
        <f aca="false">VLOOKUP($A135,VolatilityTable,19)</f>
        <v>0.11</v>
      </c>
      <c r="AF135" s="1514" t="n">
        <f aca="false">VLOOKUP($A135,VolatilityTable,20)</f>
        <v>0.13</v>
      </c>
      <c r="AG135" s="1513" t="n">
        <f aca="false">VLOOKUP($A135,VolatilityTable,22)</f>
        <v>-0.1</v>
      </c>
      <c r="AH135" s="1513" t="n">
        <f aca="false">VLOOKUP($A135,VolatilityTable,23)</f>
        <v>0.65</v>
      </c>
      <c r="AI135" s="1514" t="n">
        <f aca="false">VLOOKUP($A135,VolatilityTable,24)</f>
        <v>0.1</v>
      </c>
      <c r="AJ135" s="1513" t="n">
        <f aca="false">VLOOKUP($A135,VolatilityTable,22)</f>
        <v>-0.1</v>
      </c>
      <c r="AK135" s="1513" t="n">
        <f aca="false">VLOOKUP($A135,VolatilityTable,23)</f>
        <v>0.65</v>
      </c>
      <c r="AL135" s="1514" t="n">
        <f aca="false">VLOOKUP($A135,VolatilityTable,24)</f>
        <v>0.1</v>
      </c>
      <c r="AM135" s="1513" t="n">
        <f aca="false">VLOOKUP($A135,VolatilityTable,26)</f>
        <v>-0.01</v>
      </c>
      <c r="AN135" s="1513" t="n">
        <f aca="false">VLOOKUP($A135,VolatilityTable,27)</f>
        <v>0.16</v>
      </c>
      <c r="AO135" s="1514" t="n">
        <f aca="false">VLOOKUP($A135,VolatilityTable,28)</f>
        <v>0.01</v>
      </c>
      <c r="AP135" s="1513" t="n">
        <f aca="false">VLOOKUP($A135,VolatilityTable,26)</f>
        <v>-0.01</v>
      </c>
      <c r="AQ135" s="1513" t="n">
        <f aca="false">VLOOKUP($A135,VolatilityTable,27)</f>
        <v>0.16</v>
      </c>
      <c r="AR135" s="1515" t="n">
        <f aca="false">VLOOKUP($A135,VolatilityTable,28)</f>
        <v>0.01</v>
      </c>
      <c r="AS135" s="1581" t="n">
        <f aca="false">IF(CorrPeakOffPeakOverFlag,INDEX(CorrPeakOffPeakOver,C135),CorrPeakOffPeak)</f>
        <v>0.5</v>
      </c>
      <c r="AT135" s="594" t="e">
        <f aca="false">AX135-SUM(AU135:AW135)</f>
        <v>#VALUE!</v>
      </c>
      <c r="AU135" s="238" t="e">
        <f aca="false">IF(E135="",0,INT((F135-MOD(F135,7)-E135)/7)+1-IF(AW135,IF(WEEKDAY(D135)=7,1,0),0))</f>
        <v>#VALUE!</v>
      </c>
      <c r="AV135" s="238" t="e">
        <f aca="false">IF(E135="",0,INT((F135-MOD(F135-1,7)-E135)/7)+1-IF(AW135,IF(WEEKDAY(D135)=1,1,0),0))</f>
        <v>#VALUE!</v>
      </c>
      <c r="AW135" s="238" t="e">
        <f aca="false">IF(OR(E135="",D135="",D135&lt;BegDate,D135&gt;EndDate),0,1)</f>
        <v>#VALUE!</v>
      </c>
      <c r="AX135" s="238" t="n">
        <f aca="false">IF(E135="",0,F135-E135+1)</f>
        <v>31</v>
      </c>
      <c r="AY135" s="1582" t="n">
        <f aca="false">IF(E135="",0,MIN((1-(1-VLOOKUP(B135,MAIN!$AA$7:$AM$28,C135+1))*(1-VLOOKUP(B135,MAIN!$AA$33:$AM$54,C135+1))),1))</f>
        <v>0.03</v>
      </c>
      <c r="AZ135" s="1519" t="e">
        <v>#VALUE!</v>
      </c>
      <c r="BA135" s="1520" t="e">
        <v>#VALUE!</v>
      </c>
      <c r="BB135" s="1520" t="e">
        <v>#VALUE!</v>
      </c>
      <c r="BC135" s="1583" t="e">
        <v>#VALUE!</v>
      </c>
      <c r="BD135" s="1522" t="e">
        <v>#VALUE!</v>
      </c>
      <c r="BE135" s="1523" t="e">
        <v>#VALUE!</v>
      </c>
      <c r="BF135" s="1523" t="e">
        <v>#VALUE!</v>
      </c>
      <c r="BG135" s="1584" t="e">
        <v>#VALUE!</v>
      </c>
      <c r="BH135" s="1525" t="e">
        <v>#VALUE!</v>
      </c>
      <c r="BI135" s="1520" t="e">
        <v>#VALUE!</v>
      </c>
      <c r="BJ135" s="1520" t="e">
        <v>#VALUE!</v>
      </c>
      <c r="BK135" s="1583" t="e">
        <v>#VALUE!</v>
      </c>
      <c r="BL135" s="1522" t="e">
        <v>#VALUE!</v>
      </c>
      <c r="BM135" s="1523" t="e">
        <v>#VALUE!</v>
      </c>
      <c r="BN135" s="1523" t="e">
        <v>#VALUE!</v>
      </c>
      <c r="BO135" s="1523" t="e">
        <v>#VALUE!</v>
      </c>
      <c r="BP135" s="1525" t="e">
        <f aca="false">SUM(AZ135:BB135)</f>
        <v>#VALUE!</v>
      </c>
      <c r="BQ135" s="1529" t="e">
        <f aca="false">SUM(AZ135:BC135)</f>
        <v>#VALUE!</v>
      </c>
      <c r="BR135" s="1519" t="e">
        <f aca="false">SUM(BH135:BJ135)</f>
        <v>#VALUE!</v>
      </c>
      <c r="BS135" s="1529" t="e">
        <f aca="false">SUM(BH135:BK135)</f>
        <v>#VALUE!</v>
      </c>
      <c r="BT135" s="1316" t="n">
        <f aca="false">(IF(OVolType&lt;&gt;2,A135+14,IF(OptExpDateShift,ShiftBack(A135,OptExpDateShift,D134),A135))-DateToday)/365.25</f>
        <v>9.87816563997262</v>
      </c>
      <c r="BU135" s="1585" t="e">
        <f aca="false">IF(BQ135,IF(OPriceCurve,IF(OBuySell=OCallPut,I135/(1-AY135),K135/(1-AY135)),J135/(1-AY135))*BD135,0)</f>
        <v>#VALUE!</v>
      </c>
      <c r="BV135" s="1316" t="e">
        <f aca="false">IF(BQ135,IF(OPriceCurve,IF(OBuySell=OCallPut,L135/(1-AY135),N135/(1-AY135)),M135/(1-AY135))*BE135,0)</f>
        <v>#VALUE!</v>
      </c>
      <c r="BW135" s="1316" t="e">
        <f aca="false">IF(BQ135,IF(OPriceCurve,IF(OBuySell=OCallPut,O135/(1-AY135),Q135/(1-AY135)),P135/(1-AY135))*BF135,0)</f>
        <v>#VALUE!</v>
      </c>
      <c r="BX135" s="1316" t="e">
        <f aca="false">IF(BQ135,IF(OPriceCurve,IF(OBuySell=OCallPut,R135/(1-AY135),T135/(1-AY135)),S135/(1-AY135))*BG135,0)</f>
        <v>#VALUE!</v>
      </c>
      <c r="BY135" s="1316" t="e">
        <f aca="false">IF(BP135,(BU135*AZ135+BV135*BA135+BW135*BB135)/BP135,0)</f>
        <v>#VALUE!</v>
      </c>
      <c r="BZ135" s="1316" t="e">
        <f aca="false">IF(BQ135,(BY135*BP135+BX135*BC135)/BQ135,0)</f>
        <v>#VALUE!</v>
      </c>
      <c r="CA135" s="1531" t="e">
        <f aca="false">IF(BS135,IF(OPriceCurve,IF(OBuySell=OCallPut,I135/(1-AY135),K135/(1-AY135)),J135/(1-AY135))*BL135,0)</f>
        <v>#VALUE!</v>
      </c>
      <c r="CB135" s="1316" t="e">
        <f aca="false">IF(BS135,IF(OPriceCurve,IF(OBuySell=OCallPut,L135/(1-AY135),N135/(1-AY135)),M135/(1-AY135))*BM135,0)</f>
        <v>#VALUE!</v>
      </c>
      <c r="CC135" s="1316" t="e">
        <f aca="false">IF(BS135,IF(OPriceCurve,IF(OBuySell=OCallPut,O135/(1-AY135),Q135/(1-AY135)),P135/(1-AY135))*BN135,0)</f>
        <v>#VALUE!</v>
      </c>
      <c r="CD135" s="1316" t="e">
        <f aca="false">IF(BS135,IF(OPriceCurve,IF(OBuySell=OCallPut,R135/(1-AY135),T135/(1-AY135)),S135/(1-AY135))*BO135,0)</f>
        <v>#VALUE!</v>
      </c>
      <c r="CE135" s="1316" t="e">
        <f aca="false">IF(BR135,(BU135*BH135+BV135*BI135+BW135*BJ135)/BR135,0)</f>
        <v>#VALUE!</v>
      </c>
      <c r="CF135" s="1532" t="e">
        <f aca="false">IF(BS135,(CE135*BR135+CD135*BK135)/BS135,0)</f>
        <v>#VALUE!</v>
      </c>
      <c r="CG135" s="1586" t="e">
        <f aca="false">IF(OR(BQ135,BS135),IF(OVolType&lt;&gt;2,SQRT(IF(OVolOverMonthlyPeak,OVolOverMonthlyPeak,IF(OVolCurve,IF(OBuySell,U135,W135),V135))^2*(1-15/365.25/BT135)+IF(OVolOverDailyPeak,OVolOverDailyPeak,IF(OVolCurve,IF(OBuySell,AG135,AI135),AH135))^2*15/365.25/BT135),IF(OVolOverMonthlyPeak,OVolOverMonthlyPeak,IF(OVolCurve,IF(OBuySell,U135,W135),V135))),"")</f>
        <v>#VALUE!</v>
      </c>
      <c r="CH135" s="1587" t="e">
        <f aca="false">IF(OR(BQ135,BS135),IF(OVolType&lt;&gt;2,SQRT(IF(OVolOverMonthlyPeak,OVolOverMonthlyPeak,IF(OVolCurve,IF(OBuySell,X135,Z135),Y135))^2*(1-15/365.25/BT135)+IF(OVolOverDailyPeak,OVolOverDailyPeak,IF(OVolCurve,IF(OBuySell,AJ135,AL135),AK135))^2*15/365.25/BT135),IF(OVolOverMonthlyPeak,OVolOverMonthlyPeak,IF(OVolCurve,IF(OBuySell,X135,Z135),Y135))),"")</f>
        <v>#VALUE!</v>
      </c>
      <c r="CI135" s="1587" t="e">
        <f aca="false">IF(OR(BQ135,BS135),IF(OVolType&lt;&gt;2,SQRT(IF(OVolOverMonthlyPeak,OVolOverMonthlyPeak,IF(OVolCurve,IF(OBuySell,AA135,AC135),AB135))^2*(1-15/365.25/BT135)+IF(OVolOverDailyPeak,OVolOverDailyPeak,IF(OVolCurve,IF(OBuySell,AM135,AO135),AN135))^2*15/365.25/BT135),IF(OVolOverMonthlyPeak,OVolOverMonthlyPeak,IF(OVolCurve,IF(OBuySell,AA135,AC135),AB135))),"")</f>
        <v>#VALUE!</v>
      </c>
      <c r="CJ135" s="1587" t="e">
        <f aca="false">IF(BQ135,IF(BP135,SQRT(LN(1+((BU135*AZ135)^2*(EXP(CG135^2*BT135)-1)+(BV135*BA135)^2*(EXP(CH135^2*BT135)-1)+(BW135*BB135)^2*(EXP(CI135^2*BT135)-1)+2*BU135*AZ135*BV135*BA135*(EXP(CG135*CH135*BT135)-1)+2*BV135*BA135*BW135*BB135*(EXP(CH135*CI135*BT135)-1)+2*BW135*BB135*BU135*AZ135*(EXP(CI135*CG135*BT135)-1))/(BY135*BP135)^2)/BT135),0),"")</f>
        <v>#VALUE!</v>
      </c>
      <c r="CK135" s="1587" t="e">
        <f aca="false">IF(BS135,IF(BR135,SQRT(LN(1+((CA135*BH135)^2*(EXP(CG135^2*BT135)-1)+(CB135*BI135)^2*(EXP(CH135^2*BT135)-1)+(CC135*BJ135)^2*(EXP(CI135^2*BT135)-1)+2*CA135*BH135*CB135*BI135*(EXP(CG135*CH135*BT135)-1)+2*CB135*BI135*CC135*BJ135*(EXP(CH135*CI135*BT135)-1)+2*CC135*BJ135*CA135*BH135*(EXP(CI135*CG135*BT135)-1))/(CE135*BR135)^2)/BT135),0),"")</f>
        <v>#VALUE!</v>
      </c>
      <c r="CL135" s="1587" t="e">
        <f aca="false">IF(OR(BQ135,BS135),IF(OVolType&lt;&gt;2,SQRT(IF(OVolOverMonthlyOffPeak,OVolOverMonthlyOffPeak,IF(OVolCurve,IF(OBuySell,AD135,AF135),AE135))^2*(1-15/365.25/BT135)+IF(OVolOverDailyOffPeak,OVolOverDailyOffPeak,IF(OVolCurve,IF(OBuySell,AP135,AR135),AQ135))^2*15/365.25/BT135),IF(OVolOverMonthlyOffPeak,OVolOverMonthlyOffPeak,IF(OVolCurve,IF(OBuySell,AD135,AF135),AE135))),"")</f>
        <v>#VALUE!</v>
      </c>
      <c r="CM135" s="1587" t="e">
        <f aca="false">IF(BQ135,SQRT(LN(1+((BY135*BP135)^2*(EXP(CJ135^2*BT135)-1)+(BX135*BC135)^2*(EXP(CL135^2*BT135)-1)+2*BY135*BP135*BX135*BC135*(EXP(AS135*CJ135*CL135*BT135)-1))/(BY135*BP135+BX135*BC135)^2)/BT135),"")</f>
        <v>#VALUE!</v>
      </c>
      <c r="CN135" s="1588" t="e">
        <f aca="false">IF(BS135,SQRT(LN(1+((CE135*BR135)^2*(EXP(CK135^2*BT135)-1)+(CD135*BK135)^2*(EXP(CL135^2*BT135)-1)+2*CE135*BR135*CD135*BK135*(EXP(AS135*CK135*CL135*BT135)-1))/(CE135*BR135+CD135*BK135)^2)/BT135),"")</f>
        <v>#VALUE!</v>
      </c>
      <c r="CO135" s="1531" t="e">
        <f aca="false">IF(OR(BQ135,BS135),VLOOKUP(A135,GasTable,13)*HeatRatePeak*(1+VLOOKUP($B135,HeatRateDegradation,$C135+1))/1000,0)</f>
        <v>#VALUE!</v>
      </c>
      <c r="CP135" s="1316" t="e">
        <f aca="false">IF(OR(BQ135,BS135),VLOOKUP(A135,GasTable,13)*HeatRatePeak*(1+VLOOKUP($B135,HeatRateDegradation,$C135+1))/1000,0)</f>
        <v>#VALUE!</v>
      </c>
      <c r="CQ135" s="1316" t="e">
        <f aca="false">IF(OR(BQ135,BS135),VLOOKUP(A135,GasTable,13)*IF(EV135,HeatRatePeak,HeatRateOffPeak)*(1+VLOOKUP($B135,HeatRateDegradation,$C135+1))/1000,0)</f>
        <v>#VALUE!</v>
      </c>
      <c r="CR135" s="1316" t="e">
        <f aca="false">IF(OR(BQ135,BS135),VLOOKUP(A135,GasTable,13)*IF(EW135,HeatRatePeak,HeatRateOffPeak)*(1+VLOOKUP($B135,HeatRateDegradation,$C135+1))/1000,0)</f>
        <v>#VALUE!</v>
      </c>
      <c r="CS135" s="1589" t="e">
        <f aca="false">IF(BQ135,(CO135*AZ135+CP135*BA135+CQ135*BB135+CR135*BC135)/BQ135,0)</f>
        <v>#VALUE!</v>
      </c>
      <c r="CT135" s="1316" t="e">
        <f aca="false">IF(BS135,CO135,0)</f>
        <v>#VALUE!</v>
      </c>
      <c r="CU135" s="1590" t="e">
        <f aca="false">IF(OR(BQ135,BS135),VLOOKUP(A135,GasTable,14),"")</f>
        <v>#VALUE!</v>
      </c>
      <c r="CV135" s="1568" t="e">
        <f aca="false">IF(OR(BQ135,BS135),IF(CorrPowerGasOverFlag,INDEX(CorrPowerGasOver,C135),CorrPowerGas),"")</f>
        <v>#VALUE!</v>
      </c>
      <c r="CW135" s="1316" t="e">
        <f aca="false">IF(OR($BQ135,$BS135),SpreadOptPowerMargin,0)*((1+Assumptions!$C$26)^($B135-YEAR(Assumptions!$C$17)))</f>
        <v>#VALUE!</v>
      </c>
      <c r="CX135" s="1316" t="e">
        <f aca="false">IF(OR($BQ135,$BS135),SpreadOptPowerMargin,0)*((1+Assumptions!$C$26)^($B135-YEAR(Assumptions!$C$17)))</f>
        <v>#VALUE!</v>
      </c>
      <c r="CY135" s="1316" t="e">
        <f aca="false">IF(OR($BQ135,$BS135),SpreadOptPowerMargin,0)*((1+Assumptions!$C$26)^($B135-YEAR(Assumptions!$C$17)))</f>
        <v>#VALUE!</v>
      </c>
      <c r="CZ135" s="1316" t="e">
        <f aca="false">IF(OR($BQ135,$BS135),SpreadOptPowerMargin,0)*((1+Assumptions!$C$26)^($B135-YEAR(Assumptions!$C$17)))</f>
        <v>#VALUE!</v>
      </c>
      <c r="DA135" s="1591" t="e">
        <f aca="false">IF(OR(BQ135,BS135),(CW135*(AZ135+BH135)+CX135*(BA135+BI135)+CY135*(BB135+BJ135)+CZ135*(BC135+BK135))/(BQ135+BS135),0)</f>
        <v>#VALUE!</v>
      </c>
      <c r="DB135" s="1592" t="e">
        <f aca="false">IF(OR(BQ135,BS135),CG135+IF(OVolSmile,VLOOKUP(MAX(-5,CO135+CW135-BU135),IF(OVolSmile=1,VolSmileBook,VolSmileModel),2),0),"")</f>
        <v>#VALUE!</v>
      </c>
      <c r="DC135" s="1592" t="e">
        <f aca="false">IF(OR(BQ135,BS135),CH135+IF(OVolSmile,VLOOKUP(MAX(-5,CP135+CW135-BV135),IF(OVolSmile=1,VolSmileBook,VolSmileModel),2),0),"")</f>
        <v>#VALUE!</v>
      </c>
      <c r="DD135" s="1592" t="e">
        <f aca="false">IF(OR(BQ135,BS135),CI135+IF(OVolSmile,VLOOKUP(MAX(-5,CQ135+CW135-BW135),IF(OVolSmile=1,VolSmileBook,VolSmileModel),2),0),"")</f>
        <v>#VALUE!</v>
      </c>
      <c r="DE135" s="1592" t="e">
        <f aca="false">IF(OR(BQ135,BS135),CL135+IF(OVolSmile,VLOOKUP(MAX(-5,CR135+CZ135-BX135),IF(OVolSmile=1,VolSmileBook,VolSmileModel),2),0),"")</f>
        <v>#VALUE!</v>
      </c>
      <c r="DF135" s="1592" t="e">
        <f aca="false">IF(BQ135,CM135+IF(OVolSmile,VLOOKUP(MAX(-5,CS135+DA135-BZ135),IF(OVolSmile=1,VolSmileBook,VolSmileModel),2),0),"")</f>
        <v>#VALUE!</v>
      </c>
      <c r="DG135" s="1593" t="e">
        <f aca="false">IF(BS135,CN135+IF(OVolSmile,VLOOKUP(MAX(-5,CT135+DA135-CF135),IF(OVolSmile=1,VolSmileBook,VolSmileModel),2),0),"")</f>
        <v>#VALUE!</v>
      </c>
      <c r="DH135" s="1316" t="e">
        <f aca="false">IF(AND(BU135&gt;0,CO135&gt;0,DB135&gt;0,CU135&gt;0),newSPRDOPT(BU135,CO135,CW135,0,DB135,CU135,CV135,BT135*365.25,OCallPut,0),0)</f>
        <v>#VALUE!</v>
      </c>
      <c r="DI135" s="1316" t="e">
        <f aca="false">IF(AND(BV135&gt;0,CP135&gt;0,DC135&gt;0,CU135&gt;0),newSPRDOPT(BV135,CP135,CX135,0,DC135,CU135,CV135,BT135*365.25,OCallPut,0),0)</f>
        <v>#VALUE!</v>
      </c>
      <c r="DJ135" s="1316" t="e">
        <f aca="false">IF(AND(BW135&gt;0,CQ135&gt;0,DD135&gt;0,CU135&gt;0),newSPRDOPT(BW135,CQ135,CY135,0,DD135,CU135,CV135,BT135*365.25,OCallPut,0),0)</f>
        <v>#VALUE!</v>
      </c>
      <c r="DK135" s="1316" t="e">
        <f aca="false">IF(AND(BX135&gt;0,CR135&gt;0,DE135&gt;0,CU135&gt;0),newSPRDOPT(BX135,CR135,CZ135,0,DE135,CU135,CV135,BT135*365.25,OCallPut,0),0)</f>
        <v>#VALUE!</v>
      </c>
      <c r="DL135" s="1316" t="e">
        <f aca="false">IF(OVolType,IF(AND(BZ135&gt;0,CS135&gt;0,DF135&gt;0,CU135&gt;0),newSPRDOPT(BZ135,CS135,DA135,0,DF135,CU135,CV135,BT135*365.25,OCallPut,0),0),IF(BQ135,(DH135*AZ135+DI135*BA135+DJ135*BB135+DK135*BC135)/BQ135,0))</f>
        <v>#VALUE!</v>
      </c>
      <c r="DM135" s="1316"/>
      <c r="DN135" s="1316"/>
      <c r="DO135" s="1316"/>
      <c r="DP135" s="1316"/>
      <c r="DQ135" s="1316"/>
      <c r="DR135" s="1316"/>
      <c r="DS135" s="1316"/>
      <c r="DT135" s="1316"/>
      <c r="DU135" s="1316"/>
      <c r="DV135" s="1316"/>
      <c r="DW135" s="1594" t="e">
        <f aca="false">IF(AND(BW135&gt;0,CT135&gt;0,DD135&gt;0,CU135&gt;0),newSPRDOPT(BW135,CT135,CY135,0,DD135,CU135,CV135,BT135*365.25,OCallPut,0),0)</f>
        <v>#VALUE!</v>
      </c>
      <c r="DX135" s="1316" t="e">
        <f aca="false">IF(AND(BX135&gt;0,CT135&gt;0,DE135&gt;0,CU135&gt;0),newSPRDOPT(BX135,CT135,CZ135,0,DE135,CU135,CV135,BT135*365.25,OCallPut,0),0)</f>
        <v>#VALUE!</v>
      </c>
      <c r="DY135" s="1591" t="e">
        <f aca="false">IF(BS135,(DH135*BH135+DI135*BI135+DW135*BJ135+DX135*BK135)/BS135,0)</f>
        <v>#VALUE!</v>
      </c>
      <c r="DZ135" s="1551" t="e">
        <f aca="false">DH135*AZ135</f>
        <v>#VALUE!</v>
      </c>
      <c r="EA135" s="1551" t="e">
        <f aca="false">DI135*BA135</f>
        <v>#VALUE!</v>
      </c>
      <c r="EB135" s="1551" t="e">
        <f aca="false">DJ135*BB135</f>
        <v>#VALUE!</v>
      </c>
      <c r="EC135" s="1551" t="e">
        <f aca="false">DK135*BC135</f>
        <v>#VALUE!</v>
      </c>
      <c r="ED135" s="1551" t="e">
        <f aca="false">DL135*BQ135</f>
        <v>#VALUE!</v>
      </c>
      <c r="EE135" s="1595" t="e">
        <f aca="false">IF(BQ135,IF(OCallPut,IF(BU135&gt;(CO135+CW135),BU135-(CO135+CW135),0),IF((CO135+CW135)&gt;BU135,(CO135+CW135)-BU135,0))*AZ135,0)</f>
        <v>#VALUE!</v>
      </c>
      <c r="EF135" s="1596" t="e">
        <f aca="false">IF(BQ135,IF(OCallPut,IF(BV135&gt;(CP135+CX135),BV135-(CP135+CX135),0),IF((CP135+CX135)&gt;BV135,(CP135+CX135)-BV135,0))*BA135,0)</f>
        <v>#VALUE!</v>
      </c>
      <c r="EG135" s="1596" t="e">
        <f aca="false">IF(BQ135,IF(OCallPut,IF(BW135&gt;(CQ135+CY135),BW135-(CQ135+CY135),0),IF((CQ135+CY135)&gt;BW135,(CQ135+CY135)-BW135,0))*BB135,0)</f>
        <v>#VALUE!</v>
      </c>
      <c r="EH135" s="1596" t="e">
        <f aca="false">IF(BQ135,IF(OCallPut,IF(BX135&gt;(CR135+CZ135),BX135-(CR135+CZ135),0),IF((CR135+CZ135)&gt;BX135,(CR135+CZ135)-BX135,0))*BC135,0)</f>
        <v>#VALUE!</v>
      </c>
      <c r="EI135" s="1597" t="e">
        <f aca="false">IF(BQ135,IF(OVolType,IF(OCallPut,IF(BZ135&gt;(CS135+DA135),BZ135-(CS135+DA135),0),IF((CS135+DA135)&gt;BZ135,(CS135+DA135)-BZ135,0))*BQ135,SUM(EE135:EH135)),0)</f>
        <v>#VALUE!</v>
      </c>
      <c r="EJ135" s="1595" t="e">
        <f aca="false">DZ135-EE135</f>
        <v>#VALUE!</v>
      </c>
      <c r="EK135" s="1596" t="e">
        <f aca="false">EA135-EF135</f>
        <v>#VALUE!</v>
      </c>
      <c r="EL135" s="1596" t="e">
        <f aca="false">EB135-EG135</f>
        <v>#VALUE!</v>
      </c>
      <c r="EM135" s="1596" t="e">
        <f aca="false">EC135-EH135</f>
        <v>#VALUE!</v>
      </c>
      <c r="EN135" s="1597" t="e">
        <f aca="false">ED135-EI135</f>
        <v>#VALUE!</v>
      </c>
      <c r="EO135" s="1551" t="e">
        <f aca="false">DH135*BH135</f>
        <v>#VALUE!</v>
      </c>
      <c r="EP135" s="1551" t="e">
        <f aca="false">DI135*BI135</f>
        <v>#VALUE!</v>
      </c>
      <c r="EQ135" s="1551" t="e">
        <f aca="false">DW135*BJ135</f>
        <v>#VALUE!</v>
      </c>
      <c r="ER135" s="1551" t="e">
        <f aca="false">DX135*BK135</f>
        <v>#VALUE!</v>
      </c>
      <c r="ES135" s="1551" t="e">
        <f aca="false">DY135*BS135</f>
        <v>#VALUE!</v>
      </c>
      <c r="ET135" s="1566" t="e">
        <f aca="false">IF(EI135,IF(OCallPut,IF(CA135&gt;(CT135+CW135),CA135-(CT135+CW135),0),IF((CT135+CW135)&gt;CA135,(CT135+CW135)-CA135,0))*BH135,0)</f>
        <v>#VALUE!</v>
      </c>
      <c r="EU135" s="1551" t="e">
        <f aca="false">IF(EI135,IF(OCallPut,IF(CB135&gt;(CT135+CX135),CB135-(CT135+CX135),0),IF((CT135+CX135)&gt;CB135,(CT135+CX135)-CB135,0))*BI135,0)</f>
        <v>#VALUE!</v>
      </c>
      <c r="EV135" s="1551" t="e">
        <f aca="false">IF(EI135,IF(OCallPut,IF(CC135&gt;(CT135+CY135),CC135-(CT135+CY135),0),IF((CT135+CY135)&gt;CC135,(CT135+CY135)-CC135,0))*BJ135,0)</f>
        <v>#VALUE!</v>
      </c>
      <c r="EW135" s="1551" t="e">
        <f aca="false">IF(EI135,IF(OCallPut,IF(CD135&gt;(CT135+CZ135),CD135-(CT135+CZ135),0),IF((CT135+CZ135)&gt;CD135,(CT135+CZ135)-CD135,0))*BK135,0)</f>
        <v>#VALUE!</v>
      </c>
      <c r="EX135" s="1558" t="e">
        <f aca="false">IF(EI135,SUM(ET135:EW135),0)</f>
        <v>#VALUE!</v>
      </c>
      <c r="EY135" s="1551" t="e">
        <f aca="false">EO135-ET135</f>
        <v>#VALUE!</v>
      </c>
      <c r="EZ135" s="1551" t="e">
        <f aca="false">EP135-EU135</f>
        <v>#VALUE!</v>
      </c>
      <c r="FA135" s="1551" t="e">
        <f aca="false">EQ135-EV135</f>
        <v>#VALUE!</v>
      </c>
      <c r="FB135" s="1551" t="e">
        <f aca="false">ER135-EW135</f>
        <v>#VALUE!</v>
      </c>
      <c r="FC135" s="1551" t="e">
        <f aca="false">ES135-EX135</f>
        <v>#VALUE!</v>
      </c>
      <c r="FD135" s="1525" t="n">
        <f aca="false">IF(AX135,IF(VLOOKUP(C135,MAIN!$L$17:$M$28,2)="Yes",VLOOKUP(CALC!B135,MAIN!$H$17:$I$20,2),0),0)</f>
        <v>0</v>
      </c>
      <c r="FE135" s="1552" t="e">
        <f aca="false">$FD135*16*AT135*(1-$AY135)</f>
        <v>#VALUE!</v>
      </c>
      <c r="FF135" s="1553" t="e">
        <f aca="false">$FD135*16*AU135*(1-$AY135)</f>
        <v>#VALUE!</v>
      </c>
      <c r="FG135" s="1553" t="e">
        <f aca="false">$FD135*16*(AV135+AW135)*(1-$AY135)</f>
        <v>#VALUE!</v>
      </c>
      <c r="FH135" s="1554" t="n">
        <f aca="false">$FD135*8*AX135*(1-$AY135)</f>
        <v>0</v>
      </c>
      <c r="FI135" s="1555" t="n">
        <f aca="false">IF(AX135,VLOOKUP(CALC!B135,MAIN!$H$17:$K$20,4),0)</f>
        <v>0</v>
      </c>
      <c r="FJ135" s="1553" t="e">
        <f aca="false">SUM(FE135:FH135)</f>
        <v>#VALUE!</v>
      </c>
      <c r="FK135" s="1556" t="e">
        <f aca="false">FI135*FJ135</f>
        <v>#VALUE!</v>
      </c>
      <c r="FL135" s="1551" t="e">
        <f aca="false">IF($EI135&gt;0,MIN(FE135,AZ135*(1+VLOOKUP($C135,WeatherCapacityAdjustment,2))),0)</f>
        <v>#VALUE!</v>
      </c>
      <c r="FM135" s="1551" t="e">
        <f aca="false">IF($EI135&gt;0,MIN(FF135,BA135*(1+VLOOKUP($C135,WeatherCapacityAdjustment,2))),0)</f>
        <v>#VALUE!</v>
      </c>
      <c r="FN135" s="1551" t="e">
        <f aca="false">IF($EI135&gt;0,MIN(FG135,BB135*(1+VLOOKUP($C135,WeatherCapacityAdjustment,2))),0)</f>
        <v>#VALUE!</v>
      </c>
      <c r="FO135" s="1564" t="e">
        <f aca="false">IF($EI135&gt;0,MIN(FH135,BC135*(1+VLOOKUP($C135,WeatherCapacityAdjustment,3))),0)</f>
        <v>#VALUE!</v>
      </c>
      <c r="FP135" s="1551" t="e">
        <f aca="false">IF(ET135&gt;0,MIN(FE135-FL135,BH135*(1+VLOOKUP($C135,WeatherCapacityAdjustment,2))),0)</f>
        <v>#VALUE!</v>
      </c>
      <c r="FQ135" s="1551" t="e">
        <f aca="false">IF(EU135&gt;0,MIN(FF135-FM135,BI135*(1+VLOOKUP($C135,WeatherCapacityAdjustment,2))),0)</f>
        <v>#VALUE!</v>
      </c>
      <c r="FR135" s="1551" t="e">
        <f aca="false">IF(EV135&gt;0,MIN(FG135-FN135,BJ135*(1+VLOOKUP($C135,WeatherCapacityAdjustment,2))),0)</f>
        <v>#VALUE!</v>
      </c>
      <c r="FS135" s="1558" t="e">
        <f aca="false">IF(EW135&gt;0,MIN(FH135-FO135,BK135*(1+VLOOKUP($C135,WeatherCapacityAdjustment,3))),0)</f>
        <v>#VALUE!</v>
      </c>
      <c r="FT135" s="1566" t="e">
        <f aca="false">IF(AND(Assumptions!$H$71="Yes",A135&gt;=Assumptions!$H$72,A135&lt;=Assumptions!$H$73),0,IF(AND($A135&gt;=Assumptions!$C$17,$A135&lt;=Assumptions!$C$18),MAX(AZ135*(1+VLOOKUP($C135,WeatherCapacityAdjustment,2))-FL135,0),0))</f>
        <v>#VALUE!</v>
      </c>
      <c r="FU135" s="1551" t="e">
        <f aca="false">IF(AND(Assumptions!$H$71="Yes",A135&gt;=Assumptions!$H$72,A135&lt;=Assumptions!$H$73),0,IF(AND($A135&gt;=Assumptions!$C$17,$A135&lt;=Assumptions!$C$18),MAX(BA135*(1+VLOOKUP($C135,WeatherCapacityAdjustment,2))-FM135,0),0))</f>
        <v>#VALUE!</v>
      </c>
      <c r="FV135" s="1551" t="e">
        <f aca="false">IF(AND(Assumptions!$H$71="Yes",A135&gt;=Assumptions!$H$72,A135&lt;=Assumptions!$H$73),0,IF(AND($A135&gt;=Assumptions!$C$17,$A135&lt;=Assumptions!$C$18),MAX(BB135*(1+VLOOKUP($C135,WeatherCapacityAdjustment,2))-FN135,0),0))</f>
        <v>#VALUE!</v>
      </c>
      <c r="FW135" s="1564" t="e">
        <f aca="false">IF(AND(Assumptions!$H$71="Yes",A135&gt;=Assumptions!$H$72,A135&lt;=Assumptions!$H$73),0,IF(AND($A135&gt;=Assumptions!$C$17,$A135&lt;=Assumptions!$C$18),MAX(BC135*(1+VLOOKUP($C135,WeatherCapacityAdjustment,3))-FO135,0),0))</f>
        <v>#VALUE!</v>
      </c>
      <c r="FX135" s="1569" t="e">
        <f aca="false">IF(AND(Assumptions!$H$71="Yes",A135&gt;=Assumptions!$H$72,A135&lt;=Assumptions!$H$73),0,IF(ET135&gt;0,MAX(BH135*(1+VLOOKUP($C135,WeatherCapacityAdjustment,2))-FP135,0),0))</f>
        <v>#VALUE!</v>
      </c>
      <c r="FY135" s="1551" t="e">
        <f aca="false">IF(AND(Assumptions!$H$71="Yes",A135&gt;=Assumptions!$H$72,A135&lt;=Assumptions!$H$73),0,IF(EU135&gt;0,MAX(BI135*(1+VLOOKUP($C135,WeatherCapacityAdjustment,3))-FQ135,0),0))</f>
        <v>#VALUE!</v>
      </c>
      <c r="FZ135" s="1551" t="e">
        <f aca="false">IF(AND(Assumptions!$H$71="Yes",A135&gt;=Assumptions!$H$72,A135&lt;=Assumptions!$H$73),0,IF(EV135&gt;0,MAX(BJ135*(1+VLOOKUP($C135,WeatherCapacityAdjustment,2))-FR135,0),0))</f>
        <v>#VALUE!</v>
      </c>
      <c r="GA135" s="1564" t="e">
        <f aca="false">IF(AND(Assumptions!$H$71="Yes",A135&gt;=Assumptions!$H$72,A135&lt;=Assumptions!$H$73),0,IF(EW135&gt;0,MAX(BK135*(1+VLOOKUP($C135,WeatherCapacityAdjustment,2))-FS135,0),0))</f>
        <v>#VALUE!</v>
      </c>
      <c r="GB135" s="1551" t="e">
        <f aca="false">SUM(FT135:GA135)</f>
        <v>#VALUE!</v>
      </c>
      <c r="GC135" s="1563" t="e">
        <f aca="false">+IF(SUM(FT135:GA135)=0,0,(SUMPRODUCT(BU135:BX135,FT135:FW135)+SUMPRODUCT(CA135:CD135,FX135:GA135))/SUM(FT135:GA135))</f>
        <v>#VALUE!</v>
      </c>
      <c r="GD135" s="1551" t="e">
        <f aca="false">(FT135*BU135+FX135*CA135+FU135*BV135+FY135*CB135+FV135*BW135+FZ135*CC135+FW135*BX135+GA135*CD135)</f>
        <v>#VALUE!</v>
      </c>
      <c r="GE135" s="1561" t="e">
        <f aca="false">+IF(BQ135,((FL135+FM135+FT135+FU135)*HeatRatePeak/1000*(1+VLOOKUP($C135,WeatherHeatRateAdjustment,2))+(FN135+FV135)*IF(EV135&gt;0,HeatRatePeak,HeatRateOffPeak)/1000*(1+VLOOKUP($C135,WeatherHeatRateAdjustment,2))+(FO135+FW135)*IF(EW135&gt;0,HeatRatePeak,HeatRateOffPeak)/1000*(1+VLOOKUP($C135,WeatherHeatRateAdjustment,3)))*(1+VLOOKUP($B135,HeatRateDegradation,$C135+1)),0)</f>
        <v>#VALUE!</v>
      </c>
      <c r="GF135" s="1562" t="e">
        <f aca="false">IF(BQ135,((FP135+FQ135+FR135+FX135+FY135+FZ135)*HeatRatePeak/1000*(1+VLOOKUP($C135,WeatherHeatRateAdjustment,2))+(FS135+GA135)*HeatRatePeak/1000*(1+VLOOKUP($C135,WeatherHeatRateAdjustment,3)))*(1+VLOOKUP($B135,HeatRateDegradation,$C135+1)),0)</f>
        <v>#VALUE!</v>
      </c>
      <c r="GG135" s="1563" t="e">
        <f aca="false">IF(BQ135,VLOOKUP(A135,GasTable,13),0)</f>
        <v>#VALUE!</v>
      </c>
      <c r="GH135" s="1564" t="e">
        <f aca="false">(GE135+GF135)*GG135</f>
        <v>#VALUE!</v>
      </c>
      <c r="GI135" s="1569" t="e">
        <f aca="false">GB135</f>
        <v>#VALUE!</v>
      </c>
      <c r="GJ135" s="1598" t="e">
        <f aca="false">+DA135</f>
        <v>#VALUE!</v>
      </c>
      <c r="GK135" s="1558" t="e">
        <f aca="false">+GI135*GJ135</f>
        <v>#VALUE!</v>
      </c>
      <c r="GL135" s="1566" t="e">
        <f aca="false">MAX(FE135-FL135-FP135,0)</f>
        <v>#VALUE!</v>
      </c>
      <c r="GM135" s="1551" t="e">
        <f aca="false">MAX(FF135-FM135-FQ135,0)</f>
        <v>#VALUE!</v>
      </c>
      <c r="GN135" s="1551" t="e">
        <f aca="false">MAX(FG135-FN135-FR135,0)</f>
        <v>#VALUE!</v>
      </c>
      <c r="GO135" s="1564" t="e">
        <f aca="false">MAX(FH135-FO135-FS135,0)</f>
        <v>#VALUE!</v>
      </c>
      <c r="GP135" s="1551" t="e">
        <f aca="false">SUM(GL135:GO135)</f>
        <v>#VALUE!</v>
      </c>
      <c r="GQ135" s="1563" t="e">
        <f aca="false">IF(SUM(GL135:GO135)=0,0,((GL135*BU135+GM135*BV135+GN135*BW135+GO135*BX135)/SUM(GL135:GO135)))</f>
        <v>#VALUE!</v>
      </c>
      <c r="GR135" s="1558" t="e">
        <f aca="false">(GL135*BU135+GM135*BV135+GN135*BW135+GO135*BX135)</f>
        <v>#VALUE!</v>
      </c>
      <c r="GS135" s="1566" t="n">
        <f aca="false">IF($A135&gt;=BegDate,Assumptions!$C$56*24*($A136-$A135)*(1-VLOOKUP($B135,MAIN!$AA$7:$AM$28,$C135+1))*(1-VLOOKUP($B135,MAIN!$AA$33:$AM$54,$C135+1)),0)*80/168</f>
        <v>257742.857142857</v>
      </c>
      <c r="GT135" s="286" t="n">
        <f aca="false">J135</f>
        <v>41.9128070421217</v>
      </c>
      <c r="GU135" s="286" t="n">
        <f aca="false">IF($A135&gt;=BegDate,VLOOKUP($A135,GasTable,13)+Assumptions!$C$58,0)</f>
        <v>2.8197468792139</v>
      </c>
      <c r="GV135" s="286" t="n">
        <f aca="false">GU135*Assumptions!$C$57/1000</f>
        <v>20.4431648743008</v>
      </c>
      <c r="GW135" s="1558" t="n">
        <f aca="false">IF(Assumptions!$C$60="Hourly",MAX(0,GS135*(GT135-GV135)),GS135*(GT135-GV135))</f>
        <v>5533646.91416894</v>
      </c>
      <c r="GX135" s="1566" t="n">
        <f aca="false">IF($A135&gt;=BegDate,Assumptions!$C$56*24*($A136-$A135)*(1-VLOOKUP($B135,MAIN!$AA$7:$AM$28,$C135+1))*(1-VLOOKUP($B135,MAIN!$AA$33:$AM$54,$C135+1)),0)*16/168</f>
        <v>51548.5714285714</v>
      </c>
      <c r="GY135" s="286" t="n">
        <f aca="false">M135</f>
        <v>41.9128070421217</v>
      </c>
      <c r="GZ135" s="286" t="n">
        <f aca="false">IF($A135&gt;=BegDate,VLOOKUP($A135,GasTable,13)+Assumptions!$C$58,0)</f>
        <v>2.8197468792139</v>
      </c>
      <c r="HA135" s="286" t="n">
        <f aca="false">GZ135*Assumptions!$C$57/1000</f>
        <v>20.4431648743008</v>
      </c>
      <c r="HB135" s="1558" t="n">
        <f aca="false">IF(Assumptions!$C$60="Hourly",MAX(0,GX135*(GY135-HA135)),GX135*(GY135-HA135))</f>
        <v>1106729.38283379</v>
      </c>
      <c r="HC135" s="1566" t="n">
        <f aca="false">IF($A135&gt;=BegDate,Assumptions!$C$56*24*($A136-$A135)*(1-VLOOKUP($B135,MAIN!$AA$7:$AM$28,$C135+1))*(1-VLOOKUP($B135,MAIN!$AA$33:$AM$54,$C135+1)),0)*16/168</f>
        <v>51548.5714285714</v>
      </c>
      <c r="HD135" s="286" t="n">
        <f aca="false">P135</f>
        <v>24.0351567779206</v>
      </c>
      <c r="HE135" s="286" t="n">
        <f aca="false">IF($A135&gt;=BegDate,VLOOKUP($A135,GasTable,13)+Assumptions!$C$58,0)</f>
        <v>2.8197468792139</v>
      </c>
      <c r="HF135" s="286" t="n">
        <f aca="false">HE135*Assumptions!$C$57/1000</f>
        <v>20.4431648743008</v>
      </c>
      <c r="HG135" s="1558" t="n">
        <f aca="false">IF(Assumptions!$C$60="Hourly",MAX(0,HC135*(HD135-HF135)),HC135*(HD135-HF135))</f>
        <v>185162.051214598</v>
      </c>
      <c r="HH135" s="1566" t="n">
        <f aca="false">IF($A135&gt;=BegDate,Assumptions!$C$56*24*($A136-$A135)*(1-VLOOKUP($B135,MAIN!$AA$7:$AM$28,$C135+1))*(1-VLOOKUP($B135,MAIN!$AA$33:$AM$54,$C135+1)),0)*56/168</f>
        <v>180420</v>
      </c>
      <c r="HI135" s="286" t="n">
        <f aca="false">S135</f>
        <v>24.0351567779206</v>
      </c>
      <c r="HJ135" s="286" t="n">
        <f aca="false">IF($A135&gt;=BegDate,VLOOKUP($A135,GasTable,13)+Assumptions!$C$58,0)</f>
        <v>2.8197468792139</v>
      </c>
      <c r="HK135" s="286" t="n">
        <f aca="false">HJ135*Assumptions!$C$57/1000</f>
        <v>20.4431648743008</v>
      </c>
      <c r="HL135" s="1558" t="n">
        <f aca="false">IF(Assumptions!$C$60="Hourly",MAX(0,HH135*(HI135-HK135)),HH135*(HI135-HK135))</f>
        <v>648067.179251093</v>
      </c>
      <c r="HM135" s="1566" t="n">
        <f aca="false">IF(AND(Assumptions!$H$71="Yes",A135&gt;=Assumptions!$H$72,A135&lt;=Assumptions!$H$73),Assumptions!$H$74*Assumptions!$C$9*1000,0)</f>
        <v>0</v>
      </c>
      <c r="HN135" s="1551"/>
      <c r="HO135" s="1563"/>
      <c r="HP135" s="1563"/>
      <c r="HQ135" s="1563"/>
      <c r="HR135" s="1563"/>
      <c r="HS135" s="1563"/>
      <c r="HT135" s="1563"/>
      <c r="HU135" s="1563"/>
      <c r="HV135" s="1563"/>
      <c r="HW135" s="1563"/>
      <c r="HX135" s="1563"/>
      <c r="HY135" s="1563"/>
      <c r="HZ135" s="1563"/>
      <c r="IA135" s="1563"/>
      <c r="IB135" s="1563"/>
      <c r="IC135" s="1563"/>
      <c r="ID135" s="1563"/>
      <c r="IE135" s="1563"/>
      <c r="IF135" s="1563"/>
      <c r="IG135" s="1563"/>
      <c r="IH135" s="1563"/>
      <c r="II135" s="1610"/>
      <c r="IJ135" s="1309"/>
      <c r="IK135" s="1309"/>
    </row>
    <row r="136" customFormat="false" ht="12.75" hidden="false" customHeight="false" outlineLevel="0" collapsed="false">
      <c r="A136" s="1571" t="n">
        <f aca="false">EOMONTH(A135,0)+1</f>
        <v>40269</v>
      </c>
      <c r="B136" s="594" t="n">
        <f aca="false">+YEAR(A136)</f>
        <v>2010</v>
      </c>
      <c r="C136" s="238" t="n">
        <f aca="false">MONTH(A136)</f>
        <v>4</v>
      </c>
      <c r="D136" s="1572" t="e">
        <f aca="false">IF(E136="","",Holiday(B136,C136))</f>
        <v>#VALUE!</v>
      </c>
      <c r="E136" s="1573" t="n">
        <f aca="false">IF(OR(BegDate&gt;=A137,EndDate&lt;A136,AND(VolumeMonthlyOverFlag,INDEX(VolumeMonthlyOver,C136)=0),NOT(INDEX(MonthKnockOutTable,C136))),"",MAX(A136,BegDate))</f>
        <v>40269</v>
      </c>
      <c r="F136" s="1574" t="n">
        <f aca="false">IF(E136="","",MIN(A137-1,EndDate))</f>
        <v>40298</v>
      </c>
      <c r="G136" s="1575" t="n">
        <v>0</v>
      </c>
      <c r="H136" s="1576" t="n">
        <f aca="false">(1+G136/2)^(-2*(DATE(B137,C137,20)-DateToday)/365.25)</f>
        <v>1</v>
      </c>
      <c r="I136" s="1568" t="n">
        <f aca="false">IF(Assumptions!$L$25=4,VLOOKUP($A136,'Henwood Reference'!$E$9:$R$320,10),(VLOOKUP($A136,PriceTable,2,0)+IF(BasisNumber&lt;&gt;1,VLOOKUP($A136,BasisTable,2,0),0)+I$1)/(1-I$2))</f>
        <v>37.8724500370491</v>
      </c>
      <c r="J136" s="1568" t="n">
        <f aca="false">IF(Assumptions!$L$25=4,VLOOKUP($A136,'Henwood Reference'!$E$9:$R$320,10),(VLOOKUP($A136,PriceTable,3,0)+IF(BasisNumber&lt;&gt;1,VLOOKUP($A136,BasisTable,2,0),0)+J$1)/(1-J$2))</f>
        <v>37.8724500370491</v>
      </c>
      <c r="K136" s="1568" t="n">
        <f aca="false">IF(Assumptions!$L$25=4,VLOOKUP($A136,'Henwood Reference'!$E$9:$R$320,10),(VLOOKUP($A136,PriceTable,4,0)+IF(BasisNumber&lt;&gt;1,VLOOKUP($A136,BasisTable,2,0),0)+K$1)/(1-K$2))</f>
        <v>37.8724500370491</v>
      </c>
      <c r="L136" s="1523" t="n">
        <f aca="false">IF(Assumptions!$L$25=4,VLOOKUP($A136,'Henwood Reference'!$E$9:$R$320,10),(VLOOKUP($A136,PriceTableWeekend,2,0)+IF(BasisNumber&lt;&gt;1,VLOOKUP($A136,BasisTable,2,0),0)+L$1)/(1-L$2))</f>
        <v>37.8724500370491</v>
      </c>
      <c r="M136" s="1568" t="n">
        <f aca="false">IF(Assumptions!$L$25=4,VLOOKUP($A136,'Henwood Reference'!$E$9:$R$320,10),(VLOOKUP($A136,PriceTableWeekend,3,0)+IF(BasisNumber&lt;&gt;1,VLOOKUP($A136,BasisTable,2,0),0)+M$1)/(1-M$2))</f>
        <v>37.8724500370491</v>
      </c>
      <c r="N136" s="1599" t="n">
        <f aca="false">IF(Assumptions!$L$25=4,VLOOKUP($A136,'Henwood Reference'!$E$9:$R$320,10),(VLOOKUP($A136,PriceTableWeekend,4,0)+IF(BasisNumber&lt;&gt;1,VLOOKUP($A136,BasisTable,2,0),0)+N$1)/(1-N$2))</f>
        <v>37.8724500370491</v>
      </c>
      <c r="O136" s="1568" t="n">
        <f aca="false">IF(Assumptions!$L$25=4,VLOOKUP($A136,'Henwood Reference'!$E$9:$R$320,11),(VLOOKUP($A136,PriceTableWeekend,6,0)+IF(BasisNumber&lt;&gt;1,VLOOKUP($A136,BasisTable,3,0),0)+O$1)/(1-O$2))</f>
        <v>23.6884747648741</v>
      </c>
      <c r="P136" s="1568" t="n">
        <f aca="false">IF(Assumptions!$L$25=4,VLOOKUP($A136,'Henwood Reference'!$E$9:$R$320,11),(VLOOKUP($A136,PriceTableWeekend,7,0)+IF(BasisNumber&lt;&gt;1,VLOOKUP($A136,BasisTable,3,0),0)+P$1)/(1-P$2))</f>
        <v>23.6884747648741</v>
      </c>
      <c r="Q136" s="1599" t="n">
        <f aca="false">IF(Assumptions!$L$25=4,VLOOKUP($A136,'Henwood Reference'!$E$9:$R$320,11),(VLOOKUP($A136,PriceTableWeekend,8,0)+IF(BasisNumber&lt;&gt;1,VLOOKUP($A136,BasisTable,3,0),0)+Q$1)/(1-Q$2))</f>
        <v>23.6884747648741</v>
      </c>
      <c r="R136" s="1568" t="n">
        <f aca="false">IF(Assumptions!$L$25=4,VLOOKUP($A136,'Henwood Reference'!$E$9:$R$320,11),(VLOOKUP($A136,PriceTable,6,0)+IF(BasisNumber&lt;&gt;1,VLOOKUP($A136,BasisTable,3,0),0)+R$1)/(1-R$2))</f>
        <v>23.6884747648741</v>
      </c>
      <c r="S136" s="1568" t="n">
        <f aca="false">IF(Assumptions!$L$25=4,VLOOKUP($A136,'Henwood Reference'!$E$9:$R$320,11),(VLOOKUP($A136,PriceTable,7,0)+IF(BasisNumber&lt;&gt;1,VLOOKUP($A136,BasisTable,3,0),0)+S$1)/(1-S$2))</f>
        <v>23.6884747648741</v>
      </c>
      <c r="T136" s="1600" t="n">
        <f aca="false">IF(Assumptions!$L$25=4,VLOOKUP($A136,'Henwood Reference'!$E$9:$R$320,11),(VLOOKUP($A136,PriceTable,8,0)+IF(BasisNumber&lt;&gt;1,VLOOKUP($A136,BasisTable,3,0),0)+T$1)/(1-T$2))</f>
        <v>23.6884747648741</v>
      </c>
      <c r="U136" s="1513" t="n">
        <f aca="false">VLOOKUP($A136,VolatilityTable,14)</f>
        <v>0.12</v>
      </c>
      <c r="V136" s="1513" t="n">
        <f aca="false">VLOOKUP($A136,VolatilityTable,15)</f>
        <v>0.13</v>
      </c>
      <c r="W136" s="1514" t="n">
        <f aca="false">VLOOKUP($A136,VolatilityTable,16)</f>
        <v>0.14</v>
      </c>
      <c r="X136" s="1513" t="n">
        <f aca="false">VLOOKUP($A136,VolatilityTable,14)</f>
        <v>0.12</v>
      </c>
      <c r="Y136" s="1513" t="n">
        <f aca="false">VLOOKUP($A136,VolatilityTable,15)</f>
        <v>0.13</v>
      </c>
      <c r="Z136" s="1514" t="n">
        <f aca="false">VLOOKUP($A136,VolatilityTable,16)</f>
        <v>0.14</v>
      </c>
      <c r="AA136" s="1513" t="n">
        <f aca="false">VLOOKUP($A136,VolatilityTable,18)</f>
        <v>0.09</v>
      </c>
      <c r="AB136" s="1513" t="n">
        <f aca="false">VLOOKUP($A136,VolatilityTable,19)</f>
        <v>0.11</v>
      </c>
      <c r="AC136" s="1514" t="n">
        <f aca="false">VLOOKUP($A136,VolatilityTable,20)</f>
        <v>0.13</v>
      </c>
      <c r="AD136" s="1513" t="n">
        <f aca="false">VLOOKUP($A136,VolatilityTable,18)</f>
        <v>0.09</v>
      </c>
      <c r="AE136" s="1513" t="n">
        <f aca="false">VLOOKUP($A136,VolatilityTable,19)</f>
        <v>0.11</v>
      </c>
      <c r="AF136" s="1514" t="n">
        <f aca="false">VLOOKUP($A136,VolatilityTable,20)</f>
        <v>0.13</v>
      </c>
      <c r="AG136" s="1513" t="n">
        <f aca="false">VLOOKUP($A136,VolatilityTable,22)</f>
        <v>-0.1</v>
      </c>
      <c r="AH136" s="1513" t="n">
        <f aca="false">VLOOKUP($A136,VolatilityTable,23)</f>
        <v>0.65</v>
      </c>
      <c r="AI136" s="1514" t="n">
        <f aca="false">VLOOKUP($A136,VolatilityTable,24)</f>
        <v>0.1</v>
      </c>
      <c r="AJ136" s="1513" t="n">
        <f aca="false">VLOOKUP($A136,VolatilityTable,22)</f>
        <v>-0.1</v>
      </c>
      <c r="AK136" s="1513" t="n">
        <f aca="false">VLOOKUP($A136,VolatilityTable,23)</f>
        <v>0.65</v>
      </c>
      <c r="AL136" s="1514" t="n">
        <f aca="false">VLOOKUP($A136,VolatilityTable,24)</f>
        <v>0.1</v>
      </c>
      <c r="AM136" s="1513" t="n">
        <f aca="false">VLOOKUP($A136,VolatilityTable,26)</f>
        <v>-0.01</v>
      </c>
      <c r="AN136" s="1513" t="n">
        <f aca="false">VLOOKUP($A136,VolatilityTable,27)</f>
        <v>0.16</v>
      </c>
      <c r="AO136" s="1514" t="n">
        <f aca="false">VLOOKUP($A136,VolatilityTable,28)</f>
        <v>0.01</v>
      </c>
      <c r="AP136" s="1513" t="n">
        <f aca="false">VLOOKUP($A136,VolatilityTable,26)</f>
        <v>-0.01</v>
      </c>
      <c r="AQ136" s="1513" t="n">
        <f aca="false">VLOOKUP($A136,VolatilityTable,27)</f>
        <v>0.16</v>
      </c>
      <c r="AR136" s="1515" t="n">
        <f aca="false">VLOOKUP($A136,VolatilityTable,28)</f>
        <v>0.01</v>
      </c>
      <c r="AS136" s="1581" t="n">
        <f aca="false">IF(CorrPeakOffPeakOverFlag,INDEX(CorrPeakOffPeakOver,C136),CorrPeakOffPeak)</f>
        <v>0.5</v>
      </c>
      <c r="AT136" s="594" t="e">
        <f aca="false">AX136-SUM(AU136:AW136)</f>
        <v>#VALUE!</v>
      </c>
      <c r="AU136" s="238" t="e">
        <f aca="false">IF(E136="",0,INT((F136-MOD(F136,7)-E136)/7)+1-IF(AW136,IF(WEEKDAY(D136)=7,1,0),0))</f>
        <v>#VALUE!</v>
      </c>
      <c r="AV136" s="238" t="e">
        <f aca="false">IF(E136="",0,INT((F136-MOD(F136-1,7)-E136)/7)+1-IF(AW136,IF(WEEKDAY(D136)=1,1,0),0))</f>
        <v>#VALUE!</v>
      </c>
      <c r="AW136" s="238" t="e">
        <f aca="false">IF(OR(E136="",D136="",D136&lt;BegDate,D136&gt;EndDate),0,1)</f>
        <v>#VALUE!</v>
      </c>
      <c r="AX136" s="238" t="n">
        <f aca="false">IF(E136="",0,F136-E136+1)</f>
        <v>30</v>
      </c>
      <c r="AY136" s="1582" t="n">
        <f aca="false">IF(E136="",0,MIN((1-(1-VLOOKUP(B136,MAIN!$AA$7:$AM$28,C136+1))*(1-VLOOKUP(B136,MAIN!$AA$33:$AM$54,C136+1))),1))</f>
        <v>0.127</v>
      </c>
      <c r="AZ136" s="1519" t="e">
        <v>#VALUE!</v>
      </c>
      <c r="BA136" s="1520" t="e">
        <v>#VALUE!</v>
      </c>
      <c r="BB136" s="1520" t="e">
        <v>#VALUE!</v>
      </c>
      <c r="BC136" s="1583" t="e">
        <v>#VALUE!</v>
      </c>
      <c r="BD136" s="1522" t="e">
        <v>#VALUE!</v>
      </c>
      <c r="BE136" s="1523" t="e">
        <v>#VALUE!</v>
      </c>
      <c r="BF136" s="1523" t="e">
        <v>#VALUE!</v>
      </c>
      <c r="BG136" s="1584" t="e">
        <v>#VALUE!</v>
      </c>
      <c r="BH136" s="1525" t="e">
        <v>#VALUE!</v>
      </c>
      <c r="BI136" s="1520" t="e">
        <v>#VALUE!</v>
      </c>
      <c r="BJ136" s="1520" t="e">
        <v>#VALUE!</v>
      </c>
      <c r="BK136" s="1583" t="e">
        <v>#VALUE!</v>
      </c>
      <c r="BL136" s="1522" t="e">
        <v>#VALUE!</v>
      </c>
      <c r="BM136" s="1523" t="e">
        <v>#VALUE!</v>
      </c>
      <c r="BN136" s="1523" t="e">
        <v>#VALUE!</v>
      </c>
      <c r="BO136" s="1523" t="e">
        <v>#VALUE!</v>
      </c>
      <c r="BP136" s="1525" t="e">
        <f aca="false">SUM(AZ136:BB136)</f>
        <v>#VALUE!</v>
      </c>
      <c r="BQ136" s="1529" t="e">
        <f aca="false">SUM(AZ136:BC136)</f>
        <v>#VALUE!</v>
      </c>
      <c r="BR136" s="1519" t="e">
        <f aca="false">SUM(BH136:BJ136)</f>
        <v>#VALUE!</v>
      </c>
      <c r="BS136" s="1529" t="e">
        <f aca="false">SUM(BH136:BK136)</f>
        <v>#VALUE!</v>
      </c>
      <c r="BT136" s="1316" t="n">
        <f aca="false">(IF(OVolType&lt;&gt;2,A136+14,IF(OptExpDateShift,ShiftBack(A136,OptExpDateShift,D135),A136))-DateToday)/365.25</f>
        <v>9.96303901437372</v>
      </c>
      <c r="BU136" s="1585" t="e">
        <f aca="false">IF(BQ136,IF(OPriceCurve,IF(OBuySell=OCallPut,I136/(1-AY136),K136/(1-AY136)),J136/(1-AY136))*BD136,0)</f>
        <v>#VALUE!</v>
      </c>
      <c r="BV136" s="1316" t="e">
        <f aca="false">IF(BQ136,IF(OPriceCurve,IF(OBuySell=OCallPut,L136/(1-AY136),N136/(1-AY136)),M136/(1-AY136))*BE136,0)</f>
        <v>#VALUE!</v>
      </c>
      <c r="BW136" s="1316" t="e">
        <f aca="false">IF(BQ136,IF(OPriceCurve,IF(OBuySell=OCallPut,O136/(1-AY136),Q136/(1-AY136)),P136/(1-AY136))*BF136,0)</f>
        <v>#VALUE!</v>
      </c>
      <c r="BX136" s="1316" t="e">
        <f aca="false">IF(BQ136,IF(OPriceCurve,IF(OBuySell=OCallPut,R136/(1-AY136),T136/(1-AY136)),S136/(1-AY136))*BG136,0)</f>
        <v>#VALUE!</v>
      </c>
      <c r="BY136" s="1316" t="e">
        <f aca="false">IF(BP136,(BU136*AZ136+BV136*BA136+BW136*BB136)/BP136,0)</f>
        <v>#VALUE!</v>
      </c>
      <c r="BZ136" s="1316" t="e">
        <f aca="false">IF(BQ136,(BY136*BP136+BX136*BC136)/BQ136,0)</f>
        <v>#VALUE!</v>
      </c>
      <c r="CA136" s="1531" t="e">
        <f aca="false">IF(BS136,IF(OPriceCurve,IF(OBuySell=OCallPut,I136/(1-AY136),K136/(1-AY136)),J136/(1-AY136))*BL136,0)</f>
        <v>#VALUE!</v>
      </c>
      <c r="CB136" s="1316" t="e">
        <f aca="false">IF(BS136,IF(OPriceCurve,IF(OBuySell=OCallPut,L136/(1-AY136),N136/(1-AY136)),M136/(1-AY136))*BM136,0)</f>
        <v>#VALUE!</v>
      </c>
      <c r="CC136" s="1316" t="e">
        <f aca="false">IF(BS136,IF(OPriceCurve,IF(OBuySell=OCallPut,O136/(1-AY136),Q136/(1-AY136)),P136/(1-AY136))*BN136,0)</f>
        <v>#VALUE!</v>
      </c>
      <c r="CD136" s="1316" t="e">
        <f aca="false">IF(BS136,IF(OPriceCurve,IF(OBuySell=OCallPut,R136/(1-AY136),T136/(1-AY136)),S136/(1-AY136))*BO136,0)</f>
        <v>#VALUE!</v>
      </c>
      <c r="CE136" s="1316" t="e">
        <f aca="false">IF(BR136,(BU136*BH136+BV136*BI136+BW136*BJ136)/BR136,0)</f>
        <v>#VALUE!</v>
      </c>
      <c r="CF136" s="1532" t="e">
        <f aca="false">IF(BS136,(CE136*BR136+CD136*BK136)/BS136,0)</f>
        <v>#VALUE!</v>
      </c>
      <c r="CG136" s="1586" t="e">
        <f aca="false">IF(OR(BQ136,BS136),IF(OVolType&lt;&gt;2,SQRT(IF(OVolOverMonthlyPeak,OVolOverMonthlyPeak,IF(OVolCurve,IF(OBuySell,U136,W136),V136))^2*(1-15/365.25/BT136)+IF(OVolOverDailyPeak,OVolOverDailyPeak,IF(OVolCurve,IF(OBuySell,AG136,AI136),AH136))^2*15/365.25/BT136),IF(OVolOverMonthlyPeak,OVolOverMonthlyPeak,IF(OVolCurve,IF(OBuySell,U136,W136),V136))),"")</f>
        <v>#VALUE!</v>
      </c>
      <c r="CH136" s="1587" t="e">
        <f aca="false">IF(OR(BQ136,BS136),IF(OVolType&lt;&gt;2,SQRT(IF(OVolOverMonthlyPeak,OVolOverMonthlyPeak,IF(OVolCurve,IF(OBuySell,X136,Z136),Y136))^2*(1-15/365.25/BT136)+IF(OVolOverDailyPeak,OVolOverDailyPeak,IF(OVolCurve,IF(OBuySell,AJ136,AL136),AK136))^2*15/365.25/BT136),IF(OVolOverMonthlyPeak,OVolOverMonthlyPeak,IF(OVolCurve,IF(OBuySell,X136,Z136),Y136))),"")</f>
        <v>#VALUE!</v>
      </c>
      <c r="CI136" s="1587" t="e">
        <f aca="false">IF(OR(BQ136,BS136),IF(OVolType&lt;&gt;2,SQRT(IF(OVolOverMonthlyPeak,OVolOverMonthlyPeak,IF(OVolCurve,IF(OBuySell,AA136,AC136),AB136))^2*(1-15/365.25/BT136)+IF(OVolOverDailyPeak,OVolOverDailyPeak,IF(OVolCurve,IF(OBuySell,AM136,AO136),AN136))^2*15/365.25/BT136),IF(OVolOverMonthlyPeak,OVolOverMonthlyPeak,IF(OVolCurve,IF(OBuySell,AA136,AC136),AB136))),"")</f>
        <v>#VALUE!</v>
      </c>
      <c r="CJ136" s="1587" t="e">
        <f aca="false">IF(BQ136,IF(BP136,SQRT(LN(1+((BU136*AZ136)^2*(EXP(CG136^2*BT136)-1)+(BV136*BA136)^2*(EXP(CH136^2*BT136)-1)+(BW136*BB136)^2*(EXP(CI136^2*BT136)-1)+2*BU136*AZ136*BV136*BA136*(EXP(CG136*CH136*BT136)-1)+2*BV136*BA136*BW136*BB136*(EXP(CH136*CI136*BT136)-1)+2*BW136*BB136*BU136*AZ136*(EXP(CI136*CG136*BT136)-1))/(BY136*BP136)^2)/BT136),0),"")</f>
        <v>#VALUE!</v>
      </c>
      <c r="CK136" s="1587" t="e">
        <f aca="false">IF(BS136,IF(BR136,SQRT(LN(1+((CA136*BH136)^2*(EXP(CG136^2*BT136)-1)+(CB136*BI136)^2*(EXP(CH136^2*BT136)-1)+(CC136*BJ136)^2*(EXP(CI136^2*BT136)-1)+2*CA136*BH136*CB136*BI136*(EXP(CG136*CH136*BT136)-1)+2*CB136*BI136*CC136*BJ136*(EXP(CH136*CI136*BT136)-1)+2*CC136*BJ136*CA136*BH136*(EXP(CI136*CG136*BT136)-1))/(CE136*BR136)^2)/BT136),0),"")</f>
        <v>#VALUE!</v>
      </c>
      <c r="CL136" s="1587" t="e">
        <f aca="false">IF(OR(BQ136,BS136),IF(OVolType&lt;&gt;2,SQRT(IF(OVolOverMonthlyOffPeak,OVolOverMonthlyOffPeak,IF(OVolCurve,IF(OBuySell,AD136,AF136),AE136))^2*(1-15/365.25/BT136)+IF(OVolOverDailyOffPeak,OVolOverDailyOffPeak,IF(OVolCurve,IF(OBuySell,AP136,AR136),AQ136))^2*15/365.25/BT136),IF(OVolOverMonthlyOffPeak,OVolOverMonthlyOffPeak,IF(OVolCurve,IF(OBuySell,AD136,AF136),AE136))),"")</f>
        <v>#VALUE!</v>
      </c>
      <c r="CM136" s="1587" t="e">
        <f aca="false">IF(BQ136,SQRT(LN(1+((BY136*BP136)^2*(EXP(CJ136^2*BT136)-1)+(BX136*BC136)^2*(EXP(CL136^2*BT136)-1)+2*BY136*BP136*BX136*BC136*(EXP(AS136*CJ136*CL136*BT136)-1))/(BY136*BP136+BX136*BC136)^2)/BT136),"")</f>
        <v>#VALUE!</v>
      </c>
      <c r="CN136" s="1588" t="e">
        <f aca="false">IF(BS136,SQRT(LN(1+((CE136*BR136)^2*(EXP(CK136^2*BT136)-1)+(CD136*BK136)^2*(EXP(CL136^2*BT136)-1)+2*CE136*BR136*CD136*BK136*(EXP(AS136*CK136*CL136*BT136)-1))/(CE136*BR136+CD136*BK136)^2)/BT136),"")</f>
        <v>#VALUE!</v>
      </c>
      <c r="CO136" s="1531" t="e">
        <f aca="false">IF(OR(BQ136,BS136),VLOOKUP(A136,GasTable,13)*HeatRatePeak*(1+VLOOKUP($B136,HeatRateDegradation,$C136+1))/1000,0)</f>
        <v>#VALUE!</v>
      </c>
      <c r="CP136" s="1316" t="e">
        <f aca="false">IF(OR(BQ136,BS136),VLOOKUP(A136,GasTable,13)*HeatRatePeak*(1+VLOOKUP($B136,HeatRateDegradation,$C136+1))/1000,0)</f>
        <v>#VALUE!</v>
      </c>
      <c r="CQ136" s="1316" t="e">
        <f aca="false">IF(OR(BQ136,BS136),VLOOKUP(A136,GasTable,13)*IF(EV136,HeatRatePeak,HeatRateOffPeak)*(1+VLOOKUP($B136,HeatRateDegradation,$C136+1))/1000,0)</f>
        <v>#VALUE!</v>
      </c>
      <c r="CR136" s="1316" t="e">
        <f aca="false">IF(OR(BQ136,BS136),VLOOKUP(A136,GasTable,13)*IF(EW136,HeatRatePeak,HeatRateOffPeak)*(1+VLOOKUP($B136,HeatRateDegradation,$C136+1))/1000,0)</f>
        <v>#VALUE!</v>
      </c>
      <c r="CS136" s="1589" t="e">
        <f aca="false">IF(BQ136,(CO136*AZ136+CP136*BA136+CQ136*BB136+CR136*BC136)/BQ136,0)</f>
        <v>#VALUE!</v>
      </c>
      <c r="CT136" s="1316" t="e">
        <f aca="false">IF(BS136,CO136,0)</f>
        <v>#VALUE!</v>
      </c>
      <c r="CU136" s="1590" t="e">
        <f aca="false">IF(OR(BQ136,BS136),VLOOKUP(A136,GasTable,14),"")</f>
        <v>#VALUE!</v>
      </c>
      <c r="CV136" s="1568" t="e">
        <f aca="false">IF(OR(BQ136,BS136),IF(CorrPowerGasOverFlag,INDEX(CorrPowerGasOver,C136),CorrPowerGas),"")</f>
        <v>#VALUE!</v>
      </c>
      <c r="CW136" s="1316" t="e">
        <f aca="false">IF(OR($BQ136,$BS136),SpreadOptPowerMargin,0)*((1+Assumptions!$C$26)^($B136-YEAR(Assumptions!$C$17)))</f>
        <v>#VALUE!</v>
      </c>
      <c r="CX136" s="1316" t="e">
        <f aca="false">IF(OR($BQ136,$BS136),SpreadOptPowerMargin,0)*((1+Assumptions!$C$26)^($B136-YEAR(Assumptions!$C$17)))</f>
        <v>#VALUE!</v>
      </c>
      <c r="CY136" s="1316" t="e">
        <f aca="false">IF(OR($BQ136,$BS136),SpreadOptPowerMargin,0)*((1+Assumptions!$C$26)^($B136-YEAR(Assumptions!$C$17)))</f>
        <v>#VALUE!</v>
      </c>
      <c r="CZ136" s="1316" t="e">
        <f aca="false">IF(OR($BQ136,$BS136),SpreadOptPowerMargin,0)*((1+Assumptions!$C$26)^($B136-YEAR(Assumptions!$C$17)))</f>
        <v>#VALUE!</v>
      </c>
      <c r="DA136" s="1591" t="e">
        <f aca="false">IF(OR(BQ136,BS136),(CW136*(AZ136+BH136)+CX136*(BA136+BI136)+CY136*(BB136+BJ136)+CZ136*(BC136+BK136))/(BQ136+BS136),0)</f>
        <v>#VALUE!</v>
      </c>
      <c r="DB136" s="1592" t="e">
        <f aca="false">IF(OR(BQ136,BS136),CG136+IF(OVolSmile,VLOOKUP(MAX(-5,CO136+CW136-BU136),IF(OVolSmile=1,VolSmileBook,VolSmileModel),2),0),"")</f>
        <v>#VALUE!</v>
      </c>
      <c r="DC136" s="1592" t="e">
        <f aca="false">IF(OR(BQ136,BS136),CH136+IF(OVolSmile,VLOOKUP(MAX(-5,CP136+CW136-BV136),IF(OVolSmile=1,VolSmileBook,VolSmileModel),2),0),"")</f>
        <v>#VALUE!</v>
      </c>
      <c r="DD136" s="1592" t="e">
        <f aca="false">IF(OR(BQ136,BS136),CI136+IF(OVolSmile,VLOOKUP(MAX(-5,CQ136+CW136-BW136),IF(OVolSmile=1,VolSmileBook,VolSmileModel),2),0),"")</f>
        <v>#VALUE!</v>
      </c>
      <c r="DE136" s="1592" t="e">
        <f aca="false">IF(OR(BQ136,BS136),CL136+IF(OVolSmile,VLOOKUP(MAX(-5,CR136+CZ136-BX136),IF(OVolSmile=1,VolSmileBook,VolSmileModel),2),0),"")</f>
        <v>#VALUE!</v>
      </c>
      <c r="DF136" s="1592" t="e">
        <f aca="false">IF(BQ136,CM136+IF(OVolSmile,VLOOKUP(MAX(-5,CS136+DA136-BZ136),IF(OVolSmile=1,VolSmileBook,VolSmileModel),2),0),"")</f>
        <v>#VALUE!</v>
      </c>
      <c r="DG136" s="1593" t="e">
        <f aca="false">IF(BS136,CN136+IF(OVolSmile,VLOOKUP(MAX(-5,CT136+DA136-CF136),IF(OVolSmile=1,VolSmileBook,VolSmileModel),2),0),"")</f>
        <v>#VALUE!</v>
      </c>
      <c r="DH136" s="1316" t="e">
        <f aca="false">IF(AND(BU136&gt;0,CO136&gt;0,DB136&gt;0,CU136&gt;0),newSPRDOPT(BU136,CO136,CW136,0,DB136,CU136,CV136,BT136*365.25,OCallPut,0),0)</f>
        <v>#VALUE!</v>
      </c>
      <c r="DI136" s="1316" t="e">
        <f aca="false">IF(AND(BV136&gt;0,CP136&gt;0,DC136&gt;0,CU136&gt;0),newSPRDOPT(BV136,CP136,CX136,0,DC136,CU136,CV136,BT136*365.25,OCallPut,0),0)</f>
        <v>#VALUE!</v>
      </c>
      <c r="DJ136" s="1316" t="e">
        <f aca="false">IF(AND(BW136&gt;0,CQ136&gt;0,DD136&gt;0,CU136&gt;0),newSPRDOPT(BW136,CQ136,CY136,0,DD136,CU136,CV136,BT136*365.25,OCallPut,0),0)</f>
        <v>#VALUE!</v>
      </c>
      <c r="DK136" s="1316" t="e">
        <f aca="false">IF(AND(BX136&gt;0,CR136&gt;0,DE136&gt;0,CU136&gt;0),newSPRDOPT(BX136,CR136,CZ136,0,DE136,CU136,CV136,BT136*365.25,OCallPut,0),0)</f>
        <v>#VALUE!</v>
      </c>
      <c r="DL136" s="1316" t="e">
        <f aca="false">IF(OVolType,IF(AND(BZ136&gt;0,CS136&gt;0,DF136&gt;0,CU136&gt;0),newSPRDOPT(BZ136,CS136,DA136,0,DF136,CU136,CV136,BT136*365.25,OCallPut,0),0),IF(BQ136,(DH136*AZ136+DI136*BA136+DJ136*BB136+DK136*BC136)/BQ136,0))</f>
        <v>#VALUE!</v>
      </c>
      <c r="DM136" s="1316"/>
      <c r="DN136" s="1316"/>
      <c r="DO136" s="1316"/>
      <c r="DP136" s="1316"/>
      <c r="DQ136" s="1316"/>
      <c r="DR136" s="1316"/>
      <c r="DS136" s="1316"/>
      <c r="DT136" s="1316"/>
      <c r="DU136" s="1316"/>
      <c r="DV136" s="1316"/>
      <c r="DW136" s="1594" t="e">
        <f aca="false">IF(AND(BW136&gt;0,CT136&gt;0,DD136&gt;0,CU136&gt;0),newSPRDOPT(BW136,CT136,CY136,0,DD136,CU136,CV136,BT136*365.25,OCallPut,0),0)</f>
        <v>#VALUE!</v>
      </c>
      <c r="DX136" s="1316" t="e">
        <f aca="false">IF(AND(BX136&gt;0,CT136&gt;0,DE136&gt;0,CU136&gt;0),newSPRDOPT(BX136,CT136,CZ136,0,DE136,CU136,CV136,BT136*365.25,OCallPut,0),0)</f>
        <v>#VALUE!</v>
      </c>
      <c r="DY136" s="1591" t="e">
        <f aca="false">IF(BS136,(DH136*BH136+DI136*BI136+DW136*BJ136+DX136*BK136)/BS136,0)</f>
        <v>#VALUE!</v>
      </c>
      <c r="DZ136" s="1551" t="e">
        <f aca="false">DH136*AZ136</f>
        <v>#VALUE!</v>
      </c>
      <c r="EA136" s="1551" t="e">
        <f aca="false">DI136*BA136</f>
        <v>#VALUE!</v>
      </c>
      <c r="EB136" s="1551" t="e">
        <f aca="false">DJ136*BB136</f>
        <v>#VALUE!</v>
      </c>
      <c r="EC136" s="1551" t="e">
        <f aca="false">DK136*BC136</f>
        <v>#VALUE!</v>
      </c>
      <c r="ED136" s="1551" t="e">
        <f aca="false">DL136*BQ136</f>
        <v>#VALUE!</v>
      </c>
      <c r="EE136" s="1595" t="e">
        <f aca="false">IF(BQ136,IF(OCallPut,IF(BU136&gt;(CO136+CW136),BU136-(CO136+CW136),0),IF((CO136+CW136)&gt;BU136,(CO136+CW136)-BU136,0))*AZ136,0)</f>
        <v>#VALUE!</v>
      </c>
      <c r="EF136" s="1596" t="e">
        <f aca="false">IF(BQ136,IF(OCallPut,IF(BV136&gt;(CP136+CX136),BV136-(CP136+CX136),0),IF((CP136+CX136)&gt;BV136,(CP136+CX136)-BV136,0))*BA136,0)</f>
        <v>#VALUE!</v>
      </c>
      <c r="EG136" s="1596" t="e">
        <f aca="false">IF(BQ136,IF(OCallPut,IF(BW136&gt;(CQ136+CY136),BW136-(CQ136+CY136),0),IF((CQ136+CY136)&gt;BW136,(CQ136+CY136)-BW136,0))*BB136,0)</f>
        <v>#VALUE!</v>
      </c>
      <c r="EH136" s="1596" t="e">
        <f aca="false">IF(BQ136,IF(OCallPut,IF(BX136&gt;(CR136+CZ136),BX136-(CR136+CZ136),0),IF((CR136+CZ136)&gt;BX136,(CR136+CZ136)-BX136,0))*BC136,0)</f>
        <v>#VALUE!</v>
      </c>
      <c r="EI136" s="1597" t="e">
        <f aca="false">IF(BQ136,IF(OVolType,IF(OCallPut,IF(BZ136&gt;(CS136+DA136),BZ136-(CS136+DA136),0),IF((CS136+DA136)&gt;BZ136,(CS136+DA136)-BZ136,0))*BQ136,SUM(EE136:EH136)),0)</f>
        <v>#VALUE!</v>
      </c>
      <c r="EJ136" s="1595" t="e">
        <f aca="false">DZ136-EE136</f>
        <v>#VALUE!</v>
      </c>
      <c r="EK136" s="1596" t="e">
        <f aca="false">EA136-EF136</f>
        <v>#VALUE!</v>
      </c>
      <c r="EL136" s="1596" t="e">
        <f aca="false">EB136-EG136</f>
        <v>#VALUE!</v>
      </c>
      <c r="EM136" s="1596" t="e">
        <f aca="false">EC136-EH136</f>
        <v>#VALUE!</v>
      </c>
      <c r="EN136" s="1597" t="e">
        <f aca="false">ED136-EI136</f>
        <v>#VALUE!</v>
      </c>
      <c r="EO136" s="1551" t="e">
        <f aca="false">DH136*BH136</f>
        <v>#VALUE!</v>
      </c>
      <c r="EP136" s="1551" t="e">
        <f aca="false">DI136*BI136</f>
        <v>#VALUE!</v>
      </c>
      <c r="EQ136" s="1551" t="e">
        <f aca="false">DW136*BJ136</f>
        <v>#VALUE!</v>
      </c>
      <c r="ER136" s="1551" t="e">
        <f aca="false">DX136*BK136</f>
        <v>#VALUE!</v>
      </c>
      <c r="ES136" s="1551" t="e">
        <f aca="false">DY136*BS136</f>
        <v>#VALUE!</v>
      </c>
      <c r="ET136" s="1566" t="e">
        <f aca="false">IF(EI136,IF(OCallPut,IF(CA136&gt;(CT136+CW136),CA136-(CT136+CW136),0),IF((CT136+CW136)&gt;CA136,(CT136+CW136)-CA136,0))*BH136,0)</f>
        <v>#VALUE!</v>
      </c>
      <c r="EU136" s="1551" t="e">
        <f aca="false">IF(EI136,IF(OCallPut,IF(CB136&gt;(CT136+CX136),CB136-(CT136+CX136),0),IF((CT136+CX136)&gt;CB136,(CT136+CX136)-CB136,0))*BI136,0)</f>
        <v>#VALUE!</v>
      </c>
      <c r="EV136" s="1551" t="e">
        <f aca="false">IF(EI136,IF(OCallPut,IF(CC136&gt;(CT136+CY136),CC136-(CT136+CY136),0),IF((CT136+CY136)&gt;CC136,(CT136+CY136)-CC136,0))*BJ136,0)</f>
        <v>#VALUE!</v>
      </c>
      <c r="EW136" s="1551" t="e">
        <f aca="false">IF(EI136,IF(OCallPut,IF(CD136&gt;(CT136+CZ136),CD136-(CT136+CZ136),0),IF((CT136+CZ136)&gt;CD136,(CT136+CZ136)-CD136,0))*BK136,0)</f>
        <v>#VALUE!</v>
      </c>
      <c r="EX136" s="1558" t="e">
        <f aca="false">IF(EI136,SUM(ET136:EW136),0)</f>
        <v>#VALUE!</v>
      </c>
      <c r="EY136" s="1551" t="e">
        <f aca="false">EO136-ET136</f>
        <v>#VALUE!</v>
      </c>
      <c r="EZ136" s="1551" t="e">
        <f aca="false">EP136-EU136</f>
        <v>#VALUE!</v>
      </c>
      <c r="FA136" s="1551" t="e">
        <f aca="false">EQ136-EV136</f>
        <v>#VALUE!</v>
      </c>
      <c r="FB136" s="1551" t="e">
        <f aca="false">ER136-EW136</f>
        <v>#VALUE!</v>
      </c>
      <c r="FC136" s="1551" t="e">
        <f aca="false">ES136-EX136</f>
        <v>#VALUE!</v>
      </c>
      <c r="FD136" s="1525" t="n">
        <f aca="false">IF(AX136,IF(VLOOKUP(C136,MAIN!$L$17:$M$28,2)="Yes",VLOOKUP(CALC!B136,MAIN!$H$17:$I$20,2),0),0)</f>
        <v>0</v>
      </c>
      <c r="FE136" s="1552" t="e">
        <f aca="false">$FD136*16*AT136*(1-$AY136)</f>
        <v>#VALUE!</v>
      </c>
      <c r="FF136" s="1553" t="e">
        <f aca="false">$FD136*16*AU136*(1-$AY136)</f>
        <v>#VALUE!</v>
      </c>
      <c r="FG136" s="1553" t="e">
        <f aca="false">$FD136*16*(AV136+AW136)*(1-$AY136)</f>
        <v>#VALUE!</v>
      </c>
      <c r="FH136" s="1554" t="n">
        <f aca="false">$FD136*8*AX136*(1-$AY136)</f>
        <v>0</v>
      </c>
      <c r="FI136" s="1555" t="n">
        <f aca="false">IF(AX136,VLOOKUP(CALC!B136,MAIN!$H$17:$K$20,4),0)</f>
        <v>0</v>
      </c>
      <c r="FJ136" s="1553" t="e">
        <f aca="false">SUM(FE136:FH136)</f>
        <v>#VALUE!</v>
      </c>
      <c r="FK136" s="1556" t="e">
        <f aca="false">FI136*FJ136</f>
        <v>#VALUE!</v>
      </c>
      <c r="FL136" s="1551" t="e">
        <f aca="false">IF($EI136&gt;0,MIN(FE136,AZ136*(1+VLOOKUP($C136,WeatherCapacityAdjustment,2))),0)</f>
        <v>#VALUE!</v>
      </c>
      <c r="FM136" s="1551" t="e">
        <f aca="false">IF($EI136&gt;0,MIN(FF136,BA136*(1+VLOOKUP($C136,WeatherCapacityAdjustment,2))),0)</f>
        <v>#VALUE!</v>
      </c>
      <c r="FN136" s="1551" t="e">
        <f aca="false">IF($EI136&gt;0,MIN(FG136,BB136*(1+VLOOKUP($C136,WeatherCapacityAdjustment,2))),0)</f>
        <v>#VALUE!</v>
      </c>
      <c r="FO136" s="1564" t="e">
        <f aca="false">IF($EI136&gt;0,MIN(FH136,BC136*(1+VLOOKUP($C136,WeatherCapacityAdjustment,3))),0)</f>
        <v>#VALUE!</v>
      </c>
      <c r="FP136" s="1551" t="e">
        <f aca="false">IF(ET136&gt;0,MIN(FE136-FL136,BH136*(1+VLOOKUP($C136,WeatherCapacityAdjustment,2))),0)</f>
        <v>#VALUE!</v>
      </c>
      <c r="FQ136" s="1551" t="e">
        <f aca="false">IF(EU136&gt;0,MIN(FF136-FM136,BI136*(1+VLOOKUP($C136,WeatherCapacityAdjustment,2))),0)</f>
        <v>#VALUE!</v>
      </c>
      <c r="FR136" s="1551" t="e">
        <f aca="false">IF(EV136&gt;0,MIN(FG136-FN136,BJ136*(1+VLOOKUP($C136,WeatherCapacityAdjustment,2))),0)</f>
        <v>#VALUE!</v>
      </c>
      <c r="FS136" s="1558" t="e">
        <f aca="false">IF(EW136&gt;0,MIN(FH136-FO136,BK136*(1+VLOOKUP($C136,WeatherCapacityAdjustment,3))),0)</f>
        <v>#VALUE!</v>
      </c>
      <c r="FT136" s="1566" t="e">
        <f aca="false">IF(AND(Assumptions!$H$71="Yes",A136&gt;=Assumptions!$H$72,A136&lt;=Assumptions!$H$73),0,IF(AND($A136&gt;=Assumptions!$C$17,$A136&lt;=Assumptions!$C$18),MAX(AZ136*(1+VLOOKUP($C136,WeatherCapacityAdjustment,2))-FL136,0),0))</f>
        <v>#VALUE!</v>
      </c>
      <c r="FU136" s="1551" t="e">
        <f aca="false">IF(AND(Assumptions!$H$71="Yes",A136&gt;=Assumptions!$H$72,A136&lt;=Assumptions!$H$73),0,IF(AND($A136&gt;=Assumptions!$C$17,$A136&lt;=Assumptions!$C$18),MAX(BA136*(1+VLOOKUP($C136,WeatherCapacityAdjustment,2))-FM136,0),0))</f>
        <v>#VALUE!</v>
      </c>
      <c r="FV136" s="1551" t="e">
        <f aca="false">IF(AND(Assumptions!$H$71="Yes",A136&gt;=Assumptions!$H$72,A136&lt;=Assumptions!$H$73),0,IF(AND($A136&gt;=Assumptions!$C$17,$A136&lt;=Assumptions!$C$18),MAX(BB136*(1+VLOOKUP($C136,WeatherCapacityAdjustment,2))-FN136,0),0))</f>
        <v>#VALUE!</v>
      </c>
      <c r="FW136" s="1564" t="e">
        <f aca="false">IF(AND(Assumptions!$H$71="Yes",A136&gt;=Assumptions!$H$72,A136&lt;=Assumptions!$H$73),0,IF(AND($A136&gt;=Assumptions!$C$17,$A136&lt;=Assumptions!$C$18),MAX(BC136*(1+VLOOKUP($C136,WeatherCapacityAdjustment,3))-FO136,0),0))</f>
        <v>#VALUE!</v>
      </c>
      <c r="FX136" s="1569" t="e">
        <f aca="false">IF(AND(Assumptions!$H$71="Yes",A136&gt;=Assumptions!$H$72,A136&lt;=Assumptions!$H$73),0,IF(ET136&gt;0,MAX(BH136*(1+VLOOKUP($C136,WeatherCapacityAdjustment,2))-FP136,0),0))</f>
        <v>#VALUE!</v>
      </c>
      <c r="FY136" s="1551" t="e">
        <f aca="false">IF(AND(Assumptions!$H$71="Yes",A136&gt;=Assumptions!$H$72,A136&lt;=Assumptions!$H$73),0,IF(EU136&gt;0,MAX(BI136*(1+VLOOKUP($C136,WeatherCapacityAdjustment,3))-FQ136,0),0))</f>
        <v>#VALUE!</v>
      </c>
      <c r="FZ136" s="1551" t="e">
        <f aca="false">IF(AND(Assumptions!$H$71="Yes",A136&gt;=Assumptions!$H$72,A136&lt;=Assumptions!$H$73),0,IF(EV136&gt;0,MAX(BJ136*(1+VLOOKUP($C136,WeatherCapacityAdjustment,2))-FR136,0),0))</f>
        <v>#VALUE!</v>
      </c>
      <c r="GA136" s="1564" t="e">
        <f aca="false">IF(AND(Assumptions!$H$71="Yes",A136&gt;=Assumptions!$H$72,A136&lt;=Assumptions!$H$73),0,IF(EW136&gt;0,MAX(BK136*(1+VLOOKUP($C136,WeatherCapacityAdjustment,2))-FS136,0),0))</f>
        <v>#VALUE!</v>
      </c>
      <c r="GB136" s="1551" t="e">
        <f aca="false">SUM(FT136:GA136)</f>
        <v>#VALUE!</v>
      </c>
      <c r="GC136" s="1563" t="e">
        <f aca="false">+IF(SUM(FT136:GA136)=0,0,(SUMPRODUCT(BU136:BX136,FT136:FW136)+SUMPRODUCT(CA136:CD136,FX136:GA136))/SUM(FT136:GA136))</f>
        <v>#VALUE!</v>
      </c>
      <c r="GD136" s="1551" t="e">
        <f aca="false">(FT136*BU136+FX136*CA136+FU136*BV136+FY136*CB136+FV136*BW136+FZ136*CC136+FW136*BX136+GA136*CD136)</f>
        <v>#VALUE!</v>
      </c>
      <c r="GE136" s="1561" t="e">
        <f aca="false">+IF(BQ136,((FL136+FM136+FT136+FU136)*HeatRatePeak/1000*(1+VLOOKUP($C136,WeatherHeatRateAdjustment,2))+(FN136+FV136)*IF(EV136&gt;0,HeatRatePeak,HeatRateOffPeak)/1000*(1+VLOOKUP($C136,WeatherHeatRateAdjustment,2))+(FO136+FW136)*IF(EW136&gt;0,HeatRatePeak,HeatRateOffPeak)/1000*(1+VLOOKUP($C136,WeatherHeatRateAdjustment,3)))*(1+VLOOKUP($B136,HeatRateDegradation,$C136+1)),0)</f>
        <v>#VALUE!</v>
      </c>
      <c r="GF136" s="1562" t="e">
        <f aca="false">IF(BQ136,((FP136+FQ136+FR136+FX136+FY136+FZ136)*HeatRatePeak/1000*(1+VLOOKUP($C136,WeatherHeatRateAdjustment,2))+(FS136+GA136)*HeatRatePeak/1000*(1+VLOOKUP($C136,WeatherHeatRateAdjustment,3)))*(1+VLOOKUP($B136,HeatRateDegradation,$C136+1)),0)</f>
        <v>#VALUE!</v>
      </c>
      <c r="GG136" s="1563" t="e">
        <f aca="false">IF(BQ136,VLOOKUP(A136,GasTable,13),0)</f>
        <v>#VALUE!</v>
      </c>
      <c r="GH136" s="1564" t="e">
        <f aca="false">(GE136+GF136)*GG136</f>
        <v>#VALUE!</v>
      </c>
      <c r="GI136" s="1569" t="e">
        <f aca="false">GB136</f>
        <v>#VALUE!</v>
      </c>
      <c r="GJ136" s="1598" t="e">
        <f aca="false">+DA136</f>
        <v>#VALUE!</v>
      </c>
      <c r="GK136" s="1558" t="e">
        <f aca="false">+GI136*GJ136</f>
        <v>#VALUE!</v>
      </c>
      <c r="GL136" s="1566" t="e">
        <f aca="false">MAX(FE136-FL136-FP136,0)</f>
        <v>#VALUE!</v>
      </c>
      <c r="GM136" s="1551" t="e">
        <f aca="false">MAX(FF136-FM136-FQ136,0)</f>
        <v>#VALUE!</v>
      </c>
      <c r="GN136" s="1551" t="e">
        <f aca="false">MAX(FG136-FN136-FR136,0)</f>
        <v>#VALUE!</v>
      </c>
      <c r="GO136" s="1564" t="e">
        <f aca="false">MAX(FH136-FO136-FS136,0)</f>
        <v>#VALUE!</v>
      </c>
      <c r="GP136" s="1551" t="e">
        <f aca="false">SUM(GL136:GO136)</f>
        <v>#VALUE!</v>
      </c>
      <c r="GQ136" s="1563" t="e">
        <f aca="false">IF(SUM(GL136:GO136)=0,0,((GL136*BU136+GM136*BV136+GN136*BW136+GO136*BX136)/SUM(GL136:GO136)))</f>
        <v>#VALUE!</v>
      </c>
      <c r="GR136" s="1558" t="e">
        <f aca="false">(GL136*BU136+GM136*BV136+GN136*BW136+GO136*BX136)</f>
        <v>#VALUE!</v>
      </c>
      <c r="GS136" s="1566" t="n">
        <f aca="false">IF($A136&gt;=BegDate,Assumptions!$C$56*24*($A137-$A136)*(1-VLOOKUP($B136,MAIN!$AA$7:$AM$28,$C136+1))*(1-VLOOKUP($B136,MAIN!$AA$33:$AM$54,$C136+1)),0)*80/168</f>
        <v>224485.714285714</v>
      </c>
      <c r="GT136" s="286" t="n">
        <f aca="false">J136</f>
        <v>37.8724500370491</v>
      </c>
      <c r="GU136" s="286" t="n">
        <f aca="false">IF($A136&gt;=BegDate,VLOOKUP($A136,GasTable,13)+Assumptions!$C$58,0)</f>
        <v>2.73055930691524</v>
      </c>
      <c r="GV136" s="286" t="n">
        <f aca="false">GU136*Assumptions!$C$57/1000</f>
        <v>19.7965549751355</v>
      </c>
      <c r="GW136" s="1558" t="n">
        <f aca="false">IF(Assumptions!$C$60="Hourly",MAX(0,GS136*(GT136-GV136)),GS136*(GT136-GV136))</f>
        <v>4057780.21432729</v>
      </c>
      <c r="GX136" s="1566" t="n">
        <f aca="false">IF($A136&gt;=BegDate,Assumptions!$C$56*24*($A137-$A136)*(1-VLOOKUP($B136,MAIN!$AA$7:$AM$28,$C136+1))*(1-VLOOKUP($B136,MAIN!$AA$33:$AM$54,$C136+1)),0)*16/168</f>
        <v>44897.1428571429</v>
      </c>
      <c r="GY136" s="286" t="n">
        <f aca="false">M136</f>
        <v>37.8724500370491</v>
      </c>
      <c r="GZ136" s="286" t="n">
        <f aca="false">IF($A136&gt;=BegDate,VLOOKUP($A136,GasTable,13)+Assumptions!$C$58,0)</f>
        <v>2.73055930691524</v>
      </c>
      <c r="HA136" s="286" t="n">
        <f aca="false">GZ136*Assumptions!$C$57/1000</f>
        <v>19.7965549751355</v>
      </c>
      <c r="HB136" s="1558" t="n">
        <f aca="false">IF(Assumptions!$C$60="Hourly",MAX(0,GX136*(GY136-HA136)),GX136*(GY136-HA136))</f>
        <v>811556.042865458</v>
      </c>
      <c r="HC136" s="1566" t="n">
        <f aca="false">IF($A136&gt;=BegDate,Assumptions!$C$56*24*($A137-$A136)*(1-VLOOKUP($B136,MAIN!$AA$7:$AM$28,$C136+1))*(1-VLOOKUP($B136,MAIN!$AA$33:$AM$54,$C136+1)),0)*16/168</f>
        <v>44897.1428571429</v>
      </c>
      <c r="HD136" s="286" t="n">
        <f aca="false">P136</f>
        <v>23.6884747648741</v>
      </c>
      <c r="HE136" s="286" t="n">
        <f aca="false">IF($A136&gt;=BegDate,VLOOKUP($A136,GasTable,13)+Assumptions!$C$58,0)</f>
        <v>2.73055930691524</v>
      </c>
      <c r="HF136" s="286" t="n">
        <f aca="false">HE136*Assumptions!$C$57/1000</f>
        <v>19.7965549751355</v>
      </c>
      <c r="HG136" s="1558" t="n">
        <f aca="false">IF(Assumptions!$C$60="Hourly",MAX(0,HC136*(HD136-HF136)),HC136*(HD136-HF136))</f>
        <v>174736.078788435</v>
      </c>
      <c r="HH136" s="1566" t="n">
        <f aca="false">IF($A136&gt;=BegDate,Assumptions!$C$56*24*($A137-$A136)*(1-VLOOKUP($B136,MAIN!$AA$7:$AM$28,$C136+1))*(1-VLOOKUP($B136,MAIN!$AA$33:$AM$54,$C136+1)),0)*56/168</f>
        <v>157140</v>
      </c>
      <c r="HI136" s="286" t="n">
        <f aca="false">S136</f>
        <v>23.6884747648741</v>
      </c>
      <c r="HJ136" s="286" t="n">
        <f aca="false">IF($A136&gt;=BegDate,VLOOKUP($A136,GasTable,13)+Assumptions!$C$58,0)</f>
        <v>2.73055930691524</v>
      </c>
      <c r="HK136" s="286" t="n">
        <f aca="false">HJ136*Assumptions!$C$57/1000</f>
        <v>19.7965549751355</v>
      </c>
      <c r="HL136" s="1558" t="n">
        <f aca="false">IF(Assumptions!$C$60="Hourly",MAX(0,HH136*(HI136-HK136)),HH136*(HI136-HK136))</f>
        <v>611576.275759523</v>
      </c>
      <c r="HM136" s="1566" t="n">
        <f aca="false">IF(AND(Assumptions!$H$71="Yes",A136&gt;=Assumptions!$H$72,A136&lt;=Assumptions!$H$73),Assumptions!$H$74*Assumptions!$C$9*1000,0)</f>
        <v>0</v>
      </c>
      <c r="HN136" s="1551"/>
      <c r="HO136" s="1563"/>
      <c r="HP136" s="1563"/>
      <c r="HQ136" s="1563"/>
      <c r="HR136" s="1563"/>
      <c r="HS136" s="1563"/>
      <c r="HT136" s="1563"/>
      <c r="HU136" s="1563"/>
      <c r="HV136" s="1563"/>
      <c r="HW136" s="1563"/>
      <c r="HX136" s="1563"/>
      <c r="HY136" s="1563"/>
      <c r="HZ136" s="1563"/>
      <c r="IA136" s="1563"/>
      <c r="IB136" s="1563"/>
      <c r="IC136" s="1563"/>
      <c r="ID136" s="1563"/>
      <c r="IE136" s="1563"/>
      <c r="IF136" s="1563"/>
      <c r="IG136" s="1563"/>
      <c r="IH136" s="1563"/>
      <c r="II136" s="1610"/>
      <c r="IJ136" s="1309"/>
      <c r="IK136" s="1309"/>
    </row>
    <row r="137" customFormat="false" ht="12.75" hidden="false" customHeight="false" outlineLevel="0" collapsed="false">
      <c r="A137" s="1571" t="n">
        <f aca="false">EOMONTH(A136,0)+1</f>
        <v>40299</v>
      </c>
      <c r="B137" s="594" t="n">
        <f aca="false">+YEAR(A137)</f>
        <v>2010</v>
      </c>
      <c r="C137" s="238" t="n">
        <f aca="false">MONTH(A137)</f>
        <v>5</v>
      </c>
      <c r="D137" s="1572" t="e">
        <f aca="false">IF(E137="","",Holiday(B137,C137))</f>
        <v>#VALUE!</v>
      </c>
      <c r="E137" s="1573" t="n">
        <f aca="false">IF(OR(BegDate&gt;=A138,EndDate&lt;A137,AND(VolumeMonthlyOverFlag,INDEX(VolumeMonthlyOver,C137)=0),NOT(INDEX(MonthKnockOutTable,C137))),"",MAX(A137,BegDate))</f>
        <v>40299</v>
      </c>
      <c r="F137" s="1574" t="n">
        <f aca="false">IF(E137="","",MIN(A138-1,EndDate))</f>
        <v>40329</v>
      </c>
      <c r="G137" s="1575" t="n">
        <v>0</v>
      </c>
      <c r="H137" s="1576" t="n">
        <f aca="false">(1+G137/2)^(-2*(DATE(B138,C138,20)-DateToday)/365.25)</f>
        <v>1</v>
      </c>
      <c r="I137" s="1568" t="n">
        <f aca="false">IF(Assumptions!$L$25=4,VLOOKUP($A137,'Henwood Reference'!$E$9:$R$320,10),(VLOOKUP($A137,PriceTable,2,0)+IF(BasisNumber&lt;&gt;1,VLOOKUP($A137,BasisTable,2,0),0)+I$1)/(1-I$2))</f>
        <v>41.2061559768508</v>
      </c>
      <c r="J137" s="1568" t="n">
        <f aca="false">IF(Assumptions!$L$25=4,VLOOKUP($A137,'Henwood Reference'!$E$9:$R$320,10),(VLOOKUP($A137,PriceTable,3,0)+IF(BasisNumber&lt;&gt;1,VLOOKUP($A137,BasisTable,2,0),0)+J$1)/(1-J$2))</f>
        <v>41.2061559768508</v>
      </c>
      <c r="K137" s="1568" t="n">
        <f aca="false">IF(Assumptions!$L$25=4,VLOOKUP($A137,'Henwood Reference'!$E$9:$R$320,10),(VLOOKUP($A137,PriceTable,4,0)+IF(BasisNumber&lt;&gt;1,VLOOKUP($A137,BasisTable,2,0),0)+K$1)/(1-K$2))</f>
        <v>41.2061559768508</v>
      </c>
      <c r="L137" s="1523" t="n">
        <f aca="false">IF(Assumptions!$L$25=4,VLOOKUP($A137,'Henwood Reference'!$E$9:$R$320,10),(VLOOKUP($A137,PriceTableWeekend,2,0)+IF(BasisNumber&lt;&gt;1,VLOOKUP($A137,BasisTable,2,0),0)+L$1)/(1-L$2))</f>
        <v>41.2061559768508</v>
      </c>
      <c r="M137" s="1568" t="n">
        <f aca="false">IF(Assumptions!$L$25=4,VLOOKUP($A137,'Henwood Reference'!$E$9:$R$320,10),(VLOOKUP($A137,PriceTableWeekend,3,0)+IF(BasisNumber&lt;&gt;1,VLOOKUP($A137,BasisTable,2,0),0)+M$1)/(1-M$2))</f>
        <v>41.2061559768508</v>
      </c>
      <c r="N137" s="1599" t="n">
        <f aca="false">IF(Assumptions!$L$25=4,VLOOKUP($A137,'Henwood Reference'!$E$9:$R$320,10),(VLOOKUP($A137,PriceTableWeekend,4,0)+IF(BasisNumber&lt;&gt;1,VLOOKUP($A137,BasisTable,2,0),0)+N$1)/(1-N$2))</f>
        <v>41.2061559768508</v>
      </c>
      <c r="O137" s="1568" t="n">
        <f aca="false">IF(Assumptions!$L$25=4,VLOOKUP($A137,'Henwood Reference'!$E$9:$R$320,11),(VLOOKUP($A137,PriceTableWeekend,6,0)+IF(BasisNumber&lt;&gt;1,VLOOKUP($A137,BasisTable,3,0),0)+O$1)/(1-O$2))</f>
        <v>23.8120807990616</v>
      </c>
      <c r="P137" s="1568" t="n">
        <f aca="false">IF(Assumptions!$L$25=4,VLOOKUP($A137,'Henwood Reference'!$E$9:$R$320,11),(VLOOKUP($A137,PriceTableWeekend,7,0)+IF(BasisNumber&lt;&gt;1,VLOOKUP($A137,BasisTable,3,0),0)+P$1)/(1-P$2))</f>
        <v>23.8120807990616</v>
      </c>
      <c r="Q137" s="1599" t="n">
        <f aca="false">IF(Assumptions!$L$25=4,VLOOKUP($A137,'Henwood Reference'!$E$9:$R$320,11),(VLOOKUP($A137,PriceTableWeekend,8,0)+IF(BasisNumber&lt;&gt;1,VLOOKUP($A137,BasisTable,3,0),0)+Q$1)/(1-Q$2))</f>
        <v>23.8120807990616</v>
      </c>
      <c r="R137" s="1568" t="n">
        <f aca="false">IF(Assumptions!$L$25=4,VLOOKUP($A137,'Henwood Reference'!$E$9:$R$320,11),(VLOOKUP($A137,PriceTable,6,0)+IF(BasisNumber&lt;&gt;1,VLOOKUP($A137,BasisTable,3,0),0)+R$1)/(1-R$2))</f>
        <v>23.8120807990616</v>
      </c>
      <c r="S137" s="1568" t="n">
        <f aca="false">IF(Assumptions!$L$25=4,VLOOKUP($A137,'Henwood Reference'!$E$9:$R$320,11),(VLOOKUP($A137,PriceTable,7,0)+IF(BasisNumber&lt;&gt;1,VLOOKUP($A137,BasisTable,3,0),0)+S$1)/(1-S$2))</f>
        <v>23.8120807990616</v>
      </c>
      <c r="T137" s="1600" t="n">
        <f aca="false">IF(Assumptions!$L$25=4,VLOOKUP($A137,'Henwood Reference'!$E$9:$R$320,11),(VLOOKUP($A137,PriceTable,8,0)+IF(BasisNumber&lt;&gt;1,VLOOKUP($A137,BasisTable,3,0),0)+T$1)/(1-T$2))</f>
        <v>23.8120807990616</v>
      </c>
      <c r="U137" s="1513" t="n">
        <f aca="false">VLOOKUP($A137,VolatilityTable,14)</f>
        <v>0.12</v>
      </c>
      <c r="V137" s="1513" t="n">
        <f aca="false">VLOOKUP($A137,VolatilityTable,15)</f>
        <v>0.13</v>
      </c>
      <c r="W137" s="1514" t="n">
        <f aca="false">VLOOKUP($A137,VolatilityTable,16)</f>
        <v>0.14</v>
      </c>
      <c r="X137" s="1513" t="n">
        <f aca="false">VLOOKUP($A137,VolatilityTable,14)</f>
        <v>0.12</v>
      </c>
      <c r="Y137" s="1513" t="n">
        <f aca="false">VLOOKUP($A137,VolatilityTable,15)</f>
        <v>0.13</v>
      </c>
      <c r="Z137" s="1514" t="n">
        <f aca="false">VLOOKUP($A137,VolatilityTable,16)</f>
        <v>0.14</v>
      </c>
      <c r="AA137" s="1513" t="n">
        <f aca="false">VLOOKUP($A137,VolatilityTable,18)</f>
        <v>0.09</v>
      </c>
      <c r="AB137" s="1513" t="n">
        <f aca="false">VLOOKUP($A137,VolatilityTable,19)</f>
        <v>0.11</v>
      </c>
      <c r="AC137" s="1514" t="n">
        <f aca="false">VLOOKUP($A137,VolatilityTable,20)</f>
        <v>0.13</v>
      </c>
      <c r="AD137" s="1513" t="n">
        <f aca="false">VLOOKUP($A137,VolatilityTable,18)</f>
        <v>0.09</v>
      </c>
      <c r="AE137" s="1513" t="n">
        <f aca="false">VLOOKUP($A137,VolatilityTable,19)</f>
        <v>0.11</v>
      </c>
      <c r="AF137" s="1514" t="n">
        <f aca="false">VLOOKUP($A137,VolatilityTable,20)</f>
        <v>0.13</v>
      </c>
      <c r="AG137" s="1513" t="n">
        <f aca="false">VLOOKUP($A137,VolatilityTable,22)</f>
        <v>-0.1</v>
      </c>
      <c r="AH137" s="1513" t="n">
        <f aca="false">VLOOKUP($A137,VolatilityTable,23)</f>
        <v>0.65</v>
      </c>
      <c r="AI137" s="1514" t="n">
        <f aca="false">VLOOKUP($A137,VolatilityTable,24)</f>
        <v>0.1</v>
      </c>
      <c r="AJ137" s="1513" t="n">
        <f aca="false">VLOOKUP($A137,VolatilityTable,22)</f>
        <v>-0.1</v>
      </c>
      <c r="AK137" s="1513" t="n">
        <f aca="false">VLOOKUP($A137,VolatilityTable,23)</f>
        <v>0.65</v>
      </c>
      <c r="AL137" s="1514" t="n">
        <f aca="false">VLOOKUP($A137,VolatilityTable,24)</f>
        <v>0.1</v>
      </c>
      <c r="AM137" s="1513" t="n">
        <f aca="false">VLOOKUP($A137,VolatilityTable,26)</f>
        <v>-0.01</v>
      </c>
      <c r="AN137" s="1513" t="n">
        <f aca="false">VLOOKUP($A137,VolatilityTable,27)</f>
        <v>0.16</v>
      </c>
      <c r="AO137" s="1514" t="n">
        <f aca="false">VLOOKUP($A137,VolatilityTable,28)</f>
        <v>0.01</v>
      </c>
      <c r="AP137" s="1513" t="n">
        <f aca="false">VLOOKUP($A137,VolatilityTable,26)</f>
        <v>-0.01</v>
      </c>
      <c r="AQ137" s="1513" t="n">
        <f aca="false">VLOOKUP($A137,VolatilityTable,27)</f>
        <v>0.16</v>
      </c>
      <c r="AR137" s="1515" t="n">
        <f aca="false">VLOOKUP($A137,VolatilityTable,28)</f>
        <v>0.01</v>
      </c>
      <c r="AS137" s="1581" t="n">
        <f aca="false">IF(CorrPeakOffPeakOverFlag,INDEX(CorrPeakOffPeakOver,C137),CorrPeakOffPeak)</f>
        <v>0.5</v>
      </c>
      <c r="AT137" s="594" t="e">
        <f aca="false">AX137-SUM(AU137:AW137)</f>
        <v>#VALUE!</v>
      </c>
      <c r="AU137" s="238" t="e">
        <f aca="false">IF(E137="",0,INT((F137-MOD(F137,7)-E137)/7)+1-IF(AW137,IF(WEEKDAY(D137)=7,1,0),0))</f>
        <v>#VALUE!</v>
      </c>
      <c r="AV137" s="238" t="e">
        <f aca="false">IF(E137="",0,INT((F137-MOD(F137-1,7)-E137)/7)+1-IF(AW137,IF(WEEKDAY(D137)=1,1,0),0))</f>
        <v>#VALUE!</v>
      </c>
      <c r="AW137" s="238" t="e">
        <f aca="false">IF(OR(E137="",D137="",D137&lt;BegDate,D137&gt;EndDate),0,1)</f>
        <v>#VALUE!</v>
      </c>
      <c r="AX137" s="238" t="n">
        <f aca="false">IF(E137="",0,F137-E137+1)</f>
        <v>31</v>
      </c>
      <c r="AY137" s="1582" t="n">
        <f aca="false">IF(E137="",0,MIN((1-(1-VLOOKUP(B137,MAIN!$AA$7:$AM$28,C137+1))*(1-VLOOKUP(B137,MAIN!$AA$33:$AM$54,C137+1))),1))</f>
        <v>0.03</v>
      </c>
      <c r="AZ137" s="1519" t="e">
        <v>#VALUE!</v>
      </c>
      <c r="BA137" s="1520" t="e">
        <v>#VALUE!</v>
      </c>
      <c r="BB137" s="1520" t="e">
        <v>#VALUE!</v>
      </c>
      <c r="BC137" s="1583" t="e">
        <v>#VALUE!</v>
      </c>
      <c r="BD137" s="1522" t="e">
        <v>#VALUE!</v>
      </c>
      <c r="BE137" s="1523" t="e">
        <v>#VALUE!</v>
      </c>
      <c r="BF137" s="1523" t="e">
        <v>#VALUE!</v>
      </c>
      <c r="BG137" s="1584" t="e">
        <v>#VALUE!</v>
      </c>
      <c r="BH137" s="1525" t="e">
        <v>#VALUE!</v>
      </c>
      <c r="BI137" s="1520" t="e">
        <v>#VALUE!</v>
      </c>
      <c r="BJ137" s="1520" t="e">
        <v>#VALUE!</v>
      </c>
      <c r="BK137" s="1583" t="e">
        <v>#VALUE!</v>
      </c>
      <c r="BL137" s="1522" t="e">
        <v>#VALUE!</v>
      </c>
      <c r="BM137" s="1523" t="e">
        <v>#VALUE!</v>
      </c>
      <c r="BN137" s="1523" t="e">
        <v>#VALUE!</v>
      </c>
      <c r="BO137" s="1523" t="e">
        <v>#VALUE!</v>
      </c>
      <c r="BP137" s="1525" t="e">
        <f aca="false">SUM(AZ137:BB137)</f>
        <v>#VALUE!</v>
      </c>
      <c r="BQ137" s="1529" t="e">
        <f aca="false">SUM(AZ137:BC137)</f>
        <v>#VALUE!</v>
      </c>
      <c r="BR137" s="1519" t="e">
        <f aca="false">SUM(BH137:BJ137)</f>
        <v>#VALUE!</v>
      </c>
      <c r="BS137" s="1529" t="e">
        <f aca="false">SUM(BH137:BK137)</f>
        <v>#VALUE!</v>
      </c>
      <c r="BT137" s="1316" t="n">
        <f aca="false">(IF(OVolType&lt;&gt;2,A137+14,IF(OptExpDateShift,ShiftBack(A137,OptExpDateShift,D136),A137))-DateToday)/365.25</f>
        <v>10.0451745379877</v>
      </c>
      <c r="BU137" s="1585" t="e">
        <f aca="false">IF(BQ137,IF(OPriceCurve,IF(OBuySell=OCallPut,I137/(1-AY137),K137/(1-AY137)),J137/(1-AY137))*BD137,0)</f>
        <v>#VALUE!</v>
      </c>
      <c r="BV137" s="1316" t="e">
        <f aca="false">IF(BQ137,IF(OPriceCurve,IF(OBuySell=OCallPut,L137/(1-AY137),N137/(1-AY137)),M137/(1-AY137))*BE137,0)</f>
        <v>#VALUE!</v>
      </c>
      <c r="BW137" s="1316" t="e">
        <f aca="false">IF(BQ137,IF(OPriceCurve,IF(OBuySell=OCallPut,O137/(1-AY137),Q137/(1-AY137)),P137/(1-AY137))*BF137,0)</f>
        <v>#VALUE!</v>
      </c>
      <c r="BX137" s="1316" t="e">
        <f aca="false">IF(BQ137,IF(OPriceCurve,IF(OBuySell=OCallPut,R137/(1-AY137),T137/(1-AY137)),S137/(1-AY137))*BG137,0)</f>
        <v>#VALUE!</v>
      </c>
      <c r="BY137" s="1316" t="e">
        <f aca="false">IF(BP137,(BU137*AZ137+BV137*BA137+BW137*BB137)/BP137,0)</f>
        <v>#VALUE!</v>
      </c>
      <c r="BZ137" s="1316" t="e">
        <f aca="false">IF(BQ137,(BY137*BP137+BX137*BC137)/BQ137,0)</f>
        <v>#VALUE!</v>
      </c>
      <c r="CA137" s="1531" t="e">
        <f aca="false">IF(BS137,IF(OPriceCurve,IF(OBuySell=OCallPut,I137/(1-AY137),K137/(1-AY137)),J137/(1-AY137))*BL137,0)</f>
        <v>#VALUE!</v>
      </c>
      <c r="CB137" s="1316" t="e">
        <f aca="false">IF(BS137,IF(OPriceCurve,IF(OBuySell=OCallPut,L137/(1-AY137),N137/(1-AY137)),M137/(1-AY137))*BM137,0)</f>
        <v>#VALUE!</v>
      </c>
      <c r="CC137" s="1316" t="e">
        <f aca="false">IF(BS137,IF(OPriceCurve,IF(OBuySell=OCallPut,O137/(1-AY137),Q137/(1-AY137)),P137/(1-AY137))*BN137,0)</f>
        <v>#VALUE!</v>
      </c>
      <c r="CD137" s="1316" t="e">
        <f aca="false">IF(BS137,IF(OPriceCurve,IF(OBuySell=OCallPut,R137/(1-AY137),T137/(1-AY137)),S137/(1-AY137))*BO137,0)</f>
        <v>#VALUE!</v>
      </c>
      <c r="CE137" s="1316" t="e">
        <f aca="false">IF(BR137,(BU137*BH137+BV137*BI137+BW137*BJ137)/BR137,0)</f>
        <v>#VALUE!</v>
      </c>
      <c r="CF137" s="1532" t="e">
        <f aca="false">IF(BS137,(CE137*BR137+CD137*BK137)/BS137,0)</f>
        <v>#VALUE!</v>
      </c>
      <c r="CG137" s="1586" t="e">
        <f aca="false">IF(OR(BQ137,BS137),IF(OVolType&lt;&gt;2,SQRT(IF(OVolOverMonthlyPeak,OVolOverMonthlyPeak,IF(OVolCurve,IF(OBuySell,U137,W137),V137))^2*(1-15/365.25/BT137)+IF(OVolOverDailyPeak,OVolOverDailyPeak,IF(OVolCurve,IF(OBuySell,AG137,AI137),AH137))^2*15/365.25/BT137),IF(OVolOverMonthlyPeak,OVolOverMonthlyPeak,IF(OVolCurve,IF(OBuySell,U137,W137),V137))),"")</f>
        <v>#VALUE!</v>
      </c>
      <c r="CH137" s="1587" t="e">
        <f aca="false">IF(OR(BQ137,BS137),IF(OVolType&lt;&gt;2,SQRT(IF(OVolOverMonthlyPeak,OVolOverMonthlyPeak,IF(OVolCurve,IF(OBuySell,X137,Z137),Y137))^2*(1-15/365.25/BT137)+IF(OVolOverDailyPeak,OVolOverDailyPeak,IF(OVolCurve,IF(OBuySell,AJ137,AL137),AK137))^2*15/365.25/BT137),IF(OVolOverMonthlyPeak,OVolOverMonthlyPeak,IF(OVolCurve,IF(OBuySell,X137,Z137),Y137))),"")</f>
        <v>#VALUE!</v>
      </c>
      <c r="CI137" s="1587" t="e">
        <f aca="false">IF(OR(BQ137,BS137),IF(OVolType&lt;&gt;2,SQRT(IF(OVolOverMonthlyPeak,OVolOverMonthlyPeak,IF(OVolCurve,IF(OBuySell,AA137,AC137),AB137))^2*(1-15/365.25/BT137)+IF(OVolOverDailyPeak,OVolOverDailyPeak,IF(OVolCurve,IF(OBuySell,AM137,AO137),AN137))^2*15/365.25/BT137),IF(OVolOverMonthlyPeak,OVolOverMonthlyPeak,IF(OVolCurve,IF(OBuySell,AA137,AC137),AB137))),"")</f>
        <v>#VALUE!</v>
      </c>
      <c r="CJ137" s="1587" t="e">
        <f aca="false">IF(BQ137,IF(BP137,SQRT(LN(1+((BU137*AZ137)^2*(EXP(CG137^2*BT137)-1)+(BV137*BA137)^2*(EXP(CH137^2*BT137)-1)+(BW137*BB137)^2*(EXP(CI137^2*BT137)-1)+2*BU137*AZ137*BV137*BA137*(EXP(CG137*CH137*BT137)-1)+2*BV137*BA137*BW137*BB137*(EXP(CH137*CI137*BT137)-1)+2*BW137*BB137*BU137*AZ137*(EXP(CI137*CG137*BT137)-1))/(BY137*BP137)^2)/BT137),0),"")</f>
        <v>#VALUE!</v>
      </c>
      <c r="CK137" s="1587" t="e">
        <f aca="false">IF(BS137,IF(BR137,SQRT(LN(1+((CA137*BH137)^2*(EXP(CG137^2*BT137)-1)+(CB137*BI137)^2*(EXP(CH137^2*BT137)-1)+(CC137*BJ137)^2*(EXP(CI137^2*BT137)-1)+2*CA137*BH137*CB137*BI137*(EXP(CG137*CH137*BT137)-1)+2*CB137*BI137*CC137*BJ137*(EXP(CH137*CI137*BT137)-1)+2*CC137*BJ137*CA137*BH137*(EXP(CI137*CG137*BT137)-1))/(CE137*BR137)^2)/BT137),0),"")</f>
        <v>#VALUE!</v>
      </c>
      <c r="CL137" s="1587" t="e">
        <f aca="false">IF(OR(BQ137,BS137),IF(OVolType&lt;&gt;2,SQRT(IF(OVolOverMonthlyOffPeak,OVolOverMonthlyOffPeak,IF(OVolCurve,IF(OBuySell,AD137,AF137),AE137))^2*(1-15/365.25/BT137)+IF(OVolOverDailyOffPeak,OVolOverDailyOffPeak,IF(OVolCurve,IF(OBuySell,AP137,AR137),AQ137))^2*15/365.25/BT137),IF(OVolOverMonthlyOffPeak,OVolOverMonthlyOffPeak,IF(OVolCurve,IF(OBuySell,AD137,AF137),AE137))),"")</f>
        <v>#VALUE!</v>
      </c>
      <c r="CM137" s="1587" t="e">
        <f aca="false">IF(BQ137,SQRT(LN(1+((BY137*BP137)^2*(EXP(CJ137^2*BT137)-1)+(BX137*BC137)^2*(EXP(CL137^2*BT137)-1)+2*BY137*BP137*BX137*BC137*(EXP(AS137*CJ137*CL137*BT137)-1))/(BY137*BP137+BX137*BC137)^2)/BT137),"")</f>
        <v>#VALUE!</v>
      </c>
      <c r="CN137" s="1588" t="e">
        <f aca="false">IF(BS137,SQRT(LN(1+((CE137*BR137)^2*(EXP(CK137^2*BT137)-1)+(CD137*BK137)^2*(EXP(CL137^2*BT137)-1)+2*CE137*BR137*CD137*BK137*(EXP(AS137*CK137*CL137*BT137)-1))/(CE137*BR137+CD137*BK137)^2)/BT137),"")</f>
        <v>#VALUE!</v>
      </c>
      <c r="CO137" s="1531" t="e">
        <f aca="false">IF(OR(BQ137,BS137),VLOOKUP(A137,GasTable,13)*HeatRatePeak*(1+VLOOKUP($B137,HeatRateDegradation,$C137+1))/1000,0)</f>
        <v>#VALUE!</v>
      </c>
      <c r="CP137" s="1316" t="e">
        <f aca="false">IF(OR(BQ137,BS137),VLOOKUP(A137,GasTable,13)*HeatRatePeak*(1+VLOOKUP($B137,HeatRateDegradation,$C137+1))/1000,0)</f>
        <v>#VALUE!</v>
      </c>
      <c r="CQ137" s="1316" t="e">
        <f aca="false">IF(OR(BQ137,BS137),VLOOKUP(A137,GasTable,13)*IF(EV137,HeatRatePeak,HeatRateOffPeak)*(1+VLOOKUP($B137,HeatRateDegradation,$C137+1))/1000,0)</f>
        <v>#VALUE!</v>
      </c>
      <c r="CR137" s="1316" t="e">
        <f aca="false">IF(OR(BQ137,BS137),VLOOKUP(A137,GasTable,13)*IF(EW137,HeatRatePeak,HeatRateOffPeak)*(1+VLOOKUP($B137,HeatRateDegradation,$C137+1))/1000,0)</f>
        <v>#VALUE!</v>
      </c>
      <c r="CS137" s="1589" t="e">
        <f aca="false">IF(BQ137,(CO137*AZ137+CP137*BA137+CQ137*BB137+CR137*BC137)/BQ137,0)</f>
        <v>#VALUE!</v>
      </c>
      <c r="CT137" s="1316" t="e">
        <f aca="false">IF(BS137,CO137,0)</f>
        <v>#VALUE!</v>
      </c>
      <c r="CU137" s="1590" t="e">
        <f aca="false">IF(OR(BQ137,BS137),VLOOKUP(A137,GasTable,14),"")</f>
        <v>#VALUE!</v>
      </c>
      <c r="CV137" s="1568" t="e">
        <f aca="false">IF(OR(BQ137,BS137),IF(CorrPowerGasOverFlag,INDEX(CorrPowerGasOver,C137),CorrPowerGas),"")</f>
        <v>#VALUE!</v>
      </c>
      <c r="CW137" s="1316" t="e">
        <f aca="false">IF(OR($BQ137,$BS137),SpreadOptPowerMargin,0)*((1+Assumptions!$C$26)^($B137-YEAR(Assumptions!$C$17)))</f>
        <v>#VALUE!</v>
      </c>
      <c r="CX137" s="1316" t="e">
        <f aca="false">IF(OR($BQ137,$BS137),SpreadOptPowerMargin,0)*((1+Assumptions!$C$26)^($B137-YEAR(Assumptions!$C$17)))</f>
        <v>#VALUE!</v>
      </c>
      <c r="CY137" s="1316" t="e">
        <f aca="false">IF(OR($BQ137,$BS137),SpreadOptPowerMargin,0)*((1+Assumptions!$C$26)^($B137-YEAR(Assumptions!$C$17)))</f>
        <v>#VALUE!</v>
      </c>
      <c r="CZ137" s="1316" t="e">
        <f aca="false">IF(OR($BQ137,$BS137),SpreadOptPowerMargin,0)*((1+Assumptions!$C$26)^($B137-YEAR(Assumptions!$C$17)))</f>
        <v>#VALUE!</v>
      </c>
      <c r="DA137" s="1591" t="e">
        <f aca="false">IF(OR(BQ137,BS137),(CW137*(AZ137+BH137)+CX137*(BA137+BI137)+CY137*(BB137+BJ137)+CZ137*(BC137+BK137))/(BQ137+BS137),0)</f>
        <v>#VALUE!</v>
      </c>
      <c r="DB137" s="1592" t="e">
        <f aca="false">IF(OR(BQ137,BS137),CG137+IF(OVolSmile,VLOOKUP(MAX(-5,CO137+CW137-BU137),IF(OVolSmile=1,VolSmileBook,VolSmileModel),2),0),"")</f>
        <v>#VALUE!</v>
      </c>
      <c r="DC137" s="1592" t="e">
        <f aca="false">IF(OR(BQ137,BS137),CH137+IF(OVolSmile,VLOOKUP(MAX(-5,CP137+CW137-BV137),IF(OVolSmile=1,VolSmileBook,VolSmileModel),2),0),"")</f>
        <v>#VALUE!</v>
      </c>
      <c r="DD137" s="1592" t="e">
        <f aca="false">IF(OR(BQ137,BS137),CI137+IF(OVolSmile,VLOOKUP(MAX(-5,CQ137+CW137-BW137),IF(OVolSmile=1,VolSmileBook,VolSmileModel),2),0),"")</f>
        <v>#VALUE!</v>
      </c>
      <c r="DE137" s="1592" t="e">
        <f aca="false">IF(OR(BQ137,BS137),CL137+IF(OVolSmile,VLOOKUP(MAX(-5,CR137+CZ137-BX137),IF(OVolSmile=1,VolSmileBook,VolSmileModel),2),0),"")</f>
        <v>#VALUE!</v>
      </c>
      <c r="DF137" s="1592" t="e">
        <f aca="false">IF(BQ137,CM137+IF(OVolSmile,VLOOKUP(MAX(-5,CS137+DA137-BZ137),IF(OVolSmile=1,VolSmileBook,VolSmileModel),2),0),"")</f>
        <v>#VALUE!</v>
      </c>
      <c r="DG137" s="1593" t="e">
        <f aca="false">IF(BS137,CN137+IF(OVolSmile,VLOOKUP(MAX(-5,CT137+DA137-CF137),IF(OVolSmile=1,VolSmileBook,VolSmileModel),2),0),"")</f>
        <v>#VALUE!</v>
      </c>
      <c r="DH137" s="1316" t="e">
        <f aca="false">IF(AND(BU137&gt;0,CO137&gt;0,DB137&gt;0,CU137&gt;0),newSPRDOPT(BU137,CO137,CW137,0,DB137,CU137,CV137,BT137*365.25,OCallPut,0),0)</f>
        <v>#VALUE!</v>
      </c>
      <c r="DI137" s="1316" t="e">
        <f aca="false">IF(AND(BV137&gt;0,CP137&gt;0,DC137&gt;0,CU137&gt;0),newSPRDOPT(BV137,CP137,CX137,0,DC137,CU137,CV137,BT137*365.25,OCallPut,0),0)</f>
        <v>#VALUE!</v>
      </c>
      <c r="DJ137" s="1316" t="e">
        <f aca="false">IF(AND(BW137&gt;0,CQ137&gt;0,DD137&gt;0,CU137&gt;0),newSPRDOPT(BW137,CQ137,CY137,0,DD137,CU137,CV137,BT137*365.25,OCallPut,0),0)</f>
        <v>#VALUE!</v>
      </c>
      <c r="DK137" s="1316" t="e">
        <f aca="false">IF(AND(BX137&gt;0,CR137&gt;0,DE137&gt;0,CU137&gt;0),newSPRDOPT(BX137,CR137,CZ137,0,DE137,CU137,CV137,BT137*365.25,OCallPut,0),0)</f>
        <v>#VALUE!</v>
      </c>
      <c r="DL137" s="1316" t="e">
        <f aca="false">IF(OVolType,IF(AND(BZ137&gt;0,CS137&gt;0,DF137&gt;0,CU137&gt;0),newSPRDOPT(BZ137,CS137,DA137,0,DF137,CU137,CV137,BT137*365.25,OCallPut,0),0),IF(BQ137,(DH137*AZ137+DI137*BA137+DJ137*BB137+DK137*BC137)/BQ137,0))</f>
        <v>#VALUE!</v>
      </c>
      <c r="DM137" s="1316"/>
      <c r="DN137" s="1316"/>
      <c r="DO137" s="1316"/>
      <c r="DP137" s="1316"/>
      <c r="DQ137" s="1316"/>
      <c r="DR137" s="1316"/>
      <c r="DS137" s="1316"/>
      <c r="DT137" s="1316"/>
      <c r="DU137" s="1316"/>
      <c r="DV137" s="1316"/>
      <c r="DW137" s="1594" t="e">
        <f aca="false">IF(AND(BW137&gt;0,CT137&gt;0,DD137&gt;0,CU137&gt;0),newSPRDOPT(BW137,CT137,CY137,0,DD137,CU137,CV137,BT137*365.25,OCallPut,0),0)</f>
        <v>#VALUE!</v>
      </c>
      <c r="DX137" s="1316" t="e">
        <f aca="false">IF(AND(BX137&gt;0,CT137&gt;0,DE137&gt;0,CU137&gt;0),newSPRDOPT(BX137,CT137,CZ137,0,DE137,CU137,CV137,BT137*365.25,OCallPut,0),0)</f>
        <v>#VALUE!</v>
      </c>
      <c r="DY137" s="1591" t="e">
        <f aca="false">IF(BS137,(DH137*BH137+DI137*BI137+DW137*BJ137+DX137*BK137)/BS137,0)</f>
        <v>#VALUE!</v>
      </c>
      <c r="DZ137" s="1551" t="e">
        <f aca="false">DH137*AZ137</f>
        <v>#VALUE!</v>
      </c>
      <c r="EA137" s="1551" t="e">
        <f aca="false">DI137*BA137</f>
        <v>#VALUE!</v>
      </c>
      <c r="EB137" s="1551" t="e">
        <f aca="false">DJ137*BB137</f>
        <v>#VALUE!</v>
      </c>
      <c r="EC137" s="1551" t="e">
        <f aca="false">DK137*BC137</f>
        <v>#VALUE!</v>
      </c>
      <c r="ED137" s="1551" t="e">
        <f aca="false">DL137*BQ137</f>
        <v>#VALUE!</v>
      </c>
      <c r="EE137" s="1595" t="e">
        <f aca="false">IF(BQ137,IF(OCallPut,IF(BU137&gt;(CO137+CW137),BU137-(CO137+CW137),0),IF((CO137+CW137)&gt;BU137,(CO137+CW137)-BU137,0))*AZ137,0)</f>
        <v>#VALUE!</v>
      </c>
      <c r="EF137" s="1596" t="e">
        <f aca="false">IF(BQ137,IF(OCallPut,IF(BV137&gt;(CP137+CX137),BV137-(CP137+CX137),0),IF((CP137+CX137)&gt;BV137,(CP137+CX137)-BV137,0))*BA137,0)</f>
        <v>#VALUE!</v>
      </c>
      <c r="EG137" s="1596" t="e">
        <f aca="false">IF(BQ137,IF(OCallPut,IF(BW137&gt;(CQ137+CY137),BW137-(CQ137+CY137),0),IF((CQ137+CY137)&gt;BW137,(CQ137+CY137)-BW137,0))*BB137,0)</f>
        <v>#VALUE!</v>
      </c>
      <c r="EH137" s="1596" t="e">
        <f aca="false">IF(BQ137,IF(OCallPut,IF(BX137&gt;(CR137+CZ137),BX137-(CR137+CZ137),0),IF((CR137+CZ137)&gt;BX137,(CR137+CZ137)-BX137,0))*BC137,0)</f>
        <v>#VALUE!</v>
      </c>
      <c r="EI137" s="1597" t="e">
        <f aca="false">IF(BQ137,IF(OVolType,IF(OCallPut,IF(BZ137&gt;(CS137+DA137),BZ137-(CS137+DA137),0),IF((CS137+DA137)&gt;BZ137,(CS137+DA137)-BZ137,0))*BQ137,SUM(EE137:EH137)),0)</f>
        <v>#VALUE!</v>
      </c>
      <c r="EJ137" s="1595" t="e">
        <f aca="false">DZ137-EE137</f>
        <v>#VALUE!</v>
      </c>
      <c r="EK137" s="1596" t="e">
        <f aca="false">EA137-EF137</f>
        <v>#VALUE!</v>
      </c>
      <c r="EL137" s="1596" t="e">
        <f aca="false">EB137-EG137</f>
        <v>#VALUE!</v>
      </c>
      <c r="EM137" s="1596" t="e">
        <f aca="false">EC137-EH137</f>
        <v>#VALUE!</v>
      </c>
      <c r="EN137" s="1597" t="e">
        <f aca="false">ED137-EI137</f>
        <v>#VALUE!</v>
      </c>
      <c r="EO137" s="1551" t="e">
        <f aca="false">DH137*BH137</f>
        <v>#VALUE!</v>
      </c>
      <c r="EP137" s="1551" t="e">
        <f aca="false">DI137*BI137</f>
        <v>#VALUE!</v>
      </c>
      <c r="EQ137" s="1551" t="e">
        <f aca="false">DW137*BJ137</f>
        <v>#VALUE!</v>
      </c>
      <c r="ER137" s="1551" t="e">
        <f aca="false">DX137*BK137</f>
        <v>#VALUE!</v>
      </c>
      <c r="ES137" s="1551" t="e">
        <f aca="false">DY137*BS137</f>
        <v>#VALUE!</v>
      </c>
      <c r="ET137" s="1566" t="e">
        <f aca="false">IF(EI137,IF(OCallPut,IF(CA137&gt;(CT137+CW137),CA137-(CT137+CW137),0),IF((CT137+CW137)&gt;CA137,(CT137+CW137)-CA137,0))*BH137,0)</f>
        <v>#VALUE!</v>
      </c>
      <c r="EU137" s="1551" t="e">
        <f aca="false">IF(EI137,IF(OCallPut,IF(CB137&gt;(CT137+CX137),CB137-(CT137+CX137),0),IF((CT137+CX137)&gt;CB137,(CT137+CX137)-CB137,0))*BI137,0)</f>
        <v>#VALUE!</v>
      </c>
      <c r="EV137" s="1551" t="e">
        <f aca="false">IF(EI137,IF(OCallPut,IF(CC137&gt;(CT137+CY137),CC137-(CT137+CY137),0),IF((CT137+CY137)&gt;CC137,(CT137+CY137)-CC137,0))*BJ137,0)</f>
        <v>#VALUE!</v>
      </c>
      <c r="EW137" s="1551" t="e">
        <f aca="false">IF(EI137,IF(OCallPut,IF(CD137&gt;(CT137+CZ137),CD137-(CT137+CZ137),0),IF((CT137+CZ137)&gt;CD137,(CT137+CZ137)-CD137,0))*BK137,0)</f>
        <v>#VALUE!</v>
      </c>
      <c r="EX137" s="1558" t="e">
        <f aca="false">IF(EI137,SUM(ET137:EW137),0)</f>
        <v>#VALUE!</v>
      </c>
      <c r="EY137" s="1551" t="e">
        <f aca="false">EO137-ET137</f>
        <v>#VALUE!</v>
      </c>
      <c r="EZ137" s="1551" t="e">
        <f aca="false">EP137-EU137</f>
        <v>#VALUE!</v>
      </c>
      <c r="FA137" s="1551" t="e">
        <f aca="false">EQ137-EV137</f>
        <v>#VALUE!</v>
      </c>
      <c r="FB137" s="1551" t="e">
        <f aca="false">ER137-EW137</f>
        <v>#VALUE!</v>
      </c>
      <c r="FC137" s="1551" t="e">
        <f aca="false">ES137-EX137</f>
        <v>#VALUE!</v>
      </c>
      <c r="FD137" s="1525" t="n">
        <f aca="false">IF(AX137,IF(VLOOKUP(C137,MAIN!$L$17:$M$28,2)="Yes",VLOOKUP(CALC!B137,MAIN!$H$17:$I$20,2),0),0)</f>
        <v>0</v>
      </c>
      <c r="FE137" s="1552" t="e">
        <f aca="false">$FD137*16*AT137*(1-$AY137)</f>
        <v>#VALUE!</v>
      </c>
      <c r="FF137" s="1553" t="e">
        <f aca="false">$FD137*16*AU137*(1-$AY137)</f>
        <v>#VALUE!</v>
      </c>
      <c r="FG137" s="1553" t="e">
        <f aca="false">$FD137*16*(AV137+AW137)*(1-$AY137)</f>
        <v>#VALUE!</v>
      </c>
      <c r="FH137" s="1554" t="n">
        <f aca="false">$FD137*8*AX137*(1-$AY137)</f>
        <v>0</v>
      </c>
      <c r="FI137" s="1555" t="n">
        <f aca="false">IF(AX137,VLOOKUP(CALC!B137,MAIN!$H$17:$K$20,4),0)</f>
        <v>0</v>
      </c>
      <c r="FJ137" s="1553" t="e">
        <f aca="false">SUM(FE137:FH137)</f>
        <v>#VALUE!</v>
      </c>
      <c r="FK137" s="1556" t="e">
        <f aca="false">FI137*FJ137</f>
        <v>#VALUE!</v>
      </c>
      <c r="FL137" s="1551" t="e">
        <f aca="false">IF($EI137&gt;0,MIN(FE137,AZ137*(1+VLOOKUP($C137,WeatherCapacityAdjustment,2))),0)</f>
        <v>#VALUE!</v>
      </c>
      <c r="FM137" s="1551" t="e">
        <f aca="false">IF($EI137&gt;0,MIN(FF137,BA137*(1+VLOOKUP($C137,WeatherCapacityAdjustment,2))),0)</f>
        <v>#VALUE!</v>
      </c>
      <c r="FN137" s="1551" t="e">
        <f aca="false">IF($EI137&gt;0,MIN(FG137,BB137*(1+VLOOKUP($C137,WeatherCapacityAdjustment,2))),0)</f>
        <v>#VALUE!</v>
      </c>
      <c r="FO137" s="1564" t="e">
        <f aca="false">IF($EI137&gt;0,MIN(FH137,BC137*(1+VLOOKUP($C137,WeatherCapacityAdjustment,3))),0)</f>
        <v>#VALUE!</v>
      </c>
      <c r="FP137" s="1551" t="e">
        <f aca="false">IF(ET137&gt;0,MIN(FE137-FL137,BH137*(1+VLOOKUP($C137,WeatherCapacityAdjustment,2))),0)</f>
        <v>#VALUE!</v>
      </c>
      <c r="FQ137" s="1551" t="e">
        <f aca="false">IF(EU137&gt;0,MIN(FF137-FM137,BI137*(1+VLOOKUP($C137,WeatherCapacityAdjustment,2))),0)</f>
        <v>#VALUE!</v>
      </c>
      <c r="FR137" s="1551" t="e">
        <f aca="false">IF(EV137&gt;0,MIN(FG137-FN137,BJ137*(1+VLOOKUP($C137,WeatherCapacityAdjustment,2))),0)</f>
        <v>#VALUE!</v>
      </c>
      <c r="FS137" s="1558" t="e">
        <f aca="false">IF(EW137&gt;0,MIN(FH137-FO137,BK137*(1+VLOOKUP($C137,WeatherCapacityAdjustment,3))),0)</f>
        <v>#VALUE!</v>
      </c>
      <c r="FT137" s="1566" t="e">
        <f aca="false">IF(AND(Assumptions!$H$71="Yes",A137&gt;=Assumptions!$H$72,A137&lt;=Assumptions!$H$73),0,IF(AND($A137&gt;=Assumptions!$C$17,$A137&lt;=Assumptions!$C$18),MAX(AZ137*(1+VLOOKUP($C137,WeatherCapacityAdjustment,2))-FL137,0),0))</f>
        <v>#VALUE!</v>
      </c>
      <c r="FU137" s="1551" t="e">
        <f aca="false">IF(AND(Assumptions!$H$71="Yes",A137&gt;=Assumptions!$H$72,A137&lt;=Assumptions!$H$73),0,IF(AND($A137&gt;=Assumptions!$C$17,$A137&lt;=Assumptions!$C$18),MAX(BA137*(1+VLOOKUP($C137,WeatherCapacityAdjustment,2))-FM137,0),0))</f>
        <v>#VALUE!</v>
      </c>
      <c r="FV137" s="1551" t="e">
        <f aca="false">IF(AND(Assumptions!$H$71="Yes",A137&gt;=Assumptions!$H$72,A137&lt;=Assumptions!$H$73),0,IF(AND($A137&gt;=Assumptions!$C$17,$A137&lt;=Assumptions!$C$18),MAX(BB137*(1+VLOOKUP($C137,WeatherCapacityAdjustment,2))-FN137,0),0))</f>
        <v>#VALUE!</v>
      </c>
      <c r="FW137" s="1564" t="e">
        <f aca="false">IF(AND(Assumptions!$H$71="Yes",A137&gt;=Assumptions!$H$72,A137&lt;=Assumptions!$H$73),0,IF(AND($A137&gt;=Assumptions!$C$17,$A137&lt;=Assumptions!$C$18),MAX(BC137*(1+VLOOKUP($C137,WeatherCapacityAdjustment,3))-FO137,0),0))</f>
        <v>#VALUE!</v>
      </c>
      <c r="FX137" s="1569" t="e">
        <f aca="false">IF(AND(Assumptions!$H$71="Yes",A137&gt;=Assumptions!$H$72,A137&lt;=Assumptions!$H$73),0,IF(ET137&gt;0,MAX(BH137*(1+VLOOKUP($C137,WeatherCapacityAdjustment,2))-FP137,0),0))</f>
        <v>#VALUE!</v>
      </c>
      <c r="FY137" s="1551" t="e">
        <f aca="false">IF(AND(Assumptions!$H$71="Yes",A137&gt;=Assumptions!$H$72,A137&lt;=Assumptions!$H$73),0,IF(EU137&gt;0,MAX(BI137*(1+VLOOKUP($C137,WeatherCapacityAdjustment,3))-FQ137,0),0))</f>
        <v>#VALUE!</v>
      </c>
      <c r="FZ137" s="1551" t="e">
        <f aca="false">IF(AND(Assumptions!$H$71="Yes",A137&gt;=Assumptions!$H$72,A137&lt;=Assumptions!$H$73),0,IF(EV137&gt;0,MAX(BJ137*(1+VLOOKUP($C137,WeatherCapacityAdjustment,2))-FR137,0),0))</f>
        <v>#VALUE!</v>
      </c>
      <c r="GA137" s="1564" t="e">
        <f aca="false">IF(AND(Assumptions!$H$71="Yes",A137&gt;=Assumptions!$H$72,A137&lt;=Assumptions!$H$73),0,IF(EW137&gt;0,MAX(BK137*(1+VLOOKUP($C137,WeatherCapacityAdjustment,2))-FS137,0),0))</f>
        <v>#VALUE!</v>
      </c>
      <c r="GB137" s="1551" t="e">
        <f aca="false">SUM(FT137:GA137)</f>
        <v>#VALUE!</v>
      </c>
      <c r="GC137" s="1563" t="e">
        <f aca="false">+IF(SUM(FT137:GA137)=0,0,(SUMPRODUCT(BU137:BX137,FT137:FW137)+SUMPRODUCT(CA137:CD137,FX137:GA137))/SUM(FT137:GA137))</f>
        <v>#VALUE!</v>
      </c>
      <c r="GD137" s="1551" t="e">
        <f aca="false">(FT137*BU137+FX137*CA137+FU137*BV137+FY137*CB137+FV137*BW137+FZ137*CC137+FW137*BX137+GA137*CD137)</f>
        <v>#VALUE!</v>
      </c>
      <c r="GE137" s="1561" t="e">
        <f aca="false">+IF(BQ137,((FL137+FM137+FT137+FU137)*HeatRatePeak/1000*(1+VLOOKUP($C137,WeatherHeatRateAdjustment,2))+(FN137+FV137)*IF(EV137&gt;0,HeatRatePeak,HeatRateOffPeak)/1000*(1+VLOOKUP($C137,WeatherHeatRateAdjustment,2))+(FO137+FW137)*IF(EW137&gt;0,HeatRatePeak,HeatRateOffPeak)/1000*(1+VLOOKUP($C137,WeatherHeatRateAdjustment,3)))*(1+VLOOKUP($B137,HeatRateDegradation,$C137+1)),0)</f>
        <v>#VALUE!</v>
      </c>
      <c r="GF137" s="1562" t="e">
        <f aca="false">IF(BQ137,((FP137+FQ137+FR137+FX137+FY137+FZ137)*HeatRatePeak/1000*(1+VLOOKUP($C137,WeatherHeatRateAdjustment,2))+(FS137+GA137)*HeatRatePeak/1000*(1+VLOOKUP($C137,WeatherHeatRateAdjustment,3)))*(1+VLOOKUP($B137,HeatRateDegradation,$C137+1)),0)</f>
        <v>#VALUE!</v>
      </c>
      <c r="GG137" s="1563" t="e">
        <f aca="false">IF(BQ137,VLOOKUP(A137,GasTable,13),0)</f>
        <v>#VALUE!</v>
      </c>
      <c r="GH137" s="1564" t="e">
        <f aca="false">(GE137+GF137)*GG137</f>
        <v>#VALUE!</v>
      </c>
      <c r="GI137" s="1569" t="e">
        <f aca="false">GB137</f>
        <v>#VALUE!</v>
      </c>
      <c r="GJ137" s="1598" t="e">
        <f aca="false">+DA137</f>
        <v>#VALUE!</v>
      </c>
      <c r="GK137" s="1558" t="e">
        <f aca="false">+GI137*GJ137</f>
        <v>#VALUE!</v>
      </c>
      <c r="GL137" s="1566" t="e">
        <f aca="false">MAX(FE137-FL137-FP137,0)</f>
        <v>#VALUE!</v>
      </c>
      <c r="GM137" s="1551" t="e">
        <f aca="false">MAX(FF137-FM137-FQ137,0)</f>
        <v>#VALUE!</v>
      </c>
      <c r="GN137" s="1551" t="e">
        <f aca="false">MAX(FG137-FN137-FR137,0)</f>
        <v>#VALUE!</v>
      </c>
      <c r="GO137" s="1564" t="e">
        <f aca="false">MAX(FH137-FO137-FS137,0)</f>
        <v>#VALUE!</v>
      </c>
      <c r="GP137" s="1551" t="e">
        <f aca="false">SUM(GL137:GO137)</f>
        <v>#VALUE!</v>
      </c>
      <c r="GQ137" s="1563" t="e">
        <f aca="false">IF(SUM(GL137:GO137)=0,0,((GL137*BU137+GM137*BV137+GN137*BW137+GO137*BX137)/SUM(GL137:GO137)))</f>
        <v>#VALUE!</v>
      </c>
      <c r="GR137" s="1558" t="e">
        <f aca="false">(GL137*BU137+GM137*BV137+GN137*BW137+GO137*BX137)</f>
        <v>#VALUE!</v>
      </c>
      <c r="GS137" s="1566" t="n">
        <f aca="false">IF($A137&gt;=BegDate,Assumptions!$C$56*24*($A138-$A137)*(1-VLOOKUP($B137,MAIN!$AA$7:$AM$28,$C137+1))*(1-VLOOKUP($B137,MAIN!$AA$33:$AM$54,$C137+1)),0)*80/168</f>
        <v>257742.857142857</v>
      </c>
      <c r="GT137" s="286" t="n">
        <f aca="false">J137</f>
        <v>41.2061559768508</v>
      </c>
      <c r="GU137" s="286" t="n">
        <f aca="false">IF($A137&gt;=BegDate,VLOOKUP($A137,GasTable,13)+Assumptions!$C$58,0)</f>
        <v>2.70556209807029</v>
      </c>
      <c r="GV137" s="286" t="n">
        <f aca="false">GU137*Assumptions!$C$57/1000</f>
        <v>19.6153252110096</v>
      </c>
      <c r="GW137" s="1558" t="n">
        <f aca="false">IF(Assumptions!$C$60="Hourly",MAX(0,GS137*(GT137-GV137)),GS137*(GT137-GV137))</f>
        <v>5564882.4096758</v>
      </c>
      <c r="GX137" s="1566" t="n">
        <f aca="false">IF($A137&gt;=BegDate,Assumptions!$C$56*24*($A138-$A137)*(1-VLOOKUP($B137,MAIN!$AA$7:$AM$28,$C137+1))*(1-VLOOKUP($B137,MAIN!$AA$33:$AM$54,$C137+1)),0)*16/168</f>
        <v>51548.5714285714</v>
      </c>
      <c r="GY137" s="286" t="n">
        <f aca="false">M137</f>
        <v>41.2061559768508</v>
      </c>
      <c r="GZ137" s="286" t="n">
        <f aca="false">IF($A137&gt;=BegDate,VLOOKUP($A137,GasTable,13)+Assumptions!$C$58,0)</f>
        <v>2.70556209807029</v>
      </c>
      <c r="HA137" s="286" t="n">
        <f aca="false">GZ137*Assumptions!$C$57/1000</f>
        <v>19.6153252110096</v>
      </c>
      <c r="HB137" s="1558" t="n">
        <f aca="false">IF(Assumptions!$C$60="Hourly",MAX(0,GX137*(GY137-HA137)),GX137*(GY137-HA137))</f>
        <v>1112976.48193516</v>
      </c>
      <c r="HC137" s="1566" t="n">
        <f aca="false">IF($A137&gt;=BegDate,Assumptions!$C$56*24*($A138-$A137)*(1-VLOOKUP($B137,MAIN!$AA$7:$AM$28,$C137+1))*(1-VLOOKUP($B137,MAIN!$AA$33:$AM$54,$C137+1)),0)*16/168</f>
        <v>51548.5714285714</v>
      </c>
      <c r="HD137" s="286" t="n">
        <f aca="false">P137</f>
        <v>23.8120807990616</v>
      </c>
      <c r="HE137" s="286" t="n">
        <f aca="false">IF($A137&gt;=BegDate,VLOOKUP($A137,GasTable,13)+Assumptions!$C$58,0)</f>
        <v>2.70556209807029</v>
      </c>
      <c r="HF137" s="286" t="n">
        <f aca="false">HE137*Assumptions!$C$57/1000</f>
        <v>19.6153252110096</v>
      </c>
      <c r="HG137" s="1558" t="n">
        <f aca="false">IF(Assumptions!$C$60="Hourly",MAX(0,HC137*(HD137-HF137)),HC137*(HD137-HF137))</f>
        <v>216336.755198953</v>
      </c>
      <c r="HH137" s="1566" t="n">
        <f aca="false">IF($A137&gt;=BegDate,Assumptions!$C$56*24*($A138-$A137)*(1-VLOOKUP($B137,MAIN!$AA$7:$AM$28,$C137+1))*(1-VLOOKUP($B137,MAIN!$AA$33:$AM$54,$C137+1)),0)*56/168</f>
        <v>180420</v>
      </c>
      <c r="HI137" s="286" t="n">
        <f aca="false">S137</f>
        <v>23.8120807990616</v>
      </c>
      <c r="HJ137" s="286" t="n">
        <f aca="false">IF($A137&gt;=BegDate,VLOOKUP($A137,GasTable,13)+Assumptions!$C$58,0)</f>
        <v>2.70556209807029</v>
      </c>
      <c r="HK137" s="286" t="n">
        <f aca="false">HJ137*Assumptions!$C$57/1000</f>
        <v>19.6153252110096</v>
      </c>
      <c r="HL137" s="1558" t="n">
        <f aca="false">IF(Assumptions!$C$60="Hourly",MAX(0,HH137*(HI137-HK137)),HH137*(HI137-HK137))</f>
        <v>757178.643196335</v>
      </c>
      <c r="HM137" s="1566" t="n">
        <f aca="false">IF(AND(Assumptions!$H$71="Yes",A137&gt;=Assumptions!$H$72,A137&lt;=Assumptions!$H$73),Assumptions!$H$74*Assumptions!$C$9*1000,0)</f>
        <v>0</v>
      </c>
      <c r="HN137" s="1551"/>
      <c r="HO137" s="1563"/>
      <c r="HP137" s="1563"/>
      <c r="HQ137" s="1563"/>
      <c r="HR137" s="1563"/>
      <c r="HS137" s="1563"/>
      <c r="HT137" s="1563"/>
      <c r="HU137" s="1563"/>
      <c r="HV137" s="1563"/>
      <c r="HW137" s="1563"/>
      <c r="HX137" s="1563"/>
      <c r="HY137" s="1563"/>
      <c r="HZ137" s="1563"/>
      <c r="IA137" s="1563"/>
      <c r="IB137" s="1563"/>
      <c r="IC137" s="1563"/>
      <c r="ID137" s="1563"/>
      <c r="IE137" s="1563"/>
      <c r="IF137" s="1563"/>
      <c r="IG137" s="1563"/>
      <c r="IH137" s="1563"/>
      <c r="II137" s="1610"/>
      <c r="IJ137" s="1309"/>
      <c r="IK137" s="1309"/>
    </row>
    <row r="138" customFormat="false" ht="12.75" hidden="false" customHeight="false" outlineLevel="0" collapsed="false">
      <c r="A138" s="1571" t="n">
        <f aca="false">EOMONTH(A137,0)+1</f>
        <v>40330</v>
      </c>
      <c r="B138" s="594" t="n">
        <f aca="false">+YEAR(A138)</f>
        <v>2010</v>
      </c>
      <c r="C138" s="238" t="n">
        <f aca="false">MONTH(A138)</f>
        <v>6</v>
      </c>
      <c r="D138" s="1572" t="e">
        <f aca="false">IF(E138="","",Holiday(B138,C138))</f>
        <v>#VALUE!</v>
      </c>
      <c r="E138" s="1573" t="n">
        <f aca="false">IF(OR(BegDate&gt;=A139,EndDate&lt;A138,AND(VolumeMonthlyOverFlag,INDEX(VolumeMonthlyOver,C138)=0),NOT(INDEX(MonthKnockOutTable,C138))),"",MAX(A138,BegDate))</f>
        <v>40330</v>
      </c>
      <c r="F138" s="1574" t="n">
        <f aca="false">IF(E138="","",MIN(A139-1,EndDate))</f>
        <v>40359</v>
      </c>
      <c r="G138" s="1575" t="n">
        <v>0</v>
      </c>
      <c r="H138" s="1576" t="n">
        <f aca="false">(1+G138/2)^(-2*(DATE(B139,C139,20)-DateToday)/365.25)</f>
        <v>1</v>
      </c>
      <c r="I138" s="1568" t="n">
        <f aca="false">IF(Assumptions!$L$25=4,VLOOKUP($A138,'Henwood Reference'!$E$9:$R$320,10),(VLOOKUP($A138,PriceTable,2,0)+IF(BasisNumber&lt;&gt;1,VLOOKUP($A138,BasisTable,2,0),0)+I$1)/(1-I$2))</f>
        <v>36.8452034393195</v>
      </c>
      <c r="J138" s="1568" t="n">
        <f aca="false">IF(Assumptions!$L$25=4,VLOOKUP($A138,'Henwood Reference'!$E$9:$R$320,10),(VLOOKUP($A138,PriceTable,3,0)+IF(BasisNumber&lt;&gt;1,VLOOKUP($A138,BasisTable,2,0),0)+J$1)/(1-J$2))</f>
        <v>36.8452034393195</v>
      </c>
      <c r="K138" s="1568" t="n">
        <f aca="false">IF(Assumptions!$L$25=4,VLOOKUP($A138,'Henwood Reference'!$E$9:$R$320,10),(VLOOKUP($A138,PriceTable,4,0)+IF(BasisNumber&lt;&gt;1,VLOOKUP($A138,BasisTable,2,0),0)+K$1)/(1-K$2))</f>
        <v>36.8452034393195</v>
      </c>
      <c r="L138" s="1523" t="n">
        <f aca="false">IF(Assumptions!$L$25=4,VLOOKUP($A138,'Henwood Reference'!$E$9:$R$320,10),(VLOOKUP($A138,PriceTableWeekend,2,0)+IF(BasisNumber&lt;&gt;1,VLOOKUP($A138,BasisTable,2,0),0)+L$1)/(1-L$2))</f>
        <v>36.8452034393195</v>
      </c>
      <c r="M138" s="1568" t="n">
        <f aca="false">IF(Assumptions!$L$25=4,VLOOKUP($A138,'Henwood Reference'!$E$9:$R$320,10),(VLOOKUP($A138,PriceTableWeekend,3,0)+IF(BasisNumber&lt;&gt;1,VLOOKUP($A138,BasisTable,2,0),0)+M$1)/(1-M$2))</f>
        <v>36.8452034393195</v>
      </c>
      <c r="N138" s="1599" t="n">
        <f aca="false">IF(Assumptions!$L$25=4,VLOOKUP($A138,'Henwood Reference'!$E$9:$R$320,10),(VLOOKUP($A138,PriceTableWeekend,4,0)+IF(BasisNumber&lt;&gt;1,VLOOKUP($A138,BasisTable,2,0),0)+N$1)/(1-N$2))</f>
        <v>36.8452034393195</v>
      </c>
      <c r="O138" s="1568" t="n">
        <f aca="false">IF(Assumptions!$L$25=4,VLOOKUP($A138,'Henwood Reference'!$E$9:$R$320,11),(VLOOKUP($A138,PriceTableWeekend,6,0)+IF(BasisNumber&lt;&gt;1,VLOOKUP($A138,BasisTable,3,0),0)+O$1)/(1-O$2))</f>
        <v>21.8701007885679</v>
      </c>
      <c r="P138" s="1568" t="n">
        <f aca="false">IF(Assumptions!$L$25=4,VLOOKUP($A138,'Henwood Reference'!$E$9:$R$320,11),(VLOOKUP($A138,PriceTableWeekend,7,0)+IF(BasisNumber&lt;&gt;1,VLOOKUP($A138,BasisTable,3,0),0)+P$1)/(1-P$2))</f>
        <v>21.8701007885679</v>
      </c>
      <c r="Q138" s="1599" t="n">
        <f aca="false">IF(Assumptions!$L$25=4,VLOOKUP($A138,'Henwood Reference'!$E$9:$R$320,11),(VLOOKUP($A138,PriceTableWeekend,8,0)+IF(BasisNumber&lt;&gt;1,VLOOKUP($A138,BasisTable,3,0),0)+Q$1)/(1-Q$2))</f>
        <v>21.8701007885679</v>
      </c>
      <c r="R138" s="1568" t="n">
        <f aca="false">IF(Assumptions!$L$25=4,VLOOKUP($A138,'Henwood Reference'!$E$9:$R$320,11),(VLOOKUP($A138,PriceTable,6,0)+IF(BasisNumber&lt;&gt;1,VLOOKUP($A138,BasisTable,3,0),0)+R$1)/(1-R$2))</f>
        <v>21.8701007885679</v>
      </c>
      <c r="S138" s="1568" t="n">
        <f aca="false">IF(Assumptions!$L$25=4,VLOOKUP($A138,'Henwood Reference'!$E$9:$R$320,11),(VLOOKUP($A138,PriceTable,7,0)+IF(BasisNumber&lt;&gt;1,VLOOKUP($A138,BasisTable,3,0),0)+S$1)/(1-S$2))</f>
        <v>21.8701007885679</v>
      </c>
      <c r="T138" s="1600" t="n">
        <f aca="false">IF(Assumptions!$L$25=4,VLOOKUP($A138,'Henwood Reference'!$E$9:$R$320,11),(VLOOKUP($A138,PriceTable,8,0)+IF(BasisNumber&lt;&gt;1,VLOOKUP($A138,BasisTable,3,0),0)+T$1)/(1-T$2))</f>
        <v>21.8701007885679</v>
      </c>
      <c r="U138" s="1513" t="n">
        <f aca="false">VLOOKUP($A138,VolatilityTable,14)</f>
        <v>0.12</v>
      </c>
      <c r="V138" s="1513" t="n">
        <f aca="false">VLOOKUP($A138,VolatilityTable,15)</f>
        <v>0.13</v>
      </c>
      <c r="W138" s="1514" t="n">
        <f aca="false">VLOOKUP($A138,VolatilityTable,16)</f>
        <v>0.14</v>
      </c>
      <c r="X138" s="1513" t="n">
        <f aca="false">VLOOKUP($A138,VolatilityTable,14)</f>
        <v>0.12</v>
      </c>
      <c r="Y138" s="1513" t="n">
        <f aca="false">VLOOKUP($A138,VolatilityTable,15)</f>
        <v>0.13</v>
      </c>
      <c r="Z138" s="1514" t="n">
        <f aca="false">VLOOKUP($A138,VolatilityTable,16)</f>
        <v>0.14</v>
      </c>
      <c r="AA138" s="1513" t="n">
        <f aca="false">VLOOKUP($A138,VolatilityTable,18)</f>
        <v>0.09</v>
      </c>
      <c r="AB138" s="1513" t="n">
        <f aca="false">VLOOKUP($A138,VolatilityTable,19)</f>
        <v>0.11</v>
      </c>
      <c r="AC138" s="1514" t="n">
        <f aca="false">VLOOKUP($A138,VolatilityTable,20)</f>
        <v>0.13</v>
      </c>
      <c r="AD138" s="1513" t="n">
        <f aca="false">VLOOKUP($A138,VolatilityTable,18)</f>
        <v>0.09</v>
      </c>
      <c r="AE138" s="1513" t="n">
        <f aca="false">VLOOKUP($A138,VolatilityTable,19)</f>
        <v>0.11</v>
      </c>
      <c r="AF138" s="1514" t="n">
        <f aca="false">VLOOKUP($A138,VolatilityTable,20)</f>
        <v>0.13</v>
      </c>
      <c r="AG138" s="1513" t="n">
        <f aca="false">VLOOKUP($A138,VolatilityTable,22)</f>
        <v>-0.35</v>
      </c>
      <c r="AH138" s="1513" t="n">
        <f aca="false">VLOOKUP($A138,VolatilityTable,23)</f>
        <v>0.65</v>
      </c>
      <c r="AI138" s="1514" t="n">
        <f aca="false">VLOOKUP($A138,VolatilityTable,24)</f>
        <v>0.2</v>
      </c>
      <c r="AJ138" s="1513" t="n">
        <f aca="false">VLOOKUP($A138,VolatilityTable,22)</f>
        <v>-0.35</v>
      </c>
      <c r="AK138" s="1513" t="n">
        <f aca="false">VLOOKUP($A138,VolatilityTable,23)</f>
        <v>0.65</v>
      </c>
      <c r="AL138" s="1514" t="n">
        <f aca="false">VLOOKUP($A138,VolatilityTable,24)</f>
        <v>0.2</v>
      </c>
      <c r="AM138" s="1513" t="n">
        <f aca="false">VLOOKUP($A138,VolatilityTable,26)</f>
        <v>-0.01</v>
      </c>
      <c r="AN138" s="1513" t="n">
        <f aca="false">VLOOKUP($A138,VolatilityTable,27)</f>
        <v>0.16</v>
      </c>
      <c r="AO138" s="1514" t="n">
        <f aca="false">VLOOKUP($A138,VolatilityTable,28)</f>
        <v>0.01</v>
      </c>
      <c r="AP138" s="1513" t="n">
        <f aca="false">VLOOKUP($A138,VolatilityTable,26)</f>
        <v>-0.01</v>
      </c>
      <c r="AQ138" s="1513" t="n">
        <f aca="false">VLOOKUP($A138,VolatilityTable,27)</f>
        <v>0.16</v>
      </c>
      <c r="AR138" s="1515" t="n">
        <f aca="false">VLOOKUP($A138,VolatilityTable,28)</f>
        <v>0.01</v>
      </c>
      <c r="AS138" s="1581" t="n">
        <f aca="false">IF(CorrPeakOffPeakOverFlag,INDEX(CorrPeakOffPeakOver,C138),CorrPeakOffPeak)</f>
        <v>0.5</v>
      </c>
      <c r="AT138" s="594" t="e">
        <f aca="false">AX138-SUM(AU138:AW138)</f>
        <v>#VALUE!</v>
      </c>
      <c r="AU138" s="238" t="e">
        <f aca="false">IF(E138="",0,INT((F138-MOD(F138,7)-E138)/7)+1-IF(AW138,IF(WEEKDAY(D138)=7,1,0),0))</f>
        <v>#VALUE!</v>
      </c>
      <c r="AV138" s="238" t="e">
        <f aca="false">IF(E138="",0,INT((F138-MOD(F138-1,7)-E138)/7)+1-IF(AW138,IF(WEEKDAY(D138)=1,1,0),0))</f>
        <v>#VALUE!</v>
      </c>
      <c r="AW138" s="238" t="e">
        <f aca="false">IF(OR(E138="",D138="",D138&lt;BegDate,D138&gt;EndDate),0,1)</f>
        <v>#VALUE!</v>
      </c>
      <c r="AX138" s="238" t="n">
        <f aca="false">IF(E138="",0,F138-E138+1)</f>
        <v>30</v>
      </c>
      <c r="AY138" s="1582" t="n">
        <f aca="false">IF(E138="",0,MIN((1-(1-VLOOKUP(B138,MAIN!$AA$7:$AM$28,C138+1))*(1-VLOOKUP(B138,MAIN!$AA$33:$AM$54,C138+1))),1))</f>
        <v>0.03</v>
      </c>
      <c r="AZ138" s="1519" t="e">
        <v>#VALUE!</v>
      </c>
      <c r="BA138" s="1520" t="e">
        <v>#VALUE!</v>
      </c>
      <c r="BB138" s="1520" t="e">
        <v>#VALUE!</v>
      </c>
      <c r="BC138" s="1583" t="e">
        <v>#VALUE!</v>
      </c>
      <c r="BD138" s="1522" t="e">
        <v>#VALUE!</v>
      </c>
      <c r="BE138" s="1523" t="e">
        <v>#VALUE!</v>
      </c>
      <c r="BF138" s="1523" t="e">
        <v>#VALUE!</v>
      </c>
      <c r="BG138" s="1584" t="e">
        <v>#VALUE!</v>
      </c>
      <c r="BH138" s="1525" t="e">
        <v>#VALUE!</v>
      </c>
      <c r="BI138" s="1520" t="e">
        <v>#VALUE!</v>
      </c>
      <c r="BJ138" s="1520" t="e">
        <v>#VALUE!</v>
      </c>
      <c r="BK138" s="1583" t="e">
        <v>#VALUE!</v>
      </c>
      <c r="BL138" s="1522" t="e">
        <v>#VALUE!</v>
      </c>
      <c r="BM138" s="1523" t="e">
        <v>#VALUE!</v>
      </c>
      <c r="BN138" s="1523" t="e">
        <v>#VALUE!</v>
      </c>
      <c r="BO138" s="1523" t="e">
        <v>#VALUE!</v>
      </c>
      <c r="BP138" s="1525" t="e">
        <f aca="false">SUM(AZ138:BB138)</f>
        <v>#VALUE!</v>
      </c>
      <c r="BQ138" s="1529" t="e">
        <f aca="false">SUM(AZ138:BC138)</f>
        <v>#VALUE!</v>
      </c>
      <c r="BR138" s="1519" t="e">
        <f aca="false">SUM(BH138:BJ138)</f>
        <v>#VALUE!</v>
      </c>
      <c r="BS138" s="1529" t="e">
        <f aca="false">SUM(BH138:BK138)</f>
        <v>#VALUE!</v>
      </c>
      <c r="BT138" s="1316" t="n">
        <f aca="false">(IF(OVolType&lt;&gt;2,A138+14,IF(OptExpDateShift,ShiftBack(A138,OptExpDateShift,D137),A138))-DateToday)/365.25</f>
        <v>10.1300479123888</v>
      </c>
      <c r="BU138" s="1585" t="e">
        <f aca="false">IF(BQ138,IF(OPriceCurve,IF(OBuySell=OCallPut,I138/(1-AY138),K138/(1-AY138)),J138/(1-AY138))*BD138,0)</f>
        <v>#VALUE!</v>
      </c>
      <c r="BV138" s="1316" t="e">
        <f aca="false">IF(BQ138,IF(OPriceCurve,IF(OBuySell=OCallPut,L138/(1-AY138),N138/(1-AY138)),M138/(1-AY138))*BE138,0)</f>
        <v>#VALUE!</v>
      </c>
      <c r="BW138" s="1316" t="e">
        <f aca="false">IF(BQ138,IF(OPriceCurve,IF(OBuySell=OCallPut,O138/(1-AY138),Q138/(1-AY138)),P138/(1-AY138))*BF138,0)</f>
        <v>#VALUE!</v>
      </c>
      <c r="BX138" s="1316" t="e">
        <f aca="false">IF(BQ138,IF(OPriceCurve,IF(OBuySell=OCallPut,R138/(1-AY138),T138/(1-AY138)),S138/(1-AY138))*BG138,0)</f>
        <v>#VALUE!</v>
      </c>
      <c r="BY138" s="1316" t="e">
        <f aca="false">IF(BP138,(BU138*AZ138+BV138*BA138+BW138*BB138)/BP138,0)</f>
        <v>#VALUE!</v>
      </c>
      <c r="BZ138" s="1316" t="e">
        <f aca="false">IF(BQ138,(BY138*BP138+BX138*BC138)/BQ138,0)</f>
        <v>#VALUE!</v>
      </c>
      <c r="CA138" s="1531" t="e">
        <f aca="false">IF(BS138,IF(OPriceCurve,IF(OBuySell=OCallPut,I138/(1-AY138),K138/(1-AY138)),J138/(1-AY138))*BL138,0)</f>
        <v>#VALUE!</v>
      </c>
      <c r="CB138" s="1316" t="e">
        <f aca="false">IF(BS138,IF(OPriceCurve,IF(OBuySell=OCallPut,L138/(1-AY138),N138/(1-AY138)),M138/(1-AY138))*BM138,0)</f>
        <v>#VALUE!</v>
      </c>
      <c r="CC138" s="1316" t="e">
        <f aca="false">IF(BS138,IF(OPriceCurve,IF(OBuySell=OCallPut,O138/(1-AY138),Q138/(1-AY138)),P138/(1-AY138))*BN138,0)</f>
        <v>#VALUE!</v>
      </c>
      <c r="CD138" s="1316" t="e">
        <f aca="false">IF(BS138,IF(OPriceCurve,IF(OBuySell=OCallPut,R138/(1-AY138),T138/(1-AY138)),S138/(1-AY138))*BO138,0)</f>
        <v>#VALUE!</v>
      </c>
      <c r="CE138" s="1316" t="e">
        <f aca="false">IF(BR138,(BU138*BH138+BV138*BI138+BW138*BJ138)/BR138,0)</f>
        <v>#VALUE!</v>
      </c>
      <c r="CF138" s="1532" t="e">
        <f aca="false">IF(BS138,(CE138*BR138+CD138*BK138)/BS138,0)</f>
        <v>#VALUE!</v>
      </c>
      <c r="CG138" s="1586" t="e">
        <f aca="false">IF(OR(BQ138,BS138),IF(OVolType&lt;&gt;2,SQRT(IF(OVolOverMonthlyPeak,OVolOverMonthlyPeak,IF(OVolCurve,IF(OBuySell,U138,W138),V138))^2*(1-15/365.25/BT138)+IF(OVolOverDailyPeak,OVolOverDailyPeak,IF(OVolCurve,IF(OBuySell,AG138,AI138),AH138))^2*15/365.25/BT138),IF(OVolOverMonthlyPeak,OVolOverMonthlyPeak,IF(OVolCurve,IF(OBuySell,U138,W138),V138))),"")</f>
        <v>#VALUE!</v>
      </c>
      <c r="CH138" s="1587" t="e">
        <f aca="false">IF(OR(BQ138,BS138),IF(OVolType&lt;&gt;2,SQRT(IF(OVolOverMonthlyPeak,OVolOverMonthlyPeak,IF(OVolCurve,IF(OBuySell,X138,Z138),Y138))^2*(1-15/365.25/BT138)+IF(OVolOverDailyPeak,OVolOverDailyPeak,IF(OVolCurve,IF(OBuySell,AJ138,AL138),AK138))^2*15/365.25/BT138),IF(OVolOverMonthlyPeak,OVolOverMonthlyPeak,IF(OVolCurve,IF(OBuySell,X138,Z138),Y138))),"")</f>
        <v>#VALUE!</v>
      </c>
      <c r="CI138" s="1587" t="e">
        <f aca="false">IF(OR(BQ138,BS138),IF(OVolType&lt;&gt;2,SQRT(IF(OVolOverMonthlyPeak,OVolOverMonthlyPeak,IF(OVolCurve,IF(OBuySell,AA138,AC138),AB138))^2*(1-15/365.25/BT138)+IF(OVolOverDailyPeak,OVolOverDailyPeak,IF(OVolCurve,IF(OBuySell,AM138,AO138),AN138))^2*15/365.25/BT138),IF(OVolOverMonthlyPeak,OVolOverMonthlyPeak,IF(OVolCurve,IF(OBuySell,AA138,AC138),AB138))),"")</f>
        <v>#VALUE!</v>
      </c>
      <c r="CJ138" s="1587" t="e">
        <f aca="false">IF(BQ138,IF(BP138,SQRT(LN(1+((BU138*AZ138)^2*(EXP(CG138^2*BT138)-1)+(BV138*BA138)^2*(EXP(CH138^2*BT138)-1)+(BW138*BB138)^2*(EXP(CI138^2*BT138)-1)+2*BU138*AZ138*BV138*BA138*(EXP(CG138*CH138*BT138)-1)+2*BV138*BA138*BW138*BB138*(EXP(CH138*CI138*BT138)-1)+2*BW138*BB138*BU138*AZ138*(EXP(CI138*CG138*BT138)-1))/(BY138*BP138)^2)/BT138),0),"")</f>
        <v>#VALUE!</v>
      </c>
      <c r="CK138" s="1587" t="e">
        <f aca="false">IF(BS138,IF(BR138,SQRT(LN(1+((CA138*BH138)^2*(EXP(CG138^2*BT138)-1)+(CB138*BI138)^2*(EXP(CH138^2*BT138)-1)+(CC138*BJ138)^2*(EXP(CI138^2*BT138)-1)+2*CA138*BH138*CB138*BI138*(EXP(CG138*CH138*BT138)-1)+2*CB138*BI138*CC138*BJ138*(EXP(CH138*CI138*BT138)-1)+2*CC138*BJ138*CA138*BH138*(EXP(CI138*CG138*BT138)-1))/(CE138*BR138)^2)/BT138),0),"")</f>
        <v>#VALUE!</v>
      </c>
      <c r="CL138" s="1587" t="e">
        <f aca="false">IF(OR(BQ138,BS138),IF(OVolType&lt;&gt;2,SQRT(IF(OVolOverMonthlyOffPeak,OVolOverMonthlyOffPeak,IF(OVolCurve,IF(OBuySell,AD138,AF138),AE138))^2*(1-15/365.25/BT138)+IF(OVolOverDailyOffPeak,OVolOverDailyOffPeak,IF(OVolCurve,IF(OBuySell,AP138,AR138),AQ138))^2*15/365.25/BT138),IF(OVolOverMonthlyOffPeak,OVolOverMonthlyOffPeak,IF(OVolCurve,IF(OBuySell,AD138,AF138),AE138))),"")</f>
        <v>#VALUE!</v>
      </c>
      <c r="CM138" s="1587" t="e">
        <f aca="false">IF(BQ138,SQRT(LN(1+((BY138*BP138)^2*(EXP(CJ138^2*BT138)-1)+(BX138*BC138)^2*(EXP(CL138^2*BT138)-1)+2*BY138*BP138*BX138*BC138*(EXP(AS138*CJ138*CL138*BT138)-1))/(BY138*BP138+BX138*BC138)^2)/BT138),"")</f>
        <v>#VALUE!</v>
      </c>
      <c r="CN138" s="1588" t="e">
        <f aca="false">IF(BS138,SQRT(LN(1+((CE138*BR138)^2*(EXP(CK138^2*BT138)-1)+(CD138*BK138)^2*(EXP(CL138^2*BT138)-1)+2*CE138*BR138*CD138*BK138*(EXP(AS138*CK138*CL138*BT138)-1))/(CE138*BR138+CD138*BK138)^2)/BT138),"")</f>
        <v>#VALUE!</v>
      </c>
      <c r="CO138" s="1531" t="e">
        <f aca="false">IF(OR(BQ138,BS138),VLOOKUP(A138,GasTable,13)*HeatRatePeak*(1+VLOOKUP($B138,HeatRateDegradation,$C138+1))/1000,0)</f>
        <v>#VALUE!</v>
      </c>
      <c r="CP138" s="1316" t="e">
        <f aca="false">IF(OR(BQ138,BS138),VLOOKUP(A138,GasTable,13)*HeatRatePeak*(1+VLOOKUP($B138,HeatRateDegradation,$C138+1))/1000,0)</f>
        <v>#VALUE!</v>
      </c>
      <c r="CQ138" s="1316" t="e">
        <f aca="false">IF(OR(BQ138,BS138),VLOOKUP(A138,GasTable,13)*IF(EV138,HeatRatePeak,HeatRateOffPeak)*(1+VLOOKUP($B138,HeatRateDegradation,$C138+1))/1000,0)</f>
        <v>#VALUE!</v>
      </c>
      <c r="CR138" s="1316" t="e">
        <f aca="false">IF(OR(BQ138,BS138),VLOOKUP(A138,GasTable,13)*IF(EW138,HeatRatePeak,HeatRateOffPeak)*(1+VLOOKUP($B138,HeatRateDegradation,$C138+1))/1000,0)</f>
        <v>#VALUE!</v>
      </c>
      <c r="CS138" s="1589" t="e">
        <f aca="false">IF(BQ138,(CO138*AZ138+CP138*BA138+CQ138*BB138+CR138*BC138)/BQ138,0)</f>
        <v>#VALUE!</v>
      </c>
      <c r="CT138" s="1316" t="e">
        <f aca="false">IF(BS138,CO138,0)</f>
        <v>#VALUE!</v>
      </c>
      <c r="CU138" s="1590" t="e">
        <f aca="false">IF(OR(BQ138,BS138),VLOOKUP(A138,GasTable,14),"")</f>
        <v>#VALUE!</v>
      </c>
      <c r="CV138" s="1568" t="e">
        <f aca="false">IF(OR(BQ138,BS138),IF(CorrPowerGasOverFlag,INDEX(CorrPowerGasOver,C138),CorrPowerGas),"")</f>
        <v>#VALUE!</v>
      </c>
      <c r="CW138" s="1316" t="e">
        <f aca="false">IF(OR($BQ138,$BS138),SpreadOptPowerMargin,0)*((1+Assumptions!$C$26)^($B138-YEAR(Assumptions!$C$17)))</f>
        <v>#VALUE!</v>
      </c>
      <c r="CX138" s="1316" t="e">
        <f aca="false">IF(OR($BQ138,$BS138),SpreadOptPowerMargin,0)*((1+Assumptions!$C$26)^($B138-YEAR(Assumptions!$C$17)))</f>
        <v>#VALUE!</v>
      </c>
      <c r="CY138" s="1316" t="e">
        <f aca="false">IF(OR($BQ138,$BS138),SpreadOptPowerMargin,0)*((1+Assumptions!$C$26)^($B138-YEAR(Assumptions!$C$17)))</f>
        <v>#VALUE!</v>
      </c>
      <c r="CZ138" s="1316" t="e">
        <f aca="false">IF(OR($BQ138,$BS138),SpreadOptPowerMargin,0)*((1+Assumptions!$C$26)^($B138-YEAR(Assumptions!$C$17)))</f>
        <v>#VALUE!</v>
      </c>
      <c r="DA138" s="1591" t="e">
        <f aca="false">IF(OR(BQ138,BS138),(CW138*(AZ138+BH138)+CX138*(BA138+BI138)+CY138*(BB138+BJ138)+CZ138*(BC138+BK138))/(BQ138+BS138),0)</f>
        <v>#VALUE!</v>
      </c>
      <c r="DB138" s="1592" t="e">
        <f aca="false">IF(OR(BQ138,BS138),CG138+IF(OVolSmile,VLOOKUP(MAX(-5,CO138+CW138-BU138),IF(OVolSmile=1,VolSmileBook,VolSmileModel),2),0),"")</f>
        <v>#VALUE!</v>
      </c>
      <c r="DC138" s="1592" t="e">
        <f aca="false">IF(OR(BQ138,BS138),CH138+IF(OVolSmile,VLOOKUP(MAX(-5,CP138+CW138-BV138),IF(OVolSmile=1,VolSmileBook,VolSmileModel),2),0),"")</f>
        <v>#VALUE!</v>
      </c>
      <c r="DD138" s="1592" t="e">
        <f aca="false">IF(OR(BQ138,BS138),CI138+IF(OVolSmile,VLOOKUP(MAX(-5,CQ138+CW138-BW138),IF(OVolSmile=1,VolSmileBook,VolSmileModel),2),0),"")</f>
        <v>#VALUE!</v>
      </c>
      <c r="DE138" s="1592" t="e">
        <f aca="false">IF(OR(BQ138,BS138),CL138+IF(OVolSmile,VLOOKUP(MAX(-5,CR138+CZ138-BX138),IF(OVolSmile=1,VolSmileBook,VolSmileModel),2),0),"")</f>
        <v>#VALUE!</v>
      </c>
      <c r="DF138" s="1592" t="e">
        <f aca="false">IF(BQ138,CM138+IF(OVolSmile,VLOOKUP(MAX(-5,CS138+DA138-BZ138),IF(OVolSmile=1,VolSmileBook,VolSmileModel),2),0),"")</f>
        <v>#VALUE!</v>
      </c>
      <c r="DG138" s="1593" t="e">
        <f aca="false">IF(BS138,CN138+IF(OVolSmile,VLOOKUP(MAX(-5,CT138+DA138-CF138),IF(OVolSmile=1,VolSmileBook,VolSmileModel),2),0),"")</f>
        <v>#VALUE!</v>
      </c>
      <c r="DH138" s="1316" t="e">
        <f aca="false">IF(AND(BU138&gt;0,CO138&gt;0,DB138&gt;0,CU138&gt;0),newSPRDOPT(BU138,CO138,CW138,0,DB138,CU138,CV138,BT138*365.25,OCallPut,0),0)</f>
        <v>#VALUE!</v>
      </c>
      <c r="DI138" s="1316" t="e">
        <f aca="false">IF(AND(BV138&gt;0,CP138&gt;0,DC138&gt;0,CU138&gt;0),newSPRDOPT(BV138,CP138,CX138,0,DC138,CU138,CV138,BT138*365.25,OCallPut,0),0)</f>
        <v>#VALUE!</v>
      </c>
      <c r="DJ138" s="1316" t="e">
        <f aca="false">IF(AND(BW138&gt;0,CQ138&gt;0,DD138&gt;0,CU138&gt;0),newSPRDOPT(BW138,CQ138,CY138,0,DD138,CU138,CV138,BT138*365.25,OCallPut,0),0)</f>
        <v>#VALUE!</v>
      </c>
      <c r="DK138" s="1316" t="e">
        <f aca="false">IF(AND(BX138&gt;0,CR138&gt;0,DE138&gt;0,CU138&gt;0),newSPRDOPT(BX138,CR138,CZ138,0,DE138,CU138,CV138,BT138*365.25,OCallPut,0),0)</f>
        <v>#VALUE!</v>
      </c>
      <c r="DL138" s="1316" t="e">
        <f aca="false">IF(OVolType,IF(AND(BZ138&gt;0,CS138&gt;0,DF138&gt;0,CU138&gt;0),newSPRDOPT(BZ138,CS138,DA138,0,DF138,CU138,CV138,BT138*365.25,OCallPut,0),0),IF(BQ138,(DH138*AZ138+DI138*BA138+DJ138*BB138+DK138*BC138)/BQ138,0))</f>
        <v>#VALUE!</v>
      </c>
      <c r="DM138" s="1316"/>
      <c r="DN138" s="1316"/>
      <c r="DO138" s="1316"/>
      <c r="DP138" s="1316"/>
      <c r="DQ138" s="1316"/>
      <c r="DR138" s="1316"/>
      <c r="DS138" s="1316"/>
      <c r="DT138" s="1316"/>
      <c r="DU138" s="1316"/>
      <c r="DV138" s="1316"/>
      <c r="DW138" s="1594" t="e">
        <f aca="false">IF(AND(BW138&gt;0,CT138&gt;0,DD138&gt;0,CU138&gt;0),newSPRDOPT(BW138,CT138,CY138,0,DD138,CU138,CV138,BT138*365.25,OCallPut,0),0)</f>
        <v>#VALUE!</v>
      </c>
      <c r="DX138" s="1316" t="e">
        <f aca="false">IF(AND(BX138&gt;0,CT138&gt;0,DE138&gt;0,CU138&gt;0),newSPRDOPT(BX138,CT138,CZ138,0,DE138,CU138,CV138,BT138*365.25,OCallPut,0),0)</f>
        <v>#VALUE!</v>
      </c>
      <c r="DY138" s="1591" t="e">
        <f aca="false">IF(BS138,(DH138*BH138+DI138*BI138+DW138*BJ138+DX138*BK138)/BS138,0)</f>
        <v>#VALUE!</v>
      </c>
      <c r="DZ138" s="1551" t="e">
        <f aca="false">DH138*AZ138</f>
        <v>#VALUE!</v>
      </c>
      <c r="EA138" s="1551" t="e">
        <f aca="false">DI138*BA138</f>
        <v>#VALUE!</v>
      </c>
      <c r="EB138" s="1551" t="e">
        <f aca="false">DJ138*BB138</f>
        <v>#VALUE!</v>
      </c>
      <c r="EC138" s="1551" t="e">
        <f aca="false">DK138*BC138</f>
        <v>#VALUE!</v>
      </c>
      <c r="ED138" s="1551" t="e">
        <f aca="false">DL138*BQ138</f>
        <v>#VALUE!</v>
      </c>
      <c r="EE138" s="1595" t="e">
        <f aca="false">IF(BQ138,IF(OCallPut,IF(BU138&gt;(CO138+CW138),BU138-(CO138+CW138),0),IF((CO138+CW138)&gt;BU138,(CO138+CW138)-BU138,0))*AZ138,0)</f>
        <v>#VALUE!</v>
      </c>
      <c r="EF138" s="1596" t="e">
        <f aca="false">IF(BQ138,IF(OCallPut,IF(BV138&gt;(CP138+CX138),BV138-(CP138+CX138),0),IF((CP138+CX138)&gt;BV138,(CP138+CX138)-BV138,0))*BA138,0)</f>
        <v>#VALUE!</v>
      </c>
      <c r="EG138" s="1596" t="e">
        <f aca="false">IF(BQ138,IF(OCallPut,IF(BW138&gt;(CQ138+CY138),BW138-(CQ138+CY138),0),IF((CQ138+CY138)&gt;BW138,(CQ138+CY138)-BW138,0))*BB138,0)</f>
        <v>#VALUE!</v>
      </c>
      <c r="EH138" s="1596" t="e">
        <f aca="false">IF(BQ138,IF(OCallPut,IF(BX138&gt;(CR138+CZ138),BX138-(CR138+CZ138),0),IF((CR138+CZ138)&gt;BX138,(CR138+CZ138)-BX138,0))*BC138,0)</f>
        <v>#VALUE!</v>
      </c>
      <c r="EI138" s="1597" t="e">
        <f aca="false">IF(BQ138,IF(OVolType,IF(OCallPut,IF(BZ138&gt;(CS138+DA138),BZ138-(CS138+DA138),0),IF((CS138+DA138)&gt;BZ138,(CS138+DA138)-BZ138,0))*BQ138,SUM(EE138:EH138)),0)</f>
        <v>#VALUE!</v>
      </c>
      <c r="EJ138" s="1595" t="e">
        <f aca="false">DZ138-EE138</f>
        <v>#VALUE!</v>
      </c>
      <c r="EK138" s="1596" t="e">
        <f aca="false">EA138-EF138</f>
        <v>#VALUE!</v>
      </c>
      <c r="EL138" s="1596" t="e">
        <f aca="false">EB138-EG138</f>
        <v>#VALUE!</v>
      </c>
      <c r="EM138" s="1596" t="e">
        <f aca="false">EC138-EH138</f>
        <v>#VALUE!</v>
      </c>
      <c r="EN138" s="1597" t="e">
        <f aca="false">ED138-EI138</f>
        <v>#VALUE!</v>
      </c>
      <c r="EO138" s="1551" t="e">
        <f aca="false">DH138*BH138</f>
        <v>#VALUE!</v>
      </c>
      <c r="EP138" s="1551" t="e">
        <f aca="false">DI138*BI138</f>
        <v>#VALUE!</v>
      </c>
      <c r="EQ138" s="1551" t="e">
        <f aca="false">DW138*BJ138</f>
        <v>#VALUE!</v>
      </c>
      <c r="ER138" s="1551" t="e">
        <f aca="false">DX138*BK138</f>
        <v>#VALUE!</v>
      </c>
      <c r="ES138" s="1551" t="e">
        <f aca="false">DY138*BS138</f>
        <v>#VALUE!</v>
      </c>
      <c r="ET138" s="1566" t="e">
        <f aca="false">IF(EI138,IF(OCallPut,IF(CA138&gt;(CT138+CW138),CA138-(CT138+CW138),0),IF((CT138+CW138)&gt;CA138,(CT138+CW138)-CA138,0))*BH138,0)</f>
        <v>#VALUE!</v>
      </c>
      <c r="EU138" s="1551" t="e">
        <f aca="false">IF(EI138,IF(OCallPut,IF(CB138&gt;(CT138+CX138),CB138-(CT138+CX138),0),IF((CT138+CX138)&gt;CB138,(CT138+CX138)-CB138,0))*BI138,0)</f>
        <v>#VALUE!</v>
      </c>
      <c r="EV138" s="1551" t="e">
        <f aca="false">IF(EI138,IF(OCallPut,IF(CC138&gt;(CT138+CY138),CC138-(CT138+CY138),0),IF((CT138+CY138)&gt;CC138,(CT138+CY138)-CC138,0))*BJ138,0)</f>
        <v>#VALUE!</v>
      </c>
      <c r="EW138" s="1551" t="e">
        <f aca="false">IF(EI138,IF(OCallPut,IF(CD138&gt;(CT138+CZ138),CD138-(CT138+CZ138),0),IF((CT138+CZ138)&gt;CD138,(CT138+CZ138)-CD138,0))*BK138,0)</f>
        <v>#VALUE!</v>
      </c>
      <c r="EX138" s="1558" t="e">
        <f aca="false">IF(EI138,SUM(ET138:EW138),0)</f>
        <v>#VALUE!</v>
      </c>
      <c r="EY138" s="1551" t="e">
        <f aca="false">EO138-ET138</f>
        <v>#VALUE!</v>
      </c>
      <c r="EZ138" s="1551" t="e">
        <f aca="false">EP138-EU138</f>
        <v>#VALUE!</v>
      </c>
      <c r="FA138" s="1551" t="e">
        <f aca="false">EQ138-EV138</f>
        <v>#VALUE!</v>
      </c>
      <c r="FB138" s="1551" t="e">
        <f aca="false">ER138-EW138</f>
        <v>#VALUE!</v>
      </c>
      <c r="FC138" s="1551" t="e">
        <f aca="false">ES138-EX138</f>
        <v>#VALUE!</v>
      </c>
      <c r="FD138" s="1525" t="n">
        <f aca="false">IF(AX138,IF(VLOOKUP(C138,MAIN!$L$17:$M$28,2)="Yes",VLOOKUP(CALC!B138,MAIN!$H$17:$I$20,2),0),0)</f>
        <v>0</v>
      </c>
      <c r="FE138" s="1552" t="e">
        <f aca="false">$FD138*16*AT138*(1-$AY138)</f>
        <v>#VALUE!</v>
      </c>
      <c r="FF138" s="1553" t="e">
        <f aca="false">$FD138*16*AU138*(1-$AY138)</f>
        <v>#VALUE!</v>
      </c>
      <c r="FG138" s="1553" t="e">
        <f aca="false">$FD138*16*(AV138+AW138)*(1-$AY138)</f>
        <v>#VALUE!</v>
      </c>
      <c r="FH138" s="1554" t="n">
        <f aca="false">$FD138*8*AX138*(1-$AY138)</f>
        <v>0</v>
      </c>
      <c r="FI138" s="1555" t="n">
        <f aca="false">IF(AX138,VLOOKUP(CALC!B138,MAIN!$H$17:$K$20,4),0)</f>
        <v>0</v>
      </c>
      <c r="FJ138" s="1553" t="e">
        <f aca="false">SUM(FE138:FH138)</f>
        <v>#VALUE!</v>
      </c>
      <c r="FK138" s="1556" t="e">
        <f aca="false">FI138*FJ138</f>
        <v>#VALUE!</v>
      </c>
      <c r="FL138" s="1551" t="e">
        <f aca="false">IF($EI138&gt;0,MIN(FE138,AZ138*(1+VLOOKUP($C138,WeatherCapacityAdjustment,2))),0)</f>
        <v>#VALUE!</v>
      </c>
      <c r="FM138" s="1551" t="e">
        <f aca="false">IF($EI138&gt;0,MIN(FF138,BA138*(1+VLOOKUP($C138,WeatherCapacityAdjustment,2))),0)</f>
        <v>#VALUE!</v>
      </c>
      <c r="FN138" s="1551" t="e">
        <f aca="false">IF($EI138&gt;0,MIN(FG138,BB138*(1+VLOOKUP($C138,WeatherCapacityAdjustment,2))),0)</f>
        <v>#VALUE!</v>
      </c>
      <c r="FO138" s="1564" t="e">
        <f aca="false">IF($EI138&gt;0,MIN(FH138,BC138*(1+VLOOKUP($C138,WeatherCapacityAdjustment,3))),0)</f>
        <v>#VALUE!</v>
      </c>
      <c r="FP138" s="1551" t="e">
        <f aca="false">IF(ET138&gt;0,MIN(FE138-FL138,BH138*(1+VLOOKUP($C138,WeatherCapacityAdjustment,2))),0)</f>
        <v>#VALUE!</v>
      </c>
      <c r="FQ138" s="1551" t="e">
        <f aca="false">IF(EU138&gt;0,MIN(FF138-FM138,BI138*(1+VLOOKUP($C138,WeatherCapacityAdjustment,2))),0)</f>
        <v>#VALUE!</v>
      </c>
      <c r="FR138" s="1551" t="e">
        <f aca="false">IF(EV138&gt;0,MIN(FG138-FN138,BJ138*(1+VLOOKUP($C138,WeatherCapacityAdjustment,2))),0)</f>
        <v>#VALUE!</v>
      </c>
      <c r="FS138" s="1558" t="e">
        <f aca="false">IF(EW138&gt;0,MIN(FH138-FO138,BK138*(1+VLOOKUP($C138,WeatherCapacityAdjustment,3))),0)</f>
        <v>#VALUE!</v>
      </c>
      <c r="FT138" s="1566" t="e">
        <f aca="false">IF(AND(Assumptions!$H$71="Yes",A138&gt;=Assumptions!$H$72,A138&lt;=Assumptions!$H$73),0,IF(AND($A138&gt;=Assumptions!$C$17,$A138&lt;=Assumptions!$C$18),MAX(AZ138*(1+VLOOKUP($C138,WeatherCapacityAdjustment,2))-FL138,0),0))</f>
        <v>#VALUE!</v>
      </c>
      <c r="FU138" s="1551" t="e">
        <f aca="false">IF(AND(Assumptions!$H$71="Yes",A138&gt;=Assumptions!$H$72,A138&lt;=Assumptions!$H$73),0,IF(AND($A138&gt;=Assumptions!$C$17,$A138&lt;=Assumptions!$C$18),MAX(BA138*(1+VLOOKUP($C138,WeatherCapacityAdjustment,2))-FM138,0),0))</f>
        <v>#VALUE!</v>
      </c>
      <c r="FV138" s="1551" t="e">
        <f aca="false">IF(AND(Assumptions!$H$71="Yes",A138&gt;=Assumptions!$H$72,A138&lt;=Assumptions!$H$73),0,IF(AND($A138&gt;=Assumptions!$C$17,$A138&lt;=Assumptions!$C$18),MAX(BB138*(1+VLOOKUP($C138,WeatherCapacityAdjustment,2))-FN138,0),0))</f>
        <v>#VALUE!</v>
      </c>
      <c r="FW138" s="1564" t="e">
        <f aca="false">IF(AND(Assumptions!$H$71="Yes",A138&gt;=Assumptions!$H$72,A138&lt;=Assumptions!$H$73),0,IF(AND($A138&gt;=Assumptions!$C$17,$A138&lt;=Assumptions!$C$18),MAX(BC138*(1+VLOOKUP($C138,WeatherCapacityAdjustment,3))-FO138,0),0))</f>
        <v>#VALUE!</v>
      </c>
      <c r="FX138" s="1569" t="e">
        <f aca="false">IF(AND(Assumptions!$H$71="Yes",A138&gt;=Assumptions!$H$72,A138&lt;=Assumptions!$H$73),0,IF(ET138&gt;0,MAX(BH138*(1+VLOOKUP($C138,WeatherCapacityAdjustment,2))-FP138,0),0))</f>
        <v>#VALUE!</v>
      </c>
      <c r="FY138" s="1551" t="e">
        <f aca="false">IF(AND(Assumptions!$H$71="Yes",A138&gt;=Assumptions!$H$72,A138&lt;=Assumptions!$H$73),0,IF(EU138&gt;0,MAX(BI138*(1+VLOOKUP($C138,WeatherCapacityAdjustment,3))-FQ138,0),0))</f>
        <v>#VALUE!</v>
      </c>
      <c r="FZ138" s="1551" t="e">
        <f aca="false">IF(AND(Assumptions!$H$71="Yes",A138&gt;=Assumptions!$H$72,A138&lt;=Assumptions!$H$73),0,IF(EV138&gt;0,MAX(BJ138*(1+VLOOKUP($C138,WeatherCapacityAdjustment,2))-FR138,0),0))</f>
        <v>#VALUE!</v>
      </c>
      <c r="GA138" s="1564" t="e">
        <f aca="false">IF(AND(Assumptions!$H$71="Yes",A138&gt;=Assumptions!$H$72,A138&lt;=Assumptions!$H$73),0,IF(EW138&gt;0,MAX(BK138*(1+VLOOKUP($C138,WeatherCapacityAdjustment,2))-FS138,0),0))</f>
        <v>#VALUE!</v>
      </c>
      <c r="GB138" s="1551" t="e">
        <f aca="false">SUM(FT138:GA138)</f>
        <v>#VALUE!</v>
      </c>
      <c r="GC138" s="1563" t="e">
        <f aca="false">+IF(SUM(FT138:GA138)=0,0,(SUMPRODUCT(BU138:BX138,FT138:FW138)+SUMPRODUCT(CA138:CD138,FX138:GA138))/SUM(FT138:GA138))</f>
        <v>#VALUE!</v>
      </c>
      <c r="GD138" s="1551" t="e">
        <f aca="false">(FT138*BU138+FX138*CA138+FU138*BV138+FY138*CB138+FV138*BW138+FZ138*CC138+FW138*BX138+GA138*CD138)</f>
        <v>#VALUE!</v>
      </c>
      <c r="GE138" s="1561" t="e">
        <f aca="false">+IF(BQ138,((FL138+FM138+FT138+FU138)*HeatRatePeak/1000*(1+VLOOKUP($C138,WeatherHeatRateAdjustment,2))+(FN138+FV138)*IF(EV138&gt;0,HeatRatePeak,HeatRateOffPeak)/1000*(1+VLOOKUP($C138,WeatherHeatRateAdjustment,2))+(FO138+FW138)*IF(EW138&gt;0,HeatRatePeak,HeatRateOffPeak)/1000*(1+VLOOKUP($C138,WeatherHeatRateAdjustment,3)))*(1+VLOOKUP($B138,HeatRateDegradation,$C138+1)),0)</f>
        <v>#VALUE!</v>
      </c>
      <c r="GF138" s="1562" t="e">
        <f aca="false">IF(BQ138,((FP138+FQ138+FR138+FX138+FY138+FZ138)*HeatRatePeak/1000*(1+VLOOKUP($C138,WeatherHeatRateAdjustment,2))+(FS138+GA138)*HeatRatePeak/1000*(1+VLOOKUP($C138,WeatherHeatRateAdjustment,3)))*(1+VLOOKUP($B138,HeatRateDegradation,$C138+1)),0)</f>
        <v>#VALUE!</v>
      </c>
      <c r="GG138" s="1563" t="e">
        <f aca="false">IF(BQ138,VLOOKUP(A138,GasTable,13),0)</f>
        <v>#VALUE!</v>
      </c>
      <c r="GH138" s="1564" t="e">
        <f aca="false">(GE138+GF138)*GG138</f>
        <v>#VALUE!</v>
      </c>
      <c r="GI138" s="1569" t="e">
        <f aca="false">GB138</f>
        <v>#VALUE!</v>
      </c>
      <c r="GJ138" s="1598" t="e">
        <f aca="false">+DA138</f>
        <v>#VALUE!</v>
      </c>
      <c r="GK138" s="1558" t="e">
        <f aca="false">+GI138*GJ138</f>
        <v>#VALUE!</v>
      </c>
      <c r="GL138" s="1566" t="e">
        <f aca="false">MAX(FE138-FL138-FP138,0)</f>
        <v>#VALUE!</v>
      </c>
      <c r="GM138" s="1551" t="e">
        <f aca="false">MAX(FF138-FM138-FQ138,0)</f>
        <v>#VALUE!</v>
      </c>
      <c r="GN138" s="1551" t="e">
        <f aca="false">MAX(FG138-FN138-FR138,0)</f>
        <v>#VALUE!</v>
      </c>
      <c r="GO138" s="1564" t="e">
        <f aca="false">MAX(FH138-FO138-FS138,0)</f>
        <v>#VALUE!</v>
      </c>
      <c r="GP138" s="1551" t="e">
        <f aca="false">SUM(GL138:GO138)</f>
        <v>#VALUE!</v>
      </c>
      <c r="GQ138" s="1563" t="e">
        <f aca="false">IF(SUM(GL138:GO138)=0,0,((GL138*BU138+GM138*BV138+GN138*BW138+GO138*BX138)/SUM(GL138:GO138)))</f>
        <v>#VALUE!</v>
      </c>
      <c r="GR138" s="1558" t="e">
        <f aca="false">(GL138*BU138+GM138*BV138+GN138*BW138+GO138*BX138)</f>
        <v>#VALUE!</v>
      </c>
      <c r="GS138" s="1566" t="n">
        <f aca="false">IF($A138&gt;=BegDate,Assumptions!$C$56*24*($A139-$A138)*(1-VLOOKUP($B138,MAIN!$AA$7:$AM$28,$C138+1))*(1-VLOOKUP($B138,MAIN!$AA$33:$AM$54,$C138+1)),0)*80/168</f>
        <v>249428.571428571</v>
      </c>
      <c r="GT138" s="286" t="n">
        <f aca="false">J138</f>
        <v>36.8452034393195</v>
      </c>
      <c r="GU138" s="286" t="n">
        <f aca="false">IF($A138&gt;=BegDate,VLOOKUP($A138,GasTable,13)+Assumptions!$C$58,0)</f>
        <v>2.73364538208129</v>
      </c>
      <c r="GV138" s="286" t="n">
        <f aca="false">GU138*Assumptions!$C$57/1000</f>
        <v>19.8189290200893</v>
      </c>
      <c r="GW138" s="1558" t="n">
        <f aca="false">IF(Assumptions!$C$60="Hourly",MAX(0,GS138*(GT138-GV138)),GS138*(GT138-GV138))</f>
        <v>4246839.30513942</v>
      </c>
      <c r="GX138" s="1566" t="n">
        <f aca="false">IF($A138&gt;=BegDate,Assumptions!$C$56*24*($A139-$A138)*(1-VLOOKUP($B138,MAIN!$AA$7:$AM$28,$C138+1))*(1-VLOOKUP($B138,MAIN!$AA$33:$AM$54,$C138+1)),0)*16/168</f>
        <v>49885.7142857143</v>
      </c>
      <c r="GY138" s="286" t="n">
        <f aca="false">M138</f>
        <v>36.8452034393195</v>
      </c>
      <c r="GZ138" s="286" t="n">
        <f aca="false">IF($A138&gt;=BegDate,VLOOKUP($A138,GasTable,13)+Assumptions!$C$58,0)</f>
        <v>2.73364538208129</v>
      </c>
      <c r="HA138" s="286" t="n">
        <f aca="false">GZ138*Assumptions!$C$57/1000</f>
        <v>19.8189290200893</v>
      </c>
      <c r="HB138" s="1558" t="n">
        <f aca="false">IF(Assumptions!$C$60="Hourly",MAX(0,GX138*(GY138-HA138)),GX138*(GY138-HA138))</f>
        <v>849367.861027883</v>
      </c>
      <c r="HC138" s="1566" t="n">
        <f aca="false">IF($A138&gt;=BegDate,Assumptions!$C$56*24*($A139-$A138)*(1-VLOOKUP($B138,MAIN!$AA$7:$AM$28,$C138+1))*(1-VLOOKUP($B138,MAIN!$AA$33:$AM$54,$C138+1)),0)*16/168</f>
        <v>49885.7142857143</v>
      </c>
      <c r="HD138" s="286" t="n">
        <f aca="false">P138</f>
        <v>21.8701007885679</v>
      </c>
      <c r="HE138" s="286" t="n">
        <f aca="false">IF($A138&gt;=BegDate,VLOOKUP($A138,GasTable,13)+Assumptions!$C$58,0)</f>
        <v>2.73364538208129</v>
      </c>
      <c r="HF138" s="286" t="n">
        <f aca="false">HE138*Assumptions!$C$57/1000</f>
        <v>19.8189290200893</v>
      </c>
      <c r="HG138" s="1558" t="n">
        <f aca="false">IF(Assumptions!$C$60="Hourly",MAX(0,HC138*(HD138-HF138)),HC138*(HD138-HF138))</f>
        <v>102324.168793246</v>
      </c>
      <c r="HH138" s="1566" t="n">
        <f aca="false">IF($A138&gt;=BegDate,Assumptions!$C$56*24*($A139-$A138)*(1-VLOOKUP($B138,MAIN!$AA$7:$AM$28,$C138+1))*(1-VLOOKUP($B138,MAIN!$AA$33:$AM$54,$C138+1)),0)*56/168</f>
        <v>174600</v>
      </c>
      <c r="HI138" s="286" t="n">
        <f aca="false">S138</f>
        <v>21.8701007885679</v>
      </c>
      <c r="HJ138" s="286" t="n">
        <f aca="false">IF($A138&gt;=BegDate,VLOOKUP($A138,GasTable,13)+Assumptions!$C$58,0)</f>
        <v>2.73364538208129</v>
      </c>
      <c r="HK138" s="286" t="n">
        <f aca="false">HJ138*Assumptions!$C$57/1000</f>
        <v>19.8189290200893</v>
      </c>
      <c r="HL138" s="1558" t="n">
        <f aca="false">IF(Assumptions!$C$60="Hourly",MAX(0,HH138*(HI138-HK138)),HH138*(HI138-HK138))</f>
        <v>358134.590776362</v>
      </c>
      <c r="HM138" s="1566" t="n">
        <f aca="false">IF(AND(Assumptions!$H$71="Yes",A138&gt;=Assumptions!$H$72,A138&lt;=Assumptions!$H$73),Assumptions!$H$74*Assumptions!$C$9*1000,0)</f>
        <v>0</v>
      </c>
      <c r="HN138" s="1551"/>
      <c r="HO138" s="1563"/>
      <c r="HP138" s="1563"/>
      <c r="HQ138" s="1563"/>
      <c r="HR138" s="1563"/>
      <c r="HS138" s="1563"/>
      <c r="HT138" s="1563"/>
      <c r="HU138" s="1563"/>
      <c r="HV138" s="1563"/>
      <c r="HW138" s="1563"/>
      <c r="HX138" s="1563"/>
      <c r="HY138" s="1563"/>
      <c r="HZ138" s="1563"/>
      <c r="IA138" s="1563"/>
      <c r="IB138" s="1563"/>
      <c r="IC138" s="1563"/>
      <c r="ID138" s="1563"/>
      <c r="IE138" s="1563"/>
      <c r="IF138" s="1563"/>
      <c r="IG138" s="1563"/>
      <c r="IH138" s="1563"/>
      <c r="II138" s="1610"/>
      <c r="IJ138" s="1309"/>
      <c r="IK138" s="1309"/>
    </row>
    <row r="139" customFormat="false" ht="12.75" hidden="false" customHeight="false" outlineLevel="0" collapsed="false">
      <c r="A139" s="1571" t="n">
        <f aca="false">EOMONTH(A138,0)+1</f>
        <v>40360</v>
      </c>
      <c r="B139" s="594" t="n">
        <f aca="false">+YEAR(A139)</f>
        <v>2010</v>
      </c>
      <c r="C139" s="238" t="n">
        <f aca="false">MONTH(A139)</f>
        <v>7</v>
      </c>
      <c r="D139" s="1572" t="e">
        <f aca="false">IF(E139="","",Holiday(B139,C139))</f>
        <v>#VALUE!</v>
      </c>
      <c r="E139" s="1573" t="n">
        <f aca="false">IF(OR(BegDate&gt;=A140,EndDate&lt;A139,AND(VolumeMonthlyOverFlag,INDEX(VolumeMonthlyOver,C139)=0),NOT(INDEX(MonthKnockOutTable,C139))),"",MAX(A139,BegDate))</f>
        <v>40360</v>
      </c>
      <c r="F139" s="1574" t="n">
        <f aca="false">IF(E139="","",MIN(A140-1,EndDate))</f>
        <v>40390</v>
      </c>
      <c r="G139" s="1575" t="n">
        <v>0</v>
      </c>
      <c r="H139" s="1576" t="n">
        <f aca="false">(1+G139/2)^(-2*(DATE(B140,C140,20)-DateToday)/365.25)</f>
        <v>1</v>
      </c>
      <c r="I139" s="1568" t="n">
        <f aca="false">IF(Assumptions!$L$25=4,VLOOKUP($A139,'Henwood Reference'!$E$9:$R$320,10),(VLOOKUP($A139,PriceTable,2,0)+IF(BasisNumber&lt;&gt;1,VLOOKUP($A139,BasisTable,2,0),0)+I$1)/(1-I$2))</f>
        <v>60.9736132903698</v>
      </c>
      <c r="J139" s="1568" t="n">
        <f aca="false">IF(Assumptions!$L$25=4,VLOOKUP($A139,'Henwood Reference'!$E$9:$R$320,10),(VLOOKUP($A139,PriceTable,3,0)+IF(BasisNumber&lt;&gt;1,VLOOKUP($A139,BasisTable,2,0),0)+J$1)/(1-J$2))</f>
        <v>60.9736132903698</v>
      </c>
      <c r="K139" s="1568" t="n">
        <f aca="false">IF(Assumptions!$L$25=4,VLOOKUP($A139,'Henwood Reference'!$E$9:$R$320,10),(VLOOKUP($A139,PriceTable,4,0)+IF(BasisNumber&lt;&gt;1,VLOOKUP($A139,BasisTable,2,0),0)+K$1)/(1-K$2))</f>
        <v>60.9736132903698</v>
      </c>
      <c r="L139" s="1523" t="n">
        <f aca="false">IF(Assumptions!$L$25=4,VLOOKUP($A139,'Henwood Reference'!$E$9:$R$320,10),(VLOOKUP($A139,PriceTableWeekend,2,0)+IF(BasisNumber&lt;&gt;1,VLOOKUP($A139,BasisTable,2,0),0)+L$1)/(1-L$2))</f>
        <v>60.9736132903698</v>
      </c>
      <c r="M139" s="1568" t="n">
        <f aca="false">IF(Assumptions!$L$25=4,VLOOKUP($A139,'Henwood Reference'!$E$9:$R$320,10),(VLOOKUP($A139,PriceTableWeekend,3,0)+IF(BasisNumber&lt;&gt;1,VLOOKUP($A139,BasisTable,2,0),0)+M$1)/(1-M$2))</f>
        <v>60.9736132903698</v>
      </c>
      <c r="N139" s="1599" t="n">
        <f aca="false">IF(Assumptions!$L$25=4,VLOOKUP($A139,'Henwood Reference'!$E$9:$R$320,10),(VLOOKUP($A139,PriceTableWeekend,4,0)+IF(BasisNumber&lt;&gt;1,VLOOKUP($A139,BasisTable,2,0),0)+N$1)/(1-N$2))</f>
        <v>60.9736132903698</v>
      </c>
      <c r="O139" s="1568" t="n">
        <f aca="false">IF(Assumptions!$L$25=4,VLOOKUP($A139,'Henwood Reference'!$E$9:$R$320,11),(VLOOKUP($A139,PriceTableWeekend,6,0)+IF(BasisNumber&lt;&gt;1,VLOOKUP($A139,BasisTable,3,0),0)+O$1)/(1-O$2))</f>
        <v>28.1774217165048</v>
      </c>
      <c r="P139" s="1568" t="n">
        <f aca="false">IF(Assumptions!$L$25=4,VLOOKUP($A139,'Henwood Reference'!$E$9:$R$320,11),(VLOOKUP($A139,PriceTableWeekend,7,0)+IF(BasisNumber&lt;&gt;1,VLOOKUP($A139,BasisTable,3,0),0)+P$1)/(1-P$2))</f>
        <v>28.1774217165048</v>
      </c>
      <c r="Q139" s="1599" t="n">
        <f aca="false">IF(Assumptions!$L$25=4,VLOOKUP($A139,'Henwood Reference'!$E$9:$R$320,11),(VLOOKUP($A139,PriceTableWeekend,8,0)+IF(BasisNumber&lt;&gt;1,VLOOKUP($A139,BasisTable,3,0),0)+Q$1)/(1-Q$2))</f>
        <v>28.1774217165048</v>
      </c>
      <c r="R139" s="1568" t="n">
        <f aca="false">IF(Assumptions!$L$25=4,VLOOKUP($A139,'Henwood Reference'!$E$9:$R$320,11),(VLOOKUP($A139,PriceTable,6,0)+IF(BasisNumber&lt;&gt;1,VLOOKUP($A139,BasisTable,3,0),0)+R$1)/(1-R$2))</f>
        <v>28.1774217165048</v>
      </c>
      <c r="S139" s="1568" t="n">
        <f aca="false">IF(Assumptions!$L$25=4,VLOOKUP($A139,'Henwood Reference'!$E$9:$R$320,11),(VLOOKUP($A139,PriceTable,7,0)+IF(BasisNumber&lt;&gt;1,VLOOKUP($A139,BasisTable,3,0),0)+S$1)/(1-S$2))</f>
        <v>28.1774217165048</v>
      </c>
      <c r="T139" s="1600" t="n">
        <f aca="false">IF(Assumptions!$L$25=4,VLOOKUP($A139,'Henwood Reference'!$E$9:$R$320,11),(VLOOKUP($A139,PriceTable,8,0)+IF(BasisNumber&lt;&gt;1,VLOOKUP($A139,BasisTable,3,0),0)+T$1)/(1-T$2))</f>
        <v>28.1774217165048</v>
      </c>
      <c r="U139" s="1513" t="n">
        <f aca="false">VLOOKUP($A139,VolatilityTable,14)</f>
        <v>0.12</v>
      </c>
      <c r="V139" s="1513" t="n">
        <f aca="false">VLOOKUP($A139,VolatilityTable,15)</f>
        <v>0.13</v>
      </c>
      <c r="W139" s="1514" t="n">
        <f aca="false">VLOOKUP($A139,VolatilityTable,16)</f>
        <v>0.14</v>
      </c>
      <c r="X139" s="1513" t="n">
        <f aca="false">VLOOKUP($A139,VolatilityTable,14)</f>
        <v>0.12</v>
      </c>
      <c r="Y139" s="1513" t="n">
        <f aca="false">VLOOKUP($A139,VolatilityTable,15)</f>
        <v>0.13</v>
      </c>
      <c r="Z139" s="1514" t="n">
        <f aca="false">VLOOKUP($A139,VolatilityTable,16)</f>
        <v>0.14</v>
      </c>
      <c r="AA139" s="1513" t="n">
        <f aca="false">VLOOKUP($A139,VolatilityTable,18)</f>
        <v>0.09</v>
      </c>
      <c r="AB139" s="1513" t="n">
        <f aca="false">VLOOKUP($A139,VolatilityTable,19)</f>
        <v>0.11</v>
      </c>
      <c r="AC139" s="1514" t="n">
        <f aca="false">VLOOKUP($A139,VolatilityTable,20)</f>
        <v>0.13</v>
      </c>
      <c r="AD139" s="1513" t="n">
        <f aca="false">VLOOKUP($A139,VolatilityTable,18)</f>
        <v>0.09</v>
      </c>
      <c r="AE139" s="1513" t="n">
        <f aca="false">VLOOKUP($A139,VolatilityTable,19)</f>
        <v>0.11</v>
      </c>
      <c r="AF139" s="1514" t="n">
        <f aca="false">VLOOKUP($A139,VolatilityTable,20)</f>
        <v>0.13</v>
      </c>
      <c r="AG139" s="1513" t="n">
        <f aca="false">VLOOKUP($A139,VolatilityTable,22)</f>
        <v>-0.35</v>
      </c>
      <c r="AH139" s="1513" t="n">
        <f aca="false">VLOOKUP($A139,VolatilityTable,23)</f>
        <v>3</v>
      </c>
      <c r="AI139" s="1514" t="n">
        <f aca="false">VLOOKUP($A139,VolatilityTable,24)</f>
        <v>0.35</v>
      </c>
      <c r="AJ139" s="1513" t="n">
        <f aca="false">VLOOKUP($A139,VolatilityTable,22)</f>
        <v>-0.35</v>
      </c>
      <c r="AK139" s="1513" t="n">
        <f aca="false">VLOOKUP($A139,VolatilityTable,23)</f>
        <v>3</v>
      </c>
      <c r="AL139" s="1514" t="n">
        <f aca="false">VLOOKUP($A139,VolatilityTable,24)</f>
        <v>0.35</v>
      </c>
      <c r="AM139" s="1513" t="n">
        <f aca="false">VLOOKUP($A139,VolatilityTable,26)</f>
        <v>-0.01</v>
      </c>
      <c r="AN139" s="1513" t="n">
        <f aca="false">VLOOKUP($A139,VolatilityTable,27)</f>
        <v>0.16</v>
      </c>
      <c r="AO139" s="1514" t="n">
        <f aca="false">VLOOKUP($A139,VolatilityTable,28)</f>
        <v>0.01</v>
      </c>
      <c r="AP139" s="1513" t="n">
        <f aca="false">VLOOKUP($A139,VolatilityTable,26)</f>
        <v>-0.01</v>
      </c>
      <c r="AQ139" s="1513" t="n">
        <f aca="false">VLOOKUP($A139,VolatilityTable,27)</f>
        <v>0.16</v>
      </c>
      <c r="AR139" s="1515" t="n">
        <f aca="false">VLOOKUP($A139,VolatilityTable,28)</f>
        <v>0.01</v>
      </c>
      <c r="AS139" s="1581" t="n">
        <f aca="false">IF(CorrPeakOffPeakOverFlag,INDEX(CorrPeakOffPeakOver,C139),CorrPeakOffPeak)</f>
        <v>0.5</v>
      </c>
      <c r="AT139" s="594" t="e">
        <f aca="false">AX139-SUM(AU139:AW139)</f>
        <v>#VALUE!</v>
      </c>
      <c r="AU139" s="238" t="e">
        <f aca="false">IF(E139="",0,INT((F139-MOD(F139,7)-E139)/7)+1-IF(AW139,IF(WEEKDAY(D139)=7,1,0),0))</f>
        <v>#VALUE!</v>
      </c>
      <c r="AV139" s="238" t="e">
        <f aca="false">IF(E139="",0,INT((F139-MOD(F139-1,7)-E139)/7)+1-IF(AW139,IF(WEEKDAY(D139)=1,1,0),0))</f>
        <v>#VALUE!</v>
      </c>
      <c r="AW139" s="238" t="e">
        <f aca="false">IF(OR(E139="",D139="",D139&lt;BegDate,D139&gt;EndDate),0,1)</f>
        <v>#VALUE!</v>
      </c>
      <c r="AX139" s="238" t="n">
        <f aca="false">IF(E139="",0,F139-E139+1)</f>
        <v>31</v>
      </c>
      <c r="AY139" s="1582" t="n">
        <f aca="false">IF(E139="",0,MIN((1-(1-VLOOKUP(B139,MAIN!$AA$7:$AM$28,C139+1))*(1-VLOOKUP(B139,MAIN!$AA$33:$AM$54,C139+1))),1))</f>
        <v>0.03</v>
      </c>
      <c r="AZ139" s="1519" t="e">
        <v>#VALUE!</v>
      </c>
      <c r="BA139" s="1520" t="e">
        <v>#VALUE!</v>
      </c>
      <c r="BB139" s="1520" t="e">
        <v>#VALUE!</v>
      </c>
      <c r="BC139" s="1583" t="e">
        <v>#VALUE!</v>
      </c>
      <c r="BD139" s="1522" t="e">
        <v>#VALUE!</v>
      </c>
      <c r="BE139" s="1523" t="e">
        <v>#VALUE!</v>
      </c>
      <c r="BF139" s="1523" t="e">
        <v>#VALUE!</v>
      </c>
      <c r="BG139" s="1584" t="e">
        <v>#VALUE!</v>
      </c>
      <c r="BH139" s="1525" t="e">
        <v>#VALUE!</v>
      </c>
      <c r="BI139" s="1520" t="e">
        <v>#VALUE!</v>
      </c>
      <c r="BJ139" s="1520" t="e">
        <v>#VALUE!</v>
      </c>
      <c r="BK139" s="1583" t="e">
        <v>#VALUE!</v>
      </c>
      <c r="BL139" s="1522" t="e">
        <v>#VALUE!</v>
      </c>
      <c r="BM139" s="1523" t="e">
        <v>#VALUE!</v>
      </c>
      <c r="BN139" s="1523" t="e">
        <v>#VALUE!</v>
      </c>
      <c r="BO139" s="1523" t="e">
        <v>#VALUE!</v>
      </c>
      <c r="BP139" s="1525" t="e">
        <f aca="false">SUM(AZ139:BB139)</f>
        <v>#VALUE!</v>
      </c>
      <c r="BQ139" s="1529" t="e">
        <f aca="false">SUM(AZ139:BC139)</f>
        <v>#VALUE!</v>
      </c>
      <c r="BR139" s="1519" t="e">
        <f aca="false">SUM(BH139:BJ139)</f>
        <v>#VALUE!</v>
      </c>
      <c r="BS139" s="1529" t="e">
        <f aca="false">SUM(BH139:BK139)</f>
        <v>#VALUE!</v>
      </c>
      <c r="BT139" s="1316" t="n">
        <f aca="false">(IF(OVolType&lt;&gt;2,A139+14,IF(OptExpDateShift,ShiftBack(A139,OptExpDateShift,D138),A139))-DateToday)/365.25</f>
        <v>10.2121834360027</v>
      </c>
      <c r="BU139" s="1585" t="e">
        <f aca="false">IF(BQ139,IF(OPriceCurve,IF(OBuySell=OCallPut,I139/(1-AY139),K139/(1-AY139)),J139/(1-AY139))*BD139,0)</f>
        <v>#VALUE!</v>
      </c>
      <c r="BV139" s="1316" t="e">
        <f aca="false">IF(BQ139,IF(OPriceCurve,IF(OBuySell=OCallPut,L139/(1-AY139),N139/(1-AY139)),M139/(1-AY139))*BE139,0)</f>
        <v>#VALUE!</v>
      </c>
      <c r="BW139" s="1316" t="e">
        <f aca="false">IF(BQ139,IF(OPriceCurve,IF(OBuySell=OCallPut,O139/(1-AY139),Q139/(1-AY139)),P139/(1-AY139))*BF139,0)</f>
        <v>#VALUE!</v>
      </c>
      <c r="BX139" s="1316" t="e">
        <f aca="false">IF(BQ139,IF(OPriceCurve,IF(OBuySell=OCallPut,R139/(1-AY139),T139/(1-AY139)),S139/(1-AY139))*BG139,0)</f>
        <v>#VALUE!</v>
      </c>
      <c r="BY139" s="1316" t="e">
        <f aca="false">IF(BP139,(BU139*AZ139+BV139*BA139+BW139*BB139)/BP139,0)</f>
        <v>#VALUE!</v>
      </c>
      <c r="BZ139" s="1316" t="e">
        <f aca="false">IF(BQ139,(BY139*BP139+BX139*BC139)/BQ139,0)</f>
        <v>#VALUE!</v>
      </c>
      <c r="CA139" s="1531" t="e">
        <f aca="false">IF(BS139,IF(OPriceCurve,IF(OBuySell=OCallPut,I139/(1-AY139),K139/(1-AY139)),J139/(1-AY139))*BL139,0)</f>
        <v>#VALUE!</v>
      </c>
      <c r="CB139" s="1316" t="e">
        <f aca="false">IF(BS139,IF(OPriceCurve,IF(OBuySell=OCallPut,L139/(1-AY139),N139/(1-AY139)),M139/(1-AY139))*BM139,0)</f>
        <v>#VALUE!</v>
      </c>
      <c r="CC139" s="1316" t="e">
        <f aca="false">IF(BS139,IF(OPriceCurve,IF(OBuySell=OCallPut,O139/(1-AY139),Q139/(1-AY139)),P139/(1-AY139))*BN139,0)</f>
        <v>#VALUE!</v>
      </c>
      <c r="CD139" s="1316" t="e">
        <f aca="false">IF(BS139,IF(OPriceCurve,IF(OBuySell=OCallPut,R139/(1-AY139),T139/(1-AY139)),S139/(1-AY139))*BO139,0)</f>
        <v>#VALUE!</v>
      </c>
      <c r="CE139" s="1316" t="e">
        <f aca="false">IF(BR139,(BU139*BH139+BV139*BI139+BW139*BJ139)/BR139,0)</f>
        <v>#VALUE!</v>
      </c>
      <c r="CF139" s="1532" t="e">
        <f aca="false">IF(BS139,(CE139*BR139+CD139*BK139)/BS139,0)</f>
        <v>#VALUE!</v>
      </c>
      <c r="CG139" s="1586" t="e">
        <f aca="false">IF(OR(BQ139,BS139),IF(OVolType&lt;&gt;2,SQRT(IF(OVolOverMonthlyPeak,OVolOverMonthlyPeak,IF(OVolCurve,IF(OBuySell,U139,W139),V139))^2*(1-15/365.25/BT139)+IF(OVolOverDailyPeak,OVolOverDailyPeak,IF(OVolCurve,IF(OBuySell,AG139,AI139),AH139))^2*15/365.25/BT139),IF(OVolOverMonthlyPeak,OVolOverMonthlyPeak,IF(OVolCurve,IF(OBuySell,U139,W139),V139))),"")</f>
        <v>#VALUE!</v>
      </c>
      <c r="CH139" s="1587" t="e">
        <f aca="false">IF(OR(BQ139,BS139),IF(OVolType&lt;&gt;2,SQRT(IF(OVolOverMonthlyPeak,OVolOverMonthlyPeak,IF(OVolCurve,IF(OBuySell,X139,Z139),Y139))^2*(1-15/365.25/BT139)+IF(OVolOverDailyPeak,OVolOverDailyPeak,IF(OVolCurve,IF(OBuySell,AJ139,AL139),AK139))^2*15/365.25/BT139),IF(OVolOverMonthlyPeak,OVolOverMonthlyPeak,IF(OVolCurve,IF(OBuySell,X139,Z139),Y139))),"")</f>
        <v>#VALUE!</v>
      </c>
      <c r="CI139" s="1587" t="e">
        <f aca="false">IF(OR(BQ139,BS139),IF(OVolType&lt;&gt;2,SQRT(IF(OVolOverMonthlyPeak,OVolOverMonthlyPeak,IF(OVolCurve,IF(OBuySell,AA139,AC139),AB139))^2*(1-15/365.25/BT139)+IF(OVolOverDailyPeak,OVolOverDailyPeak,IF(OVolCurve,IF(OBuySell,AM139,AO139),AN139))^2*15/365.25/BT139),IF(OVolOverMonthlyPeak,OVolOverMonthlyPeak,IF(OVolCurve,IF(OBuySell,AA139,AC139),AB139))),"")</f>
        <v>#VALUE!</v>
      </c>
      <c r="CJ139" s="1587" t="e">
        <f aca="false">IF(BQ139,IF(BP139,SQRT(LN(1+((BU139*AZ139)^2*(EXP(CG139^2*BT139)-1)+(BV139*BA139)^2*(EXP(CH139^2*BT139)-1)+(BW139*BB139)^2*(EXP(CI139^2*BT139)-1)+2*BU139*AZ139*BV139*BA139*(EXP(CG139*CH139*BT139)-1)+2*BV139*BA139*BW139*BB139*(EXP(CH139*CI139*BT139)-1)+2*BW139*BB139*BU139*AZ139*(EXP(CI139*CG139*BT139)-1))/(BY139*BP139)^2)/BT139),0),"")</f>
        <v>#VALUE!</v>
      </c>
      <c r="CK139" s="1587" t="e">
        <f aca="false">IF(BS139,IF(BR139,SQRT(LN(1+((CA139*BH139)^2*(EXP(CG139^2*BT139)-1)+(CB139*BI139)^2*(EXP(CH139^2*BT139)-1)+(CC139*BJ139)^2*(EXP(CI139^2*BT139)-1)+2*CA139*BH139*CB139*BI139*(EXP(CG139*CH139*BT139)-1)+2*CB139*BI139*CC139*BJ139*(EXP(CH139*CI139*BT139)-1)+2*CC139*BJ139*CA139*BH139*(EXP(CI139*CG139*BT139)-1))/(CE139*BR139)^2)/BT139),0),"")</f>
        <v>#VALUE!</v>
      </c>
      <c r="CL139" s="1587" t="e">
        <f aca="false">IF(OR(BQ139,BS139),IF(OVolType&lt;&gt;2,SQRT(IF(OVolOverMonthlyOffPeak,OVolOverMonthlyOffPeak,IF(OVolCurve,IF(OBuySell,AD139,AF139),AE139))^2*(1-15/365.25/BT139)+IF(OVolOverDailyOffPeak,OVolOverDailyOffPeak,IF(OVolCurve,IF(OBuySell,AP139,AR139),AQ139))^2*15/365.25/BT139),IF(OVolOverMonthlyOffPeak,OVolOverMonthlyOffPeak,IF(OVolCurve,IF(OBuySell,AD139,AF139),AE139))),"")</f>
        <v>#VALUE!</v>
      </c>
      <c r="CM139" s="1587" t="e">
        <f aca="false">IF(BQ139,SQRT(LN(1+((BY139*BP139)^2*(EXP(CJ139^2*BT139)-1)+(BX139*BC139)^2*(EXP(CL139^2*BT139)-1)+2*BY139*BP139*BX139*BC139*(EXP(AS139*CJ139*CL139*BT139)-1))/(BY139*BP139+BX139*BC139)^2)/BT139),"")</f>
        <v>#VALUE!</v>
      </c>
      <c r="CN139" s="1588" t="e">
        <f aca="false">IF(BS139,SQRT(LN(1+((CE139*BR139)^2*(EXP(CK139^2*BT139)-1)+(CD139*BK139)^2*(EXP(CL139^2*BT139)-1)+2*CE139*BR139*CD139*BK139*(EXP(AS139*CK139*CL139*BT139)-1))/(CE139*BR139+CD139*BK139)^2)/BT139),"")</f>
        <v>#VALUE!</v>
      </c>
      <c r="CO139" s="1531" t="e">
        <f aca="false">IF(OR(BQ139,BS139),VLOOKUP(A139,GasTable,13)*HeatRatePeak*(1+VLOOKUP($B139,HeatRateDegradation,$C139+1))/1000,0)</f>
        <v>#VALUE!</v>
      </c>
      <c r="CP139" s="1316" t="e">
        <f aca="false">IF(OR(BQ139,BS139),VLOOKUP(A139,GasTable,13)*HeatRatePeak*(1+VLOOKUP($B139,HeatRateDegradation,$C139+1))/1000,0)</f>
        <v>#VALUE!</v>
      </c>
      <c r="CQ139" s="1316" t="e">
        <f aca="false">IF(OR(BQ139,BS139),VLOOKUP(A139,GasTable,13)*IF(EV139,HeatRatePeak,HeatRateOffPeak)*(1+VLOOKUP($B139,HeatRateDegradation,$C139+1))/1000,0)</f>
        <v>#VALUE!</v>
      </c>
      <c r="CR139" s="1316" t="e">
        <f aca="false">IF(OR(BQ139,BS139),VLOOKUP(A139,GasTable,13)*IF(EW139,HeatRatePeak,HeatRateOffPeak)*(1+VLOOKUP($B139,HeatRateDegradation,$C139+1))/1000,0)</f>
        <v>#VALUE!</v>
      </c>
      <c r="CS139" s="1589" t="e">
        <f aca="false">IF(BQ139,(CO139*AZ139+CP139*BA139+CQ139*BB139+CR139*BC139)/BQ139,0)</f>
        <v>#VALUE!</v>
      </c>
      <c r="CT139" s="1316" t="e">
        <f aca="false">IF(BS139,CO139,0)</f>
        <v>#VALUE!</v>
      </c>
      <c r="CU139" s="1590" t="e">
        <f aca="false">IF(OR(BQ139,BS139),VLOOKUP(A139,GasTable,14),"")</f>
        <v>#VALUE!</v>
      </c>
      <c r="CV139" s="1568" t="e">
        <f aca="false">IF(OR(BQ139,BS139),IF(CorrPowerGasOverFlag,INDEX(CorrPowerGasOver,C139),CorrPowerGas),"")</f>
        <v>#VALUE!</v>
      </c>
      <c r="CW139" s="1316" t="e">
        <f aca="false">IF(OR($BQ139,$BS139),SpreadOptPowerMargin,0)*((1+Assumptions!$C$26)^($B139-YEAR(Assumptions!$C$17)))</f>
        <v>#VALUE!</v>
      </c>
      <c r="CX139" s="1316" t="e">
        <f aca="false">IF(OR($BQ139,$BS139),SpreadOptPowerMargin,0)*((1+Assumptions!$C$26)^($B139-YEAR(Assumptions!$C$17)))</f>
        <v>#VALUE!</v>
      </c>
      <c r="CY139" s="1316" t="e">
        <f aca="false">IF(OR($BQ139,$BS139),SpreadOptPowerMargin,0)*((1+Assumptions!$C$26)^($B139-YEAR(Assumptions!$C$17)))</f>
        <v>#VALUE!</v>
      </c>
      <c r="CZ139" s="1316" t="e">
        <f aca="false">IF(OR($BQ139,$BS139),SpreadOptPowerMargin,0)*((1+Assumptions!$C$26)^($B139-YEAR(Assumptions!$C$17)))</f>
        <v>#VALUE!</v>
      </c>
      <c r="DA139" s="1591" t="e">
        <f aca="false">IF(OR(BQ139,BS139),(CW139*(AZ139+BH139)+CX139*(BA139+BI139)+CY139*(BB139+BJ139)+CZ139*(BC139+BK139))/(BQ139+BS139),0)</f>
        <v>#VALUE!</v>
      </c>
      <c r="DB139" s="1592" t="e">
        <f aca="false">IF(OR(BQ139,BS139),CG139+IF(OVolSmile,VLOOKUP(MAX(-5,CO139+CW139-BU139),IF(OVolSmile=1,VolSmileBook,VolSmileModel),2),0),"")</f>
        <v>#VALUE!</v>
      </c>
      <c r="DC139" s="1592" t="e">
        <f aca="false">IF(OR(BQ139,BS139),CH139+IF(OVolSmile,VLOOKUP(MAX(-5,CP139+CW139-BV139),IF(OVolSmile=1,VolSmileBook,VolSmileModel),2),0),"")</f>
        <v>#VALUE!</v>
      </c>
      <c r="DD139" s="1592" t="e">
        <f aca="false">IF(OR(BQ139,BS139),CI139+IF(OVolSmile,VLOOKUP(MAX(-5,CQ139+CW139-BW139),IF(OVolSmile=1,VolSmileBook,VolSmileModel),2),0),"")</f>
        <v>#VALUE!</v>
      </c>
      <c r="DE139" s="1592" t="e">
        <f aca="false">IF(OR(BQ139,BS139),CL139+IF(OVolSmile,VLOOKUP(MAX(-5,CR139+CZ139-BX139),IF(OVolSmile=1,VolSmileBook,VolSmileModel),2),0),"")</f>
        <v>#VALUE!</v>
      </c>
      <c r="DF139" s="1592" t="e">
        <f aca="false">IF(BQ139,CM139+IF(OVolSmile,VLOOKUP(MAX(-5,CS139+DA139-BZ139),IF(OVolSmile=1,VolSmileBook,VolSmileModel),2),0),"")</f>
        <v>#VALUE!</v>
      </c>
      <c r="DG139" s="1593" t="e">
        <f aca="false">IF(BS139,CN139+IF(OVolSmile,VLOOKUP(MAX(-5,CT139+DA139-CF139),IF(OVolSmile=1,VolSmileBook,VolSmileModel),2),0),"")</f>
        <v>#VALUE!</v>
      </c>
      <c r="DH139" s="1316" t="e">
        <f aca="false">IF(AND(BU139&gt;0,CO139&gt;0,DB139&gt;0,CU139&gt;0),newSPRDOPT(BU139,CO139,CW139,0,DB139,CU139,CV139,BT139*365.25,OCallPut,0),0)</f>
        <v>#VALUE!</v>
      </c>
      <c r="DI139" s="1316" t="e">
        <f aca="false">IF(AND(BV139&gt;0,CP139&gt;0,DC139&gt;0,CU139&gt;0),newSPRDOPT(BV139,CP139,CX139,0,DC139,CU139,CV139,BT139*365.25,OCallPut,0),0)</f>
        <v>#VALUE!</v>
      </c>
      <c r="DJ139" s="1316" t="e">
        <f aca="false">IF(AND(BW139&gt;0,CQ139&gt;0,DD139&gt;0,CU139&gt;0),newSPRDOPT(BW139,CQ139,CY139,0,DD139,CU139,CV139,BT139*365.25,OCallPut,0),0)</f>
        <v>#VALUE!</v>
      </c>
      <c r="DK139" s="1316" t="e">
        <f aca="false">IF(AND(BX139&gt;0,CR139&gt;0,DE139&gt;0,CU139&gt;0),newSPRDOPT(BX139,CR139,CZ139,0,DE139,CU139,CV139,BT139*365.25,OCallPut,0),0)</f>
        <v>#VALUE!</v>
      </c>
      <c r="DL139" s="1316" t="e">
        <f aca="false">IF(OVolType,IF(AND(BZ139&gt;0,CS139&gt;0,DF139&gt;0,CU139&gt;0),newSPRDOPT(BZ139,CS139,DA139,0,DF139,CU139,CV139,BT139*365.25,OCallPut,0),0),IF(BQ139,(DH139*AZ139+DI139*BA139+DJ139*BB139+DK139*BC139)/BQ139,0))</f>
        <v>#VALUE!</v>
      </c>
      <c r="DM139" s="1316"/>
      <c r="DN139" s="1316"/>
      <c r="DO139" s="1316"/>
      <c r="DP139" s="1316"/>
      <c r="DQ139" s="1316"/>
      <c r="DR139" s="1316"/>
      <c r="DS139" s="1316"/>
      <c r="DT139" s="1316"/>
      <c r="DU139" s="1316"/>
      <c r="DV139" s="1316"/>
      <c r="DW139" s="1594" t="e">
        <f aca="false">IF(AND(BW139&gt;0,CT139&gt;0,DD139&gt;0,CU139&gt;0),newSPRDOPT(BW139,CT139,CY139,0,DD139,CU139,CV139,BT139*365.25,OCallPut,0),0)</f>
        <v>#VALUE!</v>
      </c>
      <c r="DX139" s="1316" t="e">
        <f aca="false">IF(AND(BX139&gt;0,CT139&gt;0,DE139&gt;0,CU139&gt;0),newSPRDOPT(BX139,CT139,CZ139,0,DE139,CU139,CV139,BT139*365.25,OCallPut,0),0)</f>
        <v>#VALUE!</v>
      </c>
      <c r="DY139" s="1591" t="e">
        <f aca="false">IF(BS139,(DH139*BH139+DI139*BI139+DW139*BJ139+DX139*BK139)/BS139,0)</f>
        <v>#VALUE!</v>
      </c>
      <c r="DZ139" s="1551" t="e">
        <f aca="false">DH139*AZ139</f>
        <v>#VALUE!</v>
      </c>
      <c r="EA139" s="1551" t="e">
        <f aca="false">DI139*BA139</f>
        <v>#VALUE!</v>
      </c>
      <c r="EB139" s="1551" t="e">
        <f aca="false">DJ139*BB139</f>
        <v>#VALUE!</v>
      </c>
      <c r="EC139" s="1551" t="e">
        <f aca="false">DK139*BC139</f>
        <v>#VALUE!</v>
      </c>
      <c r="ED139" s="1551" t="e">
        <f aca="false">DL139*BQ139</f>
        <v>#VALUE!</v>
      </c>
      <c r="EE139" s="1595" t="e">
        <f aca="false">IF(BQ139,IF(OCallPut,IF(BU139&gt;(CO139+CW139),BU139-(CO139+CW139),0),IF((CO139+CW139)&gt;BU139,(CO139+CW139)-BU139,0))*AZ139,0)</f>
        <v>#VALUE!</v>
      </c>
      <c r="EF139" s="1596" t="e">
        <f aca="false">IF(BQ139,IF(OCallPut,IF(BV139&gt;(CP139+CX139),BV139-(CP139+CX139),0),IF((CP139+CX139)&gt;BV139,(CP139+CX139)-BV139,0))*BA139,0)</f>
        <v>#VALUE!</v>
      </c>
      <c r="EG139" s="1596" t="e">
        <f aca="false">IF(BQ139,IF(OCallPut,IF(BW139&gt;(CQ139+CY139),BW139-(CQ139+CY139),0),IF((CQ139+CY139)&gt;BW139,(CQ139+CY139)-BW139,0))*BB139,0)</f>
        <v>#VALUE!</v>
      </c>
      <c r="EH139" s="1596" t="e">
        <f aca="false">IF(BQ139,IF(OCallPut,IF(BX139&gt;(CR139+CZ139),BX139-(CR139+CZ139),0),IF((CR139+CZ139)&gt;BX139,(CR139+CZ139)-BX139,0))*BC139,0)</f>
        <v>#VALUE!</v>
      </c>
      <c r="EI139" s="1597" t="e">
        <f aca="false">IF(BQ139,IF(OVolType,IF(OCallPut,IF(BZ139&gt;(CS139+DA139),BZ139-(CS139+DA139),0),IF((CS139+DA139)&gt;BZ139,(CS139+DA139)-BZ139,0))*BQ139,SUM(EE139:EH139)),0)</f>
        <v>#VALUE!</v>
      </c>
      <c r="EJ139" s="1595" t="e">
        <f aca="false">DZ139-EE139</f>
        <v>#VALUE!</v>
      </c>
      <c r="EK139" s="1596" t="e">
        <f aca="false">EA139-EF139</f>
        <v>#VALUE!</v>
      </c>
      <c r="EL139" s="1596" t="e">
        <f aca="false">EB139-EG139</f>
        <v>#VALUE!</v>
      </c>
      <c r="EM139" s="1596" t="e">
        <f aca="false">EC139-EH139</f>
        <v>#VALUE!</v>
      </c>
      <c r="EN139" s="1597" t="e">
        <f aca="false">ED139-EI139</f>
        <v>#VALUE!</v>
      </c>
      <c r="EO139" s="1551" t="e">
        <f aca="false">DH139*BH139</f>
        <v>#VALUE!</v>
      </c>
      <c r="EP139" s="1551" t="e">
        <f aca="false">DI139*BI139</f>
        <v>#VALUE!</v>
      </c>
      <c r="EQ139" s="1551" t="e">
        <f aca="false">DW139*BJ139</f>
        <v>#VALUE!</v>
      </c>
      <c r="ER139" s="1551" t="e">
        <f aca="false">DX139*BK139</f>
        <v>#VALUE!</v>
      </c>
      <c r="ES139" s="1551" t="e">
        <f aca="false">DY139*BS139</f>
        <v>#VALUE!</v>
      </c>
      <c r="ET139" s="1566" t="e">
        <f aca="false">IF(EI139,IF(OCallPut,IF(CA139&gt;(CT139+CW139),CA139-(CT139+CW139),0),IF((CT139+CW139)&gt;CA139,(CT139+CW139)-CA139,0))*BH139,0)</f>
        <v>#VALUE!</v>
      </c>
      <c r="EU139" s="1551" t="e">
        <f aca="false">IF(EI139,IF(OCallPut,IF(CB139&gt;(CT139+CX139),CB139-(CT139+CX139),0),IF((CT139+CX139)&gt;CB139,(CT139+CX139)-CB139,0))*BI139,0)</f>
        <v>#VALUE!</v>
      </c>
      <c r="EV139" s="1551" t="e">
        <f aca="false">IF(EI139,IF(OCallPut,IF(CC139&gt;(CT139+CY139),CC139-(CT139+CY139),0),IF((CT139+CY139)&gt;CC139,(CT139+CY139)-CC139,0))*BJ139,0)</f>
        <v>#VALUE!</v>
      </c>
      <c r="EW139" s="1551" t="e">
        <f aca="false">IF(EI139,IF(OCallPut,IF(CD139&gt;(CT139+CZ139),CD139-(CT139+CZ139),0),IF((CT139+CZ139)&gt;CD139,(CT139+CZ139)-CD139,0))*BK139,0)</f>
        <v>#VALUE!</v>
      </c>
      <c r="EX139" s="1558" t="e">
        <f aca="false">IF(EI139,SUM(ET139:EW139),0)</f>
        <v>#VALUE!</v>
      </c>
      <c r="EY139" s="1551" t="e">
        <f aca="false">EO139-ET139</f>
        <v>#VALUE!</v>
      </c>
      <c r="EZ139" s="1551" t="e">
        <f aca="false">EP139-EU139</f>
        <v>#VALUE!</v>
      </c>
      <c r="FA139" s="1551" t="e">
        <f aca="false">EQ139-EV139</f>
        <v>#VALUE!</v>
      </c>
      <c r="FB139" s="1551" t="e">
        <f aca="false">ER139-EW139</f>
        <v>#VALUE!</v>
      </c>
      <c r="FC139" s="1551" t="e">
        <f aca="false">ES139-EX139</f>
        <v>#VALUE!</v>
      </c>
      <c r="FD139" s="1525" t="n">
        <f aca="false">IF(AX139,IF(VLOOKUP(C139,MAIN!$L$17:$M$28,2)="Yes",VLOOKUP(CALC!B139,MAIN!$H$17:$I$20,2),0),0)</f>
        <v>0</v>
      </c>
      <c r="FE139" s="1552" t="e">
        <f aca="false">$FD139*16*AT139*(1-$AY139)</f>
        <v>#VALUE!</v>
      </c>
      <c r="FF139" s="1553" t="e">
        <f aca="false">$FD139*16*AU139*(1-$AY139)</f>
        <v>#VALUE!</v>
      </c>
      <c r="FG139" s="1553" t="e">
        <f aca="false">$FD139*16*(AV139+AW139)*(1-$AY139)</f>
        <v>#VALUE!</v>
      </c>
      <c r="FH139" s="1554" t="n">
        <f aca="false">$FD139*8*AX139*(1-$AY139)</f>
        <v>0</v>
      </c>
      <c r="FI139" s="1555" t="n">
        <f aca="false">IF(AX139,VLOOKUP(CALC!B139,MAIN!$H$17:$K$20,4),0)</f>
        <v>0</v>
      </c>
      <c r="FJ139" s="1553" t="e">
        <f aca="false">SUM(FE139:FH139)</f>
        <v>#VALUE!</v>
      </c>
      <c r="FK139" s="1556" t="e">
        <f aca="false">FI139*FJ139</f>
        <v>#VALUE!</v>
      </c>
      <c r="FL139" s="1551" t="e">
        <f aca="false">IF($EI139&gt;0,MIN(FE139,AZ139*(1+VLOOKUP($C139,WeatherCapacityAdjustment,2))),0)</f>
        <v>#VALUE!</v>
      </c>
      <c r="FM139" s="1551" t="e">
        <f aca="false">IF($EI139&gt;0,MIN(FF139,BA139*(1+VLOOKUP($C139,WeatherCapacityAdjustment,2))),0)</f>
        <v>#VALUE!</v>
      </c>
      <c r="FN139" s="1551" t="e">
        <f aca="false">IF($EI139&gt;0,MIN(FG139,BB139*(1+VLOOKUP($C139,WeatherCapacityAdjustment,2))),0)</f>
        <v>#VALUE!</v>
      </c>
      <c r="FO139" s="1564" t="e">
        <f aca="false">IF($EI139&gt;0,MIN(FH139,BC139*(1+VLOOKUP($C139,WeatherCapacityAdjustment,3))),0)</f>
        <v>#VALUE!</v>
      </c>
      <c r="FP139" s="1551" t="e">
        <f aca="false">IF(ET139&gt;0,MIN(FE139-FL139,BH139*(1+VLOOKUP($C139,WeatherCapacityAdjustment,2))),0)</f>
        <v>#VALUE!</v>
      </c>
      <c r="FQ139" s="1551" t="e">
        <f aca="false">IF(EU139&gt;0,MIN(FF139-FM139,BI139*(1+VLOOKUP($C139,WeatherCapacityAdjustment,2))),0)</f>
        <v>#VALUE!</v>
      </c>
      <c r="FR139" s="1551" t="e">
        <f aca="false">IF(EV139&gt;0,MIN(FG139-FN139,BJ139*(1+VLOOKUP($C139,WeatherCapacityAdjustment,2))),0)</f>
        <v>#VALUE!</v>
      </c>
      <c r="FS139" s="1558" t="e">
        <f aca="false">IF(EW139&gt;0,MIN(FH139-FO139,BK139*(1+VLOOKUP($C139,WeatherCapacityAdjustment,3))),0)</f>
        <v>#VALUE!</v>
      </c>
      <c r="FT139" s="1566" t="e">
        <f aca="false">IF(AND(Assumptions!$H$71="Yes",A139&gt;=Assumptions!$H$72,A139&lt;=Assumptions!$H$73),0,IF(AND($A139&gt;=Assumptions!$C$17,$A139&lt;=Assumptions!$C$18),MAX(AZ139*(1+VLOOKUP($C139,WeatherCapacityAdjustment,2))-FL139,0),0))</f>
        <v>#VALUE!</v>
      </c>
      <c r="FU139" s="1551" t="e">
        <f aca="false">IF(AND(Assumptions!$H$71="Yes",A139&gt;=Assumptions!$H$72,A139&lt;=Assumptions!$H$73),0,IF(AND($A139&gt;=Assumptions!$C$17,$A139&lt;=Assumptions!$C$18),MAX(BA139*(1+VLOOKUP($C139,WeatherCapacityAdjustment,2))-FM139,0),0))</f>
        <v>#VALUE!</v>
      </c>
      <c r="FV139" s="1551" t="e">
        <f aca="false">IF(AND(Assumptions!$H$71="Yes",A139&gt;=Assumptions!$H$72,A139&lt;=Assumptions!$H$73),0,IF(AND($A139&gt;=Assumptions!$C$17,$A139&lt;=Assumptions!$C$18),MAX(BB139*(1+VLOOKUP($C139,WeatherCapacityAdjustment,2))-FN139,0),0))</f>
        <v>#VALUE!</v>
      </c>
      <c r="FW139" s="1564" t="e">
        <f aca="false">IF(AND(Assumptions!$H$71="Yes",A139&gt;=Assumptions!$H$72,A139&lt;=Assumptions!$H$73),0,IF(AND($A139&gt;=Assumptions!$C$17,$A139&lt;=Assumptions!$C$18),MAX(BC139*(1+VLOOKUP($C139,WeatherCapacityAdjustment,3))-FO139,0),0))</f>
        <v>#VALUE!</v>
      </c>
      <c r="FX139" s="1569" t="e">
        <f aca="false">IF(AND(Assumptions!$H$71="Yes",A139&gt;=Assumptions!$H$72,A139&lt;=Assumptions!$H$73),0,IF(ET139&gt;0,MAX(BH139*(1+VLOOKUP($C139,WeatherCapacityAdjustment,2))-FP139,0),0))</f>
        <v>#VALUE!</v>
      </c>
      <c r="FY139" s="1551" t="e">
        <f aca="false">IF(AND(Assumptions!$H$71="Yes",A139&gt;=Assumptions!$H$72,A139&lt;=Assumptions!$H$73),0,IF(EU139&gt;0,MAX(BI139*(1+VLOOKUP($C139,WeatherCapacityAdjustment,3))-FQ139,0),0))</f>
        <v>#VALUE!</v>
      </c>
      <c r="FZ139" s="1551" t="e">
        <f aca="false">IF(AND(Assumptions!$H$71="Yes",A139&gt;=Assumptions!$H$72,A139&lt;=Assumptions!$H$73),0,IF(EV139&gt;0,MAX(BJ139*(1+VLOOKUP($C139,WeatherCapacityAdjustment,2))-FR139,0),0))</f>
        <v>#VALUE!</v>
      </c>
      <c r="GA139" s="1564" t="e">
        <f aca="false">IF(AND(Assumptions!$H$71="Yes",A139&gt;=Assumptions!$H$72,A139&lt;=Assumptions!$H$73),0,IF(EW139&gt;0,MAX(BK139*(1+VLOOKUP($C139,WeatherCapacityAdjustment,2))-FS139,0),0))</f>
        <v>#VALUE!</v>
      </c>
      <c r="GB139" s="1551" t="e">
        <f aca="false">SUM(FT139:GA139)</f>
        <v>#VALUE!</v>
      </c>
      <c r="GC139" s="1563" t="e">
        <f aca="false">+IF(SUM(FT139:GA139)=0,0,(SUMPRODUCT(BU139:BX139,FT139:FW139)+SUMPRODUCT(CA139:CD139,FX139:GA139))/SUM(FT139:GA139))</f>
        <v>#VALUE!</v>
      </c>
      <c r="GD139" s="1551" t="e">
        <f aca="false">(FT139*BU139+FX139*CA139+FU139*BV139+FY139*CB139+FV139*BW139+FZ139*CC139+FW139*BX139+GA139*CD139)</f>
        <v>#VALUE!</v>
      </c>
      <c r="GE139" s="1561" t="e">
        <f aca="false">+IF(BQ139,((FL139+FM139+FT139+FU139)*HeatRatePeak/1000*(1+VLOOKUP($C139,WeatherHeatRateAdjustment,2))+(FN139+FV139)*IF(EV139&gt;0,HeatRatePeak,HeatRateOffPeak)/1000*(1+VLOOKUP($C139,WeatherHeatRateAdjustment,2))+(FO139+FW139)*IF(EW139&gt;0,HeatRatePeak,HeatRateOffPeak)/1000*(1+VLOOKUP($C139,WeatherHeatRateAdjustment,3)))*(1+VLOOKUP($B139,HeatRateDegradation,$C139+1)),0)</f>
        <v>#VALUE!</v>
      </c>
      <c r="GF139" s="1562" t="e">
        <f aca="false">IF(BQ139,((FP139+FQ139+FR139+FX139+FY139+FZ139)*HeatRatePeak/1000*(1+VLOOKUP($C139,WeatherHeatRateAdjustment,2))+(FS139+GA139)*HeatRatePeak/1000*(1+VLOOKUP($C139,WeatherHeatRateAdjustment,3)))*(1+VLOOKUP($B139,HeatRateDegradation,$C139+1)),0)</f>
        <v>#VALUE!</v>
      </c>
      <c r="GG139" s="1563" t="e">
        <f aca="false">IF(BQ139,VLOOKUP(A139,GasTable,13),0)</f>
        <v>#VALUE!</v>
      </c>
      <c r="GH139" s="1564" t="e">
        <f aca="false">(GE139+GF139)*GG139</f>
        <v>#VALUE!</v>
      </c>
      <c r="GI139" s="1569" t="e">
        <f aca="false">GB139</f>
        <v>#VALUE!</v>
      </c>
      <c r="GJ139" s="1598" t="e">
        <f aca="false">+DA139</f>
        <v>#VALUE!</v>
      </c>
      <c r="GK139" s="1558" t="e">
        <f aca="false">+GI139*GJ139</f>
        <v>#VALUE!</v>
      </c>
      <c r="GL139" s="1566" t="e">
        <f aca="false">MAX(FE139-FL139-FP139,0)</f>
        <v>#VALUE!</v>
      </c>
      <c r="GM139" s="1551" t="e">
        <f aca="false">MAX(FF139-FM139-FQ139,0)</f>
        <v>#VALUE!</v>
      </c>
      <c r="GN139" s="1551" t="e">
        <f aca="false">MAX(FG139-FN139-FR139,0)</f>
        <v>#VALUE!</v>
      </c>
      <c r="GO139" s="1564" t="e">
        <f aca="false">MAX(FH139-FO139-FS139,0)</f>
        <v>#VALUE!</v>
      </c>
      <c r="GP139" s="1551" t="e">
        <f aca="false">SUM(GL139:GO139)</f>
        <v>#VALUE!</v>
      </c>
      <c r="GQ139" s="1563" t="e">
        <f aca="false">IF(SUM(GL139:GO139)=0,0,((GL139*BU139+GM139*BV139+GN139*BW139+GO139*BX139)/SUM(GL139:GO139)))</f>
        <v>#VALUE!</v>
      </c>
      <c r="GR139" s="1558" t="e">
        <f aca="false">(GL139*BU139+GM139*BV139+GN139*BW139+GO139*BX139)</f>
        <v>#VALUE!</v>
      </c>
      <c r="GS139" s="1566" t="n">
        <f aca="false">IF($A139&gt;=BegDate,Assumptions!$C$56*24*($A140-$A139)*(1-VLOOKUP($B139,MAIN!$AA$7:$AM$28,$C139+1))*(1-VLOOKUP($B139,MAIN!$AA$33:$AM$54,$C139+1)),0)*80/168</f>
        <v>257742.857142857</v>
      </c>
      <c r="GT139" s="286" t="n">
        <f aca="false">J139</f>
        <v>60.9736132903698</v>
      </c>
      <c r="GU139" s="286" t="n">
        <f aca="false">IF($A139&gt;=BegDate,VLOOKUP($A139,GasTable,13)+Assumptions!$C$58,0)</f>
        <v>2.80369928835048</v>
      </c>
      <c r="GV139" s="286" t="n">
        <f aca="false">GU139*Assumptions!$C$57/1000</f>
        <v>20.3268198405409</v>
      </c>
      <c r="GW139" s="1558" t="n">
        <f aca="false">IF(Assumptions!$C$60="Hourly",MAX(0,GS139*(GT139-GV139)),GS139*(GT139-GV139))</f>
        <v>10476420.6774545</v>
      </c>
      <c r="GX139" s="1566" t="n">
        <f aca="false">IF($A139&gt;=BegDate,Assumptions!$C$56*24*($A140-$A139)*(1-VLOOKUP($B139,MAIN!$AA$7:$AM$28,$C139+1))*(1-VLOOKUP($B139,MAIN!$AA$33:$AM$54,$C139+1)),0)*16/168</f>
        <v>51548.5714285714</v>
      </c>
      <c r="GY139" s="286" t="n">
        <f aca="false">M139</f>
        <v>60.9736132903698</v>
      </c>
      <c r="GZ139" s="286" t="n">
        <f aca="false">IF($A139&gt;=BegDate,VLOOKUP($A139,GasTable,13)+Assumptions!$C$58,0)</f>
        <v>2.80369928835048</v>
      </c>
      <c r="HA139" s="286" t="n">
        <f aca="false">GZ139*Assumptions!$C$57/1000</f>
        <v>20.3268198405409</v>
      </c>
      <c r="HB139" s="1558" t="n">
        <f aca="false">IF(Assumptions!$C$60="Hourly",MAX(0,GX139*(GY139-HA139)),GX139*(GY139-HA139))</f>
        <v>2095284.13549089</v>
      </c>
      <c r="HC139" s="1566" t="n">
        <f aca="false">IF($A139&gt;=BegDate,Assumptions!$C$56*24*($A140-$A139)*(1-VLOOKUP($B139,MAIN!$AA$7:$AM$28,$C139+1))*(1-VLOOKUP($B139,MAIN!$AA$33:$AM$54,$C139+1)),0)*16/168</f>
        <v>51548.5714285714</v>
      </c>
      <c r="HD139" s="286" t="n">
        <f aca="false">P139</f>
        <v>28.1774217165048</v>
      </c>
      <c r="HE139" s="286" t="n">
        <f aca="false">IF($A139&gt;=BegDate,VLOOKUP($A139,GasTable,13)+Assumptions!$C$58,0)</f>
        <v>2.80369928835048</v>
      </c>
      <c r="HF139" s="286" t="n">
        <f aca="false">HE139*Assumptions!$C$57/1000</f>
        <v>20.3268198405409</v>
      </c>
      <c r="HG139" s="1558" t="n">
        <f aca="false">IF(Assumptions!$C$60="Hourly",MAX(0,HC139*(HD139-HF139)),HC139*(HD139-HF139))</f>
        <v>404687.311560401</v>
      </c>
      <c r="HH139" s="1566" t="n">
        <f aca="false">IF($A139&gt;=BegDate,Assumptions!$C$56*24*($A140-$A139)*(1-VLOOKUP($B139,MAIN!$AA$7:$AM$28,$C139+1))*(1-VLOOKUP($B139,MAIN!$AA$33:$AM$54,$C139+1)),0)*56/168</f>
        <v>180420</v>
      </c>
      <c r="HI139" s="286" t="n">
        <f aca="false">S139</f>
        <v>28.1774217165048</v>
      </c>
      <c r="HJ139" s="286" t="n">
        <f aca="false">IF($A139&gt;=BegDate,VLOOKUP($A139,GasTable,13)+Assumptions!$C$58,0)</f>
        <v>2.80369928835048</v>
      </c>
      <c r="HK139" s="286" t="n">
        <f aca="false">HJ139*Assumptions!$C$57/1000</f>
        <v>20.3268198405409</v>
      </c>
      <c r="HL139" s="1558" t="n">
        <f aca="false">IF(Assumptions!$C$60="Hourly",MAX(0,HH139*(HI139-HK139)),HH139*(HI139-HK139))</f>
        <v>1416405.5904614</v>
      </c>
      <c r="HM139" s="1566" t="n">
        <f aca="false">IF(AND(Assumptions!$H$71="Yes",A139&gt;=Assumptions!$H$72,A139&lt;=Assumptions!$H$73),Assumptions!$H$74*Assumptions!$C$9*1000,0)</f>
        <v>0</v>
      </c>
      <c r="HN139" s="1551"/>
      <c r="HO139" s="1563"/>
      <c r="HP139" s="1563"/>
      <c r="HQ139" s="1563"/>
      <c r="HR139" s="1563"/>
      <c r="HS139" s="1563"/>
      <c r="HT139" s="1563"/>
      <c r="HU139" s="1563"/>
      <c r="HV139" s="1563"/>
      <c r="HW139" s="1563"/>
      <c r="HX139" s="1563"/>
      <c r="HY139" s="1563"/>
      <c r="HZ139" s="1563"/>
      <c r="IA139" s="1563"/>
      <c r="IB139" s="1563"/>
      <c r="IC139" s="1563"/>
      <c r="ID139" s="1563"/>
      <c r="IE139" s="1563"/>
      <c r="IF139" s="1563"/>
      <c r="IG139" s="1563"/>
      <c r="IH139" s="1563"/>
      <c r="II139" s="1610"/>
      <c r="IJ139" s="1309"/>
      <c r="IK139" s="1309"/>
    </row>
    <row r="140" customFormat="false" ht="12.75" hidden="false" customHeight="false" outlineLevel="0" collapsed="false">
      <c r="A140" s="1571" t="n">
        <f aca="false">EOMONTH(A139,0)+1</f>
        <v>40391</v>
      </c>
      <c r="B140" s="594" t="n">
        <f aca="false">+YEAR(A140)</f>
        <v>2010</v>
      </c>
      <c r="C140" s="238" t="n">
        <f aca="false">MONTH(A140)</f>
        <v>8</v>
      </c>
      <c r="D140" s="1572" t="e">
        <f aca="false">IF(E140="","",Holiday(B140,C140))</f>
        <v>#VALUE!</v>
      </c>
      <c r="E140" s="1573" t="n">
        <f aca="false">IF(OR(BegDate&gt;=A141,EndDate&lt;A140,AND(VolumeMonthlyOverFlag,INDEX(VolumeMonthlyOver,C140)=0),NOT(INDEX(MonthKnockOutTable,C140))),"",MAX(A140,BegDate))</f>
        <v>40391</v>
      </c>
      <c r="F140" s="1574" t="n">
        <f aca="false">IF(E140="","",MIN(A141-1,EndDate))</f>
        <v>40421</v>
      </c>
      <c r="G140" s="1575" t="n">
        <v>0</v>
      </c>
      <c r="H140" s="1576" t="n">
        <f aca="false">(1+G140/2)^(-2*(DATE(B141,C141,20)-DateToday)/365.25)</f>
        <v>1</v>
      </c>
      <c r="I140" s="1568" t="n">
        <f aca="false">IF(Assumptions!$L$25=4,VLOOKUP($A140,'Henwood Reference'!$E$9:$R$320,10),(VLOOKUP($A140,PriceTable,2,0)+IF(BasisNumber&lt;&gt;1,VLOOKUP($A140,BasisTable,2,0),0)+I$1)/(1-I$2))</f>
        <v>112.331067199169</v>
      </c>
      <c r="J140" s="1568" t="n">
        <f aca="false">IF(Assumptions!$L$25=4,VLOOKUP($A140,'Henwood Reference'!$E$9:$R$320,10),(VLOOKUP($A140,PriceTable,3,0)+IF(BasisNumber&lt;&gt;1,VLOOKUP($A140,BasisTable,2,0),0)+J$1)/(1-J$2))</f>
        <v>112.331067199169</v>
      </c>
      <c r="K140" s="1568" t="n">
        <f aca="false">IF(Assumptions!$L$25=4,VLOOKUP($A140,'Henwood Reference'!$E$9:$R$320,10),(VLOOKUP($A140,PriceTable,4,0)+IF(BasisNumber&lt;&gt;1,VLOOKUP($A140,BasisTable,2,0),0)+K$1)/(1-K$2))</f>
        <v>112.331067199169</v>
      </c>
      <c r="L140" s="1523" t="n">
        <f aca="false">IF(Assumptions!$L$25=4,VLOOKUP($A140,'Henwood Reference'!$E$9:$R$320,10),(VLOOKUP($A140,PriceTableWeekend,2,0)+IF(BasisNumber&lt;&gt;1,VLOOKUP($A140,BasisTable,2,0),0)+L$1)/(1-L$2))</f>
        <v>112.331067199169</v>
      </c>
      <c r="M140" s="1568" t="n">
        <f aca="false">IF(Assumptions!$L$25=4,VLOOKUP($A140,'Henwood Reference'!$E$9:$R$320,10),(VLOOKUP($A140,PriceTableWeekend,3,0)+IF(BasisNumber&lt;&gt;1,VLOOKUP($A140,BasisTable,2,0),0)+M$1)/(1-M$2))</f>
        <v>112.331067199169</v>
      </c>
      <c r="N140" s="1599" t="n">
        <f aca="false">IF(Assumptions!$L$25=4,VLOOKUP($A140,'Henwood Reference'!$E$9:$R$320,10),(VLOOKUP($A140,PriceTableWeekend,4,0)+IF(BasisNumber&lt;&gt;1,VLOOKUP($A140,BasisTable,2,0),0)+N$1)/(1-N$2))</f>
        <v>112.331067199169</v>
      </c>
      <c r="O140" s="1568" t="n">
        <f aca="false">IF(Assumptions!$L$25=4,VLOOKUP($A140,'Henwood Reference'!$E$9:$R$320,11),(VLOOKUP($A140,PriceTableWeekend,6,0)+IF(BasisNumber&lt;&gt;1,VLOOKUP($A140,BasisTable,3,0),0)+O$1)/(1-O$2))</f>
        <v>34.2097375032909</v>
      </c>
      <c r="P140" s="1568" t="n">
        <f aca="false">IF(Assumptions!$L$25=4,VLOOKUP($A140,'Henwood Reference'!$E$9:$R$320,11),(VLOOKUP($A140,PriceTableWeekend,7,0)+IF(BasisNumber&lt;&gt;1,VLOOKUP($A140,BasisTable,3,0),0)+P$1)/(1-P$2))</f>
        <v>34.2097375032909</v>
      </c>
      <c r="Q140" s="1599" t="n">
        <f aca="false">IF(Assumptions!$L$25=4,VLOOKUP($A140,'Henwood Reference'!$E$9:$R$320,11),(VLOOKUP($A140,PriceTableWeekend,8,0)+IF(BasisNumber&lt;&gt;1,VLOOKUP($A140,BasisTable,3,0),0)+Q$1)/(1-Q$2))</f>
        <v>34.2097375032909</v>
      </c>
      <c r="R140" s="1568" t="n">
        <f aca="false">IF(Assumptions!$L$25=4,VLOOKUP($A140,'Henwood Reference'!$E$9:$R$320,11),(VLOOKUP($A140,PriceTable,6,0)+IF(BasisNumber&lt;&gt;1,VLOOKUP($A140,BasisTable,3,0),0)+R$1)/(1-R$2))</f>
        <v>34.2097375032909</v>
      </c>
      <c r="S140" s="1568" t="n">
        <f aca="false">IF(Assumptions!$L$25=4,VLOOKUP($A140,'Henwood Reference'!$E$9:$R$320,11),(VLOOKUP($A140,PriceTable,7,0)+IF(BasisNumber&lt;&gt;1,VLOOKUP($A140,BasisTable,3,0),0)+S$1)/(1-S$2))</f>
        <v>34.2097375032909</v>
      </c>
      <c r="T140" s="1600" t="n">
        <f aca="false">IF(Assumptions!$L$25=4,VLOOKUP($A140,'Henwood Reference'!$E$9:$R$320,11),(VLOOKUP($A140,PriceTable,8,0)+IF(BasisNumber&lt;&gt;1,VLOOKUP($A140,BasisTable,3,0),0)+T$1)/(1-T$2))</f>
        <v>34.2097375032909</v>
      </c>
      <c r="U140" s="1513" t="n">
        <f aca="false">VLOOKUP($A140,VolatilityTable,14)</f>
        <v>0.12</v>
      </c>
      <c r="V140" s="1513" t="n">
        <f aca="false">VLOOKUP($A140,VolatilityTable,15)</f>
        <v>0.13</v>
      </c>
      <c r="W140" s="1514" t="n">
        <f aca="false">VLOOKUP($A140,VolatilityTable,16)</f>
        <v>0.14</v>
      </c>
      <c r="X140" s="1513" t="n">
        <f aca="false">VLOOKUP($A140,VolatilityTable,14)</f>
        <v>0.12</v>
      </c>
      <c r="Y140" s="1513" t="n">
        <f aca="false">VLOOKUP($A140,VolatilityTable,15)</f>
        <v>0.13</v>
      </c>
      <c r="Z140" s="1514" t="n">
        <f aca="false">VLOOKUP($A140,VolatilityTable,16)</f>
        <v>0.14</v>
      </c>
      <c r="AA140" s="1513" t="n">
        <f aca="false">VLOOKUP($A140,VolatilityTable,18)</f>
        <v>0.09</v>
      </c>
      <c r="AB140" s="1513" t="n">
        <f aca="false">VLOOKUP($A140,VolatilityTable,19)</f>
        <v>0.11</v>
      </c>
      <c r="AC140" s="1514" t="n">
        <f aca="false">VLOOKUP($A140,VolatilityTable,20)</f>
        <v>0.13</v>
      </c>
      <c r="AD140" s="1513" t="n">
        <f aca="false">VLOOKUP($A140,VolatilityTable,18)</f>
        <v>0.09</v>
      </c>
      <c r="AE140" s="1513" t="n">
        <f aca="false">VLOOKUP($A140,VolatilityTable,19)</f>
        <v>0.11</v>
      </c>
      <c r="AF140" s="1514" t="n">
        <f aca="false">VLOOKUP($A140,VolatilityTable,20)</f>
        <v>0.13</v>
      </c>
      <c r="AG140" s="1513" t="n">
        <f aca="false">VLOOKUP($A140,VolatilityTable,22)</f>
        <v>-0.35</v>
      </c>
      <c r="AH140" s="1513" t="n">
        <f aca="false">VLOOKUP($A140,VolatilityTable,23)</f>
        <v>3</v>
      </c>
      <c r="AI140" s="1514" t="n">
        <f aca="false">VLOOKUP($A140,VolatilityTable,24)</f>
        <v>0.35</v>
      </c>
      <c r="AJ140" s="1513" t="n">
        <f aca="false">VLOOKUP($A140,VolatilityTable,22)</f>
        <v>-0.35</v>
      </c>
      <c r="AK140" s="1513" t="n">
        <f aca="false">VLOOKUP($A140,VolatilityTable,23)</f>
        <v>3</v>
      </c>
      <c r="AL140" s="1514" t="n">
        <f aca="false">VLOOKUP($A140,VolatilityTable,24)</f>
        <v>0.35</v>
      </c>
      <c r="AM140" s="1513" t="n">
        <f aca="false">VLOOKUP($A140,VolatilityTable,26)</f>
        <v>-0.01</v>
      </c>
      <c r="AN140" s="1513" t="n">
        <f aca="false">VLOOKUP($A140,VolatilityTable,27)</f>
        <v>0.16</v>
      </c>
      <c r="AO140" s="1514" t="n">
        <f aca="false">VLOOKUP($A140,VolatilityTable,28)</f>
        <v>0.01</v>
      </c>
      <c r="AP140" s="1513" t="n">
        <f aca="false">VLOOKUP($A140,VolatilityTable,26)</f>
        <v>-0.01</v>
      </c>
      <c r="AQ140" s="1513" t="n">
        <f aca="false">VLOOKUP($A140,VolatilityTable,27)</f>
        <v>0.16</v>
      </c>
      <c r="AR140" s="1515" t="n">
        <f aca="false">VLOOKUP($A140,VolatilityTable,28)</f>
        <v>0.01</v>
      </c>
      <c r="AS140" s="1581" t="n">
        <f aca="false">IF(CorrPeakOffPeakOverFlag,INDEX(CorrPeakOffPeakOver,C140),CorrPeakOffPeak)</f>
        <v>0.5</v>
      </c>
      <c r="AT140" s="594" t="e">
        <f aca="false">AX140-SUM(AU140:AW140)</f>
        <v>#VALUE!</v>
      </c>
      <c r="AU140" s="238" t="e">
        <f aca="false">IF(E140="",0,INT((F140-MOD(F140,7)-E140)/7)+1-IF(AW140,IF(WEEKDAY(D140)=7,1,0),0))</f>
        <v>#VALUE!</v>
      </c>
      <c r="AV140" s="238" t="e">
        <f aca="false">IF(E140="",0,INT((F140-MOD(F140-1,7)-E140)/7)+1-IF(AW140,IF(WEEKDAY(D140)=1,1,0),0))</f>
        <v>#VALUE!</v>
      </c>
      <c r="AW140" s="238" t="e">
        <f aca="false">IF(OR(E140="",D140="",D140&lt;BegDate,D140&gt;EndDate),0,1)</f>
        <v>#VALUE!</v>
      </c>
      <c r="AX140" s="238" t="n">
        <f aca="false">IF(E140="",0,F140-E140+1)</f>
        <v>31</v>
      </c>
      <c r="AY140" s="1582" t="n">
        <f aca="false">IF(E140="",0,MIN((1-(1-VLOOKUP(B140,MAIN!$AA$7:$AM$28,C140+1))*(1-VLOOKUP(B140,MAIN!$AA$33:$AM$54,C140+1))),1))</f>
        <v>0.03</v>
      </c>
      <c r="AZ140" s="1519" t="e">
        <v>#VALUE!</v>
      </c>
      <c r="BA140" s="1520" t="e">
        <v>#VALUE!</v>
      </c>
      <c r="BB140" s="1520" t="e">
        <v>#VALUE!</v>
      </c>
      <c r="BC140" s="1583" t="e">
        <v>#VALUE!</v>
      </c>
      <c r="BD140" s="1522" t="e">
        <v>#VALUE!</v>
      </c>
      <c r="BE140" s="1523" t="e">
        <v>#VALUE!</v>
      </c>
      <c r="BF140" s="1523" t="e">
        <v>#VALUE!</v>
      </c>
      <c r="BG140" s="1584" t="e">
        <v>#VALUE!</v>
      </c>
      <c r="BH140" s="1525" t="e">
        <v>#VALUE!</v>
      </c>
      <c r="BI140" s="1520" t="e">
        <v>#VALUE!</v>
      </c>
      <c r="BJ140" s="1520" t="e">
        <v>#VALUE!</v>
      </c>
      <c r="BK140" s="1583" t="e">
        <v>#VALUE!</v>
      </c>
      <c r="BL140" s="1522" t="e">
        <v>#VALUE!</v>
      </c>
      <c r="BM140" s="1523" t="e">
        <v>#VALUE!</v>
      </c>
      <c r="BN140" s="1523" t="e">
        <v>#VALUE!</v>
      </c>
      <c r="BO140" s="1523" t="e">
        <v>#VALUE!</v>
      </c>
      <c r="BP140" s="1525" t="e">
        <f aca="false">SUM(AZ140:BB140)</f>
        <v>#VALUE!</v>
      </c>
      <c r="BQ140" s="1529" t="e">
        <f aca="false">SUM(AZ140:BC140)</f>
        <v>#VALUE!</v>
      </c>
      <c r="BR140" s="1519" t="e">
        <f aca="false">SUM(BH140:BJ140)</f>
        <v>#VALUE!</v>
      </c>
      <c r="BS140" s="1529" t="e">
        <f aca="false">SUM(BH140:BK140)</f>
        <v>#VALUE!</v>
      </c>
      <c r="BT140" s="1316" t="n">
        <f aca="false">(IF(OVolType&lt;&gt;2,A140+14,IF(OptExpDateShift,ShiftBack(A140,OptExpDateShift,D139),A140))-DateToday)/365.25</f>
        <v>10.2970568104038</v>
      </c>
      <c r="BU140" s="1585" t="e">
        <f aca="false">IF(BQ140,IF(OPriceCurve,IF(OBuySell=OCallPut,I140/(1-AY140),K140/(1-AY140)),J140/(1-AY140))*BD140,0)</f>
        <v>#VALUE!</v>
      </c>
      <c r="BV140" s="1316" t="e">
        <f aca="false">IF(BQ140,IF(OPriceCurve,IF(OBuySell=OCallPut,L140/(1-AY140),N140/(1-AY140)),M140/(1-AY140))*BE140,0)</f>
        <v>#VALUE!</v>
      </c>
      <c r="BW140" s="1316" t="e">
        <f aca="false">IF(BQ140,IF(OPriceCurve,IF(OBuySell=OCallPut,O140/(1-AY140),Q140/(1-AY140)),P140/(1-AY140))*BF140,0)</f>
        <v>#VALUE!</v>
      </c>
      <c r="BX140" s="1316" t="e">
        <f aca="false">IF(BQ140,IF(OPriceCurve,IF(OBuySell=OCallPut,R140/(1-AY140),T140/(1-AY140)),S140/(1-AY140))*BG140,0)</f>
        <v>#VALUE!</v>
      </c>
      <c r="BY140" s="1316" t="e">
        <f aca="false">IF(BP140,(BU140*AZ140+BV140*BA140+BW140*BB140)/BP140,0)</f>
        <v>#VALUE!</v>
      </c>
      <c r="BZ140" s="1316" t="e">
        <f aca="false">IF(BQ140,(BY140*BP140+BX140*BC140)/BQ140,0)</f>
        <v>#VALUE!</v>
      </c>
      <c r="CA140" s="1531" t="e">
        <f aca="false">IF(BS140,IF(OPriceCurve,IF(OBuySell=OCallPut,I140/(1-AY140),K140/(1-AY140)),J140/(1-AY140))*BL140,0)</f>
        <v>#VALUE!</v>
      </c>
      <c r="CB140" s="1316" t="e">
        <f aca="false">IF(BS140,IF(OPriceCurve,IF(OBuySell=OCallPut,L140/(1-AY140),N140/(1-AY140)),M140/(1-AY140))*BM140,0)</f>
        <v>#VALUE!</v>
      </c>
      <c r="CC140" s="1316" t="e">
        <f aca="false">IF(BS140,IF(OPriceCurve,IF(OBuySell=OCallPut,O140/(1-AY140),Q140/(1-AY140)),P140/(1-AY140))*BN140,0)</f>
        <v>#VALUE!</v>
      </c>
      <c r="CD140" s="1316" t="e">
        <f aca="false">IF(BS140,IF(OPriceCurve,IF(OBuySell=OCallPut,R140/(1-AY140),T140/(1-AY140)),S140/(1-AY140))*BO140,0)</f>
        <v>#VALUE!</v>
      </c>
      <c r="CE140" s="1316" t="e">
        <f aca="false">IF(BR140,(BU140*BH140+BV140*BI140+BW140*BJ140)/BR140,0)</f>
        <v>#VALUE!</v>
      </c>
      <c r="CF140" s="1532" t="e">
        <f aca="false">IF(BS140,(CE140*BR140+CD140*BK140)/BS140,0)</f>
        <v>#VALUE!</v>
      </c>
      <c r="CG140" s="1586" t="e">
        <f aca="false">IF(OR(BQ140,BS140),IF(OVolType&lt;&gt;2,SQRT(IF(OVolOverMonthlyPeak,OVolOverMonthlyPeak,IF(OVolCurve,IF(OBuySell,U140,W140),V140))^2*(1-15/365.25/BT140)+IF(OVolOverDailyPeak,OVolOverDailyPeak,IF(OVolCurve,IF(OBuySell,AG140,AI140),AH140))^2*15/365.25/BT140),IF(OVolOverMonthlyPeak,OVolOverMonthlyPeak,IF(OVolCurve,IF(OBuySell,U140,W140),V140))),"")</f>
        <v>#VALUE!</v>
      </c>
      <c r="CH140" s="1587" t="e">
        <f aca="false">IF(OR(BQ140,BS140),IF(OVolType&lt;&gt;2,SQRT(IF(OVolOverMonthlyPeak,OVolOverMonthlyPeak,IF(OVolCurve,IF(OBuySell,X140,Z140),Y140))^2*(1-15/365.25/BT140)+IF(OVolOverDailyPeak,OVolOverDailyPeak,IF(OVolCurve,IF(OBuySell,AJ140,AL140),AK140))^2*15/365.25/BT140),IF(OVolOverMonthlyPeak,OVolOverMonthlyPeak,IF(OVolCurve,IF(OBuySell,X140,Z140),Y140))),"")</f>
        <v>#VALUE!</v>
      </c>
      <c r="CI140" s="1587" t="e">
        <f aca="false">IF(OR(BQ140,BS140),IF(OVolType&lt;&gt;2,SQRT(IF(OVolOverMonthlyPeak,OVolOverMonthlyPeak,IF(OVolCurve,IF(OBuySell,AA140,AC140),AB140))^2*(1-15/365.25/BT140)+IF(OVolOverDailyPeak,OVolOverDailyPeak,IF(OVolCurve,IF(OBuySell,AM140,AO140),AN140))^2*15/365.25/BT140),IF(OVolOverMonthlyPeak,OVolOverMonthlyPeak,IF(OVolCurve,IF(OBuySell,AA140,AC140),AB140))),"")</f>
        <v>#VALUE!</v>
      </c>
      <c r="CJ140" s="1587" t="e">
        <f aca="false">IF(BQ140,IF(BP140,SQRT(LN(1+((BU140*AZ140)^2*(EXP(CG140^2*BT140)-1)+(BV140*BA140)^2*(EXP(CH140^2*BT140)-1)+(BW140*BB140)^2*(EXP(CI140^2*BT140)-1)+2*BU140*AZ140*BV140*BA140*(EXP(CG140*CH140*BT140)-1)+2*BV140*BA140*BW140*BB140*(EXP(CH140*CI140*BT140)-1)+2*BW140*BB140*BU140*AZ140*(EXP(CI140*CG140*BT140)-1))/(BY140*BP140)^2)/BT140),0),"")</f>
        <v>#VALUE!</v>
      </c>
      <c r="CK140" s="1587" t="e">
        <f aca="false">IF(BS140,IF(BR140,SQRT(LN(1+((CA140*BH140)^2*(EXP(CG140^2*BT140)-1)+(CB140*BI140)^2*(EXP(CH140^2*BT140)-1)+(CC140*BJ140)^2*(EXP(CI140^2*BT140)-1)+2*CA140*BH140*CB140*BI140*(EXP(CG140*CH140*BT140)-1)+2*CB140*BI140*CC140*BJ140*(EXP(CH140*CI140*BT140)-1)+2*CC140*BJ140*CA140*BH140*(EXP(CI140*CG140*BT140)-1))/(CE140*BR140)^2)/BT140),0),"")</f>
        <v>#VALUE!</v>
      </c>
      <c r="CL140" s="1587" t="e">
        <f aca="false">IF(OR(BQ140,BS140),IF(OVolType&lt;&gt;2,SQRT(IF(OVolOverMonthlyOffPeak,OVolOverMonthlyOffPeak,IF(OVolCurve,IF(OBuySell,AD140,AF140),AE140))^2*(1-15/365.25/BT140)+IF(OVolOverDailyOffPeak,OVolOverDailyOffPeak,IF(OVolCurve,IF(OBuySell,AP140,AR140),AQ140))^2*15/365.25/BT140),IF(OVolOverMonthlyOffPeak,OVolOverMonthlyOffPeak,IF(OVolCurve,IF(OBuySell,AD140,AF140),AE140))),"")</f>
        <v>#VALUE!</v>
      </c>
      <c r="CM140" s="1587" t="e">
        <f aca="false">IF(BQ140,SQRT(LN(1+((BY140*BP140)^2*(EXP(CJ140^2*BT140)-1)+(BX140*BC140)^2*(EXP(CL140^2*BT140)-1)+2*BY140*BP140*BX140*BC140*(EXP(AS140*CJ140*CL140*BT140)-1))/(BY140*BP140+BX140*BC140)^2)/BT140),"")</f>
        <v>#VALUE!</v>
      </c>
      <c r="CN140" s="1588" t="e">
        <f aca="false">IF(BS140,SQRT(LN(1+((CE140*BR140)^2*(EXP(CK140^2*BT140)-1)+(CD140*BK140)^2*(EXP(CL140^2*BT140)-1)+2*CE140*BR140*CD140*BK140*(EXP(AS140*CK140*CL140*BT140)-1))/(CE140*BR140+CD140*BK140)^2)/BT140),"")</f>
        <v>#VALUE!</v>
      </c>
      <c r="CO140" s="1531" t="e">
        <f aca="false">IF(OR(BQ140,BS140),VLOOKUP(A140,GasTable,13)*HeatRatePeak*(1+VLOOKUP($B140,HeatRateDegradation,$C140+1))/1000,0)</f>
        <v>#VALUE!</v>
      </c>
      <c r="CP140" s="1316" t="e">
        <f aca="false">IF(OR(BQ140,BS140),VLOOKUP(A140,GasTable,13)*HeatRatePeak*(1+VLOOKUP($B140,HeatRateDegradation,$C140+1))/1000,0)</f>
        <v>#VALUE!</v>
      </c>
      <c r="CQ140" s="1316" t="e">
        <f aca="false">IF(OR(BQ140,BS140),VLOOKUP(A140,GasTable,13)*IF(EV140,HeatRatePeak,HeatRateOffPeak)*(1+VLOOKUP($B140,HeatRateDegradation,$C140+1))/1000,0)</f>
        <v>#VALUE!</v>
      </c>
      <c r="CR140" s="1316" t="e">
        <f aca="false">IF(OR(BQ140,BS140),VLOOKUP(A140,GasTable,13)*IF(EW140,HeatRatePeak,HeatRateOffPeak)*(1+VLOOKUP($B140,HeatRateDegradation,$C140+1))/1000,0)</f>
        <v>#VALUE!</v>
      </c>
      <c r="CS140" s="1589" t="e">
        <f aca="false">IF(BQ140,(CO140*AZ140+CP140*BA140+CQ140*BB140+CR140*BC140)/BQ140,0)</f>
        <v>#VALUE!</v>
      </c>
      <c r="CT140" s="1316" t="e">
        <f aca="false">IF(BS140,CO140,0)</f>
        <v>#VALUE!</v>
      </c>
      <c r="CU140" s="1590" t="e">
        <f aca="false">IF(OR(BQ140,BS140),VLOOKUP(A140,GasTable,14),"")</f>
        <v>#VALUE!</v>
      </c>
      <c r="CV140" s="1568" t="e">
        <f aca="false">IF(OR(BQ140,BS140),IF(CorrPowerGasOverFlag,INDEX(CorrPowerGasOver,C140),CorrPowerGas),"")</f>
        <v>#VALUE!</v>
      </c>
      <c r="CW140" s="1316" t="e">
        <f aca="false">IF(OR($BQ140,$BS140),SpreadOptPowerMargin,0)*((1+Assumptions!$C$26)^($B140-YEAR(Assumptions!$C$17)))</f>
        <v>#VALUE!</v>
      </c>
      <c r="CX140" s="1316" t="e">
        <f aca="false">IF(OR($BQ140,$BS140),SpreadOptPowerMargin,0)*((1+Assumptions!$C$26)^($B140-YEAR(Assumptions!$C$17)))</f>
        <v>#VALUE!</v>
      </c>
      <c r="CY140" s="1316" t="e">
        <f aca="false">IF(OR($BQ140,$BS140),SpreadOptPowerMargin,0)*((1+Assumptions!$C$26)^($B140-YEAR(Assumptions!$C$17)))</f>
        <v>#VALUE!</v>
      </c>
      <c r="CZ140" s="1316" t="e">
        <f aca="false">IF(OR($BQ140,$BS140),SpreadOptPowerMargin,0)*((1+Assumptions!$C$26)^($B140-YEAR(Assumptions!$C$17)))</f>
        <v>#VALUE!</v>
      </c>
      <c r="DA140" s="1591" t="e">
        <f aca="false">IF(OR(BQ140,BS140),(CW140*(AZ140+BH140)+CX140*(BA140+BI140)+CY140*(BB140+BJ140)+CZ140*(BC140+BK140))/(BQ140+BS140),0)</f>
        <v>#VALUE!</v>
      </c>
      <c r="DB140" s="1592" t="e">
        <f aca="false">IF(OR(BQ140,BS140),CG140+IF(OVolSmile,VLOOKUP(MAX(-5,CO140+CW140-BU140),IF(OVolSmile=1,VolSmileBook,VolSmileModel),2),0),"")</f>
        <v>#VALUE!</v>
      </c>
      <c r="DC140" s="1592" t="e">
        <f aca="false">IF(OR(BQ140,BS140),CH140+IF(OVolSmile,VLOOKUP(MAX(-5,CP140+CW140-BV140),IF(OVolSmile=1,VolSmileBook,VolSmileModel),2),0),"")</f>
        <v>#VALUE!</v>
      </c>
      <c r="DD140" s="1592" t="e">
        <f aca="false">IF(OR(BQ140,BS140),CI140+IF(OVolSmile,VLOOKUP(MAX(-5,CQ140+CW140-BW140),IF(OVolSmile=1,VolSmileBook,VolSmileModel),2),0),"")</f>
        <v>#VALUE!</v>
      </c>
      <c r="DE140" s="1592" t="e">
        <f aca="false">IF(OR(BQ140,BS140),CL140+IF(OVolSmile,VLOOKUP(MAX(-5,CR140+CZ140-BX140),IF(OVolSmile=1,VolSmileBook,VolSmileModel),2),0),"")</f>
        <v>#VALUE!</v>
      </c>
      <c r="DF140" s="1592" t="e">
        <f aca="false">IF(BQ140,CM140+IF(OVolSmile,VLOOKUP(MAX(-5,CS140+DA140-BZ140),IF(OVolSmile=1,VolSmileBook,VolSmileModel),2),0),"")</f>
        <v>#VALUE!</v>
      </c>
      <c r="DG140" s="1593" t="e">
        <f aca="false">IF(BS140,CN140+IF(OVolSmile,VLOOKUP(MAX(-5,CT140+DA140-CF140),IF(OVolSmile=1,VolSmileBook,VolSmileModel),2),0),"")</f>
        <v>#VALUE!</v>
      </c>
      <c r="DH140" s="1316" t="e">
        <f aca="false">IF(AND(BU140&gt;0,CO140&gt;0,DB140&gt;0,CU140&gt;0),newSPRDOPT(BU140,CO140,CW140,0,DB140,CU140,CV140,BT140*365.25,OCallPut,0),0)</f>
        <v>#VALUE!</v>
      </c>
      <c r="DI140" s="1316" t="e">
        <f aca="false">IF(AND(BV140&gt;0,CP140&gt;0,DC140&gt;0,CU140&gt;0),newSPRDOPT(BV140,CP140,CX140,0,DC140,CU140,CV140,BT140*365.25,OCallPut,0),0)</f>
        <v>#VALUE!</v>
      </c>
      <c r="DJ140" s="1316" t="e">
        <f aca="false">IF(AND(BW140&gt;0,CQ140&gt;0,DD140&gt;0,CU140&gt;0),newSPRDOPT(BW140,CQ140,CY140,0,DD140,CU140,CV140,BT140*365.25,OCallPut,0),0)</f>
        <v>#VALUE!</v>
      </c>
      <c r="DK140" s="1316" t="e">
        <f aca="false">IF(AND(BX140&gt;0,CR140&gt;0,DE140&gt;0,CU140&gt;0),newSPRDOPT(BX140,CR140,CZ140,0,DE140,CU140,CV140,BT140*365.25,OCallPut,0),0)</f>
        <v>#VALUE!</v>
      </c>
      <c r="DL140" s="1316" t="e">
        <f aca="false">IF(OVolType,IF(AND(BZ140&gt;0,CS140&gt;0,DF140&gt;0,CU140&gt;0),newSPRDOPT(BZ140,CS140,DA140,0,DF140,CU140,CV140,BT140*365.25,OCallPut,0),0),IF(BQ140,(DH140*AZ140+DI140*BA140+DJ140*BB140+DK140*BC140)/BQ140,0))</f>
        <v>#VALUE!</v>
      </c>
      <c r="DM140" s="1316"/>
      <c r="DN140" s="1316"/>
      <c r="DO140" s="1316"/>
      <c r="DP140" s="1316"/>
      <c r="DQ140" s="1316"/>
      <c r="DR140" s="1316"/>
      <c r="DS140" s="1316"/>
      <c r="DT140" s="1316"/>
      <c r="DU140" s="1316"/>
      <c r="DV140" s="1316"/>
      <c r="DW140" s="1594" t="e">
        <f aca="false">IF(AND(BW140&gt;0,CT140&gt;0,DD140&gt;0,CU140&gt;0),newSPRDOPT(BW140,CT140,CY140,0,DD140,CU140,CV140,BT140*365.25,OCallPut,0),0)</f>
        <v>#VALUE!</v>
      </c>
      <c r="DX140" s="1316" t="e">
        <f aca="false">IF(AND(BX140&gt;0,CT140&gt;0,DE140&gt;0,CU140&gt;0),newSPRDOPT(BX140,CT140,CZ140,0,DE140,CU140,CV140,BT140*365.25,OCallPut,0),0)</f>
        <v>#VALUE!</v>
      </c>
      <c r="DY140" s="1591" t="e">
        <f aca="false">IF(BS140,(DH140*BH140+DI140*BI140+DW140*BJ140+DX140*BK140)/BS140,0)</f>
        <v>#VALUE!</v>
      </c>
      <c r="DZ140" s="1551" t="e">
        <f aca="false">DH140*AZ140</f>
        <v>#VALUE!</v>
      </c>
      <c r="EA140" s="1551" t="e">
        <f aca="false">DI140*BA140</f>
        <v>#VALUE!</v>
      </c>
      <c r="EB140" s="1551" t="e">
        <f aca="false">DJ140*BB140</f>
        <v>#VALUE!</v>
      </c>
      <c r="EC140" s="1551" t="e">
        <f aca="false">DK140*BC140</f>
        <v>#VALUE!</v>
      </c>
      <c r="ED140" s="1551" t="e">
        <f aca="false">DL140*BQ140</f>
        <v>#VALUE!</v>
      </c>
      <c r="EE140" s="1595" t="e">
        <f aca="false">IF(BQ140,IF(OCallPut,IF(BU140&gt;(CO140+CW140),BU140-(CO140+CW140),0),IF((CO140+CW140)&gt;BU140,(CO140+CW140)-BU140,0))*AZ140,0)</f>
        <v>#VALUE!</v>
      </c>
      <c r="EF140" s="1596" t="e">
        <f aca="false">IF(BQ140,IF(OCallPut,IF(BV140&gt;(CP140+CX140),BV140-(CP140+CX140),0),IF((CP140+CX140)&gt;BV140,(CP140+CX140)-BV140,0))*BA140,0)</f>
        <v>#VALUE!</v>
      </c>
      <c r="EG140" s="1596" t="e">
        <f aca="false">IF(BQ140,IF(OCallPut,IF(BW140&gt;(CQ140+CY140),BW140-(CQ140+CY140),0),IF((CQ140+CY140)&gt;BW140,(CQ140+CY140)-BW140,0))*BB140,0)</f>
        <v>#VALUE!</v>
      </c>
      <c r="EH140" s="1596" t="e">
        <f aca="false">IF(BQ140,IF(OCallPut,IF(BX140&gt;(CR140+CZ140),BX140-(CR140+CZ140),0),IF((CR140+CZ140)&gt;BX140,(CR140+CZ140)-BX140,0))*BC140,0)</f>
        <v>#VALUE!</v>
      </c>
      <c r="EI140" s="1597" t="e">
        <f aca="false">IF(BQ140,IF(OVolType,IF(OCallPut,IF(BZ140&gt;(CS140+DA140),BZ140-(CS140+DA140),0),IF((CS140+DA140)&gt;BZ140,(CS140+DA140)-BZ140,0))*BQ140,SUM(EE140:EH140)),0)</f>
        <v>#VALUE!</v>
      </c>
      <c r="EJ140" s="1595" t="e">
        <f aca="false">DZ140-EE140</f>
        <v>#VALUE!</v>
      </c>
      <c r="EK140" s="1596" t="e">
        <f aca="false">EA140-EF140</f>
        <v>#VALUE!</v>
      </c>
      <c r="EL140" s="1596" t="e">
        <f aca="false">EB140-EG140</f>
        <v>#VALUE!</v>
      </c>
      <c r="EM140" s="1596" t="e">
        <f aca="false">EC140-EH140</f>
        <v>#VALUE!</v>
      </c>
      <c r="EN140" s="1597" t="e">
        <f aca="false">ED140-EI140</f>
        <v>#VALUE!</v>
      </c>
      <c r="EO140" s="1551" t="e">
        <f aca="false">DH140*BH140</f>
        <v>#VALUE!</v>
      </c>
      <c r="EP140" s="1551" t="e">
        <f aca="false">DI140*BI140</f>
        <v>#VALUE!</v>
      </c>
      <c r="EQ140" s="1551" t="e">
        <f aca="false">DW140*BJ140</f>
        <v>#VALUE!</v>
      </c>
      <c r="ER140" s="1551" t="e">
        <f aca="false">DX140*BK140</f>
        <v>#VALUE!</v>
      </c>
      <c r="ES140" s="1551" t="e">
        <f aca="false">DY140*BS140</f>
        <v>#VALUE!</v>
      </c>
      <c r="ET140" s="1566" t="e">
        <f aca="false">IF(EI140,IF(OCallPut,IF(CA140&gt;(CT140+CW140),CA140-(CT140+CW140),0),IF((CT140+CW140)&gt;CA140,(CT140+CW140)-CA140,0))*BH140,0)</f>
        <v>#VALUE!</v>
      </c>
      <c r="EU140" s="1551" t="e">
        <f aca="false">IF(EI140,IF(OCallPut,IF(CB140&gt;(CT140+CX140),CB140-(CT140+CX140),0),IF((CT140+CX140)&gt;CB140,(CT140+CX140)-CB140,0))*BI140,0)</f>
        <v>#VALUE!</v>
      </c>
      <c r="EV140" s="1551" t="e">
        <f aca="false">IF(EI140,IF(OCallPut,IF(CC140&gt;(CT140+CY140),CC140-(CT140+CY140),0),IF((CT140+CY140)&gt;CC140,(CT140+CY140)-CC140,0))*BJ140,0)</f>
        <v>#VALUE!</v>
      </c>
      <c r="EW140" s="1551" t="e">
        <f aca="false">IF(EI140,IF(OCallPut,IF(CD140&gt;(CT140+CZ140),CD140-(CT140+CZ140),0),IF((CT140+CZ140)&gt;CD140,(CT140+CZ140)-CD140,0))*BK140,0)</f>
        <v>#VALUE!</v>
      </c>
      <c r="EX140" s="1558" t="e">
        <f aca="false">IF(EI140,SUM(ET140:EW140),0)</f>
        <v>#VALUE!</v>
      </c>
      <c r="EY140" s="1551" t="e">
        <f aca="false">EO140-ET140</f>
        <v>#VALUE!</v>
      </c>
      <c r="EZ140" s="1551" t="e">
        <f aca="false">EP140-EU140</f>
        <v>#VALUE!</v>
      </c>
      <c r="FA140" s="1551" t="e">
        <f aca="false">EQ140-EV140</f>
        <v>#VALUE!</v>
      </c>
      <c r="FB140" s="1551" t="e">
        <f aca="false">ER140-EW140</f>
        <v>#VALUE!</v>
      </c>
      <c r="FC140" s="1551" t="e">
        <f aca="false">ES140-EX140</f>
        <v>#VALUE!</v>
      </c>
      <c r="FD140" s="1525" t="n">
        <f aca="false">IF(AX140,IF(VLOOKUP(C140,MAIN!$L$17:$M$28,2)="Yes",VLOOKUP(CALC!B140,MAIN!$H$17:$I$20,2),0),0)</f>
        <v>0</v>
      </c>
      <c r="FE140" s="1552" t="e">
        <f aca="false">$FD140*16*AT140*(1-$AY140)</f>
        <v>#VALUE!</v>
      </c>
      <c r="FF140" s="1553" t="e">
        <f aca="false">$FD140*16*AU140*(1-$AY140)</f>
        <v>#VALUE!</v>
      </c>
      <c r="FG140" s="1553" t="e">
        <f aca="false">$FD140*16*(AV140+AW140)*(1-$AY140)</f>
        <v>#VALUE!</v>
      </c>
      <c r="FH140" s="1554" t="n">
        <f aca="false">$FD140*8*AX140*(1-$AY140)</f>
        <v>0</v>
      </c>
      <c r="FI140" s="1555" t="n">
        <f aca="false">IF(AX140,VLOOKUP(CALC!B140,MAIN!$H$17:$K$20,4),0)</f>
        <v>0</v>
      </c>
      <c r="FJ140" s="1553" t="e">
        <f aca="false">SUM(FE140:FH140)</f>
        <v>#VALUE!</v>
      </c>
      <c r="FK140" s="1556" t="e">
        <f aca="false">FI140*FJ140</f>
        <v>#VALUE!</v>
      </c>
      <c r="FL140" s="1551" t="e">
        <f aca="false">IF($EI140&gt;0,MIN(FE140,AZ140*(1+VLOOKUP($C140,WeatherCapacityAdjustment,2))),0)</f>
        <v>#VALUE!</v>
      </c>
      <c r="FM140" s="1551" t="e">
        <f aca="false">IF($EI140&gt;0,MIN(FF140,BA140*(1+VLOOKUP($C140,WeatherCapacityAdjustment,2))),0)</f>
        <v>#VALUE!</v>
      </c>
      <c r="FN140" s="1551" t="e">
        <f aca="false">IF($EI140&gt;0,MIN(FG140,BB140*(1+VLOOKUP($C140,WeatherCapacityAdjustment,2))),0)</f>
        <v>#VALUE!</v>
      </c>
      <c r="FO140" s="1564" t="e">
        <f aca="false">IF($EI140&gt;0,MIN(FH140,BC140*(1+VLOOKUP($C140,WeatherCapacityAdjustment,3))),0)</f>
        <v>#VALUE!</v>
      </c>
      <c r="FP140" s="1551" t="e">
        <f aca="false">IF(ET140&gt;0,MIN(FE140-FL140,BH140*(1+VLOOKUP($C140,WeatherCapacityAdjustment,2))),0)</f>
        <v>#VALUE!</v>
      </c>
      <c r="FQ140" s="1551" t="e">
        <f aca="false">IF(EU140&gt;0,MIN(FF140-FM140,BI140*(1+VLOOKUP($C140,WeatherCapacityAdjustment,2))),0)</f>
        <v>#VALUE!</v>
      </c>
      <c r="FR140" s="1551" t="e">
        <f aca="false">IF(EV140&gt;0,MIN(FG140-FN140,BJ140*(1+VLOOKUP($C140,WeatherCapacityAdjustment,2))),0)</f>
        <v>#VALUE!</v>
      </c>
      <c r="FS140" s="1558" t="e">
        <f aca="false">IF(EW140&gt;0,MIN(FH140-FO140,BK140*(1+VLOOKUP($C140,WeatherCapacityAdjustment,3))),0)</f>
        <v>#VALUE!</v>
      </c>
      <c r="FT140" s="1566" t="e">
        <f aca="false">IF(AND(Assumptions!$H$71="Yes",A140&gt;=Assumptions!$H$72,A140&lt;=Assumptions!$H$73),0,IF(AND($A140&gt;=Assumptions!$C$17,$A140&lt;=Assumptions!$C$18),MAX(AZ140*(1+VLOOKUP($C140,WeatherCapacityAdjustment,2))-FL140,0),0))</f>
        <v>#VALUE!</v>
      </c>
      <c r="FU140" s="1551" t="e">
        <f aca="false">IF(AND(Assumptions!$H$71="Yes",A140&gt;=Assumptions!$H$72,A140&lt;=Assumptions!$H$73),0,IF(AND($A140&gt;=Assumptions!$C$17,$A140&lt;=Assumptions!$C$18),MAX(BA140*(1+VLOOKUP($C140,WeatherCapacityAdjustment,2))-FM140,0),0))</f>
        <v>#VALUE!</v>
      </c>
      <c r="FV140" s="1551" t="e">
        <f aca="false">IF(AND(Assumptions!$H$71="Yes",A140&gt;=Assumptions!$H$72,A140&lt;=Assumptions!$H$73),0,IF(AND($A140&gt;=Assumptions!$C$17,$A140&lt;=Assumptions!$C$18),MAX(BB140*(1+VLOOKUP($C140,WeatherCapacityAdjustment,2))-FN140,0),0))</f>
        <v>#VALUE!</v>
      </c>
      <c r="FW140" s="1564" t="e">
        <f aca="false">IF(AND(Assumptions!$H$71="Yes",A140&gt;=Assumptions!$H$72,A140&lt;=Assumptions!$H$73),0,IF(AND($A140&gt;=Assumptions!$C$17,$A140&lt;=Assumptions!$C$18),MAX(BC140*(1+VLOOKUP($C140,WeatherCapacityAdjustment,3))-FO140,0),0))</f>
        <v>#VALUE!</v>
      </c>
      <c r="FX140" s="1569" t="e">
        <f aca="false">IF(AND(Assumptions!$H$71="Yes",A140&gt;=Assumptions!$H$72,A140&lt;=Assumptions!$H$73),0,IF(ET140&gt;0,MAX(BH140*(1+VLOOKUP($C140,WeatherCapacityAdjustment,2))-FP140,0),0))</f>
        <v>#VALUE!</v>
      </c>
      <c r="FY140" s="1551" t="e">
        <f aca="false">IF(AND(Assumptions!$H$71="Yes",A140&gt;=Assumptions!$H$72,A140&lt;=Assumptions!$H$73),0,IF(EU140&gt;0,MAX(BI140*(1+VLOOKUP($C140,WeatherCapacityAdjustment,3))-FQ140,0),0))</f>
        <v>#VALUE!</v>
      </c>
      <c r="FZ140" s="1551" t="e">
        <f aca="false">IF(AND(Assumptions!$H$71="Yes",A140&gt;=Assumptions!$H$72,A140&lt;=Assumptions!$H$73),0,IF(EV140&gt;0,MAX(BJ140*(1+VLOOKUP($C140,WeatherCapacityAdjustment,2))-FR140,0),0))</f>
        <v>#VALUE!</v>
      </c>
      <c r="GA140" s="1564" t="e">
        <f aca="false">IF(AND(Assumptions!$H$71="Yes",A140&gt;=Assumptions!$H$72,A140&lt;=Assumptions!$H$73),0,IF(EW140&gt;0,MAX(BK140*(1+VLOOKUP($C140,WeatherCapacityAdjustment,2))-FS140,0),0))</f>
        <v>#VALUE!</v>
      </c>
      <c r="GB140" s="1551" t="e">
        <f aca="false">SUM(FT140:GA140)</f>
        <v>#VALUE!</v>
      </c>
      <c r="GC140" s="1563" t="e">
        <f aca="false">+IF(SUM(FT140:GA140)=0,0,(SUMPRODUCT(BU140:BX140,FT140:FW140)+SUMPRODUCT(CA140:CD140,FX140:GA140))/SUM(FT140:GA140))</f>
        <v>#VALUE!</v>
      </c>
      <c r="GD140" s="1551" t="e">
        <f aca="false">(FT140*BU140+FX140*CA140+FU140*BV140+FY140*CB140+FV140*BW140+FZ140*CC140+FW140*BX140+GA140*CD140)</f>
        <v>#VALUE!</v>
      </c>
      <c r="GE140" s="1561" t="e">
        <f aca="false">+IF(BQ140,((FL140+FM140+FT140+FU140)*HeatRatePeak/1000*(1+VLOOKUP($C140,WeatherHeatRateAdjustment,2))+(FN140+FV140)*IF(EV140&gt;0,HeatRatePeak,HeatRateOffPeak)/1000*(1+VLOOKUP($C140,WeatherHeatRateAdjustment,2))+(FO140+FW140)*IF(EW140&gt;0,HeatRatePeak,HeatRateOffPeak)/1000*(1+VLOOKUP($C140,WeatherHeatRateAdjustment,3)))*(1+VLOOKUP($B140,HeatRateDegradation,$C140+1)),0)</f>
        <v>#VALUE!</v>
      </c>
      <c r="GF140" s="1562" t="e">
        <f aca="false">IF(BQ140,((FP140+FQ140+FR140+FX140+FY140+FZ140)*HeatRatePeak/1000*(1+VLOOKUP($C140,WeatherHeatRateAdjustment,2))+(FS140+GA140)*HeatRatePeak/1000*(1+VLOOKUP($C140,WeatherHeatRateAdjustment,3)))*(1+VLOOKUP($B140,HeatRateDegradation,$C140+1)),0)</f>
        <v>#VALUE!</v>
      </c>
      <c r="GG140" s="1563" t="e">
        <f aca="false">IF(BQ140,VLOOKUP(A140,GasTable,13),0)</f>
        <v>#VALUE!</v>
      </c>
      <c r="GH140" s="1564" t="e">
        <f aca="false">(GE140+GF140)*GG140</f>
        <v>#VALUE!</v>
      </c>
      <c r="GI140" s="1569" t="e">
        <f aca="false">GB140</f>
        <v>#VALUE!</v>
      </c>
      <c r="GJ140" s="1598" t="e">
        <f aca="false">+DA140</f>
        <v>#VALUE!</v>
      </c>
      <c r="GK140" s="1558" t="e">
        <f aca="false">+GI140*GJ140</f>
        <v>#VALUE!</v>
      </c>
      <c r="GL140" s="1566" t="e">
        <f aca="false">MAX(FE140-FL140-FP140,0)</f>
        <v>#VALUE!</v>
      </c>
      <c r="GM140" s="1551" t="e">
        <f aca="false">MAX(FF140-FM140-FQ140,0)</f>
        <v>#VALUE!</v>
      </c>
      <c r="GN140" s="1551" t="e">
        <f aca="false">MAX(FG140-FN140-FR140,0)</f>
        <v>#VALUE!</v>
      </c>
      <c r="GO140" s="1564" t="e">
        <f aca="false">MAX(FH140-FO140-FS140,0)</f>
        <v>#VALUE!</v>
      </c>
      <c r="GP140" s="1551" t="e">
        <f aca="false">SUM(GL140:GO140)</f>
        <v>#VALUE!</v>
      </c>
      <c r="GQ140" s="1563" t="e">
        <f aca="false">IF(SUM(GL140:GO140)=0,0,((GL140*BU140+GM140*BV140+GN140*BW140+GO140*BX140)/SUM(GL140:GO140)))</f>
        <v>#VALUE!</v>
      </c>
      <c r="GR140" s="1558" t="e">
        <f aca="false">(GL140*BU140+GM140*BV140+GN140*BW140+GO140*BX140)</f>
        <v>#VALUE!</v>
      </c>
      <c r="GS140" s="1566" t="n">
        <f aca="false">IF($A140&gt;=BegDate,Assumptions!$C$56*24*($A141-$A140)*(1-VLOOKUP($B140,MAIN!$AA$7:$AM$28,$C140+1))*(1-VLOOKUP($B140,MAIN!$AA$33:$AM$54,$C140+1)),0)*80/168</f>
        <v>257742.857142857</v>
      </c>
      <c r="GT140" s="286" t="n">
        <f aca="false">J140</f>
        <v>112.331067199169</v>
      </c>
      <c r="GU140" s="286" t="n">
        <f aca="false">IF($A140&gt;=BegDate,VLOOKUP($A140,GasTable,13)+Assumptions!$C$58,0)</f>
        <v>2.9046139462801</v>
      </c>
      <c r="GV140" s="286" t="n">
        <f aca="false">GU140*Assumptions!$C$57/1000</f>
        <v>21.0584511105307</v>
      </c>
      <c r="GW140" s="1558" t="n">
        <f aca="false">IF(Assumptions!$C$60="Hourly",MAX(0,GS140*(GT140-GV140)),GS140*(GT140-GV140))</f>
        <v>23524864.8495887</v>
      </c>
      <c r="GX140" s="1566" t="n">
        <f aca="false">IF($A140&gt;=BegDate,Assumptions!$C$56*24*($A141-$A140)*(1-VLOOKUP($B140,MAIN!$AA$7:$AM$28,$C140+1))*(1-VLOOKUP($B140,MAIN!$AA$33:$AM$54,$C140+1)),0)*16/168</f>
        <v>51548.5714285714</v>
      </c>
      <c r="GY140" s="286" t="n">
        <f aca="false">M140</f>
        <v>112.331067199169</v>
      </c>
      <c r="GZ140" s="286" t="n">
        <f aca="false">IF($A140&gt;=BegDate,VLOOKUP($A140,GasTable,13)+Assumptions!$C$58,0)</f>
        <v>2.9046139462801</v>
      </c>
      <c r="HA140" s="286" t="n">
        <f aca="false">GZ140*Assumptions!$C$57/1000</f>
        <v>21.0584511105307</v>
      </c>
      <c r="HB140" s="1558" t="n">
        <f aca="false">IF(Assumptions!$C$60="Hourly",MAX(0,GX140*(GY140-HA140)),GX140*(GY140-HA140))</f>
        <v>4704972.96991774</v>
      </c>
      <c r="HC140" s="1566" t="n">
        <f aca="false">IF($A140&gt;=BegDate,Assumptions!$C$56*24*($A141-$A140)*(1-VLOOKUP($B140,MAIN!$AA$7:$AM$28,$C140+1))*(1-VLOOKUP($B140,MAIN!$AA$33:$AM$54,$C140+1)),0)*16/168</f>
        <v>51548.5714285714</v>
      </c>
      <c r="HD140" s="286" t="n">
        <f aca="false">P140</f>
        <v>34.2097375032909</v>
      </c>
      <c r="HE140" s="286" t="n">
        <f aca="false">IF($A140&gt;=BegDate,VLOOKUP($A140,GasTable,13)+Assumptions!$C$58,0)</f>
        <v>2.9046139462801</v>
      </c>
      <c r="HF140" s="286" t="n">
        <f aca="false">HE140*Assumptions!$C$57/1000</f>
        <v>21.0584511105307</v>
      </c>
      <c r="HG140" s="1558" t="n">
        <f aca="false">IF(Assumptions!$C$60="Hourly",MAX(0,HC140*(HD140-HF140)),HC140*(HD140-HF140))</f>
        <v>677930.025994797</v>
      </c>
      <c r="HH140" s="1566" t="n">
        <f aca="false">IF($A140&gt;=BegDate,Assumptions!$C$56*24*($A141-$A140)*(1-VLOOKUP($B140,MAIN!$AA$7:$AM$28,$C140+1))*(1-VLOOKUP($B140,MAIN!$AA$33:$AM$54,$C140+1)),0)*56/168</f>
        <v>180420</v>
      </c>
      <c r="HI140" s="286" t="n">
        <f aca="false">S140</f>
        <v>34.2097375032909</v>
      </c>
      <c r="HJ140" s="286" t="n">
        <f aca="false">IF($A140&gt;=BegDate,VLOOKUP($A140,GasTable,13)+Assumptions!$C$58,0)</f>
        <v>2.9046139462801</v>
      </c>
      <c r="HK140" s="286" t="n">
        <f aca="false">HJ140*Assumptions!$C$57/1000</f>
        <v>21.0584511105307</v>
      </c>
      <c r="HL140" s="1558" t="n">
        <f aca="false">IF(Assumptions!$C$60="Hourly",MAX(0,HH140*(HI140-HK140)),HH140*(HI140-HK140))</f>
        <v>2372755.09098179</v>
      </c>
      <c r="HM140" s="1566" t="n">
        <f aca="false">IF(AND(Assumptions!$H$71="Yes",A140&gt;=Assumptions!$H$72,A140&lt;=Assumptions!$H$73),Assumptions!$H$74*Assumptions!$C$9*1000,0)</f>
        <v>0</v>
      </c>
      <c r="HN140" s="1551"/>
      <c r="HO140" s="1563"/>
      <c r="HP140" s="1563"/>
      <c r="HQ140" s="1563"/>
      <c r="HR140" s="1563"/>
      <c r="HS140" s="1563"/>
      <c r="HT140" s="1563"/>
      <c r="HU140" s="1563"/>
      <c r="HV140" s="1563"/>
      <c r="HW140" s="1563"/>
      <c r="HX140" s="1563"/>
      <c r="HY140" s="1563"/>
      <c r="HZ140" s="1563"/>
      <c r="IA140" s="1563"/>
      <c r="IB140" s="1563"/>
      <c r="IC140" s="1563"/>
      <c r="ID140" s="1563"/>
      <c r="IE140" s="1563"/>
      <c r="IF140" s="1563"/>
      <c r="IG140" s="1563"/>
      <c r="IH140" s="1563"/>
      <c r="II140" s="1610"/>
      <c r="IJ140" s="1309"/>
      <c r="IK140" s="1309"/>
    </row>
    <row r="141" customFormat="false" ht="12.75" hidden="false" customHeight="false" outlineLevel="0" collapsed="false">
      <c r="A141" s="1571" t="n">
        <f aca="false">EOMONTH(A140,0)+1</f>
        <v>40422</v>
      </c>
      <c r="B141" s="594" t="n">
        <f aca="false">+YEAR(A141)</f>
        <v>2010</v>
      </c>
      <c r="C141" s="238" t="n">
        <f aca="false">MONTH(A141)</f>
        <v>9</v>
      </c>
      <c r="D141" s="1572" t="e">
        <f aca="false">IF(E141="","",Holiday(B141,C141))</f>
        <v>#VALUE!</v>
      </c>
      <c r="E141" s="1573" t="n">
        <f aca="false">IF(OR(BegDate&gt;=A142,EndDate&lt;A141,AND(VolumeMonthlyOverFlag,INDEX(VolumeMonthlyOver,C141)=0),NOT(INDEX(MonthKnockOutTable,C141))),"",MAX(A141,BegDate))</f>
        <v>40422</v>
      </c>
      <c r="F141" s="1574" t="n">
        <f aca="false">IF(E141="","",MIN(A142-1,EndDate))</f>
        <v>40451</v>
      </c>
      <c r="G141" s="1575" t="n">
        <v>0</v>
      </c>
      <c r="H141" s="1576" t="n">
        <f aca="false">(1+G141/2)^(-2*(DATE(B142,C142,20)-DateToday)/365.25)</f>
        <v>1</v>
      </c>
      <c r="I141" s="1568" t="n">
        <f aca="false">IF(Assumptions!$L$25=4,VLOOKUP($A141,'Henwood Reference'!$E$9:$R$320,10),(VLOOKUP($A141,PriceTable,2,0)+IF(BasisNumber&lt;&gt;1,VLOOKUP($A141,BasisTable,2,0),0)+I$1)/(1-I$2))</f>
        <v>74.4758049834417</v>
      </c>
      <c r="J141" s="1568" t="n">
        <f aca="false">IF(Assumptions!$L$25=4,VLOOKUP($A141,'Henwood Reference'!$E$9:$R$320,10),(VLOOKUP($A141,PriceTable,3,0)+IF(BasisNumber&lt;&gt;1,VLOOKUP($A141,BasisTable,2,0),0)+J$1)/(1-J$2))</f>
        <v>74.4758049834417</v>
      </c>
      <c r="K141" s="1568" t="n">
        <f aca="false">IF(Assumptions!$L$25=4,VLOOKUP($A141,'Henwood Reference'!$E$9:$R$320,10),(VLOOKUP($A141,PriceTable,4,0)+IF(BasisNumber&lt;&gt;1,VLOOKUP($A141,BasisTable,2,0),0)+K$1)/(1-K$2))</f>
        <v>74.4758049834417</v>
      </c>
      <c r="L141" s="1523" t="n">
        <f aca="false">IF(Assumptions!$L$25=4,VLOOKUP($A141,'Henwood Reference'!$E$9:$R$320,10),(VLOOKUP($A141,PriceTableWeekend,2,0)+IF(BasisNumber&lt;&gt;1,VLOOKUP($A141,BasisTable,2,0),0)+L$1)/(1-L$2))</f>
        <v>74.4758049834417</v>
      </c>
      <c r="M141" s="1568" t="n">
        <f aca="false">IF(Assumptions!$L$25=4,VLOOKUP($A141,'Henwood Reference'!$E$9:$R$320,10),(VLOOKUP($A141,PriceTableWeekend,3,0)+IF(BasisNumber&lt;&gt;1,VLOOKUP($A141,BasisTable,2,0),0)+M$1)/(1-M$2))</f>
        <v>74.4758049834417</v>
      </c>
      <c r="N141" s="1599" t="n">
        <f aca="false">IF(Assumptions!$L$25=4,VLOOKUP($A141,'Henwood Reference'!$E$9:$R$320,10),(VLOOKUP($A141,PriceTableWeekend,4,0)+IF(BasisNumber&lt;&gt;1,VLOOKUP($A141,BasisTable,2,0),0)+N$1)/(1-N$2))</f>
        <v>74.4758049834417</v>
      </c>
      <c r="O141" s="1568" t="n">
        <f aca="false">IF(Assumptions!$L$25=4,VLOOKUP($A141,'Henwood Reference'!$E$9:$R$320,11),(VLOOKUP($A141,PriceTableWeekend,6,0)+IF(BasisNumber&lt;&gt;1,VLOOKUP($A141,BasisTable,3,0),0)+O$1)/(1-O$2))</f>
        <v>32.324684532211</v>
      </c>
      <c r="P141" s="1568" t="n">
        <f aca="false">IF(Assumptions!$L$25=4,VLOOKUP($A141,'Henwood Reference'!$E$9:$R$320,11),(VLOOKUP($A141,PriceTableWeekend,7,0)+IF(BasisNumber&lt;&gt;1,VLOOKUP($A141,BasisTable,3,0),0)+P$1)/(1-P$2))</f>
        <v>32.324684532211</v>
      </c>
      <c r="Q141" s="1599" t="n">
        <f aca="false">IF(Assumptions!$L$25=4,VLOOKUP($A141,'Henwood Reference'!$E$9:$R$320,11),(VLOOKUP($A141,PriceTableWeekend,8,0)+IF(BasisNumber&lt;&gt;1,VLOOKUP($A141,BasisTable,3,0),0)+Q$1)/(1-Q$2))</f>
        <v>32.324684532211</v>
      </c>
      <c r="R141" s="1568" t="n">
        <f aca="false">IF(Assumptions!$L$25=4,VLOOKUP($A141,'Henwood Reference'!$E$9:$R$320,11),(VLOOKUP($A141,PriceTable,6,0)+IF(BasisNumber&lt;&gt;1,VLOOKUP($A141,BasisTable,3,0),0)+R$1)/(1-R$2))</f>
        <v>32.324684532211</v>
      </c>
      <c r="S141" s="1568" t="n">
        <f aca="false">IF(Assumptions!$L$25=4,VLOOKUP($A141,'Henwood Reference'!$E$9:$R$320,11),(VLOOKUP($A141,PriceTable,7,0)+IF(BasisNumber&lt;&gt;1,VLOOKUP($A141,BasisTable,3,0),0)+S$1)/(1-S$2))</f>
        <v>32.324684532211</v>
      </c>
      <c r="T141" s="1600" t="n">
        <f aca="false">IF(Assumptions!$L$25=4,VLOOKUP($A141,'Henwood Reference'!$E$9:$R$320,11),(VLOOKUP($A141,PriceTable,8,0)+IF(BasisNumber&lt;&gt;1,VLOOKUP($A141,BasisTable,3,0),0)+T$1)/(1-T$2))</f>
        <v>32.324684532211</v>
      </c>
      <c r="U141" s="1513" t="n">
        <f aca="false">VLOOKUP($A141,VolatilityTable,14)</f>
        <v>0.12</v>
      </c>
      <c r="V141" s="1513" t="n">
        <f aca="false">VLOOKUP($A141,VolatilityTable,15)</f>
        <v>0.13</v>
      </c>
      <c r="W141" s="1514" t="n">
        <f aca="false">VLOOKUP($A141,VolatilityTable,16)</f>
        <v>0.14</v>
      </c>
      <c r="X141" s="1513" t="n">
        <f aca="false">VLOOKUP($A141,VolatilityTable,14)</f>
        <v>0.12</v>
      </c>
      <c r="Y141" s="1513" t="n">
        <f aca="false">VLOOKUP($A141,VolatilityTable,15)</f>
        <v>0.13</v>
      </c>
      <c r="Z141" s="1514" t="n">
        <f aca="false">VLOOKUP($A141,VolatilityTable,16)</f>
        <v>0.14</v>
      </c>
      <c r="AA141" s="1513" t="n">
        <f aca="false">VLOOKUP($A141,VolatilityTable,18)</f>
        <v>0.09</v>
      </c>
      <c r="AB141" s="1513" t="n">
        <f aca="false">VLOOKUP($A141,VolatilityTable,19)</f>
        <v>0.11</v>
      </c>
      <c r="AC141" s="1514" t="n">
        <f aca="false">VLOOKUP($A141,VolatilityTable,20)</f>
        <v>0.13</v>
      </c>
      <c r="AD141" s="1513" t="n">
        <f aca="false">VLOOKUP($A141,VolatilityTable,18)</f>
        <v>0.09</v>
      </c>
      <c r="AE141" s="1513" t="n">
        <f aca="false">VLOOKUP($A141,VolatilityTable,19)</f>
        <v>0.11</v>
      </c>
      <c r="AF141" s="1514" t="n">
        <f aca="false">VLOOKUP($A141,VolatilityTable,20)</f>
        <v>0.13</v>
      </c>
      <c r="AG141" s="1513" t="n">
        <f aca="false">VLOOKUP($A141,VolatilityTable,22)</f>
        <v>-0.35</v>
      </c>
      <c r="AH141" s="1513" t="n">
        <f aca="false">VLOOKUP($A141,VolatilityTable,23)</f>
        <v>3</v>
      </c>
      <c r="AI141" s="1514" t="n">
        <f aca="false">VLOOKUP($A141,VolatilityTable,24)</f>
        <v>0.2</v>
      </c>
      <c r="AJ141" s="1513" t="n">
        <f aca="false">VLOOKUP($A141,VolatilityTable,22)</f>
        <v>-0.35</v>
      </c>
      <c r="AK141" s="1513" t="n">
        <f aca="false">VLOOKUP($A141,VolatilityTable,23)</f>
        <v>3</v>
      </c>
      <c r="AL141" s="1514" t="n">
        <f aca="false">VLOOKUP($A141,VolatilityTable,24)</f>
        <v>0.2</v>
      </c>
      <c r="AM141" s="1513" t="n">
        <f aca="false">VLOOKUP($A141,VolatilityTable,26)</f>
        <v>-0.01</v>
      </c>
      <c r="AN141" s="1513" t="n">
        <f aca="false">VLOOKUP($A141,VolatilityTable,27)</f>
        <v>0.16</v>
      </c>
      <c r="AO141" s="1514" t="n">
        <f aca="false">VLOOKUP($A141,VolatilityTable,28)</f>
        <v>0.01</v>
      </c>
      <c r="AP141" s="1513" t="n">
        <f aca="false">VLOOKUP($A141,VolatilityTable,26)</f>
        <v>-0.01</v>
      </c>
      <c r="AQ141" s="1513" t="n">
        <f aca="false">VLOOKUP($A141,VolatilityTable,27)</f>
        <v>0.16</v>
      </c>
      <c r="AR141" s="1515" t="n">
        <f aca="false">VLOOKUP($A141,VolatilityTable,28)</f>
        <v>0.01</v>
      </c>
      <c r="AS141" s="1581" t="n">
        <f aca="false">IF(CorrPeakOffPeakOverFlag,INDEX(CorrPeakOffPeakOver,C141),CorrPeakOffPeak)</f>
        <v>0.5</v>
      </c>
      <c r="AT141" s="594" t="e">
        <f aca="false">AX141-SUM(AU141:AW141)</f>
        <v>#VALUE!</v>
      </c>
      <c r="AU141" s="238" t="e">
        <f aca="false">IF(E141="",0,INT((F141-MOD(F141,7)-E141)/7)+1-IF(AW141,IF(WEEKDAY(D141)=7,1,0),0))</f>
        <v>#VALUE!</v>
      </c>
      <c r="AV141" s="238" t="e">
        <f aca="false">IF(E141="",0,INT((F141-MOD(F141-1,7)-E141)/7)+1-IF(AW141,IF(WEEKDAY(D141)=1,1,0),0))</f>
        <v>#VALUE!</v>
      </c>
      <c r="AW141" s="238" t="e">
        <f aca="false">IF(OR(E141="",D141="",D141&lt;BegDate,D141&gt;EndDate),0,1)</f>
        <v>#VALUE!</v>
      </c>
      <c r="AX141" s="238" t="n">
        <f aca="false">IF(E141="",0,F141-E141+1)</f>
        <v>30</v>
      </c>
      <c r="AY141" s="1582" t="n">
        <f aca="false">IF(E141="",0,MIN((1-(1-VLOOKUP(B141,MAIN!$AA$7:$AM$28,C141+1))*(1-VLOOKUP(B141,MAIN!$AA$33:$AM$54,C141+1))),1))</f>
        <v>0.03</v>
      </c>
      <c r="AZ141" s="1519" t="e">
        <v>#VALUE!</v>
      </c>
      <c r="BA141" s="1520" t="e">
        <v>#VALUE!</v>
      </c>
      <c r="BB141" s="1520" t="e">
        <v>#VALUE!</v>
      </c>
      <c r="BC141" s="1583" t="e">
        <v>#VALUE!</v>
      </c>
      <c r="BD141" s="1522" t="e">
        <v>#VALUE!</v>
      </c>
      <c r="BE141" s="1523" t="e">
        <v>#VALUE!</v>
      </c>
      <c r="BF141" s="1523" t="e">
        <v>#VALUE!</v>
      </c>
      <c r="BG141" s="1584" t="e">
        <v>#VALUE!</v>
      </c>
      <c r="BH141" s="1525" t="e">
        <v>#VALUE!</v>
      </c>
      <c r="BI141" s="1520" t="e">
        <v>#VALUE!</v>
      </c>
      <c r="BJ141" s="1520" t="e">
        <v>#VALUE!</v>
      </c>
      <c r="BK141" s="1583" t="e">
        <v>#VALUE!</v>
      </c>
      <c r="BL141" s="1522" t="e">
        <v>#VALUE!</v>
      </c>
      <c r="BM141" s="1523" t="e">
        <v>#VALUE!</v>
      </c>
      <c r="BN141" s="1523" t="e">
        <v>#VALUE!</v>
      </c>
      <c r="BO141" s="1523" t="e">
        <v>#VALUE!</v>
      </c>
      <c r="BP141" s="1525" t="e">
        <f aca="false">SUM(AZ141:BB141)</f>
        <v>#VALUE!</v>
      </c>
      <c r="BQ141" s="1529" t="e">
        <f aca="false">SUM(AZ141:BC141)</f>
        <v>#VALUE!</v>
      </c>
      <c r="BR141" s="1519" t="e">
        <f aca="false">SUM(BH141:BJ141)</f>
        <v>#VALUE!</v>
      </c>
      <c r="BS141" s="1529" t="e">
        <f aca="false">SUM(BH141:BK141)</f>
        <v>#VALUE!</v>
      </c>
      <c r="BT141" s="1316" t="n">
        <f aca="false">(IF(OVolType&lt;&gt;2,A141+14,IF(OptExpDateShift,ShiftBack(A141,OptExpDateShift,D140),A141))-DateToday)/365.25</f>
        <v>10.3819301848049</v>
      </c>
      <c r="BU141" s="1585" t="e">
        <f aca="false">IF(BQ141,IF(OPriceCurve,IF(OBuySell=OCallPut,I141/(1-AY141),K141/(1-AY141)),J141/(1-AY141))*BD141,0)</f>
        <v>#VALUE!</v>
      </c>
      <c r="BV141" s="1316" t="e">
        <f aca="false">IF(BQ141,IF(OPriceCurve,IF(OBuySell=OCallPut,L141/(1-AY141),N141/(1-AY141)),M141/(1-AY141))*BE141,0)</f>
        <v>#VALUE!</v>
      </c>
      <c r="BW141" s="1316" t="e">
        <f aca="false">IF(BQ141,IF(OPriceCurve,IF(OBuySell=OCallPut,O141/(1-AY141),Q141/(1-AY141)),P141/(1-AY141))*BF141,0)</f>
        <v>#VALUE!</v>
      </c>
      <c r="BX141" s="1316" t="e">
        <f aca="false">IF(BQ141,IF(OPriceCurve,IF(OBuySell=OCallPut,R141/(1-AY141),T141/(1-AY141)),S141/(1-AY141))*BG141,0)</f>
        <v>#VALUE!</v>
      </c>
      <c r="BY141" s="1316" t="e">
        <f aca="false">IF(BP141,(BU141*AZ141+BV141*BA141+BW141*BB141)/BP141,0)</f>
        <v>#VALUE!</v>
      </c>
      <c r="BZ141" s="1316" t="e">
        <f aca="false">IF(BQ141,(BY141*BP141+BX141*BC141)/BQ141,0)</f>
        <v>#VALUE!</v>
      </c>
      <c r="CA141" s="1531" t="e">
        <f aca="false">IF(BS141,IF(OPriceCurve,IF(OBuySell=OCallPut,I141/(1-AY141),K141/(1-AY141)),J141/(1-AY141))*BL141,0)</f>
        <v>#VALUE!</v>
      </c>
      <c r="CB141" s="1316" t="e">
        <f aca="false">IF(BS141,IF(OPriceCurve,IF(OBuySell=OCallPut,L141/(1-AY141),N141/(1-AY141)),M141/(1-AY141))*BM141,0)</f>
        <v>#VALUE!</v>
      </c>
      <c r="CC141" s="1316" t="e">
        <f aca="false">IF(BS141,IF(OPriceCurve,IF(OBuySell=OCallPut,O141/(1-AY141),Q141/(1-AY141)),P141/(1-AY141))*BN141,0)</f>
        <v>#VALUE!</v>
      </c>
      <c r="CD141" s="1316" t="e">
        <f aca="false">IF(BS141,IF(OPriceCurve,IF(OBuySell=OCallPut,R141/(1-AY141),T141/(1-AY141)),S141/(1-AY141))*BO141,0)</f>
        <v>#VALUE!</v>
      </c>
      <c r="CE141" s="1316" t="e">
        <f aca="false">IF(BR141,(BU141*BH141+BV141*BI141+BW141*BJ141)/BR141,0)</f>
        <v>#VALUE!</v>
      </c>
      <c r="CF141" s="1532" t="e">
        <f aca="false">IF(BS141,(CE141*BR141+CD141*BK141)/BS141,0)</f>
        <v>#VALUE!</v>
      </c>
      <c r="CG141" s="1586" t="e">
        <f aca="false">IF(OR(BQ141,BS141),IF(OVolType&lt;&gt;2,SQRT(IF(OVolOverMonthlyPeak,OVolOverMonthlyPeak,IF(OVolCurve,IF(OBuySell,U141,W141),V141))^2*(1-15/365.25/BT141)+IF(OVolOverDailyPeak,OVolOverDailyPeak,IF(OVolCurve,IF(OBuySell,AG141,AI141),AH141))^2*15/365.25/BT141),IF(OVolOverMonthlyPeak,OVolOverMonthlyPeak,IF(OVolCurve,IF(OBuySell,U141,W141),V141))),"")</f>
        <v>#VALUE!</v>
      </c>
      <c r="CH141" s="1587" t="e">
        <f aca="false">IF(OR(BQ141,BS141),IF(OVolType&lt;&gt;2,SQRT(IF(OVolOverMonthlyPeak,OVolOverMonthlyPeak,IF(OVolCurve,IF(OBuySell,X141,Z141),Y141))^2*(1-15/365.25/BT141)+IF(OVolOverDailyPeak,OVolOverDailyPeak,IF(OVolCurve,IF(OBuySell,AJ141,AL141),AK141))^2*15/365.25/BT141),IF(OVolOverMonthlyPeak,OVolOverMonthlyPeak,IF(OVolCurve,IF(OBuySell,X141,Z141),Y141))),"")</f>
        <v>#VALUE!</v>
      </c>
      <c r="CI141" s="1587" t="e">
        <f aca="false">IF(OR(BQ141,BS141),IF(OVolType&lt;&gt;2,SQRT(IF(OVolOverMonthlyPeak,OVolOverMonthlyPeak,IF(OVolCurve,IF(OBuySell,AA141,AC141),AB141))^2*(1-15/365.25/BT141)+IF(OVolOverDailyPeak,OVolOverDailyPeak,IF(OVolCurve,IF(OBuySell,AM141,AO141),AN141))^2*15/365.25/BT141),IF(OVolOverMonthlyPeak,OVolOverMonthlyPeak,IF(OVolCurve,IF(OBuySell,AA141,AC141),AB141))),"")</f>
        <v>#VALUE!</v>
      </c>
      <c r="CJ141" s="1587" t="e">
        <f aca="false">IF(BQ141,IF(BP141,SQRT(LN(1+((BU141*AZ141)^2*(EXP(CG141^2*BT141)-1)+(BV141*BA141)^2*(EXP(CH141^2*BT141)-1)+(BW141*BB141)^2*(EXP(CI141^2*BT141)-1)+2*BU141*AZ141*BV141*BA141*(EXP(CG141*CH141*BT141)-1)+2*BV141*BA141*BW141*BB141*(EXP(CH141*CI141*BT141)-1)+2*BW141*BB141*BU141*AZ141*(EXP(CI141*CG141*BT141)-1))/(BY141*BP141)^2)/BT141),0),"")</f>
        <v>#VALUE!</v>
      </c>
      <c r="CK141" s="1587" t="e">
        <f aca="false">IF(BS141,IF(BR141,SQRT(LN(1+((CA141*BH141)^2*(EXP(CG141^2*BT141)-1)+(CB141*BI141)^2*(EXP(CH141^2*BT141)-1)+(CC141*BJ141)^2*(EXP(CI141^2*BT141)-1)+2*CA141*BH141*CB141*BI141*(EXP(CG141*CH141*BT141)-1)+2*CB141*BI141*CC141*BJ141*(EXP(CH141*CI141*BT141)-1)+2*CC141*BJ141*CA141*BH141*(EXP(CI141*CG141*BT141)-1))/(CE141*BR141)^2)/BT141),0),"")</f>
        <v>#VALUE!</v>
      </c>
      <c r="CL141" s="1587" t="e">
        <f aca="false">IF(OR(BQ141,BS141),IF(OVolType&lt;&gt;2,SQRT(IF(OVolOverMonthlyOffPeak,OVolOverMonthlyOffPeak,IF(OVolCurve,IF(OBuySell,AD141,AF141),AE141))^2*(1-15/365.25/BT141)+IF(OVolOverDailyOffPeak,OVolOverDailyOffPeak,IF(OVolCurve,IF(OBuySell,AP141,AR141),AQ141))^2*15/365.25/BT141),IF(OVolOverMonthlyOffPeak,OVolOverMonthlyOffPeak,IF(OVolCurve,IF(OBuySell,AD141,AF141),AE141))),"")</f>
        <v>#VALUE!</v>
      </c>
      <c r="CM141" s="1587" t="e">
        <f aca="false">IF(BQ141,SQRT(LN(1+((BY141*BP141)^2*(EXP(CJ141^2*BT141)-1)+(BX141*BC141)^2*(EXP(CL141^2*BT141)-1)+2*BY141*BP141*BX141*BC141*(EXP(AS141*CJ141*CL141*BT141)-1))/(BY141*BP141+BX141*BC141)^2)/BT141),"")</f>
        <v>#VALUE!</v>
      </c>
      <c r="CN141" s="1588" t="e">
        <f aca="false">IF(BS141,SQRT(LN(1+((CE141*BR141)^2*(EXP(CK141^2*BT141)-1)+(CD141*BK141)^2*(EXP(CL141^2*BT141)-1)+2*CE141*BR141*CD141*BK141*(EXP(AS141*CK141*CL141*BT141)-1))/(CE141*BR141+CD141*BK141)^2)/BT141),"")</f>
        <v>#VALUE!</v>
      </c>
      <c r="CO141" s="1531" t="e">
        <f aca="false">IF(OR(BQ141,BS141),VLOOKUP(A141,GasTable,13)*HeatRatePeak*(1+VLOOKUP($B141,HeatRateDegradation,$C141+1))/1000,0)</f>
        <v>#VALUE!</v>
      </c>
      <c r="CP141" s="1316" t="e">
        <f aca="false">IF(OR(BQ141,BS141),VLOOKUP(A141,GasTable,13)*HeatRatePeak*(1+VLOOKUP($B141,HeatRateDegradation,$C141+1))/1000,0)</f>
        <v>#VALUE!</v>
      </c>
      <c r="CQ141" s="1316" t="e">
        <f aca="false">IF(OR(BQ141,BS141),VLOOKUP(A141,GasTable,13)*IF(EV141,HeatRatePeak,HeatRateOffPeak)*(1+VLOOKUP($B141,HeatRateDegradation,$C141+1))/1000,0)</f>
        <v>#VALUE!</v>
      </c>
      <c r="CR141" s="1316" t="e">
        <f aca="false">IF(OR(BQ141,BS141),VLOOKUP(A141,GasTable,13)*IF(EW141,HeatRatePeak,HeatRateOffPeak)*(1+VLOOKUP($B141,HeatRateDegradation,$C141+1))/1000,0)</f>
        <v>#VALUE!</v>
      </c>
      <c r="CS141" s="1589" t="e">
        <f aca="false">IF(BQ141,(CO141*AZ141+CP141*BA141+CQ141*BB141+CR141*BC141)/BQ141,0)</f>
        <v>#VALUE!</v>
      </c>
      <c r="CT141" s="1316" t="e">
        <f aca="false">IF(BS141,CO141,0)</f>
        <v>#VALUE!</v>
      </c>
      <c r="CU141" s="1590" t="e">
        <f aca="false">IF(OR(BQ141,BS141),VLOOKUP(A141,GasTable,14),"")</f>
        <v>#VALUE!</v>
      </c>
      <c r="CV141" s="1568" t="e">
        <f aca="false">IF(OR(BQ141,BS141),IF(CorrPowerGasOverFlag,INDEX(CorrPowerGasOver,C141),CorrPowerGas),"")</f>
        <v>#VALUE!</v>
      </c>
      <c r="CW141" s="1316" t="e">
        <f aca="false">IF(OR($BQ141,$BS141),SpreadOptPowerMargin,0)*((1+Assumptions!$C$26)^($B141-YEAR(Assumptions!$C$17)))</f>
        <v>#VALUE!</v>
      </c>
      <c r="CX141" s="1316" t="e">
        <f aca="false">IF(OR($BQ141,$BS141),SpreadOptPowerMargin,0)*((1+Assumptions!$C$26)^($B141-YEAR(Assumptions!$C$17)))</f>
        <v>#VALUE!</v>
      </c>
      <c r="CY141" s="1316" t="e">
        <f aca="false">IF(OR($BQ141,$BS141),SpreadOptPowerMargin,0)*((1+Assumptions!$C$26)^($B141-YEAR(Assumptions!$C$17)))</f>
        <v>#VALUE!</v>
      </c>
      <c r="CZ141" s="1316" t="e">
        <f aca="false">IF(OR($BQ141,$BS141),SpreadOptPowerMargin,0)*((1+Assumptions!$C$26)^($B141-YEAR(Assumptions!$C$17)))</f>
        <v>#VALUE!</v>
      </c>
      <c r="DA141" s="1591" t="e">
        <f aca="false">IF(OR(BQ141,BS141),(CW141*(AZ141+BH141)+CX141*(BA141+BI141)+CY141*(BB141+BJ141)+CZ141*(BC141+BK141))/(BQ141+BS141),0)</f>
        <v>#VALUE!</v>
      </c>
      <c r="DB141" s="1592" t="e">
        <f aca="false">IF(OR(BQ141,BS141),CG141+IF(OVolSmile,VLOOKUP(MAX(-5,CO141+CW141-BU141),IF(OVolSmile=1,VolSmileBook,VolSmileModel),2),0),"")</f>
        <v>#VALUE!</v>
      </c>
      <c r="DC141" s="1592" t="e">
        <f aca="false">IF(OR(BQ141,BS141),CH141+IF(OVolSmile,VLOOKUP(MAX(-5,CP141+CW141-BV141),IF(OVolSmile=1,VolSmileBook,VolSmileModel),2),0),"")</f>
        <v>#VALUE!</v>
      </c>
      <c r="DD141" s="1592" t="e">
        <f aca="false">IF(OR(BQ141,BS141),CI141+IF(OVolSmile,VLOOKUP(MAX(-5,CQ141+CW141-BW141),IF(OVolSmile=1,VolSmileBook,VolSmileModel),2),0),"")</f>
        <v>#VALUE!</v>
      </c>
      <c r="DE141" s="1592" t="e">
        <f aca="false">IF(OR(BQ141,BS141),CL141+IF(OVolSmile,VLOOKUP(MAX(-5,CR141+CZ141-BX141),IF(OVolSmile=1,VolSmileBook,VolSmileModel),2),0),"")</f>
        <v>#VALUE!</v>
      </c>
      <c r="DF141" s="1592" t="e">
        <f aca="false">IF(BQ141,CM141+IF(OVolSmile,VLOOKUP(MAX(-5,CS141+DA141-BZ141),IF(OVolSmile=1,VolSmileBook,VolSmileModel),2),0),"")</f>
        <v>#VALUE!</v>
      </c>
      <c r="DG141" s="1593" t="e">
        <f aca="false">IF(BS141,CN141+IF(OVolSmile,VLOOKUP(MAX(-5,CT141+DA141-CF141),IF(OVolSmile=1,VolSmileBook,VolSmileModel),2),0),"")</f>
        <v>#VALUE!</v>
      </c>
      <c r="DH141" s="1316" t="e">
        <f aca="false">IF(AND(BU141&gt;0,CO141&gt;0,DB141&gt;0,CU141&gt;0),newSPRDOPT(BU141,CO141,CW141,0,DB141,CU141,CV141,BT141*365.25,OCallPut,0),0)</f>
        <v>#VALUE!</v>
      </c>
      <c r="DI141" s="1316" t="e">
        <f aca="false">IF(AND(BV141&gt;0,CP141&gt;0,DC141&gt;0,CU141&gt;0),newSPRDOPT(BV141,CP141,CX141,0,DC141,CU141,CV141,BT141*365.25,OCallPut,0),0)</f>
        <v>#VALUE!</v>
      </c>
      <c r="DJ141" s="1316" t="e">
        <f aca="false">IF(AND(BW141&gt;0,CQ141&gt;0,DD141&gt;0,CU141&gt;0),newSPRDOPT(BW141,CQ141,CY141,0,DD141,CU141,CV141,BT141*365.25,OCallPut,0),0)</f>
        <v>#VALUE!</v>
      </c>
      <c r="DK141" s="1316" t="e">
        <f aca="false">IF(AND(BX141&gt;0,CR141&gt;0,DE141&gt;0,CU141&gt;0),newSPRDOPT(BX141,CR141,CZ141,0,DE141,CU141,CV141,BT141*365.25,OCallPut,0),0)</f>
        <v>#VALUE!</v>
      </c>
      <c r="DL141" s="1316" t="e">
        <f aca="false">IF(OVolType,IF(AND(BZ141&gt;0,CS141&gt;0,DF141&gt;0,CU141&gt;0),newSPRDOPT(BZ141,CS141,DA141,0,DF141,CU141,CV141,BT141*365.25,OCallPut,0),0),IF(BQ141,(DH141*AZ141+DI141*BA141+DJ141*BB141+DK141*BC141)/BQ141,0))</f>
        <v>#VALUE!</v>
      </c>
      <c r="DM141" s="1316"/>
      <c r="DN141" s="1316"/>
      <c r="DO141" s="1316"/>
      <c r="DP141" s="1316"/>
      <c r="DQ141" s="1316"/>
      <c r="DR141" s="1316"/>
      <c r="DS141" s="1316"/>
      <c r="DT141" s="1316"/>
      <c r="DU141" s="1316"/>
      <c r="DV141" s="1316"/>
      <c r="DW141" s="1594" t="e">
        <f aca="false">IF(AND(BW141&gt;0,CT141&gt;0,DD141&gt;0,CU141&gt;0),newSPRDOPT(BW141,CT141,CY141,0,DD141,CU141,CV141,BT141*365.25,OCallPut,0),0)</f>
        <v>#VALUE!</v>
      </c>
      <c r="DX141" s="1316" t="e">
        <f aca="false">IF(AND(BX141&gt;0,CT141&gt;0,DE141&gt;0,CU141&gt;0),newSPRDOPT(BX141,CT141,CZ141,0,DE141,CU141,CV141,BT141*365.25,OCallPut,0),0)</f>
        <v>#VALUE!</v>
      </c>
      <c r="DY141" s="1591" t="e">
        <f aca="false">IF(BS141,(DH141*BH141+DI141*BI141+DW141*BJ141+DX141*BK141)/BS141,0)</f>
        <v>#VALUE!</v>
      </c>
      <c r="DZ141" s="1551" t="e">
        <f aca="false">DH141*AZ141</f>
        <v>#VALUE!</v>
      </c>
      <c r="EA141" s="1551" t="e">
        <f aca="false">DI141*BA141</f>
        <v>#VALUE!</v>
      </c>
      <c r="EB141" s="1551" t="e">
        <f aca="false">DJ141*BB141</f>
        <v>#VALUE!</v>
      </c>
      <c r="EC141" s="1551" t="e">
        <f aca="false">DK141*BC141</f>
        <v>#VALUE!</v>
      </c>
      <c r="ED141" s="1551" t="e">
        <f aca="false">DL141*BQ141</f>
        <v>#VALUE!</v>
      </c>
      <c r="EE141" s="1595" t="e">
        <f aca="false">IF(BQ141,IF(OCallPut,IF(BU141&gt;(CO141+CW141),BU141-(CO141+CW141),0),IF((CO141+CW141)&gt;BU141,(CO141+CW141)-BU141,0))*AZ141,0)</f>
        <v>#VALUE!</v>
      </c>
      <c r="EF141" s="1596" t="e">
        <f aca="false">IF(BQ141,IF(OCallPut,IF(BV141&gt;(CP141+CX141),BV141-(CP141+CX141),0),IF((CP141+CX141)&gt;BV141,(CP141+CX141)-BV141,0))*BA141,0)</f>
        <v>#VALUE!</v>
      </c>
      <c r="EG141" s="1596" t="e">
        <f aca="false">IF(BQ141,IF(OCallPut,IF(BW141&gt;(CQ141+CY141),BW141-(CQ141+CY141),0),IF((CQ141+CY141)&gt;BW141,(CQ141+CY141)-BW141,0))*BB141,0)</f>
        <v>#VALUE!</v>
      </c>
      <c r="EH141" s="1596" t="e">
        <f aca="false">IF(BQ141,IF(OCallPut,IF(BX141&gt;(CR141+CZ141),BX141-(CR141+CZ141),0),IF((CR141+CZ141)&gt;BX141,(CR141+CZ141)-BX141,0))*BC141,0)</f>
        <v>#VALUE!</v>
      </c>
      <c r="EI141" s="1597" t="e">
        <f aca="false">IF(BQ141,IF(OVolType,IF(OCallPut,IF(BZ141&gt;(CS141+DA141),BZ141-(CS141+DA141),0),IF((CS141+DA141)&gt;BZ141,(CS141+DA141)-BZ141,0))*BQ141,SUM(EE141:EH141)),0)</f>
        <v>#VALUE!</v>
      </c>
      <c r="EJ141" s="1595" t="e">
        <f aca="false">DZ141-EE141</f>
        <v>#VALUE!</v>
      </c>
      <c r="EK141" s="1596" t="e">
        <f aca="false">EA141-EF141</f>
        <v>#VALUE!</v>
      </c>
      <c r="EL141" s="1596" t="e">
        <f aca="false">EB141-EG141</f>
        <v>#VALUE!</v>
      </c>
      <c r="EM141" s="1596" t="e">
        <f aca="false">EC141-EH141</f>
        <v>#VALUE!</v>
      </c>
      <c r="EN141" s="1597" t="e">
        <f aca="false">ED141-EI141</f>
        <v>#VALUE!</v>
      </c>
      <c r="EO141" s="1551" t="e">
        <f aca="false">DH141*BH141</f>
        <v>#VALUE!</v>
      </c>
      <c r="EP141" s="1551" t="e">
        <f aca="false">DI141*BI141</f>
        <v>#VALUE!</v>
      </c>
      <c r="EQ141" s="1551" t="e">
        <f aca="false">DW141*BJ141</f>
        <v>#VALUE!</v>
      </c>
      <c r="ER141" s="1551" t="e">
        <f aca="false">DX141*BK141</f>
        <v>#VALUE!</v>
      </c>
      <c r="ES141" s="1551" t="e">
        <f aca="false">DY141*BS141</f>
        <v>#VALUE!</v>
      </c>
      <c r="ET141" s="1566" t="e">
        <f aca="false">IF(EI141,IF(OCallPut,IF(CA141&gt;(CT141+CW141),CA141-(CT141+CW141),0),IF((CT141+CW141)&gt;CA141,(CT141+CW141)-CA141,0))*BH141,0)</f>
        <v>#VALUE!</v>
      </c>
      <c r="EU141" s="1551" t="e">
        <f aca="false">IF(EI141,IF(OCallPut,IF(CB141&gt;(CT141+CX141),CB141-(CT141+CX141),0),IF((CT141+CX141)&gt;CB141,(CT141+CX141)-CB141,0))*BI141,0)</f>
        <v>#VALUE!</v>
      </c>
      <c r="EV141" s="1551" t="e">
        <f aca="false">IF(EI141,IF(OCallPut,IF(CC141&gt;(CT141+CY141),CC141-(CT141+CY141),0),IF((CT141+CY141)&gt;CC141,(CT141+CY141)-CC141,0))*BJ141,0)</f>
        <v>#VALUE!</v>
      </c>
      <c r="EW141" s="1551" t="e">
        <f aca="false">IF(EI141,IF(OCallPut,IF(CD141&gt;(CT141+CZ141),CD141-(CT141+CZ141),0),IF((CT141+CZ141)&gt;CD141,(CT141+CZ141)-CD141,0))*BK141,0)</f>
        <v>#VALUE!</v>
      </c>
      <c r="EX141" s="1558" t="e">
        <f aca="false">IF(EI141,SUM(ET141:EW141),0)</f>
        <v>#VALUE!</v>
      </c>
      <c r="EY141" s="1551" t="e">
        <f aca="false">EO141-ET141</f>
        <v>#VALUE!</v>
      </c>
      <c r="EZ141" s="1551" t="e">
        <f aca="false">EP141-EU141</f>
        <v>#VALUE!</v>
      </c>
      <c r="FA141" s="1551" t="e">
        <f aca="false">EQ141-EV141</f>
        <v>#VALUE!</v>
      </c>
      <c r="FB141" s="1551" t="e">
        <f aca="false">ER141-EW141</f>
        <v>#VALUE!</v>
      </c>
      <c r="FC141" s="1551" t="e">
        <f aca="false">ES141-EX141</f>
        <v>#VALUE!</v>
      </c>
      <c r="FD141" s="1525" t="n">
        <f aca="false">IF(AX141,IF(VLOOKUP(C141,MAIN!$L$17:$M$28,2)="Yes",VLOOKUP(CALC!B141,MAIN!$H$17:$I$20,2),0),0)</f>
        <v>0</v>
      </c>
      <c r="FE141" s="1552" t="e">
        <f aca="false">$FD141*16*AT141*(1-$AY141)</f>
        <v>#VALUE!</v>
      </c>
      <c r="FF141" s="1553" t="e">
        <f aca="false">$FD141*16*AU141*(1-$AY141)</f>
        <v>#VALUE!</v>
      </c>
      <c r="FG141" s="1553" t="e">
        <f aca="false">$FD141*16*(AV141+AW141)*(1-$AY141)</f>
        <v>#VALUE!</v>
      </c>
      <c r="FH141" s="1554" t="n">
        <f aca="false">$FD141*8*AX141*(1-$AY141)</f>
        <v>0</v>
      </c>
      <c r="FI141" s="1555" t="n">
        <f aca="false">IF(AX141,VLOOKUP(CALC!B141,MAIN!$H$17:$K$20,4),0)</f>
        <v>0</v>
      </c>
      <c r="FJ141" s="1553" t="e">
        <f aca="false">SUM(FE141:FH141)</f>
        <v>#VALUE!</v>
      </c>
      <c r="FK141" s="1556" t="e">
        <f aca="false">FI141*FJ141</f>
        <v>#VALUE!</v>
      </c>
      <c r="FL141" s="1551" t="e">
        <f aca="false">IF($EI141&gt;0,MIN(FE141,AZ141*(1+VLOOKUP($C141,WeatherCapacityAdjustment,2))),0)</f>
        <v>#VALUE!</v>
      </c>
      <c r="FM141" s="1551" t="e">
        <f aca="false">IF($EI141&gt;0,MIN(FF141,BA141*(1+VLOOKUP($C141,WeatherCapacityAdjustment,2))),0)</f>
        <v>#VALUE!</v>
      </c>
      <c r="FN141" s="1551" t="e">
        <f aca="false">IF($EI141&gt;0,MIN(FG141,BB141*(1+VLOOKUP($C141,WeatherCapacityAdjustment,2))),0)</f>
        <v>#VALUE!</v>
      </c>
      <c r="FO141" s="1564" t="e">
        <f aca="false">IF($EI141&gt;0,MIN(FH141,BC141*(1+VLOOKUP($C141,WeatherCapacityAdjustment,3))),0)</f>
        <v>#VALUE!</v>
      </c>
      <c r="FP141" s="1551" t="e">
        <f aca="false">IF(ET141&gt;0,MIN(FE141-FL141,BH141*(1+VLOOKUP($C141,WeatherCapacityAdjustment,2))),0)</f>
        <v>#VALUE!</v>
      </c>
      <c r="FQ141" s="1551" t="e">
        <f aca="false">IF(EU141&gt;0,MIN(FF141-FM141,BI141*(1+VLOOKUP($C141,WeatherCapacityAdjustment,2))),0)</f>
        <v>#VALUE!</v>
      </c>
      <c r="FR141" s="1551" t="e">
        <f aca="false">IF(EV141&gt;0,MIN(FG141-FN141,BJ141*(1+VLOOKUP($C141,WeatherCapacityAdjustment,2))),0)</f>
        <v>#VALUE!</v>
      </c>
      <c r="FS141" s="1558" t="e">
        <f aca="false">IF(EW141&gt;0,MIN(FH141-FO141,BK141*(1+VLOOKUP($C141,WeatherCapacityAdjustment,3))),0)</f>
        <v>#VALUE!</v>
      </c>
      <c r="FT141" s="1566" t="e">
        <f aca="false">IF(AND(Assumptions!$H$71="Yes",A141&gt;=Assumptions!$H$72,A141&lt;=Assumptions!$H$73),0,IF(AND($A141&gt;=Assumptions!$C$17,$A141&lt;=Assumptions!$C$18),MAX(AZ141*(1+VLOOKUP($C141,WeatherCapacityAdjustment,2))-FL141,0),0))</f>
        <v>#VALUE!</v>
      </c>
      <c r="FU141" s="1551" t="e">
        <f aca="false">IF(AND(Assumptions!$H$71="Yes",A141&gt;=Assumptions!$H$72,A141&lt;=Assumptions!$H$73),0,IF(AND($A141&gt;=Assumptions!$C$17,$A141&lt;=Assumptions!$C$18),MAX(BA141*(1+VLOOKUP($C141,WeatherCapacityAdjustment,2))-FM141,0),0))</f>
        <v>#VALUE!</v>
      </c>
      <c r="FV141" s="1551" t="e">
        <f aca="false">IF(AND(Assumptions!$H$71="Yes",A141&gt;=Assumptions!$H$72,A141&lt;=Assumptions!$H$73),0,IF(AND($A141&gt;=Assumptions!$C$17,$A141&lt;=Assumptions!$C$18),MAX(BB141*(1+VLOOKUP($C141,WeatherCapacityAdjustment,2))-FN141,0),0))</f>
        <v>#VALUE!</v>
      </c>
      <c r="FW141" s="1564" t="e">
        <f aca="false">IF(AND(Assumptions!$H$71="Yes",A141&gt;=Assumptions!$H$72,A141&lt;=Assumptions!$H$73),0,IF(AND($A141&gt;=Assumptions!$C$17,$A141&lt;=Assumptions!$C$18),MAX(BC141*(1+VLOOKUP($C141,WeatherCapacityAdjustment,3))-FO141,0),0))</f>
        <v>#VALUE!</v>
      </c>
      <c r="FX141" s="1569" t="e">
        <f aca="false">IF(AND(Assumptions!$H$71="Yes",A141&gt;=Assumptions!$H$72,A141&lt;=Assumptions!$H$73),0,IF(ET141&gt;0,MAX(BH141*(1+VLOOKUP($C141,WeatherCapacityAdjustment,2))-FP141,0),0))</f>
        <v>#VALUE!</v>
      </c>
      <c r="FY141" s="1551" t="e">
        <f aca="false">IF(AND(Assumptions!$H$71="Yes",A141&gt;=Assumptions!$H$72,A141&lt;=Assumptions!$H$73),0,IF(EU141&gt;0,MAX(BI141*(1+VLOOKUP($C141,WeatherCapacityAdjustment,3))-FQ141,0),0))</f>
        <v>#VALUE!</v>
      </c>
      <c r="FZ141" s="1551" t="e">
        <f aca="false">IF(AND(Assumptions!$H$71="Yes",A141&gt;=Assumptions!$H$72,A141&lt;=Assumptions!$H$73),0,IF(EV141&gt;0,MAX(BJ141*(1+VLOOKUP($C141,WeatherCapacityAdjustment,2))-FR141,0),0))</f>
        <v>#VALUE!</v>
      </c>
      <c r="GA141" s="1564" t="e">
        <f aca="false">IF(AND(Assumptions!$H$71="Yes",A141&gt;=Assumptions!$H$72,A141&lt;=Assumptions!$H$73),0,IF(EW141&gt;0,MAX(BK141*(1+VLOOKUP($C141,WeatherCapacityAdjustment,2))-FS141,0),0))</f>
        <v>#VALUE!</v>
      </c>
      <c r="GB141" s="1551" t="e">
        <f aca="false">SUM(FT141:GA141)</f>
        <v>#VALUE!</v>
      </c>
      <c r="GC141" s="1563" t="e">
        <f aca="false">+IF(SUM(FT141:GA141)=0,0,(SUMPRODUCT(BU141:BX141,FT141:FW141)+SUMPRODUCT(CA141:CD141,FX141:GA141))/SUM(FT141:GA141))</f>
        <v>#VALUE!</v>
      </c>
      <c r="GD141" s="1551" t="e">
        <f aca="false">(FT141*BU141+FX141*CA141+FU141*BV141+FY141*CB141+FV141*BW141+FZ141*CC141+FW141*BX141+GA141*CD141)</f>
        <v>#VALUE!</v>
      </c>
      <c r="GE141" s="1561" t="e">
        <f aca="false">+IF(BQ141,((FL141+FM141+FT141+FU141)*HeatRatePeak/1000*(1+VLOOKUP($C141,WeatherHeatRateAdjustment,2))+(FN141+FV141)*IF(EV141&gt;0,HeatRatePeak,HeatRateOffPeak)/1000*(1+VLOOKUP($C141,WeatherHeatRateAdjustment,2))+(FO141+FW141)*IF(EW141&gt;0,HeatRatePeak,HeatRateOffPeak)/1000*(1+VLOOKUP($C141,WeatherHeatRateAdjustment,3)))*(1+VLOOKUP($B141,HeatRateDegradation,$C141+1)),0)</f>
        <v>#VALUE!</v>
      </c>
      <c r="GF141" s="1562" t="e">
        <f aca="false">IF(BQ141,((FP141+FQ141+FR141+FX141+FY141+FZ141)*HeatRatePeak/1000*(1+VLOOKUP($C141,WeatherHeatRateAdjustment,2))+(FS141+GA141)*HeatRatePeak/1000*(1+VLOOKUP($C141,WeatherHeatRateAdjustment,3)))*(1+VLOOKUP($B141,HeatRateDegradation,$C141+1)),0)</f>
        <v>#VALUE!</v>
      </c>
      <c r="GG141" s="1563" t="e">
        <f aca="false">IF(BQ141,VLOOKUP(A141,GasTable,13),0)</f>
        <v>#VALUE!</v>
      </c>
      <c r="GH141" s="1564" t="e">
        <f aca="false">(GE141+GF141)*GG141</f>
        <v>#VALUE!</v>
      </c>
      <c r="GI141" s="1569" t="e">
        <f aca="false">GB141</f>
        <v>#VALUE!</v>
      </c>
      <c r="GJ141" s="1598" t="e">
        <f aca="false">+DA141</f>
        <v>#VALUE!</v>
      </c>
      <c r="GK141" s="1558" t="e">
        <f aca="false">+GI141*GJ141</f>
        <v>#VALUE!</v>
      </c>
      <c r="GL141" s="1566" t="e">
        <f aca="false">MAX(FE141-FL141-FP141,0)</f>
        <v>#VALUE!</v>
      </c>
      <c r="GM141" s="1551" t="e">
        <f aca="false">MAX(FF141-FM141-FQ141,0)</f>
        <v>#VALUE!</v>
      </c>
      <c r="GN141" s="1551" t="e">
        <f aca="false">MAX(FG141-FN141-FR141,0)</f>
        <v>#VALUE!</v>
      </c>
      <c r="GO141" s="1564" t="e">
        <f aca="false">MAX(FH141-FO141-FS141,0)</f>
        <v>#VALUE!</v>
      </c>
      <c r="GP141" s="1551" t="e">
        <f aca="false">SUM(GL141:GO141)</f>
        <v>#VALUE!</v>
      </c>
      <c r="GQ141" s="1563" t="e">
        <f aca="false">IF(SUM(GL141:GO141)=0,0,((GL141*BU141+GM141*BV141+GN141*BW141+GO141*BX141)/SUM(GL141:GO141)))</f>
        <v>#VALUE!</v>
      </c>
      <c r="GR141" s="1558" t="e">
        <f aca="false">(GL141*BU141+GM141*BV141+GN141*BW141+GO141*BX141)</f>
        <v>#VALUE!</v>
      </c>
      <c r="GS141" s="1566" t="n">
        <f aca="false">IF($A141&gt;=BegDate,Assumptions!$C$56*24*($A142-$A141)*(1-VLOOKUP($B141,MAIN!$AA$7:$AM$28,$C141+1))*(1-VLOOKUP($B141,MAIN!$AA$33:$AM$54,$C141+1)),0)*80/168</f>
        <v>249428.571428571</v>
      </c>
      <c r="GT141" s="286" t="n">
        <f aca="false">J141</f>
        <v>74.4758049834417</v>
      </c>
      <c r="GU141" s="286" t="n">
        <f aca="false">IF($A141&gt;=BegDate,VLOOKUP($A141,GasTable,13)+Assumptions!$C$58,0)</f>
        <v>3.0252794852724</v>
      </c>
      <c r="GV141" s="286" t="n">
        <f aca="false">GU141*Assumptions!$C$57/1000</f>
        <v>21.9332762682249</v>
      </c>
      <c r="GW141" s="1558" t="n">
        <f aca="false">IF(Assumptions!$C$60="Hourly",MAX(0,GS141*(GT141-GV141)),GS141*(GT141-GV141))</f>
        <v>13105607.8766812</v>
      </c>
      <c r="GX141" s="1566" t="n">
        <f aca="false">IF($A141&gt;=BegDate,Assumptions!$C$56*24*($A142-$A141)*(1-VLOOKUP($B141,MAIN!$AA$7:$AM$28,$C141+1))*(1-VLOOKUP($B141,MAIN!$AA$33:$AM$54,$C141+1)),0)*16/168</f>
        <v>49885.7142857143</v>
      </c>
      <c r="GY141" s="286" t="n">
        <f aca="false">M141</f>
        <v>74.4758049834417</v>
      </c>
      <c r="GZ141" s="286" t="n">
        <f aca="false">IF($A141&gt;=BegDate,VLOOKUP($A141,GasTable,13)+Assumptions!$C$58,0)</f>
        <v>3.0252794852724</v>
      </c>
      <c r="HA141" s="286" t="n">
        <f aca="false">GZ141*Assumptions!$C$57/1000</f>
        <v>21.9332762682249</v>
      </c>
      <c r="HB141" s="1558" t="n">
        <f aca="false">IF(Assumptions!$C$60="Hourly",MAX(0,GX141*(GY141-HA141)),GX141*(GY141-HA141))</f>
        <v>2621121.57533625</v>
      </c>
      <c r="HC141" s="1566" t="n">
        <f aca="false">IF($A141&gt;=BegDate,Assumptions!$C$56*24*($A142-$A141)*(1-VLOOKUP($B141,MAIN!$AA$7:$AM$28,$C141+1))*(1-VLOOKUP($B141,MAIN!$AA$33:$AM$54,$C141+1)),0)*16/168</f>
        <v>49885.7142857143</v>
      </c>
      <c r="HD141" s="286" t="n">
        <f aca="false">P141</f>
        <v>32.324684532211</v>
      </c>
      <c r="HE141" s="286" t="n">
        <f aca="false">IF($A141&gt;=BegDate,VLOOKUP($A141,GasTable,13)+Assumptions!$C$58,0)</f>
        <v>3.0252794852724</v>
      </c>
      <c r="HF141" s="286" t="n">
        <f aca="false">HE141*Assumptions!$C$57/1000</f>
        <v>21.9332762682249</v>
      </c>
      <c r="HG141" s="1558" t="n">
        <f aca="false">IF(Assumptions!$C$60="Hourly",MAX(0,HC141*(HD141-HF141)),HC141*(HD141-HF141))</f>
        <v>518382.823683421</v>
      </c>
      <c r="HH141" s="1566" t="n">
        <f aca="false">IF($A141&gt;=BegDate,Assumptions!$C$56*24*($A142-$A141)*(1-VLOOKUP($B141,MAIN!$AA$7:$AM$28,$C141+1))*(1-VLOOKUP($B141,MAIN!$AA$33:$AM$54,$C141+1)),0)*56/168</f>
        <v>174600</v>
      </c>
      <c r="HI141" s="286" t="n">
        <f aca="false">S141</f>
        <v>32.324684532211</v>
      </c>
      <c r="HJ141" s="286" t="n">
        <f aca="false">IF($A141&gt;=BegDate,VLOOKUP($A141,GasTable,13)+Assumptions!$C$58,0)</f>
        <v>3.0252794852724</v>
      </c>
      <c r="HK141" s="286" t="n">
        <f aca="false">HJ141*Assumptions!$C$57/1000</f>
        <v>21.9332762682249</v>
      </c>
      <c r="HL141" s="1558" t="n">
        <f aca="false">IF(Assumptions!$C$60="Hourly",MAX(0,HH141*(HI141-HK141)),HH141*(HI141-HK141))</f>
        <v>1814339.88289197</v>
      </c>
      <c r="HM141" s="1566" t="n">
        <f aca="false">IF(AND(Assumptions!$H$71="Yes",A141&gt;=Assumptions!$H$72,A141&lt;=Assumptions!$H$73),Assumptions!$H$74*Assumptions!$C$9*1000,0)</f>
        <v>0</v>
      </c>
      <c r="HN141" s="1551"/>
      <c r="HO141" s="1563"/>
      <c r="HP141" s="1563"/>
      <c r="HQ141" s="1563"/>
      <c r="HR141" s="1563"/>
      <c r="HS141" s="1563"/>
      <c r="HT141" s="1563"/>
      <c r="HU141" s="1563"/>
      <c r="HV141" s="1563"/>
      <c r="HW141" s="1563"/>
      <c r="HX141" s="1563"/>
      <c r="HY141" s="1563"/>
      <c r="HZ141" s="1563"/>
      <c r="IA141" s="1563"/>
      <c r="IB141" s="1563"/>
      <c r="IC141" s="1563"/>
      <c r="ID141" s="1563"/>
      <c r="IE141" s="1563"/>
      <c r="IF141" s="1563"/>
      <c r="IG141" s="1563"/>
      <c r="IH141" s="1563"/>
      <c r="II141" s="1610"/>
      <c r="IJ141" s="1309"/>
      <c r="IK141" s="1309"/>
    </row>
    <row r="142" customFormat="false" ht="12.75" hidden="false" customHeight="false" outlineLevel="0" collapsed="false">
      <c r="A142" s="1571" t="n">
        <f aca="false">EOMONTH(A141,0)+1</f>
        <v>40452</v>
      </c>
      <c r="B142" s="594" t="n">
        <f aca="false">+YEAR(A142)</f>
        <v>2010</v>
      </c>
      <c r="C142" s="238" t="n">
        <f aca="false">MONTH(A142)</f>
        <v>10</v>
      </c>
      <c r="D142" s="1572" t="e">
        <f aca="false">IF(E142="","",Holiday(B142,C142))</f>
        <v>#VALUE!</v>
      </c>
      <c r="E142" s="1573" t="n">
        <f aca="false">IF(OR(BegDate&gt;=A143,EndDate&lt;A142,AND(VolumeMonthlyOverFlag,INDEX(VolumeMonthlyOver,C142)=0),NOT(INDEX(MonthKnockOutTable,C142))),"",MAX(A142,BegDate))</f>
        <v>40452</v>
      </c>
      <c r="F142" s="1574" t="n">
        <f aca="false">IF(E142="","",MIN(A143-1,EndDate))</f>
        <v>40482</v>
      </c>
      <c r="G142" s="1575" t="n">
        <v>0</v>
      </c>
      <c r="H142" s="1576" t="n">
        <f aca="false">(1+G142/2)^(-2*(DATE(B143,C143,20)-DateToday)/365.25)</f>
        <v>1</v>
      </c>
      <c r="I142" s="1568" t="n">
        <f aca="false">IF(Assumptions!$L$25=4,VLOOKUP($A142,'Henwood Reference'!$E$9:$R$320,10),(VLOOKUP($A142,PriceTable,2,0)+IF(BasisNumber&lt;&gt;1,VLOOKUP($A142,BasisTable,2,0),0)+I$1)/(1-I$2))</f>
        <v>48.9744417171514</v>
      </c>
      <c r="J142" s="1568" t="n">
        <f aca="false">IF(Assumptions!$L$25=4,VLOOKUP($A142,'Henwood Reference'!$E$9:$R$320,10),(VLOOKUP($A142,PriceTable,3,0)+IF(BasisNumber&lt;&gt;1,VLOOKUP($A142,BasisTable,2,0),0)+J$1)/(1-J$2))</f>
        <v>48.9744417171514</v>
      </c>
      <c r="K142" s="1568" t="n">
        <f aca="false">IF(Assumptions!$L$25=4,VLOOKUP($A142,'Henwood Reference'!$E$9:$R$320,10),(VLOOKUP($A142,PriceTable,4,0)+IF(BasisNumber&lt;&gt;1,VLOOKUP($A142,BasisTable,2,0),0)+K$1)/(1-K$2))</f>
        <v>48.9744417171514</v>
      </c>
      <c r="L142" s="1523" t="n">
        <f aca="false">IF(Assumptions!$L$25=4,VLOOKUP($A142,'Henwood Reference'!$E$9:$R$320,10),(VLOOKUP($A142,PriceTableWeekend,2,0)+IF(BasisNumber&lt;&gt;1,VLOOKUP($A142,BasisTable,2,0),0)+L$1)/(1-L$2))</f>
        <v>48.9744417171514</v>
      </c>
      <c r="M142" s="1568" t="n">
        <f aca="false">IF(Assumptions!$L$25=4,VLOOKUP($A142,'Henwood Reference'!$E$9:$R$320,10),(VLOOKUP($A142,PriceTableWeekend,3,0)+IF(BasisNumber&lt;&gt;1,VLOOKUP($A142,BasisTable,2,0),0)+M$1)/(1-M$2))</f>
        <v>48.9744417171514</v>
      </c>
      <c r="N142" s="1599" t="n">
        <f aca="false">IF(Assumptions!$L$25=4,VLOOKUP($A142,'Henwood Reference'!$E$9:$R$320,10),(VLOOKUP($A142,PriceTableWeekend,4,0)+IF(BasisNumber&lt;&gt;1,VLOOKUP($A142,BasisTable,2,0),0)+N$1)/(1-N$2))</f>
        <v>48.9744417171514</v>
      </c>
      <c r="O142" s="1568" t="n">
        <f aca="false">IF(Assumptions!$L$25=4,VLOOKUP($A142,'Henwood Reference'!$E$9:$R$320,11),(VLOOKUP($A142,PriceTableWeekend,6,0)+IF(BasisNumber&lt;&gt;1,VLOOKUP($A142,BasisTable,3,0),0)+O$1)/(1-O$2))</f>
        <v>26.9967037212979</v>
      </c>
      <c r="P142" s="1568" t="n">
        <f aca="false">IF(Assumptions!$L$25=4,VLOOKUP($A142,'Henwood Reference'!$E$9:$R$320,11),(VLOOKUP($A142,PriceTableWeekend,7,0)+IF(BasisNumber&lt;&gt;1,VLOOKUP($A142,BasisTable,3,0),0)+P$1)/(1-P$2))</f>
        <v>26.9967037212979</v>
      </c>
      <c r="Q142" s="1599" t="n">
        <f aca="false">IF(Assumptions!$L$25=4,VLOOKUP($A142,'Henwood Reference'!$E$9:$R$320,11),(VLOOKUP($A142,PriceTableWeekend,8,0)+IF(BasisNumber&lt;&gt;1,VLOOKUP($A142,BasisTable,3,0),0)+Q$1)/(1-Q$2))</f>
        <v>26.9967037212979</v>
      </c>
      <c r="R142" s="1568" t="n">
        <f aca="false">IF(Assumptions!$L$25=4,VLOOKUP($A142,'Henwood Reference'!$E$9:$R$320,11),(VLOOKUP($A142,PriceTable,6,0)+IF(BasisNumber&lt;&gt;1,VLOOKUP($A142,BasisTable,3,0),0)+R$1)/(1-R$2))</f>
        <v>26.9967037212979</v>
      </c>
      <c r="S142" s="1568" t="n">
        <f aca="false">IF(Assumptions!$L$25=4,VLOOKUP($A142,'Henwood Reference'!$E$9:$R$320,11),(VLOOKUP($A142,PriceTable,7,0)+IF(BasisNumber&lt;&gt;1,VLOOKUP($A142,BasisTable,3,0),0)+S$1)/(1-S$2))</f>
        <v>26.9967037212979</v>
      </c>
      <c r="T142" s="1600" t="n">
        <f aca="false">IF(Assumptions!$L$25=4,VLOOKUP($A142,'Henwood Reference'!$E$9:$R$320,11),(VLOOKUP($A142,PriceTable,8,0)+IF(BasisNumber&lt;&gt;1,VLOOKUP($A142,BasisTable,3,0),0)+T$1)/(1-T$2))</f>
        <v>26.9967037212979</v>
      </c>
      <c r="U142" s="1513" t="n">
        <f aca="false">VLOOKUP($A142,VolatilityTable,14)</f>
        <v>0.12</v>
      </c>
      <c r="V142" s="1513" t="n">
        <f aca="false">VLOOKUP($A142,VolatilityTable,15)</f>
        <v>0.13</v>
      </c>
      <c r="W142" s="1514" t="n">
        <f aca="false">VLOOKUP($A142,VolatilityTable,16)</f>
        <v>0.14</v>
      </c>
      <c r="X142" s="1513" t="n">
        <f aca="false">VLOOKUP($A142,VolatilityTable,14)</f>
        <v>0.12</v>
      </c>
      <c r="Y142" s="1513" t="n">
        <f aca="false">VLOOKUP($A142,VolatilityTable,15)</f>
        <v>0.13</v>
      </c>
      <c r="Z142" s="1514" t="n">
        <f aca="false">VLOOKUP($A142,VolatilityTable,16)</f>
        <v>0.14</v>
      </c>
      <c r="AA142" s="1513" t="n">
        <f aca="false">VLOOKUP($A142,VolatilityTable,18)</f>
        <v>0.09</v>
      </c>
      <c r="AB142" s="1513" t="n">
        <f aca="false">VLOOKUP($A142,VolatilityTable,19)</f>
        <v>0.11</v>
      </c>
      <c r="AC142" s="1514" t="n">
        <f aca="false">VLOOKUP($A142,VolatilityTable,20)</f>
        <v>0.13</v>
      </c>
      <c r="AD142" s="1513" t="n">
        <f aca="false">VLOOKUP($A142,VolatilityTable,18)</f>
        <v>0.09</v>
      </c>
      <c r="AE142" s="1513" t="n">
        <f aca="false">VLOOKUP($A142,VolatilityTable,19)</f>
        <v>0.11</v>
      </c>
      <c r="AF142" s="1514" t="n">
        <f aca="false">VLOOKUP($A142,VolatilityTable,20)</f>
        <v>0.13</v>
      </c>
      <c r="AG142" s="1513" t="n">
        <f aca="false">VLOOKUP($A142,VolatilityTable,22)</f>
        <v>-0.1</v>
      </c>
      <c r="AH142" s="1513" t="n">
        <f aca="false">VLOOKUP($A142,VolatilityTable,23)</f>
        <v>0.6</v>
      </c>
      <c r="AI142" s="1514" t="n">
        <f aca="false">VLOOKUP($A142,VolatilityTable,24)</f>
        <v>0.1</v>
      </c>
      <c r="AJ142" s="1513" t="n">
        <f aca="false">VLOOKUP($A142,VolatilityTable,22)</f>
        <v>-0.1</v>
      </c>
      <c r="AK142" s="1513" t="n">
        <f aca="false">VLOOKUP($A142,VolatilityTable,23)</f>
        <v>0.6</v>
      </c>
      <c r="AL142" s="1514" t="n">
        <f aca="false">VLOOKUP($A142,VolatilityTable,24)</f>
        <v>0.1</v>
      </c>
      <c r="AM142" s="1513" t="n">
        <f aca="false">VLOOKUP($A142,VolatilityTable,26)</f>
        <v>-0.01</v>
      </c>
      <c r="AN142" s="1513" t="n">
        <f aca="false">VLOOKUP($A142,VolatilityTable,27)</f>
        <v>0.16</v>
      </c>
      <c r="AO142" s="1514" t="n">
        <f aca="false">VLOOKUP($A142,VolatilityTable,28)</f>
        <v>0.01</v>
      </c>
      <c r="AP142" s="1513" t="n">
        <f aca="false">VLOOKUP($A142,VolatilityTable,26)</f>
        <v>-0.01</v>
      </c>
      <c r="AQ142" s="1513" t="n">
        <f aca="false">VLOOKUP($A142,VolatilityTable,27)</f>
        <v>0.16</v>
      </c>
      <c r="AR142" s="1515" t="n">
        <f aca="false">VLOOKUP($A142,VolatilityTable,28)</f>
        <v>0.01</v>
      </c>
      <c r="AS142" s="1581" t="n">
        <f aca="false">IF(CorrPeakOffPeakOverFlag,INDEX(CorrPeakOffPeakOver,C142),CorrPeakOffPeak)</f>
        <v>0.5</v>
      </c>
      <c r="AT142" s="594" t="e">
        <f aca="false">AX142-SUM(AU142:AW142)</f>
        <v>#VALUE!</v>
      </c>
      <c r="AU142" s="238" t="e">
        <f aca="false">IF(E142="",0,INT((F142-MOD(F142,7)-E142)/7)+1-IF(AW142,IF(WEEKDAY(D142)=7,1,0),0))</f>
        <v>#VALUE!</v>
      </c>
      <c r="AV142" s="238" t="e">
        <f aca="false">IF(E142="",0,INT((F142-MOD(F142-1,7)-E142)/7)+1-IF(AW142,IF(WEEKDAY(D142)=1,1,0),0))</f>
        <v>#VALUE!</v>
      </c>
      <c r="AW142" s="238" t="e">
        <f aca="false">IF(OR(E142="",D142="",D142&lt;BegDate,D142&gt;EndDate),0,1)</f>
        <v>#VALUE!</v>
      </c>
      <c r="AX142" s="238" t="n">
        <f aca="false">IF(E142="",0,F142-E142+1)</f>
        <v>31</v>
      </c>
      <c r="AY142" s="1582" t="n">
        <f aca="false">IF(E142="",0,MIN((1-(1-VLOOKUP(B142,MAIN!$AA$7:$AM$28,C142+1))*(1-VLOOKUP(B142,MAIN!$AA$33:$AM$54,C142+1))),1))</f>
        <v>0.03</v>
      </c>
      <c r="AZ142" s="1519" t="e">
        <v>#VALUE!</v>
      </c>
      <c r="BA142" s="1520" t="e">
        <v>#VALUE!</v>
      </c>
      <c r="BB142" s="1520" t="e">
        <v>#VALUE!</v>
      </c>
      <c r="BC142" s="1583" t="e">
        <v>#VALUE!</v>
      </c>
      <c r="BD142" s="1522" t="e">
        <v>#VALUE!</v>
      </c>
      <c r="BE142" s="1523" t="e">
        <v>#VALUE!</v>
      </c>
      <c r="BF142" s="1523" t="e">
        <v>#VALUE!</v>
      </c>
      <c r="BG142" s="1584" t="e">
        <v>#VALUE!</v>
      </c>
      <c r="BH142" s="1525" t="e">
        <v>#VALUE!</v>
      </c>
      <c r="BI142" s="1520" t="e">
        <v>#VALUE!</v>
      </c>
      <c r="BJ142" s="1520" t="e">
        <v>#VALUE!</v>
      </c>
      <c r="BK142" s="1583" t="e">
        <v>#VALUE!</v>
      </c>
      <c r="BL142" s="1522" t="e">
        <v>#VALUE!</v>
      </c>
      <c r="BM142" s="1523" t="e">
        <v>#VALUE!</v>
      </c>
      <c r="BN142" s="1523" t="e">
        <v>#VALUE!</v>
      </c>
      <c r="BO142" s="1523" t="e">
        <v>#VALUE!</v>
      </c>
      <c r="BP142" s="1525" t="e">
        <f aca="false">SUM(AZ142:BB142)</f>
        <v>#VALUE!</v>
      </c>
      <c r="BQ142" s="1529" t="e">
        <f aca="false">SUM(AZ142:BC142)</f>
        <v>#VALUE!</v>
      </c>
      <c r="BR142" s="1519" t="e">
        <f aca="false">SUM(BH142:BJ142)</f>
        <v>#VALUE!</v>
      </c>
      <c r="BS142" s="1529" t="e">
        <f aca="false">SUM(BH142:BK142)</f>
        <v>#VALUE!</v>
      </c>
      <c r="BT142" s="1316" t="n">
        <f aca="false">(IF(OVolType&lt;&gt;2,A142+14,IF(OptExpDateShift,ShiftBack(A142,OptExpDateShift,D141),A142))-DateToday)/365.25</f>
        <v>10.4640657084189</v>
      </c>
      <c r="BU142" s="1585" t="e">
        <f aca="false">IF(BQ142,IF(OPriceCurve,IF(OBuySell=OCallPut,I142/(1-AY142),K142/(1-AY142)),J142/(1-AY142))*BD142,0)</f>
        <v>#VALUE!</v>
      </c>
      <c r="BV142" s="1316" t="e">
        <f aca="false">IF(BQ142,IF(OPriceCurve,IF(OBuySell=OCallPut,L142/(1-AY142),N142/(1-AY142)),M142/(1-AY142))*BE142,0)</f>
        <v>#VALUE!</v>
      </c>
      <c r="BW142" s="1316" t="e">
        <f aca="false">IF(BQ142,IF(OPriceCurve,IF(OBuySell=OCallPut,O142/(1-AY142),Q142/(1-AY142)),P142/(1-AY142))*BF142,0)</f>
        <v>#VALUE!</v>
      </c>
      <c r="BX142" s="1316" t="e">
        <f aca="false">IF(BQ142,IF(OPriceCurve,IF(OBuySell=OCallPut,R142/(1-AY142),T142/(1-AY142)),S142/(1-AY142))*BG142,0)</f>
        <v>#VALUE!</v>
      </c>
      <c r="BY142" s="1316" t="e">
        <f aca="false">IF(BP142,(BU142*AZ142+BV142*BA142+BW142*BB142)/BP142,0)</f>
        <v>#VALUE!</v>
      </c>
      <c r="BZ142" s="1316" t="e">
        <f aca="false">IF(BQ142,(BY142*BP142+BX142*BC142)/BQ142,0)</f>
        <v>#VALUE!</v>
      </c>
      <c r="CA142" s="1531" t="e">
        <f aca="false">IF(BS142,IF(OPriceCurve,IF(OBuySell=OCallPut,I142/(1-AY142),K142/(1-AY142)),J142/(1-AY142))*BL142,0)</f>
        <v>#VALUE!</v>
      </c>
      <c r="CB142" s="1316" t="e">
        <f aca="false">IF(BS142,IF(OPriceCurve,IF(OBuySell=OCallPut,L142/(1-AY142),N142/(1-AY142)),M142/(1-AY142))*BM142,0)</f>
        <v>#VALUE!</v>
      </c>
      <c r="CC142" s="1316" t="e">
        <f aca="false">IF(BS142,IF(OPriceCurve,IF(OBuySell=OCallPut,O142/(1-AY142),Q142/(1-AY142)),P142/(1-AY142))*BN142,0)</f>
        <v>#VALUE!</v>
      </c>
      <c r="CD142" s="1316" t="e">
        <f aca="false">IF(BS142,IF(OPriceCurve,IF(OBuySell=OCallPut,R142/(1-AY142),T142/(1-AY142)),S142/(1-AY142))*BO142,0)</f>
        <v>#VALUE!</v>
      </c>
      <c r="CE142" s="1316" t="e">
        <f aca="false">IF(BR142,(BU142*BH142+BV142*BI142+BW142*BJ142)/BR142,0)</f>
        <v>#VALUE!</v>
      </c>
      <c r="CF142" s="1532" t="e">
        <f aca="false">IF(BS142,(CE142*BR142+CD142*BK142)/BS142,0)</f>
        <v>#VALUE!</v>
      </c>
      <c r="CG142" s="1586" t="e">
        <f aca="false">IF(OR(BQ142,BS142),IF(OVolType&lt;&gt;2,SQRT(IF(OVolOverMonthlyPeak,OVolOverMonthlyPeak,IF(OVolCurve,IF(OBuySell,U142,W142),V142))^2*(1-15/365.25/BT142)+IF(OVolOverDailyPeak,OVolOverDailyPeak,IF(OVolCurve,IF(OBuySell,AG142,AI142),AH142))^2*15/365.25/BT142),IF(OVolOverMonthlyPeak,OVolOverMonthlyPeak,IF(OVolCurve,IF(OBuySell,U142,W142),V142))),"")</f>
        <v>#VALUE!</v>
      </c>
      <c r="CH142" s="1587" t="e">
        <f aca="false">IF(OR(BQ142,BS142),IF(OVolType&lt;&gt;2,SQRT(IF(OVolOverMonthlyPeak,OVolOverMonthlyPeak,IF(OVolCurve,IF(OBuySell,X142,Z142),Y142))^2*(1-15/365.25/BT142)+IF(OVolOverDailyPeak,OVolOverDailyPeak,IF(OVolCurve,IF(OBuySell,AJ142,AL142),AK142))^2*15/365.25/BT142),IF(OVolOverMonthlyPeak,OVolOverMonthlyPeak,IF(OVolCurve,IF(OBuySell,X142,Z142),Y142))),"")</f>
        <v>#VALUE!</v>
      </c>
      <c r="CI142" s="1587" t="e">
        <f aca="false">IF(OR(BQ142,BS142),IF(OVolType&lt;&gt;2,SQRT(IF(OVolOverMonthlyPeak,OVolOverMonthlyPeak,IF(OVolCurve,IF(OBuySell,AA142,AC142),AB142))^2*(1-15/365.25/BT142)+IF(OVolOverDailyPeak,OVolOverDailyPeak,IF(OVolCurve,IF(OBuySell,AM142,AO142),AN142))^2*15/365.25/BT142),IF(OVolOverMonthlyPeak,OVolOverMonthlyPeak,IF(OVolCurve,IF(OBuySell,AA142,AC142),AB142))),"")</f>
        <v>#VALUE!</v>
      </c>
      <c r="CJ142" s="1587" t="e">
        <f aca="false">IF(BQ142,IF(BP142,SQRT(LN(1+((BU142*AZ142)^2*(EXP(CG142^2*BT142)-1)+(BV142*BA142)^2*(EXP(CH142^2*BT142)-1)+(BW142*BB142)^2*(EXP(CI142^2*BT142)-1)+2*BU142*AZ142*BV142*BA142*(EXP(CG142*CH142*BT142)-1)+2*BV142*BA142*BW142*BB142*(EXP(CH142*CI142*BT142)-1)+2*BW142*BB142*BU142*AZ142*(EXP(CI142*CG142*BT142)-1))/(BY142*BP142)^2)/BT142),0),"")</f>
        <v>#VALUE!</v>
      </c>
      <c r="CK142" s="1587" t="e">
        <f aca="false">IF(BS142,IF(BR142,SQRT(LN(1+((CA142*BH142)^2*(EXP(CG142^2*BT142)-1)+(CB142*BI142)^2*(EXP(CH142^2*BT142)-1)+(CC142*BJ142)^2*(EXP(CI142^2*BT142)-1)+2*CA142*BH142*CB142*BI142*(EXP(CG142*CH142*BT142)-1)+2*CB142*BI142*CC142*BJ142*(EXP(CH142*CI142*BT142)-1)+2*CC142*BJ142*CA142*BH142*(EXP(CI142*CG142*BT142)-1))/(CE142*BR142)^2)/BT142),0),"")</f>
        <v>#VALUE!</v>
      </c>
      <c r="CL142" s="1587" t="e">
        <f aca="false">IF(OR(BQ142,BS142),IF(OVolType&lt;&gt;2,SQRT(IF(OVolOverMonthlyOffPeak,OVolOverMonthlyOffPeak,IF(OVolCurve,IF(OBuySell,AD142,AF142),AE142))^2*(1-15/365.25/BT142)+IF(OVolOverDailyOffPeak,OVolOverDailyOffPeak,IF(OVolCurve,IF(OBuySell,AP142,AR142),AQ142))^2*15/365.25/BT142),IF(OVolOverMonthlyOffPeak,OVolOverMonthlyOffPeak,IF(OVolCurve,IF(OBuySell,AD142,AF142),AE142))),"")</f>
        <v>#VALUE!</v>
      </c>
      <c r="CM142" s="1587" t="e">
        <f aca="false">IF(BQ142,SQRT(LN(1+((BY142*BP142)^2*(EXP(CJ142^2*BT142)-1)+(BX142*BC142)^2*(EXP(CL142^2*BT142)-1)+2*BY142*BP142*BX142*BC142*(EXP(AS142*CJ142*CL142*BT142)-1))/(BY142*BP142+BX142*BC142)^2)/BT142),"")</f>
        <v>#VALUE!</v>
      </c>
      <c r="CN142" s="1588" t="e">
        <f aca="false">IF(BS142,SQRT(LN(1+((CE142*BR142)^2*(EXP(CK142^2*BT142)-1)+(CD142*BK142)^2*(EXP(CL142^2*BT142)-1)+2*CE142*BR142*CD142*BK142*(EXP(AS142*CK142*CL142*BT142)-1))/(CE142*BR142+CD142*BK142)^2)/BT142),"")</f>
        <v>#VALUE!</v>
      </c>
      <c r="CO142" s="1531" t="e">
        <f aca="false">IF(OR(BQ142,BS142),VLOOKUP(A142,GasTable,13)*HeatRatePeak*(1+VLOOKUP($B142,HeatRateDegradation,$C142+1))/1000,0)</f>
        <v>#VALUE!</v>
      </c>
      <c r="CP142" s="1316" t="e">
        <f aca="false">IF(OR(BQ142,BS142),VLOOKUP(A142,GasTable,13)*HeatRatePeak*(1+VLOOKUP($B142,HeatRateDegradation,$C142+1))/1000,0)</f>
        <v>#VALUE!</v>
      </c>
      <c r="CQ142" s="1316" t="e">
        <f aca="false">IF(OR(BQ142,BS142),VLOOKUP(A142,GasTable,13)*IF(EV142,HeatRatePeak,HeatRateOffPeak)*(1+VLOOKUP($B142,HeatRateDegradation,$C142+1))/1000,0)</f>
        <v>#VALUE!</v>
      </c>
      <c r="CR142" s="1316" t="e">
        <f aca="false">IF(OR(BQ142,BS142),VLOOKUP(A142,GasTable,13)*IF(EW142,HeatRatePeak,HeatRateOffPeak)*(1+VLOOKUP($B142,HeatRateDegradation,$C142+1))/1000,0)</f>
        <v>#VALUE!</v>
      </c>
      <c r="CS142" s="1589" t="e">
        <f aca="false">IF(BQ142,(CO142*AZ142+CP142*BA142+CQ142*BB142+CR142*BC142)/BQ142,0)</f>
        <v>#VALUE!</v>
      </c>
      <c r="CT142" s="1316" t="e">
        <f aca="false">IF(BS142,CO142,0)</f>
        <v>#VALUE!</v>
      </c>
      <c r="CU142" s="1590" t="e">
        <f aca="false">IF(OR(BQ142,BS142),VLOOKUP(A142,GasTable,14),"")</f>
        <v>#VALUE!</v>
      </c>
      <c r="CV142" s="1568" t="e">
        <f aca="false">IF(OR(BQ142,BS142),IF(CorrPowerGasOverFlag,INDEX(CorrPowerGasOver,C142),CorrPowerGas),"")</f>
        <v>#VALUE!</v>
      </c>
      <c r="CW142" s="1316" t="e">
        <f aca="false">IF(OR($BQ142,$BS142),SpreadOptPowerMargin,0)*((1+Assumptions!$C$26)^($B142-YEAR(Assumptions!$C$17)))</f>
        <v>#VALUE!</v>
      </c>
      <c r="CX142" s="1316" t="e">
        <f aca="false">IF(OR($BQ142,$BS142),SpreadOptPowerMargin,0)*((1+Assumptions!$C$26)^($B142-YEAR(Assumptions!$C$17)))</f>
        <v>#VALUE!</v>
      </c>
      <c r="CY142" s="1316" t="e">
        <f aca="false">IF(OR($BQ142,$BS142),SpreadOptPowerMargin,0)*((1+Assumptions!$C$26)^($B142-YEAR(Assumptions!$C$17)))</f>
        <v>#VALUE!</v>
      </c>
      <c r="CZ142" s="1316" t="e">
        <f aca="false">IF(OR($BQ142,$BS142),SpreadOptPowerMargin,0)*((1+Assumptions!$C$26)^($B142-YEAR(Assumptions!$C$17)))</f>
        <v>#VALUE!</v>
      </c>
      <c r="DA142" s="1591" t="e">
        <f aca="false">IF(OR(BQ142,BS142),(CW142*(AZ142+BH142)+CX142*(BA142+BI142)+CY142*(BB142+BJ142)+CZ142*(BC142+BK142))/(BQ142+BS142),0)</f>
        <v>#VALUE!</v>
      </c>
      <c r="DB142" s="1592" t="e">
        <f aca="false">IF(OR(BQ142,BS142),CG142+IF(OVolSmile,VLOOKUP(MAX(-5,CO142+CW142-BU142),IF(OVolSmile=1,VolSmileBook,VolSmileModel),2),0),"")</f>
        <v>#VALUE!</v>
      </c>
      <c r="DC142" s="1592" t="e">
        <f aca="false">IF(OR(BQ142,BS142),CH142+IF(OVolSmile,VLOOKUP(MAX(-5,CP142+CW142-BV142),IF(OVolSmile=1,VolSmileBook,VolSmileModel),2),0),"")</f>
        <v>#VALUE!</v>
      </c>
      <c r="DD142" s="1592" t="e">
        <f aca="false">IF(OR(BQ142,BS142),CI142+IF(OVolSmile,VLOOKUP(MAX(-5,CQ142+CW142-BW142),IF(OVolSmile=1,VolSmileBook,VolSmileModel),2),0),"")</f>
        <v>#VALUE!</v>
      </c>
      <c r="DE142" s="1592" t="e">
        <f aca="false">IF(OR(BQ142,BS142),CL142+IF(OVolSmile,VLOOKUP(MAX(-5,CR142+CZ142-BX142),IF(OVolSmile=1,VolSmileBook,VolSmileModel),2),0),"")</f>
        <v>#VALUE!</v>
      </c>
      <c r="DF142" s="1592" t="e">
        <f aca="false">IF(BQ142,CM142+IF(OVolSmile,VLOOKUP(MAX(-5,CS142+DA142-BZ142),IF(OVolSmile=1,VolSmileBook,VolSmileModel),2),0),"")</f>
        <v>#VALUE!</v>
      </c>
      <c r="DG142" s="1593" t="e">
        <f aca="false">IF(BS142,CN142+IF(OVolSmile,VLOOKUP(MAX(-5,CT142+DA142-CF142),IF(OVolSmile=1,VolSmileBook,VolSmileModel),2),0),"")</f>
        <v>#VALUE!</v>
      </c>
      <c r="DH142" s="1316" t="e">
        <f aca="false">IF(AND(BU142&gt;0,CO142&gt;0,DB142&gt;0,CU142&gt;0),newSPRDOPT(BU142,CO142,CW142,0,DB142,CU142,CV142,BT142*365.25,OCallPut,0),0)</f>
        <v>#VALUE!</v>
      </c>
      <c r="DI142" s="1316" t="e">
        <f aca="false">IF(AND(BV142&gt;0,CP142&gt;0,DC142&gt;0,CU142&gt;0),newSPRDOPT(BV142,CP142,CX142,0,DC142,CU142,CV142,BT142*365.25,OCallPut,0),0)</f>
        <v>#VALUE!</v>
      </c>
      <c r="DJ142" s="1316" t="e">
        <f aca="false">IF(AND(BW142&gt;0,CQ142&gt;0,DD142&gt;0,CU142&gt;0),newSPRDOPT(BW142,CQ142,CY142,0,DD142,CU142,CV142,BT142*365.25,OCallPut,0),0)</f>
        <v>#VALUE!</v>
      </c>
      <c r="DK142" s="1316" t="e">
        <f aca="false">IF(AND(BX142&gt;0,CR142&gt;0,DE142&gt;0,CU142&gt;0),newSPRDOPT(BX142,CR142,CZ142,0,DE142,CU142,CV142,BT142*365.25,OCallPut,0),0)</f>
        <v>#VALUE!</v>
      </c>
      <c r="DL142" s="1316" t="e">
        <f aca="false">IF(OVolType,IF(AND(BZ142&gt;0,CS142&gt;0,DF142&gt;0,CU142&gt;0),newSPRDOPT(BZ142,CS142,DA142,0,DF142,CU142,CV142,BT142*365.25,OCallPut,0),0),IF(BQ142,(DH142*AZ142+DI142*BA142+DJ142*BB142+DK142*BC142)/BQ142,0))</f>
        <v>#VALUE!</v>
      </c>
      <c r="DM142" s="1316"/>
      <c r="DN142" s="1316"/>
      <c r="DO142" s="1316"/>
      <c r="DP142" s="1316"/>
      <c r="DQ142" s="1316"/>
      <c r="DR142" s="1316"/>
      <c r="DS142" s="1316"/>
      <c r="DT142" s="1316"/>
      <c r="DU142" s="1316"/>
      <c r="DV142" s="1316"/>
      <c r="DW142" s="1594" t="e">
        <f aca="false">IF(AND(BW142&gt;0,CT142&gt;0,DD142&gt;0,CU142&gt;0),newSPRDOPT(BW142,CT142,CY142,0,DD142,CU142,CV142,BT142*365.25,OCallPut,0),0)</f>
        <v>#VALUE!</v>
      </c>
      <c r="DX142" s="1316" t="e">
        <f aca="false">IF(AND(BX142&gt;0,CT142&gt;0,DE142&gt;0,CU142&gt;0),newSPRDOPT(BX142,CT142,CZ142,0,DE142,CU142,CV142,BT142*365.25,OCallPut,0),0)</f>
        <v>#VALUE!</v>
      </c>
      <c r="DY142" s="1591" t="e">
        <f aca="false">IF(BS142,(DH142*BH142+DI142*BI142+DW142*BJ142+DX142*BK142)/BS142,0)</f>
        <v>#VALUE!</v>
      </c>
      <c r="DZ142" s="1551" t="e">
        <f aca="false">DH142*AZ142</f>
        <v>#VALUE!</v>
      </c>
      <c r="EA142" s="1551" t="e">
        <f aca="false">DI142*BA142</f>
        <v>#VALUE!</v>
      </c>
      <c r="EB142" s="1551" t="e">
        <f aca="false">DJ142*BB142</f>
        <v>#VALUE!</v>
      </c>
      <c r="EC142" s="1551" t="e">
        <f aca="false">DK142*BC142</f>
        <v>#VALUE!</v>
      </c>
      <c r="ED142" s="1551" t="e">
        <f aca="false">DL142*BQ142</f>
        <v>#VALUE!</v>
      </c>
      <c r="EE142" s="1595" t="e">
        <f aca="false">IF(BQ142,IF(OCallPut,IF(BU142&gt;(CO142+CW142),BU142-(CO142+CW142),0),IF((CO142+CW142)&gt;BU142,(CO142+CW142)-BU142,0))*AZ142,0)</f>
        <v>#VALUE!</v>
      </c>
      <c r="EF142" s="1596" t="e">
        <f aca="false">IF(BQ142,IF(OCallPut,IF(BV142&gt;(CP142+CX142),BV142-(CP142+CX142),0),IF((CP142+CX142)&gt;BV142,(CP142+CX142)-BV142,0))*BA142,0)</f>
        <v>#VALUE!</v>
      </c>
      <c r="EG142" s="1596" t="e">
        <f aca="false">IF(BQ142,IF(OCallPut,IF(BW142&gt;(CQ142+CY142),BW142-(CQ142+CY142),0),IF((CQ142+CY142)&gt;BW142,(CQ142+CY142)-BW142,0))*BB142,0)</f>
        <v>#VALUE!</v>
      </c>
      <c r="EH142" s="1596" t="e">
        <f aca="false">IF(BQ142,IF(OCallPut,IF(BX142&gt;(CR142+CZ142),BX142-(CR142+CZ142),0),IF((CR142+CZ142)&gt;BX142,(CR142+CZ142)-BX142,0))*BC142,0)</f>
        <v>#VALUE!</v>
      </c>
      <c r="EI142" s="1597" t="e">
        <f aca="false">IF(BQ142,IF(OVolType,IF(OCallPut,IF(BZ142&gt;(CS142+DA142),BZ142-(CS142+DA142),0),IF((CS142+DA142)&gt;BZ142,(CS142+DA142)-BZ142,0))*BQ142,SUM(EE142:EH142)),0)</f>
        <v>#VALUE!</v>
      </c>
      <c r="EJ142" s="1595" t="e">
        <f aca="false">DZ142-EE142</f>
        <v>#VALUE!</v>
      </c>
      <c r="EK142" s="1596" t="e">
        <f aca="false">EA142-EF142</f>
        <v>#VALUE!</v>
      </c>
      <c r="EL142" s="1596" t="e">
        <f aca="false">EB142-EG142</f>
        <v>#VALUE!</v>
      </c>
      <c r="EM142" s="1596" t="e">
        <f aca="false">EC142-EH142</f>
        <v>#VALUE!</v>
      </c>
      <c r="EN142" s="1597" t="e">
        <f aca="false">ED142-EI142</f>
        <v>#VALUE!</v>
      </c>
      <c r="EO142" s="1551" t="e">
        <f aca="false">DH142*BH142</f>
        <v>#VALUE!</v>
      </c>
      <c r="EP142" s="1551" t="e">
        <f aca="false">DI142*BI142</f>
        <v>#VALUE!</v>
      </c>
      <c r="EQ142" s="1551" t="e">
        <f aca="false">DW142*BJ142</f>
        <v>#VALUE!</v>
      </c>
      <c r="ER142" s="1551" t="e">
        <f aca="false">DX142*BK142</f>
        <v>#VALUE!</v>
      </c>
      <c r="ES142" s="1551" t="e">
        <f aca="false">DY142*BS142</f>
        <v>#VALUE!</v>
      </c>
      <c r="ET142" s="1566" t="e">
        <f aca="false">IF(EI142,IF(OCallPut,IF(CA142&gt;(CT142+CW142),CA142-(CT142+CW142),0),IF((CT142+CW142)&gt;CA142,(CT142+CW142)-CA142,0))*BH142,0)</f>
        <v>#VALUE!</v>
      </c>
      <c r="EU142" s="1551" t="e">
        <f aca="false">IF(EI142,IF(OCallPut,IF(CB142&gt;(CT142+CX142),CB142-(CT142+CX142),0),IF((CT142+CX142)&gt;CB142,(CT142+CX142)-CB142,0))*BI142,0)</f>
        <v>#VALUE!</v>
      </c>
      <c r="EV142" s="1551" t="e">
        <f aca="false">IF(EI142,IF(OCallPut,IF(CC142&gt;(CT142+CY142),CC142-(CT142+CY142),0),IF((CT142+CY142)&gt;CC142,(CT142+CY142)-CC142,0))*BJ142,0)</f>
        <v>#VALUE!</v>
      </c>
      <c r="EW142" s="1551" t="e">
        <f aca="false">IF(EI142,IF(OCallPut,IF(CD142&gt;(CT142+CZ142),CD142-(CT142+CZ142),0),IF((CT142+CZ142)&gt;CD142,(CT142+CZ142)-CD142,0))*BK142,0)</f>
        <v>#VALUE!</v>
      </c>
      <c r="EX142" s="1558" t="e">
        <f aca="false">IF(EI142,SUM(ET142:EW142),0)</f>
        <v>#VALUE!</v>
      </c>
      <c r="EY142" s="1551" t="e">
        <f aca="false">EO142-ET142</f>
        <v>#VALUE!</v>
      </c>
      <c r="EZ142" s="1551" t="e">
        <f aca="false">EP142-EU142</f>
        <v>#VALUE!</v>
      </c>
      <c r="FA142" s="1551" t="e">
        <f aca="false">EQ142-EV142</f>
        <v>#VALUE!</v>
      </c>
      <c r="FB142" s="1551" t="e">
        <f aca="false">ER142-EW142</f>
        <v>#VALUE!</v>
      </c>
      <c r="FC142" s="1551" t="e">
        <f aca="false">ES142-EX142</f>
        <v>#VALUE!</v>
      </c>
      <c r="FD142" s="1525" t="n">
        <f aca="false">IF(AX142,IF(VLOOKUP(C142,MAIN!$L$17:$M$28,2)="Yes",VLOOKUP(CALC!B142,MAIN!$H$17:$I$20,2),0),0)</f>
        <v>0</v>
      </c>
      <c r="FE142" s="1552" t="e">
        <f aca="false">$FD142*16*AT142*(1-$AY142)</f>
        <v>#VALUE!</v>
      </c>
      <c r="FF142" s="1553" t="e">
        <f aca="false">$FD142*16*AU142*(1-$AY142)</f>
        <v>#VALUE!</v>
      </c>
      <c r="FG142" s="1553" t="e">
        <f aca="false">$FD142*16*(AV142+AW142)*(1-$AY142)</f>
        <v>#VALUE!</v>
      </c>
      <c r="FH142" s="1554" t="n">
        <f aca="false">$FD142*8*AX142*(1-$AY142)</f>
        <v>0</v>
      </c>
      <c r="FI142" s="1555" t="n">
        <f aca="false">IF(AX142,VLOOKUP(CALC!B142,MAIN!$H$17:$K$20,4),0)</f>
        <v>0</v>
      </c>
      <c r="FJ142" s="1553" t="e">
        <f aca="false">SUM(FE142:FH142)</f>
        <v>#VALUE!</v>
      </c>
      <c r="FK142" s="1556" t="e">
        <f aca="false">FI142*FJ142</f>
        <v>#VALUE!</v>
      </c>
      <c r="FL142" s="1551" t="e">
        <f aca="false">IF($EI142&gt;0,MIN(FE142,AZ142*(1+VLOOKUP($C142,WeatherCapacityAdjustment,2))),0)</f>
        <v>#VALUE!</v>
      </c>
      <c r="FM142" s="1551" t="e">
        <f aca="false">IF($EI142&gt;0,MIN(FF142,BA142*(1+VLOOKUP($C142,WeatherCapacityAdjustment,2))),0)</f>
        <v>#VALUE!</v>
      </c>
      <c r="FN142" s="1551" t="e">
        <f aca="false">IF($EI142&gt;0,MIN(FG142,BB142*(1+VLOOKUP($C142,WeatherCapacityAdjustment,2))),0)</f>
        <v>#VALUE!</v>
      </c>
      <c r="FO142" s="1564" t="e">
        <f aca="false">IF($EI142&gt;0,MIN(FH142,BC142*(1+VLOOKUP($C142,WeatherCapacityAdjustment,3))),0)</f>
        <v>#VALUE!</v>
      </c>
      <c r="FP142" s="1551" t="e">
        <f aca="false">IF(ET142&gt;0,MIN(FE142-FL142,BH142*(1+VLOOKUP($C142,WeatherCapacityAdjustment,2))),0)</f>
        <v>#VALUE!</v>
      </c>
      <c r="FQ142" s="1551" t="e">
        <f aca="false">IF(EU142&gt;0,MIN(FF142-FM142,BI142*(1+VLOOKUP($C142,WeatherCapacityAdjustment,2))),0)</f>
        <v>#VALUE!</v>
      </c>
      <c r="FR142" s="1551" t="e">
        <f aca="false">IF(EV142&gt;0,MIN(FG142-FN142,BJ142*(1+VLOOKUP($C142,WeatherCapacityAdjustment,2))),0)</f>
        <v>#VALUE!</v>
      </c>
      <c r="FS142" s="1558" t="e">
        <f aca="false">IF(EW142&gt;0,MIN(FH142-FO142,BK142*(1+VLOOKUP($C142,WeatherCapacityAdjustment,3))),0)</f>
        <v>#VALUE!</v>
      </c>
      <c r="FT142" s="1566" t="e">
        <f aca="false">IF(AND(Assumptions!$H$71="Yes",A142&gt;=Assumptions!$H$72,A142&lt;=Assumptions!$H$73),0,IF(AND($A142&gt;=Assumptions!$C$17,$A142&lt;=Assumptions!$C$18),MAX(AZ142*(1+VLOOKUP($C142,WeatherCapacityAdjustment,2))-FL142,0),0))</f>
        <v>#VALUE!</v>
      </c>
      <c r="FU142" s="1551" t="e">
        <f aca="false">IF(AND(Assumptions!$H$71="Yes",A142&gt;=Assumptions!$H$72,A142&lt;=Assumptions!$H$73),0,IF(AND($A142&gt;=Assumptions!$C$17,$A142&lt;=Assumptions!$C$18),MAX(BA142*(1+VLOOKUP($C142,WeatherCapacityAdjustment,2))-FM142,0),0))</f>
        <v>#VALUE!</v>
      </c>
      <c r="FV142" s="1551" t="e">
        <f aca="false">IF(AND(Assumptions!$H$71="Yes",A142&gt;=Assumptions!$H$72,A142&lt;=Assumptions!$H$73),0,IF(AND($A142&gt;=Assumptions!$C$17,$A142&lt;=Assumptions!$C$18),MAX(BB142*(1+VLOOKUP($C142,WeatherCapacityAdjustment,2))-FN142,0),0))</f>
        <v>#VALUE!</v>
      </c>
      <c r="FW142" s="1564" t="e">
        <f aca="false">IF(AND(Assumptions!$H$71="Yes",A142&gt;=Assumptions!$H$72,A142&lt;=Assumptions!$H$73),0,IF(AND($A142&gt;=Assumptions!$C$17,$A142&lt;=Assumptions!$C$18),MAX(BC142*(1+VLOOKUP($C142,WeatherCapacityAdjustment,3))-FO142,0),0))</f>
        <v>#VALUE!</v>
      </c>
      <c r="FX142" s="1569" t="e">
        <f aca="false">IF(AND(Assumptions!$H$71="Yes",A142&gt;=Assumptions!$H$72,A142&lt;=Assumptions!$H$73),0,IF(ET142&gt;0,MAX(BH142*(1+VLOOKUP($C142,WeatherCapacityAdjustment,2))-FP142,0),0))</f>
        <v>#VALUE!</v>
      </c>
      <c r="FY142" s="1551" t="e">
        <f aca="false">IF(AND(Assumptions!$H$71="Yes",A142&gt;=Assumptions!$H$72,A142&lt;=Assumptions!$H$73),0,IF(EU142&gt;0,MAX(BI142*(1+VLOOKUP($C142,WeatherCapacityAdjustment,3))-FQ142,0),0))</f>
        <v>#VALUE!</v>
      </c>
      <c r="FZ142" s="1551" t="e">
        <f aca="false">IF(AND(Assumptions!$H$71="Yes",A142&gt;=Assumptions!$H$72,A142&lt;=Assumptions!$H$73),0,IF(EV142&gt;0,MAX(BJ142*(1+VLOOKUP($C142,WeatherCapacityAdjustment,2))-FR142,0),0))</f>
        <v>#VALUE!</v>
      </c>
      <c r="GA142" s="1564" t="e">
        <f aca="false">IF(AND(Assumptions!$H$71="Yes",A142&gt;=Assumptions!$H$72,A142&lt;=Assumptions!$H$73),0,IF(EW142&gt;0,MAX(BK142*(1+VLOOKUP($C142,WeatherCapacityAdjustment,2))-FS142,0),0))</f>
        <v>#VALUE!</v>
      </c>
      <c r="GB142" s="1551" t="e">
        <f aca="false">SUM(FT142:GA142)</f>
        <v>#VALUE!</v>
      </c>
      <c r="GC142" s="1563" t="e">
        <f aca="false">+IF(SUM(FT142:GA142)=0,0,(SUMPRODUCT(BU142:BX142,FT142:FW142)+SUMPRODUCT(CA142:CD142,FX142:GA142))/SUM(FT142:GA142))</f>
        <v>#VALUE!</v>
      </c>
      <c r="GD142" s="1551" t="e">
        <f aca="false">(FT142*BU142+FX142*CA142+FU142*BV142+FY142*CB142+FV142*BW142+FZ142*CC142+FW142*BX142+GA142*CD142)</f>
        <v>#VALUE!</v>
      </c>
      <c r="GE142" s="1561" t="e">
        <f aca="false">+IF(BQ142,((FL142+FM142+FT142+FU142)*HeatRatePeak/1000*(1+VLOOKUP($C142,WeatherHeatRateAdjustment,2))+(FN142+FV142)*IF(EV142&gt;0,HeatRatePeak,HeatRateOffPeak)/1000*(1+VLOOKUP($C142,WeatherHeatRateAdjustment,2))+(FO142+FW142)*IF(EW142&gt;0,HeatRatePeak,HeatRateOffPeak)/1000*(1+VLOOKUP($C142,WeatherHeatRateAdjustment,3)))*(1+VLOOKUP($B142,HeatRateDegradation,$C142+1)),0)</f>
        <v>#VALUE!</v>
      </c>
      <c r="GF142" s="1562" t="e">
        <f aca="false">IF(BQ142,((FP142+FQ142+FR142+FX142+FY142+FZ142)*HeatRatePeak/1000*(1+VLOOKUP($C142,WeatherHeatRateAdjustment,2))+(FS142+GA142)*HeatRatePeak/1000*(1+VLOOKUP($C142,WeatherHeatRateAdjustment,3)))*(1+VLOOKUP($B142,HeatRateDegradation,$C142+1)),0)</f>
        <v>#VALUE!</v>
      </c>
      <c r="GG142" s="1563" t="e">
        <f aca="false">IF(BQ142,VLOOKUP(A142,GasTable,13),0)</f>
        <v>#VALUE!</v>
      </c>
      <c r="GH142" s="1564" t="e">
        <f aca="false">(GE142+GF142)*GG142</f>
        <v>#VALUE!</v>
      </c>
      <c r="GI142" s="1569" t="e">
        <f aca="false">GB142</f>
        <v>#VALUE!</v>
      </c>
      <c r="GJ142" s="1598" t="e">
        <f aca="false">+DA142</f>
        <v>#VALUE!</v>
      </c>
      <c r="GK142" s="1558" t="e">
        <f aca="false">+GI142*GJ142</f>
        <v>#VALUE!</v>
      </c>
      <c r="GL142" s="1566" t="e">
        <f aca="false">MAX(FE142-FL142-FP142,0)</f>
        <v>#VALUE!</v>
      </c>
      <c r="GM142" s="1551" t="e">
        <f aca="false">MAX(FF142-FM142-FQ142,0)</f>
        <v>#VALUE!</v>
      </c>
      <c r="GN142" s="1551" t="e">
        <f aca="false">MAX(FG142-FN142-FR142,0)</f>
        <v>#VALUE!</v>
      </c>
      <c r="GO142" s="1564" t="e">
        <f aca="false">MAX(FH142-FO142-FS142,0)</f>
        <v>#VALUE!</v>
      </c>
      <c r="GP142" s="1551" t="e">
        <f aca="false">SUM(GL142:GO142)</f>
        <v>#VALUE!</v>
      </c>
      <c r="GQ142" s="1563" t="e">
        <f aca="false">IF(SUM(GL142:GO142)=0,0,((GL142*BU142+GM142*BV142+GN142*BW142+GO142*BX142)/SUM(GL142:GO142)))</f>
        <v>#VALUE!</v>
      </c>
      <c r="GR142" s="1558" t="e">
        <f aca="false">(GL142*BU142+GM142*BV142+GN142*BW142+GO142*BX142)</f>
        <v>#VALUE!</v>
      </c>
      <c r="GS142" s="1566" t="n">
        <f aca="false">IF($A142&gt;=BegDate,Assumptions!$C$56*24*($A143-$A142)*(1-VLOOKUP($B142,MAIN!$AA$7:$AM$28,$C142+1))*(1-VLOOKUP($B142,MAIN!$AA$33:$AM$54,$C142+1)),0)*80/168</f>
        <v>257742.857142857</v>
      </c>
      <c r="GT142" s="286" t="n">
        <f aca="false">J142</f>
        <v>48.9744417171514</v>
      </c>
      <c r="GU142" s="286" t="n">
        <f aca="false">IF($A142&gt;=BegDate,VLOOKUP($A142,GasTable,13)+Assumptions!$C$58,0)</f>
        <v>3.15458603472962</v>
      </c>
      <c r="GV142" s="286" t="n">
        <f aca="false">GU142*Assumptions!$C$57/1000</f>
        <v>22.8707487517897</v>
      </c>
      <c r="GW142" s="1558" t="n">
        <f aca="false">IF(Assumptions!$C$60="Hourly",MAX(0,GS142*(GT142-GV142)),GS142*(GT142-GV142))</f>
        <v>6728040.40687221</v>
      </c>
      <c r="GX142" s="1566" t="n">
        <f aca="false">IF($A142&gt;=BegDate,Assumptions!$C$56*24*($A143-$A142)*(1-VLOOKUP($B142,MAIN!$AA$7:$AM$28,$C142+1))*(1-VLOOKUP($B142,MAIN!$AA$33:$AM$54,$C142+1)),0)*16/168</f>
        <v>51548.5714285714</v>
      </c>
      <c r="GY142" s="286" t="n">
        <f aca="false">M142</f>
        <v>48.9744417171514</v>
      </c>
      <c r="GZ142" s="286" t="n">
        <f aca="false">IF($A142&gt;=BegDate,VLOOKUP($A142,GasTable,13)+Assumptions!$C$58,0)</f>
        <v>3.15458603472962</v>
      </c>
      <c r="HA142" s="286" t="n">
        <f aca="false">GZ142*Assumptions!$C$57/1000</f>
        <v>22.8707487517897</v>
      </c>
      <c r="HB142" s="1558" t="n">
        <f aca="false">IF(Assumptions!$C$60="Hourly",MAX(0,GX142*(GY142-HA142)),GX142*(GY142-HA142))</f>
        <v>1345608.08137444</v>
      </c>
      <c r="HC142" s="1566" t="n">
        <f aca="false">IF($A142&gt;=BegDate,Assumptions!$C$56*24*($A143-$A142)*(1-VLOOKUP($B142,MAIN!$AA$7:$AM$28,$C142+1))*(1-VLOOKUP($B142,MAIN!$AA$33:$AM$54,$C142+1)),0)*16/168</f>
        <v>51548.5714285714</v>
      </c>
      <c r="HD142" s="286" t="n">
        <f aca="false">P142</f>
        <v>26.9967037212979</v>
      </c>
      <c r="HE142" s="286" t="n">
        <f aca="false">IF($A142&gt;=BegDate,VLOOKUP($A142,GasTable,13)+Assumptions!$C$58,0)</f>
        <v>3.15458603472962</v>
      </c>
      <c r="HF142" s="286" t="n">
        <f aca="false">HE142*Assumptions!$C$57/1000</f>
        <v>22.8707487517897</v>
      </c>
      <c r="HG142" s="1558" t="n">
        <f aca="false">IF(Assumptions!$C$60="Hourly",MAX(0,HC142*(HD142-HF142)),HC142*(HD142-HF142))</f>
        <v>212687.084456761</v>
      </c>
      <c r="HH142" s="1566" t="n">
        <f aca="false">IF($A142&gt;=BegDate,Assumptions!$C$56*24*($A143-$A142)*(1-VLOOKUP($B142,MAIN!$AA$7:$AM$28,$C142+1))*(1-VLOOKUP($B142,MAIN!$AA$33:$AM$54,$C142+1)),0)*56/168</f>
        <v>180420</v>
      </c>
      <c r="HI142" s="286" t="n">
        <f aca="false">S142</f>
        <v>26.9967037212979</v>
      </c>
      <c r="HJ142" s="286" t="n">
        <f aca="false">IF($A142&gt;=BegDate,VLOOKUP($A142,GasTable,13)+Assumptions!$C$58,0)</f>
        <v>3.15458603472962</v>
      </c>
      <c r="HK142" s="286" t="n">
        <f aca="false">HJ142*Assumptions!$C$57/1000</f>
        <v>22.8707487517897</v>
      </c>
      <c r="HL142" s="1558" t="n">
        <f aca="false">IF(Assumptions!$C$60="Hourly",MAX(0,HH142*(HI142-HK142)),HH142*(HI142-HK142))</f>
        <v>744404.795598665</v>
      </c>
      <c r="HM142" s="1566" t="n">
        <f aca="false">IF(AND(Assumptions!$H$71="Yes",A142&gt;=Assumptions!$H$72,A142&lt;=Assumptions!$H$73),Assumptions!$H$74*Assumptions!$C$9*1000,0)</f>
        <v>0</v>
      </c>
      <c r="HN142" s="1551"/>
      <c r="HO142" s="1563"/>
      <c r="HP142" s="1563"/>
      <c r="HQ142" s="1563"/>
      <c r="HR142" s="1563"/>
      <c r="HS142" s="1563"/>
      <c r="HT142" s="1563"/>
      <c r="HU142" s="1563"/>
      <c r="HV142" s="1563"/>
      <c r="HW142" s="1563"/>
      <c r="HX142" s="1563"/>
      <c r="HY142" s="1563"/>
      <c r="HZ142" s="1563"/>
      <c r="IA142" s="1563"/>
      <c r="IB142" s="1563"/>
      <c r="IC142" s="1563"/>
      <c r="ID142" s="1563"/>
      <c r="IE142" s="1563"/>
      <c r="IF142" s="1563"/>
      <c r="IG142" s="1563"/>
      <c r="IH142" s="1563"/>
      <c r="II142" s="1610"/>
      <c r="IJ142" s="1309"/>
      <c r="IK142" s="1309"/>
    </row>
    <row r="143" customFormat="false" ht="12.75" hidden="false" customHeight="false" outlineLevel="0" collapsed="false">
      <c r="A143" s="1571" t="n">
        <f aca="false">EOMONTH(A142,0)+1</f>
        <v>40483</v>
      </c>
      <c r="B143" s="594" t="n">
        <f aca="false">+YEAR(A143)</f>
        <v>2010</v>
      </c>
      <c r="C143" s="238" t="n">
        <f aca="false">MONTH(A143)</f>
        <v>11</v>
      </c>
      <c r="D143" s="1572" t="e">
        <f aca="false">IF(E143="","",Holiday(B143,C143))</f>
        <v>#VALUE!</v>
      </c>
      <c r="E143" s="1573" t="n">
        <f aca="false">IF(OR(BegDate&gt;=A144,EndDate&lt;A143,AND(VolumeMonthlyOverFlag,INDEX(VolumeMonthlyOver,C143)=0),NOT(INDEX(MonthKnockOutTable,C143))),"",MAX(A143,BegDate))</f>
        <v>40483</v>
      </c>
      <c r="F143" s="1574" t="n">
        <f aca="false">IF(E143="","",MIN(A144-1,EndDate))</f>
        <v>40512</v>
      </c>
      <c r="G143" s="1575" t="n">
        <v>0</v>
      </c>
      <c r="H143" s="1576" t="n">
        <f aca="false">(1+G143/2)^(-2*(DATE(B144,C144,20)-DateToday)/365.25)</f>
        <v>1</v>
      </c>
      <c r="I143" s="1568" t="n">
        <f aca="false">IF(Assumptions!$L$25=4,VLOOKUP($A143,'Henwood Reference'!$E$9:$R$320,10),(VLOOKUP($A143,PriceTable,2,0)+IF(BasisNumber&lt;&gt;1,VLOOKUP($A143,BasisTable,2,0),0)+I$1)/(1-I$2))</f>
        <v>53.5584702335417</v>
      </c>
      <c r="J143" s="1568" t="n">
        <f aca="false">IF(Assumptions!$L$25=4,VLOOKUP($A143,'Henwood Reference'!$E$9:$R$320,10),(VLOOKUP($A143,PriceTable,3,0)+IF(BasisNumber&lt;&gt;1,VLOOKUP($A143,BasisTable,2,0),0)+J$1)/(1-J$2))</f>
        <v>53.5584702335417</v>
      </c>
      <c r="K143" s="1568" t="n">
        <f aca="false">IF(Assumptions!$L$25=4,VLOOKUP($A143,'Henwood Reference'!$E$9:$R$320,10),(VLOOKUP($A143,PriceTable,4,0)+IF(BasisNumber&lt;&gt;1,VLOOKUP($A143,BasisTable,2,0),0)+K$1)/(1-K$2))</f>
        <v>53.5584702335417</v>
      </c>
      <c r="L143" s="1523" t="n">
        <f aca="false">IF(Assumptions!$L$25=4,VLOOKUP($A143,'Henwood Reference'!$E$9:$R$320,10),(VLOOKUP($A143,PriceTableWeekend,2,0)+IF(BasisNumber&lt;&gt;1,VLOOKUP($A143,BasisTable,2,0),0)+L$1)/(1-L$2))</f>
        <v>53.5584702335417</v>
      </c>
      <c r="M143" s="1568" t="n">
        <f aca="false">IF(Assumptions!$L$25=4,VLOOKUP($A143,'Henwood Reference'!$E$9:$R$320,10),(VLOOKUP($A143,PriceTableWeekend,3,0)+IF(BasisNumber&lt;&gt;1,VLOOKUP($A143,BasisTable,2,0),0)+M$1)/(1-M$2))</f>
        <v>53.5584702335417</v>
      </c>
      <c r="N143" s="1599" t="n">
        <f aca="false">IF(Assumptions!$L$25=4,VLOOKUP($A143,'Henwood Reference'!$E$9:$R$320,10),(VLOOKUP($A143,PriceTableWeekend,4,0)+IF(BasisNumber&lt;&gt;1,VLOOKUP($A143,BasisTable,2,0),0)+N$1)/(1-N$2))</f>
        <v>53.5584702335417</v>
      </c>
      <c r="O143" s="1568" t="n">
        <f aca="false">IF(Assumptions!$L$25=4,VLOOKUP($A143,'Henwood Reference'!$E$9:$R$320,11),(VLOOKUP($A143,PriceTableWeekend,6,0)+IF(BasisNumber&lt;&gt;1,VLOOKUP($A143,BasisTable,3,0),0)+O$1)/(1-O$2))</f>
        <v>29.5522036233749</v>
      </c>
      <c r="P143" s="1568" t="n">
        <f aca="false">IF(Assumptions!$L$25=4,VLOOKUP($A143,'Henwood Reference'!$E$9:$R$320,11),(VLOOKUP($A143,PriceTableWeekend,7,0)+IF(BasisNumber&lt;&gt;1,VLOOKUP($A143,BasisTable,3,0),0)+P$1)/(1-P$2))</f>
        <v>29.5522036233749</v>
      </c>
      <c r="Q143" s="1599" t="n">
        <f aca="false">IF(Assumptions!$L$25=4,VLOOKUP($A143,'Henwood Reference'!$E$9:$R$320,11),(VLOOKUP($A143,PriceTableWeekend,8,0)+IF(BasisNumber&lt;&gt;1,VLOOKUP($A143,BasisTable,3,0),0)+Q$1)/(1-Q$2))</f>
        <v>29.5522036233749</v>
      </c>
      <c r="R143" s="1568" t="n">
        <f aca="false">IF(Assumptions!$L$25=4,VLOOKUP($A143,'Henwood Reference'!$E$9:$R$320,11),(VLOOKUP($A143,PriceTable,6,0)+IF(BasisNumber&lt;&gt;1,VLOOKUP($A143,BasisTable,3,0),0)+R$1)/(1-R$2))</f>
        <v>29.5522036233749</v>
      </c>
      <c r="S143" s="1568" t="n">
        <f aca="false">IF(Assumptions!$L$25=4,VLOOKUP($A143,'Henwood Reference'!$E$9:$R$320,11),(VLOOKUP($A143,PriceTable,7,0)+IF(BasisNumber&lt;&gt;1,VLOOKUP($A143,BasisTable,3,0),0)+S$1)/(1-S$2))</f>
        <v>29.5522036233749</v>
      </c>
      <c r="T143" s="1600" t="n">
        <f aca="false">IF(Assumptions!$L$25=4,VLOOKUP($A143,'Henwood Reference'!$E$9:$R$320,11),(VLOOKUP($A143,PriceTable,8,0)+IF(BasisNumber&lt;&gt;1,VLOOKUP($A143,BasisTable,3,0),0)+T$1)/(1-T$2))</f>
        <v>29.5522036233749</v>
      </c>
      <c r="U143" s="1513" t="n">
        <f aca="false">VLOOKUP($A143,VolatilityTable,14)</f>
        <v>0.12</v>
      </c>
      <c r="V143" s="1513" t="n">
        <f aca="false">VLOOKUP($A143,VolatilityTable,15)</f>
        <v>0.13</v>
      </c>
      <c r="W143" s="1514" t="n">
        <f aca="false">VLOOKUP($A143,VolatilityTable,16)</f>
        <v>0.14</v>
      </c>
      <c r="X143" s="1513" t="n">
        <f aca="false">VLOOKUP($A143,VolatilityTable,14)</f>
        <v>0.12</v>
      </c>
      <c r="Y143" s="1513" t="n">
        <f aca="false">VLOOKUP($A143,VolatilityTable,15)</f>
        <v>0.13</v>
      </c>
      <c r="Z143" s="1514" t="n">
        <f aca="false">VLOOKUP($A143,VolatilityTable,16)</f>
        <v>0.14</v>
      </c>
      <c r="AA143" s="1513" t="n">
        <f aca="false">VLOOKUP($A143,VolatilityTable,18)</f>
        <v>0.09</v>
      </c>
      <c r="AB143" s="1513" t="n">
        <f aca="false">VLOOKUP($A143,VolatilityTable,19)</f>
        <v>0.11</v>
      </c>
      <c r="AC143" s="1514" t="n">
        <f aca="false">VLOOKUP($A143,VolatilityTable,20)</f>
        <v>0.13</v>
      </c>
      <c r="AD143" s="1513" t="n">
        <f aca="false">VLOOKUP($A143,VolatilityTable,18)</f>
        <v>0.09</v>
      </c>
      <c r="AE143" s="1513" t="n">
        <f aca="false">VLOOKUP($A143,VolatilityTable,19)</f>
        <v>0.11</v>
      </c>
      <c r="AF143" s="1514" t="n">
        <f aca="false">VLOOKUP($A143,VolatilityTable,20)</f>
        <v>0.13</v>
      </c>
      <c r="AG143" s="1513" t="n">
        <f aca="false">VLOOKUP($A143,VolatilityTable,22)</f>
        <v>-0.1</v>
      </c>
      <c r="AH143" s="1513" t="n">
        <f aca="false">VLOOKUP($A143,VolatilityTable,23)</f>
        <v>0.6</v>
      </c>
      <c r="AI143" s="1514" t="n">
        <f aca="false">VLOOKUP($A143,VolatilityTable,24)</f>
        <v>0.1</v>
      </c>
      <c r="AJ143" s="1513" t="n">
        <f aca="false">VLOOKUP($A143,VolatilityTable,22)</f>
        <v>-0.1</v>
      </c>
      <c r="AK143" s="1513" t="n">
        <f aca="false">VLOOKUP($A143,VolatilityTable,23)</f>
        <v>0.6</v>
      </c>
      <c r="AL143" s="1514" t="n">
        <f aca="false">VLOOKUP($A143,VolatilityTable,24)</f>
        <v>0.1</v>
      </c>
      <c r="AM143" s="1513" t="n">
        <f aca="false">VLOOKUP($A143,VolatilityTable,26)</f>
        <v>-0.01</v>
      </c>
      <c r="AN143" s="1513" t="n">
        <f aca="false">VLOOKUP($A143,VolatilityTable,27)</f>
        <v>0.16</v>
      </c>
      <c r="AO143" s="1514" t="n">
        <f aca="false">VLOOKUP($A143,VolatilityTable,28)</f>
        <v>0.01</v>
      </c>
      <c r="AP143" s="1513" t="n">
        <f aca="false">VLOOKUP($A143,VolatilityTable,26)</f>
        <v>-0.01</v>
      </c>
      <c r="AQ143" s="1513" t="n">
        <f aca="false">VLOOKUP($A143,VolatilityTable,27)</f>
        <v>0.16</v>
      </c>
      <c r="AR143" s="1515" t="n">
        <f aca="false">VLOOKUP($A143,VolatilityTable,28)</f>
        <v>0.01</v>
      </c>
      <c r="AS143" s="1581" t="n">
        <f aca="false">IF(CorrPeakOffPeakOverFlag,INDEX(CorrPeakOffPeakOver,C143),CorrPeakOffPeak)</f>
        <v>0.5</v>
      </c>
      <c r="AT143" s="594" t="e">
        <f aca="false">AX143-SUM(AU143:AW143)</f>
        <v>#VALUE!</v>
      </c>
      <c r="AU143" s="238" t="e">
        <f aca="false">IF(E143="",0,INT((F143-MOD(F143,7)-E143)/7)+1-IF(AW143,IF(WEEKDAY(D143)=7,1,0),0))</f>
        <v>#VALUE!</v>
      </c>
      <c r="AV143" s="238" t="e">
        <f aca="false">IF(E143="",0,INT((F143-MOD(F143-1,7)-E143)/7)+1-IF(AW143,IF(WEEKDAY(D143)=1,1,0),0))</f>
        <v>#VALUE!</v>
      </c>
      <c r="AW143" s="238" t="e">
        <f aca="false">IF(OR(E143="",D143="",D143&lt;BegDate,D143&gt;EndDate),0,1)</f>
        <v>#VALUE!</v>
      </c>
      <c r="AX143" s="238" t="n">
        <f aca="false">IF(E143="",0,F143-E143+1)</f>
        <v>30</v>
      </c>
      <c r="AY143" s="1582" t="n">
        <f aca="false">IF(E143="",0,MIN((1-(1-VLOOKUP(B143,MAIN!$AA$7:$AM$28,C143+1))*(1-VLOOKUP(B143,MAIN!$AA$33:$AM$54,C143+1))),1))</f>
        <v>0.03</v>
      </c>
      <c r="AZ143" s="1519" t="e">
        <v>#VALUE!</v>
      </c>
      <c r="BA143" s="1520" t="e">
        <v>#VALUE!</v>
      </c>
      <c r="BB143" s="1520" t="e">
        <v>#VALUE!</v>
      </c>
      <c r="BC143" s="1583" t="e">
        <v>#VALUE!</v>
      </c>
      <c r="BD143" s="1522" t="e">
        <v>#VALUE!</v>
      </c>
      <c r="BE143" s="1523" t="e">
        <v>#VALUE!</v>
      </c>
      <c r="BF143" s="1523" t="e">
        <v>#VALUE!</v>
      </c>
      <c r="BG143" s="1584" t="e">
        <v>#VALUE!</v>
      </c>
      <c r="BH143" s="1525" t="e">
        <v>#VALUE!</v>
      </c>
      <c r="BI143" s="1520" t="e">
        <v>#VALUE!</v>
      </c>
      <c r="BJ143" s="1520" t="e">
        <v>#VALUE!</v>
      </c>
      <c r="BK143" s="1583" t="e">
        <v>#VALUE!</v>
      </c>
      <c r="BL143" s="1522" t="e">
        <v>#VALUE!</v>
      </c>
      <c r="BM143" s="1523" t="e">
        <v>#VALUE!</v>
      </c>
      <c r="BN143" s="1523" t="e">
        <v>#VALUE!</v>
      </c>
      <c r="BO143" s="1523" t="e">
        <v>#VALUE!</v>
      </c>
      <c r="BP143" s="1525" t="e">
        <f aca="false">SUM(AZ143:BB143)</f>
        <v>#VALUE!</v>
      </c>
      <c r="BQ143" s="1529" t="e">
        <f aca="false">SUM(AZ143:BC143)</f>
        <v>#VALUE!</v>
      </c>
      <c r="BR143" s="1519" t="e">
        <f aca="false">SUM(BH143:BJ143)</f>
        <v>#VALUE!</v>
      </c>
      <c r="BS143" s="1529" t="e">
        <f aca="false">SUM(BH143:BK143)</f>
        <v>#VALUE!</v>
      </c>
      <c r="BT143" s="1316" t="n">
        <f aca="false">(IF(OVolType&lt;&gt;2,A143+14,IF(OptExpDateShift,ShiftBack(A143,OptExpDateShift,D142),A143))-DateToday)/365.25</f>
        <v>10.54893908282</v>
      </c>
      <c r="BU143" s="1585" t="e">
        <f aca="false">IF(BQ143,IF(OPriceCurve,IF(OBuySell=OCallPut,I143/(1-AY143),K143/(1-AY143)),J143/(1-AY143))*BD143,0)</f>
        <v>#VALUE!</v>
      </c>
      <c r="BV143" s="1316" t="e">
        <f aca="false">IF(BQ143,IF(OPriceCurve,IF(OBuySell=OCallPut,L143/(1-AY143),N143/(1-AY143)),M143/(1-AY143))*BE143,0)</f>
        <v>#VALUE!</v>
      </c>
      <c r="BW143" s="1316" t="e">
        <f aca="false">IF(BQ143,IF(OPriceCurve,IF(OBuySell=OCallPut,O143/(1-AY143),Q143/(1-AY143)),P143/(1-AY143))*BF143,0)</f>
        <v>#VALUE!</v>
      </c>
      <c r="BX143" s="1316" t="e">
        <f aca="false">IF(BQ143,IF(OPriceCurve,IF(OBuySell=OCallPut,R143/(1-AY143),T143/(1-AY143)),S143/(1-AY143))*BG143,0)</f>
        <v>#VALUE!</v>
      </c>
      <c r="BY143" s="1316" t="e">
        <f aca="false">IF(BP143,(BU143*AZ143+BV143*BA143+BW143*BB143)/BP143,0)</f>
        <v>#VALUE!</v>
      </c>
      <c r="BZ143" s="1316" t="e">
        <f aca="false">IF(BQ143,(BY143*BP143+BX143*BC143)/BQ143,0)</f>
        <v>#VALUE!</v>
      </c>
      <c r="CA143" s="1531" t="e">
        <f aca="false">IF(BS143,IF(OPriceCurve,IF(OBuySell=OCallPut,I143/(1-AY143),K143/(1-AY143)),J143/(1-AY143))*BL143,0)</f>
        <v>#VALUE!</v>
      </c>
      <c r="CB143" s="1316" t="e">
        <f aca="false">IF(BS143,IF(OPriceCurve,IF(OBuySell=OCallPut,L143/(1-AY143),N143/(1-AY143)),M143/(1-AY143))*BM143,0)</f>
        <v>#VALUE!</v>
      </c>
      <c r="CC143" s="1316" t="e">
        <f aca="false">IF(BS143,IF(OPriceCurve,IF(OBuySell=OCallPut,O143/(1-AY143),Q143/(1-AY143)),P143/(1-AY143))*BN143,0)</f>
        <v>#VALUE!</v>
      </c>
      <c r="CD143" s="1316" t="e">
        <f aca="false">IF(BS143,IF(OPriceCurve,IF(OBuySell=OCallPut,R143/(1-AY143),T143/(1-AY143)),S143/(1-AY143))*BO143,0)</f>
        <v>#VALUE!</v>
      </c>
      <c r="CE143" s="1316" t="e">
        <f aca="false">IF(BR143,(BU143*BH143+BV143*BI143+BW143*BJ143)/BR143,0)</f>
        <v>#VALUE!</v>
      </c>
      <c r="CF143" s="1532" t="e">
        <f aca="false">IF(BS143,(CE143*BR143+CD143*BK143)/BS143,0)</f>
        <v>#VALUE!</v>
      </c>
      <c r="CG143" s="1586" t="e">
        <f aca="false">IF(OR(BQ143,BS143),IF(OVolType&lt;&gt;2,SQRT(IF(OVolOverMonthlyPeak,OVolOverMonthlyPeak,IF(OVolCurve,IF(OBuySell,U143,W143),V143))^2*(1-15/365.25/BT143)+IF(OVolOverDailyPeak,OVolOverDailyPeak,IF(OVolCurve,IF(OBuySell,AG143,AI143),AH143))^2*15/365.25/BT143),IF(OVolOverMonthlyPeak,OVolOverMonthlyPeak,IF(OVolCurve,IF(OBuySell,U143,W143),V143))),"")</f>
        <v>#VALUE!</v>
      </c>
      <c r="CH143" s="1587" t="e">
        <f aca="false">IF(OR(BQ143,BS143),IF(OVolType&lt;&gt;2,SQRT(IF(OVolOverMonthlyPeak,OVolOverMonthlyPeak,IF(OVolCurve,IF(OBuySell,X143,Z143),Y143))^2*(1-15/365.25/BT143)+IF(OVolOverDailyPeak,OVolOverDailyPeak,IF(OVolCurve,IF(OBuySell,AJ143,AL143),AK143))^2*15/365.25/BT143),IF(OVolOverMonthlyPeak,OVolOverMonthlyPeak,IF(OVolCurve,IF(OBuySell,X143,Z143),Y143))),"")</f>
        <v>#VALUE!</v>
      </c>
      <c r="CI143" s="1587" t="e">
        <f aca="false">IF(OR(BQ143,BS143),IF(OVolType&lt;&gt;2,SQRT(IF(OVolOverMonthlyPeak,OVolOverMonthlyPeak,IF(OVolCurve,IF(OBuySell,AA143,AC143),AB143))^2*(1-15/365.25/BT143)+IF(OVolOverDailyPeak,OVolOverDailyPeak,IF(OVolCurve,IF(OBuySell,AM143,AO143),AN143))^2*15/365.25/BT143),IF(OVolOverMonthlyPeak,OVolOverMonthlyPeak,IF(OVolCurve,IF(OBuySell,AA143,AC143),AB143))),"")</f>
        <v>#VALUE!</v>
      </c>
      <c r="CJ143" s="1587" t="e">
        <f aca="false">IF(BQ143,IF(BP143,SQRT(LN(1+((BU143*AZ143)^2*(EXP(CG143^2*BT143)-1)+(BV143*BA143)^2*(EXP(CH143^2*BT143)-1)+(BW143*BB143)^2*(EXP(CI143^2*BT143)-1)+2*BU143*AZ143*BV143*BA143*(EXP(CG143*CH143*BT143)-1)+2*BV143*BA143*BW143*BB143*(EXP(CH143*CI143*BT143)-1)+2*BW143*BB143*BU143*AZ143*(EXP(CI143*CG143*BT143)-1))/(BY143*BP143)^2)/BT143),0),"")</f>
        <v>#VALUE!</v>
      </c>
      <c r="CK143" s="1587" t="e">
        <f aca="false">IF(BS143,IF(BR143,SQRT(LN(1+((CA143*BH143)^2*(EXP(CG143^2*BT143)-1)+(CB143*BI143)^2*(EXP(CH143^2*BT143)-1)+(CC143*BJ143)^2*(EXP(CI143^2*BT143)-1)+2*CA143*BH143*CB143*BI143*(EXP(CG143*CH143*BT143)-1)+2*CB143*BI143*CC143*BJ143*(EXP(CH143*CI143*BT143)-1)+2*CC143*BJ143*CA143*BH143*(EXP(CI143*CG143*BT143)-1))/(CE143*BR143)^2)/BT143),0),"")</f>
        <v>#VALUE!</v>
      </c>
      <c r="CL143" s="1587" t="e">
        <f aca="false">IF(OR(BQ143,BS143),IF(OVolType&lt;&gt;2,SQRT(IF(OVolOverMonthlyOffPeak,OVolOverMonthlyOffPeak,IF(OVolCurve,IF(OBuySell,AD143,AF143),AE143))^2*(1-15/365.25/BT143)+IF(OVolOverDailyOffPeak,OVolOverDailyOffPeak,IF(OVolCurve,IF(OBuySell,AP143,AR143),AQ143))^2*15/365.25/BT143),IF(OVolOverMonthlyOffPeak,OVolOverMonthlyOffPeak,IF(OVolCurve,IF(OBuySell,AD143,AF143),AE143))),"")</f>
        <v>#VALUE!</v>
      </c>
      <c r="CM143" s="1587" t="e">
        <f aca="false">IF(BQ143,SQRT(LN(1+((BY143*BP143)^2*(EXP(CJ143^2*BT143)-1)+(BX143*BC143)^2*(EXP(CL143^2*BT143)-1)+2*BY143*BP143*BX143*BC143*(EXP(AS143*CJ143*CL143*BT143)-1))/(BY143*BP143+BX143*BC143)^2)/BT143),"")</f>
        <v>#VALUE!</v>
      </c>
      <c r="CN143" s="1588" t="e">
        <f aca="false">IF(BS143,SQRT(LN(1+((CE143*BR143)^2*(EXP(CK143^2*BT143)-1)+(CD143*BK143)^2*(EXP(CL143^2*BT143)-1)+2*CE143*BR143*CD143*BK143*(EXP(AS143*CK143*CL143*BT143)-1))/(CE143*BR143+CD143*BK143)^2)/BT143),"")</f>
        <v>#VALUE!</v>
      </c>
      <c r="CO143" s="1531" t="e">
        <f aca="false">IF(OR(BQ143,BS143),VLOOKUP(A143,GasTable,13)*HeatRatePeak*(1+VLOOKUP($B143,HeatRateDegradation,$C143+1))/1000,0)</f>
        <v>#VALUE!</v>
      </c>
      <c r="CP143" s="1316" t="e">
        <f aca="false">IF(OR(BQ143,BS143),VLOOKUP(A143,GasTable,13)*HeatRatePeak*(1+VLOOKUP($B143,HeatRateDegradation,$C143+1))/1000,0)</f>
        <v>#VALUE!</v>
      </c>
      <c r="CQ143" s="1316" t="e">
        <f aca="false">IF(OR(BQ143,BS143),VLOOKUP(A143,GasTable,13)*IF(EV143,HeatRatePeak,HeatRateOffPeak)*(1+VLOOKUP($B143,HeatRateDegradation,$C143+1))/1000,0)</f>
        <v>#VALUE!</v>
      </c>
      <c r="CR143" s="1316" t="e">
        <f aca="false">IF(OR(BQ143,BS143),VLOOKUP(A143,GasTable,13)*IF(EW143,HeatRatePeak,HeatRateOffPeak)*(1+VLOOKUP($B143,HeatRateDegradation,$C143+1))/1000,0)</f>
        <v>#VALUE!</v>
      </c>
      <c r="CS143" s="1589" t="e">
        <f aca="false">IF(BQ143,(CO143*AZ143+CP143*BA143+CQ143*BB143+CR143*BC143)/BQ143,0)</f>
        <v>#VALUE!</v>
      </c>
      <c r="CT143" s="1316" t="e">
        <f aca="false">IF(BS143,CO143,0)</f>
        <v>#VALUE!</v>
      </c>
      <c r="CU143" s="1590" t="e">
        <f aca="false">IF(OR(BQ143,BS143),VLOOKUP(A143,GasTable,14),"")</f>
        <v>#VALUE!</v>
      </c>
      <c r="CV143" s="1568" t="e">
        <f aca="false">IF(OR(BQ143,BS143),IF(CorrPowerGasOverFlag,INDEX(CorrPowerGasOver,C143),CorrPowerGas),"")</f>
        <v>#VALUE!</v>
      </c>
      <c r="CW143" s="1316" t="e">
        <f aca="false">IF(OR($BQ143,$BS143),SpreadOptPowerMargin,0)*((1+Assumptions!$C$26)^($B143-YEAR(Assumptions!$C$17)))</f>
        <v>#VALUE!</v>
      </c>
      <c r="CX143" s="1316" t="e">
        <f aca="false">IF(OR($BQ143,$BS143),SpreadOptPowerMargin,0)*((1+Assumptions!$C$26)^($B143-YEAR(Assumptions!$C$17)))</f>
        <v>#VALUE!</v>
      </c>
      <c r="CY143" s="1316" t="e">
        <f aca="false">IF(OR($BQ143,$BS143),SpreadOptPowerMargin,0)*((1+Assumptions!$C$26)^($B143-YEAR(Assumptions!$C$17)))</f>
        <v>#VALUE!</v>
      </c>
      <c r="CZ143" s="1316" t="e">
        <f aca="false">IF(OR($BQ143,$BS143),SpreadOptPowerMargin,0)*((1+Assumptions!$C$26)^($B143-YEAR(Assumptions!$C$17)))</f>
        <v>#VALUE!</v>
      </c>
      <c r="DA143" s="1591" t="e">
        <f aca="false">IF(OR(BQ143,BS143),(CW143*(AZ143+BH143)+CX143*(BA143+BI143)+CY143*(BB143+BJ143)+CZ143*(BC143+BK143))/(BQ143+BS143),0)</f>
        <v>#VALUE!</v>
      </c>
      <c r="DB143" s="1592" t="e">
        <f aca="false">IF(OR(BQ143,BS143),CG143+IF(OVolSmile,VLOOKUP(MAX(-5,CO143+CW143-BU143),IF(OVolSmile=1,VolSmileBook,VolSmileModel),2),0),"")</f>
        <v>#VALUE!</v>
      </c>
      <c r="DC143" s="1592" t="e">
        <f aca="false">IF(OR(BQ143,BS143),CH143+IF(OVolSmile,VLOOKUP(MAX(-5,CP143+CW143-BV143),IF(OVolSmile=1,VolSmileBook,VolSmileModel),2),0),"")</f>
        <v>#VALUE!</v>
      </c>
      <c r="DD143" s="1592" t="e">
        <f aca="false">IF(OR(BQ143,BS143),CI143+IF(OVolSmile,VLOOKUP(MAX(-5,CQ143+CW143-BW143),IF(OVolSmile=1,VolSmileBook,VolSmileModel),2),0),"")</f>
        <v>#VALUE!</v>
      </c>
      <c r="DE143" s="1592" t="e">
        <f aca="false">IF(OR(BQ143,BS143),CL143+IF(OVolSmile,VLOOKUP(MAX(-5,CR143+CZ143-BX143),IF(OVolSmile=1,VolSmileBook,VolSmileModel),2),0),"")</f>
        <v>#VALUE!</v>
      </c>
      <c r="DF143" s="1592" t="e">
        <f aca="false">IF(BQ143,CM143+IF(OVolSmile,VLOOKUP(MAX(-5,CS143+DA143-BZ143),IF(OVolSmile=1,VolSmileBook,VolSmileModel),2),0),"")</f>
        <v>#VALUE!</v>
      </c>
      <c r="DG143" s="1593" t="e">
        <f aca="false">IF(BS143,CN143+IF(OVolSmile,VLOOKUP(MAX(-5,CT143+DA143-CF143),IF(OVolSmile=1,VolSmileBook,VolSmileModel),2),0),"")</f>
        <v>#VALUE!</v>
      </c>
      <c r="DH143" s="1316" t="e">
        <f aca="false">IF(AND(BU143&gt;0,CO143&gt;0,DB143&gt;0,CU143&gt;0),newSPRDOPT(BU143,CO143,CW143,0,DB143,CU143,CV143,BT143*365.25,OCallPut,0),0)</f>
        <v>#VALUE!</v>
      </c>
      <c r="DI143" s="1316" t="e">
        <f aca="false">IF(AND(BV143&gt;0,CP143&gt;0,DC143&gt;0,CU143&gt;0),newSPRDOPT(BV143,CP143,CX143,0,DC143,CU143,CV143,BT143*365.25,OCallPut,0),0)</f>
        <v>#VALUE!</v>
      </c>
      <c r="DJ143" s="1316" t="e">
        <f aca="false">IF(AND(BW143&gt;0,CQ143&gt;0,DD143&gt;0,CU143&gt;0),newSPRDOPT(BW143,CQ143,CY143,0,DD143,CU143,CV143,BT143*365.25,OCallPut,0),0)</f>
        <v>#VALUE!</v>
      </c>
      <c r="DK143" s="1316" t="e">
        <f aca="false">IF(AND(BX143&gt;0,CR143&gt;0,DE143&gt;0,CU143&gt;0),newSPRDOPT(BX143,CR143,CZ143,0,DE143,CU143,CV143,BT143*365.25,OCallPut,0),0)</f>
        <v>#VALUE!</v>
      </c>
      <c r="DL143" s="1316" t="e">
        <f aca="false">IF(OVolType,IF(AND(BZ143&gt;0,CS143&gt;0,DF143&gt;0,CU143&gt;0),newSPRDOPT(BZ143,CS143,DA143,0,DF143,CU143,CV143,BT143*365.25,OCallPut,0),0),IF(BQ143,(DH143*AZ143+DI143*BA143+DJ143*BB143+DK143*BC143)/BQ143,0))</f>
        <v>#VALUE!</v>
      </c>
      <c r="DM143" s="1316"/>
      <c r="DN143" s="1316"/>
      <c r="DO143" s="1316"/>
      <c r="DP143" s="1316"/>
      <c r="DQ143" s="1316"/>
      <c r="DR143" s="1316"/>
      <c r="DS143" s="1316"/>
      <c r="DT143" s="1316"/>
      <c r="DU143" s="1316"/>
      <c r="DV143" s="1316"/>
      <c r="DW143" s="1594" t="e">
        <f aca="false">IF(AND(BW143&gt;0,CT143&gt;0,DD143&gt;0,CU143&gt;0),newSPRDOPT(BW143,CT143,CY143,0,DD143,CU143,CV143,BT143*365.25,OCallPut,0),0)</f>
        <v>#VALUE!</v>
      </c>
      <c r="DX143" s="1316" t="e">
        <f aca="false">IF(AND(BX143&gt;0,CT143&gt;0,DE143&gt;0,CU143&gt;0),newSPRDOPT(BX143,CT143,CZ143,0,DE143,CU143,CV143,BT143*365.25,OCallPut,0),0)</f>
        <v>#VALUE!</v>
      </c>
      <c r="DY143" s="1591" t="e">
        <f aca="false">IF(BS143,(DH143*BH143+DI143*BI143+DW143*BJ143+DX143*BK143)/BS143,0)</f>
        <v>#VALUE!</v>
      </c>
      <c r="DZ143" s="1551" t="e">
        <f aca="false">DH143*AZ143</f>
        <v>#VALUE!</v>
      </c>
      <c r="EA143" s="1551" t="e">
        <f aca="false">DI143*BA143</f>
        <v>#VALUE!</v>
      </c>
      <c r="EB143" s="1551" t="e">
        <f aca="false">DJ143*BB143</f>
        <v>#VALUE!</v>
      </c>
      <c r="EC143" s="1551" t="e">
        <f aca="false">DK143*BC143</f>
        <v>#VALUE!</v>
      </c>
      <c r="ED143" s="1551" t="e">
        <f aca="false">DL143*BQ143</f>
        <v>#VALUE!</v>
      </c>
      <c r="EE143" s="1595" t="e">
        <f aca="false">IF(BQ143,IF(OCallPut,IF(BU143&gt;(CO143+CW143),BU143-(CO143+CW143),0),IF((CO143+CW143)&gt;BU143,(CO143+CW143)-BU143,0))*AZ143,0)</f>
        <v>#VALUE!</v>
      </c>
      <c r="EF143" s="1596" t="e">
        <f aca="false">IF(BQ143,IF(OCallPut,IF(BV143&gt;(CP143+CX143),BV143-(CP143+CX143),0),IF((CP143+CX143)&gt;BV143,(CP143+CX143)-BV143,0))*BA143,0)</f>
        <v>#VALUE!</v>
      </c>
      <c r="EG143" s="1596" t="e">
        <f aca="false">IF(BQ143,IF(OCallPut,IF(BW143&gt;(CQ143+CY143),BW143-(CQ143+CY143),0),IF((CQ143+CY143)&gt;BW143,(CQ143+CY143)-BW143,0))*BB143,0)</f>
        <v>#VALUE!</v>
      </c>
      <c r="EH143" s="1596" t="e">
        <f aca="false">IF(BQ143,IF(OCallPut,IF(BX143&gt;(CR143+CZ143),BX143-(CR143+CZ143),0),IF((CR143+CZ143)&gt;BX143,(CR143+CZ143)-BX143,0))*BC143,0)</f>
        <v>#VALUE!</v>
      </c>
      <c r="EI143" s="1597" t="e">
        <f aca="false">IF(BQ143,IF(OVolType,IF(OCallPut,IF(BZ143&gt;(CS143+DA143),BZ143-(CS143+DA143),0),IF((CS143+DA143)&gt;BZ143,(CS143+DA143)-BZ143,0))*BQ143,SUM(EE143:EH143)),0)</f>
        <v>#VALUE!</v>
      </c>
      <c r="EJ143" s="1595" t="e">
        <f aca="false">DZ143-EE143</f>
        <v>#VALUE!</v>
      </c>
      <c r="EK143" s="1596" t="e">
        <f aca="false">EA143-EF143</f>
        <v>#VALUE!</v>
      </c>
      <c r="EL143" s="1596" t="e">
        <f aca="false">EB143-EG143</f>
        <v>#VALUE!</v>
      </c>
      <c r="EM143" s="1596" t="e">
        <f aca="false">EC143-EH143</f>
        <v>#VALUE!</v>
      </c>
      <c r="EN143" s="1597" t="e">
        <f aca="false">ED143-EI143</f>
        <v>#VALUE!</v>
      </c>
      <c r="EO143" s="1551" t="e">
        <f aca="false">DH143*BH143</f>
        <v>#VALUE!</v>
      </c>
      <c r="EP143" s="1551" t="e">
        <f aca="false">DI143*BI143</f>
        <v>#VALUE!</v>
      </c>
      <c r="EQ143" s="1551" t="e">
        <f aca="false">DW143*BJ143</f>
        <v>#VALUE!</v>
      </c>
      <c r="ER143" s="1551" t="e">
        <f aca="false">DX143*BK143</f>
        <v>#VALUE!</v>
      </c>
      <c r="ES143" s="1551" t="e">
        <f aca="false">DY143*BS143</f>
        <v>#VALUE!</v>
      </c>
      <c r="ET143" s="1566" t="e">
        <f aca="false">IF(EI143,IF(OCallPut,IF(CA143&gt;(CT143+CW143),CA143-(CT143+CW143),0),IF((CT143+CW143)&gt;CA143,(CT143+CW143)-CA143,0))*BH143,0)</f>
        <v>#VALUE!</v>
      </c>
      <c r="EU143" s="1551" t="e">
        <f aca="false">IF(EI143,IF(OCallPut,IF(CB143&gt;(CT143+CX143),CB143-(CT143+CX143),0),IF((CT143+CX143)&gt;CB143,(CT143+CX143)-CB143,0))*BI143,0)</f>
        <v>#VALUE!</v>
      </c>
      <c r="EV143" s="1551" t="e">
        <f aca="false">IF(EI143,IF(OCallPut,IF(CC143&gt;(CT143+CY143),CC143-(CT143+CY143),0),IF((CT143+CY143)&gt;CC143,(CT143+CY143)-CC143,0))*BJ143,0)</f>
        <v>#VALUE!</v>
      </c>
      <c r="EW143" s="1551" t="e">
        <f aca="false">IF(EI143,IF(OCallPut,IF(CD143&gt;(CT143+CZ143),CD143-(CT143+CZ143),0),IF((CT143+CZ143)&gt;CD143,(CT143+CZ143)-CD143,0))*BK143,0)</f>
        <v>#VALUE!</v>
      </c>
      <c r="EX143" s="1558" t="e">
        <f aca="false">IF(EI143,SUM(ET143:EW143),0)</f>
        <v>#VALUE!</v>
      </c>
      <c r="EY143" s="1551" t="e">
        <f aca="false">EO143-ET143</f>
        <v>#VALUE!</v>
      </c>
      <c r="EZ143" s="1551" t="e">
        <f aca="false">EP143-EU143</f>
        <v>#VALUE!</v>
      </c>
      <c r="FA143" s="1551" t="e">
        <f aca="false">EQ143-EV143</f>
        <v>#VALUE!</v>
      </c>
      <c r="FB143" s="1551" t="e">
        <f aca="false">ER143-EW143</f>
        <v>#VALUE!</v>
      </c>
      <c r="FC143" s="1551" t="e">
        <f aca="false">ES143-EX143</f>
        <v>#VALUE!</v>
      </c>
      <c r="FD143" s="1525" t="n">
        <f aca="false">IF(AX143,IF(VLOOKUP(C143,MAIN!$L$17:$M$28,2)="Yes",VLOOKUP(CALC!B143,MAIN!$H$17:$I$20,2),0),0)</f>
        <v>0</v>
      </c>
      <c r="FE143" s="1552" t="e">
        <f aca="false">$FD143*16*AT143*(1-$AY143)</f>
        <v>#VALUE!</v>
      </c>
      <c r="FF143" s="1553" t="e">
        <f aca="false">$FD143*16*AU143*(1-$AY143)</f>
        <v>#VALUE!</v>
      </c>
      <c r="FG143" s="1553" t="e">
        <f aca="false">$FD143*16*(AV143+AW143)*(1-$AY143)</f>
        <v>#VALUE!</v>
      </c>
      <c r="FH143" s="1554" t="n">
        <f aca="false">$FD143*8*AX143*(1-$AY143)</f>
        <v>0</v>
      </c>
      <c r="FI143" s="1555" t="n">
        <f aca="false">IF(AX143,VLOOKUP(CALC!B143,MAIN!$H$17:$K$20,4),0)</f>
        <v>0</v>
      </c>
      <c r="FJ143" s="1553" t="e">
        <f aca="false">SUM(FE143:FH143)</f>
        <v>#VALUE!</v>
      </c>
      <c r="FK143" s="1556" t="e">
        <f aca="false">FI143*FJ143</f>
        <v>#VALUE!</v>
      </c>
      <c r="FL143" s="1551" t="e">
        <f aca="false">IF($EI143&gt;0,MIN(FE143,AZ143*(1+VLOOKUP($C143,WeatherCapacityAdjustment,2))),0)</f>
        <v>#VALUE!</v>
      </c>
      <c r="FM143" s="1551" t="e">
        <f aca="false">IF($EI143&gt;0,MIN(FF143,BA143*(1+VLOOKUP($C143,WeatherCapacityAdjustment,2))),0)</f>
        <v>#VALUE!</v>
      </c>
      <c r="FN143" s="1551" t="e">
        <f aca="false">IF($EI143&gt;0,MIN(FG143,BB143*(1+VLOOKUP($C143,WeatherCapacityAdjustment,2))),0)</f>
        <v>#VALUE!</v>
      </c>
      <c r="FO143" s="1564" t="e">
        <f aca="false">IF($EI143&gt;0,MIN(FH143,BC143*(1+VLOOKUP($C143,WeatherCapacityAdjustment,3))),0)</f>
        <v>#VALUE!</v>
      </c>
      <c r="FP143" s="1551" t="e">
        <f aca="false">IF(ET143&gt;0,MIN(FE143-FL143,BH143*(1+VLOOKUP($C143,WeatherCapacityAdjustment,2))),0)</f>
        <v>#VALUE!</v>
      </c>
      <c r="FQ143" s="1551" t="e">
        <f aca="false">IF(EU143&gt;0,MIN(FF143-FM143,BI143*(1+VLOOKUP($C143,WeatherCapacityAdjustment,2))),0)</f>
        <v>#VALUE!</v>
      </c>
      <c r="FR143" s="1551" t="e">
        <f aca="false">IF(EV143&gt;0,MIN(FG143-FN143,BJ143*(1+VLOOKUP($C143,WeatherCapacityAdjustment,2))),0)</f>
        <v>#VALUE!</v>
      </c>
      <c r="FS143" s="1558" t="e">
        <f aca="false">IF(EW143&gt;0,MIN(FH143-FO143,BK143*(1+VLOOKUP($C143,WeatherCapacityAdjustment,3))),0)</f>
        <v>#VALUE!</v>
      </c>
      <c r="FT143" s="1566" t="e">
        <f aca="false">IF(AND(Assumptions!$H$71="Yes",A143&gt;=Assumptions!$H$72,A143&lt;=Assumptions!$H$73),0,IF(AND($A143&gt;=Assumptions!$C$17,$A143&lt;=Assumptions!$C$18),MAX(AZ143*(1+VLOOKUP($C143,WeatherCapacityAdjustment,2))-FL143,0),0))</f>
        <v>#VALUE!</v>
      </c>
      <c r="FU143" s="1551" t="e">
        <f aca="false">IF(AND(Assumptions!$H$71="Yes",A143&gt;=Assumptions!$H$72,A143&lt;=Assumptions!$H$73),0,IF(AND($A143&gt;=Assumptions!$C$17,$A143&lt;=Assumptions!$C$18),MAX(BA143*(1+VLOOKUP($C143,WeatherCapacityAdjustment,2))-FM143,0),0))</f>
        <v>#VALUE!</v>
      </c>
      <c r="FV143" s="1551" t="e">
        <f aca="false">IF(AND(Assumptions!$H$71="Yes",A143&gt;=Assumptions!$H$72,A143&lt;=Assumptions!$H$73),0,IF(AND($A143&gt;=Assumptions!$C$17,$A143&lt;=Assumptions!$C$18),MAX(BB143*(1+VLOOKUP($C143,WeatherCapacityAdjustment,2))-FN143,0),0))</f>
        <v>#VALUE!</v>
      </c>
      <c r="FW143" s="1564" t="e">
        <f aca="false">IF(AND(Assumptions!$H$71="Yes",A143&gt;=Assumptions!$H$72,A143&lt;=Assumptions!$H$73),0,IF(AND($A143&gt;=Assumptions!$C$17,$A143&lt;=Assumptions!$C$18),MAX(BC143*(1+VLOOKUP($C143,WeatherCapacityAdjustment,3))-FO143,0),0))</f>
        <v>#VALUE!</v>
      </c>
      <c r="FX143" s="1569" t="e">
        <f aca="false">IF(AND(Assumptions!$H$71="Yes",A143&gt;=Assumptions!$H$72,A143&lt;=Assumptions!$H$73),0,IF(ET143&gt;0,MAX(BH143*(1+VLOOKUP($C143,WeatherCapacityAdjustment,2))-FP143,0),0))</f>
        <v>#VALUE!</v>
      </c>
      <c r="FY143" s="1551" t="e">
        <f aca="false">IF(AND(Assumptions!$H$71="Yes",A143&gt;=Assumptions!$H$72,A143&lt;=Assumptions!$H$73),0,IF(EU143&gt;0,MAX(BI143*(1+VLOOKUP($C143,WeatherCapacityAdjustment,3))-FQ143,0),0))</f>
        <v>#VALUE!</v>
      </c>
      <c r="FZ143" s="1551" t="e">
        <f aca="false">IF(AND(Assumptions!$H$71="Yes",A143&gt;=Assumptions!$H$72,A143&lt;=Assumptions!$H$73),0,IF(EV143&gt;0,MAX(BJ143*(1+VLOOKUP($C143,WeatherCapacityAdjustment,2))-FR143,0),0))</f>
        <v>#VALUE!</v>
      </c>
      <c r="GA143" s="1564" t="e">
        <f aca="false">IF(AND(Assumptions!$H$71="Yes",A143&gt;=Assumptions!$H$72,A143&lt;=Assumptions!$H$73),0,IF(EW143&gt;0,MAX(BK143*(1+VLOOKUP($C143,WeatherCapacityAdjustment,2))-FS143,0),0))</f>
        <v>#VALUE!</v>
      </c>
      <c r="GB143" s="1551" t="e">
        <f aca="false">SUM(FT143:GA143)</f>
        <v>#VALUE!</v>
      </c>
      <c r="GC143" s="1563" t="e">
        <f aca="false">+IF(SUM(FT143:GA143)=0,0,(SUMPRODUCT(BU143:BX143,FT143:FW143)+SUMPRODUCT(CA143:CD143,FX143:GA143))/SUM(FT143:GA143))</f>
        <v>#VALUE!</v>
      </c>
      <c r="GD143" s="1551" t="e">
        <f aca="false">(FT143*BU143+FX143*CA143+FU143*BV143+FY143*CB143+FV143*BW143+FZ143*CC143+FW143*BX143+GA143*CD143)</f>
        <v>#VALUE!</v>
      </c>
      <c r="GE143" s="1561" t="e">
        <f aca="false">+IF(BQ143,((FL143+FM143+FT143+FU143)*HeatRatePeak/1000*(1+VLOOKUP($C143,WeatherHeatRateAdjustment,2))+(FN143+FV143)*IF(EV143&gt;0,HeatRatePeak,HeatRateOffPeak)/1000*(1+VLOOKUP($C143,WeatherHeatRateAdjustment,2))+(FO143+FW143)*IF(EW143&gt;0,HeatRatePeak,HeatRateOffPeak)/1000*(1+VLOOKUP($C143,WeatherHeatRateAdjustment,3)))*(1+VLOOKUP($B143,HeatRateDegradation,$C143+1)),0)</f>
        <v>#VALUE!</v>
      </c>
      <c r="GF143" s="1562" t="e">
        <f aca="false">IF(BQ143,((FP143+FQ143+FR143+FX143+FY143+FZ143)*HeatRatePeak/1000*(1+VLOOKUP($C143,WeatherHeatRateAdjustment,2))+(FS143+GA143)*HeatRatePeak/1000*(1+VLOOKUP($C143,WeatherHeatRateAdjustment,3)))*(1+VLOOKUP($B143,HeatRateDegradation,$C143+1)),0)</f>
        <v>#VALUE!</v>
      </c>
      <c r="GG143" s="1563" t="e">
        <f aca="false">IF(BQ143,VLOOKUP(A143,GasTable,13),0)</f>
        <v>#VALUE!</v>
      </c>
      <c r="GH143" s="1564" t="e">
        <f aca="false">(GE143+GF143)*GG143</f>
        <v>#VALUE!</v>
      </c>
      <c r="GI143" s="1569" t="e">
        <f aca="false">GB143</f>
        <v>#VALUE!</v>
      </c>
      <c r="GJ143" s="1598" t="e">
        <f aca="false">+DA143</f>
        <v>#VALUE!</v>
      </c>
      <c r="GK143" s="1558" t="e">
        <f aca="false">+GI143*GJ143</f>
        <v>#VALUE!</v>
      </c>
      <c r="GL143" s="1566" t="e">
        <f aca="false">MAX(FE143-FL143-FP143,0)</f>
        <v>#VALUE!</v>
      </c>
      <c r="GM143" s="1551" t="e">
        <f aca="false">MAX(FF143-FM143-FQ143,0)</f>
        <v>#VALUE!</v>
      </c>
      <c r="GN143" s="1551" t="e">
        <f aca="false">MAX(FG143-FN143-FR143,0)</f>
        <v>#VALUE!</v>
      </c>
      <c r="GO143" s="1564" t="e">
        <f aca="false">MAX(FH143-FO143-FS143,0)</f>
        <v>#VALUE!</v>
      </c>
      <c r="GP143" s="1551" t="e">
        <f aca="false">SUM(GL143:GO143)</f>
        <v>#VALUE!</v>
      </c>
      <c r="GQ143" s="1563" t="e">
        <f aca="false">IF(SUM(GL143:GO143)=0,0,((GL143*BU143+GM143*BV143+GN143*BW143+GO143*BX143)/SUM(GL143:GO143)))</f>
        <v>#VALUE!</v>
      </c>
      <c r="GR143" s="1558" t="e">
        <f aca="false">(GL143*BU143+GM143*BV143+GN143*BW143+GO143*BX143)</f>
        <v>#VALUE!</v>
      </c>
      <c r="GS143" s="1566" t="n">
        <f aca="false">IF($A143&gt;=BegDate,Assumptions!$C$56*24*($A144-$A143)*(1-VLOOKUP($B143,MAIN!$AA$7:$AM$28,$C143+1))*(1-VLOOKUP($B143,MAIN!$AA$33:$AM$54,$C143+1)),0)*80/168</f>
        <v>249428.571428571</v>
      </c>
      <c r="GT143" s="286" t="n">
        <f aca="false">J143</f>
        <v>53.5584702335417</v>
      </c>
      <c r="GU143" s="286" t="n">
        <f aca="false">IF($A143&gt;=BegDate,VLOOKUP($A143,GasTable,13)+Assumptions!$C$58,0)</f>
        <v>3.281423724054</v>
      </c>
      <c r="GV143" s="286" t="n">
        <f aca="false">GU143*Assumptions!$C$57/1000</f>
        <v>23.7903219993915</v>
      </c>
      <c r="GW143" s="1558" t="n">
        <f aca="false">IF(Assumptions!$C$60="Hourly",MAX(0,GS143*(GT143-GV143)),GS143*(GT143-GV143))</f>
        <v>7425026.68811802</v>
      </c>
      <c r="GX143" s="1566" t="n">
        <f aca="false">IF($A143&gt;=BegDate,Assumptions!$C$56*24*($A144-$A143)*(1-VLOOKUP($B143,MAIN!$AA$7:$AM$28,$C143+1))*(1-VLOOKUP($B143,MAIN!$AA$33:$AM$54,$C143+1)),0)*16/168</f>
        <v>49885.7142857143</v>
      </c>
      <c r="GY143" s="286" t="n">
        <f aca="false">M143</f>
        <v>53.5584702335417</v>
      </c>
      <c r="GZ143" s="286" t="n">
        <f aca="false">IF($A143&gt;=BegDate,VLOOKUP($A143,GasTable,13)+Assumptions!$C$58,0)</f>
        <v>3.281423724054</v>
      </c>
      <c r="HA143" s="286" t="n">
        <f aca="false">GZ143*Assumptions!$C$57/1000</f>
        <v>23.7903219993915</v>
      </c>
      <c r="HB143" s="1558" t="n">
        <f aca="false">IF(Assumptions!$C$60="Hourly",MAX(0,GX143*(GY143-HA143)),GX143*(GY143-HA143))</f>
        <v>1485005.3376236</v>
      </c>
      <c r="HC143" s="1566" t="n">
        <f aca="false">IF($A143&gt;=BegDate,Assumptions!$C$56*24*($A144-$A143)*(1-VLOOKUP($B143,MAIN!$AA$7:$AM$28,$C143+1))*(1-VLOOKUP($B143,MAIN!$AA$33:$AM$54,$C143+1)),0)*16/168</f>
        <v>49885.7142857143</v>
      </c>
      <c r="HD143" s="286" t="n">
        <f aca="false">P143</f>
        <v>29.5522036233749</v>
      </c>
      <c r="HE143" s="286" t="n">
        <f aca="false">IF($A143&gt;=BegDate,VLOOKUP($A143,GasTable,13)+Assumptions!$C$58,0)</f>
        <v>3.281423724054</v>
      </c>
      <c r="HF143" s="286" t="n">
        <f aca="false">HE143*Assumptions!$C$57/1000</f>
        <v>23.7903219993915</v>
      </c>
      <c r="HG143" s="1558" t="n">
        <f aca="false">IF(Assumptions!$C$60="Hourly",MAX(0,HC143*(HD143-HF143)),HC143*(HD143-HF143))</f>
        <v>287435.580442143</v>
      </c>
      <c r="HH143" s="1566" t="n">
        <f aca="false">IF($A143&gt;=BegDate,Assumptions!$C$56*24*($A144-$A143)*(1-VLOOKUP($B143,MAIN!$AA$7:$AM$28,$C143+1))*(1-VLOOKUP($B143,MAIN!$AA$33:$AM$54,$C143+1)),0)*56/168</f>
        <v>174600</v>
      </c>
      <c r="HI143" s="286" t="n">
        <f aca="false">S143</f>
        <v>29.5522036233749</v>
      </c>
      <c r="HJ143" s="286" t="n">
        <f aca="false">IF($A143&gt;=BegDate,VLOOKUP($A143,GasTable,13)+Assumptions!$C$58,0)</f>
        <v>3.281423724054</v>
      </c>
      <c r="HK143" s="286" t="n">
        <f aca="false">HJ143*Assumptions!$C$57/1000</f>
        <v>23.7903219993915</v>
      </c>
      <c r="HL143" s="1558" t="n">
        <f aca="false">IF(Assumptions!$C$60="Hourly",MAX(0,HH143*(HI143-HK143)),HH143*(HI143-HK143))</f>
        <v>1006024.5315475</v>
      </c>
      <c r="HM143" s="1566" t="n">
        <f aca="false">IF(AND(Assumptions!$H$71="Yes",A143&gt;=Assumptions!$H$72,A143&lt;=Assumptions!$H$73),Assumptions!$H$74*Assumptions!$C$9*1000,0)</f>
        <v>0</v>
      </c>
      <c r="HN143" s="1551"/>
      <c r="HO143" s="1563"/>
      <c r="HP143" s="1563"/>
      <c r="HQ143" s="1563"/>
      <c r="HR143" s="1563"/>
      <c r="HS143" s="1563"/>
      <c r="HT143" s="1563"/>
      <c r="HU143" s="1563"/>
      <c r="HV143" s="1563"/>
      <c r="HW143" s="1563"/>
      <c r="HX143" s="1563"/>
      <c r="HY143" s="1563"/>
      <c r="HZ143" s="1563"/>
      <c r="IA143" s="1563"/>
      <c r="IB143" s="1563"/>
      <c r="IC143" s="1563"/>
      <c r="ID143" s="1563"/>
      <c r="IE143" s="1563"/>
      <c r="IF143" s="1563"/>
      <c r="IG143" s="1563"/>
      <c r="IH143" s="1563"/>
      <c r="II143" s="1610"/>
      <c r="IJ143" s="1309"/>
      <c r="IK143" s="1309"/>
    </row>
    <row r="144" customFormat="false" ht="12.75" hidden="false" customHeight="false" outlineLevel="0" collapsed="false">
      <c r="A144" s="1571" t="n">
        <f aca="false">EOMONTH(A143,0)+1</f>
        <v>40513</v>
      </c>
      <c r="B144" s="594" t="n">
        <f aca="false">+YEAR(A144)</f>
        <v>2010</v>
      </c>
      <c r="C144" s="238" t="n">
        <f aca="false">MONTH(A144)</f>
        <v>12</v>
      </c>
      <c r="D144" s="1572" t="e">
        <f aca="false">IF(E144="","",Holiday(B144,C144))</f>
        <v>#VALUE!</v>
      </c>
      <c r="E144" s="1573" t="n">
        <f aca="false">IF(OR(BegDate&gt;=A145,EndDate&lt;A144,AND(VolumeMonthlyOverFlag,INDEX(VolumeMonthlyOver,C144)=0),NOT(INDEX(MonthKnockOutTable,C144))),"",MAX(A144,BegDate))</f>
        <v>40513</v>
      </c>
      <c r="F144" s="1574" t="n">
        <f aca="false">IF(E144="","",MIN(A145-1,EndDate))</f>
        <v>40543</v>
      </c>
      <c r="G144" s="1575" t="n">
        <v>0</v>
      </c>
      <c r="H144" s="1576" t="n">
        <f aca="false">(1+G144/2)^(-2*(DATE(B145,C145,20)-DateToday)/365.25)</f>
        <v>1</v>
      </c>
      <c r="I144" s="1568" t="n">
        <f aca="false">IF(Assumptions!$L$25=4,VLOOKUP($A144,'Henwood Reference'!$E$9:$R$320,10),(VLOOKUP($A144,PriceTable,2,0)+IF(BasisNumber&lt;&gt;1,VLOOKUP($A144,BasisTable,2,0),0)+I$1)/(1-I$2))</f>
        <v>52.8788808443946</v>
      </c>
      <c r="J144" s="1568" t="n">
        <f aca="false">IF(Assumptions!$L$25=4,VLOOKUP($A144,'Henwood Reference'!$E$9:$R$320,10),(VLOOKUP($A144,PriceTable,3,0)+IF(BasisNumber&lt;&gt;1,VLOOKUP($A144,BasisTable,2,0),0)+J$1)/(1-J$2))</f>
        <v>52.8788808443946</v>
      </c>
      <c r="K144" s="1568" t="n">
        <f aca="false">IF(Assumptions!$L$25=4,VLOOKUP($A144,'Henwood Reference'!$E$9:$R$320,10),(VLOOKUP($A144,PriceTable,4,0)+IF(BasisNumber&lt;&gt;1,VLOOKUP($A144,BasisTable,2,0),0)+K$1)/(1-K$2))</f>
        <v>52.8788808443946</v>
      </c>
      <c r="L144" s="1523" t="n">
        <f aca="false">IF(Assumptions!$L$25=4,VLOOKUP($A144,'Henwood Reference'!$E$9:$R$320,10),(VLOOKUP($A144,PriceTableWeekend,2,0)+IF(BasisNumber&lt;&gt;1,VLOOKUP($A144,BasisTable,2,0),0)+L$1)/(1-L$2))</f>
        <v>52.8788808443946</v>
      </c>
      <c r="M144" s="1568" t="n">
        <f aca="false">IF(Assumptions!$L$25=4,VLOOKUP($A144,'Henwood Reference'!$E$9:$R$320,10),(VLOOKUP($A144,PriceTableWeekend,3,0)+IF(BasisNumber&lt;&gt;1,VLOOKUP($A144,BasisTable,2,0),0)+M$1)/(1-M$2))</f>
        <v>52.8788808443946</v>
      </c>
      <c r="N144" s="1599" t="n">
        <f aca="false">IF(Assumptions!$L$25=4,VLOOKUP($A144,'Henwood Reference'!$E$9:$R$320,10),(VLOOKUP($A144,PriceTableWeekend,4,0)+IF(BasisNumber&lt;&gt;1,VLOOKUP($A144,BasisTable,2,0),0)+N$1)/(1-N$2))</f>
        <v>52.8788808443946</v>
      </c>
      <c r="O144" s="1568" t="n">
        <f aca="false">IF(Assumptions!$L$25=4,VLOOKUP($A144,'Henwood Reference'!$E$9:$R$320,11),(VLOOKUP($A144,PriceTableWeekend,6,0)+IF(BasisNumber&lt;&gt;1,VLOOKUP($A144,BasisTable,3,0),0)+O$1)/(1-O$2))</f>
        <v>30.6072432938804</v>
      </c>
      <c r="P144" s="1568" t="n">
        <f aca="false">IF(Assumptions!$L$25=4,VLOOKUP($A144,'Henwood Reference'!$E$9:$R$320,11),(VLOOKUP($A144,PriceTableWeekend,7,0)+IF(BasisNumber&lt;&gt;1,VLOOKUP($A144,BasisTable,3,0),0)+P$1)/(1-P$2))</f>
        <v>30.6072432938804</v>
      </c>
      <c r="Q144" s="1599" t="n">
        <f aca="false">IF(Assumptions!$L$25=4,VLOOKUP($A144,'Henwood Reference'!$E$9:$R$320,11),(VLOOKUP($A144,PriceTableWeekend,8,0)+IF(BasisNumber&lt;&gt;1,VLOOKUP($A144,BasisTable,3,0),0)+Q$1)/(1-Q$2))</f>
        <v>30.6072432938804</v>
      </c>
      <c r="R144" s="1568" t="n">
        <f aca="false">IF(Assumptions!$L$25=4,VLOOKUP($A144,'Henwood Reference'!$E$9:$R$320,11),(VLOOKUP($A144,PriceTable,6,0)+IF(BasisNumber&lt;&gt;1,VLOOKUP($A144,BasisTable,3,0),0)+R$1)/(1-R$2))</f>
        <v>30.6072432938804</v>
      </c>
      <c r="S144" s="1568" t="n">
        <f aca="false">IF(Assumptions!$L$25=4,VLOOKUP($A144,'Henwood Reference'!$E$9:$R$320,11),(VLOOKUP($A144,PriceTable,7,0)+IF(BasisNumber&lt;&gt;1,VLOOKUP($A144,BasisTable,3,0),0)+S$1)/(1-S$2))</f>
        <v>30.6072432938804</v>
      </c>
      <c r="T144" s="1600" t="n">
        <f aca="false">IF(Assumptions!$L$25=4,VLOOKUP($A144,'Henwood Reference'!$E$9:$R$320,11),(VLOOKUP($A144,PriceTable,8,0)+IF(BasisNumber&lt;&gt;1,VLOOKUP($A144,BasisTable,3,0),0)+T$1)/(1-T$2))</f>
        <v>30.6072432938804</v>
      </c>
      <c r="U144" s="1513" t="n">
        <f aca="false">VLOOKUP($A144,VolatilityTable,14)</f>
        <v>0.12</v>
      </c>
      <c r="V144" s="1513" t="n">
        <f aca="false">VLOOKUP($A144,VolatilityTable,15)</f>
        <v>0.13</v>
      </c>
      <c r="W144" s="1514" t="n">
        <f aca="false">VLOOKUP($A144,VolatilityTable,16)</f>
        <v>0.14</v>
      </c>
      <c r="X144" s="1513" t="n">
        <f aca="false">VLOOKUP($A144,VolatilityTable,14)</f>
        <v>0.12</v>
      </c>
      <c r="Y144" s="1513" t="n">
        <f aca="false">VLOOKUP($A144,VolatilityTable,15)</f>
        <v>0.13</v>
      </c>
      <c r="Z144" s="1514" t="n">
        <f aca="false">VLOOKUP($A144,VolatilityTable,16)</f>
        <v>0.14</v>
      </c>
      <c r="AA144" s="1513" t="n">
        <f aca="false">VLOOKUP($A144,VolatilityTable,18)</f>
        <v>0.09</v>
      </c>
      <c r="AB144" s="1513" t="n">
        <f aca="false">VLOOKUP($A144,VolatilityTable,19)</f>
        <v>0.11</v>
      </c>
      <c r="AC144" s="1514" t="n">
        <f aca="false">VLOOKUP($A144,VolatilityTable,20)</f>
        <v>0.13</v>
      </c>
      <c r="AD144" s="1513" t="n">
        <f aca="false">VLOOKUP($A144,VolatilityTable,18)</f>
        <v>0.09</v>
      </c>
      <c r="AE144" s="1513" t="n">
        <f aca="false">VLOOKUP($A144,VolatilityTable,19)</f>
        <v>0.11</v>
      </c>
      <c r="AF144" s="1514" t="n">
        <f aca="false">VLOOKUP($A144,VolatilityTable,20)</f>
        <v>0.13</v>
      </c>
      <c r="AG144" s="1513" t="n">
        <f aca="false">VLOOKUP($A144,VolatilityTable,22)</f>
        <v>-0.25</v>
      </c>
      <c r="AH144" s="1513" t="n">
        <f aca="false">VLOOKUP($A144,VolatilityTable,23)</f>
        <v>0.6</v>
      </c>
      <c r="AI144" s="1514" t="n">
        <f aca="false">VLOOKUP($A144,VolatilityTable,24)</f>
        <v>0.25</v>
      </c>
      <c r="AJ144" s="1513" t="n">
        <f aca="false">VLOOKUP($A144,VolatilityTable,22)</f>
        <v>-0.25</v>
      </c>
      <c r="AK144" s="1513" t="n">
        <f aca="false">VLOOKUP($A144,VolatilityTable,23)</f>
        <v>0.6</v>
      </c>
      <c r="AL144" s="1514" t="n">
        <f aca="false">VLOOKUP($A144,VolatilityTable,24)</f>
        <v>0.25</v>
      </c>
      <c r="AM144" s="1513" t="n">
        <f aca="false">VLOOKUP($A144,VolatilityTable,26)</f>
        <v>-0.01</v>
      </c>
      <c r="AN144" s="1513" t="n">
        <f aca="false">VLOOKUP($A144,VolatilityTable,27)</f>
        <v>0.16</v>
      </c>
      <c r="AO144" s="1514" t="n">
        <f aca="false">VLOOKUP($A144,VolatilityTable,28)</f>
        <v>0.01</v>
      </c>
      <c r="AP144" s="1513" t="n">
        <f aca="false">VLOOKUP($A144,VolatilityTable,26)</f>
        <v>-0.01</v>
      </c>
      <c r="AQ144" s="1513" t="n">
        <f aca="false">VLOOKUP($A144,VolatilityTable,27)</f>
        <v>0.16</v>
      </c>
      <c r="AR144" s="1515" t="n">
        <f aca="false">VLOOKUP($A144,VolatilityTable,28)</f>
        <v>0.01</v>
      </c>
      <c r="AS144" s="1581" t="n">
        <f aca="false">IF(CorrPeakOffPeakOverFlag,INDEX(CorrPeakOffPeakOver,C144),CorrPeakOffPeak)</f>
        <v>0.5</v>
      </c>
      <c r="AT144" s="594" t="e">
        <f aca="false">AX144-SUM(AU144:AW144)</f>
        <v>#VALUE!</v>
      </c>
      <c r="AU144" s="238" t="e">
        <f aca="false">IF(E144="",0,INT((F144-MOD(F144,7)-E144)/7)+1-IF(AW144,IF(WEEKDAY(D144)=7,1,0),0))</f>
        <v>#VALUE!</v>
      </c>
      <c r="AV144" s="238" t="e">
        <f aca="false">IF(E144="",0,INT((F144-MOD(F144-1,7)-E144)/7)+1-IF(AW144,IF(WEEKDAY(D144)=1,1,0),0))</f>
        <v>#VALUE!</v>
      </c>
      <c r="AW144" s="238" t="e">
        <f aca="false">IF(OR(E144="",D144="",D144&lt;BegDate,D144&gt;EndDate),0,1)</f>
        <v>#VALUE!</v>
      </c>
      <c r="AX144" s="238" t="n">
        <f aca="false">IF(E144="",0,F144-E144+1)</f>
        <v>31</v>
      </c>
      <c r="AY144" s="1582" t="n">
        <f aca="false">IF(E144="",0,MIN((1-(1-VLOOKUP(B144,MAIN!$AA$7:$AM$28,C144+1))*(1-VLOOKUP(B144,MAIN!$AA$33:$AM$54,C144+1))),1))</f>
        <v>0.03</v>
      </c>
      <c r="AZ144" s="1519" t="e">
        <v>#VALUE!</v>
      </c>
      <c r="BA144" s="1520" t="e">
        <v>#VALUE!</v>
      </c>
      <c r="BB144" s="1520" t="e">
        <v>#VALUE!</v>
      </c>
      <c r="BC144" s="1583" t="e">
        <v>#VALUE!</v>
      </c>
      <c r="BD144" s="1522" t="e">
        <v>#VALUE!</v>
      </c>
      <c r="BE144" s="1523" t="e">
        <v>#VALUE!</v>
      </c>
      <c r="BF144" s="1523" t="e">
        <v>#VALUE!</v>
      </c>
      <c r="BG144" s="1584" t="e">
        <v>#VALUE!</v>
      </c>
      <c r="BH144" s="1525" t="e">
        <v>#VALUE!</v>
      </c>
      <c r="BI144" s="1520" t="e">
        <v>#VALUE!</v>
      </c>
      <c r="BJ144" s="1520" t="e">
        <v>#VALUE!</v>
      </c>
      <c r="BK144" s="1583" t="e">
        <v>#VALUE!</v>
      </c>
      <c r="BL144" s="1522" t="e">
        <v>#VALUE!</v>
      </c>
      <c r="BM144" s="1523" t="e">
        <v>#VALUE!</v>
      </c>
      <c r="BN144" s="1523" t="e">
        <v>#VALUE!</v>
      </c>
      <c r="BO144" s="1523" t="e">
        <v>#VALUE!</v>
      </c>
      <c r="BP144" s="1525" t="e">
        <f aca="false">SUM(AZ144:BB144)</f>
        <v>#VALUE!</v>
      </c>
      <c r="BQ144" s="1529" t="e">
        <f aca="false">SUM(AZ144:BC144)</f>
        <v>#VALUE!</v>
      </c>
      <c r="BR144" s="1519" t="e">
        <f aca="false">SUM(BH144:BJ144)</f>
        <v>#VALUE!</v>
      </c>
      <c r="BS144" s="1529" t="e">
        <f aca="false">SUM(BH144:BK144)</f>
        <v>#VALUE!</v>
      </c>
      <c r="BT144" s="1316" t="n">
        <f aca="false">(IF(OVolType&lt;&gt;2,A144+14,IF(OptExpDateShift,ShiftBack(A144,OptExpDateShift,D143),A144))-DateToday)/365.25</f>
        <v>10.631074606434</v>
      </c>
      <c r="BU144" s="1585" t="e">
        <f aca="false">IF(BQ144,IF(OPriceCurve,IF(OBuySell=OCallPut,I144/(1-AY144),K144/(1-AY144)),J144/(1-AY144))*BD144,0)</f>
        <v>#VALUE!</v>
      </c>
      <c r="BV144" s="1316" t="e">
        <f aca="false">IF(BQ144,IF(OPriceCurve,IF(OBuySell=OCallPut,L144/(1-AY144),N144/(1-AY144)),M144/(1-AY144))*BE144,0)</f>
        <v>#VALUE!</v>
      </c>
      <c r="BW144" s="1316" t="e">
        <f aca="false">IF(BQ144,IF(OPriceCurve,IF(OBuySell=OCallPut,O144/(1-AY144),Q144/(1-AY144)),P144/(1-AY144))*BF144,0)</f>
        <v>#VALUE!</v>
      </c>
      <c r="BX144" s="1316" t="e">
        <f aca="false">IF(BQ144,IF(OPriceCurve,IF(OBuySell=OCallPut,R144/(1-AY144),T144/(1-AY144)),S144/(1-AY144))*BG144,0)</f>
        <v>#VALUE!</v>
      </c>
      <c r="BY144" s="1316" t="e">
        <f aca="false">IF(BP144,(BU144*AZ144+BV144*BA144+BW144*BB144)/BP144,0)</f>
        <v>#VALUE!</v>
      </c>
      <c r="BZ144" s="1316" t="e">
        <f aca="false">IF(BQ144,(BY144*BP144+BX144*BC144)/BQ144,0)</f>
        <v>#VALUE!</v>
      </c>
      <c r="CA144" s="1531" t="e">
        <f aca="false">IF(BS144,IF(OPriceCurve,IF(OBuySell=OCallPut,I144/(1-AY144),K144/(1-AY144)),J144/(1-AY144))*BL144,0)</f>
        <v>#VALUE!</v>
      </c>
      <c r="CB144" s="1316" t="e">
        <f aca="false">IF(BS144,IF(OPriceCurve,IF(OBuySell=OCallPut,L144/(1-AY144),N144/(1-AY144)),M144/(1-AY144))*BM144,0)</f>
        <v>#VALUE!</v>
      </c>
      <c r="CC144" s="1316" t="e">
        <f aca="false">IF(BS144,IF(OPriceCurve,IF(OBuySell=OCallPut,O144/(1-AY144),Q144/(1-AY144)),P144/(1-AY144))*BN144,0)</f>
        <v>#VALUE!</v>
      </c>
      <c r="CD144" s="1316" t="e">
        <f aca="false">IF(BS144,IF(OPriceCurve,IF(OBuySell=OCallPut,R144/(1-AY144),T144/(1-AY144)),S144/(1-AY144))*BO144,0)</f>
        <v>#VALUE!</v>
      </c>
      <c r="CE144" s="1316" t="e">
        <f aca="false">IF(BR144,(BU144*BH144+BV144*BI144+BW144*BJ144)/BR144,0)</f>
        <v>#VALUE!</v>
      </c>
      <c r="CF144" s="1532" t="e">
        <f aca="false">IF(BS144,(CE144*BR144+CD144*BK144)/BS144,0)</f>
        <v>#VALUE!</v>
      </c>
      <c r="CG144" s="1586" t="e">
        <f aca="false">IF(OR(BQ144,BS144),IF(OVolType&lt;&gt;2,SQRT(IF(OVolOverMonthlyPeak,OVolOverMonthlyPeak,IF(OVolCurve,IF(OBuySell,U144,W144),V144))^2*(1-15/365.25/BT144)+IF(OVolOverDailyPeak,OVolOverDailyPeak,IF(OVolCurve,IF(OBuySell,AG144,AI144),AH144))^2*15/365.25/BT144),IF(OVolOverMonthlyPeak,OVolOverMonthlyPeak,IF(OVolCurve,IF(OBuySell,U144,W144),V144))),"")</f>
        <v>#VALUE!</v>
      </c>
      <c r="CH144" s="1587" t="e">
        <f aca="false">IF(OR(BQ144,BS144),IF(OVolType&lt;&gt;2,SQRT(IF(OVolOverMonthlyPeak,OVolOverMonthlyPeak,IF(OVolCurve,IF(OBuySell,X144,Z144),Y144))^2*(1-15/365.25/BT144)+IF(OVolOverDailyPeak,OVolOverDailyPeak,IF(OVolCurve,IF(OBuySell,AJ144,AL144),AK144))^2*15/365.25/BT144),IF(OVolOverMonthlyPeak,OVolOverMonthlyPeak,IF(OVolCurve,IF(OBuySell,X144,Z144),Y144))),"")</f>
        <v>#VALUE!</v>
      </c>
      <c r="CI144" s="1587" t="e">
        <f aca="false">IF(OR(BQ144,BS144),IF(OVolType&lt;&gt;2,SQRT(IF(OVolOverMonthlyPeak,OVolOverMonthlyPeak,IF(OVolCurve,IF(OBuySell,AA144,AC144),AB144))^2*(1-15/365.25/BT144)+IF(OVolOverDailyPeak,OVolOverDailyPeak,IF(OVolCurve,IF(OBuySell,AM144,AO144),AN144))^2*15/365.25/BT144),IF(OVolOverMonthlyPeak,OVolOverMonthlyPeak,IF(OVolCurve,IF(OBuySell,AA144,AC144),AB144))),"")</f>
        <v>#VALUE!</v>
      </c>
      <c r="CJ144" s="1587" t="e">
        <f aca="false">IF(BQ144,IF(BP144,SQRT(LN(1+((BU144*AZ144)^2*(EXP(CG144^2*BT144)-1)+(BV144*BA144)^2*(EXP(CH144^2*BT144)-1)+(BW144*BB144)^2*(EXP(CI144^2*BT144)-1)+2*BU144*AZ144*BV144*BA144*(EXP(CG144*CH144*BT144)-1)+2*BV144*BA144*BW144*BB144*(EXP(CH144*CI144*BT144)-1)+2*BW144*BB144*BU144*AZ144*(EXP(CI144*CG144*BT144)-1))/(BY144*BP144)^2)/BT144),0),"")</f>
        <v>#VALUE!</v>
      </c>
      <c r="CK144" s="1587" t="e">
        <f aca="false">IF(BS144,IF(BR144,SQRT(LN(1+((CA144*BH144)^2*(EXP(CG144^2*BT144)-1)+(CB144*BI144)^2*(EXP(CH144^2*BT144)-1)+(CC144*BJ144)^2*(EXP(CI144^2*BT144)-1)+2*CA144*BH144*CB144*BI144*(EXP(CG144*CH144*BT144)-1)+2*CB144*BI144*CC144*BJ144*(EXP(CH144*CI144*BT144)-1)+2*CC144*BJ144*CA144*BH144*(EXP(CI144*CG144*BT144)-1))/(CE144*BR144)^2)/BT144),0),"")</f>
        <v>#VALUE!</v>
      </c>
      <c r="CL144" s="1587" t="e">
        <f aca="false">IF(OR(BQ144,BS144),IF(OVolType&lt;&gt;2,SQRT(IF(OVolOverMonthlyOffPeak,OVolOverMonthlyOffPeak,IF(OVolCurve,IF(OBuySell,AD144,AF144),AE144))^2*(1-15/365.25/BT144)+IF(OVolOverDailyOffPeak,OVolOverDailyOffPeak,IF(OVolCurve,IF(OBuySell,AP144,AR144),AQ144))^2*15/365.25/BT144),IF(OVolOverMonthlyOffPeak,OVolOverMonthlyOffPeak,IF(OVolCurve,IF(OBuySell,AD144,AF144),AE144))),"")</f>
        <v>#VALUE!</v>
      </c>
      <c r="CM144" s="1587" t="e">
        <f aca="false">IF(BQ144,SQRT(LN(1+((BY144*BP144)^2*(EXP(CJ144^2*BT144)-1)+(BX144*BC144)^2*(EXP(CL144^2*BT144)-1)+2*BY144*BP144*BX144*BC144*(EXP(AS144*CJ144*CL144*BT144)-1))/(BY144*BP144+BX144*BC144)^2)/BT144),"")</f>
        <v>#VALUE!</v>
      </c>
      <c r="CN144" s="1588" t="e">
        <f aca="false">IF(BS144,SQRT(LN(1+((CE144*BR144)^2*(EXP(CK144^2*BT144)-1)+(CD144*BK144)^2*(EXP(CL144^2*BT144)-1)+2*CE144*BR144*CD144*BK144*(EXP(AS144*CK144*CL144*BT144)-1))/(CE144*BR144+CD144*BK144)^2)/BT144),"")</f>
        <v>#VALUE!</v>
      </c>
      <c r="CO144" s="1531" t="e">
        <f aca="false">IF(OR(BQ144,BS144),VLOOKUP(A144,GasTable,13)*HeatRatePeak*(1+VLOOKUP($B144,HeatRateDegradation,$C144+1))/1000,0)</f>
        <v>#VALUE!</v>
      </c>
      <c r="CP144" s="1316" t="e">
        <f aca="false">IF(OR(BQ144,BS144),VLOOKUP(A144,GasTable,13)*HeatRatePeak*(1+VLOOKUP($B144,HeatRateDegradation,$C144+1))/1000,0)</f>
        <v>#VALUE!</v>
      </c>
      <c r="CQ144" s="1316" t="e">
        <f aca="false">IF(OR(BQ144,BS144),VLOOKUP(A144,GasTable,13)*IF(EV144,HeatRatePeak,HeatRateOffPeak)*(1+VLOOKUP($B144,HeatRateDegradation,$C144+1))/1000,0)</f>
        <v>#VALUE!</v>
      </c>
      <c r="CR144" s="1316" t="e">
        <f aca="false">IF(OR(BQ144,BS144),VLOOKUP(A144,GasTable,13)*IF(EW144,HeatRatePeak,HeatRateOffPeak)*(1+VLOOKUP($B144,HeatRateDegradation,$C144+1))/1000,0)</f>
        <v>#VALUE!</v>
      </c>
      <c r="CS144" s="1589" t="e">
        <f aca="false">IF(BQ144,(CO144*AZ144+CP144*BA144+CQ144*BB144+CR144*BC144)/BQ144,0)</f>
        <v>#VALUE!</v>
      </c>
      <c r="CT144" s="1316" t="e">
        <f aca="false">IF(BS144,CO144,0)</f>
        <v>#VALUE!</v>
      </c>
      <c r="CU144" s="1590" t="e">
        <f aca="false">IF(OR(BQ144,BS144),VLOOKUP(A144,GasTable,14),"")</f>
        <v>#VALUE!</v>
      </c>
      <c r="CV144" s="1568" t="e">
        <f aca="false">IF(OR(BQ144,BS144),IF(CorrPowerGasOverFlag,INDEX(CorrPowerGasOver,C144),CorrPowerGas),"")</f>
        <v>#VALUE!</v>
      </c>
      <c r="CW144" s="1316" t="e">
        <f aca="false">IF(OR($BQ144,$BS144),SpreadOptPowerMargin,0)*((1+Assumptions!$C$26)^($B144-YEAR(Assumptions!$C$17)))</f>
        <v>#VALUE!</v>
      </c>
      <c r="CX144" s="1316" t="e">
        <f aca="false">IF(OR($BQ144,$BS144),SpreadOptPowerMargin,0)*((1+Assumptions!$C$26)^($B144-YEAR(Assumptions!$C$17)))</f>
        <v>#VALUE!</v>
      </c>
      <c r="CY144" s="1316" t="e">
        <f aca="false">IF(OR($BQ144,$BS144),SpreadOptPowerMargin,0)*((1+Assumptions!$C$26)^($B144-YEAR(Assumptions!$C$17)))</f>
        <v>#VALUE!</v>
      </c>
      <c r="CZ144" s="1316" t="e">
        <f aca="false">IF(OR($BQ144,$BS144),SpreadOptPowerMargin,0)*((1+Assumptions!$C$26)^($B144-YEAR(Assumptions!$C$17)))</f>
        <v>#VALUE!</v>
      </c>
      <c r="DA144" s="1591" t="e">
        <f aca="false">IF(OR(BQ144,BS144),(CW144*(AZ144+BH144)+CX144*(BA144+BI144)+CY144*(BB144+BJ144)+CZ144*(BC144+BK144))/(BQ144+BS144),0)</f>
        <v>#VALUE!</v>
      </c>
      <c r="DB144" s="1592" t="e">
        <f aca="false">IF(OR(BQ144,BS144),CG144+IF(OVolSmile,VLOOKUP(MAX(-5,CO144+CW144-BU144),IF(OVolSmile=1,VolSmileBook,VolSmileModel),2),0),"")</f>
        <v>#VALUE!</v>
      </c>
      <c r="DC144" s="1592" t="e">
        <f aca="false">IF(OR(BQ144,BS144),CH144+IF(OVolSmile,VLOOKUP(MAX(-5,CP144+CW144-BV144),IF(OVolSmile=1,VolSmileBook,VolSmileModel),2),0),"")</f>
        <v>#VALUE!</v>
      </c>
      <c r="DD144" s="1592" t="e">
        <f aca="false">IF(OR(BQ144,BS144),CI144+IF(OVolSmile,VLOOKUP(MAX(-5,CQ144+CW144-BW144),IF(OVolSmile=1,VolSmileBook,VolSmileModel),2),0),"")</f>
        <v>#VALUE!</v>
      </c>
      <c r="DE144" s="1592" t="e">
        <f aca="false">IF(OR(BQ144,BS144),CL144+IF(OVolSmile,VLOOKUP(MAX(-5,CR144+CZ144-BX144),IF(OVolSmile=1,VolSmileBook,VolSmileModel),2),0),"")</f>
        <v>#VALUE!</v>
      </c>
      <c r="DF144" s="1592" t="e">
        <f aca="false">IF(BQ144,CM144+IF(OVolSmile,VLOOKUP(MAX(-5,CS144+DA144-BZ144),IF(OVolSmile=1,VolSmileBook,VolSmileModel),2),0),"")</f>
        <v>#VALUE!</v>
      </c>
      <c r="DG144" s="1593" t="e">
        <f aca="false">IF(BS144,CN144+IF(OVolSmile,VLOOKUP(MAX(-5,CT144+DA144-CF144),IF(OVolSmile=1,VolSmileBook,VolSmileModel),2),0),"")</f>
        <v>#VALUE!</v>
      </c>
      <c r="DH144" s="1316" t="e">
        <f aca="false">IF(AND(BU144&gt;0,CO144&gt;0,DB144&gt;0,CU144&gt;0),newSPRDOPT(BU144,CO144,CW144,0,DB144,CU144,CV144,BT144*365.25,OCallPut,0),0)</f>
        <v>#VALUE!</v>
      </c>
      <c r="DI144" s="1316" t="e">
        <f aca="false">IF(AND(BV144&gt;0,CP144&gt;0,DC144&gt;0,CU144&gt;0),newSPRDOPT(BV144,CP144,CX144,0,DC144,CU144,CV144,BT144*365.25,OCallPut,0),0)</f>
        <v>#VALUE!</v>
      </c>
      <c r="DJ144" s="1316" t="e">
        <f aca="false">IF(AND(BW144&gt;0,CQ144&gt;0,DD144&gt;0,CU144&gt;0),newSPRDOPT(BW144,CQ144,CY144,0,DD144,CU144,CV144,BT144*365.25,OCallPut,0),0)</f>
        <v>#VALUE!</v>
      </c>
      <c r="DK144" s="1316" t="e">
        <f aca="false">IF(AND(BX144&gt;0,CR144&gt;0,DE144&gt;0,CU144&gt;0),newSPRDOPT(BX144,CR144,CZ144,0,DE144,CU144,CV144,BT144*365.25,OCallPut,0),0)</f>
        <v>#VALUE!</v>
      </c>
      <c r="DL144" s="1316" t="e">
        <f aca="false">IF(OVolType,IF(AND(BZ144&gt;0,CS144&gt;0,DF144&gt;0,CU144&gt;0),newSPRDOPT(BZ144,CS144,DA144,0,DF144,CU144,CV144,BT144*365.25,OCallPut,0),0),IF(BQ144,(DH144*AZ144+DI144*BA144+DJ144*BB144+DK144*BC144)/BQ144,0))</f>
        <v>#VALUE!</v>
      </c>
      <c r="DM144" s="1316"/>
      <c r="DN144" s="1316"/>
      <c r="DO144" s="1316"/>
      <c r="DP144" s="1316"/>
      <c r="DQ144" s="1316"/>
      <c r="DR144" s="1316"/>
      <c r="DS144" s="1316"/>
      <c r="DT144" s="1316"/>
      <c r="DU144" s="1316"/>
      <c r="DV144" s="1316"/>
      <c r="DW144" s="1594" t="e">
        <f aca="false">IF(AND(BW144&gt;0,CT144&gt;0,DD144&gt;0,CU144&gt;0),newSPRDOPT(BW144,CT144,CY144,0,DD144,CU144,CV144,BT144*365.25,OCallPut,0),0)</f>
        <v>#VALUE!</v>
      </c>
      <c r="DX144" s="1316" t="e">
        <f aca="false">IF(AND(BX144&gt;0,CT144&gt;0,DE144&gt;0,CU144&gt;0),newSPRDOPT(BX144,CT144,CZ144,0,DE144,CU144,CV144,BT144*365.25,OCallPut,0),0)</f>
        <v>#VALUE!</v>
      </c>
      <c r="DY144" s="1591" t="e">
        <f aca="false">IF(BS144,(DH144*BH144+DI144*BI144+DW144*BJ144+DX144*BK144)/BS144,0)</f>
        <v>#VALUE!</v>
      </c>
      <c r="DZ144" s="1551" t="e">
        <f aca="false">DH144*AZ144</f>
        <v>#VALUE!</v>
      </c>
      <c r="EA144" s="1551" t="e">
        <f aca="false">DI144*BA144</f>
        <v>#VALUE!</v>
      </c>
      <c r="EB144" s="1551" t="e">
        <f aca="false">DJ144*BB144</f>
        <v>#VALUE!</v>
      </c>
      <c r="EC144" s="1551" t="e">
        <f aca="false">DK144*BC144</f>
        <v>#VALUE!</v>
      </c>
      <c r="ED144" s="1551" t="e">
        <f aca="false">DL144*BQ144</f>
        <v>#VALUE!</v>
      </c>
      <c r="EE144" s="1595" t="e">
        <f aca="false">IF(BQ144,IF(OCallPut,IF(BU144&gt;(CO144+CW144),BU144-(CO144+CW144),0),IF((CO144+CW144)&gt;BU144,(CO144+CW144)-BU144,0))*AZ144,0)</f>
        <v>#VALUE!</v>
      </c>
      <c r="EF144" s="1596" t="e">
        <f aca="false">IF(BQ144,IF(OCallPut,IF(BV144&gt;(CP144+CX144),BV144-(CP144+CX144),0),IF((CP144+CX144)&gt;BV144,(CP144+CX144)-BV144,0))*BA144,0)</f>
        <v>#VALUE!</v>
      </c>
      <c r="EG144" s="1596" t="e">
        <f aca="false">IF(BQ144,IF(OCallPut,IF(BW144&gt;(CQ144+CY144),BW144-(CQ144+CY144),0),IF((CQ144+CY144)&gt;BW144,(CQ144+CY144)-BW144,0))*BB144,0)</f>
        <v>#VALUE!</v>
      </c>
      <c r="EH144" s="1596" t="e">
        <f aca="false">IF(BQ144,IF(OCallPut,IF(BX144&gt;(CR144+CZ144),BX144-(CR144+CZ144),0),IF((CR144+CZ144)&gt;BX144,(CR144+CZ144)-BX144,0))*BC144,0)</f>
        <v>#VALUE!</v>
      </c>
      <c r="EI144" s="1597" t="e">
        <f aca="false">IF(BQ144,IF(OVolType,IF(OCallPut,IF(BZ144&gt;(CS144+DA144),BZ144-(CS144+DA144),0),IF((CS144+DA144)&gt;BZ144,(CS144+DA144)-BZ144,0))*BQ144,SUM(EE144:EH144)),0)</f>
        <v>#VALUE!</v>
      </c>
      <c r="EJ144" s="1595" t="e">
        <f aca="false">DZ144-EE144</f>
        <v>#VALUE!</v>
      </c>
      <c r="EK144" s="1596" t="e">
        <f aca="false">EA144-EF144</f>
        <v>#VALUE!</v>
      </c>
      <c r="EL144" s="1596" t="e">
        <f aca="false">EB144-EG144</f>
        <v>#VALUE!</v>
      </c>
      <c r="EM144" s="1596" t="e">
        <f aca="false">EC144-EH144</f>
        <v>#VALUE!</v>
      </c>
      <c r="EN144" s="1597" t="e">
        <f aca="false">ED144-EI144</f>
        <v>#VALUE!</v>
      </c>
      <c r="EO144" s="1551" t="e">
        <f aca="false">DH144*BH144</f>
        <v>#VALUE!</v>
      </c>
      <c r="EP144" s="1551" t="e">
        <f aca="false">DI144*BI144</f>
        <v>#VALUE!</v>
      </c>
      <c r="EQ144" s="1551" t="e">
        <f aca="false">DW144*BJ144</f>
        <v>#VALUE!</v>
      </c>
      <c r="ER144" s="1551" t="e">
        <f aca="false">DX144*BK144</f>
        <v>#VALUE!</v>
      </c>
      <c r="ES144" s="1551" t="e">
        <f aca="false">DY144*BS144</f>
        <v>#VALUE!</v>
      </c>
      <c r="ET144" s="1566" t="e">
        <f aca="false">IF(EI144,IF(OCallPut,IF(CA144&gt;(CT144+CW144),CA144-(CT144+CW144),0),IF((CT144+CW144)&gt;CA144,(CT144+CW144)-CA144,0))*BH144,0)</f>
        <v>#VALUE!</v>
      </c>
      <c r="EU144" s="1551" t="e">
        <f aca="false">IF(EI144,IF(OCallPut,IF(CB144&gt;(CT144+CX144),CB144-(CT144+CX144),0),IF((CT144+CX144)&gt;CB144,(CT144+CX144)-CB144,0))*BI144,0)</f>
        <v>#VALUE!</v>
      </c>
      <c r="EV144" s="1551" t="e">
        <f aca="false">IF(EI144,IF(OCallPut,IF(CC144&gt;(CT144+CY144),CC144-(CT144+CY144),0),IF((CT144+CY144)&gt;CC144,(CT144+CY144)-CC144,0))*BJ144,0)</f>
        <v>#VALUE!</v>
      </c>
      <c r="EW144" s="1551" t="e">
        <f aca="false">IF(EI144,IF(OCallPut,IF(CD144&gt;(CT144+CZ144),CD144-(CT144+CZ144),0),IF((CT144+CZ144)&gt;CD144,(CT144+CZ144)-CD144,0))*BK144,0)</f>
        <v>#VALUE!</v>
      </c>
      <c r="EX144" s="1558" t="e">
        <f aca="false">IF(EI144,SUM(ET144:EW144),0)</f>
        <v>#VALUE!</v>
      </c>
      <c r="EY144" s="1551" t="e">
        <f aca="false">EO144-ET144</f>
        <v>#VALUE!</v>
      </c>
      <c r="EZ144" s="1551" t="e">
        <f aca="false">EP144-EU144</f>
        <v>#VALUE!</v>
      </c>
      <c r="FA144" s="1551" t="e">
        <f aca="false">EQ144-EV144</f>
        <v>#VALUE!</v>
      </c>
      <c r="FB144" s="1551" t="e">
        <f aca="false">ER144-EW144</f>
        <v>#VALUE!</v>
      </c>
      <c r="FC144" s="1551" t="e">
        <f aca="false">ES144-EX144</f>
        <v>#VALUE!</v>
      </c>
      <c r="FD144" s="1525" t="n">
        <f aca="false">IF(AX144,IF(VLOOKUP(C144,MAIN!$L$17:$M$28,2)="Yes",VLOOKUP(CALC!B144,MAIN!$H$17:$I$20,2),0),0)</f>
        <v>0</v>
      </c>
      <c r="FE144" s="1552" t="e">
        <f aca="false">$FD144*16*AT144*(1-$AY144)</f>
        <v>#VALUE!</v>
      </c>
      <c r="FF144" s="1553" t="e">
        <f aca="false">$FD144*16*AU144*(1-$AY144)</f>
        <v>#VALUE!</v>
      </c>
      <c r="FG144" s="1553" t="e">
        <f aca="false">$FD144*16*(AV144+AW144)*(1-$AY144)</f>
        <v>#VALUE!</v>
      </c>
      <c r="FH144" s="1554" t="n">
        <f aca="false">$FD144*8*AX144*(1-$AY144)</f>
        <v>0</v>
      </c>
      <c r="FI144" s="1555" t="n">
        <f aca="false">IF(AX144,VLOOKUP(CALC!B144,MAIN!$H$17:$K$20,4),0)</f>
        <v>0</v>
      </c>
      <c r="FJ144" s="1553" t="e">
        <f aca="false">SUM(FE144:FH144)</f>
        <v>#VALUE!</v>
      </c>
      <c r="FK144" s="1556" t="e">
        <f aca="false">FI144*FJ144</f>
        <v>#VALUE!</v>
      </c>
      <c r="FL144" s="1551" t="e">
        <f aca="false">IF($EI144&gt;0,MIN(FE144,AZ144*(1+VLOOKUP($C144,WeatherCapacityAdjustment,2))),0)</f>
        <v>#VALUE!</v>
      </c>
      <c r="FM144" s="1551" t="e">
        <f aca="false">IF($EI144&gt;0,MIN(FF144,BA144*(1+VLOOKUP($C144,WeatherCapacityAdjustment,2))),0)</f>
        <v>#VALUE!</v>
      </c>
      <c r="FN144" s="1551" t="e">
        <f aca="false">IF($EI144&gt;0,MIN(FG144,BB144*(1+VLOOKUP($C144,WeatherCapacityAdjustment,2))),0)</f>
        <v>#VALUE!</v>
      </c>
      <c r="FO144" s="1564" t="e">
        <f aca="false">IF($EI144&gt;0,MIN(FH144,BC144*(1+VLOOKUP($C144,WeatherCapacityAdjustment,3))),0)</f>
        <v>#VALUE!</v>
      </c>
      <c r="FP144" s="1551" t="e">
        <f aca="false">IF(ET144&gt;0,MIN(FE144-FL144,BH144*(1+VLOOKUP($C144,WeatherCapacityAdjustment,2))),0)</f>
        <v>#VALUE!</v>
      </c>
      <c r="FQ144" s="1551" t="e">
        <f aca="false">IF(EU144&gt;0,MIN(FF144-FM144,BI144*(1+VLOOKUP($C144,WeatherCapacityAdjustment,2))),0)</f>
        <v>#VALUE!</v>
      </c>
      <c r="FR144" s="1551" t="e">
        <f aca="false">IF(EV144&gt;0,MIN(FG144-FN144,BJ144*(1+VLOOKUP($C144,WeatherCapacityAdjustment,2))),0)</f>
        <v>#VALUE!</v>
      </c>
      <c r="FS144" s="1558" t="e">
        <f aca="false">IF(EW144&gt;0,MIN(FH144-FO144,BK144*(1+VLOOKUP($C144,WeatherCapacityAdjustment,3))),0)</f>
        <v>#VALUE!</v>
      </c>
      <c r="FT144" s="1566" t="e">
        <f aca="false">IF(AND(Assumptions!$H$71="Yes",A144&gt;=Assumptions!$H$72,A144&lt;=Assumptions!$H$73),0,IF(AND($A144&gt;=Assumptions!$C$17,$A144&lt;=Assumptions!$C$18),MAX(AZ144*(1+VLOOKUP($C144,WeatherCapacityAdjustment,2))-FL144,0),0))</f>
        <v>#VALUE!</v>
      </c>
      <c r="FU144" s="1551" t="e">
        <f aca="false">IF(AND(Assumptions!$H$71="Yes",A144&gt;=Assumptions!$H$72,A144&lt;=Assumptions!$H$73),0,IF(AND($A144&gt;=Assumptions!$C$17,$A144&lt;=Assumptions!$C$18),MAX(BA144*(1+VLOOKUP($C144,WeatherCapacityAdjustment,2))-FM144,0),0))</f>
        <v>#VALUE!</v>
      </c>
      <c r="FV144" s="1551" t="e">
        <f aca="false">IF(AND(Assumptions!$H$71="Yes",A144&gt;=Assumptions!$H$72,A144&lt;=Assumptions!$H$73),0,IF(AND($A144&gt;=Assumptions!$C$17,$A144&lt;=Assumptions!$C$18),MAX(BB144*(1+VLOOKUP($C144,WeatherCapacityAdjustment,2))-FN144,0),0))</f>
        <v>#VALUE!</v>
      </c>
      <c r="FW144" s="1564" t="e">
        <f aca="false">IF(AND(Assumptions!$H$71="Yes",A144&gt;=Assumptions!$H$72,A144&lt;=Assumptions!$H$73),0,IF(AND($A144&gt;=Assumptions!$C$17,$A144&lt;=Assumptions!$C$18),MAX(BC144*(1+VLOOKUP($C144,WeatherCapacityAdjustment,3))-FO144,0),0))</f>
        <v>#VALUE!</v>
      </c>
      <c r="FX144" s="1569" t="e">
        <f aca="false">IF(AND(Assumptions!$H$71="Yes",A144&gt;=Assumptions!$H$72,A144&lt;=Assumptions!$H$73),0,IF(ET144&gt;0,MAX(BH144*(1+VLOOKUP($C144,WeatherCapacityAdjustment,2))-FP144,0),0))</f>
        <v>#VALUE!</v>
      </c>
      <c r="FY144" s="1551" t="e">
        <f aca="false">IF(AND(Assumptions!$H$71="Yes",A144&gt;=Assumptions!$H$72,A144&lt;=Assumptions!$H$73),0,IF(EU144&gt;0,MAX(BI144*(1+VLOOKUP($C144,WeatherCapacityAdjustment,3))-FQ144,0),0))</f>
        <v>#VALUE!</v>
      </c>
      <c r="FZ144" s="1551" t="e">
        <f aca="false">IF(AND(Assumptions!$H$71="Yes",A144&gt;=Assumptions!$H$72,A144&lt;=Assumptions!$H$73),0,IF(EV144&gt;0,MAX(BJ144*(1+VLOOKUP($C144,WeatherCapacityAdjustment,2))-FR144,0),0))</f>
        <v>#VALUE!</v>
      </c>
      <c r="GA144" s="1564" t="e">
        <f aca="false">IF(AND(Assumptions!$H$71="Yes",A144&gt;=Assumptions!$H$72,A144&lt;=Assumptions!$H$73),0,IF(EW144&gt;0,MAX(BK144*(1+VLOOKUP($C144,WeatherCapacityAdjustment,2))-FS144,0),0))</f>
        <v>#VALUE!</v>
      </c>
      <c r="GB144" s="1551" t="e">
        <f aca="false">SUM(FT144:GA144)</f>
        <v>#VALUE!</v>
      </c>
      <c r="GC144" s="1563" t="e">
        <f aca="false">+IF(SUM(FT144:GA144)=0,0,(SUMPRODUCT(BU144:BX144,FT144:FW144)+SUMPRODUCT(CA144:CD144,FX144:GA144))/SUM(FT144:GA144))</f>
        <v>#VALUE!</v>
      </c>
      <c r="GD144" s="1551" t="e">
        <f aca="false">(FT144*BU144+FX144*CA144+FU144*BV144+FY144*CB144+FV144*BW144+FZ144*CC144+FW144*BX144+GA144*CD144)</f>
        <v>#VALUE!</v>
      </c>
      <c r="GE144" s="1561" t="e">
        <f aca="false">+IF(BQ144,((FL144+FM144+FT144+FU144)*HeatRatePeak/1000*(1+VLOOKUP($C144,WeatherHeatRateAdjustment,2))+(FN144+FV144)*IF(EV144&gt;0,HeatRatePeak,HeatRateOffPeak)/1000*(1+VLOOKUP($C144,WeatherHeatRateAdjustment,2))+(FO144+FW144)*IF(EW144&gt;0,HeatRatePeak,HeatRateOffPeak)/1000*(1+VLOOKUP($C144,WeatherHeatRateAdjustment,3)))*(1+VLOOKUP($B144,HeatRateDegradation,$C144+1)),0)</f>
        <v>#VALUE!</v>
      </c>
      <c r="GF144" s="1562" t="e">
        <f aca="false">IF(BQ144,((FP144+FQ144+FR144+FX144+FY144+FZ144)*HeatRatePeak/1000*(1+VLOOKUP($C144,WeatherHeatRateAdjustment,2))+(FS144+GA144)*HeatRatePeak/1000*(1+VLOOKUP($C144,WeatherHeatRateAdjustment,3)))*(1+VLOOKUP($B144,HeatRateDegradation,$C144+1)),0)</f>
        <v>#VALUE!</v>
      </c>
      <c r="GG144" s="1563" t="e">
        <f aca="false">IF(BQ144,VLOOKUP(A144,GasTable,13),0)</f>
        <v>#VALUE!</v>
      </c>
      <c r="GH144" s="1564" t="e">
        <f aca="false">(GE144+GF144)*GG144</f>
        <v>#VALUE!</v>
      </c>
      <c r="GI144" s="1569" t="e">
        <f aca="false">GB144</f>
        <v>#VALUE!</v>
      </c>
      <c r="GJ144" s="1598" t="e">
        <f aca="false">+DA144</f>
        <v>#VALUE!</v>
      </c>
      <c r="GK144" s="1558" t="e">
        <f aca="false">+GI144*GJ144</f>
        <v>#VALUE!</v>
      </c>
      <c r="GL144" s="1566" t="e">
        <f aca="false">MAX(FE144-FL144-FP144,0)</f>
        <v>#VALUE!</v>
      </c>
      <c r="GM144" s="1551" t="e">
        <f aca="false">MAX(FF144-FM144-FQ144,0)</f>
        <v>#VALUE!</v>
      </c>
      <c r="GN144" s="1551" t="e">
        <f aca="false">MAX(FG144-FN144-FR144,0)</f>
        <v>#VALUE!</v>
      </c>
      <c r="GO144" s="1564" t="e">
        <f aca="false">MAX(FH144-FO144-FS144,0)</f>
        <v>#VALUE!</v>
      </c>
      <c r="GP144" s="1551" t="e">
        <f aca="false">SUM(GL144:GO144)</f>
        <v>#VALUE!</v>
      </c>
      <c r="GQ144" s="1563" t="e">
        <f aca="false">IF(SUM(GL144:GO144)=0,0,((GL144*BU144+GM144*BV144+GN144*BW144+GO144*BX144)/SUM(GL144:GO144)))</f>
        <v>#VALUE!</v>
      </c>
      <c r="GR144" s="1558" t="e">
        <f aca="false">(GL144*BU144+GM144*BV144+GN144*BW144+GO144*BX144)</f>
        <v>#VALUE!</v>
      </c>
      <c r="GS144" s="1566" t="n">
        <f aca="false">IF($A144&gt;=BegDate,Assumptions!$C$56*24*($A145-$A144)*(1-VLOOKUP($B144,MAIN!$AA$7:$AM$28,$C144+1))*(1-VLOOKUP($B144,MAIN!$AA$33:$AM$54,$C144+1)),0)*80/168</f>
        <v>257742.857142857</v>
      </c>
      <c r="GT144" s="286" t="n">
        <f aca="false">J144</f>
        <v>52.8788808443946</v>
      </c>
      <c r="GU144" s="286" t="n">
        <f aca="false">IF($A144&gt;=BegDate,VLOOKUP($A144,GasTable,13)+Assumptions!$C$58,0)</f>
        <v>3.41543968451215</v>
      </c>
      <c r="GV144" s="286" t="n">
        <f aca="false">GU144*Assumptions!$C$57/1000</f>
        <v>24.7619377127131</v>
      </c>
      <c r="GW144" s="1558" t="n">
        <f aca="false">IF(Assumptions!$C$60="Hourly",MAX(0,GS144*(GT144-GV144)),GS144*(GT144-GV144))</f>
        <v>7246941.25688283</v>
      </c>
      <c r="GX144" s="1566" t="n">
        <f aca="false">IF($A144&gt;=BegDate,Assumptions!$C$56*24*($A145-$A144)*(1-VLOOKUP($B144,MAIN!$AA$7:$AM$28,$C144+1))*(1-VLOOKUP($B144,MAIN!$AA$33:$AM$54,$C144+1)),0)*16/168</f>
        <v>51548.5714285714</v>
      </c>
      <c r="GY144" s="286" t="n">
        <f aca="false">M144</f>
        <v>52.8788808443946</v>
      </c>
      <c r="GZ144" s="286" t="n">
        <f aca="false">IF($A144&gt;=BegDate,VLOOKUP($A144,GasTable,13)+Assumptions!$C$58,0)</f>
        <v>3.41543968451215</v>
      </c>
      <c r="HA144" s="286" t="n">
        <f aca="false">GZ144*Assumptions!$C$57/1000</f>
        <v>24.7619377127131</v>
      </c>
      <c r="HB144" s="1558" t="n">
        <f aca="false">IF(Assumptions!$C$60="Hourly",MAX(0,GX144*(GY144-HA144)),GX144*(GY144-HA144))</f>
        <v>1449388.25137657</v>
      </c>
      <c r="HC144" s="1566" t="n">
        <f aca="false">IF($A144&gt;=BegDate,Assumptions!$C$56*24*($A145-$A144)*(1-VLOOKUP($B144,MAIN!$AA$7:$AM$28,$C144+1))*(1-VLOOKUP($B144,MAIN!$AA$33:$AM$54,$C144+1)),0)*16/168</f>
        <v>51548.5714285714</v>
      </c>
      <c r="HD144" s="286" t="n">
        <f aca="false">P144</f>
        <v>30.6072432938804</v>
      </c>
      <c r="HE144" s="286" t="n">
        <f aca="false">IF($A144&gt;=BegDate,VLOOKUP($A144,GasTable,13)+Assumptions!$C$58,0)</f>
        <v>3.41543968451215</v>
      </c>
      <c r="HF144" s="286" t="n">
        <f aca="false">HE144*Assumptions!$C$57/1000</f>
        <v>24.7619377127131</v>
      </c>
      <c r="HG144" s="1558" t="n">
        <f aca="false">IF(Assumptions!$C$60="Hourly",MAX(0,HC144*(HD144-HF144)),HC144*(HD144-HF144))</f>
        <v>301317.15227263</v>
      </c>
      <c r="HH144" s="1566" t="n">
        <f aca="false">IF($A144&gt;=BegDate,Assumptions!$C$56*24*($A145-$A144)*(1-VLOOKUP($B144,MAIN!$AA$7:$AM$28,$C144+1))*(1-VLOOKUP($B144,MAIN!$AA$33:$AM$54,$C144+1)),0)*56/168</f>
        <v>180420</v>
      </c>
      <c r="HI144" s="286" t="n">
        <f aca="false">S144</f>
        <v>30.6072432938804</v>
      </c>
      <c r="HJ144" s="286" t="n">
        <f aca="false">IF($A144&gt;=BegDate,VLOOKUP($A144,GasTable,13)+Assumptions!$C$58,0)</f>
        <v>3.41543968451215</v>
      </c>
      <c r="HK144" s="286" t="n">
        <f aca="false">HJ144*Assumptions!$C$57/1000</f>
        <v>24.7619377127131</v>
      </c>
      <c r="HL144" s="1558" t="n">
        <f aca="false">IF(Assumptions!$C$60="Hourly",MAX(0,HH144*(HI144-HK144)),HH144*(HI144-HK144))</f>
        <v>1054610.0329542</v>
      </c>
      <c r="HM144" s="1566" t="n">
        <f aca="false">IF(AND(Assumptions!$H$71="Yes",A144&gt;=Assumptions!$H$72,A144&lt;=Assumptions!$H$73),Assumptions!$H$74*Assumptions!$C$9*1000,0)</f>
        <v>0</v>
      </c>
      <c r="HN144" s="1551"/>
      <c r="HO144" s="1563"/>
      <c r="HP144" s="1563"/>
      <c r="HQ144" s="1563"/>
      <c r="HR144" s="1563"/>
      <c r="HS144" s="1563"/>
      <c r="HT144" s="1563"/>
      <c r="HU144" s="1563"/>
      <c r="HV144" s="1563"/>
      <c r="HW144" s="1563"/>
      <c r="HX144" s="1563"/>
      <c r="HY144" s="1563"/>
      <c r="HZ144" s="1563"/>
      <c r="IA144" s="1563"/>
      <c r="IB144" s="1563"/>
      <c r="IC144" s="1563"/>
      <c r="ID144" s="1563"/>
      <c r="IE144" s="1563"/>
      <c r="IF144" s="1563"/>
      <c r="IG144" s="1563"/>
      <c r="IH144" s="1563"/>
      <c r="II144" s="1610"/>
      <c r="IJ144" s="1309"/>
      <c r="IK144" s="1309"/>
    </row>
    <row r="145" customFormat="false" ht="12.75" hidden="false" customHeight="false" outlineLevel="0" collapsed="false">
      <c r="A145" s="1571" t="n">
        <f aca="false">EOMONTH(A144,0)+1</f>
        <v>40544</v>
      </c>
      <c r="B145" s="594" t="n">
        <f aca="false">+YEAR(A145)</f>
        <v>2011</v>
      </c>
      <c r="C145" s="238" t="n">
        <f aca="false">MONTH(A145)</f>
        <v>1</v>
      </c>
      <c r="D145" s="1572" t="e">
        <f aca="false">IF(E145="","",Holiday(B145,C145))</f>
        <v>#VALUE!</v>
      </c>
      <c r="E145" s="1573" t="n">
        <f aca="false">IF(OR(BegDate&gt;=A146,EndDate&lt;A145,AND(VolumeMonthlyOverFlag,INDEX(VolumeMonthlyOver,C145)=0),NOT(INDEX(MonthKnockOutTable,C145))),"",MAX(A145,BegDate))</f>
        <v>40544</v>
      </c>
      <c r="F145" s="1574" t="n">
        <f aca="false">IF(E145="","",MIN(A146-1,EndDate))</f>
        <v>40574</v>
      </c>
      <c r="G145" s="1575" t="n">
        <v>0</v>
      </c>
      <c r="H145" s="1576" t="n">
        <f aca="false">(1+G145/2)^(-2*(DATE(B146,C146,20)-DateToday)/365.25)</f>
        <v>1</v>
      </c>
      <c r="I145" s="1568" t="n">
        <f aca="false">IF(Assumptions!$L$25=4,VLOOKUP($A145,'Henwood Reference'!$E$9:$R$320,10),(VLOOKUP($A145,PriceTable,2,0)+IF(BasisNumber&lt;&gt;1,VLOOKUP($A145,BasisTable,2,0),0)+I$1)/(1-I$2))</f>
        <v>53.5492717016484</v>
      </c>
      <c r="J145" s="1568" t="n">
        <f aca="false">IF(Assumptions!$L$25=4,VLOOKUP($A145,'Henwood Reference'!$E$9:$R$320,10),(VLOOKUP($A145,PriceTable,3,0)+IF(BasisNumber&lt;&gt;1,VLOOKUP($A145,BasisTable,2,0),0)+J$1)/(1-J$2))</f>
        <v>53.5492717016484</v>
      </c>
      <c r="K145" s="1568" t="n">
        <f aca="false">IF(Assumptions!$L$25=4,VLOOKUP($A145,'Henwood Reference'!$E$9:$R$320,10),(VLOOKUP($A145,PriceTable,4,0)+IF(BasisNumber&lt;&gt;1,VLOOKUP($A145,BasisTable,2,0),0)+K$1)/(1-K$2))</f>
        <v>53.5492717016484</v>
      </c>
      <c r="L145" s="1523" t="n">
        <f aca="false">IF(Assumptions!$L$25=4,VLOOKUP($A145,'Henwood Reference'!$E$9:$R$320,10),(VLOOKUP($A145,PriceTableWeekend,2,0)+IF(BasisNumber&lt;&gt;1,VLOOKUP($A145,BasisTable,2,0),0)+L$1)/(1-L$2))</f>
        <v>53.5492717016484</v>
      </c>
      <c r="M145" s="1568" t="n">
        <f aca="false">IF(Assumptions!$L$25=4,VLOOKUP($A145,'Henwood Reference'!$E$9:$R$320,10),(VLOOKUP($A145,PriceTableWeekend,3,0)+IF(BasisNumber&lt;&gt;1,VLOOKUP($A145,BasisTable,2,0),0)+M$1)/(1-M$2))</f>
        <v>53.5492717016484</v>
      </c>
      <c r="N145" s="1599" t="n">
        <f aca="false">IF(Assumptions!$L$25=4,VLOOKUP($A145,'Henwood Reference'!$E$9:$R$320,10),(VLOOKUP($A145,PriceTableWeekend,4,0)+IF(BasisNumber&lt;&gt;1,VLOOKUP($A145,BasisTable,2,0),0)+N$1)/(1-N$2))</f>
        <v>53.5492717016484</v>
      </c>
      <c r="O145" s="1568" t="n">
        <f aca="false">IF(Assumptions!$L$25=4,VLOOKUP($A145,'Henwood Reference'!$E$9:$R$320,11),(VLOOKUP($A145,PriceTableWeekend,6,0)+IF(BasisNumber&lt;&gt;1,VLOOKUP($A145,BasisTable,3,0),0)+O$1)/(1-O$2))</f>
        <v>29.7289553762853</v>
      </c>
      <c r="P145" s="1568" t="n">
        <f aca="false">IF(Assumptions!$L$25=4,VLOOKUP($A145,'Henwood Reference'!$E$9:$R$320,11),(VLOOKUP($A145,PriceTableWeekend,7,0)+IF(BasisNumber&lt;&gt;1,VLOOKUP($A145,BasisTable,3,0),0)+P$1)/(1-P$2))</f>
        <v>29.7289553762853</v>
      </c>
      <c r="Q145" s="1599" t="n">
        <f aca="false">IF(Assumptions!$L$25=4,VLOOKUP($A145,'Henwood Reference'!$E$9:$R$320,11),(VLOOKUP($A145,PriceTableWeekend,8,0)+IF(BasisNumber&lt;&gt;1,VLOOKUP($A145,BasisTable,3,0),0)+Q$1)/(1-Q$2))</f>
        <v>29.7289553762853</v>
      </c>
      <c r="R145" s="1568" t="n">
        <f aca="false">IF(Assumptions!$L$25=4,VLOOKUP($A145,'Henwood Reference'!$E$9:$R$320,11),(VLOOKUP($A145,PriceTable,6,0)+IF(BasisNumber&lt;&gt;1,VLOOKUP($A145,BasisTable,3,0),0)+R$1)/(1-R$2))</f>
        <v>29.7289553762853</v>
      </c>
      <c r="S145" s="1568" t="n">
        <f aca="false">IF(Assumptions!$L$25=4,VLOOKUP($A145,'Henwood Reference'!$E$9:$R$320,11),(VLOOKUP($A145,PriceTable,7,0)+IF(BasisNumber&lt;&gt;1,VLOOKUP($A145,BasisTable,3,0),0)+S$1)/(1-S$2))</f>
        <v>29.7289553762853</v>
      </c>
      <c r="T145" s="1600" t="n">
        <f aca="false">IF(Assumptions!$L$25=4,VLOOKUP($A145,'Henwood Reference'!$E$9:$R$320,11),(VLOOKUP($A145,PriceTable,8,0)+IF(BasisNumber&lt;&gt;1,VLOOKUP($A145,BasisTable,3,0),0)+T$1)/(1-T$2))</f>
        <v>29.7289553762853</v>
      </c>
      <c r="U145" s="1513" t="n">
        <f aca="false">VLOOKUP($A145,VolatilityTable,14)</f>
        <v>0.115</v>
      </c>
      <c r="V145" s="1513" t="n">
        <f aca="false">VLOOKUP($A145,VolatilityTable,15)</f>
        <v>0.125</v>
      </c>
      <c r="W145" s="1514" t="n">
        <f aca="false">VLOOKUP($A145,VolatilityTable,16)</f>
        <v>0.135</v>
      </c>
      <c r="X145" s="1513" t="n">
        <f aca="false">VLOOKUP($A145,VolatilityTable,14)</f>
        <v>0.115</v>
      </c>
      <c r="Y145" s="1513" t="n">
        <f aca="false">VLOOKUP($A145,VolatilityTable,15)</f>
        <v>0.125</v>
      </c>
      <c r="Z145" s="1514" t="n">
        <f aca="false">VLOOKUP($A145,VolatilityTable,16)</f>
        <v>0.135</v>
      </c>
      <c r="AA145" s="1513" t="n">
        <f aca="false">VLOOKUP($A145,VolatilityTable,18)</f>
        <v>0.09</v>
      </c>
      <c r="AB145" s="1513" t="n">
        <f aca="false">VLOOKUP($A145,VolatilityTable,19)</f>
        <v>0.11</v>
      </c>
      <c r="AC145" s="1514" t="n">
        <f aca="false">VLOOKUP($A145,VolatilityTable,20)</f>
        <v>0.13</v>
      </c>
      <c r="AD145" s="1513" t="n">
        <f aca="false">VLOOKUP($A145,VolatilityTable,18)</f>
        <v>0.09</v>
      </c>
      <c r="AE145" s="1513" t="n">
        <f aca="false">VLOOKUP($A145,VolatilityTable,19)</f>
        <v>0.11</v>
      </c>
      <c r="AF145" s="1514" t="n">
        <f aca="false">VLOOKUP($A145,VolatilityTable,20)</f>
        <v>0.13</v>
      </c>
      <c r="AG145" s="1513" t="n">
        <f aca="false">VLOOKUP($A145,VolatilityTable,22)</f>
        <v>-0.25</v>
      </c>
      <c r="AH145" s="1513" t="n">
        <f aca="false">VLOOKUP($A145,VolatilityTable,23)</f>
        <v>0.65</v>
      </c>
      <c r="AI145" s="1514" t="n">
        <f aca="false">VLOOKUP($A145,VolatilityTable,24)</f>
        <v>0.25</v>
      </c>
      <c r="AJ145" s="1513" t="n">
        <f aca="false">VLOOKUP($A145,VolatilityTable,22)</f>
        <v>-0.25</v>
      </c>
      <c r="AK145" s="1513" t="n">
        <f aca="false">VLOOKUP($A145,VolatilityTable,23)</f>
        <v>0.65</v>
      </c>
      <c r="AL145" s="1514" t="n">
        <f aca="false">VLOOKUP($A145,VolatilityTable,24)</f>
        <v>0.25</v>
      </c>
      <c r="AM145" s="1513" t="n">
        <f aca="false">VLOOKUP($A145,VolatilityTable,26)</f>
        <v>-0.01</v>
      </c>
      <c r="AN145" s="1513" t="n">
        <f aca="false">VLOOKUP($A145,VolatilityTable,27)</f>
        <v>0.16</v>
      </c>
      <c r="AO145" s="1514" t="n">
        <f aca="false">VLOOKUP($A145,VolatilityTable,28)</f>
        <v>0.01</v>
      </c>
      <c r="AP145" s="1513" t="n">
        <f aca="false">VLOOKUP($A145,VolatilityTable,26)</f>
        <v>-0.01</v>
      </c>
      <c r="AQ145" s="1513" t="n">
        <f aca="false">VLOOKUP($A145,VolatilityTable,27)</f>
        <v>0.16</v>
      </c>
      <c r="AR145" s="1515" t="n">
        <f aca="false">VLOOKUP($A145,VolatilityTable,28)</f>
        <v>0.01</v>
      </c>
      <c r="AS145" s="1581" t="n">
        <f aca="false">IF(CorrPeakOffPeakOverFlag,INDEX(CorrPeakOffPeakOver,C145),CorrPeakOffPeak)</f>
        <v>0.5</v>
      </c>
      <c r="AT145" s="594" t="e">
        <f aca="false">AX145-SUM(AU145:AW145)</f>
        <v>#VALUE!</v>
      </c>
      <c r="AU145" s="238" t="e">
        <f aca="false">IF(E145="",0,INT((F145-MOD(F145,7)-E145)/7)+1-IF(AW145,IF(WEEKDAY(D145)=7,1,0),0))</f>
        <v>#VALUE!</v>
      </c>
      <c r="AV145" s="238" t="e">
        <f aca="false">IF(E145="",0,INT((F145-MOD(F145-1,7)-E145)/7)+1-IF(AW145,IF(WEEKDAY(D145)=1,1,0),0))</f>
        <v>#VALUE!</v>
      </c>
      <c r="AW145" s="238" t="e">
        <f aca="false">IF(OR(E145="",D145="",D145&lt;BegDate,D145&gt;EndDate),0,1)</f>
        <v>#VALUE!</v>
      </c>
      <c r="AX145" s="238" t="n">
        <f aca="false">IF(E145="",0,F145-E145+1)</f>
        <v>31</v>
      </c>
      <c r="AY145" s="1582" t="n">
        <f aca="false">IF(E145="",0,MIN((1-(1-VLOOKUP(B145,MAIN!$AA$7:$AM$28,C145+1))*(1-VLOOKUP(B145,MAIN!$AA$33:$AM$54,C145+1))),1))</f>
        <v>0.03</v>
      </c>
      <c r="AZ145" s="1519" t="e">
        <v>#VALUE!</v>
      </c>
      <c r="BA145" s="1520" t="e">
        <v>#VALUE!</v>
      </c>
      <c r="BB145" s="1520" t="e">
        <v>#VALUE!</v>
      </c>
      <c r="BC145" s="1583" t="e">
        <v>#VALUE!</v>
      </c>
      <c r="BD145" s="1522" t="e">
        <v>#VALUE!</v>
      </c>
      <c r="BE145" s="1523" t="e">
        <v>#VALUE!</v>
      </c>
      <c r="BF145" s="1523" t="e">
        <v>#VALUE!</v>
      </c>
      <c r="BG145" s="1584" t="e">
        <v>#VALUE!</v>
      </c>
      <c r="BH145" s="1525" t="e">
        <v>#VALUE!</v>
      </c>
      <c r="BI145" s="1520" t="e">
        <v>#VALUE!</v>
      </c>
      <c r="BJ145" s="1520" t="e">
        <v>#VALUE!</v>
      </c>
      <c r="BK145" s="1583" t="e">
        <v>#VALUE!</v>
      </c>
      <c r="BL145" s="1522" t="e">
        <v>#VALUE!</v>
      </c>
      <c r="BM145" s="1523" t="e">
        <v>#VALUE!</v>
      </c>
      <c r="BN145" s="1523" t="e">
        <v>#VALUE!</v>
      </c>
      <c r="BO145" s="1523" t="e">
        <v>#VALUE!</v>
      </c>
      <c r="BP145" s="1525" t="e">
        <f aca="false">SUM(AZ145:BB145)</f>
        <v>#VALUE!</v>
      </c>
      <c r="BQ145" s="1529" t="e">
        <f aca="false">SUM(AZ145:BC145)</f>
        <v>#VALUE!</v>
      </c>
      <c r="BR145" s="1519" t="e">
        <f aca="false">SUM(BH145:BJ145)</f>
        <v>#VALUE!</v>
      </c>
      <c r="BS145" s="1529" t="e">
        <f aca="false">SUM(BH145:BK145)</f>
        <v>#VALUE!</v>
      </c>
      <c r="BT145" s="1316" t="n">
        <f aca="false">(IF(OVolType&lt;&gt;2,A145+14,IF(OptExpDateShift,ShiftBack(A145,OptExpDateShift,D144),A145))-DateToday)/365.25</f>
        <v>10.715947980835</v>
      </c>
      <c r="BU145" s="1585" t="e">
        <f aca="false">IF(BQ145,IF(OPriceCurve,IF(OBuySell=OCallPut,I145/(1-AY145),K145/(1-AY145)),J145/(1-AY145))*BD145,0)</f>
        <v>#VALUE!</v>
      </c>
      <c r="BV145" s="1316" t="e">
        <f aca="false">IF(BQ145,IF(OPriceCurve,IF(OBuySell=OCallPut,L145/(1-AY145),N145/(1-AY145)),M145/(1-AY145))*BE145,0)</f>
        <v>#VALUE!</v>
      </c>
      <c r="BW145" s="1316" t="e">
        <f aca="false">IF(BQ145,IF(OPriceCurve,IF(OBuySell=OCallPut,O145/(1-AY145),Q145/(1-AY145)),P145/(1-AY145))*BF145,0)</f>
        <v>#VALUE!</v>
      </c>
      <c r="BX145" s="1316" t="e">
        <f aca="false">IF(BQ145,IF(OPriceCurve,IF(OBuySell=OCallPut,R145/(1-AY145),T145/(1-AY145)),S145/(1-AY145))*BG145,0)</f>
        <v>#VALUE!</v>
      </c>
      <c r="BY145" s="1316" t="e">
        <f aca="false">IF(BP145,(BU145*AZ145+BV145*BA145+BW145*BB145)/BP145,0)</f>
        <v>#VALUE!</v>
      </c>
      <c r="BZ145" s="1316" t="e">
        <f aca="false">IF(BQ145,(BY145*BP145+BX145*BC145)/BQ145,0)</f>
        <v>#VALUE!</v>
      </c>
      <c r="CA145" s="1531" t="e">
        <f aca="false">IF(BS145,IF(OPriceCurve,IF(OBuySell=OCallPut,I145/(1-AY145),K145/(1-AY145)),J145/(1-AY145))*BL145,0)</f>
        <v>#VALUE!</v>
      </c>
      <c r="CB145" s="1316" t="e">
        <f aca="false">IF(BS145,IF(OPriceCurve,IF(OBuySell=OCallPut,L145/(1-AY145),N145/(1-AY145)),M145/(1-AY145))*BM145,0)</f>
        <v>#VALUE!</v>
      </c>
      <c r="CC145" s="1316" t="e">
        <f aca="false">IF(BS145,IF(OPriceCurve,IF(OBuySell=OCallPut,O145/(1-AY145),Q145/(1-AY145)),P145/(1-AY145))*BN145,0)</f>
        <v>#VALUE!</v>
      </c>
      <c r="CD145" s="1316" t="e">
        <f aca="false">IF(BS145,IF(OPriceCurve,IF(OBuySell=OCallPut,R145/(1-AY145),T145/(1-AY145)),S145/(1-AY145))*BO145,0)</f>
        <v>#VALUE!</v>
      </c>
      <c r="CE145" s="1316" t="e">
        <f aca="false">IF(BR145,(BU145*BH145+BV145*BI145+BW145*BJ145)/BR145,0)</f>
        <v>#VALUE!</v>
      </c>
      <c r="CF145" s="1532" t="e">
        <f aca="false">IF(BS145,(CE145*BR145+CD145*BK145)/BS145,0)</f>
        <v>#VALUE!</v>
      </c>
      <c r="CG145" s="1586" t="e">
        <f aca="false">IF(OR(BQ145,BS145),IF(OVolType&lt;&gt;2,SQRT(IF(OVolOverMonthlyPeak,OVolOverMonthlyPeak,IF(OVolCurve,IF(OBuySell,U145,W145),V145))^2*(1-15/365.25/BT145)+IF(OVolOverDailyPeak,OVolOverDailyPeak,IF(OVolCurve,IF(OBuySell,AG145,AI145),AH145))^2*15/365.25/BT145),IF(OVolOverMonthlyPeak,OVolOverMonthlyPeak,IF(OVolCurve,IF(OBuySell,U145,W145),V145))),"")</f>
        <v>#VALUE!</v>
      </c>
      <c r="CH145" s="1587" t="e">
        <f aca="false">IF(OR(BQ145,BS145),IF(OVolType&lt;&gt;2,SQRT(IF(OVolOverMonthlyPeak,OVolOverMonthlyPeak,IF(OVolCurve,IF(OBuySell,X145,Z145),Y145))^2*(1-15/365.25/BT145)+IF(OVolOverDailyPeak,OVolOverDailyPeak,IF(OVolCurve,IF(OBuySell,AJ145,AL145),AK145))^2*15/365.25/BT145),IF(OVolOverMonthlyPeak,OVolOverMonthlyPeak,IF(OVolCurve,IF(OBuySell,X145,Z145),Y145))),"")</f>
        <v>#VALUE!</v>
      </c>
      <c r="CI145" s="1587" t="e">
        <f aca="false">IF(OR(BQ145,BS145),IF(OVolType&lt;&gt;2,SQRT(IF(OVolOverMonthlyPeak,OVolOverMonthlyPeak,IF(OVolCurve,IF(OBuySell,AA145,AC145),AB145))^2*(1-15/365.25/BT145)+IF(OVolOverDailyPeak,OVolOverDailyPeak,IF(OVolCurve,IF(OBuySell,AM145,AO145),AN145))^2*15/365.25/BT145),IF(OVolOverMonthlyPeak,OVolOverMonthlyPeak,IF(OVolCurve,IF(OBuySell,AA145,AC145),AB145))),"")</f>
        <v>#VALUE!</v>
      </c>
      <c r="CJ145" s="1587" t="e">
        <f aca="false">IF(BQ145,IF(BP145,SQRT(LN(1+((BU145*AZ145)^2*(EXP(CG145^2*BT145)-1)+(BV145*BA145)^2*(EXP(CH145^2*BT145)-1)+(BW145*BB145)^2*(EXP(CI145^2*BT145)-1)+2*BU145*AZ145*BV145*BA145*(EXP(CG145*CH145*BT145)-1)+2*BV145*BA145*BW145*BB145*(EXP(CH145*CI145*BT145)-1)+2*BW145*BB145*BU145*AZ145*(EXP(CI145*CG145*BT145)-1))/(BY145*BP145)^2)/BT145),0),"")</f>
        <v>#VALUE!</v>
      </c>
      <c r="CK145" s="1587" t="e">
        <f aca="false">IF(BS145,IF(BR145,SQRT(LN(1+((CA145*BH145)^2*(EXP(CG145^2*BT145)-1)+(CB145*BI145)^2*(EXP(CH145^2*BT145)-1)+(CC145*BJ145)^2*(EXP(CI145^2*BT145)-1)+2*CA145*BH145*CB145*BI145*(EXP(CG145*CH145*BT145)-1)+2*CB145*BI145*CC145*BJ145*(EXP(CH145*CI145*BT145)-1)+2*CC145*BJ145*CA145*BH145*(EXP(CI145*CG145*BT145)-1))/(CE145*BR145)^2)/BT145),0),"")</f>
        <v>#VALUE!</v>
      </c>
      <c r="CL145" s="1587" t="e">
        <f aca="false">IF(OR(BQ145,BS145),IF(OVolType&lt;&gt;2,SQRT(IF(OVolOverMonthlyOffPeak,OVolOverMonthlyOffPeak,IF(OVolCurve,IF(OBuySell,AD145,AF145),AE145))^2*(1-15/365.25/BT145)+IF(OVolOverDailyOffPeak,OVolOverDailyOffPeak,IF(OVolCurve,IF(OBuySell,AP145,AR145),AQ145))^2*15/365.25/BT145),IF(OVolOverMonthlyOffPeak,OVolOverMonthlyOffPeak,IF(OVolCurve,IF(OBuySell,AD145,AF145),AE145))),"")</f>
        <v>#VALUE!</v>
      </c>
      <c r="CM145" s="1587" t="e">
        <f aca="false">IF(BQ145,SQRT(LN(1+((BY145*BP145)^2*(EXP(CJ145^2*BT145)-1)+(BX145*BC145)^2*(EXP(CL145^2*BT145)-1)+2*BY145*BP145*BX145*BC145*(EXP(AS145*CJ145*CL145*BT145)-1))/(BY145*BP145+BX145*BC145)^2)/BT145),"")</f>
        <v>#VALUE!</v>
      </c>
      <c r="CN145" s="1588" t="e">
        <f aca="false">IF(BS145,SQRT(LN(1+((CE145*BR145)^2*(EXP(CK145^2*BT145)-1)+(CD145*BK145)^2*(EXP(CL145^2*BT145)-1)+2*CE145*BR145*CD145*BK145*(EXP(AS145*CK145*CL145*BT145)-1))/(CE145*BR145+CD145*BK145)^2)/BT145),"")</f>
        <v>#VALUE!</v>
      </c>
      <c r="CO145" s="1531" t="e">
        <f aca="false">IF(OR(BQ145,BS145),VLOOKUP(A145,GasTable,13)*HeatRatePeak*(1+VLOOKUP($B145,HeatRateDegradation,$C145+1))/1000,0)</f>
        <v>#VALUE!</v>
      </c>
      <c r="CP145" s="1316" t="e">
        <f aca="false">IF(OR(BQ145,BS145),VLOOKUP(A145,GasTable,13)*HeatRatePeak*(1+VLOOKUP($B145,HeatRateDegradation,$C145+1))/1000,0)</f>
        <v>#VALUE!</v>
      </c>
      <c r="CQ145" s="1316" t="e">
        <f aca="false">IF(OR(BQ145,BS145),VLOOKUP(A145,GasTable,13)*IF(EV145,HeatRatePeak,HeatRateOffPeak)*(1+VLOOKUP($B145,HeatRateDegradation,$C145+1))/1000,0)</f>
        <v>#VALUE!</v>
      </c>
      <c r="CR145" s="1316" t="e">
        <f aca="false">IF(OR(BQ145,BS145),VLOOKUP(A145,GasTable,13)*IF(EW145,HeatRatePeak,HeatRateOffPeak)*(1+VLOOKUP($B145,HeatRateDegradation,$C145+1))/1000,0)</f>
        <v>#VALUE!</v>
      </c>
      <c r="CS145" s="1589" t="e">
        <f aca="false">IF(BQ145,(CO145*AZ145+CP145*BA145+CQ145*BB145+CR145*BC145)/BQ145,0)</f>
        <v>#VALUE!</v>
      </c>
      <c r="CT145" s="1316" t="e">
        <f aca="false">IF(BS145,CO145,0)</f>
        <v>#VALUE!</v>
      </c>
      <c r="CU145" s="1590" t="e">
        <f aca="false">IF(OR(BQ145,BS145),VLOOKUP(A145,GasTable,14),"")</f>
        <v>#VALUE!</v>
      </c>
      <c r="CV145" s="1568" t="e">
        <f aca="false">IF(OR(BQ145,BS145),IF(CorrPowerGasOverFlag,INDEX(CorrPowerGasOver,C145),CorrPowerGas),"")</f>
        <v>#VALUE!</v>
      </c>
      <c r="CW145" s="1316" t="e">
        <f aca="false">IF(OR($BQ145,$BS145),SpreadOptPowerMargin,0)*((1+Assumptions!$C$26)^($B145-YEAR(Assumptions!$C$17)))</f>
        <v>#VALUE!</v>
      </c>
      <c r="CX145" s="1316" t="e">
        <f aca="false">IF(OR($BQ145,$BS145),SpreadOptPowerMargin,0)*((1+Assumptions!$C$26)^($B145-YEAR(Assumptions!$C$17)))</f>
        <v>#VALUE!</v>
      </c>
      <c r="CY145" s="1316" t="e">
        <f aca="false">IF(OR($BQ145,$BS145),SpreadOptPowerMargin,0)*((1+Assumptions!$C$26)^($B145-YEAR(Assumptions!$C$17)))</f>
        <v>#VALUE!</v>
      </c>
      <c r="CZ145" s="1316" t="e">
        <f aca="false">IF(OR($BQ145,$BS145),SpreadOptPowerMargin,0)*((1+Assumptions!$C$26)^($B145-YEAR(Assumptions!$C$17)))</f>
        <v>#VALUE!</v>
      </c>
      <c r="DA145" s="1591" t="e">
        <f aca="false">IF(OR(BQ145,BS145),(CW145*(AZ145+BH145)+CX145*(BA145+BI145)+CY145*(BB145+BJ145)+CZ145*(BC145+BK145))/(BQ145+BS145),0)</f>
        <v>#VALUE!</v>
      </c>
      <c r="DB145" s="1592" t="e">
        <f aca="false">IF(OR(BQ145,BS145),CG145+IF(OVolSmile,VLOOKUP(MAX(-5,CO145+CW145-BU145),IF(OVolSmile=1,VolSmileBook,VolSmileModel),2),0),"")</f>
        <v>#VALUE!</v>
      </c>
      <c r="DC145" s="1592" t="e">
        <f aca="false">IF(OR(BQ145,BS145),CH145+IF(OVolSmile,VLOOKUP(MAX(-5,CP145+CW145-BV145),IF(OVolSmile=1,VolSmileBook,VolSmileModel),2),0),"")</f>
        <v>#VALUE!</v>
      </c>
      <c r="DD145" s="1592" t="e">
        <f aca="false">IF(OR(BQ145,BS145),CI145+IF(OVolSmile,VLOOKUP(MAX(-5,CQ145+CW145-BW145),IF(OVolSmile=1,VolSmileBook,VolSmileModel),2),0),"")</f>
        <v>#VALUE!</v>
      </c>
      <c r="DE145" s="1592" t="e">
        <f aca="false">IF(OR(BQ145,BS145),CL145+IF(OVolSmile,VLOOKUP(MAX(-5,CR145+CZ145-BX145),IF(OVolSmile=1,VolSmileBook,VolSmileModel),2),0),"")</f>
        <v>#VALUE!</v>
      </c>
      <c r="DF145" s="1592" t="e">
        <f aca="false">IF(BQ145,CM145+IF(OVolSmile,VLOOKUP(MAX(-5,CS145+DA145-BZ145),IF(OVolSmile=1,VolSmileBook,VolSmileModel),2),0),"")</f>
        <v>#VALUE!</v>
      </c>
      <c r="DG145" s="1593" t="e">
        <f aca="false">IF(BS145,CN145+IF(OVolSmile,VLOOKUP(MAX(-5,CT145+DA145-CF145),IF(OVolSmile=1,VolSmileBook,VolSmileModel),2),0),"")</f>
        <v>#VALUE!</v>
      </c>
      <c r="DH145" s="1316" t="e">
        <f aca="false">IF(AND(BU145&gt;0,CO145&gt;0,DB145&gt;0,CU145&gt;0),newSPRDOPT(BU145,CO145,CW145,0,DB145,CU145,CV145,BT145*365.25,OCallPut,0),0)</f>
        <v>#VALUE!</v>
      </c>
      <c r="DI145" s="1316" t="e">
        <f aca="false">IF(AND(BV145&gt;0,CP145&gt;0,DC145&gt;0,CU145&gt;0),newSPRDOPT(BV145,CP145,CX145,0,DC145,CU145,CV145,BT145*365.25,OCallPut,0),0)</f>
        <v>#VALUE!</v>
      </c>
      <c r="DJ145" s="1316" t="e">
        <f aca="false">IF(AND(BW145&gt;0,CQ145&gt;0,DD145&gt;0,CU145&gt;0),newSPRDOPT(BW145,CQ145,CY145,0,DD145,CU145,CV145,BT145*365.25,OCallPut,0),0)</f>
        <v>#VALUE!</v>
      </c>
      <c r="DK145" s="1316" t="e">
        <f aca="false">IF(AND(BX145&gt;0,CR145&gt;0,DE145&gt;0,CU145&gt;0),newSPRDOPT(BX145,CR145,CZ145,0,DE145,CU145,CV145,BT145*365.25,OCallPut,0),0)</f>
        <v>#VALUE!</v>
      </c>
      <c r="DL145" s="1316" t="e">
        <f aca="false">IF(OVolType,IF(AND(BZ145&gt;0,CS145&gt;0,DF145&gt;0,CU145&gt;0),newSPRDOPT(BZ145,CS145,DA145,0,DF145,CU145,CV145,BT145*365.25,OCallPut,0),0),IF(BQ145,(DH145*AZ145+DI145*BA145+DJ145*BB145+DK145*BC145)/BQ145,0))</f>
        <v>#VALUE!</v>
      </c>
      <c r="DM145" s="1316"/>
      <c r="DN145" s="1316"/>
      <c r="DO145" s="1316"/>
      <c r="DP145" s="1316"/>
      <c r="DQ145" s="1316"/>
      <c r="DR145" s="1316"/>
      <c r="DS145" s="1316"/>
      <c r="DT145" s="1316"/>
      <c r="DU145" s="1316"/>
      <c r="DV145" s="1316"/>
      <c r="DW145" s="1594" t="e">
        <f aca="false">IF(AND(BW145&gt;0,CT145&gt;0,DD145&gt;0,CU145&gt;0),newSPRDOPT(BW145,CT145,CY145,0,DD145,CU145,CV145,BT145*365.25,OCallPut,0),0)</f>
        <v>#VALUE!</v>
      </c>
      <c r="DX145" s="1316" t="e">
        <f aca="false">IF(AND(BX145&gt;0,CT145&gt;0,DE145&gt;0,CU145&gt;0),newSPRDOPT(BX145,CT145,CZ145,0,DE145,CU145,CV145,BT145*365.25,OCallPut,0),0)</f>
        <v>#VALUE!</v>
      </c>
      <c r="DY145" s="1591" t="e">
        <f aca="false">IF(BS145,(DH145*BH145+DI145*BI145+DW145*BJ145+DX145*BK145)/BS145,0)</f>
        <v>#VALUE!</v>
      </c>
      <c r="DZ145" s="1551" t="e">
        <f aca="false">DH145*AZ145</f>
        <v>#VALUE!</v>
      </c>
      <c r="EA145" s="1551" t="e">
        <f aca="false">DI145*BA145</f>
        <v>#VALUE!</v>
      </c>
      <c r="EB145" s="1551" t="e">
        <f aca="false">DJ145*BB145</f>
        <v>#VALUE!</v>
      </c>
      <c r="EC145" s="1551" t="e">
        <f aca="false">DK145*BC145</f>
        <v>#VALUE!</v>
      </c>
      <c r="ED145" s="1551" t="e">
        <f aca="false">DL145*BQ145</f>
        <v>#VALUE!</v>
      </c>
      <c r="EE145" s="1595" t="e">
        <f aca="false">IF(BQ145,IF(OCallPut,IF(BU145&gt;(CO145+CW145),BU145-(CO145+CW145),0),IF((CO145+CW145)&gt;BU145,(CO145+CW145)-BU145,0))*AZ145,0)</f>
        <v>#VALUE!</v>
      </c>
      <c r="EF145" s="1596" t="e">
        <f aca="false">IF(BQ145,IF(OCallPut,IF(BV145&gt;(CP145+CX145),BV145-(CP145+CX145),0),IF((CP145+CX145)&gt;BV145,(CP145+CX145)-BV145,0))*BA145,0)</f>
        <v>#VALUE!</v>
      </c>
      <c r="EG145" s="1596" t="e">
        <f aca="false">IF(BQ145,IF(OCallPut,IF(BW145&gt;(CQ145+CY145),BW145-(CQ145+CY145),0),IF((CQ145+CY145)&gt;BW145,(CQ145+CY145)-BW145,0))*BB145,0)</f>
        <v>#VALUE!</v>
      </c>
      <c r="EH145" s="1596" t="e">
        <f aca="false">IF(BQ145,IF(OCallPut,IF(BX145&gt;(CR145+CZ145),BX145-(CR145+CZ145),0),IF((CR145+CZ145)&gt;BX145,(CR145+CZ145)-BX145,0))*BC145,0)</f>
        <v>#VALUE!</v>
      </c>
      <c r="EI145" s="1597" t="e">
        <f aca="false">IF(BQ145,IF(OVolType,IF(OCallPut,IF(BZ145&gt;(CS145+DA145),BZ145-(CS145+DA145),0),IF((CS145+DA145)&gt;BZ145,(CS145+DA145)-BZ145,0))*BQ145,SUM(EE145:EH145)),0)</f>
        <v>#VALUE!</v>
      </c>
      <c r="EJ145" s="1595" t="e">
        <f aca="false">DZ145-EE145</f>
        <v>#VALUE!</v>
      </c>
      <c r="EK145" s="1596" t="e">
        <f aca="false">EA145-EF145</f>
        <v>#VALUE!</v>
      </c>
      <c r="EL145" s="1596" t="e">
        <f aca="false">EB145-EG145</f>
        <v>#VALUE!</v>
      </c>
      <c r="EM145" s="1596" t="e">
        <f aca="false">EC145-EH145</f>
        <v>#VALUE!</v>
      </c>
      <c r="EN145" s="1597" t="e">
        <f aca="false">ED145-EI145</f>
        <v>#VALUE!</v>
      </c>
      <c r="EO145" s="1551" t="e">
        <f aca="false">DH145*BH145</f>
        <v>#VALUE!</v>
      </c>
      <c r="EP145" s="1551" t="e">
        <f aca="false">DI145*BI145</f>
        <v>#VALUE!</v>
      </c>
      <c r="EQ145" s="1551" t="e">
        <f aca="false">DW145*BJ145</f>
        <v>#VALUE!</v>
      </c>
      <c r="ER145" s="1551" t="e">
        <f aca="false">DX145*BK145</f>
        <v>#VALUE!</v>
      </c>
      <c r="ES145" s="1551" t="e">
        <f aca="false">DY145*BS145</f>
        <v>#VALUE!</v>
      </c>
      <c r="ET145" s="1566" t="e">
        <f aca="false">IF(EI145,IF(OCallPut,IF(CA145&gt;(CT145+CW145),CA145-(CT145+CW145),0),IF((CT145+CW145)&gt;CA145,(CT145+CW145)-CA145,0))*BH145,0)</f>
        <v>#VALUE!</v>
      </c>
      <c r="EU145" s="1551" t="e">
        <f aca="false">IF(EI145,IF(OCallPut,IF(CB145&gt;(CT145+CX145),CB145-(CT145+CX145),0),IF((CT145+CX145)&gt;CB145,(CT145+CX145)-CB145,0))*BI145,0)</f>
        <v>#VALUE!</v>
      </c>
      <c r="EV145" s="1551" t="e">
        <f aca="false">IF(EI145,IF(OCallPut,IF(CC145&gt;(CT145+CY145),CC145-(CT145+CY145),0),IF((CT145+CY145)&gt;CC145,(CT145+CY145)-CC145,0))*BJ145,0)</f>
        <v>#VALUE!</v>
      </c>
      <c r="EW145" s="1551" t="e">
        <f aca="false">IF(EI145,IF(OCallPut,IF(CD145&gt;(CT145+CZ145),CD145-(CT145+CZ145),0),IF((CT145+CZ145)&gt;CD145,(CT145+CZ145)-CD145,0))*BK145,0)</f>
        <v>#VALUE!</v>
      </c>
      <c r="EX145" s="1558" t="e">
        <f aca="false">IF(EI145,SUM(ET145:EW145),0)</f>
        <v>#VALUE!</v>
      </c>
      <c r="EY145" s="1551" t="e">
        <f aca="false">EO145-ET145</f>
        <v>#VALUE!</v>
      </c>
      <c r="EZ145" s="1551" t="e">
        <f aca="false">EP145-EU145</f>
        <v>#VALUE!</v>
      </c>
      <c r="FA145" s="1551" t="e">
        <f aca="false">EQ145-EV145</f>
        <v>#VALUE!</v>
      </c>
      <c r="FB145" s="1551" t="e">
        <f aca="false">ER145-EW145</f>
        <v>#VALUE!</v>
      </c>
      <c r="FC145" s="1551" t="e">
        <f aca="false">ES145-EX145</f>
        <v>#VALUE!</v>
      </c>
      <c r="FD145" s="1525" t="n">
        <f aca="false">IF(AX145,IF(VLOOKUP(C145,MAIN!$L$17:$M$28,2)="Yes",VLOOKUP(CALC!B145,MAIN!$H$17:$I$20,2),0),0)</f>
        <v>0</v>
      </c>
      <c r="FE145" s="1552" t="e">
        <f aca="false">$FD145*16*AT145*(1-$AY145)</f>
        <v>#VALUE!</v>
      </c>
      <c r="FF145" s="1553" t="e">
        <f aca="false">$FD145*16*AU145*(1-$AY145)</f>
        <v>#VALUE!</v>
      </c>
      <c r="FG145" s="1553" t="e">
        <f aca="false">$FD145*16*(AV145+AW145)*(1-$AY145)</f>
        <v>#VALUE!</v>
      </c>
      <c r="FH145" s="1554" t="n">
        <f aca="false">$FD145*8*AX145*(1-$AY145)</f>
        <v>0</v>
      </c>
      <c r="FI145" s="1555" t="n">
        <f aca="false">IF(AX145,VLOOKUP(CALC!B145,MAIN!$H$17:$K$20,4),0)</f>
        <v>0</v>
      </c>
      <c r="FJ145" s="1553" t="e">
        <f aca="false">SUM(FE145:FH145)</f>
        <v>#VALUE!</v>
      </c>
      <c r="FK145" s="1556" t="e">
        <f aca="false">FI145*FJ145</f>
        <v>#VALUE!</v>
      </c>
      <c r="FL145" s="1551" t="e">
        <f aca="false">IF($EI145&gt;0,MIN(FE145,AZ145*(1+VLOOKUP($C145,WeatherCapacityAdjustment,2))),0)</f>
        <v>#VALUE!</v>
      </c>
      <c r="FM145" s="1551" t="e">
        <f aca="false">IF($EI145&gt;0,MIN(FF145,BA145*(1+VLOOKUP($C145,WeatherCapacityAdjustment,2))),0)</f>
        <v>#VALUE!</v>
      </c>
      <c r="FN145" s="1551" t="e">
        <f aca="false">IF($EI145&gt;0,MIN(FG145,BB145*(1+VLOOKUP($C145,WeatherCapacityAdjustment,2))),0)</f>
        <v>#VALUE!</v>
      </c>
      <c r="FO145" s="1564" t="e">
        <f aca="false">IF($EI145&gt;0,MIN(FH145,BC145*(1+VLOOKUP($C145,WeatherCapacityAdjustment,3))),0)</f>
        <v>#VALUE!</v>
      </c>
      <c r="FP145" s="1551" t="e">
        <f aca="false">IF(ET145&gt;0,MIN(FE145-FL145,BH145*(1+VLOOKUP($C145,WeatherCapacityAdjustment,2))),0)</f>
        <v>#VALUE!</v>
      </c>
      <c r="FQ145" s="1551" t="e">
        <f aca="false">IF(EU145&gt;0,MIN(FF145-FM145,BI145*(1+VLOOKUP($C145,WeatherCapacityAdjustment,2))),0)</f>
        <v>#VALUE!</v>
      </c>
      <c r="FR145" s="1551" t="e">
        <f aca="false">IF(EV145&gt;0,MIN(FG145-FN145,BJ145*(1+VLOOKUP($C145,WeatherCapacityAdjustment,2))),0)</f>
        <v>#VALUE!</v>
      </c>
      <c r="FS145" s="1558" t="e">
        <f aca="false">IF(EW145&gt;0,MIN(FH145-FO145,BK145*(1+VLOOKUP($C145,WeatherCapacityAdjustment,3))),0)</f>
        <v>#VALUE!</v>
      </c>
      <c r="FT145" s="1566" t="e">
        <f aca="false">IF(AND(Assumptions!$H$71="Yes",A145&gt;=Assumptions!$H$72,A145&lt;=Assumptions!$H$73),0,IF(AND($A145&gt;=Assumptions!$C$17,$A145&lt;=Assumptions!$C$18),MAX(AZ145*(1+VLOOKUP($C145,WeatherCapacityAdjustment,2))-FL145,0),0))</f>
        <v>#VALUE!</v>
      </c>
      <c r="FU145" s="1551" t="e">
        <f aca="false">IF(AND(Assumptions!$H$71="Yes",A145&gt;=Assumptions!$H$72,A145&lt;=Assumptions!$H$73),0,IF(AND($A145&gt;=Assumptions!$C$17,$A145&lt;=Assumptions!$C$18),MAX(BA145*(1+VLOOKUP($C145,WeatherCapacityAdjustment,2))-FM145,0),0))</f>
        <v>#VALUE!</v>
      </c>
      <c r="FV145" s="1551" t="e">
        <f aca="false">IF(AND(Assumptions!$H$71="Yes",A145&gt;=Assumptions!$H$72,A145&lt;=Assumptions!$H$73),0,IF(AND($A145&gt;=Assumptions!$C$17,$A145&lt;=Assumptions!$C$18),MAX(BB145*(1+VLOOKUP($C145,WeatherCapacityAdjustment,2))-FN145,0),0))</f>
        <v>#VALUE!</v>
      </c>
      <c r="FW145" s="1564" t="e">
        <f aca="false">IF(AND(Assumptions!$H$71="Yes",A145&gt;=Assumptions!$H$72,A145&lt;=Assumptions!$H$73),0,IF(AND($A145&gt;=Assumptions!$C$17,$A145&lt;=Assumptions!$C$18),MAX(BC145*(1+VLOOKUP($C145,WeatherCapacityAdjustment,3))-FO145,0),0))</f>
        <v>#VALUE!</v>
      </c>
      <c r="FX145" s="1569" t="e">
        <f aca="false">IF(AND(Assumptions!$H$71="Yes",A145&gt;=Assumptions!$H$72,A145&lt;=Assumptions!$H$73),0,IF(ET145&gt;0,MAX(BH145*(1+VLOOKUP($C145,WeatherCapacityAdjustment,2))-FP145,0),0))</f>
        <v>#VALUE!</v>
      </c>
      <c r="FY145" s="1551" t="e">
        <f aca="false">IF(AND(Assumptions!$H$71="Yes",A145&gt;=Assumptions!$H$72,A145&lt;=Assumptions!$H$73),0,IF(EU145&gt;0,MAX(BI145*(1+VLOOKUP($C145,WeatherCapacityAdjustment,3))-FQ145,0),0))</f>
        <v>#VALUE!</v>
      </c>
      <c r="FZ145" s="1551" t="e">
        <f aca="false">IF(AND(Assumptions!$H$71="Yes",A145&gt;=Assumptions!$H$72,A145&lt;=Assumptions!$H$73),0,IF(EV145&gt;0,MAX(BJ145*(1+VLOOKUP($C145,WeatherCapacityAdjustment,2))-FR145,0),0))</f>
        <v>#VALUE!</v>
      </c>
      <c r="GA145" s="1564" t="e">
        <f aca="false">IF(AND(Assumptions!$H$71="Yes",A145&gt;=Assumptions!$H$72,A145&lt;=Assumptions!$H$73),0,IF(EW145&gt;0,MAX(BK145*(1+VLOOKUP($C145,WeatherCapacityAdjustment,2))-FS145,0),0))</f>
        <v>#VALUE!</v>
      </c>
      <c r="GB145" s="1551" t="e">
        <f aca="false">SUM(FT145:GA145)</f>
        <v>#VALUE!</v>
      </c>
      <c r="GC145" s="1563" t="e">
        <f aca="false">+IF(SUM(FT145:GA145)=0,0,(SUMPRODUCT(BU145:BX145,FT145:FW145)+SUMPRODUCT(CA145:CD145,FX145:GA145))/SUM(FT145:GA145))</f>
        <v>#VALUE!</v>
      </c>
      <c r="GD145" s="1551" t="e">
        <f aca="false">(FT145*BU145+FX145*CA145+FU145*BV145+FY145*CB145+FV145*BW145+FZ145*CC145+FW145*BX145+GA145*CD145)</f>
        <v>#VALUE!</v>
      </c>
      <c r="GE145" s="1561" t="e">
        <f aca="false">+IF(BQ145,((FL145+FM145+FT145+FU145)*HeatRatePeak/1000*(1+VLOOKUP($C145,WeatherHeatRateAdjustment,2))+(FN145+FV145)*IF(EV145&gt;0,HeatRatePeak,HeatRateOffPeak)/1000*(1+VLOOKUP($C145,WeatherHeatRateAdjustment,2))+(FO145+FW145)*IF(EW145&gt;0,HeatRatePeak,HeatRateOffPeak)/1000*(1+VLOOKUP($C145,WeatherHeatRateAdjustment,3)))*(1+VLOOKUP($B145,HeatRateDegradation,$C145+1)),0)</f>
        <v>#VALUE!</v>
      </c>
      <c r="GF145" s="1562" t="e">
        <f aca="false">IF(BQ145,((FP145+FQ145+FR145+FX145+FY145+FZ145)*HeatRatePeak/1000*(1+VLOOKUP($C145,WeatherHeatRateAdjustment,2))+(FS145+GA145)*HeatRatePeak/1000*(1+VLOOKUP($C145,WeatherHeatRateAdjustment,3)))*(1+VLOOKUP($B145,HeatRateDegradation,$C145+1)),0)</f>
        <v>#VALUE!</v>
      </c>
      <c r="GG145" s="1563" t="e">
        <f aca="false">IF(BQ145,VLOOKUP(A145,GasTable,13),0)</f>
        <v>#VALUE!</v>
      </c>
      <c r="GH145" s="1564" t="e">
        <f aca="false">(GE145+GF145)*GG145</f>
        <v>#VALUE!</v>
      </c>
      <c r="GI145" s="1569" t="e">
        <f aca="false">GB145</f>
        <v>#VALUE!</v>
      </c>
      <c r="GJ145" s="1598" t="e">
        <f aca="false">+DA145</f>
        <v>#VALUE!</v>
      </c>
      <c r="GK145" s="1558" t="e">
        <f aca="false">+GI145*GJ145</f>
        <v>#VALUE!</v>
      </c>
      <c r="GL145" s="1566" t="e">
        <f aca="false">MAX(FE145-FL145-FP145,0)</f>
        <v>#VALUE!</v>
      </c>
      <c r="GM145" s="1551" t="e">
        <f aca="false">MAX(FF145-FM145-FQ145,0)</f>
        <v>#VALUE!</v>
      </c>
      <c r="GN145" s="1551" t="e">
        <f aca="false">MAX(FG145-FN145-FR145,0)</f>
        <v>#VALUE!</v>
      </c>
      <c r="GO145" s="1564" t="e">
        <f aca="false">MAX(FH145-FO145-FS145,0)</f>
        <v>#VALUE!</v>
      </c>
      <c r="GP145" s="1551" t="e">
        <f aca="false">SUM(GL145:GO145)</f>
        <v>#VALUE!</v>
      </c>
      <c r="GQ145" s="1563" t="e">
        <f aca="false">IF(SUM(GL145:GO145)=0,0,((GL145*BU145+GM145*BV145+GN145*BW145+GO145*BX145)/SUM(GL145:GO145)))</f>
        <v>#VALUE!</v>
      </c>
      <c r="GR145" s="1558" t="e">
        <f aca="false">(GL145*BU145+GM145*BV145+GN145*BW145+GO145*BX145)</f>
        <v>#VALUE!</v>
      </c>
      <c r="GS145" s="1566" t="n">
        <f aca="false">IF($A145&gt;=BegDate,Assumptions!$C$56*24*($A146-$A145)*(1-VLOOKUP($B145,MAIN!$AA$7:$AM$28,$C145+1))*(1-VLOOKUP($B145,MAIN!$AA$33:$AM$54,$C145+1)),0)*80/168</f>
        <v>257742.857142857</v>
      </c>
      <c r="GT145" s="286" t="n">
        <f aca="false">J145</f>
        <v>53.5492717016484</v>
      </c>
      <c r="GU145" s="286" t="n">
        <f aca="false">IF($A145&gt;=BegDate,VLOOKUP($A145,GasTable,13)+Assumptions!$C$58,0)</f>
        <v>3.32362608201477</v>
      </c>
      <c r="GV145" s="286" t="n">
        <f aca="false">GU145*Assumptions!$C$57/1000</f>
        <v>24.0962890946071</v>
      </c>
      <c r="GW145" s="1558" t="n">
        <f aca="false">IF(Assumptions!$C$60="Hourly",MAX(0,GS145*(GT145-GV145)),GS145*(GT145-GV145))</f>
        <v>7591295.8885177</v>
      </c>
      <c r="GX145" s="1566" t="n">
        <f aca="false">IF($A145&gt;=BegDate,Assumptions!$C$56*24*($A146-$A145)*(1-VLOOKUP($B145,MAIN!$AA$7:$AM$28,$C145+1))*(1-VLOOKUP($B145,MAIN!$AA$33:$AM$54,$C145+1)),0)*16/168</f>
        <v>51548.5714285714</v>
      </c>
      <c r="GY145" s="286" t="n">
        <f aca="false">M145</f>
        <v>53.5492717016484</v>
      </c>
      <c r="GZ145" s="286" t="n">
        <f aca="false">IF($A145&gt;=BegDate,VLOOKUP($A145,GasTable,13)+Assumptions!$C$58,0)</f>
        <v>3.32362608201477</v>
      </c>
      <c r="HA145" s="286" t="n">
        <f aca="false">GZ145*Assumptions!$C$57/1000</f>
        <v>24.0962890946071</v>
      </c>
      <c r="HB145" s="1558" t="n">
        <f aca="false">IF(Assumptions!$C$60="Hourly",MAX(0,GX145*(GY145-HA145)),GX145*(GY145-HA145))</f>
        <v>1518259.17770354</v>
      </c>
      <c r="HC145" s="1566" t="n">
        <f aca="false">IF($A145&gt;=BegDate,Assumptions!$C$56*24*($A146-$A145)*(1-VLOOKUP($B145,MAIN!$AA$7:$AM$28,$C145+1))*(1-VLOOKUP($B145,MAIN!$AA$33:$AM$54,$C145+1)),0)*16/168</f>
        <v>51548.5714285714</v>
      </c>
      <c r="HD145" s="286" t="n">
        <f aca="false">P145</f>
        <v>29.7289553762853</v>
      </c>
      <c r="HE145" s="286" t="n">
        <f aca="false">IF($A145&gt;=BegDate,VLOOKUP($A145,GasTable,13)+Assumptions!$C$58,0)</f>
        <v>3.32362608201477</v>
      </c>
      <c r="HF145" s="286" t="n">
        <f aca="false">HE145*Assumptions!$C$57/1000</f>
        <v>24.0962890946071</v>
      </c>
      <c r="HG145" s="1558" t="n">
        <f aca="false">IF(Assumptions!$C$60="Hourly",MAX(0,HC145*(HD145-HF145)),HC145*(HD145-HF145))</f>
        <v>290355.900154395</v>
      </c>
      <c r="HH145" s="1566" t="n">
        <f aca="false">IF($A145&gt;=BegDate,Assumptions!$C$56*24*($A146-$A145)*(1-VLOOKUP($B145,MAIN!$AA$7:$AM$28,$C145+1))*(1-VLOOKUP($B145,MAIN!$AA$33:$AM$54,$C145+1)),0)*56/168</f>
        <v>180420</v>
      </c>
      <c r="HI145" s="286" t="n">
        <f aca="false">S145</f>
        <v>29.7289553762853</v>
      </c>
      <c r="HJ145" s="286" t="n">
        <f aca="false">IF($A145&gt;=BegDate,VLOOKUP($A145,GasTable,13)+Assumptions!$C$58,0)</f>
        <v>3.32362608201477</v>
      </c>
      <c r="HK145" s="286" t="n">
        <f aca="false">HJ145*Assumptions!$C$57/1000</f>
        <v>24.0962890946071</v>
      </c>
      <c r="HL145" s="1558" t="n">
        <f aca="false">IF(Assumptions!$C$60="Hourly",MAX(0,HH145*(HI145-HK145)),HH145*(HI145-HK145))</f>
        <v>1016245.65054038</v>
      </c>
      <c r="HM145" s="1566" t="n">
        <f aca="false">IF(AND(Assumptions!$H$71="Yes",A145&gt;=Assumptions!$H$72,A145&lt;=Assumptions!$H$73),Assumptions!$H$74*Assumptions!$C$9*1000,0)</f>
        <v>0</v>
      </c>
      <c r="HN145" s="1551"/>
      <c r="HO145" s="1563"/>
      <c r="HP145" s="1563"/>
      <c r="HQ145" s="1563"/>
      <c r="HR145" s="1563"/>
      <c r="HS145" s="1563"/>
      <c r="HT145" s="1563"/>
      <c r="HU145" s="1563"/>
      <c r="HV145" s="1563"/>
      <c r="HW145" s="1563"/>
      <c r="HX145" s="1563"/>
      <c r="HY145" s="1563"/>
      <c r="HZ145" s="1563"/>
      <c r="IA145" s="1563"/>
      <c r="IB145" s="1563"/>
      <c r="IC145" s="1563"/>
      <c r="ID145" s="1563"/>
      <c r="IE145" s="1563"/>
      <c r="IF145" s="1563"/>
      <c r="IG145" s="1563"/>
      <c r="IH145" s="1563"/>
      <c r="II145" s="1610"/>
      <c r="IJ145" s="1309"/>
      <c r="IK145" s="1309"/>
    </row>
    <row r="146" customFormat="false" ht="12.75" hidden="false" customHeight="false" outlineLevel="0" collapsed="false">
      <c r="A146" s="1571" t="n">
        <f aca="false">EOMONTH(A145,0)+1</f>
        <v>40575</v>
      </c>
      <c r="B146" s="594" t="n">
        <f aca="false">+YEAR(A146)</f>
        <v>2011</v>
      </c>
      <c r="C146" s="238" t="n">
        <f aca="false">MONTH(A146)</f>
        <v>2</v>
      </c>
      <c r="D146" s="1572" t="e">
        <f aca="false">IF(E146="","",Holiday(B146,C146))</f>
        <v>#VALUE!</v>
      </c>
      <c r="E146" s="1573" t="n">
        <f aca="false">IF(OR(BegDate&gt;=A147,EndDate&lt;A146,AND(VolumeMonthlyOverFlag,INDEX(VolumeMonthlyOver,C146)=0),NOT(INDEX(MonthKnockOutTable,C146))),"",MAX(A146,BegDate))</f>
        <v>40575</v>
      </c>
      <c r="F146" s="1574" t="n">
        <f aca="false">IF(E146="","",MIN(A147-1,EndDate))</f>
        <v>40602</v>
      </c>
      <c r="G146" s="1575" t="n">
        <v>0</v>
      </c>
      <c r="H146" s="1576" t="n">
        <f aca="false">(1+G146/2)^(-2*(DATE(B147,C147,20)-DateToday)/365.25)</f>
        <v>1</v>
      </c>
      <c r="I146" s="1568" t="n">
        <f aca="false">IF(Assumptions!$L$25=4,VLOOKUP($A146,'Henwood Reference'!$E$9:$R$320,10),(VLOOKUP($A146,PriceTable,2,0)+IF(BasisNumber&lt;&gt;1,VLOOKUP($A146,BasisTable,2,0),0)+I$1)/(1-I$2))</f>
        <v>46.0287221973233</v>
      </c>
      <c r="J146" s="1568" t="n">
        <f aca="false">IF(Assumptions!$L$25=4,VLOOKUP($A146,'Henwood Reference'!$E$9:$R$320,10),(VLOOKUP($A146,PriceTable,3,0)+IF(BasisNumber&lt;&gt;1,VLOOKUP($A146,BasisTable,2,0),0)+J$1)/(1-J$2))</f>
        <v>46.0287221973233</v>
      </c>
      <c r="K146" s="1568" t="n">
        <f aca="false">IF(Assumptions!$L$25=4,VLOOKUP($A146,'Henwood Reference'!$E$9:$R$320,10),(VLOOKUP($A146,PriceTable,4,0)+IF(BasisNumber&lt;&gt;1,VLOOKUP($A146,BasisTable,2,0),0)+K$1)/(1-K$2))</f>
        <v>46.0287221973233</v>
      </c>
      <c r="L146" s="1523" t="n">
        <f aca="false">IF(Assumptions!$L$25=4,VLOOKUP($A146,'Henwood Reference'!$E$9:$R$320,10),(VLOOKUP($A146,PriceTableWeekend,2,0)+IF(BasisNumber&lt;&gt;1,VLOOKUP($A146,BasisTable,2,0),0)+L$1)/(1-L$2))</f>
        <v>46.0287221973233</v>
      </c>
      <c r="M146" s="1568" t="n">
        <f aca="false">IF(Assumptions!$L$25=4,VLOOKUP($A146,'Henwood Reference'!$E$9:$R$320,10),(VLOOKUP($A146,PriceTableWeekend,3,0)+IF(BasisNumber&lt;&gt;1,VLOOKUP($A146,BasisTable,2,0),0)+M$1)/(1-M$2))</f>
        <v>46.0287221973233</v>
      </c>
      <c r="N146" s="1599" t="n">
        <f aca="false">IF(Assumptions!$L$25=4,VLOOKUP($A146,'Henwood Reference'!$E$9:$R$320,10),(VLOOKUP($A146,PriceTableWeekend,4,0)+IF(BasisNumber&lt;&gt;1,VLOOKUP($A146,BasisTable,2,0),0)+N$1)/(1-N$2))</f>
        <v>46.0287221973233</v>
      </c>
      <c r="O146" s="1568" t="n">
        <f aca="false">IF(Assumptions!$L$25=4,VLOOKUP($A146,'Henwood Reference'!$E$9:$R$320,11),(VLOOKUP($A146,PriceTableWeekend,6,0)+IF(BasisNumber&lt;&gt;1,VLOOKUP($A146,BasisTable,3,0),0)+O$1)/(1-O$2))</f>
        <v>28.0536328331543</v>
      </c>
      <c r="P146" s="1568" t="n">
        <f aca="false">IF(Assumptions!$L$25=4,VLOOKUP($A146,'Henwood Reference'!$E$9:$R$320,11),(VLOOKUP($A146,PriceTableWeekend,7,0)+IF(BasisNumber&lt;&gt;1,VLOOKUP($A146,BasisTable,3,0),0)+P$1)/(1-P$2))</f>
        <v>28.0536328331543</v>
      </c>
      <c r="Q146" s="1599" t="n">
        <f aca="false">IF(Assumptions!$L$25=4,VLOOKUP($A146,'Henwood Reference'!$E$9:$R$320,11),(VLOOKUP($A146,PriceTableWeekend,8,0)+IF(BasisNumber&lt;&gt;1,VLOOKUP($A146,BasisTable,3,0),0)+Q$1)/(1-Q$2))</f>
        <v>28.0536328331543</v>
      </c>
      <c r="R146" s="1568" t="n">
        <f aca="false">IF(Assumptions!$L$25=4,VLOOKUP($A146,'Henwood Reference'!$E$9:$R$320,11),(VLOOKUP($A146,PriceTable,6,0)+IF(BasisNumber&lt;&gt;1,VLOOKUP($A146,BasisTable,3,0),0)+R$1)/(1-R$2))</f>
        <v>28.0536328331543</v>
      </c>
      <c r="S146" s="1568" t="n">
        <f aca="false">IF(Assumptions!$L$25=4,VLOOKUP($A146,'Henwood Reference'!$E$9:$R$320,11),(VLOOKUP($A146,PriceTable,7,0)+IF(BasisNumber&lt;&gt;1,VLOOKUP($A146,BasisTable,3,0),0)+S$1)/(1-S$2))</f>
        <v>28.0536328331543</v>
      </c>
      <c r="T146" s="1600" t="n">
        <f aca="false">IF(Assumptions!$L$25=4,VLOOKUP($A146,'Henwood Reference'!$E$9:$R$320,11),(VLOOKUP($A146,PriceTable,8,0)+IF(BasisNumber&lt;&gt;1,VLOOKUP($A146,BasisTable,3,0),0)+T$1)/(1-T$2))</f>
        <v>28.0536328331543</v>
      </c>
      <c r="U146" s="1513" t="n">
        <f aca="false">VLOOKUP($A146,VolatilityTable,14)</f>
        <v>0.115</v>
      </c>
      <c r="V146" s="1513" t="n">
        <f aca="false">VLOOKUP($A146,VolatilityTable,15)</f>
        <v>0.125</v>
      </c>
      <c r="W146" s="1514" t="n">
        <f aca="false">VLOOKUP($A146,VolatilityTable,16)</f>
        <v>0.135</v>
      </c>
      <c r="X146" s="1513" t="n">
        <f aca="false">VLOOKUP($A146,VolatilityTable,14)</f>
        <v>0.115</v>
      </c>
      <c r="Y146" s="1513" t="n">
        <f aca="false">VLOOKUP($A146,VolatilityTable,15)</f>
        <v>0.125</v>
      </c>
      <c r="Z146" s="1514" t="n">
        <f aca="false">VLOOKUP($A146,VolatilityTable,16)</f>
        <v>0.135</v>
      </c>
      <c r="AA146" s="1513" t="n">
        <f aca="false">VLOOKUP($A146,VolatilityTable,18)</f>
        <v>0.09</v>
      </c>
      <c r="AB146" s="1513" t="n">
        <f aca="false">VLOOKUP($A146,VolatilityTable,19)</f>
        <v>0.11</v>
      </c>
      <c r="AC146" s="1514" t="n">
        <f aca="false">VLOOKUP($A146,VolatilityTable,20)</f>
        <v>0.13</v>
      </c>
      <c r="AD146" s="1513" t="n">
        <f aca="false">VLOOKUP($A146,VolatilityTable,18)</f>
        <v>0.09</v>
      </c>
      <c r="AE146" s="1513" t="n">
        <f aca="false">VLOOKUP($A146,VolatilityTable,19)</f>
        <v>0.11</v>
      </c>
      <c r="AF146" s="1514" t="n">
        <f aca="false">VLOOKUP($A146,VolatilityTable,20)</f>
        <v>0.13</v>
      </c>
      <c r="AG146" s="1513" t="n">
        <f aca="false">VLOOKUP($A146,VolatilityTable,22)</f>
        <v>-0.25</v>
      </c>
      <c r="AH146" s="1513" t="n">
        <f aca="false">VLOOKUP($A146,VolatilityTable,23)</f>
        <v>0.65</v>
      </c>
      <c r="AI146" s="1514" t="n">
        <f aca="false">VLOOKUP($A146,VolatilityTable,24)</f>
        <v>0.25</v>
      </c>
      <c r="AJ146" s="1513" t="n">
        <f aca="false">VLOOKUP($A146,VolatilityTable,22)</f>
        <v>-0.25</v>
      </c>
      <c r="AK146" s="1513" t="n">
        <f aca="false">VLOOKUP($A146,VolatilityTable,23)</f>
        <v>0.65</v>
      </c>
      <c r="AL146" s="1514" t="n">
        <f aca="false">VLOOKUP($A146,VolatilityTable,24)</f>
        <v>0.25</v>
      </c>
      <c r="AM146" s="1513" t="n">
        <f aca="false">VLOOKUP($A146,VolatilityTable,26)</f>
        <v>-0.01</v>
      </c>
      <c r="AN146" s="1513" t="n">
        <f aca="false">VLOOKUP($A146,VolatilityTable,27)</f>
        <v>0.16</v>
      </c>
      <c r="AO146" s="1514" t="n">
        <f aca="false">VLOOKUP($A146,VolatilityTable,28)</f>
        <v>0.01</v>
      </c>
      <c r="AP146" s="1513" t="n">
        <f aca="false">VLOOKUP($A146,VolatilityTable,26)</f>
        <v>-0.01</v>
      </c>
      <c r="AQ146" s="1513" t="n">
        <f aca="false">VLOOKUP($A146,VolatilityTable,27)</f>
        <v>0.16</v>
      </c>
      <c r="AR146" s="1515" t="n">
        <f aca="false">VLOOKUP($A146,VolatilityTable,28)</f>
        <v>0.01</v>
      </c>
      <c r="AS146" s="1581" t="n">
        <f aca="false">IF(CorrPeakOffPeakOverFlag,INDEX(CorrPeakOffPeakOver,C146),CorrPeakOffPeak)</f>
        <v>0.5</v>
      </c>
      <c r="AT146" s="594" t="e">
        <f aca="false">AX146-SUM(AU146:AW146)</f>
        <v>#VALUE!</v>
      </c>
      <c r="AU146" s="238" t="e">
        <f aca="false">IF(E146="",0,INT((F146-MOD(F146,7)-E146)/7)+1-IF(AW146,IF(WEEKDAY(D146)=7,1,0),0))</f>
        <v>#VALUE!</v>
      </c>
      <c r="AV146" s="238" t="e">
        <f aca="false">IF(E146="",0,INT((F146-MOD(F146-1,7)-E146)/7)+1-IF(AW146,IF(WEEKDAY(D146)=1,1,0),0))</f>
        <v>#VALUE!</v>
      </c>
      <c r="AW146" s="238" t="e">
        <f aca="false">IF(OR(E146="",D146="",D146&lt;BegDate,D146&gt;EndDate),0,1)</f>
        <v>#VALUE!</v>
      </c>
      <c r="AX146" s="238" t="n">
        <f aca="false">IF(E146="",0,F146-E146+1)</f>
        <v>28</v>
      </c>
      <c r="AY146" s="1582" t="n">
        <f aca="false">IF(E146="",0,MIN((1-(1-VLOOKUP(B146,MAIN!$AA$7:$AM$28,C146+1))*(1-VLOOKUP(B146,MAIN!$AA$33:$AM$54,C146+1))),1))</f>
        <v>0.03</v>
      </c>
      <c r="AZ146" s="1519" t="e">
        <v>#VALUE!</v>
      </c>
      <c r="BA146" s="1520" t="e">
        <v>#VALUE!</v>
      </c>
      <c r="BB146" s="1520" t="e">
        <v>#VALUE!</v>
      </c>
      <c r="BC146" s="1583" t="e">
        <v>#VALUE!</v>
      </c>
      <c r="BD146" s="1522" t="e">
        <v>#VALUE!</v>
      </c>
      <c r="BE146" s="1523" t="e">
        <v>#VALUE!</v>
      </c>
      <c r="BF146" s="1523" t="e">
        <v>#VALUE!</v>
      </c>
      <c r="BG146" s="1584" t="e">
        <v>#VALUE!</v>
      </c>
      <c r="BH146" s="1525" t="e">
        <v>#VALUE!</v>
      </c>
      <c r="BI146" s="1520" t="e">
        <v>#VALUE!</v>
      </c>
      <c r="BJ146" s="1520" t="e">
        <v>#VALUE!</v>
      </c>
      <c r="BK146" s="1583" t="e">
        <v>#VALUE!</v>
      </c>
      <c r="BL146" s="1522" t="e">
        <v>#VALUE!</v>
      </c>
      <c r="BM146" s="1523" t="e">
        <v>#VALUE!</v>
      </c>
      <c r="BN146" s="1523" t="e">
        <v>#VALUE!</v>
      </c>
      <c r="BO146" s="1523" t="e">
        <v>#VALUE!</v>
      </c>
      <c r="BP146" s="1525" t="e">
        <f aca="false">SUM(AZ146:BB146)</f>
        <v>#VALUE!</v>
      </c>
      <c r="BQ146" s="1529" t="e">
        <f aca="false">SUM(AZ146:BC146)</f>
        <v>#VALUE!</v>
      </c>
      <c r="BR146" s="1519" t="e">
        <f aca="false">SUM(BH146:BJ146)</f>
        <v>#VALUE!</v>
      </c>
      <c r="BS146" s="1529" t="e">
        <f aca="false">SUM(BH146:BK146)</f>
        <v>#VALUE!</v>
      </c>
      <c r="BT146" s="1316" t="n">
        <f aca="false">(IF(OVolType&lt;&gt;2,A146+14,IF(OptExpDateShift,ShiftBack(A146,OptExpDateShift,D145),A146))-DateToday)/365.25</f>
        <v>10.8008213552361</v>
      </c>
      <c r="BU146" s="1585" t="e">
        <f aca="false">IF(BQ146,IF(OPriceCurve,IF(OBuySell=OCallPut,I146/(1-AY146),K146/(1-AY146)),J146/(1-AY146))*BD146,0)</f>
        <v>#VALUE!</v>
      </c>
      <c r="BV146" s="1316" t="e">
        <f aca="false">IF(BQ146,IF(OPriceCurve,IF(OBuySell=OCallPut,L146/(1-AY146),N146/(1-AY146)),M146/(1-AY146))*BE146,0)</f>
        <v>#VALUE!</v>
      </c>
      <c r="BW146" s="1316" t="e">
        <f aca="false">IF(BQ146,IF(OPriceCurve,IF(OBuySell=OCallPut,O146/(1-AY146),Q146/(1-AY146)),P146/(1-AY146))*BF146,0)</f>
        <v>#VALUE!</v>
      </c>
      <c r="BX146" s="1316" t="e">
        <f aca="false">IF(BQ146,IF(OPriceCurve,IF(OBuySell=OCallPut,R146/(1-AY146),T146/(1-AY146)),S146/(1-AY146))*BG146,0)</f>
        <v>#VALUE!</v>
      </c>
      <c r="BY146" s="1316" t="e">
        <f aca="false">IF(BP146,(BU146*AZ146+BV146*BA146+BW146*BB146)/BP146,0)</f>
        <v>#VALUE!</v>
      </c>
      <c r="BZ146" s="1316" t="e">
        <f aca="false">IF(BQ146,(BY146*BP146+BX146*BC146)/BQ146,0)</f>
        <v>#VALUE!</v>
      </c>
      <c r="CA146" s="1531" t="e">
        <f aca="false">IF(BS146,IF(OPriceCurve,IF(OBuySell=OCallPut,I146/(1-AY146),K146/(1-AY146)),J146/(1-AY146))*BL146,0)</f>
        <v>#VALUE!</v>
      </c>
      <c r="CB146" s="1316" t="e">
        <f aca="false">IF(BS146,IF(OPriceCurve,IF(OBuySell=OCallPut,L146/(1-AY146),N146/(1-AY146)),M146/(1-AY146))*BM146,0)</f>
        <v>#VALUE!</v>
      </c>
      <c r="CC146" s="1316" t="e">
        <f aca="false">IF(BS146,IF(OPriceCurve,IF(OBuySell=OCallPut,O146/(1-AY146),Q146/(1-AY146)),P146/(1-AY146))*BN146,0)</f>
        <v>#VALUE!</v>
      </c>
      <c r="CD146" s="1316" t="e">
        <f aca="false">IF(BS146,IF(OPriceCurve,IF(OBuySell=OCallPut,R146/(1-AY146),T146/(1-AY146)),S146/(1-AY146))*BO146,0)</f>
        <v>#VALUE!</v>
      </c>
      <c r="CE146" s="1316" t="e">
        <f aca="false">IF(BR146,(BU146*BH146+BV146*BI146+BW146*BJ146)/BR146,0)</f>
        <v>#VALUE!</v>
      </c>
      <c r="CF146" s="1532" t="e">
        <f aca="false">IF(BS146,(CE146*BR146+CD146*BK146)/BS146,0)</f>
        <v>#VALUE!</v>
      </c>
      <c r="CG146" s="1586" t="e">
        <f aca="false">IF(OR(BQ146,BS146),IF(OVolType&lt;&gt;2,SQRT(IF(OVolOverMonthlyPeak,OVolOverMonthlyPeak,IF(OVolCurve,IF(OBuySell,U146,W146),V146))^2*(1-15/365.25/BT146)+IF(OVolOverDailyPeak,OVolOverDailyPeak,IF(OVolCurve,IF(OBuySell,AG146,AI146),AH146))^2*15/365.25/BT146),IF(OVolOverMonthlyPeak,OVolOverMonthlyPeak,IF(OVolCurve,IF(OBuySell,U146,W146),V146))),"")</f>
        <v>#VALUE!</v>
      </c>
      <c r="CH146" s="1587" t="e">
        <f aca="false">IF(OR(BQ146,BS146),IF(OVolType&lt;&gt;2,SQRT(IF(OVolOverMonthlyPeak,OVolOverMonthlyPeak,IF(OVolCurve,IF(OBuySell,X146,Z146),Y146))^2*(1-15/365.25/BT146)+IF(OVolOverDailyPeak,OVolOverDailyPeak,IF(OVolCurve,IF(OBuySell,AJ146,AL146),AK146))^2*15/365.25/BT146),IF(OVolOverMonthlyPeak,OVolOverMonthlyPeak,IF(OVolCurve,IF(OBuySell,X146,Z146),Y146))),"")</f>
        <v>#VALUE!</v>
      </c>
      <c r="CI146" s="1587" t="e">
        <f aca="false">IF(OR(BQ146,BS146),IF(OVolType&lt;&gt;2,SQRT(IF(OVolOverMonthlyPeak,OVolOverMonthlyPeak,IF(OVolCurve,IF(OBuySell,AA146,AC146),AB146))^2*(1-15/365.25/BT146)+IF(OVolOverDailyPeak,OVolOverDailyPeak,IF(OVolCurve,IF(OBuySell,AM146,AO146),AN146))^2*15/365.25/BT146),IF(OVolOverMonthlyPeak,OVolOverMonthlyPeak,IF(OVolCurve,IF(OBuySell,AA146,AC146),AB146))),"")</f>
        <v>#VALUE!</v>
      </c>
      <c r="CJ146" s="1587" t="e">
        <f aca="false">IF(BQ146,IF(BP146,SQRT(LN(1+((BU146*AZ146)^2*(EXP(CG146^2*BT146)-1)+(BV146*BA146)^2*(EXP(CH146^2*BT146)-1)+(BW146*BB146)^2*(EXP(CI146^2*BT146)-1)+2*BU146*AZ146*BV146*BA146*(EXP(CG146*CH146*BT146)-1)+2*BV146*BA146*BW146*BB146*(EXP(CH146*CI146*BT146)-1)+2*BW146*BB146*BU146*AZ146*(EXP(CI146*CG146*BT146)-1))/(BY146*BP146)^2)/BT146),0),"")</f>
        <v>#VALUE!</v>
      </c>
      <c r="CK146" s="1587" t="e">
        <f aca="false">IF(BS146,IF(BR146,SQRT(LN(1+((CA146*BH146)^2*(EXP(CG146^2*BT146)-1)+(CB146*BI146)^2*(EXP(CH146^2*BT146)-1)+(CC146*BJ146)^2*(EXP(CI146^2*BT146)-1)+2*CA146*BH146*CB146*BI146*(EXP(CG146*CH146*BT146)-1)+2*CB146*BI146*CC146*BJ146*(EXP(CH146*CI146*BT146)-1)+2*CC146*BJ146*CA146*BH146*(EXP(CI146*CG146*BT146)-1))/(CE146*BR146)^2)/BT146),0),"")</f>
        <v>#VALUE!</v>
      </c>
      <c r="CL146" s="1587" t="e">
        <f aca="false">IF(OR(BQ146,BS146),IF(OVolType&lt;&gt;2,SQRT(IF(OVolOverMonthlyOffPeak,OVolOverMonthlyOffPeak,IF(OVolCurve,IF(OBuySell,AD146,AF146),AE146))^2*(1-15/365.25/BT146)+IF(OVolOverDailyOffPeak,OVolOverDailyOffPeak,IF(OVolCurve,IF(OBuySell,AP146,AR146),AQ146))^2*15/365.25/BT146),IF(OVolOverMonthlyOffPeak,OVolOverMonthlyOffPeak,IF(OVolCurve,IF(OBuySell,AD146,AF146),AE146))),"")</f>
        <v>#VALUE!</v>
      </c>
      <c r="CM146" s="1587" t="e">
        <f aca="false">IF(BQ146,SQRT(LN(1+((BY146*BP146)^2*(EXP(CJ146^2*BT146)-1)+(BX146*BC146)^2*(EXP(CL146^2*BT146)-1)+2*BY146*BP146*BX146*BC146*(EXP(AS146*CJ146*CL146*BT146)-1))/(BY146*BP146+BX146*BC146)^2)/BT146),"")</f>
        <v>#VALUE!</v>
      </c>
      <c r="CN146" s="1588" t="e">
        <f aca="false">IF(BS146,SQRT(LN(1+((CE146*BR146)^2*(EXP(CK146^2*BT146)-1)+(CD146*BK146)^2*(EXP(CL146^2*BT146)-1)+2*CE146*BR146*CD146*BK146*(EXP(AS146*CK146*CL146*BT146)-1))/(CE146*BR146+CD146*BK146)^2)/BT146),"")</f>
        <v>#VALUE!</v>
      </c>
      <c r="CO146" s="1531" t="e">
        <f aca="false">IF(OR(BQ146,BS146),VLOOKUP(A146,GasTable,13)*HeatRatePeak*(1+VLOOKUP($B146,HeatRateDegradation,$C146+1))/1000,0)</f>
        <v>#VALUE!</v>
      </c>
      <c r="CP146" s="1316" t="e">
        <f aca="false">IF(OR(BQ146,BS146),VLOOKUP(A146,GasTable,13)*HeatRatePeak*(1+VLOOKUP($B146,HeatRateDegradation,$C146+1))/1000,0)</f>
        <v>#VALUE!</v>
      </c>
      <c r="CQ146" s="1316" t="e">
        <f aca="false">IF(OR(BQ146,BS146),VLOOKUP(A146,GasTable,13)*IF(EV146,HeatRatePeak,HeatRateOffPeak)*(1+VLOOKUP($B146,HeatRateDegradation,$C146+1))/1000,0)</f>
        <v>#VALUE!</v>
      </c>
      <c r="CR146" s="1316" t="e">
        <f aca="false">IF(OR(BQ146,BS146),VLOOKUP(A146,GasTable,13)*IF(EW146,HeatRatePeak,HeatRateOffPeak)*(1+VLOOKUP($B146,HeatRateDegradation,$C146+1))/1000,0)</f>
        <v>#VALUE!</v>
      </c>
      <c r="CS146" s="1589" t="e">
        <f aca="false">IF(BQ146,(CO146*AZ146+CP146*BA146+CQ146*BB146+CR146*BC146)/BQ146,0)</f>
        <v>#VALUE!</v>
      </c>
      <c r="CT146" s="1316" t="e">
        <f aca="false">IF(BS146,CO146,0)</f>
        <v>#VALUE!</v>
      </c>
      <c r="CU146" s="1590" t="e">
        <f aca="false">IF(OR(BQ146,BS146),VLOOKUP(A146,GasTable,14),"")</f>
        <v>#VALUE!</v>
      </c>
      <c r="CV146" s="1568" t="e">
        <f aca="false">IF(OR(BQ146,BS146),IF(CorrPowerGasOverFlag,INDEX(CorrPowerGasOver,C146),CorrPowerGas),"")</f>
        <v>#VALUE!</v>
      </c>
      <c r="CW146" s="1316" t="e">
        <f aca="false">IF(OR($BQ146,$BS146),SpreadOptPowerMargin,0)*((1+Assumptions!$C$26)^($B146-YEAR(Assumptions!$C$17)))</f>
        <v>#VALUE!</v>
      </c>
      <c r="CX146" s="1316" t="e">
        <f aca="false">IF(OR($BQ146,$BS146),SpreadOptPowerMargin,0)*((1+Assumptions!$C$26)^($B146-YEAR(Assumptions!$C$17)))</f>
        <v>#VALUE!</v>
      </c>
      <c r="CY146" s="1316" t="e">
        <f aca="false">IF(OR($BQ146,$BS146),SpreadOptPowerMargin,0)*((1+Assumptions!$C$26)^($B146-YEAR(Assumptions!$C$17)))</f>
        <v>#VALUE!</v>
      </c>
      <c r="CZ146" s="1316" t="e">
        <f aca="false">IF(OR($BQ146,$BS146),SpreadOptPowerMargin,0)*((1+Assumptions!$C$26)^($B146-YEAR(Assumptions!$C$17)))</f>
        <v>#VALUE!</v>
      </c>
      <c r="DA146" s="1591" t="e">
        <f aca="false">IF(OR(BQ146,BS146),(CW146*(AZ146+BH146)+CX146*(BA146+BI146)+CY146*(BB146+BJ146)+CZ146*(BC146+BK146))/(BQ146+BS146),0)</f>
        <v>#VALUE!</v>
      </c>
      <c r="DB146" s="1592" t="e">
        <f aca="false">IF(OR(BQ146,BS146),CG146+IF(OVolSmile,VLOOKUP(MAX(-5,CO146+CW146-BU146),IF(OVolSmile=1,VolSmileBook,VolSmileModel),2),0),"")</f>
        <v>#VALUE!</v>
      </c>
      <c r="DC146" s="1592" t="e">
        <f aca="false">IF(OR(BQ146,BS146),CH146+IF(OVolSmile,VLOOKUP(MAX(-5,CP146+CW146-BV146),IF(OVolSmile=1,VolSmileBook,VolSmileModel),2),0),"")</f>
        <v>#VALUE!</v>
      </c>
      <c r="DD146" s="1592" t="e">
        <f aca="false">IF(OR(BQ146,BS146),CI146+IF(OVolSmile,VLOOKUP(MAX(-5,CQ146+CW146-BW146),IF(OVolSmile=1,VolSmileBook,VolSmileModel),2),0),"")</f>
        <v>#VALUE!</v>
      </c>
      <c r="DE146" s="1592" t="e">
        <f aca="false">IF(OR(BQ146,BS146),CL146+IF(OVolSmile,VLOOKUP(MAX(-5,CR146+CZ146-BX146),IF(OVolSmile=1,VolSmileBook,VolSmileModel),2),0),"")</f>
        <v>#VALUE!</v>
      </c>
      <c r="DF146" s="1592" t="e">
        <f aca="false">IF(BQ146,CM146+IF(OVolSmile,VLOOKUP(MAX(-5,CS146+DA146-BZ146),IF(OVolSmile=1,VolSmileBook,VolSmileModel),2),0),"")</f>
        <v>#VALUE!</v>
      </c>
      <c r="DG146" s="1593" t="e">
        <f aca="false">IF(BS146,CN146+IF(OVolSmile,VLOOKUP(MAX(-5,CT146+DA146-CF146),IF(OVolSmile=1,VolSmileBook,VolSmileModel),2),0),"")</f>
        <v>#VALUE!</v>
      </c>
      <c r="DH146" s="1316" t="e">
        <f aca="false">IF(AND(BU146&gt;0,CO146&gt;0,DB146&gt;0,CU146&gt;0),newSPRDOPT(BU146,CO146,CW146,0,DB146,CU146,CV146,BT146*365.25,OCallPut,0),0)</f>
        <v>#VALUE!</v>
      </c>
      <c r="DI146" s="1316" t="e">
        <f aca="false">IF(AND(BV146&gt;0,CP146&gt;0,DC146&gt;0,CU146&gt;0),newSPRDOPT(BV146,CP146,CX146,0,DC146,CU146,CV146,BT146*365.25,OCallPut,0),0)</f>
        <v>#VALUE!</v>
      </c>
      <c r="DJ146" s="1316" t="e">
        <f aca="false">IF(AND(BW146&gt;0,CQ146&gt;0,DD146&gt;0,CU146&gt;0),newSPRDOPT(BW146,CQ146,CY146,0,DD146,CU146,CV146,BT146*365.25,OCallPut,0),0)</f>
        <v>#VALUE!</v>
      </c>
      <c r="DK146" s="1316" t="e">
        <f aca="false">IF(AND(BX146&gt;0,CR146&gt;0,DE146&gt;0,CU146&gt;0),newSPRDOPT(BX146,CR146,CZ146,0,DE146,CU146,CV146,BT146*365.25,OCallPut,0),0)</f>
        <v>#VALUE!</v>
      </c>
      <c r="DL146" s="1316" t="e">
        <f aca="false">IF(OVolType,IF(AND(BZ146&gt;0,CS146&gt;0,DF146&gt;0,CU146&gt;0),newSPRDOPT(BZ146,CS146,DA146,0,DF146,CU146,CV146,BT146*365.25,OCallPut,0),0),IF(BQ146,(DH146*AZ146+DI146*BA146+DJ146*BB146+DK146*BC146)/BQ146,0))</f>
        <v>#VALUE!</v>
      </c>
      <c r="DM146" s="1316"/>
      <c r="DN146" s="1316"/>
      <c r="DO146" s="1316"/>
      <c r="DP146" s="1316"/>
      <c r="DQ146" s="1316"/>
      <c r="DR146" s="1316"/>
      <c r="DS146" s="1316"/>
      <c r="DT146" s="1316"/>
      <c r="DU146" s="1316"/>
      <c r="DV146" s="1316"/>
      <c r="DW146" s="1594" t="e">
        <f aca="false">IF(AND(BW146&gt;0,CT146&gt;0,DD146&gt;0,CU146&gt;0),newSPRDOPT(BW146,CT146,CY146,0,DD146,CU146,CV146,BT146*365.25,OCallPut,0),0)</f>
        <v>#VALUE!</v>
      </c>
      <c r="DX146" s="1316" t="e">
        <f aca="false">IF(AND(BX146&gt;0,CT146&gt;0,DE146&gt;0,CU146&gt;0),newSPRDOPT(BX146,CT146,CZ146,0,DE146,CU146,CV146,BT146*365.25,OCallPut,0),0)</f>
        <v>#VALUE!</v>
      </c>
      <c r="DY146" s="1591" t="e">
        <f aca="false">IF(BS146,(DH146*BH146+DI146*BI146+DW146*BJ146+DX146*BK146)/BS146,0)</f>
        <v>#VALUE!</v>
      </c>
      <c r="DZ146" s="1551" t="e">
        <f aca="false">DH146*AZ146</f>
        <v>#VALUE!</v>
      </c>
      <c r="EA146" s="1551" t="e">
        <f aca="false">DI146*BA146</f>
        <v>#VALUE!</v>
      </c>
      <c r="EB146" s="1551" t="e">
        <f aca="false">DJ146*BB146</f>
        <v>#VALUE!</v>
      </c>
      <c r="EC146" s="1551" t="e">
        <f aca="false">DK146*BC146</f>
        <v>#VALUE!</v>
      </c>
      <c r="ED146" s="1551" t="e">
        <f aca="false">DL146*BQ146</f>
        <v>#VALUE!</v>
      </c>
      <c r="EE146" s="1595" t="e">
        <f aca="false">IF(BQ146,IF(OCallPut,IF(BU146&gt;(CO146+CW146),BU146-(CO146+CW146),0),IF((CO146+CW146)&gt;BU146,(CO146+CW146)-BU146,0))*AZ146,0)</f>
        <v>#VALUE!</v>
      </c>
      <c r="EF146" s="1596" t="e">
        <f aca="false">IF(BQ146,IF(OCallPut,IF(BV146&gt;(CP146+CX146),BV146-(CP146+CX146),0),IF((CP146+CX146)&gt;BV146,(CP146+CX146)-BV146,0))*BA146,0)</f>
        <v>#VALUE!</v>
      </c>
      <c r="EG146" s="1596" t="e">
        <f aca="false">IF(BQ146,IF(OCallPut,IF(BW146&gt;(CQ146+CY146),BW146-(CQ146+CY146),0),IF((CQ146+CY146)&gt;BW146,(CQ146+CY146)-BW146,0))*BB146,0)</f>
        <v>#VALUE!</v>
      </c>
      <c r="EH146" s="1596" t="e">
        <f aca="false">IF(BQ146,IF(OCallPut,IF(BX146&gt;(CR146+CZ146),BX146-(CR146+CZ146),0),IF((CR146+CZ146)&gt;BX146,(CR146+CZ146)-BX146,0))*BC146,0)</f>
        <v>#VALUE!</v>
      </c>
      <c r="EI146" s="1597" t="e">
        <f aca="false">IF(BQ146,IF(OVolType,IF(OCallPut,IF(BZ146&gt;(CS146+DA146),BZ146-(CS146+DA146),0),IF((CS146+DA146)&gt;BZ146,(CS146+DA146)-BZ146,0))*BQ146,SUM(EE146:EH146)),0)</f>
        <v>#VALUE!</v>
      </c>
      <c r="EJ146" s="1595" t="e">
        <f aca="false">DZ146-EE146</f>
        <v>#VALUE!</v>
      </c>
      <c r="EK146" s="1596" t="e">
        <f aca="false">EA146-EF146</f>
        <v>#VALUE!</v>
      </c>
      <c r="EL146" s="1596" t="e">
        <f aca="false">EB146-EG146</f>
        <v>#VALUE!</v>
      </c>
      <c r="EM146" s="1596" t="e">
        <f aca="false">EC146-EH146</f>
        <v>#VALUE!</v>
      </c>
      <c r="EN146" s="1597" t="e">
        <f aca="false">ED146-EI146</f>
        <v>#VALUE!</v>
      </c>
      <c r="EO146" s="1551" t="e">
        <f aca="false">DH146*BH146</f>
        <v>#VALUE!</v>
      </c>
      <c r="EP146" s="1551" t="e">
        <f aca="false">DI146*BI146</f>
        <v>#VALUE!</v>
      </c>
      <c r="EQ146" s="1551" t="e">
        <f aca="false">DW146*BJ146</f>
        <v>#VALUE!</v>
      </c>
      <c r="ER146" s="1551" t="e">
        <f aca="false">DX146*BK146</f>
        <v>#VALUE!</v>
      </c>
      <c r="ES146" s="1551" t="e">
        <f aca="false">DY146*BS146</f>
        <v>#VALUE!</v>
      </c>
      <c r="ET146" s="1566" t="e">
        <f aca="false">IF(EI146,IF(OCallPut,IF(CA146&gt;(CT146+CW146),CA146-(CT146+CW146),0),IF((CT146+CW146)&gt;CA146,(CT146+CW146)-CA146,0))*BH146,0)</f>
        <v>#VALUE!</v>
      </c>
      <c r="EU146" s="1551" t="e">
        <f aca="false">IF(EI146,IF(OCallPut,IF(CB146&gt;(CT146+CX146),CB146-(CT146+CX146),0),IF((CT146+CX146)&gt;CB146,(CT146+CX146)-CB146,0))*BI146,0)</f>
        <v>#VALUE!</v>
      </c>
      <c r="EV146" s="1551" t="e">
        <f aca="false">IF(EI146,IF(OCallPut,IF(CC146&gt;(CT146+CY146),CC146-(CT146+CY146),0),IF((CT146+CY146)&gt;CC146,(CT146+CY146)-CC146,0))*BJ146,0)</f>
        <v>#VALUE!</v>
      </c>
      <c r="EW146" s="1551" t="e">
        <f aca="false">IF(EI146,IF(OCallPut,IF(CD146&gt;(CT146+CZ146),CD146-(CT146+CZ146),0),IF((CT146+CZ146)&gt;CD146,(CT146+CZ146)-CD146,0))*BK146,0)</f>
        <v>#VALUE!</v>
      </c>
      <c r="EX146" s="1558" t="e">
        <f aca="false">IF(EI146,SUM(ET146:EW146),0)</f>
        <v>#VALUE!</v>
      </c>
      <c r="EY146" s="1551" t="e">
        <f aca="false">EO146-ET146</f>
        <v>#VALUE!</v>
      </c>
      <c r="EZ146" s="1551" t="e">
        <f aca="false">EP146-EU146</f>
        <v>#VALUE!</v>
      </c>
      <c r="FA146" s="1551" t="e">
        <f aca="false">EQ146-EV146</f>
        <v>#VALUE!</v>
      </c>
      <c r="FB146" s="1551" t="e">
        <f aca="false">ER146-EW146</f>
        <v>#VALUE!</v>
      </c>
      <c r="FC146" s="1551" t="e">
        <f aca="false">ES146-EX146</f>
        <v>#VALUE!</v>
      </c>
      <c r="FD146" s="1525" t="n">
        <f aca="false">IF(AX146,IF(VLOOKUP(C146,MAIN!$L$17:$M$28,2)="Yes",VLOOKUP(CALC!B146,MAIN!$H$17:$I$20,2),0),0)</f>
        <v>0</v>
      </c>
      <c r="FE146" s="1552" t="e">
        <f aca="false">$FD146*16*AT146*(1-$AY146)</f>
        <v>#VALUE!</v>
      </c>
      <c r="FF146" s="1553" t="e">
        <f aca="false">$FD146*16*AU146*(1-$AY146)</f>
        <v>#VALUE!</v>
      </c>
      <c r="FG146" s="1553" t="e">
        <f aca="false">$FD146*16*(AV146+AW146)*(1-$AY146)</f>
        <v>#VALUE!</v>
      </c>
      <c r="FH146" s="1554" t="n">
        <f aca="false">$FD146*8*AX146*(1-$AY146)</f>
        <v>0</v>
      </c>
      <c r="FI146" s="1555" t="n">
        <f aca="false">IF(AX146,VLOOKUP(CALC!B146,MAIN!$H$17:$K$20,4),0)</f>
        <v>0</v>
      </c>
      <c r="FJ146" s="1553" t="e">
        <f aca="false">SUM(FE146:FH146)</f>
        <v>#VALUE!</v>
      </c>
      <c r="FK146" s="1556" t="e">
        <f aca="false">FI146*FJ146</f>
        <v>#VALUE!</v>
      </c>
      <c r="FL146" s="1551" t="e">
        <f aca="false">IF($EI146&gt;0,MIN(FE146,AZ146*(1+VLOOKUP($C146,WeatherCapacityAdjustment,2))),0)</f>
        <v>#VALUE!</v>
      </c>
      <c r="FM146" s="1551" t="e">
        <f aca="false">IF($EI146&gt;0,MIN(FF146,BA146*(1+VLOOKUP($C146,WeatherCapacityAdjustment,2))),0)</f>
        <v>#VALUE!</v>
      </c>
      <c r="FN146" s="1551" t="e">
        <f aca="false">IF($EI146&gt;0,MIN(FG146,BB146*(1+VLOOKUP($C146,WeatherCapacityAdjustment,2))),0)</f>
        <v>#VALUE!</v>
      </c>
      <c r="FO146" s="1564" t="e">
        <f aca="false">IF($EI146&gt;0,MIN(FH146,BC146*(1+VLOOKUP($C146,WeatherCapacityAdjustment,3))),0)</f>
        <v>#VALUE!</v>
      </c>
      <c r="FP146" s="1551" t="e">
        <f aca="false">IF(ET146&gt;0,MIN(FE146-FL146,BH146*(1+VLOOKUP($C146,WeatherCapacityAdjustment,2))),0)</f>
        <v>#VALUE!</v>
      </c>
      <c r="FQ146" s="1551" t="e">
        <f aca="false">IF(EU146&gt;0,MIN(FF146-FM146,BI146*(1+VLOOKUP($C146,WeatherCapacityAdjustment,2))),0)</f>
        <v>#VALUE!</v>
      </c>
      <c r="FR146" s="1551" t="e">
        <f aca="false">IF(EV146&gt;0,MIN(FG146-FN146,BJ146*(1+VLOOKUP($C146,WeatherCapacityAdjustment,2))),0)</f>
        <v>#VALUE!</v>
      </c>
      <c r="FS146" s="1558" t="e">
        <f aca="false">IF(EW146&gt;0,MIN(FH146-FO146,BK146*(1+VLOOKUP($C146,WeatherCapacityAdjustment,3))),0)</f>
        <v>#VALUE!</v>
      </c>
      <c r="FT146" s="1566" t="e">
        <f aca="false">IF(AND(Assumptions!$H$71="Yes",A146&gt;=Assumptions!$H$72,A146&lt;=Assumptions!$H$73),0,IF(AND($A146&gt;=Assumptions!$C$17,$A146&lt;=Assumptions!$C$18),MAX(AZ146*(1+VLOOKUP($C146,WeatherCapacityAdjustment,2))-FL146,0),0))</f>
        <v>#VALUE!</v>
      </c>
      <c r="FU146" s="1551" t="e">
        <f aca="false">IF(AND(Assumptions!$H$71="Yes",A146&gt;=Assumptions!$H$72,A146&lt;=Assumptions!$H$73),0,IF(AND($A146&gt;=Assumptions!$C$17,$A146&lt;=Assumptions!$C$18),MAX(BA146*(1+VLOOKUP($C146,WeatherCapacityAdjustment,2))-FM146,0),0))</f>
        <v>#VALUE!</v>
      </c>
      <c r="FV146" s="1551" t="e">
        <f aca="false">IF(AND(Assumptions!$H$71="Yes",A146&gt;=Assumptions!$H$72,A146&lt;=Assumptions!$H$73),0,IF(AND($A146&gt;=Assumptions!$C$17,$A146&lt;=Assumptions!$C$18),MAX(BB146*(1+VLOOKUP($C146,WeatherCapacityAdjustment,2))-FN146,0),0))</f>
        <v>#VALUE!</v>
      </c>
      <c r="FW146" s="1564" t="e">
        <f aca="false">IF(AND(Assumptions!$H$71="Yes",A146&gt;=Assumptions!$H$72,A146&lt;=Assumptions!$H$73),0,IF(AND($A146&gt;=Assumptions!$C$17,$A146&lt;=Assumptions!$C$18),MAX(BC146*(1+VLOOKUP($C146,WeatherCapacityAdjustment,3))-FO146,0),0))</f>
        <v>#VALUE!</v>
      </c>
      <c r="FX146" s="1569" t="e">
        <f aca="false">IF(AND(Assumptions!$H$71="Yes",A146&gt;=Assumptions!$H$72,A146&lt;=Assumptions!$H$73),0,IF(ET146&gt;0,MAX(BH146*(1+VLOOKUP($C146,WeatherCapacityAdjustment,2))-FP146,0),0))</f>
        <v>#VALUE!</v>
      </c>
      <c r="FY146" s="1551" t="e">
        <f aca="false">IF(AND(Assumptions!$H$71="Yes",A146&gt;=Assumptions!$H$72,A146&lt;=Assumptions!$H$73),0,IF(EU146&gt;0,MAX(BI146*(1+VLOOKUP($C146,WeatherCapacityAdjustment,3))-FQ146,0),0))</f>
        <v>#VALUE!</v>
      </c>
      <c r="FZ146" s="1551" t="e">
        <f aca="false">IF(AND(Assumptions!$H$71="Yes",A146&gt;=Assumptions!$H$72,A146&lt;=Assumptions!$H$73),0,IF(EV146&gt;0,MAX(BJ146*(1+VLOOKUP($C146,WeatherCapacityAdjustment,2))-FR146,0),0))</f>
        <v>#VALUE!</v>
      </c>
      <c r="GA146" s="1564" t="e">
        <f aca="false">IF(AND(Assumptions!$H$71="Yes",A146&gt;=Assumptions!$H$72,A146&lt;=Assumptions!$H$73),0,IF(EW146&gt;0,MAX(BK146*(1+VLOOKUP($C146,WeatherCapacityAdjustment,2))-FS146,0),0))</f>
        <v>#VALUE!</v>
      </c>
      <c r="GB146" s="1551" t="e">
        <f aca="false">SUM(FT146:GA146)</f>
        <v>#VALUE!</v>
      </c>
      <c r="GC146" s="1563" t="e">
        <f aca="false">+IF(SUM(FT146:GA146)=0,0,(SUMPRODUCT(BU146:BX146,FT146:FW146)+SUMPRODUCT(CA146:CD146,FX146:GA146))/SUM(FT146:GA146))</f>
        <v>#VALUE!</v>
      </c>
      <c r="GD146" s="1551" t="e">
        <f aca="false">(FT146*BU146+FX146*CA146+FU146*BV146+FY146*CB146+FV146*BW146+FZ146*CC146+FW146*BX146+GA146*CD146)</f>
        <v>#VALUE!</v>
      </c>
      <c r="GE146" s="1561" t="e">
        <f aca="false">+IF(BQ146,((FL146+FM146+FT146+FU146)*HeatRatePeak/1000*(1+VLOOKUP($C146,WeatherHeatRateAdjustment,2))+(FN146+FV146)*IF(EV146&gt;0,HeatRatePeak,HeatRateOffPeak)/1000*(1+VLOOKUP($C146,WeatherHeatRateAdjustment,2))+(FO146+FW146)*IF(EW146&gt;0,HeatRatePeak,HeatRateOffPeak)/1000*(1+VLOOKUP($C146,WeatherHeatRateAdjustment,3)))*(1+VLOOKUP($B146,HeatRateDegradation,$C146+1)),0)</f>
        <v>#VALUE!</v>
      </c>
      <c r="GF146" s="1562" t="e">
        <f aca="false">IF(BQ146,((FP146+FQ146+FR146+FX146+FY146+FZ146)*HeatRatePeak/1000*(1+VLOOKUP($C146,WeatherHeatRateAdjustment,2))+(FS146+GA146)*HeatRatePeak/1000*(1+VLOOKUP($C146,WeatherHeatRateAdjustment,3)))*(1+VLOOKUP($B146,HeatRateDegradation,$C146+1)),0)</f>
        <v>#VALUE!</v>
      </c>
      <c r="GG146" s="1563" t="e">
        <f aca="false">IF(BQ146,VLOOKUP(A146,GasTable,13),0)</f>
        <v>#VALUE!</v>
      </c>
      <c r="GH146" s="1564" t="e">
        <f aca="false">(GE146+GF146)*GG146</f>
        <v>#VALUE!</v>
      </c>
      <c r="GI146" s="1569" t="e">
        <f aca="false">GB146</f>
        <v>#VALUE!</v>
      </c>
      <c r="GJ146" s="1598" t="e">
        <f aca="false">+DA146</f>
        <v>#VALUE!</v>
      </c>
      <c r="GK146" s="1558" t="e">
        <f aca="false">+GI146*GJ146</f>
        <v>#VALUE!</v>
      </c>
      <c r="GL146" s="1566" t="e">
        <f aca="false">MAX(FE146-FL146-FP146,0)</f>
        <v>#VALUE!</v>
      </c>
      <c r="GM146" s="1551" t="e">
        <f aca="false">MAX(FF146-FM146-FQ146,0)</f>
        <v>#VALUE!</v>
      </c>
      <c r="GN146" s="1551" t="e">
        <f aca="false">MAX(FG146-FN146-FR146,0)</f>
        <v>#VALUE!</v>
      </c>
      <c r="GO146" s="1564" t="e">
        <f aca="false">MAX(FH146-FO146-FS146,0)</f>
        <v>#VALUE!</v>
      </c>
      <c r="GP146" s="1551" t="e">
        <f aca="false">SUM(GL146:GO146)</f>
        <v>#VALUE!</v>
      </c>
      <c r="GQ146" s="1563" t="e">
        <f aca="false">IF(SUM(GL146:GO146)=0,0,((GL146*BU146+GM146*BV146+GN146*BW146+GO146*BX146)/SUM(GL146:GO146)))</f>
        <v>#VALUE!</v>
      </c>
      <c r="GR146" s="1558" t="e">
        <f aca="false">(GL146*BU146+GM146*BV146+GN146*BW146+GO146*BX146)</f>
        <v>#VALUE!</v>
      </c>
      <c r="GS146" s="1566" t="n">
        <f aca="false">IF($A146&gt;=BegDate,Assumptions!$C$56*24*($A147-$A146)*(1-VLOOKUP($B146,MAIN!$AA$7:$AM$28,$C146+1))*(1-VLOOKUP($B146,MAIN!$AA$33:$AM$54,$C146+1)),0)*80/168</f>
        <v>232800</v>
      </c>
      <c r="GT146" s="286" t="n">
        <f aca="false">J146</f>
        <v>46.0287221973233</v>
      </c>
      <c r="GU146" s="286" t="n">
        <f aca="false">IF($A146&gt;=BegDate,VLOOKUP($A146,GasTable,13)+Assumptions!$C$58,0)</f>
        <v>3.06460326896388</v>
      </c>
      <c r="GV146" s="286" t="n">
        <f aca="false">GU146*Assumptions!$C$57/1000</f>
        <v>22.2183736999881</v>
      </c>
      <c r="GW146" s="1558" t="n">
        <f aca="false">IF(Assumptions!$C$60="Hourly",MAX(0,GS146*(GT146-GV146)),GS146*(GT146-GV146))</f>
        <v>5543049.13017963</v>
      </c>
      <c r="GX146" s="1566" t="n">
        <f aca="false">IF($A146&gt;=BegDate,Assumptions!$C$56*24*($A147-$A146)*(1-VLOOKUP($B146,MAIN!$AA$7:$AM$28,$C146+1))*(1-VLOOKUP($B146,MAIN!$AA$33:$AM$54,$C146+1)),0)*16/168</f>
        <v>46560</v>
      </c>
      <c r="GY146" s="286" t="n">
        <f aca="false">M146</f>
        <v>46.0287221973233</v>
      </c>
      <c r="GZ146" s="286" t="n">
        <f aca="false">IF($A146&gt;=BegDate,VLOOKUP($A146,GasTable,13)+Assumptions!$C$58,0)</f>
        <v>3.06460326896388</v>
      </c>
      <c r="HA146" s="286" t="n">
        <f aca="false">GZ146*Assumptions!$C$57/1000</f>
        <v>22.2183736999881</v>
      </c>
      <c r="HB146" s="1558" t="n">
        <f aca="false">IF(Assumptions!$C$60="Hourly",MAX(0,GX146*(GY146-HA146)),GX146*(GY146-HA146))</f>
        <v>1108609.82603593</v>
      </c>
      <c r="HC146" s="1566" t="n">
        <f aca="false">IF($A146&gt;=BegDate,Assumptions!$C$56*24*($A147-$A146)*(1-VLOOKUP($B146,MAIN!$AA$7:$AM$28,$C146+1))*(1-VLOOKUP($B146,MAIN!$AA$33:$AM$54,$C146+1)),0)*16/168</f>
        <v>46560</v>
      </c>
      <c r="HD146" s="286" t="n">
        <f aca="false">P146</f>
        <v>28.0536328331543</v>
      </c>
      <c r="HE146" s="286" t="n">
        <f aca="false">IF($A146&gt;=BegDate,VLOOKUP($A146,GasTable,13)+Assumptions!$C$58,0)</f>
        <v>3.06460326896388</v>
      </c>
      <c r="HF146" s="286" t="n">
        <f aca="false">HE146*Assumptions!$C$57/1000</f>
        <v>22.2183736999881</v>
      </c>
      <c r="HG146" s="1558" t="n">
        <f aca="false">IF(Assumptions!$C$60="Hourly",MAX(0,HC146*(HD146-HF146)),HC146*(HD146-HF146))</f>
        <v>271689.665240219</v>
      </c>
      <c r="HH146" s="1566" t="n">
        <f aca="false">IF($A146&gt;=BegDate,Assumptions!$C$56*24*($A147-$A146)*(1-VLOOKUP($B146,MAIN!$AA$7:$AM$28,$C146+1))*(1-VLOOKUP($B146,MAIN!$AA$33:$AM$54,$C146+1)),0)*56/168</f>
        <v>162960</v>
      </c>
      <c r="HI146" s="286" t="n">
        <f aca="false">S146</f>
        <v>28.0536328331543</v>
      </c>
      <c r="HJ146" s="286" t="n">
        <f aca="false">IF($A146&gt;=BegDate,VLOOKUP($A146,GasTable,13)+Assumptions!$C$58,0)</f>
        <v>3.06460326896388</v>
      </c>
      <c r="HK146" s="286" t="n">
        <f aca="false">HJ146*Assumptions!$C$57/1000</f>
        <v>22.2183736999881</v>
      </c>
      <c r="HL146" s="1558" t="n">
        <f aca="false">IF(Assumptions!$C$60="Hourly",MAX(0,HH146*(HI146-HK146)),HH146*(HI146-HK146))</f>
        <v>950913.828340766</v>
      </c>
      <c r="HM146" s="1566" t="n">
        <f aca="false">IF(AND(Assumptions!$H$71="Yes",A146&gt;=Assumptions!$H$72,A146&lt;=Assumptions!$H$73),Assumptions!$H$74*Assumptions!$C$9*1000,0)</f>
        <v>0</v>
      </c>
      <c r="HN146" s="1551"/>
      <c r="HO146" s="1563"/>
      <c r="HP146" s="1563"/>
      <c r="HQ146" s="1563"/>
      <c r="HR146" s="1563"/>
      <c r="HS146" s="1563"/>
      <c r="HT146" s="1563"/>
      <c r="HU146" s="1563"/>
      <c r="HV146" s="1563"/>
      <c r="HW146" s="1563"/>
      <c r="HX146" s="1563"/>
      <c r="HY146" s="1563"/>
      <c r="HZ146" s="1563"/>
      <c r="IA146" s="1563"/>
      <c r="IB146" s="1563"/>
      <c r="IC146" s="1563"/>
      <c r="ID146" s="1563"/>
      <c r="IE146" s="1563"/>
      <c r="IF146" s="1563"/>
      <c r="IG146" s="1563"/>
      <c r="IH146" s="1563"/>
      <c r="II146" s="1610"/>
      <c r="IJ146" s="1309"/>
      <c r="IK146" s="1309"/>
    </row>
    <row r="147" customFormat="false" ht="12.75" hidden="false" customHeight="false" outlineLevel="0" collapsed="false">
      <c r="A147" s="1571" t="n">
        <f aca="false">EOMONTH(A146,0)+1</f>
        <v>40603</v>
      </c>
      <c r="B147" s="594" t="n">
        <f aca="false">+YEAR(A147)</f>
        <v>2011</v>
      </c>
      <c r="C147" s="238" t="n">
        <f aca="false">MONTH(A147)</f>
        <v>3</v>
      </c>
      <c r="D147" s="1572" t="e">
        <f aca="false">IF(E147="","",Holiday(B147,C147))</f>
        <v>#VALUE!</v>
      </c>
      <c r="E147" s="1573" t="n">
        <f aca="false">IF(OR(BegDate&gt;=A148,EndDate&lt;A147,AND(VolumeMonthlyOverFlag,INDEX(VolumeMonthlyOver,C147)=0),NOT(INDEX(MonthKnockOutTable,C147))),"",MAX(A147,BegDate))</f>
        <v>40603</v>
      </c>
      <c r="F147" s="1574" t="n">
        <f aca="false">IF(E147="","",MIN(A148-1,EndDate))</f>
        <v>40633</v>
      </c>
      <c r="G147" s="1575" t="n">
        <v>0</v>
      </c>
      <c r="H147" s="1576" t="n">
        <f aca="false">(1+G147/2)^(-2*(DATE(B148,C148,20)-DateToday)/365.25)</f>
        <v>1</v>
      </c>
      <c r="I147" s="1568" t="n">
        <f aca="false">IF(Assumptions!$L$25=4,VLOOKUP($A147,'Henwood Reference'!$E$9:$R$320,10),(VLOOKUP($A147,PriceTable,2,0)+IF(BasisNumber&lt;&gt;1,VLOOKUP($A147,BasisTable,2,0),0)+I$1)/(1-I$2))</f>
        <v>39.6255931839525</v>
      </c>
      <c r="J147" s="1568" t="n">
        <f aca="false">IF(Assumptions!$L$25=4,VLOOKUP($A147,'Henwood Reference'!$E$9:$R$320,10),(VLOOKUP($A147,PriceTable,3,0)+IF(BasisNumber&lt;&gt;1,VLOOKUP($A147,BasisTable,2,0),0)+J$1)/(1-J$2))</f>
        <v>39.6255931839525</v>
      </c>
      <c r="K147" s="1568" t="n">
        <f aca="false">IF(Assumptions!$L$25=4,VLOOKUP($A147,'Henwood Reference'!$E$9:$R$320,10),(VLOOKUP($A147,PriceTable,4,0)+IF(BasisNumber&lt;&gt;1,VLOOKUP($A147,BasisTable,2,0),0)+K$1)/(1-K$2))</f>
        <v>39.6255931839525</v>
      </c>
      <c r="L147" s="1523" t="n">
        <f aca="false">IF(Assumptions!$L$25=4,VLOOKUP($A147,'Henwood Reference'!$E$9:$R$320,10),(VLOOKUP($A147,PriceTableWeekend,2,0)+IF(BasisNumber&lt;&gt;1,VLOOKUP($A147,BasisTable,2,0),0)+L$1)/(1-L$2))</f>
        <v>39.6255931839525</v>
      </c>
      <c r="M147" s="1568" t="n">
        <f aca="false">IF(Assumptions!$L$25=4,VLOOKUP($A147,'Henwood Reference'!$E$9:$R$320,10),(VLOOKUP($A147,PriceTableWeekend,3,0)+IF(BasisNumber&lt;&gt;1,VLOOKUP($A147,BasisTable,2,0),0)+M$1)/(1-M$2))</f>
        <v>39.6255931839525</v>
      </c>
      <c r="N147" s="1599" t="n">
        <f aca="false">IF(Assumptions!$L$25=4,VLOOKUP($A147,'Henwood Reference'!$E$9:$R$320,10),(VLOOKUP($A147,PriceTableWeekend,4,0)+IF(BasisNumber&lt;&gt;1,VLOOKUP($A147,BasisTable,2,0),0)+N$1)/(1-N$2))</f>
        <v>39.6255931839525</v>
      </c>
      <c r="O147" s="1568" t="n">
        <f aca="false">IF(Assumptions!$L$25=4,VLOOKUP($A147,'Henwood Reference'!$E$9:$R$320,11),(VLOOKUP($A147,PriceTableWeekend,6,0)+IF(BasisNumber&lt;&gt;1,VLOOKUP($A147,BasisTable,3,0),0)+O$1)/(1-O$2))</f>
        <v>24.3611841495148</v>
      </c>
      <c r="P147" s="1568" t="n">
        <f aca="false">IF(Assumptions!$L$25=4,VLOOKUP($A147,'Henwood Reference'!$E$9:$R$320,11),(VLOOKUP($A147,PriceTableWeekend,7,0)+IF(BasisNumber&lt;&gt;1,VLOOKUP($A147,BasisTable,3,0),0)+P$1)/(1-P$2))</f>
        <v>24.3611841495148</v>
      </c>
      <c r="Q147" s="1599" t="n">
        <f aca="false">IF(Assumptions!$L$25=4,VLOOKUP($A147,'Henwood Reference'!$E$9:$R$320,11),(VLOOKUP($A147,PriceTableWeekend,8,0)+IF(BasisNumber&lt;&gt;1,VLOOKUP($A147,BasisTable,3,0),0)+Q$1)/(1-Q$2))</f>
        <v>24.3611841495148</v>
      </c>
      <c r="R147" s="1568" t="n">
        <f aca="false">IF(Assumptions!$L$25=4,VLOOKUP($A147,'Henwood Reference'!$E$9:$R$320,11),(VLOOKUP($A147,PriceTable,6,0)+IF(BasisNumber&lt;&gt;1,VLOOKUP($A147,BasisTable,3,0),0)+R$1)/(1-R$2))</f>
        <v>24.3611841495148</v>
      </c>
      <c r="S147" s="1568" t="n">
        <f aca="false">IF(Assumptions!$L$25=4,VLOOKUP($A147,'Henwood Reference'!$E$9:$R$320,11),(VLOOKUP($A147,PriceTable,7,0)+IF(BasisNumber&lt;&gt;1,VLOOKUP($A147,BasisTable,3,0),0)+S$1)/(1-S$2))</f>
        <v>24.3611841495148</v>
      </c>
      <c r="T147" s="1600" t="n">
        <f aca="false">IF(Assumptions!$L$25=4,VLOOKUP($A147,'Henwood Reference'!$E$9:$R$320,11),(VLOOKUP($A147,PriceTable,8,0)+IF(BasisNumber&lt;&gt;1,VLOOKUP($A147,BasisTable,3,0),0)+T$1)/(1-T$2))</f>
        <v>24.3611841495148</v>
      </c>
      <c r="U147" s="1513" t="n">
        <f aca="false">VLOOKUP($A147,VolatilityTable,14)</f>
        <v>0.115</v>
      </c>
      <c r="V147" s="1513" t="n">
        <f aca="false">VLOOKUP($A147,VolatilityTable,15)</f>
        <v>0.125</v>
      </c>
      <c r="W147" s="1514" t="n">
        <f aca="false">VLOOKUP($A147,VolatilityTable,16)</f>
        <v>0.135</v>
      </c>
      <c r="X147" s="1513" t="n">
        <f aca="false">VLOOKUP($A147,VolatilityTable,14)</f>
        <v>0.115</v>
      </c>
      <c r="Y147" s="1513" t="n">
        <f aca="false">VLOOKUP($A147,VolatilityTable,15)</f>
        <v>0.125</v>
      </c>
      <c r="Z147" s="1514" t="n">
        <f aca="false">VLOOKUP($A147,VolatilityTable,16)</f>
        <v>0.135</v>
      </c>
      <c r="AA147" s="1513" t="n">
        <f aca="false">VLOOKUP($A147,VolatilityTable,18)</f>
        <v>0.09</v>
      </c>
      <c r="AB147" s="1513" t="n">
        <f aca="false">VLOOKUP($A147,VolatilityTable,19)</f>
        <v>0.11</v>
      </c>
      <c r="AC147" s="1514" t="n">
        <f aca="false">VLOOKUP($A147,VolatilityTable,20)</f>
        <v>0.13</v>
      </c>
      <c r="AD147" s="1513" t="n">
        <f aca="false">VLOOKUP($A147,VolatilityTable,18)</f>
        <v>0.09</v>
      </c>
      <c r="AE147" s="1513" t="n">
        <f aca="false">VLOOKUP($A147,VolatilityTable,19)</f>
        <v>0.11</v>
      </c>
      <c r="AF147" s="1514" t="n">
        <f aca="false">VLOOKUP($A147,VolatilityTable,20)</f>
        <v>0.13</v>
      </c>
      <c r="AG147" s="1513" t="n">
        <f aca="false">VLOOKUP($A147,VolatilityTable,22)</f>
        <v>-0.1</v>
      </c>
      <c r="AH147" s="1513" t="n">
        <f aca="false">VLOOKUP($A147,VolatilityTable,23)</f>
        <v>0.65</v>
      </c>
      <c r="AI147" s="1514" t="n">
        <f aca="false">VLOOKUP($A147,VolatilityTable,24)</f>
        <v>0.1</v>
      </c>
      <c r="AJ147" s="1513" t="n">
        <f aca="false">VLOOKUP($A147,VolatilityTable,22)</f>
        <v>-0.1</v>
      </c>
      <c r="AK147" s="1513" t="n">
        <f aca="false">VLOOKUP($A147,VolatilityTable,23)</f>
        <v>0.65</v>
      </c>
      <c r="AL147" s="1514" t="n">
        <f aca="false">VLOOKUP($A147,VolatilityTable,24)</f>
        <v>0.1</v>
      </c>
      <c r="AM147" s="1513" t="n">
        <f aca="false">VLOOKUP($A147,VolatilityTable,26)</f>
        <v>-0.01</v>
      </c>
      <c r="AN147" s="1513" t="n">
        <f aca="false">VLOOKUP($A147,VolatilityTable,27)</f>
        <v>0.16</v>
      </c>
      <c r="AO147" s="1514" t="n">
        <f aca="false">VLOOKUP($A147,VolatilityTable,28)</f>
        <v>0.01</v>
      </c>
      <c r="AP147" s="1513" t="n">
        <f aca="false">VLOOKUP($A147,VolatilityTable,26)</f>
        <v>-0.01</v>
      </c>
      <c r="AQ147" s="1513" t="n">
        <f aca="false">VLOOKUP($A147,VolatilityTable,27)</f>
        <v>0.16</v>
      </c>
      <c r="AR147" s="1515" t="n">
        <f aca="false">VLOOKUP($A147,VolatilityTable,28)</f>
        <v>0.01</v>
      </c>
      <c r="AS147" s="1581" t="n">
        <f aca="false">IF(CorrPeakOffPeakOverFlag,INDEX(CorrPeakOffPeakOver,C147),CorrPeakOffPeak)</f>
        <v>0.5</v>
      </c>
      <c r="AT147" s="594" t="e">
        <f aca="false">AX147-SUM(AU147:AW147)</f>
        <v>#VALUE!</v>
      </c>
      <c r="AU147" s="238" t="e">
        <f aca="false">IF(E147="",0,INT((F147-MOD(F147,7)-E147)/7)+1-IF(AW147,IF(WEEKDAY(D147)=7,1,0),0))</f>
        <v>#VALUE!</v>
      </c>
      <c r="AV147" s="238" t="e">
        <f aca="false">IF(E147="",0,INT((F147-MOD(F147-1,7)-E147)/7)+1-IF(AW147,IF(WEEKDAY(D147)=1,1,0),0))</f>
        <v>#VALUE!</v>
      </c>
      <c r="AW147" s="238" t="e">
        <f aca="false">IF(OR(E147="",D147="",D147&lt;BegDate,D147&gt;EndDate),0,1)</f>
        <v>#VALUE!</v>
      </c>
      <c r="AX147" s="238" t="n">
        <f aca="false">IF(E147="",0,F147-E147+1)</f>
        <v>31</v>
      </c>
      <c r="AY147" s="1582" t="n">
        <f aca="false">IF(E147="",0,MIN((1-(1-VLOOKUP(B147,MAIN!$AA$7:$AM$28,C147+1))*(1-VLOOKUP(B147,MAIN!$AA$33:$AM$54,C147+1))),1))</f>
        <v>0.03</v>
      </c>
      <c r="AZ147" s="1519" t="e">
        <v>#VALUE!</v>
      </c>
      <c r="BA147" s="1520" t="e">
        <v>#VALUE!</v>
      </c>
      <c r="BB147" s="1520" t="e">
        <v>#VALUE!</v>
      </c>
      <c r="BC147" s="1583" t="e">
        <v>#VALUE!</v>
      </c>
      <c r="BD147" s="1522" t="e">
        <v>#VALUE!</v>
      </c>
      <c r="BE147" s="1523" t="e">
        <v>#VALUE!</v>
      </c>
      <c r="BF147" s="1523" t="e">
        <v>#VALUE!</v>
      </c>
      <c r="BG147" s="1584" t="e">
        <v>#VALUE!</v>
      </c>
      <c r="BH147" s="1525" t="e">
        <v>#VALUE!</v>
      </c>
      <c r="BI147" s="1520" t="e">
        <v>#VALUE!</v>
      </c>
      <c r="BJ147" s="1520" t="e">
        <v>#VALUE!</v>
      </c>
      <c r="BK147" s="1583" t="e">
        <v>#VALUE!</v>
      </c>
      <c r="BL147" s="1522" t="e">
        <v>#VALUE!</v>
      </c>
      <c r="BM147" s="1523" t="e">
        <v>#VALUE!</v>
      </c>
      <c r="BN147" s="1523" t="e">
        <v>#VALUE!</v>
      </c>
      <c r="BO147" s="1523" t="e">
        <v>#VALUE!</v>
      </c>
      <c r="BP147" s="1525" t="e">
        <f aca="false">SUM(AZ147:BB147)</f>
        <v>#VALUE!</v>
      </c>
      <c r="BQ147" s="1529" t="e">
        <f aca="false">SUM(AZ147:BC147)</f>
        <v>#VALUE!</v>
      </c>
      <c r="BR147" s="1519" t="e">
        <f aca="false">SUM(BH147:BJ147)</f>
        <v>#VALUE!</v>
      </c>
      <c r="BS147" s="1529" t="e">
        <f aca="false">SUM(BH147:BK147)</f>
        <v>#VALUE!</v>
      </c>
      <c r="BT147" s="1316" t="n">
        <f aca="false">(IF(OVolType&lt;&gt;2,A147+14,IF(OptExpDateShift,ShiftBack(A147,OptExpDateShift,D146),A147))-DateToday)/365.25</f>
        <v>10.8774811772758</v>
      </c>
      <c r="BU147" s="1585" t="e">
        <f aca="false">IF(BQ147,IF(OPriceCurve,IF(OBuySell=OCallPut,I147/(1-AY147),K147/(1-AY147)),J147/(1-AY147))*BD147,0)</f>
        <v>#VALUE!</v>
      </c>
      <c r="BV147" s="1316" t="e">
        <f aca="false">IF(BQ147,IF(OPriceCurve,IF(OBuySell=OCallPut,L147/(1-AY147),N147/(1-AY147)),M147/(1-AY147))*BE147,0)</f>
        <v>#VALUE!</v>
      </c>
      <c r="BW147" s="1316" t="e">
        <f aca="false">IF(BQ147,IF(OPriceCurve,IF(OBuySell=OCallPut,O147/(1-AY147),Q147/(1-AY147)),P147/(1-AY147))*BF147,0)</f>
        <v>#VALUE!</v>
      </c>
      <c r="BX147" s="1316" t="e">
        <f aca="false">IF(BQ147,IF(OPriceCurve,IF(OBuySell=OCallPut,R147/(1-AY147),T147/(1-AY147)),S147/(1-AY147))*BG147,0)</f>
        <v>#VALUE!</v>
      </c>
      <c r="BY147" s="1316" t="e">
        <f aca="false">IF(BP147,(BU147*AZ147+BV147*BA147+BW147*BB147)/BP147,0)</f>
        <v>#VALUE!</v>
      </c>
      <c r="BZ147" s="1316" t="e">
        <f aca="false">IF(BQ147,(BY147*BP147+BX147*BC147)/BQ147,0)</f>
        <v>#VALUE!</v>
      </c>
      <c r="CA147" s="1531" t="e">
        <f aca="false">IF(BS147,IF(OPriceCurve,IF(OBuySell=OCallPut,I147/(1-AY147),K147/(1-AY147)),J147/(1-AY147))*BL147,0)</f>
        <v>#VALUE!</v>
      </c>
      <c r="CB147" s="1316" t="e">
        <f aca="false">IF(BS147,IF(OPriceCurve,IF(OBuySell=OCallPut,L147/(1-AY147),N147/(1-AY147)),M147/(1-AY147))*BM147,0)</f>
        <v>#VALUE!</v>
      </c>
      <c r="CC147" s="1316" t="e">
        <f aca="false">IF(BS147,IF(OPriceCurve,IF(OBuySell=OCallPut,O147/(1-AY147),Q147/(1-AY147)),P147/(1-AY147))*BN147,0)</f>
        <v>#VALUE!</v>
      </c>
      <c r="CD147" s="1316" t="e">
        <f aca="false">IF(BS147,IF(OPriceCurve,IF(OBuySell=OCallPut,R147/(1-AY147),T147/(1-AY147)),S147/(1-AY147))*BO147,0)</f>
        <v>#VALUE!</v>
      </c>
      <c r="CE147" s="1316" t="e">
        <f aca="false">IF(BR147,(BU147*BH147+BV147*BI147+BW147*BJ147)/BR147,0)</f>
        <v>#VALUE!</v>
      </c>
      <c r="CF147" s="1532" t="e">
        <f aca="false">IF(BS147,(CE147*BR147+CD147*BK147)/BS147,0)</f>
        <v>#VALUE!</v>
      </c>
      <c r="CG147" s="1586" t="e">
        <f aca="false">IF(OR(BQ147,BS147),IF(OVolType&lt;&gt;2,SQRT(IF(OVolOverMonthlyPeak,OVolOverMonthlyPeak,IF(OVolCurve,IF(OBuySell,U147,W147),V147))^2*(1-15/365.25/BT147)+IF(OVolOverDailyPeak,OVolOverDailyPeak,IF(OVolCurve,IF(OBuySell,AG147,AI147),AH147))^2*15/365.25/BT147),IF(OVolOverMonthlyPeak,OVolOverMonthlyPeak,IF(OVolCurve,IF(OBuySell,U147,W147),V147))),"")</f>
        <v>#VALUE!</v>
      </c>
      <c r="CH147" s="1587" t="e">
        <f aca="false">IF(OR(BQ147,BS147),IF(OVolType&lt;&gt;2,SQRT(IF(OVolOverMonthlyPeak,OVolOverMonthlyPeak,IF(OVolCurve,IF(OBuySell,X147,Z147),Y147))^2*(1-15/365.25/BT147)+IF(OVolOverDailyPeak,OVolOverDailyPeak,IF(OVolCurve,IF(OBuySell,AJ147,AL147),AK147))^2*15/365.25/BT147),IF(OVolOverMonthlyPeak,OVolOverMonthlyPeak,IF(OVolCurve,IF(OBuySell,X147,Z147),Y147))),"")</f>
        <v>#VALUE!</v>
      </c>
      <c r="CI147" s="1587" t="e">
        <f aca="false">IF(OR(BQ147,BS147),IF(OVolType&lt;&gt;2,SQRT(IF(OVolOverMonthlyPeak,OVolOverMonthlyPeak,IF(OVolCurve,IF(OBuySell,AA147,AC147),AB147))^2*(1-15/365.25/BT147)+IF(OVolOverDailyPeak,OVolOverDailyPeak,IF(OVolCurve,IF(OBuySell,AM147,AO147),AN147))^2*15/365.25/BT147),IF(OVolOverMonthlyPeak,OVolOverMonthlyPeak,IF(OVolCurve,IF(OBuySell,AA147,AC147),AB147))),"")</f>
        <v>#VALUE!</v>
      </c>
      <c r="CJ147" s="1587" t="e">
        <f aca="false">IF(BQ147,IF(BP147,SQRT(LN(1+((BU147*AZ147)^2*(EXP(CG147^2*BT147)-1)+(BV147*BA147)^2*(EXP(CH147^2*BT147)-1)+(BW147*BB147)^2*(EXP(CI147^2*BT147)-1)+2*BU147*AZ147*BV147*BA147*(EXP(CG147*CH147*BT147)-1)+2*BV147*BA147*BW147*BB147*(EXP(CH147*CI147*BT147)-1)+2*BW147*BB147*BU147*AZ147*(EXP(CI147*CG147*BT147)-1))/(BY147*BP147)^2)/BT147),0),"")</f>
        <v>#VALUE!</v>
      </c>
      <c r="CK147" s="1587" t="e">
        <f aca="false">IF(BS147,IF(BR147,SQRT(LN(1+((CA147*BH147)^2*(EXP(CG147^2*BT147)-1)+(CB147*BI147)^2*(EXP(CH147^2*BT147)-1)+(CC147*BJ147)^2*(EXP(CI147^2*BT147)-1)+2*CA147*BH147*CB147*BI147*(EXP(CG147*CH147*BT147)-1)+2*CB147*BI147*CC147*BJ147*(EXP(CH147*CI147*BT147)-1)+2*CC147*BJ147*CA147*BH147*(EXP(CI147*CG147*BT147)-1))/(CE147*BR147)^2)/BT147),0),"")</f>
        <v>#VALUE!</v>
      </c>
      <c r="CL147" s="1587" t="e">
        <f aca="false">IF(OR(BQ147,BS147),IF(OVolType&lt;&gt;2,SQRT(IF(OVolOverMonthlyOffPeak,OVolOverMonthlyOffPeak,IF(OVolCurve,IF(OBuySell,AD147,AF147),AE147))^2*(1-15/365.25/BT147)+IF(OVolOverDailyOffPeak,OVolOverDailyOffPeak,IF(OVolCurve,IF(OBuySell,AP147,AR147),AQ147))^2*15/365.25/BT147),IF(OVolOverMonthlyOffPeak,OVolOverMonthlyOffPeak,IF(OVolCurve,IF(OBuySell,AD147,AF147),AE147))),"")</f>
        <v>#VALUE!</v>
      </c>
      <c r="CM147" s="1587" t="e">
        <f aca="false">IF(BQ147,SQRT(LN(1+((BY147*BP147)^2*(EXP(CJ147^2*BT147)-1)+(BX147*BC147)^2*(EXP(CL147^2*BT147)-1)+2*BY147*BP147*BX147*BC147*(EXP(AS147*CJ147*CL147*BT147)-1))/(BY147*BP147+BX147*BC147)^2)/BT147),"")</f>
        <v>#VALUE!</v>
      </c>
      <c r="CN147" s="1588" t="e">
        <f aca="false">IF(BS147,SQRT(LN(1+((CE147*BR147)^2*(EXP(CK147^2*BT147)-1)+(CD147*BK147)^2*(EXP(CL147^2*BT147)-1)+2*CE147*BR147*CD147*BK147*(EXP(AS147*CK147*CL147*BT147)-1))/(CE147*BR147+CD147*BK147)^2)/BT147),"")</f>
        <v>#VALUE!</v>
      </c>
      <c r="CO147" s="1531" t="e">
        <f aca="false">IF(OR(BQ147,BS147),VLOOKUP(A147,GasTable,13)*HeatRatePeak*(1+VLOOKUP($B147,HeatRateDegradation,$C147+1))/1000,0)</f>
        <v>#VALUE!</v>
      </c>
      <c r="CP147" s="1316" t="e">
        <f aca="false">IF(OR(BQ147,BS147),VLOOKUP(A147,GasTable,13)*HeatRatePeak*(1+VLOOKUP($B147,HeatRateDegradation,$C147+1))/1000,0)</f>
        <v>#VALUE!</v>
      </c>
      <c r="CQ147" s="1316" t="e">
        <f aca="false">IF(OR(BQ147,BS147),VLOOKUP(A147,GasTable,13)*IF(EV147,HeatRatePeak,HeatRateOffPeak)*(1+VLOOKUP($B147,HeatRateDegradation,$C147+1))/1000,0)</f>
        <v>#VALUE!</v>
      </c>
      <c r="CR147" s="1316" t="e">
        <f aca="false">IF(OR(BQ147,BS147),VLOOKUP(A147,GasTable,13)*IF(EW147,HeatRatePeak,HeatRateOffPeak)*(1+VLOOKUP($B147,HeatRateDegradation,$C147+1))/1000,0)</f>
        <v>#VALUE!</v>
      </c>
      <c r="CS147" s="1589" t="e">
        <f aca="false">IF(BQ147,(CO147*AZ147+CP147*BA147+CQ147*BB147+CR147*BC147)/BQ147,0)</f>
        <v>#VALUE!</v>
      </c>
      <c r="CT147" s="1316" t="e">
        <f aca="false">IF(BS147,CO147,0)</f>
        <v>#VALUE!</v>
      </c>
      <c r="CU147" s="1590" t="e">
        <f aca="false">IF(OR(BQ147,BS147),VLOOKUP(A147,GasTable,14),"")</f>
        <v>#VALUE!</v>
      </c>
      <c r="CV147" s="1568" t="e">
        <f aca="false">IF(OR(BQ147,BS147),IF(CorrPowerGasOverFlag,INDEX(CorrPowerGasOver,C147),CorrPowerGas),"")</f>
        <v>#VALUE!</v>
      </c>
      <c r="CW147" s="1316" t="e">
        <f aca="false">IF(OR($BQ147,$BS147),SpreadOptPowerMargin,0)*((1+Assumptions!$C$26)^($B147-YEAR(Assumptions!$C$17)))</f>
        <v>#VALUE!</v>
      </c>
      <c r="CX147" s="1316" t="e">
        <f aca="false">IF(OR($BQ147,$BS147),SpreadOptPowerMargin,0)*((1+Assumptions!$C$26)^($B147-YEAR(Assumptions!$C$17)))</f>
        <v>#VALUE!</v>
      </c>
      <c r="CY147" s="1316" t="e">
        <f aca="false">IF(OR($BQ147,$BS147),SpreadOptPowerMargin,0)*((1+Assumptions!$C$26)^($B147-YEAR(Assumptions!$C$17)))</f>
        <v>#VALUE!</v>
      </c>
      <c r="CZ147" s="1316" t="e">
        <f aca="false">IF(OR($BQ147,$BS147),SpreadOptPowerMargin,0)*((1+Assumptions!$C$26)^($B147-YEAR(Assumptions!$C$17)))</f>
        <v>#VALUE!</v>
      </c>
      <c r="DA147" s="1591" t="e">
        <f aca="false">IF(OR(BQ147,BS147),(CW147*(AZ147+BH147)+CX147*(BA147+BI147)+CY147*(BB147+BJ147)+CZ147*(BC147+BK147))/(BQ147+BS147),0)</f>
        <v>#VALUE!</v>
      </c>
      <c r="DB147" s="1592" t="e">
        <f aca="false">IF(OR(BQ147,BS147),CG147+IF(OVolSmile,VLOOKUP(MAX(-5,CO147+CW147-BU147),IF(OVolSmile=1,VolSmileBook,VolSmileModel),2),0),"")</f>
        <v>#VALUE!</v>
      </c>
      <c r="DC147" s="1592" t="e">
        <f aca="false">IF(OR(BQ147,BS147),CH147+IF(OVolSmile,VLOOKUP(MAX(-5,CP147+CW147-BV147),IF(OVolSmile=1,VolSmileBook,VolSmileModel),2),0),"")</f>
        <v>#VALUE!</v>
      </c>
      <c r="DD147" s="1592" t="e">
        <f aca="false">IF(OR(BQ147,BS147),CI147+IF(OVolSmile,VLOOKUP(MAX(-5,CQ147+CW147-BW147),IF(OVolSmile=1,VolSmileBook,VolSmileModel),2),0),"")</f>
        <v>#VALUE!</v>
      </c>
      <c r="DE147" s="1592" t="e">
        <f aca="false">IF(OR(BQ147,BS147),CL147+IF(OVolSmile,VLOOKUP(MAX(-5,CR147+CZ147-BX147),IF(OVolSmile=1,VolSmileBook,VolSmileModel),2),0),"")</f>
        <v>#VALUE!</v>
      </c>
      <c r="DF147" s="1592" t="e">
        <f aca="false">IF(BQ147,CM147+IF(OVolSmile,VLOOKUP(MAX(-5,CS147+DA147-BZ147),IF(OVolSmile=1,VolSmileBook,VolSmileModel),2),0),"")</f>
        <v>#VALUE!</v>
      </c>
      <c r="DG147" s="1593" t="e">
        <f aca="false">IF(BS147,CN147+IF(OVolSmile,VLOOKUP(MAX(-5,CT147+DA147-CF147),IF(OVolSmile=1,VolSmileBook,VolSmileModel),2),0),"")</f>
        <v>#VALUE!</v>
      </c>
      <c r="DH147" s="1316" t="e">
        <f aca="false">IF(AND(BU147&gt;0,CO147&gt;0,DB147&gt;0,CU147&gt;0),newSPRDOPT(BU147,CO147,CW147,0,DB147,CU147,CV147,BT147*365.25,OCallPut,0),0)</f>
        <v>#VALUE!</v>
      </c>
      <c r="DI147" s="1316" t="e">
        <f aca="false">IF(AND(BV147&gt;0,CP147&gt;0,DC147&gt;0,CU147&gt;0),newSPRDOPT(BV147,CP147,CX147,0,DC147,CU147,CV147,BT147*365.25,OCallPut,0),0)</f>
        <v>#VALUE!</v>
      </c>
      <c r="DJ147" s="1316" t="e">
        <f aca="false">IF(AND(BW147&gt;0,CQ147&gt;0,DD147&gt;0,CU147&gt;0),newSPRDOPT(BW147,CQ147,CY147,0,DD147,CU147,CV147,BT147*365.25,OCallPut,0),0)</f>
        <v>#VALUE!</v>
      </c>
      <c r="DK147" s="1316" t="e">
        <f aca="false">IF(AND(BX147&gt;0,CR147&gt;0,DE147&gt;0,CU147&gt;0),newSPRDOPT(BX147,CR147,CZ147,0,DE147,CU147,CV147,BT147*365.25,OCallPut,0),0)</f>
        <v>#VALUE!</v>
      </c>
      <c r="DL147" s="1316" t="e">
        <f aca="false">IF(OVolType,IF(AND(BZ147&gt;0,CS147&gt;0,DF147&gt;0,CU147&gt;0),newSPRDOPT(BZ147,CS147,DA147,0,DF147,CU147,CV147,BT147*365.25,OCallPut,0),0),IF(BQ147,(DH147*AZ147+DI147*BA147+DJ147*BB147+DK147*BC147)/BQ147,0))</f>
        <v>#VALUE!</v>
      </c>
      <c r="DM147" s="1316"/>
      <c r="DN147" s="1316"/>
      <c r="DO147" s="1316"/>
      <c r="DP147" s="1316"/>
      <c r="DQ147" s="1316"/>
      <c r="DR147" s="1316"/>
      <c r="DS147" s="1316"/>
      <c r="DT147" s="1316"/>
      <c r="DU147" s="1316"/>
      <c r="DV147" s="1316"/>
      <c r="DW147" s="1594" t="e">
        <f aca="false">IF(AND(BW147&gt;0,CT147&gt;0,DD147&gt;0,CU147&gt;0),newSPRDOPT(BW147,CT147,CY147,0,DD147,CU147,CV147,BT147*365.25,OCallPut,0),0)</f>
        <v>#VALUE!</v>
      </c>
      <c r="DX147" s="1316" t="e">
        <f aca="false">IF(AND(BX147&gt;0,CT147&gt;0,DE147&gt;0,CU147&gt;0),newSPRDOPT(BX147,CT147,CZ147,0,DE147,CU147,CV147,BT147*365.25,OCallPut,0),0)</f>
        <v>#VALUE!</v>
      </c>
      <c r="DY147" s="1591" t="e">
        <f aca="false">IF(BS147,(DH147*BH147+DI147*BI147+DW147*BJ147+DX147*BK147)/BS147,0)</f>
        <v>#VALUE!</v>
      </c>
      <c r="DZ147" s="1551" t="e">
        <f aca="false">DH147*AZ147</f>
        <v>#VALUE!</v>
      </c>
      <c r="EA147" s="1551" t="e">
        <f aca="false">DI147*BA147</f>
        <v>#VALUE!</v>
      </c>
      <c r="EB147" s="1551" t="e">
        <f aca="false">DJ147*BB147</f>
        <v>#VALUE!</v>
      </c>
      <c r="EC147" s="1551" t="e">
        <f aca="false">DK147*BC147</f>
        <v>#VALUE!</v>
      </c>
      <c r="ED147" s="1551" t="e">
        <f aca="false">DL147*BQ147</f>
        <v>#VALUE!</v>
      </c>
      <c r="EE147" s="1595" t="e">
        <f aca="false">IF(BQ147,IF(OCallPut,IF(BU147&gt;(CO147+CW147),BU147-(CO147+CW147),0),IF((CO147+CW147)&gt;BU147,(CO147+CW147)-BU147,0))*AZ147,0)</f>
        <v>#VALUE!</v>
      </c>
      <c r="EF147" s="1596" t="e">
        <f aca="false">IF(BQ147,IF(OCallPut,IF(BV147&gt;(CP147+CX147),BV147-(CP147+CX147),0),IF((CP147+CX147)&gt;BV147,(CP147+CX147)-BV147,0))*BA147,0)</f>
        <v>#VALUE!</v>
      </c>
      <c r="EG147" s="1596" t="e">
        <f aca="false">IF(BQ147,IF(OCallPut,IF(BW147&gt;(CQ147+CY147),BW147-(CQ147+CY147),0),IF((CQ147+CY147)&gt;BW147,(CQ147+CY147)-BW147,0))*BB147,0)</f>
        <v>#VALUE!</v>
      </c>
      <c r="EH147" s="1596" t="e">
        <f aca="false">IF(BQ147,IF(OCallPut,IF(BX147&gt;(CR147+CZ147),BX147-(CR147+CZ147),0),IF((CR147+CZ147)&gt;BX147,(CR147+CZ147)-BX147,0))*BC147,0)</f>
        <v>#VALUE!</v>
      </c>
      <c r="EI147" s="1597" t="e">
        <f aca="false">IF(BQ147,IF(OVolType,IF(OCallPut,IF(BZ147&gt;(CS147+DA147),BZ147-(CS147+DA147),0),IF((CS147+DA147)&gt;BZ147,(CS147+DA147)-BZ147,0))*BQ147,SUM(EE147:EH147)),0)</f>
        <v>#VALUE!</v>
      </c>
      <c r="EJ147" s="1595" t="e">
        <f aca="false">DZ147-EE147</f>
        <v>#VALUE!</v>
      </c>
      <c r="EK147" s="1596" t="e">
        <f aca="false">EA147-EF147</f>
        <v>#VALUE!</v>
      </c>
      <c r="EL147" s="1596" t="e">
        <f aca="false">EB147-EG147</f>
        <v>#VALUE!</v>
      </c>
      <c r="EM147" s="1596" t="e">
        <f aca="false">EC147-EH147</f>
        <v>#VALUE!</v>
      </c>
      <c r="EN147" s="1597" t="e">
        <f aca="false">ED147-EI147</f>
        <v>#VALUE!</v>
      </c>
      <c r="EO147" s="1551" t="e">
        <f aca="false">DH147*BH147</f>
        <v>#VALUE!</v>
      </c>
      <c r="EP147" s="1551" t="e">
        <f aca="false">DI147*BI147</f>
        <v>#VALUE!</v>
      </c>
      <c r="EQ147" s="1551" t="e">
        <f aca="false">DW147*BJ147</f>
        <v>#VALUE!</v>
      </c>
      <c r="ER147" s="1551" t="e">
        <f aca="false">DX147*BK147</f>
        <v>#VALUE!</v>
      </c>
      <c r="ES147" s="1551" t="e">
        <f aca="false">DY147*BS147</f>
        <v>#VALUE!</v>
      </c>
      <c r="ET147" s="1566" t="e">
        <f aca="false">IF(EI147,IF(OCallPut,IF(CA147&gt;(CT147+CW147),CA147-(CT147+CW147),0),IF((CT147+CW147)&gt;CA147,(CT147+CW147)-CA147,0))*BH147,0)</f>
        <v>#VALUE!</v>
      </c>
      <c r="EU147" s="1551" t="e">
        <f aca="false">IF(EI147,IF(OCallPut,IF(CB147&gt;(CT147+CX147),CB147-(CT147+CX147),0),IF((CT147+CX147)&gt;CB147,(CT147+CX147)-CB147,0))*BI147,0)</f>
        <v>#VALUE!</v>
      </c>
      <c r="EV147" s="1551" t="e">
        <f aca="false">IF(EI147,IF(OCallPut,IF(CC147&gt;(CT147+CY147),CC147-(CT147+CY147),0),IF((CT147+CY147)&gt;CC147,(CT147+CY147)-CC147,0))*BJ147,0)</f>
        <v>#VALUE!</v>
      </c>
      <c r="EW147" s="1551" t="e">
        <f aca="false">IF(EI147,IF(OCallPut,IF(CD147&gt;(CT147+CZ147),CD147-(CT147+CZ147),0),IF((CT147+CZ147)&gt;CD147,(CT147+CZ147)-CD147,0))*BK147,0)</f>
        <v>#VALUE!</v>
      </c>
      <c r="EX147" s="1558" t="e">
        <f aca="false">IF(EI147,SUM(ET147:EW147),0)</f>
        <v>#VALUE!</v>
      </c>
      <c r="EY147" s="1551" t="e">
        <f aca="false">EO147-ET147</f>
        <v>#VALUE!</v>
      </c>
      <c r="EZ147" s="1551" t="e">
        <f aca="false">EP147-EU147</f>
        <v>#VALUE!</v>
      </c>
      <c r="FA147" s="1551" t="e">
        <f aca="false">EQ147-EV147</f>
        <v>#VALUE!</v>
      </c>
      <c r="FB147" s="1551" t="e">
        <f aca="false">ER147-EW147</f>
        <v>#VALUE!</v>
      </c>
      <c r="FC147" s="1551" t="e">
        <f aca="false">ES147-EX147</f>
        <v>#VALUE!</v>
      </c>
      <c r="FD147" s="1525" t="n">
        <f aca="false">IF(AX147,IF(VLOOKUP(C147,MAIN!$L$17:$M$28,2)="Yes",VLOOKUP(CALC!B147,MAIN!$H$17:$I$20,2),0),0)</f>
        <v>0</v>
      </c>
      <c r="FE147" s="1552" t="e">
        <f aca="false">$FD147*16*AT147*(1-$AY147)</f>
        <v>#VALUE!</v>
      </c>
      <c r="FF147" s="1553" t="e">
        <f aca="false">$FD147*16*AU147*(1-$AY147)</f>
        <v>#VALUE!</v>
      </c>
      <c r="FG147" s="1553" t="e">
        <f aca="false">$FD147*16*(AV147+AW147)*(1-$AY147)</f>
        <v>#VALUE!</v>
      </c>
      <c r="FH147" s="1554" t="n">
        <f aca="false">$FD147*8*AX147*(1-$AY147)</f>
        <v>0</v>
      </c>
      <c r="FI147" s="1555" t="n">
        <f aca="false">IF(AX147,VLOOKUP(CALC!B147,MAIN!$H$17:$K$20,4),0)</f>
        <v>0</v>
      </c>
      <c r="FJ147" s="1553" t="e">
        <f aca="false">SUM(FE147:FH147)</f>
        <v>#VALUE!</v>
      </c>
      <c r="FK147" s="1556" t="e">
        <f aca="false">FI147*FJ147</f>
        <v>#VALUE!</v>
      </c>
      <c r="FL147" s="1551" t="e">
        <f aca="false">IF($EI147&gt;0,MIN(FE147,AZ147*(1+VLOOKUP($C147,WeatherCapacityAdjustment,2))),0)</f>
        <v>#VALUE!</v>
      </c>
      <c r="FM147" s="1551" t="e">
        <f aca="false">IF($EI147&gt;0,MIN(FF147,BA147*(1+VLOOKUP($C147,WeatherCapacityAdjustment,2))),0)</f>
        <v>#VALUE!</v>
      </c>
      <c r="FN147" s="1551" t="e">
        <f aca="false">IF($EI147&gt;0,MIN(FG147,BB147*(1+VLOOKUP($C147,WeatherCapacityAdjustment,2))),0)</f>
        <v>#VALUE!</v>
      </c>
      <c r="FO147" s="1564" t="e">
        <f aca="false">IF($EI147&gt;0,MIN(FH147,BC147*(1+VLOOKUP($C147,WeatherCapacityAdjustment,3))),0)</f>
        <v>#VALUE!</v>
      </c>
      <c r="FP147" s="1551" t="e">
        <f aca="false">IF(ET147&gt;0,MIN(FE147-FL147,BH147*(1+VLOOKUP($C147,WeatherCapacityAdjustment,2))),0)</f>
        <v>#VALUE!</v>
      </c>
      <c r="FQ147" s="1551" t="e">
        <f aca="false">IF(EU147&gt;0,MIN(FF147-FM147,BI147*(1+VLOOKUP($C147,WeatherCapacityAdjustment,2))),0)</f>
        <v>#VALUE!</v>
      </c>
      <c r="FR147" s="1551" t="e">
        <f aca="false">IF(EV147&gt;0,MIN(FG147-FN147,BJ147*(1+VLOOKUP($C147,WeatherCapacityAdjustment,2))),0)</f>
        <v>#VALUE!</v>
      </c>
      <c r="FS147" s="1558" t="e">
        <f aca="false">IF(EW147&gt;0,MIN(FH147-FO147,BK147*(1+VLOOKUP($C147,WeatherCapacityAdjustment,3))),0)</f>
        <v>#VALUE!</v>
      </c>
      <c r="FT147" s="1566" t="e">
        <f aca="false">IF(AND(Assumptions!$H$71="Yes",A147&gt;=Assumptions!$H$72,A147&lt;=Assumptions!$H$73),0,IF(AND($A147&gt;=Assumptions!$C$17,$A147&lt;=Assumptions!$C$18),MAX(AZ147*(1+VLOOKUP($C147,WeatherCapacityAdjustment,2))-FL147,0),0))</f>
        <v>#VALUE!</v>
      </c>
      <c r="FU147" s="1551" t="e">
        <f aca="false">IF(AND(Assumptions!$H$71="Yes",A147&gt;=Assumptions!$H$72,A147&lt;=Assumptions!$H$73),0,IF(AND($A147&gt;=Assumptions!$C$17,$A147&lt;=Assumptions!$C$18),MAX(BA147*(1+VLOOKUP($C147,WeatherCapacityAdjustment,2))-FM147,0),0))</f>
        <v>#VALUE!</v>
      </c>
      <c r="FV147" s="1551" t="e">
        <f aca="false">IF(AND(Assumptions!$H$71="Yes",A147&gt;=Assumptions!$H$72,A147&lt;=Assumptions!$H$73),0,IF(AND($A147&gt;=Assumptions!$C$17,$A147&lt;=Assumptions!$C$18),MAX(BB147*(1+VLOOKUP($C147,WeatherCapacityAdjustment,2))-FN147,0),0))</f>
        <v>#VALUE!</v>
      </c>
      <c r="FW147" s="1564" t="e">
        <f aca="false">IF(AND(Assumptions!$H$71="Yes",A147&gt;=Assumptions!$H$72,A147&lt;=Assumptions!$H$73),0,IF(AND($A147&gt;=Assumptions!$C$17,$A147&lt;=Assumptions!$C$18),MAX(BC147*(1+VLOOKUP($C147,WeatherCapacityAdjustment,3))-FO147,0),0))</f>
        <v>#VALUE!</v>
      </c>
      <c r="FX147" s="1569" t="e">
        <f aca="false">IF(AND(Assumptions!$H$71="Yes",A147&gt;=Assumptions!$H$72,A147&lt;=Assumptions!$H$73),0,IF(ET147&gt;0,MAX(BH147*(1+VLOOKUP($C147,WeatherCapacityAdjustment,2))-FP147,0),0))</f>
        <v>#VALUE!</v>
      </c>
      <c r="FY147" s="1551" t="e">
        <f aca="false">IF(AND(Assumptions!$H$71="Yes",A147&gt;=Assumptions!$H$72,A147&lt;=Assumptions!$H$73),0,IF(EU147&gt;0,MAX(BI147*(1+VLOOKUP($C147,WeatherCapacityAdjustment,3))-FQ147,0),0))</f>
        <v>#VALUE!</v>
      </c>
      <c r="FZ147" s="1551" t="e">
        <f aca="false">IF(AND(Assumptions!$H$71="Yes",A147&gt;=Assumptions!$H$72,A147&lt;=Assumptions!$H$73),0,IF(EV147&gt;0,MAX(BJ147*(1+VLOOKUP($C147,WeatherCapacityAdjustment,2))-FR147,0),0))</f>
        <v>#VALUE!</v>
      </c>
      <c r="GA147" s="1564" t="e">
        <f aca="false">IF(AND(Assumptions!$H$71="Yes",A147&gt;=Assumptions!$H$72,A147&lt;=Assumptions!$H$73),0,IF(EW147&gt;0,MAX(BK147*(1+VLOOKUP($C147,WeatherCapacityAdjustment,2))-FS147,0),0))</f>
        <v>#VALUE!</v>
      </c>
      <c r="GB147" s="1551" t="e">
        <f aca="false">SUM(FT147:GA147)</f>
        <v>#VALUE!</v>
      </c>
      <c r="GC147" s="1563" t="e">
        <f aca="false">+IF(SUM(FT147:GA147)=0,0,(SUMPRODUCT(BU147:BX147,FT147:FW147)+SUMPRODUCT(CA147:CD147,FX147:GA147))/SUM(FT147:GA147))</f>
        <v>#VALUE!</v>
      </c>
      <c r="GD147" s="1551" t="e">
        <f aca="false">(FT147*BU147+FX147*CA147+FU147*BV147+FY147*CB147+FV147*BW147+FZ147*CC147+FW147*BX147+GA147*CD147)</f>
        <v>#VALUE!</v>
      </c>
      <c r="GE147" s="1561" t="e">
        <f aca="false">+IF(BQ147,((FL147+FM147+FT147+FU147)*HeatRatePeak/1000*(1+VLOOKUP($C147,WeatherHeatRateAdjustment,2))+(FN147+FV147)*IF(EV147&gt;0,HeatRatePeak,HeatRateOffPeak)/1000*(1+VLOOKUP($C147,WeatherHeatRateAdjustment,2))+(FO147+FW147)*IF(EW147&gt;0,HeatRatePeak,HeatRateOffPeak)/1000*(1+VLOOKUP($C147,WeatherHeatRateAdjustment,3)))*(1+VLOOKUP($B147,HeatRateDegradation,$C147+1)),0)</f>
        <v>#VALUE!</v>
      </c>
      <c r="GF147" s="1562" t="e">
        <f aca="false">IF(BQ147,((FP147+FQ147+FR147+FX147+FY147+FZ147)*HeatRatePeak/1000*(1+VLOOKUP($C147,WeatherHeatRateAdjustment,2))+(FS147+GA147)*HeatRatePeak/1000*(1+VLOOKUP($C147,WeatherHeatRateAdjustment,3)))*(1+VLOOKUP($B147,HeatRateDegradation,$C147+1)),0)</f>
        <v>#VALUE!</v>
      </c>
      <c r="GG147" s="1563" t="e">
        <f aca="false">IF(BQ147,VLOOKUP(A147,GasTable,13),0)</f>
        <v>#VALUE!</v>
      </c>
      <c r="GH147" s="1564" t="e">
        <f aca="false">(GE147+GF147)*GG147</f>
        <v>#VALUE!</v>
      </c>
      <c r="GI147" s="1569" t="e">
        <f aca="false">GB147</f>
        <v>#VALUE!</v>
      </c>
      <c r="GJ147" s="1598" t="e">
        <f aca="false">+DA147</f>
        <v>#VALUE!</v>
      </c>
      <c r="GK147" s="1558" t="e">
        <f aca="false">+GI147*GJ147</f>
        <v>#VALUE!</v>
      </c>
      <c r="GL147" s="1566" t="e">
        <f aca="false">MAX(FE147-FL147-FP147,0)</f>
        <v>#VALUE!</v>
      </c>
      <c r="GM147" s="1551" t="e">
        <f aca="false">MAX(FF147-FM147-FQ147,0)</f>
        <v>#VALUE!</v>
      </c>
      <c r="GN147" s="1551" t="e">
        <f aca="false">MAX(FG147-FN147-FR147,0)</f>
        <v>#VALUE!</v>
      </c>
      <c r="GO147" s="1564" t="e">
        <f aca="false">MAX(FH147-FO147-FS147,0)</f>
        <v>#VALUE!</v>
      </c>
      <c r="GP147" s="1551" t="e">
        <f aca="false">SUM(GL147:GO147)</f>
        <v>#VALUE!</v>
      </c>
      <c r="GQ147" s="1563" t="e">
        <f aca="false">IF(SUM(GL147:GO147)=0,0,((GL147*BU147+GM147*BV147+GN147*BW147+GO147*BX147)/SUM(GL147:GO147)))</f>
        <v>#VALUE!</v>
      </c>
      <c r="GR147" s="1558" t="e">
        <f aca="false">(GL147*BU147+GM147*BV147+GN147*BW147+GO147*BX147)</f>
        <v>#VALUE!</v>
      </c>
      <c r="GS147" s="1566" t="n">
        <f aca="false">IF($A147&gt;=BegDate,Assumptions!$C$56*24*($A148-$A147)*(1-VLOOKUP($B147,MAIN!$AA$7:$AM$28,$C147+1))*(1-VLOOKUP($B147,MAIN!$AA$33:$AM$54,$C147+1)),0)*80/168</f>
        <v>257742.857142857</v>
      </c>
      <c r="GT147" s="286" t="n">
        <f aca="false">J147</f>
        <v>39.6255931839525</v>
      </c>
      <c r="GU147" s="286" t="n">
        <f aca="false">IF($A147&gt;=BegDate,VLOOKUP($A147,GasTable,13)+Assumptions!$C$58,0)</f>
        <v>2.89568563273247</v>
      </c>
      <c r="GV147" s="286" t="n">
        <f aca="false">GU147*Assumptions!$C$57/1000</f>
        <v>20.9937208373104</v>
      </c>
      <c r="GW147" s="1558" t="n">
        <f aca="false">IF(Assumptions!$C$60="Hourly",MAX(0,GS147*(GT147-GV147)),GS147*(GT147-GV147))</f>
        <v>4802232.01254453</v>
      </c>
      <c r="GX147" s="1566" t="n">
        <f aca="false">IF($A147&gt;=BegDate,Assumptions!$C$56*24*($A148-$A147)*(1-VLOOKUP($B147,MAIN!$AA$7:$AM$28,$C147+1))*(1-VLOOKUP($B147,MAIN!$AA$33:$AM$54,$C147+1)),0)*16/168</f>
        <v>51548.5714285714</v>
      </c>
      <c r="GY147" s="286" t="n">
        <f aca="false">M147</f>
        <v>39.6255931839525</v>
      </c>
      <c r="GZ147" s="286" t="n">
        <f aca="false">IF($A147&gt;=BegDate,VLOOKUP($A147,GasTable,13)+Assumptions!$C$58,0)</f>
        <v>2.89568563273247</v>
      </c>
      <c r="HA147" s="286" t="n">
        <f aca="false">GZ147*Assumptions!$C$57/1000</f>
        <v>20.9937208373104</v>
      </c>
      <c r="HB147" s="1558" t="n">
        <f aca="false">IF(Assumptions!$C$60="Hourly",MAX(0,GX147*(GY147-HA147)),GX147*(GY147-HA147))</f>
        <v>960446.402508907</v>
      </c>
      <c r="HC147" s="1566" t="n">
        <f aca="false">IF($A147&gt;=BegDate,Assumptions!$C$56*24*($A148-$A147)*(1-VLOOKUP($B147,MAIN!$AA$7:$AM$28,$C147+1))*(1-VLOOKUP($B147,MAIN!$AA$33:$AM$54,$C147+1)),0)*16/168</f>
        <v>51548.5714285714</v>
      </c>
      <c r="HD147" s="286" t="n">
        <f aca="false">P147</f>
        <v>24.3611841495148</v>
      </c>
      <c r="HE147" s="286" t="n">
        <f aca="false">IF($A147&gt;=BegDate,VLOOKUP($A147,GasTable,13)+Assumptions!$C$58,0)</f>
        <v>2.89568563273247</v>
      </c>
      <c r="HF147" s="286" t="n">
        <f aca="false">HE147*Assumptions!$C$57/1000</f>
        <v>20.9937208373104</v>
      </c>
      <c r="HG147" s="1558" t="n">
        <f aca="false">IF(Assumptions!$C$60="Hourly",MAX(0,HC147*(HD147-HF147)),HC147*(HD147-HF147))</f>
        <v>173587.923082259</v>
      </c>
      <c r="HH147" s="1566" t="n">
        <f aca="false">IF($A147&gt;=BegDate,Assumptions!$C$56*24*($A148-$A147)*(1-VLOOKUP($B147,MAIN!$AA$7:$AM$28,$C147+1))*(1-VLOOKUP($B147,MAIN!$AA$33:$AM$54,$C147+1)),0)*56/168</f>
        <v>180420</v>
      </c>
      <c r="HI147" s="286" t="n">
        <f aca="false">S147</f>
        <v>24.3611841495148</v>
      </c>
      <c r="HJ147" s="286" t="n">
        <f aca="false">IF($A147&gt;=BegDate,VLOOKUP($A147,GasTable,13)+Assumptions!$C$58,0)</f>
        <v>2.89568563273247</v>
      </c>
      <c r="HK147" s="286" t="n">
        <f aca="false">HJ147*Assumptions!$C$57/1000</f>
        <v>20.9937208373104</v>
      </c>
      <c r="HL147" s="1558" t="n">
        <f aca="false">IF(Assumptions!$C$60="Hourly",MAX(0,HH147*(HI147-HK147)),HH147*(HI147-HK147))</f>
        <v>607557.730787908</v>
      </c>
      <c r="HM147" s="1566" t="n">
        <f aca="false">IF(AND(Assumptions!$H$71="Yes",A147&gt;=Assumptions!$H$72,A147&lt;=Assumptions!$H$73),Assumptions!$H$74*Assumptions!$C$9*1000,0)</f>
        <v>0</v>
      </c>
      <c r="HN147" s="1551"/>
      <c r="HO147" s="1563"/>
      <c r="HP147" s="1563"/>
      <c r="HQ147" s="1563"/>
      <c r="HR147" s="1563"/>
      <c r="HS147" s="1563"/>
      <c r="HT147" s="1563"/>
      <c r="HU147" s="1563"/>
      <c r="HV147" s="1563"/>
      <c r="HW147" s="1563"/>
      <c r="HX147" s="1563"/>
      <c r="HY147" s="1563"/>
      <c r="HZ147" s="1563"/>
      <c r="IA147" s="1563"/>
      <c r="IB147" s="1563"/>
      <c r="IC147" s="1563"/>
      <c r="ID147" s="1563"/>
      <c r="IE147" s="1563"/>
      <c r="IF147" s="1563"/>
      <c r="IG147" s="1563"/>
      <c r="IH147" s="1563"/>
      <c r="II147" s="1610"/>
      <c r="IJ147" s="1309"/>
      <c r="IK147" s="1309"/>
    </row>
    <row r="148" customFormat="false" ht="12.75" hidden="false" customHeight="false" outlineLevel="0" collapsed="false">
      <c r="A148" s="1571" t="n">
        <f aca="false">EOMONTH(A147,0)+1</f>
        <v>40634</v>
      </c>
      <c r="B148" s="594" t="n">
        <f aca="false">+YEAR(A148)</f>
        <v>2011</v>
      </c>
      <c r="C148" s="238" t="n">
        <f aca="false">MONTH(A148)</f>
        <v>4</v>
      </c>
      <c r="D148" s="1572" t="e">
        <f aca="false">IF(E148="","",Holiday(B148,C148))</f>
        <v>#VALUE!</v>
      </c>
      <c r="E148" s="1573" t="n">
        <f aca="false">IF(OR(BegDate&gt;=A149,EndDate&lt;A148,AND(VolumeMonthlyOverFlag,INDEX(VolumeMonthlyOver,C148)=0),NOT(INDEX(MonthKnockOutTable,C148))),"",MAX(A148,BegDate))</f>
        <v>40634</v>
      </c>
      <c r="F148" s="1574" t="n">
        <f aca="false">IF(E148="","",MIN(A149-1,EndDate))</f>
        <v>40663</v>
      </c>
      <c r="G148" s="1575" t="n">
        <v>0</v>
      </c>
      <c r="H148" s="1576" t="n">
        <f aca="false">(1+G148/2)^(-2*(DATE(B149,C149,20)-DateToday)/365.25)</f>
        <v>1</v>
      </c>
      <c r="I148" s="1568" t="n">
        <f aca="false">IF(Assumptions!$L$25=4,VLOOKUP($A148,'Henwood Reference'!$E$9:$R$320,10),(VLOOKUP($A148,PriceTable,2,0)+IF(BasisNumber&lt;&gt;1,VLOOKUP($A148,BasisTable,2,0),0)+I$1)/(1-I$2))</f>
        <v>37.8750464951637</v>
      </c>
      <c r="J148" s="1568" t="n">
        <f aca="false">IF(Assumptions!$L$25=4,VLOOKUP($A148,'Henwood Reference'!$E$9:$R$320,10),(VLOOKUP($A148,PriceTable,3,0)+IF(BasisNumber&lt;&gt;1,VLOOKUP($A148,BasisTable,2,0),0)+J$1)/(1-J$2))</f>
        <v>37.8750464951637</v>
      </c>
      <c r="K148" s="1568" t="n">
        <f aca="false">IF(Assumptions!$L$25=4,VLOOKUP($A148,'Henwood Reference'!$E$9:$R$320,10),(VLOOKUP($A148,PriceTable,4,0)+IF(BasisNumber&lt;&gt;1,VLOOKUP($A148,BasisTable,2,0),0)+K$1)/(1-K$2))</f>
        <v>37.8750464951637</v>
      </c>
      <c r="L148" s="1523" t="n">
        <f aca="false">IF(Assumptions!$L$25=4,VLOOKUP($A148,'Henwood Reference'!$E$9:$R$320,10),(VLOOKUP($A148,PriceTableWeekend,2,0)+IF(BasisNumber&lt;&gt;1,VLOOKUP($A148,BasisTable,2,0),0)+L$1)/(1-L$2))</f>
        <v>37.8750464951637</v>
      </c>
      <c r="M148" s="1568" t="n">
        <f aca="false">IF(Assumptions!$L$25=4,VLOOKUP($A148,'Henwood Reference'!$E$9:$R$320,10),(VLOOKUP($A148,PriceTableWeekend,3,0)+IF(BasisNumber&lt;&gt;1,VLOOKUP($A148,BasisTable,2,0),0)+M$1)/(1-M$2))</f>
        <v>37.8750464951637</v>
      </c>
      <c r="N148" s="1599" t="n">
        <f aca="false">IF(Assumptions!$L$25=4,VLOOKUP($A148,'Henwood Reference'!$E$9:$R$320,10),(VLOOKUP($A148,PriceTableWeekend,4,0)+IF(BasisNumber&lt;&gt;1,VLOOKUP($A148,BasisTable,2,0),0)+N$1)/(1-N$2))</f>
        <v>37.8750464951637</v>
      </c>
      <c r="O148" s="1568" t="n">
        <f aca="false">IF(Assumptions!$L$25=4,VLOOKUP($A148,'Henwood Reference'!$E$9:$R$320,11),(VLOOKUP($A148,PriceTableWeekend,6,0)+IF(BasisNumber&lt;&gt;1,VLOOKUP($A148,BasisTable,3,0),0)+O$1)/(1-O$2))</f>
        <v>24.6515120505249</v>
      </c>
      <c r="P148" s="1568" t="n">
        <f aca="false">IF(Assumptions!$L$25=4,VLOOKUP($A148,'Henwood Reference'!$E$9:$R$320,11),(VLOOKUP($A148,PriceTableWeekend,7,0)+IF(BasisNumber&lt;&gt;1,VLOOKUP($A148,BasisTable,3,0),0)+P$1)/(1-P$2))</f>
        <v>24.6515120505249</v>
      </c>
      <c r="Q148" s="1599" t="n">
        <f aca="false">IF(Assumptions!$L$25=4,VLOOKUP($A148,'Henwood Reference'!$E$9:$R$320,11),(VLOOKUP($A148,PriceTableWeekend,8,0)+IF(BasisNumber&lt;&gt;1,VLOOKUP($A148,BasisTable,3,0),0)+Q$1)/(1-Q$2))</f>
        <v>24.6515120505249</v>
      </c>
      <c r="R148" s="1568" t="n">
        <f aca="false">IF(Assumptions!$L$25=4,VLOOKUP($A148,'Henwood Reference'!$E$9:$R$320,11),(VLOOKUP($A148,PriceTable,6,0)+IF(BasisNumber&lt;&gt;1,VLOOKUP($A148,BasisTable,3,0),0)+R$1)/(1-R$2))</f>
        <v>24.6515120505249</v>
      </c>
      <c r="S148" s="1568" t="n">
        <f aca="false">IF(Assumptions!$L$25=4,VLOOKUP($A148,'Henwood Reference'!$E$9:$R$320,11),(VLOOKUP($A148,PriceTable,7,0)+IF(BasisNumber&lt;&gt;1,VLOOKUP($A148,BasisTable,3,0),0)+S$1)/(1-S$2))</f>
        <v>24.6515120505249</v>
      </c>
      <c r="T148" s="1600" t="n">
        <f aca="false">IF(Assumptions!$L$25=4,VLOOKUP($A148,'Henwood Reference'!$E$9:$R$320,11),(VLOOKUP($A148,PriceTable,8,0)+IF(BasisNumber&lt;&gt;1,VLOOKUP($A148,BasisTable,3,0),0)+T$1)/(1-T$2))</f>
        <v>24.6515120505249</v>
      </c>
      <c r="U148" s="1513" t="n">
        <f aca="false">VLOOKUP($A148,VolatilityTable,14)</f>
        <v>0.115</v>
      </c>
      <c r="V148" s="1513" t="n">
        <f aca="false">VLOOKUP($A148,VolatilityTable,15)</f>
        <v>0.125</v>
      </c>
      <c r="W148" s="1514" t="n">
        <f aca="false">VLOOKUP($A148,VolatilityTable,16)</f>
        <v>0.135</v>
      </c>
      <c r="X148" s="1513" t="n">
        <f aca="false">VLOOKUP($A148,VolatilityTable,14)</f>
        <v>0.115</v>
      </c>
      <c r="Y148" s="1513" t="n">
        <f aca="false">VLOOKUP($A148,VolatilityTable,15)</f>
        <v>0.125</v>
      </c>
      <c r="Z148" s="1514" t="n">
        <f aca="false">VLOOKUP($A148,VolatilityTable,16)</f>
        <v>0.135</v>
      </c>
      <c r="AA148" s="1513" t="n">
        <f aca="false">VLOOKUP($A148,VolatilityTable,18)</f>
        <v>0.09</v>
      </c>
      <c r="AB148" s="1513" t="n">
        <f aca="false">VLOOKUP($A148,VolatilityTable,19)</f>
        <v>0.11</v>
      </c>
      <c r="AC148" s="1514" t="n">
        <f aca="false">VLOOKUP($A148,VolatilityTable,20)</f>
        <v>0.13</v>
      </c>
      <c r="AD148" s="1513" t="n">
        <f aca="false">VLOOKUP($A148,VolatilityTable,18)</f>
        <v>0.09</v>
      </c>
      <c r="AE148" s="1513" t="n">
        <f aca="false">VLOOKUP($A148,VolatilityTable,19)</f>
        <v>0.11</v>
      </c>
      <c r="AF148" s="1514" t="n">
        <f aca="false">VLOOKUP($A148,VolatilityTable,20)</f>
        <v>0.13</v>
      </c>
      <c r="AG148" s="1513" t="n">
        <f aca="false">VLOOKUP($A148,VolatilityTable,22)</f>
        <v>-0.1</v>
      </c>
      <c r="AH148" s="1513" t="n">
        <f aca="false">VLOOKUP($A148,VolatilityTable,23)</f>
        <v>0.65</v>
      </c>
      <c r="AI148" s="1514" t="n">
        <f aca="false">VLOOKUP($A148,VolatilityTable,24)</f>
        <v>0.1</v>
      </c>
      <c r="AJ148" s="1513" t="n">
        <f aca="false">VLOOKUP($A148,VolatilityTable,22)</f>
        <v>-0.1</v>
      </c>
      <c r="AK148" s="1513" t="n">
        <f aca="false">VLOOKUP($A148,VolatilityTable,23)</f>
        <v>0.65</v>
      </c>
      <c r="AL148" s="1514" t="n">
        <f aca="false">VLOOKUP($A148,VolatilityTable,24)</f>
        <v>0.1</v>
      </c>
      <c r="AM148" s="1513" t="n">
        <f aca="false">VLOOKUP($A148,VolatilityTable,26)</f>
        <v>-0.01</v>
      </c>
      <c r="AN148" s="1513" t="n">
        <f aca="false">VLOOKUP($A148,VolatilityTable,27)</f>
        <v>0.16</v>
      </c>
      <c r="AO148" s="1514" t="n">
        <f aca="false">VLOOKUP($A148,VolatilityTable,28)</f>
        <v>0.01</v>
      </c>
      <c r="AP148" s="1513" t="n">
        <f aca="false">VLOOKUP($A148,VolatilityTable,26)</f>
        <v>-0.01</v>
      </c>
      <c r="AQ148" s="1513" t="n">
        <f aca="false">VLOOKUP($A148,VolatilityTable,27)</f>
        <v>0.16</v>
      </c>
      <c r="AR148" s="1515" t="n">
        <f aca="false">VLOOKUP($A148,VolatilityTable,28)</f>
        <v>0.01</v>
      </c>
      <c r="AS148" s="1581" t="n">
        <f aca="false">IF(CorrPeakOffPeakOverFlag,INDEX(CorrPeakOffPeakOver,C148),CorrPeakOffPeak)</f>
        <v>0.5</v>
      </c>
      <c r="AT148" s="594" t="e">
        <f aca="false">AX148-SUM(AU148:AW148)</f>
        <v>#VALUE!</v>
      </c>
      <c r="AU148" s="238" t="e">
        <f aca="false">IF(E148="",0,INT((F148-MOD(F148,7)-E148)/7)+1-IF(AW148,IF(WEEKDAY(D148)=7,1,0),0))</f>
        <v>#VALUE!</v>
      </c>
      <c r="AV148" s="238" t="e">
        <f aca="false">IF(E148="",0,INT((F148-MOD(F148-1,7)-E148)/7)+1-IF(AW148,IF(WEEKDAY(D148)=1,1,0),0))</f>
        <v>#VALUE!</v>
      </c>
      <c r="AW148" s="238" t="e">
        <f aca="false">IF(OR(E148="",D148="",D148&lt;BegDate,D148&gt;EndDate),0,1)</f>
        <v>#VALUE!</v>
      </c>
      <c r="AX148" s="238" t="n">
        <f aca="false">IF(E148="",0,F148-E148+1)</f>
        <v>30</v>
      </c>
      <c r="AY148" s="1582" t="n">
        <f aca="false">IF(E148="",0,MIN((1-(1-VLOOKUP(B148,MAIN!$AA$7:$AM$28,C148+1))*(1-VLOOKUP(B148,MAIN!$AA$33:$AM$54,C148+1))),1))</f>
        <v>0.127</v>
      </c>
      <c r="AZ148" s="1519" t="e">
        <v>#VALUE!</v>
      </c>
      <c r="BA148" s="1520" t="e">
        <v>#VALUE!</v>
      </c>
      <c r="BB148" s="1520" t="e">
        <v>#VALUE!</v>
      </c>
      <c r="BC148" s="1583" t="e">
        <v>#VALUE!</v>
      </c>
      <c r="BD148" s="1522" t="e">
        <v>#VALUE!</v>
      </c>
      <c r="BE148" s="1523" t="e">
        <v>#VALUE!</v>
      </c>
      <c r="BF148" s="1523" t="e">
        <v>#VALUE!</v>
      </c>
      <c r="BG148" s="1584" t="e">
        <v>#VALUE!</v>
      </c>
      <c r="BH148" s="1525" t="e">
        <v>#VALUE!</v>
      </c>
      <c r="BI148" s="1520" t="e">
        <v>#VALUE!</v>
      </c>
      <c r="BJ148" s="1520" t="e">
        <v>#VALUE!</v>
      </c>
      <c r="BK148" s="1583" t="e">
        <v>#VALUE!</v>
      </c>
      <c r="BL148" s="1522" t="e">
        <v>#VALUE!</v>
      </c>
      <c r="BM148" s="1523" t="e">
        <v>#VALUE!</v>
      </c>
      <c r="BN148" s="1523" t="e">
        <v>#VALUE!</v>
      </c>
      <c r="BO148" s="1523" t="e">
        <v>#VALUE!</v>
      </c>
      <c r="BP148" s="1525" t="e">
        <f aca="false">SUM(AZ148:BB148)</f>
        <v>#VALUE!</v>
      </c>
      <c r="BQ148" s="1529" t="e">
        <f aca="false">SUM(AZ148:BC148)</f>
        <v>#VALUE!</v>
      </c>
      <c r="BR148" s="1519" t="e">
        <f aca="false">SUM(BH148:BJ148)</f>
        <v>#VALUE!</v>
      </c>
      <c r="BS148" s="1529" t="e">
        <f aca="false">SUM(BH148:BK148)</f>
        <v>#VALUE!</v>
      </c>
      <c r="BT148" s="1316" t="n">
        <f aca="false">(IF(OVolType&lt;&gt;2,A148+14,IF(OptExpDateShift,ShiftBack(A148,OptExpDateShift,D147),A148))-DateToday)/365.25</f>
        <v>10.9623545516769</v>
      </c>
      <c r="BU148" s="1585" t="e">
        <f aca="false">IF(BQ148,IF(OPriceCurve,IF(OBuySell=OCallPut,I148/(1-AY148),K148/(1-AY148)),J148/(1-AY148))*BD148,0)</f>
        <v>#VALUE!</v>
      </c>
      <c r="BV148" s="1316" t="e">
        <f aca="false">IF(BQ148,IF(OPriceCurve,IF(OBuySell=OCallPut,L148/(1-AY148),N148/(1-AY148)),M148/(1-AY148))*BE148,0)</f>
        <v>#VALUE!</v>
      </c>
      <c r="BW148" s="1316" t="e">
        <f aca="false">IF(BQ148,IF(OPriceCurve,IF(OBuySell=OCallPut,O148/(1-AY148),Q148/(1-AY148)),P148/(1-AY148))*BF148,0)</f>
        <v>#VALUE!</v>
      </c>
      <c r="BX148" s="1316" t="e">
        <f aca="false">IF(BQ148,IF(OPriceCurve,IF(OBuySell=OCallPut,R148/(1-AY148),T148/(1-AY148)),S148/(1-AY148))*BG148,0)</f>
        <v>#VALUE!</v>
      </c>
      <c r="BY148" s="1316" t="e">
        <f aca="false">IF(BP148,(BU148*AZ148+BV148*BA148+BW148*BB148)/BP148,0)</f>
        <v>#VALUE!</v>
      </c>
      <c r="BZ148" s="1316" t="e">
        <f aca="false">IF(BQ148,(BY148*BP148+BX148*BC148)/BQ148,0)</f>
        <v>#VALUE!</v>
      </c>
      <c r="CA148" s="1531" t="e">
        <f aca="false">IF(BS148,IF(OPriceCurve,IF(OBuySell=OCallPut,I148/(1-AY148),K148/(1-AY148)),J148/(1-AY148))*BL148,0)</f>
        <v>#VALUE!</v>
      </c>
      <c r="CB148" s="1316" t="e">
        <f aca="false">IF(BS148,IF(OPriceCurve,IF(OBuySell=OCallPut,L148/(1-AY148),N148/(1-AY148)),M148/(1-AY148))*BM148,0)</f>
        <v>#VALUE!</v>
      </c>
      <c r="CC148" s="1316" t="e">
        <f aca="false">IF(BS148,IF(OPriceCurve,IF(OBuySell=OCallPut,O148/(1-AY148),Q148/(1-AY148)),P148/(1-AY148))*BN148,0)</f>
        <v>#VALUE!</v>
      </c>
      <c r="CD148" s="1316" t="e">
        <f aca="false">IF(BS148,IF(OPriceCurve,IF(OBuySell=OCallPut,R148/(1-AY148),T148/(1-AY148)),S148/(1-AY148))*BO148,0)</f>
        <v>#VALUE!</v>
      </c>
      <c r="CE148" s="1316" t="e">
        <f aca="false">IF(BR148,(BU148*BH148+BV148*BI148+BW148*BJ148)/BR148,0)</f>
        <v>#VALUE!</v>
      </c>
      <c r="CF148" s="1532" t="e">
        <f aca="false">IF(BS148,(CE148*BR148+CD148*BK148)/BS148,0)</f>
        <v>#VALUE!</v>
      </c>
      <c r="CG148" s="1586" t="e">
        <f aca="false">IF(OR(BQ148,BS148),IF(OVolType&lt;&gt;2,SQRT(IF(OVolOverMonthlyPeak,OVolOverMonthlyPeak,IF(OVolCurve,IF(OBuySell,U148,W148),V148))^2*(1-15/365.25/BT148)+IF(OVolOverDailyPeak,OVolOverDailyPeak,IF(OVolCurve,IF(OBuySell,AG148,AI148),AH148))^2*15/365.25/BT148),IF(OVolOverMonthlyPeak,OVolOverMonthlyPeak,IF(OVolCurve,IF(OBuySell,U148,W148),V148))),"")</f>
        <v>#VALUE!</v>
      </c>
      <c r="CH148" s="1587" t="e">
        <f aca="false">IF(OR(BQ148,BS148),IF(OVolType&lt;&gt;2,SQRT(IF(OVolOverMonthlyPeak,OVolOverMonthlyPeak,IF(OVolCurve,IF(OBuySell,X148,Z148),Y148))^2*(1-15/365.25/BT148)+IF(OVolOverDailyPeak,OVolOverDailyPeak,IF(OVolCurve,IF(OBuySell,AJ148,AL148),AK148))^2*15/365.25/BT148),IF(OVolOverMonthlyPeak,OVolOverMonthlyPeak,IF(OVolCurve,IF(OBuySell,X148,Z148),Y148))),"")</f>
        <v>#VALUE!</v>
      </c>
      <c r="CI148" s="1587" t="e">
        <f aca="false">IF(OR(BQ148,BS148),IF(OVolType&lt;&gt;2,SQRT(IF(OVolOverMonthlyPeak,OVolOverMonthlyPeak,IF(OVolCurve,IF(OBuySell,AA148,AC148),AB148))^2*(1-15/365.25/BT148)+IF(OVolOverDailyPeak,OVolOverDailyPeak,IF(OVolCurve,IF(OBuySell,AM148,AO148),AN148))^2*15/365.25/BT148),IF(OVolOverMonthlyPeak,OVolOverMonthlyPeak,IF(OVolCurve,IF(OBuySell,AA148,AC148),AB148))),"")</f>
        <v>#VALUE!</v>
      </c>
      <c r="CJ148" s="1587" t="e">
        <f aca="false">IF(BQ148,IF(BP148,SQRT(LN(1+((BU148*AZ148)^2*(EXP(CG148^2*BT148)-1)+(BV148*BA148)^2*(EXP(CH148^2*BT148)-1)+(BW148*BB148)^2*(EXP(CI148^2*BT148)-1)+2*BU148*AZ148*BV148*BA148*(EXP(CG148*CH148*BT148)-1)+2*BV148*BA148*BW148*BB148*(EXP(CH148*CI148*BT148)-1)+2*BW148*BB148*BU148*AZ148*(EXP(CI148*CG148*BT148)-1))/(BY148*BP148)^2)/BT148),0),"")</f>
        <v>#VALUE!</v>
      </c>
      <c r="CK148" s="1587" t="e">
        <f aca="false">IF(BS148,IF(BR148,SQRT(LN(1+((CA148*BH148)^2*(EXP(CG148^2*BT148)-1)+(CB148*BI148)^2*(EXP(CH148^2*BT148)-1)+(CC148*BJ148)^2*(EXP(CI148^2*BT148)-1)+2*CA148*BH148*CB148*BI148*(EXP(CG148*CH148*BT148)-1)+2*CB148*BI148*CC148*BJ148*(EXP(CH148*CI148*BT148)-1)+2*CC148*BJ148*CA148*BH148*(EXP(CI148*CG148*BT148)-1))/(CE148*BR148)^2)/BT148),0),"")</f>
        <v>#VALUE!</v>
      </c>
      <c r="CL148" s="1587" t="e">
        <f aca="false">IF(OR(BQ148,BS148),IF(OVolType&lt;&gt;2,SQRT(IF(OVolOverMonthlyOffPeak,OVolOverMonthlyOffPeak,IF(OVolCurve,IF(OBuySell,AD148,AF148),AE148))^2*(1-15/365.25/BT148)+IF(OVolOverDailyOffPeak,OVolOverDailyOffPeak,IF(OVolCurve,IF(OBuySell,AP148,AR148),AQ148))^2*15/365.25/BT148),IF(OVolOverMonthlyOffPeak,OVolOverMonthlyOffPeak,IF(OVolCurve,IF(OBuySell,AD148,AF148),AE148))),"")</f>
        <v>#VALUE!</v>
      </c>
      <c r="CM148" s="1587" t="e">
        <f aca="false">IF(BQ148,SQRT(LN(1+((BY148*BP148)^2*(EXP(CJ148^2*BT148)-1)+(BX148*BC148)^2*(EXP(CL148^2*BT148)-1)+2*BY148*BP148*BX148*BC148*(EXP(AS148*CJ148*CL148*BT148)-1))/(BY148*BP148+BX148*BC148)^2)/BT148),"")</f>
        <v>#VALUE!</v>
      </c>
      <c r="CN148" s="1588" t="e">
        <f aca="false">IF(BS148,SQRT(LN(1+((CE148*BR148)^2*(EXP(CK148^2*BT148)-1)+(CD148*BK148)^2*(EXP(CL148^2*BT148)-1)+2*CE148*BR148*CD148*BK148*(EXP(AS148*CK148*CL148*BT148)-1))/(CE148*BR148+CD148*BK148)^2)/BT148),"")</f>
        <v>#VALUE!</v>
      </c>
      <c r="CO148" s="1531" t="e">
        <f aca="false">IF(OR(BQ148,BS148),VLOOKUP(A148,GasTable,13)*HeatRatePeak*(1+VLOOKUP($B148,HeatRateDegradation,$C148+1))/1000,0)</f>
        <v>#VALUE!</v>
      </c>
      <c r="CP148" s="1316" t="e">
        <f aca="false">IF(OR(BQ148,BS148),VLOOKUP(A148,GasTable,13)*HeatRatePeak*(1+VLOOKUP($B148,HeatRateDegradation,$C148+1))/1000,0)</f>
        <v>#VALUE!</v>
      </c>
      <c r="CQ148" s="1316" t="e">
        <f aca="false">IF(OR(BQ148,BS148),VLOOKUP(A148,GasTable,13)*IF(EV148,HeatRatePeak,HeatRateOffPeak)*(1+VLOOKUP($B148,HeatRateDegradation,$C148+1))/1000,0)</f>
        <v>#VALUE!</v>
      </c>
      <c r="CR148" s="1316" t="e">
        <f aca="false">IF(OR(BQ148,BS148),VLOOKUP(A148,GasTable,13)*IF(EW148,HeatRatePeak,HeatRateOffPeak)*(1+VLOOKUP($B148,HeatRateDegradation,$C148+1))/1000,0)</f>
        <v>#VALUE!</v>
      </c>
      <c r="CS148" s="1589" t="e">
        <f aca="false">IF(BQ148,(CO148*AZ148+CP148*BA148+CQ148*BB148+CR148*BC148)/BQ148,0)</f>
        <v>#VALUE!</v>
      </c>
      <c r="CT148" s="1316" t="e">
        <f aca="false">IF(BS148,CO148,0)</f>
        <v>#VALUE!</v>
      </c>
      <c r="CU148" s="1590" t="e">
        <f aca="false">IF(OR(BQ148,BS148),VLOOKUP(A148,GasTable,14),"")</f>
        <v>#VALUE!</v>
      </c>
      <c r="CV148" s="1568" t="e">
        <f aca="false">IF(OR(BQ148,BS148),IF(CorrPowerGasOverFlag,INDEX(CorrPowerGasOver,C148),CorrPowerGas),"")</f>
        <v>#VALUE!</v>
      </c>
      <c r="CW148" s="1316" t="e">
        <f aca="false">IF(OR($BQ148,$BS148),SpreadOptPowerMargin,0)*((1+Assumptions!$C$26)^($B148-YEAR(Assumptions!$C$17)))</f>
        <v>#VALUE!</v>
      </c>
      <c r="CX148" s="1316" t="e">
        <f aca="false">IF(OR($BQ148,$BS148),SpreadOptPowerMargin,0)*((1+Assumptions!$C$26)^($B148-YEAR(Assumptions!$C$17)))</f>
        <v>#VALUE!</v>
      </c>
      <c r="CY148" s="1316" t="e">
        <f aca="false">IF(OR($BQ148,$BS148),SpreadOptPowerMargin,0)*((1+Assumptions!$C$26)^($B148-YEAR(Assumptions!$C$17)))</f>
        <v>#VALUE!</v>
      </c>
      <c r="CZ148" s="1316" t="e">
        <f aca="false">IF(OR($BQ148,$BS148),SpreadOptPowerMargin,0)*((1+Assumptions!$C$26)^($B148-YEAR(Assumptions!$C$17)))</f>
        <v>#VALUE!</v>
      </c>
      <c r="DA148" s="1591" t="e">
        <f aca="false">IF(OR(BQ148,BS148),(CW148*(AZ148+BH148)+CX148*(BA148+BI148)+CY148*(BB148+BJ148)+CZ148*(BC148+BK148))/(BQ148+BS148),0)</f>
        <v>#VALUE!</v>
      </c>
      <c r="DB148" s="1592" t="e">
        <f aca="false">IF(OR(BQ148,BS148),CG148+IF(OVolSmile,VLOOKUP(MAX(-5,CO148+CW148-BU148),IF(OVolSmile=1,VolSmileBook,VolSmileModel),2),0),"")</f>
        <v>#VALUE!</v>
      </c>
      <c r="DC148" s="1592" t="e">
        <f aca="false">IF(OR(BQ148,BS148),CH148+IF(OVolSmile,VLOOKUP(MAX(-5,CP148+CW148-BV148),IF(OVolSmile=1,VolSmileBook,VolSmileModel),2),0),"")</f>
        <v>#VALUE!</v>
      </c>
      <c r="DD148" s="1592" t="e">
        <f aca="false">IF(OR(BQ148,BS148),CI148+IF(OVolSmile,VLOOKUP(MAX(-5,CQ148+CW148-BW148),IF(OVolSmile=1,VolSmileBook,VolSmileModel),2),0),"")</f>
        <v>#VALUE!</v>
      </c>
      <c r="DE148" s="1592" t="e">
        <f aca="false">IF(OR(BQ148,BS148),CL148+IF(OVolSmile,VLOOKUP(MAX(-5,CR148+CZ148-BX148),IF(OVolSmile=1,VolSmileBook,VolSmileModel),2),0),"")</f>
        <v>#VALUE!</v>
      </c>
      <c r="DF148" s="1592" t="e">
        <f aca="false">IF(BQ148,CM148+IF(OVolSmile,VLOOKUP(MAX(-5,CS148+DA148-BZ148),IF(OVolSmile=1,VolSmileBook,VolSmileModel),2),0),"")</f>
        <v>#VALUE!</v>
      </c>
      <c r="DG148" s="1593" t="e">
        <f aca="false">IF(BS148,CN148+IF(OVolSmile,VLOOKUP(MAX(-5,CT148+DA148-CF148),IF(OVolSmile=1,VolSmileBook,VolSmileModel),2),0),"")</f>
        <v>#VALUE!</v>
      </c>
      <c r="DH148" s="1316" t="e">
        <f aca="false">IF(AND(BU148&gt;0,CO148&gt;0,DB148&gt;0,CU148&gt;0),newSPRDOPT(BU148,CO148,CW148,0,DB148,CU148,CV148,BT148*365.25,OCallPut,0),0)</f>
        <v>#VALUE!</v>
      </c>
      <c r="DI148" s="1316" t="e">
        <f aca="false">IF(AND(BV148&gt;0,CP148&gt;0,DC148&gt;0,CU148&gt;0),newSPRDOPT(BV148,CP148,CX148,0,DC148,CU148,CV148,BT148*365.25,OCallPut,0),0)</f>
        <v>#VALUE!</v>
      </c>
      <c r="DJ148" s="1316" t="e">
        <f aca="false">IF(AND(BW148&gt;0,CQ148&gt;0,DD148&gt;0,CU148&gt;0),newSPRDOPT(BW148,CQ148,CY148,0,DD148,CU148,CV148,BT148*365.25,OCallPut,0),0)</f>
        <v>#VALUE!</v>
      </c>
      <c r="DK148" s="1316" t="e">
        <f aca="false">IF(AND(BX148&gt;0,CR148&gt;0,DE148&gt;0,CU148&gt;0),newSPRDOPT(BX148,CR148,CZ148,0,DE148,CU148,CV148,BT148*365.25,OCallPut,0),0)</f>
        <v>#VALUE!</v>
      </c>
      <c r="DL148" s="1316" t="e">
        <f aca="false">IF(OVolType,IF(AND(BZ148&gt;0,CS148&gt;0,DF148&gt;0,CU148&gt;0),newSPRDOPT(BZ148,CS148,DA148,0,DF148,CU148,CV148,BT148*365.25,OCallPut,0),0),IF(BQ148,(DH148*AZ148+DI148*BA148+DJ148*BB148+DK148*BC148)/BQ148,0))</f>
        <v>#VALUE!</v>
      </c>
      <c r="DM148" s="1316"/>
      <c r="DN148" s="1316"/>
      <c r="DO148" s="1316"/>
      <c r="DP148" s="1316"/>
      <c r="DQ148" s="1316"/>
      <c r="DR148" s="1316"/>
      <c r="DS148" s="1316"/>
      <c r="DT148" s="1316"/>
      <c r="DU148" s="1316"/>
      <c r="DV148" s="1316"/>
      <c r="DW148" s="1594" t="e">
        <f aca="false">IF(AND(BW148&gt;0,CT148&gt;0,DD148&gt;0,CU148&gt;0),newSPRDOPT(BW148,CT148,CY148,0,DD148,CU148,CV148,BT148*365.25,OCallPut,0),0)</f>
        <v>#VALUE!</v>
      </c>
      <c r="DX148" s="1316" t="e">
        <f aca="false">IF(AND(BX148&gt;0,CT148&gt;0,DE148&gt;0,CU148&gt;0),newSPRDOPT(BX148,CT148,CZ148,0,DE148,CU148,CV148,BT148*365.25,OCallPut,0),0)</f>
        <v>#VALUE!</v>
      </c>
      <c r="DY148" s="1591" t="e">
        <f aca="false">IF(BS148,(DH148*BH148+DI148*BI148+DW148*BJ148+DX148*BK148)/BS148,0)</f>
        <v>#VALUE!</v>
      </c>
      <c r="DZ148" s="1551" t="e">
        <f aca="false">DH148*AZ148</f>
        <v>#VALUE!</v>
      </c>
      <c r="EA148" s="1551" t="e">
        <f aca="false">DI148*BA148</f>
        <v>#VALUE!</v>
      </c>
      <c r="EB148" s="1551" t="e">
        <f aca="false">DJ148*BB148</f>
        <v>#VALUE!</v>
      </c>
      <c r="EC148" s="1551" t="e">
        <f aca="false">DK148*BC148</f>
        <v>#VALUE!</v>
      </c>
      <c r="ED148" s="1551" t="e">
        <f aca="false">DL148*BQ148</f>
        <v>#VALUE!</v>
      </c>
      <c r="EE148" s="1595" t="e">
        <f aca="false">IF(BQ148,IF(OCallPut,IF(BU148&gt;(CO148+CW148),BU148-(CO148+CW148),0),IF((CO148+CW148)&gt;BU148,(CO148+CW148)-BU148,0))*AZ148,0)</f>
        <v>#VALUE!</v>
      </c>
      <c r="EF148" s="1596" t="e">
        <f aca="false">IF(BQ148,IF(OCallPut,IF(BV148&gt;(CP148+CX148),BV148-(CP148+CX148),0),IF((CP148+CX148)&gt;BV148,(CP148+CX148)-BV148,0))*BA148,0)</f>
        <v>#VALUE!</v>
      </c>
      <c r="EG148" s="1596" t="e">
        <f aca="false">IF(BQ148,IF(OCallPut,IF(BW148&gt;(CQ148+CY148),BW148-(CQ148+CY148),0),IF((CQ148+CY148)&gt;BW148,(CQ148+CY148)-BW148,0))*BB148,0)</f>
        <v>#VALUE!</v>
      </c>
      <c r="EH148" s="1596" t="e">
        <f aca="false">IF(BQ148,IF(OCallPut,IF(BX148&gt;(CR148+CZ148),BX148-(CR148+CZ148),0),IF((CR148+CZ148)&gt;BX148,(CR148+CZ148)-BX148,0))*BC148,0)</f>
        <v>#VALUE!</v>
      </c>
      <c r="EI148" s="1597" t="e">
        <f aca="false">IF(BQ148,IF(OVolType,IF(OCallPut,IF(BZ148&gt;(CS148+DA148),BZ148-(CS148+DA148),0),IF((CS148+DA148)&gt;BZ148,(CS148+DA148)-BZ148,0))*BQ148,SUM(EE148:EH148)),0)</f>
        <v>#VALUE!</v>
      </c>
      <c r="EJ148" s="1595" t="e">
        <f aca="false">DZ148-EE148</f>
        <v>#VALUE!</v>
      </c>
      <c r="EK148" s="1596" t="e">
        <f aca="false">EA148-EF148</f>
        <v>#VALUE!</v>
      </c>
      <c r="EL148" s="1596" t="e">
        <f aca="false">EB148-EG148</f>
        <v>#VALUE!</v>
      </c>
      <c r="EM148" s="1596" t="e">
        <f aca="false">EC148-EH148</f>
        <v>#VALUE!</v>
      </c>
      <c r="EN148" s="1597" t="e">
        <f aca="false">ED148-EI148</f>
        <v>#VALUE!</v>
      </c>
      <c r="EO148" s="1551" t="e">
        <f aca="false">DH148*BH148</f>
        <v>#VALUE!</v>
      </c>
      <c r="EP148" s="1551" t="e">
        <f aca="false">DI148*BI148</f>
        <v>#VALUE!</v>
      </c>
      <c r="EQ148" s="1551" t="e">
        <f aca="false">DW148*BJ148</f>
        <v>#VALUE!</v>
      </c>
      <c r="ER148" s="1551" t="e">
        <f aca="false">DX148*BK148</f>
        <v>#VALUE!</v>
      </c>
      <c r="ES148" s="1551" t="e">
        <f aca="false">DY148*BS148</f>
        <v>#VALUE!</v>
      </c>
      <c r="ET148" s="1566" t="e">
        <f aca="false">IF(EI148,IF(OCallPut,IF(CA148&gt;(CT148+CW148),CA148-(CT148+CW148),0),IF((CT148+CW148)&gt;CA148,(CT148+CW148)-CA148,0))*BH148,0)</f>
        <v>#VALUE!</v>
      </c>
      <c r="EU148" s="1551" t="e">
        <f aca="false">IF(EI148,IF(OCallPut,IF(CB148&gt;(CT148+CX148),CB148-(CT148+CX148),0),IF((CT148+CX148)&gt;CB148,(CT148+CX148)-CB148,0))*BI148,0)</f>
        <v>#VALUE!</v>
      </c>
      <c r="EV148" s="1551" t="e">
        <f aca="false">IF(EI148,IF(OCallPut,IF(CC148&gt;(CT148+CY148),CC148-(CT148+CY148),0),IF((CT148+CY148)&gt;CC148,(CT148+CY148)-CC148,0))*BJ148,0)</f>
        <v>#VALUE!</v>
      </c>
      <c r="EW148" s="1551" t="e">
        <f aca="false">IF(EI148,IF(OCallPut,IF(CD148&gt;(CT148+CZ148),CD148-(CT148+CZ148),0),IF((CT148+CZ148)&gt;CD148,(CT148+CZ148)-CD148,0))*BK148,0)</f>
        <v>#VALUE!</v>
      </c>
      <c r="EX148" s="1558" t="e">
        <f aca="false">IF(EI148,SUM(ET148:EW148),0)</f>
        <v>#VALUE!</v>
      </c>
      <c r="EY148" s="1551" t="e">
        <f aca="false">EO148-ET148</f>
        <v>#VALUE!</v>
      </c>
      <c r="EZ148" s="1551" t="e">
        <f aca="false">EP148-EU148</f>
        <v>#VALUE!</v>
      </c>
      <c r="FA148" s="1551" t="e">
        <f aca="false">EQ148-EV148</f>
        <v>#VALUE!</v>
      </c>
      <c r="FB148" s="1551" t="e">
        <f aca="false">ER148-EW148</f>
        <v>#VALUE!</v>
      </c>
      <c r="FC148" s="1551" t="e">
        <f aca="false">ES148-EX148</f>
        <v>#VALUE!</v>
      </c>
      <c r="FD148" s="1525" t="n">
        <f aca="false">IF(AX148,IF(VLOOKUP(C148,MAIN!$L$17:$M$28,2)="Yes",VLOOKUP(CALC!B148,MAIN!$H$17:$I$20,2),0),0)</f>
        <v>0</v>
      </c>
      <c r="FE148" s="1552" t="e">
        <f aca="false">$FD148*16*AT148*(1-$AY148)</f>
        <v>#VALUE!</v>
      </c>
      <c r="FF148" s="1553" t="e">
        <f aca="false">$FD148*16*AU148*(1-$AY148)</f>
        <v>#VALUE!</v>
      </c>
      <c r="FG148" s="1553" t="e">
        <f aca="false">$FD148*16*(AV148+AW148)*(1-$AY148)</f>
        <v>#VALUE!</v>
      </c>
      <c r="FH148" s="1554" t="n">
        <f aca="false">$FD148*8*AX148*(1-$AY148)</f>
        <v>0</v>
      </c>
      <c r="FI148" s="1555" t="n">
        <f aca="false">IF(AX148,VLOOKUP(CALC!B148,MAIN!$H$17:$K$20,4),0)</f>
        <v>0</v>
      </c>
      <c r="FJ148" s="1553" t="e">
        <f aca="false">SUM(FE148:FH148)</f>
        <v>#VALUE!</v>
      </c>
      <c r="FK148" s="1556" t="e">
        <f aca="false">FI148*FJ148</f>
        <v>#VALUE!</v>
      </c>
      <c r="FL148" s="1551" t="e">
        <f aca="false">IF($EI148&gt;0,MIN(FE148,AZ148*(1+VLOOKUP($C148,WeatherCapacityAdjustment,2))),0)</f>
        <v>#VALUE!</v>
      </c>
      <c r="FM148" s="1551" t="e">
        <f aca="false">IF($EI148&gt;0,MIN(FF148,BA148*(1+VLOOKUP($C148,WeatherCapacityAdjustment,2))),0)</f>
        <v>#VALUE!</v>
      </c>
      <c r="FN148" s="1551" t="e">
        <f aca="false">IF($EI148&gt;0,MIN(FG148,BB148*(1+VLOOKUP($C148,WeatherCapacityAdjustment,2))),0)</f>
        <v>#VALUE!</v>
      </c>
      <c r="FO148" s="1564" t="e">
        <f aca="false">IF($EI148&gt;0,MIN(FH148,BC148*(1+VLOOKUP($C148,WeatherCapacityAdjustment,3))),0)</f>
        <v>#VALUE!</v>
      </c>
      <c r="FP148" s="1551" t="e">
        <f aca="false">IF(ET148&gt;0,MIN(FE148-FL148,BH148*(1+VLOOKUP($C148,WeatherCapacityAdjustment,2))),0)</f>
        <v>#VALUE!</v>
      </c>
      <c r="FQ148" s="1551" t="e">
        <f aca="false">IF(EU148&gt;0,MIN(FF148-FM148,BI148*(1+VLOOKUP($C148,WeatherCapacityAdjustment,2))),0)</f>
        <v>#VALUE!</v>
      </c>
      <c r="FR148" s="1551" t="e">
        <f aca="false">IF(EV148&gt;0,MIN(FG148-FN148,BJ148*(1+VLOOKUP($C148,WeatherCapacityAdjustment,2))),0)</f>
        <v>#VALUE!</v>
      </c>
      <c r="FS148" s="1558" t="e">
        <f aca="false">IF(EW148&gt;0,MIN(FH148-FO148,BK148*(1+VLOOKUP($C148,WeatherCapacityAdjustment,3))),0)</f>
        <v>#VALUE!</v>
      </c>
      <c r="FT148" s="1566" t="e">
        <f aca="false">IF(AND(Assumptions!$H$71="Yes",A148&gt;=Assumptions!$H$72,A148&lt;=Assumptions!$H$73),0,IF(AND($A148&gt;=Assumptions!$C$17,$A148&lt;=Assumptions!$C$18),MAX(AZ148*(1+VLOOKUP($C148,WeatherCapacityAdjustment,2))-FL148,0),0))</f>
        <v>#VALUE!</v>
      </c>
      <c r="FU148" s="1551" t="e">
        <f aca="false">IF(AND(Assumptions!$H$71="Yes",A148&gt;=Assumptions!$H$72,A148&lt;=Assumptions!$H$73),0,IF(AND($A148&gt;=Assumptions!$C$17,$A148&lt;=Assumptions!$C$18),MAX(BA148*(1+VLOOKUP($C148,WeatherCapacityAdjustment,2))-FM148,0),0))</f>
        <v>#VALUE!</v>
      </c>
      <c r="FV148" s="1551" t="e">
        <f aca="false">IF(AND(Assumptions!$H$71="Yes",A148&gt;=Assumptions!$H$72,A148&lt;=Assumptions!$H$73),0,IF(AND($A148&gt;=Assumptions!$C$17,$A148&lt;=Assumptions!$C$18),MAX(BB148*(1+VLOOKUP($C148,WeatherCapacityAdjustment,2))-FN148,0),0))</f>
        <v>#VALUE!</v>
      </c>
      <c r="FW148" s="1564" t="e">
        <f aca="false">IF(AND(Assumptions!$H$71="Yes",A148&gt;=Assumptions!$H$72,A148&lt;=Assumptions!$H$73),0,IF(AND($A148&gt;=Assumptions!$C$17,$A148&lt;=Assumptions!$C$18),MAX(BC148*(1+VLOOKUP($C148,WeatherCapacityAdjustment,3))-FO148,0),0))</f>
        <v>#VALUE!</v>
      </c>
      <c r="FX148" s="1569" t="e">
        <f aca="false">IF(AND(Assumptions!$H$71="Yes",A148&gt;=Assumptions!$H$72,A148&lt;=Assumptions!$H$73),0,IF(ET148&gt;0,MAX(BH148*(1+VLOOKUP($C148,WeatherCapacityAdjustment,2))-FP148,0),0))</f>
        <v>#VALUE!</v>
      </c>
      <c r="FY148" s="1551" t="e">
        <f aca="false">IF(AND(Assumptions!$H$71="Yes",A148&gt;=Assumptions!$H$72,A148&lt;=Assumptions!$H$73),0,IF(EU148&gt;0,MAX(BI148*(1+VLOOKUP($C148,WeatherCapacityAdjustment,3))-FQ148,0),0))</f>
        <v>#VALUE!</v>
      </c>
      <c r="FZ148" s="1551" t="e">
        <f aca="false">IF(AND(Assumptions!$H$71="Yes",A148&gt;=Assumptions!$H$72,A148&lt;=Assumptions!$H$73),0,IF(EV148&gt;0,MAX(BJ148*(1+VLOOKUP($C148,WeatherCapacityAdjustment,2))-FR148,0),0))</f>
        <v>#VALUE!</v>
      </c>
      <c r="GA148" s="1564" t="e">
        <f aca="false">IF(AND(Assumptions!$H$71="Yes",A148&gt;=Assumptions!$H$72,A148&lt;=Assumptions!$H$73),0,IF(EW148&gt;0,MAX(BK148*(1+VLOOKUP($C148,WeatherCapacityAdjustment,2))-FS148,0),0))</f>
        <v>#VALUE!</v>
      </c>
      <c r="GB148" s="1551" t="e">
        <f aca="false">SUM(FT148:GA148)</f>
        <v>#VALUE!</v>
      </c>
      <c r="GC148" s="1563" t="e">
        <f aca="false">+IF(SUM(FT148:GA148)=0,0,(SUMPRODUCT(BU148:BX148,FT148:FW148)+SUMPRODUCT(CA148:CD148,FX148:GA148))/SUM(FT148:GA148))</f>
        <v>#VALUE!</v>
      </c>
      <c r="GD148" s="1551" t="e">
        <f aca="false">(FT148*BU148+FX148*CA148+FU148*BV148+FY148*CB148+FV148*BW148+FZ148*CC148+FW148*BX148+GA148*CD148)</f>
        <v>#VALUE!</v>
      </c>
      <c r="GE148" s="1561" t="e">
        <f aca="false">+IF(BQ148,((FL148+FM148+FT148+FU148)*HeatRatePeak/1000*(1+VLOOKUP($C148,WeatherHeatRateAdjustment,2))+(FN148+FV148)*IF(EV148&gt;0,HeatRatePeak,HeatRateOffPeak)/1000*(1+VLOOKUP($C148,WeatherHeatRateAdjustment,2))+(FO148+FW148)*IF(EW148&gt;0,HeatRatePeak,HeatRateOffPeak)/1000*(1+VLOOKUP($C148,WeatherHeatRateAdjustment,3)))*(1+VLOOKUP($B148,HeatRateDegradation,$C148+1)),0)</f>
        <v>#VALUE!</v>
      </c>
      <c r="GF148" s="1562" t="e">
        <f aca="false">IF(BQ148,((FP148+FQ148+FR148+FX148+FY148+FZ148)*HeatRatePeak/1000*(1+VLOOKUP($C148,WeatherHeatRateAdjustment,2))+(FS148+GA148)*HeatRatePeak/1000*(1+VLOOKUP($C148,WeatherHeatRateAdjustment,3)))*(1+VLOOKUP($B148,HeatRateDegradation,$C148+1)),0)</f>
        <v>#VALUE!</v>
      </c>
      <c r="GG148" s="1563" t="e">
        <f aca="false">IF(BQ148,VLOOKUP(A148,GasTable,13),0)</f>
        <v>#VALUE!</v>
      </c>
      <c r="GH148" s="1564" t="e">
        <f aca="false">(GE148+GF148)*GG148</f>
        <v>#VALUE!</v>
      </c>
      <c r="GI148" s="1569" t="e">
        <f aca="false">GB148</f>
        <v>#VALUE!</v>
      </c>
      <c r="GJ148" s="1598" t="e">
        <f aca="false">+DA148</f>
        <v>#VALUE!</v>
      </c>
      <c r="GK148" s="1558" t="e">
        <f aca="false">+GI148*GJ148</f>
        <v>#VALUE!</v>
      </c>
      <c r="GL148" s="1566" t="e">
        <f aca="false">MAX(FE148-FL148-FP148,0)</f>
        <v>#VALUE!</v>
      </c>
      <c r="GM148" s="1551" t="e">
        <f aca="false">MAX(FF148-FM148-FQ148,0)</f>
        <v>#VALUE!</v>
      </c>
      <c r="GN148" s="1551" t="e">
        <f aca="false">MAX(FG148-FN148-FR148,0)</f>
        <v>#VALUE!</v>
      </c>
      <c r="GO148" s="1564" t="e">
        <f aca="false">MAX(FH148-FO148-FS148,0)</f>
        <v>#VALUE!</v>
      </c>
      <c r="GP148" s="1551" t="e">
        <f aca="false">SUM(GL148:GO148)</f>
        <v>#VALUE!</v>
      </c>
      <c r="GQ148" s="1563" t="e">
        <f aca="false">IF(SUM(GL148:GO148)=0,0,((GL148*BU148+GM148*BV148+GN148*BW148+GO148*BX148)/SUM(GL148:GO148)))</f>
        <v>#VALUE!</v>
      </c>
      <c r="GR148" s="1558" t="e">
        <f aca="false">(GL148*BU148+GM148*BV148+GN148*BW148+GO148*BX148)</f>
        <v>#VALUE!</v>
      </c>
      <c r="GS148" s="1566" t="n">
        <f aca="false">IF($A148&gt;=BegDate,Assumptions!$C$56*24*($A149-$A148)*(1-VLOOKUP($B148,MAIN!$AA$7:$AM$28,$C148+1))*(1-VLOOKUP($B148,MAIN!$AA$33:$AM$54,$C148+1)),0)*80/168</f>
        <v>224485.714285714</v>
      </c>
      <c r="GT148" s="286" t="n">
        <f aca="false">J148</f>
        <v>37.8750464951637</v>
      </c>
      <c r="GU148" s="286" t="n">
        <f aca="false">IF($A148&gt;=BegDate,VLOOKUP($A148,GasTable,13)+Assumptions!$C$58,0)</f>
        <v>2.80409614516985</v>
      </c>
      <c r="GV148" s="286" t="n">
        <f aca="false">GU148*Assumptions!$C$57/1000</f>
        <v>20.3296970524814</v>
      </c>
      <c r="GW148" s="1558" t="n">
        <f aca="false">IF(Assumptions!$C$60="Hourly",MAX(0,GS148*(GT148-GV148)),GS148*(GT148-GV148))</f>
        <v>3938680.302033</v>
      </c>
      <c r="GX148" s="1566" t="n">
        <f aca="false">IF($A148&gt;=BegDate,Assumptions!$C$56*24*($A149-$A148)*(1-VLOOKUP($B148,MAIN!$AA$7:$AM$28,$C148+1))*(1-VLOOKUP($B148,MAIN!$AA$33:$AM$54,$C148+1)),0)*16/168</f>
        <v>44897.1428571429</v>
      </c>
      <c r="GY148" s="286" t="n">
        <f aca="false">M148</f>
        <v>37.8750464951637</v>
      </c>
      <c r="GZ148" s="286" t="n">
        <f aca="false">IF($A148&gt;=BegDate,VLOOKUP($A148,GasTable,13)+Assumptions!$C$58,0)</f>
        <v>2.80409614516985</v>
      </c>
      <c r="HA148" s="286" t="n">
        <f aca="false">GZ148*Assumptions!$C$57/1000</f>
        <v>20.3296970524814</v>
      </c>
      <c r="HB148" s="1558" t="n">
        <f aca="false">IF(Assumptions!$C$60="Hourly",MAX(0,GX148*(GY148-HA148)),GX148*(GY148-HA148))</f>
        <v>787736.0604066</v>
      </c>
      <c r="HC148" s="1566" t="n">
        <f aca="false">IF($A148&gt;=BegDate,Assumptions!$C$56*24*($A149-$A148)*(1-VLOOKUP($B148,MAIN!$AA$7:$AM$28,$C148+1))*(1-VLOOKUP($B148,MAIN!$AA$33:$AM$54,$C148+1)),0)*16/168</f>
        <v>44897.1428571429</v>
      </c>
      <c r="HD148" s="286" t="n">
        <f aca="false">P148</f>
        <v>24.6515120505249</v>
      </c>
      <c r="HE148" s="286" t="n">
        <f aca="false">IF($A148&gt;=BegDate,VLOOKUP($A148,GasTable,13)+Assumptions!$C$58,0)</f>
        <v>2.80409614516985</v>
      </c>
      <c r="HF148" s="286" t="n">
        <f aca="false">HE148*Assumptions!$C$57/1000</f>
        <v>20.3296970524814</v>
      </c>
      <c r="HG148" s="1558" t="n">
        <f aca="false">IF(Assumptions!$C$60="Hourly",MAX(0,HC148*(HD148-HF148)),HC148*(HD148-HF148))</f>
        <v>194037.145369302</v>
      </c>
      <c r="HH148" s="1566" t="n">
        <f aca="false">IF($A148&gt;=BegDate,Assumptions!$C$56*24*($A149-$A148)*(1-VLOOKUP($B148,MAIN!$AA$7:$AM$28,$C148+1))*(1-VLOOKUP($B148,MAIN!$AA$33:$AM$54,$C148+1)),0)*56/168</f>
        <v>157140</v>
      </c>
      <c r="HI148" s="286" t="n">
        <f aca="false">S148</f>
        <v>24.6515120505249</v>
      </c>
      <c r="HJ148" s="286" t="n">
        <f aca="false">IF($A148&gt;=BegDate,VLOOKUP($A148,GasTable,13)+Assumptions!$C$58,0)</f>
        <v>2.80409614516985</v>
      </c>
      <c r="HK148" s="286" t="n">
        <f aca="false">HJ148*Assumptions!$C$57/1000</f>
        <v>20.3296970524814</v>
      </c>
      <c r="HL148" s="1558" t="n">
        <f aca="false">IF(Assumptions!$C$60="Hourly",MAX(0,HH148*(HI148-HK148)),HH148*(HI148-HK148))</f>
        <v>679130.008792557</v>
      </c>
      <c r="HM148" s="1566" t="n">
        <f aca="false">IF(AND(Assumptions!$H$71="Yes",A148&gt;=Assumptions!$H$72,A148&lt;=Assumptions!$H$73),Assumptions!$H$74*Assumptions!$C$9*1000,0)</f>
        <v>0</v>
      </c>
      <c r="HN148" s="1551"/>
      <c r="HO148" s="1563"/>
      <c r="HP148" s="1563"/>
      <c r="HQ148" s="1563"/>
      <c r="HR148" s="1563"/>
      <c r="HS148" s="1563"/>
      <c r="HT148" s="1563"/>
      <c r="HU148" s="1563"/>
      <c r="HV148" s="1563"/>
      <c r="HW148" s="1563"/>
      <c r="HX148" s="1563"/>
      <c r="HY148" s="1563"/>
      <c r="HZ148" s="1563"/>
      <c r="IA148" s="1563"/>
      <c r="IB148" s="1563"/>
      <c r="IC148" s="1563"/>
      <c r="ID148" s="1563"/>
      <c r="IE148" s="1563"/>
      <c r="IF148" s="1563"/>
      <c r="IG148" s="1563"/>
      <c r="IH148" s="1563"/>
      <c r="II148" s="1610"/>
      <c r="IJ148" s="1309"/>
      <c r="IK148" s="1309"/>
    </row>
    <row r="149" customFormat="false" ht="12.75" hidden="false" customHeight="false" outlineLevel="0" collapsed="false">
      <c r="A149" s="1571" t="n">
        <f aca="false">EOMONTH(A148,0)+1</f>
        <v>40664</v>
      </c>
      <c r="B149" s="594" t="n">
        <f aca="false">+YEAR(A149)</f>
        <v>2011</v>
      </c>
      <c r="C149" s="238" t="n">
        <f aca="false">MONTH(A149)</f>
        <v>5</v>
      </c>
      <c r="D149" s="1572" t="e">
        <f aca="false">IF(E149="","",Holiday(B149,C149))</f>
        <v>#VALUE!</v>
      </c>
      <c r="E149" s="1573" t="n">
        <f aca="false">IF(OR(BegDate&gt;=A150,EndDate&lt;A149,AND(VolumeMonthlyOverFlag,INDEX(VolumeMonthlyOver,C149)=0),NOT(INDEX(MonthKnockOutTable,C149))),"",MAX(A149,BegDate))</f>
        <v>40664</v>
      </c>
      <c r="F149" s="1574" t="n">
        <f aca="false">IF(E149="","",MIN(A150-1,EndDate))</f>
        <v>40694</v>
      </c>
      <c r="G149" s="1575" t="n">
        <v>0</v>
      </c>
      <c r="H149" s="1576" t="n">
        <f aca="false">(1+G149/2)^(-2*(DATE(B150,C150,20)-DateToday)/365.25)</f>
        <v>1</v>
      </c>
      <c r="I149" s="1568" t="n">
        <f aca="false">IF(Assumptions!$L$25=4,VLOOKUP($A149,'Henwood Reference'!$E$9:$R$320,10),(VLOOKUP($A149,PriceTable,2,0)+IF(BasisNumber&lt;&gt;1,VLOOKUP($A149,BasisTable,2,0),0)+I$1)/(1-I$2))</f>
        <v>40.2671743270842</v>
      </c>
      <c r="J149" s="1568" t="n">
        <f aca="false">IF(Assumptions!$L$25=4,VLOOKUP($A149,'Henwood Reference'!$E$9:$R$320,10),(VLOOKUP($A149,PriceTable,3,0)+IF(BasisNumber&lt;&gt;1,VLOOKUP($A149,BasisTable,2,0),0)+J$1)/(1-J$2))</f>
        <v>40.2671743270842</v>
      </c>
      <c r="K149" s="1568" t="n">
        <f aca="false">IF(Assumptions!$L$25=4,VLOOKUP($A149,'Henwood Reference'!$E$9:$R$320,10),(VLOOKUP($A149,PriceTable,4,0)+IF(BasisNumber&lt;&gt;1,VLOOKUP($A149,BasisTable,2,0),0)+K$1)/(1-K$2))</f>
        <v>40.2671743270842</v>
      </c>
      <c r="L149" s="1523" t="n">
        <f aca="false">IF(Assumptions!$L$25=4,VLOOKUP($A149,'Henwood Reference'!$E$9:$R$320,10),(VLOOKUP($A149,PriceTableWeekend,2,0)+IF(BasisNumber&lt;&gt;1,VLOOKUP($A149,BasisTable,2,0),0)+L$1)/(1-L$2))</f>
        <v>40.2671743270842</v>
      </c>
      <c r="M149" s="1568" t="n">
        <f aca="false">IF(Assumptions!$L$25=4,VLOOKUP($A149,'Henwood Reference'!$E$9:$R$320,10),(VLOOKUP($A149,PriceTableWeekend,3,0)+IF(BasisNumber&lt;&gt;1,VLOOKUP($A149,BasisTable,2,0),0)+M$1)/(1-M$2))</f>
        <v>40.2671743270842</v>
      </c>
      <c r="N149" s="1599" t="n">
        <f aca="false">IF(Assumptions!$L$25=4,VLOOKUP($A149,'Henwood Reference'!$E$9:$R$320,10),(VLOOKUP($A149,PriceTableWeekend,4,0)+IF(BasisNumber&lt;&gt;1,VLOOKUP($A149,BasisTable,2,0),0)+N$1)/(1-N$2))</f>
        <v>40.2671743270842</v>
      </c>
      <c r="O149" s="1568" t="n">
        <f aca="false">IF(Assumptions!$L$25=4,VLOOKUP($A149,'Henwood Reference'!$E$9:$R$320,11),(VLOOKUP($A149,PriceTableWeekend,6,0)+IF(BasisNumber&lt;&gt;1,VLOOKUP($A149,BasisTable,3,0),0)+O$1)/(1-O$2))</f>
        <v>24.636715896255</v>
      </c>
      <c r="P149" s="1568" t="n">
        <f aca="false">IF(Assumptions!$L$25=4,VLOOKUP($A149,'Henwood Reference'!$E$9:$R$320,11),(VLOOKUP($A149,PriceTableWeekend,7,0)+IF(BasisNumber&lt;&gt;1,VLOOKUP($A149,BasisTable,3,0),0)+P$1)/(1-P$2))</f>
        <v>24.636715896255</v>
      </c>
      <c r="Q149" s="1599" t="n">
        <f aca="false">IF(Assumptions!$L$25=4,VLOOKUP($A149,'Henwood Reference'!$E$9:$R$320,11),(VLOOKUP($A149,PriceTableWeekend,8,0)+IF(BasisNumber&lt;&gt;1,VLOOKUP($A149,BasisTable,3,0),0)+Q$1)/(1-Q$2))</f>
        <v>24.636715896255</v>
      </c>
      <c r="R149" s="1568" t="n">
        <f aca="false">IF(Assumptions!$L$25=4,VLOOKUP($A149,'Henwood Reference'!$E$9:$R$320,11),(VLOOKUP($A149,PriceTable,6,0)+IF(BasisNumber&lt;&gt;1,VLOOKUP($A149,BasisTable,3,0),0)+R$1)/(1-R$2))</f>
        <v>24.636715896255</v>
      </c>
      <c r="S149" s="1568" t="n">
        <f aca="false">IF(Assumptions!$L$25=4,VLOOKUP($A149,'Henwood Reference'!$E$9:$R$320,11),(VLOOKUP($A149,PriceTable,7,0)+IF(BasisNumber&lt;&gt;1,VLOOKUP($A149,BasisTable,3,0),0)+S$1)/(1-S$2))</f>
        <v>24.636715896255</v>
      </c>
      <c r="T149" s="1600" t="n">
        <f aca="false">IF(Assumptions!$L$25=4,VLOOKUP($A149,'Henwood Reference'!$E$9:$R$320,11),(VLOOKUP($A149,PriceTable,8,0)+IF(BasisNumber&lt;&gt;1,VLOOKUP($A149,BasisTable,3,0),0)+T$1)/(1-T$2))</f>
        <v>24.636715896255</v>
      </c>
      <c r="U149" s="1513" t="n">
        <f aca="false">VLOOKUP($A149,VolatilityTable,14)</f>
        <v>0.115</v>
      </c>
      <c r="V149" s="1513" t="n">
        <f aca="false">VLOOKUP($A149,VolatilityTable,15)</f>
        <v>0.125</v>
      </c>
      <c r="W149" s="1514" t="n">
        <f aca="false">VLOOKUP($A149,VolatilityTable,16)</f>
        <v>0.135</v>
      </c>
      <c r="X149" s="1513" t="n">
        <f aca="false">VLOOKUP($A149,VolatilityTable,14)</f>
        <v>0.115</v>
      </c>
      <c r="Y149" s="1513" t="n">
        <f aca="false">VLOOKUP($A149,VolatilityTable,15)</f>
        <v>0.125</v>
      </c>
      <c r="Z149" s="1514" t="n">
        <f aca="false">VLOOKUP($A149,VolatilityTable,16)</f>
        <v>0.135</v>
      </c>
      <c r="AA149" s="1513" t="n">
        <f aca="false">VLOOKUP($A149,VolatilityTable,18)</f>
        <v>0.09</v>
      </c>
      <c r="AB149" s="1513" t="n">
        <f aca="false">VLOOKUP($A149,VolatilityTable,19)</f>
        <v>0.11</v>
      </c>
      <c r="AC149" s="1514" t="n">
        <f aca="false">VLOOKUP($A149,VolatilityTable,20)</f>
        <v>0.13</v>
      </c>
      <c r="AD149" s="1513" t="n">
        <f aca="false">VLOOKUP($A149,VolatilityTable,18)</f>
        <v>0.09</v>
      </c>
      <c r="AE149" s="1513" t="n">
        <f aca="false">VLOOKUP($A149,VolatilityTable,19)</f>
        <v>0.11</v>
      </c>
      <c r="AF149" s="1514" t="n">
        <f aca="false">VLOOKUP($A149,VolatilityTable,20)</f>
        <v>0.13</v>
      </c>
      <c r="AG149" s="1513" t="n">
        <f aca="false">VLOOKUP($A149,VolatilityTable,22)</f>
        <v>-0.1</v>
      </c>
      <c r="AH149" s="1513" t="n">
        <f aca="false">VLOOKUP($A149,VolatilityTable,23)</f>
        <v>0.65</v>
      </c>
      <c r="AI149" s="1514" t="n">
        <f aca="false">VLOOKUP($A149,VolatilityTable,24)</f>
        <v>0.1</v>
      </c>
      <c r="AJ149" s="1513" t="n">
        <f aca="false">VLOOKUP($A149,VolatilityTable,22)</f>
        <v>-0.1</v>
      </c>
      <c r="AK149" s="1513" t="n">
        <f aca="false">VLOOKUP($A149,VolatilityTable,23)</f>
        <v>0.65</v>
      </c>
      <c r="AL149" s="1514" t="n">
        <f aca="false">VLOOKUP($A149,VolatilityTable,24)</f>
        <v>0.1</v>
      </c>
      <c r="AM149" s="1513" t="n">
        <f aca="false">VLOOKUP($A149,VolatilityTable,26)</f>
        <v>-0.01</v>
      </c>
      <c r="AN149" s="1513" t="n">
        <f aca="false">VLOOKUP($A149,VolatilityTable,27)</f>
        <v>0.16</v>
      </c>
      <c r="AO149" s="1514" t="n">
        <f aca="false">VLOOKUP($A149,VolatilityTable,28)</f>
        <v>0.01</v>
      </c>
      <c r="AP149" s="1513" t="n">
        <f aca="false">VLOOKUP($A149,VolatilityTable,26)</f>
        <v>-0.01</v>
      </c>
      <c r="AQ149" s="1513" t="n">
        <f aca="false">VLOOKUP($A149,VolatilityTable,27)</f>
        <v>0.16</v>
      </c>
      <c r="AR149" s="1515" t="n">
        <f aca="false">VLOOKUP($A149,VolatilityTable,28)</f>
        <v>0.01</v>
      </c>
      <c r="AS149" s="1581" t="n">
        <f aca="false">IF(CorrPeakOffPeakOverFlag,INDEX(CorrPeakOffPeakOver,C149),CorrPeakOffPeak)</f>
        <v>0.5</v>
      </c>
      <c r="AT149" s="594" t="e">
        <f aca="false">AX149-SUM(AU149:AW149)</f>
        <v>#VALUE!</v>
      </c>
      <c r="AU149" s="238" t="e">
        <f aca="false">IF(E149="",0,INT((F149-MOD(F149,7)-E149)/7)+1-IF(AW149,IF(WEEKDAY(D149)=7,1,0),0))</f>
        <v>#VALUE!</v>
      </c>
      <c r="AV149" s="238" t="e">
        <f aca="false">IF(E149="",0,INT((F149-MOD(F149-1,7)-E149)/7)+1-IF(AW149,IF(WEEKDAY(D149)=1,1,0),0))</f>
        <v>#VALUE!</v>
      </c>
      <c r="AW149" s="238" t="e">
        <f aca="false">IF(OR(E149="",D149="",D149&lt;BegDate,D149&gt;EndDate),0,1)</f>
        <v>#VALUE!</v>
      </c>
      <c r="AX149" s="238" t="n">
        <f aca="false">IF(E149="",0,F149-E149+1)</f>
        <v>31</v>
      </c>
      <c r="AY149" s="1582" t="n">
        <f aca="false">IF(E149="",0,MIN((1-(1-VLOOKUP(B149,MAIN!$AA$7:$AM$28,C149+1))*(1-VLOOKUP(B149,MAIN!$AA$33:$AM$54,C149+1))),1))</f>
        <v>0.03</v>
      </c>
      <c r="AZ149" s="1519" t="e">
        <v>#VALUE!</v>
      </c>
      <c r="BA149" s="1520" t="e">
        <v>#VALUE!</v>
      </c>
      <c r="BB149" s="1520" t="e">
        <v>#VALUE!</v>
      </c>
      <c r="BC149" s="1583" t="e">
        <v>#VALUE!</v>
      </c>
      <c r="BD149" s="1522" t="e">
        <v>#VALUE!</v>
      </c>
      <c r="BE149" s="1523" t="e">
        <v>#VALUE!</v>
      </c>
      <c r="BF149" s="1523" t="e">
        <v>#VALUE!</v>
      </c>
      <c r="BG149" s="1584" t="e">
        <v>#VALUE!</v>
      </c>
      <c r="BH149" s="1525" t="e">
        <v>#VALUE!</v>
      </c>
      <c r="BI149" s="1520" t="e">
        <v>#VALUE!</v>
      </c>
      <c r="BJ149" s="1520" t="e">
        <v>#VALUE!</v>
      </c>
      <c r="BK149" s="1583" t="e">
        <v>#VALUE!</v>
      </c>
      <c r="BL149" s="1522" t="e">
        <v>#VALUE!</v>
      </c>
      <c r="BM149" s="1523" t="e">
        <v>#VALUE!</v>
      </c>
      <c r="BN149" s="1523" t="e">
        <v>#VALUE!</v>
      </c>
      <c r="BO149" s="1523" t="e">
        <v>#VALUE!</v>
      </c>
      <c r="BP149" s="1525" t="e">
        <f aca="false">SUM(AZ149:BB149)</f>
        <v>#VALUE!</v>
      </c>
      <c r="BQ149" s="1529" t="e">
        <f aca="false">SUM(AZ149:BC149)</f>
        <v>#VALUE!</v>
      </c>
      <c r="BR149" s="1519" t="e">
        <f aca="false">SUM(BH149:BJ149)</f>
        <v>#VALUE!</v>
      </c>
      <c r="BS149" s="1529" t="e">
        <f aca="false">SUM(BH149:BK149)</f>
        <v>#VALUE!</v>
      </c>
      <c r="BT149" s="1316" t="n">
        <f aca="false">(IF(OVolType&lt;&gt;2,A149+14,IF(OptExpDateShift,ShiftBack(A149,OptExpDateShift,D148),A149))-DateToday)/365.25</f>
        <v>11.0444900752909</v>
      </c>
      <c r="BU149" s="1585" t="e">
        <f aca="false">IF(BQ149,IF(OPriceCurve,IF(OBuySell=OCallPut,I149/(1-AY149),K149/(1-AY149)),J149/(1-AY149))*BD149,0)</f>
        <v>#VALUE!</v>
      </c>
      <c r="BV149" s="1316" t="e">
        <f aca="false">IF(BQ149,IF(OPriceCurve,IF(OBuySell=OCallPut,L149/(1-AY149),N149/(1-AY149)),M149/(1-AY149))*BE149,0)</f>
        <v>#VALUE!</v>
      </c>
      <c r="BW149" s="1316" t="e">
        <f aca="false">IF(BQ149,IF(OPriceCurve,IF(OBuySell=OCallPut,O149/(1-AY149),Q149/(1-AY149)),P149/(1-AY149))*BF149,0)</f>
        <v>#VALUE!</v>
      </c>
      <c r="BX149" s="1316" t="e">
        <f aca="false">IF(BQ149,IF(OPriceCurve,IF(OBuySell=OCallPut,R149/(1-AY149),T149/(1-AY149)),S149/(1-AY149))*BG149,0)</f>
        <v>#VALUE!</v>
      </c>
      <c r="BY149" s="1316" t="e">
        <f aca="false">IF(BP149,(BU149*AZ149+BV149*BA149+BW149*BB149)/BP149,0)</f>
        <v>#VALUE!</v>
      </c>
      <c r="BZ149" s="1316" t="e">
        <f aca="false">IF(BQ149,(BY149*BP149+BX149*BC149)/BQ149,0)</f>
        <v>#VALUE!</v>
      </c>
      <c r="CA149" s="1531" t="e">
        <f aca="false">IF(BS149,IF(OPriceCurve,IF(OBuySell=OCallPut,I149/(1-AY149),K149/(1-AY149)),J149/(1-AY149))*BL149,0)</f>
        <v>#VALUE!</v>
      </c>
      <c r="CB149" s="1316" t="e">
        <f aca="false">IF(BS149,IF(OPriceCurve,IF(OBuySell=OCallPut,L149/(1-AY149),N149/(1-AY149)),M149/(1-AY149))*BM149,0)</f>
        <v>#VALUE!</v>
      </c>
      <c r="CC149" s="1316" t="e">
        <f aca="false">IF(BS149,IF(OPriceCurve,IF(OBuySell=OCallPut,O149/(1-AY149),Q149/(1-AY149)),P149/(1-AY149))*BN149,0)</f>
        <v>#VALUE!</v>
      </c>
      <c r="CD149" s="1316" t="e">
        <f aca="false">IF(BS149,IF(OPriceCurve,IF(OBuySell=OCallPut,R149/(1-AY149),T149/(1-AY149)),S149/(1-AY149))*BO149,0)</f>
        <v>#VALUE!</v>
      </c>
      <c r="CE149" s="1316" t="e">
        <f aca="false">IF(BR149,(BU149*BH149+BV149*BI149+BW149*BJ149)/BR149,0)</f>
        <v>#VALUE!</v>
      </c>
      <c r="CF149" s="1532" t="e">
        <f aca="false">IF(BS149,(CE149*BR149+CD149*BK149)/BS149,0)</f>
        <v>#VALUE!</v>
      </c>
      <c r="CG149" s="1586" t="e">
        <f aca="false">IF(OR(BQ149,BS149),IF(OVolType&lt;&gt;2,SQRT(IF(OVolOverMonthlyPeak,OVolOverMonthlyPeak,IF(OVolCurve,IF(OBuySell,U149,W149),V149))^2*(1-15/365.25/BT149)+IF(OVolOverDailyPeak,OVolOverDailyPeak,IF(OVolCurve,IF(OBuySell,AG149,AI149),AH149))^2*15/365.25/BT149),IF(OVolOverMonthlyPeak,OVolOverMonthlyPeak,IF(OVolCurve,IF(OBuySell,U149,W149),V149))),"")</f>
        <v>#VALUE!</v>
      </c>
      <c r="CH149" s="1587" t="e">
        <f aca="false">IF(OR(BQ149,BS149),IF(OVolType&lt;&gt;2,SQRT(IF(OVolOverMonthlyPeak,OVolOverMonthlyPeak,IF(OVolCurve,IF(OBuySell,X149,Z149),Y149))^2*(1-15/365.25/BT149)+IF(OVolOverDailyPeak,OVolOverDailyPeak,IF(OVolCurve,IF(OBuySell,AJ149,AL149),AK149))^2*15/365.25/BT149),IF(OVolOverMonthlyPeak,OVolOverMonthlyPeak,IF(OVolCurve,IF(OBuySell,X149,Z149),Y149))),"")</f>
        <v>#VALUE!</v>
      </c>
      <c r="CI149" s="1587" t="e">
        <f aca="false">IF(OR(BQ149,BS149),IF(OVolType&lt;&gt;2,SQRT(IF(OVolOverMonthlyPeak,OVolOverMonthlyPeak,IF(OVolCurve,IF(OBuySell,AA149,AC149),AB149))^2*(1-15/365.25/BT149)+IF(OVolOverDailyPeak,OVolOverDailyPeak,IF(OVolCurve,IF(OBuySell,AM149,AO149),AN149))^2*15/365.25/BT149),IF(OVolOverMonthlyPeak,OVolOverMonthlyPeak,IF(OVolCurve,IF(OBuySell,AA149,AC149),AB149))),"")</f>
        <v>#VALUE!</v>
      </c>
      <c r="CJ149" s="1587" t="e">
        <f aca="false">IF(BQ149,IF(BP149,SQRT(LN(1+((BU149*AZ149)^2*(EXP(CG149^2*BT149)-1)+(BV149*BA149)^2*(EXP(CH149^2*BT149)-1)+(BW149*BB149)^2*(EXP(CI149^2*BT149)-1)+2*BU149*AZ149*BV149*BA149*(EXP(CG149*CH149*BT149)-1)+2*BV149*BA149*BW149*BB149*(EXP(CH149*CI149*BT149)-1)+2*BW149*BB149*BU149*AZ149*(EXP(CI149*CG149*BT149)-1))/(BY149*BP149)^2)/BT149),0),"")</f>
        <v>#VALUE!</v>
      </c>
      <c r="CK149" s="1587" t="e">
        <f aca="false">IF(BS149,IF(BR149,SQRT(LN(1+((CA149*BH149)^2*(EXP(CG149^2*BT149)-1)+(CB149*BI149)^2*(EXP(CH149^2*BT149)-1)+(CC149*BJ149)^2*(EXP(CI149^2*BT149)-1)+2*CA149*BH149*CB149*BI149*(EXP(CG149*CH149*BT149)-1)+2*CB149*BI149*CC149*BJ149*(EXP(CH149*CI149*BT149)-1)+2*CC149*BJ149*CA149*BH149*(EXP(CI149*CG149*BT149)-1))/(CE149*BR149)^2)/BT149),0),"")</f>
        <v>#VALUE!</v>
      </c>
      <c r="CL149" s="1587" t="e">
        <f aca="false">IF(OR(BQ149,BS149),IF(OVolType&lt;&gt;2,SQRT(IF(OVolOverMonthlyOffPeak,OVolOverMonthlyOffPeak,IF(OVolCurve,IF(OBuySell,AD149,AF149),AE149))^2*(1-15/365.25/BT149)+IF(OVolOverDailyOffPeak,OVolOverDailyOffPeak,IF(OVolCurve,IF(OBuySell,AP149,AR149),AQ149))^2*15/365.25/BT149),IF(OVolOverMonthlyOffPeak,OVolOverMonthlyOffPeak,IF(OVolCurve,IF(OBuySell,AD149,AF149),AE149))),"")</f>
        <v>#VALUE!</v>
      </c>
      <c r="CM149" s="1587" t="e">
        <f aca="false">IF(BQ149,SQRT(LN(1+((BY149*BP149)^2*(EXP(CJ149^2*BT149)-1)+(BX149*BC149)^2*(EXP(CL149^2*BT149)-1)+2*BY149*BP149*BX149*BC149*(EXP(AS149*CJ149*CL149*BT149)-1))/(BY149*BP149+BX149*BC149)^2)/BT149),"")</f>
        <v>#VALUE!</v>
      </c>
      <c r="CN149" s="1588" t="e">
        <f aca="false">IF(BS149,SQRT(LN(1+((CE149*BR149)^2*(EXP(CK149^2*BT149)-1)+(CD149*BK149)^2*(EXP(CL149^2*BT149)-1)+2*CE149*BR149*CD149*BK149*(EXP(AS149*CK149*CL149*BT149)-1))/(CE149*BR149+CD149*BK149)^2)/BT149),"")</f>
        <v>#VALUE!</v>
      </c>
      <c r="CO149" s="1531" t="e">
        <f aca="false">IF(OR(BQ149,BS149),VLOOKUP(A149,GasTable,13)*HeatRatePeak*(1+VLOOKUP($B149,HeatRateDegradation,$C149+1))/1000,0)</f>
        <v>#VALUE!</v>
      </c>
      <c r="CP149" s="1316" t="e">
        <f aca="false">IF(OR(BQ149,BS149),VLOOKUP(A149,GasTable,13)*HeatRatePeak*(1+VLOOKUP($B149,HeatRateDegradation,$C149+1))/1000,0)</f>
        <v>#VALUE!</v>
      </c>
      <c r="CQ149" s="1316" t="e">
        <f aca="false">IF(OR(BQ149,BS149),VLOOKUP(A149,GasTable,13)*IF(EV149,HeatRatePeak,HeatRateOffPeak)*(1+VLOOKUP($B149,HeatRateDegradation,$C149+1))/1000,0)</f>
        <v>#VALUE!</v>
      </c>
      <c r="CR149" s="1316" t="e">
        <f aca="false">IF(OR(BQ149,BS149),VLOOKUP(A149,GasTable,13)*IF(EW149,HeatRatePeak,HeatRateOffPeak)*(1+VLOOKUP($B149,HeatRateDegradation,$C149+1))/1000,0)</f>
        <v>#VALUE!</v>
      </c>
      <c r="CS149" s="1589" t="e">
        <f aca="false">IF(BQ149,(CO149*AZ149+CP149*BA149+CQ149*BB149+CR149*BC149)/BQ149,0)</f>
        <v>#VALUE!</v>
      </c>
      <c r="CT149" s="1316" t="e">
        <f aca="false">IF(BS149,CO149,0)</f>
        <v>#VALUE!</v>
      </c>
      <c r="CU149" s="1590" t="e">
        <f aca="false">IF(OR(BQ149,BS149),VLOOKUP(A149,GasTable,14),"")</f>
        <v>#VALUE!</v>
      </c>
      <c r="CV149" s="1568" t="e">
        <f aca="false">IF(OR(BQ149,BS149),IF(CorrPowerGasOverFlag,INDEX(CorrPowerGasOver,C149),CorrPowerGas),"")</f>
        <v>#VALUE!</v>
      </c>
      <c r="CW149" s="1316" t="e">
        <f aca="false">IF(OR($BQ149,$BS149),SpreadOptPowerMargin,0)*((1+Assumptions!$C$26)^($B149-YEAR(Assumptions!$C$17)))</f>
        <v>#VALUE!</v>
      </c>
      <c r="CX149" s="1316" t="e">
        <f aca="false">IF(OR($BQ149,$BS149),SpreadOptPowerMargin,0)*((1+Assumptions!$C$26)^($B149-YEAR(Assumptions!$C$17)))</f>
        <v>#VALUE!</v>
      </c>
      <c r="CY149" s="1316" t="e">
        <f aca="false">IF(OR($BQ149,$BS149),SpreadOptPowerMargin,0)*((1+Assumptions!$C$26)^($B149-YEAR(Assumptions!$C$17)))</f>
        <v>#VALUE!</v>
      </c>
      <c r="CZ149" s="1316" t="e">
        <f aca="false">IF(OR($BQ149,$BS149),SpreadOptPowerMargin,0)*((1+Assumptions!$C$26)^($B149-YEAR(Assumptions!$C$17)))</f>
        <v>#VALUE!</v>
      </c>
      <c r="DA149" s="1591" t="e">
        <f aca="false">IF(OR(BQ149,BS149),(CW149*(AZ149+BH149)+CX149*(BA149+BI149)+CY149*(BB149+BJ149)+CZ149*(BC149+BK149))/(BQ149+BS149),0)</f>
        <v>#VALUE!</v>
      </c>
      <c r="DB149" s="1592" t="e">
        <f aca="false">IF(OR(BQ149,BS149),CG149+IF(OVolSmile,VLOOKUP(MAX(-5,CO149+CW149-BU149),IF(OVolSmile=1,VolSmileBook,VolSmileModel),2),0),"")</f>
        <v>#VALUE!</v>
      </c>
      <c r="DC149" s="1592" t="e">
        <f aca="false">IF(OR(BQ149,BS149),CH149+IF(OVolSmile,VLOOKUP(MAX(-5,CP149+CW149-BV149),IF(OVolSmile=1,VolSmileBook,VolSmileModel),2),0),"")</f>
        <v>#VALUE!</v>
      </c>
      <c r="DD149" s="1592" t="e">
        <f aca="false">IF(OR(BQ149,BS149),CI149+IF(OVolSmile,VLOOKUP(MAX(-5,CQ149+CW149-BW149),IF(OVolSmile=1,VolSmileBook,VolSmileModel),2),0),"")</f>
        <v>#VALUE!</v>
      </c>
      <c r="DE149" s="1592" t="e">
        <f aca="false">IF(OR(BQ149,BS149),CL149+IF(OVolSmile,VLOOKUP(MAX(-5,CR149+CZ149-BX149),IF(OVolSmile=1,VolSmileBook,VolSmileModel),2),0),"")</f>
        <v>#VALUE!</v>
      </c>
      <c r="DF149" s="1592" t="e">
        <f aca="false">IF(BQ149,CM149+IF(OVolSmile,VLOOKUP(MAX(-5,CS149+DA149-BZ149),IF(OVolSmile=1,VolSmileBook,VolSmileModel),2),0),"")</f>
        <v>#VALUE!</v>
      </c>
      <c r="DG149" s="1593" t="e">
        <f aca="false">IF(BS149,CN149+IF(OVolSmile,VLOOKUP(MAX(-5,CT149+DA149-CF149),IF(OVolSmile=1,VolSmileBook,VolSmileModel),2),0),"")</f>
        <v>#VALUE!</v>
      </c>
      <c r="DH149" s="1316" t="e">
        <f aca="false">IF(AND(BU149&gt;0,CO149&gt;0,DB149&gt;0,CU149&gt;0),newSPRDOPT(BU149,CO149,CW149,0,DB149,CU149,CV149,BT149*365.25,OCallPut,0),0)</f>
        <v>#VALUE!</v>
      </c>
      <c r="DI149" s="1316" t="e">
        <f aca="false">IF(AND(BV149&gt;0,CP149&gt;0,DC149&gt;0,CU149&gt;0),newSPRDOPT(BV149,CP149,CX149,0,DC149,CU149,CV149,BT149*365.25,OCallPut,0),0)</f>
        <v>#VALUE!</v>
      </c>
      <c r="DJ149" s="1316" t="e">
        <f aca="false">IF(AND(BW149&gt;0,CQ149&gt;0,DD149&gt;0,CU149&gt;0),newSPRDOPT(BW149,CQ149,CY149,0,DD149,CU149,CV149,BT149*365.25,OCallPut,0),0)</f>
        <v>#VALUE!</v>
      </c>
      <c r="DK149" s="1316" t="e">
        <f aca="false">IF(AND(BX149&gt;0,CR149&gt;0,DE149&gt;0,CU149&gt;0),newSPRDOPT(BX149,CR149,CZ149,0,DE149,CU149,CV149,BT149*365.25,OCallPut,0),0)</f>
        <v>#VALUE!</v>
      </c>
      <c r="DL149" s="1316" t="e">
        <f aca="false">IF(OVolType,IF(AND(BZ149&gt;0,CS149&gt;0,DF149&gt;0,CU149&gt;0),newSPRDOPT(BZ149,CS149,DA149,0,DF149,CU149,CV149,BT149*365.25,OCallPut,0),0),IF(BQ149,(DH149*AZ149+DI149*BA149+DJ149*BB149+DK149*BC149)/BQ149,0))</f>
        <v>#VALUE!</v>
      </c>
      <c r="DM149" s="1316"/>
      <c r="DN149" s="1316"/>
      <c r="DO149" s="1316"/>
      <c r="DP149" s="1316"/>
      <c r="DQ149" s="1316"/>
      <c r="DR149" s="1316"/>
      <c r="DS149" s="1316"/>
      <c r="DT149" s="1316"/>
      <c r="DU149" s="1316"/>
      <c r="DV149" s="1316"/>
      <c r="DW149" s="1594" t="e">
        <f aca="false">IF(AND(BW149&gt;0,CT149&gt;0,DD149&gt;0,CU149&gt;0),newSPRDOPT(BW149,CT149,CY149,0,DD149,CU149,CV149,BT149*365.25,OCallPut,0),0)</f>
        <v>#VALUE!</v>
      </c>
      <c r="DX149" s="1316" t="e">
        <f aca="false">IF(AND(BX149&gt;0,CT149&gt;0,DE149&gt;0,CU149&gt;0),newSPRDOPT(BX149,CT149,CZ149,0,DE149,CU149,CV149,BT149*365.25,OCallPut,0),0)</f>
        <v>#VALUE!</v>
      </c>
      <c r="DY149" s="1591" t="e">
        <f aca="false">IF(BS149,(DH149*BH149+DI149*BI149+DW149*BJ149+DX149*BK149)/BS149,0)</f>
        <v>#VALUE!</v>
      </c>
      <c r="DZ149" s="1551" t="e">
        <f aca="false">DH149*AZ149</f>
        <v>#VALUE!</v>
      </c>
      <c r="EA149" s="1551" t="e">
        <f aca="false">DI149*BA149</f>
        <v>#VALUE!</v>
      </c>
      <c r="EB149" s="1551" t="e">
        <f aca="false">DJ149*BB149</f>
        <v>#VALUE!</v>
      </c>
      <c r="EC149" s="1551" t="e">
        <f aca="false">DK149*BC149</f>
        <v>#VALUE!</v>
      </c>
      <c r="ED149" s="1551" t="e">
        <f aca="false">DL149*BQ149</f>
        <v>#VALUE!</v>
      </c>
      <c r="EE149" s="1595" t="e">
        <f aca="false">IF(BQ149,IF(OCallPut,IF(BU149&gt;(CO149+CW149),BU149-(CO149+CW149),0),IF((CO149+CW149)&gt;BU149,(CO149+CW149)-BU149,0))*AZ149,0)</f>
        <v>#VALUE!</v>
      </c>
      <c r="EF149" s="1596" t="e">
        <f aca="false">IF(BQ149,IF(OCallPut,IF(BV149&gt;(CP149+CX149),BV149-(CP149+CX149),0),IF((CP149+CX149)&gt;BV149,(CP149+CX149)-BV149,0))*BA149,0)</f>
        <v>#VALUE!</v>
      </c>
      <c r="EG149" s="1596" t="e">
        <f aca="false">IF(BQ149,IF(OCallPut,IF(BW149&gt;(CQ149+CY149),BW149-(CQ149+CY149),0),IF((CQ149+CY149)&gt;BW149,(CQ149+CY149)-BW149,0))*BB149,0)</f>
        <v>#VALUE!</v>
      </c>
      <c r="EH149" s="1596" t="e">
        <f aca="false">IF(BQ149,IF(OCallPut,IF(BX149&gt;(CR149+CZ149),BX149-(CR149+CZ149),0),IF((CR149+CZ149)&gt;BX149,(CR149+CZ149)-BX149,0))*BC149,0)</f>
        <v>#VALUE!</v>
      </c>
      <c r="EI149" s="1597" t="e">
        <f aca="false">IF(BQ149,IF(OVolType,IF(OCallPut,IF(BZ149&gt;(CS149+DA149),BZ149-(CS149+DA149),0),IF((CS149+DA149)&gt;BZ149,(CS149+DA149)-BZ149,0))*BQ149,SUM(EE149:EH149)),0)</f>
        <v>#VALUE!</v>
      </c>
      <c r="EJ149" s="1595" t="e">
        <f aca="false">DZ149-EE149</f>
        <v>#VALUE!</v>
      </c>
      <c r="EK149" s="1596" t="e">
        <f aca="false">EA149-EF149</f>
        <v>#VALUE!</v>
      </c>
      <c r="EL149" s="1596" t="e">
        <f aca="false">EB149-EG149</f>
        <v>#VALUE!</v>
      </c>
      <c r="EM149" s="1596" t="e">
        <f aca="false">EC149-EH149</f>
        <v>#VALUE!</v>
      </c>
      <c r="EN149" s="1597" t="e">
        <f aca="false">ED149-EI149</f>
        <v>#VALUE!</v>
      </c>
      <c r="EO149" s="1551" t="e">
        <f aca="false">DH149*BH149</f>
        <v>#VALUE!</v>
      </c>
      <c r="EP149" s="1551" t="e">
        <f aca="false">DI149*BI149</f>
        <v>#VALUE!</v>
      </c>
      <c r="EQ149" s="1551" t="e">
        <f aca="false">DW149*BJ149</f>
        <v>#VALUE!</v>
      </c>
      <c r="ER149" s="1551" t="e">
        <f aca="false">DX149*BK149</f>
        <v>#VALUE!</v>
      </c>
      <c r="ES149" s="1551" t="e">
        <f aca="false">DY149*BS149</f>
        <v>#VALUE!</v>
      </c>
      <c r="ET149" s="1566" t="e">
        <f aca="false">IF(EI149,IF(OCallPut,IF(CA149&gt;(CT149+CW149),CA149-(CT149+CW149),0),IF((CT149+CW149)&gt;CA149,(CT149+CW149)-CA149,0))*BH149,0)</f>
        <v>#VALUE!</v>
      </c>
      <c r="EU149" s="1551" t="e">
        <f aca="false">IF(EI149,IF(OCallPut,IF(CB149&gt;(CT149+CX149),CB149-(CT149+CX149),0),IF((CT149+CX149)&gt;CB149,(CT149+CX149)-CB149,0))*BI149,0)</f>
        <v>#VALUE!</v>
      </c>
      <c r="EV149" s="1551" t="e">
        <f aca="false">IF(EI149,IF(OCallPut,IF(CC149&gt;(CT149+CY149),CC149-(CT149+CY149),0),IF((CT149+CY149)&gt;CC149,(CT149+CY149)-CC149,0))*BJ149,0)</f>
        <v>#VALUE!</v>
      </c>
      <c r="EW149" s="1551" t="e">
        <f aca="false">IF(EI149,IF(OCallPut,IF(CD149&gt;(CT149+CZ149),CD149-(CT149+CZ149),0),IF((CT149+CZ149)&gt;CD149,(CT149+CZ149)-CD149,0))*BK149,0)</f>
        <v>#VALUE!</v>
      </c>
      <c r="EX149" s="1558" t="e">
        <f aca="false">IF(EI149,SUM(ET149:EW149),0)</f>
        <v>#VALUE!</v>
      </c>
      <c r="EY149" s="1551" t="e">
        <f aca="false">EO149-ET149</f>
        <v>#VALUE!</v>
      </c>
      <c r="EZ149" s="1551" t="e">
        <f aca="false">EP149-EU149</f>
        <v>#VALUE!</v>
      </c>
      <c r="FA149" s="1551" t="e">
        <f aca="false">EQ149-EV149</f>
        <v>#VALUE!</v>
      </c>
      <c r="FB149" s="1551" t="e">
        <f aca="false">ER149-EW149</f>
        <v>#VALUE!</v>
      </c>
      <c r="FC149" s="1551" t="e">
        <f aca="false">ES149-EX149</f>
        <v>#VALUE!</v>
      </c>
      <c r="FD149" s="1525" t="n">
        <f aca="false">IF(AX149,IF(VLOOKUP(C149,MAIN!$L$17:$M$28,2)="Yes",VLOOKUP(CALC!B149,MAIN!$H$17:$I$20,2),0),0)</f>
        <v>0</v>
      </c>
      <c r="FE149" s="1552" t="e">
        <f aca="false">$FD149*16*AT149*(1-$AY149)</f>
        <v>#VALUE!</v>
      </c>
      <c r="FF149" s="1553" t="e">
        <f aca="false">$FD149*16*AU149*(1-$AY149)</f>
        <v>#VALUE!</v>
      </c>
      <c r="FG149" s="1553" t="e">
        <f aca="false">$FD149*16*(AV149+AW149)*(1-$AY149)</f>
        <v>#VALUE!</v>
      </c>
      <c r="FH149" s="1554" t="n">
        <f aca="false">$FD149*8*AX149*(1-$AY149)</f>
        <v>0</v>
      </c>
      <c r="FI149" s="1555" t="n">
        <f aca="false">IF(AX149,VLOOKUP(CALC!B149,MAIN!$H$17:$K$20,4),0)</f>
        <v>0</v>
      </c>
      <c r="FJ149" s="1553" t="e">
        <f aca="false">SUM(FE149:FH149)</f>
        <v>#VALUE!</v>
      </c>
      <c r="FK149" s="1556" t="e">
        <f aca="false">FI149*FJ149</f>
        <v>#VALUE!</v>
      </c>
      <c r="FL149" s="1551" t="e">
        <f aca="false">IF($EI149&gt;0,MIN(FE149,AZ149*(1+VLOOKUP($C149,WeatherCapacityAdjustment,2))),0)</f>
        <v>#VALUE!</v>
      </c>
      <c r="FM149" s="1551" t="e">
        <f aca="false">IF($EI149&gt;0,MIN(FF149,BA149*(1+VLOOKUP($C149,WeatherCapacityAdjustment,2))),0)</f>
        <v>#VALUE!</v>
      </c>
      <c r="FN149" s="1551" t="e">
        <f aca="false">IF($EI149&gt;0,MIN(FG149,BB149*(1+VLOOKUP($C149,WeatherCapacityAdjustment,2))),0)</f>
        <v>#VALUE!</v>
      </c>
      <c r="FO149" s="1564" t="e">
        <f aca="false">IF($EI149&gt;0,MIN(FH149,BC149*(1+VLOOKUP($C149,WeatherCapacityAdjustment,3))),0)</f>
        <v>#VALUE!</v>
      </c>
      <c r="FP149" s="1551" t="e">
        <f aca="false">IF(ET149&gt;0,MIN(FE149-FL149,BH149*(1+VLOOKUP($C149,WeatherCapacityAdjustment,2))),0)</f>
        <v>#VALUE!</v>
      </c>
      <c r="FQ149" s="1551" t="e">
        <f aca="false">IF(EU149&gt;0,MIN(FF149-FM149,BI149*(1+VLOOKUP($C149,WeatherCapacityAdjustment,2))),0)</f>
        <v>#VALUE!</v>
      </c>
      <c r="FR149" s="1551" t="e">
        <f aca="false">IF(EV149&gt;0,MIN(FG149-FN149,BJ149*(1+VLOOKUP($C149,WeatherCapacityAdjustment,2))),0)</f>
        <v>#VALUE!</v>
      </c>
      <c r="FS149" s="1558" t="e">
        <f aca="false">IF(EW149&gt;0,MIN(FH149-FO149,BK149*(1+VLOOKUP($C149,WeatherCapacityAdjustment,3))),0)</f>
        <v>#VALUE!</v>
      </c>
      <c r="FT149" s="1566" t="e">
        <f aca="false">IF(AND(Assumptions!$H$71="Yes",A149&gt;=Assumptions!$H$72,A149&lt;=Assumptions!$H$73),0,IF(AND($A149&gt;=Assumptions!$C$17,$A149&lt;=Assumptions!$C$18),MAX(AZ149*(1+VLOOKUP($C149,WeatherCapacityAdjustment,2))-FL149,0),0))</f>
        <v>#VALUE!</v>
      </c>
      <c r="FU149" s="1551" t="e">
        <f aca="false">IF(AND(Assumptions!$H$71="Yes",A149&gt;=Assumptions!$H$72,A149&lt;=Assumptions!$H$73),0,IF(AND($A149&gt;=Assumptions!$C$17,$A149&lt;=Assumptions!$C$18),MAX(BA149*(1+VLOOKUP($C149,WeatherCapacityAdjustment,2))-FM149,0),0))</f>
        <v>#VALUE!</v>
      </c>
      <c r="FV149" s="1551" t="e">
        <f aca="false">IF(AND(Assumptions!$H$71="Yes",A149&gt;=Assumptions!$H$72,A149&lt;=Assumptions!$H$73),0,IF(AND($A149&gt;=Assumptions!$C$17,$A149&lt;=Assumptions!$C$18),MAX(BB149*(1+VLOOKUP($C149,WeatherCapacityAdjustment,2))-FN149,0),0))</f>
        <v>#VALUE!</v>
      </c>
      <c r="FW149" s="1564" t="e">
        <f aca="false">IF(AND(Assumptions!$H$71="Yes",A149&gt;=Assumptions!$H$72,A149&lt;=Assumptions!$H$73),0,IF(AND($A149&gt;=Assumptions!$C$17,$A149&lt;=Assumptions!$C$18),MAX(BC149*(1+VLOOKUP($C149,WeatherCapacityAdjustment,3))-FO149,0),0))</f>
        <v>#VALUE!</v>
      </c>
      <c r="FX149" s="1569" t="e">
        <f aca="false">IF(AND(Assumptions!$H$71="Yes",A149&gt;=Assumptions!$H$72,A149&lt;=Assumptions!$H$73),0,IF(ET149&gt;0,MAX(BH149*(1+VLOOKUP($C149,WeatherCapacityAdjustment,2))-FP149,0),0))</f>
        <v>#VALUE!</v>
      </c>
      <c r="FY149" s="1551" t="e">
        <f aca="false">IF(AND(Assumptions!$H$71="Yes",A149&gt;=Assumptions!$H$72,A149&lt;=Assumptions!$H$73),0,IF(EU149&gt;0,MAX(BI149*(1+VLOOKUP($C149,WeatherCapacityAdjustment,3))-FQ149,0),0))</f>
        <v>#VALUE!</v>
      </c>
      <c r="FZ149" s="1551" t="e">
        <f aca="false">IF(AND(Assumptions!$H$71="Yes",A149&gt;=Assumptions!$H$72,A149&lt;=Assumptions!$H$73),0,IF(EV149&gt;0,MAX(BJ149*(1+VLOOKUP($C149,WeatherCapacityAdjustment,2))-FR149,0),0))</f>
        <v>#VALUE!</v>
      </c>
      <c r="GA149" s="1564" t="e">
        <f aca="false">IF(AND(Assumptions!$H$71="Yes",A149&gt;=Assumptions!$H$72,A149&lt;=Assumptions!$H$73),0,IF(EW149&gt;0,MAX(BK149*(1+VLOOKUP($C149,WeatherCapacityAdjustment,2))-FS149,0),0))</f>
        <v>#VALUE!</v>
      </c>
      <c r="GB149" s="1551" t="e">
        <f aca="false">SUM(FT149:GA149)</f>
        <v>#VALUE!</v>
      </c>
      <c r="GC149" s="1563" t="e">
        <f aca="false">+IF(SUM(FT149:GA149)=0,0,(SUMPRODUCT(BU149:BX149,FT149:FW149)+SUMPRODUCT(CA149:CD149,FX149:GA149))/SUM(FT149:GA149))</f>
        <v>#VALUE!</v>
      </c>
      <c r="GD149" s="1551" t="e">
        <f aca="false">(FT149*BU149+FX149*CA149+FU149*BV149+FY149*CB149+FV149*BW149+FZ149*CC149+FW149*BX149+GA149*CD149)</f>
        <v>#VALUE!</v>
      </c>
      <c r="GE149" s="1561" t="e">
        <f aca="false">+IF(BQ149,((FL149+FM149+FT149+FU149)*HeatRatePeak/1000*(1+VLOOKUP($C149,WeatherHeatRateAdjustment,2))+(FN149+FV149)*IF(EV149&gt;0,HeatRatePeak,HeatRateOffPeak)/1000*(1+VLOOKUP($C149,WeatherHeatRateAdjustment,2))+(FO149+FW149)*IF(EW149&gt;0,HeatRatePeak,HeatRateOffPeak)/1000*(1+VLOOKUP($C149,WeatherHeatRateAdjustment,3)))*(1+VLOOKUP($B149,HeatRateDegradation,$C149+1)),0)</f>
        <v>#VALUE!</v>
      </c>
      <c r="GF149" s="1562" t="e">
        <f aca="false">IF(BQ149,((FP149+FQ149+FR149+FX149+FY149+FZ149)*HeatRatePeak/1000*(1+VLOOKUP($C149,WeatherHeatRateAdjustment,2))+(FS149+GA149)*HeatRatePeak/1000*(1+VLOOKUP($C149,WeatherHeatRateAdjustment,3)))*(1+VLOOKUP($B149,HeatRateDegradation,$C149+1)),0)</f>
        <v>#VALUE!</v>
      </c>
      <c r="GG149" s="1563" t="e">
        <f aca="false">IF(BQ149,VLOOKUP(A149,GasTable,13),0)</f>
        <v>#VALUE!</v>
      </c>
      <c r="GH149" s="1564" t="e">
        <f aca="false">(GE149+GF149)*GG149</f>
        <v>#VALUE!</v>
      </c>
      <c r="GI149" s="1569" t="e">
        <f aca="false">GB149</f>
        <v>#VALUE!</v>
      </c>
      <c r="GJ149" s="1598" t="e">
        <f aca="false">+DA149</f>
        <v>#VALUE!</v>
      </c>
      <c r="GK149" s="1558" t="e">
        <f aca="false">+GI149*GJ149</f>
        <v>#VALUE!</v>
      </c>
      <c r="GL149" s="1566" t="e">
        <f aca="false">MAX(FE149-FL149-FP149,0)</f>
        <v>#VALUE!</v>
      </c>
      <c r="GM149" s="1551" t="e">
        <f aca="false">MAX(FF149-FM149-FQ149,0)</f>
        <v>#VALUE!</v>
      </c>
      <c r="GN149" s="1551" t="e">
        <f aca="false">MAX(FG149-FN149-FR149,0)</f>
        <v>#VALUE!</v>
      </c>
      <c r="GO149" s="1564" t="e">
        <f aca="false">MAX(FH149-FO149-FS149,0)</f>
        <v>#VALUE!</v>
      </c>
      <c r="GP149" s="1551" t="e">
        <f aca="false">SUM(GL149:GO149)</f>
        <v>#VALUE!</v>
      </c>
      <c r="GQ149" s="1563" t="e">
        <f aca="false">IF(SUM(GL149:GO149)=0,0,((GL149*BU149+GM149*BV149+GN149*BW149+GO149*BX149)/SUM(GL149:GO149)))</f>
        <v>#VALUE!</v>
      </c>
      <c r="GR149" s="1558" t="e">
        <f aca="false">(GL149*BU149+GM149*BV149+GN149*BW149+GO149*BX149)</f>
        <v>#VALUE!</v>
      </c>
      <c r="GS149" s="1566" t="n">
        <f aca="false">IF($A149&gt;=BegDate,Assumptions!$C$56*24*($A150-$A149)*(1-VLOOKUP($B149,MAIN!$AA$7:$AM$28,$C149+1))*(1-VLOOKUP($B149,MAIN!$AA$33:$AM$54,$C149+1)),0)*80/168</f>
        <v>257742.857142857</v>
      </c>
      <c r="GT149" s="286" t="n">
        <f aca="false">J149</f>
        <v>40.2671743270842</v>
      </c>
      <c r="GU149" s="286" t="n">
        <f aca="false">IF($A149&gt;=BegDate,VLOOKUP($A149,GasTable,13)+Assumptions!$C$58,0)</f>
        <v>2.77842573516095</v>
      </c>
      <c r="GV149" s="286" t="n">
        <f aca="false">GU149*Assumptions!$C$57/1000</f>
        <v>20.1435865799169</v>
      </c>
      <c r="GW149" s="1558" t="n">
        <f aca="false">IF(Assumptions!$C$60="Hourly",MAX(0,GS149*(GT149-GV149)),GS149*(GT149-GV149))</f>
        <v>5186711.0019199</v>
      </c>
      <c r="GX149" s="1566" t="n">
        <f aca="false">IF($A149&gt;=BegDate,Assumptions!$C$56*24*($A150-$A149)*(1-VLOOKUP($B149,MAIN!$AA$7:$AM$28,$C149+1))*(1-VLOOKUP($B149,MAIN!$AA$33:$AM$54,$C149+1)),0)*16/168</f>
        <v>51548.5714285714</v>
      </c>
      <c r="GY149" s="286" t="n">
        <f aca="false">M149</f>
        <v>40.2671743270842</v>
      </c>
      <c r="GZ149" s="286" t="n">
        <f aca="false">IF($A149&gt;=BegDate,VLOOKUP($A149,GasTable,13)+Assumptions!$C$58,0)</f>
        <v>2.77842573516095</v>
      </c>
      <c r="HA149" s="286" t="n">
        <f aca="false">GZ149*Assumptions!$C$57/1000</f>
        <v>20.1435865799169</v>
      </c>
      <c r="HB149" s="1558" t="n">
        <f aca="false">IF(Assumptions!$C$60="Hourly",MAX(0,GX149*(GY149-HA149)),GX149*(GY149-HA149))</f>
        <v>1037342.20038398</v>
      </c>
      <c r="HC149" s="1566" t="n">
        <f aca="false">IF($A149&gt;=BegDate,Assumptions!$C$56*24*($A150-$A149)*(1-VLOOKUP($B149,MAIN!$AA$7:$AM$28,$C149+1))*(1-VLOOKUP($B149,MAIN!$AA$33:$AM$54,$C149+1)),0)*16/168</f>
        <v>51548.5714285714</v>
      </c>
      <c r="HD149" s="286" t="n">
        <f aca="false">P149</f>
        <v>24.636715896255</v>
      </c>
      <c r="HE149" s="286" t="n">
        <f aca="false">IF($A149&gt;=BegDate,VLOOKUP($A149,GasTable,13)+Assumptions!$C$58,0)</f>
        <v>2.77842573516095</v>
      </c>
      <c r="HF149" s="286" t="n">
        <f aca="false">HE149*Assumptions!$C$57/1000</f>
        <v>20.1435865799169</v>
      </c>
      <c r="HG149" s="1558" t="n">
        <f aca="false">IF(Assumptions!$C$60="Hourly",MAX(0,HC149*(HD149-HF149)),HC149*(HD149-HF149))</f>
        <v>231614.397501066</v>
      </c>
      <c r="HH149" s="1566" t="n">
        <f aca="false">IF($A149&gt;=BegDate,Assumptions!$C$56*24*($A150-$A149)*(1-VLOOKUP($B149,MAIN!$AA$7:$AM$28,$C149+1))*(1-VLOOKUP($B149,MAIN!$AA$33:$AM$54,$C149+1)),0)*56/168</f>
        <v>180420</v>
      </c>
      <c r="HI149" s="286" t="n">
        <f aca="false">S149</f>
        <v>24.636715896255</v>
      </c>
      <c r="HJ149" s="286" t="n">
        <f aca="false">IF($A149&gt;=BegDate,VLOOKUP($A149,GasTable,13)+Assumptions!$C$58,0)</f>
        <v>2.77842573516095</v>
      </c>
      <c r="HK149" s="286" t="n">
        <f aca="false">HJ149*Assumptions!$C$57/1000</f>
        <v>20.1435865799169</v>
      </c>
      <c r="HL149" s="1558" t="n">
        <f aca="false">IF(Assumptions!$C$60="Hourly",MAX(0,HH149*(HI149-HK149)),HH149*(HI149-HK149))</f>
        <v>810650.391253729</v>
      </c>
      <c r="HM149" s="1566" t="n">
        <f aca="false">IF(AND(Assumptions!$H$71="Yes",A149&gt;=Assumptions!$H$72,A149&lt;=Assumptions!$H$73),Assumptions!$H$74*Assumptions!$C$9*1000,0)</f>
        <v>0</v>
      </c>
      <c r="HN149" s="1551"/>
      <c r="HO149" s="1563"/>
      <c r="HP149" s="1563"/>
      <c r="HQ149" s="1563"/>
      <c r="HR149" s="1563"/>
      <c r="HS149" s="1563"/>
      <c r="HT149" s="1563"/>
      <c r="HU149" s="1563"/>
      <c r="HV149" s="1563"/>
      <c r="HW149" s="1563"/>
      <c r="HX149" s="1563"/>
      <c r="HY149" s="1563"/>
      <c r="HZ149" s="1563"/>
      <c r="IA149" s="1563"/>
      <c r="IB149" s="1563"/>
      <c r="IC149" s="1563"/>
      <c r="ID149" s="1563"/>
      <c r="IE149" s="1563"/>
      <c r="IF149" s="1563"/>
      <c r="IG149" s="1563"/>
      <c r="IH149" s="1563"/>
      <c r="II149" s="1610"/>
      <c r="IJ149" s="1309"/>
      <c r="IK149" s="1309"/>
    </row>
    <row r="150" customFormat="false" ht="12.75" hidden="false" customHeight="false" outlineLevel="0" collapsed="false">
      <c r="A150" s="1571" t="n">
        <f aca="false">EOMONTH(A149,0)+1</f>
        <v>40695</v>
      </c>
      <c r="B150" s="594" t="n">
        <f aca="false">+YEAR(A150)</f>
        <v>2011</v>
      </c>
      <c r="C150" s="238" t="n">
        <f aca="false">MONTH(A150)</f>
        <v>6</v>
      </c>
      <c r="D150" s="1572" t="e">
        <f aca="false">IF(E150="","",Holiday(B150,C150))</f>
        <v>#VALUE!</v>
      </c>
      <c r="E150" s="1573" t="n">
        <f aca="false">IF(OR(BegDate&gt;=A151,EndDate&lt;A150,AND(VolumeMonthlyOverFlag,INDEX(VolumeMonthlyOver,C150)=0),NOT(INDEX(MonthKnockOutTable,C150))),"",MAX(A150,BegDate))</f>
        <v>40695</v>
      </c>
      <c r="F150" s="1574" t="n">
        <f aca="false">IF(E150="","",MIN(A151-1,EndDate))</f>
        <v>40724</v>
      </c>
      <c r="G150" s="1575" t="n">
        <v>0</v>
      </c>
      <c r="H150" s="1576" t="n">
        <f aca="false">(1+G150/2)^(-2*(DATE(B151,C151,20)-DateToday)/365.25)</f>
        <v>1</v>
      </c>
      <c r="I150" s="1568" t="n">
        <f aca="false">IF(Assumptions!$L$25=4,VLOOKUP($A150,'Henwood Reference'!$E$9:$R$320,10),(VLOOKUP($A150,PriceTable,2,0)+IF(BasisNumber&lt;&gt;1,VLOOKUP($A150,BasisTable,2,0),0)+I$1)/(1-I$2))</f>
        <v>37.4529209174637</v>
      </c>
      <c r="J150" s="1568" t="n">
        <f aca="false">IF(Assumptions!$L$25=4,VLOOKUP($A150,'Henwood Reference'!$E$9:$R$320,10),(VLOOKUP($A150,PriceTable,3,0)+IF(BasisNumber&lt;&gt;1,VLOOKUP($A150,BasisTable,2,0),0)+J$1)/(1-J$2))</f>
        <v>37.4529209174637</v>
      </c>
      <c r="K150" s="1568" t="n">
        <f aca="false">IF(Assumptions!$L$25=4,VLOOKUP($A150,'Henwood Reference'!$E$9:$R$320,10),(VLOOKUP($A150,PriceTable,4,0)+IF(BasisNumber&lt;&gt;1,VLOOKUP($A150,BasisTable,2,0),0)+K$1)/(1-K$2))</f>
        <v>37.4529209174637</v>
      </c>
      <c r="L150" s="1523" t="n">
        <f aca="false">IF(Assumptions!$L$25=4,VLOOKUP($A150,'Henwood Reference'!$E$9:$R$320,10),(VLOOKUP($A150,PriceTableWeekend,2,0)+IF(BasisNumber&lt;&gt;1,VLOOKUP($A150,BasisTable,2,0),0)+L$1)/(1-L$2))</f>
        <v>37.4529209174637</v>
      </c>
      <c r="M150" s="1568" t="n">
        <f aca="false">IF(Assumptions!$L$25=4,VLOOKUP($A150,'Henwood Reference'!$E$9:$R$320,10),(VLOOKUP($A150,PriceTableWeekend,3,0)+IF(BasisNumber&lt;&gt;1,VLOOKUP($A150,BasisTable,2,0),0)+M$1)/(1-M$2))</f>
        <v>37.4529209174637</v>
      </c>
      <c r="N150" s="1599" t="n">
        <f aca="false">IF(Assumptions!$L$25=4,VLOOKUP($A150,'Henwood Reference'!$E$9:$R$320,10),(VLOOKUP($A150,PriceTableWeekend,4,0)+IF(BasisNumber&lt;&gt;1,VLOOKUP($A150,BasisTable,2,0),0)+N$1)/(1-N$2))</f>
        <v>37.4529209174637</v>
      </c>
      <c r="O150" s="1568" t="n">
        <f aca="false">IF(Assumptions!$L$25=4,VLOOKUP($A150,'Henwood Reference'!$E$9:$R$320,11),(VLOOKUP($A150,PriceTableWeekend,6,0)+IF(BasisNumber&lt;&gt;1,VLOOKUP($A150,BasisTable,3,0),0)+O$1)/(1-O$2))</f>
        <v>22.8913913795614</v>
      </c>
      <c r="P150" s="1568" t="n">
        <f aca="false">IF(Assumptions!$L$25=4,VLOOKUP($A150,'Henwood Reference'!$E$9:$R$320,11),(VLOOKUP($A150,PriceTableWeekend,7,0)+IF(BasisNumber&lt;&gt;1,VLOOKUP($A150,BasisTable,3,0),0)+P$1)/(1-P$2))</f>
        <v>22.8913913795614</v>
      </c>
      <c r="Q150" s="1599" t="n">
        <f aca="false">IF(Assumptions!$L$25=4,VLOOKUP($A150,'Henwood Reference'!$E$9:$R$320,11),(VLOOKUP($A150,PriceTableWeekend,8,0)+IF(BasisNumber&lt;&gt;1,VLOOKUP($A150,BasisTable,3,0),0)+Q$1)/(1-Q$2))</f>
        <v>22.8913913795614</v>
      </c>
      <c r="R150" s="1568" t="n">
        <f aca="false">IF(Assumptions!$L$25=4,VLOOKUP($A150,'Henwood Reference'!$E$9:$R$320,11),(VLOOKUP($A150,PriceTable,6,0)+IF(BasisNumber&lt;&gt;1,VLOOKUP($A150,BasisTable,3,0),0)+R$1)/(1-R$2))</f>
        <v>22.8913913795614</v>
      </c>
      <c r="S150" s="1568" t="n">
        <f aca="false">IF(Assumptions!$L$25=4,VLOOKUP($A150,'Henwood Reference'!$E$9:$R$320,11),(VLOOKUP($A150,PriceTable,7,0)+IF(BasisNumber&lt;&gt;1,VLOOKUP($A150,BasisTable,3,0),0)+S$1)/(1-S$2))</f>
        <v>22.8913913795614</v>
      </c>
      <c r="T150" s="1600" t="n">
        <f aca="false">IF(Assumptions!$L$25=4,VLOOKUP($A150,'Henwood Reference'!$E$9:$R$320,11),(VLOOKUP($A150,PriceTable,8,0)+IF(BasisNumber&lt;&gt;1,VLOOKUP($A150,BasisTable,3,0),0)+T$1)/(1-T$2))</f>
        <v>22.8913913795614</v>
      </c>
      <c r="U150" s="1513" t="n">
        <f aca="false">VLOOKUP($A150,VolatilityTable,14)</f>
        <v>0.115</v>
      </c>
      <c r="V150" s="1513" t="n">
        <f aca="false">VLOOKUP($A150,VolatilityTable,15)</f>
        <v>0.125</v>
      </c>
      <c r="W150" s="1514" t="n">
        <f aca="false">VLOOKUP($A150,VolatilityTable,16)</f>
        <v>0.135</v>
      </c>
      <c r="X150" s="1513" t="n">
        <f aca="false">VLOOKUP($A150,VolatilityTable,14)</f>
        <v>0.115</v>
      </c>
      <c r="Y150" s="1513" t="n">
        <f aca="false">VLOOKUP($A150,VolatilityTable,15)</f>
        <v>0.125</v>
      </c>
      <c r="Z150" s="1514" t="n">
        <f aca="false">VLOOKUP($A150,VolatilityTable,16)</f>
        <v>0.135</v>
      </c>
      <c r="AA150" s="1513" t="n">
        <f aca="false">VLOOKUP($A150,VolatilityTable,18)</f>
        <v>0.09</v>
      </c>
      <c r="AB150" s="1513" t="n">
        <f aca="false">VLOOKUP($A150,VolatilityTable,19)</f>
        <v>0.11</v>
      </c>
      <c r="AC150" s="1514" t="n">
        <f aca="false">VLOOKUP($A150,VolatilityTable,20)</f>
        <v>0.13</v>
      </c>
      <c r="AD150" s="1513" t="n">
        <f aca="false">VLOOKUP($A150,VolatilityTable,18)</f>
        <v>0.09</v>
      </c>
      <c r="AE150" s="1513" t="n">
        <f aca="false">VLOOKUP($A150,VolatilityTable,19)</f>
        <v>0.11</v>
      </c>
      <c r="AF150" s="1514" t="n">
        <f aca="false">VLOOKUP($A150,VolatilityTable,20)</f>
        <v>0.13</v>
      </c>
      <c r="AG150" s="1513" t="n">
        <f aca="false">VLOOKUP($A150,VolatilityTable,22)</f>
        <v>-0.35</v>
      </c>
      <c r="AH150" s="1513" t="n">
        <f aca="false">VLOOKUP($A150,VolatilityTable,23)</f>
        <v>0.65</v>
      </c>
      <c r="AI150" s="1514" t="n">
        <f aca="false">VLOOKUP($A150,VolatilityTable,24)</f>
        <v>0.2</v>
      </c>
      <c r="AJ150" s="1513" t="n">
        <f aca="false">VLOOKUP($A150,VolatilityTable,22)</f>
        <v>-0.35</v>
      </c>
      <c r="AK150" s="1513" t="n">
        <f aca="false">VLOOKUP($A150,VolatilityTable,23)</f>
        <v>0.65</v>
      </c>
      <c r="AL150" s="1514" t="n">
        <f aca="false">VLOOKUP($A150,VolatilityTable,24)</f>
        <v>0.2</v>
      </c>
      <c r="AM150" s="1513" t="n">
        <f aca="false">VLOOKUP($A150,VolatilityTable,26)</f>
        <v>-0.01</v>
      </c>
      <c r="AN150" s="1513" t="n">
        <f aca="false">VLOOKUP($A150,VolatilityTable,27)</f>
        <v>0.16</v>
      </c>
      <c r="AO150" s="1514" t="n">
        <f aca="false">VLOOKUP($A150,VolatilityTable,28)</f>
        <v>0.01</v>
      </c>
      <c r="AP150" s="1513" t="n">
        <f aca="false">VLOOKUP($A150,VolatilityTable,26)</f>
        <v>-0.01</v>
      </c>
      <c r="AQ150" s="1513" t="n">
        <f aca="false">VLOOKUP($A150,VolatilityTable,27)</f>
        <v>0.16</v>
      </c>
      <c r="AR150" s="1515" t="n">
        <f aca="false">VLOOKUP($A150,VolatilityTable,28)</f>
        <v>0.01</v>
      </c>
      <c r="AS150" s="1581" t="n">
        <f aca="false">IF(CorrPeakOffPeakOverFlag,INDEX(CorrPeakOffPeakOver,C150),CorrPeakOffPeak)</f>
        <v>0.5</v>
      </c>
      <c r="AT150" s="594" t="e">
        <f aca="false">AX150-SUM(AU150:AW150)</f>
        <v>#VALUE!</v>
      </c>
      <c r="AU150" s="238" t="e">
        <f aca="false">IF(E150="",0,INT((F150-MOD(F150,7)-E150)/7)+1-IF(AW150,IF(WEEKDAY(D150)=7,1,0),0))</f>
        <v>#VALUE!</v>
      </c>
      <c r="AV150" s="238" t="e">
        <f aca="false">IF(E150="",0,INT((F150-MOD(F150-1,7)-E150)/7)+1-IF(AW150,IF(WEEKDAY(D150)=1,1,0),0))</f>
        <v>#VALUE!</v>
      </c>
      <c r="AW150" s="238" t="e">
        <f aca="false">IF(OR(E150="",D150="",D150&lt;BegDate,D150&gt;EndDate),0,1)</f>
        <v>#VALUE!</v>
      </c>
      <c r="AX150" s="238" t="n">
        <f aca="false">IF(E150="",0,F150-E150+1)</f>
        <v>30</v>
      </c>
      <c r="AY150" s="1582" t="n">
        <f aca="false">IF(E150="",0,MIN((1-(1-VLOOKUP(B150,MAIN!$AA$7:$AM$28,C150+1))*(1-VLOOKUP(B150,MAIN!$AA$33:$AM$54,C150+1))),1))</f>
        <v>0.03</v>
      </c>
      <c r="AZ150" s="1519" t="e">
        <v>#VALUE!</v>
      </c>
      <c r="BA150" s="1520" t="e">
        <v>#VALUE!</v>
      </c>
      <c r="BB150" s="1520" t="e">
        <v>#VALUE!</v>
      </c>
      <c r="BC150" s="1583" t="e">
        <v>#VALUE!</v>
      </c>
      <c r="BD150" s="1522" t="e">
        <v>#VALUE!</v>
      </c>
      <c r="BE150" s="1523" t="e">
        <v>#VALUE!</v>
      </c>
      <c r="BF150" s="1523" t="e">
        <v>#VALUE!</v>
      </c>
      <c r="BG150" s="1584" t="e">
        <v>#VALUE!</v>
      </c>
      <c r="BH150" s="1525" t="e">
        <v>#VALUE!</v>
      </c>
      <c r="BI150" s="1520" t="e">
        <v>#VALUE!</v>
      </c>
      <c r="BJ150" s="1520" t="e">
        <v>#VALUE!</v>
      </c>
      <c r="BK150" s="1583" t="e">
        <v>#VALUE!</v>
      </c>
      <c r="BL150" s="1522" t="e">
        <v>#VALUE!</v>
      </c>
      <c r="BM150" s="1523" t="e">
        <v>#VALUE!</v>
      </c>
      <c r="BN150" s="1523" t="e">
        <v>#VALUE!</v>
      </c>
      <c r="BO150" s="1523" t="e">
        <v>#VALUE!</v>
      </c>
      <c r="BP150" s="1525" t="e">
        <f aca="false">SUM(AZ150:BB150)</f>
        <v>#VALUE!</v>
      </c>
      <c r="BQ150" s="1529" t="e">
        <f aca="false">SUM(AZ150:BC150)</f>
        <v>#VALUE!</v>
      </c>
      <c r="BR150" s="1519" t="e">
        <f aca="false">SUM(BH150:BJ150)</f>
        <v>#VALUE!</v>
      </c>
      <c r="BS150" s="1529" t="e">
        <f aca="false">SUM(BH150:BK150)</f>
        <v>#VALUE!</v>
      </c>
      <c r="BT150" s="1316" t="n">
        <f aca="false">(IF(OVolType&lt;&gt;2,A150+14,IF(OptExpDateShift,ShiftBack(A150,OptExpDateShift,D149),A150))-DateToday)/365.25</f>
        <v>11.129363449692</v>
      </c>
      <c r="BU150" s="1585" t="e">
        <f aca="false">IF(BQ150,IF(OPriceCurve,IF(OBuySell=OCallPut,I150/(1-AY150),K150/(1-AY150)),J150/(1-AY150))*BD150,0)</f>
        <v>#VALUE!</v>
      </c>
      <c r="BV150" s="1316" t="e">
        <f aca="false">IF(BQ150,IF(OPriceCurve,IF(OBuySell=OCallPut,L150/(1-AY150),N150/(1-AY150)),M150/(1-AY150))*BE150,0)</f>
        <v>#VALUE!</v>
      </c>
      <c r="BW150" s="1316" t="e">
        <f aca="false">IF(BQ150,IF(OPriceCurve,IF(OBuySell=OCallPut,O150/(1-AY150),Q150/(1-AY150)),P150/(1-AY150))*BF150,0)</f>
        <v>#VALUE!</v>
      </c>
      <c r="BX150" s="1316" t="e">
        <f aca="false">IF(BQ150,IF(OPriceCurve,IF(OBuySell=OCallPut,R150/(1-AY150),T150/(1-AY150)),S150/(1-AY150))*BG150,0)</f>
        <v>#VALUE!</v>
      </c>
      <c r="BY150" s="1316" t="e">
        <f aca="false">IF(BP150,(BU150*AZ150+BV150*BA150+BW150*BB150)/BP150,0)</f>
        <v>#VALUE!</v>
      </c>
      <c r="BZ150" s="1316" t="e">
        <f aca="false">IF(BQ150,(BY150*BP150+BX150*BC150)/BQ150,0)</f>
        <v>#VALUE!</v>
      </c>
      <c r="CA150" s="1531" t="e">
        <f aca="false">IF(BS150,IF(OPriceCurve,IF(OBuySell=OCallPut,I150/(1-AY150),K150/(1-AY150)),J150/(1-AY150))*BL150,0)</f>
        <v>#VALUE!</v>
      </c>
      <c r="CB150" s="1316" t="e">
        <f aca="false">IF(BS150,IF(OPriceCurve,IF(OBuySell=OCallPut,L150/(1-AY150),N150/(1-AY150)),M150/(1-AY150))*BM150,0)</f>
        <v>#VALUE!</v>
      </c>
      <c r="CC150" s="1316" t="e">
        <f aca="false">IF(BS150,IF(OPriceCurve,IF(OBuySell=OCallPut,O150/(1-AY150),Q150/(1-AY150)),P150/(1-AY150))*BN150,0)</f>
        <v>#VALUE!</v>
      </c>
      <c r="CD150" s="1316" t="e">
        <f aca="false">IF(BS150,IF(OPriceCurve,IF(OBuySell=OCallPut,R150/(1-AY150),T150/(1-AY150)),S150/(1-AY150))*BO150,0)</f>
        <v>#VALUE!</v>
      </c>
      <c r="CE150" s="1316" t="e">
        <f aca="false">IF(BR150,(BU150*BH150+BV150*BI150+BW150*BJ150)/BR150,0)</f>
        <v>#VALUE!</v>
      </c>
      <c r="CF150" s="1532" t="e">
        <f aca="false">IF(BS150,(CE150*BR150+CD150*BK150)/BS150,0)</f>
        <v>#VALUE!</v>
      </c>
      <c r="CG150" s="1586" t="e">
        <f aca="false">IF(OR(BQ150,BS150),IF(OVolType&lt;&gt;2,SQRT(IF(OVolOverMonthlyPeak,OVolOverMonthlyPeak,IF(OVolCurve,IF(OBuySell,U150,W150),V150))^2*(1-15/365.25/BT150)+IF(OVolOverDailyPeak,OVolOverDailyPeak,IF(OVolCurve,IF(OBuySell,AG150,AI150),AH150))^2*15/365.25/BT150),IF(OVolOverMonthlyPeak,OVolOverMonthlyPeak,IF(OVolCurve,IF(OBuySell,U150,W150),V150))),"")</f>
        <v>#VALUE!</v>
      </c>
      <c r="CH150" s="1587" t="e">
        <f aca="false">IF(OR(BQ150,BS150),IF(OVolType&lt;&gt;2,SQRT(IF(OVolOverMonthlyPeak,OVolOverMonthlyPeak,IF(OVolCurve,IF(OBuySell,X150,Z150),Y150))^2*(1-15/365.25/BT150)+IF(OVolOverDailyPeak,OVolOverDailyPeak,IF(OVolCurve,IF(OBuySell,AJ150,AL150),AK150))^2*15/365.25/BT150),IF(OVolOverMonthlyPeak,OVolOverMonthlyPeak,IF(OVolCurve,IF(OBuySell,X150,Z150),Y150))),"")</f>
        <v>#VALUE!</v>
      </c>
      <c r="CI150" s="1587" t="e">
        <f aca="false">IF(OR(BQ150,BS150),IF(OVolType&lt;&gt;2,SQRT(IF(OVolOverMonthlyPeak,OVolOverMonthlyPeak,IF(OVolCurve,IF(OBuySell,AA150,AC150),AB150))^2*(1-15/365.25/BT150)+IF(OVolOverDailyPeak,OVolOverDailyPeak,IF(OVolCurve,IF(OBuySell,AM150,AO150),AN150))^2*15/365.25/BT150),IF(OVolOverMonthlyPeak,OVolOverMonthlyPeak,IF(OVolCurve,IF(OBuySell,AA150,AC150),AB150))),"")</f>
        <v>#VALUE!</v>
      </c>
      <c r="CJ150" s="1587" t="e">
        <f aca="false">IF(BQ150,IF(BP150,SQRT(LN(1+((BU150*AZ150)^2*(EXP(CG150^2*BT150)-1)+(BV150*BA150)^2*(EXP(CH150^2*BT150)-1)+(BW150*BB150)^2*(EXP(CI150^2*BT150)-1)+2*BU150*AZ150*BV150*BA150*(EXP(CG150*CH150*BT150)-1)+2*BV150*BA150*BW150*BB150*(EXP(CH150*CI150*BT150)-1)+2*BW150*BB150*BU150*AZ150*(EXP(CI150*CG150*BT150)-1))/(BY150*BP150)^2)/BT150),0),"")</f>
        <v>#VALUE!</v>
      </c>
      <c r="CK150" s="1587" t="e">
        <f aca="false">IF(BS150,IF(BR150,SQRT(LN(1+((CA150*BH150)^2*(EXP(CG150^2*BT150)-1)+(CB150*BI150)^2*(EXP(CH150^2*BT150)-1)+(CC150*BJ150)^2*(EXP(CI150^2*BT150)-1)+2*CA150*BH150*CB150*BI150*(EXP(CG150*CH150*BT150)-1)+2*CB150*BI150*CC150*BJ150*(EXP(CH150*CI150*BT150)-1)+2*CC150*BJ150*CA150*BH150*(EXP(CI150*CG150*BT150)-1))/(CE150*BR150)^2)/BT150),0),"")</f>
        <v>#VALUE!</v>
      </c>
      <c r="CL150" s="1587" t="e">
        <f aca="false">IF(OR(BQ150,BS150),IF(OVolType&lt;&gt;2,SQRT(IF(OVolOverMonthlyOffPeak,OVolOverMonthlyOffPeak,IF(OVolCurve,IF(OBuySell,AD150,AF150),AE150))^2*(1-15/365.25/BT150)+IF(OVolOverDailyOffPeak,OVolOverDailyOffPeak,IF(OVolCurve,IF(OBuySell,AP150,AR150),AQ150))^2*15/365.25/BT150),IF(OVolOverMonthlyOffPeak,OVolOverMonthlyOffPeak,IF(OVolCurve,IF(OBuySell,AD150,AF150),AE150))),"")</f>
        <v>#VALUE!</v>
      </c>
      <c r="CM150" s="1587" t="e">
        <f aca="false">IF(BQ150,SQRT(LN(1+((BY150*BP150)^2*(EXP(CJ150^2*BT150)-1)+(BX150*BC150)^2*(EXP(CL150^2*BT150)-1)+2*BY150*BP150*BX150*BC150*(EXP(AS150*CJ150*CL150*BT150)-1))/(BY150*BP150+BX150*BC150)^2)/BT150),"")</f>
        <v>#VALUE!</v>
      </c>
      <c r="CN150" s="1588" t="e">
        <f aca="false">IF(BS150,SQRT(LN(1+((CE150*BR150)^2*(EXP(CK150^2*BT150)-1)+(CD150*BK150)^2*(EXP(CL150^2*BT150)-1)+2*CE150*BR150*CD150*BK150*(EXP(AS150*CK150*CL150*BT150)-1))/(CE150*BR150+CD150*BK150)^2)/BT150),"")</f>
        <v>#VALUE!</v>
      </c>
      <c r="CO150" s="1531" t="e">
        <f aca="false">IF(OR(BQ150,BS150),VLOOKUP(A150,GasTable,13)*HeatRatePeak*(1+VLOOKUP($B150,HeatRateDegradation,$C150+1))/1000,0)</f>
        <v>#VALUE!</v>
      </c>
      <c r="CP150" s="1316" t="e">
        <f aca="false">IF(OR(BQ150,BS150),VLOOKUP(A150,GasTable,13)*HeatRatePeak*(1+VLOOKUP($B150,HeatRateDegradation,$C150+1))/1000,0)</f>
        <v>#VALUE!</v>
      </c>
      <c r="CQ150" s="1316" t="e">
        <f aca="false">IF(OR(BQ150,BS150),VLOOKUP(A150,GasTable,13)*IF(EV150,HeatRatePeak,HeatRateOffPeak)*(1+VLOOKUP($B150,HeatRateDegradation,$C150+1))/1000,0)</f>
        <v>#VALUE!</v>
      </c>
      <c r="CR150" s="1316" t="e">
        <f aca="false">IF(OR(BQ150,BS150),VLOOKUP(A150,GasTable,13)*IF(EW150,HeatRatePeak,HeatRateOffPeak)*(1+VLOOKUP($B150,HeatRateDegradation,$C150+1))/1000,0)</f>
        <v>#VALUE!</v>
      </c>
      <c r="CS150" s="1589" t="e">
        <f aca="false">IF(BQ150,(CO150*AZ150+CP150*BA150+CQ150*BB150+CR150*BC150)/BQ150,0)</f>
        <v>#VALUE!</v>
      </c>
      <c r="CT150" s="1316" t="e">
        <f aca="false">IF(BS150,CO150,0)</f>
        <v>#VALUE!</v>
      </c>
      <c r="CU150" s="1590" t="e">
        <f aca="false">IF(OR(BQ150,BS150),VLOOKUP(A150,GasTable,14),"")</f>
        <v>#VALUE!</v>
      </c>
      <c r="CV150" s="1568" t="e">
        <f aca="false">IF(OR(BQ150,BS150),IF(CorrPowerGasOverFlag,INDEX(CorrPowerGasOver,C150),CorrPowerGas),"")</f>
        <v>#VALUE!</v>
      </c>
      <c r="CW150" s="1316" t="e">
        <f aca="false">IF(OR($BQ150,$BS150),SpreadOptPowerMargin,0)*((1+Assumptions!$C$26)^($B150-YEAR(Assumptions!$C$17)))</f>
        <v>#VALUE!</v>
      </c>
      <c r="CX150" s="1316" t="e">
        <f aca="false">IF(OR($BQ150,$BS150),SpreadOptPowerMargin,0)*((1+Assumptions!$C$26)^($B150-YEAR(Assumptions!$C$17)))</f>
        <v>#VALUE!</v>
      </c>
      <c r="CY150" s="1316" t="e">
        <f aca="false">IF(OR($BQ150,$BS150),SpreadOptPowerMargin,0)*((1+Assumptions!$C$26)^($B150-YEAR(Assumptions!$C$17)))</f>
        <v>#VALUE!</v>
      </c>
      <c r="CZ150" s="1316" t="e">
        <f aca="false">IF(OR($BQ150,$BS150),SpreadOptPowerMargin,0)*((1+Assumptions!$C$26)^($B150-YEAR(Assumptions!$C$17)))</f>
        <v>#VALUE!</v>
      </c>
      <c r="DA150" s="1591" t="e">
        <f aca="false">IF(OR(BQ150,BS150),(CW150*(AZ150+BH150)+CX150*(BA150+BI150)+CY150*(BB150+BJ150)+CZ150*(BC150+BK150))/(BQ150+BS150),0)</f>
        <v>#VALUE!</v>
      </c>
      <c r="DB150" s="1592" t="e">
        <f aca="false">IF(OR(BQ150,BS150),CG150+IF(OVolSmile,VLOOKUP(MAX(-5,CO150+CW150-BU150),IF(OVolSmile=1,VolSmileBook,VolSmileModel),2),0),"")</f>
        <v>#VALUE!</v>
      </c>
      <c r="DC150" s="1592" t="e">
        <f aca="false">IF(OR(BQ150,BS150),CH150+IF(OVolSmile,VLOOKUP(MAX(-5,CP150+CW150-BV150),IF(OVolSmile=1,VolSmileBook,VolSmileModel),2),0),"")</f>
        <v>#VALUE!</v>
      </c>
      <c r="DD150" s="1592" t="e">
        <f aca="false">IF(OR(BQ150,BS150),CI150+IF(OVolSmile,VLOOKUP(MAX(-5,CQ150+CW150-BW150),IF(OVolSmile=1,VolSmileBook,VolSmileModel),2),0),"")</f>
        <v>#VALUE!</v>
      </c>
      <c r="DE150" s="1592" t="e">
        <f aca="false">IF(OR(BQ150,BS150),CL150+IF(OVolSmile,VLOOKUP(MAX(-5,CR150+CZ150-BX150),IF(OVolSmile=1,VolSmileBook,VolSmileModel),2),0),"")</f>
        <v>#VALUE!</v>
      </c>
      <c r="DF150" s="1592" t="e">
        <f aca="false">IF(BQ150,CM150+IF(OVolSmile,VLOOKUP(MAX(-5,CS150+DA150-BZ150),IF(OVolSmile=1,VolSmileBook,VolSmileModel),2),0),"")</f>
        <v>#VALUE!</v>
      </c>
      <c r="DG150" s="1593" t="e">
        <f aca="false">IF(BS150,CN150+IF(OVolSmile,VLOOKUP(MAX(-5,CT150+DA150-CF150),IF(OVolSmile=1,VolSmileBook,VolSmileModel),2),0),"")</f>
        <v>#VALUE!</v>
      </c>
      <c r="DH150" s="1316" t="e">
        <f aca="false">IF(AND(BU150&gt;0,CO150&gt;0,DB150&gt;0,CU150&gt;0),newSPRDOPT(BU150,CO150,CW150,0,DB150,CU150,CV150,BT150*365.25,OCallPut,0),0)</f>
        <v>#VALUE!</v>
      </c>
      <c r="DI150" s="1316" t="e">
        <f aca="false">IF(AND(BV150&gt;0,CP150&gt;0,DC150&gt;0,CU150&gt;0),newSPRDOPT(BV150,CP150,CX150,0,DC150,CU150,CV150,BT150*365.25,OCallPut,0),0)</f>
        <v>#VALUE!</v>
      </c>
      <c r="DJ150" s="1316" t="e">
        <f aca="false">IF(AND(BW150&gt;0,CQ150&gt;0,DD150&gt;0,CU150&gt;0),newSPRDOPT(BW150,CQ150,CY150,0,DD150,CU150,CV150,BT150*365.25,OCallPut,0),0)</f>
        <v>#VALUE!</v>
      </c>
      <c r="DK150" s="1316" t="e">
        <f aca="false">IF(AND(BX150&gt;0,CR150&gt;0,DE150&gt;0,CU150&gt;0),newSPRDOPT(BX150,CR150,CZ150,0,DE150,CU150,CV150,BT150*365.25,OCallPut,0),0)</f>
        <v>#VALUE!</v>
      </c>
      <c r="DL150" s="1316" t="e">
        <f aca="false">IF(OVolType,IF(AND(BZ150&gt;0,CS150&gt;0,DF150&gt;0,CU150&gt;0),newSPRDOPT(BZ150,CS150,DA150,0,DF150,CU150,CV150,BT150*365.25,OCallPut,0),0),IF(BQ150,(DH150*AZ150+DI150*BA150+DJ150*BB150+DK150*BC150)/BQ150,0))</f>
        <v>#VALUE!</v>
      </c>
      <c r="DM150" s="1316"/>
      <c r="DN150" s="1316"/>
      <c r="DO150" s="1316"/>
      <c r="DP150" s="1316"/>
      <c r="DQ150" s="1316"/>
      <c r="DR150" s="1316"/>
      <c r="DS150" s="1316"/>
      <c r="DT150" s="1316"/>
      <c r="DU150" s="1316"/>
      <c r="DV150" s="1316"/>
      <c r="DW150" s="1594" t="e">
        <f aca="false">IF(AND(BW150&gt;0,CT150&gt;0,DD150&gt;0,CU150&gt;0),newSPRDOPT(BW150,CT150,CY150,0,DD150,CU150,CV150,BT150*365.25,OCallPut,0),0)</f>
        <v>#VALUE!</v>
      </c>
      <c r="DX150" s="1316" t="e">
        <f aca="false">IF(AND(BX150&gt;0,CT150&gt;0,DE150&gt;0,CU150&gt;0),newSPRDOPT(BX150,CT150,CZ150,0,DE150,CU150,CV150,BT150*365.25,OCallPut,0),0)</f>
        <v>#VALUE!</v>
      </c>
      <c r="DY150" s="1591" t="e">
        <f aca="false">IF(BS150,(DH150*BH150+DI150*BI150+DW150*BJ150+DX150*BK150)/BS150,0)</f>
        <v>#VALUE!</v>
      </c>
      <c r="DZ150" s="1551" t="e">
        <f aca="false">DH150*AZ150</f>
        <v>#VALUE!</v>
      </c>
      <c r="EA150" s="1551" t="e">
        <f aca="false">DI150*BA150</f>
        <v>#VALUE!</v>
      </c>
      <c r="EB150" s="1551" t="e">
        <f aca="false">DJ150*BB150</f>
        <v>#VALUE!</v>
      </c>
      <c r="EC150" s="1551" t="e">
        <f aca="false">DK150*BC150</f>
        <v>#VALUE!</v>
      </c>
      <c r="ED150" s="1551" t="e">
        <f aca="false">DL150*BQ150</f>
        <v>#VALUE!</v>
      </c>
      <c r="EE150" s="1595" t="e">
        <f aca="false">IF(BQ150,IF(OCallPut,IF(BU150&gt;(CO150+CW150),BU150-(CO150+CW150),0),IF((CO150+CW150)&gt;BU150,(CO150+CW150)-BU150,0))*AZ150,0)</f>
        <v>#VALUE!</v>
      </c>
      <c r="EF150" s="1596" t="e">
        <f aca="false">IF(BQ150,IF(OCallPut,IF(BV150&gt;(CP150+CX150),BV150-(CP150+CX150),0),IF((CP150+CX150)&gt;BV150,(CP150+CX150)-BV150,0))*BA150,0)</f>
        <v>#VALUE!</v>
      </c>
      <c r="EG150" s="1596" t="e">
        <f aca="false">IF(BQ150,IF(OCallPut,IF(BW150&gt;(CQ150+CY150),BW150-(CQ150+CY150),0),IF((CQ150+CY150)&gt;BW150,(CQ150+CY150)-BW150,0))*BB150,0)</f>
        <v>#VALUE!</v>
      </c>
      <c r="EH150" s="1596" t="e">
        <f aca="false">IF(BQ150,IF(OCallPut,IF(BX150&gt;(CR150+CZ150),BX150-(CR150+CZ150),0),IF((CR150+CZ150)&gt;BX150,(CR150+CZ150)-BX150,0))*BC150,0)</f>
        <v>#VALUE!</v>
      </c>
      <c r="EI150" s="1597" t="e">
        <f aca="false">IF(BQ150,IF(OVolType,IF(OCallPut,IF(BZ150&gt;(CS150+DA150),BZ150-(CS150+DA150),0),IF((CS150+DA150)&gt;BZ150,(CS150+DA150)-BZ150,0))*BQ150,SUM(EE150:EH150)),0)</f>
        <v>#VALUE!</v>
      </c>
      <c r="EJ150" s="1595" t="e">
        <f aca="false">DZ150-EE150</f>
        <v>#VALUE!</v>
      </c>
      <c r="EK150" s="1596" t="e">
        <f aca="false">EA150-EF150</f>
        <v>#VALUE!</v>
      </c>
      <c r="EL150" s="1596" t="e">
        <f aca="false">EB150-EG150</f>
        <v>#VALUE!</v>
      </c>
      <c r="EM150" s="1596" t="e">
        <f aca="false">EC150-EH150</f>
        <v>#VALUE!</v>
      </c>
      <c r="EN150" s="1597" t="e">
        <f aca="false">ED150-EI150</f>
        <v>#VALUE!</v>
      </c>
      <c r="EO150" s="1551" t="e">
        <f aca="false">DH150*BH150</f>
        <v>#VALUE!</v>
      </c>
      <c r="EP150" s="1551" t="e">
        <f aca="false">DI150*BI150</f>
        <v>#VALUE!</v>
      </c>
      <c r="EQ150" s="1551" t="e">
        <f aca="false">DW150*BJ150</f>
        <v>#VALUE!</v>
      </c>
      <c r="ER150" s="1551" t="e">
        <f aca="false">DX150*BK150</f>
        <v>#VALUE!</v>
      </c>
      <c r="ES150" s="1551" t="e">
        <f aca="false">DY150*BS150</f>
        <v>#VALUE!</v>
      </c>
      <c r="ET150" s="1566" t="e">
        <f aca="false">IF(EI150,IF(OCallPut,IF(CA150&gt;(CT150+CW150),CA150-(CT150+CW150),0),IF((CT150+CW150)&gt;CA150,(CT150+CW150)-CA150,0))*BH150,0)</f>
        <v>#VALUE!</v>
      </c>
      <c r="EU150" s="1551" t="e">
        <f aca="false">IF(EI150,IF(OCallPut,IF(CB150&gt;(CT150+CX150),CB150-(CT150+CX150),0),IF((CT150+CX150)&gt;CB150,(CT150+CX150)-CB150,0))*BI150,0)</f>
        <v>#VALUE!</v>
      </c>
      <c r="EV150" s="1551" t="e">
        <f aca="false">IF(EI150,IF(OCallPut,IF(CC150&gt;(CT150+CY150),CC150-(CT150+CY150),0),IF((CT150+CY150)&gt;CC150,(CT150+CY150)-CC150,0))*BJ150,0)</f>
        <v>#VALUE!</v>
      </c>
      <c r="EW150" s="1551" t="e">
        <f aca="false">IF(EI150,IF(OCallPut,IF(CD150&gt;(CT150+CZ150),CD150-(CT150+CZ150),0),IF((CT150+CZ150)&gt;CD150,(CT150+CZ150)-CD150,0))*BK150,0)</f>
        <v>#VALUE!</v>
      </c>
      <c r="EX150" s="1558" t="e">
        <f aca="false">IF(EI150,SUM(ET150:EW150),0)</f>
        <v>#VALUE!</v>
      </c>
      <c r="EY150" s="1551" t="e">
        <f aca="false">EO150-ET150</f>
        <v>#VALUE!</v>
      </c>
      <c r="EZ150" s="1551" t="e">
        <f aca="false">EP150-EU150</f>
        <v>#VALUE!</v>
      </c>
      <c r="FA150" s="1551" t="e">
        <f aca="false">EQ150-EV150</f>
        <v>#VALUE!</v>
      </c>
      <c r="FB150" s="1551" t="e">
        <f aca="false">ER150-EW150</f>
        <v>#VALUE!</v>
      </c>
      <c r="FC150" s="1551" t="e">
        <f aca="false">ES150-EX150</f>
        <v>#VALUE!</v>
      </c>
      <c r="FD150" s="1525" t="n">
        <f aca="false">IF(AX150,IF(VLOOKUP(C150,MAIN!$L$17:$M$28,2)="Yes",VLOOKUP(CALC!B150,MAIN!$H$17:$I$20,2),0),0)</f>
        <v>0</v>
      </c>
      <c r="FE150" s="1552" t="e">
        <f aca="false">$FD150*16*AT150*(1-$AY150)</f>
        <v>#VALUE!</v>
      </c>
      <c r="FF150" s="1553" t="e">
        <f aca="false">$FD150*16*AU150*(1-$AY150)</f>
        <v>#VALUE!</v>
      </c>
      <c r="FG150" s="1553" t="e">
        <f aca="false">$FD150*16*(AV150+AW150)*(1-$AY150)</f>
        <v>#VALUE!</v>
      </c>
      <c r="FH150" s="1554" t="n">
        <f aca="false">$FD150*8*AX150*(1-$AY150)</f>
        <v>0</v>
      </c>
      <c r="FI150" s="1555" t="n">
        <f aca="false">IF(AX150,VLOOKUP(CALC!B150,MAIN!$H$17:$K$20,4),0)</f>
        <v>0</v>
      </c>
      <c r="FJ150" s="1553" t="e">
        <f aca="false">SUM(FE150:FH150)</f>
        <v>#VALUE!</v>
      </c>
      <c r="FK150" s="1556" t="e">
        <f aca="false">FI150*FJ150</f>
        <v>#VALUE!</v>
      </c>
      <c r="FL150" s="1551" t="e">
        <f aca="false">IF($EI150&gt;0,MIN(FE150,AZ150*(1+VLOOKUP($C150,WeatherCapacityAdjustment,2))),0)</f>
        <v>#VALUE!</v>
      </c>
      <c r="FM150" s="1551" t="e">
        <f aca="false">IF($EI150&gt;0,MIN(FF150,BA150*(1+VLOOKUP($C150,WeatherCapacityAdjustment,2))),0)</f>
        <v>#VALUE!</v>
      </c>
      <c r="FN150" s="1551" t="e">
        <f aca="false">IF($EI150&gt;0,MIN(FG150,BB150*(1+VLOOKUP($C150,WeatherCapacityAdjustment,2))),0)</f>
        <v>#VALUE!</v>
      </c>
      <c r="FO150" s="1564" t="e">
        <f aca="false">IF($EI150&gt;0,MIN(FH150,BC150*(1+VLOOKUP($C150,WeatherCapacityAdjustment,3))),0)</f>
        <v>#VALUE!</v>
      </c>
      <c r="FP150" s="1551" t="e">
        <f aca="false">IF(ET150&gt;0,MIN(FE150-FL150,BH150*(1+VLOOKUP($C150,WeatherCapacityAdjustment,2))),0)</f>
        <v>#VALUE!</v>
      </c>
      <c r="FQ150" s="1551" t="e">
        <f aca="false">IF(EU150&gt;0,MIN(FF150-FM150,BI150*(1+VLOOKUP($C150,WeatherCapacityAdjustment,2))),0)</f>
        <v>#VALUE!</v>
      </c>
      <c r="FR150" s="1551" t="e">
        <f aca="false">IF(EV150&gt;0,MIN(FG150-FN150,BJ150*(1+VLOOKUP($C150,WeatherCapacityAdjustment,2))),0)</f>
        <v>#VALUE!</v>
      </c>
      <c r="FS150" s="1558" t="e">
        <f aca="false">IF(EW150&gt;0,MIN(FH150-FO150,BK150*(1+VLOOKUP($C150,WeatherCapacityAdjustment,3))),0)</f>
        <v>#VALUE!</v>
      </c>
      <c r="FT150" s="1566" t="e">
        <f aca="false">IF(AND(Assumptions!$H$71="Yes",A150&gt;=Assumptions!$H$72,A150&lt;=Assumptions!$H$73),0,IF(AND($A150&gt;=Assumptions!$C$17,$A150&lt;=Assumptions!$C$18),MAX(AZ150*(1+VLOOKUP($C150,WeatherCapacityAdjustment,2))-FL150,0),0))</f>
        <v>#VALUE!</v>
      </c>
      <c r="FU150" s="1551" t="e">
        <f aca="false">IF(AND(Assumptions!$H$71="Yes",A150&gt;=Assumptions!$H$72,A150&lt;=Assumptions!$H$73),0,IF(AND($A150&gt;=Assumptions!$C$17,$A150&lt;=Assumptions!$C$18),MAX(BA150*(1+VLOOKUP($C150,WeatherCapacityAdjustment,2))-FM150,0),0))</f>
        <v>#VALUE!</v>
      </c>
      <c r="FV150" s="1551" t="e">
        <f aca="false">IF(AND(Assumptions!$H$71="Yes",A150&gt;=Assumptions!$H$72,A150&lt;=Assumptions!$H$73),0,IF(AND($A150&gt;=Assumptions!$C$17,$A150&lt;=Assumptions!$C$18),MAX(BB150*(1+VLOOKUP($C150,WeatherCapacityAdjustment,2))-FN150,0),0))</f>
        <v>#VALUE!</v>
      </c>
      <c r="FW150" s="1564" t="e">
        <f aca="false">IF(AND(Assumptions!$H$71="Yes",A150&gt;=Assumptions!$H$72,A150&lt;=Assumptions!$H$73),0,IF(AND($A150&gt;=Assumptions!$C$17,$A150&lt;=Assumptions!$C$18),MAX(BC150*(1+VLOOKUP($C150,WeatherCapacityAdjustment,3))-FO150,0),0))</f>
        <v>#VALUE!</v>
      </c>
      <c r="FX150" s="1569" t="e">
        <f aca="false">IF(AND(Assumptions!$H$71="Yes",A150&gt;=Assumptions!$H$72,A150&lt;=Assumptions!$H$73),0,IF(ET150&gt;0,MAX(BH150*(1+VLOOKUP($C150,WeatherCapacityAdjustment,2))-FP150,0),0))</f>
        <v>#VALUE!</v>
      </c>
      <c r="FY150" s="1551" t="e">
        <f aca="false">IF(AND(Assumptions!$H$71="Yes",A150&gt;=Assumptions!$H$72,A150&lt;=Assumptions!$H$73),0,IF(EU150&gt;0,MAX(BI150*(1+VLOOKUP($C150,WeatherCapacityAdjustment,3))-FQ150,0),0))</f>
        <v>#VALUE!</v>
      </c>
      <c r="FZ150" s="1551" t="e">
        <f aca="false">IF(AND(Assumptions!$H$71="Yes",A150&gt;=Assumptions!$H$72,A150&lt;=Assumptions!$H$73),0,IF(EV150&gt;0,MAX(BJ150*(1+VLOOKUP($C150,WeatherCapacityAdjustment,2))-FR150,0),0))</f>
        <v>#VALUE!</v>
      </c>
      <c r="GA150" s="1564" t="e">
        <f aca="false">IF(AND(Assumptions!$H$71="Yes",A150&gt;=Assumptions!$H$72,A150&lt;=Assumptions!$H$73),0,IF(EW150&gt;0,MAX(BK150*(1+VLOOKUP($C150,WeatherCapacityAdjustment,2))-FS150,0),0))</f>
        <v>#VALUE!</v>
      </c>
      <c r="GB150" s="1551" t="e">
        <f aca="false">SUM(FT150:GA150)</f>
        <v>#VALUE!</v>
      </c>
      <c r="GC150" s="1563" t="e">
        <f aca="false">+IF(SUM(FT150:GA150)=0,0,(SUMPRODUCT(BU150:BX150,FT150:FW150)+SUMPRODUCT(CA150:CD150,FX150:GA150))/SUM(FT150:GA150))</f>
        <v>#VALUE!</v>
      </c>
      <c r="GD150" s="1551" t="e">
        <f aca="false">(FT150*BU150+FX150*CA150+FU150*BV150+FY150*CB150+FV150*BW150+FZ150*CC150+FW150*BX150+GA150*CD150)</f>
        <v>#VALUE!</v>
      </c>
      <c r="GE150" s="1561" t="e">
        <f aca="false">+IF(BQ150,((FL150+FM150+FT150+FU150)*HeatRatePeak/1000*(1+VLOOKUP($C150,WeatherHeatRateAdjustment,2))+(FN150+FV150)*IF(EV150&gt;0,HeatRatePeak,HeatRateOffPeak)/1000*(1+VLOOKUP($C150,WeatherHeatRateAdjustment,2))+(FO150+FW150)*IF(EW150&gt;0,HeatRatePeak,HeatRateOffPeak)/1000*(1+VLOOKUP($C150,WeatherHeatRateAdjustment,3)))*(1+VLOOKUP($B150,HeatRateDegradation,$C150+1)),0)</f>
        <v>#VALUE!</v>
      </c>
      <c r="GF150" s="1562" t="e">
        <f aca="false">IF(BQ150,((FP150+FQ150+FR150+FX150+FY150+FZ150)*HeatRatePeak/1000*(1+VLOOKUP($C150,WeatherHeatRateAdjustment,2))+(FS150+GA150)*HeatRatePeak/1000*(1+VLOOKUP($C150,WeatherHeatRateAdjustment,3)))*(1+VLOOKUP($B150,HeatRateDegradation,$C150+1)),0)</f>
        <v>#VALUE!</v>
      </c>
      <c r="GG150" s="1563" t="e">
        <f aca="false">IF(BQ150,VLOOKUP(A150,GasTable,13),0)</f>
        <v>#VALUE!</v>
      </c>
      <c r="GH150" s="1564" t="e">
        <f aca="false">(GE150+GF150)*GG150</f>
        <v>#VALUE!</v>
      </c>
      <c r="GI150" s="1569" t="e">
        <f aca="false">GB150</f>
        <v>#VALUE!</v>
      </c>
      <c r="GJ150" s="1598" t="e">
        <f aca="false">+DA150</f>
        <v>#VALUE!</v>
      </c>
      <c r="GK150" s="1558" t="e">
        <f aca="false">+GI150*GJ150</f>
        <v>#VALUE!</v>
      </c>
      <c r="GL150" s="1566" t="e">
        <f aca="false">MAX(FE150-FL150-FP150,0)</f>
        <v>#VALUE!</v>
      </c>
      <c r="GM150" s="1551" t="e">
        <f aca="false">MAX(FF150-FM150-FQ150,0)</f>
        <v>#VALUE!</v>
      </c>
      <c r="GN150" s="1551" t="e">
        <f aca="false">MAX(FG150-FN150-FR150,0)</f>
        <v>#VALUE!</v>
      </c>
      <c r="GO150" s="1564" t="e">
        <f aca="false">MAX(FH150-FO150-FS150,0)</f>
        <v>#VALUE!</v>
      </c>
      <c r="GP150" s="1551" t="e">
        <f aca="false">SUM(GL150:GO150)</f>
        <v>#VALUE!</v>
      </c>
      <c r="GQ150" s="1563" t="e">
        <f aca="false">IF(SUM(GL150:GO150)=0,0,((GL150*BU150+GM150*BV150+GN150*BW150+GO150*BX150)/SUM(GL150:GO150)))</f>
        <v>#VALUE!</v>
      </c>
      <c r="GR150" s="1558" t="e">
        <f aca="false">(GL150*BU150+GM150*BV150+GN150*BW150+GO150*BX150)</f>
        <v>#VALUE!</v>
      </c>
      <c r="GS150" s="1566" t="n">
        <f aca="false">IF($A150&gt;=BegDate,Assumptions!$C$56*24*($A151-$A150)*(1-VLOOKUP($B150,MAIN!$AA$7:$AM$28,$C150+1))*(1-VLOOKUP($B150,MAIN!$AA$33:$AM$54,$C150+1)),0)*80/168</f>
        <v>249428.571428571</v>
      </c>
      <c r="GT150" s="286" t="n">
        <f aca="false">J150</f>
        <v>37.4529209174637</v>
      </c>
      <c r="GU150" s="286" t="n">
        <f aca="false">IF($A150&gt;=BegDate,VLOOKUP($A150,GasTable,13)+Assumptions!$C$58,0)</f>
        <v>2.8072653315907</v>
      </c>
      <c r="GV150" s="286" t="n">
        <f aca="false">GU150*Assumptions!$C$57/1000</f>
        <v>20.3526736540326</v>
      </c>
      <c r="GW150" s="1558" t="n">
        <f aca="false">IF(Assumptions!$C$60="Hourly",MAX(0,GS150*(GT150-GV150)),GS150*(GT150-GV150))</f>
        <v>4265290.24599297</v>
      </c>
      <c r="GX150" s="1566" t="n">
        <f aca="false">IF($A150&gt;=BegDate,Assumptions!$C$56*24*($A151-$A150)*(1-VLOOKUP($B150,MAIN!$AA$7:$AM$28,$C150+1))*(1-VLOOKUP($B150,MAIN!$AA$33:$AM$54,$C150+1)),0)*16/168</f>
        <v>49885.7142857143</v>
      </c>
      <c r="GY150" s="286" t="n">
        <f aca="false">M150</f>
        <v>37.4529209174637</v>
      </c>
      <c r="GZ150" s="286" t="n">
        <f aca="false">IF($A150&gt;=BegDate,VLOOKUP($A150,GasTable,13)+Assumptions!$C$58,0)</f>
        <v>2.8072653315907</v>
      </c>
      <c r="HA150" s="286" t="n">
        <f aca="false">GZ150*Assumptions!$C$57/1000</f>
        <v>20.3526736540326</v>
      </c>
      <c r="HB150" s="1558" t="n">
        <f aca="false">IF(Assumptions!$C$60="Hourly",MAX(0,GX150*(GY150-HA150)),GX150*(GY150-HA150))</f>
        <v>853058.049198594</v>
      </c>
      <c r="HC150" s="1566" t="n">
        <f aca="false">IF($A150&gt;=BegDate,Assumptions!$C$56*24*($A151-$A150)*(1-VLOOKUP($B150,MAIN!$AA$7:$AM$28,$C150+1))*(1-VLOOKUP($B150,MAIN!$AA$33:$AM$54,$C150+1)),0)*16/168</f>
        <v>49885.7142857143</v>
      </c>
      <c r="HD150" s="286" t="n">
        <f aca="false">P150</f>
        <v>22.8913913795614</v>
      </c>
      <c r="HE150" s="286" t="n">
        <f aca="false">IF($A150&gt;=BegDate,VLOOKUP($A150,GasTable,13)+Assumptions!$C$58,0)</f>
        <v>2.8072653315907</v>
      </c>
      <c r="HF150" s="286" t="n">
        <f aca="false">HE150*Assumptions!$C$57/1000</f>
        <v>20.3526736540326</v>
      </c>
      <c r="HG150" s="1558" t="n">
        <f aca="false">IF(Assumptions!$C$60="Hourly",MAX(0,HC150*(HD150-HF150)),HC150*(HD150-HF150))</f>
        <v>126645.747107811</v>
      </c>
      <c r="HH150" s="1566" t="n">
        <f aca="false">IF($A150&gt;=BegDate,Assumptions!$C$56*24*($A151-$A150)*(1-VLOOKUP($B150,MAIN!$AA$7:$AM$28,$C150+1))*(1-VLOOKUP($B150,MAIN!$AA$33:$AM$54,$C150+1)),0)*56/168</f>
        <v>174600</v>
      </c>
      <c r="HI150" s="286" t="n">
        <f aca="false">S150</f>
        <v>22.8913913795614</v>
      </c>
      <c r="HJ150" s="286" t="n">
        <f aca="false">IF($A150&gt;=BegDate,VLOOKUP($A150,GasTable,13)+Assumptions!$C$58,0)</f>
        <v>2.8072653315907</v>
      </c>
      <c r="HK150" s="286" t="n">
        <f aca="false">HJ150*Assumptions!$C$57/1000</f>
        <v>20.3526736540326</v>
      </c>
      <c r="HL150" s="1558" t="n">
        <f aca="false">IF(Assumptions!$C$60="Hourly",MAX(0,HH150*(HI150-HK150)),HH150*(HI150-HK150))</f>
        <v>443260.114877339</v>
      </c>
      <c r="HM150" s="1566" t="n">
        <f aca="false">IF(AND(Assumptions!$H$71="Yes",A150&gt;=Assumptions!$H$72,A150&lt;=Assumptions!$H$73),Assumptions!$H$74*Assumptions!$C$9*1000,0)</f>
        <v>0</v>
      </c>
      <c r="HN150" s="1551"/>
      <c r="HO150" s="1563"/>
      <c r="HP150" s="1563"/>
      <c r="HQ150" s="1563"/>
      <c r="HR150" s="1563"/>
      <c r="HS150" s="1563"/>
      <c r="HT150" s="1563"/>
      <c r="HU150" s="1563"/>
      <c r="HV150" s="1563"/>
      <c r="HW150" s="1563"/>
      <c r="HX150" s="1563"/>
      <c r="HY150" s="1563"/>
      <c r="HZ150" s="1563"/>
      <c r="IA150" s="1563"/>
      <c r="IB150" s="1563"/>
      <c r="IC150" s="1563"/>
      <c r="ID150" s="1563"/>
      <c r="IE150" s="1563"/>
      <c r="IF150" s="1563"/>
      <c r="IG150" s="1563"/>
      <c r="IH150" s="1563"/>
      <c r="II150" s="1610"/>
      <c r="IJ150" s="1309"/>
      <c r="IK150" s="1309"/>
    </row>
    <row r="151" customFormat="false" ht="12.75" hidden="false" customHeight="false" outlineLevel="0" collapsed="false">
      <c r="A151" s="1571" t="n">
        <f aca="false">EOMONTH(A150,0)+1</f>
        <v>40725</v>
      </c>
      <c r="B151" s="594" t="n">
        <f aca="false">+YEAR(A151)</f>
        <v>2011</v>
      </c>
      <c r="C151" s="238" t="n">
        <f aca="false">MONTH(A151)</f>
        <v>7</v>
      </c>
      <c r="D151" s="1572" t="e">
        <f aca="false">IF(E151="","",Holiday(B151,C151))</f>
        <v>#VALUE!</v>
      </c>
      <c r="E151" s="1573" t="n">
        <f aca="false">IF(OR(BegDate&gt;=A152,EndDate&lt;A151,AND(VolumeMonthlyOverFlag,INDEX(VolumeMonthlyOver,C151)=0),NOT(INDEX(MonthKnockOutTable,C151))),"",MAX(A151,BegDate))</f>
        <v>40725</v>
      </c>
      <c r="F151" s="1574" t="n">
        <f aca="false">IF(E151="","",MIN(A152-1,EndDate))</f>
        <v>40755</v>
      </c>
      <c r="G151" s="1575" t="n">
        <v>0</v>
      </c>
      <c r="H151" s="1576" t="n">
        <f aca="false">(1+G151/2)^(-2*(DATE(B152,C152,20)-DateToday)/365.25)</f>
        <v>1</v>
      </c>
      <c r="I151" s="1568" t="n">
        <f aca="false">IF(Assumptions!$L$25=4,VLOOKUP($A151,'Henwood Reference'!$E$9:$R$320,10),(VLOOKUP($A151,PriceTable,2,0)+IF(BasisNumber&lt;&gt;1,VLOOKUP($A151,BasisTable,2,0),0)+I$1)/(1-I$2))</f>
        <v>69.7096562627154</v>
      </c>
      <c r="J151" s="1568" t="n">
        <f aca="false">IF(Assumptions!$L$25=4,VLOOKUP($A151,'Henwood Reference'!$E$9:$R$320,10),(VLOOKUP($A151,PriceTable,3,0)+IF(BasisNumber&lt;&gt;1,VLOOKUP($A151,BasisTable,2,0),0)+J$1)/(1-J$2))</f>
        <v>69.7096562627154</v>
      </c>
      <c r="K151" s="1568" t="n">
        <f aca="false">IF(Assumptions!$L$25=4,VLOOKUP($A151,'Henwood Reference'!$E$9:$R$320,10),(VLOOKUP($A151,PriceTable,4,0)+IF(BasisNumber&lt;&gt;1,VLOOKUP($A151,BasisTable,2,0),0)+K$1)/(1-K$2))</f>
        <v>69.7096562627154</v>
      </c>
      <c r="L151" s="1523" t="n">
        <f aca="false">IF(Assumptions!$L$25=4,VLOOKUP($A151,'Henwood Reference'!$E$9:$R$320,10),(VLOOKUP($A151,PriceTableWeekend,2,0)+IF(BasisNumber&lt;&gt;1,VLOOKUP($A151,BasisTable,2,0),0)+L$1)/(1-L$2))</f>
        <v>69.7096562627154</v>
      </c>
      <c r="M151" s="1568" t="n">
        <f aca="false">IF(Assumptions!$L$25=4,VLOOKUP($A151,'Henwood Reference'!$E$9:$R$320,10),(VLOOKUP($A151,PriceTableWeekend,3,0)+IF(BasisNumber&lt;&gt;1,VLOOKUP($A151,BasisTable,2,0),0)+M$1)/(1-M$2))</f>
        <v>69.7096562627154</v>
      </c>
      <c r="N151" s="1599" t="n">
        <f aca="false">IF(Assumptions!$L$25=4,VLOOKUP($A151,'Henwood Reference'!$E$9:$R$320,10),(VLOOKUP($A151,PriceTableWeekend,4,0)+IF(BasisNumber&lt;&gt;1,VLOOKUP($A151,BasisTable,2,0),0)+N$1)/(1-N$2))</f>
        <v>69.7096562627154</v>
      </c>
      <c r="O151" s="1568" t="n">
        <f aca="false">IF(Assumptions!$L$25=4,VLOOKUP($A151,'Henwood Reference'!$E$9:$R$320,11),(VLOOKUP($A151,PriceTableWeekend,6,0)+IF(BasisNumber&lt;&gt;1,VLOOKUP($A151,BasisTable,3,0),0)+O$1)/(1-O$2))</f>
        <v>28.5007502344531</v>
      </c>
      <c r="P151" s="1568" t="n">
        <f aca="false">IF(Assumptions!$L$25=4,VLOOKUP($A151,'Henwood Reference'!$E$9:$R$320,11),(VLOOKUP($A151,PriceTableWeekend,7,0)+IF(BasisNumber&lt;&gt;1,VLOOKUP($A151,BasisTable,3,0),0)+P$1)/(1-P$2))</f>
        <v>28.5007502344531</v>
      </c>
      <c r="Q151" s="1599" t="n">
        <f aca="false">IF(Assumptions!$L$25=4,VLOOKUP($A151,'Henwood Reference'!$E$9:$R$320,11),(VLOOKUP($A151,PriceTableWeekend,8,0)+IF(BasisNumber&lt;&gt;1,VLOOKUP($A151,BasisTable,3,0),0)+Q$1)/(1-Q$2))</f>
        <v>28.5007502344531</v>
      </c>
      <c r="R151" s="1568" t="n">
        <f aca="false">IF(Assumptions!$L$25=4,VLOOKUP($A151,'Henwood Reference'!$E$9:$R$320,11),(VLOOKUP($A151,PriceTable,6,0)+IF(BasisNumber&lt;&gt;1,VLOOKUP($A151,BasisTable,3,0),0)+R$1)/(1-R$2))</f>
        <v>28.5007502344531</v>
      </c>
      <c r="S151" s="1568" t="n">
        <f aca="false">IF(Assumptions!$L$25=4,VLOOKUP($A151,'Henwood Reference'!$E$9:$R$320,11),(VLOOKUP($A151,PriceTable,7,0)+IF(BasisNumber&lt;&gt;1,VLOOKUP($A151,BasisTable,3,0),0)+S$1)/(1-S$2))</f>
        <v>28.5007502344531</v>
      </c>
      <c r="T151" s="1600" t="n">
        <f aca="false">IF(Assumptions!$L$25=4,VLOOKUP($A151,'Henwood Reference'!$E$9:$R$320,11),(VLOOKUP($A151,PriceTable,8,0)+IF(BasisNumber&lt;&gt;1,VLOOKUP($A151,BasisTable,3,0),0)+T$1)/(1-T$2))</f>
        <v>28.5007502344531</v>
      </c>
      <c r="U151" s="1513" t="n">
        <f aca="false">VLOOKUP($A151,VolatilityTable,14)</f>
        <v>0.115</v>
      </c>
      <c r="V151" s="1513" t="n">
        <f aca="false">VLOOKUP($A151,VolatilityTable,15)</f>
        <v>0.125</v>
      </c>
      <c r="W151" s="1514" t="n">
        <f aca="false">VLOOKUP($A151,VolatilityTable,16)</f>
        <v>0.135</v>
      </c>
      <c r="X151" s="1513" t="n">
        <f aca="false">VLOOKUP($A151,VolatilityTable,14)</f>
        <v>0.115</v>
      </c>
      <c r="Y151" s="1513" t="n">
        <f aca="false">VLOOKUP($A151,VolatilityTable,15)</f>
        <v>0.125</v>
      </c>
      <c r="Z151" s="1514" t="n">
        <f aca="false">VLOOKUP($A151,VolatilityTable,16)</f>
        <v>0.135</v>
      </c>
      <c r="AA151" s="1513" t="n">
        <f aca="false">VLOOKUP($A151,VolatilityTable,18)</f>
        <v>0.09</v>
      </c>
      <c r="AB151" s="1513" t="n">
        <f aca="false">VLOOKUP($A151,VolatilityTable,19)</f>
        <v>0.11</v>
      </c>
      <c r="AC151" s="1514" t="n">
        <f aca="false">VLOOKUP($A151,VolatilityTable,20)</f>
        <v>0.13</v>
      </c>
      <c r="AD151" s="1513" t="n">
        <f aca="false">VLOOKUP($A151,VolatilityTable,18)</f>
        <v>0.09</v>
      </c>
      <c r="AE151" s="1513" t="n">
        <f aca="false">VLOOKUP($A151,VolatilityTable,19)</f>
        <v>0.11</v>
      </c>
      <c r="AF151" s="1514" t="n">
        <f aca="false">VLOOKUP($A151,VolatilityTable,20)</f>
        <v>0.13</v>
      </c>
      <c r="AG151" s="1513" t="n">
        <f aca="false">VLOOKUP($A151,VolatilityTable,22)</f>
        <v>-0.35</v>
      </c>
      <c r="AH151" s="1513" t="n">
        <f aca="false">VLOOKUP($A151,VolatilityTable,23)</f>
        <v>3</v>
      </c>
      <c r="AI151" s="1514" t="n">
        <f aca="false">VLOOKUP($A151,VolatilityTable,24)</f>
        <v>0.35</v>
      </c>
      <c r="AJ151" s="1513" t="n">
        <f aca="false">VLOOKUP($A151,VolatilityTable,22)</f>
        <v>-0.35</v>
      </c>
      <c r="AK151" s="1513" t="n">
        <f aca="false">VLOOKUP($A151,VolatilityTable,23)</f>
        <v>3</v>
      </c>
      <c r="AL151" s="1514" t="n">
        <f aca="false">VLOOKUP($A151,VolatilityTable,24)</f>
        <v>0.35</v>
      </c>
      <c r="AM151" s="1513" t="n">
        <f aca="false">VLOOKUP($A151,VolatilityTable,26)</f>
        <v>-0.01</v>
      </c>
      <c r="AN151" s="1513" t="n">
        <f aca="false">VLOOKUP($A151,VolatilityTable,27)</f>
        <v>0.16</v>
      </c>
      <c r="AO151" s="1514" t="n">
        <f aca="false">VLOOKUP($A151,VolatilityTable,28)</f>
        <v>0.01</v>
      </c>
      <c r="AP151" s="1513" t="n">
        <f aca="false">VLOOKUP($A151,VolatilityTable,26)</f>
        <v>-0.01</v>
      </c>
      <c r="AQ151" s="1513" t="n">
        <f aca="false">VLOOKUP($A151,VolatilityTable,27)</f>
        <v>0.16</v>
      </c>
      <c r="AR151" s="1515" t="n">
        <f aca="false">VLOOKUP($A151,VolatilityTable,28)</f>
        <v>0.01</v>
      </c>
      <c r="AS151" s="1581" t="n">
        <f aca="false">IF(CorrPeakOffPeakOverFlag,INDEX(CorrPeakOffPeakOver,C151),CorrPeakOffPeak)</f>
        <v>0.5</v>
      </c>
      <c r="AT151" s="594" t="e">
        <f aca="false">AX151-SUM(AU151:AW151)</f>
        <v>#VALUE!</v>
      </c>
      <c r="AU151" s="238" t="e">
        <f aca="false">IF(E151="",0,INT((F151-MOD(F151,7)-E151)/7)+1-IF(AW151,IF(WEEKDAY(D151)=7,1,0),0))</f>
        <v>#VALUE!</v>
      </c>
      <c r="AV151" s="238" t="e">
        <f aca="false">IF(E151="",0,INT((F151-MOD(F151-1,7)-E151)/7)+1-IF(AW151,IF(WEEKDAY(D151)=1,1,0),0))</f>
        <v>#VALUE!</v>
      </c>
      <c r="AW151" s="238" t="e">
        <f aca="false">IF(OR(E151="",D151="",D151&lt;BegDate,D151&gt;EndDate),0,1)</f>
        <v>#VALUE!</v>
      </c>
      <c r="AX151" s="238" t="n">
        <f aca="false">IF(E151="",0,F151-E151+1)</f>
        <v>31</v>
      </c>
      <c r="AY151" s="1582" t="n">
        <f aca="false">IF(E151="",0,MIN((1-(1-VLOOKUP(B151,MAIN!$AA$7:$AM$28,C151+1))*(1-VLOOKUP(B151,MAIN!$AA$33:$AM$54,C151+1))),1))</f>
        <v>0.03</v>
      </c>
      <c r="AZ151" s="1519" t="e">
        <v>#VALUE!</v>
      </c>
      <c r="BA151" s="1520" t="e">
        <v>#VALUE!</v>
      </c>
      <c r="BB151" s="1520" t="e">
        <v>#VALUE!</v>
      </c>
      <c r="BC151" s="1583" t="e">
        <v>#VALUE!</v>
      </c>
      <c r="BD151" s="1522" t="e">
        <v>#VALUE!</v>
      </c>
      <c r="BE151" s="1523" t="e">
        <v>#VALUE!</v>
      </c>
      <c r="BF151" s="1523" t="e">
        <v>#VALUE!</v>
      </c>
      <c r="BG151" s="1584" t="e">
        <v>#VALUE!</v>
      </c>
      <c r="BH151" s="1525" t="e">
        <v>#VALUE!</v>
      </c>
      <c r="BI151" s="1520" t="e">
        <v>#VALUE!</v>
      </c>
      <c r="BJ151" s="1520" t="e">
        <v>#VALUE!</v>
      </c>
      <c r="BK151" s="1583" t="e">
        <v>#VALUE!</v>
      </c>
      <c r="BL151" s="1522" t="e">
        <v>#VALUE!</v>
      </c>
      <c r="BM151" s="1523" t="e">
        <v>#VALUE!</v>
      </c>
      <c r="BN151" s="1523" t="e">
        <v>#VALUE!</v>
      </c>
      <c r="BO151" s="1523" t="e">
        <v>#VALUE!</v>
      </c>
      <c r="BP151" s="1525" t="e">
        <f aca="false">SUM(AZ151:BB151)</f>
        <v>#VALUE!</v>
      </c>
      <c r="BQ151" s="1529" t="e">
        <f aca="false">SUM(AZ151:BC151)</f>
        <v>#VALUE!</v>
      </c>
      <c r="BR151" s="1519" t="e">
        <f aca="false">SUM(BH151:BJ151)</f>
        <v>#VALUE!</v>
      </c>
      <c r="BS151" s="1529" t="e">
        <f aca="false">SUM(BH151:BK151)</f>
        <v>#VALUE!</v>
      </c>
      <c r="BT151" s="1316" t="n">
        <f aca="false">(IF(OVolType&lt;&gt;2,A151+14,IF(OptExpDateShift,ShiftBack(A151,OptExpDateShift,D150),A151))-DateToday)/365.25</f>
        <v>11.211498973306</v>
      </c>
      <c r="BU151" s="1585" t="e">
        <f aca="false">IF(BQ151,IF(OPriceCurve,IF(OBuySell=OCallPut,I151/(1-AY151),K151/(1-AY151)),J151/(1-AY151))*BD151,0)</f>
        <v>#VALUE!</v>
      </c>
      <c r="BV151" s="1316" t="e">
        <f aca="false">IF(BQ151,IF(OPriceCurve,IF(OBuySell=OCallPut,L151/(1-AY151),N151/(1-AY151)),M151/(1-AY151))*BE151,0)</f>
        <v>#VALUE!</v>
      </c>
      <c r="BW151" s="1316" t="e">
        <f aca="false">IF(BQ151,IF(OPriceCurve,IF(OBuySell=OCallPut,O151/(1-AY151),Q151/(1-AY151)),P151/(1-AY151))*BF151,0)</f>
        <v>#VALUE!</v>
      </c>
      <c r="BX151" s="1316" t="e">
        <f aca="false">IF(BQ151,IF(OPriceCurve,IF(OBuySell=OCallPut,R151/(1-AY151),T151/(1-AY151)),S151/(1-AY151))*BG151,0)</f>
        <v>#VALUE!</v>
      </c>
      <c r="BY151" s="1316" t="e">
        <f aca="false">IF(BP151,(BU151*AZ151+BV151*BA151+BW151*BB151)/BP151,0)</f>
        <v>#VALUE!</v>
      </c>
      <c r="BZ151" s="1316" t="e">
        <f aca="false">IF(BQ151,(BY151*BP151+BX151*BC151)/BQ151,0)</f>
        <v>#VALUE!</v>
      </c>
      <c r="CA151" s="1531" t="e">
        <f aca="false">IF(BS151,IF(OPriceCurve,IF(OBuySell=OCallPut,I151/(1-AY151),K151/(1-AY151)),J151/(1-AY151))*BL151,0)</f>
        <v>#VALUE!</v>
      </c>
      <c r="CB151" s="1316" t="e">
        <f aca="false">IF(BS151,IF(OPriceCurve,IF(OBuySell=OCallPut,L151/(1-AY151),N151/(1-AY151)),M151/(1-AY151))*BM151,0)</f>
        <v>#VALUE!</v>
      </c>
      <c r="CC151" s="1316" t="e">
        <f aca="false">IF(BS151,IF(OPriceCurve,IF(OBuySell=OCallPut,O151/(1-AY151),Q151/(1-AY151)),P151/(1-AY151))*BN151,0)</f>
        <v>#VALUE!</v>
      </c>
      <c r="CD151" s="1316" t="e">
        <f aca="false">IF(BS151,IF(OPriceCurve,IF(OBuySell=OCallPut,R151/(1-AY151),T151/(1-AY151)),S151/(1-AY151))*BO151,0)</f>
        <v>#VALUE!</v>
      </c>
      <c r="CE151" s="1316" t="e">
        <f aca="false">IF(BR151,(BU151*BH151+BV151*BI151+BW151*BJ151)/BR151,0)</f>
        <v>#VALUE!</v>
      </c>
      <c r="CF151" s="1532" t="e">
        <f aca="false">IF(BS151,(CE151*BR151+CD151*BK151)/BS151,0)</f>
        <v>#VALUE!</v>
      </c>
      <c r="CG151" s="1586" t="e">
        <f aca="false">IF(OR(BQ151,BS151),IF(OVolType&lt;&gt;2,SQRT(IF(OVolOverMonthlyPeak,OVolOverMonthlyPeak,IF(OVolCurve,IF(OBuySell,U151,W151),V151))^2*(1-15/365.25/BT151)+IF(OVolOverDailyPeak,OVolOverDailyPeak,IF(OVolCurve,IF(OBuySell,AG151,AI151),AH151))^2*15/365.25/BT151),IF(OVolOverMonthlyPeak,OVolOverMonthlyPeak,IF(OVolCurve,IF(OBuySell,U151,W151),V151))),"")</f>
        <v>#VALUE!</v>
      </c>
      <c r="CH151" s="1587" t="e">
        <f aca="false">IF(OR(BQ151,BS151),IF(OVolType&lt;&gt;2,SQRT(IF(OVolOverMonthlyPeak,OVolOverMonthlyPeak,IF(OVolCurve,IF(OBuySell,X151,Z151),Y151))^2*(1-15/365.25/BT151)+IF(OVolOverDailyPeak,OVolOverDailyPeak,IF(OVolCurve,IF(OBuySell,AJ151,AL151),AK151))^2*15/365.25/BT151),IF(OVolOverMonthlyPeak,OVolOverMonthlyPeak,IF(OVolCurve,IF(OBuySell,X151,Z151),Y151))),"")</f>
        <v>#VALUE!</v>
      </c>
      <c r="CI151" s="1587" t="e">
        <f aca="false">IF(OR(BQ151,BS151),IF(OVolType&lt;&gt;2,SQRT(IF(OVolOverMonthlyPeak,OVolOverMonthlyPeak,IF(OVolCurve,IF(OBuySell,AA151,AC151),AB151))^2*(1-15/365.25/BT151)+IF(OVolOverDailyPeak,OVolOverDailyPeak,IF(OVolCurve,IF(OBuySell,AM151,AO151),AN151))^2*15/365.25/BT151),IF(OVolOverMonthlyPeak,OVolOverMonthlyPeak,IF(OVolCurve,IF(OBuySell,AA151,AC151),AB151))),"")</f>
        <v>#VALUE!</v>
      </c>
      <c r="CJ151" s="1587" t="e">
        <f aca="false">IF(BQ151,IF(BP151,SQRT(LN(1+((BU151*AZ151)^2*(EXP(CG151^2*BT151)-1)+(BV151*BA151)^2*(EXP(CH151^2*BT151)-1)+(BW151*BB151)^2*(EXP(CI151^2*BT151)-1)+2*BU151*AZ151*BV151*BA151*(EXP(CG151*CH151*BT151)-1)+2*BV151*BA151*BW151*BB151*(EXP(CH151*CI151*BT151)-1)+2*BW151*BB151*BU151*AZ151*(EXP(CI151*CG151*BT151)-1))/(BY151*BP151)^2)/BT151),0),"")</f>
        <v>#VALUE!</v>
      </c>
      <c r="CK151" s="1587" t="e">
        <f aca="false">IF(BS151,IF(BR151,SQRT(LN(1+((CA151*BH151)^2*(EXP(CG151^2*BT151)-1)+(CB151*BI151)^2*(EXP(CH151^2*BT151)-1)+(CC151*BJ151)^2*(EXP(CI151^2*BT151)-1)+2*CA151*BH151*CB151*BI151*(EXP(CG151*CH151*BT151)-1)+2*CB151*BI151*CC151*BJ151*(EXP(CH151*CI151*BT151)-1)+2*CC151*BJ151*CA151*BH151*(EXP(CI151*CG151*BT151)-1))/(CE151*BR151)^2)/BT151),0),"")</f>
        <v>#VALUE!</v>
      </c>
      <c r="CL151" s="1587" t="e">
        <f aca="false">IF(OR(BQ151,BS151),IF(OVolType&lt;&gt;2,SQRT(IF(OVolOverMonthlyOffPeak,OVolOverMonthlyOffPeak,IF(OVolCurve,IF(OBuySell,AD151,AF151),AE151))^2*(1-15/365.25/BT151)+IF(OVolOverDailyOffPeak,OVolOverDailyOffPeak,IF(OVolCurve,IF(OBuySell,AP151,AR151),AQ151))^2*15/365.25/BT151),IF(OVolOverMonthlyOffPeak,OVolOverMonthlyOffPeak,IF(OVolCurve,IF(OBuySell,AD151,AF151),AE151))),"")</f>
        <v>#VALUE!</v>
      </c>
      <c r="CM151" s="1587" t="e">
        <f aca="false">IF(BQ151,SQRT(LN(1+((BY151*BP151)^2*(EXP(CJ151^2*BT151)-1)+(BX151*BC151)^2*(EXP(CL151^2*BT151)-1)+2*BY151*BP151*BX151*BC151*(EXP(AS151*CJ151*CL151*BT151)-1))/(BY151*BP151+BX151*BC151)^2)/BT151),"")</f>
        <v>#VALUE!</v>
      </c>
      <c r="CN151" s="1588" t="e">
        <f aca="false">IF(BS151,SQRT(LN(1+((CE151*BR151)^2*(EXP(CK151^2*BT151)-1)+(CD151*BK151)^2*(EXP(CL151^2*BT151)-1)+2*CE151*BR151*CD151*BK151*(EXP(AS151*CK151*CL151*BT151)-1))/(CE151*BR151+CD151*BK151)^2)/BT151),"")</f>
        <v>#VALUE!</v>
      </c>
      <c r="CO151" s="1531" t="e">
        <f aca="false">IF(OR(BQ151,BS151),VLOOKUP(A151,GasTable,13)*HeatRatePeak*(1+VLOOKUP($B151,HeatRateDegradation,$C151+1))/1000,0)</f>
        <v>#VALUE!</v>
      </c>
      <c r="CP151" s="1316" t="e">
        <f aca="false">IF(OR(BQ151,BS151),VLOOKUP(A151,GasTable,13)*HeatRatePeak*(1+VLOOKUP($B151,HeatRateDegradation,$C151+1))/1000,0)</f>
        <v>#VALUE!</v>
      </c>
      <c r="CQ151" s="1316" t="e">
        <f aca="false">IF(OR(BQ151,BS151),VLOOKUP(A151,GasTable,13)*IF(EV151,HeatRatePeak,HeatRateOffPeak)*(1+VLOOKUP($B151,HeatRateDegradation,$C151+1))/1000,0)</f>
        <v>#VALUE!</v>
      </c>
      <c r="CR151" s="1316" t="e">
        <f aca="false">IF(OR(BQ151,BS151),VLOOKUP(A151,GasTable,13)*IF(EW151,HeatRatePeak,HeatRateOffPeak)*(1+VLOOKUP($B151,HeatRateDegradation,$C151+1))/1000,0)</f>
        <v>#VALUE!</v>
      </c>
      <c r="CS151" s="1589" t="e">
        <f aca="false">IF(BQ151,(CO151*AZ151+CP151*BA151+CQ151*BB151+CR151*BC151)/BQ151,0)</f>
        <v>#VALUE!</v>
      </c>
      <c r="CT151" s="1316" t="e">
        <f aca="false">IF(BS151,CO151,0)</f>
        <v>#VALUE!</v>
      </c>
      <c r="CU151" s="1590" t="e">
        <f aca="false">IF(OR(BQ151,BS151),VLOOKUP(A151,GasTable,14),"")</f>
        <v>#VALUE!</v>
      </c>
      <c r="CV151" s="1568" t="e">
        <f aca="false">IF(OR(BQ151,BS151),IF(CorrPowerGasOverFlag,INDEX(CorrPowerGasOver,C151),CorrPowerGas),"")</f>
        <v>#VALUE!</v>
      </c>
      <c r="CW151" s="1316" t="e">
        <f aca="false">IF(OR($BQ151,$BS151),SpreadOptPowerMargin,0)*((1+Assumptions!$C$26)^($B151-YEAR(Assumptions!$C$17)))</f>
        <v>#VALUE!</v>
      </c>
      <c r="CX151" s="1316" t="e">
        <f aca="false">IF(OR($BQ151,$BS151),SpreadOptPowerMargin,0)*((1+Assumptions!$C$26)^($B151-YEAR(Assumptions!$C$17)))</f>
        <v>#VALUE!</v>
      </c>
      <c r="CY151" s="1316" t="e">
        <f aca="false">IF(OR($BQ151,$BS151),SpreadOptPowerMargin,0)*((1+Assumptions!$C$26)^($B151-YEAR(Assumptions!$C$17)))</f>
        <v>#VALUE!</v>
      </c>
      <c r="CZ151" s="1316" t="e">
        <f aca="false">IF(OR($BQ151,$BS151),SpreadOptPowerMargin,0)*((1+Assumptions!$C$26)^($B151-YEAR(Assumptions!$C$17)))</f>
        <v>#VALUE!</v>
      </c>
      <c r="DA151" s="1591" t="e">
        <f aca="false">IF(OR(BQ151,BS151),(CW151*(AZ151+BH151)+CX151*(BA151+BI151)+CY151*(BB151+BJ151)+CZ151*(BC151+BK151))/(BQ151+BS151),0)</f>
        <v>#VALUE!</v>
      </c>
      <c r="DB151" s="1592" t="e">
        <f aca="false">IF(OR(BQ151,BS151),CG151+IF(OVolSmile,VLOOKUP(MAX(-5,CO151+CW151-BU151),IF(OVolSmile=1,VolSmileBook,VolSmileModel),2),0),"")</f>
        <v>#VALUE!</v>
      </c>
      <c r="DC151" s="1592" t="e">
        <f aca="false">IF(OR(BQ151,BS151),CH151+IF(OVolSmile,VLOOKUP(MAX(-5,CP151+CW151-BV151),IF(OVolSmile=1,VolSmileBook,VolSmileModel),2),0),"")</f>
        <v>#VALUE!</v>
      </c>
      <c r="DD151" s="1592" t="e">
        <f aca="false">IF(OR(BQ151,BS151),CI151+IF(OVolSmile,VLOOKUP(MAX(-5,CQ151+CW151-BW151),IF(OVolSmile=1,VolSmileBook,VolSmileModel),2),0),"")</f>
        <v>#VALUE!</v>
      </c>
      <c r="DE151" s="1592" t="e">
        <f aca="false">IF(OR(BQ151,BS151),CL151+IF(OVolSmile,VLOOKUP(MAX(-5,CR151+CZ151-BX151),IF(OVolSmile=1,VolSmileBook,VolSmileModel),2),0),"")</f>
        <v>#VALUE!</v>
      </c>
      <c r="DF151" s="1592" t="e">
        <f aca="false">IF(BQ151,CM151+IF(OVolSmile,VLOOKUP(MAX(-5,CS151+DA151-BZ151),IF(OVolSmile=1,VolSmileBook,VolSmileModel),2),0),"")</f>
        <v>#VALUE!</v>
      </c>
      <c r="DG151" s="1593" t="e">
        <f aca="false">IF(BS151,CN151+IF(OVolSmile,VLOOKUP(MAX(-5,CT151+DA151-CF151),IF(OVolSmile=1,VolSmileBook,VolSmileModel),2),0),"")</f>
        <v>#VALUE!</v>
      </c>
      <c r="DH151" s="1316" t="e">
        <f aca="false">IF(AND(BU151&gt;0,CO151&gt;0,DB151&gt;0,CU151&gt;0),newSPRDOPT(BU151,CO151,CW151,0,DB151,CU151,CV151,BT151*365.25,OCallPut,0),0)</f>
        <v>#VALUE!</v>
      </c>
      <c r="DI151" s="1316" t="e">
        <f aca="false">IF(AND(BV151&gt;0,CP151&gt;0,DC151&gt;0,CU151&gt;0),newSPRDOPT(BV151,CP151,CX151,0,DC151,CU151,CV151,BT151*365.25,OCallPut,0),0)</f>
        <v>#VALUE!</v>
      </c>
      <c r="DJ151" s="1316" t="e">
        <f aca="false">IF(AND(BW151&gt;0,CQ151&gt;0,DD151&gt;0,CU151&gt;0),newSPRDOPT(BW151,CQ151,CY151,0,DD151,CU151,CV151,BT151*365.25,OCallPut,0),0)</f>
        <v>#VALUE!</v>
      </c>
      <c r="DK151" s="1316" t="e">
        <f aca="false">IF(AND(BX151&gt;0,CR151&gt;0,DE151&gt;0,CU151&gt;0),newSPRDOPT(BX151,CR151,CZ151,0,DE151,CU151,CV151,BT151*365.25,OCallPut,0),0)</f>
        <v>#VALUE!</v>
      </c>
      <c r="DL151" s="1316" t="e">
        <f aca="false">IF(OVolType,IF(AND(BZ151&gt;0,CS151&gt;0,DF151&gt;0,CU151&gt;0),newSPRDOPT(BZ151,CS151,DA151,0,DF151,CU151,CV151,BT151*365.25,OCallPut,0),0),IF(BQ151,(DH151*AZ151+DI151*BA151+DJ151*BB151+DK151*BC151)/BQ151,0))</f>
        <v>#VALUE!</v>
      </c>
      <c r="DM151" s="1316"/>
      <c r="DN151" s="1316"/>
      <c r="DO151" s="1316"/>
      <c r="DP151" s="1316"/>
      <c r="DQ151" s="1316"/>
      <c r="DR151" s="1316"/>
      <c r="DS151" s="1316"/>
      <c r="DT151" s="1316"/>
      <c r="DU151" s="1316"/>
      <c r="DV151" s="1316"/>
      <c r="DW151" s="1594" t="e">
        <f aca="false">IF(AND(BW151&gt;0,CT151&gt;0,DD151&gt;0,CU151&gt;0),newSPRDOPT(BW151,CT151,CY151,0,DD151,CU151,CV151,BT151*365.25,OCallPut,0),0)</f>
        <v>#VALUE!</v>
      </c>
      <c r="DX151" s="1316" t="e">
        <f aca="false">IF(AND(BX151&gt;0,CT151&gt;0,DE151&gt;0,CU151&gt;0),newSPRDOPT(BX151,CT151,CZ151,0,DE151,CU151,CV151,BT151*365.25,OCallPut,0),0)</f>
        <v>#VALUE!</v>
      </c>
      <c r="DY151" s="1591" t="e">
        <f aca="false">IF(BS151,(DH151*BH151+DI151*BI151+DW151*BJ151+DX151*BK151)/BS151,0)</f>
        <v>#VALUE!</v>
      </c>
      <c r="DZ151" s="1551" t="e">
        <f aca="false">DH151*AZ151</f>
        <v>#VALUE!</v>
      </c>
      <c r="EA151" s="1551" t="e">
        <f aca="false">DI151*BA151</f>
        <v>#VALUE!</v>
      </c>
      <c r="EB151" s="1551" t="e">
        <f aca="false">DJ151*BB151</f>
        <v>#VALUE!</v>
      </c>
      <c r="EC151" s="1551" t="e">
        <f aca="false">DK151*BC151</f>
        <v>#VALUE!</v>
      </c>
      <c r="ED151" s="1551" t="e">
        <f aca="false">DL151*BQ151</f>
        <v>#VALUE!</v>
      </c>
      <c r="EE151" s="1595" t="e">
        <f aca="false">IF(BQ151,IF(OCallPut,IF(BU151&gt;(CO151+CW151),BU151-(CO151+CW151),0),IF((CO151+CW151)&gt;BU151,(CO151+CW151)-BU151,0))*AZ151,0)</f>
        <v>#VALUE!</v>
      </c>
      <c r="EF151" s="1596" t="e">
        <f aca="false">IF(BQ151,IF(OCallPut,IF(BV151&gt;(CP151+CX151),BV151-(CP151+CX151),0),IF((CP151+CX151)&gt;BV151,(CP151+CX151)-BV151,0))*BA151,0)</f>
        <v>#VALUE!</v>
      </c>
      <c r="EG151" s="1596" t="e">
        <f aca="false">IF(BQ151,IF(OCallPut,IF(BW151&gt;(CQ151+CY151),BW151-(CQ151+CY151),0),IF((CQ151+CY151)&gt;BW151,(CQ151+CY151)-BW151,0))*BB151,0)</f>
        <v>#VALUE!</v>
      </c>
      <c r="EH151" s="1596" t="e">
        <f aca="false">IF(BQ151,IF(OCallPut,IF(BX151&gt;(CR151+CZ151),BX151-(CR151+CZ151),0),IF((CR151+CZ151)&gt;BX151,(CR151+CZ151)-BX151,0))*BC151,0)</f>
        <v>#VALUE!</v>
      </c>
      <c r="EI151" s="1597" t="e">
        <f aca="false">IF(BQ151,IF(OVolType,IF(OCallPut,IF(BZ151&gt;(CS151+DA151),BZ151-(CS151+DA151),0),IF((CS151+DA151)&gt;BZ151,(CS151+DA151)-BZ151,0))*BQ151,SUM(EE151:EH151)),0)</f>
        <v>#VALUE!</v>
      </c>
      <c r="EJ151" s="1595" t="e">
        <f aca="false">DZ151-EE151</f>
        <v>#VALUE!</v>
      </c>
      <c r="EK151" s="1596" t="e">
        <f aca="false">EA151-EF151</f>
        <v>#VALUE!</v>
      </c>
      <c r="EL151" s="1596" t="e">
        <f aca="false">EB151-EG151</f>
        <v>#VALUE!</v>
      </c>
      <c r="EM151" s="1596" t="e">
        <f aca="false">EC151-EH151</f>
        <v>#VALUE!</v>
      </c>
      <c r="EN151" s="1597" t="e">
        <f aca="false">ED151-EI151</f>
        <v>#VALUE!</v>
      </c>
      <c r="EO151" s="1551" t="e">
        <f aca="false">DH151*BH151</f>
        <v>#VALUE!</v>
      </c>
      <c r="EP151" s="1551" t="e">
        <f aca="false">DI151*BI151</f>
        <v>#VALUE!</v>
      </c>
      <c r="EQ151" s="1551" t="e">
        <f aca="false">DW151*BJ151</f>
        <v>#VALUE!</v>
      </c>
      <c r="ER151" s="1551" t="e">
        <f aca="false">DX151*BK151</f>
        <v>#VALUE!</v>
      </c>
      <c r="ES151" s="1551" t="e">
        <f aca="false">DY151*BS151</f>
        <v>#VALUE!</v>
      </c>
      <c r="ET151" s="1566" t="e">
        <f aca="false">IF(EI151,IF(OCallPut,IF(CA151&gt;(CT151+CW151),CA151-(CT151+CW151),0),IF((CT151+CW151)&gt;CA151,(CT151+CW151)-CA151,0))*BH151,0)</f>
        <v>#VALUE!</v>
      </c>
      <c r="EU151" s="1551" t="e">
        <f aca="false">IF(EI151,IF(OCallPut,IF(CB151&gt;(CT151+CX151),CB151-(CT151+CX151),0),IF((CT151+CX151)&gt;CB151,(CT151+CX151)-CB151,0))*BI151,0)</f>
        <v>#VALUE!</v>
      </c>
      <c r="EV151" s="1551" t="e">
        <f aca="false">IF(EI151,IF(OCallPut,IF(CC151&gt;(CT151+CY151),CC151-(CT151+CY151),0),IF((CT151+CY151)&gt;CC151,(CT151+CY151)-CC151,0))*BJ151,0)</f>
        <v>#VALUE!</v>
      </c>
      <c r="EW151" s="1551" t="e">
        <f aca="false">IF(EI151,IF(OCallPut,IF(CD151&gt;(CT151+CZ151),CD151-(CT151+CZ151),0),IF((CT151+CZ151)&gt;CD151,(CT151+CZ151)-CD151,0))*BK151,0)</f>
        <v>#VALUE!</v>
      </c>
      <c r="EX151" s="1558" t="e">
        <f aca="false">IF(EI151,SUM(ET151:EW151),0)</f>
        <v>#VALUE!</v>
      </c>
      <c r="EY151" s="1551" t="e">
        <f aca="false">EO151-ET151</f>
        <v>#VALUE!</v>
      </c>
      <c r="EZ151" s="1551" t="e">
        <f aca="false">EP151-EU151</f>
        <v>#VALUE!</v>
      </c>
      <c r="FA151" s="1551" t="e">
        <f aca="false">EQ151-EV151</f>
        <v>#VALUE!</v>
      </c>
      <c r="FB151" s="1551" t="e">
        <f aca="false">ER151-EW151</f>
        <v>#VALUE!</v>
      </c>
      <c r="FC151" s="1551" t="e">
        <f aca="false">ES151-EX151</f>
        <v>#VALUE!</v>
      </c>
      <c r="FD151" s="1525" t="n">
        <f aca="false">IF(AX151,IF(VLOOKUP(C151,MAIN!$L$17:$M$28,2)="Yes",VLOOKUP(CALC!B151,MAIN!$H$17:$I$20,2),0),0)</f>
        <v>0</v>
      </c>
      <c r="FE151" s="1552" t="e">
        <f aca="false">$FD151*16*AT151*(1-$AY151)</f>
        <v>#VALUE!</v>
      </c>
      <c r="FF151" s="1553" t="e">
        <f aca="false">$FD151*16*AU151*(1-$AY151)</f>
        <v>#VALUE!</v>
      </c>
      <c r="FG151" s="1553" t="e">
        <f aca="false">$FD151*16*(AV151+AW151)*(1-$AY151)</f>
        <v>#VALUE!</v>
      </c>
      <c r="FH151" s="1554" t="n">
        <f aca="false">$FD151*8*AX151*(1-$AY151)</f>
        <v>0</v>
      </c>
      <c r="FI151" s="1555" t="n">
        <f aca="false">IF(AX151,VLOOKUP(CALC!B151,MAIN!$H$17:$K$20,4),0)</f>
        <v>0</v>
      </c>
      <c r="FJ151" s="1553" t="e">
        <f aca="false">SUM(FE151:FH151)</f>
        <v>#VALUE!</v>
      </c>
      <c r="FK151" s="1556" t="e">
        <f aca="false">FI151*FJ151</f>
        <v>#VALUE!</v>
      </c>
      <c r="FL151" s="1551" t="e">
        <f aca="false">IF($EI151&gt;0,MIN(FE151,AZ151*(1+VLOOKUP($C151,WeatherCapacityAdjustment,2))),0)</f>
        <v>#VALUE!</v>
      </c>
      <c r="FM151" s="1551" t="e">
        <f aca="false">IF($EI151&gt;0,MIN(FF151,BA151*(1+VLOOKUP($C151,WeatherCapacityAdjustment,2))),0)</f>
        <v>#VALUE!</v>
      </c>
      <c r="FN151" s="1551" t="e">
        <f aca="false">IF($EI151&gt;0,MIN(FG151,BB151*(1+VLOOKUP($C151,WeatherCapacityAdjustment,2))),0)</f>
        <v>#VALUE!</v>
      </c>
      <c r="FO151" s="1564" t="e">
        <f aca="false">IF($EI151&gt;0,MIN(FH151,BC151*(1+VLOOKUP($C151,WeatherCapacityAdjustment,3))),0)</f>
        <v>#VALUE!</v>
      </c>
      <c r="FP151" s="1551" t="e">
        <f aca="false">IF(ET151&gt;0,MIN(FE151-FL151,BH151*(1+VLOOKUP($C151,WeatherCapacityAdjustment,2))),0)</f>
        <v>#VALUE!</v>
      </c>
      <c r="FQ151" s="1551" t="e">
        <f aca="false">IF(EU151&gt;0,MIN(FF151-FM151,BI151*(1+VLOOKUP($C151,WeatherCapacityAdjustment,2))),0)</f>
        <v>#VALUE!</v>
      </c>
      <c r="FR151" s="1551" t="e">
        <f aca="false">IF(EV151&gt;0,MIN(FG151-FN151,BJ151*(1+VLOOKUP($C151,WeatherCapacityAdjustment,2))),0)</f>
        <v>#VALUE!</v>
      </c>
      <c r="FS151" s="1558" t="e">
        <f aca="false">IF(EW151&gt;0,MIN(FH151-FO151,BK151*(1+VLOOKUP($C151,WeatherCapacityAdjustment,3))),0)</f>
        <v>#VALUE!</v>
      </c>
      <c r="FT151" s="1566" t="e">
        <f aca="false">IF(AND(Assumptions!$H$71="Yes",A151&gt;=Assumptions!$H$72,A151&lt;=Assumptions!$H$73),0,IF(AND($A151&gt;=Assumptions!$C$17,$A151&lt;=Assumptions!$C$18),MAX(AZ151*(1+VLOOKUP($C151,WeatherCapacityAdjustment,2))-FL151,0),0))</f>
        <v>#VALUE!</v>
      </c>
      <c r="FU151" s="1551" t="e">
        <f aca="false">IF(AND(Assumptions!$H$71="Yes",A151&gt;=Assumptions!$H$72,A151&lt;=Assumptions!$H$73),0,IF(AND($A151&gt;=Assumptions!$C$17,$A151&lt;=Assumptions!$C$18),MAX(BA151*(1+VLOOKUP($C151,WeatherCapacityAdjustment,2))-FM151,0),0))</f>
        <v>#VALUE!</v>
      </c>
      <c r="FV151" s="1551" t="e">
        <f aca="false">IF(AND(Assumptions!$H$71="Yes",A151&gt;=Assumptions!$H$72,A151&lt;=Assumptions!$H$73),0,IF(AND($A151&gt;=Assumptions!$C$17,$A151&lt;=Assumptions!$C$18),MAX(BB151*(1+VLOOKUP($C151,WeatherCapacityAdjustment,2))-FN151,0),0))</f>
        <v>#VALUE!</v>
      </c>
      <c r="FW151" s="1564" t="e">
        <f aca="false">IF(AND(Assumptions!$H$71="Yes",A151&gt;=Assumptions!$H$72,A151&lt;=Assumptions!$H$73),0,IF(AND($A151&gt;=Assumptions!$C$17,$A151&lt;=Assumptions!$C$18),MAX(BC151*(1+VLOOKUP($C151,WeatherCapacityAdjustment,3))-FO151,0),0))</f>
        <v>#VALUE!</v>
      </c>
      <c r="FX151" s="1569" t="e">
        <f aca="false">IF(AND(Assumptions!$H$71="Yes",A151&gt;=Assumptions!$H$72,A151&lt;=Assumptions!$H$73),0,IF(ET151&gt;0,MAX(BH151*(1+VLOOKUP($C151,WeatherCapacityAdjustment,2))-FP151,0),0))</f>
        <v>#VALUE!</v>
      </c>
      <c r="FY151" s="1551" t="e">
        <f aca="false">IF(AND(Assumptions!$H$71="Yes",A151&gt;=Assumptions!$H$72,A151&lt;=Assumptions!$H$73),0,IF(EU151&gt;0,MAX(BI151*(1+VLOOKUP($C151,WeatherCapacityAdjustment,3))-FQ151,0),0))</f>
        <v>#VALUE!</v>
      </c>
      <c r="FZ151" s="1551" t="e">
        <f aca="false">IF(AND(Assumptions!$H$71="Yes",A151&gt;=Assumptions!$H$72,A151&lt;=Assumptions!$H$73),0,IF(EV151&gt;0,MAX(BJ151*(1+VLOOKUP($C151,WeatherCapacityAdjustment,2))-FR151,0),0))</f>
        <v>#VALUE!</v>
      </c>
      <c r="GA151" s="1564" t="e">
        <f aca="false">IF(AND(Assumptions!$H$71="Yes",A151&gt;=Assumptions!$H$72,A151&lt;=Assumptions!$H$73),0,IF(EW151&gt;0,MAX(BK151*(1+VLOOKUP($C151,WeatherCapacityAdjustment,2))-FS151,0),0))</f>
        <v>#VALUE!</v>
      </c>
      <c r="GB151" s="1551" t="e">
        <f aca="false">SUM(FT151:GA151)</f>
        <v>#VALUE!</v>
      </c>
      <c r="GC151" s="1563" t="e">
        <f aca="false">+IF(SUM(FT151:GA151)=0,0,(SUMPRODUCT(BU151:BX151,FT151:FW151)+SUMPRODUCT(CA151:CD151,FX151:GA151))/SUM(FT151:GA151))</f>
        <v>#VALUE!</v>
      </c>
      <c r="GD151" s="1551" t="e">
        <f aca="false">(FT151*BU151+FX151*CA151+FU151*BV151+FY151*CB151+FV151*BW151+FZ151*CC151+FW151*BX151+GA151*CD151)</f>
        <v>#VALUE!</v>
      </c>
      <c r="GE151" s="1561" t="e">
        <f aca="false">+IF(BQ151,((FL151+FM151+FT151+FU151)*HeatRatePeak/1000*(1+VLOOKUP($C151,WeatherHeatRateAdjustment,2))+(FN151+FV151)*IF(EV151&gt;0,HeatRatePeak,HeatRateOffPeak)/1000*(1+VLOOKUP($C151,WeatherHeatRateAdjustment,2))+(FO151+FW151)*IF(EW151&gt;0,HeatRatePeak,HeatRateOffPeak)/1000*(1+VLOOKUP($C151,WeatherHeatRateAdjustment,3)))*(1+VLOOKUP($B151,HeatRateDegradation,$C151+1)),0)</f>
        <v>#VALUE!</v>
      </c>
      <c r="GF151" s="1562" t="e">
        <f aca="false">IF(BQ151,((FP151+FQ151+FR151+FX151+FY151+FZ151)*HeatRatePeak/1000*(1+VLOOKUP($C151,WeatherHeatRateAdjustment,2))+(FS151+GA151)*HeatRatePeak/1000*(1+VLOOKUP($C151,WeatherHeatRateAdjustment,3)))*(1+VLOOKUP($B151,HeatRateDegradation,$C151+1)),0)</f>
        <v>#VALUE!</v>
      </c>
      <c r="GG151" s="1563" t="e">
        <f aca="false">IF(BQ151,VLOOKUP(A151,GasTable,13),0)</f>
        <v>#VALUE!</v>
      </c>
      <c r="GH151" s="1564" t="e">
        <f aca="false">(GE151+GF151)*GG151</f>
        <v>#VALUE!</v>
      </c>
      <c r="GI151" s="1569" t="e">
        <f aca="false">GB151</f>
        <v>#VALUE!</v>
      </c>
      <c r="GJ151" s="1598" t="e">
        <f aca="false">+DA151</f>
        <v>#VALUE!</v>
      </c>
      <c r="GK151" s="1558" t="e">
        <f aca="false">+GI151*GJ151</f>
        <v>#VALUE!</v>
      </c>
      <c r="GL151" s="1566" t="e">
        <f aca="false">MAX(FE151-FL151-FP151,0)</f>
        <v>#VALUE!</v>
      </c>
      <c r="GM151" s="1551" t="e">
        <f aca="false">MAX(FF151-FM151-FQ151,0)</f>
        <v>#VALUE!</v>
      </c>
      <c r="GN151" s="1551" t="e">
        <f aca="false">MAX(FG151-FN151-FR151,0)</f>
        <v>#VALUE!</v>
      </c>
      <c r="GO151" s="1564" t="e">
        <f aca="false">MAX(FH151-FO151-FS151,0)</f>
        <v>#VALUE!</v>
      </c>
      <c r="GP151" s="1551" t="e">
        <f aca="false">SUM(GL151:GO151)</f>
        <v>#VALUE!</v>
      </c>
      <c r="GQ151" s="1563" t="e">
        <f aca="false">IF(SUM(GL151:GO151)=0,0,((GL151*BU151+GM151*BV151+GN151*BW151+GO151*BX151)/SUM(GL151:GO151)))</f>
        <v>#VALUE!</v>
      </c>
      <c r="GR151" s="1558" t="e">
        <f aca="false">(GL151*BU151+GM151*BV151+GN151*BW151+GO151*BX151)</f>
        <v>#VALUE!</v>
      </c>
      <c r="GS151" s="1566" t="n">
        <f aca="false">IF($A151&gt;=BegDate,Assumptions!$C$56*24*($A152-$A151)*(1-VLOOKUP($B151,MAIN!$AA$7:$AM$28,$C151+1))*(1-VLOOKUP($B151,MAIN!$AA$33:$AM$54,$C151+1)),0)*80/168</f>
        <v>257742.857142857</v>
      </c>
      <c r="GT151" s="286" t="n">
        <f aca="false">J151</f>
        <v>69.7096562627154</v>
      </c>
      <c r="GU151" s="286" t="n">
        <f aca="false">IF($A151&gt;=BegDate,VLOOKUP($A151,GasTable,13)+Assumptions!$C$58,0)</f>
        <v>2.87920586334404</v>
      </c>
      <c r="GV151" s="286" t="n">
        <f aca="false">GU151*Assumptions!$C$57/1000</f>
        <v>20.8742425092443</v>
      </c>
      <c r="GW151" s="1558" t="n">
        <f aca="false">IF(Assumptions!$C$60="Hourly",MAX(0,GS151*(GT151-GV151)),GS151*(GT151-GV151))</f>
        <v>12586979.0705732</v>
      </c>
      <c r="GX151" s="1566" t="n">
        <f aca="false">IF($A151&gt;=BegDate,Assumptions!$C$56*24*($A152-$A151)*(1-VLOOKUP($B151,MAIN!$AA$7:$AM$28,$C151+1))*(1-VLOOKUP($B151,MAIN!$AA$33:$AM$54,$C151+1)),0)*16/168</f>
        <v>51548.5714285714</v>
      </c>
      <c r="GY151" s="286" t="n">
        <f aca="false">M151</f>
        <v>69.7096562627154</v>
      </c>
      <c r="GZ151" s="286" t="n">
        <f aca="false">IF($A151&gt;=BegDate,VLOOKUP($A151,GasTable,13)+Assumptions!$C$58,0)</f>
        <v>2.87920586334404</v>
      </c>
      <c r="HA151" s="286" t="n">
        <f aca="false">GZ151*Assumptions!$C$57/1000</f>
        <v>20.8742425092443</v>
      </c>
      <c r="HB151" s="1558" t="n">
        <f aca="false">IF(Assumptions!$C$60="Hourly",MAX(0,GX151*(GY151-HA151)),GX151*(GY151-HA151))</f>
        <v>2517395.81411464</v>
      </c>
      <c r="HC151" s="1566" t="n">
        <f aca="false">IF($A151&gt;=BegDate,Assumptions!$C$56*24*($A152-$A151)*(1-VLOOKUP($B151,MAIN!$AA$7:$AM$28,$C151+1))*(1-VLOOKUP($B151,MAIN!$AA$33:$AM$54,$C151+1)),0)*16/168</f>
        <v>51548.5714285714</v>
      </c>
      <c r="HD151" s="286" t="n">
        <f aca="false">P151</f>
        <v>28.5007502344531</v>
      </c>
      <c r="HE151" s="286" t="n">
        <f aca="false">IF($A151&gt;=BegDate,VLOOKUP($A151,GasTable,13)+Assumptions!$C$58,0)</f>
        <v>2.87920586334404</v>
      </c>
      <c r="HF151" s="286" t="n">
        <f aca="false">HE151*Assumptions!$C$57/1000</f>
        <v>20.8742425092443</v>
      </c>
      <c r="HG151" s="1558" t="n">
        <f aca="false">IF(Assumptions!$C$60="Hourly",MAX(0,HC151*(HD151-HF151)),HC151*(HD151-HF151))</f>
        <v>393135.578223477</v>
      </c>
      <c r="HH151" s="1566" t="n">
        <f aca="false">IF($A151&gt;=BegDate,Assumptions!$C$56*24*($A152-$A151)*(1-VLOOKUP($B151,MAIN!$AA$7:$AM$28,$C151+1))*(1-VLOOKUP($B151,MAIN!$AA$33:$AM$54,$C151+1)),0)*56/168</f>
        <v>180420</v>
      </c>
      <c r="HI151" s="286" t="n">
        <f aca="false">S151</f>
        <v>28.5007502344531</v>
      </c>
      <c r="HJ151" s="286" t="n">
        <f aca="false">IF($A151&gt;=BegDate,VLOOKUP($A151,GasTable,13)+Assumptions!$C$58,0)</f>
        <v>2.87920586334404</v>
      </c>
      <c r="HK151" s="286" t="n">
        <f aca="false">HJ151*Assumptions!$C$57/1000</f>
        <v>20.8742425092443</v>
      </c>
      <c r="HL151" s="1558" t="n">
        <f aca="false">IF(Assumptions!$C$60="Hourly",MAX(0,HH151*(HI151-HK151)),HH151*(HI151-HK151))</f>
        <v>1375974.52378217</v>
      </c>
      <c r="HM151" s="1566" t="n">
        <f aca="false">IF(AND(Assumptions!$H$71="Yes",A151&gt;=Assumptions!$H$72,A151&lt;=Assumptions!$H$73),Assumptions!$H$74*Assumptions!$C$9*1000,0)</f>
        <v>0</v>
      </c>
      <c r="HN151" s="1551"/>
      <c r="HO151" s="1563"/>
      <c r="HP151" s="1563"/>
      <c r="HQ151" s="1563"/>
      <c r="HR151" s="1563"/>
      <c r="HS151" s="1563"/>
      <c r="HT151" s="1563"/>
      <c r="HU151" s="1563"/>
      <c r="HV151" s="1563"/>
      <c r="HW151" s="1563"/>
      <c r="HX151" s="1563"/>
      <c r="HY151" s="1563"/>
      <c r="HZ151" s="1563"/>
      <c r="IA151" s="1563"/>
      <c r="IB151" s="1563"/>
      <c r="IC151" s="1563"/>
      <c r="ID151" s="1563"/>
      <c r="IE151" s="1563"/>
      <c r="IF151" s="1563"/>
      <c r="IG151" s="1563"/>
      <c r="IH151" s="1563"/>
      <c r="II151" s="1610"/>
      <c r="IJ151" s="1309"/>
      <c r="IK151" s="1309"/>
    </row>
    <row r="152" customFormat="false" ht="12.75" hidden="false" customHeight="false" outlineLevel="0" collapsed="false">
      <c r="A152" s="1571" t="n">
        <f aca="false">EOMONTH(A151,0)+1</f>
        <v>40756</v>
      </c>
      <c r="B152" s="594" t="n">
        <f aca="false">+YEAR(A152)</f>
        <v>2011</v>
      </c>
      <c r="C152" s="238" t="n">
        <f aca="false">MONTH(A152)</f>
        <v>8</v>
      </c>
      <c r="D152" s="1572" t="e">
        <f aca="false">IF(E152="","",Holiday(B152,C152))</f>
        <v>#VALUE!</v>
      </c>
      <c r="E152" s="1573" t="n">
        <f aca="false">IF(OR(BegDate&gt;=A153,EndDate&lt;A152,AND(VolumeMonthlyOverFlag,INDEX(VolumeMonthlyOver,C152)=0),NOT(INDEX(MonthKnockOutTable,C152))),"",MAX(A152,BegDate))</f>
        <v>40756</v>
      </c>
      <c r="F152" s="1574" t="n">
        <f aca="false">IF(E152="","",MIN(A153-1,EndDate))</f>
        <v>40786</v>
      </c>
      <c r="G152" s="1575" t="n">
        <v>0</v>
      </c>
      <c r="H152" s="1576" t="n">
        <f aca="false">(1+G152/2)^(-2*(DATE(B153,C153,20)-DateToday)/365.25)</f>
        <v>1</v>
      </c>
      <c r="I152" s="1568" t="n">
        <f aca="false">IF(Assumptions!$L$25=4,VLOOKUP($A152,'Henwood Reference'!$E$9:$R$320,10),(VLOOKUP($A152,PriceTable,2,0)+IF(BasisNumber&lt;&gt;1,VLOOKUP($A152,BasisTable,2,0),0)+I$1)/(1-I$2))</f>
        <v>109.508327150396</v>
      </c>
      <c r="J152" s="1568" t="n">
        <f aca="false">IF(Assumptions!$L$25=4,VLOOKUP($A152,'Henwood Reference'!$E$9:$R$320,10),(VLOOKUP($A152,PriceTable,3,0)+IF(BasisNumber&lt;&gt;1,VLOOKUP($A152,BasisTable,2,0),0)+J$1)/(1-J$2))</f>
        <v>109.508327150396</v>
      </c>
      <c r="K152" s="1568" t="n">
        <f aca="false">IF(Assumptions!$L$25=4,VLOOKUP($A152,'Henwood Reference'!$E$9:$R$320,10),(VLOOKUP($A152,PriceTable,4,0)+IF(BasisNumber&lt;&gt;1,VLOOKUP($A152,BasisTable,2,0),0)+K$1)/(1-K$2))</f>
        <v>109.508327150396</v>
      </c>
      <c r="L152" s="1523" t="n">
        <f aca="false">IF(Assumptions!$L$25=4,VLOOKUP($A152,'Henwood Reference'!$E$9:$R$320,10),(VLOOKUP($A152,PriceTableWeekend,2,0)+IF(BasisNumber&lt;&gt;1,VLOOKUP($A152,BasisTable,2,0),0)+L$1)/(1-L$2))</f>
        <v>109.508327150396</v>
      </c>
      <c r="M152" s="1568" t="n">
        <f aca="false">IF(Assumptions!$L$25=4,VLOOKUP($A152,'Henwood Reference'!$E$9:$R$320,10),(VLOOKUP($A152,PriceTableWeekend,3,0)+IF(BasisNumber&lt;&gt;1,VLOOKUP($A152,BasisTable,2,0),0)+M$1)/(1-M$2))</f>
        <v>109.508327150396</v>
      </c>
      <c r="N152" s="1599" t="n">
        <f aca="false">IF(Assumptions!$L$25=4,VLOOKUP($A152,'Henwood Reference'!$E$9:$R$320,10),(VLOOKUP($A152,PriceTableWeekend,4,0)+IF(BasisNumber&lt;&gt;1,VLOOKUP($A152,BasisTable,2,0),0)+N$1)/(1-N$2))</f>
        <v>109.508327150396</v>
      </c>
      <c r="O152" s="1568" t="n">
        <f aca="false">IF(Assumptions!$L$25=4,VLOOKUP($A152,'Henwood Reference'!$E$9:$R$320,11),(VLOOKUP($A152,PriceTableWeekend,6,0)+IF(BasisNumber&lt;&gt;1,VLOOKUP($A152,BasisTable,3,0),0)+O$1)/(1-O$2))</f>
        <v>34.4459444900421</v>
      </c>
      <c r="P152" s="1568" t="n">
        <f aca="false">IF(Assumptions!$L$25=4,VLOOKUP($A152,'Henwood Reference'!$E$9:$R$320,11),(VLOOKUP($A152,PriceTableWeekend,7,0)+IF(BasisNumber&lt;&gt;1,VLOOKUP($A152,BasisTable,3,0),0)+P$1)/(1-P$2))</f>
        <v>34.4459444900421</v>
      </c>
      <c r="Q152" s="1599" t="n">
        <f aca="false">IF(Assumptions!$L$25=4,VLOOKUP($A152,'Henwood Reference'!$E$9:$R$320,11),(VLOOKUP($A152,PriceTableWeekend,8,0)+IF(BasisNumber&lt;&gt;1,VLOOKUP($A152,BasisTable,3,0),0)+Q$1)/(1-Q$2))</f>
        <v>34.4459444900421</v>
      </c>
      <c r="R152" s="1568" t="n">
        <f aca="false">IF(Assumptions!$L$25=4,VLOOKUP($A152,'Henwood Reference'!$E$9:$R$320,11),(VLOOKUP($A152,PriceTable,6,0)+IF(BasisNumber&lt;&gt;1,VLOOKUP($A152,BasisTable,3,0),0)+R$1)/(1-R$2))</f>
        <v>34.4459444900421</v>
      </c>
      <c r="S152" s="1568" t="n">
        <f aca="false">IF(Assumptions!$L$25=4,VLOOKUP($A152,'Henwood Reference'!$E$9:$R$320,11),(VLOOKUP($A152,PriceTable,7,0)+IF(BasisNumber&lt;&gt;1,VLOOKUP($A152,BasisTable,3,0),0)+S$1)/(1-S$2))</f>
        <v>34.4459444900421</v>
      </c>
      <c r="T152" s="1600" t="n">
        <f aca="false">IF(Assumptions!$L$25=4,VLOOKUP($A152,'Henwood Reference'!$E$9:$R$320,11),(VLOOKUP($A152,PriceTable,8,0)+IF(BasisNumber&lt;&gt;1,VLOOKUP($A152,BasisTable,3,0),0)+T$1)/(1-T$2))</f>
        <v>34.4459444900421</v>
      </c>
      <c r="U152" s="1513" t="n">
        <f aca="false">VLOOKUP($A152,VolatilityTable,14)</f>
        <v>0.115</v>
      </c>
      <c r="V152" s="1513" t="n">
        <f aca="false">VLOOKUP($A152,VolatilityTable,15)</f>
        <v>0.125</v>
      </c>
      <c r="W152" s="1514" t="n">
        <f aca="false">VLOOKUP($A152,VolatilityTable,16)</f>
        <v>0.135</v>
      </c>
      <c r="X152" s="1513" t="n">
        <f aca="false">VLOOKUP($A152,VolatilityTable,14)</f>
        <v>0.115</v>
      </c>
      <c r="Y152" s="1513" t="n">
        <f aca="false">VLOOKUP($A152,VolatilityTable,15)</f>
        <v>0.125</v>
      </c>
      <c r="Z152" s="1514" t="n">
        <f aca="false">VLOOKUP($A152,VolatilityTable,16)</f>
        <v>0.135</v>
      </c>
      <c r="AA152" s="1513" t="n">
        <f aca="false">VLOOKUP($A152,VolatilityTable,18)</f>
        <v>0.09</v>
      </c>
      <c r="AB152" s="1513" t="n">
        <f aca="false">VLOOKUP($A152,VolatilityTable,19)</f>
        <v>0.11</v>
      </c>
      <c r="AC152" s="1514" t="n">
        <f aca="false">VLOOKUP($A152,VolatilityTable,20)</f>
        <v>0.13</v>
      </c>
      <c r="AD152" s="1513" t="n">
        <f aca="false">VLOOKUP($A152,VolatilityTable,18)</f>
        <v>0.09</v>
      </c>
      <c r="AE152" s="1513" t="n">
        <f aca="false">VLOOKUP($A152,VolatilityTable,19)</f>
        <v>0.11</v>
      </c>
      <c r="AF152" s="1514" t="n">
        <f aca="false">VLOOKUP($A152,VolatilityTable,20)</f>
        <v>0.13</v>
      </c>
      <c r="AG152" s="1513" t="n">
        <f aca="false">VLOOKUP($A152,VolatilityTable,22)</f>
        <v>-0.35</v>
      </c>
      <c r="AH152" s="1513" t="n">
        <f aca="false">VLOOKUP($A152,VolatilityTable,23)</f>
        <v>3</v>
      </c>
      <c r="AI152" s="1514" t="n">
        <f aca="false">VLOOKUP($A152,VolatilityTable,24)</f>
        <v>0.35</v>
      </c>
      <c r="AJ152" s="1513" t="n">
        <f aca="false">VLOOKUP($A152,VolatilityTable,22)</f>
        <v>-0.35</v>
      </c>
      <c r="AK152" s="1513" t="n">
        <f aca="false">VLOOKUP($A152,VolatilityTable,23)</f>
        <v>3</v>
      </c>
      <c r="AL152" s="1514" t="n">
        <f aca="false">VLOOKUP($A152,VolatilityTable,24)</f>
        <v>0.35</v>
      </c>
      <c r="AM152" s="1513" t="n">
        <f aca="false">VLOOKUP($A152,VolatilityTable,26)</f>
        <v>-0.01</v>
      </c>
      <c r="AN152" s="1513" t="n">
        <f aca="false">VLOOKUP($A152,VolatilityTable,27)</f>
        <v>0.16</v>
      </c>
      <c r="AO152" s="1514" t="n">
        <f aca="false">VLOOKUP($A152,VolatilityTable,28)</f>
        <v>0.01</v>
      </c>
      <c r="AP152" s="1513" t="n">
        <f aca="false">VLOOKUP($A152,VolatilityTable,26)</f>
        <v>-0.01</v>
      </c>
      <c r="AQ152" s="1513" t="n">
        <f aca="false">VLOOKUP($A152,VolatilityTable,27)</f>
        <v>0.16</v>
      </c>
      <c r="AR152" s="1515" t="n">
        <f aca="false">VLOOKUP($A152,VolatilityTable,28)</f>
        <v>0.01</v>
      </c>
      <c r="AS152" s="1581" t="n">
        <f aca="false">IF(CorrPeakOffPeakOverFlag,INDEX(CorrPeakOffPeakOver,C152),CorrPeakOffPeak)</f>
        <v>0.5</v>
      </c>
      <c r="AT152" s="594" t="e">
        <f aca="false">AX152-SUM(AU152:AW152)</f>
        <v>#VALUE!</v>
      </c>
      <c r="AU152" s="238" t="e">
        <f aca="false">IF(E152="",0,INT((F152-MOD(F152,7)-E152)/7)+1-IF(AW152,IF(WEEKDAY(D152)=7,1,0),0))</f>
        <v>#VALUE!</v>
      </c>
      <c r="AV152" s="238" t="e">
        <f aca="false">IF(E152="",0,INT((F152-MOD(F152-1,7)-E152)/7)+1-IF(AW152,IF(WEEKDAY(D152)=1,1,0),0))</f>
        <v>#VALUE!</v>
      </c>
      <c r="AW152" s="238" t="e">
        <f aca="false">IF(OR(E152="",D152="",D152&lt;BegDate,D152&gt;EndDate),0,1)</f>
        <v>#VALUE!</v>
      </c>
      <c r="AX152" s="238" t="n">
        <f aca="false">IF(E152="",0,F152-E152+1)</f>
        <v>31</v>
      </c>
      <c r="AY152" s="1582" t="n">
        <f aca="false">IF(E152="",0,MIN((1-(1-VLOOKUP(B152,MAIN!$AA$7:$AM$28,C152+1))*(1-VLOOKUP(B152,MAIN!$AA$33:$AM$54,C152+1))),1))</f>
        <v>0.03</v>
      </c>
      <c r="AZ152" s="1519" t="e">
        <v>#VALUE!</v>
      </c>
      <c r="BA152" s="1520" t="e">
        <v>#VALUE!</v>
      </c>
      <c r="BB152" s="1520" t="e">
        <v>#VALUE!</v>
      </c>
      <c r="BC152" s="1583" t="e">
        <v>#VALUE!</v>
      </c>
      <c r="BD152" s="1522" t="e">
        <v>#VALUE!</v>
      </c>
      <c r="BE152" s="1523" t="e">
        <v>#VALUE!</v>
      </c>
      <c r="BF152" s="1523" t="e">
        <v>#VALUE!</v>
      </c>
      <c r="BG152" s="1584" t="e">
        <v>#VALUE!</v>
      </c>
      <c r="BH152" s="1525" t="e">
        <v>#VALUE!</v>
      </c>
      <c r="BI152" s="1520" t="e">
        <v>#VALUE!</v>
      </c>
      <c r="BJ152" s="1520" t="e">
        <v>#VALUE!</v>
      </c>
      <c r="BK152" s="1583" t="e">
        <v>#VALUE!</v>
      </c>
      <c r="BL152" s="1522" t="e">
        <v>#VALUE!</v>
      </c>
      <c r="BM152" s="1523" t="e">
        <v>#VALUE!</v>
      </c>
      <c r="BN152" s="1523" t="e">
        <v>#VALUE!</v>
      </c>
      <c r="BO152" s="1523" t="e">
        <v>#VALUE!</v>
      </c>
      <c r="BP152" s="1525" t="e">
        <f aca="false">SUM(AZ152:BB152)</f>
        <v>#VALUE!</v>
      </c>
      <c r="BQ152" s="1529" t="e">
        <f aca="false">SUM(AZ152:BC152)</f>
        <v>#VALUE!</v>
      </c>
      <c r="BR152" s="1519" t="e">
        <f aca="false">SUM(BH152:BJ152)</f>
        <v>#VALUE!</v>
      </c>
      <c r="BS152" s="1529" t="e">
        <f aca="false">SUM(BH152:BK152)</f>
        <v>#VALUE!</v>
      </c>
      <c r="BT152" s="1316" t="n">
        <f aca="false">(IF(OVolType&lt;&gt;2,A152+14,IF(OptExpDateShift,ShiftBack(A152,OptExpDateShift,D151),A152))-DateToday)/365.25</f>
        <v>11.2963723477071</v>
      </c>
      <c r="BU152" s="1585" t="e">
        <f aca="false">IF(BQ152,IF(OPriceCurve,IF(OBuySell=OCallPut,I152/(1-AY152),K152/(1-AY152)),J152/(1-AY152))*BD152,0)</f>
        <v>#VALUE!</v>
      </c>
      <c r="BV152" s="1316" t="e">
        <f aca="false">IF(BQ152,IF(OPriceCurve,IF(OBuySell=OCallPut,L152/(1-AY152),N152/(1-AY152)),M152/(1-AY152))*BE152,0)</f>
        <v>#VALUE!</v>
      </c>
      <c r="BW152" s="1316" t="e">
        <f aca="false">IF(BQ152,IF(OPriceCurve,IF(OBuySell=OCallPut,O152/(1-AY152),Q152/(1-AY152)),P152/(1-AY152))*BF152,0)</f>
        <v>#VALUE!</v>
      </c>
      <c r="BX152" s="1316" t="e">
        <f aca="false">IF(BQ152,IF(OPriceCurve,IF(OBuySell=OCallPut,R152/(1-AY152),T152/(1-AY152)),S152/(1-AY152))*BG152,0)</f>
        <v>#VALUE!</v>
      </c>
      <c r="BY152" s="1316" t="e">
        <f aca="false">IF(BP152,(BU152*AZ152+BV152*BA152+BW152*BB152)/BP152,0)</f>
        <v>#VALUE!</v>
      </c>
      <c r="BZ152" s="1316" t="e">
        <f aca="false">IF(BQ152,(BY152*BP152+BX152*BC152)/BQ152,0)</f>
        <v>#VALUE!</v>
      </c>
      <c r="CA152" s="1531" t="e">
        <f aca="false">IF(BS152,IF(OPriceCurve,IF(OBuySell=OCallPut,I152/(1-AY152),K152/(1-AY152)),J152/(1-AY152))*BL152,0)</f>
        <v>#VALUE!</v>
      </c>
      <c r="CB152" s="1316" t="e">
        <f aca="false">IF(BS152,IF(OPriceCurve,IF(OBuySell=OCallPut,L152/(1-AY152),N152/(1-AY152)),M152/(1-AY152))*BM152,0)</f>
        <v>#VALUE!</v>
      </c>
      <c r="CC152" s="1316" t="e">
        <f aca="false">IF(BS152,IF(OPriceCurve,IF(OBuySell=OCallPut,O152/(1-AY152),Q152/(1-AY152)),P152/(1-AY152))*BN152,0)</f>
        <v>#VALUE!</v>
      </c>
      <c r="CD152" s="1316" t="e">
        <f aca="false">IF(BS152,IF(OPriceCurve,IF(OBuySell=OCallPut,R152/(1-AY152),T152/(1-AY152)),S152/(1-AY152))*BO152,0)</f>
        <v>#VALUE!</v>
      </c>
      <c r="CE152" s="1316" t="e">
        <f aca="false">IF(BR152,(BU152*BH152+BV152*BI152+BW152*BJ152)/BR152,0)</f>
        <v>#VALUE!</v>
      </c>
      <c r="CF152" s="1532" t="e">
        <f aca="false">IF(BS152,(CE152*BR152+CD152*BK152)/BS152,0)</f>
        <v>#VALUE!</v>
      </c>
      <c r="CG152" s="1586" t="e">
        <f aca="false">IF(OR(BQ152,BS152),IF(OVolType&lt;&gt;2,SQRT(IF(OVolOverMonthlyPeak,OVolOverMonthlyPeak,IF(OVolCurve,IF(OBuySell,U152,W152),V152))^2*(1-15/365.25/BT152)+IF(OVolOverDailyPeak,OVolOverDailyPeak,IF(OVolCurve,IF(OBuySell,AG152,AI152),AH152))^2*15/365.25/BT152),IF(OVolOverMonthlyPeak,OVolOverMonthlyPeak,IF(OVolCurve,IF(OBuySell,U152,W152),V152))),"")</f>
        <v>#VALUE!</v>
      </c>
      <c r="CH152" s="1587" t="e">
        <f aca="false">IF(OR(BQ152,BS152),IF(OVolType&lt;&gt;2,SQRT(IF(OVolOverMonthlyPeak,OVolOverMonthlyPeak,IF(OVolCurve,IF(OBuySell,X152,Z152),Y152))^2*(1-15/365.25/BT152)+IF(OVolOverDailyPeak,OVolOverDailyPeak,IF(OVolCurve,IF(OBuySell,AJ152,AL152),AK152))^2*15/365.25/BT152),IF(OVolOverMonthlyPeak,OVolOverMonthlyPeak,IF(OVolCurve,IF(OBuySell,X152,Z152),Y152))),"")</f>
        <v>#VALUE!</v>
      </c>
      <c r="CI152" s="1587" t="e">
        <f aca="false">IF(OR(BQ152,BS152),IF(OVolType&lt;&gt;2,SQRT(IF(OVolOverMonthlyPeak,OVolOverMonthlyPeak,IF(OVolCurve,IF(OBuySell,AA152,AC152),AB152))^2*(1-15/365.25/BT152)+IF(OVolOverDailyPeak,OVolOverDailyPeak,IF(OVolCurve,IF(OBuySell,AM152,AO152),AN152))^2*15/365.25/BT152),IF(OVolOverMonthlyPeak,OVolOverMonthlyPeak,IF(OVolCurve,IF(OBuySell,AA152,AC152),AB152))),"")</f>
        <v>#VALUE!</v>
      </c>
      <c r="CJ152" s="1587" t="e">
        <f aca="false">IF(BQ152,IF(BP152,SQRT(LN(1+((BU152*AZ152)^2*(EXP(CG152^2*BT152)-1)+(BV152*BA152)^2*(EXP(CH152^2*BT152)-1)+(BW152*BB152)^2*(EXP(CI152^2*BT152)-1)+2*BU152*AZ152*BV152*BA152*(EXP(CG152*CH152*BT152)-1)+2*BV152*BA152*BW152*BB152*(EXP(CH152*CI152*BT152)-1)+2*BW152*BB152*BU152*AZ152*(EXP(CI152*CG152*BT152)-1))/(BY152*BP152)^2)/BT152),0),"")</f>
        <v>#VALUE!</v>
      </c>
      <c r="CK152" s="1587" t="e">
        <f aca="false">IF(BS152,IF(BR152,SQRT(LN(1+((CA152*BH152)^2*(EXP(CG152^2*BT152)-1)+(CB152*BI152)^2*(EXP(CH152^2*BT152)-1)+(CC152*BJ152)^2*(EXP(CI152^2*BT152)-1)+2*CA152*BH152*CB152*BI152*(EXP(CG152*CH152*BT152)-1)+2*CB152*BI152*CC152*BJ152*(EXP(CH152*CI152*BT152)-1)+2*CC152*BJ152*CA152*BH152*(EXP(CI152*CG152*BT152)-1))/(CE152*BR152)^2)/BT152),0),"")</f>
        <v>#VALUE!</v>
      </c>
      <c r="CL152" s="1587" t="e">
        <f aca="false">IF(OR(BQ152,BS152),IF(OVolType&lt;&gt;2,SQRT(IF(OVolOverMonthlyOffPeak,OVolOverMonthlyOffPeak,IF(OVolCurve,IF(OBuySell,AD152,AF152),AE152))^2*(1-15/365.25/BT152)+IF(OVolOverDailyOffPeak,OVolOverDailyOffPeak,IF(OVolCurve,IF(OBuySell,AP152,AR152),AQ152))^2*15/365.25/BT152),IF(OVolOverMonthlyOffPeak,OVolOverMonthlyOffPeak,IF(OVolCurve,IF(OBuySell,AD152,AF152),AE152))),"")</f>
        <v>#VALUE!</v>
      </c>
      <c r="CM152" s="1587" t="e">
        <f aca="false">IF(BQ152,SQRT(LN(1+((BY152*BP152)^2*(EXP(CJ152^2*BT152)-1)+(BX152*BC152)^2*(EXP(CL152^2*BT152)-1)+2*BY152*BP152*BX152*BC152*(EXP(AS152*CJ152*CL152*BT152)-1))/(BY152*BP152+BX152*BC152)^2)/BT152),"")</f>
        <v>#VALUE!</v>
      </c>
      <c r="CN152" s="1588" t="e">
        <f aca="false">IF(BS152,SQRT(LN(1+((CE152*BR152)^2*(EXP(CK152^2*BT152)-1)+(CD152*BK152)^2*(EXP(CL152^2*BT152)-1)+2*CE152*BR152*CD152*BK152*(EXP(AS152*CK152*CL152*BT152)-1))/(CE152*BR152+CD152*BK152)^2)/BT152),"")</f>
        <v>#VALUE!</v>
      </c>
      <c r="CO152" s="1531" t="e">
        <f aca="false">IF(OR(BQ152,BS152),VLOOKUP(A152,GasTable,13)*HeatRatePeak*(1+VLOOKUP($B152,HeatRateDegradation,$C152+1))/1000,0)</f>
        <v>#VALUE!</v>
      </c>
      <c r="CP152" s="1316" t="e">
        <f aca="false">IF(OR(BQ152,BS152),VLOOKUP(A152,GasTable,13)*HeatRatePeak*(1+VLOOKUP($B152,HeatRateDegradation,$C152+1))/1000,0)</f>
        <v>#VALUE!</v>
      </c>
      <c r="CQ152" s="1316" t="e">
        <f aca="false">IF(OR(BQ152,BS152),VLOOKUP(A152,GasTable,13)*IF(EV152,HeatRatePeak,HeatRateOffPeak)*(1+VLOOKUP($B152,HeatRateDegradation,$C152+1))/1000,0)</f>
        <v>#VALUE!</v>
      </c>
      <c r="CR152" s="1316" t="e">
        <f aca="false">IF(OR(BQ152,BS152),VLOOKUP(A152,GasTable,13)*IF(EW152,HeatRatePeak,HeatRateOffPeak)*(1+VLOOKUP($B152,HeatRateDegradation,$C152+1))/1000,0)</f>
        <v>#VALUE!</v>
      </c>
      <c r="CS152" s="1589" t="e">
        <f aca="false">IF(BQ152,(CO152*AZ152+CP152*BA152+CQ152*BB152+CR152*BC152)/BQ152,0)</f>
        <v>#VALUE!</v>
      </c>
      <c r="CT152" s="1316" t="e">
        <f aca="false">IF(BS152,CO152,0)</f>
        <v>#VALUE!</v>
      </c>
      <c r="CU152" s="1590" t="e">
        <f aca="false">IF(OR(BQ152,BS152),VLOOKUP(A152,GasTable,14),"")</f>
        <v>#VALUE!</v>
      </c>
      <c r="CV152" s="1568" t="e">
        <f aca="false">IF(OR(BQ152,BS152),IF(CorrPowerGasOverFlag,INDEX(CorrPowerGasOver,C152),CorrPowerGas),"")</f>
        <v>#VALUE!</v>
      </c>
      <c r="CW152" s="1316" t="e">
        <f aca="false">IF(OR($BQ152,$BS152),SpreadOptPowerMargin,0)*((1+Assumptions!$C$26)^($B152-YEAR(Assumptions!$C$17)))</f>
        <v>#VALUE!</v>
      </c>
      <c r="CX152" s="1316" t="e">
        <f aca="false">IF(OR($BQ152,$BS152),SpreadOptPowerMargin,0)*((1+Assumptions!$C$26)^($B152-YEAR(Assumptions!$C$17)))</f>
        <v>#VALUE!</v>
      </c>
      <c r="CY152" s="1316" t="e">
        <f aca="false">IF(OR($BQ152,$BS152),SpreadOptPowerMargin,0)*((1+Assumptions!$C$26)^($B152-YEAR(Assumptions!$C$17)))</f>
        <v>#VALUE!</v>
      </c>
      <c r="CZ152" s="1316" t="e">
        <f aca="false">IF(OR($BQ152,$BS152),SpreadOptPowerMargin,0)*((1+Assumptions!$C$26)^($B152-YEAR(Assumptions!$C$17)))</f>
        <v>#VALUE!</v>
      </c>
      <c r="DA152" s="1591" t="e">
        <f aca="false">IF(OR(BQ152,BS152),(CW152*(AZ152+BH152)+CX152*(BA152+BI152)+CY152*(BB152+BJ152)+CZ152*(BC152+BK152))/(BQ152+BS152),0)</f>
        <v>#VALUE!</v>
      </c>
      <c r="DB152" s="1592" t="e">
        <f aca="false">IF(OR(BQ152,BS152),CG152+IF(OVolSmile,VLOOKUP(MAX(-5,CO152+CW152-BU152),IF(OVolSmile=1,VolSmileBook,VolSmileModel),2),0),"")</f>
        <v>#VALUE!</v>
      </c>
      <c r="DC152" s="1592" t="e">
        <f aca="false">IF(OR(BQ152,BS152),CH152+IF(OVolSmile,VLOOKUP(MAX(-5,CP152+CW152-BV152),IF(OVolSmile=1,VolSmileBook,VolSmileModel),2),0),"")</f>
        <v>#VALUE!</v>
      </c>
      <c r="DD152" s="1592" t="e">
        <f aca="false">IF(OR(BQ152,BS152),CI152+IF(OVolSmile,VLOOKUP(MAX(-5,CQ152+CW152-BW152),IF(OVolSmile=1,VolSmileBook,VolSmileModel),2),0),"")</f>
        <v>#VALUE!</v>
      </c>
      <c r="DE152" s="1592" t="e">
        <f aca="false">IF(OR(BQ152,BS152),CL152+IF(OVolSmile,VLOOKUP(MAX(-5,CR152+CZ152-BX152),IF(OVolSmile=1,VolSmileBook,VolSmileModel),2),0),"")</f>
        <v>#VALUE!</v>
      </c>
      <c r="DF152" s="1592" t="e">
        <f aca="false">IF(BQ152,CM152+IF(OVolSmile,VLOOKUP(MAX(-5,CS152+DA152-BZ152),IF(OVolSmile=1,VolSmileBook,VolSmileModel),2),0),"")</f>
        <v>#VALUE!</v>
      </c>
      <c r="DG152" s="1593" t="e">
        <f aca="false">IF(BS152,CN152+IF(OVolSmile,VLOOKUP(MAX(-5,CT152+DA152-CF152),IF(OVolSmile=1,VolSmileBook,VolSmileModel),2),0),"")</f>
        <v>#VALUE!</v>
      </c>
      <c r="DH152" s="1316" t="e">
        <f aca="false">IF(AND(BU152&gt;0,CO152&gt;0,DB152&gt;0,CU152&gt;0),newSPRDOPT(BU152,CO152,CW152,0,DB152,CU152,CV152,BT152*365.25,OCallPut,0),0)</f>
        <v>#VALUE!</v>
      </c>
      <c r="DI152" s="1316" t="e">
        <f aca="false">IF(AND(BV152&gt;0,CP152&gt;0,DC152&gt;0,CU152&gt;0),newSPRDOPT(BV152,CP152,CX152,0,DC152,CU152,CV152,BT152*365.25,OCallPut,0),0)</f>
        <v>#VALUE!</v>
      </c>
      <c r="DJ152" s="1316" t="e">
        <f aca="false">IF(AND(BW152&gt;0,CQ152&gt;0,DD152&gt;0,CU152&gt;0),newSPRDOPT(BW152,CQ152,CY152,0,DD152,CU152,CV152,BT152*365.25,OCallPut,0),0)</f>
        <v>#VALUE!</v>
      </c>
      <c r="DK152" s="1316" t="e">
        <f aca="false">IF(AND(BX152&gt;0,CR152&gt;0,DE152&gt;0,CU152&gt;0),newSPRDOPT(BX152,CR152,CZ152,0,DE152,CU152,CV152,BT152*365.25,OCallPut,0),0)</f>
        <v>#VALUE!</v>
      </c>
      <c r="DL152" s="1316" t="e">
        <f aca="false">IF(OVolType,IF(AND(BZ152&gt;0,CS152&gt;0,DF152&gt;0,CU152&gt;0),newSPRDOPT(BZ152,CS152,DA152,0,DF152,CU152,CV152,BT152*365.25,OCallPut,0),0),IF(BQ152,(DH152*AZ152+DI152*BA152+DJ152*BB152+DK152*BC152)/BQ152,0))</f>
        <v>#VALUE!</v>
      </c>
      <c r="DM152" s="1316"/>
      <c r="DN152" s="1316"/>
      <c r="DO152" s="1316"/>
      <c r="DP152" s="1316"/>
      <c r="DQ152" s="1316"/>
      <c r="DR152" s="1316"/>
      <c r="DS152" s="1316"/>
      <c r="DT152" s="1316"/>
      <c r="DU152" s="1316"/>
      <c r="DV152" s="1316"/>
      <c r="DW152" s="1594" t="e">
        <f aca="false">IF(AND(BW152&gt;0,CT152&gt;0,DD152&gt;0,CU152&gt;0),newSPRDOPT(BW152,CT152,CY152,0,DD152,CU152,CV152,BT152*365.25,OCallPut,0),0)</f>
        <v>#VALUE!</v>
      </c>
      <c r="DX152" s="1316" t="e">
        <f aca="false">IF(AND(BX152&gt;0,CT152&gt;0,DE152&gt;0,CU152&gt;0),newSPRDOPT(BX152,CT152,CZ152,0,DE152,CU152,CV152,BT152*365.25,OCallPut,0),0)</f>
        <v>#VALUE!</v>
      </c>
      <c r="DY152" s="1591" t="e">
        <f aca="false">IF(BS152,(DH152*BH152+DI152*BI152+DW152*BJ152+DX152*BK152)/BS152,0)</f>
        <v>#VALUE!</v>
      </c>
      <c r="DZ152" s="1551" t="e">
        <f aca="false">DH152*AZ152</f>
        <v>#VALUE!</v>
      </c>
      <c r="EA152" s="1551" t="e">
        <f aca="false">DI152*BA152</f>
        <v>#VALUE!</v>
      </c>
      <c r="EB152" s="1551" t="e">
        <f aca="false">DJ152*BB152</f>
        <v>#VALUE!</v>
      </c>
      <c r="EC152" s="1551" t="e">
        <f aca="false">DK152*BC152</f>
        <v>#VALUE!</v>
      </c>
      <c r="ED152" s="1551" t="e">
        <f aca="false">DL152*BQ152</f>
        <v>#VALUE!</v>
      </c>
      <c r="EE152" s="1595" t="e">
        <f aca="false">IF(BQ152,IF(OCallPut,IF(BU152&gt;(CO152+CW152),BU152-(CO152+CW152),0),IF((CO152+CW152)&gt;BU152,(CO152+CW152)-BU152,0))*AZ152,0)</f>
        <v>#VALUE!</v>
      </c>
      <c r="EF152" s="1596" t="e">
        <f aca="false">IF(BQ152,IF(OCallPut,IF(BV152&gt;(CP152+CX152),BV152-(CP152+CX152),0),IF((CP152+CX152)&gt;BV152,(CP152+CX152)-BV152,0))*BA152,0)</f>
        <v>#VALUE!</v>
      </c>
      <c r="EG152" s="1596" t="e">
        <f aca="false">IF(BQ152,IF(OCallPut,IF(BW152&gt;(CQ152+CY152),BW152-(CQ152+CY152),0),IF((CQ152+CY152)&gt;BW152,(CQ152+CY152)-BW152,0))*BB152,0)</f>
        <v>#VALUE!</v>
      </c>
      <c r="EH152" s="1596" t="e">
        <f aca="false">IF(BQ152,IF(OCallPut,IF(BX152&gt;(CR152+CZ152),BX152-(CR152+CZ152),0),IF((CR152+CZ152)&gt;BX152,(CR152+CZ152)-BX152,0))*BC152,0)</f>
        <v>#VALUE!</v>
      </c>
      <c r="EI152" s="1597" t="e">
        <f aca="false">IF(BQ152,IF(OVolType,IF(OCallPut,IF(BZ152&gt;(CS152+DA152),BZ152-(CS152+DA152),0),IF((CS152+DA152)&gt;BZ152,(CS152+DA152)-BZ152,0))*BQ152,SUM(EE152:EH152)),0)</f>
        <v>#VALUE!</v>
      </c>
      <c r="EJ152" s="1595" t="e">
        <f aca="false">DZ152-EE152</f>
        <v>#VALUE!</v>
      </c>
      <c r="EK152" s="1596" t="e">
        <f aca="false">EA152-EF152</f>
        <v>#VALUE!</v>
      </c>
      <c r="EL152" s="1596" t="e">
        <f aca="false">EB152-EG152</f>
        <v>#VALUE!</v>
      </c>
      <c r="EM152" s="1596" t="e">
        <f aca="false">EC152-EH152</f>
        <v>#VALUE!</v>
      </c>
      <c r="EN152" s="1597" t="e">
        <f aca="false">ED152-EI152</f>
        <v>#VALUE!</v>
      </c>
      <c r="EO152" s="1551" t="e">
        <f aca="false">DH152*BH152</f>
        <v>#VALUE!</v>
      </c>
      <c r="EP152" s="1551" t="e">
        <f aca="false">DI152*BI152</f>
        <v>#VALUE!</v>
      </c>
      <c r="EQ152" s="1551" t="e">
        <f aca="false">DW152*BJ152</f>
        <v>#VALUE!</v>
      </c>
      <c r="ER152" s="1551" t="e">
        <f aca="false">DX152*BK152</f>
        <v>#VALUE!</v>
      </c>
      <c r="ES152" s="1551" t="e">
        <f aca="false">DY152*BS152</f>
        <v>#VALUE!</v>
      </c>
      <c r="ET152" s="1566" t="e">
        <f aca="false">IF(EI152,IF(OCallPut,IF(CA152&gt;(CT152+CW152),CA152-(CT152+CW152),0),IF((CT152+CW152)&gt;CA152,(CT152+CW152)-CA152,0))*BH152,0)</f>
        <v>#VALUE!</v>
      </c>
      <c r="EU152" s="1551" t="e">
        <f aca="false">IF(EI152,IF(OCallPut,IF(CB152&gt;(CT152+CX152),CB152-(CT152+CX152),0),IF((CT152+CX152)&gt;CB152,(CT152+CX152)-CB152,0))*BI152,0)</f>
        <v>#VALUE!</v>
      </c>
      <c r="EV152" s="1551" t="e">
        <f aca="false">IF(EI152,IF(OCallPut,IF(CC152&gt;(CT152+CY152),CC152-(CT152+CY152),0),IF((CT152+CY152)&gt;CC152,(CT152+CY152)-CC152,0))*BJ152,0)</f>
        <v>#VALUE!</v>
      </c>
      <c r="EW152" s="1551" t="e">
        <f aca="false">IF(EI152,IF(OCallPut,IF(CD152&gt;(CT152+CZ152),CD152-(CT152+CZ152),0),IF((CT152+CZ152)&gt;CD152,(CT152+CZ152)-CD152,0))*BK152,0)</f>
        <v>#VALUE!</v>
      </c>
      <c r="EX152" s="1558" t="e">
        <f aca="false">IF(EI152,SUM(ET152:EW152),0)</f>
        <v>#VALUE!</v>
      </c>
      <c r="EY152" s="1551" t="e">
        <f aca="false">EO152-ET152</f>
        <v>#VALUE!</v>
      </c>
      <c r="EZ152" s="1551" t="e">
        <f aca="false">EP152-EU152</f>
        <v>#VALUE!</v>
      </c>
      <c r="FA152" s="1551" t="e">
        <f aca="false">EQ152-EV152</f>
        <v>#VALUE!</v>
      </c>
      <c r="FB152" s="1551" t="e">
        <f aca="false">ER152-EW152</f>
        <v>#VALUE!</v>
      </c>
      <c r="FC152" s="1551" t="e">
        <f aca="false">ES152-EX152</f>
        <v>#VALUE!</v>
      </c>
      <c r="FD152" s="1525" t="n">
        <f aca="false">IF(AX152,IF(VLOOKUP(C152,MAIN!$L$17:$M$28,2)="Yes",VLOOKUP(CALC!B152,MAIN!$H$17:$I$20,2),0),0)</f>
        <v>0</v>
      </c>
      <c r="FE152" s="1552" t="e">
        <f aca="false">$FD152*16*AT152*(1-$AY152)</f>
        <v>#VALUE!</v>
      </c>
      <c r="FF152" s="1553" t="e">
        <f aca="false">$FD152*16*AU152*(1-$AY152)</f>
        <v>#VALUE!</v>
      </c>
      <c r="FG152" s="1553" t="e">
        <f aca="false">$FD152*16*(AV152+AW152)*(1-$AY152)</f>
        <v>#VALUE!</v>
      </c>
      <c r="FH152" s="1554" t="n">
        <f aca="false">$FD152*8*AX152*(1-$AY152)</f>
        <v>0</v>
      </c>
      <c r="FI152" s="1555" t="n">
        <f aca="false">IF(AX152,VLOOKUP(CALC!B152,MAIN!$H$17:$K$20,4),0)</f>
        <v>0</v>
      </c>
      <c r="FJ152" s="1553" t="e">
        <f aca="false">SUM(FE152:FH152)</f>
        <v>#VALUE!</v>
      </c>
      <c r="FK152" s="1556" t="e">
        <f aca="false">FI152*FJ152</f>
        <v>#VALUE!</v>
      </c>
      <c r="FL152" s="1551" t="e">
        <f aca="false">IF($EI152&gt;0,MIN(FE152,AZ152*(1+VLOOKUP($C152,WeatherCapacityAdjustment,2))),0)</f>
        <v>#VALUE!</v>
      </c>
      <c r="FM152" s="1551" t="e">
        <f aca="false">IF($EI152&gt;0,MIN(FF152,BA152*(1+VLOOKUP($C152,WeatherCapacityAdjustment,2))),0)</f>
        <v>#VALUE!</v>
      </c>
      <c r="FN152" s="1551" t="e">
        <f aca="false">IF($EI152&gt;0,MIN(FG152,BB152*(1+VLOOKUP($C152,WeatherCapacityAdjustment,2))),0)</f>
        <v>#VALUE!</v>
      </c>
      <c r="FO152" s="1564" t="e">
        <f aca="false">IF($EI152&gt;0,MIN(FH152,BC152*(1+VLOOKUP($C152,WeatherCapacityAdjustment,3))),0)</f>
        <v>#VALUE!</v>
      </c>
      <c r="FP152" s="1551" t="e">
        <f aca="false">IF(ET152&gt;0,MIN(FE152-FL152,BH152*(1+VLOOKUP($C152,WeatherCapacityAdjustment,2))),0)</f>
        <v>#VALUE!</v>
      </c>
      <c r="FQ152" s="1551" t="e">
        <f aca="false">IF(EU152&gt;0,MIN(FF152-FM152,BI152*(1+VLOOKUP($C152,WeatherCapacityAdjustment,2))),0)</f>
        <v>#VALUE!</v>
      </c>
      <c r="FR152" s="1551" t="e">
        <f aca="false">IF(EV152&gt;0,MIN(FG152-FN152,BJ152*(1+VLOOKUP($C152,WeatherCapacityAdjustment,2))),0)</f>
        <v>#VALUE!</v>
      </c>
      <c r="FS152" s="1558" t="e">
        <f aca="false">IF(EW152&gt;0,MIN(FH152-FO152,BK152*(1+VLOOKUP($C152,WeatherCapacityAdjustment,3))),0)</f>
        <v>#VALUE!</v>
      </c>
      <c r="FT152" s="1566" t="e">
        <f aca="false">IF(AND(Assumptions!$H$71="Yes",A152&gt;=Assumptions!$H$72,A152&lt;=Assumptions!$H$73),0,IF(AND($A152&gt;=Assumptions!$C$17,$A152&lt;=Assumptions!$C$18),MAX(AZ152*(1+VLOOKUP($C152,WeatherCapacityAdjustment,2))-FL152,0),0))</f>
        <v>#VALUE!</v>
      </c>
      <c r="FU152" s="1551" t="e">
        <f aca="false">IF(AND(Assumptions!$H$71="Yes",A152&gt;=Assumptions!$H$72,A152&lt;=Assumptions!$H$73),0,IF(AND($A152&gt;=Assumptions!$C$17,$A152&lt;=Assumptions!$C$18),MAX(BA152*(1+VLOOKUP($C152,WeatherCapacityAdjustment,2))-FM152,0),0))</f>
        <v>#VALUE!</v>
      </c>
      <c r="FV152" s="1551" t="e">
        <f aca="false">IF(AND(Assumptions!$H$71="Yes",A152&gt;=Assumptions!$H$72,A152&lt;=Assumptions!$H$73),0,IF(AND($A152&gt;=Assumptions!$C$17,$A152&lt;=Assumptions!$C$18),MAX(BB152*(1+VLOOKUP($C152,WeatherCapacityAdjustment,2))-FN152,0),0))</f>
        <v>#VALUE!</v>
      </c>
      <c r="FW152" s="1564" t="e">
        <f aca="false">IF(AND(Assumptions!$H$71="Yes",A152&gt;=Assumptions!$H$72,A152&lt;=Assumptions!$H$73),0,IF(AND($A152&gt;=Assumptions!$C$17,$A152&lt;=Assumptions!$C$18),MAX(BC152*(1+VLOOKUP($C152,WeatherCapacityAdjustment,3))-FO152,0),0))</f>
        <v>#VALUE!</v>
      </c>
      <c r="FX152" s="1569" t="e">
        <f aca="false">IF(AND(Assumptions!$H$71="Yes",A152&gt;=Assumptions!$H$72,A152&lt;=Assumptions!$H$73),0,IF(ET152&gt;0,MAX(BH152*(1+VLOOKUP($C152,WeatherCapacityAdjustment,2))-FP152,0),0))</f>
        <v>#VALUE!</v>
      </c>
      <c r="FY152" s="1551" t="e">
        <f aca="false">IF(AND(Assumptions!$H$71="Yes",A152&gt;=Assumptions!$H$72,A152&lt;=Assumptions!$H$73),0,IF(EU152&gt;0,MAX(BI152*(1+VLOOKUP($C152,WeatherCapacityAdjustment,3))-FQ152,0),0))</f>
        <v>#VALUE!</v>
      </c>
      <c r="FZ152" s="1551" t="e">
        <f aca="false">IF(AND(Assumptions!$H$71="Yes",A152&gt;=Assumptions!$H$72,A152&lt;=Assumptions!$H$73),0,IF(EV152&gt;0,MAX(BJ152*(1+VLOOKUP($C152,WeatherCapacityAdjustment,2))-FR152,0),0))</f>
        <v>#VALUE!</v>
      </c>
      <c r="GA152" s="1564" t="e">
        <f aca="false">IF(AND(Assumptions!$H$71="Yes",A152&gt;=Assumptions!$H$72,A152&lt;=Assumptions!$H$73),0,IF(EW152&gt;0,MAX(BK152*(1+VLOOKUP($C152,WeatherCapacityAdjustment,2))-FS152,0),0))</f>
        <v>#VALUE!</v>
      </c>
      <c r="GB152" s="1551" t="e">
        <f aca="false">SUM(FT152:GA152)</f>
        <v>#VALUE!</v>
      </c>
      <c r="GC152" s="1563" t="e">
        <f aca="false">+IF(SUM(FT152:GA152)=0,0,(SUMPRODUCT(BU152:BX152,FT152:FW152)+SUMPRODUCT(CA152:CD152,FX152:GA152))/SUM(FT152:GA152))</f>
        <v>#VALUE!</v>
      </c>
      <c r="GD152" s="1551" t="e">
        <f aca="false">(FT152*BU152+FX152*CA152+FU152*BV152+FY152*CB152+FV152*BW152+FZ152*CC152+FW152*BX152+GA152*CD152)</f>
        <v>#VALUE!</v>
      </c>
      <c r="GE152" s="1561" t="e">
        <f aca="false">+IF(BQ152,((FL152+FM152+FT152+FU152)*HeatRatePeak/1000*(1+VLOOKUP($C152,WeatherHeatRateAdjustment,2))+(FN152+FV152)*IF(EV152&gt;0,HeatRatePeak,HeatRateOffPeak)/1000*(1+VLOOKUP($C152,WeatherHeatRateAdjustment,2))+(FO152+FW152)*IF(EW152&gt;0,HeatRatePeak,HeatRateOffPeak)/1000*(1+VLOOKUP($C152,WeatherHeatRateAdjustment,3)))*(1+VLOOKUP($B152,HeatRateDegradation,$C152+1)),0)</f>
        <v>#VALUE!</v>
      </c>
      <c r="GF152" s="1562" t="e">
        <f aca="false">IF(BQ152,((FP152+FQ152+FR152+FX152+FY152+FZ152)*HeatRatePeak/1000*(1+VLOOKUP($C152,WeatherHeatRateAdjustment,2))+(FS152+GA152)*HeatRatePeak/1000*(1+VLOOKUP($C152,WeatherHeatRateAdjustment,3)))*(1+VLOOKUP($B152,HeatRateDegradation,$C152+1)),0)</f>
        <v>#VALUE!</v>
      </c>
      <c r="GG152" s="1563" t="e">
        <f aca="false">IF(BQ152,VLOOKUP(A152,GasTable,13),0)</f>
        <v>#VALUE!</v>
      </c>
      <c r="GH152" s="1564" t="e">
        <f aca="false">(GE152+GF152)*GG152</f>
        <v>#VALUE!</v>
      </c>
      <c r="GI152" s="1569" t="e">
        <f aca="false">GB152</f>
        <v>#VALUE!</v>
      </c>
      <c r="GJ152" s="1598" t="e">
        <f aca="false">+DA152</f>
        <v>#VALUE!</v>
      </c>
      <c r="GK152" s="1558" t="e">
        <f aca="false">+GI152*GJ152</f>
        <v>#VALUE!</v>
      </c>
      <c r="GL152" s="1566" t="e">
        <f aca="false">MAX(FE152-FL152-FP152,0)</f>
        <v>#VALUE!</v>
      </c>
      <c r="GM152" s="1551" t="e">
        <f aca="false">MAX(FF152-FM152-FQ152,0)</f>
        <v>#VALUE!</v>
      </c>
      <c r="GN152" s="1551" t="e">
        <f aca="false">MAX(FG152-FN152-FR152,0)</f>
        <v>#VALUE!</v>
      </c>
      <c r="GO152" s="1564" t="e">
        <f aca="false">MAX(FH152-FO152-FS152,0)</f>
        <v>#VALUE!</v>
      </c>
      <c r="GP152" s="1551" t="e">
        <f aca="false">SUM(GL152:GO152)</f>
        <v>#VALUE!</v>
      </c>
      <c r="GQ152" s="1563" t="e">
        <f aca="false">IF(SUM(GL152:GO152)=0,0,((GL152*BU152+GM152*BV152+GN152*BW152+GO152*BX152)/SUM(GL152:GO152)))</f>
        <v>#VALUE!</v>
      </c>
      <c r="GR152" s="1558" t="e">
        <f aca="false">(GL152*BU152+GM152*BV152+GN152*BW152+GO152*BX152)</f>
        <v>#VALUE!</v>
      </c>
      <c r="GS152" s="1566" t="n">
        <f aca="false">IF($A152&gt;=BegDate,Assumptions!$C$56*24*($A153-$A152)*(1-VLOOKUP($B152,MAIN!$AA$7:$AM$28,$C152+1))*(1-VLOOKUP($B152,MAIN!$AA$33:$AM$54,$C152+1)),0)*80/168</f>
        <v>257742.857142857</v>
      </c>
      <c r="GT152" s="286" t="n">
        <f aca="false">J152</f>
        <v>109.508327150396</v>
      </c>
      <c r="GU152" s="286" t="n">
        <f aca="false">IF($A152&gt;=BegDate,VLOOKUP($A152,GasTable,13)+Assumptions!$C$58,0)</f>
        <v>2.9828382593059</v>
      </c>
      <c r="GV152" s="286" t="n">
        <f aca="false">GU152*Assumptions!$C$57/1000</f>
        <v>21.6255773799678</v>
      </c>
      <c r="GW152" s="1558" t="n">
        <f aca="false">IF(Assumptions!$C$60="Hourly",MAX(0,GS152*(GT152-GV152)),GS152*(GT152-GV152))</f>
        <v>22651151.0194011</v>
      </c>
      <c r="GX152" s="1566" t="n">
        <f aca="false">IF($A152&gt;=BegDate,Assumptions!$C$56*24*($A153-$A152)*(1-VLOOKUP($B152,MAIN!$AA$7:$AM$28,$C152+1))*(1-VLOOKUP($B152,MAIN!$AA$33:$AM$54,$C152+1)),0)*16/168</f>
        <v>51548.5714285714</v>
      </c>
      <c r="GY152" s="286" t="n">
        <f aca="false">M152</f>
        <v>109.508327150396</v>
      </c>
      <c r="GZ152" s="286" t="n">
        <f aca="false">IF($A152&gt;=BegDate,VLOOKUP($A152,GasTable,13)+Assumptions!$C$58,0)</f>
        <v>2.9828382593059</v>
      </c>
      <c r="HA152" s="286" t="n">
        <f aca="false">GZ152*Assumptions!$C$57/1000</f>
        <v>21.6255773799678</v>
      </c>
      <c r="HB152" s="1558" t="n">
        <f aca="false">IF(Assumptions!$C$60="Hourly",MAX(0,GX152*(GY152-HA152)),GX152*(GY152-HA152))</f>
        <v>4530230.20388021</v>
      </c>
      <c r="HC152" s="1566" t="n">
        <f aca="false">IF($A152&gt;=BegDate,Assumptions!$C$56*24*($A153-$A152)*(1-VLOOKUP($B152,MAIN!$AA$7:$AM$28,$C152+1))*(1-VLOOKUP($B152,MAIN!$AA$33:$AM$54,$C152+1)),0)*16/168</f>
        <v>51548.5714285714</v>
      </c>
      <c r="HD152" s="286" t="n">
        <f aca="false">P152</f>
        <v>34.4459444900421</v>
      </c>
      <c r="HE152" s="286" t="n">
        <f aca="false">IF($A152&gt;=BegDate,VLOOKUP($A152,GasTable,13)+Assumptions!$C$58,0)</f>
        <v>2.9828382593059</v>
      </c>
      <c r="HF152" s="286" t="n">
        <f aca="false">HE152*Assumptions!$C$57/1000</f>
        <v>21.6255773799678</v>
      </c>
      <c r="HG152" s="1558" t="n">
        <f aca="false">IF(Assumptions!$C$60="Hourly",MAX(0,HC152*(HD152-HF152)),HC152*(HD152-HF152))</f>
        <v>660871.609714174</v>
      </c>
      <c r="HH152" s="1566" t="n">
        <f aca="false">IF($A152&gt;=BegDate,Assumptions!$C$56*24*($A153-$A152)*(1-VLOOKUP($B152,MAIN!$AA$7:$AM$28,$C152+1))*(1-VLOOKUP($B152,MAIN!$AA$33:$AM$54,$C152+1)),0)*56/168</f>
        <v>180420</v>
      </c>
      <c r="HI152" s="286" t="n">
        <f aca="false">S152</f>
        <v>34.4459444900421</v>
      </c>
      <c r="HJ152" s="286" t="n">
        <f aca="false">IF($A152&gt;=BegDate,VLOOKUP($A152,GasTable,13)+Assumptions!$C$58,0)</f>
        <v>2.9828382593059</v>
      </c>
      <c r="HK152" s="286" t="n">
        <f aca="false">HJ152*Assumptions!$C$57/1000</f>
        <v>21.6255773799678</v>
      </c>
      <c r="HL152" s="1558" t="n">
        <f aca="false">IF(Assumptions!$C$60="Hourly",MAX(0,HH152*(HI152-HK152)),HH152*(HI152-HK152))</f>
        <v>2313050.63399961</v>
      </c>
      <c r="HM152" s="1566" t="n">
        <f aca="false">IF(AND(Assumptions!$H$71="Yes",A152&gt;=Assumptions!$H$72,A152&lt;=Assumptions!$H$73),Assumptions!$H$74*Assumptions!$C$9*1000,0)</f>
        <v>0</v>
      </c>
      <c r="HN152" s="1551"/>
      <c r="HO152" s="1563"/>
      <c r="HP152" s="1563"/>
      <c r="HQ152" s="1563"/>
      <c r="HR152" s="1563"/>
      <c r="HS152" s="1563"/>
      <c r="HT152" s="1563"/>
      <c r="HU152" s="1563"/>
      <c r="HV152" s="1563"/>
      <c r="HW152" s="1563"/>
      <c r="HX152" s="1563"/>
      <c r="HY152" s="1563"/>
      <c r="HZ152" s="1563"/>
      <c r="IA152" s="1563"/>
      <c r="IB152" s="1563"/>
      <c r="IC152" s="1563"/>
      <c r="ID152" s="1563"/>
      <c r="IE152" s="1563"/>
      <c r="IF152" s="1563"/>
      <c r="IG152" s="1563"/>
      <c r="IH152" s="1563"/>
      <c r="II152" s="1610"/>
      <c r="IJ152" s="1309"/>
      <c r="IK152" s="1309"/>
    </row>
    <row r="153" customFormat="false" ht="12.75" hidden="false" customHeight="false" outlineLevel="0" collapsed="false">
      <c r="A153" s="1571" t="n">
        <f aca="false">EOMONTH(A152,0)+1</f>
        <v>40787</v>
      </c>
      <c r="B153" s="594" t="n">
        <f aca="false">+YEAR(A153)</f>
        <v>2011</v>
      </c>
      <c r="C153" s="238" t="n">
        <f aca="false">MONTH(A153)</f>
        <v>9</v>
      </c>
      <c r="D153" s="1572" t="e">
        <f aca="false">IF(E153="","",Holiday(B153,C153))</f>
        <v>#VALUE!</v>
      </c>
      <c r="E153" s="1573" t="n">
        <f aca="false">IF(OR(BegDate&gt;=A154,EndDate&lt;A153,AND(VolumeMonthlyOverFlag,INDEX(VolumeMonthlyOver,C153)=0),NOT(INDEX(MonthKnockOutTable,C153))),"",MAX(A153,BegDate))</f>
        <v>40787</v>
      </c>
      <c r="F153" s="1574" t="n">
        <f aca="false">IF(E153="","",MIN(A154-1,EndDate))</f>
        <v>40816</v>
      </c>
      <c r="G153" s="1575" t="n">
        <v>0</v>
      </c>
      <c r="H153" s="1576" t="n">
        <f aca="false">(1+G153/2)^(-2*(DATE(B154,C154,20)-DateToday)/365.25)</f>
        <v>1</v>
      </c>
      <c r="I153" s="1568" t="n">
        <f aca="false">IF(Assumptions!$L$25=4,VLOOKUP($A153,'Henwood Reference'!$E$9:$R$320,10),(VLOOKUP($A153,PriceTable,2,0)+IF(BasisNumber&lt;&gt;1,VLOOKUP($A153,BasisTable,2,0),0)+I$1)/(1-I$2))</f>
        <v>67.7338101492454</v>
      </c>
      <c r="J153" s="1568" t="n">
        <f aca="false">IF(Assumptions!$L$25=4,VLOOKUP($A153,'Henwood Reference'!$E$9:$R$320,10),(VLOOKUP($A153,PriceTable,3,0)+IF(BasisNumber&lt;&gt;1,VLOOKUP($A153,BasisTable,2,0),0)+J$1)/(1-J$2))</f>
        <v>67.7338101492454</v>
      </c>
      <c r="K153" s="1568" t="n">
        <f aca="false">IF(Assumptions!$L$25=4,VLOOKUP($A153,'Henwood Reference'!$E$9:$R$320,10),(VLOOKUP($A153,PriceTable,4,0)+IF(BasisNumber&lt;&gt;1,VLOOKUP($A153,BasisTable,2,0),0)+K$1)/(1-K$2))</f>
        <v>67.7338101492454</v>
      </c>
      <c r="L153" s="1523" t="n">
        <f aca="false">IF(Assumptions!$L$25=4,VLOOKUP($A153,'Henwood Reference'!$E$9:$R$320,10),(VLOOKUP($A153,PriceTableWeekend,2,0)+IF(BasisNumber&lt;&gt;1,VLOOKUP($A153,BasisTable,2,0),0)+L$1)/(1-L$2))</f>
        <v>67.7338101492454</v>
      </c>
      <c r="M153" s="1568" t="n">
        <f aca="false">IF(Assumptions!$L$25=4,VLOOKUP($A153,'Henwood Reference'!$E$9:$R$320,10),(VLOOKUP($A153,PriceTableWeekend,3,0)+IF(BasisNumber&lt;&gt;1,VLOOKUP($A153,BasisTable,2,0),0)+M$1)/(1-M$2))</f>
        <v>67.7338101492454</v>
      </c>
      <c r="N153" s="1599" t="n">
        <f aca="false">IF(Assumptions!$L$25=4,VLOOKUP($A153,'Henwood Reference'!$E$9:$R$320,10),(VLOOKUP($A153,PriceTableWeekend,4,0)+IF(BasisNumber&lt;&gt;1,VLOOKUP($A153,BasisTable,2,0),0)+N$1)/(1-N$2))</f>
        <v>67.7338101492454</v>
      </c>
      <c r="O153" s="1568" t="n">
        <f aca="false">IF(Assumptions!$L$25=4,VLOOKUP($A153,'Henwood Reference'!$E$9:$R$320,11),(VLOOKUP($A153,PriceTableWeekend,6,0)+IF(BasisNumber&lt;&gt;1,VLOOKUP($A153,BasisTable,3,0),0)+O$1)/(1-O$2))</f>
        <v>31.4611001253099</v>
      </c>
      <c r="P153" s="1568" t="n">
        <f aca="false">IF(Assumptions!$L$25=4,VLOOKUP($A153,'Henwood Reference'!$E$9:$R$320,11),(VLOOKUP($A153,PriceTableWeekend,7,0)+IF(BasisNumber&lt;&gt;1,VLOOKUP($A153,BasisTable,3,0),0)+P$1)/(1-P$2))</f>
        <v>31.4611001253099</v>
      </c>
      <c r="Q153" s="1599" t="n">
        <f aca="false">IF(Assumptions!$L$25=4,VLOOKUP($A153,'Henwood Reference'!$E$9:$R$320,11),(VLOOKUP($A153,PriceTableWeekend,8,0)+IF(BasisNumber&lt;&gt;1,VLOOKUP($A153,BasisTable,3,0),0)+Q$1)/(1-Q$2))</f>
        <v>31.4611001253099</v>
      </c>
      <c r="R153" s="1568" t="n">
        <f aca="false">IF(Assumptions!$L$25=4,VLOOKUP($A153,'Henwood Reference'!$E$9:$R$320,11),(VLOOKUP($A153,PriceTable,6,0)+IF(BasisNumber&lt;&gt;1,VLOOKUP($A153,BasisTable,3,0),0)+R$1)/(1-R$2))</f>
        <v>31.4611001253099</v>
      </c>
      <c r="S153" s="1568" t="n">
        <f aca="false">IF(Assumptions!$L$25=4,VLOOKUP($A153,'Henwood Reference'!$E$9:$R$320,11),(VLOOKUP($A153,PriceTable,7,0)+IF(BasisNumber&lt;&gt;1,VLOOKUP($A153,BasisTable,3,0),0)+S$1)/(1-S$2))</f>
        <v>31.4611001253099</v>
      </c>
      <c r="T153" s="1600" t="n">
        <f aca="false">IF(Assumptions!$L$25=4,VLOOKUP($A153,'Henwood Reference'!$E$9:$R$320,11),(VLOOKUP($A153,PriceTable,8,0)+IF(BasisNumber&lt;&gt;1,VLOOKUP($A153,BasisTable,3,0),0)+T$1)/(1-T$2))</f>
        <v>31.4611001253099</v>
      </c>
      <c r="U153" s="1513" t="n">
        <f aca="false">VLOOKUP($A153,VolatilityTable,14)</f>
        <v>0.115</v>
      </c>
      <c r="V153" s="1513" t="n">
        <f aca="false">VLOOKUP($A153,VolatilityTable,15)</f>
        <v>0.125</v>
      </c>
      <c r="W153" s="1514" t="n">
        <f aca="false">VLOOKUP($A153,VolatilityTable,16)</f>
        <v>0.135</v>
      </c>
      <c r="X153" s="1513" t="n">
        <f aca="false">VLOOKUP($A153,VolatilityTable,14)</f>
        <v>0.115</v>
      </c>
      <c r="Y153" s="1513" t="n">
        <f aca="false">VLOOKUP($A153,VolatilityTable,15)</f>
        <v>0.125</v>
      </c>
      <c r="Z153" s="1514" t="n">
        <f aca="false">VLOOKUP($A153,VolatilityTable,16)</f>
        <v>0.135</v>
      </c>
      <c r="AA153" s="1513" t="n">
        <f aca="false">VLOOKUP($A153,VolatilityTable,18)</f>
        <v>0.09</v>
      </c>
      <c r="AB153" s="1513" t="n">
        <f aca="false">VLOOKUP($A153,VolatilityTable,19)</f>
        <v>0.11</v>
      </c>
      <c r="AC153" s="1514" t="n">
        <f aca="false">VLOOKUP($A153,VolatilityTable,20)</f>
        <v>0.13</v>
      </c>
      <c r="AD153" s="1513" t="n">
        <f aca="false">VLOOKUP($A153,VolatilityTable,18)</f>
        <v>0.09</v>
      </c>
      <c r="AE153" s="1513" t="n">
        <f aca="false">VLOOKUP($A153,VolatilityTable,19)</f>
        <v>0.11</v>
      </c>
      <c r="AF153" s="1514" t="n">
        <f aca="false">VLOOKUP($A153,VolatilityTable,20)</f>
        <v>0.13</v>
      </c>
      <c r="AG153" s="1513" t="n">
        <f aca="false">VLOOKUP($A153,VolatilityTable,22)</f>
        <v>-0.35</v>
      </c>
      <c r="AH153" s="1513" t="n">
        <f aca="false">VLOOKUP($A153,VolatilityTable,23)</f>
        <v>3</v>
      </c>
      <c r="AI153" s="1514" t="n">
        <f aca="false">VLOOKUP($A153,VolatilityTable,24)</f>
        <v>0.2</v>
      </c>
      <c r="AJ153" s="1513" t="n">
        <f aca="false">VLOOKUP($A153,VolatilityTable,22)</f>
        <v>-0.35</v>
      </c>
      <c r="AK153" s="1513" t="n">
        <f aca="false">VLOOKUP($A153,VolatilityTable,23)</f>
        <v>3</v>
      </c>
      <c r="AL153" s="1514" t="n">
        <f aca="false">VLOOKUP($A153,VolatilityTable,24)</f>
        <v>0.2</v>
      </c>
      <c r="AM153" s="1513" t="n">
        <f aca="false">VLOOKUP($A153,VolatilityTable,26)</f>
        <v>-0.01</v>
      </c>
      <c r="AN153" s="1513" t="n">
        <f aca="false">VLOOKUP($A153,VolatilityTable,27)</f>
        <v>0.16</v>
      </c>
      <c r="AO153" s="1514" t="n">
        <f aca="false">VLOOKUP($A153,VolatilityTable,28)</f>
        <v>0.01</v>
      </c>
      <c r="AP153" s="1513" t="n">
        <f aca="false">VLOOKUP($A153,VolatilityTable,26)</f>
        <v>-0.01</v>
      </c>
      <c r="AQ153" s="1513" t="n">
        <f aca="false">VLOOKUP($A153,VolatilityTable,27)</f>
        <v>0.16</v>
      </c>
      <c r="AR153" s="1515" t="n">
        <f aca="false">VLOOKUP($A153,VolatilityTable,28)</f>
        <v>0.01</v>
      </c>
      <c r="AS153" s="1581" t="n">
        <f aca="false">IF(CorrPeakOffPeakOverFlag,INDEX(CorrPeakOffPeakOver,C153),CorrPeakOffPeak)</f>
        <v>0.5</v>
      </c>
      <c r="AT153" s="594" t="e">
        <f aca="false">AX153-SUM(AU153:AW153)</f>
        <v>#VALUE!</v>
      </c>
      <c r="AU153" s="238" t="e">
        <f aca="false">IF(E153="",0,INT((F153-MOD(F153,7)-E153)/7)+1-IF(AW153,IF(WEEKDAY(D153)=7,1,0),0))</f>
        <v>#VALUE!</v>
      </c>
      <c r="AV153" s="238" t="e">
        <f aca="false">IF(E153="",0,INT((F153-MOD(F153-1,7)-E153)/7)+1-IF(AW153,IF(WEEKDAY(D153)=1,1,0),0))</f>
        <v>#VALUE!</v>
      </c>
      <c r="AW153" s="238" t="e">
        <f aca="false">IF(OR(E153="",D153="",D153&lt;BegDate,D153&gt;EndDate),0,1)</f>
        <v>#VALUE!</v>
      </c>
      <c r="AX153" s="238" t="n">
        <f aca="false">IF(E153="",0,F153-E153+1)</f>
        <v>30</v>
      </c>
      <c r="AY153" s="1582" t="n">
        <f aca="false">IF(E153="",0,MIN((1-(1-VLOOKUP(B153,MAIN!$AA$7:$AM$28,C153+1))*(1-VLOOKUP(B153,MAIN!$AA$33:$AM$54,C153+1))),1))</f>
        <v>0.03</v>
      </c>
      <c r="AZ153" s="1519" t="e">
        <v>#VALUE!</v>
      </c>
      <c r="BA153" s="1520" t="e">
        <v>#VALUE!</v>
      </c>
      <c r="BB153" s="1520" t="e">
        <v>#VALUE!</v>
      </c>
      <c r="BC153" s="1583" t="e">
        <v>#VALUE!</v>
      </c>
      <c r="BD153" s="1522" t="e">
        <v>#VALUE!</v>
      </c>
      <c r="BE153" s="1523" t="e">
        <v>#VALUE!</v>
      </c>
      <c r="BF153" s="1523" t="e">
        <v>#VALUE!</v>
      </c>
      <c r="BG153" s="1584" t="e">
        <v>#VALUE!</v>
      </c>
      <c r="BH153" s="1525" t="e">
        <v>#VALUE!</v>
      </c>
      <c r="BI153" s="1520" t="e">
        <v>#VALUE!</v>
      </c>
      <c r="BJ153" s="1520" t="e">
        <v>#VALUE!</v>
      </c>
      <c r="BK153" s="1583" t="e">
        <v>#VALUE!</v>
      </c>
      <c r="BL153" s="1522" t="e">
        <v>#VALUE!</v>
      </c>
      <c r="BM153" s="1523" t="e">
        <v>#VALUE!</v>
      </c>
      <c r="BN153" s="1523" t="e">
        <v>#VALUE!</v>
      </c>
      <c r="BO153" s="1523" t="e">
        <v>#VALUE!</v>
      </c>
      <c r="BP153" s="1525" t="e">
        <f aca="false">SUM(AZ153:BB153)</f>
        <v>#VALUE!</v>
      </c>
      <c r="BQ153" s="1529" t="e">
        <f aca="false">SUM(AZ153:BC153)</f>
        <v>#VALUE!</v>
      </c>
      <c r="BR153" s="1519" t="e">
        <f aca="false">SUM(BH153:BJ153)</f>
        <v>#VALUE!</v>
      </c>
      <c r="BS153" s="1529" t="e">
        <f aca="false">SUM(BH153:BK153)</f>
        <v>#VALUE!</v>
      </c>
      <c r="BT153" s="1316" t="n">
        <f aca="false">(IF(OVolType&lt;&gt;2,A153+14,IF(OptExpDateShift,ShiftBack(A153,OptExpDateShift,D152),A153))-DateToday)/365.25</f>
        <v>11.3812457221081</v>
      </c>
      <c r="BU153" s="1585" t="e">
        <f aca="false">IF(BQ153,IF(OPriceCurve,IF(OBuySell=OCallPut,I153/(1-AY153),K153/(1-AY153)),J153/(1-AY153))*BD153,0)</f>
        <v>#VALUE!</v>
      </c>
      <c r="BV153" s="1316" t="e">
        <f aca="false">IF(BQ153,IF(OPriceCurve,IF(OBuySell=OCallPut,L153/(1-AY153),N153/(1-AY153)),M153/(1-AY153))*BE153,0)</f>
        <v>#VALUE!</v>
      </c>
      <c r="BW153" s="1316" t="e">
        <f aca="false">IF(BQ153,IF(OPriceCurve,IF(OBuySell=OCallPut,O153/(1-AY153),Q153/(1-AY153)),P153/(1-AY153))*BF153,0)</f>
        <v>#VALUE!</v>
      </c>
      <c r="BX153" s="1316" t="e">
        <f aca="false">IF(BQ153,IF(OPriceCurve,IF(OBuySell=OCallPut,R153/(1-AY153),T153/(1-AY153)),S153/(1-AY153))*BG153,0)</f>
        <v>#VALUE!</v>
      </c>
      <c r="BY153" s="1316" t="e">
        <f aca="false">IF(BP153,(BU153*AZ153+BV153*BA153+BW153*BB153)/BP153,0)</f>
        <v>#VALUE!</v>
      </c>
      <c r="BZ153" s="1316" t="e">
        <f aca="false">IF(BQ153,(BY153*BP153+BX153*BC153)/BQ153,0)</f>
        <v>#VALUE!</v>
      </c>
      <c r="CA153" s="1531" t="e">
        <f aca="false">IF(BS153,IF(OPriceCurve,IF(OBuySell=OCallPut,I153/(1-AY153),K153/(1-AY153)),J153/(1-AY153))*BL153,0)</f>
        <v>#VALUE!</v>
      </c>
      <c r="CB153" s="1316" t="e">
        <f aca="false">IF(BS153,IF(OPriceCurve,IF(OBuySell=OCallPut,L153/(1-AY153),N153/(1-AY153)),M153/(1-AY153))*BM153,0)</f>
        <v>#VALUE!</v>
      </c>
      <c r="CC153" s="1316" t="e">
        <f aca="false">IF(BS153,IF(OPriceCurve,IF(OBuySell=OCallPut,O153/(1-AY153),Q153/(1-AY153)),P153/(1-AY153))*BN153,0)</f>
        <v>#VALUE!</v>
      </c>
      <c r="CD153" s="1316" t="e">
        <f aca="false">IF(BS153,IF(OPriceCurve,IF(OBuySell=OCallPut,R153/(1-AY153),T153/(1-AY153)),S153/(1-AY153))*BO153,0)</f>
        <v>#VALUE!</v>
      </c>
      <c r="CE153" s="1316" t="e">
        <f aca="false">IF(BR153,(BU153*BH153+BV153*BI153+BW153*BJ153)/BR153,0)</f>
        <v>#VALUE!</v>
      </c>
      <c r="CF153" s="1532" t="e">
        <f aca="false">IF(BS153,(CE153*BR153+CD153*BK153)/BS153,0)</f>
        <v>#VALUE!</v>
      </c>
      <c r="CG153" s="1586" t="e">
        <f aca="false">IF(OR(BQ153,BS153),IF(OVolType&lt;&gt;2,SQRT(IF(OVolOverMonthlyPeak,OVolOverMonthlyPeak,IF(OVolCurve,IF(OBuySell,U153,W153),V153))^2*(1-15/365.25/BT153)+IF(OVolOverDailyPeak,OVolOverDailyPeak,IF(OVolCurve,IF(OBuySell,AG153,AI153),AH153))^2*15/365.25/BT153),IF(OVolOverMonthlyPeak,OVolOverMonthlyPeak,IF(OVolCurve,IF(OBuySell,U153,W153),V153))),"")</f>
        <v>#VALUE!</v>
      </c>
      <c r="CH153" s="1587" t="e">
        <f aca="false">IF(OR(BQ153,BS153),IF(OVolType&lt;&gt;2,SQRT(IF(OVolOverMonthlyPeak,OVolOverMonthlyPeak,IF(OVolCurve,IF(OBuySell,X153,Z153),Y153))^2*(1-15/365.25/BT153)+IF(OVolOverDailyPeak,OVolOverDailyPeak,IF(OVolCurve,IF(OBuySell,AJ153,AL153),AK153))^2*15/365.25/BT153),IF(OVolOverMonthlyPeak,OVolOverMonthlyPeak,IF(OVolCurve,IF(OBuySell,X153,Z153),Y153))),"")</f>
        <v>#VALUE!</v>
      </c>
      <c r="CI153" s="1587" t="e">
        <f aca="false">IF(OR(BQ153,BS153),IF(OVolType&lt;&gt;2,SQRT(IF(OVolOverMonthlyPeak,OVolOverMonthlyPeak,IF(OVolCurve,IF(OBuySell,AA153,AC153),AB153))^2*(1-15/365.25/BT153)+IF(OVolOverDailyPeak,OVolOverDailyPeak,IF(OVolCurve,IF(OBuySell,AM153,AO153),AN153))^2*15/365.25/BT153),IF(OVolOverMonthlyPeak,OVolOverMonthlyPeak,IF(OVolCurve,IF(OBuySell,AA153,AC153),AB153))),"")</f>
        <v>#VALUE!</v>
      </c>
      <c r="CJ153" s="1587" t="e">
        <f aca="false">IF(BQ153,IF(BP153,SQRT(LN(1+((BU153*AZ153)^2*(EXP(CG153^2*BT153)-1)+(BV153*BA153)^2*(EXP(CH153^2*BT153)-1)+(BW153*BB153)^2*(EXP(CI153^2*BT153)-1)+2*BU153*AZ153*BV153*BA153*(EXP(CG153*CH153*BT153)-1)+2*BV153*BA153*BW153*BB153*(EXP(CH153*CI153*BT153)-1)+2*BW153*BB153*BU153*AZ153*(EXP(CI153*CG153*BT153)-1))/(BY153*BP153)^2)/BT153),0),"")</f>
        <v>#VALUE!</v>
      </c>
      <c r="CK153" s="1587" t="e">
        <f aca="false">IF(BS153,IF(BR153,SQRT(LN(1+((CA153*BH153)^2*(EXP(CG153^2*BT153)-1)+(CB153*BI153)^2*(EXP(CH153^2*BT153)-1)+(CC153*BJ153)^2*(EXP(CI153^2*BT153)-1)+2*CA153*BH153*CB153*BI153*(EXP(CG153*CH153*BT153)-1)+2*CB153*BI153*CC153*BJ153*(EXP(CH153*CI153*BT153)-1)+2*CC153*BJ153*CA153*BH153*(EXP(CI153*CG153*BT153)-1))/(CE153*BR153)^2)/BT153),0),"")</f>
        <v>#VALUE!</v>
      </c>
      <c r="CL153" s="1587" t="e">
        <f aca="false">IF(OR(BQ153,BS153),IF(OVolType&lt;&gt;2,SQRT(IF(OVolOverMonthlyOffPeak,OVolOverMonthlyOffPeak,IF(OVolCurve,IF(OBuySell,AD153,AF153),AE153))^2*(1-15/365.25/BT153)+IF(OVolOverDailyOffPeak,OVolOverDailyOffPeak,IF(OVolCurve,IF(OBuySell,AP153,AR153),AQ153))^2*15/365.25/BT153),IF(OVolOverMonthlyOffPeak,OVolOverMonthlyOffPeak,IF(OVolCurve,IF(OBuySell,AD153,AF153),AE153))),"")</f>
        <v>#VALUE!</v>
      </c>
      <c r="CM153" s="1587" t="e">
        <f aca="false">IF(BQ153,SQRT(LN(1+((BY153*BP153)^2*(EXP(CJ153^2*BT153)-1)+(BX153*BC153)^2*(EXP(CL153^2*BT153)-1)+2*BY153*BP153*BX153*BC153*(EXP(AS153*CJ153*CL153*BT153)-1))/(BY153*BP153+BX153*BC153)^2)/BT153),"")</f>
        <v>#VALUE!</v>
      </c>
      <c r="CN153" s="1588" t="e">
        <f aca="false">IF(BS153,SQRT(LN(1+((CE153*BR153)^2*(EXP(CK153^2*BT153)-1)+(CD153*BK153)^2*(EXP(CL153^2*BT153)-1)+2*CE153*BR153*CD153*BK153*(EXP(AS153*CK153*CL153*BT153)-1))/(CE153*BR153+CD153*BK153)^2)/BT153),"")</f>
        <v>#VALUE!</v>
      </c>
      <c r="CO153" s="1531" t="e">
        <f aca="false">IF(OR(BQ153,BS153),VLOOKUP(A153,GasTable,13)*HeatRatePeak*(1+VLOOKUP($B153,HeatRateDegradation,$C153+1))/1000,0)</f>
        <v>#VALUE!</v>
      </c>
      <c r="CP153" s="1316" t="e">
        <f aca="false">IF(OR(BQ153,BS153),VLOOKUP(A153,GasTable,13)*HeatRatePeak*(1+VLOOKUP($B153,HeatRateDegradation,$C153+1))/1000,0)</f>
        <v>#VALUE!</v>
      </c>
      <c r="CQ153" s="1316" t="e">
        <f aca="false">IF(OR(BQ153,BS153),VLOOKUP(A153,GasTable,13)*IF(EV153,HeatRatePeak,HeatRateOffPeak)*(1+VLOOKUP($B153,HeatRateDegradation,$C153+1))/1000,0)</f>
        <v>#VALUE!</v>
      </c>
      <c r="CR153" s="1316" t="e">
        <f aca="false">IF(OR(BQ153,BS153),VLOOKUP(A153,GasTable,13)*IF(EW153,HeatRatePeak,HeatRateOffPeak)*(1+VLOOKUP($B153,HeatRateDegradation,$C153+1))/1000,0)</f>
        <v>#VALUE!</v>
      </c>
      <c r="CS153" s="1589" t="e">
        <f aca="false">IF(BQ153,(CO153*AZ153+CP153*BA153+CQ153*BB153+CR153*BC153)/BQ153,0)</f>
        <v>#VALUE!</v>
      </c>
      <c r="CT153" s="1316" t="e">
        <f aca="false">IF(BS153,CO153,0)</f>
        <v>#VALUE!</v>
      </c>
      <c r="CU153" s="1590" t="e">
        <f aca="false">IF(OR(BQ153,BS153),VLOOKUP(A153,GasTable,14),"")</f>
        <v>#VALUE!</v>
      </c>
      <c r="CV153" s="1568" t="e">
        <f aca="false">IF(OR(BQ153,BS153),IF(CorrPowerGasOverFlag,INDEX(CorrPowerGasOver,C153),CorrPowerGas),"")</f>
        <v>#VALUE!</v>
      </c>
      <c r="CW153" s="1316" t="e">
        <f aca="false">IF(OR($BQ153,$BS153),SpreadOptPowerMargin,0)*((1+Assumptions!$C$26)^($B153-YEAR(Assumptions!$C$17)))</f>
        <v>#VALUE!</v>
      </c>
      <c r="CX153" s="1316" t="e">
        <f aca="false">IF(OR($BQ153,$BS153),SpreadOptPowerMargin,0)*((1+Assumptions!$C$26)^($B153-YEAR(Assumptions!$C$17)))</f>
        <v>#VALUE!</v>
      </c>
      <c r="CY153" s="1316" t="e">
        <f aca="false">IF(OR($BQ153,$BS153),SpreadOptPowerMargin,0)*((1+Assumptions!$C$26)^($B153-YEAR(Assumptions!$C$17)))</f>
        <v>#VALUE!</v>
      </c>
      <c r="CZ153" s="1316" t="e">
        <f aca="false">IF(OR($BQ153,$BS153),SpreadOptPowerMargin,0)*((1+Assumptions!$C$26)^($B153-YEAR(Assumptions!$C$17)))</f>
        <v>#VALUE!</v>
      </c>
      <c r="DA153" s="1591" t="e">
        <f aca="false">IF(OR(BQ153,BS153),(CW153*(AZ153+BH153)+CX153*(BA153+BI153)+CY153*(BB153+BJ153)+CZ153*(BC153+BK153))/(BQ153+BS153),0)</f>
        <v>#VALUE!</v>
      </c>
      <c r="DB153" s="1592" t="e">
        <f aca="false">IF(OR(BQ153,BS153),CG153+IF(OVolSmile,VLOOKUP(MAX(-5,CO153+CW153-BU153),IF(OVolSmile=1,VolSmileBook,VolSmileModel),2),0),"")</f>
        <v>#VALUE!</v>
      </c>
      <c r="DC153" s="1592" t="e">
        <f aca="false">IF(OR(BQ153,BS153),CH153+IF(OVolSmile,VLOOKUP(MAX(-5,CP153+CW153-BV153),IF(OVolSmile=1,VolSmileBook,VolSmileModel),2),0),"")</f>
        <v>#VALUE!</v>
      </c>
      <c r="DD153" s="1592" t="e">
        <f aca="false">IF(OR(BQ153,BS153),CI153+IF(OVolSmile,VLOOKUP(MAX(-5,CQ153+CW153-BW153),IF(OVolSmile=1,VolSmileBook,VolSmileModel),2),0),"")</f>
        <v>#VALUE!</v>
      </c>
      <c r="DE153" s="1592" t="e">
        <f aca="false">IF(OR(BQ153,BS153),CL153+IF(OVolSmile,VLOOKUP(MAX(-5,CR153+CZ153-BX153),IF(OVolSmile=1,VolSmileBook,VolSmileModel),2),0),"")</f>
        <v>#VALUE!</v>
      </c>
      <c r="DF153" s="1592" t="e">
        <f aca="false">IF(BQ153,CM153+IF(OVolSmile,VLOOKUP(MAX(-5,CS153+DA153-BZ153),IF(OVolSmile=1,VolSmileBook,VolSmileModel),2),0),"")</f>
        <v>#VALUE!</v>
      </c>
      <c r="DG153" s="1593" t="e">
        <f aca="false">IF(BS153,CN153+IF(OVolSmile,VLOOKUP(MAX(-5,CT153+DA153-CF153),IF(OVolSmile=1,VolSmileBook,VolSmileModel),2),0),"")</f>
        <v>#VALUE!</v>
      </c>
      <c r="DH153" s="1316" t="e">
        <f aca="false">IF(AND(BU153&gt;0,CO153&gt;0,DB153&gt;0,CU153&gt;0),newSPRDOPT(BU153,CO153,CW153,0,DB153,CU153,CV153,BT153*365.25,OCallPut,0),0)</f>
        <v>#VALUE!</v>
      </c>
      <c r="DI153" s="1316" t="e">
        <f aca="false">IF(AND(BV153&gt;0,CP153&gt;0,DC153&gt;0,CU153&gt;0),newSPRDOPT(BV153,CP153,CX153,0,DC153,CU153,CV153,BT153*365.25,OCallPut,0),0)</f>
        <v>#VALUE!</v>
      </c>
      <c r="DJ153" s="1316" t="e">
        <f aca="false">IF(AND(BW153&gt;0,CQ153&gt;0,DD153&gt;0,CU153&gt;0),newSPRDOPT(BW153,CQ153,CY153,0,DD153,CU153,CV153,BT153*365.25,OCallPut,0),0)</f>
        <v>#VALUE!</v>
      </c>
      <c r="DK153" s="1316" t="e">
        <f aca="false">IF(AND(BX153&gt;0,CR153&gt;0,DE153&gt;0,CU153&gt;0),newSPRDOPT(BX153,CR153,CZ153,0,DE153,CU153,CV153,BT153*365.25,OCallPut,0),0)</f>
        <v>#VALUE!</v>
      </c>
      <c r="DL153" s="1316" t="e">
        <f aca="false">IF(OVolType,IF(AND(BZ153&gt;0,CS153&gt;0,DF153&gt;0,CU153&gt;0),newSPRDOPT(BZ153,CS153,DA153,0,DF153,CU153,CV153,BT153*365.25,OCallPut,0),0),IF(BQ153,(DH153*AZ153+DI153*BA153+DJ153*BB153+DK153*BC153)/BQ153,0))</f>
        <v>#VALUE!</v>
      </c>
      <c r="DM153" s="1316"/>
      <c r="DN153" s="1316"/>
      <c r="DO153" s="1316"/>
      <c r="DP153" s="1316"/>
      <c r="DQ153" s="1316"/>
      <c r="DR153" s="1316"/>
      <c r="DS153" s="1316"/>
      <c r="DT153" s="1316"/>
      <c r="DU153" s="1316"/>
      <c r="DV153" s="1316"/>
      <c r="DW153" s="1594" t="e">
        <f aca="false">IF(AND(BW153&gt;0,CT153&gt;0,DD153&gt;0,CU153&gt;0),newSPRDOPT(BW153,CT153,CY153,0,DD153,CU153,CV153,BT153*365.25,OCallPut,0),0)</f>
        <v>#VALUE!</v>
      </c>
      <c r="DX153" s="1316" t="e">
        <f aca="false">IF(AND(BX153&gt;0,CT153&gt;0,DE153&gt;0,CU153&gt;0),newSPRDOPT(BX153,CT153,CZ153,0,DE153,CU153,CV153,BT153*365.25,OCallPut,0),0)</f>
        <v>#VALUE!</v>
      </c>
      <c r="DY153" s="1591" t="e">
        <f aca="false">IF(BS153,(DH153*BH153+DI153*BI153+DW153*BJ153+DX153*BK153)/BS153,0)</f>
        <v>#VALUE!</v>
      </c>
      <c r="DZ153" s="1551" t="e">
        <f aca="false">DH153*AZ153</f>
        <v>#VALUE!</v>
      </c>
      <c r="EA153" s="1551" t="e">
        <f aca="false">DI153*BA153</f>
        <v>#VALUE!</v>
      </c>
      <c r="EB153" s="1551" t="e">
        <f aca="false">DJ153*BB153</f>
        <v>#VALUE!</v>
      </c>
      <c r="EC153" s="1551" t="e">
        <f aca="false">DK153*BC153</f>
        <v>#VALUE!</v>
      </c>
      <c r="ED153" s="1551" t="e">
        <f aca="false">DL153*BQ153</f>
        <v>#VALUE!</v>
      </c>
      <c r="EE153" s="1595" t="e">
        <f aca="false">IF(BQ153,IF(OCallPut,IF(BU153&gt;(CO153+CW153),BU153-(CO153+CW153),0),IF((CO153+CW153)&gt;BU153,(CO153+CW153)-BU153,0))*AZ153,0)</f>
        <v>#VALUE!</v>
      </c>
      <c r="EF153" s="1596" t="e">
        <f aca="false">IF(BQ153,IF(OCallPut,IF(BV153&gt;(CP153+CX153),BV153-(CP153+CX153),0),IF((CP153+CX153)&gt;BV153,(CP153+CX153)-BV153,0))*BA153,0)</f>
        <v>#VALUE!</v>
      </c>
      <c r="EG153" s="1596" t="e">
        <f aca="false">IF(BQ153,IF(OCallPut,IF(BW153&gt;(CQ153+CY153),BW153-(CQ153+CY153),0),IF((CQ153+CY153)&gt;BW153,(CQ153+CY153)-BW153,0))*BB153,0)</f>
        <v>#VALUE!</v>
      </c>
      <c r="EH153" s="1596" t="e">
        <f aca="false">IF(BQ153,IF(OCallPut,IF(BX153&gt;(CR153+CZ153),BX153-(CR153+CZ153),0),IF((CR153+CZ153)&gt;BX153,(CR153+CZ153)-BX153,0))*BC153,0)</f>
        <v>#VALUE!</v>
      </c>
      <c r="EI153" s="1597" t="e">
        <f aca="false">IF(BQ153,IF(OVolType,IF(OCallPut,IF(BZ153&gt;(CS153+DA153),BZ153-(CS153+DA153),0),IF((CS153+DA153)&gt;BZ153,(CS153+DA153)-BZ153,0))*BQ153,SUM(EE153:EH153)),0)</f>
        <v>#VALUE!</v>
      </c>
      <c r="EJ153" s="1595" t="e">
        <f aca="false">DZ153-EE153</f>
        <v>#VALUE!</v>
      </c>
      <c r="EK153" s="1596" t="e">
        <f aca="false">EA153-EF153</f>
        <v>#VALUE!</v>
      </c>
      <c r="EL153" s="1596" t="e">
        <f aca="false">EB153-EG153</f>
        <v>#VALUE!</v>
      </c>
      <c r="EM153" s="1596" t="e">
        <f aca="false">EC153-EH153</f>
        <v>#VALUE!</v>
      </c>
      <c r="EN153" s="1597" t="e">
        <f aca="false">ED153-EI153</f>
        <v>#VALUE!</v>
      </c>
      <c r="EO153" s="1551" t="e">
        <f aca="false">DH153*BH153</f>
        <v>#VALUE!</v>
      </c>
      <c r="EP153" s="1551" t="e">
        <f aca="false">DI153*BI153</f>
        <v>#VALUE!</v>
      </c>
      <c r="EQ153" s="1551" t="e">
        <f aca="false">DW153*BJ153</f>
        <v>#VALUE!</v>
      </c>
      <c r="ER153" s="1551" t="e">
        <f aca="false">DX153*BK153</f>
        <v>#VALUE!</v>
      </c>
      <c r="ES153" s="1551" t="e">
        <f aca="false">DY153*BS153</f>
        <v>#VALUE!</v>
      </c>
      <c r="ET153" s="1566" t="e">
        <f aca="false">IF(EI153,IF(OCallPut,IF(CA153&gt;(CT153+CW153),CA153-(CT153+CW153),0),IF((CT153+CW153)&gt;CA153,(CT153+CW153)-CA153,0))*BH153,0)</f>
        <v>#VALUE!</v>
      </c>
      <c r="EU153" s="1551" t="e">
        <f aca="false">IF(EI153,IF(OCallPut,IF(CB153&gt;(CT153+CX153),CB153-(CT153+CX153),0),IF((CT153+CX153)&gt;CB153,(CT153+CX153)-CB153,0))*BI153,0)</f>
        <v>#VALUE!</v>
      </c>
      <c r="EV153" s="1551" t="e">
        <f aca="false">IF(EI153,IF(OCallPut,IF(CC153&gt;(CT153+CY153),CC153-(CT153+CY153),0),IF((CT153+CY153)&gt;CC153,(CT153+CY153)-CC153,0))*BJ153,0)</f>
        <v>#VALUE!</v>
      </c>
      <c r="EW153" s="1551" t="e">
        <f aca="false">IF(EI153,IF(OCallPut,IF(CD153&gt;(CT153+CZ153),CD153-(CT153+CZ153),0),IF((CT153+CZ153)&gt;CD153,(CT153+CZ153)-CD153,0))*BK153,0)</f>
        <v>#VALUE!</v>
      </c>
      <c r="EX153" s="1558" t="e">
        <f aca="false">IF(EI153,SUM(ET153:EW153),0)</f>
        <v>#VALUE!</v>
      </c>
      <c r="EY153" s="1551" t="e">
        <f aca="false">EO153-ET153</f>
        <v>#VALUE!</v>
      </c>
      <c r="EZ153" s="1551" t="e">
        <f aca="false">EP153-EU153</f>
        <v>#VALUE!</v>
      </c>
      <c r="FA153" s="1551" t="e">
        <f aca="false">EQ153-EV153</f>
        <v>#VALUE!</v>
      </c>
      <c r="FB153" s="1551" t="e">
        <f aca="false">ER153-EW153</f>
        <v>#VALUE!</v>
      </c>
      <c r="FC153" s="1551" t="e">
        <f aca="false">ES153-EX153</f>
        <v>#VALUE!</v>
      </c>
      <c r="FD153" s="1525" t="n">
        <f aca="false">IF(AX153,IF(VLOOKUP(C153,MAIN!$L$17:$M$28,2)="Yes",VLOOKUP(CALC!B153,MAIN!$H$17:$I$20,2),0),0)</f>
        <v>0</v>
      </c>
      <c r="FE153" s="1552" t="e">
        <f aca="false">$FD153*16*AT153*(1-$AY153)</f>
        <v>#VALUE!</v>
      </c>
      <c r="FF153" s="1553" t="e">
        <f aca="false">$FD153*16*AU153*(1-$AY153)</f>
        <v>#VALUE!</v>
      </c>
      <c r="FG153" s="1553" t="e">
        <f aca="false">$FD153*16*(AV153+AW153)*(1-$AY153)</f>
        <v>#VALUE!</v>
      </c>
      <c r="FH153" s="1554" t="n">
        <f aca="false">$FD153*8*AX153*(1-$AY153)</f>
        <v>0</v>
      </c>
      <c r="FI153" s="1555" t="n">
        <f aca="false">IF(AX153,VLOOKUP(CALC!B153,MAIN!$H$17:$K$20,4),0)</f>
        <v>0</v>
      </c>
      <c r="FJ153" s="1553" t="e">
        <f aca="false">SUM(FE153:FH153)</f>
        <v>#VALUE!</v>
      </c>
      <c r="FK153" s="1556" t="e">
        <f aca="false">FI153*FJ153</f>
        <v>#VALUE!</v>
      </c>
      <c r="FL153" s="1551" t="e">
        <f aca="false">IF($EI153&gt;0,MIN(FE153,AZ153*(1+VLOOKUP($C153,WeatherCapacityAdjustment,2))),0)</f>
        <v>#VALUE!</v>
      </c>
      <c r="FM153" s="1551" t="e">
        <f aca="false">IF($EI153&gt;0,MIN(FF153,BA153*(1+VLOOKUP($C153,WeatherCapacityAdjustment,2))),0)</f>
        <v>#VALUE!</v>
      </c>
      <c r="FN153" s="1551" t="e">
        <f aca="false">IF($EI153&gt;0,MIN(FG153,BB153*(1+VLOOKUP($C153,WeatherCapacityAdjustment,2))),0)</f>
        <v>#VALUE!</v>
      </c>
      <c r="FO153" s="1564" t="e">
        <f aca="false">IF($EI153&gt;0,MIN(FH153,BC153*(1+VLOOKUP($C153,WeatherCapacityAdjustment,3))),0)</f>
        <v>#VALUE!</v>
      </c>
      <c r="FP153" s="1551" t="e">
        <f aca="false">IF(ET153&gt;0,MIN(FE153-FL153,BH153*(1+VLOOKUP($C153,WeatherCapacityAdjustment,2))),0)</f>
        <v>#VALUE!</v>
      </c>
      <c r="FQ153" s="1551" t="e">
        <f aca="false">IF(EU153&gt;0,MIN(FF153-FM153,BI153*(1+VLOOKUP($C153,WeatherCapacityAdjustment,2))),0)</f>
        <v>#VALUE!</v>
      </c>
      <c r="FR153" s="1551" t="e">
        <f aca="false">IF(EV153&gt;0,MIN(FG153-FN153,BJ153*(1+VLOOKUP($C153,WeatherCapacityAdjustment,2))),0)</f>
        <v>#VALUE!</v>
      </c>
      <c r="FS153" s="1558" t="e">
        <f aca="false">IF(EW153&gt;0,MIN(FH153-FO153,BK153*(1+VLOOKUP($C153,WeatherCapacityAdjustment,3))),0)</f>
        <v>#VALUE!</v>
      </c>
      <c r="FT153" s="1566" t="e">
        <f aca="false">IF(AND(Assumptions!$H$71="Yes",A153&gt;=Assumptions!$H$72,A153&lt;=Assumptions!$H$73),0,IF(AND($A153&gt;=Assumptions!$C$17,$A153&lt;=Assumptions!$C$18),MAX(AZ153*(1+VLOOKUP($C153,WeatherCapacityAdjustment,2))-FL153,0),0))</f>
        <v>#VALUE!</v>
      </c>
      <c r="FU153" s="1551" t="e">
        <f aca="false">IF(AND(Assumptions!$H$71="Yes",A153&gt;=Assumptions!$H$72,A153&lt;=Assumptions!$H$73),0,IF(AND($A153&gt;=Assumptions!$C$17,$A153&lt;=Assumptions!$C$18),MAX(BA153*(1+VLOOKUP($C153,WeatherCapacityAdjustment,2))-FM153,0),0))</f>
        <v>#VALUE!</v>
      </c>
      <c r="FV153" s="1551" t="e">
        <f aca="false">IF(AND(Assumptions!$H$71="Yes",A153&gt;=Assumptions!$H$72,A153&lt;=Assumptions!$H$73),0,IF(AND($A153&gt;=Assumptions!$C$17,$A153&lt;=Assumptions!$C$18),MAX(BB153*(1+VLOOKUP($C153,WeatherCapacityAdjustment,2))-FN153,0),0))</f>
        <v>#VALUE!</v>
      </c>
      <c r="FW153" s="1564" t="e">
        <f aca="false">IF(AND(Assumptions!$H$71="Yes",A153&gt;=Assumptions!$H$72,A153&lt;=Assumptions!$H$73),0,IF(AND($A153&gt;=Assumptions!$C$17,$A153&lt;=Assumptions!$C$18),MAX(BC153*(1+VLOOKUP($C153,WeatherCapacityAdjustment,3))-FO153,0),0))</f>
        <v>#VALUE!</v>
      </c>
      <c r="FX153" s="1569" t="e">
        <f aca="false">IF(AND(Assumptions!$H$71="Yes",A153&gt;=Assumptions!$H$72,A153&lt;=Assumptions!$H$73),0,IF(ET153&gt;0,MAX(BH153*(1+VLOOKUP($C153,WeatherCapacityAdjustment,2))-FP153,0),0))</f>
        <v>#VALUE!</v>
      </c>
      <c r="FY153" s="1551" t="e">
        <f aca="false">IF(AND(Assumptions!$H$71="Yes",A153&gt;=Assumptions!$H$72,A153&lt;=Assumptions!$H$73),0,IF(EU153&gt;0,MAX(BI153*(1+VLOOKUP($C153,WeatherCapacityAdjustment,3))-FQ153,0),0))</f>
        <v>#VALUE!</v>
      </c>
      <c r="FZ153" s="1551" t="e">
        <f aca="false">IF(AND(Assumptions!$H$71="Yes",A153&gt;=Assumptions!$H$72,A153&lt;=Assumptions!$H$73),0,IF(EV153&gt;0,MAX(BJ153*(1+VLOOKUP($C153,WeatherCapacityAdjustment,2))-FR153,0),0))</f>
        <v>#VALUE!</v>
      </c>
      <c r="GA153" s="1564" t="e">
        <f aca="false">IF(AND(Assumptions!$H$71="Yes",A153&gt;=Assumptions!$H$72,A153&lt;=Assumptions!$H$73),0,IF(EW153&gt;0,MAX(BK153*(1+VLOOKUP($C153,WeatherCapacityAdjustment,2))-FS153,0),0))</f>
        <v>#VALUE!</v>
      </c>
      <c r="GB153" s="1551" t="e">
        <f aca="false">SUM(FT153:GA153)</f>
        <v>#VALUE!</v>
      </c>
      <c r="GC153" s="1563" t="e">
        <f aca="false">+IF(SUM(FT153:GA153)=0,0,(SUMPRODUCT(BU153:BX153,FT153:FW153)+SUMPRODUCT(CA153:CD153,FX153:GA153))/SUM(FT153:GA153))</f>
        <v>#VALUE!</v>
      </c>
      <c r="GD153" s="1551" t="e">
        <f aca="false">(FT153*BU153+FX153*CA153+FU153*BV153+FY153*CB153+FV153*BW153+FZ153*CC153+FW153*BX153+GA153*CD153)</f>
        <v>#VALUE!</v>
      </c>
      <c r="GE153" s="1561" t="e">
        <f aca="false">+IF(BQ153,((FL153+FM153+FT153+FU153)*HeatRatePeak/1000*(1+VLOOKUP($C153,WeatherHeatRateAdjustment,2))+(FN153+FV153)*IF(EV153&gt;0,HeatRatePeak,HeatRateOffPeak)/1000*(1+VLOOKUP($C153,WeatherHeatRateAdjustment,2))+(FO153+FW153)*IF(EW153&gt;0,HeatRatePeak,HeatRateOffPeak)/1000*(1+VLOOKUP($C153,WeatherHeatRateAdjustment,3)))*(1+VLOOKUP($B153,HeatRateDegradation,$C153+1)),0)</f>
        <v>#VALUE!</v>
      </c>
      <c r="GF153" s="1562" t="e">
        <f aca="false">IF(BQ153,((FP153+FQ153+FR153+FX153+FY153+FZ153)*HeatRatePeak/1000*(1+VLOOKUP($C153,WeatherHeatRateAdjustment,2))+(FS153+GA153)*HeatRatePeak/1000*(1+VLOOKUP($C153,WeatherHeatRateAdjustment,3)))*(1+VLOOKUP($B153,HeatRateDegradation,$C153+1)),0)</f>
        <v>#VALUE!</v>
      </c>
      <c r="GG153" s="1563" t="e">
        <f aca="false">IF(BQ153,VLOOKUP(A153,GasTable,13),0)</f>
        <v>#VALUE!</v>
      </c>
      <c r="GH153" s="1564" t="e">
        <f aca="false">(GE153+GF153)*GG153</f>
        <v>#VALUE!</v>
      </c>
      <c r="GI153" s="1569" t="e">
        <f aca="false">GB153</f>
        <v>#VALUE!</v>
      </c>
      <c r="GJ153" s="1598" t="e">
        <f aca="false">+DA153</f>
        <v>#VALUE!</v>
      </c>
      <c r="GK153" s="1558" t="e">
        <f aca="false">+GI153*GJ153</f>
        <v>#VALUE!</v>
      </c>
      <c r="GL153" s="1566" t="e">
        <f aca="false">MAX(FE153-FL153-FP153,0)</f>
        <v>#VALUE!</v>
      </c>
      <c r="GM153" s="1551" t="e">
        <f aca="false">MAX(FF153-FM153-FQ153,0)</f>
        <v>#VALUE!</v>
      </c>
      <c r="GN153" s="1551" t="e">
        <f aca="false">MAX(FG153-FN153-FR153,0)</f>
        <v>#VALUE!</v>
      </c>
      <c r="GO153" s="1564" t="e">
        <f aca="false">MAX(FH153-FO153-FS153,0)</f>
        <v>#VALUE!</v>
      </c>
      <c r="GP153" s="1551" t="e">
        <f aca="false">SUM(GL153:GO153)</f>
        <v>#VALUE!</v>
      </c>
      <c r="GQ153" s="1563" t="e">
        <f aca="false">IF(SUM(GL153:GO153)=0,0,((GL153*BU153+GM153*BV153+GN153*BW153+GO153*BX153)/SUM(GL153:GO153)))</f>
        <v>#VALUE!</v>
      </c>
      <c r="GR153" s="1558" t="e">
        <f aca="false">(GL153*BU153+GM153*BV153+GN153*BW153+GO153*BX153)</f>
        <v>#VALUE!</v>
      </c>
      <c r="GS153" s="1566" t="n">
        <f aca="false">IF($A153&gt;=BegDate,Assumptions!$C$56*24*($A154-$A153)*(1-VLOOKUP($B153,MAIN!$AA$7:$AM$28,$C153+1))*(1-VLOOKUP($B153,MAIN!$AA$33:$AM$54,$C153+1)),0)*80/168</f>
        <v>249428.571428571</v>
      </c>
      <c r="GT153" s="286" t="n">
        <f aca="false">J153</f>
        <v>67.7338101492454</v>
      </c>
      <c r="GU153" s="286" t="n">
        <f aca="false">IF($A153&gt;=BegDate,VLOOKUP($A153,GasTable,13)+Assumptions!$C$58,0)</f>
        <v>3.10675344836121</v>
      </c>
      <c r="GV153" s="286" t="n">
        <f aca="false">GU153*Assumptions!$C$57/1000</f>
        <v>22.5239625006188</v>
      </c>
      <c r="GW153" s="1558" t="n">
        <f aca="false">IF(Assumptions!$C$60="Hourly",MAX(0,GS153*(GT153-GV153)),GS153*(GT153-GV153))</f>
        <v>11276627.7135003</v>
      </c>
      <c r="GX153" s="1566" t="n">
        <f aca="false">IF($A153&gt;=BegDate,Assumptions!$C$56*24*($A154-$A153)*(1-VLOOKUP($B153,MAIN!$AA$7:$AM$28,$C153+1))*(1-VLOOKUP($B153,MAIN!$AA$33:$AM$54,$C153+1)),0)*16/168</f>
        <v>49885.7142857143</v>
      </c>
      <c r="GY153" s="286" t="n">
        <f aca="false">M153</f>
        <v>67.7338101492454</v>
      </c>
      <c r="GZ153" s="286" t="n">
        <f aca="false">IF($A153&gt;=BegDate,VLOOKUP($A153,GasTable,13)+Assumptions!$C$58,0)</f>
        <v>3.10675344836121</v>
      </c>
      <c r="HA153" s="286" t="n">
        <f aca="false">GZ153*Assumptions!$C$57/1000</f>
        <v>22.5239625006188</v>
      </c>
      <c r="HB153" s="1558" t="n">
        <f aca="false">IF(Assumptions!$C$60="Hourly",MAX(0,GX153*(GY153-HA153)),GX153*(GY153-HA153))</f>
        <v>2255325.54270006</v>
      </c>
      <c r="HC153" s="1566" t="n">
        <f aca="false">IF($A153&gt;=BegDate,Assumptions!$C$56*24*($A154-$A153)*(1-VLOOKUP($B153,MAIN!$AA$7:$AM$28,$C153+1))*(1-VLOOKUP($B153,MAIN!$AA$33:$AM$54,$C153+1)),0)*16/168</f>
        <v>49885.7142857143</v>
      </c>
      <c r="HD153" s="286" t="n">
        <f aca="false">P153</f>
        <v>31.4611001253099</v>
      </c>
      <c r="HE153" s="286" t="n">
        <f aca="false">IF($A153&gt;=BegDate,VLOOKUP($A153,GasTable,13)+Assumptions!$C$58,0)</f>
        <v>3.10675344836121</v>
      </c>
      <c r="HF153" s="286" t="n">
        <f aca="false">HE153*Assumptions!$C$57/1000</f>
        <v>22.5239625006188</v>
      </c>
      <c r="HG153" s="1558" t="n">
        <f aca="false">IF(Assumptions!$C$60="Hourly",MAX(0,HC153*(HD153-HF153)),HC153*(HD153-HF153))</f>
        <v>445835.494077447</v>
      </c>
      <c r="HH153" s="1566" t="n">
        <f aca="false">IF($A153&gt;=BegDate,Assumptions!$C$56*24*($A154-$A153)*(1-VLOOKUP($B153,MAIN!$AA$7:$AM$28,$C153+1))*(1-VLOOKUP($B153,MAIN!$AA$33:$AM$54,$C153+1)),0)*56/168</f>
        <v>174600</v>
      </c>
      <c r="HI153" s="286" t="n">
        <f aca="false">S153</f>
        <v>31.4611001253099</v>
      </c>
      <c r="HJ153" s="286" t="n">
        <f aca="false">IF($A153&gt;=BegDate,VLOOKUP($A153,GasTable,13)+Assumptions!$C$58,0)</f>
        <v>3.10675344836121</v>
      </c>
      <c r="HK153" s="286" t="n">
        <f aca="false">HJ153*Assumptions!$C$57/1000</f>
        <v>22.5239625006188</v>
      </c>
      <c r="HL153" s="1558" t="n">
        <f aca="false">IF(Assumptions!$C$60="Hourly",MAX(0,HH153*(HI153-HK153)),HH153*(HI153-HK153))</f>
        <v>1560424.22927107</v>
      </c>
      <c r="HM153" s="1566" t="n">
        <f aca="false">IF(AND(Assumptions!$H$71="Yes",A153&gt;=Assumptions!$H$72,A153&lt;=Assumptions!$H$73),Assumptions!$H$74*Assumptions!$C$9*1000,0)</f>
        <v>0</v>
      </c>
      <c r="HN153" s="1551"/>
      <c r="HO153" s="1563"/>
      <c r="HP153" s="1563"/>
      <c r="HQ153" s="1563"/>
      <c r="HR153" s="1563"/>
      <c r="HS153" s="1563"/>
      <c r="HT153" s="1563"/>
      <c r="HU153" s="1563"/>
      <c r="HV153" s="1563"/>
      <c r="HW153" s="1563"/>
      <c r="HX153" s="1563"/>
      <c r="HY153" s="1563"/>
      <c r="HZ153" s="1563"/>
      <c r="IA153" s="1563"/>
      <c r="IB153" s="1563"/>
      <c r="IC153" s="1563"/>
      <c r="ID153" s="1563"/>
      <c r="IE153" s="1563"/>
      <c r="IF153" s="1563"/>
      <c r="IG153" s="1563"/>
      <c r="IH153" s="1563"/>
      <c r="II153" s="1610"/>
      <c r="IJ153" s="1309"/>
      <c r="IK153" s="1309"/>
    </row>
    <row r="154" customFormat="false" ht="12.75" hidden="false" customHeight="false" outlineLevel="0" collapsed="false">
      <c r="A154" s="1571" t="n">
        <f aca="false">EOMONTH(A153,0)+1</f>
        <v>40817</v>
      </c>
      <c r="B154" s="594" t="n">
        <f aca="false">+YEAR(A154)</f>
        <v>2011</v>
      </c>
      <c r="C154" s="238" t="n">
        <f aca="false">MONTH(A154)</f>
        <v>10</v>
      </c>
      <c r="D154" s="1572" t="e">
        <f aca="false">IF(E154="","",Holiday(B154,C154))</f>
        <v>#VALUE!</v>
      </c>
      <c r="E154" s="1573" t="n">
        <f aca="false">IF(OR(BegDate&gt;=A155,EndDate&lt;A154,AND(VolumeMonthlyOverFlag,INDEX(VolumeMonthlyOver,C154)=0),NOT(INDEX(MonthKnockOutTable,C154))),"",MAX(A154,BegDate))</f>
        <v>40817</v>
      </c>
      <c r="F154" s="1574" t="n">
        <f aca="false">IF(E154="","",MIN(A155-1,EndDate))</f>
        <v>40847</v>
      </c>
      <c r="G154" s="1575" t="n">
        <v>0</v>
      </c>
      <c r="H154" s="1576" t="n">
        <f aca="false">(1+G154/2)^(-2*(DATE(B155,C155,20)-DateToday)/365.25)</f>
        <v>1</v>
      </c>
      <c r="I154" s="1568" t="n">
        <f aca="false">IF(Assumptions!$L$25=4,VLOOKUP($A154,'Henwood Reference'!$E$9:$R$320,10),(VLOOKUP($A154,PriceTable,2,0)+IF(BasisNumber&lt;&gt;1,VLOOKUP($A154,BasisTable,2,0),0)+I$1)/(1-I$2))</f>
        <v>51.2968991419915</v>
      </c>
      <c r="J154" s="1568" t="n">
        <f aca="false">IF(Assumptions!$L$25=4,VLOOKUP($A154,'Henwood Reference'!$E$9:$R$320,10),(VLOOKUP($A154,PriceTable,3,0)+IF(BasisNumber&lt;&gt;1,VLOOKUP($A154,BasisTable,2,0),0)+J$1)/(1-J$2))</f>
        <v>51.2968991419915</v>
      </c>
      <c r="K154" s="1568" t="n">
        <f aca="false">IF(Assumptions!$L$25=4,VLOOKUP($A154,'Henwood Reference'!$E$9:$R$320,10),(VLOOKUP($A154,PriceTable,4,0)+IF(BasisNumber&lt;&gt;1,VLOOKUP($A154,BasisTable,2,0),0)+K$1)/(1-K$2))</f>
        <v>51.2968991419915</v>
      </c>
      <c r="L154" s="1523" t="n">
        <f aca="false">IF(Assumptions!$L$25=4,VLOOKUP($A154,'Henwood Reference'!$E$9:$R$320,10),(VLOOKUP($A154,PriceTableWeekend,2,0)+IF(BasisNumber&lt;&gt;1,VLOOKUP($A154,BasisTable,2,0),0)+L$1)/(1-L$2))</f>
        <v>51.2968991419915</v>
      </c>
      <c r="M154" s="1568" t="n">
        <f aca="false">IF(Assumptions!$L$25=4,VLOOKUP($A154,'Henwood Reference'!$E$9:$R$320,10),(VLOOKUP($A154,PriceTableWeekend,3,0)+IF(BasisNumber&lt;&gt;1,VLOOKUP($A154,BasisTable,2,0),0)+M$1)/(1-M$2))</f>
        <v>51.2968991419915</v>
      </c>
      <c r="N154" s="1599" t="n">
        <f aca="false">IF(Assumptions!$L$25=4,VLOOKUP($A154,'Henwood Reference'!$E$9:$R$320,10),(VLOOKUP($A154,PriceTableWeekend,4,0)+IF(BasisNumber&lt;&gt;1,VLOOKUP($A154,BasisTable,2,0),0)+N$1)/(1-N$2))</f>
        <v>51.2968991419915</v>
      </c>
      <c r="O154" s="1568" t="n">
        <f aca="false">IF(Assumptions!$L$25=4,VLOOKUP($A154,'Henwood Reference'!$E$9:$R$320,11),(VLOOKUP($A154,PriceTableWeekend,6,0)+IF(BasisNumber&lt;&gt;1,VLOOKUP($A154,BasisTable,3,0),0)+O$1)/(1-O$2))</f>
        <v>27.6073857938715</v>
      </c>
      <c r="P154" s="1568" t="n">
        <f aca="false">IF(Assumptions!$L$25=4,VLOOKUP($A154,'Henwood Reference'!$E$9:$R$320,11),(VLOOKUP($A154,PriceTableWeekend,7,0)+IF(BasisNumber&lt;&gt;1,VLOOKUP($A154,BasisTable,3,0),0)+P$1)/(1-P$2))</f>
        <v>27.6073857938715</v>
      </c>
      <c r="Q154" s="1599" t="n">
        <f aca="false">IF(Assumptions!$L$25=4,VLOOKUP($A154,'Henwood Reference'!$E$9:$R$320,11),(VLOOKUP($A154,PriceTableWeekend,8,0)+IF(BasisNumber&lt;&gt;1,VLOOKUP($A154,BasisTable,3,0),0)+Q$1)/(1-Q$2))</f>
        <v>27.6073857938715</v>
      </c>
      <c r="R154" s="1568" t="n">
        <f aca="false">IF(Assumptions!$L$25=4,VLOOKUP($A154,'Henwood Reference'!$E$9:$R$320,11),(VLOOKUP($A154,PriceTable,6,0)+IF(BasisNumber&lt;&gt;1,VLOOKUP($A154,BasisTable,3,0),0)+R$1)/(1-R$2))</f>
        <v>27.6073857938715</v>
      </c>
      <c r="S154" s="1568" t="n">
        <f aca="false">IF(Assumptions!$L$25=4,VLOOKUP($A154,'Henwood Reference'!$E$9:$R$320,11),(VLOOKUP($A154,PriceTable,7,0)+IF(BasisNumber&lt;&gt;1,VLOOKUP($A154,BasisTable,3,0),0)+S$1)/(1-S$2))</f>
        <v>27.6073857938715</v>
      </c>
      <c r="T154" s="1600" t="n">
        <f aca="false">IF(Assumptions!$L$25=4,VLOOKUP($A154,'Henwood Reference'!$E$9:$R$320,11),(VLOOKUP($A154,PriceTable,8,0)+IF(BasisNumber&lt;&gt;1,VLOOKUP($A154,BasisTable,3,0),0)+T$1)/(1-T$2))</f>
        <v>27.6073857938715</v>
      </c>
      <c r="U154" s="1513" t="n">
        <f aca="false">VLOOKUP($A154,VolatilityTable,14)</f>
        <v>0.115</v>
      </c>
      <c r="V154" s="1513" t="n">
        <f aca="false">VLOOKUP($A154,VolatilityTable,15)</f>
        <v>0.125</v>
      </c>
      <c r="W154" s="1514" t="n">
        <f aca="false">VLOOKUP($A154,VolatilityTable,16)</f>
        <v>0.135</v>
      </c>
      <c r="X154" s="1513" t="n">
        <f aca="false">VLOOKUP($A154,VolatilityTable,14)</f>
        <v>0.115</v>
      </c>
      <c r="Y154" s="1513" t="n">
        <f aca="false">VLOOKUP($A154,VolatilityTable,15)</f>
        <v>0.125</v>
      </c>
      <c r="Z154" s="1514" t="n">
        <f aca="false">VLOOKUP($A154,VolatilityTable,16)</f>
        <v>0.135</v>
      </c>
      <c r="AA154" s="1513" t="n">
        <f aca="false">VLOOKUP($A154,VolatilityTable,18)</f>
        <v>0.09</v>
      </c>
      <c r="AB154" s="1513" t="n">
        <f aca="false">VLOOKUP($A154,VolatilityTable,19)</f>
        <v>0.11</v>
      </c>
      <c r="AC154" s="1514" t="n">
        <f aca="false">VLOOKUP($A154,VolatilityTable,20)</f>
        <v>0.13</v>
      </c>
      <c r="AD154" s="1513" t="n">
        <f aca="false">VLOOKUP($A154,VolatilityTable,18)</f>
        <v>0.09</v>
      </c>
      <c r="AE154" s="1513" t="n">
        <f aca="false">VLOOKUP($A154,VolatilityTable,19)</f>
        <v>0.11</v>
      </c>
      <c r="AF154" s="1514" t="n">
        <f aca="false">VLOOKUP($A154,VolatilityTable,20)</f>
        <v>0.13</v>
      </c>
      <c r="AG154" s="1513" t="n">
        <f aca="false">VLOOKUP($A154,VolatilityTable,22)</f>
        <v>-0.1</v>
      </c>
      <c r="AH154" s="1513" t="n">
        <f aca="false">VLOOKUP($A154,VolatilityTable,23)</f>
        <v>0.6</v>
      </c>
      <c r="AI154" s="1514" t="n">
        <f aca="false">VLOOKUP($A154,VolatilityTable,24)</f>
        <v>0.1</v>
      </c>
      <c r="AJ154" s="1513" t="n">
        <f aca="false">VLOOKUP($A154,VolatilityTable,22)</f>
        <v>-0.1</v>
      </c>
      <c r="AK154" s="1513" t="n">
        <f aca="false">VLOOKUP($A154,VolatilityTable,23)</f>
        <v>0.6</v>
      </c>
      <c r="AL154" s="1514" t="n">
        <f aca="false">VLOOKUP($A154,VolatilityTable,24)</f>
        <v>0.1</v>
      </c>
      <c r="AM154" s="1513" t="n">
        <f aca="false">VLOOKUP($A154,VolatilityTable,26)</f>
        <v>-0.01</v>
      </c>
      <c r="AN154" s="1513" t="n">
        <f aca="false">VLOOKUP($A154,VolatilityTable,27)</f>
        <v>0.16</v>
      </c>
      <c r="AO154" s="1514" t="n">
        <f aca="false">VLOOKUP($A154,VolatilityTable,28)</f>
        <v>0.01</v>
      </c>
      <c r="AP154" s="1513" t="n">
        <f aca="false">VLOOKUP($A154,VolatilityTable,26)</f>
        <v>-0.01</v>
      </c>
      <c r="AQ154" s="1513" t="n">
        <f aca="false">VLOOKUP($A154,VolatilityTable,27)</f>
        <v>0.16</v>
      </c>
      <c r="AR154" s="1515" t="n">
        <f aca="false">VLOOKUP($A154,VolatilityTable,28)</f>
        <v>0.01</v>
      </c>
      <c r="AS154" s="1581" t="n">
        <f aca="false">IF(CorrPeakOffPeakOverFlag,INDEX(CorrPeakOffPeakOver,C154),CorrPeakOffPeak)</f>
        <v>0.5</v>
      </c>
      <c r="AT154" s="594" t="e">
        <f aca="false">AX154-SUM(AU154:AW154)</f>
        <v>#VALUE!</v>
      </c>
      <c r="AU154" s="238" t="e">
        <f aca="false">IF(E154="",0,INT((F154-MOD(F154,7)-E154)/7)+1-IF(AW154,IF(WEEKDAY(D154)=7,1,0),0))</f>
        <v>#VALUE!</v>
      </c>
      <c r="AV154" s="238" t="e">
        <f aca="false">IF(E154="",0,INT((F154-MOD(F154-1,7)-E154)/7)+1-IF(AW154,IF(WEEKDAY(D154)=1,1,0),0))</f>
        <v>#VALUE!</v>
      </c>
      <c r="AW154" s="238" t="e">
        <f aca="false">IF(OR(E154="",D154="",D154&lt;BegDate,D154&gt;EndDate),0,1)</f>
        <v>#VALUE!</v>
      </c>
      <c r="AX154" s="238" t="n">
        <f aca="false">IF(E154="",0,F154-E154+1)</f>
        <v>31</v>
      </c>
      <c r="AY154" s="1582" t="n">
        <f aca="false">IF(E154="",0,MIN((1-(1-VLOOKUP(B154,MAIN!$AA$7:$AM$28,C154+1))*(1-VLOOKUP(B154,MAIN!$AA$33:$AM$54,C154+1))),1))</f>
        <v>0.03</v>
      </c>
      <c r="AZ154" s="1519" t="e">
        <v>#VALUE!</v>
      </c>
      <c r="BA154" s="1520" t="e">
        <v>#VALUE!</v>
      </c>
      <c r="BB154" s="1520" t="e">
        <v>#VALUE!</v>
      </c>
      <c r="BC154" s="1583" t="e">
        <v>#VALUE!</v>
      </c>
      <c r="BD154" s="1522" t="e">
        <v>#VALUE!</v>
      </c>
      <c r="BE154" s="1523" t="e">
        <v>#VALUE!</v>
      </c>
      <c r="BF154" s="1523" t="e">
        <v>#VALUE!</v>
      </c>
      <c r="BG154" s="1584" t="e">
        <v>#VALUE!</v>
      </c>
      <c r="BH154" s="1525" t="e">
        <v>#VALUE!</v>
      </c>
      <c r="BI154" s="1520" t="e">
        <v>#VALUE!</v>
      </c>
      <c r="BJ154" s="1520" t="e">
        <v>#VALUE!</v>
      </c>
      <c r="BK154" s="1583" t="e">
        <v>#VALUE!</v>
      </c>
      <c r="BL154" s="1522" t="e">
        <v>#VALUE!</v>
      </c>
      <c r="BM154" s="1523" t="e">
        <v>#VALUE!</v>
      </c>
      <c r="BN154" s="1523" t="e">
        <v>#VALUE!</v>
      </c>
      <c r="BO154" s="1523" t="e">
        <v>#VALUE!</v>
      </c>
      <c r="BP154" s="1525" t="e">
        <f aca="false">SUM(AZ154:BB154)</f>
        <v>#VALUE!</v>
      </c>
      <c r="BQ154" s="1529" t="e">
        <f aca="false">SUM(AZ154:BC154)</f>
        <v>#VALUE!</v>
      </c>
      <c r="BR154" s="1519" t="e">
        <f aca="false">SUM(BH154:BJ154)</f>
        <v>#VALUE!</v>
      </c>
      <c r="BS154" s="1529" t="e">
        <f aca="false">SUM(BH154:BK154)</f>
        <v>#VALUE!</v>
      </c>
      <c r="BT154" s="1316" t="n">
        <f aca="false">(IF(OVolType&lt;&gt;2,A154+14,IF(OptExpDateShift,ShiftBack(A154,OptExpDateShift,D153),A154))-DateToday)/365.25</f>
        <v>11.4633812457221</v>
      </c>
      <c r="BU154" s="1585" t="e">
        <f aca="false">IF(BQ154,IF(OPriceCurve,IF(OBuySell=OCallPut,I154/(1-AY154),K154/(1-AY154)),J154/(1-AY154))*BD154,0)</f>
        <v>#VALUE!</v>
      </c>
      <c r="BV154" s="1316" t="e">
        <f aca="false">IF(BQ154,IF(OPriceCurve,IF(OBuySell=OCallPut,L154/(1-AY154),N154/(1-AY154)),M154/(1-AY154))*BE154,0)</f>
        <v>#VALUE!</v>
      </c>
      <c r="BW154" s="1316" t="e">
        <f aca="false">IF(BQ154,IF(OPriceCurve,IF(OBuySell=OCallPut,O154/(1-AY154),Q154/(1-AY154)),P154/(1-AY154))*BF154,0)</f>
        <v>#VALUE!</v>
      </c>
      <c r="BX154" s="1316" t="e">
        <f aca="false">IF(BQ154,IF(OPriceCurve,IF(OBuySell=OCallPut,R154/(1-AY154),T154/(1-AY154)),S154/(1-AY154))*BG154,0)</f>
        <v>#VALUE!</v>
      </c>
      <c r="BY154" s="1316" t="e">
        <f aca="false">IF(BP154,(BU154*AZ154+BV154*BA154+BW154*BB154)/BP154,0)</f>
        <v>#VALUE!</v>
      </c>
      <c r="BZ154" s="1316" t="e">
        <f aca="false">IF(BQ154,(BY154*BP154+BX154*BC154)/BQ154,0)</f>
        <v>#VALUE!</v>
      </c>
      <c r="CA154" s="1531" t="e">
        <f aca="false">IF(BS154,IF(OPriceCurve,IF(OBuySell=OCallPut,I154/(1-AY154),K154/(1-AY154)),J154/(1-AY154))*BL154,0)</f>
        <v>#VALUE!</v>
      </c>
      <c r="CB154" s="1316" t="e">
        <f aca="false">IF(BS154,IF(OPriceCurve,IF(OBuySell=OCallPut,L154/(1-AY154),N154/(1-AY154)),M154/(1-AY154))*BM154,0)</f>
        <v>#VALUE!</v>
      </c>
      <c r="CC154" s="1316" t="e">
        <f aca="false">IF(BS154,IF(OPriceCurve,IF(OBuySell=OCallPut,O154/(1-AY154),Q154/(1-AY154)),P154/(1-AY154))*BN154,0)</f>
        <v>#VALUE!</v>
      </c>
      <c r="CD154" s="1316" t="e">
        <f aca="false">IF(BS154,IF(OPriceCurve,IF(OBuySell=OCallPut,R154/(1-AY154),T154/(1-AY154)),S154/(1-AY154))*BO154,0)</f>
        <v>#VALUE!</v>
      </c>
      <c r="CE154" s="1316" t="e">
        <f aca="false">IF(BR154,(BU154*BH154+BV154*BI154+BW154*BJ154)/BR154,0)</f>
        <v>#VALUE!</v>
      </c>
      <c r="CF154" s="1532" t="e">
        <f aca="false">IF(BS154,(CE154*BR154+CD154*BK154)/BS154,0)</f>
        <v>#VALUE!</v>
      </c>
      <c r="CG154" s="1586" t="e">
        <f aca="false">IF(OR(BQ154,BS154),IF(OVolType&lt;&gt;2,SQRT(IF(OVolOverMonthlyPeak,OVolOverMonthlyPeak,IF(OVolCurve,IF(OBuySell,U154,W154),V154))^2*(1-15/365.25/BT154)+IF(OVolOverDailyPeak,OVolOverDailyPeak,IF(OVolCurve,IF(OBuySell,AG154,AI154),AH154))^2*15/365.25/BT154),IF(OVolOverMonthlyPeak,OVolOverMonthlyPeak,IF(OVolCurve,IF(OBuySell,U154,W154),V154))),"")</f>
        <v>#VALUE!</v>
      </c>
      <c r="CH154" s="1587" t="e">
        <f aca="false">IF(OR(BQ154,BS154),IF(OVolType&lt;&gt;2,SQRT(IF(OVolOverMonthlyPeak,OVolOverMonthlyPeak,IF(OVolCurve,IF(OBuySell,X154,Z154),Y154))^2*(1-15/365.25/BT154)+IF(OVolOverDailyPeak,OVolOverDailyPeak,IF(OVolCurve,IF(OBuySell,AJ154,AL154),AK154))^2*15/365.25/BT154),IF(OVolOverMonthlyPeak,OVolOverMonthlyPeak,IF(OVolCurve,IF(OBuySell,X154,Z154),Y154))),"")</f>
        <v>#VALUE!</v>
      </c>
      <c r="CI154" s="1587" t="e">
        <f aca="false">IF(OR(BQ154,BS154),IF(OVolType&lt;&gt;2,SQRT(IF(OVolOverMonthlyPeak,OVolOverMonthlyPeak,IF(OVolCurve,IF(OBuySell,AA154,AC154),AB154))^2*(1-15/365.25/BT154)+IF(OVolOverDailyPeak,OVolOverDailyPeak,IF(OVolCurve,IF(OBuySell,AM154,AO154),AN154))^2*15/365.25/BT154),IF(OVolOverMonthlyPeak,OVolOverMonthlyPeak,IF(OVolCurve,IF(OBuySell,AA154,AC154),AB154))),"")</f>
        <v>#VALUE!</v>
      </c>
      <c r="CJ154" s="1587" t="e">
        <f aca="false">IF(BQ154,IF(BP154,SQRT(LN(1+((BU154*AZ154)^2*(EXP(CG154^2*BT154)-1)+(BV154*BA154)^2*(EXP(CH154^2*BT154)-1)+(BW154*BB154)^2*(EXP(CI154^2*BT154)-1)+2*BU154*AZ154*BV154*BA154*(EXP(CG154*CH154*BT154)-1)+2*BV154*BA154*BW154*BB154*(EXP(CH154*CI154*BT154)-1)+2*BW154*BB154*BU154*AZ154*(EXP(CI154*CG154*BT154)-1))/(BY154*BP154)^2)/BT154),0),"")</f>
        <v>#VALUE!</v>
      </c>
      <c r="CK154" s="1587" t="e">
        <f aca="false">IF(BS154,IF(BR154,SQRT(LN(1+((CA154*BH154)^2*(EXP(CG154^2*BT154)-1)+(CB154*BI154)^2*(EXP(CH154^2*BT154)-1)+(CC154*BJ154)^2*(EXP(CI154^2*BT154)-1)+2*CA154*BH154*CB154*BI154*(EXP(CG154*CH154*BT154)-1)+2*CB154*BI154*CC154*BJ154*(EXP(CH154*CI154*BT154)-1)+2*CC154*BJ154*CA154*BH154*(EXP(CI154*CG154*BT154)-1))/(CE154*BR154)^2)/BT154),0),"")</f>
        <v>#VALUE!</v>
      </c>
      <c r="CL154" s="1587" t="e">
        <f aca="false">IF(OR(BQ154,BS154),IF(OVolType&lt;&gt;2,SQRT(IF(OVolOverMonthlyOffPeak,OVolOverMonthlyOffPeak,IF(OVolCurve,IF(OBuySell,AD154,AF154),AE154))^2*(1-15/365.25/BT154)+IF(OVolOverDailyOffPeak,OVolOverDailyOffPeak,IF(OVolCurve,IF(OBuySell,AP154,AR154),AQ154))^2*15/365.25/BT154),IF(OVolOverMonthlyOffPeak,OVolOverMonthlyOffPeak,IF(OVolCurve,IF(OBuySell,AD154,AF154),AE154))),"")</f>
        <v>#VALUE!</v>
      </c>
      <c r="CM154" s="1587" t="e">
        <f aca="false">IF(BQ154,SQRT(LN(1+((BY154*BP154)^2*(EXP(CJ154^2*BT154)-1)+(BX154*BC154)^2*(EXP(CL154^2*BT154)-1)+2*BY154*BP154*BX154*BC154*(EXP(AS154*CJ154*CL154*BT154)-1))/(BY154*BP154+BX154*BC154)^2)/BT154),"")</f>
        <v>#VALUE!</v>
      </c>
      <c r="CN154" s="1588" t="e">
        <f aca="false">IF(BS154,SQRT(LN(1+((CE154*BR154)^2*(EXP(CK154^2*BT154)-1)+(CD154*BK154)^2*(EXP(CL154^2*BT154)-1)+2*CE154*BR154*CD154*BK154*(EXP(AS154*CK154*CL154*BT154)-1))/(CE154*BR154+CD154*BK154)^2)/BT154),"")</f>
        <v>#VALUE!</v>
      </c>
      <c r="CO154" s="1531" t="e">
        <f aca="false">IF(OR(BQ154,BS154),VLOOKUP(A154,GasTable,13)*HeatRatePeak*(1+VLOOKUP($B154,HeatRateDegradation,$C154+1))/1000,0)</f>
        <v>#VALUE!</v>
      </c>
      <c r="CP154" s="1316" t="e">
        <f aca="false">IF(OR(BQ154,BS154),VLOOKUP(A154,GasTable,13)*HeatRatePeak*(1+VLOOKUP($B154,HeatRateDegradation,$C154+1))/1000,0)</f>
        <v>#VALUE!</v>
      </c>
      <c r="CQ154" s="1316" t="e">
        <f aca="false">IF(OR(BQ154,BS154),VLOOKUP(A154,GasTable,13)*IF(EV154,HeatRatePeak,HeatRateOffPeak)*(1+VLOOKUP($B154,HeatRateDegradation,$C154+1))/1000,0)</f>
        <v>#VALUE!</v>
      </c>
      <c r="CR154" s="1316" t="e">
        <f aca="false">IF(OR(BQ154,BS154),VLOOKUP(A154,GasTable,13)*IF(EW154,HeatRatePeak,HeatRateOffPeak)*(1+VLOOKUP($B154,HeatRateDegradation,$C154+1))/1000,0)</f>
        <v>#VALUE!</v>
      </c>
      <c r="CS154" s="1589" t="e">
        <f aca="false">IF(BQ154,(CO154*AZ154+CP154*BA154+CQ154*BB154+CR154*BC154)/BQ154,0)</f>
        <v>#VALUE!</v>
      </c>
      <c r="CT154" s="1316" t="e">
        <f aca="false">IF(BS154,CO154,0)</f>
        <v>#VALUE!</v>
      </c>
      <c r="CU154" s="1590" t="e">
        <f aca="false">IF(OR(BQ154,BS154),VLOOKUP(A154,GasTable,14),"")</f>
        <v>#VALUE!</v>
      </c>
      <c r="CV154" s="1568" t="e">
        <f aca="false">IF(OR(BQ154,BS154),IF(CorrPowerGasOverFlag,INDEX(CorrPowerGasOver,C154),CorrPowerGas),"")</f>
        <v>#VALUE!</v>
      </c>
      <c r="CW154" s="1316" t="e">
        <f aca="false">IF(OR($BQ154,$BS154),SpreadOptPowerMargin,0)*((1+Assumptions!$C$26)^($B154-YEAR(Assumptions!$C$17)))</f>
        <v>#VALUE!</v>
      </c>
      <c r="CX154" s="1316" t="e">
        <f aca="false">IF(OR($BQ154,$BS154),SpreadOptPowerMargin,0)*((1+Assumptions!$C$26)^($B154-YEAR(Assumptions!$C$17)))</f>
        <v>#VALUE!</v>
      </c>
      <c r="CY154" s="1316" t="e">
        <f aca="false">IF(OR($BQ154,$BS154),SpreadOptPowerMargin,0)*((1+Assumptions!$C$26)^($B154-YEAR(Assumptions!$C$17)))</f>
        <v>#VALUE!</v>
      </c>
      <c r="CZ154" s="1316" t="e">
        <f aca="false">IF(OR($BQ154,$BS154),SpreadOptPowerMargin,0)*((1+Assumptions!$C$26)^($B154-YEAR(Assumptions!$C$17)))</f>
        <v>#VALUE!</v>
      </c>
      <c r="DA154" s="1591" t="e">
        <f aca="false">IF(OR(BQ154,BS154),(CW154*(AZ154+BH154)+CX154*(BA154+BI154)+CY154*(BB154+BJ154)+CZ154*(BC154+BK154))/(BQ154+BS154),0)</f>
        <v>#VALUE!</v>
      </c>
      <c r="DB154" s="1592" t="e">
        <f aca="false">IF(OR(BQ154,BS154),CG154+IF(OVolSmile,VLOOKUP(MAX(-5,CO154+CW154-BU154),IF(OVolSmile=1,VolSmileBook,VolSmileModel),2),0),"")</f>
        <v>#VALUE!</v>
      </c>
      <c r="DC154" s="1592" t="e">
        <f aca="false">IF(OR(BQ154,BS154),CH154+IF(OVolSmile,VLOOKUP(MAX(-5,CP154+CW154-BV154),IF(OVolSmile=1,VolSmileBook,VolSmileModel),2),0),"")</f>
        <v>#VALUE!</v>
      </c>
      <c r="DD154" s="1592" t="e">
        <f aca="false">IF(OR(BQ154,BS154),CI154+IF(OVolSmile,VLOOKUP(MAX(-5,CQ154+CW154-BW154),IF(OVolSmile=1,VolSmileBook,VolSmileModel),2),0),"")</f>
        <v>#VALUE!</v>
      </c>
      <c r="DE154" s="1592" t="e">
        <f aca="false">IF(OR(BQ154,BS154),CL154+IF(OVolSmile,VLOOKUP(MAX(-5,CR154+CZ154-BX154),IF(OVolSmile=1,VolSmileBook,VolSmileModel),2),0),"")</f>
        <v>#VALUE!</v>
      </c>
      <c r="DF154" s="1592" t="e">
        <f aca="false">IF(BQ154,CM154+IF(OVolSmile,VLOOKUP(MAX(-5,CS154+DA154-BZ154),IF(OVolSmile=1,VolSmileBook,VolSmileModel),2),0),"")</f>
        <v>#VALUE!</v>
      </c>
      <c r="DG154" s="1593" t="e">
        <f aca="false">IF(BS154,CN154+IF(OVolSmile,VLOOKUP(MAX(-5,CT154+DA154-CF154),IF(OVolSmile=1,VolSmileBook,VolSmileModel),2),0),"")</f>
        <v>#VALUE!</v>
      </c>
      <c r="DH154" s="1316" t="e">
        <f aca="false">IF(AND(BU154&gt;0,CO154&gt;0,DB154&gt;0,CU154&gt;0),newSPRDOPT(BU154,CO154,CW154,0,DB154,CU154,CV154,BT154*365.25,OCallPut,0),0)</f>
        <v>#VALUE!</v>
      </c>
      <c r="DI154" s="1316" t="e">
        <f aca="false">IF(AND(BV154&gt;0,CP154&gt;0,DC154&gt;0,CU154&gt;0),newSPRDOPT(BV154,CP154,CX154,0,DC154,CU154,CV154,BT154*365.25,OCallPut,0),0)</f>
        <v>#VALUE!</v>
      </c>
      <c r="DJ154" s="1316" t="e">
        <f aca="false">IF(AND(BW154&gt;0,CQ154&gt;0,DD154&gt;0,CU154&gt;0),newSPRDOPT(BW154,CQ154,CY154,0,DD154,CU154,CV154,BT154*365.25,OCallPut,0),0)</f>
        <v>#VALUE!</v>
      </c>
      <c r="DK154" s="1316" t="e">
        <f aca="false">IF(AND(BX154&gt;0,CR154&gt;0,DE154&gt;0,CU154&gt;0),newSPRDOPT(BX154,CR154,CZ154,0,DE154,CU154,CV154,BT154*365.25,OCallPut,0),0)</f>
        <v>#VALUE!</v>
      </c>
      <c r="DL154" s="1316" t="e">
        <f aca="false">IF(OVolType,IF(AND(BZ154&gt;0,CS154&gt;0,DF154&gt;0,CU154&gt;0),newSPRDOPT(BZ154,CS154,DA154,0,DF154,CU154,CV154,BT154*365.25,OCallPut,0),0),IF(BQ154,(DH154*AZ154+DI154*BA154+DJ154*BB154+DK154*BC154)/BQ154,0))</f>
        <v>#VALUE!</v>
      </c>
      <c r="DM154" s="1316"/>
      <c r="DN154" s="1316"/>
      <c r="DO154" s="1316"/>
      <c r="DP154" s="1316"/>
      <c r="DQ154" s="1316"/>
      <c r="DR154" s="1316"/>
      <c r="DS154" s="1316"/>
      <c r="DT154" s="1316"/>
      <c r="DU154" s="1316"/>
      <c r="DV154" s="1316"/>
      <c r="DW154" s="1594" t="e">
        <f aca="false">IF(AND(BW154&gt;0,CT154&gt;0,DD154&gt;0,CU154&gt;0),newSPRDOPT(BW154,CT154,CY154,0,DD154,CU154,CV154,BT154*365.25,OCallPut,0),0)</f>
        <v>#VALUE!</v>
      </c>
      <c r="DX154" s="1316" t="e">
        <f aca="false">IF(AND(BX154&gt;0,CT154&gt;0,DE154&gt;0,CU154&gt;0),newSPRDOPT(BX154,CT154,CZ154,0,DE154,CU154,CV154,BT154*365.25,OCallPut,0),0)</f>
        <v>#VALUE!</v>
      </c>
      <c r="DY154" s="1591" t="e">
        <f aca="false">IF(BS154,(DH154*BH154+DI154*BI154+DW154*BJ154+DX154*BK154)/BS154,0)</f>
        <v>#VALUE!</v>
      </c>
      <c r="DZ154" s="1551" t="e">
        <f aca="false">DH154*AZ154</f>
        <v>#VALUE!</v>
      </c>
      <c r="EA154" s="1551" t="e">
        <f aca="false">DI154*BA154</f>
        <v>#VALUE!</v>
      </c>
      <c r="EB154" s="1551" t="e">
        <f aca="false">DJ154*BB154</f>
        <v>#VALUE!</v>
      </c>
      <c r="EC154" s="1551" t="e">
        <f aca="false">DK154*BC154</f>
        <v>#VALUE!</v>
      </c>
      <c r="ED154" s="1551" t="e">
        <f aca="false">DL154*BQ154</f>
        <v>#VALUE!</v>
      </c>
      <c r="EE154" s="1595" t="e">
        <f aca="false">IF(BQ154,IF(OCallPut,IF(BU154&gt;(CO154+CW154),BU154-(CO154+CW154),0),IF((CO154+CW154)&gt;BU154,(CO154+CW154)-BU154,0))*AZ154,0)</f>
        <v>#VALUE!</v>
      </c>
      <c r="EF154" s="1596" t="e">
        <f aca="false">IF(BQ154,IF(OCallPut,IF(BV154&gt;(CP154+CX154),BV154-(CP154+CX154),0),IF((CP154+CX154)&gt;BV154,(CP154+CX154)-BV154,0))*BA154,0)</f>
        <v>#VALUE!</v>
      </c>
      <c r="EG154" s="1596" t="e">
        <f aca="false">IF(BQ154,IF(OCallPut,IF(BW154&gt;(CQ154+CY154),BW154-(CQ154+CY154),0),IF((CQ154+CY154)&gt;BW154,(CQ154+CY154)-BW154,0))*BB154,0)</f>
        <v>#VALUE!</v>
      </c>
      <c r="EH154" s="1596" t="e">
        <f aca="false">IF(BQ154,IF(OCallPut,IF(BX154&gt;(CR154+CZ154),BX154-(CR154+CZ154),0),IF((CR154+CZ154)&gt;BX154,(CR154+CZ154)-BX154,0))*BC154,0)</f>
        <v>#VALUE!</v>
      </c>
      <c r="EI154" s="1597" t="e">
        <f aca="false">IF(BQ154,IF(OVolType,IF(OCallPut,IF(BZ154&gt;(CS154+DA154),BZ154-(CS154+DA154),0),IF((CS154+DA154)&gt;BZ154,(CS154+DA154)-BZ154,0))*BQ154,SUM(EE154:EH154)),0)</f>
        <v>#VALUE!</v>
      </c>
      <c r="EJ154" s="1595" t="e">
        <f aca="false">DZ154-EE154</f>
        <v>#VALUE!</v>
      </c>
      <c r="EK154" s="1596" t="e">
        <f aca="false">EA154-EF154</f>
        <v>#VALUE!</v>
      </c>
      <c r="EL154" s="1596" t="e">
        <f aca="false">EB154-EG154</f>
        <v>#VALUE!</v>
      </c>
      <c r="EM154" s="1596" t="e">
        <f aca="false">EC154-EH154</f>
        <v>#VALUE!</v>
      </c>
      <c r="EN154" s="1597" t="e">
        <f aca="false">ED154-EI154</f>
        <v>#VALUE!</v>
      </c>
      <c r="EO154" s="1551" t="e">
        <f aca="false">DH154*BH154</f>
        <v>#VALUE!</v>
      </c>
      <c r="EP154" s="1551" t="e">
        <f aca="false">DI154*BI154</f>
        <v>#VALUE!</v>
      </c>
      <c r="EQ154" s="1551" t="e">
        <f aca="false">DW154*BJ154</f>
        <v>#VALUE!</v>
      </c>
      <c r="ER154" s="1551" t="e">
        <f aca="false">DX154*BK154</f>
        <v>#VALUE!</v>
      </c>
      <c r="ES154" s="1551" t="e">
        <f aca="false">DY154*BS154</f>
        <v>#VALUE!</v>
      </c>
      <c r="ET154" s="1566" t="e">
        <f aca="false">IF(EI154,IF(OCallPut,IF(CA154&gt;(CT154+CW154),CA154-(CT154+CW154),0),IF((CT154+CW154)&gt;CA154,(CT154+CW154)-CA154,0))*BH154,0)</f>
        <v>#VALUE!</v>
      </c>
      <c r="EU154" s="1551" t="e">
        <f aca="false">IF(EI154,IF(OCallPut,IF(CB154&gt;(CT154+CX154),CB154-(CT154+CX154),0),IF((CT154+CX154)&gt;CB154,(CT154+CX154)-CB154,0))*BI154,0)</f>
        <v>#VALUE!</v>
      </c>
      <c r="EV154" s="1551" t="e">
        <f aca="false">IF(EI154,IF(OCallPut,IF(CC154&gt;(CT154+CY154),CC154-(CT154+CY154),0),IF((CT154+CY154)&gt;CC154,(CT154+CY154)-CC154,0))*BJ154,0)</f>
        <v>#VALUE!</v>
      </c>
      <c r="EW154" s="1551" t="e">
        <f aca="false">IF(EI154,IF(OCallPut,IF(CD154&gt;(CT154+CZ154),CD154-(CT154+CZ154),0),IF((CT154+CZ154)&gt;CD154,(CT154+CZ154)-CD154,0))*BK154,0)</f>
        <v>#VALUE!</v>
      </c>
      <c r="EX154" s="1558" t="e">
        <f aca="false">IF(EI154,SUM(ET154:EW154),0)</f>
        <v>#VALUE!</v>
      </c>
      <c r="EY154" s="1551" t="e">
        <f aca="false">EO154-ET154</f>
        <v>#VALUE!</v>
      </c>
      <c r="EZ154" s="1551" t="e">
        <f aca="false">EP154-EU154</f>
        <v>#VALUE!</v>
      </c>
      <c r="FA154" s="1551" t="e">
        <f aca="false">EQ154-EV154</f>
        <v>#VALUE!</v>
      </c>
      <c r="FB154" s="1551" t="e">
        <f aca="false">ER154-EW154</f>
        <v>#VALUE!</v>
      </c>
      <c r="FC154" s="1551" t="e">
        <f aca="false">ES154-EX154</f>
        <v>#VALUE!</v>
      </c>
      <c r="FD154" s="1525" t="n">
        <f aca="false">IF(AX154,IF(VLOOKUP(C154,MAIN!$L$17:$M$28,2)="Yes",VLOOKUP(CALC!B154,MAIN!$H$17:$I$20,2),0),0)</f>
        <v>0</v>
      </c>
      <c r="FE154" s="1552" t="e">
        <f aca="false">$FD154*16*AT154*(1-$AY154)</f>
        <v>#VALUE!</v>
      </c>
      <c r="FF154" s="1553" t="e">
        <f aca="false">$FD154*16*AU154*(1-$AY154)</f>
        <v>#VALUE!</v>
      </c>
      <c r="FG154" s="1553" t="e">
        <f aca="false">$FD154*16*(AV154+AW154)*(1-$AY154)</f>
        <v>#VALUE!</v>
      </c>
      <c r="FH154" s="1554" t="n">
        <f aca="false">$FD154*8*AX154*(1-$AY154)</f>
        <v>0</v>
      </c>
      <c r="FI154" s="1555" t="n">
        <f aca="false">IF(AX154,VLOOKUP(CALC!B154,MAIN!$H$17:$K$20,4),0)</f>
        <v>0</v>
      </c>
      <c r="FJ154" s="1553" t="e">
        <f aca="false">SUM(FE154:FH154)</f>
        <v>#VALUE!</v>
      </c>
      <c r="FK154" s="1556" t="e">
        <f aca="false">FI154*FJ154</f>
        <v>#VALUE!</v>
      </c>
      <c r="FL154" s="1551" t="e">
        <f aca="false">IF($EI154&gt;0,MIN(FE154,AZ154*(1+VLOOKUP($C154,WeatherCapacityAdjustment,2))),0)</f>
        <v>#VALUE!</v>
      </c>
      <c r="FM154" s="1551" t="e">
        <f aca="false">IF($EI154&gt;0,MIN(FF154,BA154*(1+VLOOKUP($C154,WeatherCapacityAdjustment,2))),0)</f>
        <v>#VALUE!</v>
      </c>
      <c r="FN154" s="1551" t="e">
        <f aca="false">IF($EI154&gt;0,MIN(FG154,BB154*(1+VLOOKUP($C154,WeatherCapacityAdjustment,2))),0)</f>
        <v>#VALUE!</v>
      </c>
      <c r="FO154" s="1564" t="e">
        <f aca="false">IF($EI154&gt;0,MIN(FH154,BC154*(1+VLOOKUP($C154,WeatherCapacityAdjustment,3))),0)</f>
        <v>#VALUE!</v>
      </c>
      <c r="FP154" s="1551" t="e">
        <f aca="false">IF(ET154&gt;0,MIN(FE154-FL154,BH154*(1+VLOOKUP($C154,WeatherCapacityAdjustment,2))),0)</f>
        <v>#VALUE!</v>
      </c>
      <c r="FQ154" s="1551" t="e">
        <f aca="false">IF(EU154&gt;0,MIN(FF154-FM154,BI154*(1+VLOOKUP($C154,WeatherCapacityAdjustment,2))),0)</f>
        <v>#VALUE!</v>
      </c>
      <c r="FR154" s="1551" t="e">
        <f aca="false">IF(EV154&gt;0,MIN(FG154-FN154,BJ154*(1+VLOOKUP($C154,WeatherCapacityAdjustment,2))),0)</f>
        <v>#VALUE!</v>
      </c>
      <c r="FS154" s="1558" t="e">
        <f aca="false">IF(EW154&gt;0,MIN(FH154-FO154,BK154*(1+VLOOKUP($C154,WeatherCapacityAdjustment,3))),0)</f>
        <v>#VALUE!</v>
      </c>
      <c r="FT154" s="1566" t="e">
        <f aca="false">IF(AND(Assumptions!$H$71="Yes",A154&gt;=Assumptions!$H$72,A154&lt;=Assumptions!$H$73),0,IF(AND($A154&gt;=Assumptions!$C$17,$A154&lt;=Assumptions!$C$18),MAX(AZ154*(1+VLOOKUP($C154,WeatherCapacityAdjustment,2))-FL154,0),0))</f>
        <v>#VALUE!</v>
      </c>
      <c r="FU154" s="1551" t="e">
        <f aca="false">IF(AND(Assumptions!$H$71="Yes",A154&gt;=Assumptions!$H$72,A154&lt;=Assumptions!$H$73),0,IF(AND($A154&gt;=Assumptions!$C$17,$A154&lt;=Assumptions!$C$18),MAX(BA154*(1+VLOOKUP($C154,WeatherCapacityAdjustment,2))-FM154,0),0))</f>
        <v>#VALUE!</v>
      </c>
      <c r="FV154" s="1551" t="e">
        <f aca="false">IF(AND(Assumptions!$H$71="Yes",A154&gt;=Assumptions!$H$72,A154&lt;=Assumptions!$H$73),0,IF(AND($A154&gt;=Assumptions!$C$17,$A154&lt;=Assumptions!$C$18),MAX(BB154*(1+VLOOKUP($C154,WeatherCapacityAdjustment,2))-FN154,0),0))</f>
        <v>#VALUE!</v>
      </c>
      <c r="FW154" s="1564" t="e">
        <f aca="false">IF(AND(Assumptions!$H$71="Yes",A154&gt;=Assumptions!$H$72,A154&lt;=Assumptions!$H$73),0,IF(AND($A154&gt;=Assumptions!$C$17,$A154&lt;=Assumptions!$C$18),MAX(BC154*(1+VLOOKUP($C154,WeatherCapacityAdjustment,3))-FO154,0),0))</f>
        <v>#VALUE!</v>
      </c>
      <c r="FX154" s="1569" t="e">
        <f aca="false">IF(AND(Assumptions!$H$71="Yes",A154&gt;=Assumptions!$H$72,A154&lt;=Assumptions!$H$73),0,IF(ET154&gt;0,MAX(BH154*(1+VLOOKUP($C154,WeatherCapacityAdjustment,2))-FP154,0),0))</f>
        <v>#VALUE!</v>
      </c>
      <c r="FY154" s="1551" t="e">
        <f aca="false">IF(AND(Assumptions!$H$71="Yes",A154&gt;=Assumptions!$H$72,A154&lt;=Assumptions!$H$73),0,IF(EU154&gt;0,MAX(BI154*(1+VLOOKUP($C154,WeatherCapacityAdjustment,3))-FQ154,0),0))</f>
        <v>#VALUE!</v>
      </c>
      <c r="FZ154" s="1551" t="e">
        <f aca="false">IF(AND(Assumptions!$H$71="Yes",A154&gt;=Assumptions!$H$72,A154&lt;=Assumptions!$H$73),0,IF(EV154&gt;0,MAX(BJ154*(1+VLOOKUP($C154,WeatherCapacityAdjustment,2))-FR154,0),0))</f>
        <v>#VALUE!</v>
      </c>
      <c r="GA154" s="1564" t="e">
        <f aca="false">IF(AND(Assumptions!$H$71="Yes",A154&gt;=Assumptions!$H$72,A154&lt;=Assumptions!$H$73),0,IF(EW154&gt;0,MAX(BK154*(1+VLOOKUP($C154,WeatherCapacityAdjustment,2))-FS154,0),0))</f>
        <v>#VALUE!</v>
      </c>
      <c r="GB154" s="1551" t="e">
        <f aca="false">SUM(FT154:GA154)</f>
        <v>#VALUE!</v>
      </c>
      <c r="GC154" s="1563" t="e">
        <f aca="false">+IF(SUM(FT154:GA154)=0,0,(SUMPRODUCT(BU154:BX154,FT154:FW154)+SUMPRODUCT(CA154:CD154,FX154:GA154))/SUM(FT154:GA154))</f>
        <v>#VALUE!</v>
      </c>
      <c r="GD154" s="1551" t="e">
        <f aca="false">(FT154*BU154+FX154*CA154+FU154*BV154+FY154*CB154+FV154*BW154+FZ154*CC154+FW154*BX154+GA154*CD154)</f>
        <v>#VALUE!</v>
      </c>
      <c r="GE154" s="1561" t="e">
        <f aca="false">+IF(BQ154,((FL154+FM154+FT154+FU154)*HeatRatePeak/1000*(1+VLOOKUP($C154,WeatherHeatRateAdjustment,2))+(FN154+FV154)*IF(EV154&gt;0,HeatRatePeak,HeatRateOffPeak)/1000*(1+VLOOKUP($C154,WeatherHeatRateAdjustment,2))+(FO154+FW154)*IF(EW154&gt;0,HeatRatePeak,HeatRateOffPeak)/1000*(1+VLOOKUP($C154,WeatherHeatRateAdjustment,3)))*(1+VLOOKUP($B154,HeatRateDegradation,$C154+1)),0)</f>
        <v>#VALUE!</v>
      </c>
      <c r="GF154" s="1562" t="e">
        <f aca="false">IF(BQ154,((FP154+FQ154+FR154+FX154+FY154+FZ154)*HeatRatePeak/1000*(1+VLOOKUP($C154,WeatherHeatRateAdjustment,2))+(FS154+GA154)*HeatRatePeak/1000*(1+VLOOKUP($C154,WeatherHeatRateAdjustment,3)))*(1+VLOOKUP($B154,HeatRateDegradation,$C154+1)),0)</f>
        <v>#VALUE!</v>
      </c>
      <c r="GG154" s="1563" t="e">
        <f aca="false">IF(BQ154,VLOOKUP(A154,GasTable,13),0)</f>
        <v>#VALUE!</v>
      </c>
      <c r="GH154" s="1564" t="e">
        <f aca="false">(GE154+GF154)*GG154</f>
        <v>#VALUE!</v>
      </c>
      <c r="GI154" s="1569" t="e">
        <f aca="false">GB154</f>
        <v>#VALUE!</v>
      </c>
      <c r="GJ154" s="1598" t="e">
        <f aca="false">+DA154</f>
        <v>#VALUE!</v>
      </c>
      <c r="GK154" s="1558" t="e">
        <f aca="false">+GI154*GJ154</f>
        <v>#VALUE!</v>
      </c>
      <c r="GL154" s="1566" t="e">
        <f aca="false">MAX(FE154-FL154-FP154,0)</f>
        <v>#VALUE!</v>
      </c>
      <c r="GM154" s="1551" t="e">
        <f aca="false">MAX(FF154-FM154-FQ154,0)</f>
        <v>#VALUE!</v>
      </c>
      <c r="GN154" s="1551" t="e">
        <f aca="false">MAX(FG154-FN154-FR154,0)</f>
        <v>#VALUE!</v>
      </c>
      <c r="GO154" s="1564" t="e">
        <f aca="false">MAX(FH154-FO154-FS154,0)</f>
        <v>#VALUE!</v>
      </c>
      <c r="GP154" s="1551" t="e">
        <f aca="false">SUM(GL154:GO154)</f>
        <v>#VALUE!</v>
      </c>
      <c r="GQ154" s="1563" t="e">
        <f aca="false">IF(SUM(GL154:GO154)=0,0,((GL154*BU154+GM154*BV154+GN154*BW154+GO154*BX154)/SUM(GL154:GO154)))</f>
        <v>#VALUE!</v>
      </c>
      <c r="GR154" s="1558" t="e">
        <f aca="false">(GL154*BU154+GM154*BV154+GN154*BW154+GO154*BX154)</f>
        <v>#VALUE!</v>
      </c>
      <c r="GS154" s="1566" t="n">
        <f aca="false">IF($A154&gt;=BegDate,Assumptions!$C$56*24*($A155-$A154)*(1-VLOOKUP($B154,MAIN!$AA$7:$AM$28,$C154+1))*(1-VLOOKUP($B154,MAIN!$AA$33:$AM$54,$C154+1)),0)*80/168</f>
        <v>257742.857142857</v>
      </c>
      <c r="GT154" s="286" t="n">
        <f aca="false">J154</f>
        <v>51.2968991419915</v>
      </c>
      <c r="GU154" s="286" t="n">
        <f aca="false">IF($A154&gt;=BegDate,VLOOKUP($A154,GasTable,13)+Assumptions!$C$58,0)</f>
        <v>3.23954235939491</v>
      </c>
      <c r="GV154" s="286" t="n">
        <f aca="false">GU154*Assumptions!$C$57/1000</f>
        <v>23.4866821056131</v>
      </c>
      <c r="GW154" s="1558" t="n">
        <f aca="false">IF(Assumptions!$C$60="Hourly",MAX(0,GS154*(GT154-GV154)),GS154*(GT154-GV154))</f>
        <v>7167884.79671912</v>
      </c>
      <c r="GX154" s="1566" t="n">
        <f aca="false">IF($A154&gt;=BegDate,Assumptions!$C$56*24*($A155-$A154)*(1-VLOOKUP($B154,MAIN!$AA$7:$AM$28,$C154+1))*(1-VLOOKUP($B154,MAIN!$AA$33:$AM$54,$C154+1)),0)*16/168</f>
        <v>51548.5714285714</v>
      </c>
      <c r="GY154" s="286" t="n">
        <f aca="false">M154</f>
        <v>51.2968991419915</v>
      </c>
      <c r="GZ154" s="286" t="n">
        <f aca="false">IF($A154&gt;=BegDate,VLOOKUP($A154,GasTable,13)+Assumptions!$C$58,0)</f>
        <v>3.23954235939491</v>
      </c>
      <c r="HA154" s="286" t="n">
        <f aca="false">GZ154*Assumptions!$C$57/1000</f>
        <v>23.4866821056131</v>
      </c>
      <c r="HB154" s="1558" t="n">
        <f aca="false">IF(Assumptions!$C$60="Hourly",MAX(0,GX154*(GY154-HA154)),GX154*(GY154-HA154))</f>
        <v>1433576.95934382</v>
      </c>
      <c r="HC154" s="1566" t="n">
        <f aca="false">IF($A154&gt;=BegDate,Assumptions!$C$56*24*($A155-$A154)*(1-VLOOKUP($B154,MAIN!$AA$7:$AM$28,$C154+1))*(1-VLOOKUP($B154,MAIN!$AA$33:$AM$54,$C154+1)),0)*16/168</f>
        <v>51548.5714285714</v>
      </c>
      <c r="HD154" s="286" t="n">
        <f aca="false">P154</f>
        <v>27.6073857938715</v>
      </c>
      <c r="HE154" s="286" t="n">
        <f aca="false">IF($A154&gt;=BegDate,VLOOKUP($A154,GasTable,13)+Assumptions!$C$58,0)</f>
        <v>3.23954235939491</v>
      </c>
      <c r="HF154" s="286" t="n">
        <f aca="false">HE154*Assumptions!$C$57/1000</f>
        <v>23.4866821056131</v>
      </c>
      <c r="HG154" s="1558" t="n">
        <f aca="false">IF(Assumptions!$C$60="Hourly",MAX(0,HC154*(HD154-HF154)),HC154*(HD154-HF154))</f>
        <v>212416.388410166</v>
      </c>
      <c r="HH154" s="1566" t="n">
        <f aca="false">IF($A154&gt;=BegDate,Assumptions!$C$56*24*($A155-$A154)*(1-VLOOKUP($B154,MAIN!$AA$7:$AM$28,$C154+1))*(1-VLOOKUP($B154,MAIN!$AA$33:$AM$54,$C154+1)),0)*56/168</f>
        <v>180420</v>
      </c>
      <c r="HI154" s="286" t="n">
        <f aca="false">S154</f>
        <v>27.6073857938715</v>
      </c>
      <c r="HJ154" s="286" t="n">
        <f aca="false">IF($A154&gt;=BegDate,VLOOKUP($A154,GasTable,13)+Assumptions!$C$58,0)</f>
        <v>3.23954235939491</v>
      </c>
      <c r="HK154" s="286" t="n">
        <f aca="false">HJ154*Assumptions!$C$57/1000</f>
        <v>23.4866821056131</v>
      </c>
      <c r="HL154" s="1558" t="n">
        <f aca="false">IF(Assumptions!$C$60="Hourly",MAX(0,HH154*(HI154-HK154)),HH154*(HI154-HK154))</f>
        <v>743457.35943558</v>
      </c>
      <c r="HM154" s="1566" t="n">
        <f aca="false">IF(AND(Assumptions!$H$71="Yes",A154&gt;=Assumptions!$H$72,A154&lt;=Assumptions!$H$73),Assumptions!$H$74*Assumptions!$C$9*1000,0)</f>
        <v>0</v>
      </c>
      <c r="HN154" s="1551"/>
      <c r="HO154" s="1563"/>
      <c r="HP154" s="1563"/>
      <c r="HQ154" s="1563"/>
      <c r="HR154" s="1563"/>
      <c r="HS154" s="1563"/>
      <c r="HT154" s="1563"/>
      <c r="HU154" s="1563"/>
      <c r="HV154" s="1563"/>
      <c r="HW154" s="1563"/>
      <c r="HX154" s="1563"/>
      <c r="HY154" s="1563"/>
      <c r="HZ154" s="1563"/>
      <c r="IA154" s="1563"/>
      <c r="IB154" s="1563"/>
      <c r="IC154" s="1563"/>
      <c r="ID154" s="1563"/>
      <c r="IE154" s="1563"/>
      <c r="IF154" s="1563"/>
      <c r="IG154" s="1563"/>
      <c r="IH154" s="1563"/>
      <c r="II154" s="1610"/>
      <c r="IJ154" s="1309"/>
      <c r="IK154" s="1309"/>
    </row>
    <row r="155" customFormat="false" ht="12.75" hidden="false" customHeight="false" outlineLevel="0" collapsed="false">
      <c r="A155" s="1571" t="n">
        <f aca="false">EOMONTH(A154,0)+1</f>
        <v>40848</v>
      </c>
      <c r="B155" s="594" t="n">
        <f aca="false">+YEAR(A155)</f>
        <v>2011</v>
      </c>
      <c r="C155" s="238" t="n">
        <f aca="false">MONTH(A155)</f>
        <v>11</v>
      </c>
      <c r="D155" s="1572" t="e">
        <f aca="false">IF(E155="","",Holiday(B155,C155))</f>
        <v>#VALUE!</v>
      </c>
      <c r="E155" s="1573" t="n">
        <f aca="false">IF(OR(BegDate&gt;=A156,EndDate&lt;A155,AND(VolumeMonthlyOverFlag,INDEX(VolumeMonthlyOver,C155)=0),NOT(INDEX(MonthKnockOutTable,C155))),"",MAX(A155,BegDate))</f>
        <v>40848</v>
      </c>
      <c r="F155" s="1574" t="n">
        <f aca="false">IF(E155="","",MIN(A156-1,EndDate))</f>
        <v>40877</v>
      </c>
      <c r="G155" s="1575" t="n">
        <v>0</v>
      </c>
      <c r="H155" s="1576" t="n">
        <f aca="false">(1+G155/2)^(-2*(DATE(B156,C156,20)-DateToday)/365.25)</f>
        <v>1</v>
      </c>
      <c r="I155" s="1568" t="n">
        <f aca="false">IF(Assumptions!$L$25=4,VLOOKUP($A155,'Henwood Reference'!$E$9:$R$320,10),(VLOOKUP($A155,PriceTable,2,0)+IF(BasisNumber&lt;&gt;1,VLOOKUP($A155,BasisTable,2,0),0)+I$1)/(1-I$2))</f>
        <v>54.985493365275</v>
      </c>
      <c r="J155" s="1568" t="n">
        <f aca="false">IF(Assumptions!$L$25=4,VLOOKUP($A155,'Henwood Reference'!$E$9:$R$320,10),(VLOOKUP($A155,PriceTable,3,0)+IF(BasisNumber&lt;&gt;1,VLOOKUP($A155,BasisTable,2,0),0)+J$1)/(1-J$2))</f>
        <v>54.985493365275</v>
      </c>
      <c r="K155" s="1568" t="n">
        <f aca="false">IF(Assumptions!$L$25=4,VLOOKUP($A155,'Henwood Reference'!$E$9:$R$320,10),(VLOOKUP($A155,PriceTable,4,0)+IF(BasisNumber&lt;&gt;1,VLOOKUP($A155,BasisTable,2,0),0)+K$1)/(1-K$2))</f>
        <v>54.985493365275</v>
      </c>
      <c r="L155" s="1523" t="n">
        <f aca="false">IF(Assumptions!$L$25=4,VLOOKUP($A155,'Henwood Reference'!$E$9:$R$320,10),(VLOOKUP($A155,PriceTableWeekend,2,0)+IF(BasisNumber&lt;&gt;1,VLOOKUP($A155,BasisTable,2,0),0)+L$1)/(1-L$2))</f>
        <v>54.985493365275</v>
      </c>
      <c r="M155" s="1568" t="n">
        <f aca="false">IF(Assumptions!$L$25=4,VLOOKUP($A155,'Henwood Reference'!$E$9:$R$320,10),(VLOOKUP($A155,PriceTableWeekend,3,0)+IF(BasisNumber&lt;&gt;1,VLOOKUP($A155,BasisTable,2,0),0)+M$1)/(1-M$2))</f>
        <v>54.985493365275</v>
      </c>
      <c r="N155" s="1599" t="n">
        <f aca="false">IF(Assumptions!$L$25=4,VLOOKUP($A155,'Henwood Reference'!$E$9:$R$320,10),(VLOOKUP($A155,PriceTableWeekend,4,0)+IF(BasisNumber&lt;&gt;1,VLOOKUP($A155,BasisTable,2,0),0)+N$1)/(1-N$2))</f>
        <v>54.985493365275</v>
      </c>
      <c r="O155" s="1568" t="n">
        <f aca="false">IF(Assumptions!$L$25=4,VLOOKUP($A155,'Henwood Reference'!$E$9:$R$320,11),(VLOOKUP($A155,PriceTableWeekend,6,0)+IF(BasisNumber&lt;&gt;1,VLOOKUP($A155,BasisTable,3,0),0)+O$1)/(1-O$2))</f>
        <v>29.3770804470096</v>
      </c>
      <c r="P155" s="1568" t="n">
        <f aca="false">IF(Assumptions!$L$25=4,VLOOKUP($A155,'Henwood Reference'!$E$9:$R$320,11),(VLOOKUP($A155,PriceTableWeekend,7,0)+IF(BasisNumber&lt;&gt;1,VLOOKUP($A155,BasisTable,3,0),0)+P$1)/(1-P$2))</f>
        <v>29.3770804470096</v>
      </c>
      <c r="Q155" s="1599" t="n">
        <f aca="false">IF(Assumptions!$L$25=4,VLOOKUP($A155,'Henwood Reference'!$E$9:$R$320,11),(VLOOKUP($A155,PriceTableWeekend,8,0)+IF(BasisNumber&lt;&gt;1,VLOOKUP($A155,BasisTable,3,0),0)+Q$1)/(1-Q$2))</f>
        <v>29.3770804470096</v>
      </c>
      <c r="R155" s="1568" t="n">
        <f aca="false">IF(Assumptions!$L$25=4,VLOOKUP($A155,'Henwood Reference'!$E$9:$R$320,11),(VLOOKUP($A155,PriceTable,6,0)+IF(BasisNumber&lt;&gt;1,VLOOKUP($A155,BasisTable,3,0),0)+R$1)/(1-R$2))</f>
        <v>29.3770804470096</v>
      </c>
      <c r="S155" s="1568" t="n">
        <f aca="false">IF(Assumptions!$L$25=4,VLOOKUP($A155,'Henwood Reference'!$E$9:$R$320,11),(VLOOKUP($A155,PriceTable,7,0)+IF(BasisNumber&lt;&gt;1,VLOOKUP($A155,BasisTable,3,0),0)+S$1)/(1-S$2))</f>
        <v>29.3770804470096</v>
      </c>
      <c r="T155" s="1600" t="n">
        <f aca="false">IF(Assumptions!$L$25=4,VLOOKUP($A155,'Henwood Reference'!$E$9:$R$320,11),(VLOOKUP($A155,PriceTable,8,0)+IF(BasisNumber&lt;&gt;1,VLOOKUP($A155,BasisTable,3,0),0)+T$1)/(1-T$2))</f>
        <v>29.3770804470096</v>
      </c>
      <c r="U155" s="1513" t="n">
        <f aca="false">VLOOKUP($A155,VolatilityTable,14)</f>
        <v>0.115</v>
      </c>
      <c r="V155" s="1513" t="n">
        <f aca="false">VLOOKUP($A155,VolatilityTable,15)</f>
        <v>0.125</v>
      </c>
      <c r="W155" s="1514" t="n">
        <f aca="false">VLOOKUP($A155,VolatilityTable,16)</f>
        <v>0.135</v>
      </c>
      <c r="X155" s="1513" t="n">
        <f aca="false">VLOOKUP($A155,VolatilityTable,14)</f>
        <v>0.115</v>
      </c>
      <c r="Y155" s="1513" t="n">
        <f aca="false">VLOOKUP($A155,VolatilityTable,15)</f>
        <v>0.125</v>
      </c>
      <c r="Z155" s="1514" t="n">
        <f aca="false">VLOOKUP($A155,VolatilityTable,16)</f>
        <v>0.135</v>
      </c>
      <c r="AA155" s="1513" t="n">
        <f aca="false">VLOOKUP($A155,VolatilityTable,18)</f>
        <v>0.09</v>
      </c>
      <c r="AB155" s="1513" t="n">
        <f aca="false">VLOOKUP($A155,VolatilityTable,19)</f>
        <v>0.11</v>
      </c>
      <c r="AC155" s="1514" t="n">
        <f aca="false">VLOOKUP($A155,VolatilityTable,20)</f>
        <v>0.13</v>
      </c>
      <c r="AD155" s="1513" t="n">
        <f aca="false">VLOOKUP($A155,VolatilityTable,18)</f>
        <v>0.09</v>
      </c>
      <c r="AE155" s="1513" t="n">
        <f aca="false">VLOOKUP($A155,VolatilityTable,19)</f>
        <v>0.11</v>
      </c>
      <c r="AF155" s="1514" t="n">
        <f aca="false">VLOOKUP($A155,VolatilityTable,20)</f>
        <v>0.13</v>
      </c>
      <c r="AG155" s="1513" t="n">
        <f aca="false">VLOOKUP($A155,VolatilityTable,22)</f>
        <v>-0.1</v>
      </c>
      <c r="AH155" s="1513" t="n">
        <f aca="false">VLOOKUP($A155,VolatilityTable,23)</f>
        <v>0.6</v>
      </c>
      <c r="AI155" s="1514" t="n">
        <f aca="false">VLOOKUP($A155,VolatilityTable,24)</f>
        <v>0.1</v>
      </c>
      <c r="AJ155" s="1513" t="n">
        <f aca="false">VLOOKUP($A155,VolatilityTable,22)</f>
        <v>-0.1</v>
      </c>
      <c r="AK155" s="1513" t="n">
        <f aca="false">VLOOKUP($A155,VolatilityTable,23)</f>
        <v>0.6</v>
      </c>
      <c r="AL155" s="1514" t="n">
        <f aca="false">VLOOKUP($A155,VolatilityTable,24)</f>
        <v>0.1</v>
      </c>
      <c r="AM155" s="1513" t="n">
        <f aca="false">VLOOKUP($A155,VolatilityTable,26)</f>
        <v>-0.01</v>
      </c>
      <c r="AN155" s="1513" t="n">
        <f aca="false">VLOOKUP($A155,VolatilityTable,27)</f>
        <v>0.16</v>
      </c>
      <c r="AO155" s="1514" t="n">
        <f aca="false">VLOOKUP($A155,VolatilityTable,28)</f>
        <v>0.01</v>
      </c>
      <c r="AP155" s="1513" t="n">
        <f aca="false">VLOOKUP($A155,VolatilityTable,26)</f>
        <v>-0.01</v>
      </c>
      <c r="AQ155" s="1513" t="n">
        <f aca="false">VLOOKUP($A155,VolatilityTable,27)</f>
        <v>0.16</v>
      </c>
      <c r="AR155" s="1515" t="n">
        <f aca="false">VLOOKUP($A155,VolatilityTable,28)</f>
        <v>0.01</v>
      </c>
      <c r="AS155" s="1581" t="n">
        <f aca="false">IF(CorrPeakOffPeakOverFlag,INDEX(CorrPeakOffPeakOver,C155),CorrPeakOffPeak)</f>
        <v>0.5</v>
      </c>
      <c r="AT155" s="594" t="e">
        <f aca="false">AX155-SUM(AU155:AW155)</f>
        <v>#VALUE!</v>
      </c>
      <c r="AU155" s="238" t="e">
        <f aca="false">IF(E155="",0,INT((F155-MOD(F155,7)-E155)/7)+1-IF(AW155,IF(WEEKDAY(D155)=7,1,0),0))</f>
        <v>#VALUE!</v>
      </c>
      <c r="AV155" s="238" t="e">
        <f aca="false">IF(E155="",0,INT((F155-MOD(F155-1,7)-E155)/7)+1-IF(AW155,IF(WEEKDAY(D155)=1,1,0),0))</f>
        <v>#VALUE!</v>
      </c>
      <c r="AW155" s="238" t="e">
        <f aca="false">IF(OR(E155="",D155="",D155&lt;BegDate,D155&gt;EndDate),0,1)</f>
        <v>#VALUE!</v>
      </c>
      <c r="AX155" s="238" t="n">
        <f aca="false">IF(E155="",0,F155-E155+1)</f>
        <v>30</v>
      </c>
      <c r="AY155" s="1582" t="n">
        <f aca="false">IF(E155="",0,MIN((1-(1-VLOOKUP(B155,MAIN!$AA$7:$AM$28,C155+1))*(1-VLOOKUP(B155,MAIN!$AA$33:$AM$54,C155+1))),1))</f>
        <v>0.03</v>
      </c>
      <c r="AZ155" s="1519" t="e">
        <v>#VALUE!</v>
      </c>
      <c r="BA155" s="1520" t="e">
        <v>#VALUE!</v>
      </c>
      <c r="BB155" s="1520" t="e">
        <v>#VALUE!</v>
      </c>
      <c r="BC155" s="1583" t="e">
        <v>#VALUE!</v>
      </c>
      <c r="BD155" s="1522" t="e">
        <v>#VALUE!</v>
      </c>
      <c r="BE155" s="1523" t="e">
        <v>#VALUE!</v>
      </c>
      <c r="BF155" s="1523" t="e">
        <v>#VALUE!</v>
      </c>
      <c r="BG155" s="1584" t="e">
        <v>#VALUE!</v>
      </c>
      <c r="BH155" s="1525" t="e">
        <v>#VALUE!</v>
      </c>
      <c r="BI155" s="1520" t="e">
        <v>#VALUE!</v>
      </c>
      <c r="BJ155" s="1520" t="e">
        <v>#VALUE!</v>
      </c>
      <c r="BK155" s="1583" t="e">
        <v>#VALUE!</v>
      </c>
      <c r="BL155" s="1522" t="e">
        <v>#VALUE!</v>
      </c>
      <c r="BM155" s="1523" t="e">
        <v>#VALUE!</v>
      </c>
      <c r="BN155" s="1523" t="e">
        <v>#VALUE!</v>
      </c>
      <c r="BO155" s="1523" t="e">
        <v>#VALUE!</v>
      </c>
      <c r="BP155" s="1525" t="e">
        <f aca="false">SUM(AZ155:BB155)</f>
        <v>#VALUE!</v>
      </c>
      <c r="BQ155" s="1529" t="e">
        <f aca="false">SUM(AZ155:BC155)</f>
        <v>#VALUE!</v>
      </c>
      <c r="BR155" s="1519" t="e">
        <f aca="false">SUM(BH155:BJ155)</f>
        <v>#VALUE!</v>
      </c>
      <c r="BS155" s="1529" t="e">
        <f aca="false">SUM(BH155:BK155)</f>
        <v>#VALUE!</v>
      </c>
      <c r="BT155" s="1316" t="n">
        <f aca="false">(IF(OVolType&lt;&gt;2,A155+14,IF(OptExpDateShift,ShiftBack(A155,OptExpDateShift,D154),A155))-DateToday)/365.25</f>
        <v>11.5482546201232</v>
      </c>
      <c r="BU155" s="1585" t="e">
        <f aca="false">IF(BQ155,IF(OPriceCurve,IF(OBuySell=OCallPut,I155/(1-AY155),K155/(1-AY155)),J155/(1-AY155))*BD155,0)</f>
        <v>#VALUE!</v>
      </c>
      <c r="BV155" s="1316" t="e">
        <f aca="false">IF(BQ155,IF(OPriceCurve,IF(OBuySell=OCallPut,L155/(1-AY155),N155/(1-AY155)),M155/(1-AY155))*BE155,0)</f>
        <v>#VALUE!</v>
      </c>
      <c r="BW155" s="1316" t="e">
        <f aca="false">IF(BQ155,IF(OPriceCurve,IF(OBuySell=OCallPut,O155/(1-AY155),Q155/(1-AY155)),P155/(1-AY155))*BF155,0)</f>
        <v>#VALUE!</v>
      </c>
      <c r="BX155" s="1316" t="e">
        <f aca="false">IF(BQ155,IF(OPriceCurve,IF(OBuySell=OCallPut,R155/(1-AY155),T155/(1-AY155)),S155/(1-AY155))*BG155,0)</f>
        <v>#VALUE!</v>
      </c>
      <c r="BY155" s="1316" t="e">
        <f aca="false">IF(BP155,(BU155*AZ155+BV155*BA155+BW155*BB155)/BP155,0)</f>
        <v>#VALUE!</v>
      </c>
      <c r="BZ155" s="1316" t="e">
        <f aca="false">IF(BQ155,(BY155*BP155+BX155*BC155)/BQ155,0)</f>
        <v>#VALUE!</v>
      </c>
      <c r="CA155" s="1531" t="e">
        <f aca="false">IF(BS155,IF(OPriceCurve,IF(OBuySell=OCallPut,I155/(1-AY155),K155/(1-AY155)),J155/(1-AY155))*BL155,0)</f>
        <v>#VALUE!</v>
      </c>
      <c r="CB155" s="1316" t="e">
        <f aca="false">IF(BS155,IF(OPriceCurve,IF(OBuySell=OCallPut,L155/(1-AY155),N155/(1-AY155)),M155/(1-AY155))*BM155,0)</f>
        <v>#VALUE!</v>
      </c>
      <c r="CC155" s="1316" t="e">
        <f aca="false">IF(BS155,IF(OPriceCurve,IF(OBuySell=OCallPut,O155/(1-AY155),Q155/(1-AY155)),P155/(1-AY155))*BN155,0)</f>
        <v>#VALUE!</v>
      </c>
      <c r="CD155" s="1316" t="e">
        <f aca="false">IF(BS155,IF(OPriceCurve,IF(OBuySell=OCallPut,R155/(1-AY155),T155/(1-AY155)),S155/(1-AY155))*BO155,0)</f>
        <v>#VALUE!</v>
      </c>
      <c r="CE155" s="1316" t="e">
        <f aca="false">IF(BR155,(BU155*BH155+BV155*BI155+BW155*BJ155)/BR155,0)</f>
        <v>#VALUE!</v>
      </c>
      <c r="CF155" s="1532" t="e">
        <f aca="false">IF(BS155,(CE155*BR155+CD155*BK155)/BS155,0)</f>
        <v>#VALUE!</v>
      </c>
      <c r="CG155" s="1586" t="e">
        <f aca="false">IF(OR(BQ155,BS155),IF(OVolType&lt;&gt;2,SQRT(IF(OVolOverMonthlyPeak,OVolOverMonthlyPeak,IF(OVolCurve,IF(OBuySell,U155,W155),V155))^2*(1-15/365.25/BT155)+IF(OVolOverDailyPeak,OVolOverDailyPeak,IF(OVolCurve,IF(OBuySell,AG155,AI155),AH155))^2*15/365.25/BT155),IF(OVolOverMonthlyPeak,OVolOverMonthlyPeak,IF(OVolCurve,IF(OBuySell,U155,W155),V155))),"")</f>
        <v>#VALUE!</v>
      </c>
      <c r="CH155" s="1587" t="e">
        <f aca="false">IF(OR(BQ155,BS155),IF(OVolType&lt;&gt;2,SQRT(IF(OVolOverMonthlyPeak,OVolOverMonthlyPeak,IF(OVolCurve,IF(OBuySell,X155,Z155),Y155))^2*(1-15/365.25/BT155)+IF(OVolOverDailyPeak,OVolOverDailyPeak,IF(OVolCurve,IF(OBuySell,AJ155,AL155),AK155))^2*15/365.25/BT155),IF(OVolOverMonthlyPeak,OVolOverMonthlyPeak,IF(OVolCurve,IF(OBuySell,X155,Z155),Y155))),"")</f>
        <v>#VALUE!</v>
      </c>
      <c r="CI155" s="1587" t="e">
        <f aca="false">IF(OR(BQ155,BS155),IF(OVolType&lt;&gt;2,SQRT(IF(OVolOverMonthlyPeak,OVolOverMonthlyPeak,IF(OVolCurve,IF(OBuySell,AA155,AC155),AB155))^2*(1-15/365.25/BT155)+IF(OVolOverDailyPeak,OVolOverDailyPeak,IF(OVolCurve,IF(OBuySell,AM155,AO155),AN155))^2*15/365.25/BT155),IF(OVolOverMonthlyPeak,OVolOverMonthlyPeak,IF(OVolCurve,IF(OBuySell,AA155,AC155),AB155))),"")</f>
        <v>#VALUE!</v>
      </c>
      <c r="CJ155" s="1587" t="e">
        <f aca="false">IF(BQ155,IF(BP155,SQRT(LN(1+((BU155*AZ155)^2*(EXP(CG155^2*BT155)-1)+(BV155*BA155)^2*(EXP(CH155^2*BT155)-1)+(BW155*BB155)^2*(EXP(CI155^2*BT155)-1)+2*BU155*AZ155*BV155*BA155*(EXP(CG155*CH155*BT155)-1)+2*BV155*BA155*BW155*BB155*(EXP(CH155*CI155*BT155)-1)+2*BW155*BB155*BU155*AZ155*(EXP(CI155*CG155*BT155)-1))/(BY155*BP155)^2)/BT155),0),"")</f>
        <v>#VALUE!</v>
      </c>
      <c r="CK155" s="1587" t="e">
        <f aca="false">IF(BS155,IF(BR155,SQRT(LN(1+((CA155*BH155)^2*(EXP(CG155^2*BT155)-1)+(CB155*BI155)^2*(EXP(CH155^2*BT155)-1)+(CC155*BJ155)^2*(EXP(CI155^2*BT155)-1)+2*CA155*BH155*CB155*BI155*(EXP(CG155*CH155*BT155)-1)+2*CB155*BI155*CC155*BJ155*(EXP(CH155*CI155*BT155)-1)+2*CC155*BJ155*CA155*BH155*(EXP(CI155*CG155*BT155)-1))/(CE155*BR155)^2)/BT155),0),"")</f>
        <v>#VALUE!</v>
      </c>
      <c r="CL155" s="1587" t="e">
        <f aca="false">IF(OR(BQ155,BS155),IF(OVolType&lt;&gt;2,SQRT(IF(OVolOverMonthlyOffPeak,OVolOverMonthlyOffPeak,IF(OVolCurve,IF(OBuySell,AD155,AF155),AE155))^2*(1-15/365.25/BT155)+IF(OVolOverDailyOffPeak,OVolOverDailyOffPeak,IF(OVolCurve,IF(OBuySell,AP155,AR155),AQ155))^2*15/365.25/BT155),IF(OVolOverMonthlyOffPeak,OVolOverMonthlyOffPeak,IF(OVolCurve,IF(OBuySell,AD155,AF155),AE155))),"")</f>
        <v>#VALUE!</v>
      </c>
      <c r="CM155" s="1587" t="e">
        <f aca="false">IF(BQ155,SQRT(LN(1+((BY155*BP155)^2*(EXP(CJ155^2*BT155)-1)+(BX155*BC155)^2*(EXP(CL155^2*BT155)-1)+2*BY155*BP155*BX155*BC155*(EXP(AS155*CJ155*CL155*BT155)-1))/(BY155*BP155+BX155*BC155)^2)/BT155),"")</f>
        <v>#VALUE!</v>
      </c>
      <c r="CN155" s="1588" t="e">
        <f aca="false">IF(BS155,SQRT(LN(1+((CE155*BR155)^2*(EXP(CK155^2*BT155)-1)+(CD155*BK155)^2*(EXP(CL155^2*BT155)-1)+2*CE155*BR155*CD155*BK155*(EXP(AS155*CK155*CL155*BT155)-1))/(CE155*BR155+CD155*BK155)^2)/BT155),"")</f>
        <v>#VALUE!</v>
      </c>
      <c r="CO155" s="1531" t="e">
        <f aca="false">IF(OR(BQ155,BS155),VLOOKUP(A155,GasTable,13)*HeatRatePeak*(1+VLOOKUP($B155,HeatRateDegradation,$C155+1))/1000,0)</f>
        <v>#VALUE!</v>
      </c>
      <c r="CP155" s="1316" t="e">
        <f aca="false">IF(OR(BQ155,BS155),VLOOKUP(A155,GasTable,13)*HeatRatePeak*(1+VLOOKUP($B155,HeatRateDegradation,$C155+1))/1000,0)</f>
        <v>#VALUE!</v>
      </c>
      <c r="CQ155" s="1316" t="e">
        <f aca="false">IF(OR(BQ155,BS155),VLOOKUP(A155,GasTable,13)*IF(EV155,HeatRatePeak,HeatRateOffPeak)*(1+VLOOKUP($B155,HeatRateDegradation,$C155+1))/1000,0)</f>
        <v>#VALUE!</v>
      </c>
      <c r="CR155" s="1316" t="e">
        <f aca="false">IF(OR(BQ155,BS155),VLOOKUP(A155,GasTable,13)*IF(EW155,HeatRatePeak,HeatRateOffPeak)*(1+VLOOKUP($B155,HeatRateDegradation,$C155+1))/1000,0)</f>
        <v>#VALUE!</v>
      </c>
      <c r="CS155" s="1589" t="e">
        <f aca="false">IF(BQ155,(CO155*AZ155+CP155*BA155+CQ155*BB155+CR155*BC155)/BQ155,0)</f>
        <v>#VALUE!</v>
      </c>
      <c r="CT155" s="1316" t="e">
        <f aca="false">IF(BS155,CO155,0)</f>
        <v>#VALUE!</v>
      </c>
      <c r="CU155" s="1590" t="e">
        <f aca="false">IF(OR(BQ155,BS155),VLOOKUP(A155,GasTable,14),"")</f>
        <v>#VALUE!</v>
      </c>
      <c r="CV155" s="1568" t="e">
        <f aca="false">IF(OR(BQ155,BS155),IF(CorrPowerGasOverFlag,INDEX(CorrPowerGasOver,C155),CorrPowerGas),"")</f>
        <v>#VALUE!</v>
      </c>
      <c r="CW155" s="1316" t="e">
        <f aca="false">IF(OR($BQ155,$BS155),SpreadOptPowerMargin,0)*((1+Assumptions!$C$26)^($B155-YEAR(Assumptions!$C$17)))</f>
        <v>#VALUE!</v>
      </c>
      <c r="CX155" s="1316" t="e">
        <f aca="false">IF(OR($BQ155,$BS155),SpreadOptPowerMargin,0)*((1+Assumptions!$C$26)^($B155-YEAR(Assumptions!$C$17)))</f>
        <v>#VALUE!</v>
      </c>
      <c r="CY155" s="1316" t="e">
        <f aca="false">IF(OR($BQ155,$BS155),SpreadOptPowerMargin,0)*((1+Assumptions!$C$26)^($B155-YEAR(Assumptions!$C$17)))</f>
        <v>#VALUE!</v>
      </c>
      <c r="CZ155" s="1316" t="e">
        <f aca="false">IF(OR($BQ155,$BS155),SpreadOptPowerMargin,0)*((1+Assumptions!$C$26)^($B155-YEAR(Assumptions!$C$17)))</f>
        <v>#VALUE!</v>
      </c>
      <c r="DA155" s="1591" t="e">
        <f aca="false">IF(OR(BQ155,BS155),(CW155*(AZ155+BH155)+CX155*(BA155+BI155)+CY155*(BB155+BJ155)+CZ155*(BC155+BK155))/(BQ155+BS155),0)</f>
        <v>#VALUE!</v>
      </c>
      <c r="DB155" s="1592" t="e">
        <f aca="false">IF(OR(BQ155,BS155),CG155+IF(OVolSmile,VLOOKUP(MAX(-5,CO155+CW155-BU155),IF(OVolSmile=1,VolSmileBook,VolSmileModel),2),0),"")</f>
        <v>#VALUE!</v>
      </c>
      <c r="DC155" s="1592" t="e">
        <f aca="false">IF(OR(BQ155,BS155),CH155+IF(OVolSmile,VLOOKUP(MAX(-5,CP155+CW155-BV155),IF(OVolSmile=1,VolSmileBook,VolSmileModel),2),0),"")</f>
        <v>#VALUE!</v>
      </c>
      <c r="DD155" s="1592" t="e">
        <f aca="false">IF(OR(BQ155,BS155),CI155+IF(OVolSmile,VLOOKUP(MAX(-5,CQ155+CW155-BW155),IF(OVolSmile=1,VolSmileBook,VolSmileModel),2),0),"")</f>
        <v>#VALUE!</v>
      </c>
      <c r="DE155" s="1592" t="e">
        <f aca="false">IF(OR(BQ155,BS155),CL155+IF(OVolSmile,VLOOKUP(MAX(-5,CR155+CZ155-BX155),IF(OVolSmile=1,VolSmileBook,VolSmileModel),2),0),"")</f>
        <v>#VALUE!</v>
      </c>
      <c r="DF155" s="1592" t="e">
        <f aca="false">IF(BQ155,CM155+IF(OVolSmile,VLOOKUP(MAX(-5,CS155+DA155-BZ155),IF(OVolSmile=1,VolSmileBook,VolSmileModel),2),0),"")</f>
        <v>#VALUE!</v>
      </c>
      <c r="DG155" s="1593" t="e">
        <f aca="false">IF(BS155,CN155+IF(OVolSmile,VLOOKUP(MAX(-5,CT155+DA155-CF155),IF(OVolSmile=1,VolSmileBook,VolSmileModel),2),0),"")</f>
        <v>#VALUE!</v>
      </c>
      <c r="DH155" s="1316" t="e">
        <f aca="false">IF(AND(BU155&gt;0,CO155&gt;0,DB155&gt;0,CU155&gt;0),newSPRDOPT(BU155,CO155,CW155,0,DB155,CU155,CV155,BT155*365.25,OCallPut,0),0)</f>
        <v>#VALUE!</v>
      </c>
      <c r="DI155" s="1316" t="e">
        <f aca="false">IF(AND(BV155&gt;0,CP155&gt;0,DC155&gt;0,CU155&gt;0),newSPRDOPT(BV155,CP155,CX155,0,DC155,CU155,CV155,BT155*365.25,OCallPut,0),0)</f>
        <v>#VALUE!</v>
      </c>
      <c r="DJ155" s="1316" t="e">
        <f aca="false">IF(AND(BW155&gt;0,CQ155&gt;0,DD155&gt;0,CU155&gt;0),newSPRDOPT(BW155,CQ155,CY155,0,DD155,CU155,CV155,BT155*365.25,OCallPut,0),0)</f>
        <v>#VALUE!</v>
      </c>
      <c r="DK155" s="1316" t="e">
        <f aca="false">IF(AND(BX155&gt;0,CR155&gt;0,DE155&gt;0,CU155&gt;0),newSPRDOPT(BX155,CR155,CZ155,0,DE155,CU155,CV155,BT155*365.25,OCallPut,0),0)</f>
        <v>#VALUE!</v>
      </c>
      <c r="DL155" s="1316" t="e">
        <f aca="false">IF(OVolType,IF(AND(BZ155&gt;0,CS155&gt;0,DF155&gt;0,CU155&gt;0),newSPRDOPT(BZ155,CS155,DA155,0,DF155,CU155,CV155,BT155*365.25,OCallPut,0),0),IF(BQ155,(DH155*AZ155+DI155*BA155+DJ155*BB155+DK155*BC155)/BQ155,0))</f>
        <v>#VALUE!</v>
      </c>
      <c r="DM155" s="1316"/>
      <c r="DN155" s="1316"/>
      <c r="DO155" s="1316"/>
      <c r="DP155" s="1316"/>
      <c r="DQ155" s="1316"/>
      <c r="DR155" s="1316"/>
      <c r="DS155" s="1316"/>
      <c r="DT155" s="1316"/>
      <c r="DU155" s="1316"/>
      <c r="DV155" s="1316"/>
      <c r="DW155" s="1594" t="e">
        <f aca="false">IF(AND(BW155&gt;0,CT155&gt;0,DD155&gt;0,CU155&gt;0),newSPRDOPT(BW155,CT155,CY155,0,DD155,CU155,CV155,BT155*365.25,OCallPut,0),0)</f>
        <v>#VALUE!</v>
      </c>
      <c r="DX155" s="1316" t="e">
        <f aca="false">IF(AND(BX155&gt;0,CT155&gt;0,DE155&gt;0,CU155&gt;0),newSPRDOPT(BX155,CT155,CZ155,0,DE155,CU155,CV155,BT155*365.25,OCallPut,0),0)</f>
        <v>#VALUE!</v>
      </c>
      <c r="DY155" s="1591" t="e">
        <f aca="false">IF(BS155,(DH155*BH155+DI155*BI155+DW155*BJ155+DX155*BK155)/BS155,0)</f>
        <v>#VALUE!</v>
      </c>
      <c r="DZ155" s="1551" t="e">
        <f aca="false">DH155*AZ155</f>
        <v>#VALUE!</v>
      </c>
      <c r="EA155" s="1551" t="e">
        <f aca="false">DI155*BA155</f>
        <v>#VALUE!</v>
      </c>
      <c r="EB155" s="1551" t="e">
        <f aca="false">DJ155*BB155</f>
        <v>#VALUE!</v>
      </c>
      <c r="EC155" s="1551" t="e">
        <f aca="false">DK155*BC155</f>
        <v>#VALUE!</v>
      </c>
      <c r="ED155" s="1551" t="e">
        <f aca="false">DL155*BQ155</f>
        <v>#VALUE!</v>
      </c>
      <c r="EE155" s="1595" t="e">
        <f aca="false">IF(BQ155,IF(OCallPut,IF(BU155&gt;(CO155+CW155),BU155-(CO155+CW155),0),IF((CO155+CW155)&gt;BU155,(CO155+CW155)-BU155,0))*AZ155,0)</f>
        <v>#VALUE!</v>
      </c>
      <c r="EF155" s="1596" t="e">
        <f aca="false">IF(BQ155,IF(OCallPut,IF(BV155&gt;(CP155+CX155),BV155-(CP155+CX155),0),IF((CP155+CX155)&gt;BV155,(CP155+CX155)-BV155,0))*BA155,0)</f>
        <v>#VALUE!</v>
      </c>
      <c r="EG155" s="1596" t="e">
        <f aca="false">IF(BQ155,IF(OCallPut,IF(BW155&gt;(CQ155+CY155),BW155-(CQ155+CY155),0),IF((CQ155+CY155)&gt;BW155,(CQ155+CY155)-BW155,0))*BB155,0)</f>
        <v>#VALUE!</v>
      </c>
      <c r="EH155" s="1596" t="e">
        <f aca="false">IF(BQ155,IF(OCallPut,IF(BX155&gt;(CR155+CZ155),BX155-(CR155+CZ155),0),IF((CR155+CZ155)&gt;BX155,(CR155+CZ155)-BX155,0))*BC155,0)</f>
        <v>#VALUE!</v>
      </c>
      <c r="EI155" s="1597" t="e">
        <f aca="false">IF(BQ155,IF(OVolType,IF(OCallPut,IF(BZ155&gt;(CS155+DA155),BZ155-(CS155+DA155),0),IF((CS155+DA155)&gt;BZ155,(CS155+DA155)-BZ155,0))*BQ155,SUM(EE155:EH155)),0)</f>
        <v>#VALUE!</v>
      </c>
      <c r="EJ155" s="1595" t="e">
        <f aca="false">DZ155-EE155</f>
        <v>#VALUE!</v>
      </c>
      <c r="EK155" s="1596" t="e">
        <f aca="false">EA155-EF155</f>
        <v>#VALUE!</v>
      </c>
      <c r="EL155" s="1596" t="e">
        <f aca="false">EB155-EG155</f>
        <v>#VALUE!</v>
      </c>
      <c r="EM155" s="1596" t="e">
        <f aca="false">EC155-EH155</f>
        <v>#VALUE!</v>
      </c>
      <c r="EN155" s="1597" t="e">
        <f aca="false">ED155-EI155</f>
        <v>#VALUE!</v>
      </c>
      <c r="EO155" s="1551" t="e">
        <f aca="false">DH155*BH155</f>
        <v>#VALUE!</v>
      </c>
      <c r="EP155" s="1551" t="e">
        <f aca="false">DI155*BI155</f>
        <v>#VALUE!</v>
      </c>
      <c r="EQ155" s="1551" t="e">
        <f aca="false">DW155*BJ155</f>
        <v>#VALUE!</v>
      </c>
      <c r="ER155" s="1551" t="e">
        <f aca="false">DX155*BK155</f>
        <v>#VALUE!</v>
      </c>
      <c r="ES155" s="1551" t="e">
        <f aca="false">DY155*BS155</f>
        <v>#VALUE!</v>
      </c>
      <c r="ET155" s="1566" t="e">
        <f aca="false">IF(EI155,IF(OCallPut,IF(CA155&gt;(CT155+CW155),CA155-(CT155+CW155),0),IF((CT155+CW155)&gt;CA155,(CT155+CW155)-CA155,0))*BH155,0)</f>
        <v>#VALUE!</v>
      </c>
      <c r="EU155" s="1551" t="e">
        <f aca="false">IF(EI155,IF(OCallPut,IF(CB155&gt;(CT155+CX155),CB155-(CT155+CX155),0),IF((CT155+CX155)&gt;CB155,(CT155+CX155)-CB155,0))*BI155,0)</f>
        <v>#VALUE!</v>
      </c>
      <c r="EV155" s="1551" t="e">
        <f aca="false">IF(EI155,IF(OCallPut,IF(CC155&gt;(CT155+CY155),CC155-(CT155+CY155),0),IF((CT155+CY155)&gt;CC155,(CT155+CY155)-CC155,0))*BJ155,0)</f>
        <v>#VALUE!</v>
      </c>
      <c r="EW155" s="1551" t="e">
        <f aca="false">IF(EI155,IF(OCallPut,IF(CD155&gt;(CT155+CZ155),CD155-(CT155+CZ155),0),IF((CT155+CZ155)&gt;CD155,(CT155+CZ155)-CD155,0))*BK155,0)</f>
        <v>#VALUE!</v>
      </c>
      <c r="EX155" s="1558" t="e">
        <f aca="false">IF(EI155,SUM(ET155:EW155),0)</f>
        <v>#VALUE!</v>
      </c>
      <c r="EY155" s="1551" t="e">
        <f aca="false">EO155-ET155</f>
        <v>#VALUE!</v>
      </c>
      <c r="EZ155" s="1551" t="e">
        <f aca="false">EP155-EU155</f>
        <v>#VALUE!</v>
      </c>
      <c r="FA155" s="1551" t="e">
        <f aca="false">EQ155-EV155</f>
        <v>#VALUE!</v>
      </c>
      <c r="FB155" s="1551" t="e">
        <f aca="false">ER155-EW155</f>
        <v>#VALUE!</v>
      </c>
      <c r="FC155" s="1551" t="e">
        <f aca="false">ES155-EX155</f>
        <v>#VALUE!</v>
      </c>
      <c r="FD155" s="1525" t="n">
        <f aca="false">IF(AX155,IF(VLOOKUP(C155,MAIN!$L$17:$M$28,2)="Yes",VLOOKUP(CALC!B155,MAIN!$H$17:$I$20,2),0),0)</f>
        <v>0</v>
      </c>
      <c r="FE155" s="1552" t="e">
        <f aca="false">$FD155*16*AT155*(1-$AY155)</f>
        <v>#VALUE!</v>
      </c>
      <c r="FF155" s="1553" t="e">
        <f aca="false">$FD155*16*AU155*(1-$AY155)</f>
        <v>#VALUE!</v>
      </c>
      <c r="FG155" s="1553" t="e">
        <f aca="false">$FD155*16*(AV155+AW155)*(1-$AY155)</f>
        <v>#VALUE!</v>
      </c>
      <c r="FH155" s="1554" t="n">
        <f aca="false">$FD155*8*AX155*(1-$AY155)</f>
        <v>0</v>
      </c>
      <c r="FI155" s="1555" t="n">
        <f aca="false">IF(AX155,VLOOKUP(CALC!B155,MAIN!$H$17:$K$20,4),0)</f>
        <v>0</v>
      </c>
      <c r="FJ155" s="1553" t="e">
        <f aca="false">SUM(FE155:FH155)</f>
        <v>#VALUE!</v>
      </c>
      <c r="FK155" s="1556" t="e">
        <f aca="false">FI155*FJ155</f>
        <v>#VALUE!</v>
      </c>
      <c r="FL155" s="1551" t="e">
        <f aca="false">IF($EI155&gt;0,MIN(FE155,AZ155*(1+VLOOKUP($C155,WeatherCapacityAdjustment,2))),0)</f>
        <v>#VALUE!</v>
      </c>
      <c r="FM155" s="1551" t="e">
        <f aca="false">IF($EI155&gt;0,MIN(FF155,BA155*(1+VLOOKUP($C155,WeatherCapacityAdjustment,2))),0)</f>
        <v>#VALUE!</v>
      </c>
      <c r="FN155" s="1551" t="e">
        <f aca="false">IF($EI155&gt;0,MIN(FG155,BB155*(1+VLOOKUP($C155,WeatherCapacityAdjustment,2))),0)</f>
        <v>#VALUE!</v>
      </c>
      <c r="FO155" s="1564" t="e">
        <f aca="false">IF($EI155&gt;0,MIN(FH155,BC155*(1+VLOOKUP($C155,WeatherCapacityAdjustment,3))),0)</f>
        <v>#VALUE!</v>
      </c>
      <c r="FP155" s="1551" t="e">
        <f aca="false">IF(ET155&gt;0,MIN(FE155-FL155,BH155*(1+VLOOKUP($C155,WeatherCapacityAdjustment,2))),0)</f>
        <v>#VALUE!</v>
      </c>
      <c r="FQ155" s="1551" t="e">
        <f aca="false">IF(EU155&gt;0,MIN(FF155-FM155,BI155*(1+VLOOKUP($C155,WeatherCapacityAdjustment,2))),0)</f>
        <v>#VALUE!</v>
      </c>
      <c r="FR155" s="1551" t="e">
        <f aca="false">IF(EV155&gt;0,MIN(FG155-FN155,BJ155*(1+VLOOKUP($C155,WeatherCapacityAdjustment,2))),0)</f>
        <v>#VALUE!</v>
      </c>
      <c r="FS155" s="1558" t="e">
        <f aca="false">IF(EW155&gt;0,MIN(FH155-FO155,BK155*(1+VLOOKUP($C155,WeatherCapacityAdjustment,3))),0)</f>
        <v>#VALUE!</v>
      </c>
      <c r="FT155" s="1566" t="e">
        <f aca="false">IF(AND(Assumptions!$H$71="Yes",A155&gt;=Assumptions!$H$72,A155&lt;=Assumptions!$H$73),0,IF(AND($A155&gt;=Assumptions!$C$17,$A155&lt;=Assumptions!$C$18),MAX(AZ155*(1+VLOOKUP($C155,WeatherCapacityAdjustment,2))-FL155,0),0))</f>
        <v>#VALUE!</v>
      </c>
      <c r="FU155" s="1551" t="e">
        <f aca="false">IF(AND(Assumptions!$H$71="Yes",A155&gt;=Assumptions!$H$72,A155&lt;=Assumptions!$H$73),0,IF(AND($A155&gt;=Assumptions!$C$17,$A155&lt;=Assumptions!$C$18),MAX(BA155*(1+VLOOKUP($C155,WeatherCapacityAdjustment,2))-FM155,0),0))</f>
        <v>#VALUE!</v>
      </c>
      <c r="FV155" s="1551" t="e">
        <f aca="false">IF(AND(Assumptions!$H$71="Yes",A155&gt;=Assumptions!$H$72,A155&lt;=Assumptions!$H$73),0,IF(AND($A155&gt;=Assumptions!$C$17,$A155&lt;=Assumptions!$C$18),MAX(BB155*(1+VLOOKUP($C155,WeatherCapacityAdjustment,2))-FN155,0),0))</f>
        <v>#VALUE!</v>
      </c>
      <c r="FW155" s="1564" t="e">
        <f aca="false">IF(AND(Assumptions!$H$71="Yes",A155&gt;=Assumptions!$H$72,A155&lt;=Assumptions!$H$73),0,IF(AND($A155&gt;=Assumptions!$C$17,$A155&lt;=Assumptions!$C$18),MAX(BC155*(1+VLOOKUP($C155,WeatherCapacityAdjustment,3))-FO155,0),0))</f>
        <v>#VALUE!</v>
      </c>
      <c r="FX155" s="1569" t="e">
        <f aca="false">IF(AND(Assumptions!$H$71="Yes",A155&gt;=Assumptions!$H$72,A155&lt;=Assumptions!$H$73),0,IF(ET155&gt;0,MAX(BH155*(1+VLOOKUP($C155,WeatherCapacityAdjustment,2))-FP155,0),0))</f>
        <v>#VALUE!</v>
      </c>
      <c r="FY155" s="1551" t="e">
        <f aca="false">IF(AND(Assumptions!$H$71="Yes",A155&gt;=Assumptions!$H$72,A155&lt;=Assumptions!$H$73),0,IF(EU155&gt;0,MAX(BI155*(1+VLOOKUP($C155,WeatherCapacityAdjustment,3))-FQ155,0),0))</f>
        <v>#VALUE!</v>
      </c>
      <c r="FZ155" s="1551" t="e">
        <f aca="false">IF(AND(Assumptions!$H$71="Yes",A155&gt;=Assumptions!$H$72,A155&lt;=Assumptions!$H$73),0,IF(EV155&gt;0,MAX(BJ155*(1+VLOOKUP($C155,WeatherCapacityAdjustment,2))-FR155,0),0))</f>
        <v>#VALUE!</v>
      </c>
      <c r="GA155" s="1564" t="e">
        <f aca="false">IF(AND(Assumptions!$H$71="Yes",A155&gt;=Assumptions!$H$72,A155&lt;=Assumptions!$H$73),0,IF(EW155&gt;0,MAX(BK155*(1+VLOOKUP($C155,WeatherCapacityAdjustment,2))-FS155,0),0))</f>
        <v>#VALUE!</v>
      </c>
      <c r="GB155" s="1551" t="e">
        <f aca="false">SUM(FT155:GA155)</f>
        <v>#VALUE!</v>
      </c>
      <c r="GC155" s="1563" t="e">
        <f aca="false">+IF(SUM(FT155:GA155)=0,0,(SUMPRODUCT(BU155:BX155,FT155:FW155)+SUMPRODUCT(CA155:CD155,FX155:GA155))/SUM(FT155:GA155))</f>
        <v>#VALUE!</v>
      </c>
      <c r="GD155" s="1551" t="e">
        <f aca="false">(FT155*BU155+FX155*CA155+FU155*BV155+FY155*CB155+FV155*BW155+FZ155*CC155+FW155*BX155+GA155*CD155)</f>
        <v>#VALUE!</v>
      </c>
      <c r="GE155" s="1561" t="e">
        <f aca="false">+IF(BQ155,((FL155+FM155+FT155+FU155)*HeatRatePeak/1000*(1+VLOOKUP($C155,WeatherHeatRateAdjustment,2))+(FN155+FV155)*IF(EV155&gt;0,HeatRatePeak,HeatRateOffPeak)/1000*(1+VLOOKUP($C155,WeatherHeatRateAdjustment,2))+(FO155+FW155)*IF(EW155&gt;0,HeatRatePeak,HeatRateOffPeak)/1000*(1+VLOOKUP($C155,WeatherHeatRateAdjustment,3)))*(1+VLOOKUP($B155,HeatRateDegradation,$C155+1)),0)</f>
        <v>#VALUE!</v>
      </c>
      <c r="GF155" s="1562" t="e">
        <f aca="false">IF(BQ155,((FP155+FQ155+FR155+FX155+FY155+FZ155)*HeatRatePeak/1000*(1+VLOOKUP($C155,WeatherHeatRateAdjustment,2))+(FS155+GA155)*HeatRatePeak/1000*(1+VLOOKUP($C155,WeatherHeatRateAdjustment,3)))*(1+VLOOKUP($B155,HeatRateDegradation,$C155+1)),0)</f>
        <v>#VALUE!</v>
      </c>
      <c r="GG155" s="1563" t="e">
        <f aca="false">IF(BQ155,VLOOKUP(A155,GasTable,13),0)</f>
        <v>#VALUE!</v>
      </c>
      <c r="GH155" s="1564" t="e">
        <f aca="false">(GE155+GF155)*GG155</f>
        <v>#VALUE!</v>
      </c>
      <c r="GI155" s="1569" t="e">
        <f aca="false">GB155</f>
        <v>#VALUE!</v>
      </c>
      <c r="GJ155" s="1598" t="e">
        <f aca="false">+DA155</f>
        <v>#VALUE!</v>
      </c>
      <c r="GK155" s="1558" t="e">
        <f aca="false">+GI155*GJ155</f>
        <v>#VALUE!</v>
      </c>
      <c r="GL155" s="1566" t="e">
        <f aca="false">MAX(FE155-FL155-FP155,0)</f>
        <v>#VALUE!</v>
      </c>
      <c r="GM155" s="1551" t="e">
        <f aca="false">MAX(FF155-FM155-FQ155,0)</f>
        <v>#VALUE!</v>
      </c>
      <c r="GN155" s="1551" t="e">
        <f aca="false">MAX(FG155-FN155-FR155,0)</f>
        <v>#VALUE!</v>
      </c>
      <c r="GO155" s="1564" t="e">
        <f aca="false">MAX(FH155-FO155-FS155,0)</f>
        <v>#VALUE!</v>
      </c>
      <c r="GP155" s="1551" t="e">
        <f aca="false">SUM(GL155:GO155)</f>
        <v>#VALUE!</v>
      </c>
      <c r="GQ155" s="1563" t="e">
        <f aca="false">IF(SUM(GL155:GO155)=0,0,((GL155*BU155+GM155*BV155+GN155*BW155+GO155*BX155)/SUM(GL155:GO155)))</f>
        <v>#VALUE!</v>
      </c>
      <c r="GR155" s="1558" t="e">
        <f aca="false">(GL155*BU155+GM155*BV155+GN155*BW155+GO155*BX155)</f>
        <v>#VALUE!</v>
      </c>
      <c r="GS155" s="1566" t="n">
        <f aca="false">IF($A155&gt;=BegDate,Assumptions!$C$56*24*($A156-$A155)*(1-VLOOKUP($B155,MAIN!$AA$7:$AM$28,$C155+1))*(1-VLOOKUP($B155,MAIN!$AA$33:$AM$54,$C155+1)),0)*80/168</f>
        <v>249428.571428571</v>
      </c>
      <c r="GT155" s="286" t="n">
        <f aca="false">J155</f>
        <v>54.985493365275</v>
      </c>
      <c r="GU155" s="286" t="n">
        <f aca="false">IF($A155&gt;=BegDate,VLOOKUP($A155,GasTable,13)+Assumptions!$C$58,0)</f>
        <v>3.36979592129193</v>
      </c>
      <c r="GV155" s="286" t="n">
        <f aca="false">GU155*Assumptions!$C$57/1000</f>
        <v>24.4310204293665</v>
      </c>
      <c r="GW155" s="1558" t="n">
        <f aca="false">IF(Assumptions!$C$60="Hourly",MAX(0,GS155*(GT155-GV155)),GS155*(GT155-GV155))</f>
        <v>7621158.53515662</v>
      </c>
      <c r="GX155" s="1566" t="n">
        <f aca="false">IF($A155&gt;=BegDate,Assumptions!$C$56*24*($A156-$A155)*(1-VLOOKUP($B155,MAIN!$AA$7:$AM$28,$C155+1))*(1-VLOOKUP($B155,MAIN!$AA$33:$AM$54,$C155+1)),0)*16/168</f>
        <v>49885.7142857143</v>
      </c>
      <c r="GY155" s="286" t="n">
        <f aca="false">M155</f>
        <v>54.985493365275</v>
      </c>
      <c r="GZ155" s="286" t="n">
        <f aca="false">IF($A155&gt;=BegDate,VLOOKUP($A155,GasTable,13)+Assumptions!$C$58,0)</f>
        <v>3.36979592129193</v>
      </c>
      <c r="HA155" s="286" t="n">
        <f aca="false">GZ155*Assumptions!$C$57/1000</f>
        <v>24.4310204293665</v>
      </c>
      <c r="HB155" s="1558" t="n">
        <f aca="false">IF(Assumptions!$C$60="Hourly",MAX(0,GX155*(GY155-HA155)),GX155*(GY155-HA155))</f>
        <v>1524231.70703132</v>
      </c>
      <c r="HC155" s="1566" t="n">
        <f aca="false">IF($A155&gt;=BegDate,Assumptions!$C$56*24*($A156-$A155)*(1-VLOOKUP($B155,MAIN!$AA$7:$AM$28,$C155+1))*(1-VLOOKUP($B155,MAIN!$AA$33:$AM$54,$C155+1)),0)*16/168</f>
        <v>49885.7142857143</v>
      </c>
      <c r="HD155" s="286" t="n">
        <f aca="false">P155</f>
        <v>29.3770804470096</v>
      </c>
      <c r="HE155" s="286" t="n">
        <f aca="false">IF($A155&gt;=BegDate,VLOOKUP($A155,GasTable,13)+Assumptions!$C$58,0)</f>
        <v>3.36979592129193</v>
      </c>
      <c r="HF155" s="286" t="n">
        <f aca="false">HE155*Assumptions!$C$57/1000</f>
        <v>24.4310204293665</v>
      </c>
      <c r="HG155" s="1558" t="n">
        <f aca="false">IF(Assumptions!$C$60="Hourly",MAX(0,HC155*(HD155-HF155)),HC155*(HD155-HF155))</f>
        <v>246737.736880141</v>
      </c>
      <c r="HH155" s="1566" t="n">
        <f aca="false">IF($A155&gt;=BegDate,Assumptions!$C$56*24*($A156-$A155)*(1-VLOOKUP($B155,MAIN!$AA$7:$AM$28,$C155+1))*(1-VLOOKUP($B155,MAIN!$AA$33:$AM$54,$C155+1)),0)*56/168</f>
        <v>174600</v>
      </c>
      <c r="HI155" s="286" t="n">
        <f aca="false">S155</f>
        <v>29.3770804470096</v>
      </c>
      <c r="HJ155" s="286" t="n">
        <f aca="false">IF($A155&gt;=BegDate,VLOOKUP($A155,GasTable,13)+Assumptions!$C$58,0)</f>
        <v>3.36979592129193</v>
      </c>
      <c r="HK155" s="286" t="n">
        <f aca="false">HJ155*Assumptions!$C$57/1000</f>
        <v>24.4310204293665</v>
      </c>
      <c r="HL155" s="1558" t="n">
        <f aca="false">IF(Assumptions!$C$60="Hourly",MAX(0,HH155*(HI155-HK155)),HH155*(HI155-HK155))</f>
        <v>863582.079080492</v>
      </c>
      <c r="HM155" s="1566" t="n">
        <f aca="false">IF(AND(Assumptions!$H$71="Yes",A155&gt;=Assumptions!$H$72,A155&lt;=Assumptions!$H$73),Assumptions!$H$74*Assumptions!$C$9*1000,0)</f>
        <v>0</v>
      </c>
      <c r="HN155" s="1551"/>
      <c r="HO155" s="1563"/>
      <c r="HP155" s="1563"/>
      <c r="HQ155" s="1563"/>
      <c r="HR155" s="1563"/>
      <c r="HS155" s="1563"/>
      <c r="HT155" s="1563"/>
      <c r="HU155" s="1563"/>
      <c r="HV155" s="1563"/>
      <c r="HW155" s="1563"/>
      <c r="HX155" s="1563"/>
      <c r="HY155" s="1563"/>
      <c r="HZ155" s="1563"/>
      <c r="IA155" s="1563"/>
      <c r="IB155" s="1563"/>
      <c r="IC155" s="1563"/>
      <c r="ID155" s="1563"/>
      <c r="IE155" s="1563"/>
      <c r="IF155" s="1563"/>
      <c r="IG155" s="1563"/>
      <c r="IH155" s="1563"/>
      <c r="II155" s="1610"/>
      <c r="IJ155" s="1309"/>
      <c r="IK155" s="1309"/>
    </row>
    <row r="156" customFormat="false" ht="12.75" hidden="false" customHeight="false" outlineLevel="0" collapsed="false">
      <c r="A156" s="1571" t="n">
        <f aca="false">EOMONTH(A155,0)+1</f>
        <v>40878</v>
      </c>
      <c r="B156" s="594" t="n">
        <f aca="false">+YEAR(A156)</f>
        <v>2011</v>
      </c>
      <c r="C156" s="238" t="n">
        <f aca="false">MONTH(A156)</f>
        <v>12</v>
      </c>
      <c r="D156" s="1572" t="e">
        <f aca="false">IF(E156="","",Holiday(B156,C156))</f>
        <v>#VALUE!</v>
      </c>
      <c r="E156" s="1573" t="n">
        <f aca="false">IF(OR(BegDate&gt;=A157,EndDate&lt;A156,AND(VolumeMonthlyOverFlag,INDEX(VolumeMonthlyOver,C156)=0),NOT(INDEX(MonthKnockOutTable,C156))),"",MAX(A156,BegDate))</f>
        <v>40878</v>
      </c>
      <c r="F156" s="1574" t="n">
        <f aca="false">IF(E156="","",MIN(A157-1,EndDate))</f>
        <v>40908</v>
      </c>
      <c r="G156" s="1575" t="n">
        <v>0</v>
      </c>
      <c r="H156" s="1576" t="n">
        <f aca="false">(1+G156/2)^(-2*(DATE(B157,C157,20)-DateToday)/365.25)</f>
        <v>1</v>
      </c>
      <c r="I156" s="1568" t="n">
        <f aca="false">IF(Assumptions!$L$25=4,VLOOKUP($A156,'Henwood Reference'!$E$9:$R$320,10),(VLOOKUP($A156,PriceTable,2,0)+IF(BasisNumber&lt;&gt;1,VLOOKUP($A156,BasisTable,2,0),0)+I$1)/(1-I$2))</f>
        <v>52.7487873219039</v>
      </c>
      <c r="J156" s="1568" t="n">
        <f aca="false">IF(Assumptions!$L$25=4,VLOOKUP($A156,'Henwood Reference'!$E$9:$R$320,10),(VLOOKUP($A156,PriceTable,3,0)+IF(BasisNumber&lt;&gt;1,VLOOKUP($A156,BasisTable,2,0),0)+J$1)/(1-J$2))</f>
        <v>52.7487873219039</v>
      </c>
      <c r="K156" s="1568" t="n">
        <f aca="false">IF(Assumptions!$L$25=4,VLOOKUP($A156,'Henwood Reference'!$E$9:$R$320,10),(VLOOKUP($A156,PriceTable,4,0)+IF(BasisNumber&lt;&gt;1,VLOOKUP($A156,BasisTable,2,0),0)+K$1)/(1-K$2))</f>
        <v>52.7487873219039</v>
      </c>
      <c r="L156" s="1523" t="n">
        <f aca="false">IF(Assumptions!$L$25=4,VLOOKUP($A156,'Henwood Reference'!$E$9:$R$320,10),(VLOOKUP($A156,PriceTableWeekend,2,0)+IF(BasisNumber&lt;&gt;1,VLOOKUP($A156,BasisTable,2,0),0)+L$1)/(1-L$2))</f>
        <v>52.7487873219039</v>
      </c>
      <c r="M156" s="1568" t="n">
        <f aca="false">IF(Assumptions!$L$25=4,VLOOKUP($A156,'Henwood Reference'!$E$9:$R$320,10),(VLOOKUP($A156,PriceTableWeekend,3,0)+IF(BasisNumber&lt;&gt;1,VLOOKUP($A156,BasisTable,2,0),0)+M$1)/(1-M$2))</f>
        <v>52.7487873219039</v>
      </c>
      <c r="N156" s="1599" t="n">
        <f aca="false">IF(Assumptions!$L$25=4,VLOOKUP($A156,'Henwood Reference'!$E$9:$R$320,10),(VLOOKUP($A156,PriceTableWeekend,4,0)+IF(BasisNumber&lt;&gt;1,VLOOKUP($A156,BasisTable,2,0),0)+N$1)/(1-N$2))</f>
        <v>52.7487873219039</v>
      </c>
      <c r="O156" s="1568" t="n">
        <f aca="false">IF(Assumptions!$L$25=4,VLOOKUP($A156,'Henwood Reference'!$E$9:$R$320,11),(VLOOKUP($A156,PriceTableWeekend,6,0)+IF(BasisNumber&lt;&gt;1,VLOOKUP($A156,BasisTable,3,0),0)+O$1)/(1-O$2))</f>
        <v>31.7368805469118</v>
      </c>
      <c r="P156" s="1568" t="n">
        <f aca="false">IF(Assumptions!$L$25=4,VLOOKUP($A156,'Henwood Reference'!$E$9:$R$320,11),(VLOOKUP($A156,PriceTableWeekend,7,0)+IF(BasisNumber&lt;&gt;1,VLOOKUP($A156,BasisTable,3,0),0)+P$1)/(1-P$2))</f>
        <v>31.7368805469118</v>
      </c>
      <c r="Q156" s="1599" t="n">
        <f aca="false">IF(Assumptions!$L$25=4,VLOOKUP($A156,'Henwood Reference'!$E$9:$R$320,11),(VLOOKUP($A156,PriceTableWeekend,8,0)+IF(BasisNumber&lt;&gt;1,VLOOKUP($A156,BasisTable,3,0),0)+Q$1)/(1-Q$2))</f>
        <v>31.7368805469118</v>
      </c>
      <c r="R156" s="1568" t="n">
        <f aca="false">IF(Assumptions!$L$25=4,VLOOKUP($A156,'Henwood Reference'!$E$9:$R$320,11),(VLOOKUP($A156,PriceTable,6,0)+IF(BasisNumber&lt;&gt;1,VLOOKUP($A156,BasisTable,3,0),0)+R$1)/(1-R$2))</f>
        <v>31.7368805469118</v>
      </c>
      <c r="S156" s="1568" t="n">
        <f aca="false">IF(Assumptions!$L$25=4,VLOOKUP($A156,'Henwood Reference'!$E$9:$R$320,11),(VLOOKUP($A156,PriceTable,7,0)+IF(BasisNumber&lt;&gt;1,VLOOKUP($A156,BasisTable,3,0),0)+S$1)/(1-S$2))</f>
        <v>31.7368805469118</v>
      </c>
      <c r="T156" s="1600" t="n">
        <f aca="false">IF(Assumptions!$L$25=4,VLOOKUP($A156,'Henwood Reference'!$E$9:$R$320,11),(VLOOKUP($A156,PriceTable,8,0)+IF(BasisNumber&lt;&gt;1,VLOOKUP($A156,BasisTable,3,0),0)+T$1)/(1-T$2))</f>
        <v>31.7368805469118</v>
      </c>
      <c r="U156" s="1513" t="n">
        <f aca="false">VLOOKUP($A156,VolatilityTable,14)</f>
        <v>0.115</v>
      </c>
      <c r="V156" s="1513" t="n">
        <f aca="false">VLOOKUP($A156,VolatilityTable,15)</f>
        <v>0.125</v>
      </c>
      <c r="W156" s="1514" t="n">
        <f aca="false">VLOOKUP($A156,VolatilityTable,16)</f>
        <v>0.135</v>
      </c>
      <c r="X156" s="1513" t="n">
        <f aca="false">VLOOKUP($A156,VolatilityTable,14)</f>
        <v>0.115</v>
      </c>
      <c r="Y156" s="1513" t="n">
        <f aca="false">VLOOKUP($A156,VolatilityTable,15)</f>
        <v>0.125</v>
      </c>
      <c r="Z156" s="1514" t="n">
        <f aca="false">VLOOKUP($A156,VolatilityTable,16)</f>
        <v>0.135</v>
      </c>
      <c r="AA156" s="1513" t="n">
        <f aca="false">VLOOKUP($A156,VolatilityTable,18)</f>
        <v>0.09</v>
      </c>
      <c r="AB156" s="1513" t="n">
        <f aca="false">VLOOKUP($A156,VolatilityTable,19)</f>
        <v>0.11</v>
      </c>
      <c r="AC156" s="1514" t="n">
        <f aca="false">VLOOKUP($A156,VolatilityTable,20)</f>
        <v>0.13</v>
      </c>
      <c r="AD156" s="1513" t="n">
        <f aca="false">VLOOKUP($A156,VolatilityTable,18)</f>
        <v>0.09</v>
      </c>
      <c r="AE156" s="1513" t="n">
        <f aca="false">VLOOKUP($A156,VolatilityTable,19)</f>
        <v>0.11</v>
      </c>
      <c r="AF156" s="1514" t="n">
        <f aca="false">VLOOKUP($A156,VolatilityTable,20)</f>
        <v>0.13</v>
      </c>
      <c r="AG156" s="1513" t="n">
        <f aca="false">VLOOKUP($A156,VolatilityTable,22)</f>
        <v>-0.25</v>
      </c>
      <c r="AH156" s="1513" t="n">
        <f aca="false">VLOOKUP($A156,VolatilityTable,23)</f>
        <v>0.6</v>
      </c>
      <c r="AI156" s="1514" t="n">
        <f aca="false">VLOOKUP($A156,VolatilityTable,24)</f>
        <v>0.25</v>
      </c>
      <c r="AJ156" s="1513" t="n">
        <f aca="false">VLOOKUP($A156,VolatilityTable,22)</f>
        <v>-0.25</v>
      </c>
      <c r="AK156" s="1513" t="n">
        <f aca="false">VLOOKUP($A156,VolatilityTable,23)</f>
        <v>0.6</v>
      </c>
      <c r="AL156" s="1514" t="n">
        <f aca="false">VLOOKUP($A156,VolatilityTable,24)</f>
        <v>0.25</v>
      </c>
      <c r="AM156" s="1513" t="n">
        <f aca="false">VLOOKUP($A156,VolatilityTable,26)</f>
        <v>-0.01</v>
      </c>
      <c r="AN156" s="1513" t="n">
        <f aca="false">VLOOKUP($A156,VolatilityTable,27)</f>
        <v>0.16</v>
      </c>
      <c r="AO156" s="1514" t="n">
        <f aca="false">VLOOKUP($A156,VolatilityTable,28)</f>
        <v>0.01</v>
      </c>
      <c r="AP156" s="1513" t="n">
        <f aca="false">VLOOKUP($A156,VolatilityTable,26)</f>
        <v>-0.01</v>
      </c>
      <c r="AQ156" s="1513" t="n">
        <f aca="false">VLOOKUP($A156,VolatilityTable,27)</f>
        <v>0.16</v>
      </c>
      <c r="AR156" s="1515" t="n">
        <f aca="false">VLOOKUP($A156,VolatilityTable,28)</f>
        <v>0.01</v>
      </c>
      <c r="AS156" s="1581" t="n">
        <f aca="false">IF(CorrPeakOffPeakOverFlag,INDEX(CorrPeakOffPeakOver,C156),CorrPeakOffPeak)</f>
        <v>0.5</v>
      </c>
      <c r="AT156" s="594" t="e">
        <f aca="false">AX156-SUM(AU156:AW156)</f>
        <v>#VALUE!</v>
      </c>
      <c r="AU156" s="238" t="e">
        <f aca="false">IF(E156="",0,INT((F156-MOD(F156,7)-E156)/7)+1-IF(AW156,IF(WEEKDAY(D156)=7,1,0),0))</f>
        <v>#VALUE!</v>
      </c>
      <c r="AV156" s="238" t="e">
        <f aca="false">IF(E156="",0,INT((F156-MOD(F156-1,7)-E156)/7)+1-IF(AW156,IF(WEEKDAY(D156)=1,1,0),0))</f>
        <v>#VALUE!</v>
      </c>
      <c r="AW156" s="238" t="e">
        <f aca="false">IF(OR(E156="",D156="",D156&lt;BegDate,D156&gt;EndDate),0,1)</f>
        <v>#VALUE!</v>
      </c>
      <c r="AX156" s="238" t="n">
        <f aca="false">IF(E156="",0,F156-E156+1)</f>
        <v>31</v>
      </c>
      <c r="AY156" s="1582" t="n">
        <f aca="false">IF(E156="",0,MIN((1-(1-VLOOKUP(B156,MAIN!$AA$7:$AM$28,C156+1))*(1-VLOOKUP(B156,MAIN!$AA$33:$AM$54,C156+1))),1))</f>
        <v>0.03</v>
      </c>
      <c r="AZ156" s="1519" t="e">
        <v>#VALUE!</v>
      </c>
      <c r="BA156" s="1520" t="e">
        <v>#VALUE!</v>
      </c>
      <c r="BB156" s="1520" t="e">
        <v>#VALUE!</v>
      </c>
      <c r="BC156" s="1583" t="e">
        <v>#VALUE!</v>
      </c>
      <c r="BD156" s="1522" t="e">
        <v>#VALUE!</v>
      </c>
      <c r="BE156" s="1523" t="e">
        <v>#VALUE!</v>
      </c>
      <c r="BF156" s="1523" t="e">
        <v>#VALUE!</v>
      </c>
      <c r="BG156" s="1584" t="e">
        <v>#VALUE!</v>
      </c>
      <c r="BH156" s="1525" t="e">
        <v>#VALUE!</v>
      </c>
      <c r="BI156" s="1520" t="e">
        <v>#VALUE!</v>
      </c>
      <c r="BJ156" s="1520" t="e">
        <v>#VALUE!</v>
      </c>
      <c r="BK156" s="1583" t="e">
        <v>#VALUE!</v>
      </c>
      <c r="BL156" s="1522" t="e">
        <v>#VALUE!</v>
      </c>
      <c r="BM156" s="1523" t="e">
        <v>#VALUE!</v>
      </c>
      <c r="BN156" s="1523" t="e">
        <v>#VALUE!</v>
      </c>
      <c r="BO156" s="1523" t="e">
        <v>#VALUE!</v>
      </c>
      <c r="BP156" s="1525" t="e">
        <f aca="false">SUM(AZ156:BB156)</f>
        <v>#VALUE!</v>
      </c>
      <c r="BQ156" s="1529" t="e">
        <f aca="false">SUM(AZ156:BC156)</f>
        <v>#VALUE!</v>
      </c>
      <c r="BR156" s="1519" t="e">
        <f aca="false">SUM(BH156:BJ156)</f>
        <v>#VALUE!</v>
      </c>
      <c r="BS156" s="1529" t="e">
        <f aca="false">SUM(BH156:BK156)</f>
        <v>#VALUE!</v>
      </c>
      <c r="BT156" s="1316" t="n">
        <f aca="false">(IF(OVolType&lt;&gt;2,A156+14,IF(OptExpDateShift,ShiftBack(A156,OptExpDateShift,D155),A156))-DateToday)/365.25</f>
        <v>11.6303901437372</v>
      </c>
      <c r="BU156" s="1585" t="e">
        <f aca="false">IF(BQ156,IF(OPriceCurve,IF(OBuySell=OCallPut,I156/(1-AY156),K156/(1-AY156)),J156/(1-AY156))*BD156,0)</f>
        <v>#VALUE!</v>
      </c>
      <c r="BV156" s="1316" t="e">
        <f aca="false">IF(BQ156,IF(OPriceCurve,IF(OBuySell=OCallPut,L156/(1-AY156),N156/(1-AY156)),M156/(1-AY156))*BE156,0)</f>
        <v>#VALUE!</v>
      </c>
      <c r="BW156" s="1316" t="e">
        <f aca="false">IF(BQ156,IF(OPriceCurve,IF(OBuySell=OCallPut,O156/(1-AY156),Q156/(1-AY156)),P156/(1-AY156))*BF156,0)</f>
        <v>#VALUE!</v>
      </c>
      <c r="BX156" s="1316" t="e">
        <f aca="false">IF(BQ156,IF(OPriceCurve,IF(OBuySell=OCallPut,R156/(1-AY156),T156/(1-AY156)),S156/(1-AY156))*BG156,0)</f>
        <v>#VALUE!</v>
      </c>
      <c r="BY156" s="1316" t="e">
        <f aca="false">IF(BP156,(BU156*AZ156+BV156*BA156+BW156*BB156)/BP156,0)</f>
        <v>#VALUE!</v>
      </c>
      <c r="BZ156" s="1316" t="e">
        <f aca="false">IF(BQ156,(BY156*BP156+BX156*BC156)/BQ156,0)</f>
        <v>#VALUE!</v>
      </c>
      <c r="CA156" s="1531" t="e">
        <f aca="false">IF(BS156,IF(OPriceCurve,IF(OBuySell=OCallPut,I156/(1-AY156),K156/(1-AY156)),J156/(1-AY156))*BL156,0)</f>
        <v>#VALUE!</v>
      </c>
      <c r="CB156" s="1316" t="e">
        <f aca="false">IF(BS156,IF(OPriceCurve,IF(OBuySell=OCallPut,L156/(1-AY156),N156/(1-AY156)),M156/(1-AY156))*BM156,0)</f>
        <v>#VALUE!</v>
      </c>
      <c r="CC156" s="1316" t="e">
        <f aca="false">IF(BS156,IF(OPriceCurve,IF(OBuySell=OCallPut,O156/(1-AY156),Q156/(1-AY156)),P156/(1-AY156))*BN156,0)</f>
        <v>#VALUE!</v>
      </c>
      <c r="CD156" s="1316" t="e">
        <f aca="false">IF(BS156,IF(OPriceCurve,IF(OBuySell=OCallPut,R156/(1-AY156),T156/(1-AY156)),S156/(1-AY156))*BO156,0)</f>
        <v>#VALUE!</v>
      </c>
      <c r="CE156" s="1316" t="e">
        <f aca="false">IF(BR156,(BU156*BH156+BV156*BI156+BW156*BJ156)/BR156,0)</f>
        <v>#VALUE!</v>
      </c>
      <c r="CF156" s="1532" t="e">
        <f aca="false">IF(BS156,(CE156*BR156+CD156*BK156)/BS156,0)</f>
        <v>#VALUE!</v>
      </c>
      <c r="CG156" s="1586" t="e">
        <f aca="false">IF(OR(BQ156,BS156),IF(OVolType&lt;&gt;2,SQRT(IF(OVolOverMonthlyPeak,OVolOverMonthlyPeak,IF(OVolCurve,IF(OBuySell,U156,W156),V156))^2*(1-15/365.25/BT156)+IF(OVolOverDailyPeak,OVolOverDailyPeak,IF(OVolCurve,IF(OBuySell,AG156,AI156),AH156))^2*15/365.25/BT156),IF(OVolOverMonthlyPeak,OVolOverMonthlyPeak,IF(OVolCurve,IF(OBuySell,U156,W156),V156))),"")</f>
        <v>#VALUE!</v>
      </c>
      <c r="CH156" s="1587" t="e">
        <f aca="false">IF(OR(BQ156,BS156),IF(OVolType&lt;&gt;2,SQRT(IF(OVolOverMonthlyPeak,OVolOverMonthlyPeak,IF(OVolCurve,IF(OBuySell,X156,Z156),Y156))^2*(1-15/365.25/BT156)+IF(OVolOverDailyPeak,OVolOverDailyPeak,IF(OVolCurve,IF(OBuySell,AJ156,AL156),AK156))^2*15/365.25/BT156),IF(OVolOverMonthlyPeak,OVolOverMonthlyPeak,IF(OVolCurve,IF(OBuySell,X156,Z156),Y156))),"")</f>
        <v>#VALUE!</v>
      </c>
      <c r="CI156" s="1587" t="e">
        <f aca="false">IF(OR(BQ156,BS156),IF(OVolType&lt;&gt;2,SQRT(IF(OVolOverMonthlyPeak,OVolOverMonthlyPeak,IF(OVolCurve,IF(OBuySell,AA156,AC156),AB156))^2*(1-15/365.25/BT156)+IF(OVolOverDailyPeak,OVolOverDailyPeak,IF(OVolCurve,IF(OBuySell,AM156,AO156),AN156))^2*15/365.25/BT156),IF(OVolOverMonthlyPeak,OVolOverMonthlyPeak,IF(OVolCurve,IF(OBuySell,AA156,AC156),AB156))),"")</f>
        <v>#VALUE!</v>
      </c>
      <c r="CJ156" s="1587" t="e">
        <f aca="false">IF(BQ156,IF(BP156,SQRT(LN(1+((BU156*AZ156)^2*(EXP(CG156^2*BT156)-1)+(BV156*BA156)^2*(EXP(CH156^2*BT156)-1)+(BW156*BB156)^2*(EXP(CI156^2*BT156)-1)+2*BU156*AZ156*BV156*BA156*(EXP(CG156*CH156*BT156)-1)+2*BV156*BA156*BW156*BB156*(EXP(CH156*CI156*BT156)-1)+2*BW156*BB156*BU156*AZ156*(EXP(CI156*CG156*BT156)-1))/(BY156*BP156)^2)/BT156),0),"")</f>
        <v>#VALUE!</v>
      </c>
      <c r="CK156" s="1587" t="e">
        <f aca="false">IF(BS156,IF(BR156,SQRT(LN(1+((CA156*BH156)^2*(EXP(CG156^2*BT156)-1)+(CB156*BI156)^2*(EXP(CH156^2*BT156)-1)+(CC156*BJ156)^2*(EXP(CI156^2*BT156)-1)+2*CA156*BH156*CB156*BI156*(EXP(CG156*CH156*BT156)-1)+2*CB156*BI156*CC156*BJ156*(EXP(CH156*CI156*BT156)-1)+2*CC156*BJ156*CA156*BH156*(EXP(CI156*CG156*BT156)-1))/(CE156*BR156)^2)/BT156),0),"")</f>
        <v>#VALUE!</v>
      </c>
      <c r="CL156" s="1587" t="e">
        <f aca="false">IF(OR(BQ156,BS156),IF(OVolType&lt;&gt;2,SQRT(IF(OVolOverMonthlyOffPeak,OVolOverMonthlyOffPeak,IF(OVolCurve,IF(OBuySell,AD156,AF156),AE156))^2*(1-15/365.25/BT156)+IF(OVolOverDailyOffPeak,OVolOverDailyOffPeak,IF(OVolCurve,IF(OBuySell,AP156,AR156),AQ156))^2*15/365.25/BT156),IF(OVolOverMonthlyOffPeak,OVolOverMonthlyOffPeak,IF(OVolCurve,IF(OBuySell,AD156,AF156),AE156))),"")</f>
        <v>#VALUE!</v>
      </c>
      <c r="CM156" s="1587" t="e">
        <f aca="false">IF(BQ156,SQRT(LN(1+((BY156*BP156)^2*(EXP(CJ156^2*BT156)-1)+(BX156*BC156)^2*(EXP(CL156^2*BT156)-1)+2*BY156*BP156*BX156*BC156*(EXP(AS156*CJ156*CL156*BT156)-1))/(BY156*BP156+BX156*BC156)^2)/BT156),"")</f>
        <v>#VALUE!</v>
      </c>
      <c r="CN156" s="1588" t="e">
        <f aca="false">IF(BS156,SQRT(LN(1+((CE156*BR156)^2*(EXP(CK156^2*BT156)-1)+(CD156*BK156)^2*(EXP(CL156^2*BT156)-1)+2*CE156*BR156*CD156*BK156*(EXP(AS156*CK156*CL156*BT156)-1))/(CE156*BR156+CD156*BK156)^2)/BT156),"")</f>
        <v>#VALUE!</v>
      </c>
      <c r="CO156" s="1531" t="e">
        <f aca="false">IF(OR(BQ156,BS156),VLOOKUP(A156,GasTable,13)*HeatRatePeak*(1+VLOOKUP($B156,HeatRateDegradation,$C156+1))/1000,0)</f>
        <v>#VALUE!</v>
      </c>
      <c r="CP156" s="1316" t="e">
        <f aca="false">IF(OR(BQ156,BS156),VLOOKUP(A156,GasTable,13)*HeatRatePeak*(1+VLOOKUP($B156,HeatRateDegradation,$C156+1))/1000,0)</f>
        <v>#VALUE!</v>
      </c>
      <c r="CQ156" s="1316" t="e">
        <f aca="false">IF(OR(BQ156,BS156),VLOOKUP(A156,GasTable,13)*IF(EV156,HeatRatePeak,HeatRateOffPeak)*(1+VLOOKUP($B156,HeatRateDegradation,$C156+1))/1000,0)</f>
        <v>#VALUE!</v>
      </c>
      <c r="CR156" s="1316" t="e">
        <f aca="false">IF(OR(BQ156,BS156),VLOOKUP(A156,GasTable,13)*IF(EW156,HeatRatePeak,HeatRateOffPeak)*(1+VLOOKUP($B156,HeatRateDegradation,$C156+1))/1000,0)</f>
        <v>#VALUE!</v>
      </c>
      <c r="CS156" s="1589" t="e">
        <f aca="false">IF(BQ156,(CO156*AZ156+CP156*BA156+CQ156*BB156+CR156*BC156)/BQ156,0)</f>
        <v>#VALUE!</v>
      </c>
      <c r="CT156" s="1316" t="e">
        <f aca="false">IF(BS156,CO156,0)</f>
        <v>#VALUE!</v>
      </c>
      <c r="CU156" s="1590" t="e">
        <f aca="false">IF(OR(BQ156,BS156),VLOOKUP(A156,GasTable,14),"")</f>
        <v>#VALUE!</v>
      </c>
      <c r="CV156" s="1568" t="e">
        <f aca="false">IF(OR(BQ156,BS156),IF(CorrPowerGasOverFlag,INDEX(CorrPowerGasOver,C156),CorrPowerGas),"")</f>
        <v>#VALUE!</v>
      </c>
      <c r="CW156" s="1316" t="e">
        <f aca="false">IF(OR($BQ156,$BS156),SpreadOptPowerMargin,0)*((1+Assumptions!$C$26)^($B156-YEAR(Assumptions!$C$17)))</f>
        <v>#VALUE!</v>
      </c>
      <c r="CX156" s="1316" t="e">
        <f aca="false">IF(OR($BQ156,$BS156),SpreadOptPowerMargin,0)*((1+Assumptions!$C$26)^($B156-YEAR(Assumptions!$C$17)))</f>
        <v>#VALUE!</v>
      </c>
      <c r="CY156" s="1316" t="e">
        <f aca="false">IF(OR($BQ156,$BS156),SpreadOptPowerMargin,0)*((1+Assumptions!$C$26)^($B156-YEAR(Assumptions!$C$17)))</f>
        <v>#VALUE!</v>
      </c>
      <c r="CZ156" s="1316" t="e">
        <f aca="false">IF(OR($BQ156,$BS156),SpreadOptPowerMargin,0)*((1+Assumptions!$C$26)^($B156-YEAR(Assumptions!$C$17)))</f>
        <v>#VALUE!</v>
      </c>
      <c r="DA156" s="1591" t="e">
        <f aca="false">IF(OR(BQ156,BS156),(CW156*(AZ156+BH156)+CX156*(BA156+BI156)+CY156*(BB156+BJ156)+CZ156*(BC156+BK156))/(BQ156+BS156),0)</f>
        <v>#VALUE!</v>
      </c>
      <c r="DB156" s="1592" t="e">
        <f aca="false">IF(OR(BQ156,BS156),CG156+IF(OVolSmile,VLOOKUP(MAX(-5,CO156+CW156-BU156),IF(OVolSmile=1,VolSmileBook,VolSmileModel),2),0),"")</f>
        <v>#VALUE!</v>
      </c>
      <c r="DC156" s="1592" t="e">
        <f aca="false">IF(OR(BQ156,BS156),CH156+IF(OVolSmile,VLOOKUP(MAX(-5,CP156+CW156-BV156),IF(OVolSmile=1,VolSmileBook,VolSmileModel),2),0),"")</f>
        <v>#VALUE!</v>
      </c>
      <c r="DD156" s="1592" t="e">
        <f aca="false">IF(OR(BQ156,BS156),CI156+IF(OVolSmile,VLOOKUP(MAX(-5,CQ156+CW156-BW156),IF(OVolSmile=1,VolSmileBook,VolSmileModel),2),0),"")</f>
        <v>#VALUE!</v>
      </c>
      <c r="DE156" s="1592" t="e">
        <f aca="false">IF(OR(BQ156,BS156),CL156+IF(OVolSmile,VLOOKUP(MAX(-5,CR156+CZ156-BX156),IF(OVolSmile=1,VolSmileBook,VolSmileModel),2),0),"")</f>
        <v>#VALUE!</v>
      </c>
      <c r="DF156" s="1592" t="e">
        <f aca="false">IF(BQ156,CM156+IF(OVolSmile,VLOOKUP(MAX(-5,CS156+DA156-BZ156),IF(OVolSmile=1,VolSmileBook,VolSmileModel),2),0),"")</f>
        <v>#VALUE!</v>
      </c>
      <c r="DG156" s="1593" t="e">
        <f aca="false">IF(BS156,CN156+IF(OVolSmile,VLOOKUP(MAX(-5,CT156+DA156-CF156),IF(OVolSmile=1,VolSmileBook,VolSmileModel),2),0),"")</f>
        <v>#VALUE!</v>
      </c>
      <c r="DH156" s="1316" t="e">
        <f aca="false">IF(AND(BU156&gt;0,CO156&gt;0,DB156&gt;0,CU156&gt;0),newSPRDOPT(BU156,CO156,CW156,0,DB156,CU156,CV156,BT156*365.25,OCallPut,0),0)</f>
        <v>#VALUE!</v>
      </c>
      <c r="DI156" s="1316" t="e">
        <f aca="false">IF(AND(BV156&gt;0,CP156&gt;0,DC156&gt;0,CU156&gt;0),newSPRDOPT(BV156,CP156,CX156,0,DC156,CU156,CV156,BT156*365.25,OCallPut,0),0)</f>
        <v>#VALUE!</v>
      </c>
      <c r="DJ156" s="1316" t="e">
        <f aca="false">IF(AND(BW156&gt;0,CQ156&gt;0,DD156&gt;0,CU156&gt;0),newSPRDOPT(BW156,CQ156,CY156,0,DD156,CU156,CV156,BT156*365.25,OCallPut,0),0)</f>
        <v>#VALUE!</v>
      </c>
      <c r="DK156" s="1316" t="e">
        <f aca="false">IF(AND(BX156&gt;0,CR156&gt;0,DE156&gt;0,CU156&gt;0),newSPRDOPT(BX156,CR156,CZ156,0,DE156,CU156,CV156,BT156*365.25,OCallPut,0),0)</f>
        <v>#VALUE!</v>
      </c>
      <c r="DL156" s="1316" t="e">
        <f aca="false">IF(OVolType,IF(AND(BZ156&gt;0,CS156&gt;0,DF156&gt;0,CU156&gt;0),newSPRDOPT(BZ156,CS156,DA156,0,DF156,CU156,CV156,BT156*365.25,OCallPut,0),0),IF(BQ156,(DH156*AZ156+DI156*BA156+DJ156*BB156+DK156*BC156)/BQ156,0))</f>
        <v>#VALUE!</v>
      </c>
      <c r="DM156" s="1316"/>
      <c r="DN156" s="1316"/>
      <c r="DO156" s="1316"/>
      <c r="DP156" s="1316"/>
      <c r="DQ156" s="1316"/>
      <c r="DR156" s="1316"/>
      <c r="DS156" s="1316"/>
      <c r="DT156" s="1316"/>
      <c r="DU156" s="1316"/>
      <c r="DV156" s="1316"/>
      <c r="DW156" s="1594" t="e">
        <f aca="false">IF(AND(BW156&gt;0,CT156&gt;0,DD156&gt;0,CU156&gt;0),newSPRDOPT(BW156,CT156,CY156,0,DD156,CU156,CV156,BT156*365.25,OCallPut,0),0)</f>
        <v>#VALUE!</v>
      </c>
      <c r="DX156" s="1316" t="e">
        <f aca="false">IF(AND(BX156&gt;0,CT156&gt;0,DE156&gt;0,CU156&gt;0),newSPRDOPT(BX156,CT156,CZ156,0,DE156,CU156,CV156,BT156*365.25,OCallPut,0),0)</f>
        <v>#VALUE!</v>
      </c>
      <c r="DY156" s="1591" t="e">
        <f aca="false">IF(BS156,(DH156*BH156+DI156*BI156+DW156*BJ156+DX156*BK156)/BS156,0)</f>
        <v>#VALUE!</v>
      </c>
      <c r="DZ156" s="1551" t="e">
        <f aca="false">DH156*AZ156</f>
        <v>#VALUE!</v>
      </c>
      <c r="EA156" s="1551" t="e">
        <f aca="false">DI156*BA156</f>
        <v>#VALUE!</v>
      </c>
      <c r="EB156" s="1551" t="e">
        <f aca="false">DJ156*BB156</f>
        <v>#VALUE!</v>
      </c>
      <c r="EC156" s="1551" t="e">
        <f aca="false">DK156*BC156</f>
        <v>#VALUE!</v>
      </c>
      <c r="ED156" s="1551" t="e">
        <f aca="false">DL156*BQ156</f>
        <v>#VALUE!</v>
      </c>
      <c r="EE156" s="1595" t="e">
        <f aca="false">IF(BQ156,IF(OCallPut,IF(BU156&gt;(CO156+CW156),BU156-(CO156+CW156),0),IF((CO156+CW156)&gt;BU156,(CO156+CW156)-BU156,0))*AZ156,0)</f>
        <v>#VALUE!</v>
      </c>
      <c r="EF156" s="1596" t="e">
        <f aca="false">IF(BQ156,IF(OCallPut,IF(BV156&gt;(CP156+CX156),BV156-(CP156+CX156),0),IF((CP156+CX156)&gt;BV156,(CP156+CX156)-BV156,0))*BA156,0)</f>
        <v>#VALUE!</v>
      </c>
      <c r="EG156" s="1596" t="e">
        <f aca="false">IF(BQ156,IF(OCallPut,IF(BW156&gt;(CQ156+CY156),BW156-(CQ156+CY156),0),IF((CQ156+CY156)&gt;BW156,(CQ156+CY156)-BW156,0))*BB156,0)</f>
        <v>#VALUE!</v>
      </c>
      <c r="EH156" s="1596" t="e">
        <f aca="false">IF(BQ156,IF(OCallPut,IF(BX156&gt;(CR156+CZ156),BX156-(CR156+CZ156),0),IF((CR156+CZ156)&gt;BX156,(CR156+CZ156)-BX156,0))*BC156,0)</f>
        <v>#VALUE!</v>
      </c>
      <c r="EI156" s="1597" t="e">
        <f aca="false">IF(BQ156,IF(OVolType,IF(OCallPut,IF(BZ156&gt;(CS156+DA156),BZ156-(CS156+DA156),0),IF((CS156+DA156)&gt;BZ156,(CS156+DA156)-BZ156,0))*BQ156,SUM(EE156:EH156)),0)</f>
        <v>#VALUE!</v>
      </c>
      <c r="EJ156" s="1595" t="e">
        <f aca="false">DZ156-EE156</f>
        <v>#VALUE!</v>
      </c>
      <c r="EK156" s="1596" t="e">
        <f aca="false">EA156-EF156</f>
        <v>#VALUE!</v>
      </c>
      <c r="EL156" s="1596" t="e">
        <f aca="false">EB156-EG156</f>
        <v>#VALUE!</v>
      </c>
      <c r="EM156" s="1596" t="e">
        <f aca="false">EC156-EH156</f>
        <v>#VALUE!</v>
      </c>
      <c r="EN156" s="1597" t="e">
        <f aca="false">ED156-EI156</f>
        <v>#VALUE!</v>
      </c>
      <c r="EO156" s="1551" t="e">
        <f aca="false">DH156*BH156</f>
        <v>#VALUE!</v>
      </c>
      <c r="EP156" s="1551" t="e">
        <f aca="false">DI156*BI156</f>
        <v>#VALUE!</v>
      </c>
      <c r="EQ156" s="1551" t="e">
        <f aca="false">DW156*BJ156</f>
        <v>#VALUE!</v>
      </c>
      <c r="ER156" s="1551" t="e">
        <f aca="false">DX156*BK156</f>
        <v>#VALUE!</v>
      </c>
      <c r="ES156" s="1551" t="e">
        <f aca="false">DY156*BS156</f>
        <v>#VALUE!</v>
      </c>
      <c r="ET156" s="1566" t="e">
        <f aca="false">IF(EI156,IF(OCallPut,IF(CA156&gt;(CT156+CW156),CA156-(CT156+CW156),0),IF((CT156+CW156)&gt;CA156,(CT156+CW156)-CA156,0))*BH156,0)</f>
        <v>#VALUE!</v>
      </c>
      <c r="EU156" s="1551" t="e">
        <f aca="false">IF(EI156,IF(OCallPut,IF(CB156&gt;(CT156+CX156),CB156-(CT156+CX156),0),IF((CT156+CX156)&gt;CB156,(CT156+CX156)-CB156,0))*BI156,0)</f>
        <v>#VALUE!</v>
      </c>
      <c r="EV156" s="1551" t="e">
        <f aca="false">IF(EI156,IF(OCallPut,IF(CC156&gt;(CT156+CY156),CC156-(CT156+CY156),0),IF((CT156+CY156)&gt;CC156,(CT156+CY156)-CC156,0))*BJ156,0)</f>
        <v>#VALUE!</v>
      </c>
      <c r="EW156" s="1551" t="e">
        <f aca="false">IF(EI156,IF(OCallPut,IF(CD156&gt;(CT156+CZ156),CD156-(CT156+CZ156),0),IF((CT156+CZ156)&gt;CD156,(CT156+CZ156)-CD156,0))*BK156,0)</f>
        <v>#VALUE!</v>
      </c>
      <c r="EX156" s="1558" t="e">
        <f aca="false">IF(EI156,SUM(ET156:EW156),0)</f>
        <v>#VALUE!</v>
      </c>
      <c r="EY156" s="1551" t="e">
        <f aca="false">EO156-ET156</f>
        <v>#VALUE!</v>
      </c>
      <c r="EZ156" s="1551" t="e">
        <f aca="false">EP156-EU156</f>
        <v>#VALUE!</v>
      </c>
      <c r="FA156" s="1551" t="e">
        <f aca="false">EQ156-EV156</f>
        <v>#VALUE!</v>
      </c>
      <c r="FB156" s="1551" t="e">
        <f aca="false">ER156-EW156</f>
        <v>#VALUE!</v>
      </c>
      <c r="FC156" s="1551" t="e">
        <f aca="false">ES156-EX156</f>
        <v>#VALUE!</v>
      </c>
      <c r="FD156" s="1525" t="n">
        <f aca="false">IF(AX156,IF(VLOOKUP(C156,MAIN!$L$17:$M$28,2)="Yes",VLOOKUP(CALC!B156,MAIN!$H$17:$I$20,2),0),0)</f>
        <v>0</v>
      </c>
      <c r="FE156" s="1552" t="e">
        <f aca="false">$FD156*16*AT156*(1-$AY156)</f>
        <v>#VALUE!</v>
      </c>
      <c r="FF156" s="1553" t="e">
        <f aca="false">$FD156*16*AU156*(1-$AY156)</f>
        <v>#VALUE!</v>
      </c>
      <c r="FG156" s="1553" t="e">
        <f aca="false">$FD156*16*(AV156+AW156)*(1-$AY156)</f>
        <v>#VALUE!</v>
      </c>
      <c r="FH156" s="1554" t="n">
        <f aca="false">$FD156*8*AX156*(1-$AY156)</f>
        <v>0</v>
      </c>
      <c r="FI156" s="1555" t="n">
        <f aca="false">IF(AX156,VLOOKUP(CALC!B156,MAIN!$H$17:$K$20,4),0)</f>
        <v>0</v>
      </c>
      <c r="FJ156" s="1553" t="e">
        <f aca="false">SUM(FE156:FH156)</f>
        <v>#VALUE!</v>
      </c>
      <c r="FK156" s="1556" t="e">
        <f aca="false">FI156*FJ156</f>
        <v>#VALUE!</v>
      </c>
      <c r="FL156" s="1551" t="e">
        <f aca="false">IF($EI156&gt;0,MIN(FE156,AZ156*(1+VLOOKUP($C156,WeatherCapacityAdjustment,2))),0)</f>
        <v>#VALUE!</v>
      </c>
      <c r="FM156" s="1551" t="e">
        <f aca="false">IF($EI156&gt;0,MIN(FF156,BA156*(1+VLOOKUP($C156,WeatherCapacityAdjustment,2))),0)</f>
        <v>#VALUE!</v>
      </c>
      <c r="FN156" s="1551" t="e">
        <f aca="false">IF($EI156&gt;0,MIN(FG156,BB156*(1+VLOOKUP($C156,WeatherCapacityAdjustment,2))),0)</f>
        <v>#VALUE!</v>
      </c>
      <c r="FO156" s="1564" t="e">
        <f aca="false">IF($EI156&gt;0,MIN(FH156,BC156*(1+VLOOKUP($C156,WeatherCapacityAdjustment,3))),0)</f>
        <v>#VALUE!</v>
      </c>
      <c r="FP156" s="1551" t="e">
        <f aca="false">IF(ET156&gt;0,MIN(FE156-FL156,BH156*(1+VLOOKUP($C156,WeatherCapacityAdjustment,2))),0)</f>
        <v>#VALUE!</v>
      </c>
      <c r="FQ156" s="1551" t="e">
        <f aca="false">IF(EU156&gt;0,MIN(FF156-FM156,BI156*(1+VLOOKUP($C156,WeatherCapacityAdjustment,2))),0)</f>
        <v>#VALUE!</v>
      </c>
      <c r="FR156" s="1551" t="e">
        <f aca="false">IF(EV156&gt;0,MIN(FG156-FN156,BJ156*(1+VLOOKUP($C156,WeatherCapacityAdjustment,2))),0)</f>
        <v>#VALUE!</v>
      </c>
      <c r="FS156" s="1558" t="e">
        <f aca="false">IF(EW156&gt;0,MIN(FH156-FO156,BK156*(1+VLOOKUP($C156,WeatherCapacityAdjustment,3))),0)</f>
        <v>#VALUE!</v>
      </c>
      <c r="FT156" s="1566" t="e">
        <f aca="false">IF(AND(Assumptions!$H$71="Yes",A156&gt;=Assumptions!$H$72,A156&lt;=Assumptions!$H$73),0,IF(AND($A156&gt;=Assumptions!$C$17,$A156&lt;=Assumptions!$C$18),MAX(AZ156*(1+VLOOKUP($C156,WeatherCapacityAdjustment,2))-FL156,0),0))</f>
        <v>#VALUE!</v>
      </c>
      <c r="FU156" s="1551" t="e">
        <f aca="false">IF(AND(Assumptions!$H$71="Yes",A156&gt;=Assumptions!$H$72,A156&lt;=Assumptions!$H$73),0,IF(AND($A156&gt;=Assumptions!$C$17,$A156&lt;=Assumptions!$C$18),MAX(BA156*(1+VLOOKUP($C156,WeatherCapacityAdjustment,2))-FM156,0),0))</f>
        <v>#VALUE!</v>
      </c>
      <c r="FV156" s="1551" t="e">
        <f aca="false">IF(AND(Assumptions!$H$71="Yes",A156&gt;=Assumptions!$H$72,A156&lt;=Assumptions!$H$73),0,IF(AND($A156&gt;=Assumptions!$C$17,$A156&lt;=Assumptions!$C$18),MAX(BB156*(1+VLOOKUP($C156,WeatherCapacityAdjustment,2))-FN156,0),0))</f>
        <v>#VALUE!</v>
      </c>
      <c r="FW156" s="1564" t="e">
        <f aca="false">IF(AND(Assumptions!$H$71="Yes",A156&gt;=Assumptions!$H$72,A156&lt;=Assumptions!$H$73),0,IF(AND($A156&gt;=Assumptions!$C$17,$A156&lt;=Assumptions!$C$18),MAX(BC156*(1+VLOOKUP($C156,WeatherCapacityAdjustment,3))-FO156,0),0))</f>
        <v>#VALUE!</v>
      </c>
      <c r="FX156" s="1569" t="e">
        <f aca="false">IF(AND(Assumptions!$H$71="Yes",A156&gt;=Assumptions!$H$72,A156&lt;=Assumptions!$H$73),0,IF(ET156&gt;0,MAX(BH156*(1+VLOOKUP($C156,WeatherCapacityAdjustment,2))-FP156,0),0))</f>
        <v>#VALUE!</v>
      </c>
      <c r="FY156" s="1551" t="e">
        <f aca="false">IF(AND(Assumptions!$H$71="Yes",A156&gt;=Assumptions!$H$72,A156&lt;=Assumptions!$H$73),0,IF(EU156&gt;0,MAX(BI156*(1+VLOOKUP($C156,WeatherCapacityAdjustment,3))-FQ156,0),0))</f>
        <v>#VALUE!</v>
      </c>
      <c r="FZ156" s="1551" t="e">
        <f aca="false">IF(AND(Assumptions!$H$71="Yes",A156&gt;=Assumptions!$H$72,A156&lt;=Assumptions!$H$73),0,IF(EV156&gt;0,MAX(BJ156*(1+VLOOKUP($C156,WeatherCapacityAdjustment,2))-FR156,0),0))</f>
        <v>#VALUE!</v>
      </c>
      <c r="GA156" s="1564" t="e">
        <f aca="false">IF(AND(Assumptions!$H$71="Yes",A156&gt;=Assumptions!$H$72,A156&lt;=Assumptions!$H$73),0,IF(EW156&gt;0,MAX(BK156*(1+VLOOKUP($C156,WeatherCapacityAdjustment,2))-FS156,0),0))</f>
        <v>#VALUE!</v>
      </c>
      <c r="GB156" s="1551" t="e">
        <f aca="false">SUM(FT156:GA156)</f>
        <v>#VALUE!</v>
      </c>
      <c r="GC156" s="1563" t="e">
        <f aca="false">+IF(SUM(FT156:GA156)=0,0,(SUMPRODUCT(BU156:BX156,FT156:FW156)+SUMPRODUCT(CA156:CD156,FX156:GA156))/SUM(FT156:GA156))</f>
        <v>#VALUE!</v>
      </c>
      <c r="GD156" s="1551" t="e">
        <f aca="false">(FT156*BU156+FX156*CA156+FU156*BV156+FY156*CB156+FV156*BW156+FZ156*CC156+FW156*BX156+GA156*CD156)</f>
        <v>#VALUE!</v>
      </c>
      <c r="GE156" s="1561" t="e">
        <f aca="false">+IF(BQ156,((FL156+FM156+FT156+FU156)*HeatRatePeak/1000*(1+VLOOKUP($C156,WeatherHeatRateAdjustment,2))+(FN156+FV156)*IF(EV156&gt;0,HeatRatePeak,HeatRateOffPeak)/1000*(1+VLOOKUP($C156,WeatherHeatRateAdjustment,2))+(FO156+FW156)*IF(EW156&gt;0,HeatRatePeak,HeatRateOffPeak)/1000*(1+VLOOKUP($C156,WeatherHeatRateAdjustment,3)))*(1+VLOOKUP($B156,HeatRateDegradation,$C156+1)),0)</f>
        <v>#VALUE!</v>
      </c>
      <c r="GF156" s="1562" t="e">
        <f aca="false">IF(BQ156,((FP156+FQ156+FR156+FX156+FY156+FZ156)*HeatRatePeak/1000*(1+VLOOKUP($C156,WeatherHeatRateAdjustment,2))+(FS156+GA156)*HeatRatePeak/1000*(1+VLOOKUP($C156,WeatherHeatRateAdjustment,3)))*(1+VLOOKUP($B156,HeatRateDegradation,$C156+1)),0)</f>
        <v>#VALUE!</v>
      </c>
      <c r="GG156" s="1563" t="e">
        <f aca="false">IF(BQ156,VLOOKUP(A156,GasTable,13),0)</f>
        <v>#VALUE!</v>
      </c>
      <c r="GH156" s="1564" t="e">
        <f aca="false">(GE156+GF156)*GG156</f>
        <v>#VALUE!</v>
      </c>
      <c r="GI156" s="1569" t="e">
        <f aca="false">GB156</f>
        <v>#VALUE!</v>
      </c>
      <c r="GJ156" s="1598" t="e">
        <f aca="false">+DA156</f>
        <v>#VALUE!</v>
      </c>
      <c r="GK156" s="1558" t="e">
        <f aca="false">+GI156*GJ156</f>
        <v>#VALUE!</v>
      </c>
      <c r="GL156" s="1566" t="e">
        <f aca="false">MAX(FE156-FL156-FP156,0)</f>
        <v>#VALUE!</v>
      </c>
      <c r="GM156" s="1551" t="e">
        <f aca="false">MAX(FF156-FM156-FQ156,0)</f>
        <v>#VALUE!</v>
      </c>
      <c r="GN156" s="1551" t="e">
        <f aca="false">MAX(FG156-FN156-FR156,0)</f>
        <v>#VALUE!</v>
      </c>
      <c r="GO156" s="1564" t="e">
        <f aca="false">MAX(FH156-FO156-FS156,0)</f>
        <v>#VALUE!</v>
      </c>
      <c r="GP156" s="1551" t="e">
        <f aca="false">SUM(GL156:GO156)</f>
        <v>#VALUE!</v>
      </c>
      <c r="GQ156" s="1563" t="e">
        <f aca="false">IF(SUM(GL156:GO156)=0,0,((GL156*BU156+GM156*BV156+GN156*BW156+GO156*BX156)/SUM(GL156:GO156)))</f>
        <v>#VALUE!</v>
      </c>
      <c r="GR156" s="1558" t="e">
        <f aca="false">(GL156*BU156+GM156*BV156+GN156*BW156+GO156*BX156)</f>
        <v>#VALUE!</v>
      </c>
      <c r="GS156" s="1566" t="n">
        <f aca="false">IF($A156&gt;=BegDate,Assumptions!$C$56*24*($A157-$A156)*(1-VLOOKUP($B156,MAIN!$AA$7:$AM$28,$C156+1))*(1-VLOOKUP($B156,MAIN!$AA$33:$AM$54,$C156+1)),0)*80/168</f>
        <v>257742.857142857</v>
      </c>
      <c r="GT156" s="286" t="n">
        <f aca="false">J156</f>
        <v>52.7487873219039</v>
      </c>
      <c r="GU156" s="286" t="n">
        <f aca="false">IF($A156&gt;=BegDate,VLOOKUP($A156,GasTable,13)+Assumptions!$C$58,0)</f>
        <v>3.50742107272527</v>
      </c>
      <c r="GV156" s="286" t="n">
        <f aca="false">GU156*Assumptions!$C$57/1000</f>
        <v>25.4288027772582</v>
      </c>
      <c r="GW156" s="1558" t="n">
        <f aca="false">IF(Assumptions!$C$60="Hourly",MAX(0,GS156*(GT156-GV156)),GS156*(GT156-GV156))</f>
        <v>7041530.87363569</v>
      </c>
      <c r="GX156" s="1566" t="n">
        <f aca="false">IF($A156&gt;=BegDate,Assumptions!$C$56*24*($A157-$A156)*(1-VLOOKUP($B156,MAIN!$AA$7:$AM$28,$C156+1))*(1-VLOOKUP($B156,MAIN!$AA$33:$AM$54,$C156+1)),0)*16/168</f>
        <v>51548.5714285714</v>
      </c>
      <c r="GY156" s="286" t="n">
        <f aca="false">M156</f>
        <v>52.7487873219039</v>
      </c>
      <c r="GZ156" s="286" t="n">
        <f aca="false">IF($A156&gt;=BegDate,VLOOKUP($A156,GasTable,13)+Assumptions!$C$58,0)</f>
        <v>3.50742107272527</v>
      </c>
      <c r="HA156" s="286" t="n">
        <f aca="false">GZ156*Assumptions!$C$57/1000</f>
        <v>25.4288027772582</v>
      </c>
      <c r="HB156" s="1558" t="n">
        <f aca="false">IF(Assumptions!$C$60="Hourly",MAX(0,GX156*(GY156-HA156)),GX156*(GY156-HA156))</f>
        <v>1408306.17472714</v>
      </c>
      <c r="HC156" s="1566" t="n">
        <f aca="false">IF($A156&gt;=BegDate,Assumptions!$C$56*24*($A157-$A156)*(1-VLOOKUP($B156,MAIN!$AA$7:$AM$28,$C156+1))*(1-VLOOKUP($B156,MAIN!$AA$33:$AM$54,$C156+1)),0)*16/168</f>
        <v>51548.5714285714</v>
      </c>
      <c r="HD156" s="286" t="n">
        <f aca="false">P156</f>
        <v>31.7368805469118</v>
      </c>
      <c r="HE156" s="286" t="n">
        <f aca="false">IF($A156&gt;=BegDate,VLOOKUP($A156,GasTable,13)+Assumptions!$C$58,0)</f>
        <v>3.50742107272527</v>
      </c>
      <c r="HF156" s="286" t="n">
        <f aca="false">HE156*Assumptions!$C$57/1000</f>
        <v>25.4288027772582</v>
      </c>
      <c r="HG156" s="1558" t="n">
        <f aca="false">IF(Assumptions!$C$60="Hourly",MAX(0,HC156*(HD156-HF156)),HC156*(HD156-HF156))</f>
        <v>325172.397485975</v>
      </c>
      <c r="HH156" s="1566" t="n">
        <f aca="false">IF($A156&gt;=BegDate,Assumptions!$C$56*24*($A157-$A156)*(1-VLOOKUP($B156,MAIN!$AA$7:$AM$28,$C156+1))*(1-VLOOKUP($B156,MAIN!$AA$33:$AM$54,$C156+1)),0)*56/168</f>
        <v>180420</v>
      </c>
      <c r="HI156" s="286" t="n">
        <f aca="false">S156</f>
        <v>31.7368805469118</v>
      </c>
      <c r="HJ156" s="286" t="n">
        <f aca="false">IF($A156&gt;=BegDate,VLOOKUP($A156,GasTable,13)+Assumptions!$C$58,0)</f>
        <v>3.50742107272527</v>
      </c>
      <c r="HK156" s="286" t="n">
        <f aca="false">HJ156*Assumptions!$C$57/1000</f>
        <v>25.4288027772582</v>
      </c>
      <c r="HL156" s="1558" t="n">
        <f aca="false">IF(Assumptions!$C$60="Hourly",MAX(0,HH156*(HI156-HK156)),HH156*(HI156-HK156))</f>
        <v>1138103.39120091</v>
      </c>
      <c r="HM156" s="1566" t="n">
        <f aca="false">IF(AND(Assumptions!$H$71="Yes",A156&gt;=Assumptions!$H$72,A156&lt;=Assumptions!$H$73),Assumptions!$H$74*Assumptions!$C$9*1000,0)</f>
        <v>0</v>
      </c>
      <c r="HN156" s="1551"/>
      <c r="HO156" s="1563"/>
      <c r="HP156" s="1563"/>
      <c r="HQ156" s="1563"/>
      <c r="HR156" s="1563"/>
      <c r="HS156" s="1563"/>
      <c r="HT156" s="1563"/>
      <c r="HU156" s="1563"/>
      <c r="HV156" s="1563"/>
      <c r="HW156" s="1563"/>
      <c r="HX156" s="1563"/>
      <c r="HY156" s="1563"/>
      <c r="HZ156" s="1563"/>
      <c r="IA156" s="1563"/>
      <c r="IB156" s="1563"/>
      <c r="IC156" s="1563"/>
      <c r="ID156" s="1563"/>
      <c r="IE156" s="1563"/>
      <c r="IF156" s="1563"/>
      <c r="IG156" s="1563"/>
      <c r="IH156" s="1563"/>
      <c r="II156" s="1610"/>
      <c r="IJ156" s="1309"/>
      <c r="IK156" s="1309"/>
    </row>
    <row r="157" customFormat="false" ht="12.75" hidden="false" customHeight="false" outlineLevel="0" collapsed="false">
      <c r="A157" s="1571" t="n">
        <f aca="false">EOMONTH(A156,0)+1</f>
        <v>40909</v>
      </c>
      <c r="B157" s="594" t="n">
        <f aca="false">+YEAR(A157)</f>
        <v>2012</v>
      </c>
      <c r="C157" s="238" t="n">
        <f aca="false">MONTH(A157)</f>
        <v>1</v>
      </c>
      <c r="D157" s="1572" t="e">
        <f aca="false">IF(E157="","",Holiday(B157,C157))</f>
        <v>#VALUE!</v>
      </c>
      <c r="E157" s="1573" t="n">
        <f aca="false">IF(OR(BegDate&gt;=A158,EndDate&lt;A157,AND(VolumeMonthlyOverFlag,INDEX(VolumeMonthlyOver,C157)=0),NOT(INDEX(MonthKnockOutTable,C157))),"",MAX(A157,BegDate))</f>
        <v>40909</v>
      </c>
      <c r="F157" s="1574" t="n">
        <f aca="false">IF(E157="","",MIN(A158-1,EndDate))</f>
        <v>40939</v>
      </c>
      <c r="G157" s="1575" t="n">
        <v>0</v>
      </c>
      <c r="H157" s="1576" t="n">
        <f aca="false">(1+G157/2)^(-2*(DATE(B158,C158,20)-DateToday)/365.25)</f>
        <v>1</v>
      </c>
      <c r="I157" s="1568" t="n">
        <f aca="false">IF(Assumptions!$L$25=4,VLOOKUP($A157,'Henwood Reference'!$E$9:$R$320,10),(VLOOKUP($A157,PriceTable,2,0)+IF(BasisNumber&lt;&gt;1,VLOOKUP($A157,BasisTable,2,0),0)+I$1)/(1-I$2))</f>
        <v>53.9762439524025</v>
      </c>
      <c r="J157" s="1568" t="n">
        <f aca="false">IF(Assumptions!$L$25=4,VLOOKUP($A157,'Henwood Reference'!$E$9:$R$320,10),(VLOOKUP($A157,PriceTable,3,0)+IF(BasisNumber&lt;&gt;1,VLOOKUP($A157,BasisTable,2,0),0)+J$1)/(1-J$2))</f>
        <v>53.9762439524025</v>
      </c>
      <c r="K157" s="1568" t="n">
        <f aca="false">IF(Assumptions!$L$25=4,VLOOKUP($A157,'Henwood Reference'!$E$9:$R$320,10),(VLOOKUP($A157,PriceTable,4,0)+IF(BasisNumber&lt;&gt;1,VLOOKUP($A157,BasisTable,2,0),0)+K$1)/(1-K$2))</f>
        <v>53.9762439524025</v>
      </c>
      <c r="L157" s="1523" t="n">
        <f aca="false">IF(Assumptions!$L$25=4,VLOOKUP($A157,'Henwood Reference'!$E$9:$R$320,10),(VLOOKUP($A157,PriceTableWeekend,2,0)+IF(BasisNumber&lt;&gt;1,VLOOKUP($A157,BasisTable,2,0),0)+L$1)/(1-L$2))</f>
        <v>53.9762439524025</v>
      </c>
      <c r="M157" s="1568" t="n">
        <f aca="false">IF(Assumptions!$L$25=4,VLOOKUP($A157,'Henwood Reference'!$E$9:$R$320,10),(VLOOKUP($A157,PriceTableWeekend,3,0)+IF(BasisNumber&lt;&gt;1,VLOOKUP($A157,BasisTable,2,0),0)+M$1)/(1-M$2))</f>
        <v>53.9762439524025</v>
      </c>
      <c r="N157" s="1599" t="n">
        <f aca="false">IF(Assumptions!$L$25=4,VLOOKUP($A157,'Henwood Reference'!$E$9:$R$320,10),(VLOOKUP($A157,PriceTableWeekend,4,0)+IF(BasisNumber&lt;&gt;1,VLOOKUP($A157,BasisTable,2,0),0)+N$1)/(1-N$2))</f>
        <v>53.9762439524025</v>
      </c>
      <c r="O157" s="1568" t="n">
        <f aca="false">IF(Assumptions!$L$25=4,VLOOKUP($A157,'Henwood Reference'!$E$9:$R$320,11),(VLOOKUP($A157,PriceTableWeekend,6,0)+IF(BasisNumber&lt;&gt;1,VLOOKUP($A157,BasisTable,3,0),0)+O$1)/(1-O$2))</f>
        <v>32.1362324807793</v>
      </c>
      <c r="P157" s="1568" t="n">
        <f aca="false">IF(Assumptions!$L$25=4,VLOOKUP($A157,'Henwood Reference'!$E$9:$R$320,11),(VLOOKUP($A157,PriceTableWeekend,7,0)+IF(BasisNumber&lt;&gt;1,VLOOKUP($A157,BasisTable,3,0),0)+P$1)/(1-P$2))</f>
        <v>32.1362324807793</v>
      </c>
      <c r="Q157" s="1599" t="n">
        <f aca="false">IF(Assumptions!$L$25=4,VLOOKUP($A157,'Henwood Reference'!$E$9:$R$320,11),(VLOOKUP($A157,PriceTableWeekend,8,0)+IF(BasisNumber&lt;&gt;1,VLOOKUP($A157,BasisTable,3,0),0)+Q$1)/(1-Q$2))</f>
        <v>32.1362324807793</v>
      </c>
      <c r="R157" s="1568" t="n">
        <f aca="false">IF(Assumptions!$L$25=4,VLOOKUP($A157,'Henwood Reference'!$E$9:$R$320,11),(VLOOKUP($A157,PriceTable,6,0)+IF(BasisNumber&lt;&gt;1,VLOOKUP($A157,BasisTable,3,0),0)+R$1)/(1-R$2))</f>
        <v>32.1362324807793</v>
      </c>
      <c r="S157" s="1568" t="n">
        <f aca="false">IF(Assumptions!$L$25=4,VLOOKUP($A157,'Henwood Reference'!$E$9:$R$320,11),(VLOOKUP($A157,PriceTable,7,0)+IF(BasisNumber&lt;&gt;1,VLOOKUP($A157,BasisTable,3,0),0)+S$1)/(1-S$2))</f>
        <v>32.1362324807793</v>
      </c>
      <c r="T157" s="1600" t="n">
        <f aca="false">IF(Assumptions!$L$25=4,VLOOKUP($A157,'Henwood Reference'!$E$9:$R$320,11),(VLOOKUP($A157,PriceTable,8,0)+IF(BasisNumber&lt;&gt;1,VLOOKUP($A157,BasisTable,3,0),0)+T$1)/(1-T$2))</f>
        <v>32.1362324807793</v>
      </c>
      <c r="U157" s="1513" t="n">
        <f aca="false">VLOOKUP($A157,VolatilityTable,14)</f>
        <v>0.11</v>
      </c>
      <c r="V157" s="1513" t="n">
        <f aca="false">VLOOKUP($A157,VolatilityTable,15)</f>
        <v>0.12</v>
      </c>
      <c r="W157" s="1514" t="n">
        <f aca="false">VLOOKUP($A157,VolatilityTable,16)</f>
        <v>0.13</v>
      </c>
      <c r="X157" s="1513" t="n">
        <f aca="false">VLOOKUP($A157,VolatilityTable,14)</f>
        <v>0.11</v>
      </c>
      <c r="Y157" s="1513" t="n">
        <f aca="false">VLOOKUP($A157,VolatilityTable,15)</f>
        <v>0.12</v>
      </c>
      <c r="Z157" s="1514" t="n">
        <f aca="false">VLOOKUP($A157,VolatilityTable,16)</f>
        <v>0.13</v>
      </c>
      <c r="AA157" s="1513" t="n">
        <f aca="false">VLOOKUP($A157,VolatilityTable,18)</f>
        <v>0.09</v>
      </c>
      <c r="AB157" s="1513" t="n">
        <f aca="false">VLOOKUP($A157,VolatilityTable,19)</f>
        <v>0.11</v>
      </c>
      <c r="AC157" s="1514" t="n">
        <f aca="false">VLOOKUP($A157,VolatilityTable,20)</f>
        <v>0.13</v>
      </c>
      <c r="AD157" s="1513" t="n">
        <f aca="false">VLOOKUP($A157,VolatilityTable,18)</f>
        <v>0.09</v>
      </c>
      <c r="AE157" s="1513" t="n">
        <f aca="false">VLOOKUP($A157,VolatilityTable,19)</f>
        <v>0.11</v>
      </c>
      <c r="AF157" s="1514" t="n">
        <f aca="false">VLOOKUP($A157,VolatilityTable,20)</f>
        <v>0.13</v>
      </c>
      <c r="AG157" s="1513" t="n">
        <f aca="false">VLOOKUP($A157,VolatilityTable,22)</f>
        <v>-0.25</v>
      </c>
      <c r="AH157" s="1513" t="n">
        <f aca="false">VLOOKUP($A157,VolatilityTable,23)</f>
        <v>0.65</v>
      </c>
      <c r="AI157" s="1514" t="n">
        <f aca="false">VLOOKUP($A157,VolatilityTable,24)</f>
        <v>0.25</v>
      </c>
      <c r="AJ157" s="1513" t="n">
        <f aca="false">VLOOKUP($A157,VolatilityTable,22)</f>
        <v>-0.25</v>
      </c>
      <c r="AK157" s="1513" t="n">
        <f aca="false">VLOOKUP($A157,VolatilityTable,23)</f>
        <v>0.65</v>
      </c>
      <c r="AL157" s="1514" t="n">
        <f aca="false">VLOOKUP($A157,VolatilityTable,24)</f>
        <v>0.25</v>
      </c>
      <c r="AM157" s="1513" t="n">
        <f aca="false">VLOOKUP($A157,VolatilityTable,26)</f>
        <v>-0.01</v>
      </c>
      <c r="AN157" s="1513" t="n">
        <f aca="false">VLOOKUP($A157,VolatilityTable,27)</f>
        <v>0.16</v>
      </c>
      <c r="AO157" s="1514" t="n">
        <f aca="false">VLOOKUP($A157,VolatilityTable,28)</f>
        <v>0.01</v>
      </c>
      <c r="AP157" s="1513" t="n">
        <f aca="false">VLOOKUP($A157,VolatilityTable,26)</f>
        <v>-0.01</v>
      </c>
      <c r="AQ157" s="1513" t="n">
        <f aca="false">VLOOKUP($A157,VolatilityTable,27)</f>
        <v>0.16</v>
      </c>
      <c r="AR157" s="1515" t="n">
        <f aca="false">VLOOKUP($A157,VolatilityTable,28)</f>
        <v>0.01</v>
      </c>
      <c r="AS157" s="1581" t="n">
        <f aca="false">IF(CorrPeakOffPeakOverFlag,INDEX(CorrPeakOffPeakOver,C157),CorrPeakOffPeak)</f>
        <v>0.5</v>
      </c>
      <c r="AT157" s="594" t="e">
        <f aca="false">AX157-SUM(AU157:AW157)</f>
        <v>#VALUE!</v>
      </c>
      <c r="AU157" s="238" t="e">
        <f aca="false">IF(E157="",0,INT((F157-MOD(F157,7)-E157)/7)+1-IF(AW157,IF(WEEKDAY(D157)=7,1,0),0))</f>
        <v>#VALUE!</v>
      </c>
      <c r="AV157" s="238" t="e">
        <f aca="false">IF(E157="",0,INT((F157-MOD(F157-1,7)-E157)/7)+1-IF(AW157,IF(WEEKDAY(D157)=1,1,0),0))</f>
        <v>#VALUE!</v>
      </c>
      <c r="AW157" s="238" t="e">
        <f aca="false">IF(OR(E157="",D157="",D157&lt;BegDate,D157&gt;EndDate),0,1)</f>
        <v>#VALUE!</v>
      </c>
      <c r="AX157" s="238" t="n">
        <f aca="false">IF(E157="",0,F157-E157+1)</f>
        <v>31</v>
      </c>
      <c r="AY157" s="1582" t="n">
        <f aca="false">IF(E157="",0,MIN((1-(1-VLOOKUP(B157,MAIN!$AA$7:$AM$28,C157+1))*(1-VLOOKUP(B157,MAIN!$AA$33:$AM$54,C157+1))),1))</f>
        <v>0.03</v>
      </c>
      <c r="AZ157" s="1519" t="e">
        <v>#VALUE!</v>
      </c>
      <c r="BA157" s="1520" t="e">
        <v>#VALUE!</v>
      </c>
      <c r="BB157" s="1520" t="e">
        <v>#VALUE!</v>
      </c>
      <c r="BC157" s="1583" t="e">
        <v>#VALUE!</v>
      </c>
      <c r="BD157" s="1522" t="e">
        <v>#VALUE!</v>
      </c>
      <c r="BE157" s="1523" t="e">
        <v>#VALUE!</v>
      </c>
      <c r="BF157" s="1523" t="e">
        <v>#VALUE!</v>
      </c>
      <c r="BG157" s="1584" t="e">
        <v>#VALUE!</v>
      </c>
      <c r="BH157" s="1525" t="e">
        <v>#VALUE!</v>
      </c>
      <c r="BI157" s="1520" t="e">
        <v>#VALUE!</v>
      </c>
      <c r="BJ157" s="1520" t="e">
        <v>#VALUE!</v>
      </c>
      <c r="BK157" s="1583" t="e">
        <v>#VALUE!</v>
      </c>
      <c r="BL157" s="1522" t="e">
        <v>#VALUE!</v>
      </c>
      <c r="BM157" s="1523" t="e">
        <v>#VALUE!</v>
      </c>
      <c r="BN157" s="1523" t="e">
        <v>#VALUE!</v>
      </c>
      <c r="BO157" s="1523" t="e">
        <v>#VALUE!</v>
      </c>
      <c r="BP157" s="1525" t="e">
        <f aca="false">SUM(AZ157:BB157)</f>
        <v>#VALUE!</v>
      </c>
      <c r="BQ157" s="1529" t="e">
        <f aca="false">SUM(AZ157:BC157)</f>
        <v>#VALUE!</v>
      </c>
      <c r="BR157" s="1519" t="e">
        <f aca="false">SUM(BH157:BJ157)</f>
        <v>#VALUE!</v>
      </c>
      <c r="BS157" s="1529" t="e">
        <f aca="false">SUM(BH157:BK157)</f>
        <v>#VALUE!</v>
      </c>
      <c r="BT157" s="1316" t="n">
        <f aca="false">(IF(OVolType&lt;&gt;2,A157+14,IF(OptExpDateShift,ShiftBack(A157,OptExpDateShift,D156),A157))-DateToday)/365.25</f>
        <v>11.7152635181383</v>
      </c>
      <c r="BU157" s="1585" t="e">
        <f aca="false">IF(BQ157,IF(OPriceCurve,IF(OBuySell=OCallPut,I157/(1-AY157),K157/(1-AY157)),J157/(1-AY157))*BD157,0)</f>
        <v>#VALUE!</v>
      </c>
      <c r="BV157" s="1316" t="e">
        <f aca="false">IF(BQ157,IF(OPriceCurve,IF(OBuySell=OCallPut,L157/(1-AY157),N157/(1-AY157)),M157/(1-AY157))*BE157,0)</f>
        <v>#VALUE!</v>
      </c>
      <c r="BW157" s="1316" t="e">
        <f aca="false">IF(BQ157,IF(OPriceCurve,IF(OBuySell=OCallPut,O157/(1-AY157),Q157/(1-AY157)),P157/(1-AY157))*BF157,0)</f>
        <v>#VALUE!</v>
      </c>
      <c r="BX157" s="1316" t="e">
        <f aca="false">IF(BQ157,IF(OPriceCurve,IF(OBuySell=OCallPut,R157/(1-AY157),T157/(1-AY157)),S157/(1-AY157))*BG157,0)</f>
        <v>#VALUE!</v>
      </c>
      <c r="BY157" s="1316" t="e">
        <f aca="false">IF(BP157,(BU157*AZ157+BV157*BA157+BW157*BB157)/BP157,0)</f>
        <v>#VALUE!</v>
      </c>
      <c r="BZ157" s="1316" t="e">
        <f aca="false">IF(BQ157,(BY157*BP157+BX157*BC157)/BQ157,0)</f>
        <v>#VALUE!</v>
      </c>
      <c r="CA157" s="1531" t="e">
        <f aca="false">IF(BS157,IF(OPriceCurve,IF(OBuySell=OCallPut,I157/(1-AY157),K157/(1-AY157)),J157/(1-AY157))*BL157,0)</f>
        <v>#VALUE!</v>
      </c>
      <c r="CB157" s="1316" t="e">
        <f aca="false">IF(BS157,IF(OPriceCurve,IF(OBuySell=OCallPut,L157/(1-AY157),N157/(1-AY157)),M157/(1-AY157))*BM157,0)</f>
        <v>#VALUE!</v>
      </c>
      <c r="CC157" s="1316" t="e">
        <f aca="false">IF(BS157,IF(OPriceCurve,IF(OBuySell=OCallPut,O157/(1-AY157),Q157/(1-AY157)),P157/(1-AY157))*BN157,0)</f>
        <v>#VALUE!</v>
      </c>
      <c r="CD157" s="1316" t="e">
        <f aca="false">IF(BS157,IF(OPriceCurve,IF(OBuySell=OCallPut,R157/(1-AY157),T157/(1-AY157)),S157/(1-AY157))*BO157,0)</f>
        <v>#VALUE!</v>
      </c>
      <c r="CE157" s="1316" t="e">
        <f aca="false">IF(BR157,(BU157*BH157+BV157*BI157+BW157*BJ157)/BR157,0)</f>
        <v>#VALUE!</v>
      </c>
      <c r="CF157" s="1532" t="e">
        <f aca="false">IF(BS157,(CE157*BR157+CD157*BK157)/BS157,0)</f>
        <v>#VALUE!</v>
      </c>
      <c r="CG157" s="1586" t="e">
        <f aca="false">IF(OR(BQ157,BS157),IF(OVolType&lt;&gt;2,SQRT(IF(OVolOverMonthlyPeak,OVolOverMonthlyPeak,IF(OVolCurve,IF(OBuySell,U157,W157),V157))^2*(1-15/365.25/BT157)+IF(OVolOverDailyPeak,OVolOverDailyPeak,IF(OVolCurve,IF(OBuySell,AG157,AI157),AH157))^2*15/365.25/BT157),IF(OVolOverMonthlyPeak,OVolOverMonthlyPeak,IF(OVolCurve,IF(OBuySell,U157,W157),V157))),"")</f>
        <v>#VALUE!</v>
      </c>
      <c r="CH157" s="1587" t="e">
        <f aca="false">IF(OR(BQ157,BS157),IF(OVolType&lt;&gt;2,SQRT(IF(OVolOverMonthlyPeak,OVolOverMonthlyPeak,IF(OVolCurve,IF(OBuySell,X157,Z157),Y157))^2*(1-15/365.25/BT157)+IF(OVolOverDailyPeak,OVolOverDailyPeak,IF(OVolCurve,IF(OBuySell,AJ157,AL157),AK157))^2*15/365.25/BT157),IF(OVolOverMonthlyPeak,OVolOverMonthlyPeak,IF(OVolCurve,IF(OBuySell,X157,Z157),Y157))),"")</f>
        <v>#VALUE!</v>
      </c>
      <c r="CI157" s="1587" t="e">
        <f aca="false">IF(OR(BQ157,BS157),IF(OVolType&lt;&gt;2,SQRT(IF(OVolOverMonthlyPeak,OVolOverMonthlyPeak,IF(OVolCurve,IF(OBuySell,AA157,AC157),AB157))^2*(1-15/365.25/BT157)+IF(OVolOverDailyPeak,OVolOverDailyPeak,IF(OVolCurve,IF(OBuySell,AM157,AO157),AN157))^2*15/365.25/BT157),IF(OVolOverMonthlyPeak,OVolOverMonthlyPeak,IF(OVolCurve,IF(OBuySell,AA157,AC157),AB157))),"")</f>
        <v>#VALUE!</v>
      </c>
      <c r="CJ157" s="1587" t="e">
        <f aca="false">IF(BQ157,IF(BP157,SQRT(LN(1+((BU157*AZ157)^2*(EXP(CG157^2*BT157)-1)+(BV157*BA157)^2*(EXP(CH157^2*BT157)-1)+(BW157*BB157)^2*(EXP(CI157^2*BT157)-1)+2*BU157*AZ157*BV157*BA157*(EXP(CG157*CH157*BT157)-1)+2*BV157*BA157*BW157*BB157*(EXP(CH157*CI157*BT157)-1)+2*BW157*BB157*BU157*AZ157*(EXP(CI157*CG157*BT157)-1))/(BY157*BP157)^2)/BT157),0),"")</f>
        <v>#VALUE!</v>
      </c>
      <c r="CK157" s="1587" t="e">
        <f aca="false">IF(BS157,IF(BR157,SQRT(LN(1+((CA157*BH157)^2*(EXP(CG157^2*BT157)-1)+(CB157*BI157)^2*(EXP(CH157^2*BT157)-1)+(CC157*BJ157)^2*(EXP(CI157^2*BT157)-1)+2*CA157*BH157*CB157*BI157*(EXP(CG157*CH157*BT157)-1)+2*CB157*BI157*CC157*BJ157*(EXP(CH157*CI157*BT157)-1)+2*CC157*BJ157*CA157*BH157*(EXP(CI157*CG157*BT157)-1))/(CE157*BR157)^2)/BT157),0),"")</f>
        <v>#VALUE!</v>
      </c>
      <c r="CL157" s="1587" t="e">
        <f aca="false">IF(OR(BQ157,BS157),IF(OVolType&lt;&gt;2,SQRT(IF(OVolOverMonthlyOffPeak,OVolOverMonthlyOffPeak,IF(OVolCurve,IF(OBuySell,AD157,AF157),AE157))^2*(1-15/365.25/BT157)+IF(OVolOverDailyOffPeak,OVolOverDailyOffPeak,IF(OVolCurve,IF(OBuySell,AP157,AR157),AQ157))^2*15/365.25/BT157),IF(OVolOverMonthlyOffPeak,OVolOverMonthlyOffPeak,IF(OVolCurve,IF(OBuySell,AD157,AF157),AE157))),"")</f>
        <v>#VALUE!</v>
      </c>
      <c r="CM157" s="1587" t="e">
        <f aca="false">IF(BQ157,SQRT(LN(1+((BY157*BP157)^2*(EXP(CJ157^2*BT157)-1)+(BX157*BC157)^2*(EXP(CL157^2*BT157)-1)+2*BY157*BP157*BX157*BC157*(EXP(AS157*CJ157*CL157*BT157)-1))/(BY157*BP157+BX157*BC157)^2)/BT157),"")</f>
        <v>#VALUE!</v>
      </c>
      <c r="CN157" s="1588" t="e">
        <f aca="false">IF(BS157,SQRT(LN(1+((CE157*BR157)^2*(EXP(CK157^2*BT157)-1)+(CD157*BK157)^2*(EXP(CL157^2*BT157)-1)+2*CE157*BR157*CD157*BK157*(EXP(AS157*CK157*CL157*BT157)-1))/(CE157*BR157+CD157*BK157)^2)/BT157),"")</f>
        <v>#VALUE!</v>
      </c>
      <c r="CO157" s="1531" t="e">
        <f aca="false">IF(OR(BQ157,BS157),VLOOKUP(A157,GasTable,13)*HeatRatePeak*(1+VLOOKUP($B157,HeatRateDegradation,$C157+1))/1000,0)</f>
        <v>#VALUE!</v>
      </c>
      <c r="CP157" s="1316" t="e">
        <f aca="false">IF(OR(BQ157,BS157),VLOOKUP(A157,GasTable,13)*HeatRatePeak*(1+VLOOKUP($B157,HeatRateDegradation,$C157+1))/1000,0)</f>
        <v>#VALUE!</v>
      </c>
      <c r="CQ157" s="1316" t="e">
        <f aca="false">IF(OR(BQ157,BS157),VLOOKUP(A157,GasTable,13)*IF(EV157,HeatRatePeak,HeatRateOffPeak)*(1+VLOOKUP($B157,HeatRateDegradation,$C157+1))/1000,0)</f>
        <v>#VALUE!</v>
      </c>
      <c r="CR157" s="1316" t="e">
        <f aca="false">IF(OR(BQ157,BS157),VLOOKUP(A157,GasTable,13)*IF(EW157,HeatRatePeak,HeatRateOffPeak)*(1+VLOOKUP($B157,HeatRateDegradation,$C157+1))/1000,0)</f>
        <v>#VALUE!</v>
      </c>
      <c r="CS157" s="1589" t="e">
        <f aca="false">IF(BQ157,(CO157*AZ157+CP157*BA157+CQ157*BB157+CR157*BC157)/BQ157,0)</f>
        <v>#VALUE!</v>
      </c>
      <c r="CT157" s="1316" t="e">
        <f aca="false">IF(BS157,CO157,0)</f>
        <v>#VALUE!</v>
      </c>
      <c r="CU157" s="1590" t="e">
        <f aca="false">IF(OR(BQ157,BS157),VLOOKUP(A157,GasTable,14),"")</f>
        <v>#VALUE!</v>
      </c>
      <c r="CV157" s="1568" t="e">
        <f aca="false">IF(OR(BQ157,BS157),IF(CorrPowerGasOverFlag,INDEX(CorrPowerGasOver,C157),CorrPowerGas),"")</f>
        <v>#VALUE!</v>
      </c>
      <c r="CW157" s="1316" t="e">
        <f aca="false">IF(OR($BQ157,$BS157),SpreadOptPowerMargin,0)*((1+Assumptions!$C$26)^($B157-YEAR(Assumptions!$C$17)))</f>
        <v>#VALUE!</v>
      </c>
      <c r="CX157" s="1316" t="e">
        <f aca="false">IF(OR($BQ157,$BS157),SpreadOptPowerMargin,0)*((1+Assumptions!$C$26)^($B157-YEAR(Assumptions!$C$17)))</f>
        <v>#VALUE!</v>
      </c>
      <c r="CY157" s="1316" t="e">
        <f aca="false">IF(OR($BQ157,$BS157),SpreadOptPowerMargin,0)*((1+Assumptions!$C$26)^($B157-YEAR(Assumptions!$C$17)))</f>
        <v>#VALUE!</v>
      </c>
      <c r="CZ157" s="1316" t="e">
        <f aca="false">IF(OR($BQ157,$BS157),SpreadOptPowerMargin,0)*((1+Assumptions!$C$26)^($B157-YEAR(Assumptions!$C$17)))</f>
        <v>#VALUE!</v>
      </c>
      <c r="DA157" s="1591" t="e">
        <f aca="false">IF(OR(BQ157,BS157),(CW157*(AZ157+BH157)+CX157*(BA157+BI157)+CY157*(BB157+BJ157)+CZ157*(BC157+BK157))/(BQ157+BS157),0)</f>
        <v>#VALUE!</v>
      </c>
      <c r="DB157" s="1592" t="e">
        <f aca="false">IF(OR(BQ157,BS157),CG157+IF(OVolSmile,VLOOKUP(MAX(-5,CO157+CW157-BU157),IF(OVolSmile=1,VolSmileBook,VolSmileModel),2),0),"")</f>
        <v>#VALUE!</v>
      </c>
      <c r="DC157" s="1592" t="e">
        <f aca="false">IF(OR(BQ157,BS157),CH157+IF(OVolSmile,VLOOKUP(MAX(-5,CP157+CW157-BV157),IF(OVolSmile=1,VolSmileBook,VolSmileModel),2),0),"")</f>
        <v>#VALUE!</v>
      </c>
      <c r="DD157" s="1592" t="e">
        <f aca="false">IF(OR(BQ157,BS157),CI157+IF(OVolSmile,VLOOKUP(MAX(-5,CQ157+CW157-BW157),IF(OVolSmile=1,VolSmileBook,VolSmileModel),2),0),"")</f>
        <v>#VALUE!</v>
      </c>
      <c r="DE157" s="1592" t="e">
        <f aca="false">IF(OR(BQ157,BS157),CL157+IF(OVolSmile,VLOOKUP(MAX(-5,CR157+CZ157-BX157),IF(OVolSmile=1,VolSmileBook,VolSmileModel),2),0),"")</f>
        <v>#VALUE!</v>
      </c>
      <c r="DF157" s="1592" t="e">
        <f aca="false">IF(BQ157,CM157+IF(OVolSmile,VLOOKUP(MAX(-5,CS157+DA157-BZ157),IF(OVolSmile=1,VolSmileBook,VolSmileModel),2),0),"")</f>
        <v>#VALUE!</v>
      </c>
      <c r="DG157" s="1593" t="e">
        <f aca="false">IF(BS157,CN157+IF(OVolSmile,VLOOKUP(MAX(-5,CT157+DA157-CF157),IF(OVolSmile=1,VolSmileBook,VolSmileModel),2),0),"")</f>
        <v>#VALUE!</v>
      </c>
      <c r="DH157" s="1316" t="e">
        <f aca="false">IF(AND(BU157&gt;0,CO157&gt;0,DB157&gt;0,CU157&gt;0),newSPRDOPT(BU157,CO157,CW157,0,DB157,CU157,CV157,BT157*365.25,OCallPut,0),0)</f>
        <v>#VALUE!</v>
      </c>
      <c r="DI157" s="1316" t="e">
        <f aca="false">IF(AND(BV157&gt;0,CP157&gt;0,DC157&gt;0,CU157&gt;0),newSPRDOPT(BV157,CP157,CX157,0,DC157,CU157,CV157,BT157*365.25,OCallPut,0),0)</f>
        <v>#VALUE!</v>
      </c>
      <c r="DJ157" s="1316" t="e">
        <f aca="false">IF(AND(BW157&gt;0,CQ157&gt;0,DD157&gt;0,CU157&gt;0),newSPRDOPT(BW157,CQ157,CY157,0,DD157,CU157,CV157,BT157*365.25,OCallPut,0),0)</f>
        <v>#VALUE!</v>
      </c>
      <c r="DK157" s="1316" t="e">
        <f aca="false">IF(AND(BX157&gt;0,CR157&gt;0,DE157&gt;0,CU157&gt;0),newSPRDOPT(BX157,CR157,CZ157,0,DE157,CU157,CV157,BT157*365.25,OCallPut,0),0)</f>
        <v>#VALUE!</v>
      </c>
      <c r="DL157" s="1316" t="e">
        <f aca="false">IF(OVolType,IF(AND(BZ157&gt;0,CS157&gt;0,DF157&gt;0,CU157&gt;0),newSPRDOPT(BZ157,CS157,DA157,0,DF157,CU157,CV157,BT157*365.25,OCallPut,0),0),IF(BQ157,(DH157*AZ157+DI157*BA157+DJ157*BB157+DK157*BC157)/BQ157,0))</f>
        <v>#VALUE!</v>
      </c>
      <c r="DM157" s="1316"/>
      <c r="DN157" s="1316"/>
      <c r="DO157" s="1316"/>
      <c r="DP157" s="1316"/>
      <c r="DQ157" s="1316"/>
      <c r="DR157" s="1316"/>
      <c r="DS157" s="1316"/>
      <c r="DT157" s="1316"/>
      <c r="DU157" s="1316"/>
      <c r="DV157" s="1316"/>
      <c r="DW157" s="1594" t="e">
        <f aca="false">IF(AND(BW157&gt;0,CT157&gt;0,DD157&gt;0,CU157&gt;0),newSPRDOPT(BW157,CT157,CY157,0,DD157,CU157,CV157,BT157*365.25,OCallPut,0),0)</f>
        <v>#VALUE!</v>
      </c>
      <c r="DX157" s="1316" t="e">
        <f aca="false">IF(AND(BX157&gt;0,CT157&gt;0,DE157&gt;0,CU157&gt;0),newSPRDOPT(BX157,CT157,CZ157,0,DE157,CU157,CV157,BT157*365.25,OCallPut,0),0)</f>
        <v>#VALUE!</v>
      </c>
      <c r="DY157" s="1591" t="e">
        <f aca="false">IF(BS157,(DH157*BH157+DI157*BI157+DW157*BJ157+DX157*BK157)/BS157,0)</f>
        <v>#VALUE!</v>
      </c>
      <c r="DZ157" s="1551" t="e">
        <f aca="false">DH157*AZ157</f>
        <v>#VALUE!</v>
      </c>
      <c r="EA157" s="1551" t="e">
        <f aca="false">DI157*BA157</f>
        <v>#VALUE!</v>
      </c>
      <c r="EB157" s="1551" t="e">
        <f aca="false">DJ157*BB157</f>
        <v>#VALUE!</v>
      </c>
      <c r="EC157" s="1551" t="e">
        <f aca="false">DK157*BC157</f>
        <v>#VALUE!</v>
      </c>
      <c r="ED157" s="1551" t="e">
        <f aca="false">DL157*BQ157</f>
        <v>#VALUE!</v>
      </c>
      <c r="EE157" s="1595" t="e">
        <f aca="false">IF(BQ157,IF(OCallPut,IF(BU157&gt;(CO157+CW157),BU157-(CO157+CW157),0),IF((CO157+CW157)&gt;BU157,(CO157+CW157)-BU157,0))*AZ157,0)</f>
        <v>#VALUE!</v>
      </c>
      <c r="EF157" s="1596" t="e">
        <f aca="false">IF(BQ157,IF(OCallPut,IF(BV157&gt;(CP157+CX157),BV157-(CP157+CX157),0),IF((CP157+CX157)&gt;BV157,(CP157+CX157)-BV157,0))*BA157,0)</f>
        <v>#VALUE!</v>
      </c>
      <c r="EG157" s="1596" t="e">
        <f aca="false">IF(BQ157,IF(OCallPut,IF(BW157&gt;(CQ157+CY157),BW157-(CQ157+CY157),0),IF((CQ157+CY157)&gt;BW157,(CQ157+CY157)-BW157,0))*BB157,0)</f>
        <v>#VALUE!</v>
      </c>
      <c r="EH157" s="1596" t="e">
        <f aca="false">IF(BQ157,IF(OCallPut,IF(BX157&gt;(CR157+CZ157),BX157-(CR157+CZ157),0),IF((CR157+CZ157)&gt;BX157,(CR157+CZ157)-BX157,0))*BC157,0)</f>
        <v>#VALUE!</v>
      </c>
      <c r="EI157" s="1597" t="e">
        <f aca="false">IF(BQ157,IF(OVolType,IF(OCallPut,IF(BZ157&gt;(CS157+DA157),BZ157-(CS157+DA157),0),IF((CS157+DA157)&gt;BZ157,(CS157+DA157)-BZ157,0))*BQ157,SUM(EE157:EH157)),0)</f>
        <v>#VALUE!</v>
      </c>
      <c r="EJ157" s="1595" t="e">
        <f aca="false">DZ157-EE157</f>
        <v>#VALUE!</v>
      </c>
      <c r="EK157" s="1596" t="e">
        <f aca="false">EA157-EF157</f>
        <v>#VALUE!</v>
      </c>
      <c r="EL157" s="1596" t="e">
        <f aca="false">EB157-EG157</f>
        <v>#VALUE!</v>
      </c>
      <c r="EM157" s="1596" t="e">
        <f aca="false">EC157-EH157</f>
        <v>#VALUE!</v>
      </c>
      <c r="EN157" s="1597" t="e">
        <f aca="false">ED157-EI157</f>
        <v>#VALUE!</v>
      </c>
      <c r="EO157" s="1551" t="e">
        <f aca="false">DH157*BH157</f>
        <v>#VALUE!</v>
      </c>
      <c r="EP157" s="1551" t="e">
        <f aca="false">DI157*BI157</f>
        <v>#VALUE!</v>
      </c>
      <c r="EQ157" s="1551" t="e">
        <f aca="false">DW157*BJ157</f>
        <v>#VALUE!</v>
      </c>
      <c r="ER157" s="1551" t="e">
        <f aca="false">DX157*BK157</f>
        <v>#VALUE!</v>
      </c>
      <c r="ES157" s="1551" t="e">
        <f aca="false">DY157*BS157</f>
        <v>#VALUE!</v>
      </c>
      <c r="ET157" s="1566" t="e">
        <f aca="false">IF(EI157,IF(OCallPut,IF(CA157&gt;(CT157+CW157),CA157-(CT157+CW157),0),IF((CT157+CW157)&gt;CA157,(CT157+CW157)-CA157,0))*BH157,0)</f>
        <v>#VALUE!</v>
      </c>
      <c r="EU157" s="1551" t="e">
        <f aca="false">IF(EI157,IF(OCallPut,IF(CB157&gt;(CT157+CX157),CB157-(CT157+CX157),0),IF((CT157+CX157)&gt;CB157,(CT157+CX157)-CB157,0))*BI157,0)</f>
        <v>#VALUE!</v>
      </c>
      <c r="EV157" s="1551" t="e">
        <f aca="false">IF(EI157,IF(OCallPut,IF(CC157&gt;(CT157+CY157),CC157-(CT157+CY157),0),IF((CT157+CY157)&gt;CC157,(CT157+CY157)-CC157,0))*BJ157,0)</f>
        <v>#VALUE!</v>
      </c>
      <c r="EW157" s="1551" t="e">
        <f aca="false">IF(EI157,IF(OCallPut,IF(CD157&gt;(CT157+CZ157),CD157-(CT157+CZ157),0),IF((CT157+CZ157)&gt;CD157,(CT157+CZ157)-CD157,0))*BK157,0)</f>
        <v>#VALUE!</v>
      </c>
      <c r="EX157" s="1558" t="e">
        <f aca="false">IF(EI157,SUM(ET157:EW157),0)</f>
        <v>#VALUE!</v>
      </c>
      <c r="EY157" s="1551" t="e">
        <f aca="false">EO157-ET157</f>
        <v>#VALUE!</v>
      </c>
      <c r="EZ157" s="1551" t="e">
        <f aca="false">EP157-EU157</f>
        <v>#VALUE!</v>
      </c>
      <c r="FA157" s="1551" t="e">
        <f aca="false">EQ157-EV157</f>
        <v>#VALUE!</v>
      </c>
      <c r="FB157" s="1551" t="e">
        <f aca="false">ER157-EW157</f>
        <v>#VALUE!</v>
      </c>
      <c r="FC157" s="1551" t="e">
        <f aca="false">ES157-EX157</f>
        <v>#VALUE!</v>
      </c>
      <c r="FD157" s="1525" t="n">
        <f aca="false">IF(AX157,IF(VLOOKUP(C157,MAIN!$L$17:$M$28,2)="Yes",VLOOKUP(CALC!B157,MAIN!$H$17:$I$20,2),0),0)</f>
        <v>0</v>
      </c>
      <c r="FE157" s="1552" t="e">
        <f aca="false">$FD157*16*AT157*(1-$AY157)</f>
        <v>#VALUE!</v>
      </c>
      <c r="FF157" s="1553" t="e">
        <f aca="false">$FD157*16*AU157*(1-$AY157)</f>
        <v>#VALUE!</v>
      </c>
      <c r="FG157" s="1553" t="e">
        <f aca="false">$FD157*16*(AV157+AW157)*(1-$AY157)</f>
        <v>#VALUE!</v>
      </c>
      <c r="FH157" s="1554" t="n">
        <f aca="false">$FD157*8*AX157*(1-$AY157)</f>
        <v>0</v>
      </c>
      <c r="FI157" s="1555" t="n">
        <f aca="false">IF(AX157,VLOOKUP(CALC!B157,MAIN!$H$17:$K$20,4),0)</f>
        <v>0</v>
      </c>
      <c r="FJ157" s="1553" t="e">
        <f aca="false">SUM(FE157:FH157)</f>
        <v>#VALUE!</v>
      </c>
      <c r="FK157" s="1556" t="e">
        <f aca="false">FI157*FJ157</f>
        <v>#VALUE!</v>
      </c>
      <c r="FL157" s="1551" t="e">
        <f aca="false">IF($EI157&gt;0,MIN(FE157,AZ157*(1+VLOOKUP($C157,WeatherCapacityAdjustment,2))),0)</f>
        <v>#VALUE!</v>
      </c>
      <c r="FM157" s="1551" t="e">
        <f aca="false">IF($EI157&gt;0,MIN(FF157,BA157*(1+VLOOKUP($C157,WeatherCapacityAdjustment,2))),0)</f>
        <v>#VALUE!</v>
      </c>
      <c r="FN157" s="1551" t="e">
        <f aca="false">IF($EI157&gt;0,MIN(FG157,BB157*(1+VLOOKUP($C157,WeatherCapacityAdjustment,2))),0)</f>
        <v>#VALUE!</v>
      </c>
      <c r="FO157" s="1564" t="e">
        <f aca="false">IF($EI157&gt;0,MIN(FH157,BC157*(1+VLOOKUP($C157,WeatherCapacityAdjustment,3))),0)</f>
        <v>#VALUE!</v>
      </c>
      <c r="FP157" s="1551" t="e">
        <f aca="false">IF(ET157&gt;0,MIN(FE157-FL157,BH157*(1+VLOOKUP($C157,WeatherCapacityAdjustment,2))),0)</f>
        <v>#VALUE!</v>
      </c>
      <c r="FQ157" s="1551" t="e">
        <f aca="false">IF(EU157&gt;0,MIN(FF157-FM157,BI157*(1+VLOOKUP($C157,WeatherCapacityAdjustment,2))),0)</f>
        <v>#VALUE!</v>
      </c>
      <c r="FR157" s="1551" t="e">
        <f aca="false">IF(EV157&gt;0,MIN(FG157-FN157,BJ157*(1+VLOOKUP($C157,WeatherCapacityAdjustment,2))),0)</f>
        <v>#VALUE!</v>
      </c>
      <c r="FS157" s="1558" t="e">
        <f aca="false">IF(EW157&gt;0,MIN(FH157-FO157,BK157*(1+VLOOKUP($C157,WeatherCapacityAdjustment,3))),0)</f>
        <v>#VALUE!</v>
      </c>
      <c r="FT157" s="1566" t="e">
        <f aca="false">IF(AND(Assumptions!$H$71="Yes",A157&gt;=Assumptions!$H$72,A157&lt;=Assumptions!$H$73),0,IF(AND($A157&gt;=Assumptions!$C$17,$A157&lt;=Assumptions!$C$18),MAX(AZ157*(1+VLOOKUP($C157,WeatherCapacityAdjustment,2))-FL157,0),0))</f>
        <v>#VALUE!</v>
      </c>
      <c r="FU157" s="1551" t="e">
        <f aca="false">IF(AND(Assumptions!$H$71="Yes",A157&gt;=Assumptions!$H$72,A157&lt;=Assumptions!$H$73),0,IF(AND($A157&gt;=Assumptions!$C$17,$A157&lt;=Assumptions!$C$18),MAX(BA157*(1+VLOOKUP($C157,WeatherCapacityAdjustment,2))-FM157,0),0))</f>
        <v>#VALUE!</v>
      </c>
      <c r="FV157" s="1551" t="e">
        <f aca="false">IF(AND(Assumptions!$H$71="Yes",A157&gt;=Assumptions!$H$72,A157&lt;=Assumptions!$H$73),0,IF(AND($A157&gt;=Assumptions!$C$17,$A157&lt;=Assumptions!$C$18),MAX(BB157*(1+VLOOKUP($C157,WeatherCapacityAdjustment,2))-FN157,0),0))</f>
        <v>#VALUE!</v>
      </c>
      <c r="FW157" s="1564" t="e">
        <f aca="false">IF(AND(Assumptions!$H$71="Yes",A157&gt;=Assumptions!$H$72,A157&lt;=Assumptions!$H$73),0,IF(AND($A157&gt;=Assumptions!$C$17,$A157&lt;=Assumptions!$C$18),MAX(BC157*(1+VLOOKUP($C157,WeatherCapacityAdjustment,3))-FO157,0),0))</f>
        <v>#VALUE!</v>
      </c>
      <c r="FX157" s="1569" t="e">
        <f aca="false">IF(AND(Assumptions!$H$71="Yes",A157&gt;=Assumptions!$H$72,A157&lt;=Assumptions!$H$73),0,IF(ET157&gt;0,MAX(BH157*(1+VLOOKUP($C157,WeatherCapacityAdjustment,2))-FP157,0),0))</f>
        <v>#VALUE!</v>
      </c>
      <c r="FY157" s="1551" t="e">
        <f aca="false">IF(AND(Assumptions!$H$71="Yes",A157&gt;=Assumptions!$H$72,A157&lt;=Assumptions!$H$73),0,IF(EU157&gt;0,MAX(BI157*(1+VLOOKUP($C157,WeatherCapacityAdjustment,3))-FQ157,0),0))</f>
        <v>#VALUE!</v>
      </c>
      <c r="FZ157" s="1551" t="e">
        <f aca="false">IF(AND(Assumptions!$H$71="Yes",A157&gt;=Assumptions!$H$72,A157&lt;=Assumptions!$H$73),0,IF(EV157&gt;0,MAX(BJ157*(1+VLOOKUP($C157,WeatherCapacityAdjustment,2))-FR157,0),0))</f>
        <v>#VALUE!</v>
      </c>
      <c r="GA157" s="1564" t="e">
        <f aca="false">IF(AND(Assumptions!$H$71="Yes",A157&gt;=Assumptions!$H$72,A157&lt;=Assumptions!$H$73),0,IF(EW157&gt;0,MAX(BK157*(1+VLOOKUP($C157,WeatherCapacityAdjustment,2))-FS157,0),0))</f>
        <v>#VALUE!</v>
      </c>
      <c r="GB157" s="1551" t="e">
        <f aca="false">SUM(FT157:GA157)</f>
        <v>#VALUE!</v>
      </c>
      <c r="GC157" s="1563" t="e">
        <f aca="false">+IF(SUM(FT157:GA157)=0,0,(SUMPRODUCT(BU157:BX157,FT157:FW157)+SUMPRODUCT(CA157:CD157,FX157:GA157))/SUM(FT157:GA157))</f>
        <v>#VALUE!</v>
      </c>
      <c r="GD157" s="1551" t="e">
        <f aca="false">(FT157*BU157+FX157*CA157+FU157*BV157+FY157*CB157+FV157*BW157+FZ157*CC157+FW157*BX157+GA157*CD157)</f>
        <v>#VALUE!</v>
      </c>
      <c r="GE157" s="1561" t="e">
        <f aca="false">+IF(BQ157,((FL157+FM157+FT157+FU157)*HeatRatePeak/1000*(1+VLOOKUP($C157,WeatherHeatRateAdjustment,2))+(FN157+FV157)*IF(EV157&gt;0,HeatRatePeak,HeatRateOffPeak)/1000*(1+VLOOKUP($C157,WeatherHeatRateAdjustment,2))+(FO157+FW157)*IF(EW157&gt;0,HeatRatePeak,HeatRateOffPeak)/1000*(1+VLOOKUP($C157,WeatherHeatRateAdjustment,3)))*(1+VLOOKUP($B157,HeatRateDegradation,$C157+1)),0)</f>
        <v>#VALUE!</v>
      </c>
      <c r="GF157" s="1562" t="e">
        <f aca="false">IF(BQ157,((FP157+FQ157+FR157+FX157+FY157+FZ157)*HeatRatePeak/1000*(1+VLOOKUP($C157,WeatherHeatRateAdjustment,2))+(FS157+GA157)*HeatRatePeak/1000*(1+VLOOKUP($C157,WeatherHeatRateAdjustment,3)))*(1+VLOOKUP($B157,HeatRateDegradation,$C157+1)),0)</f>
        <v>#VALUE!</v>
      </c>
      <c r="GG157" s="1563" t="e">
        <f aca="false">IF(BQ157,VLOOKUP(A157,GasTable,13),0)</f>
        <v>#VALUE!</v>
      </c>
      <c r="GH157" s="1564" t="e">
        <f aca="false">(GE157+GF157)*GG157</f>
        <v>#VALUE!</v>
      </c>
      <c r="GI157" s="1569" t="e">
        <f aca="false">GB157</f>
        <v>#VALUE!</v>
      </c>
      <c r="GJ157" s="1598" t="e">
        <f aca="false">+DA157</f>
        <v>#VALUE!</v>
      </c>
      <c r="GK157" s="1558" t="e">
        <f aca="false">+GI157*GJ157</f>
        <v>#VALUE!</v>
      </c>
      <c r="GL157" s="1566" t="e">
        <f aca="false">MAX(FE157-FL157-FP157,0)</f>
        <v>#VALUE!</v>
      </c>
      <c r="GM157" s="1551" t="e">
        <f aca="false">MAX(FF157-FM157-FQ157,0)</f>
        <v>#VALUE!</v>
      </c>
      <c r="GN157" s="1551" t="e">
        <f aca="false">MAX(FG157-FN157-FR157,0)</f>
        <v>#VALUE!</v>
      </c>
      <c r="GO157" s="1564" t="e">
        <f aca="false">MAX(FH157-FO157-FS157,0)</f>
        <v>#VALUE!</v>
      </c>
      <c r="GP157" s="1551" t="e">
        <f aca="false">SUM(GL157:GO157)</f>
        <v>#VALUE!</v>
      </c>
      <c r="GQ157" s="1563" t="e">
        <f aca="false">IF(SUM(GL157:GO157)=0,0,((GL157*BU157+GM157*BV157+GN157*BW157+GO157*BX157)/SUM(GL157:GO157)))</f>
        <v>#VALUE!</v>
      </c>
      <c r="GR157" s="1558" t="e">
        <f aca="false">(GL157*BU157+GM157*BV157+GN157*BW157+GO157*BX157)</f>
        <v>#VALUE!</v>
      </c>
      <c r="GS157" s="1566" t="n">
        <f aca="false">IF($A157&gt;=BegDate,Assumptions!$C$56*24*($A158-$A157)*(1-VLOOKUP($B157,MAIN!$AA$7:$AM$28,$C157+1))*(1-VLOOKUP($B157,MAIN!$AA$33:$AM$54,$C157+1)),0)*80/168</f>
        <v>257742.857142857</v>
      </c>
      <c r="GT157" s="286" t="n">
        <f aca="false">J157</f>
        <v>53.9762439524025</v>
      </c>
      <c r="GU157" s="286" t="n">
        <f aca="false">IF($A157&gt;=BegDate,VLOOKUP($A157,GasTable,13)+Assumptions!$C$58,0)</f>
        <v>3.40396620429541</v>
      </c>
      <c r="GV157" s="286" t="n">
        <f aca="false">GU157*Assumptions!$C$57/1000</f>
        <v>24.6787549811417</v>
      </c>
      <c r="GW157" s="1558" t="n">
        <f aca="false">IF(Assumptions!$C$60="Hourly",MAX(0,GS157*(GT157-GV157)),GS157*(GT157-GV157))</f>
        <v>7551218.5145641</v>
      </c>
      <c r="GX157" s="1566" t="n">
        <f aca="false">IF($A157&gt;=BegDate,Assumptions!$C$56*24*($A158-$A157)*(1-VLOOKUP($B157,MAIN!$AA$7:$AM$28,$C157+1))*(1-VLOOKUP($B157,MAIN!$AA$33:$AM$54,$C157+1)),0)*16/168</f>
        <v>51548.5714285714</v>
      </c>
      <c r="GY157" s="286" t="n">
        <f aca="false">M157</f>
        <v>53.9762439524025</v>
      </c>
      <c r="GZ157" s="286" t="n">
        <f aca="false">IF($A157&gt;=BegDate,VLOOKUP($A157,GasTable,13)+Assumptions!$C$58,0)</f>
        <v>3.40396620429541</v>
      </c>
      <c r="HA157" s="286" t="n">
        <f aca="false">GZ157*Assumptions!$C$57/1000</f>
        <v>24.6787549811417</v>
      </c>
      <c r="HB157" s="1558" t="n">
        <f aca="false">IF(Assumptions!$C$60="Hourly",MAX(0,GX157*(GY157-HA157)),GX157*(GY157-HA157))</f>
        <v>1510243.70291282</v>
      </c>
      <c r="HC157" s="1566" t="n">
        <f aca="false">IF($A157&gt;=BegDate,Assumptions!$C$56*24*($A158-$A157)*(1-VLOOKUP($B157,MAIN!$AA$7:$AM$28,$C157+1))*(1-VLOOKUP($B157,MAIN!$AA$33:$AM$54,$C157+1)),0)*16/168</f>
        <v>51548.5714285714</v>
      </c>
      <c r="HD157" s="286" t="n">
        <f aca="false">P157</f>
        <v>32.1362324807793</v>
      </c>
      <c r="HE157" s="286" t="n">
        <f aca="false">IF($A157&gt;=BegDate,VLOOKUP($A157,GasTable,13)+Assumptions!$C$58,0)</f>
        <v>3.40396620429541</v>
      </c>
      <c r="HF157" s="286" t="n">
        <f aca="false">HE157*Assumptions!$C$57/1000</f>
        <v>24.6787549811417</v>
      </c>
      <c r="HG157" s="1558" t="n">
        <f aca="false">IF(Assumptions!$C$60="Hourly",MAX(0,HC157*(HD157-HF157)),HC157*(HD157-HF157))</f>
        <v>384422.311567031</v>
      </c>
      <c r="HH157" s="1566" t="n">
        <f aca="false">IF($A157&gt;=BegDate,Assumptions!$C$56*24*($A158-$A157)*(1-VLOOKUP($B157,MAIN!$AA$7:$AM$28,$C157+1))*(1-VLOOKUP($B157,MAIN!$AA$33:$AM$54,$C157+1)),0)*56/168</f>
        <v>180420</v>
      </c>
      <c r="HI157" s="286" t="n">
        <f aca="false">S157</f>
        <v>32.1362324807793</v>
      </c>
      <c r="HJ157" s="286" t="n">
        <f aca="false">IF($A157&gt;=BegDate,VLOOKUP($A157,GasTable,13)+Assumptions!$C$58,0)</f>
        <v>3.40396620429541</v>
      </c>
      <c r="HK157" s="286" t="n">
        <f aca="false">HJ157*Assumptions!$C$57/1000</f>
        <v>24.6787549811417</v>
      </c>
      <c r="HL157" s="1558" t="n">
        <f aca="false">IF(Assumptions!$C$60="Hourly",MAX(0,HH157*(HI157-HK157)),HH157*(HI157-HK157))</f>
        <v>1345478.09048461</v>
      </c>
      <c r="HM157" s="1566" t="n">
        <f aca="false">IF(AND(Assumptions!$H$71="Yes",A157&gt;=Assumptions!$H$72,A157&lt;=Assumptions!$H$73),Assumptions!$H$74*Assumptions!$C$9*1000,0)</f>
        <v>0</v>
      </c>
      <c r="HN157" s="1551"/>
      <c r="HO157" s="1563"/>
      <c r="HP157" s="1563"/>
      <c r="HQ157" s="1563"/>
      <c r="HR157" s="1563"/>
      <c r="HS157" s="1563"/>
      <c r="HT157" s="1563"/>
      <c r="HU157" s="1563"/>
      <c r="HV157" s="1563"/>
      <c r="HW157" s="1563"/>
      <c r="HX157" s="1563"/>
      <c r="HY157" s="1563"/>
      <c r="HZ157" s="1563"/>
      <c r="IA157" s="1563"/>
      <c r="IB157" s="1563"/>
      <c r="IC157" s="1563"/>
      <c r="ID157" s="1563"/>
      <c r="IE157" s="1563"/>
      <c r="IF157" s="1563"/>
      <c r="IG157" s="1563"/>
      <c r="IH157" s="1563"/>
      <c r="II157" s="1610"/>
      <c r="IJ157" s="1309"/>
      <c r="IK157" s="1309"/>
    </row>
    <row r="158" customFormat="false" ht="12.75" hidden="false" customHeight="false" outlineLevel="0" collapsed="false">
      <c r="A158" s="1571" t="n">
        <f aca="false">EOMONTH(A157,0)+1</f>
        <v>40940</v>
      </c>
      <c r="B158" s="594" t="n">
        <f aca="false">+YEAR(A158)</f>
        <v>2012</v>
      </c>
      <c r="C158" s="238" t="n">
        <f aca="false">MONTH(A158)</f>
        <v>2</v>
      </c>
      <c r="D158" s="1572" t="e">
        <f aca="false">IF(E158="","",Holiday(B158,C158))</f>
        <v>#VALUE!</v>
      </c>
      <c r="E158" s="1573" t="n">
        <f aca="false">IF(OR(BegDate&gt;=A159,EndDate&lt;A158,AND(VolumeMonthlyOverFlag,INDEX(VolumeMonthlyOver,C158)=0),NOT(INDEX(MonthKnockOutTable,C158))),"",MAX(A158,BegDate))</f>
        <v>40940</v>
      </c>
      <c r="F158" s="1574" t="n">
        <f aca="false">IF(E158="","",MIN(A159-1,EndDate))</f>
        <v>40968</v>
      </c>
      <c r="G158" s="1575" t="n">
        <v>0</v>
      </c>
      <c r="H158" s="1576" t="n">
        <f aca="false">(1+G158/2)^(-2*(DATE(B159,C159,20)-DateToday)/365.25)</f>
        <v>1</v>
      </c>
      <c r="I158" s="1568" t="n">
        <f aca="false">IF(Assumptions!$L$25=4,VLOOKUP($A158,'Henwood Reference'!$E$9:$R$320,10),(VLOOKUP($A158,PriceTable,2,0)+IF(BasisNumber&lt;&gt;1,VLOOKUP($A158,BasisTable,2,0),0)+I$1)/(1-I$2))</f>
        <v>43.3703182970143</v>
      </c>
      <c r="J158" s="1568" t="n">
        <f aca="false">IF(Assumptions!$L$25=4,VLOOKUP($A158,'Henwood Reference'!$E$9:$R$320,10),(VLOOKUP($A158,PriceTable,3,0)+IF(BasisNumber&lt;&gt;1,VLOOKUP($A158,BasisTable,2,0),0)+J$1)/(1-J$2))</f>
        <v>43.3703182970143</v>
      </c>
      <c r="K158" s="1568" t="n">
        <f aca="false">IF(Assumptions!$L$25=4,VLOOKUP($A158,'Henwood Reference'!$E$9:$R$320,10),(VLOOKUP($A158,PriceTable,4,0)+IF(BasisNumber&lt;&gt;1,VLOOKUP($A158,BasisTable,2,0),0)+K$1)/(1-K$2))</f>
        <v>43.3703182970143</v>
      </c>
      <c r="L158" s="1523" t="n">
        <f aca="false">IF(Assumptions!$L$25=4,VLOOKUP($A158,'Henwood Reference'!$E$9:$R$320,10),(VLOOKUP($A158,PriceTableWeekend,2,0)+IF(BasisNumber&lt;&gt;1,VLOOKUP($A158,BasisTable,2,0),0)+L$1)/(1-L$2))</f>
        <v>43.3703182970143</v>
      </c>
      <c r="M158" s="1568" t="n">
        <f aca="false">IF(Assumptions!$L$25=4,VLOOKUP($A158,'Henwood Reference'!$E$9:$R$320,10),(VLOOKUP($A158,PriceTableWeekend,3,0)+IF(BasisNumber&lt;&gt;1,VLOOKUP($A158,BasisTable,2,0),0)+M$1)/(1-M$2))</f>
        <v>43.3703182970143</v>
      </c>
      <c r="N158" s="1599" t="n">
        <f aca="false">IF(Assumptions!$L$25=4,VLOOKUP($A158,'Henwood Reference'!$E$9:$R$320,10),(VLOOKUP($A158,PriceTableWeekend,4,0)+IF(BasisNumber&lt;&gt;1,VLOOKUP($A158,BasisTable,2,0),0)+N$1)/(1-N$2))</f>
        <v>43.3703182970143</v>
      </c>
      <c r="O158" s="1568" t="n">
        <f aca="false">IF(Assumptions!$L$25=4,VLOOKUP($A158,'Henwood Reference'!$E$9:$R$320,11),(VLOOKUP($A158,PriceTableWeekend,6,0)+IF(BasisNumber&lt;&gt;1,VLOOKUP($A158,BasisTable,3,0),0)+O$1)/(1-O$2))</f>
        <v>27.4703709185836</v>
      </c>
      <c r="P158" s="1568" t="n">
        <f aca="false">IF(Assumptions!$L$25=4,VLOOKUP($A158,'Henwood Reference'!$E$9:$R$320,11),(VLOOKUP($A158,PriceTableWeekend,7,0)+IF(BasisNumber&lt;&gt;1,VLOOKUP($A158,BasisTable,3,0),0)+P$1)/(1-P$2))</f>
        <v>27.4703709185836</v>
      </c>
      <c r="Q158" s="1599" t="n">
        <f aca="false">IF(Assumptions!$L$25=4,VLOOKUP($A158,'Henwood Reference'!$E$9:$R$320,11),(VLOOKUP($A158,PriceTableWeekend,8,0)+IF(BasisNumber&lt;&gt;1,VLOOKUP($A158,BasisTable,3,0),0)+Q$1)/(1-Q$2))</f>
        <v>27.4703709185836</v>
      </c>
      <c r="R158" s="1568" t="n">
        <f aca="false">IF(Assumptions!$L$25=4,VLOOKUP($A158,'Henwood Reference'!$E$9:$R$320,11),(VLOOKUP($A158,PriceTable,6,0)+IF(BasisNumber&lt;&gt;1,VLOOKUP($A158,BasisTable,3,0),0)+R$1)/(1-R$2))</f>
        <v>27.4703709185836</v>
      </c>
      <c r="S158" s="1568" t="n">
        <f aca="false">IF(Assumptions!$L$25=4,VLOOKUP($A158,'Henwood Reference'!$E$9:$R$320,11),(VLOOKUP($A158,PriceTable,7,0)+IF(BasisNumber&lt;&gt;1,VLOOKUP($A158,BasisTable,3,0),0)+S$1)/(1-S$2))</f>
        <v>27.4703709185836</v>
      </c>
      <c r="T158" s="1600" t="n">
        <f aca="false">IF(Assumptions!$L$25=4,VLOOKUP($A158,'Henwood Reference'!$E$9:$R$320,11),(VLOOKUP($A158,PriceTable,8,0)+IF(BasisNumber&lt;&gt;1,VLOOKUP($A158,BasisTable,3,0),0)+T$1)/(1-T$2))</f>
        <v>27.4703709185836</v>
      </c>
      <c r="U158" s="1513" t="n">
        <f aca="false">VLOOKUP($A158,VolatilityTable,14)</f>
        <v>0.11</v>
      </c>
      <c r="V158" s="1513" t="n">
        <f aca="false">VLOOKUP($A158,VolatilityTable,15)</f>
        <v>0.12</v>
      </c>
      <c r="W158" s="1514" t="n">
        <f aca="false">VLOOKUP($A158,VolatilityTable,16)</f>
        <v>0.13</v>
      </c>
      <c r="X158" s="1513" t="n">
        <f aca="false">VLOOKUP($A158,VolatilityTable,14)</f>
        <v>0.11</v>
      </c>
      <c r="Y158" s="1513" t="n">
        <f aca="false">VLOOKUP($A158,VolatilityTable,15)</f>
        <v>0.12</v>
      </c>
      <c r="Z158" s="1514" t="n">
        <f aca="false">VLOOKUP($A158,VolatilityTable,16)</f>
        <v>0.13</v>
      </c>
      <c r="AA158" s="1513" t="n">
        <f aca="false">VLOOKUP($A158,VolatilityTable,18)</f>
        <v>0.09</v>
      </c>
      <c r="AB158" s="1513" t="n">
        <f aca="false">VLOOKUP($A158,VolatilityTable,19)</f>
        <v>0.11</v>
      </c>
      <c r="AC158" s="1514" t="n">
        <f aca="false">VLOOKUP($A158,VolatilityTable,20)</f>
        <v>0.13</v>
      </c>
      <c r="AD158" s="1513" t="n">
        <f aca="false">VLOOKUP($A158,VolatilityTable,18)</f>
        <v>0.09</v>
      </c>
      <c r="AE158" s="1513" t="n">
        <f aca="false">VLOOKUP($A158,VolatilityTable,19)</f>
        <v>0.11</v>
      </c>
      <c r="AF158" s="1514" t="n">
        <f aca="false">VLOOKUP($A158,VolatilityTable,20)</f>
        <v>0.13</v>
      </c>
      <c r="AG158" s="1513" t="n">
        <f aca="false">VLOOKUP($A158,VolatilityTable,22)</f>
        <v>-0.25</v>
      </c>
      <c r="AH158" s="1513" t="n">
        <f aca="false">VLOOKUP($A158,VolatilityTable,23)</f>
        <v>0.65</v>
      </c>
      <c r="AI158" s="1514" t="n">
        <f aca="false">VLOOKUP($A158,VolatilityTable,24)</f>
        <v>0.25</v>
      </c>
      <c r="AJ158" s="1513" t="n">
        <f aca="false">VLOOKUP($A158,VolatilityTable,22)</f>
        <v>-0.25</v>
      </c>
      <c r="AK158" s="1513" t="n">
        <f aca="false">VLOOKUP($A158,VolatilityTable,23)</f>
        <v>0.65</v>
      </c>
      <c r="AL158" s="1514" t="n">
        <f aca="false">VLOOKUP($A158,VolatilityTable,24)</f>
        <v>0.25</v>
      </c>
      <c r="AM158" s="1513" t="n">
        <f aca="false">VLOOKUP($A158,VolatilityTable,26)</f>
        <v>-0.01</v>
      </c>
      <c r="AN158" s="1513" t="n">
        <f aca="false">VLOOKUP($A158,VolatilityTable,27)</f>
        <v>0.16</v>
      </c>
      <c r="AO158" s="1514" t="n">
        <f aca="false">VLOOKUP($A158,VolatilityTable,28)</f>
        <v>0.01</v>
      </c>
      <c r="AP158" s="1513" t="n">
        <f aca="false">VLOOKUP($A158,VolatilityTable,26)</f>
        <v>-0.01</v>
      </c>
      <c r="AQ158" s="1513" t="n">
        <f aca="false">VLOOKUP($A158,VolatilityTable,27)</f>
        <v>0.16</v>
      </c>
      <c r="AR158" s="1515" t="n">
        <f aca="false">VLOOKUP($A158,VolatilityTable,28)</f>
        <v>0.01</v>
      </c>
      <c r="AS158" s="1581" t="n">
        <f aca="false">IF(CorrPeakOffPeakOverFlag,INDEX(CorrPeakOffPeakOver,C158),CorrPeakOffPeak)</f>
        <v>0.5</v>
      </c>
      <c r="AT158" s="594" t="e">
        <f aca="false">AX158-SUM(AU158:AW158)</f>
        <v>#VALUE!</v>
      </c>
      <c r="AU158" s="238" t="e">
        <f aca="false">IF(E158="",0,INT((F158-MOD(F158,7)-E158)/7)+1-IF(AW158,IF(WEEKDAY(D158)=7,1,0),0))</f>
        <v>#VALUE!</v>
      </c>
      <c r="AV158" s="238" t="e">
        <f aca="false">IF(E158="",0,INT((F158-MOD(F158-1,7)-E158)/7)+1-IF(AW158,IF(WEEKDAY(D158)=1,1,0),0))</f>
        <v>#VALUE!</v>
      </c>
      <c r="AW158" s="238" t="e">
        <f aca="false">IF(OR(E158="",D158="",D158&lt;BegDate,D158&gt;EndDate),0,1)</f>
        <v>#VALUE!</v>
      </c>
      <c r="AX158" s="238" t="n">
        <f aca="false">IF(E158="",0,F158-E158+1)</f>
        <v>29</v>
      </c>
      <c r="AY158" s="1582" t="n">
        <f aca="false">IF(E158="",0,MIN((1-(1-VLOOKUP(B158,MAIN!$AA$7:$AM$28,C158+1))*(1-VLOOKUP(B158,MAIN!$AA$33:$AM$54,C158+1))),1))</f>
        <v>0.03</v>
      </c>
      <c r="AZ158" s="1519" t="e">
        <v>#VALUE!</v>
      </c>
      <c r="BA158" s="1520" t="e">
        <v>#VALUE!</v>
      </c>
      <c r="BB158" s="1520" t="e">
        <v>#VALUE!</v>
      </c>
      <c r="BC158" s="1583" t="e">
        <v>#VALUE!</v>
      </c>
      <c r="BD158" s="1522" t="e">
        <v>#VALUE!</v>
      </c>
      <c r="BE158" s="1523" t="e">
        <v>#VALUE!</v>
      </c>
      <c r="BF158" s="1523" t="e">
        <v>#VALUE!</v>
      </c>
      <c r="BG158" s="1584" t="e">
        <v>#VALUE!</v>
      </c>
      <c r="BH158" s="1525" t="e">
        <v>#VALUE!</v>
      </c>
      <c r="BI158" s="1520" t="e">
        <v>#VALUE!</v>
      </c>
      <c r="BJ158" s="1520" t="e">
        <v>#VALUE!</v>
      </c>
      <c r="BK158" s="1583" t="e">
        <v>#VALUE!</v>
      </c>
      <c r="BL158" s="1522" t="e">
        <v>#VALUE!</v>
      </c>
      <c r="BM158" s="1523" t="e">
        <v>#VALUE!</v>
      </c>
      <c r="BN158" s="1523" t="e">
        <v>#VALUE!</v>
      </c>
      <c r="BO158" s="1523" t="e">
        <v>#VALUE!</v>
      </c>
      <c r="BP158" s="1525" t="e">
        <f aca="false">SUM(AZ158:BB158)</f>
        <v>#VALUE!</v>
      </c>
      <c r="BQ158" s="1529" t="e">
        <f aca="false">SUM(AZ158:BC158)</f>
        <v>#VALUE!</v>
      </c>
      <c r="BR158" s="1519" t="e">
        <f aca="false">SUM(BH158:BJ158)</f>
        <v>#VALUE!</v>
      </c>
      <c r="BS158" s="1529" t="e">
        <f aca="false">SUM(BH158:BK158)</f>
        <v>#VALUE!</v>
      </c>
      <c r="BT158" s="1316" t="n">
        <f aca="false">(IF(OVolType&lt;&gt;2,A158+14,IF(OptExpDateShift,ShiftBack(A158,OptExpDateShift,D157),A158))-DateToday)/365.25</f>
        <v>11.8001368925394</v>
      </c>
      <c r="BU158" s="1585" t="e">
        <f aca="false">IF(BQ158,IF(OPriceCurve,IF(OBuySell=OCallPut,I158/(1-AY158),K158/(1-AY158)),J158/(1-AY158))*BD158,0)</f>
        <v>#VALUE!</v>
      </c>
      <c r="BV158" s="1316" t="e">
        <f aca="false">IF(BQ158,IF(OPriceCurve,IF(OBuySell=OCallPut,L158/(1-AY158),N158/(1-AY158)),M158/(1-AY158))*BE158,0)</f>
        <v>#VALUE!</v>
      </c>
      <c r="BW158" s="1316" t="e">
        <f aca="false">IF(BQ158,IF(OPriceCurve,IF(OBuySell=OCallPut,O158/(1-AY158),Q158/(1-AY158)),P158/(1-AY158))*BF158,0)</f>
        <v>#VALUE!</v>
      </c>
      <c r="BX158" s="1316" t="e">
        <f aca="false">IF(BQ158,IF(OPriceCurve,IF(OBuySell=OCallPut,R158/(1-AY158),T158/(1-AY158)),S158/(1-AY158))*BG158,0)</f>
        <v>#VALUE!</v>
      </c>
      <c r="BY158" s="1316" t="e">
        <f aca="false">IF(BP158,(BU158*AZ158+BV158*BA158+BW158*BB158)/BP158,0)</f>
        <v>#VALUE!</v>
      </c>
      <c r="BZ158" s="1316" t="e">
        <f aca="false">IF(BQ158,(BY158*BP158+BX158*BC158)/BQ158,0)</f>
        <v>#VALUE!</v>
      </c>
      <c r="CA158" s="1531" t="e">
        <f aca="false">IF(BS158,IF(OPriceCurve,IF(OBuySell=OCallPut,I158/(1-AY158),K158/(1-AY158)),J158/(1-AY158))*BL158,0)</f>
        <v>#VALUE!</v>
      </c>
      <c r="CB158" s="1316" t="e">
        <f aca="false">IF(BS158,IF(OPriceCurve,IF(OBuySell=OCallPut,L158/(1-AY158),N158/(1-AY158)),M158/(1-AY158))*BM158,0)</f>
        <v>#VALUE!</v>
      </c>
      <c r="CC158" s="1316" t="e">
        <f aca="false">IF(BS158,IF(OPriceCurve,IF(OBuySell=OCallPut,O158/(1-AY158),Q158/(1-AY158)),P158/(1-AY158))*BN158,0)</f>
        <v>#VALUE!</v>
      </c>
      <c r="CD158" s="1316" t="e">
        <f aca="false">IF(BS158,IF(OPriceCurve,IF(OBuySell=OCallPut,R158/(1-AY158),T158/(1-AY158)),S158/(1-AY158))*BO158,0)</f>
        <v>#VALUE!</v>
      </c>
      <c r="CE158" s="1316" t="e">
        <f aca="false">IF(BR158,(BU158*BH158+BV158*BI158+BW158*BJ158)/BR158,0)</f>
        <v>#VALUE!</v>
      </c>
      <c r="CF158" s="1532" t="e">
        <f aca="false">IF(BS158,(CE158*BR158+CD158*BK158)/BS158,0)</f>
        <v>#VALUE!</v>
      </c>
      <c r="CG158" s="1586" t="e">
        <f aca="false">IF(OR(BQ158,BS158),IF(OVolType&lt;&gt;2,SQRT(IF(OVolOverMonthlyPeak,OVolOverMonthlyPeak,IF(OVolCurve,IF(OBuySell,U158,W158),V158))^2*(1-15/365.25/BT158)+IF(OVolOverDailyPeak,OVolOverDailyPeak,IF(OVolCurve,IF(OBuySell,AG158,AI158),AH158))^2*15/365.25/BT158),IF(OVolOverMonthlyPeak,OVolOverMonthlyPeak,IF(OVolCurve,IF(OBuySell,U158,W158),V158))),"")</f>
        <v>#VALUE!</v>
      </c>
      <c r="CH158" s="1587" t="e">
        <f aca="false">IF(OR(BQ158,BS158),IF(OVolType&lt;&gt;2,SQRT(IF(OVolOverMonthlyPeak,OVolOverMonthlyPeak,IF(OVolCurve,IF(OBuySell,X158,Z158),Y158))^2*(1-15/365.25/BT158)+IF(OVolOverDailyPeak,OVolOverDailyPeak,IF(OVolCurve,IF(OBuySell,AJ158,AL158),AK158))^2*15/365.25/BT158),IF(OVolOverMonthlyPeak,OVolOverMonthlyPeak,IF(OVolCurve,IF(OBuySell,X158,Z158),Y158))),"")</f>
        <v>#VALUE!</v>
      </c>
      <c r="CI158" s="1587" t="e">
        <f aca="false">IF(OR(BQ158,BS158),IF(OVolType&lt;&gt;2,SQRT(IF(OVolOverMonthlyPeak,OVolOverMonthlyPeak,IF(OVolCurve,IF(OBuySell,AA158,AC158),AB158))^2*(1-15/365.25/BT158)+IF(OVolOverDailyPeak,OVolOverDailyPeak,IF(OVolCurve,IF(OBuySell,AM158,AO158),AN158))^2*15/365.25/BT158),IF(OVolOverMonthlyPeak,OVolOverMonthlyPeak,IF(OVolCurve,IF(OBuySell,AA158,AC158),AB158))),"")</f>
        <v>#VALUE!</v>
      </c>
      <c r="CJ158" s="1587" t="e">
        <f aca="false">IF(BQ158,IF(BP158,SQRT(LN(1+((BU158*AZ158)^2*(EXP(CG158^2*BT158)-1)+(BV158*BA158)^2*(EXP(CH158^2*BT158)-1)+(BW158*BB158)^2*(EXP(CI158^2*BT158)-1)+2*BU158*AZ158*BV158*BA158*(EXP(CG158*CH158*BT158)-1)+2*BV158*BA158*BW158*BB158*(EXP(CH158*CI158*BT158)-1)+2*BW158*BB158*BU158*AZ158*(EXP(CI158*CG158*BT158)-1))/(BY158*BP158)^2)/BT158),0),"")</f>
        <v>#VALUE!</v>
      </c>
      <c r="CK158" s="1587" t="e">
        <f aca="false">IF(BS158,IF(BR158,SQRT(LN(1+((CA158*BH158)^2*(EXP(CG158^2*BT158)-1)+(CB158*BI158)^2*(EXP(CH158^2*BT158)-1)+(CC158*BJ158)^2*(EXP(CI158^2*BT158)-1)+2*CA158*BH158*CB158*BI158*(EXP(CG158*CH158*BT158)-1)+2*CB158*BI158*CC158*BJ158*(EXP(CH158*CI158*BT158)-1)+2*CC158*BJ158*CA158*BH158*(EXP(CI158*CG158*BT158)-1))/(CE158*BR158)^2)/BT158),0),"")</f>
        <v>#VALUE!</v>
      </c>
      <c r="CL158" s="1587" t="e">
        <f aca="false">IF(OR(BQ158,BS158),IF(OVolType&lt;&gt;2,SQRT(IF(OVolOverMonthlyOffPeak,OVolOverMonthlyOffPeak,IF(OVolCurve,IF(OBuySell,AD158,AF158),AE158))^2*(1-15/365.25/BT158)+IF(OVolOverDailyOffPeak,OVolOverDailyOffPeak,IF(OVolCurve,IF(OBuySell,AP158,AR158),AQ158))^2*15/365.25/BT158),IF(OVolOverMonthlyOffPeak,OVolOverMonthlyOffPeak,IF(OVolCurve,IF(OBuySell,AD158,AF158),AE158))),"")</f>
        <v>#VALUE!</v>
      </c>
      <c r="CM158" s="1587" t="e">
        <f aca="false">IF(BQ158,SQRT(LN(1+((BY158*BP158)^2*(EXP(CJ158^2*BT158)-1)+(BX158*BC158)^2*(EXP(CL158^2*BT158)-1)+2*BY158*BP158*BX158*BC158*(EXP(AS158*CJ158*CL158*BT158)-1))/(BY158*BP158+BX158*BC158)^2)/BT158),"")</f>
        <v>#VALUE!</v>
      </c>
      <c r="CN158" s="1588" t="e">
        <f aca="false">IF(BS158,SQRT(LN(1+((CE158*BR158)^2*(EXP(CK158^2*BT158)-1)+(CD158*BK158)^2*(EXP(CL158^2*BT158)-1)+2*CE158*BR158*CD158*BK158*(EXP(AS158*CK158*CL158*BT158)-1))/(CE158*BR158+CD158*BK158)^2)/BT158),"")</f>
        <v>#VALUE!</v>
      </c>
      <c r="CO158" s="1531" t="e">
        <f aca="false">IF(OR(BQ158,BS158),VLOOKUP(A158,GasTable,13)*HeatRatePeak*(1+VLOOKUP($B158,HeatRateDegradation,$C158+1))/1000,0)</f>
        <v>#VALUE!</v>
      </c>
      <c r="CP158" s="1316" t="e">
        <f aca="false">IF(OR(BQ158,BS158),VLOOKUP(A158,GasTable,13)*HeatRatePeak*(1+VLOOKUP($B158,HeatRateDegradation,$C158+1))/1000,0)</f>
        <v>#VALUE!</v>
      </c>
      <c r="CQ158" s="1316" t="e">
        <f aca="false">IF(OR(BQ158,BS158),VLOOKUP(A158,GasTable,13)*IF(EV158,HeatRatePeak,HeatRateOffPeak)*(1+VLOOKUP($B158,HeatRateDegradation,$C158+1))/1000,0)</f>
        <v>#VALUE!</v>
      </c>
      <c r="CR158" s="1316" t="e">
        <f aca="false">IF(OR(BQ158,BS158),VLOOKUP(A158,GasTable,13)*IF(EW158,HeatRatePeak,HeatRateOffPeak)*(1+VLOOKUP($B158,HeatRateDegradation,$C158+1))/1000,0)</f>
        <v>#VALUE!</v>
      </c>
      <c r="CS158" s="1589" t="e">
        <f aca="false">IF(BQ158,(CO158*AZ158+CP158*BA158+CQ158*BB158+CR158*BC158)/BQ158,0)</f>
        <v>#VALUE!</v>
      </c>
      <c r="CT158" s="1316" t="e">
        <f aca="false">IF(BS158,CO158,0)</f>
        <v>#VALUE!</v>
      </c>
      <c r="CU158" s="1590" t="e">
        <f aca="false">IF(OR(BQ158,BS158),VLOOKUP(A158,GasTable,14),"")</f>
        <v>#VALUE!</v>
      </c>
      <c r="CV158" s="1568" t="e">
        <f aca="false">IF(OR(BQ158,BS158),IF(CorrPowerGasOverFlag,INDEX(CorrPowerGasOver,C158),CorrPowerGas),"")</f>
        <v>#VALUE!</v>
      </c>
      <c r="CW158" s="1316" t="e">
        <f aca="false">IF(OR($BQ158,$BS158),SpreadOptPowerMargin,0)*((1+Assumptions!$C$26)^($B158-YEAR(Assumptions!$C$17)))</f>
        <v>#VALUE!</v>
      </c>
      <c r="CX158" s="1316" t="e">
        <f aca="false">IF(OR($BQ158,$BS158),SpreadOptPowerMargin,0)*((1+Assumptions!$C$26)^($B158-YEAR(Assumptions!$C$17)))</f>
        <v>#VALUE!</v>
      </c>
      <c r="CY158" s="1316" t="e">
        <f aca="false">IF(OR($BQ158,$BS158),SpreadOptPowerMargin,0)*((1+Assumptions!$C$26)^($B158-YEAR(Assumptions!$C$17)))</f>
        <v>#VALUE!</v>
      </c>
      <c r="CZ158" s="1316" t="e">
        <f aca="false">IF(OR($BQ158,$BS158),SpreadOptPowerMargin,0)*((1+Assumptions!$C$26)^($B158-YEAR(Assumptions!$C$17)))</f>
        <v>#VALUE!</v>
      </c>
      <c r="DA158" s="1591" t="e">
        <f aca="false">IF(OR(BQ158,BS158),(CW158*(AZ158+BH158)+CX158*(BA158+BI158)+CY158*(BB158+BJ158)+CZ158*(BC158+BK158))/(BQ158+BS158),0)</f>
        <v>#VALUE!</v>
      </c>
      <c r="DB158" s="1592" t="e">
        <f aca="false">IF(OR(BQ158,BS158),CG158+IF(OVolSmile,VLOOKUP(MAX(-5,CO158+CW158-BU158),IF(OVolSmile=1,VolSmileBook,VolSmileModel),2),0),"")</f>
        <v>#VALUE!</v>
      </c>
      <c r="DC158" s="1592" t="e">
        <f aca="false">IF(OR(BQ158,BS158),CH158+IF(OVolSmile,VLOOKUP(MAX(-5,CP158+CW158-BV158),IF(OVolSmile=1,VolSmileBook,VolSmileModel),2),0),"")</f>
        <v>#VALUE!</v>
      </c>
      <c r="DD158" s="1592" t="e">
        <f aca="false">IF(OR(BQ158,BS158),CI158+IF(OVolSmile,VLOOKUP(MAX(-5,CQ158+CW158-BW158),IF(OVolSmile=1,VolSmileBook,VolSmileModel),2),0),"")</f>
        <v>#VALUE!</v>
      </c>
      <c r="DE158" s="1592" t="e">
        <f aca="false">IF(OR(BQ158,BS158),CL158+IF(OVolSmile,VLOOKUP(MAX(-5,CR158+CZ158-BX158),IF(OVolSmile=1,VolSmileBook,VolSmileModel),2),0),"")</f>
        <v>#VALUE!</v>
      </c>
      <c r="DF158" s="1592" t="e">
        <f aca="false">IF(BQ158,CM158+IF(OVolSmile,VLOOKUP(MAX(-5,CS158+DA158-BZ158),IF(OVolSmile=1,VolSmileBook,VolSmileModel),2),0),"")</f>
        <v>#VALUE!</v>
      </c>
      <c r="DG158" s="1593" t="e">
        <f aca="false">IF(BS158,CN158+IF(OVolSmile,VLOOKUP(MAX(-5,CT158+DA158-CF158),IF(OVolSmile=1,VolSmileBook,VolSmileModel),2),0),"")</f>
        <v>#VALUE!</v>
      </c>
      <c r="DH158" s="1316" t="e">
        <f aca="false">IF(AND(BU158&gt;0,CO158&gt;0,DB158&gt;0,CU158&gt;0),newSPRDOPT(BU158,CO158,CW158,0,DB158,CU158,CV158,BT158*365.25,OCallPut,0),0)</f>
        <v>#VALUE!</v>
      </c>
      <c r="DI158" s="1316" t="e">
        <f aca="false">IF(AND(BV158&gt;0,CP158&gt;0,DC158&gt;0,CU158&gt;0),newSPRDOPT(BV158,CP158,CX158,0,DC158,CU158,CV158,BT158*365.25,OCallPut,0),0)</f>
        <v>#VALUE!</v>
      </c>
      <c r="DJ158" s="1316" t="e">
        <f aca="false">IF(AND(BW158&gt;0,CQ158&gt;0,DD158&gt;0,CU158&gt;0),newSPRDOPT(BW158,CQ158,CY158,0,DD158,CU158,CV158,BT158*365.25,OCallPut,0),0)</f>
        <v>#VALUE!</v>
      </c>
      <c r="DK158" s="1316" t="e">
        <f aca="false">IF(AND(BX158&gt;0,CR158&gt;0,DE158&gt;0,CU158&gt;0),newSPRDOPT(BX158,CR158,CZ158,0,DE158,CU158,CV158,BT158*365.25,OCallPut,0),0)</f>
        <v>#VALUE!</v>
      </c>
      <c r="DL158" s="1316" t="e">
        <f aca="false">IF(OVolType,IF(AND(BZ158&gt;0,CS158&gt;0,DF158&gt;0,CU158&gt;0),newSPRDOPT(BZ158,CS158,DA158,0,DF158,CU158,CV158,BT158*365.25,OCallPut,0),0),IF(BQ158,(DH158*AZ158+DI158*BA158+DJ158*BB158+DK158*BC158)/BQ158,0))</f>
        <v>#VALUE!</v>
      </c>
      <c r="DM158" s="1316"/>
      <c r="DN158" s="1316"/>
      <c r="DO158" s="1316"/>
      <c r="DP158" s="1316"/>
      <c r="DQ158" s="1316"/>
      <c r="DR158" s="1316"/>
      <c r="DS158" s="1316"/>
      <c r="DT158" s="1316"/>
      <c r="DU158" s="1316"/>
      <c r="DV158" s="1316"/>
      <c r="DW158" s="1594" t="e">
        <f aca="false">IF(AND(BW158&gt;0,CT158&gt;0,DD158&gt;0,CU158&gt;0),newSPRDOPT(BW158,CT158,CY158,0,DD158,CU158,CV158,BT158*365.25,OCallPut,0),0)</f>
        <v>#VALUE!</v>
      </c>
      <c r="DX158" s="1316" t="e">
        <f aca="false">IF(AND(BX158&gt;0,CT158&gt;0,DE158&gt;0,CU158&gt;0),newSPRDOPT(BX158,CT158,CZ158,0,DE158,CU158,CV158,BT158*365.25,OCallPut,0),0)</f>
        <v>#VALUE!</v>
      </c>
      <c r="DY158" s="1591" t="e">
        <f aca="false">IF(BS158,(DH158*BH158+DI158*BI158+DW158*BJ158+DX158*BK158)/BS158,0)</f>
        <v>#VALUE!</v>
      </c>
      <c r="DZ158" s="1551" t="e">
        <f aca="false">DH158*AZ158</f>
        <v>#VALUE!</v>
      </c>
      <c r="EA158" s="1551" t="e">
        <f aca="false">DI158*BA158</f>
        <v>#VALUE!</v>
      </c>
      <c r="EB158" s="1551" t="e">
        <f aca="false">DJ158*BB158</f>
        <v>#VALUE!</v>
      </c>
      <c r="EC158" s="1551" t="e">
        <f aca="false">DK158*BC158</f>
        <v>#VALUE!</v>
      </c>
      <c r="ED158" s="1551" t="e">
        <f aca="false">DL158*BQ158</f>
        <v>#VALUE!</v>
      </c>
      <c r="EE158" s="1595" t="e">
        <f aca="false">IF(BQ158,IF(OCallPut,IF(BU158&gt;(CO158+CW158),BU158-(CO158+CW158),0),IF((CO158+CW158)&gt;BU158,(CO158+CW158)-BU158,0))*AZ158,0)</f>
        <v>#VALUE!</v>
      </c>
      <c r="EF158" s="1596" t="e">
        <f aca="false">IF(BQ158,IF(OCallPut,IF(BV158&gt;(CP158+CX158),BV158-(CP158+CX158),0),IF((CP158+CX158)&gt;BV158,(CP158+CX158)-BV158,0))*BA158,0)</f>
        <v>#VALUE!</v>
      </c>
      <c r="EG158" s="1596" t="e">
        <f aca="false">IF(BQ158,IF(OCallPut,IF(BW158&gt;(CQ158+CY158),BW158-(CQ158+CY158),0),IF((CQ158+CY158)&gt;BW158,(CQ158+CY158)-BW158,0))*BB158,0)</f>
        <v>#VALUE!</v>
      </c>
      <c r="EH158" s="1596" t="e">
        <f aca="false">IF(BQ158,IF(OCallPut,IF(BX158&gt;(CR158+CZ158),BX158-(CR158+CZ158),0),IF((CR158+CZ158)&gt;BX158,(CR158+CZ158)-BX158,0))*BC158,0)</f>
        <v>#VALUE!</v>
      </c>
      <c r="EI158" s="1597" t="e">
        <f aca="false">IF(BQ158,IF(OVolType,IF(OCallPut,IF(BZ158&gt;(CS158+DA158),BZ158-(CS158+DA158),0),IF((CS158+DA158)&gt;BZ158,(CS158+DA158)-BZ158,0))*BQ158,SUM(EE158:EH158)),0)</f>
        <v>#VALUE!</v>
      </c>
      <c r="EJ158" s="1595" t="e">
        <f aca="false">DZ158-EE158</f>
        <v>#VALUE!</v>
      </c>
      <c r="EK158" s="1596" t="e">
        <f aca="false">EA158-EF158</f>
        <v>#VALUE!</v>
      </c>
      <c r="EL158" s="1596" t="e">
        <f aca="false">EB158-EG158</f>
        <v>#VALUE!</v>
      </c>
      <c r="EM158" s="1596" t="e">
        <f aca="false">EC158-EH158</f>
        <v>#VALUE!</v>
      </c>
      <c r="EN158" s="1597" t="e">
        <f aca="false">ED158-EI158</f>
        <v>#VALUE!</v>
      </c>
      <c r="EO158" s="1551" t="e">
        <f aca="false">DH158*BH158</f>
        <v>#VALUE!</v>
      </c>
      <c r="EP158" s="1551" t="e">
        <f aca="false">DI158*BI158</f>
        <v>#VALUE!</v>
      </c>
      <c r="EQ158" s="1551" t="e">
        <f aca="false">DW158*BJ158</f>
        <v>#VALUE!</v>
      </c>
      <c r="ER158" s="1551" t="e">
        <f aca="false">DX158*BK158</f>
        <v>#VALUE!</v>
      </c>
      <c r="ES158" s="1551" t="e">
        <f aca="false">DY158*BS158</f>
        <v>#VALUE!</v>
      </c>
      <c r="ET158" s="1566" t="e">
        <f aca="false">IF(EI158,IF(OCallPut,IF(CA158&gt;(CT158+CW158),CA158-(CT158+CW158),0),IF((CT158+CW158)&gt;CA158,(CT158+CW158)-CA158,0))*BH158,0)</f>
        <v>#VALUE!</v>
      </c>
      <c r="EU158" s="1551" t="e">
        <f aca="false">IF(EI158,IF(OCallPut,IF(CB158&gt;(CT158+CX158),CB158-(CT158+CX158),0),IF((CT158+CX158)&gt;CB158,(CT158+CX158)-CB158,0))*BI158,0)</f>
        <v>#VALUE!</v>
      </c>
      <c r="EV158" s="1551" t="e">
        <f aca="false">IF(EI158,IF(OCallPut,IF(CC158&gt;(CT158+CY158),CC158-(CT158+CY158),0),IF((CT158+CY158)&gt;CC158,(CT158+CY158)-CC158,0))*BJ158,0)</f>
        <v>#VALUE!</v>
      </c>
      <c r="EW158" s="1551" t="e">
        <f aca="false">IF(EI158,IF(OCallPut,IF(CD158&gt;(CT158+CZ158),CD158-(CT158+CZ158),0),IF((CT158+CZ158)&gt;CD158,(CT158+CZ158)-CD158,0))*BK158,0)</f>
        <v>#VALUE!</v>
      </c>
      <c r="EX158" s="1558" t="e">
        <f aca="false">IF(EI158,SUM(ET158:EW158),0)</f>
        <v>#VALUE!</v>
      </c>
      <c r="EY158" s="1551" t="e">
        <f aca="false">EO158-ET158</f>
        <v>#VALUE!</v>
      </c>
      <c r="EZ158" s="1551" t="e">
        <f aca="false">EP158-EU158</f>
        <v>#VALUE!</v>
      </c>
      <c r="FA158" s="1551" t="e">
        <f aca="false">EQ158-EV158</f>
        <v>#VALUE!</v>
      </c>
      <c r="FB158" s="1551" t="e">
        <f aca="false">ER158-EW158</f>
        <v>#VALUE!</v>
      </c>
      <c r="FC158" s="1551" t="e">
        <f aca="false">ES158-EX158</f>
        <v>#VALUE!</v>
      </c>
      <c r="FD158" s="1525" t="n">
        <f aca="false">IF(AX158,IF(VLOOKUP(C158,MAIN!$L$17:$M$28,2)="Yes",VLOOKUP(CALC!B158,MAIN!$H$17:$I$20,2),0),0)</f>
        <v>0</v>
      </c>
      <c r="FE158" s="1552" t="e">
        <f aca="false">$FD158*16*AT158*(1-$AY158)</f>
        <v>#VALUE!</v>
      </c>
      <c r="FF158" s="1553" t="e">
        <f aca="false">$FD158*16*AU158*(1-$AY158)</f>
        <v>#VALUE!</v>
      </c>
      <c r="FG158" s="1553" t="e">
        <f aca="false">$FD158*16*(AV158+AW158)*(1-$AY158)</f>
        <v>#VALUE!</v>
      </c>
      <c r="FH158" s="1554" t="n">
        <f aca="false">$FD158*8*AX158*(1-$AY158)</f>
        <v>0</v>
      </c>
      <c r="FI158" s="1555" t="n">
        <f aca="false">IF(AX158,VLOOKUP(CALC!B158,MAIN!$H$17:$K$20,4),0)</f>
        <v>0</v>
      </c>
      <c r="FJ158" s="1553" t="e">
        <f aca="false">SUM(FE158:FH158)</f>
        <v>#VALUE!</v>
      </c>
      <c r="FK158" s="1556" t="e">
        <f aca="false">FI158*FJ158</f>
        <v>#VALUE!</v>
      </c>
      <c r="FL158" s="1551" t="e">
        <f aca="false">IF($EI158&gt;0,MIN(FE158,AZ158*(1+VLOOKUP($C158,WeatherCapacityAdjustment,2))),0)</f>
        <v>#VALUE!</v>
      </c>
      <c r="FM158" s="1551" t="e">
        <f aca="false">IF($EI158&gt;0,MIN(FF158,BA158*(1+VLOOKUP($C158,WeatherCapacityAdjustment,2))),0)</f>
        <v>#VALUE!</v>
      </c>
      <c r="FN158" s="1551" t="e">
        <f aca="false">IF($EI158&gt;0,MIN(FG158,BB158*(1+VLOOKUP($C158,WeatherCapacityAdjustment,2))),0)</f>
        <v>#VALUE!</v>
      </c>
      <c r="FO158" s="1564" t="e">
        <f aca="false">IF($EI158&gt;0,MIN(FH158,BC158*(1+VLOOKUP($C158,WeatherCapacityAdjustment,3))),0)</f>
        <v>#VALUE!</v>
      </c>
      <c r="FP158" s="1551" t="e">
        <f aca="false">IF(ET158&gt;0,MIN(FE158-FL158,BH158*(1+VLOOKUP($C158,WeatherCapacityAdjustment,2))),0)</f>
        <v>#VALUE!</v>
      </c>
      <c r="FQ158" s="1551" t="e">
        <f aca="false">IF(EU158&gt;0,MIN(FF158-FM158,BI158*(1+VLOOKUP($C158,WeatherCapacityAdjustment,2))),0)</f>
        <v>#VALUE!</v>
      </c>
      <c r="FR158" s="1551" t="e">
        <f aca="false">IF(EV158&gt;0,MIN(FG158-FN158,BJ158*(1+VLOOKUP($C158,WeatherCapacityAdjustment,2))),0)</f>
        <v>#VALUE!</v>
      </c>
      <c r="FS158" s="1558" t="e">
        <f aca="false">IF(EW158&gt;0,MIN(FH158-FO158,BK158*(1+VLOOKUP($C158,WeatherCapacityAdjustment,3))),0)</f>
        <v>#VALUE!</v>
      </c>
      <c r="FT158" s="1566" t="e">
        <f aca="false">IF(AND(Assumptions!$H$71="Yes",A158&gt;=Assumptions!$H$72,A158&lt;=Assumptions!$H$73),0,IF(AND($A158&gt;=Assumptions!$C$17,$A158&lt;=Assumptions!$C$18),MAX(AZ158*(1+VLOOKUP($C158,WeatherCapacityAdjustment,2))-FL158,0),0))</f>
        <v>#VALUE!</v>
      </c>
      <c r="FU158" s="1551" t="e">
        <f aca="false">IF(AND(Assumptions!$H$71="Yes",A158&gt;=Assumptions!$H$72,A158&lt;=Assumptions!$H$73),0,IF(AND($A158&gt;=Assumptions!$C$17,$A158&lt;=Assumptions!$C$18),MAX(BA158*(1+VLOOKUP($C158,WeatherCapacityAdjustment,2))-FM158,0),0))</f>
        <v>#VALUE!</v>
      </c>
      <c r="FV158" s="1551" t="e">
        <f aca="false">IF(AND(Assumptions!$H$71="Yes",A158&gt;=Assumptions!$H$72,A158&lt;=Assumptions!$H$73),0,IF(AND($A158&gt;=Assumptions!$C$17,$A158&lt;=Assumptions!$C$18),MAX(BB158*(1+VLOOKUP($C158,WeatherCapacityAdjustment,2))-FN158,0),0))</f>
        <v>#VALUE!</v>
      </c>
      <c r="FW158" s="1564" t="e">
        <f aca="false">IF(AND(Assumptions!$H$71="Yes",A158&gt;=Assumptions!$H$72,A158&lt;=Assumptions!$H$73),0,IF(AND($A158&gt;=Assumptions!$C$17,$A158&lt;=Assumptions!$C$18),MAX(BC158*(1+VLOOKUP($C158,WeatherCapacityAdjustment,3))-FO158,0),0))</f>
        <v>#VALUE!</v>
      </c>
      <c r="FX158" s="1569" t="e">
        <f aca="false">IF(AND(Assumptions!$H$71="Yes",A158&gt;=Assumptions!$H$72,A158&lt;=Assumptions!$H$73),0,IF(ET158&gt;0,MAX(BH158*(1+VLOOKUP($C158,WeatherCapacityAdjustment,2))-FP158,0),0))</f>
        <v>#VALUE!</v>
      </c>
      <c r="FY158" s="1551" t="e">
        <f aca="false">IF(AND(Assumptions!$H$71="Yes",A158&gt;=Assumptions!$H$72,A158&lt;=Assumptions!$H$73),0,IF(EU158&gt;0,MAX(BI158*(1+VLOOKUP($C158,WeatherCapacityAdjustment,3))-FQ158,0),0))</f>
        <v>#VALUE!</v>
      </c>
      <c r="FZ158" s="1551" t="e">
        <f aca="false">IF(AND(Assumptions!$H$71="Yes",A158&gt;=Assumptions!$H$72,A158&lt;=Assumptions!$H$73),0,IF(EV158&gt;0,MAX(BJ158*(1+VLOOKUP($C158,WeatherCapacityAdjustment,2))-FR158,0),0))</f>
        <v>#VALUE!</v>
      </c>
      <c r="GA158" s="1564" t="e">
        <f aca="false">IF(AND(Assumptions!$H$71="Yes",A158&gt;=Assumptions!$H$72,A158&lt;=Assumptions!$H$73),0,IF(EW158&gt;0,MAX(BK158*(1+VLOOKUP($C158,WeatherCapacityAdjustment,2))-FS158,0),0))</f>
        <v>#VALUE!</v>
      </c>
      <c r="GB158" s="1551" t="e">
        <f aca="false">SUM(FT158:GA158)</f>
        <v>#VALUE!</v>
      </c>
      <c r="GC158" s="1563" t="e">
        <f aca="false">+IF(SUM(FT158:GA158)=0,0,(SUMPRODUCT(BU158:BX158,FT158:FW158)+SUMPRODUCT(CA158:CD158,FX158:GA158))/SUM(FT158:GA158))</f>
        <v>#VALUE!</v>
      </c>
      <c r="GD158" s="1551" t="e">
        <f aca="false">(FT158*BU158+FX158*CA158+FU158*BV158+FY158*CB158+FV158*BW158+FZ158*CC158+FW158*BX158+GA158*CD158)</f>
        <v>#VALUE!</v>
      </c>
      <c r="GE158" s="1561" t="e">
        <f aca="false">+IF(BQ158,((FL158+FM158+FT158+FU158)*HeatRatePeak/1000*(1+VLOOKUP($C158,WeatherHeatRateAdjustment,2))+(FN158+FV158)*IF(EV158&gt;0,HeatRatePeak,HeatRateOffPeak)/1000*(1+VLOOKUP($C158,WeatherHeatRateAdjustment,2))+(FO158+FW158)*IF(EW158&gt;0,HeatRatePeak,HeatRateOffPeak)/1000*(1+VLOOKUP($C158,WeatherHeatRateAdjustment,3)))*(1+VLOOKUP($B158,HeatRateDegradation,$C158+1)),0)</f>
        <v>#VALUE!</v>
      </c>
      <c r="GF158" s="1562" t="e">
        <f aca="false">IF(BQ158,((FP158+FQ158+FR158+FX158+FY158+FZ158)*HeatRatePeak/1000*(1+VLOOKUP($C158,WeatherHeatRateAdjustment,2))+(FS158+GA158)*HeatRatePeak/1000*(1+VLOOKUP($C158,WeatherHeatRateAdjustment,3)))*(1+VLOOKUP($B158,HeatRateDegradation,$C158+1)),0)</f>
        <v>#VALUE!</v>
      </c>
      <c r="GG158" s="1563" t="e">
        <f aca="false">IF(BQ158,VLOOKUP(A158,GasTable,13),0)</f>
        <v>#VALUE!</v>
      </c>
      <c r="GH158" s="1564" t="e">
        <f aca="false">(GE158+GF158)*GG158</f>
        <v>#VALUE!</v>
      </c>
      <c r="GI158" s="1569" t="e">
        <f aca="false">GB158</f>
        <v>#VALUE!</v>
      </c>
      <c r="GJ158" s="1598" t="e">
        <f aca="false">+DA158</f>
        <v>#VALUE!</v>
      </c>
      <c r="GK158" s="1558" t="e">
        <f aca="false">+GI158*GJ158</f>
        <v>#VALUE!</v>
      </c>
      <c r="GL158" s="1566" t="e">
        <f aca="false">MAX(FE158-FL158-FP158,0)</f>
        <v>#VALUE!</v>
      </c>
      <c r="GM158" s="1551" t="e">
        <f aca="false">MAX(FF158-FM158-FQ158,0)</f>
        <v>#VALUE!</v>
      </c>
      <c r="GN158" s="1551" t="e">
        <f aca="false">MAX(FG158-FN158-FR158,0)</f>
        <v>#VALUE!</v>
      </c>
      <c r="GO158" s="1564" t="e">
        <f aca="false">MAX(FH158-FO158-FS158,0)</f>
        <v>#VALUE!</v>
      </c>
      <c r="GP158" s="1551" t="e">
        <f aca="false">SUM(GL158:GO158)</f>
        <v>#VALUE!</v>
      </c>
      <c r="GQ158" s="1563" t="e">
        <f aca="false">IF(SUM(GL158:GO158)=0,0,((GL158*BU158+GM158*BV158+GN158*BW158+GO158*BX158)/SUM(GL158:GO158)))</f>
        <v>#VALUE!</v>
      </c>
      <c r="GR158" s="1558" t="e">
        <f aca="false">(GL158*BU158+GM158*BV158+GN158*BW158+GO158*BX158)</f>
        <v>#VALUE!</v>
      </c>
      <c r="GS158" s="1566" t="n">
        <f aca="false">IF($A158&gt;=BegDate,Assumptions!$C$56*24*($A159-$A158)*(1-VLOOKUP($B158,MAIN!$AA$7:$AM$28,$C158+1))*(1-VLOOKUP($B158,MAIN!$AA$33:$AM$54,$C158+1)),0)*80/168</f>
        <v>241114.285714286</v>
      </c>
      <c r="GT158" s="286" t="n">
        <f aca="false">J158</f>
        <v>43.3703182970143</v>
      </c>
      <c r="GU158" s="286" t="n">
        <f aca="false">IF($A158&gt;=BegDate,VLOOKUP($A158,GasTable,13)+Assumptions!$C$58,0)</f>
        <v>3.13868218015745</v>
      </c>
      <c r="GV158" s="286" t="n">
        <f aca="false">GU158*Assumptions!$C$57/1000</f>
        <v>22.7554458061415</v>
      </c>
      <c r="GW158" s="1558" t="n">
        <f aca="false">IF(Assumptions!$C$60="Hourly",MAX(0,GS158*(GT158-GV158)),GS158*(GT158-GV158))</f>
        <v>4970540.25572787</v>
      </c>
      <c r="GX158" s="1566" t="n">
        <f aca="false">IF($A158&gt;=BegDate,Assumptions!$C$56*24*($A159-$A158)*(1-VLOOKUP($B158,MAIN!$AA$7:$AM$28,$C158+1))*(1-VLOOKUP($B158,MAIN!$AA$33:$AM$54,$C158+1)),0)*16/168</f>
        <v>48222.8571428571</v>
      </c>
      <c r="GY158" s="286" t="n">
        <f aca="false">M158</f>
        <v>43.3703182970143</v>
      </c>
      <c r="GZ158" s="286" t="n">
        <f aca="false">IF($A158&gt;=BegDate,VLOOKUP($A158,GasTable,13)+Assumptions!$C$58,0)</f>
        <v>3.13868218015745</v>
      </c>
      <c r="HA158" s="286" t="n">
        <f aca="false">GZ158*Assumptions!$C$57/1000</f>
        <v>22.7554458061415</v>
      </c>
      <c r="HB158" s="1558" t="n">
        <f aca="false">IF(Assumptions!$C$60="Hourly",MAX(0,GX158*(GY158-HA158)),GX158*(GY158-HA158))</f>
        <v>994108.051145574</v>
      </c>
      <c r="HC158" s="1566" t="n">
        <f aca="false">IF($A158&gt;=BegDate,Assumptions!$C$56*24*($A159-$A158)*(1-VLOOKUP($B158,MAIN!$AA$7:$AM$28,$C158+1))*(1-VLOOKUP($B158,MAIN!$AA$33:$AM$54,$C158+1)),0)*16/168</f>
        <v>48222.8571428571</v>
      </c>
      <c r="HD158" s="286" t="n">
        <f aca="false">P158</f>
        <v>27.4703709185836</v>
      </c>
      <c r="HE158" s="286" t="n">
        <f aca="false">IF($A158&gt;=BegDate,VLOOKUP($A158,GasTable,13)+Assumptions!$C$58,0)</f>
        <v>3.13868218015745</v>
      </c>
      <c r="HF158" s="286" t="n">
        <f aca="false">HE158*Assumptions!$C$57/1000</f>
        <v>22.7554458061415</v>
      </c>
      <c r="HG158" s="1558" t="n">
        <f aca="false">IF(Assumptions!$C$60="Hourly",MAX(0,HC158*(HD158-HF158)),HC158*(HD158-HF158))</f>
        <v>227367.160136567</v>
      </c>
      <c r="HH158" s="1566" t="n">
        <f aca="false">IF($A158&gt;=BegDate,Assumptions!$C$56*24*($A159-$A158)*(1-VLOOKUP($B158,MAIN!$AA$7:$AM$28,$C158+1))*(1-VLOOKUP($B158,MAIN!$AA$33:$AM$54,$C158+1)),0)*56/168</f>
        <v>168780</v>
      </c>
      <c r="HI158" s="286" t="n">
        <f aca="false">S158</f>
        <v>27.4703709185836</v>
      </c>
      <c r="HJ158" s="286" t="n">
        <f aca="false">IF($A158&gt;=BegDate,VLOOKUP($A158,GasTable,13)+Assumptions!$C$58,0)</f>
        <v>3.13868218015745</v>
      </c>
      <c r="HK158" s="286" t="n">
        <f aca="false">HJ158*Assumptions!$C$57/1000</f>
        <v>22.7554458061415</v>
      </c>
      <c r="HL158" s="1558" t="n">
        <f aca="false">IF(Assumptions!$C$60="Hourly",MAX(0,HH158*(HI158-HK158)),HH158*(HI158-HK158))</f>
        <v>795785.060477986</v>
      </c>
      <c r="HM158" s="1566" t="n">
        <f aca="false">IF(AND(Assumptions!$H$71="Yes",A158&gt;=Assumptions!$H$72,A158&lt;=Assumptions!$H$73),Assumptions!$H$74*Assumptions!$C$9*1000,0)</f>
        <v>0</v>
      </c>
      <c r="HN158" s="1551"/>
      <c r="HO158" s="1563"/>
      <c r="HP158" s="1563"/>
      <c r="HQ158" s="1563"/>
      <c r="HR158" s="1563"/>
      <c r="HS158" s="1563"/>
      <c r="HT158" s="1563"/>
      <c r="HU158" s="1563"/>
      <c r="HV158" s="1563"/>
      <c r="HW158" s="1563"/>
      <c r="HX158" s="1563"/>
      <c r="HY158" s="1563"/>
      <c r="HZ158" s="1563"/>
      <c r="IA158" s="1563"/>
      <c r="IB158" s="1563"/>
      <c r="IC158" s="1563"/>
      <c r="ID158" s="1563"/>
      <c r="IE158" s="1563"/>
      <c r="IF158" s="1563"/>
      <c r="IG158" s="1563"/>
      <c r="IH158" s="1563"/>
      <c r="II158" s="1610"/>
      <c r="IJ158" s="1309"/>
      <c r="IK158" s="1309"/>
    </row>
    <row r="159" customFormat="false" ht="12.75" hidden="false" customHeight="false" outlineLevel="0" collapsed="false">
      <c r="A159" s="1571" t="n">
        <f aca="false">EOMONTH(A158,0)+1</f>
        <v>40969</v>
      </c>
      <c r="B159" s="594" t="n">
        <f aca="false">+YEAR(A159)</f>
        <v>2012</v>
      </c>
      <c r="C159" s="238" t="n">
        <f aca="false">MONTH(A159)</f>
        <v>3</v>
      </c>
      <c r="D159" s="1572" t="e">
        <f aca="false">IF(E159="","",Holiday(B159,C159))</f>
        <v>#VALUE!</v>
      </c>
      <c r="E159" s="1573" t="n">
        <f aca="false">IF(OR(BegDate&gt;=A160,EndDate&lt;A159,AND(VolumeMonthlyOverFlag,INDEX(VolumeMonthlyOver,C159)=0),NOT(INDEX(MonthKnockOutTable,C159))),"",MAX(A159,BegDate))</f>
        <v>40969</v>
      </c>
      <c r="F159" s="1574" t="n">
        <f aca="false">IF(E159="","",MIN(A160-1,EndDate))</f>
        <v>40999</v>
      </c>
      <c r="G159" s="1575" t="n">
        <v>0</v>
      </c>
      <c r="H159" s="1576" t="n">
        <f aca="false">(1+G159/2)^(-2*(DATE(B160,C160,20)-DateToday)/365.25)</f>
        <v>1</v>
      </c>
      <c r="I159" s="1568" t="n">
        <f aca="false">IF(Assumptions!$L$25=4,VLOOKUP($A159,'Henwood Reference'!$E$9:$R$320,10),(VLOOKUP($A159,PriceTable,2,0)+IF(BasisNumber&lt;&gt;1,VLOOKUP($A159,BasisTable,2,0),0)+I$1)/(1-I$2))</f>
        <v>41.8848266830432</v>
      </c>
      <c r="J159" s="1568" t="n">
        <f aca="false">IF(Assumptions!$L$25=4,VLOOKUP($A159,'Henwood Reference'!$E$9:$R$320,10),(VLOOKUP($A159,PriceTable,3,0)+IF(BasisNumber&lt;&gt;1,VLOOKUP($A159,BasisTable,2,0),0)+J$1)/(1-J$2))</f>
        <v>41.8848266830432</v>
      </c>
      <c r="K159" s="1568" t="n">
        <f aca="false">IF(Assumptions!$L$25=4,VLOOKUP($A159,'Henwood Reference'!$E$9:$R$320,10),(VLOOKUP($A159,PriceTable,4,0)+IF(BasisNumber&lt;&gt;1,VLOOKUP($A159,BasisTable,2,0),0)+K$1)/(1-K$2))</f>
        <v>41.8848266830432</v>
      </c>
      <c r="L159" s="1523" t="n">
        <f aca="false">IF(Assumptions!$L$25=4,VLOOKUP($A159,'Henwood Reference'!$E$9:$R$320,10),(VLOOKUP($A159,PriceTableWeekend,2,0)+IF(BasisNumber&lt;&gt;1,VLOOKUP($A159,BasisTable,2,0),0)+L$1)/(1-L$2))</f>
        <v>41.8848266830432</v>
      </c>
      <c r="M159" s="1568" t="n">
        <f aca="false">IF(Assumptions!$L$25=4,VLOOKUP($A159,'Henwood Reference'!$E$9:$R$320,10),(VLOOKUP($A159,PriceTableWeekend,3,0)+IF(BasisNumber&lt;&gt;1,VLOOKUP($A159,BasisTable,2,0),0)+M$1)/(1-M$2))</f>
        <v>41.8848266830432</v>
      </c>
      <c r="N159" s="1599" t="n">
        <f aca="false">IF(Assumptions!$L$25=4,VLOOKUP($A159,'Henwood Reference'!$E$9:$R$320,10),(VLOOKUP($A159,PriceTableWeekend,4,0)+IF(BasisNumber&lt;&gt;1,VLOOKUP($A159,BasisTable,2,0),0)+N$1)/(1-N$2))</f>
        <v>41.8848266830432</v>
      </c>
      <c r="O159" s="1568" t="n">
        <f aca="false">IF(Assumptions!$L$25=4,VLOOKUP($A159,'Henwood Reference'!$E$9:$R$320,11),(VLOOKUP($A159,PriceTableWeekend,6,0)+IF(BasisNumber&lt;&gt;1,VLOOKUP($A159,BasisTable,3,0),0)+O$1)/(1-O$2))</f>
        <v>25.7341479018275</v>
      </c>
      <c r="P159" s="1568" t="n">
        <f aca="false">IF(Assumptions!$L$25=4,VLOOKUP($A159,'Henwood Reference'!$E$9:$R$320,11),(VLOOKUP($A159,PriceTableWeekend,7,0)+IF(BasisNumber&lt;&gt;1,VLOOKUP($A159,BasisTable,3,0),0)+P$1)/(1-P$2))</f>
        <v>25.7341479018275</v>
      </c>
      <c r="Q159" s="1599" t="n">
        <f aca="false">IF(Assumptions!$L$25=4,VLOOKUP($A159,'Henwood Reference'!$E$9:$R$320,11),(VLOOKUP($A159,PriceTableWeekend,8,0)+IF(BasisNumber&lt;&gt;1,VLOOKUP($A159,BasisTable,3,0),0)+Q$1)/(1-Q$2))</f>
        <v>25.7341479018275</v>
      </c>
      <c r="R159" s="1568" t="n">
        <f aca="false">IF(Assumptions!$L$25=4,VLOOKUP($A159,'Henwood Reference'!$E$9:$R$320,11),(VLOOKUP($A159,PriceTable,6,0)+IF(BasisNumber&lt;&gt;1,VLOOKUP($A159,BasisTable,3,0),0)+R$1)/(1-R$2))</f>
        <v>25.7341479018275</v>
      </c>
      <c r="S159" s="1568" t="n">
        <f aca="false">IF(Assumptions!$L$25=4,VLOOKUP($A159,'Henwood Reference'!$E$9:$R$320,11),(VLOOKUP($A159,PriceTable,7,0)+IF(BasisNumber&lt;&gt;1,VLOOKUP($A159,BasisTable,3,0),0)+S$1)/(1-S$2))</f>
        <v>25.7341479018275</v>
      </c>
      <c r="T159" s="1600" t="n">
        <f aca="false">IF(Assumptions!$L$25=4,VLOOKUP($A159,'Henwood Reference'!$E$9:$R$320,11),(VLOOKUP($A159,PriceTable,8,0)+IF(BasisNumber&lt;&gt;1,VLOOKUP($A159,BasisTable,3,0),0)+T$1)/(1-T$2))</f>
        <v>25.7341479018275</v>
      </c>
      <c r="U159" s="1513" t="n">
        <f aca="false">VLOOKUP($A159,VolatilityTable,14)</f>
        <v>0.11</v>
      </c>
      <c r="V159" s="1513" t="n">
        <f aca="false">VLOOKUP($A159,VolatilityTable,15)</f>
        <v>0.12</v>
      </c>
      <c r="W159" s="1514" t="n">
        <f aca="false">VLOOKUP($A159,VolatilityTable,16)</f>
        <v>0.13</v>
      </c>
      <c r="X159" s="1513" t="n">
        <f aca="false">VLOOKUP($A159,VolatilityTable,14)</f>
        <v>0.11</v>
      </c>
      <c r="Y159" s="1513" t="n">
        <f aca="false">VLOOKUP($A159,VolatilityTable,15)</f>
        <v>0.12</v>
      </c>
      <c r="Z159" s="1514" t="n">
        <f aca="false">VLOOKUP($A159,VolatilityTable,16)</f>
        <v>0.13</v>
      </c>
      <c r="AA159" s="1513" t="n">
        <f aca="false">VLOOKUP($A159,VolatilityTable,18)</f>
        <v>0.09</v>
      </c>
      <c r="AB159" s="1513" t="n">
        <f aca="false">VLOOKUP($A159,VolatilityTable,19)</f>
        <v>0.11</v>
      </c>
      <c r="AC159" s="1514" t="n">
        <f aca="false">VLOOKUP($A159,VolatilityTable,20)</f>
        <v>0.13</v>
      </c>
      <c r="AD159" s="1513" t="n">
        <f aca="false">VLOOKUP($A159,VolatilityTable,18)</f>
        <v>0.09</v>
      </c>
      <c r="AE159" s="1513" t="n">
        <f aca="false">VLOOKUP($A159,VolatilityTable,19)</f>
        <v>0.11</v>
      </c>
      <c r="AF159" s="1514" t="n">
        <f aca="false">VLOOKUP($A159,VolatilityTable,20)</f>
        <v>0.13</v>
      </c>
      <c r="AG159" s="1513" t="n">
        <f aca="false">VLOOKUP($A159,VolatilityTable,22)</f>
        <v>-0.1</v>
      </c>
      <c r="AH159" s="1513" t="n">
        <f aca="false">VLOOKUP($A159,VolatilityTable,23)</f>
        <v>0.65</v>
      </c>
      <c r="AI159" s="1514" t="n">
        <f aca="false">VLOOKUP($A159,VolatilityTable,24)</f>
        <v>0.1</v>
      </c>
      <c r="AJ159" s="1513" t="n">
        <f aca="false">VLOOKUP($A159,VolatilityTable,22)</f>
        <v>-0.1</v>
      </c>
      <c r="AK159" s="1513" t="n">
        <f aca="false">VLOOKUP($A159,VolatilityTable,23)</f>
        <v>0.65</v>
      </c>
      <c r="AL159" s="1514" t="n">
        <f aca="false">VLOOKUP($A159,VolatilityTable,24)</f>
        <v>0.1</v>
      </c>
      <c r="AM159" s="1513" t="n">
        <f aca="false">VLOOKUP($A159,VolatilityTable,26)</f>
        <v>-0.01</v>
      </c>
      <c r="AN159" s="1513" t="n">
        <f aca="false">VLOOKUP($A159,VolatilityTable,27)</f>
        <v>0.16</v>
      </c>
      <c r="AO159" s="1514" t="n">
        <f aca="false">VLOOKUP($A159,VolatilityTable,28)</f>
        <v>0.01</v>
      </c>
      <c r="AP159" s="1513" t="n">
        <f aca="false">VLOOKUP($A159,VolatilityTable,26)</f>
        <v>-0.01</v>
      </c>
      <c r="AQ159" s="1513" t="n">
        <f aca="false">VLOOKUP($A159,VolatilityTable,27)</f>
        <v>0.16</v>
      </c>
      <c r="AR159" s="1515" t="n">
        <f aca="false">VLOOKUP($A159,VolatilityTable,28)</f>
        <v>0.01</v>
      </c>
      <c r="AS159" s="1581" t="n">
        <f aca="false">IF(CorrPeakOffPeakOverFlag,INDEX(CorrPeakOffPeakOver,C159),CorrPeakOffPeak)</f>
        <v>0.5</v>
      </c>
      <c r="AT159" s="594" t="e">
        <f aca="false">AX159-SUM(AU159:AW159)</f>
        <v>#VALUE!</v>
      </c>
      <c r="AU159" s="238" t="e">
        <f aca="false">IF(E159="",0,INT((F159-MOD(F159,7)-E159)/7)+1-IF(AW159,IF(WEEKDAY(D159)=7,1,0),0))</f>
        <v>#VALUE!</v>
      </c>
      <c r="AV159" s="238" t="e">
        <f aca="false">IF(E159="",0,INT((F159-MOD(F159-1,7)-E159)/7)+1-IF(AW159,IF(WEEKDAY(D159)=1,1,0),0))</f>
        <v>#VALUE!</v>
      </c>
      <c r="AW159" s="238" t="e">
        <f aca="false">IF(OR(E159="",D159="",D159&lt;BegDate,D159&gt;EndDate),0,1)</f>
        <v>#VALUE!</v>
      </c>
      <c r="AX159" s="238" t="n">
        <f aca="false">IF(E159="",0,F159-E159+1)</f>
        <v>31</v>
      </c>
      <c r="AY159" s="1582" t="n">
        <f aca="false">IF(E159="",0,MIN((1-(1-VLOOKUP(B159,MAIN!$AA$7:$AM$28,C159+1))*(1-VLOOKUP(B159,MAIN!$AA$33:$AM$54,C159+1))),1))</f>
        <v>0.03</v>
      </c>
      <c r="AZ159" s="1519" t="e">
        <v>#VALUE!</v>
      </c>
      <c r="BA159" s="1520" t="e">
        <v>#VALUE!</v>
      </c>
      <c r="BB159" s="1520" t="e">
        <v>#VALUE!</v>
      </c>
      <c r="BC159" s="1583" t="e">
        <v>#VALUE!</v>
      </c>
      <c r="BD159" s="1522" t="e">
        <v>#VALUE!</v>
      </c>
      <c r="BE159" s="1523" t="e">
        <v>#VALUE!</v>
      </c>
      <c r="BF159" s="1523" t="e">
        <v>#VALUE!</v>
      </c>
      <c r="BG159" s="1584" t="e">
        <v>#VALUE!</v>
      </c>
      <c r="BH159" s="1525" t="e">
        <v>#VALUE!</v>
      </c>
      <c r="BI159" s="1520" t="e">
        <v>#VALUE!</v>
      </c>
      <c r="BJ159" s="1520" t="e">
        <v>#VALUE!</v>
      </c>
      <c r="BK159" s="1583" t="e">
        <v>#VALUE!</v>
      </c>
      <c r="BL159" s="1522" t="e">
        <v>#VALUE!</v>
      </c>
      <c r="BM159" s="1523" t="e">
        <v>#VALUE!</v>
      </c>
      <c r="BN159" s="1523" t="e">
        <v>#VALUE!</v>
      </c>
      <c r="BO159" s="1523" t="e">
        <v>#VALUE!</v>
      </c>
      <c r="BP159" s="1525" t="e">
        <f aca="false">SUM(AZ159:BB159)</f>
        <v>#VALUE!</v>
      </c>
      <c r="BQ159" s="1529" t="e">
        <f aca="false">SUM(AZ159:BC159)</f>
        <v>#VALUE!</v>
      </c>
      <c r="BR159" s="1519" t="e">
        <f aca="false">SUM(BH159:BJ159)</f>
        <v>#VALUE!</v>
      </c>
      <c r="BS159" s="1529" t="e">
        <f aca="false">SUM(BH159:BK159)</f>
        <v>#VALUE!</v>
      </c>
      <c r="BT159" s="1316" t="n">
        <f aca="false">(IF(OVolType&lt;&gt;2,A159+14,IF(OptExpDateShift,ShiftBack(A159,OptExpDateShift,D158),A159))-DateToday)/365.25</f>
        <v>11.8795345653662</v>
      </c>
      <c r="BU159" s="1585" t="e">
        <f aca="false">IF(BQ159,IF(OPriceCurve,IF(OBuySell=OCallPut,I159/(1-AY159),K159/(1-AY159)),J159/(1-AY159))*BD159,0)</f>
        <v>#VALUE!</v>
      </c>
      <c r="BV159" s="1316" t="e">
        <f aca="false">IF(BQ159,IF(OPriceCurve,IF(OBuySell=OCallPut,L159/(1-AY159),N159/(1-AY159)),M159/(1-AY159))*BE159,0)</f>
        <v>#VALUE!</v>
      </c>
      <c r="BW159" s="1316" t="e">
        <f aca="false">IF(BQ159,IF(OPriceCurve,IF(OBuySell=OCallPut,O159/(1-AY159),Q159/(1-AY159)),P159/(1-AY159))*BF159,0)</f>
        <v>#VALUE!</v>
      </c>
      <c r="BX159" s="1316" t="e">
        <f aca="false">IF(BQ159,IF(OPriceCurve,IF(OBuySell=OCallPut,R159/(1-AY159),T159/(1-AY159)),S159/(1-AY159))*BG159,0)</f>
        <v>#VALUE!</v>
      </c>
      <c r="BY159" s="1316" t="e">
        <f aca="false">IF(BP159,(BU159*AZ159+BV159*BA159+BW159*BB159)/BP159,0)</f>
        <v>#VALUE!</v>
      </c>
      <c r="BZ159" s="1316" t="e">
        <f aca="false">IF(BQ159,(BY159*BP159+BX159*BC159)/BQ159,0)</f>
        <v>#VALUE!</v>
      </c>
      <c r="CA159" s="1531" t="e">
        <f aca="false">IF(BS159,IF(OPriceCurve,IF(OBuySell=OCallPut,I159/(1-AY159),K159/(1-AY159)),J159/(1-AY159))*BL159,0)</f>
        <v>#VALUE!</v>
      </c>
      <c r="CB159" s="1316" t="e">
        <f aca="false">IF(BS159,IF(OPriceCurve,IF(OBuySell=OCallPut,L159/(1-AY159),N159/(1-AY159)),M159/(1-AY159))*BM159,0)</f>
        <v>#VALUE!</v>
      </c>
      <c r="CC159" s="1316" t="e">
        <f aca="false">IF(BS159,IF(OPriceCurve,IF(OBuySell=OCallPut,O159/(1-AY159),Q159/(1-AY159)),P159/(1-AY159))*BN159,0)</f>
        <v>#VALUE!</v>
      </c>
      <c r="CD159" s="1316" t="e">
        <f aca="false">IF(BS159,IF(OPriceCurve,IF(OBuySell=OCallPut,R159/(1-AY159),T159/(1-AY159)),S159/(1-AY159))*BO159,0)</f>
        <v>#VALUE!</v>
      </c>
      <c r="CE159" s="1316" t="e">
        <f aca="false">IF(BR159,(BU159*BH159+BV159*BI159+BW159*BJ159)/BR159,0)</f>
        <v>#VALUE!</v>
      </c>
      <c r="CF159" s="1532" t="e">
        <f aca="false">IF(BS159,(CE159*BR159+CD159*BK159)/BS159,0)</f>
        <v>#VALUE!</v>
      </c>
      <c r="CG159" s="1586" t="e">
        <f aca="false">IF(OR(BQ159,BS159),IF(OVolType&lt;&gt;2,SQRT(IF(OVolOverMonthlyPeak,OVolOverMonthlyPeak,IF(OVolCurve,IF(OBuySell,U159,W159),V159))^2*(1-15/365.25/BT159)+IF(OVolOverDailyPeak,OVolOverDailyPeak,IF(OVolCurve,IF(OBuySell,AG159,AI159),AH159))^2*15/365.25/BT159),IF(OVolOverMonthlyPeak,OVolOverMonthlyPeak,IF(OVolCurve,IF(OBuySell,U159,W159),V159))),"")</f>
        <v>#VALUE!</v>
      </c>
      <c r="CH159" s="1587" t="e">
        <f aca="false">IF(OR(BQ159,BS159),IF(OVolType&lt;&gt;2,SQRT(IF(OVolOverMonthlyPeak,OVolOverMonthlyPeak,IF(OVolCurve,IF(OBuySell,X159,Z159),Y159))^2*(1-15/365.25/BT159)+IF(OVolOverDailyPeak,OVolOverDailyPeak,IF(OVolCurve,IF(OBuySell,AJ159,AL159),AK159))^2*15/365.25/BT159),IF(OVolOverMonthlyPeak,OVolOverMonthlyPeak,IF(OVolCurve,IF(OBuySell,X159,Z159),Y159))),"")</f>
        <v>#VALUE!</v>
      </c>
      <c r="CI159" s="1587" t="e">
        <f aca="false">IF(OR(BQ159,BS159),IF(OVolType&lt;&gt;2,SQRT(IF(OVolOverMonthlyPeak,OVolOverMonthlyPeak,IF(OVolCurve,IF(OBuySell,AA159,AC159),AB159))^2*(1-15/365.25/BT159)+IF(OVolOverDailyPeak,OVolOverDailyPeak,IF(OVolCurve,IF(OBuySell,AM159,AO159),AN159))^2*15/365.25/BT159),IF(OVolOverMonthlyPeak,OVolOverMonthlyPeak,IF(OVolCurve,IF(OBuySell,AA159,AC159),AB159))),"")</f>
        <v>#VALUE!</v>
      </c>
      <c r="CJ159" s="1587" t="e">
        <f aca="false">IF(BQ159,IF(BP159,SQRT(LN(1+((BU159*AZ159)^2*(EXP(CG159^2*BT159)-1)+(BV159*BA159)^2*(EXP(CH159^2*BT159)-1)+(BW159*BB159)^2*(EXP(CI159^2*BT159)-1)+2*BU159*AZ159*BV159*BA159*(EXP(CG159*CH159*BT159)-1)+2*BV159*BA159*BW159*BB159*(EXP(CH159*CI159*BT159)-1)+2*BW159*BB159*BU159*AZ159*(EXP(CI159*CG159*BT159)-1))/(BY159*BP159)^2)/BT159),0),"")</f>
        <v>#VALUE!</v>
      </c>
      <c r="CK159" s="1587" t="e">
        <f aca="false">IF(BS159,IF(BR159,SQRT(LN(1+((CA159*BH159)^2*(EXP(CG159^2*BT159)-1)+(CB159*BI159)^2*(EXP(CH159^2*BT159)-1)+(CC159*BJ159)^2*(EXP(CI159^2*BT159)-1)+2*CA159*BH159*CB159*BI159*(EXP(CG159*CH159*BT159)-1)+2*CB159*BI159*CC159*BJ159*(EXP(CH159*CI159*BT159)-1)+2*CC159*BJ159*CA159*BH159*(EXP(CI159*CG159*BT159)-1))/(CE159*BR159)^2)/BT159),0),"")</f>
        <v>#VALUE!</v>
      </c>
      <c r="CL159" s="1587" t="e">
        <f aca="false">IF(OR(BQ159,BS159),IF(OVolType&lt;&gt;2,SQRT(IF(OVolOverMonthlyOffPeak,OVolOverMonthlyOffPeak,IF(OVolCurve,IF(OBuySell,AD159,AF159),AE159))^2*(1-15/365.25/BT159)+IF(OVolOverDailyOffPeak,OVolOverDailyOffPeak,IF(OVolCurve,IF(OBuySell,AP159,AR159),AQ159))^2*15/365.25/BT159),IF(OVolOverMonthlyOffPeak,OVolOverMonthlyOffPeak,IF(OVolCurve,IF(OBuySell,AD159,AF159),AE159))),"")</f>
        <v>#VALUE!</v>
      </c>
      <c r="CM159" s="1587" t="e">
        <f aca="false">IF(BQ159,SQRT(LN(1+((BY159*BP159)^2*(EXP(CJ159^2*BT159)-1)+(BX159*BC159)^2*(EXP(CL159^2*BT159)-1)+2*BY159*BP159*BX159*BC159*(EXP(AS159*CJ159*CL159*BT159)-1))/(BY159*BP159+BX159*BC159)^2)/BT159),"")</f>
        <v>#VALUE!</v>
      </c>
      <c r="CN159" s="1588" t="e">
        <f aca="false">IF(BS159,SQRT(LN(1+((CE159*BR159)^2*(EXP(CK159^2*BT159)-1)+(CD159*BK159)^2*(EXP(CL159^2*BT159)-1)+2*CE159*BR159*CD159*BK159*(EXP(AS159*CK159*CL159*BT159)-1))/(CE159*BR159+CD159*BK159)^2)/BT159),"")</f>
        <v>#VALUE!</v>
      </c>
      <c r="CO159" s="1531" t="e">
        <f aca="false">IF(OR(BQ159,BS159),VLOOKUP(A159,GasTable,13)*HeatRatePeak*(1+VLOOKUP($B159,HeatRateDegradation,$C159+1))/1000,0)</f>
        <v>#VALUE!</v>
      </c>
      <c r="CP159" s="1316" t="e">
        <f aca="false">IF(OR(BQ159,BS159),VLOOKUP(A159,GasTable,13)*HeatRatePeak*(1+VLOOKUP($B159,HeatRateDegradation,$C159+1))/1000,0)</f>
        <v>#VALUE!</v>
      </c>
      <c r="CQ159" s="1316" t="e">
        <f aca="false">IF(OR(BQ159,BS159),VLOOKUP(A159,GasTable,13)*IF(EV159,HeatRatePeak,HeatRateOffPeak)*(1+VLOOKUP($B159,HeatRateDegradation,$C159+1))/1000,0)</f>
        <v>#VALUE!</v>
      </c>
      <c r="CR159" s="1316" t="e">
        <f aca="false">IF(OR(BQ159,BS159),VLOOKUP(A159,GasTable,13)*IF(EW159,HeatRatePeak,HeatRateOffPeak)*(1+VLOOKUP($B159,HeatRateDegradation,$C159+1))/1000,0)</f>
        <v>#VALUE!</v>
      </c>
      <c r="CS159" s="1589" t="e">
        <f aca="false">IF(BQ159,(CO159*AZ159+CP159*BA159+CQ159*BB159+CR159*BC159)/BQ159,0)</f>
        <v>#VALUE!</v>
      </c>
      <c r="CT159" s="1316" t="e">
        <f aca="false">IF(BS159,CO159,0)</f>
        <v>#VALUE!</v>
      </c>
      <c r="CU159" s="1590" t="e">
        <f aca="false">IF(OR(BQ159,BS159),VLOOKUP(A159,GasTable,14),"")</f>
        <v>#VALUE!</v>
      </c>
      <c r="CV159" s="1568" t="e">
        <f aca="false">IF(OR(BQ159,BS159),IF(CorrPowerGasOverFlag,INDEX(CorrPowerGasOver,C159),CorrPowerGas),"")</f>
        <v>#VALUE!</v>
      </c>
      <c r="CW159" s="1316" t="e">
        <f aca="false">IF(OR($BQ159,$BS159),SpreadOptPowerMargin,0)*((1+Assumptions!$C$26)^($B159-YEAR(Assumptions!$C$17)))</f>
        <v>#VALUE!</v>
      </c>
      <c r="CX159" s="1316" t="e">
        <f aca="false">IF(OR($BQ159,$BS159),SpreadOptPowerMargin,0)*((1+Assumptions!$C$26)^($B159-YEAR(Assumptions!$C$17)))</f>
        <v>#VALUE!</v>
      </c>
      <c r="CY159" s="1316" t="e">
        <f aca="false">IF(OR($BQ159,$BS159),SpreadOptPowerMargin,0)*((1+Assumptions!$C$26)^($B159-YEAR(Assumptions!$C$17)))</f>
        <v>#VALUE!</v>
      </c>
      <c r="CZ159" s="1316" t="e">
        <f aca="false">IF(OR($BQ159,$BS159),SpreadOptPowerMargin,0)*((1+Assumptions!$C$26)^($B159-YEAR(Assumptions!$C$17)))</f>
        <v>#VALUE!</v>
      </c>
      <c r="DA159" s="1591" t="e">
        <f aca="false">IF(OR(BQ159,BS159),(CW159*(AZ159+BH159)+CX159*(BA159+BI159)+CY159*(BB159+BJ159)+CZ159*(BC159+BK159))/(BQ159+BS159),0)</f>
        <v>#VALUE!</v>
      </c>
      <c r="DB159" s="1592" t="e">
        <f aca="false">IF(OR(BQ159,BS159),CG159+IF(OVolSmile,VLOOKUP(MAX(-5,CO159+CW159-BU159),IF(OVolSmile=1,VolSmileBook,VolSmileModel),2),0),"")</f>
        <v>#VALUE!</v>
      </c>
      <c r="DC159" s="1592" t="e">
        <f aca="false">IF(OR(BQ159,BS159),CH159+IF(OVolSmile,VLOOKUP(MAX(-5,CP159+CW159-BV159),IF(OVolSmile=1,VolSmileBook,VolSmileModel),2),0),"")</f>
        <v>#VALUE!</v>
      </c>
      <c r="DD159" s="1592" t="e">
        <f aca="false">IF(OR(BQ159,BS159),CI159+IF(OVolSmile,VLOOKUP(MAX(-5,CQ159+CW159-BW159),IF(OVolSmile=1,VolSmileBook,VolSmileModel),2),0),"")</f>
        <v>#VALUE!</v>
      </c>
      <c r="DE159" s="1592" t="e">
        <f aca="false">IF(OR(BQ159,BS159),CL159+IF(OVolSmile,VLOOKUP(MAX(-5,CR159+CZ159-BX159),IF(OVolSmile=1,VolSmileBook,VolSmileModel),2),0),"")</f>
        <v>#VALUE!</v>
      </c>
      <c r="DF159" s="1592" t="e">
        <f aca="false">IF(BQ159,CM159+IF(OVolSmile,VLOOKUP(MAX(-5,CS159+DA159-BZ159),IF(OVolSmile=1,VolSmileBook,VolSmileModel),2),0),"")</f>
        <v>#VALUE!</v>
      </c>
      <c r="DG159" s="1593" t="e">
        <f aca="false">IF(BS159,CN159+IF(OVolSmile,VLOOKUP(MAX(-5,CT159+DA159-CF159),IF(OVolSmile=1,VolSmileBook,VolSmileModel),2),0),"")</f>
        <v>#VALUE!</v>
      </c>
      <c r="DH159" s="1316" t="e">
        <f aca="false">IF(AND(BU159&gt;0,CO159&gt;0,DB159&gt;0,CU159&gt;0),newSPRDOPT(BU159,CO159,CW159,0,DB159,CU159,CV159,BT159*365.25,OCallPut,0),0)</f>
        <v>#VALUE!</v>
      </c>
      <c r="DI159" s="1316" t="e">
        <f aca="false">IF(AND(BV159&gt;0,CP159&gt;0,DC159&gt;0,CU159&gt;0),newSPRDOPT(BV159,CP159,CX159,0,DC159,CU159,CV159,BT159*365.25,OCallPut,0),0)</f>
        <v>#VALUE!</v>
      </c>
      <c r="DJ159" s="1316" t="e">
        <f aca="false">IF(AND(BW159&gt;0,CQ159&gt;0,DD159&gt;0,CU159&gt;0),newSPRDOPT(BW159,CQ159,CY159,0,DD159,CU159,CV159,BT159*365.25,OCallPut,0),0)</f>
        <v>#VALUE!</v>
      </c>
      <c r="DK159" s="1316" t="e">
        <f aca="false">IF(AND(BX159&gt;0,CR159&gt;0,DE159&gt;0,CU159&gt;0),newSPRDOPT(BX159,CR159,CZ159,0,DE159,CU159,CV159,BT159*365.25,OCallPut,0),0)</f>
        <v>#VALUE!</v>
      </c>
      <c r="DL159" s="1316" t="e">
        <f aca="false">IF(OVolType,IF(AND(BZ159&gt;0,CS159&gt;0,DF159&gt;0,CU159&gt;0),newSPRDOPT(BZ159,CS159,DA159,0,DF159,CU159,CV159,BT159*365.25,OCallPut,0),0),IF(BQ159,(DH159*AZ159+DI159*BA159+DJ159*BB159+DK159*BC159)/BQ159,0))</f>
        <v>#VALUE!</v>
      </c>
      <c r="DM159" s="1316"/>
      <c r="DN159" s="1316"/>
      <c r="DO159" s="1316"/>
      <c r="DP159" s="1316"/>
      <c r="DQ159" s="1316"/>
      <c r="DR159" s="1316"/>
      <c r="DS159" s="1316"/>
      <c r="DT159" s="1316"/>
      <c r="DU159" s="1316"/>
      <c r="DV159" s="1316"/>
      <c r="DW159" s="1594" t="e">
        <f aca="false">IF(AND(BW159&gt;0,CT159&gt;0,DD159&gt;0,CU159&gt;0),newSPRDOPT(BW159,CT159,CY159,0,DD159,CU159,CV159,BT159*365.25,OCallPut,0),0)</f>
        <v>#VALUE!</v>
      </c>
      <c r="DX159" s="1316" t="e">
        <f aca="false">IF(AND(BX159&gt;0,CT159&gt;0,DE159&gt;0,CU159&gt;0),newSPRDOPT(BX159,CT159,CZ159,0,DE159,CU159,CV159,BT159*365.25,OCallPut,0),0)</f>
        <v>#VALUE!</v>
      </c>
      <c r="DY159" s="1591" t="e">
        <f aca="false">IF(BS159,(DH159*BH159+DI159*BI159+DW159*BJ159+DX159*BK159)/BS159,0)</f>
        <v>#VALUE!</v>
      </c>
      <c r="DZ159" s="1551" t="e">
        <f aca="false">DH159*AZ159</f>
        <v>#VALUE!</v>
      </c>
      <c r="EA159" s="1551" t="e">
        <f aca="false">DI159*BA159</f>
        <v>#VALUE!</v>
      </c>
      <c r="EB159" s="1551" t="e">
        <f aca="false">DJ159*BB159</f>
        <v>#VALUE!</v>
      </c>
      <c r="EC159" s="1551" t="e">
        <f aca="false">DK159*BC159</f>
        <v>#VALUE!</v>
      </c>
      <c r="ED159" s="1551" t="e">
        <f aca="false">DL159*BQ159</f>
        <v>#VALUE!</v>
      </c>
      <c r="EE159" s="1595" t="e">
        <f aca="false">IF(BQ159,IF(OCallPut,IF(BU159&gt;(CO159+CW159),BU159-(CO159+CW159),0),IF((CO159+CW159)&gt;BU159,(CO159+CW159)-BU159,0))*AZ159,0)</f>
        <v>#VALUE!</v>
      </c>
      <c r="EF159" s="1596" t="e">
        <f aca="false">IF(BQ159,IF(OCallPut,IF(BV159&gt;(CP159+CX159),BV159-(CP159+CX159),0),IF((CP159+CX159)&gt;BV159,(CP159+CX159)-BV159,0))*BA159,0)</f>
        <v>#VALUE!</v>
      </c>
      <c r="EG159" s="1596" t="e">
        <f aca="false">IF(BQ159,IF(OCallPut,IF(BW159&gt;(CQ159+CY159),BW159-(CQ159+CY159),0),IF((CQ159+CY159)&gt;BW159,(CQ159+CY159)-BW159,0))*BB159,0)</f>
        <v>#VALUE!</v>
      </c>
      <c r="EH159" s="1596" t="e">
        <f aca="false">IF(BQ159,IF(OCallPut,IF(BX159&gt;(CR159+CZ159),BX159-(CR159+CZ159),0),IF((CR159+CZ159)&gt;BX159,(CR159+CZ159)-BX159,0))*BC159,0)</f>
        <v>#VALUE!</v>
      </c>
      <c r="EI159" s="1597" t="e">
        <f aca="false">IF(BQ159,IF(OVolType,IF(OCallPut,IF(BZ159&gt;(CS159+DA159),BZ159-(CS159+DA159),0),IF((CS159+DA159)&gt;BZ159,(CS159+DA159)-BZ159,0))*BQ159,SUM(EE159:EH159)),0)</f>
        <v>#VALUE!</v>
      </c>
      <c r="EJ159" s="1595" t="e">
        <f aca="false">DZ159-EE159</f>
        <v>#VALUE!</v>
      </c>
      <c r="EK159" s="1596" t="e">
        <f aca="false">EA159-EF159</f>
        <v>#VALUE!</v>
      </c>
      <c r="EL159" s="1596" t="e">
        <f aca="false">EB159-EG159</f>
        <v>#VALUE!</v>
      </c>
      <c r="EM159" s="1596" t="e">
        <f aca="false">EC159-EH159</f>
        <v>#VALUE!</v>
      </c>
      <c r="EN159" s="1597" t="e">
        <f aca="false">ED159-EI159</f>
        <v>#VALUE!</v>
      </c>
      <c r="EO159" s="1551" t="e">
        <f aca="false">DH159*BH159</f>
        <v>#VALUE!</v>
      </c>
      <c r="EP159" s="1551" t="e">
        <f aca="false">DI159*BI159</f>
        <v>#VALUE!</v>
      </c>
      <c r="EQ159" s="1551" t="e">
        <f aca="false">DW159*BJ159</f>
        <v>#VALUE!</v>
      </c>
      <c r="ER159" s="1551" t="e">
        <f aca="false">DX159*BK159</f>
        <v>#VALUE!</v>
      </c>
      <c r="ES159" s="1551" t="e">
        <f aca="false">DY159*BS159</f>
        <v>#VALUE!</v>
      </c>
      <c r="ET159" s="1566" t="e">
        <f aca="false">IF(EI159,IF(OCallPut,IF(CA159&gt;(CT159+CW159),CA159-(CT159+CW159),0),IF((CT159+CW159)&gt;CA159,(CT159+CW159)-CA159,0))*BH159,0)</f>
        <v>#VALUE!</v>
      </c>
      <c r="EU159" s="1551" t="e">
        <f aca="false">IF(EI159,IF(OCallPut,IF(CB159&gt;(CT159+CX159),CB159-(CT159+CX159),0),IF((CT159+CX159)&gt;CB159,(CT159+CX159)-CB159,0))*BI159,0)</f>
        <v>#VALUE!</v>
      </c>
      <c r="EV159" s="1551" t="e">
        <f aca="false">IF(EI159,IF(OCallPut,IF(CC159&gt;(CT159+CY159),CC159-(CT159+CY159),0),IF((CT159+CY159)&gt;CC159,(CT159+CY159)-CC159,0))*BJ159,0)</f>
        <v>#VALUE!</v>
      </c>
      <c r="EW159" s="1551" t="e">
        <f aca="false">IF(EI159,IF(OCallPut,IF(CD159&gt;(CT159+CZ159),CD159-(CT159+CZ159),0),IF((CT159+CZ159)&gt;CD159,(CT159+CZ159)-CD159,0))*BK159,0)</f>
        <v>#VALUE!</v>
      </c>
      <c r="EX159" s="1558" t="e">
        <f aca="false">IF(EI159,SUM(ET159:EW159),0)</f>
        <v>#VALUE!</v>
      </c>
      <c r="EY159" s="1551" t="e">
        <f aca="false">EO159-ET159</f>
        <v>#VALUE!</v>
      </c>
      <c r="EZ159" s="1551" t="e">
        <f aca="false">EP159-EU159</f>
        <v>#VALUE!</v>
      </c>
      <c r="FA159" s="1551" t="e">
        <f aca="false">EQ159-EV159</f>
        <v>#VALUE!</v>
      </c>
      <c r="FB159" s="1551" t="e">
        <f aca="false">ER159-EW159</f>
        <v>#VALUE!</v>
      </c>
      <c r="FC159" s="1551" t="e">
        <f aca="false">ES159-EX159</f>
        <v>#VALUE!</v>
      </c>
      <c r="FD159" s="1525" t="n">
        <f aca="false">IF(AX159,IF(VLOOKUP(C159,MAIN!$L$17:$M$28,2)="Yes",VLOOKUP(CALC!B159,MAIN!$H$17:$I$20,2),0),0)</f>
        <v>0</v>
      </c>
      <c r="FE159" s="1552" t="e">
        <f aca="false">$FD159*16*AT159*(1-$AY159)</f>
        <v>#VALUE!</v>
      </c>
      <c r="FF159" s="1553" t="e">
        <f aca="false">$FD159*16*AU159*(1-$AY159)</f>
        <v>#VALUE!</v>
      </c>
      <c r="FG159" s="1553" t="e">
        <f aca="false">$FD159*16*(AV159+AW159)*(1-$AY159)</f>
        <v>#VALUE!</v>
      </c>
      <c r="FH159" s="1554" t="n">
        <f aca="false">$FD159*8*AX159*(1-$AY159)</f>
        <v>0</v>
      </c>
      <c r="FI159" s="1555" t="n">
        <f aca="false">IF(AX159,VLOOKUP(CALC!B159,MAIN!$H$17:$K$20,4),0)</f>
        <v>0</v>
      </c>
      <c r="FJ159" s="1553" t="e">
        <f aca="false">SUM(FE159:FH159)</f>
        <v>#VALUE!</v>
      </c>
      <c r="FK159" s="1556" t="e">
        <f aca="false">FI159*FJ159</f>
        <v>#VALUE!</v>
      </c>
      <c r="FL159" s="1551" t="e">
        <f aca="false">IF($EI159&gt;0,MIN(FE159,AZ159*(1+VLOOKUP($C159,WeatherCapacityAdjustment,2))),0)</f>
        <v>#VALUE!</v>
      </c>
      <c r="FM159" s="1551" t="e">
        <f aca="false">IF($EI159&gt;0,MIN(FF159,BA159*(1+VLOOKUP($C159,WeatherCapacityAdjustment,2))),0)</f>
        <v>#VALUE!</v>
      </c>
      <c r="FN159" s="1551" t="e">
        <f aca="false">IF($EI159&gt;0,MIN(FG159,BB159*(1+VLOOKUP($C159,WeatherCapacityAdjustment,2))),0)</f>
        <v>#VALUE!</v>
      </c>
      <c r="FO159" s="1564" t="e">
        <f aca="false">IF($EI159&gt;0,MIN(FH159,BC159*(1+VLOOKUP($C159,WeatherCapacityAdjustment,3))),0)</f>
        <v>#VALUE!</v>
      </c>
      <c r="FP159" s="1551" t="e">
        <f aca="false">IF(ET159&gt;0,MIN(FE159-FL159,BH159*(1+VLOOKUP($C159,WeatherCapacityAdjustment,2))),0)</f>
        <v>#VALUE!</v>
      </c>
      <c r="FQ159" s="1551" t="e">
        <f aca="false">IF(EU159&gt;0,MIN(FF159-FM159,BI159*(1+VLOOKUP($C159,WeatherCapacityAdjustment,2))),0)</f>
        <v>#VALUE!</v>
      </c>
      <c r="FR159" s="1551" t="e">
        <f aca="false">IF(EV159&gt;0,MIN(FG159-FN159,BJ159*(1+VLOOKUP($C159,WeatherCapacityAdjustment,2))),0)</f>
        <v>#VALUE!</v>
      </c>
      <c r="FS159" s="1558" t="e">
        <f aca="false">IF(EW159&gt;0,MIN(FH159-FO159,BK159*(1+VLOOKUP($C159,WeatherCapacityAdjustment,3))),0)</f>
        <v>#VALUE!</v>
      </c>
      <c r="FT159" s="1566" t="e">
        <f aca="false">IF(AND(Assumptions!$H$71="Yes",A159&gt;=Assumptions!$H$72,A159&lt;=Assumptions!$H$73),0,IF(AND($A159&gt;=Assumptions!$C$17,$A159&lt;=Assumptions!$C$18),MAX(AZ159*(1+VLOOKUP($C159,WeatherCapacityAdjustment,2))-FL159,0),0))</f>
        <v>#VALUE!</v>
      </c>
      <c r="FU159" s="1551" t="e">
        <f aca="false">IF(AND(Assumptions!$H$71="Yes",A159&gt;=Assumptions!$H$72,A159&lt;=Assumptions!$H$73),0,IF(AND($A159&gt;=Assumptions!$C$17,$A159&lt;=Assumptions!$C$18),MAX(BA159*(1+VLOOKUP($C159,WeatherCapacityAdjustment,2))-FM159,0),0))</f>
        <v>#VALUE!</v>
      </c>
      <c r="FV159" s="1551" t="e">
        <f aca="false">IF(AND(Assumptions!$H$71="Yes",A159&gt;=Assumptions!$H$72,A159&lt;=Assumptions!$H$73),0,IF(AND($A159&gt;=Assumptions!$C$17,$A159&lt;=Assumptions!$C$18),MAX(BB159*(1+VLOOKUP($C159,WeatherCapacityAdjustment,2))-FN159,0),0))</f>
        <v>#VALUE!</v>
      </c>
      <c r="FW159" s="1564" t="e">
        <f aca="false">IF(AND(Assumptions!$H$71="Yes",A159&gt;=Assumptions!$H$72,A159&lt;=Assumptions!$H$73),0,IF(AND($A159&gt;=Assumptions!$C$17,$A159&lt;=Assumptions!$C$18),MAX(BC159*(1+VLOOKUP($C159,WeatherCapacityAdjustment,3))-FO159,0),0))</f>
        <v>#VALUE!</v>
      </c>
      <c r="FX159" s="1569" t="e">
        <f aca="false">IF(AND(Assumptions!$H$71="Yes",A159&gt;=Assumptions!$H$72,A159&lt;=Assumptions!$H$73),0,IF(ET159&gt;0,MAX(BH159*(1+VLOOKUP($C159,WeatherCapacityAdjustment,2))-FP159,0),0))</f>
        <v>#VALUE!</v>
      </c>
      <c r="FY159" s="1551" t="e">
        <f aca="false">IF(AND(Assumptions!$H$71="Yes",A159&gt;=Assumptions!$H$72,A159&lt;=Assumptions!$H$73),0,IF(EU159&gt;0,MAX(BI159*(1+VLOOKUP($C159,WeatherCapacityAdjustment,3))-FQ159,0),0))</f>
        <v>#VALUE!</v>
      </c>
      <c r="FZ159" s="1551" t="e">
        <f aca="false">IF(AND(Assumptions!$H$71="Yes",A159&gt;=Assumptions!$H$72,A159&lt;=Assumptions!$H$73),0,IF(EV159&gt;0,MAX(BJ159*(1+VLOOKUP($C159,WeatherCapacityAdjustment,2))-FR159,0),0))</f>
        <v>#VALUE!</v>
      </c>
      <c r="GA159" s="1564" t="e">
        <f aca="false">IF(AND(Assumptions!$H$71="Yes",A159&gt;=Assumptions!$H$72,A159&lt;=Assumptions!$H$73),0,IF(EW159&gt;0,MAX(BK159*(1+VLOOKUP($C159,WeatherCapacityAdjustment,2))-FS159,0),0))</f>
        <v>#VALUE!</v>
      </c>
      <c r="GB159" s="1551" t="e">
        <f aca="false">SUM(FT159:GA159)</f>
        <v>#VALUE!</v>
      </c>
      <c r="GC159" s="1563" t="e">
        <f aca="false">+IF(SUM(FT159:GA159)=0,0,(SUMPRODUCT(BU159:BX159,FT159:FW159)+SUMPRODUCT(CA159:CD159,FX159:GA159))/SUM(FT159:GA159))</f>
        <v>#VALUE!</v>
      </c>
      <c r="GD159" s="1551" t="e">
        <f aca="false">(FT159*BU159+FX159*CA159+FU159*BV159+FY159*CB159+FV159*BW159+FZ159*CC159+FW159*BX159+GA159*CD159)</f>
        <v>#VALUE!</v>
      </c>
      <c r="GE159" s="1561" t="e">
        <f aca="false">+IF(BQ159,((FL159+FM159+FT159+FU159)*HeatRatePeak/1000*(1+VLOOKUP($C159,WeatherHeatRateAdjustment,2))+(FN159+FV159)*IF(EV159&gt;0,HeatRatePeak,HeatRateOffPeak)/1000*(1+VLOOKUP($C159,WeatherHeatRateAdjustment,2))+(FO159+FW159)*IF(EW159&gt;0,HeatRatePeak,HeatRateOffPeak)/1000*(1+VLOOKUP($C159,WeatherHeatRateAdjustment,3)))*(1+VLOOKUP($B159,HeatRateDegradation,$C159+1)),0)</f>
        <v>#VALUE!</v>
      </c>
      <c r="GF159" s="1562" t="e">
        <f aca="false">IF(BQ159,((FP159+FQ159+FR159+FX159+FY159+FZ159)*HeatRatePeak/1000*(1+VLOOKUP($C159,WeatherHeatRateAdjustment,2))+(FS159+GA159)*HeatRatePeak/1000*(1+VLOOKUP($C159,WeatherHeatRateAdjustment,3)))*(1+VLOOKUP($B159,HeatRateDegradation,$C159+1)),0)</f>
        <v>#VALUE!</v>
      </c>
      <c r="GG159" s="1563" t="e">
        <f aca="false">IF(BQ159,VLOOKUP(A159,GasTable,13),0)</f>
        <v>#VALUE!</v>
      </c>
      <c r="GH159" s="1564" t="e">
        <f aca="false">(GE159+GF159)*GG159</f>
        <v>#VALUE!</v>
      </c>
      <c r="GI159" s="1569" t="e">
        <f aca="false">GB159</f>
        <v>#VALUE!</v>
      </c>
      <c r="GJ159" s="1598" t="e">
        <f aca="false">+DA159</f>
        <v>#VALUE!</v>
      </c>
      <c r="GK159" s="1558" t="e">
        <f aca="false">+GI159*GJ159</f>
        <v>#VALUE!</v>
      </c>
      <c r="GL159" s="1566" t="e">
        <f aca="false">MAX(FE159-FL159-FP159,0)</f>
        <v>#VALUE!</v>
      </c>
      <c r="GM159" s="1551" t="e">
        <f aca="false">MAX(FF159-FM159-FQ159,0)</f>
        <v>#VALUE!</v>
      </c>
      <c r="GN159" s="1551" t="e">
        <f aca="false">MAX(FG159-FN159-FR159,0)</f>
        <v>#VALUE!</v>
      </c>
      <c r="GO159" s="1564" t="e">
        <f aca="false">MAX(FH159-FO159-FS159,0)</f>
        <v>#VALUE!</v>
      </c>
      <c r="GP159" s="1551" t="e">
        <f aca="false">SUM(GL159:GO159)</f>
        <v>#VALUE!</v>
      </c>
      <c r="GQ159" s="1563" t="e">
        <f aca="false">IF(SUM(GL159:GO159)=0,0,((GL159*BU159+GM159*BV159+GN159*BW159+GO159*BX159)/SUM(GL159:GO159)))</f>
        <v>#VALUE!</v>
      </c>
      <c r="GR159" s="1558" t="e">
        <f aca="false">(GL159*BU159+GM159*BV159+GN159*BW159+GO159*BX159)</f>
        <v>#VALUE!</v>
      </c>
      <c r="GS159" s="1566" t="n">
        <f aca="false">IF($A159&gt;=BegDate,Assumptions!$C$56*24*($A160-$A159)*(1-VLOOKUP($B159,MAIN!$AA$7:$AM$28,$C159+1))*(1-VLOOKUP($B159,MAIN!$AA$33:$AM$54,$C159+1)),0)*80/168</f>
        <v>257742.857142857</v>
      </c>
      <c r="GT159" s="286" t="n">
        <f aca="false">J159</f>
        <v>41.8848266830432</v>
      </c>
      <c r="GU159" s="286" t="n">
        <f aca="false">IF($A159&gt;=BegDate,VLOOKUP($A159,GasTable,13)+Assumptions!$C$58,0)</f>
        <v>2.96568139401227</v>
      </c>
      <c r="GV159" s="286" t="n">
        <f aca="false">GU159*Assumptions!$C$57/1000</f>
        <v>21.5011901065889</v>
      </c>
      <c r="GW159" s="1558" t="n">
        <f aca="false">IF(Assumptions!$C$60="Hourly",MAX(0,GS159*(GT159-GV159)),GS159*(GT159-GV159))</f>
        <v>5253736.73017697</v>
      </c>
      <c r="GX159" s="1566" t="n">
        <f aca="false">IF($A159&gt;=BegDate,Assumptions!$C$56*24*($A160-$A159)*(1-VLOOKUP($B159,MAIN!$AA$7:$AM$28,$C159+1))*(1-VLOOKUP($B159,MAIN!$AA$33:$AM$54,$C159+1)),0)*16/168</f>
        <v>51548.5714285714</v>
      </c>
      <c r="GY159" s="286" t="n">
        <f aca="false">M159</f>
        <v>41.8848266830432</v>
      </c>
      <c r="GZ159" s="286" t="n">
        <f aca="false">IF($A159&gt;=BegDate,VLOOKUP($A159,GasTable,13)+Assumptions!$C$58,0)</f>
        <v>2.96568139401227</v>
      </c>
      <c r="HA159" s="286" t="n">
        <f aca="false">GZ159*Assumptions!$C$57/1000</f>
        <v>21.5011901065889</v>
      </c>
      <c r="HB159" s="1558" t="n">
        <f aca="false">IF(Assumptions!$C$60="Hourly",MAX(0,GX159*(GY159-HA159)),GX159*(GY159-HA159))</f>
        <v>1050747.34603539</v>
      </c>
      <c r="HC159" s="1566" t="n">
        <f aca="false">IF($A159&gt;=BegDate,Assumptions!$C$56*24*($A160-$A159)*(1-VLOOKUP($B159,MAIN!$AA$7:$AM$28,$C159+1))*(1-VLOOKUP($B159,MAIN!$AA$33:$AM$54,$C159+1)),0)*16/168</f>
        <v>51548.5714285714</v>
      </c>
      <c r="HD159" s="286" t="n">
        <f aca="false">P159</f>
        <v>25.7341479018275</v>
      </c>
      <c r="HE159" s="286" t="n">
        <f aca="false">IF($A159&gt;=BegDate,VLOOKUP($A159,GasTable,13)+Assumptions!$C$58,0)</f>
        <v>2.96568139401227</v>
      </c>
      <c r="HF159" s="286" t="n">
        <f aca="false">HE159*Assumptions!$C$57/1000</f>
        <v>21.5011901065889</v>
      </c>
      <c r="HG159" s="1558" t="n">
        <f aca="false">IF(Assumptions!$C$60="Hourly",MAX(0,HC159*(HD159-HF159)),HC159*(HD159-HF159))</f>
        <v>218202.927261985</v>
      </c>
      <c r="HH159" s="1566" t="n">
        <f aca="false">IF($A159&gt;=BegDate,Assumptions!$C$56*24*($A160-$A159)*(1-VLOOKUP($B159,MAIN!$AA$7:$AM$28,$C159+1))*(1-VLOOKUP($B159,MAIN!$AA$33:$AM$54,$C159+1)),0)*56/168</f>
        <v>180420</v>
      </c>
      <c r="HI159" s="286" t="n">
        <f aca="false">S159</f>
        <v>25.7341479018275</v>
      </c>
      <c r="HJ159" s="286" t="n">
        <f aca="false">IF($A159&gt;=BegDate,VLOOKUP($A159,GasTable,13)+Assumptions!$C$58,0)</f>
        <v>2.96568139401227</v>
      </c>
      <c r="HK159" s="286" t="n">
        <f aca="false">HJ159*Assumptions!$C$57/1000</f>
        <v>21.5011901065889</v>
      </c>
      <c r="HL159" s="1558" t="n">
        <f aca="false">IF(Assumptions!$C$60="Hourly",MAX(0,HH159*(HI159-HK159)),HH159*(HI159-HK159))</f>
        <v>763710.245416948</v>
      </c>
      <c r="HM159" s="1566" t="n">
        <f aca="false">IF(AND(Assumptions!$H$71="Yes",A159&gt;=Assumptions!$H$72,A159&lt;=Assumptions!$H$73),Assumptions!$H$74*Assumptions!$C$9*1000,0)</f>
        <v>0</v>
      </c>
      <c r="HN159" s="1551"/>
      <c r="HO159" s="1563"/>
      <c r="HP159" s="1563"/>
      <c r="HQ159" s="1563"/>
      <c r="HR159" s="1563"/>
      <c r="HS159" s="1563"/>
      <c r="HT159" s="1563"/>
      <c r="HU159" s="1563"/>
      <c r="HV159" s="1563"/>
      <c r="HW159" s="1563"/>
      <c r="HX159" s="1563"/>
      <c r="HY159" s="1563"/>
      <c r="HZ159" s="1563"/>
      <c r="IA159" s="1563"/>
      <c r="IB159" s="1563"/>
      <c r="IC159" s="1563"/>
      <c r="ID159" s="1563"/>
      <c r="IE159" s="1563"/>
      <c r="IF159" s="1563"/>
      <c r="IG159" s="1563"/>
      <c r="IH159" s="1563"/>
      <c r="II159" s="1610"/>
      <c r="IJ159" s="1309"/>
      <c r="IK159" s="1309"/>
    </row>
    <row r="160" customFormat="false" ht="12.75" hidden="false" customHeight="false" outlineLevel="0" collapsed="false">
      <c r="A160" s="1571" t="n">
        <f aca="false">EOMONTH(A159,0)+1</f>
        <v>41000</v>
      </c>
      <c r="B160" s="594" t="n">
        <f aca="false">+YEAR(A160)</f>
        <v>2012</v>
      </c>
      <c r="C160" s="238" t="n">
        <f aca="false">MONTH(A160)</f>
        <v>4</v>
      </c>
      <c r="D160" s="1572" t="e">
        <f aca="false">IF(E160="","",Holiday(B160,C160))</f>
        <v>#VALUE!</v>
      </c>
      <c r="E160" s="1573" t="n">
        <f aca="false">IF(OR(BegDate&gt;=A161,EndDate&lt;A160,AND(VolumeMonthlyOverFlag,INDEX(VolumeMonthlyOver,C160)=0),NOT(INDEX(MonthKnockOutTable,C160))),"",MAX(A160,BegDate))</f>
        <v>41000</v>
      </c>
      <c r="F160" s="1574" t="n">
        <f aca="false">IF(E160="","",MIN(A161-1,EndDate))</f>
        <v>41029</v>
      </c>
      <c r="G160" s="1575" t="n">
        <v>0</v>
      </c>
      <c r="H160" s="1576" t="n">
        <f aca="false">(1+G160/2)^(-2*(DATE(B161,C161,20)-DateToday)/365.25)</f>
        <v>1</v>
      </c>
      <c r="I160" s="1568" t="n">
        <f aca="false">IF(Assumptions!$L$25=4,VLOOKUP($A160,'Henwood Reference'!$E$9:$R$320,10),(VLOOKUP($A160,PriceTable,2,0)+IF(BasisNumber&lt;&gt;1,VLOOKUP($A160,BasisTable,2,0),0)+I$1)/(1-I$2))</f>
        <v>38.329564460346</v>
      </c>
      <c r="J160" s="1568" t="n">
        <f aca="false">IF(Assumptions!$L$25=4,VLOOKUP($A160,'Henwood Reference'!$E$9:$R$320,10),(VLOOKUP($A160,PriceTable,3,0)+IF(BasisNumber&lt;&gt;1,VLOOKUP($A160,BasisTable,2,0),0)+J$1)/(1-J$2))</f>
        <v>38.329564460346</v>
      </c>
      <c r="K160" s="1568" t="n">
        <f aca="false">IF(Assumptions!$L$25=4,VLOOKUP($A160,'Henwood Reference'!$E$9:$R$320,10),(VLOOKUP($A160,PriceTable,4,0)+IF(BasisNumber&lt;&gt;1,VLOOKUP($A160,BasisTable,2,0),0)+K$1)/(1-K$2))</f>
        <v>38.329564460346</v>
      </c>
      <c r="L160" s="1523" t="n">
        <f aca="false">IF(Assumptions!$L$25=4,VLOOKUP($A160,'Henwood Reference'!$E$9:$R$320,10),(VLOOKUP($A160,PriceTableWeekend,2,0)+IF(BasisNumber&lt;&gt;1,VLOOKUP($A160,BasisTable,2,0),0)+L$1)/(1-L$2))</f>
        <v>38.329564460346</v>
      </c>
      <c r="M160" s="1568" t="n">
        <f aca="false">IF(Assumptions!$L$25=4,VLOOKUP($A160,'Henwood Reference'!$E$9:$R$320,10),(VLOOKUP($A160,PriceTableWeekend,3,0)+IF(BasisNumber&lt;&gt;1,VLOOKUP($A160,BasisTable,2,0),0)+M$1)/(1-M$2))</f>
        <v>38.329564460346</v>
      </c>
      <c r="N160" s="1599" t="n">
        <f aca="false">IF(Assumptions!$L$25=4,VLOOKUP($A160,'Henwood Reference'!$E$9:$R$320,10),(VLOOKUP($A160,PriceTableWeekend,4,0)+IF(BasisNumber&lt;&gt;1,VLOOKUP($A160,BasisTable,2,0),0)+N$1)/(1-N$2))</f>
        <v>38.329564460346</v>
      </c>
      <c r="O160" s="1568" t="n">
        <f aca="false">IF(Assumptions!$L$25=4,VLOOKUP($A160,'Henwood Reference'!$E$9:$R$320,11),(VLOOKUP($A160,PriceTableWeekend,6,0)+IF(BasisNumber&lt;&gt;1,VLOOKUP($A160,BasisTable,3,0),0)+O$1)/(1-O$2))</f>
        <v>25.4627441577911</v>
      </c>
      <c r="P160" s="1568" t="n">
        <f aca="false">IF(Assumptions!$L$25=4,VLOOKUP($A160,'Henwood Reference'!$E$9:$R$320,11),(VLOOKUP($A160,PriceTableWeekend,7,0)+IF(BasisNumber&lt;&gt;1,VLOOKUP($A160,BasisTable,3,0),0)+P$1)/(1-P$2))</f>
        <v>25.4627441577911</v>
      </c>
      <c r="Q160" s="1599" t="n">
        <f aca="false">IF(Assumptions!$L$25=4,VLOOKUP($A160,'Henwood Reference'!$E$9:$R$320,11),(VLOOKUP($A160,PriceTableWeekend,8,0)+IF(BasisNumber&lt;&gt;1,VLOOKUP($A160,BasisTable,3,0),0)+Q$1)/(1-Q$2))</f>
        <v>25.4627441577911</v>
      </c>
      <c r="R160" s="1568" t="n">
        <f aca="false">IF(Assumptions!$L$25=4,VLOOKUP($A160,'Henwood Reference'!$E$9:$R$320,11),(VLOOKUP($A160,PriceTable,6,0)+IF(BasisNumber&lt;&gt;1,VLOOKUP($A160,BasisTable,3,0),0)+R$1)/(1-R$2))</f>
        <v>25.4627441577911</v>
      </c>
      <c r="S160" s="1568" t="n">
        <f aca="false">IF(Assumptions!$L$25=4,VLOOKUP($A160,'Henwood Reference'!$E$9:$R$320,11),(VLOOKUP($A160,PriceTable,7,0)+IF(BasisNumber&lt;&gt;1,VLOOKUP($A160,BasisTable,3,0),0)+S$1)/(1-S$2))</f>
        <v>25.4627441577911</v>
      </c>
      <c r="T160" s="1600" t="n">
        <f aca="false">IF(Assumptions!$L$25=4,VLOOKUP($A160,'Henwood Reference'!$E$9:$R$320,11),(VLOOKUP($A160,PriceTable,8,0)+IF(BasisNumber&lt;&gt;1,VLOOKUP($A160,BasisTable,3,0),0)+T$1)/(1-T$2))</f>
        <v>25.4627441577911</v>
      </c>
      <c r="U160" s="1513" t="n">
        <f aca="false">VLOOKUP($A160,VolatilityTable,14)</f>
        <v>0.11</v>
      </c>
      <c r="V160" s="1513" t="n">
        <f aca="false">VLOOKUP($A160,VolatilityTable,15)</f>
        <v>0.12</v>
      </c>
      <c r="W160" s="1514" t="n">
        <f aca="false">VLOOKUP($A160,VolatilityTable,16)</f>
        <v>0.13</v>
      </c>
      <c r="X160" s="1513" t="n">
        <f aca="false">VLOOKUP($A160,VolatilityTable,14)</f>
        <v>0.11</v>
      </c>
      <c r="Y160" s="1513" t="n">
        <f aca="false">VLOOKUP($A160,VolatilityTable,15)</f>
        <v>0.12</v>
      </c>
      <c r="Z160" s="1514" t="n">
        <f aca="false">VLOOKUP($A160,VolatilityTable,16)</f>
        <v>0.13</v>
      </c>
      <c r="AA160" s="1513" t="n">
        <f aca="false">VLOOKUP($A160,VolatilityTable,18)</f>
        <v>0.09</v>
      </c>
      <c r="AB160" s="1513" t="n">
        <f aca="false">VLOOKUP($A160,VolatilityTable,19)</f>
        <v>0.11</v>
      </c>
      <c r="AC160" s="1514" t="n">
        <f aca="false">VLOOKUP($A160,VolatilityTable,20)</f>
        <v>0.13</v>
      </c>
      <c r="AD160" s="1513" t="n">
        <f aca="false">VLOOKUP($A160,VolatilityTable,18)</f>
        <v>0.09</v>
      </c>
      <c r="AE160" s="1513" t="n">
        <f aca="false">VLOOKUP($A160,VolatilityTable,19)</f>
        <v>0.11</v>
      </c>
      <c r="AF160" s="1514" t="n">
        <f aca="false">VLOOKUP($A160,VolatilityTable,20)</f>
        <v>0.13</v>
      </c>
      <c r="AG160" s="1513" t="n">
        <f aca="false">VLOOKUP($A160,VolatilityTable,22)</f>
        <v>-0.1</v>
      </c>
      <c r="AH160" s="1513" t="n">
        <f aca="false">VLOOKUP($A160,VolatilityTable,23)</f>
        <v>0.65</v>
      </c>
      <c r="AI160" s="1514" t="n">
        <f aca="false">VLOOKUP($A160,VolatilityTable,24)</f>
        <v>0.1</v>
      </c>
      <c r="AJ160" s="1513" t="n">
        <f aca="false">VLOOKUP($A160,VolatilityTable,22)</f>
        <v>-0.1</v>
      </c>
      <c r="AK160" s="1513" t="n">
        <f aca="false">VLOOKUP($A160,VolatilityTable,23)</f>
        <v>0.65</v>
      </c>
      <c r="AL160" s="1514" t="n">
        <f aca="false">VLOOKUP($A160,VolatilityTable,24)</f>
        <v>0.1</v>
      </c>
      <c r="AM160" s="1513" t="n">
        <f aca="false">VLOOKUP($A160,VolatilityTable,26)</f>
        <v>-0.01</v>
      </c>
      <c r="AN160" s="1513" t="n">
        <f aca="false">VLOOKUP($A160,VolatilityTable,27)</f>
        <v>0.16</v>
      </c>
      <c r="AO160" s="1514" t="n">
        <f aca="false">VLOOKUP($A160,VolatilityTable,28)</f>
        <v>0.01</v>
      </c>
      <c r="AP160" s="1513" t="n">
        <f aca="false">VLOOKUP($A160,VolatilityTable,26)</f>
        <v>-0.01</v>
      </c>
      <c r="AQ160" s="1513" t="n">
        <f aca="false">VLOOKUP($A160,VolatilityTable,27)</f>
        <v>0.16</v>
      </c>
      <c r="AR160" s="1515" t="n">
        <f aca="false">VLOOKUP($A160,VolatilityTable,28)</f>
        <v>0.01</v>
      </c>
      <c r="AS160" s="1581" t="n">
        <f aca="false">IF(CorrPeakOffPeakOverFlag,INDEX(CorrPeakOffPeakOver,C160),CorrPeakOffPeak)</f>
        <v>0.5</v>
      </c>
      <c r="AT160" s="594" t="e">
        <f aca="false">AX160-SUM(AU160:AW160)</f>
        <v>#VALUE!</v>
      </c>
      <c r="AU160" s="238" t="e">
        <f aca="false">IF(E160="",0,INT((F160-MOD(F160,7)-E160)/7)+1-IF(AW160,IF(WEEKDAY(D160)=7,1,0),0))</f>
        <v>#VALUE!</v>
      </c>
      <c r="AV160" s="238" t="e">
        <f aca="false">IF(E160="",0,INT((F160-MOD(F160-1,7)-E160)/7)+1-IF(AW160,IF(WEEKDAY(D160)=1,1,0),0))</f>
        <v>#VALUE!</v>
      </c>
      <c r="AW160" s="238" t="e">
        <f aca="false">IF(OR(E160="",D160="",D160&lt;BegDate,D160&gt;EndDate),0,1)</f>
        <v>#VALUE!</v>
      </c>
      <c r="AX160" s="238" t="n">
        <f aca="false">IF(E160="",0,F160-E160+1)</f>
        <v>30</v>
      </c>
      <c r="AY160" s="1582" t="n">
        <f aca="false">IF(E160="",0,MIN((1-(1-VLOOKUP(B160,MAIN!$AA$7:$AM$28,C160+1))*(1-VLOOKUP(B160,MAIN!$AA$33:$AM$54,C160+1))),1))</f>
        <v>0.224</v>
      </c>
      <c r="AZ160" s="1519" t="e">
        <v>#VALUE!</v>
      </c>
      <c r="BA160" s="1520" t="e">
        <v>#VALUE!</v>
      </c>
      <c r="BB160" s="1520" t="e">
        <v>#VALUE!</v>
      </c>
      <c r="BC160" s="1583" t="e">
        <v>#VALUE!</v>
      </c>
      <c r="BD160" s="1522" t="e">
        <v>#VALUE!</v>
      </c>
      <c r="BE160" s="1523" t="e">
        <v>#VALUE!</v>
      </c>
      <c r="BF160" s="1523" t="e">
        <v>#VALUE!</v>
      </c>
      <c r="BG160" s="1584" t="e">
        <v>#VALUE!</v>
      </c>
      <c r="BH160" s="1525" t="e">
        <v>#VALUE!</v>
      </c>
      <c r="BI160" s="1520" t="e">
        <v>#VALUE!</v>
      </c>
      <c r="BJ160" s="1520" t="e">
        <v>#VALUE!</v>
      </c>
      <c r="BK160" s="1583" t="e">
        <v>#VALUE!</v>
      </c>
      <c r="BL160" s="1522" t="e">
        <v>#VALUE!</v>
      </c>
      <c r="BM160" s="1523" t="e">
        <v>#VALUE!</v>
      </c>
      <c r="BN160" s="1523" t="e">
        <v>#VALUE!</v>
      </c>
      <c r="BO160" s="1523" t="e">
        <v>#VALUE!</v>
      </c>
      <c r="BP160" s="1525" t="e">
        <f aca="false">SUM(AZ160:BB160)</f>
        <v>#VALUE!</v>
      </c>
      <c r="BQ160" s="1529" t="e">
        <f aca="false">SUM(AZ160:BC160)</f>
        <v>#VALUE!</v>
      </c>
      <c r="BR160" s="1519" t="e">
        <f aca="false">SUM(BH160:BJ160)</f>
        <v>#VALUE!</v>
      </c>
      <c r="BS160" s="1529" t="e">
        <f aca="false">SUM(BH160:BK160)</f>
        <v>#VALUE!</v>
      </c>
      <c r="BT160" s="1316" t="n">
        <f aca="false">(IF(OVolType&lt;&gt;2,A160+14,IF(OptExpDateShift,ShiftBack(A160,OptExpDateShift,D159),A160))-DateToday)/365.25</f>
        <v>11.9644079397673</v>
      </c>
      <c r="BU160" s="1585" t="e">
        <f aca="false">IF(BQ160,IF(OPriceCurve,IF(OBuySell=OCallPut,I160/(1-AY160),K160/(1-AY160)),J160/(1-AY160))*BD160,0)</f>
        <v>#VALUE!</v>
      </c>
      <c r="BV160" s="1316" t="e">
        <f aca="false">IF(BQ160,IF(OPriceCurve,IF(OBuySell=OCallPut,L160/(1-AY160),N160/(1-AY160)),M160/(1-AY160))*BE160,0)</f>
        <v>#VALUE!</v>
      </c>
      <c r="BW160" s="1316" t="e">
        <f aca="false">IF(BQ160,IF(OPriceCurve,IF(OBuySell=OCallPut,O160/(1-AY160),Q160/(1-AY160)),P160/(1-AY160))*BF160,0)</f>
        <v>#VALUE!</v>
      </c>
      <c r="BX160" s="1316" t="e">
        <f aca="false">IF(BQ160,IF(OPriceCurve,IF(OBuySell=OCallPut,R160/(1-AY160),T160/(1-AY160)),S160/(1-AY160))*BG160,0)</f>
        <v>#VALUE!</v>
      </c>
      <c r="BY160" s="1316" t="e">
        <f aca="false">IF(BP160,(BU160*AZ160+BV160*BA160+BW160*BB160)/BP160,0)</f>
        <v>#VALUE!</v>
      </c>
      <c r="BZ160" s="1316" t="e">
        <f aca="false">IF(BQ160,(BY160*BP160+BX160*BC160)/BQ160,0)</f>
        <v>#VALUE!</v>
      </c>
      <c r="CA160" s="1531" t="e">
        <f aca="false">IF(BS160,IF(OPriceCurve,IF(OBuySell=OCallPut,I160/(1-AY160),K160/(1-AY160)),J160/(1-AY160))*BL160,0)</f>
        <v>#VALUE!</v>
      </c>
      <c r="CB160" s="1316" t="e">
        <f aca="false">IF(BS160,IF(OPriceCurve,IF(OBuySell=OCallPut,L160/(1-AY160),N160/(1-AY160)),M160/(1-AY160))*BM160,0)</f>
        <v>#VALUE!</v>
      </c>
      <c r="CC160" s="1316" t="e">
        <f aca="false">IF(BS160,IF(OPriceCurve,IF(OBuySell=OCallPut,O160/(1-AY160),Q160/(1-AY160)),P160/(1-AY160))*BN160,0)</f>
        <v>#VALUE!</v>
      </c>
      <c r="CD160" s="1316" t="e">
        <f aca="false">IF(BS160,IF(OPriceCurve,IF(OBuySell=OCallPut,R160/(1-AY160),T160/(1-AY160)),S160/(1-AY160))*BO160,0)</f>
        <v>#VALUE!</v>
      </c>
      <c r="CE160" s="1316" t="e">
        <f aca="false">IF(BR160,(BU160*BH160+BV160*BI160+BW160*BJ160)/BR160,0)</f>
        <v>#VALUE!</v>
      </c>
      <c r="CF160" s="1532" t="e">
        <f aca="false">IF(BS160,(CE160*BR160+CD160*BK160)/BS160,0)</f>
        <v>#VALUE!</v>
      </c>
      <c r="CG160" s="1586" t="e">
        <f aca="false">IF(OR(BQ160,BS160),IF(OVolType&lt;&gt;2,SQRT(IF(OVolOverMonthlyPeak,OVolOverMonthlyPeak,IF(OVolCurve,IF(OBuySell,U160,W160),V160))^2*(1-15/365.25/BT160)+IF(OVolOverDailyPeak,OVolOverDailyPeak,IF(OVolCurve,IF(OBuySell,AG160,AI160),AH160))^2*15/365.25/BT160),IF(OVolOverMonthlyPeak,OVolOverMonthlyPeak,IF(OVolCurve,IF(OBuySell,U160,W160),V160))),"")</f>
        <v>#VALUE!</v>
      </c>
      <c r="CH160" s="1587" t="e">
        <f aca="false">IF(OR(BQ160,BS160),IF(OVolType&lt;&gt;2,SQRT(IF(OVolOverMonthlyPeak,OVolOverMonthlyPeak,IF(OVolCurve,IF(OBuySell,X160,Z160),Y160))^2*(1-15/365.25/BT160)+IF(OVolOverDailyPeak,OVolOverDailyPeak,IF(OVolCurve,IF(OBuySell,AJ160,AL160),AK160))^2*15/365.25/BT160),IF(OVolOverMonthlyPeak,OVolOverMonthlyPeak,IF(OVolCurve,IF(OBuySell,X160,Z160),Y160))),"")</f>
        <v>#VALUE!</v>
      </c>
      <c r="CI160" s="1587" t="e">
        <f aca="false">IF(OR(BQ160,BS160),IF(OVolType&lt;&gt;2,SQRT(IF(OVolOverMonthlyPeak,OVolOverMonthlyPeak,IF(OVolCurve,IF(OBuySell,AA160,AC160),AB160))^2*(1-15/365.25/BT160)+IF(OVolOverDailyPeak,OVolOverDailyPeak,IF(OVolCurve,IF(OBuySell,AM160,AO160),AN160))^2*15/365.25/BT160),IF(OVolOverMonthlyPeak,OVolOverMonthlyPeak,IF(OVolCurve,IF(OBuySell,AA160,AC160),AB160))),"")</f>
        <v>#VALUE!</v>
      </c>
      <c r="CJ160" s="1587" t="e">
        <f aca="false">IF(BQ160,IF(BP160,SQRT(LN(1+((BU160*AZ160)^2*(EXP(CG160^2*BT160)-1)+(BV160*BA160)^2*(EXP(CH160^2*BT160)-1)+(BW160*BB160)^2*(EXP(CI160^2*BT160)-1)+2*BU160*AZ160*BV160*BA160*(EXP(CG160*CH160*BT160)-1)+2*BV160*BA160*BW160*BB160*(EXP(CH160*CI160*BT160)-1)+2*BW160*BB160*BU160*AZ160*(EXP(CI160*CG160*BT160)-1))/(BY160*BP160)^2)/BT160),0),"")</f>
        <v>#VALUE!</v>
      </c>
      <c r="CK160" s="1587" t="e">
        <f aca="false">IF(BS160,IF(BR160,SQRT(LN(1+((CA160*BH160)^2*(EXP(CG160^2*BT160)-1)+(CB160*BI160)^2*(EXP(CH160^2*BT160)-1)+(CC160*BJ160)^2*(EXP(CI160^2*BT160)-1)+2*CA160*BH160*CB160*BI160*(EXP(CG160*CH160*BT160)-1)+2*CB160*BI160*CC160*BJ160*(EXP(CH160*CI160*BT160)-1)+2*CC160*BJ160*CA160*BH160*(EXP(CI160*CG160*BT160)-1))/(CE160*BR160)^2)/BT160),0),"")</f>
        <v>#VALUE!</v>
      </c>
      <c r="CL160" s="1587" t="e">
        <f aca="false">IF(OR(BQ160,BS160),IF(OVolType&lt;&gt;2,SQRT(IF(OVolOverMonthlyOffPeak,OVolOverMonthlyOffPeak,IF(OVolCurve,IF(OBuySell,AD160,AF160),AE160))^2*(1-15/365.25/BT160)+IF(OVolOverDailyOffPeak,OVolOverDailyOffPeak,IF(OVolCurve,IF(OBuySell,AP160,AR160),AQ160))^2*15/365.25/BT160),IF(OVolOverMonthlyOffPeak,OVolOverMonthlyOffPeak,IF(OVolCurve,IF(OBuySell,AD160,AF160),AE160))),"")</f>
        <v>#VALUE!</v>
      </c>
      <c r="CM160" s="1587" t="e">
        <f aca="false">IF(BQ160,SQRT(LN(1+((BY160*BP160)^2*(EXP(CJ160^2*BT160)-1)+(BX160*BC160)^2*(EXP(CL160^2*BT160)-1)+2*BY160*BP160*BX160*BC160*(EXP(AS160*CJ160*CL160*BT160)-1))/(BY160*BP160+BX160*BC160)^2)/BT160),"")</f>
        <v>#VALUE!</v>
      </c>
      <c r="CN160" s="1588" t="e">
        <f aca="false">IF(BS160,SQRT(LN(1+((CE160*BR160)^2*(EXP(CK160^2*BT160)-1)+(CD160*BK160)^2*(EXP(CL160^2*BT160)-1)+2*CE160*BR160*CD160*BK160*(EXP(AS160*CK160*CL160*BT160)-1))/(CE160*BR160+CD160*BK160)^2)/BT160),"")</f>
        <v>#VALUE!</v>
      </c>
      <c r="CO160" s="1531" t="e">
        <f aca="false">IF(OR(BQ160,BS160),VLOOKUP(A160,GasTable,13)*HeatRatePeak*(1+VLOOKUP($B160,HeatRateDegradation,$C160+1))/1000,0)</f>
        <v>#VALUE!</v>
      </c>
      <c r="CP160" s="1316" t="e">
        <f aca="false">IF(OR(BQ160,BS160),VLOOKUP(A160,GasTable,13)*HeatRatePeak*(1+VLOOKUP($B160,HeatRateDegradation,$C160+1))/1000,0)</f>
        <v>#VALUE!</v>
      </c>
      <c r="CQ160" s="1316" t="e">
        <f aca="false">IF(OR(BQ160,BS160),VLOOKUP(A160,GasTable,13)*IF(EV160,HeatRatePeak,HeatRateOffPeak)*(1+VLOOKUP($B160,HeatRateDegradation,$C160+1))/1000,0)</f>
        <v>#VALUE!</v>
      </c>
      <c r="CR160" s="1316" t="e">
        <f aca="false">IF(OR(BQ160,BS160),VLOOKUP(A160,GasTable,13)*IF(EW160,HeatRatePeak,HeatRateOffPeak)*(1+VLOOKUP($B160,HeatRateDegradation,$C160+1))/1000,0)</f>
        <v>#VALUE!</v>
      </c>
      <c r="CS160" s="1589" t="e">
        <f aca="false">IF(BQ160,(CO160*AZ160+CP160*BA160+CQ160*BB160+CR160*BC160)/BQ160,0)</f>
        <v>#VALUE!</v>
      </c>
      <c r="CT160" s="1316" t="e">
        <f aca="false">IF(BS160,CO160,0)</f>
        <v>#VALUE!</v>
      </c>
      <c r="CU160" s="1590" t="e">
        <f aca="false">IF(OR(BQ160,BS160),VLOOKUP(A160,GasTable,14),"")</f>
        <v>#VALUE!</v>
      </c>
      <c r="CV160" s="1568" t="e">
        <f aca="false">IF(OR(BQ160,BS160),IF(CorrPowerGasOverFlag,INDEX(CorrPowerGasOver,C160),CorrPowerGas),"")</f>
        <v>#VALUE!</v>
      </c>
      <c r="CW160" s="1316" t="e">
        <f aca="false">IF(OR($BQ160,$BS160),SpreadOptPowerMargin,0)*((1+Assumptions!$C$26)^($B160-YEAR(Assumptions!$C$17)))</f>
        <v>#VALUE!</v>
      </c>
      <c r="CX160" s="1316" t="e">
        <f aca="false">IF(OR($BQ160,$BS160),SpreadOptPowerMargin,0)*((1+Assumptions!$C$26)^($B160-YEAR(Assumptions!$C$17)))</f>
        <v>#VALUE!</v>
      </c>
      <c r="CY160" s="1316" t="e">
        <f aca="false">IF(OR($BQ160,$BS160),SpreadOptPowerMargin,0)*((1+Assumptions!$C$26)^($B160-YEAR(Assumptions!$C$17)))</f>
        <v>#VALUE!</v>
      </c>
      <c r="CZ160" s="1316" t="e">
        <f aca="false">IF(OR($BQ160,$BS160),SpreadOptPowerMargin,0)*((1+Assumptions!$C$26)^($B160-YEAR(Assumptions!$C$17)))</f>
        <v>#VALUE!</v>
      </c>
      <c r="DA160" s="1591" t="e">
        <f aca="false">IF(OR(BQ160,BS160),(CW160*(AZ160+BH160)+CX160*(BA160+BI160)+CY160*(BB160+BJ160)+CZ160*(BC160+BK160))/(BQ160+BS160),0)</f>
        <v>#VALUE!</v>
      </c>
      <c r="DB160" s="1592" t="e">
        <f aca="false">IF(OR(BQ160,BS160),CG160+IF(OVolSmile,VLOOKUP(MAX(-5,CO160+CW160-BU160),IF(OVolSmile=1,VolSmileBook,VolSmileModel),2),0),"")</f>
        <v>#VALUE!</v>
      </c>
      <c r="DC160" s="1592" t="e">
        <f aca="false">IF(OR(BQ160,BS160),CH160+IF(OVolSmile,VLOOKUP(MAX(-5,CP160+CW160-BV160),IF(OVolSmile=1,VolSmileBook,VolSmileModel),2),0),"")</f>
        <v>#VALUE!</v>
      </c>
      <c r="DD160" s="1592" t="e">
        <f aca="false">IF(OR(BQ160,BS160),CI160+IF(OVolSmile,VLOOKUP(MAX(-5,CQ160+CW160-BW160),IF(OVolSmile=1,VolSmileBook,VolSmileModel),2),0),"")</f>
        <v>#VALUE!</v>
      </c>
      <c r="DE160" s="1592" t="e">
        <f aca="false">IF(OR(BQ160,BS160),CL160+IF(OVolSmile,VLOOKUP(MAX(-5,CR160+CZ160-BX160),IF(OVolSmile=1,VolSmileBook,VolSmileModel),2),0),"")</f>
        <v>#VALUE!</v>
      </c>
      <c r="DF160" s="1592" t="e">
        <f aca="false">IF(BQ160,CM160+IF(OVolSmile,VLOOKUP(MAX(-5,CS160+DA160-BZ160),IF(OVolSmile=1,VolSmileBook,VolSmileModel),2),0),"")</f>
        <v>#VALUE!</v>
      </c>
      <c r="DG160" s="1593" t="e">
        <f aca="false">IF(BS160,CN160+IF(OVolSmile,VLOOKUP(MAX(-5,CT160+DA160-CF160),IF(OVolSmile=1,VolSmileBook,VolSmileModel),2),0),"")</f>
        <v>#VALUE!</v>
      </c>
      <c r="DH160" s="1316" t="e">
        <f aca="false">IF(AND(BU160&gt;0,CO160&gt;0,DB160&gt;0,CU160&gt;0),newSPRDOPT(BU160,CO160,CW160,0,DB160,CU160,CV160,BT160*365.25,OCallPut,0),0)</f>
        <v>#VALUE!</v>
      </c>
      <c r="DI160" s="1316" t="e">
        <f aca="false">IF(AND(BV160&gt;0,CP160&gt;0,DC160&gt;0,CU160&gt;0),newSPRDOPT(BV160,CP160,CX160,0,DC160,CU160,CV160,BT160*365.25,OCallPut,0),0)</f>
        <v>#VALUE!</v>
      </c>
      <c r="DJ160" s="1316" t="e">
        <f aca="false">IF(AND(BW160&gt;0,CQ160&gt;0,DD160&gt;0,CU160&gt;0),newSPRDOPT(BW160,CQ160,CY160,0,DD160,CU160,CV160,BT160*365.25,OCallPut,0),0)</f>
        <v>#VALUE!</v>
      </c>
      <c r="DK160" s="1316" t="e">
        <f aca="false">IF(AND(BX160&gt;0,CR160&gt;0,DE160&gt;0,CU160&gt;0),newSPRDOPT(BX160,CR160,CZ160,0,DE160,CU160,CV160,BT160*365.25,OCallPut,0),0)</f>
        <v>#VALUE!</v>
      </c>
      <c r="DL160" s="1316" t="e">
        <f aca="false">IF(OVolType,IF(AND(BZ160&gt;0,CS160&gt;0,DF160&gt;0,CU160&gt;0),newSPRDOPT(BZ160,CS160,DA160,0,DF160,CU160,CV160,BT160*365.25,OCallPut,0),0),IF(BQ160,(DH160*AZ160+DI160*BA160+DJ160*BB160+DK160*BC160)/BQ160,0))</f>
        <v>#VALUE!</v>
      </c>
      <c r="DM160" s="1316"/>
      <c r="DN160" s="1316"/>
      <c r="DO160" s="1316"/>
      <c r="DP160" s="1316"/>
      <c r="DQ160" s="1316"/>
      <c r="DR160" s="1316"/>
      <c r="DS160" s="1316"/>
      <c r="DT160" s="1316"/>
      <c r="DU160" s="1316"/>
      <c r="DV160" s="1316"/>
      <c r="DW160" s="1594" t="e">
        <f aca="false">IF(AND(BW160&gt;0,CT160&gt;0,DD160&gt;0,CU160&gt;0),newSPRDOPT(BW160,CT160,CY160,0,DD160,CU160,CV160,BT160*365.25,OCallPut,0),0)</f>
        <v>#VALUE!</v>
      </c>
      <c r="DX160" s="1316" t="e">
        <f aca="false">IF(AND(BX160&gt;0,CT160&gt;0,DE160&gt;0,CU160&gt;0),newSPRDOPT(BX160,CT160,CZ160,0,DE160,CU160,CV160,BT160*365.25,OCallPut,0),0)</f>
        <v>#VALUE!</v>
      </c>
      <c r="DY160" s="1591" t="e">
        <f aca="false">IF(BS160,(DH160*BH160+DI160*BI160+DW160*BJ160+DX160*BK160)/BS160,0)</f>
        <v>#VALUE!</v>
      </c>
      <c r="DZ160" s="1551" t="e">
        <f aca="false">DH160*AZ160</f>
        <v>#VALUE!</v>
      </c>
      <c r="EA160" s="1551" t="e">
        <f aca="false">DI160*BA160</f>
        <v>#VALUE!</v>
      </c>
      <c r="EB160" s="1551" t="e">
        <f aca="false">DJ160*BB160</f>
        <v>#VALUE!</v>
      </c>
      <c r="EC160" s="1551" t="e">
        <f aca="false">DK160*BC160</f>
        <v>#VALUE!</v>
      </c>
      <c r="ED160" s="1551" t="e">
        <f aca="false">DL160*BQ160</f>
        <v>#VALUE!</v>
      </c>
      <c r="EE160" s="1595" t="e">
        <f aca="false">IF(BQ160,IF(OCallPut,IF(BU160&gt;(CO160+CW160),BU160-(CO160+CW160),0),IF((CO160+CW160)&gt;BU160,(CO160+CW160)-BU160,0))*AZ160,0)</f>
        <v>#VALUE!</v>
      </c>
      <c r="EF160" s="1596" t="e">
        <f aca="false">IF(BQ160,IF(OCallPut,IF(BV160&gt;(CP160+CX160),BV160-(CP160+CX160),0),IF((CP160+CX160)&gt;BV160,(CP160+CX160)-BV160,0))*BA160,0)</f>
        <v>#VALUE!</v>
      </c>
      <c r="EG160" s="1596" t="e">
        <f aca="false">IF(BQ160,IF(OCallPut,IF(BW160&gt;(CQ160+CY160),BW160-(CQ160+CY160),0),IF((CQ160+CY160)&gt;BW160,(CQ160+CY160)-BW160,0))*BB160,0)</f>
        <v>#VALUE!</v>
      </c>
      <c r="EH160" s="1596" t="e">
        <f aca="false">IF(BQ160,IF(OCallPut,IF(BX160&gt;(CR160+CZ160),BX160-(CR160+CZ160),0),IF((CR160+CZ160)&gt;BX160,(CR160+CZ160)-BX160,0))*BC160,0)</f>
        <v>#VALUE!</v>
      </c>
      <c r="EI160" s="1597" t="e">
        <f aca="false">IF(BQ160,IF(OVolType,IF(OCallPut,IF(BZ160&gt;(CS160+DA160),BZ160-(CS160+DA160),0),IF((CS160+DA160)&gt;BZ160,(CS160+DA160)-BZ160,0))*BQ160,SUM(EE160:EH160)),0)</f>
        <v>#VALUE!</v>
      </c>
      <c r="EJ160" s="1595" t="e">
        <f aca="false">DZ160-EE160</f>
        <v>#VALUE!</v>
      </c>
      <c r="EK160" s="1596" t="e">
        <f aca="false">EA160-EF160</f>
        <v>#VALUE!</v>
      </c>
      <c r="EL160" s="1596" t="e">
        <f aca="false">EB160-EG160</f>
        <v>#VALUE!</v>
      </c>
      <c r="EM160" s="1596" t="e">
        <f aca="false">EC160-EH160</f>
        <v>#VALUE!</v>
      </c>
      <c r="EN160" s="1597" t="e">
        <f aca="false">ED160-EI160</f>
        <v>#VALUE!</v>
      </c>
      <c r="EO160" s="1551" t="e">
        <f aca="false">DH160*BH160</f>
        <v>#VALUE!</v>
      </c>
      <c r="EP160" s="1551" t="e">
        <f aca="false">DI160*BI160</f>
        <v>#VALUE!</v>
      </c>
      <c r="EQ160" s="1551" t="e">
        <f aca="false">DW160*BJ160</f>
        <v>#VALUE!</v>
      </c>
      <c r="ER160" s="1551" t="e">
        <f aca="false">DX160*BK160</f>
        <v>#VALUE!</v>
      </c>
      <c r="ES160" s="1551" t="e">
        <f aca="false">DY160*BS160</f>
        <v>#VALUE!</v>
      </c>
      <c r="ET160" s="1566" t="e">
        <f aca="false">IF(EI160,IF(OCallPut,IF(CA160&gt;(CT160+CW160),CA160-(CT160+CW160),0),IF((CT160+CW160)&gt;CA160,(CT160+CW160)-CA160,0))*BH160,0)</f>
        <v>#VALUE!</v>
      </c>
      <c r="EU160" s="1551" t="e">
        <f aca="false">IF(EI160,IF(OCallPut,IF(CB160&gt;(CT160+CX160),CB160-(CT160+CX160),0),IF((CT160+CX160)&gt;CB160,(CT160+CX160)-CB160,0))*BI160,0)</f>
        <v>#VALUE!</v>
      </c>
      <c r="EV160" s="1551" t="e">
        <f aca="false">IF(EI160,IF(OCallPut,IF(CC160&gt;(CT160+CY160),CC160-(CT160+CY160),0),IF((CT160+CY160)&gt;CC160,(CT160+CY160)-CC160,0))*BJ160,0)</f>
        <v>#VALUE!</v>
      </c>
      <c r="EW160" s="1551" t="e">
        <f aca="false">IF(EI160,IF(OCallPut,IF(CD160&gt;(CT160+CZ160),CD160-(CT160+CZ160),0),IF((CT160+CZ160)&gt;CD160,(CT160+CZ160)-CD160,0))*BK160,0)</f>
        <v>#VALUE!</v>
      </c>
      <c r="EX160" s="1558" t="e">
        <f aca="false">IF(EI160,SUM(ET160:EW160),0)</f>
        <v>#VALUE!</v>
      </c>
      <c r="EY160" s="1551" t="e">
        <f aca="false">EO160-ET160</f>
        <v>#VALUE!</v>
      </c>
      <c r="EZ160" s="1551" t="e">
        <f aca="false">EP160-EU160</f>
        <v>#VALUE!</v>
      </c>
      <c r="FA160" s="1551" t="e">
        <f aca="false">EQ160-EV160</f>
        <v>#VALUE!</v>
      </c>
      <c r="FB160" s="1551" t="e">
        <f aca="false">ER160-EW160</f>
        <v>#VALUE!</v>
      </c>
      <c r="FC160" s="1551" t="e">
        <f aca="false">ES160-EX160</f>
        <v>#VALUE!</v>
      </c>
      <c r="FD160" s="1525" t="n">
        <f aca="false">IF(AX160,IF(VLOOKUP(C160,MAIN!$L$17:$M$28,2)="Yes",VLOOKUP(CALC!B160,MAIN!$H$17:$I$20,2),0),0)</f>
        <v>0</v>
      </c>
      <c r="FE160" s="1552" t="e">
        <f aca="false">$FD160*16*AT160*(1-$AY160)</f>
        <v>#VALUE!</v>
      </c>
      <c r="FF160" s="1553" t="e">
        <f aca="false">$FD160*16*AU160*(1-$AY160)</f>
        <v>#VALUE!</v>
      </c>
      <c r="FG160" s="1553" t="e">
        <f aca="false">$FD160*16*(AV160+AW160)*(1-$AY160)</f>
        <v>#VALUE!</v>
      </c>
      <c r="FH160" s="1554" t="n">
        <f aca="false">$FD160*8*AX160*(1-$AY160)</f>
        <v>0</v>
      </c>
      <c r="FI160" s="1555" t="n">
        <f aca="false">IF(AX160,VLOOKUP(CALC!B160,MAIN!$H$17:$K$20,4),0)</f>
        <v>0</v>
      </c>
      <c r="FJ160" s="1553" t="e">
        <f aca="false">SUM(FE160:FH160)</f>
        <v>#VALUE!</v>
      </c>
      <c r="FK160" s="1556" t="e">
        <f aca="false">FI160*FJ160</f>
        <v>#VALUE!</v>
      </c>
      <c r="FL160" s="1551" t="e">
        <f aca="false">IF($EI160&gt;0,MIN(FE160,AZ160*(1+VLOOKUP($C160,WeatherCapacityAdjustment,2))),0)</f>
        <v>#VALUE!</v>
      </c>
      <c r="FM160" s="1551" t="e">
        <f aca="false">IF($EI160&gt;0,MIN(FF160,BA160*(1+VLOOKUP($C160,WeatherCapacityAdjustment,2))),0)</f>
        <v>#VALUE!</v>
      </c>
      <c r="FN160" s="1551" t="e">
        <f aca="false">IF($EI160&gt;0,MIN(FG160,BB160*(1+VLOOKUP($C160,WeatherCapacityAdjustment,2))),0)</f>
        <v>#VALUE!</v>
      </c>
      <c r="FO160" s="1564" t="e">
        <f aca="false">IF($EI160&gt;0,MIN(FH160,BC160*(1+VLOOKUP($C160,WeatherCapacityAdjustment,3))),0)</f>
        <v>#VALUE!</v>
      </c>
      <c r="FP160" s="1551" t="e">
        <f aca="false">IF(ET160&gt;0,MIN(FE160-FL160,BH160*(1+VLOOKUP($C160,WeatherCapacityAdjustment,2))),0)</f>
        <v>#VALUE!</v>
      </c>
      <c r="FQ160" s="1551" t="e">
        <f aca="false">IF(EU160&gt;0,MIN(FF160-FM160,BI160*(1+VLOOKUP($C160,WeatherCapacityAdjustment,2))),0)</f>
        <v>#VALUE!</v>
      </c>
      <c r="FR160" s="1551" t="e">
        <f aca="false">IF(EV160&gt;0,MIN(FG160-FN160,BJ160*(1+VLOOKUP($C160,WeatherCapacityAdjustment,2))),0)</f>
        <v>#VALUE!</v>
      </c>
      <c r="FS160" s="1558" t="e">
        <f aca="false">IF(EW160&gt;0,MIN(FH160-FO160,BK160*(1+VLOOKUP($C160,WeatherCapacityAdjustment,3))),0)</f>
        <v>#VALUE!</v>
      </c>
      <c r="FT160" s="1566" t="e">
        <f aca="false">IF(AND(Assumptions!$H$71="Yes",A160&gt;=Assumptions!$H$72,A160&lt;=Assumptions!$H$73),0,IF(AND($A160&gt;=Assumptions!$C$17,$A160&lt;=Assumptions!$C$18),MAX(AZ160*(1+VLOOKUP($C160,WeatherCapacityAdjustment,2))-FL160,0),0))</f>
        <v>#VALUE!</v>
      </c>
      <c r="FU160" s="1551" t="e">
        <f aca="false">IF(AND(Assumptions!$H$71="Yes",A160&gt;=Assumptions!$H$72,A160&lt;=Assumptions!$H$73),0,IF(AND($A160&gt;=Assumptions!$C$17,$A160&lt;=Assumptions!$C$18),MAX(BA160*(1+VLOOKUP($C160,WeatherCapacityAdjustment,2))-FM160,0),0))</f>
        <v>#VALUE!</v>
      </c>
      <c r="FV160" s="1551" t="e">
        <f aca="false">IF(AND(Assumptions!$H$71="Yes",A160&gt;=Assumptions!$H$72,A160&lt;=Assumptions!$H$73),0,IF(AND($A160&gt;=Assumptions!$C$17,$A160&lt;=Assumptions!$C$18),MAX(BB160*(1+VLOOKUP($C160,WeatherCapacityAdjustment,2))-FN160,0),0))</f>
        <v>#VALUE!</v>
      </c>
      <c r="FW160" s="1564" t="e">
        <f aca="false">IF(AND(Assumptions!$H$71="Yes",A160&gt;=Assumptions!$H$72,A160&lt;=Assumptions!$H$73),0,IF(AND($A160&gt;=Assumptions!$C$17,$A160&lt;=Assumptions!$C$18),MAX(BC160*(1+VLOOKUP($C160,WeatherCapacityAdjustment,3))-FO160,0),0))</f>
        <v>#VALUE!</v>
      </c>
      <c r="FX160" s="1569" t="e">
        <f aca="false">IF(AND(Assumptions!$H$71="Yes",A160&gt;=Assumptions!$H$72,A160&lt;=Assumptions!$H$73),0,IF(ET160&gt;0,MAX(BH160*(1+VLOOKUP($C160,WeatherCapacityAdjustment,2))-FP160,0),0))</f>
        <v>#VALUE!</v>
      </c>
      <c r="FY160" s="1551" t="e">
        <f aca="false">IF(AND(Assumptions!$H$71="Yes",A160&gt;=Assumptions!$H$72,A160&lt;=Assumptions!$H$73),0,IF(EU160&gt;0,MAX(BI160*(1+VLOOKUP($C160,WeatherCapacityAdjustment,3))-FQ160,0),0))</f>
        <v>#VALUE!</v>
      </c>
      <c r="FZ160" s="1551" t="e">
        <f aca="false">IF(AND(Assumptions!$H$71="Yes",A160&gt;=Assumptions!$H$72,A160&lt;=Assumptions!$H$73),0,IF(EV160&gt;0,MAX(BJ160*(1+VLOOKUP($C160,WeatherCapacityAdjustment,2))-FR160,0),0))</f>
        <v>#VALUE!</v>
      </c>
      <c r="GA160" s="1564" t="e">
        <f aca="false">IF(AND(Assumptions!$H$71="Yes",A160&gt;=Assumptions!$H$72,A160&lt;=Assumptions!$H$73),0,IF(EW160&gt;0,MAX(BK160*(1+VLOOKUP($C160,WeatherCapacityAdjustment,2))-FS160,0),0))</f>
        <v>#VALUE!</v>
      </c>
      <c r="GB160" s="1551" t="e">
        <f aca="false">SUM(FT160:GA160)</f>
        <v>#VALUE!</v>
      </c>
      <c r="GC160" s="1563" t="e">
        <f aca="false">+IF(SUM(FT160:GA160)=0,0,(SUMPRODUCT(BU160:BX160,FT160:FW160)+SUMPRODUCT(CA160:CD160,FX160:GA160))/SUM(FT160:GA160))</f>
        <v>#VALUE!</v>
      </c>
      <c r="GD160" s="1551" t="e">
        <f aca="false">(FT160*BU160+FX160*CA160+FU160*BV160+FY160*CB160+FV160*BW160+FZ160*CC160+FW160*BX160+GA160*CD160)</f>
        <v>#VALUE!</v>
      </c>
      <c r="GE160" s="1561" t="e">
        <f aca="false">+IF(BQ160,((FL160+FM160+FT160+FU160)*HeatRatePeak/1000*(1+VLOOKUP($C160,WeatherHeatRateAdjustment,2))+(FN160+FV160)*IF(EV160&gt;0,HeatRatePeak,HeatRateOffPeak)/1000*(1+VLOOKUP($C160,WeatherHeatRateAdjustment,2))+(FO160+FW160)*IF(EW160&gt;0,HeatRatePeak,HeatRateOffPeak)/1000*(1+VLOOKUP($C160,WeatherHeatRateAdjustment,3)))*(1+VLOOKUP($B160,HeatRateDegradation,$C160+1)),0)</f>
        <v>#VALUE!</v>
      </c>
      <c r="GF160" s="1562" t="e">
        <f aca="false">IF(BQ160,((FP160+FQ160+FR160+FX160+FY160+FZ160)*HeatRatePeak/1000*(1+VLOOKUP($C160,WeatherHeatRateAdjustment,2))+(FS160+GA160)*HeatRatePeak/1000*(1+VLOOKUP($C160,WeatherHeatRateAdjustment,3)))*(1+VLOOKUP($B160,HeatRateDegradation,$C160+1)),0)</f>
        <v>#VALUE!</v>
      </c>
      <c r="GG160" s="1563" t="e">
        <f aca="false">IF(BQ160,VLOOKUP(A160,GasTable,13),0)</f>
        <v>#VALUE!</v>
      </c>
      <c r="GH160" s="1564" t="e">
        <f aca="false">(GE160+GF160)*GG160</f>
        <v>#VALUE!</v>
      </c>
      <c r="GI160" s="1569" t="e">
        <f aca="false">GB160</f>
        <v>#VALUE!</v>
      </c>
      <c r="GJ160" s="1598" t="e">
        <f aca="false">+DA160</f>
        <v>#VALUE!</v>
      </c>
      <c r="GK160" s="1558" t="e">
        <f aca="false">+GI160*GJ160</f>
        <v>#VALUE!</v>
      </c>
      <c r="GL160" s="1566" t="e">
        <f aca="false">MAX(FE160-FL160-FP160,0)</f>
        <v>#VALUE!</v>
      </c>
      <c r="GM160" s="1551" t="e">
        <f aca="false">MAX(FF160-FM160-FQ160,0)</f>
        <v>#VALUE!</v>
      </c>
      <c r="GN160" s="1551" t="e">
        <f aca="false">MAX(FG160-FN160-FR160,0)</f>
        <v>#VALUE!</v>
      </c>
      <c r="GO160" s="1564" t="e">
        <f aca="false">MAX(FH160-FO160-FS160,0)</f>
        <v>#VALUE!</v>
      </c>
      <c r="GP160" s="1551" t="e">
        <f aca="false">SUM(GL160:GO160)</f>
        <v>#VALUE!</v>
      </c>
      <c r="GQ160" s="1563" t="e">
        <f aca="false">IF(SUM(GL160:GO160)=0,0,((GL160*BU160+GM160*BV160+GN160*BW160+GO160*BX160)/SUM(GL160:GO160)))</f>
        <v>#VALUE!</v>
      </c>
      <c r="GR160" s="1558" t="e">
        <f aca="false">(GL160*BU160+GM160*BV160+GN160*BW160+GO160*BX160)</f>
        <v>#VALUE!</v>
      </c>
      <c r="GS160" s="1566" t="n">
        <f aca="false">IF($A160&gt;=BegDate,Assumptions!$C$56*24*($A161-$A160)*(1-VLOOKUP($B160,MAIN!$AA$7:$AM$28,$C160+1))*(1-VLOOKUP($B160,MAIN!$AA$33:$AM$54,$C160+1)),0)*80/168</f>
        <v>199542.857142857</v>
      </c>
      <c r="GT160" s="286" t="n">
        <f aca="false">J160</f>
        <v>38.329564460346</v>
      </c>
      <c r="GU160" s="286" t="n">
        <f aca="false">IF($A160&gt;=BegDate,VLOOKUP($A160,GasTable,13)+Assumptions!$C$58,0)</f>
        <v>2.87187796587726</v>
      </c>
      <c r="GV160" s="286" t="n">
        <f aca="false">GU160*Assumptions!$C$57/1000</f>
        <v>20.8211152526101</v>
      </c>
      <c r="GW160" s="1558" t="n">
        <f aca="false">IF(Assumptions!$C$60="Hourly",MAX(0,GS160*(GT160-GV160)),GS160*(GT160-GV160))</f>
        <v>3493685.97905221</v>
      </c>
      <c r="GX160" s="1566" t="n">
        <f aca="false">IF($A160&gt;=BegDate,Assumptions!$C$56*24*($A161-$A160)*(1-VLOOKUP($B160,MAIN!$AA$7:$AM$28,$C160+1))*(1-VLOOKUP($B160,MAIN!$AA$33:$AM$54,$C160+1)),0)*16/168</f>
        <v>39908.5714285714</v>
      </c>
      <c r="GY160" s="286" t="n">
        <f aca="false">M160</f>
        <v>38.329564460346</v>
      </c>
      <c r="GZ160" s="286" t="n">
        <f aca="false">IF($A160&gt;=BegDate,VLOOKUP($A160,GasTable,13)+Assumptions!$C$58,0)</f>
        <v>2.87187796587726</v>
      </c>
      <c r="HA160" s="286" t="n">
        <f aca="false">GZ160*Assumptions!$C$57/1000</f>
        <v>20.8211152526101</v>
      </c>
      <c r="HB160" s="1558" t="n">
        <f aca="false">IF(Assumptions!$C$60="Hourly",MAX(0,GX160*(GY160-HA160)),GX160*(GY160-HA160))</f>
        <v>698737.195810441</v>
      </c>
      <c r="HC160" s="1566" t="n">
        <f aca="false">IF($A160&gt;=BegDate,Assumptions!$C$56*24*($A161-$A160)*(1-VLOOKUP($B160,MAIN!$AA$7:$AM$28,$C160+1))*(1-VLOOKUP($B160,MAIN!$AA$33:$AM$54,$C160+1)),0)*16/168</f>
        <v>39908.5714285714</v>
      </c>
      <c r="HD160" s="286" t="n">
        <f aca="false">P160</f>
        <v>25.4627441577911</v>
      </c>
      <c r="HE160" s="286" t="n">
        <f aca="false">IF($A160&gt;=BegDate,VLOOKUP($A160,GasTable,13)+Assumptions!$C$58,0)</f>
        <v>2.87187796587726</v>
      </c>
      <c r="HF160" s="286" t="n">
        <f aca="false">HE160*Assumptions!$C$57/1000</f>
        <v>20.8211152526101</v>
      </c>
      <c r="HG160" s="1558" t="n">
        <f aca="false">IF(Assumptions!$C$60="Hourly",MAX(0,HC160*(HD160-HF160)),HC160*(HD160-HF160))</f>
        <v>185240.778707338</v>
      </c>
      <c r="HH160" s="1566" t="n">
        <f aca="false">IF($A160&gt;=BegDate,Assumptions!$C$56*24*($A161-$A160)*(1-VLOOKUP($B160,MAIN!$AA$7:$AM$28,$C160+1))*(1-VLOOKUP($B160,MAIN!$AA$33:$AM$54,$C160+1)),0)*56/168</f>
        <v>139680</v>
      </c>
      <c r="HI160" s="286" t="n">
        <f aca="false">S160</f>
        <v>25.4627441577911</v>
      </c>
      <c r="HJ160" s="286" t="n">
        <f aca="false">IF($A160&gt;=BegDate,VLOOKUP($A160,GasTable,13)+Assumptions!$C$58,0)</f>
        <v>2.87187796587726</v>
      </c>
      <c r="HK160" s="286" t="n">
        <f aca="false">HJ160*Assumptions!$C$57/1000</f>
        <v>20.8211152526101</v>
      </c>
      <c r="HL160" s="1558" t="n">
        <f aca="false">IF(Assumptions!$C$60="Hourly",MAX(0,HH160*(HI160-HK160)),HH160*(HI160-HK160))</f>
        <v>648342.725475683</v>
      </c>
      <c r="HM160" s="1566" t="n">
        <f aca="false">IF(AND(Assumptions!$H$71="Yes",A160&gt;=Assumptions!$H$72,A160&lt;=Assumptions!$H$73),Assumptions!$H$74*Assumptions!$C$9*1000,0)</f>
        <v>0</v>
      </c>
      <c r="HN160" s="1551"/>
      <c r="HO160" s="1563"/>
      <c r="HP160" s="1563"/>
      <c r="HQ160" s="1563"/>
      <c r="HR160" s="1563"/>
      <c r="HS160" s="1563"/>
      <c r="HT160" s="1563"/>
      <c r="HU160" s="1563"/>
      <c r="HV160" s="1563"/>
      <c r="HW160" s="1563"/>
      <c r="HX160" s="1563"/>
      <c r="HY160" s="1563"/>
      <c r="HZ160" s="1563"/>
      <c r="IA160" s="1563"/>
      <c r="IB160" s="1563"/>
      <c r="IC160" s="1563"/>
      <c r="ID160" s="1563"/>
      <c r="IE160" s="1563"/>
      <c r="IF160" s="1563"/>
      <c r="IG160" s="1563"/>
      <c r="IH160" s="1563"/>
      <c r="II160" s="1610"/>
      <c r="IJ160" s="1309"/>
      <c r="IK160" s="1309"/>
    </row>
    <row r="161" customFormat="false" ht="12.75" hidden="false" customHeight="false" outlineLevel="0" collapsed="false">
      <c r="A161" s="1571" t="n">
        <f aca="false">EOMONTH(A160,0)+1</f>
        <v>41030</v>
      </c>
      <c r="B161" s="594" t="n">
        <f aca="false">+YEAR(A161)</f>
        <v>2012</v>
      </c>
      <c r="C161" s="238" t="n">
        <f aca="false">MONTH(A161)</f>
        <v>5</v>
      </c>
      <c r="D161" s="1572" t="e">
        <f aca="false">IF(E161="","",Holiday(B161,C161))</f>
        <v>#VALUE!</v>
      </c>
      <c r="E161" s="1573" t="n">
        <f aca="false">IF(OR(BegDate&gt;=A162,EndDate&lt;A161,AND(VolumeMonthlyOverFlag,INDEX(VolumeMonthlyOver,C161)=0),NOT(INDEX(MonthKnockOutTable,C161))),"",MAX(A161,BegDate))</f>
        <v>41030</v>
      </c>
      <c r="F161" s="1574" t="n">
        <f aca="false">IF(E161="","",MIN(A162-1,EndDate))</f>
        <v>41060</v>
      </c>
      <c r="G161" s="1575" t="n">
        <v>0</v>
      </c>
      <c r="H161" s="1576" t="n">
        <f aca="false">(1+G161/2)^(-2*(DATE(B162,C162,20)-DateToday)/365.25)</f>
        <v>1</v>
      </c>
      <c r="I161" s="1568" t="n">
        <f aca="false">IF(Assumptions!$L$25=4,VLOOKUP($A161,'Henwood Reference'!$E$9:$R$320,10),(VLOOKUP($A161,PriceTable,2,0)+IF(BasisNumber&lt;&gt;1,VLOOKUP($A161,BasisTable,2,0),0)+I$1)/(1-I$2))</f>
        <v>44.3838971392287</v>
      </c>
      <c r="J161" s="1568" t="n">
        <f aca="false">IF(Assumptions!$L$25=4,VLOOKUP($A161,'Henwood Reference'!$E$9:$R$320,10),(VLOOKUP($A161,PriceTable,3,0)+IF(BasisNumber&lt;&gt;1,VLOOKUP($A161,BasisTable,2,0),0)+J$1)/(1-J$2))</f>
        <v>44.3838971392287</v>
      </c>
      <c r="K161" s="1568" t="n">
        <f aca="false">IF(Assumptions!$L$25=4,VLOOKUP($A161,'Henwood Reference'!$E$9:$R$320,10),(VLOOKUP($A161,PriceTable,4,0)+IF(BasisNumber&lt;&gt;1,VLOOKUP($A161,BasisTable,2,0),0)+K$1)/(1-K$2))</f>
        <v>44.3838971392287</v>
      </c>
      <c r="L161" s="1523" t="n">
        <f aca="false">IF(Assumptions!$L$25=4,VLOOKUP($A161,'Henwood Reference'!$E$9:$R$320,10),(VLOOKUP($A161,PriceTableWeekend,2,0)+IF(BasisNumber&lt;&gt;1,VLOOKUP($A161,BasisTable,2,0),0)+L$1)/(1-L$2))</f>
        <v>44.3838971392287</v>
      </c>
      <c r="M161" s="1568" t="n">
        <f aca="false">IF(Assumptions!$L$25=4,VLOOKUP($A161,'Henwood Reference'!$E$9:$R$320,10),(VLOOKUP($A161,PriceTableWeekend,3,0)+IF(BasisNumber&lt;&gt;1,VLOOKUP($A161,BasisTable,2,0),0)+M$1)/(1-M$2))</f>
        <v>44.3838971392287</v>
      </c>
      <c r="N161" s="1599" t="n">
        <f aca="false">IF(Assumptions!$L$25=4,VLOOKUP($A161,'Henwood Reference'!$E$9:$R$320,10),(VLOOKUP($A161,PriceTableWeekend,4,0)+IF(BasisNumber&lt;&gt;1,VLOOKUP($A161,BasisTable,2,0),0)+N$1)/(1-N$2))</f>
        <v>44.3838971392287</v>
      </c>
      <c r="O161" s="1568" t="n">
        <f aca="false">IF(Assumptions!$L$25=4,VLOOKUP($A161,'Henwood Reference'!$E$9:$R$320,11),(VLOOKUP($A161,PriceTableWeekend,6,0)+IF(BasisNumber&lt;&gt;1,VLOOKUP($A161,BasisTable,3,0),0)+O$1)/(1-O$2))</f>
        <v>25.238392184333</v>
      </c>
      <c r="P161" s="1568" t="n">
        <f aca="false">IF(Assumptions!$L$25=4,VLOOKUP($A161,'Henwood Reference'!$E$9:$R$320,11),(VLOOKUP($A161,PriceTableWeekend,7,0)+IF(BasisNumber&lt;&gt;1,VLOOKUP($A161,BasisTable,3,0),0)+P$1)/(1-P$2))</f>
        <v>25.238392184333</v>
      </c>
      <c r="Q161" s="1599" t="n">
        <f aca="false">IF(Assumptions!$L$25=4,VLOOKUP($A161,'Henwood Reference'!$E$9:$R$320,11),(VLOOKUP($A161,PriceTableWeekend,8,0)+IF(BasisNumber&lt;&gt;1,VLOOKUP($A161,BasisTable,3,0),0)+Q$1)/(1-Q$2))</f>
        <v>25.238392184333</v>
      </c>
      <c r="R161" s="1568" t="n">
        <f aca="false">IF(Assumptions!$L$25=4,VLOOKUP($A161,'Henwood Reference'!$E$9:$R$320,11),(VLOOKUP($A161,PriceTable,6,0)+IF(BasisNumber&lt;&gt;1,VLOOKUP($A161,BasisTable,3,0),0)+R$1)/(1-R$2))</f>
        <v>25.238392184333</v>
      </c>
      <c r="S161" s="1568" t="n">
        <f aca="false">IF(Assumptions!$L$25=4,VLOOKUP($A161,'Henwood Reference'!$E$9:$R$320,11),(VLOOKUP($A161,PriceTable,7,0)+IF(BasisNumber&lt;&gt;1,VLOOKUP($A161,BasisTable,3,0),0)+S$1)/(1-S$2))</f>
        <v>25.238392184333</v>
      </c>
      <c r="T161" s="1600" t="n">
        <f aca="false">IF(Assumptions!$L$25=4,VLOOKUP($A161,'Henwood Reference'!$E$9:$R$320,11),(VLOOKUP($A161,PriceTable,8,0)+IF(BasisNumber&lt;&gt;1,VLOOKUP($A161,BasisTable,3,0),0)+T$1)/(1-T$2))</f>
        <v>25.238392184333</v>
      </c>
      <c r="U161" s="1513" t="n">
        <f aca="false">VLOOKUP($A161,VolatilityTable,14)</f>
        <v>0.11</v>
      </c>
      <c r="V161" s="1513" t="n">
        <f aca="false">VLOOKUP($A161,VolatilityTable,15)</f>
        <v>0.12</v>
      </c>
      <c r="W161" s="1514" t="n">
        <f aca="false">VLOOKUP($A161,VolatilityTable,16)</f>
        <v>0.13</v>
      </c>
      <c r="X161" s="1513" t="n">
        <f aca="false">VLOOKUP($A161,VolatilityTable,14)</f>
        <v>0.11</v>
      </c>
      <c r="Y161" s="1513" t="n">
        <f aca="false">VLOOKUP($A161,VolatilityTable,15)</f>
        <v>0.12</v>
      </c>
      <c r="Z161" s="1514" t="n">
        <f aca="false">VLOOKUP($A161,VolatilityTable,16)</f>
        <v>0.13</v>
      </c>
      <c r="AA161" s="1513" t="n">
        <f aca="false">VLOOKUP($A161,VolatilityTable,18)</f>
        <v>0.09</v>
      </c>
      <c r="AB161" s="1513" t="n">
        <f aca="false">VLOOKUP($A161,VolatilityTable,19)</f>
        <v>0.11</v>
      </c>
      <c r="AC161" s="1514" t="n">
        <f aca="false">VLOOKUP($A161,VolatilityTable,20)</f>
        <v>0.13</v>
      </c>
      <c r="AD161" s="1513" t="n">
        <f aca="false">VLOOKUP($A161,VolatilityTable,18)</f>
        <v>0.09</v>
      </c>
      <c r="AE161" s="1513" t="n">
        <f aca="false">VLOOKUP($A161,VolatilityTable,19)</f>
        <v>0.11</v>
      </c>
      <c r="AF161" s="1514" t="n">
        <f aca="false">VLOOKUP($A161,VolatilityTable,20)</f>
        <v>0.13</v>
      </c>
      <c r="AG161" s="1513" t="n">
        <f aca="false">VLOOKUP($A161,VolatilityTable,22)</f>
        <v>-0.1</v>
      </c>
      <c r="AH161" s="1513" t="n">
        <f aca="false">VLOOKUP($A161,VolatilityTable,23)</f>
        <v>0.65</v>
      </c>
      <c r="AI161" s="1514" t="n">
        <f aca="false">VLOOKUP($A161,VolatilityTable,24)</f>
        <v>0.1</v>
      </c>
      <c r="AJ161" s="1513" t="n">
        <f aca="false">VLOOKUP($A161,VolatilityTable,22)</f>
        <v>-0.1</v>
      </c>
      <c r="AK161" s="1513" t="n">
        <f aca="false">VLOOKUP($A161,VolatilityTable,23)</f>
        <v>0.65</v>
      </c>
      <c r="AL161" s="1514" t="n">
        <f aca="false">VLOOKUP($A161,VolatilityTable,24)</f>
        <v>0.1</v>
      </c>
      <c r="AM161" s="1513" t="n">
        <f aca="false">VLOOKUP($A161,VolatilityTable,26)</f>
        <v>-0.01</v>
      </c>
      <c r="AN161" s="1513" t="n">
        <f aca="false">VLOOKUP($A161,VolatilityTable,27)</f>
        <v>0.16</v>
      </c>
      <c r="AO161" s="1514" t="n">
        <f aca="false">VLOOKUP($A161,VolatilityTable,28)</f>
        <v>0.01</v>
      </c>
      <c r="AP161" s="1513" t="n">
        <f aca="false">VLOOKUP($A161,VolatilityTable,26)</f>
        <v>-0.01</v>
      </c>
      <c r="AQ161" s="1513" t="n">
        <f aca="false">VLOOKUP($A161,VolatilityTable,27)</f>
        <v>0.16</v>
      </c>
      <c r="AR161" s="1515" t="n">
        <f aca="false">VLOOKUP($A161,VolatilityTable,28)</f>
        <v>0.01</v>
      </c>
      <c r="AS161" s="1581" t="n">
        <f aca="false">IF(CorrPeakOffPeakOverFlag,INDEX(CorrPeakOffPeakOver,C161),CorrPeakOffPeak)</f>
        <v>0.5</v>
      </c>
      <c r="AT161" s="594" t="e">
        <f aca="false">AX161-SUM(AU161:AW161)</f>
        <v>#VALUE!</v>
      </c>
      <c r="AU161" s="238" t="e">
        <f aca="false">IF(E161="",0,INT((F161-MOD(F161,7)-E161)/7)+1-IF(AW161,IF(WEEKDAY(D161)=7,1,0),0))</f>
        <v>#VALUE!</v>
      </c>
      <c r="AV161" s="238" t="e">
        <f aca="false">IF(E161="",0,INT((F161-MOD(F161-1,7)-E161)/7)+1-IF(AW161,IF(WEEKDAY(D161)=1,1,0),0))</f>
        <v>#VALUE!</v>
      </c>
      <c r="AW161" s="238" t="e">
        <f aca="false">IF(OR(E161="",D161="",D161&lt;BegDate,D161&gt;EndDate),0,1)</f>
        <v>#VALUE!</v>
      </c>
      <c r="AX161" s="238" t="n">
        <f aca="false">IF(E161="",0,F161-E161+1)</f>
        <v>31</v>
      </c>
      <c r="AY161" s="1582" t="n">
        <f aca="false">IF(E161="",0,MIN((1-(1-VLOOKUP(B161,MAIN!$AA$7:$AM$28,C161+1))*(1-VLOOKUP(B161,MAIN!$AA$33:$AM$54,C161+1))),1))</f>
        <v>0.03</v>
      </c>
      <c r="AZ161" s="1519" t="e">
        <v>#VALUE!</v>
      </c>
      <c r="BA161" s="1520" t="e">
        <v>#VALUE!</v>
      </c>
      <c r="BB161" s="1520" t="e">
        <v>#VALUE!</v>
      </c>
      <c r="BC161" s="1583" t="e">
        <v>#VALUE!</v>
      </c>
      <c r="BD161" s="1522" t="e">
        <v>#VALUE!</v>
      </c>
      <c r="BE161" s="1523" t="e">
        <v>#VALUE!</v>
      </c>
      <c r="BF161" s="1523" t="e">
        <v>#VALUE!</v>
      </c>
      <c r="BG161" s="1584" t="e">
        <v>#VALUE!</v>
      </c>
      <c r="BH161" s="1525" t="e">
        <v>#VALUE!</v>
      </c>
      <c r="BI161" s="1520" t="e">
        <v>#VALUE!</v>
      </c>
      <c r="BJ161" s="1520" t="e">
        <v>#VALUE!</v>
      </c>
      <c r="BK161" s="1583" t="e">
        <v>#VALUE!</v>
      </c>
      <c r="BL161" s="1522" t="e">
        <v>#VALUE!</v>
      </c>
      <c r="BM161" s="1523" t="e">
        <v>#VALUE!</v>
      </c>
      <c r="BN161" s="1523" t="e">
        <v>#VALUE!</v>
      </c>
      <c r="BO161" s="1523" t="e">
        <v>#VALUE!</v>
      </c>
      <c r="BP161" s="1525" t="e">
        <f aca="false">SUM(AZ161:BB161)</f>
        <v>#VALUE!</v>
      </c>
      <c r="BQ161" s="1529" t="e">
        <f aca="false">SUM(AZ161:BC161)</f>
        <v>#VALUE!</v>
      </c>
      <c r="BR161" s="1519" t="e">
        <f aca="false">SUM(BH161:BJ161)</f>
        <v>#VALUE!</v>
      </c>
      <c r="BS161" s="1529" t="e">
        <f aca="false">SUM(BH161:BK161)</f>
        <v>#VALUE!</v>
      </c>
      <c r="BT161" s="1316" t="n">
        <f aca="false">(IF(OVolType&lt;&gt;2,A161+14,IF(OptExpDateShift,ShiftBack(A161,OptExpDateShift,D160),A161))-DateToday)/365.25</f>
        <v>12.0465434633812</v>
      </c>
      <c r="BU161" s="1585" t="e">
        <f aca="false">IF(BQ161,IF(OPriceCurve,IF(OBuySell=OCallPut,I161/(1-AY161),K161/(1-AY161)),J161/(1-AY161))*BD161,0)</f>
        <v>#VALUE!</v>
      </c>
      <c r="BV161" s="1316" t="e">
        <f aca="false">IF(BQ161,IF(OPriceCurve,IF(OBuySell=OCallPut,L161/(1-AY161),N161/(1-AY161)),M161/(1-AY161))*BE161,0)</f>
        <v>#VALUE!</v>
      </c>
      <c r="BW161" s="1316" t="e">
        <f aca="false">IF(BQ161,IF(OPriceCurve,IF(OBuySell=OCallPut,O161/(1-AY161),Q161/(1-AY161)),P161/(1-AY161))*BF161,0)</f>
        <v>#VALUE!</v>
      </c>
      <c r="BX161" s="1316" t="e">
        <f aca="false">IF(BQ161,IF(OPriceCurve,IF(OBuySell=OCallPut,R161/(1-AY161),T161/(1-AY161)),S161/(1-AY161))*BG161,0)</f>
        <v>#VALUE!</v>
      </c>
      <c r="BY161" s="1316" t="e">
        <f aca="false">IF(BP161,(BU161*AZ161+BV161*BA161+BW161*BB161)/BP161,0)</f>
        <v>#VALUE!</v>
      </c>
      <c r="BZ161" s="1316" t="e">
        <f aca="false">IF(BQ161,(BY161*BP161+BX161*BC161)/BQ161,0)</f>
        <v>#VALUE!</v>
      </c>
      <c r="CA161" s="1531" t="e">
        <f aca="false">IF(BS161,IF(OPriceCurve,IF(OBuySell=OCallPut,I161/(1-AY161),K161/(1-AY161)),J161/(1-AY161))*BL161,0)</f>
        <v>#VALUE!</v>
      </c>
      <c r="CB161" s="1316" t="e">
        <f aca="false">IF(BS161,IF(OPriceCurve,IF(OBuySell=OCallPut,L161/(1-AY161),N161/(1-AY161)),M161/(1-AY161))*BM161,0)</f>
        <v>#VALUE!</v>
      </c>
      <c r="CC161" s="1316" t="e">
        <f aca="false">IF(BS161,IF(OPriceCurve,IF(OBuySell=OCallPut,O161/(1-AY161),Q161/(1-AY161)),P161/(1-AY161))*BN161,0)</f>
        <v>#VALUE!</v>
      </c>
      <c r="CD161" s="1316" t="e">
        <f aca="false">IF(BS161,IF(OPriceCurve,IF(OBuySell=OCallPut,R161/(1-AY161),T161/(1-AY161)),S161/(1-AY161))*BO161,0)</f>
        <v>#VALUE!</v>
      </c>
      <c r="CE161" s="1316" t="e">
        <f aca="false">IF(BR161,(BU161*BH161+BV161*BI161+BW161*BJ161)/BR161,0)</f>
        <v>#VALUE!</v>
      </c>
      <c r="CF161" s="1532" t="e">
        <f aca="false">IF(BS161,(CE161*BR161+CD161*BK161)/BS161,0)</f>
        <v>#VALUE!</v>
      </c>
      <c r="CG161" s="1586" t="e">
        <f aca="false">IF(OR(BQ161,BS161),IF(OVolType&lt;&gt;2,SQRT(IF(OVolOverMonthlyPeak,OVolOverMonthlyPeak,IF(OVolCurve,IF(OBuySell,U161,W161),V161))^2*(1-15/365.25/BT161)+IF(OVolOverDailyPeak,OVolOverDailyPeak,IF(OVolCurve,IF(OBuySell,AG161,AI161),AH161))^2*15/365.25/BT161),IF(OVolOverMonthlyPeak,OVolOverMonthlyPeak,IF(OVolCurve,IF(OBuySell,U161,W161),V161))),"")</f>
        <v>#VALUE!</v>
      </c>
      <c r="CH161" s="1587" t="e">
        <f aca="false">IF(OR(BQ161,BS161),IF(OVolType&lt;&gt;2,SQRT(IF(OVolOverMonthlyPeak,OVolOverMonthlyPeak,IF(OVolCurve,IF(OBuySell,X161,Z161),Y161))^2*(1-15/365.25/BT161)+IF(OVolOverDailyPeak,OVolOverDailyPeak,IF(OVolCurve,IF(OBuySell,AJ161,AL161),AK161))^2*15/365.25/BT161),IF(OVolOverMonthlyPeak,OVolOverMonthlyPeak,IF(OVolCurve,IF(OBuySell,X161,Z161),Y161))),"")</f>
        <v>#VALUE!</v>
      </c>
      <c r="CI161" s="1587" t="e">
        <f aca="false">IF(OR(BQ161,BS161),IF(OVolType&lt;&gt;2,SQRT(IF(OVolOverMonthlyPeak,OVolOverMonthlyPeak,IF(OVolCurve,IF(OBuySell,AA161,AC161),AB161))^2*(1-15/365.25/BT161)+IF(OVolOverDailyPeak,OVolOverDailyPeak,IF(OVolCurve,IF(OBuySell,AM161,AO161),AN161))^2*15/365.25/BT161),IF(OVolOverMonthlyPeak,OVolOverMonthlyPeak,IF(OVolCurve,IF(OBuySell,AA161,AC161),AB161))),"")</f>
        <v>#VALUE!</v>
      </c>
      <c r="CJ161" s="1587" t="e">
        <f aca="false">IF(BQ161,IF(BP161,SQRT(LN(1+((BU161*AZ161)^2*(EXP(CG161^2*BT161)-1)+(BV161*BA161)^2*(EXP(CH161^2*BT161)-1)+(BW161*BB161)^2*(EXP(CI161^2*BT161)-1)+2*BU161*AZ161*BV161*BA161*(EXP(CG161*CH161*BT161)-1)+2*BV161*BA161*BW161*BB161*(EXP(CH161*CI161*BT161)-1)+2*BW161*BB161*BU161*AZ161*(EXP(CI161*CG161*BT161)-1))/(BY161*BP161)^2)/BT161),0),"")</f>
        <v>#VALUE!</v>
      </c>
      <c r="CK161" s="1587" t="e">
        <f aca="false">IF(BS161,IF(BR161,SQRT(LN(1+((CA161*BH161)^2*(EXP(CG161^2*BT161)-1)+(CB161*BI161)^2*(EXP(CH161^2*BT161)-1)+(CC161*BJ161)^2*(EXP(CI161^2*BT161)-1)+2*CA161*BH161*CB161*BI161*(EXP(CG161*CH161*BT161)-1)+2*CB161*BI161*CC161*BJ161*(EXP(CH161*CI161*BT161)-1)+2*CC161*BJ161*CA161*BH161*(EXP(CI161*CG161*BT161)-1))/(CE161*BR161)^2)/BT161),0),"")</f>
        <v>#VALUE!</v>
      </c>
      <c r="CL161" s="1587" t="e">
        <f aca="false">IF(OR(BQ161,BS161),IF(OVolType&lt;&gt;2,SQRT(IF(OVolOverMonthlyOffPeak,OVolOverMonthlyOffPeak,IF(OVolCurve,IF(OBuySell,AD161,AF161),AE161))^2*(1-15/365.25/BT161)+IF(OVolOverDailyOffPeak,OVolOverDailyOffPeak,IF(OVolCurve,IF(OBuySell,AP161,AR161),AQ161))^2*15/365.25/BT161),IF(OVolOverMonthlyOffPeak,OVolOverMonthlyOffPeak,IF(OVolCurve,IF(OBuySell,AD161,AF161),AE161))),"")</f>
        <v>#VALUE!</v>
      </c>
      <c r="CM161" s="1587" t="e">
        <f aca="false">IF(BQ161,SQRT(LN(1+((BY161*BP161)^2*(EXP(CJ161^2*BT161)-1)+(BX161*BC161)^2*(EXP(CL161^2*BT161)-1)+2*BY161*BP161*BX161*BC161*(EXP(AS161*CJ161*CL161*BT161)-1))/(BY161*BP161+BX161*BC161)^2)/BT161),"")</f>
        <v>#VALUE!</v>
      </c>
      <c r="CN161" s="1588" t="e">
        <f aca="false">IF(BS161,SQRT(LN(1+((CE161*BR161)^2*(EXP(CK161^2*BT161)-1)+(CD161*BK161)^2*(EXP(CL161^2*BT161)-1)+2*CE161*BR161*CD161*BK161*(EXP(AS161*CK161*CL161*BT161)-1))/(CE161*BR161+CD161*BK161)^2)/BT161),"")</f>
        <v>#VALUE!</v>
      </c>
      <c r="CO161" s="1531" t="e">
        <f aca="false">IF(OR(BQ161,BS161),VLOOKUP(A161,GasTable,13)*HeatRatePeak*(1+VLOOKUP($B161,HeatRateDegradation,$C161+1))/1000,0)</f>
        <v>#VALUE!</v>
      </c>
      <c r="CP161" s="1316" t="e">
        <f aca="false">IF(OR(BQ161,BS161),VLOOKUP(A161,GasTable,13)*HeatRatePeak*(1+VLOOKUP($B161,HeatRateDegradation,$C161+1))/1000,0)</f>
        <v>#VALUE!</v>
      </c>
      <c r="CQ161" s="1316" t="e">
        <f aca="false">IF(OR(BQ161,BS161),VLOOKUP(A161,GasTable,13)*IF(EV161,HeatRatePeak,HeatRateOffPeak)*(1+VLOOKUP($B161,HeatRateDegradation,$C161+1))/1000,0)</f>
        <v>#VALUE!</v>
      </c>
      <c r="CR161" s="1316" t="e">
        <f aca="false">IF(OR(BQ161,BS161),VLOOKUP(A161,GasTable,13)*IF(EW161,HeatRatePeak,HeatRateOffPeak)*(1+VLOOKUP($B161,HeatRateDegradation,$C161+1))/1000,0)</f>
        <v>#VALUE!</v>
      </c>
      <c r="CS161" s="1589" t="e">
        <f aca="false">IF(BQ161,(CO161*AZ161+CP161*BA161+CQ161*BB161+CR161*BC161)/BQ161,0)</f>
        <v>#VALUE!</v>
      </c>
      <c r="CT161" s="1316" t="e">
        <f aca="false">IF(BS161,CO161,0)</f>
        <v>#VALUE!</v>
      </c>
      <c r="CU161" s="1590" t="e">
        <f aca="false">IF(OR(BQ161,BS161),VLOOKUP(A161,GasTable,14),"")</f>
        <v>#VALUE!</v>
      </c>
      <c r="CV161" s="1568" t="e">
        <f aca="false">IF(OR(BQ161,BS161),IF(CorrPowerGasOverFlag,INDEX(CorrPowerGasOver,C161),CorrPowerGas),"")</f>
        <v>#VALUE!</v>
      </c>
      <c r="CW161" s="1316" t="e">
        <f aca="false">IF(OR($BQ161,$BS161),SpreadOptPowerMargin,0)*((1+Assumptions!$C$26)^($B161-YEAR(Assumptions!$C$17)))</f>
        <v>#VALUE!</v>
      </c>
      <c r="CX161" s="1316" t="e">
        <f aca="false">IF(OR($BQ161,$BS161),SpreadOptPowerMargin,0)*((1+Assumptions!$C$26)^($B161-YEAR(Assumptions!$C$17)))</f>
        <v>#VALUE!</v>
      </c>
      <c r="CY161" s="1316" t="e">
        <f aca="false">IF(OR($BQ161,$BS161),SpreadOptPowerMargin,0)*((1+Assumptions!$C$26)^($B161-YEAR(Assumptions!$C$17)))</f>
        <v>#VALUE!</v>
      </c>
      <c r="CZ161" s="1316" t="e">
        <f aca="false">IF(OR($BQ161,$BS161),SpreadOptPowerMargin,0)*((1+Assumptions!$C$26)^($B161-YEAR(Assumptions!$C$17)))</f>
        <v>#VALUE!</v>
      </c>
      <c r="DA161" s="1591" t="e">
        <f aca="false">IF(OR(BQ161,BS161),(CW161*(AZ161+BH161)+CX161*(BA161+BI161)+CY161*(BB161+BJ161)+CZ161*(BC161+BK161))/(BQ161+BS161),0)</f>
        <v>#VALUE!</v>
      </c>
      <c r="DB161" s="1592" t="e">
        <f aca="false">IF(OR(BQ161,BS161),CG161+IF(OVolSmile,VLOOKUP(MAX(-5,CO161+CW161-BU161),IF(OVolSmile=1,VolSmileBook,VolSmileModel),2),0),"")</f>
        <v>#VALUE!</v>
      </c>
      <c r="DC161" s="1592" t="e">
        <f aca="false">IF(OR(BQ161,BS161),CH161+IF(OVolSmile,VLOOKUP(MAX(-5,CP161+CW161-BV161),IF(OVolSmile=1,VolSmileBook,VolSmileModel),2),0),"")</f>
        <v>#VALUE!</v>
      </c>
      <c r="DD161" s="1592" t="e">
        <f aca="false">IF(OR(BQ161,BS161),CI161+IF(OVolSmile,VLOOKUP(MAX(-5,CQ161+CW161-BW161),IF(OVolSmile=1,VolSmileBook,VolSmileModel),2),0),"")</f>
        <v>#VALUE!</v>
      </c>
      <c r="DE161" s="1592" t="e">
        <f aca="false">IF(OR(BQ161,BS161),CL161+IF(OVolSmile,VLOOKUP(MAX(-5,CR161+CZ161-BX161),IF(OVolSmile=1,VolSmileBook,VolSmileModel),2),0),"")</f>
        <v>#VALUE!</v>
      </c>
      <c r="DF161" s="1592" t="e">
        <f aca="false">IF(BQ161,CM161+IF(OVolSmile,VLOOKUP(MAX(-5,CS161+DA161-BZ161),IF(OVolSmile=1,VolSmileBook,VolSmileModel),2),0),"")</f>
        <v>#VALUE!</v>
      </c>
      <c r="DG161" s="1593" t="e">
        <f aca="false">IF(BS161,CN161+IF(OVolSmile,VLOOKUP(MAX(-5,CT161+DA161-CF161),IF(OVolSmile=1,VolSmileBook,VolSmileModel),2),0),"")</f>
        <v>#VALUE!</v>
      </c>
      <c r="DH161" s="1316" t="e">
        <f aca="false">IF(AND(BU161&gt;0,CO161&gt;0,DB161&gt;0,CU161&gt;0),newSPRDOPT(BU161,CO161,CW161,0,DB161,CU161,CV161,BT161*365.25,OCallPut,0),0)</f>
        <v>#VALUE!</v>
      </c>
      <c r="DI161" s="1316" t="e">
        <f aca="false">IF(AND(BV161&gt;0,CP161&gt;0,DC161&gt;0,CU161&gt;0),newSPRDOPT(BV161,CP161,CX161,0,DC161,CU161,CV161,BT161*365.25,OCallPut,0),0)</f>
        <v>#VALUE!</v>
      </c>
      <c r="DJ161" s="1316" t="e">
        <f aca="false">IF(AND(BW161&gt;0,CQ161&gt;0,DD161&gt;0,CU161&gt;0),newSPRDOPT(BW161,CQ161,CY161,0,DD161,CU161,CV161,BT161*365.25,OCallPut,0),0)</f>
        <v>#VALUE!</v>
      </c>
      <c r="DK161" s="1316" t="e">
        <f aca="false">IF(AND(BX161&gt;0,CR161&gt;0,DE161&gt;0,CU161&gt;0),newSPRDOPT(BX161,CR161,CZ161,0,DE161,CU161,CV161,BT161*365.25,OCallPut,0),0)</f>
        <v>#VALUE!</v>
      </c>
      <c r="DL161" s="1316" t="e">
        <f aca="false">IF(OVolType,IF(AND(BZ161&gt;0,CS161&gt;0,DF161&gt;0,CU161&gt;0),newSPRDOPT(BZ161,CS161,DA161,0,DF161,CU161,CV161,BT161*365.25,OCallPut,0),0),IF(BQ161,(DH161*AZ161+DI161*BA161+DJ161*BB161+DK161*BC161)/BQ161,0))</f>
        <v>#VALUE!</v>
      </c>
      <c r="DM161" s="1316"/>
      <c r="DN161" s="1316"/>
      <c r="DO161" s="1316"/>
      <c r="DP161" s="1316"/>
      <c r="DQ161" s="1316"/>
      <c r="DR161" s="1316"/>
      <c r="DS161" s="1316"/>
      <c r="DT161" s="1316"/>
      <c r="DU161" s="1316"/>
      <c r="DV161" s="1316"/>
      <c r="DW161" s="1594" t="e">
        <f aca="false">IF(AND(BW161&gt;0,CT161&gt;0,DD161&gt;0,CU161&gt;0),newSPRDOPT(BW161,CT161,CY161,0,DD161,CU161,CV161,BT161*365.25,OCallPut,0),0)</f>
        <v>#VALUE!</v>
      </c>
      <c r="DX161" s="1316" t="e">
        <f aca="false">IF(AND(BX161&gt;0,CT161&gt;0,DE161&gt;0,CU161&gt;0),newSPRDOPT(BX161,CT161,CZ161,0,DE161,CU161,CV161,BT161*365.25,OCallPut,0),0)</f>
        <v>#VALUE!</v>
      </c>
      <c r="DY161" s="1591" t="e">
        <f aca="false">IF(BS161,(DH161*BH161+DI161*BI161+DW161*BJ161+DX161*BK161)/BS161,0)</f>
        <v>#VALUE!</v>
      </c>
      <c r="DZ161" s="1551" t="e">
        <f aca="false">DH161*AZ161</f>
        <v>#VALUE!</v>
      </c>
      <c r="EA161" s="1551" t="e">
        <f aca="false">DI161*BA161</f>
        <v>#VALUE!</v>
      </c>
      <c r="EB161" s="1551" t="e">
        <f aca="false">DJ161*BB161</f>
        <v>#VALUE!</v>
      </c>
      <c r="EC161" s="1551" t="e">
        <f aca="false">DK161*BC161</f>
        <v>#VALUE!</v>
      </c>
      <c r="ED161" s="1551" t="e">
        <f aca="false">DL161*BQ161</f>
        <v>#VALUE!</v>
      </c>
      <c r="EE161" s="1595" t="e">
        <f aca="false">IF(BQ161,IF(OCallPut,IF(BU161&gt;(CO161+CW161),BU161-(CO161+CW161),0),IF((CO161+CW161)&gt;BU161,(CO161+CW161)-BU161,0))*AZ161,0)</f>
        <v>#VALUE!</v>
      </c>
      <c r="EF161" s="1596" t="e">
        <f aca="false">IF(BQ161,IF(OCallPut,IF(BV161&gt;(CP161+CX161),BV161-(CP161+CX161),0),IF((CP161+CX161)&gt;BV161,(CP161+CX161)-BV161,0))*BA161,0)</f>
        <v>#VALUE!</v>
      </c>
      <c r="EG161" s="1596" t="e">
        <f aca="false">IF(BQ161,IF(OCallPut,IF(BW161&gt;(CQ161+CY161),BW161-(CQ161+CY161),0),IF((CQ161+CY161)&gt;BW161,(CQ161+CY161)-BW161,0))*BB161,0)</f>
        <v>#VALUE!</v>
      </c>
      <c r="EH161" s="1596" t="e">
        <f aca="false">IF(BQ161,IF(OCallPut,IF(BX161&gt;(CR161+CZ161),BX161-(CR161+CZ161),0),IF((CR161+CZ161)&gt;BX161,(CR161+CZ161)-BX161,0))*BC161,0)</f>
        <v>#VALUE!</v>
      </c>
      <c r="EI161" s="1597" t="e">
        <f aca="false">IF(BQ161,IF(OVolType,IF(OCallPut,IF(BZ161&gt;(CS161+DA161),BZ161-(CS161+DA161),0),IF((CS161+DA161)&gt;BZ161,(CS161+DA161)-BZ161,0))*BQ161,SUM(EE161:EH161)),0)</f>
        <v>#VALUE!</v>
      </c>
      <c r="EJ161" s="1595" t="e">
        <f aca="false">DZ161-EE161</f>
        <v>#VALUE!</v>
      </c>
      <c r="EK161" s="1596" t="e">
        <f aca="false">EA161-EF161</f>
        <v>#VALUE!</v>
      </c>
      <c r="EL161" s="1596" t="e">
        <f aca="false">EB161-EG161</f>
        <v>#VALUE!</v>
      </c>
      <c r="EM161" s="1596" t="e">
        <f aca="false">EC161-EH161</f>
        <v>#VALUE!</v>
      </c>
      <c r="EN161" s="1597" t="e">
        <f aca="false">ED161-EI161</f>
        <v>#VALUE!</v>
      </c>
      <c r="EO161" s="1551" t="e">
        <f aca="false">DH161*BH161</f>
        <v>#VALUE!</v>
      </c>
      <c r="EP161" s="1551" t="e">
        <f aca="false">DI161*BI161</f>
        <v>#VALUE!</v>
      </c>
      <c r="EQ161" s="1551" t="e">
        <f aca="false">DW161*BJ161</f>
        <v>#VALUE!</v>
      </c>
      <c r="ER161" s="1551" t="e">
        <f aca="false">DX161*BK161</f>
        <v>#VALUE!</v>
      </c>
      <c r="ES161" s="1551" t="e">
        <f aca="false">DY161*BS161</f>
        <v>#VALUE!</v>
      </c>
      <c r="ET161" s="1566" t="e">
        <f aca="false">IF(EI161,IF(OCallPut,IF(CA161&gt;(CT161+CW161),CA161-(CT161+CW161),0),IF((CT161+CW161)&gt;CA161,(CT161+CW161)-CA161,0))*BH161,0)</f>
        <v>#VALUE!</v>
      </c>
      <c r="EU161" s="1551" t="e">
        <f aca="false">IF(EI161,IF(OCallPut,IF(CB161&gt;(CT161+CX161),CB161-(CT161+CX161),0),IF((CT161+CX161)&gt;CB161,(CT161+CX161)-CB161,0))*BI161,0)</f>
        <v>#VALUE!</v>
      </c>
      <c r="EV161" s="1551" t="e">
        <f aca="false">IF(EI161,IF(OCallPut,IF(CC161&gt;(CT161+CY161),CC161-(CT161+CY161),0),IF((CT161+CY161)&gt;CC161,(CT161+CY161)-CC161,0))*BJ161,0)</f>
        <v>#VALUE!</v>
      </c>
      <c r="EW161" s="1551" t="e">
        <f aca="false">IF(EI161,IF(OCallPut,IF(CD161&gt;(CT161+CZ161),CD161-(CT161+CZ161),0),IF((CT161+CZ161)&gt;CD161,(CT161+CZ161)-CD161,0))*BK161,0)</f>
        <v>#VALUE!</v>
      </c>
      <c r="EX161" s="1558" t="e">
        <f aca="false">IF(EI161,SUM(ET161:EW161),0)</f>
        <v>#VALUE!</v>
      </c>
      <c r="EY161" s="1551" t="e">
        <f aca="false">EO161-ET161</f>
        <v>#VALUE!</v>
      </c>
      <c r="EZ161" s="1551" t="e">
        <f aca="false">EP161-EU161</f>
        <v>#VALUE!</v>
      </c>
      <c r="FA161" s="1551" t="e">
        <f aca="false">EQ161-EV161</f>
        <v>#VALUE!</v>
      </c>
      <c r="FB161" s="1551" t="e">
        <f aca="false">ER161-EW161</f>
        <v>#VALUE!</v>
      </c>
      <c r="FC161" s="1551" t="e">
        <f aca="false">ES161-EX161</f>
        <v>#VALUE!</v>
      </c>
      <c r="FD161" s="1525" t="n">
        <f aca="false">IF(AX161,IF(VLOOKUP(C161,MAIN!$L$17:$M$28,2)="Yes",VLOOKUP(CALC!B161,MAIN!$H$17:$I$20,2),0),0)</f>
        <v>0</v>
      </c>
      <c r="FE161" s="1552" t="e">
        <f aca="false">$FD161*16*AT161*(1-$AY161)</f>
        <v>#VALUE!</v>
      </c>
      <c r="FF161" s="1553" t="e">
        <f aca="false">$FD161*16*AU161*(1-$AY161)</f>
        <v>#VALUE!</v>
      </c>
      <c r="FG161" s="1553" t="e">
        <f aca="false">$FD161*16*(AV161+AW161)*(1-$AY161)</f>
        <v>#VALUE!</v>
      </c>
      <c r="FH161" s="1554" t="n">
        <f aca="false">$FD161*8*AX161*(1-$AY161)</f>
        <v>0</v>
      </c>
      <c r="FI161" s="1555" t="n">
        <f aca="false">IF(AX161,VLOOKUP(CALC!B161,MAIN!$H$17:$K$20,4),0)</f>
        <v>0</v>
      </c>
      <c r="FJ161" s="1553" t="e">
        <f aca="false">SUM(FE161:FH161)</f>
        <v>#VALUE!</v>
      </c>
      <c r="FK161" s="1556" t="e">
        <f aca="false">FI161*FJ161</f>
        <v>#VALUE!</v>
      </c>
      <c r="FL161" s="1551" t="e">
        <f aca="false">IF($EI161&gt;0,MIN(FE161,AZ161*(1+VLOOKUP($C161,WeatherCapacityAdjustment,2))),0)</f>
        <v>#VALUE!</v>
      </c>
      <c r="FM161" s="1551" t="e">
        <f aca="false">IF($EI161&gt;0,MIN(FF161,BA161*(1+VLOOKUP($C161,WeatherCapacityAdjustment,2))),0)</f>
        <v>#VALUE!</v>
      </c>
      <c r="FN161" s="1551" t="e">
        <f aca="false">IF($EI161&gt;0,MIN(FG161,BB161*(1+VLOOKUP($C161,WeatherCapacityAdjustment,2))),0)</f>
        <v>#VALUE!</v>
      </c>
      <c r="FO161" s="1564" t="e">
        <f aca="false">IF($EI161&gt;0,MIN(FH161,BC161*(1+VLOOKUP($C161,WeatherCapacityAdjustment,3))),0)</f>
        <v>#VALUE!</v>
      </c>
      <c r="FP161" s="1551" t="e">
        <f aca="false">IF(ET161&gt;0,MIN(FE161-FL161,BH161*(1+VLOOKUP($C161,WeatherCapacityAdjustment,2))),0)</f>
        <v>#VALUE!</v>
      </c>
      <c r="FQ161" s="1551" t="e">
        <f aca="false">IF(EU161&gt;0,MIN(FF161-FM161,BI161*(1+VLOOKUP($C161,WeatherCapacityAdjustment,2))),0)</f>
        <v>#VALUE!</v>
      </c>
      <c r="FR161" s="1551" t="e">
        <f aca="false">IF(EV161&gt;0,MIN(FG161-FN161,BJ161*(1+VLOOKUP($C161,WeatherCapacityAdjustment,2))),0)</f>
        <v>#VALUE!</v>
      </c>
      <c r="FS161" s="1558" t="e">
        <f aca="false">IF(EW161&gt;0,MIN(FH161-FO161,BK161*(1+VLOOKUP($C161,WeatherCapacityAdjustment,3))),0)</f>
        <v>#VALUE!</v>
      </c>
      <c r="FT161" s="1566" t="e">
        <f aca="false">IF(AND(Assumptions!$H$71="Yes",A161&gt;=Assumptions!$H$72,A161&lt;=Assumptions!$H$73),0,IF(AND($A161&gt;=Assumptions!$C$17,$A161&lt;=Assumptions!$C$18),MAX(AZ161*(1+VLOOKUP($C161,WeatherCapacityAdjustment,2))-FL161,0),0))</f>
        <v>#VALUE!</v>
      </c>
      <c r="FU161" s="1551" t="e">
        <f aca="false">IF(AND(Assumptions!$H$71="Yes",A161&gt;=Assumptions!$H$72,A161&lt;=Assumptions!$H$73),0,IF(AND($A161&gt;=Assumptions!$C$17,$A161&lt;=Assumptions!$C$18),MAX(BA161*(1+VLOOKUP($C161,WeatherCapacityAdjustment,2))-FM161,0),0))</f>
        <v>#VALUE!</v>
      </c>
      <c r="FV161" s="1551" t="e">
        <f aca="false">IF(AND(Assumptions!$H$71="Yes",A161&gt;=Assumptions!$H$72,A161&lt;=Assumptions!$H$73),0,IF(AND($A161&gt;=Assumptions!$C$17,$A161&lt;=Assumptions!$C$18),MAX(BB161*(1+VLOOKUP($C161,WeatherCapacityAdjustment,2))-FN161,0),0))</f>
        <v>#VALUE!</v>
      </c>
      <c r="FW161" s="1564" t="e">
        <f aca="false">IF(AND(Assumptions!$H$71="Yes",A161&gt;=Assumptions!$H$72,A161&lt;=Assumptions!$H$73),0,IF(AND($A161&gt;=Assumptions!$C$17,$A161&lt;=Assumptions!$C$18),MAX(BC161*(1+VLOOKUP($C161,WeatherCapacityAdjustment,3))-FO161,0),0))</f>
        <v>#VALUE!</v>
      </c>
      <c r="FX161" s="1569" t="e">
        <f aca="false">IF(AND(Assumptions!$H$71="Yes",A161&gt;=Assumptions!$H$72,A161&lt;=Assumptions!$H$73),0,IF(ET161&gt;0,MAX(BH161*(1+VLOOKUP($C161,WeatherCapacityAdjustment,2))-FP161,0),0))</f>
        <v>#VALUE!</v>
      </c>
      <c r="FY161" s="1551" t="e">
        <f aca="false">IF(AND(Assumptions!$H$71="Yes",A161&gt;=Assumptions!$H$72,A161&lt;=Assumptions!$H$73),0,IF(EU161&gt;0,MAX(BI161*(1+VLOOKUP($C161,WeatherCapacityAdjustment,3))-FQ161,0),0))</f>
        <v>#VALUE!</v>
      </c>
      <c r="FZ161" s="1551" t="e">
        <f aca="false">IF(AND(Assumptions!$H$71="Yes",A161&gt;=Assumptions!$H$72,A161&lt;=Assumptions!$H$73),0,IF(EV161&gt;0,MAX(BJ161*(1+VLOOKUP($C161,WeatherCapacityAdjustment,2))-FR161,0),0))</f>
        <v>#VALUE!</v>
      </c>
      <c r="GA161" s="1564" t="e">
        <f aca="false">IF(AND(Assumptions!$H$71="Yes",A161&gt;=Assumptions!$H$72,A161&lt;=Assumptions!$H$73),0,IF(EW161&gt;0,MAX(BK161*(1+VLOOKUP($C161,WeatherCapacityAdjustment,2))-FS161,0),0))</f>
        <v>#VALUE!</v>
      </c>
      <c r="GB161" s="1551" t="e">
        <f aca="false">SUM(FT161:GA161)</f>
        <v>#VALUE!</v>
      </c>
      <c r="GC161" s="1563" t="e">
        <f aca="false">+IF(SUM(FT161:GA161)=0,0,(SUMPRODUCT(BU161:BX161,FT161:FW161)+SUMPRODUCT(CA161:CD161,FX161:GA161))/SUM(FT161:GA161))</f>
        <v>#VALUE!</v>
      </c>
      <c r="GD161" s="1551" t="e">
        <f aca="false">(FT161*BU161+FX161*CA161+FU161*BV161+FY161*CB161+FV161*BW161+FZ161*CC161+FW161*BX161+GA161*CD161)</f>
        <v>#VALUE!</v>
      </c>
      <c r="GE161" s="1561" t="e">
        <f aca="false">+IF(BQ161,((FL161+FM161+FT161+FU161)*HeatRatePeak/1000*(1+VLOOKUP($C161,WeatherHeatRateAdjustment,2))+(FN161+FV161)*IF(EV161&gt;0,HeatRatePeak,HeatRateOffPeak)/1000*(1+VLOOKUP($C161,WeatherHeatRateAdjustment,2))+(FO161+FW161)*IF(EW161&gt;0,HeatRatePeak,HeatRateOffPeak)/1000*(1+VLOOKUP($C161,WeatherHeatRateAdjustment,3)))*(1+VLOOKUP($B161,HeatRateDegradation,$C161+1)),0)</f>
        <v>#VALUE!</v>
      </c>
      <c r="GF161" s="1562" t="e">
        <f aca="false">IF(BQ161,((FP161+FQ161+FR161+FX161+FY161+FZ161)*HeatRatePeak/1000*(1+VLOOKUP($C161,WeatherHeatRateAdjustment,2))+(FS161+GA161)*HeatRatePeak/1000*(1+VLOOKUP($C161,WeatherHeatRateAdjustment,3)))*(1+VLOOKUP($B161,HeatRateDegradation,$C161+1)),0)</f>
        <v>#VALUE!</v>
      </c>
      <c r="GG161" s="1563" t="e">
        <f aca="false">IF(BQ161,VLOOKUP(A161,GasTable,13),0)</f>
        <v>#VALUE!</v>
      </c>
      <c r="GH161" s="1564" t="e">
        <f aca="false">(GE161+GF161)*GG161</f>
        <v>#VALUE!</v>
      </c>
      <c r="GI161" s="1569" t="e">
        <f aca="false">GB161</f>
        <v>#VALUE!</v>
      </c>
      <c r="GJ161" s="1598" t="e">
        <f aca="false">+DA161</f>
        <v>#VALUE!</v>
      </c>
      <c r="GK161" s="1558" t="e">
        <f aca="false">+GI161*GJ161</f>
        <v>#VALUE!</v>
      </c>
      <c r="GL161" s="1566" t="e">
        <f aca="false">MAX(FE161-FL161-FP161,0)</f>
        <v>#VALUE!</v>
      </c>
      <c r="GM161" s="1551" t="e">
        <f aca="false">MAX(FF161-FM161-FQ161,0)</f>
        <v>#VALUE!</v>
      </c>
      <c r="GN161" s="1551" t="e">
        <f aca="false">MAX(FG161-FN161-FR161,0)</f>
        <v>#VALUE!</v>
      </c>
      <c r="GO161" s="1564" t="e">
        <f aca="false">MAX(FH161-FO161-FS161,0)</f>
        <v>#VALUE!</v>
      </c>
      <c r="GP161" s="1551" t="e">
        <f aca="false">SUM(GL161:GO161)</f>
        <v>#VALUE!</v>
      </c>
      <c r="GQ161" s="1563" t="e">
        <f aca="false">IF(SUM(GL161:GO161)=0,0,((GL161*BU161+GM161*BV161+GN161*BW161+GO161*BX161)/SUM(GL161:GO161)))</f>
        <v>#VALUE!</v>
      </c>
      <c r="GR161" s="1558" t="e">
        <f aca="false">(GL161*BU161+GM161*BV161+GN161*BW161+GO161*BX161)</f>
        <v>#VALUE!</v>
      </c>
      <c r="GS161" s="1566" t="n">
        <f aca="false">IF($A161&gt;=BegDate,Assumptions!$C$56*24*($A162-$A161)*(1-VLOOKUP($B161,MAIN!$AA$7:$AM$28,$C161+1))*(1-VLOOKUP($B161,MAIN!$AA$33:$AM$54,$C161+1)),0)*80/168</f>
        <v>257742.857142857</v>
      </c>
      <c r="GT161" s="286" t="n">
        <f aca="false">J161</f>
        <v>44.3838971392287</v>
      </c>
      <c r="GU161" s="286" t="n">
        <f aca="false">IF($A161&gt;=BegDate,VLOOKUP($A161,GasTable,13)+Assumptions!$C$58,0)</f>
        <v>2.84558703965257</v>
      </c>
      <c r="GV161" s="286" t="n">
        <f aca="false">GU161*Assumptions!$C$57/1000</f>
        <v>20.6305060374811</v>
      </c>
      <c r="GW161" s="1558" t="n">
        <f aca="false">IF(Assumptions!$C$60="Hourly",MAX(0,GS161*(GT161-GV161)),GS161*(GT161-GV161))</f>
        <v>6122266.88939613</v>
      </c>
      <c r="GX161" s="1566" t="n">
        <f aca="false">IF($A161&gt;=BegDate,Assumptions!$C$56*24*($A162-$A161)*(1-VLOOKUP($B161,MAIN!$AA$7:$AM$28,$C161+1))*(1-VLOOKUP($B161,MAIN!$AA$33:$AM$54,$C161+1)),0)*16/168</f>
        <v>51548.5714285714</v>
      </c>
      <c r="GY161" s="286" t="n">
        <f aca="false">M161</f>
        <v>44.3838971392287</v>
      </c>
      <c r="GZ161" s="286" t="n">
        <f aca="false">IF($A161&gt;=BegDate,VLOOKUP($A161,GasTable,13)+Assumptions!$C$58,0)</f>
        <v>2.84558703965257</v>
      </c>
      <c r="HA161" s="286" t="n">
        <f aca="false">GZ161*Assumptions!$C$57/1000</f>
        <v>20.6305060374811</v>
      </c>
      <c r="HB161" s="1558" t="n">
        <f aca="false">IF(Assumptions!$C$60="Hourly",MAX(0,GX161*(GY161-HA161)),GX161*(GY161-HA161))</f>
        <v>1224453.37787923</v>
      </c>
      <c r="HC161" s="1566" t="n">
        <f aca="false">IF($A161&gt;=BegDate,Assumptions!$C$56*24*($A162-$A161)*(1-VLOOKUP($B161,MAIN!$AA$7:$AM$28,$C161+1))*(1-VLOOKUP($B161,MAIN!$AA$33:$AM$54,$C161+1)),0)*16/168</f>
        <v>51548.5714285714</v>
      </c>
      <c r="HD161" s="286" t="n">
        <f aca="false">P161</f>
        <v>25.238392184333</v>
      </c>
      <c r="HE161" s="286" t="n">
        <f aca="false">IF($A161&gt;=BegDate,VLOOKUP($A161,GasTable,13)+Assumptions!$C$58,0)</f>
        <v>2.84558703965257</v>
      </c>
      <c r="HF161" s="286" t="n">
        <f aca="false">HE161*Assumptions!$C$57/1000</f>
        <v>20.6305060374811</v>
      </c>
      <c r="HG161" s="1558" t="n">
        <f aca="false">IF(Assumptions!$C$60="Hourly",MAX(0,HC161*(HD161-HF161)),HC161*(HD161-HF161))</f>
        <v>237529.94817572</v>
      </c>
      <c r="HH161" s="1566" t="n">
        <f aca="false">IF($A161&gt;=BegDate,Assumptions!$C$56*24*($A162-$A161)*(1-VLOOKUP($B161,MAIN!$AA$7:$AM$28,$C161+1))*(1-VLOOKUP($B161,MAIN!$AA$33:$AM$54,$C161+1)),0)*56/168</f>
        <v>180420</v>
      </c>
      <c r="HI161" s="286" t="n">
        <f aca="false">S161</f>
        <v>25.238392184333</v>
      </c>
      <c r="HJ161" s="286" t="n">
        <f aca="false">IF($A161&gt;=BegDate,VLOOKUP($A161,GasTable,13)+Assumptions!$C$58,0)</f>
        <v>2.84558703965257</v>
      </c>
      <c r="HK161" s="286" t="n">
        <f aca="false">HJ161*Assumptions!$C$57/1000</f>
        <v>20.6305060374811</v>
      </c>
      <c r="HL161" s="1558" t="n">
        <f aca="false">IF(Assumptions!$C$60="Hourly",MAX(0,HH161*(HI161-HK161)),HH161*(HI161-HK161))</f>
        <v>831354.818615019</v>
      </c>
      <c r="HM161" s="1566" t="n">
        <f aca="false">IF(AND(Assumptions!$H$71="Yes",A161&gt;=Assumptions!$H$72,A161&lt;=Assumptions!$H$73),Assumptions!$H$74*Assumptions!$C$9*1000,0)</f>
        <v>0</v>
      </c>
      <c r="HN161" s="1551"/>
      <c r="HO161" s="1563"/>
      <c r="HP161" s="1563"/>
      <c r="HQ161" s="1563"/>
      <c r="HR161" s="1563"/>
      <c r="HS161" s="1563"/>
      <c r="HT161" s="1563"/>
      <c r="HU161" s="1563"/>
      <c r="HV161" s="1563"/>
      <c r="HW161" s="1563"/>
      <c r="HX161" s="1563"/>
      <c r="HY161" s="1563"/>
      <c r="HZ161" s="1563"/>
      <c r="IA161" s="1563"/>
      <c r="IB161" s="1563"/>
      <c r="IC161" s="1563"/>
      <c r="ID161" s="1563"/>
      <c r="IE161" s="1563"/>
      <c r="IF161" s="1563"/>
      <c r="IG161" s="1563"/>
      <c r="IH161" s="1563"/>
      <c r="II161" s="1610"/>
      <c r="IJ161" s="1309"/>
      <c r="IK161" s="1309"/>
    </row>
    <row r="162" customFormat="false" ht="12.75" hidden="false" customHeight="false" outlineLevel="0" collapsed="false">
      <c r="A162" s="1571" t="n">
        <f aca="false">EOMONTH(A161,0)+1</f>
        <v>41061</v>
      </c>
      <c r="B162" s="594" t="n">
        <f aca="false">+YEAR(A162)</f>
        <v>2012</v>
      </c>
      <c r="C162" s="238" t="n">
        <f aca="false">MONTH(A162)</f>
        <v>6</v>
      </c>
      <c r="D162" s="1572" t="e">
        <f aca="false">IF(E162="","",Holiday(B162,C162))</f>
        <v>#VALUE!</v>
      </c>
      <c r="E162" s="1573" t="n">
        <f aca="false">IF(OR(BegDate&gt;=A163,EndDate&lt;A162,AND(VolumeMonthlyOverFlag,INDEX(VolumeMonthlyOver,C162)=0),NOT(INDEX(MonthKnockOutTable,C162))),"",MAX(A162,BegDate))</f>
        <v>41061</v>
      </c>
      <c r="F162" s="1574" t="n">
        <f aca="false">IF(E162="","",MIN(A163-1,EndDate))</f>
        <v>41090</v>
      </c>
      <c r="G162" s="1575" t="n">
        <v>0</v>
      </c>
      <c r="H162" s="1576" t="n">
        <f aca="false">(1+G162/2)^(-2*(DATE(B163,C163,20)-DateToday)/365.25)</f>
        <v>1</v>
      </c>
      <c r="I162" s="1568" t="n">
        <f aca="false">IF(Assumptions!$L$25=4,VLOOKUP($A162,'Henwood Reference'!$E$9:$R$320,10),(VLOOKUP($A162,PriceTable,2,0)+IF(BasisNumber&lt;&gt;1,VLOOKUP($A162,BasisTable,2,0),0)+I$1)/(1-I$2))</f>
        <v>41.1888155861872</v>
      </c>
      <c r="J162" s="1568" t="n">
        <f aca="false">IF(Assumptions!$L$25=4,VLOOKUP($A162,'Henwood Reference'!$E$9:$R$320,10),(VLOOKUP($A162,PriceTable,3,0)+IF(BasisNumber&lt;&gt;1,VLOOKUP($A162,BasisTable,2,0),0)+J$1)/(1-J$2))</f>
        <v>41.1888155861872</v>
      </c>
      <c r="K162" s="1568" t="n">
        <f aca="false">IF(Assumptions!$L$25=4,VLOOKUP($A162,'Henwood Reference'!$E$9:$R$320,10),(VLOOKUP($A162,PriceTable,4,0)+IF(BasisNumber&lt;&gt;1,VLOOKUP($A162,BasisTable,2,0),0)+K$1)/(1-K$2))</f>
        <v>41.1888155861872</v>
      </c>
      <c r="L162" s="1523" t="n">
        <f aca="false">IF(Assumptions!$L$25=4,VLOOKUP($A162,'Henwood Reference'!$E$9:$R$320,10),(VLOOKUP($A162,PriceTableWeekend,2,0)+IF(BasisNumber&lt;&gt;1,VLOOKUP($A162,BasisTable,2,0),0)+L$1)/(1-L$2))</f>
        <v>41.1888155861872</v>
      </c>
      <c r="M162" s="1568" t="n">
        <f aca="false">IF(Assumptions!$L$25=4,VLOOKUP($A162,'Henwood Reference'!$E$9:$R$320,10),(VLOOKUP($A162,PriceTableWeekend,3,0)+IF(BasisNumber&lt;&gt;1,VLOOKUP($A162,BasisTable,2,0),0)+M$1)/(1-M$2))</f>
        <v>41.1888155861872</v>
      </c>
      <c r="N162" s="1599" t="n">
        <f aca="false">IF(Assumptions!$L$25=4,VLOOKUP($A162,'Henwood Reference'!$E$9:$R$320,10),(VLOOKUP($A162,PriceTableWeekend,4,0)+IF(BasisNumber&lt;&gt;1,VLOOKUP($A162,BasisTable,2,0),0)+N$1)/(1-N$2))</f>
        <v>41.1888155861872</v>
      </c>
      <c r="O162" s="1568" t="n">
        <f aca="false">IF(Assumptions!$L$25=4,VLOOKUP($A162,'Henwood Reference'!$E$9:$R$320,11),(VLOOKUP($A162,PriceTableWeekend,6,0)+IF(BasisNumber&lt;&gt;1,VLOOKUP($A162,BasisTable,3,0),0)+O$1)/(1-O$2))</f>
        <v>23.7133314263716</v>
      </c>
      <c r="P162" s="1568" t="n">
        <f aca="false">IF(Assumptions!$L$25=4,VLOOKUP($A162,'Henwood Reference'!$E$9:$R$320,11),(VLOOKUP($A162,PriceTableWeekend,7,0)+IF(BasisNumber&lt;&gt;1,VLOOKUP($A162,BasisTable,3,0),0)+P$1)/(1-P$2))</f>
        <v>23.7133314263716</v>
      </c>
      <c r="Q162" s="1599" t="n">
        <f aca="false">IF(Assumptions!$L$25=4,VLOOKUP($A162,'Henwood Reference'!$E$9:$R$320,11),(VLOOKUP($A162,PriceTableWeekend,8,0)+IF(BasisNumber&lt;&gt;1,VLOOKUP($A162,BasisTable,3,0),0)+Q$1)/(1-Q$2))</f>
        <v>23.7133314263716</v>
      </c>
      <c r="R162" s="1568" t="n">
        <f aca="false">IF(Assumptions!$L$25=4,VLOOKUP($A162,'Henwood Reference'!$E$9:$R$320,11),(VLOOKUP($A162,PriceTable,6,0)+IF(BasisNumber&lt;&gt;1,VLOOKUP($A162,BasisTable,3,0),0)+R$1)/(1-R$2))</f>
        <v>23.7133314263716</v>
      </c>
      <c r="S162" s="1568" t="n">
        <f aca="false">IF(Assumptions!$L$25=4,VLOOKUP($A162,'Henwood Reference'!$E$9:$R$320,11),(VLOOKUP($A162,PriceTable,7,0)+IF(BasisNumber&lt;&gt;1,VLOOKUP($A162,BasisTable,3,0),0)+S$1)/(1-S$2))</f>
        <v>23.7133314263716</v>
      </c>
      <c r="T162" s="1600" t="n">
        <f aca="false">IF(Assumptions!$L$25=4,VLOOKUP($A162,'Henwood Reference'!$E$9:$R$320,11),(VLOOKUP($A162,PriceTable,8,0)+IF(BasisNumber&lt;&gt;1,VLOOKUP($A162,BasisTable,3,0),0)+T$1)/(1-T$2))</f>
        <v>23.7133314263716</v>
      </c>
      <c r="U162" s="1513" t="n">
        <f aca="false">VLOOKUP($A162,VolatilityTable,14)</f>
        <v>0.11</v>
      </c>
      <c r="V162" s="1513" t="n">
        <f aca="false">VLOOKUP($A162,VolatilityTable,15)</f>
        <v>0.12</v>
      </c>
      <c r="W162" s="1514" t="n">
        <f aca="false">VLOOKUP($A162,VolatilityTable,16)</f>
        <v>0.13</v>
      </c>
      <c r="X162" s="1513" t="n">
        <f aca="false">VLOOKUP($A162,VolatilityTable,14)</f>
        <v>0.11</v>
      </c>
      <c r="Y162" s="1513" t="n">
        <f aca="false">VLOOKUP($A162,VolatilityTable,15)</f>
        <v>0.12</v>
      </c>
      <c r="Z162" s="1514" t="n">
        <f aca="false">VLOOKUP($A162,VolatilityTable,16)</f>
        <v>0.13</v>
      </c>
      <c r="AA162" s="1513" t="n">
        <f aca="false">VLOOKUP($A162,VolatilityTable,18)</f>
        <v>0.09</v>
      </c>
      <c r="AB162" s="1513" t="n">
        <f aca="false">VLOOKUP($A162,VolatilityTable,19)</f>
        <v>0.11</v>
      </c>
      <c r="AC162" s="1514" t="n">
        <f aca="false">VLOOKUP($A162,VolatilityTable,20)</f>
        <v>0.13</v>
      </c>
      <c r="AD162" s="1513" t="n">
        <f aca="false">VLOOKUP($A162,VolatilityTable,18)</f>
        <v>0.09</v>
      </c>
      <c r="AE162" s="1513" t="n">
        <f aca="false">VLOOKUP($A162,VolatilityTable,19)</f>
        <v>0.11</v>
      </c>
      <c r="AF162" s="1514" t="n">
        <f aca="false">VLOOKUP($A162,VolatilityTable,20)</f>
        <v>0.13</v>
      </c>
      <c r="AG162" s="1513" t="n">
        <f aca="false">VLOOKUP($A162,VolatilityTable,22)</f>
        <v>-0.35</v>
      </c>
      <c r="AH162" s="1513" t="n">
        <f aca="false">VLOOKUP($A162,VolatilityTable,23)</f>
        <v>0.65</v>
      </c>
      <c r="AI162" s="1514" t="n">
        <f aca="false">VLOOKUP($A162,VolatilityTable,24)</f>
        <v>0.2</v>
      </c>
      <c r="AJ162" s="1513" t="n">
        <f aca="false">VLOOKUP($A162,VolatilityTable,22)</f>
        <v>-0.35</v>
      </c>
      <c r="AK162" s="1513" t="n">
        <f aca="false">VLOOKUP($A162,VolatilityTable,23)</f>
        <v>0.65</v>
      </c>
      <c r="AL162" s="1514" t="n">
        <f aca="false">VLOOKUP($A162,VolatilityTable,24)</f>
        <v>0.2</v>
      </c>
      <c r="AM162" s="1513" t="n">
        <f aca="false">VLOOKUP($A162,VolatilityTable,26)</f>
        <v>-0.01</v>
      </c>
      <c r="AN162" s="1513" t="n">
        <f aca="false">VLOOKUP($A162,VolatilityTable,27)</f>
        <v>0.16</v>
      </c>
      <c r="AO162" s="1514" t="n">
        <f aca="false">VLOOKUP($A162,VolatilityTable,28)</f>
        <v>0.01</v>
      </c>
      <c r="AP162" s="1513" t="n">
        <f aca="false">VLOOKUP($A162,VolatilityTable,26)</f>
        <v>-0.01</v>
      </c>
      <c r="AQ162" s="1513" t="n">
        <f aca="false">VLOOKUP($A162,VolatilityTable,27)</f>
        <v>0.16</v>
      </c>
      <c r="AR162" s="1515" t="n">
        <f aca="false">VLOOKUP($A162,VolatilityTable,28)</f>
        <v>0.01</v>
      </c>
      <c r="AS162" s="1581" t="n">
        <f aca="false">IF(CorrPeakOffPeakOverFlag,INDEX(CorrPeakOffPeakOver,C162),CorrPeakOffPeak)</f>
        <v>0.5</v>
      </c>
      <c r="AT162" s="594" t="e">
        <f aca="false">AX162-SUM(AU162:AW162)</f>
        <v>#VALUE!</v>
      </c>
      <c r="AU162" s="238" t="e">
        <f aca="false">IF(E162="",0,INT((F162-MOD(F162,7)-E162)/7)+1-IF(AW162,IF(WEEKDAY(D162)=7,1,0),0))</f>
        <v>#VALUE!</v>
      </c>
      <c r="AV162" s="238" t="e">
        <f aca="false">IF(E162="",0,INT((F162-MOD(F162-1,7)-E162)/7)+1-IF(AW162,IF(WEEKDAY(D162)=1,1,0),0))</f>
        <v>#VALUE!</v>
      </c>
      <c r="AW162" s="238" t="e">
        <f aca="false">IF(OR(E162="",D162="",D162&lt;BegDate,D162&gt;EndDate),0,1)</f>
        <v>#VALUE!</v>
      </c>
      <c r="AX162" s="238" t="n">
        <f aca="false">IF(E162="",0,F162-E162+1)</f>
        <v>30</v>
      </c>
      <c r="AY162" s="1582" t="n">
        <f aca="false">IF(E162="",0,MIN((1-(1-VLOOKUP(B162,MAIN!$AA$7:$AM$28,C162+1))*(1-VLOOKUP(B162,MAIN!$AA$33:$AM$54,C162+1))),1))</f>
        <v>0.03</v>
      </c>
      <c r="AZ162" s="1519" t="e">
        <v>#VALUE!</v>
      </c>
      <c r="BA162" s="1520" t="e">
        <v>#VALUE!</v>
      </c>
      <c r="BB162" s="1520" t="e">
        <v>#VALUE!</v>
      </c>
      <c r="BC162" s="1583" t="e">
        <v>#VALUE!</v>
      </c>
      <c r="BD162" s="1522" t="e">
        <v>#VALUE!</v>
      </c>
      <c r="BE162" s="1523" t="e">
        <v>#VALUE!</v>
      </c>
      <c r="BF162" s="1523" t="e">
        <v>#VALUE!</v>
      </c>
      <c r="BG162" s="1584" t="e">
        <v>#VALUE!</v>
      </c>
      <c r="BH162" s="1525" t="e">
        <v>#VALUE!</v>
      </c>
      <c r="BI162" s="1520" t="e">
        <v>#VALUE!</v>
      </c>
      <c r="BJ162" s="1520" t="e">
        <v>#VALUE!</v>
      </c>
      <c r="BK162" s="1583" t="e">
        <v>#VALUE!</v>
      </c>
      <c r="BL162" s="1522" t="e">
        <v>#VALUE!</v>
      </c>
      <c r="BM162" s="1523" t="e">
        <v>#VALUE!</v>
      </c>
      <c r="BN162" s="1523" t="e">
        <v>#VALUE!</v>
      </c>
      <c r="BO162" s="1523" t="e">
        <v>#VALUE!</v>
      </c>
      <c r="BP162" s="1525" t="e">
        <f aca="false">SUM(AZ162:BB162)</f>
        <v>#VALUE!</v>
      </c>
      <c r="BQ162" s="1529" t="e">
        <f aca="false">SUM(AZ162:BC162)</f>
        <v>#VALUE!</v>
      </c>
      <c r="BR162" s="1519" t="e">
        <f aca="false">SUM(BH162:BJ162)</f>
        <v>#VALUE!</v>
      </c>
      <c r="BS162" s="1529" t="e">
        <f aca="false">SUM(BH162:BK162)</f>
        <v>#VALUE!</v>
      </c>
      <c r="BT162" s="1316" t="n">
        <f aca="false">(IF(OVolType&lt;&gt;2,A162+14,IF(OptExpDateShift,ShiftBack(A162,OptExpDateShift,D161),A162))-DateToday)/365.25</f>
        <v>12.1314168377823</v>
      </c>
      <c r="BU162" s="1585" t="e">
        <f aca="false">IF(BQ162,IF(OPriceCurve,IF(OBuySell=OCallPut,I162/(1-AY162),K162/(1-AY162)),J162/(1-AY162))*BD162,0)</f>
        <v>#VALUE!</v>
      </c>
      <c r="BV162" s="1316" t="e">
        <f aca="false">IF(BQ162,IF(OPriceCurve,IF(OBuySell=OCallPut,L162/(1-AY162),N162/(1-AY162)),M162/(1-AY162))*BE162,0)</f>
        <v>#VALUE!</v>
      </c>
      <c r="BW162" s="1316" t="e">
        <f aca="false">IF(BQ162,IF(OPriceCurve,IF(OBuySell=OCallPut,O162/(1-AY162),Q162/(1-AY162)),P162/(1-AY162))*BF162,0)</f>
        <v>#VALUE!</v>
      </c>
      <c r="BX162" s="1316" t="e">
        <f aca="false">IF(BQ162,IF(OPriceCurve,IF(OBuySell=OCallPut,R162/(1-AY162),T162/(1-AY162)),S162/(1-AY162))*BG162,0)</f>
        <v>#VALUE!</v>
      </c>
      <c r="BY162" s="1316" t="e">
        <f aca="false">IF(BP162,(BU162*AZ162+BV162*BA162+BW162*BB162)/BP162,0)</f>
        <v>#VALUE!</v>
      </c>
      <c r="BZ162" s="1316" t="e">
        <f aca="false">IF(BQ162,(BY162*BP162+BX162*BC162)/BQ162,0)</f>
        <v>#VALUE!</v>
      </c>
      <c r="CA162" s="1531" t="e">
        <f aca="false">IF(BS162,IF(OPriceCurve,IF(OBuySell=OCallPut,I162/(1-AY162),K162/(1-AY162)),J162/(1-AY162))*BL162,0)</f>
        <v>#VALUE!</v>
      </c>
      <c r="CB162" s="1316" t="e">
        <f aca="false">IF(BS162,IF(OPriceCurve,IF(OBuySell=OCallPut,L162/(1-AY162),N162/(1-AY162)),M162/(1-AY162))*BM162,0)</f>
        <v>#VALUE!</v>
      </c>
      <c r="CC162" s="1316" t="e">
        <f aca="false">IF(BS162,IF(OPriceCurve,IF(OBuySell=OCallPut,O162/(1-AY162),Q162/(1-AY162)),P162/(1-AY162))*BN162,0)</f>
        <v>#VALUE!</v>
      </c>
      <c r="CD162" s="1316" t="e">
        <f aca="false">IF(BS162,IF(OPriceCurve,IF(OBuySell=OCallPut,R162/(1-AY162),T162/(1-AY162)),S162/(1-AY162))*BO162,0)</f>
        <v>#VALUE!</v>
      </c>
      <c r="CE162" s="1316" t="e">
        <f aca="false">IF(BR162,(BU162*BH162+BV162*BI162+BW162*BJ162)/BR162,0)</f>
        <v>#VALUE!</v>
      </c>
      <c r="CF162" s="1532" t="e">
        <f aca="false">IF(BS162,(CE162*BR162+CD162*BK162)/BS162,0)</f>
        <v>#VALUE!</v>
      </c>
      <c r="CG162" s="1586" t="e">
        <f aca="false">IF(OR(BQ162,BS162),IF(OVolType&lt;&gt;2,SQRT(IF(OVolOverMonthlyPeak,OVolOverMonthlyPeak,IF(OVolCurve,IF(OBuySell,U162,W162),V162))^2*(1-15/365.25/BT162)+IF(OVolOverDailyPeak,OVolOverDailyPeak,IF(OVolCurve,IF(OBuySell,AG162,AI162),AH162))^2*15/365.25/BT162),IF(OVolOverMonthlyPeak,OVolOverMonthlyPeak,IF(OVolCurve,IF(OBuySell,U162,W162),V162))),"")</f>
        <v>#VALUE!</v>
      </c>
      <c r="CH162" s="1587" t="e">
        <f aca="false">IF(OR(BQ162,BS162),IF(OVolType&lt;&gt;2,SQRT(IF(OVolOverMonthlyPeak,OVolOverMonthlyPeak,IF(OVolCurve,IF(OBuySell,X162,Z162),Y162))^2*(1-15/365.25/BT162)+IF(OVolOverDailyPeak,OVolOverDailyPeak,IF(OVolCurve,IF(OBuySell,AJ162,AL162),AK162))^2*15/365.25/BT162),IF(OVolOverMonthlyPeak,OVolOverMonthlyPeak,IF(OVolCurve,IF(OBuySell,X162,Z162),Y162))),"")</f>
        <v>#VALUE!</v>
      </c>
      <c r="CI162" s="1587" t="e">
        <f aca="false">IF(OR(BQ162,BS162),IF(OVolType&lt;&gt;2,SQRT(IF(OVolOverMonthlyPeak,OVolOverMonthlyPeak,IF(OVolCurve,IF(OBuySell,AA162,AC162),AB162))^2*(1-15/365.25/BT162)+IF(OVolOverDailyPeak,OVolOverDailyPeak,IF(OVolCurve,IF(OBuySell,AM162,AO162),AN162))^2*15/365.25/BT162),IF(OVolOverMonthlyPeak,OVolOverMonthlyPeak,IF(OVolCurve,IF(OBuySell,AA162,AC162),AB162))),"")</f>
        <v>#VALUE!</v>
      </c>
      <c r="CJ162" s="1587" t="e">
        <f aca="false">IF(BQ162,IF(BP162,SQRT(LN(1+((BU162*AZ162)^2*(EXP(CG162^2*BT162)-1)+(BV162*BA162)^2*(EXP(CH162^2*BT162)-1)+(BW162*BB162)^2*(EXP(CI162^2*BT162)-1)+2*BU162*AZ162*BV162*BA162*(EXP(CG162*CH162*BT162)-1)+2*BV162*BA162*BW162*BB162*(EXP(CH162*CI162*BT162)-1)+2*BW162*BB162*BU162*AZ162*(EXP(CI162*CG162*BT162)-1))/(BY162*BP162)^2)/BT162),0),"")</f>
        <v>#VALUE!</v>
      </c>
      <c r="CK162" s="1587" t="e">
        <f aca="false">IF(BS162,IF(BR162,SQRT(LN(1+((CA162*BH162)^2*(EXP(CG162^2*BT162)-1)+(CB162*BI162)^2*(EXP(CH162^2*BT162)-1)+(CC162*BJ162)^2*(EXP(CI162^2*BT162)-1)+2*CA162*BH162*CB162*BI162*(EXP(CG162*CH162*BT162)-1)+2*CB162*BI162*CC162*BJ162*(EXP(CH162*CI162*BT162)-1)+2*CC162*BJ162*CA162*BH162*(EXP(CI162*CG162*BT162)-1))/(CE162*BR162)^2)/BT162),0),"")</f>
        <v>#VALUE!</v>
      </c>
      <c r="CL162" s="1587" t="e">
        <f aca="false">IF(OR(BQ162,BS162),IF(OVolType&lt;&gt;2,SQRT(IF(OVolOverMonthlyOffPeak,OVolOverMonthlyOffPeak,IF(OVolCurve,IF(OBuySell,AD162,AF162),AE162))^2*(1-15/365.25/BT162)+IF(OVolOverDailyOffPeak,OVolOverDailyOffPeak,IF(OVolCurve,IF(OBuySell,AP162,AR162),AQ162))^2*15/365.25/BT162),IF(OVolOverMonthlyOffPeak,OVolOverMonthlyOffPeak,IF(OVolCurve,IF(OBuySell,AD162,AF162),AE162))),"")</f>
        <v>#VALUE!</v>
      </c>
      <c r="CM162" s="1587" t="e">
        <f aca="false">IF(BQ162,SQRT(LN(1+((BY162*BP162)^2*(EXP(CJ162^2*BT162)-1)+(BX162*BC162)^2*(EXP(CL162^2*BT162)-1)+2*BY162*BP162*BX162*BC162*(EXP(AS162*CJ162*CL162*BT162)-1))/(BY162*BP162+BX162*BC162)^2)/BT162),"")</f>
        <v>#VALUE!</v>
      </c>
      <c r="CN162" s="1588" t="e">
        <f aca="false">IF(BS162,SQRT(LN(1+((CE162*BR162)^2*(EXP(CK162^2*BT162)-1)+(CD162*BK162)^2*(EXP(CL162^2*BT162)-1)+2*CE162*BR162*CD162*BK162*(EXP(AS162*CK162*CL162*BT162)-1))/(CE162*BR162+CD162*BK162)^2)/BT162),"")</f>
        <v>#VALUE!</v>
      </c>
      <c r="CO162" s="1531" t="e">
        <f aca="false">IF(OR(BQ162,BS162),VLOOKUP(A162,GasTable,13)*HeatRatePeak*(1+VLOOKUP($B162,HeatRateDegradation,$C162+1))/1000,0)</f>
        <v>#VALUE!</v>
      </c>
      <c r="CP162" s="1316" t="e">
        <f aca="false">IF(OR(BQ162,BS162),VLOOKUP(A162,GasTable,13)*HeatRatePeak*(1+VLOOKUP($B162,HeatRateDegradation,$C162+1))/1000,0)</f>
        <v>#VALUE!</v>
      </c>
      <c r="CQ162" s="1316" t="e">
        <f aca="false">IF(OR(BQ162,BS162),VLOOKUP(A162,GasTable,13)*IF(EV162,HeatRatePeak,HeatRateOffPeak)*(1+VLOOKUP($B162,HeatRateDegradation,$C162+1))/1000,0)</f>
        <v>#VALUE!</v>
      </c>
      <c r="CR162" s="1316" t="e">
        <f aca="false">IF(OR(BQ162,BS162),VLOOKUP(A162,GasTable,13)*IF(EW162,HeatRatePeak,HeatRateOffPeak)*(1+VLOOKUP($B162,HeatRateDegradation,$C162+1))/1000,0)</f>
        <v>#VALUE!</v>
      </c>
      <c r="CS162" s="1589" t="e">
        <f aca="false">IF(BQ162,(CO162*AZ162+CP162*BA162+CQ162*BB162+CR162*BC162)/BQ162,0)</f>
        <v>#VALUE!</v>
      </c>
      <c r="CT162" s="1316" t="e">
        <f aca="false">IF(BS162,CO162,0)</f>
        <v>#VALUE!</v>
      </c>
      <c r="CU162" s="1590" t="e">
        <f aca="false">IF(OR(BQ162,BS162),VLOOKUP(A162,GasTable,14),"")</f>
        <v>#VALUE!</v>
      </c>
      <c r="CV162" s="1568" t="e">
        <f aca="false">IF(OR(BQ162,BS162),IF(CorrPowerGasOverFlag,INDEX(CorrPowerGasOver,C162),CorrPowerGas),"")</f>
        <v>#VALUE!</v>
      </c>
      <c r="CW162" s="1316" t="e">
        <f aca="false">IF(OR($BQ162,$BS162),SpreadOptPowerMargin,0)*((1+Assumptions!$C$26)^($B162-YEAR(Assumptions!$C$17)))</f>
        <v>#VALUE!</v>
      </c>
      <c r="CX162" s="1316" t="e">
        <f aca="false">IF(OR($BQ162,$BS162),SpreadOptPowerMargin,0)*((1+Assumptions!$C$26)^($B162-YEAR(Assumptions!$C$17)))</f>
        <v>#VALUE!</v>
      </c>
      <c r="CY162" s="1316" t="e">
        <f aca="false">IF(OR($BQ162,$BS162),SpreadOptPowerMargin,0)*((1+Assumptions!$C$26)^($B162-YEAR(Assumptions!$C$17)))</f>
        <v>#VALUE!</v>
      </c>
      <c r="CZ162" s="1316" t="e">
        <f aca="false">IF(OR($BQ162,$BS162),SpreadOptPowerMargin,0)*((1+Assumptions!$C$26)^($B162-YEAR(Assumptions!$C$17)))</f>
        <v>#VALUE!</v>
      </c>
      <c r="DA162" s="1591" t="e">
        <f aca="false">IF(OR(BQ162,BS162),(CW162*(AZ162+BH162)+CX162*(BA162+BI162)+CY162*(BB162+BJ162)+CZ162*(BC162+BK162))/(BQ162+BS162),0)</f>
        <v>#VALUE!</v>
      </c>
      <c r="DB162" s="1592" t="e">
        <f aca="false">IF(OR(BQ162,BS162),CG162+IF(OVolSmile,VLOOKUP(MAX(-5,CO162+CW162-BU162),IF(OVolSmile=1,VolSmileBook,VolSmileModel),2),0),"")</f>
        <v>#VALUE!</v>
      </c>
      <c r="DC162" s="1592" t="e">
        <f aca="false">IF(OR(BQ162,BS162),CH162+IF(OVolSmile,VLOOKUP(MAX(-5,CP162+CW162-BV162),IF(OVolSmile=1,VolSmileBook,VolSmileModel),2),0),"")</f>
        <v>#VALUE!</v>
      </c>
      <c r="DD162" s="1592" t="e">
        <f aca="false">IF(OR(BQ162,BS162),CI162+IF(OVolSmile,VLOOKUP(MAX(-5,CQ162+CW162-BW162),IF(OVolSmile=1,VolSmileBook,VolSmileModel),2),0),"")</f>
        <v>#VALUE!</v>
      </c>
      <c r="DE162" s="1592" t="e">
        <f aca="false">IF(OR(BQ162,BS162),CL162+IF(OVolSmile,VLOOKUP(MAX(-5,CR162+CZ162-BX162),IF(OVolSmile=1,VolSmileBook,VolSmileModel),2),0),"")</f>
        <v>#VALUE!</v>
      </c>
      <c r="DF162" s="1592" t="e">
        <f aca="false">IF(BQ162,CM162+IF(OVolSmile,VLOOKUP(MAX(-5,CS162+DA162-BZ162),IF(OVolSmile=1,VolSmileBook,VolSmileModel),2),0),"")</f>
        <v>#VALUE!</v>
      </c>
      <c r="DG162" s="1593" t="e">
        <f aca="false">IF(BS162,CN162+IF(OVolSmile,VLOOKUP(MAX(-5,CT162+DA162-CF162),IF(OVolSmile=1,VolSmileBook,VolSmileModel),2),0),"")</f>
        <v>#VALUE!</v>
      </c>
      <c r="DH162" s="1316" t="e">
        <f aca="false">IF(AND(BU162&gt;0,CO162&gt;0,DB162&gt;0,CU162&gt;0),newSPRDOPT(BU162,CO162,CW162,0,DB162,CU162,CV162,BT162*365.25,OCallPut,0),0)</f>
        <v>#VALUE!</v>
      </c>
      <c r="DI162" s="1316" t="e">
        <f aca="false">IF(AND(BV162&gt;0,CP162&gt;0,DC162&gt;0,CU162&gt;0),newSPRDOPT(BV162,CP162,CX162,0,DC162,CU162,CV162,BT162*365.25,OCallPut,0),0)</f>
        <v>#VALUE!</v>
      </c>
      <c r="DJ162" s="1316" t="e">
        <f aca="false">IF(AND(BW162&gt;0,CQ162&gt;0,DD162&gt;0,CU162&gt;0),newSPRDOPT(BW162,CQ162,CY162,0,DD162,CU162,CV162,BT162*365.25,OCallPut,0),0)</f>
        <v>#VALUE!</v>
      </c>
      <c r="DK162" s="1316" t="e">
        <f aca="false">IF(AND(BX162&gt;0,CR162&gt;0,DE162&gt;0,CU162&gt;0),newSPRDOPT(BX162,CR162,CZ162,0,DE162,CU162,CV162,BT162*365.25,OCallPut,0),0)</f>
        <v>#VALUE!</v>
      </c>
      <c r="DL162" s="1316" t="e">
        <f aca="false">IF(OVolType,IF(AND(BZ162&gt;0,CS162&gt;0,DF162&gt;0,CU162&gt;0),newSPRDOPT(BZ162,CS162,DA162,0,DF162,CU162,CV162,BT162*365.25,OCallPut,0),0),IF(BQ162,(DH162*AZ162+DI162*BA162+DJ162*BB162+DK162*BC162)/BQ162,0))</f>
        <v>#VALUE!</v>
      </c>
      <c r="DM162" s="1316"/>
      <c r="DN162" s="1316"/>
      <c r="DO162" s="1316"/>
      <c r="DP162" s="1316"/>
      <c r="DQ162" s="1316"/>
      <c r="DR162" s="1316"/>
      <c r="DS162" s="1316"/>
      <c r="DT162" s="1316"/>
      <c r="DU162" s="1316"/>
      <c r="DV162" s="1316"/>
      <c r="DW162" s="1594" t="e">
        <f aca="false">IF(AND(BW162&gt;0,CT162&gt;0,DD162&gt;0,CU162&gt;0),newSPRDOPT(BW162,CT162,CY162,0,DD162,CU162,CV162,BT162*365.25,OCallPut,0),0)</f>
        <v>#VALUE!</v>
      </c>
      <c r="DX162" s="1316" t="e">
        <f aca="false">IF(AND(BX162&gt;0,CT162&gt;0,DE162&gt;0,CU162&gt;0),newSPRDOPT(BX162,CT162,CZ162,0,DE162,CU162,CV162,BT162*365.25,OCallPut,0),0)</f>
        <v>#VALUE!</v>
      </c>
      <c r="DY162" s="1591" t="e">
        <f aca="false">IF(BS162,(DH162*BH162+DI162*BI162+DW162*BJ162+DX162*BK162)/BS162,0)</f>
        <v>#VALUE!</v>
      </c>
      <c r="DZ162" s="1551" t="e">
        <f aca="false">DH162*AZ162</f>
        <v>#VALUE!</v>
      </c>
      <c r="EA162" s="1551" t="e">
        <f aca="false">DI162*BA162</f>
        <v>#VALUE!</v>
      </c>
      <c r="EB162" s="1551" t="e">
        <f aca="false">DJ162*BB162</f>
        <v>#VALUE!</v>
      </c>
      <c r="EC162" s="1551" t="e">
        <f aca="false">DK162*BC162</f>
        <v>#VALUE!</v>
      </c>
      <c r="ED162" s="1551" t="e">
        <f aca="false">DL162*BQ162</f>
        <v>#VALUE!</v>
      </c>
      <c r="EE162" s="1595" t="e">
        <f aca="false">IF(BQ162,IF(OCallPut,IF(BU162&gt;(CO162+CW162),BU162-(CO162+CW162),0),IF((CO162+CW162)&gt;BU162,(CO162+CW162)-BU162,0))*AZ162,0)</f>
        <v>#VALUE!</v>
      </c>
      <c r="EF162" s="1596" t="e">
        <f aca="false">IF(BQ162,IF(OCallPut,IF(BV162&gt;(CP162+CX162),BV162-(CP162+CX162),0),IF((CP162+CX162)&gt;BV162,(CP162+CX162)-BV162,0))*BA162,0)</f>
        <v>#VALUE!</v>
      </c>
      <c r="EG162" s="1596" t="e">
        <f aca="false">IF(BQ162,IF(OCallPut,IF(BW162&gt;(CQ162+CY162),BW162-(CQ162+CY162),0),IF((CQ162+CY162)&gt;BW162,(CQ162+CY162)-BW162,0))*BB162,0)</f>
        <v>#VALUE!</v>
      </c>
      <c r="EH162" s="1596" t="e">
        <f aca="false">IF(BQ162,IF(OCallPut,IF(BX162&gt;(CR162+CZ162),BX162-(CR162+CZ162),0),IF((CR162+CZ162)&gt;BX162,(CR162+CZ162)-BX162,0))*BC162,0)</f>
        <v>#VALUE!</v>
      </c>
      <c r="EI162" s="1597" t="e">
        <f aca="false">IF(BQ162,IF(OVolType,IF(OCallPut,IF(BZ162&gt;(CS162+DA162),BZ162-(CS162+DA162),0),IF((CS162+DA162)&gt;BZ162,(CS162+DA162)-BZ162,0))*BQ162,SUM(EE162:EH162)),0)</f>
        <v>#VALUE!</v>
      </c>
      <c r="EJ162" s="1595" t="e">
        <f aca="false">DZ162-EE162</f>
        <v>#VALUE!</v>
      </c>
      <c r="EK162" s="1596" t="e">
        <f aca="false">EA162-EF162</f>
        <v>#VALUE!</v>
      </c>
      <c r="EL162" s="1596" t="e">
        <f aca="false">EB162-EG162</f>
        <v>#VALUE!</v>
      </c>
      <c r="EM162" s="1596" t="e">
        <f aca="false">EC162-EH162</f>
        <v>#VALUE!</v>
      </c>
      <c r="EN162" s="1597" t="e">
        <f aca="false">ED162-EI162</f>
        <v>#VALUE!</v>
      </c>
      <c r="EO162" s="1551" t="e">
        <f aca="false">DH162*BH162</f>
        <v>#VALUE!</v>
      </c>
      <c r="EP162" s="1551" t="e">
        <f aca="false">DI162*BI162</f>
        <v>#VALUE!</v>
      </c>
      <c r="EQ162" s="1551" t="e">
        <f aca="false">DW162*BJ162</f>
        <v>#VALUE!</v>
      </c>
      <c r="ER162" s="1551" t="e">
        <f aca="false">DX162*BK162</f>
        <v>#VALUE!</v>
      </c>
      <c r="ES162" s="1551" t="e">
        <f aca="false">DY162*BS162</f>
        <v>#VALUE!</v>
      </c>
      <c r="ET162" s="1566" t="e">
        <f aca="false">IF(EI162,IF(OCallPut,IF(CA162&gt;(CT162+CW162),CA162-(CT162+CW162),0),IF((CT162+CW162)&gt;CA162,(CT162+CW162)-CA162,0))*BH162,0)</f>
        <v>#VALUE!</v>
      </c>
      <c r="EU162" s="1551" t="e">
        <f aca="false">IF(EI162,IF(OCallPut,IF(CB162&gt;(CT162+CX162),CB162-(CT162+CX162),0),IF((CT162+CX162)&gt;CB162,(CT162+CX162)-CB162,0))*BI162,0)</f>
        <v>#VALUE!</v>
      </c>
      <c r="EV162" s="1551" t="e">
        <f aca="false">IF(EI162,IF(OCallPut,IF(CC162&gt;(CT162+CY162),CC162-(CT162+CY162),0),IF((CT162+CY162)&gt;CC162,(CT162+CY162)-CC162,0))*BJ162,0)</f>
        <v>#VALUE!</v>
      </c>
      <c r="EW162" s="1551" t="e">
        <f aca="false">IF(EI162,IF(OCallPut,IF(CD162&gt;(CT162+CZ162),CD162-(CT162+CZ162),0),IF((CT162+CZ162)&gt;CD162,(CT162+CZ162)-CD162,0))*BK162,0)</f>
        <v>#VALUE!</v>
      </c>
      <c r="EX162" s="1558" t="e">
        <f aca="false">IF(EI162,SUM(ET162:EW162),0)</f>
        <v>#VALUE!</v>
      </c>
      <c r="EY162" s="1551" t="e">
        <f aca="false">EO162-ET162</f>
        <v>#VALUE!</v>
      </c>
      <c r="EZ162" s="1551" t="e">
        <f aca="false">EP162-EU162</f>
        <v>#VALUE!</v>
      </c>
      <c r="FA162" s="1551" t="e">
        <f aca="false">EQ162-EV162</f>
        <v>#VALUE!</v>
      </c>
      <c r="FB162" s="1551" t="e">
        <f aca="false">ER162-EW162</f>
        <v>#VALUE!</v>
      </c>
      <c r="FC162" s="1551" t="e">
        <f aca="false">ES162-EX162</f>
        <v>#VALUE!</v>
      </c>
      <c r="FD162" s="1525" t="n">
        <f aca="false">IF(AX162,IF(VLOOKUP(C162,MAIN!$L$17:$M$28,2)="Yes",VLOOKUP(CALC!B162,MAIN!$H$17:$I$20,2),0),0)</f>
        <v>0</v>
      </c>
      <c r="FE162" s="1552" t="e">
        <f aca="false">$FD162*16*AT162*(1-$AY162)</f>
        <v>#VALUE!</v>
      </c>
      <c r="FF162" s="1553" t="e">
        <f aca="false">$FD162*16*AU162*(1-$AY162)</f>
        <v>#VALUE!</v>
      </c>
      <c r="FG162" s="1553" t="e">
        <f aca="false">$FD162*16*(AV162+AW162)*(1-$AY162)</f>
        <v>#VALUE!</v>
      </c>
      <c r="FH162" s="1554" t="n">
        <f aca="false">$FD162*8*AX162*(1-$AY162)</f>
        <v>0</v>
      </c>
      <c r="FI162" s="1555" t="n">
        <f aca="false">IF(AX162,VLOOKUP(CALC!B162,MAIN!$H$17:$K$20,4),0)</f>
        <v>0</v>
      </c>
      <c r="FJ162" s="1553" t="e">
        <f aca="false">SUM(FE162:FH162)</f>
        <v>#VALUE!</v>
      </c>
      <c r="FK162" s="1556" t="e">
        <f aca="false">FI162*FJ162</f>
        <v>#VALUE!</v>
      </c>
      <c r="FL162" s="1551" t="e">
        <f aca="false">IF($EI162&gt;0,MIN(FE162,AZ162*(1+VLOOKUP($C162,WeatherCapacityAdjustment,2))),0)</f>
        <v>#VALUE!</v>
      </c>
      <c r="FM162" s="1551" t="e">
        <f aca="false">IF($EI162&gt;0,MIN(FF162,BA162*(1+VLOOKUP($C162,WeatherCapacityAdjustment,2))),0)</f>
        <v>#VALUE!</v>
      </c>
      <c r="FN162" s="1551" t="e">
        <f aca="false">IF($EI162&gt;0,MIN(FG162,BB162*(1+VLOOKUP($C162,WeatherCapacityAdjustment,2))),0)</f>
        <v>#VALUE!</v>
      </c>
      <c r="FO162" s="1564" t="e">
        <f aca="false">IF($EI162&gt;0,MIN(FH162,BC162*(1+VLOOKUP($C162,WeatherCapacityAdjustment,3))),0)</f>
        <v>#VALUE!</v>
      </c>
      <c r="FP162" s="1551" t="e">
        <f aca="false">IF(ET162&gt;0,MIN(FE162-FL162,BH162*(1+VLOOKUP($C162,WeatherCapacityAdjustment,2))),0)</f>
        <v>#VALUE!</v>
      </c>
      <c r="FQ162" s="1551" t="e">
        <f aca="false">IF(EU162&gt;0,MIN(FF162-FM162,BI162*(1+VLOOKUP($C162,WeatherCapacityAdjustment,2))),0)</f>
        <v>#VALUE!</v>
      </c>
      <c r="FR162" s="1551" t="e">
        <f aca="false">IF(EV162&gt;0,MIN(FG162-FN162,BJ162*(1+VLOOKUP($C162,WeatherCapacityAdjustment,2))),0)</f>
        <v>#VALUE!</v>
      </c>
      <c r="FS162" s="1558" t="e">
        <f aca="false">IF(EW162&gt;0,MIN(FH162-FO162,BK162*(1+VLOOKUP($C162,WeatherCapacityAdjustment,3))),0)</f>
        <v>#VALUE!</v>
      </c>
      <c r="FT162" s="1566" t="e">
        <f aca="false">IF(AND(Assumptions!$H$71="Yes",A162&gt;=Assumptions!$H$72,A162&lt;=Assumptions!$H$73),0,IF(AND($A162&gt;=Assumptions!$C$17,$A162&lt;=Assumptions!$C$18),MAX(AZ162*(1+VLOOKUP($C162,WeatherCapacityAdjustment,2))-FL162,0),0))</f>
        <v>#VALUE!</v>
      </c>
      <c r="FU162" s="1551" t="e">
        <f aca="false">IF(AND(Assumptions!$H$71="Yes",A162&gt;=Assumptions!$H$72,A162&lt;=Assumptions!$H$73),0,IF(AND($A162&gt;=Assumptions!$C$17,$A162&lt;=Assumptions!$C$18),MAX(BA162*(1+VLOOKUP($C162,WeatherCapacityAdjustment,2))-FM162,0),0))</f>
        <v>#VALUE!</v>
      </c>
      <c r="FV162" s="1551" t="e">
        <f aca="false">IF(AND(Assumptions!$H$71="Yes",A162&gt;=Assumptions!$H$72,A162&lt;=Assumptions!$H$73),0,IF(AND($A162&gt;=Assumptions!$C$17,$A162&lt;=Assumptions!$C$18),MAX(BB162*(1+VLOOKUP($C162,WeatherCapacityAdjustment,2))-FN162,0),0))</f>
        <v>#VALUE!</v>
      </c>
      <c r="FW162" s="1564" t="e">
        <f aca="false">IF(AND(Assumptions!$H$71="Yes",A162&gt;=Assumptions!$H$72,A162&lt;=Assumptions!$H$73),0,IF(AND($A162&gt;=Assumptions!$C$17,$A162&lt;=Assumptions!$C$18),MAX(BC162*(1+VLOOKUP($C162,WeatherCapacityAdjustment,3))-FO162,0),0))</f>
        <v>#VALUE!</v>
      </c>
      <c r="FX162" s="1569" t="e">
        <f aca="false">IF(AND(Assumptions!$H$71="Yes",A162&gt;=Assumptions!$H$72,A162&lt;=Assumptions!$H$73),0,IF(ET162&gt;0,MAX(BH162*(1+VLOOKUP($C162,WeatherCapacityAdjustment,2))-FP162,0),0))</f>
        <v>#VALUE!</v>
      </c>
      <c r="FY162" s="1551" t="e">
        <f aca="false">IF(AND(Assumptions!$H$71="Yes",A162&gt;=Assumptions!$H$72,A162&lt;=Assumptions!$H$73),0,IF(EU162&gt;0,MAX(BI162*(1+VLOOKUP($C162,WeatherCapacityAdjustment,3))-FQ162,0),0))</f>
        <v>#VALUE!</v>
      </c>
      <c r="FZ162" s="1551" t="e">
        <f aca="false">IF(AND(Assumptions!$H$71="Yes",A162&gt;=Assumptions!$H$72,A162&lt;=Assumptions!$H$73),0,IF(EV162&gt;0,MAX(BJ162*(1+VLOOKUP($C162,WeatherCapacityAdjustment,2))-FR162,0),0))</f>
        <v>#VALUE!</v>
      </c>
      <c r="GA162" s="1564" t="e">
        <f aca="false">IF(AND(Assumptions!$H$71="Yes",A162&gt;=Assumptions!$H$72,A162&lt;=Assumptions!$H$73),0,IF(EW162&gt;0,MAX(BK162*(1+VLOOKUP($C162,WeatherCapacityAdjustment,2))-FS162,0),0))</f>
        <v>#VALUE!</v>
      </c>
      <c r="GB162" s="1551" t="e">
        <f aca="false">SUM(FT162:GA162)</f>
        <v>#VALUE!</v>
      </c>
      <c r="GC162" s="1563" t="e">
        <f aca="false">+IF(SUM(FT162:GA162)=0,0,(SUMPRODUCT(BU162:BX162,FT162:FW162)+SUMPRODUCT(CA162:CD162,FX162:GA162))/SUM(FT162:GA162))</f>
        <v>#VALUE!</v>
      </c>
      <c r="GD162" s="1551" t="e">
        <f aca="false">(FT162*BU162+FX162*CA162+FU162*BV162+FY162*CB162+FV162*BW162+FZ162*CC162+FW162*BX162+GA162*CD162)</f>
        <v>#VALUE!</v>
      </c>
      <c r="GE162" s="1561" t="e">
        <f aca="false">+IF(BQ162,((FL162+FM162+FT162+FU162)*HeatRatePeak/1000*(1+VLOOKUP($C162,WeatherHeatRateAdjustment,2))+(FN162+FV162)*IF(EV162&gt;0,HeatRatePeak,HeatRateOffPeak)/1000*(1+VLOOKUP($C162,WeatherHeatRateAdjustment,2))+(FO162+FW162)*IF(EW162&gt;0,HeatRatePeak,HeatRateOffPeak)/1000*(1+VLOOKUP($C162,WeatherHeatRateAdjustment,3)))*(1+VLOOKUP($B162,HeatRateDegradation,$C162+1)),0)</f>
        <v>#VALUE!</v>
      </c>
      <c r="GF162" s="1562" t="e">
        <f aca="false">IF(BQ162,((FP162+FQ162+FR162+FX162+FY162+FZ162)*HeatRatePeak/1000*(1+VLOOKUP($C162,WeatherHeatRateAdjustment,2))+(FS162+GA162)*HeatRatePeak/1000*(1+VLOOKUP($C162,WeatherHeatRateAdjustment,3)))*(1+VLOOKUP($B162,HeatRateDegradation,$C162+1)),0)</f>
        <v>#VALUE!</v>
      </c>
      <c r="GG162" s="1563" t="e">
        <f aca="false">IF(BQ162,VLOOKUP(A162,GasTable,13),0)</f>
        <v>#VALUE!</v>
      </c>
      <c r="GH162" s="1564" t="e">
        <f aca="false">(GE162+GF162)*GG162</f>
        <v>#VALUE!</v>
      </c>
      <c r="GI162" s="1569" t="e">
        <f aca="false">GB162</f>
        <v>#VALUE!</v>
      </c>
      <c r="GJ162" s="1598" t="e">
        <f aca="false">+DA162</f>
        <v>#VALUE!</v>
      </c>
      <c r="GK162" s="1558" t="e">
        <f aca="false">+GI162*GJ162</f>
        <v>#VALUE!</v>
      </c>
      <c r="GL162" s="1566" t="e">
        <f aca="false">MAX(FE162-FL162-FP162,0)</f>
        <v>#VALUE!</v>
      </c>
      <c r="GM162" s="1551" t="e">
        <f aca="false">MAX(FF162-FM162-FQ162,0)</f>
        <v>#VALUE!</v>
      </c>
      <c r="GN162" s="1551" t="e">
        <f aca="false">MAX(FG162-FN162-FR162,0)</f>
        <v>#VALUE!</v>
      </c>
      <c r="GO162" s="1564" t="e">
        <f aca="false">MAX(FH162-FO162-FS162,0)</f>
        <v>#VALUE!</v>
      </c>
      <c r="GP162" s="1551" t="e">
        <f aca="false">SUM(GL162:GO162)</f>
        <v>#VALUE!</v>
      </c>
      <c r="GQ162" s="1563" t="e">
        <f aca="false">IF(SUM(GL162:GO162)=0,0,((GL162*BU162+GM162*BV162+GN162*BW162+GO162*BX162)/SUM(GL162:GO162)))</f>
        <v>#VALUE!</v>
      </c>
      <c r="GR162" s="1558" t="e">
        <f aca="false">(GL162*BU162+GM162*BV162+GN162*BW162+GO162*BX162)</f>
        <v>#VALUE!</v>
      </c>
      <c r="GS162" s="1566" t="n">
        <f aca="false">IF($A162&gt;=BegDate,Assumptions!$C$56*24*($A163-$A162)*(1-VLOOKUP($B162,MAIN!$AA$7:$AM$28,$C162+1))*(1-VLOOKUP($B162,MAIN!$AA$33:$AM$54,$C162+1)),0)*80/168</f>
        <v>249428.571428571</v>
      </c>
      <c r="GT162" s="286" t="n">
        <f aca="false">J162</f>
        <v>41.1888155861872</v>
      </c>
      <c r="GU162" s="286" t="n">
        <f aca="false">IF($A162&gt;=BegDate,VLOOKUP($A162,GasTable,13)+Assumptions!$C$58,0)</f>
        <v>2.87512375923833</v>
      </c>
      <c r="GV162" s="286" t="n">
        <f aca="false">GU162*Assumptions!$C$57/1000</f>
        <v>20.8446472544779</v>
      </c>
      <c r="GW162" s="1558" t="n">
        <f aca="false">IF(Assumptions!$C$60="Hourly",MAX(0,GS162*(GT162-GV162)),GS162*(GT162-GV162))</f>
        <v>5074416.84388064</v>
      </c>
      <c r="GX162" s="1566" t="n">
        <f aca="false">IF($A162&gt;=BegDate,Assumptions!$C$56*24*($A163-$A162)*(1-VLOOKUP($B162,MAIN!$AA$7:$AM$28,$C162+1))*(1-VLOOKUP($B162,MAIN!$AA$33:$AM$54,$C162+1)),0)*16/168</f>
        <v>49885.7142857143</v>
      </c>
      <c r="GY162" s="286" t="n">
        <f aca="false">M162</f>
        <v>41.1888155861872</v>
      </c>
      <c r="GZ162" s="286" t="n">
        <f aca="false">IF($A162&gt;=BegDate,VLOOKUP($A162,GasTable,13)+Assumptions!$C$58,0)</f>
        <v>2.87512375923833</v>
      </c>
      <c r="HA162" s="286" t="n">
        <f aca="false">GZ162*Assumptions!$C$57/1000</f>
        <v>20.8446472544779</v>
      </c>
      <c r="HB162" s="1558" t="n">
        <f aca="false">IF(Assumptions!$C$60="Hourly",MAX(0,GX162*(GY162-HA162)),GX162*(GY162-HA162))</f>
        <v>1014883.36877613</v>
      </c>
      <c r="HC162" s="1566" t="n">
        <f aca="false">IF($A162&gt;=BegDate,Assumptions!$C$56*24*($A163-$A162)*(1-VLOOKUP($B162,MAIN!$AA$7:$AM$28,$C162+1))*(1-VLOOKUP($B162,MAIN!$AA$33:$AM$54,$C162+1)),0)*16/168</f>
        <v>49885.7142857143</v>
      </c>
      <c r="HD162" s="286" t="n">
        <f aca="false">P162</f>
        <v>23.7133314263716</v>
      </c>
      <c r="HE162" s="286" t="n">
        <f aca="false">IF($A162&gt;=BegDate,VLOOKUP($A162,GasTable,13)+Assumptions!$C$58,0)</f>
        <v>2.87512375923833</v>
      </c>
      <c r="HF162" s="286" t="n">
        <f aca="false">HE162*Assumptions!$C$57/1000</f>
        <v>20.8446472544779</v>
      </c>
      <c r="HG162" s="1558" t="n">
        <f aca="false">IF(Assumptions!$C$60="Hourly",MAX(0,HC162*(HD162-HF162)),HC162*(HD162-HF162))</f>
        <v>143106.358975037</v>
      </c>
      <c r="HH162" s="1566" t="n">
        <f aca="false">IF($A162&gt;=BegDate,Assumptions!$C$56*24*($A163-$A162)*(1-VLOOKUP($B162,MAIN!$AA$7:$AM$28,$C162+1))*(1-VLOOKUP($B162,MAIN!$AA$33:$AM$54,$C162+1)),0)*56/168</f>
        <v>174600</v>
      </c>
      <c r="HI162" s="286" t="n">
        <f aca="false">S162</f>
        <v>23.7133314263716</v>
      </c>
      <c r="HJ162" s="286" t="n">
        <f aca="false">IF($A162&gt;=BegDate,VLOOKUP($A162,GasTable,13)+Assumptions!$C$58,0)</f>
        <v>2.87512375923833</v>
      </c>
      <c r="HK162" s="286" t="n">
        <f aca="false">HJ162*Assumptions!$C$57/1000</f>
        <v>20.8446472544779</v>
      </c>
      <c r="HL162" s="1558" t="n">
        <f aca="false">IF(Assumptions!$C$60="Hourly",MAX(0,HH162*(HI162-HK162)),HH162*(HI162-HK162))</f>
        <v>500872.256412631</v>
      </c>
      <c r="HM162" s="1566" t="n">
        <f aca="false">IF(AND(Assumptions!$H$71="Yes",A162&gt;=Assumptions!$H$72,A162&lt;=Assumptions!$H$73),Assumptions!$H$74*Assumptions!$C$9*1000,0)</f>
        <v>0</v>
      </c>
      <c r="HN162" s="1551"/>
      <c r="HO162" s="1563"/>
      <c r="HP162" s="1563"/>
      <c r="HQ162" s="1563"/>
      <c r="HR162" s="1563"/>
      <c r="HS162" s="1563"/>
      <c r="HT162" s="1563"/>
      <c r="HU162" s="1563"/>
      <c r="HV162" s="1563"/>
      <c r="HW162" s="1563"/>
      <c r="HX162" s="1563"/>
      <c r="HY162" s="1563"/>
      <c r="HZ162" s="1563"/>
      <c r="IA162" s="1563"/>
      <c r="IB162" s="1563"/>
      <c r="IC162" s="1563"/>
      <c r="ID162" s="1563"/>
      <c r="IE162" s="1563"/>
      <c r="IF162" s="1563"/>
      <c r="IG162" s="1563"/>
      <c r="IH162" s="1563"/>
      <c r="II162" s="1610"/>
      <c r="IJ162" s="1309"/>
      <c r="IK162" s="1309"/>
    </row>
    <row r="163" customFormat="false" ht="12.75" hidden="false" customHeight="false" outlineLevel="0" collapsed="false">
      <c r="A163" s="1571" t="n">
        <f aca="false">EOMONTH(A162,0)+1</f>
        <v>41091</v>
      </c>
      <c r="B163" s="594" t="n">
        <f aca="false">+YEAR(A163)</f>
        <v>2012</v>
      </c>
      <c r="C163" s="238" t="n">
        <f aca="false">MONTH(A163)</f>
        <v>7</v>
      </c>
      <c r="D163" s="1572" t="e">
        <f aca="false">IF(E163="","",Holiday(B163,C163))</f>
        <v>#VALUE!</v>
      </c>
      <c r="E163" s="1573" t="n">
        <f aca="false">IF(OR(BegDate&gt;=A164,EndDate&lt;A163,AND(VolumeMonthlyOverFlag,INDEX(VolumeMonthlyOver,C163)=0),NOT(INDEX(MonthKnockOutTable,C163))),"",MAX(A163,BegDate))</f>
        <v>41091</v>
      </c>
      <c r="F163" s="1574" t="n">
        <f aca="false">IF(E163="","",MIN(A164-1,EndDate))</f>
        <v>41121</v>
      </c>
      <c r="G163" s="1575" t="n">
        <v>0</v>
      </c>
      <c r="H163" s="1576" t="n">
        <f aca="false">(1+G163/2)^(-2*(DATE(B164,C164,20)-DateToday)/365.25)</f>
        <v>1</v>
      </c>
      <c r="I163" s="1568" t="n">
        <f aca="false">IF(Assumptions!$L$25=4,VLOOKUP($A163,'Henwood Reference'!$E$9:$R$320,10),(VLOOKUP($A163,PriceTable,2,0)+IF(BasisNumber&lt;&gt;1,VLOOKUP($A163,BasisTable,2,0),0)+I$1)/(1-I$2))</f>
        <v>64.3149510616764</v>
      </c>
      <c r="J163" s="1568" t="n">
        <f aca="false">IF(Assumptions!$L$25=4,VLOOKUP($A163,'Henwood Reference'!$E$9:$R$320,10),(VLOOKUP($A163,PriceTable,3,0)+IF(BasisNumber&lt;&gt;1,VLOOKUP($A163,BasisTable,2,0),0)+J$1)/(1-J$2))</f>
        <v>64.3149510616764</v>
      </c>
      <c r="K163" s="1568" t="n">
        <f aca="false">IF(Assumptions!$L$25=4,VLOOKUP($A163,'Henwood Reference'!$E$9:$R$320,10),(VLOOKUP($A163,PriceTable,4,0)+IF(BasisNumber&lt;&gt;1,VLOOKUP($A163,BasisTable,2,0),0)+K$1)/(1-K$2))</f>
        <v>64.3149510616764</v>
      </c>
      <c r="L163" s="1523" t="n">
        <f aca="false">IF(Assumptions!$L$25=4,VLOOKUP($A163,'Henwood Reference'!$E$9:$R$320,10),(VLOOKUP($A163,PriceTableWeekend,2,0)+IF(BasisNumber&lt;&gt;1,VLOOKUP($A163,BasisTable,2,0),0)+L$1)/(1-L$2))</f>
        <v>64.3149510616764</v>
      </c>
      <c r="M163" s="1568" t="n">
        <f aca="false">IF(Assumptions!$L$25=4,VLOOKUP($A163,'Henwood Reference'!$E$9:$R$320,10),(VLOOKUP($A163,PriceTableWeekend,3,0)+IF(BasisNumber&lt;&gt;1,VLOOKUP($A163,BasisTable,2,0),0)+M$1)/(1-M$2))</f>
        <v>64.3149510616764</v>
      </c>
      <c r="N163" s="1599" t="n">
        <f aca="false">IF(Assumptions!$L$25=4,VLOOKUP($A163,'Henwood Reference'!$E$9:$R$320,10),(VLOOKUP($A163,PriceTableWeekend,4,0)+IF(BasisNumber&lt;&gt;1,VLOOKUP($A163,BasisTable,2,0),0)+N$1)/(1-N$2))</f>
        <v>64.3149510616764</v>
      </c>
      <c r="O163" s="1568" t="n">
        <f aca="false">IF(Assumptions!$L$25=4,VLOOKUP($A163,'Henwood Reference'!$E$9:$R$320,11),(VLOOKUP($A163,PriceTableWeekend,6,0)+IF(BasisNumber&lt;&gt;1,VLOOKUP($A163,BasisTable,3,0),0)+O$1)/(1-O$2))</f>
        <v>29.9425546487244</v>
      </c>
      <c r="P163" s="1568" t="n">
        <f aca="false">IF(Assumptions!$L$25=4,VLOOKUP($A163,'Henwood Reference'!$E$9:$R$320,11),(VLOOKUP($A163,PriceTableWeekend,7,0)+IF(BasisNumber&lt;&gt;1,VLOOKUP($A163,BasisTable,3,0),0)+P$1)/(1-P$2))</f>
        <v>29.9425546487244</v>
      </c>
      <c r="Q163" s="1599" t="n">
        <f aca="false">IF(Assumptions!$L$25=4,VLOOKUP($A163,'Henwood Reference'!$E$9:$R$320,11),(VLOOKUP($A163,PriceTableWeekend,8,0)+IF(BasisNumber&lt;&gt;1,VLOOKUP($A163,BasisTable,3,0),0)+Q$1)/(1-Q$2))</f>
        <v>29.9425546487244</v>
      </c>
      <c r="R163" s="1568" t="n">
        <f aca="false">IF(Assumptions!$L$25=4,VLOOKUP($A163,'Henwood Reference'!$E$9:$R$320,11),(VLOOKUP($A163,PriceTable,6,0)+IF(BasisNumber&lt;&gt;1,VLOOKUP($A163,BasisTable,3,0),0)+R$1)/(1-R$2))</f>
        <v>29.9425546487244</v>
      </c>
      <c r="S163" s="1568" t="n">
        <f aca="false">IF(Assumptions!$L$25=4,VLOOKUP($A163,'Henwood Reference'!$E$9:$R$320,11),(VLOOKUP($A163,PriceTable,7,0)+IF(BasisNumber&lt;&gt;1,VLOOKUP($A163,BasisTable,3,0),0)+S$1)/(1-S$2))</f>
        <v>29.9425546487244</v>
      </c>
      <c r="T163" s="1600" t="n">
        <f aca="false">IF(Assumptions!$L$25=4,VLOOKUP($A163,'Henwood Reference'!$E$9:$R$320,11),(VLOOKUP($A163,PriceTable,8,0)+IF(BasisNumber&lt;&gt;1,VLOOKUP($A163,BasisTable,3,0),0)+T$1)/(1-T$2))</f>
        <v>29.9425546487244</v>
      </c>
      <c r="U163" s="1513" t="n">
        <f aca="false">VLOOKUP($A163,VolatilityTable,14)</f>
        <v>0.11</v>
      </c>
      <c r="V163" s="1513" t="n">
        <f aca="false">VLOOKUP($A163,VolatilityTable,15)</f>
        <v>0.12</v>
      </c>
      <c r="W163" s="1514" t="n">
        <f aca="false">VLOOKUP($A163,VolatilityTable,16)</f>
        <v>0.13</v>
      </c>
      <c r="X163" s="1513" t="n">
        <f aca="false">VLOOKUP($A163,VolatilityTable,14)</f>
        <v>0.11</v>
      </c>
      <c r="Y163" s="1513" t="n">
        <f aca="false">VLOOKUP($A163,VolatilityTable,15)</f>
        <v>0.12</v>
      </c>
      <c r="Z163" s="1514" t="n">
        <f aca="false">VLOOKUP($A163,VolatilityTable,16)</f>
        <v>0.13</v>
      </c>
      <c r="AA163" s="1513" t="n">
        <f aca="false">VLOOKUP($A163,VolatilityTable,18)</f>
        <v>0.09</v>
      </c>
      <c r="AB163" s="1513" t="n">
        <f aca="false">VLOOKUP($A163,VolatilityTable,19)</f>
        <v>0.11</v>
      </c>
      <c r="AC163" s="1514" t="n">
        <f aca="false">VLOOKUP($A163,VolatilityTable,20)</f>
        <v>0.13</v>
      </c>
      <c r="AD163" s="1513" t="n">
        <f aca="false">VLOOKUP($A163,VolatilityTable,18)</f>
        <v>0.09</v>
      </c>
      <c r="AE163" s="1513" t="n">
        <f aca="false">VLOOKUP($A163,VolatilityTable,19)</f>
        <v>0.11</v>
      </c>
      <c r="AF163" s="1514" t="n">
        <f aca="false">VLOOKUP($A163,VolatilityTable,20)</f>
        <v>0.13</v>
      </c>
      <c r="AG163" s="1513" t="n">
        <f aca="false">VLOOKUP($A163,VolatilityTable,22)</f>
        <v>-0.35</v>
      </c>
      <c r="AH163" s="1513" t="n">
        <f aca="false">VLOOKUP($A163,VolatilityTable,23)</f>
        <v>3</v>
      </c>
      <c r="AI163" s="1514" t="n">
        <f aca="false">VLOOKUP($A163,VolatilityTable,24)</f>
        <v>0.35</v>
      </c>
      <c r="AJ163" s="1513" t="n">
        <f aca="false">VLOOKUP($A163,VolatilityTable,22)</f>
        <v>-0.35</v>
      </c>
      <c r="AK163" s="1513" t="n">
        <f aca="false">VLOOKUP($A163,VolatilityTable,23)</f>
        <v>3</v>
      </c>
      <c r="AL163" s="1514" t="n">
        <f aca="false">VLOOKUP($A163,VolatilityTable,24)</f>
        <v>0.35</v>
      </c>
      <c r="AM163" s="1513" t="n">
        <f aca="false">VLOOKUP($A163,VolatilityTable,26)</f>
        <v>-0.01</v>
      </c>
      <c r="AN163" s="1513" t="n">
        <f aca="false">VLOOKUP($A163,VolatilityTable,27)</f>
        <v>0.16</v>
      </c>
      <c r="AO163" s="1514" t="n">
        <f aca="false">VLOOKUP($A163,VolatilityTable,28)</f>
        <v>0.01</v>
      </c>
      <c r="AP163" s="1513" t="n">
        <f aca="false">VLOOKUP($A163,VolatilityTable,26)</f>
        <v>-0.01</v>
      </c>
      <c r="AQ163" s="1513" t="n">
        <f aca="false">VLOOKUP($A163,VolatilityTable,27)</f>
        <v>0.16</v>
      </c>
      <c r="AR163" s="1515" t="n">
        <f aca="false">VLOOKUP($A163,VolatilityTable,28)</f>
        <v>0.01</v>
      </c>
      <c r="AS163" s="1581" t="n">
        <f aca="false">IF(CorrPeakOffPeakOverFlag,INDEX(CorrPeakOffPeakOver,C163),CorrPeakOffPeak)</f>
        <v>0.5</v>
      </c>
      <c r="AT163" s="594" t="e">
        <f aca="false">AX163-SUM(AU163:AW163)</f>
        <v>#VALUE!</v>
      </c>
      <c r="AU163" s="238" t="e">
        <f aca="false">IF(E163="",0,INT((F163-MOD(F163,7)-E163)/7)+1-IF(AW163,IF(WEEKDAY(D163)=7,1,0),0))</f>
        <v>#VALUE!</v>
      </c>
      <c r="AV163" s="238" t="e">
        <f aca="false">IF(E163="",0,INT((F163-MOD(F163-1,7)-E163)/7)+1-IF(AW163,IF(WEEKDAY(D163)=1,1,0),0))</f>
        <v>#VALUE!</v>
      </c>
      <c r="AW163" s="238" t="e">
        <f aca="false">IF(OR(E163="",D163="",D163&lt;BegDate,D163&gt;EndDate),0,1)</f>
        <v>#VALUE!</v>
      </c>
      <c r="AX163" s="238" t="n">
        <f aca="false">IF(E163="",0,F163-E163+1)</f>
        <v>31</v>
      </c>
      <c r="AY163" s="1582" t="n">
        <f aca="false">IF(E163="",0,MIN((1-(1-VLOOKUP(B163,MAIN!$AA$7:$AM$28,C163+1))*(1-VLOOKUP(B163,MAIN!$AA$33:$AM$54,C163+1))),1))</f>
        <v>0.03</v>
      </c>
      <c r="AZ163" s="1519" t="e">
        <v>#VALUE!</v>
      </c>
      <c r="BA163" s="1520" t="e">
        <v>#VALUE!</v>
      </c>
      <c r="BB163" s="1520" t="e">
        <v>#VALUE!</v>
      </c>
      <c r="BC163" s="1583" t="e">
        <v>#VALUE!</v>
      </c>
      <c r="BD163" s="1522" t="e">
        <v>#VALUE!</v>
      </c>
      <c r="BE163" s="1523" t="e">
        <v>#VALUE!</v>
      </c>
      <c r="BF163" s="1523" t="e">
        <v>#VALUE!</v>
      </c>
      <c r="BG163" s="1584" t="e">
        <v>#VALUE!</v>
      </c>
      <c r="BH163" s="1525" t="e">
        <v>#VALUE!</v>
      </c>
      <c r="BI163" s="1520" t="e">
        <v>#VALUE!</v>
      </c>
      <c r="BJ163" s="1520" t="e">
        <v>#VALUE!</v>
      </c>
      <c r="BK163" s="1583" t="e">
        <v>#VALUE!</v>
      </c>
      <c r="BL163" s="1522" t="e">
        <v>#VALUE!</v>
      </c>
      <c r="BM163" s="1523" t="e">
        <v>#VALUE!</v>
      </c>
      <c r="BN163" s="1523" t="e">
        <v>#VALUE!</v>
      </c>
      <c r="BO163" s="1523" t="e">
        <v>#VALUE!</v>
      </c>
      <c r="BP163" s="1525" t="e">
        <f aca="false">SUM(AZ163:BB163)</f>
        <v>#VALUE!</v>
      </c>
      <c r="BQ163" s="1529" t="e">
        <f aca="false">SUM(AZ163:BC163)</f>
        <v>#VALUE!</v>
      </c>
      <c r="BR163" s="1519" t="e">
        <f aca="false">SUM(BH163:BJ163)</f>
        <v>#VALUE!</v>
      </c>
      <c r="BS163" s="1529" t="e">
        <f aca="false">SUM(BH163:BK163)</f>
        <v>#VALUE!</v>
      </c>
      <c r="BT163" s="1316" t="n">
        <f aca="false">(IF(OVolType&lt;&gt;2,A163+14,IF(OptExpDateShift,ShiftBack(A163,OptExpDateShift,D162),A163))-DateToday)/365.25</f>
        <v>12.2135523613963</v>
      </c>
      <c r="BU163" s="1585" t="e">
        <f aca="false">IF(BQ163,IF(OPriceCurve,IF(OBuySell=OCallPut,I163/(1-AY163),K163/(1-AY163)),J163/(1-AY163))*BD163,0)</f>
        <v>#VALUE!</v>
      </c>
      <c r="BV163" s="1316" t="e">
        <f aca="false">IF(BQ163,IF(OPriceCurve,IF(OBuySell=OCallPut,L163/(1-AY163),N163/(1-AY163)),M163/(1-AY163))*BE163,0)</f>
        <v>#VALUE!</v>
      </c>
      <c r="BW163" s="1316" t="e">
        <f aca="false">IF(BQ163,IF(OPriceCurve,IF(OBuySell=OCallPut,O163/(1-AY163),Q163/(1-AY163)),P163/(1-AY163))*BF163,0)</f>
        <v>#VALUE!</v>
      </c>
      <c r="BX163" s="1316" t="e">
        <f aca="false">IF(BQ163,IF(OPriceCurve,IF(OBuySell=OCallPut,R163/(1-AY163),T163/(1-AY163)),S163/(1-AY163))*BG163,0)</f>
        <v>#VALUE!</v>
      </c>
      <c r="BY163" s="1316" t="e">
        <f aca="false">IF(BP163,(BU163*AZ163+BV163*BA163+BW163*BB163)/BP163,0)</f>
        <v>#VALUE!</v>
      </c>
      <c r="BZ163" s="1316" t="e">
        <f aca="false">IF(BQ163,(BY163*BP163+BX163*BC163)/BQ163,0)</f>
        <v>#VALUE!</v>
      </c>
      <c r="CA163" s="1531" t="e">
        <f aca="false">IF(BS163,IF(OPriceCurve,IF(OBuySell=OCallPut,I163/(1-AY163),K163/(1-AY163)),J163/(1-AY163))*BL163,0)</f>
        <v>#VALUE!</v>
      </c>
      <c r="CB163" s="1316" t="e">
        <f aca="false">IF(BS163,IF(OPriceCurve,IF(OBuySell=OCallPut,L163/(1-AY163),N163/(1-AY163)),M163/(1-AY163))*BM163,0)</f>
        <v>#VALUE!</v>
      </c>
      <c r="CC163" s="1316" t="e">
        <f aca="false">IF(BS163,IF(OPriceCurve,IF(OBuySell=OCallPut,O163/(1-AY163),Q163/(1-AY163)),P163/(1-AY163))*BN163,0)</f>
        <v>#VALUE!</v>
      </c>
      <c r="CD163" s="1316" t="e">
        <f aca="false">IF(BS163,IF(OPriceCurve,IF(OBuySell=OCallPut,R163/(1-AY163),T163/(1-AY163)),S163/(1-AY163))*BO163,0)</f>
        <v>#VALUE!</v>
      </c>
      <c r="CE163" s="1316" t="e">
        <f aca="false">IF(BR163,(BU163*BH163+BV163*BI163+BW163*BJ163)/BR163,0)</f>
        <v>#VALUE!</v>
      </c>
      <c r="CF163" s="1532" t="e">
        <f aca="false">IF(BS163,(CE163*BR163+CD163*BK163)/BS163,0)</f>
        <v>#VALUE!</v>
      </c>
      <c r="CG163" s="1586" t="e">
        <f aca="false">IF(OR(BQ163,BS163),IF(OVolType&lt;&gt;2,SQRT(IF(OVolOverMonthlyPeak,OVolOverMonthlyPeak,IF(OVolCurve,IF(OBuySell,U163,W163),V163))^2*(1-15/365.25/BT163)+IF(OVolOverDailyPeak,OVolOverDailyPeak,IF(OVolCurve,IF(OBuySell,AG163,AI163),AH163))^2*15/365.25/BT163),IF(OVolOverMonthlyPeak,OVolOverMonthlyPeak,IF(OVolCurve,IF(OBuySell,U163,W163),V163))),"")</f>
        <v>#VALUE!</v>
      </c>
      <c r="CH163" s="1587" t="e">
        <f aca="false">IF(OR(BQ163,BS163),IF(OVolType&lt;&gt;2,SQRT(IF(OVolOverMonthlyPeak,OVolOverMonthlyPeak,IF(OVolCurve,IF(OBuySell,X163,Z163),Y163))^2*(1-15/365.25/BT163)+IF(OVolOverDailyPeak,OVolOverDailyPeak,IF(OVolCurve,IF(OBuySell,AJ163,AL163),AK163))^2*15/365.25/BT163),IF(OVolOverMonthlyPeak,OVolOverMonthlyPeak,IF(OVolCurve,IF(OBuySell,X163,Z163),Y163))),"")</f>
        <v>#VALUE!</v>
      </c>
      <c r="CI163" s="1587" t="e">
        <f aca="false">IF(OR(BQ163,BS163),IF(OVolType&lt;&gt;2,SQRT(IF(OVolOverMonthlyPeak,OVolOverMonthlyPeak,IF(OVolCurve,IF(OBuySell,AA163,AC163),AB163))^2*(1-15/365.25/BT163)+IF(OVolOverDailyPeak,OVolOverDailyPeak,IF(OVolCurve,IF(OBuySell,AM163,AO163),AN163))^2*15/365.25/BT163),IF(OVolOverMonthlyPeak,OVolOverMonthlyPeak,IF(OVolCurve,IF(OBuySell,AA163,AC163),AB163))),"")</f>
        <v>#VALUE!</v>
      </c>
      <c r="CJ163" s="1587" t="e">
        <f aca="false">IF(BQ163,IF(BP163,SQRT(LN(1+((BU163*AZ163)^2*(EXP(CG163^2*BT163)-1)+(BV163*BA163)^2*(EXP(CH163^2*BT163)-1)+(BW163*BB163)^2*(EXP(CI163^2*BT163)-1)+2*BU163*AZ163*BV163*BA163*(EXP(CG163*CH163*BT163)-1)+2*BV163*BA163*BW163*BB163*(EXP(CH163*CI163*BT163)-1)+2*BW163*BB163*BU163*AZ163*(EXP(CI163*CG163*BT163)-1))/(BY163*BP163)^2)/BT163),0),"")</f>
        <v>#VALUE!</v>
      </c>
      <c r="CK163" s="1587" t="e">
        <f aca="false">IF(BS163,IF(BR163,SQRT(LN(1+((CA163*BH163)^2*(EXP(CG163^2*BT163)-1)+(CB163*BI163)^2*(EXP(CH163^2*BT163)-1)+(CC163*BJ163)^2*(EXP(CI163^2*BT163)-1)+2*CA163*BH163*CB163*BI163*(EXP(CG163*CH163*BT163)-1)+2*CB163*BI163*CC163*BJ163*(EXP(CH163*CI163*BT163)-1)+2*CC163*BJ163*CA163*BH163*(EXP(CI163*CG163*BT163)-1))/(CE163*BR163)^2)/BT163),0),"")</f>
        <v>#VALUE!</v>
      </c>
      <c r="CL163" s="1587" t="e">
        <f aca="false">IF(OR(BQ163,BS163),IF(OVolType&lt;&gt;2,SQRT(IF(OVolOverMonthlyOffPeak,OVolOverMonthlyOffPeak,IF(OVolCurve,IF(OBuySell,AD163,AF163),AE163))^2*(1-15/365.25/BT163)+IF(OVolOverDailyOffPeak,OVolOverDailyOffPeak,IF(OVolCurve,IF(OBuySell,AP163,AR163),AQ163))^2*15/365.25/BT163),IF(OVolOverMonthlyOffPeak,OVolOverMonthlyOffPeak,IF(OVolCurve,IF(OBuySell,AD163,AF163),AE163))),"")</f>
        <v>#VALUE!</v>
      </c>
      <c r="CM163" s="1587" t="e">
        <f aca="false">IF(BQ163,SQRT(LN(1+((BY163*BP163)^2*(EXP(CJ163^2*BT163)-1)+(BX163*BC163)^2*(EXP(CL163^2*BT163)-1)+2*BY163*BP163*BX163*BC163*(EXP(AS163*CJ163*CL163*BT163)-1))/(BY163*BP163+BX163*BC163)^2)/BT163),"")</f>
        <v>#VALUE!</v>
      </c>
      <c r="CN163" s="1588" t="e">
        <f aca="false">IF(BS163,SQRT(LN(1+((CE163*BR163)^2*(EXP(CK163^2*BT163)-1)+(CD163*BK163)^2*(EXP(CL163^2*BT163)-1)+2*CE163*BR163*CD163*BK163*(EXP(AS163*CK163*CL163*BT163)-1))/(CE163*BR163+CD163*BK163)^2)/BT163),"")</f>
        <v>#VALUE!</v>
      </c>
      <c r="CO163" s="1531" t="e">
        <f aca="false">IF(OR(BQ163,BS163),VLOOKUP(A163,GasTable,13)*HeatRatePeak*(1+VLOOKUP($B163,HeatRateDegradation,$C163+1))/1000,0)</f>
        <v>#VALUE!</v>
      </c>
      <c r="CP163" s="1316" t="e">
        <f aca="false">IF(OR(BQ163,BS163),VLOOKUP(A163,GasTable,13)*HeatRatePeak*(1+VLOOKUP($B163,HeatRateDegradation,$C163+1))/1000,0)</f>
        <v>#VALUE!</v>
      </c>
      <c r="CQ163" s="1316" t="e">
        <f aca="false">IF(OR(BQ163,BS163),VLOOKUP(A163,GasTable,13)*IF(EV163,HeatRatePeak,HeatRateOffPeak)*(1+VLOOKUP($B163,HeatRateDegradation,$C163+1))/1000,0)</f>
        <v>#VALUE!</v>
      </c>
      <c r="CR163" s="1316" t="e">
        <f aca="false">IF(OR(BQ163,BS163),VLOOKUP(A163,GasTable,13)*IF(EW163,HeatRatePeak,HeatRateOffPeak)*(1+VLOOKUP($B163,HeatRateDegradation,$C163+1))/1000,0)</f>
        <v>#VALUE!</v>
      </c>
      <c r="CS163" s="1589" t="e">
        <f aca="false">IF(BQ163,(CO163*AZ163+CP163*BA163+CQ163*BB163+CR163*BC163)/BQ163,0)</f>
        <v>#VALUE!</v>
      </c>
      <c r="CT163" s="1316" t="e">
        <f aca="false">IF(BS163,CO163,0)</f>
        <v>#VALUE!</v>
      </c>
      <c r="CU163" s="1590" t="e">
        <f aca="false">IF(OR(BQ163,BS163),VLOOKUP(A163,GasTable,14),"")</f>
        <v>#VALUE!</v>
      </c>
      <c r="CV163" s="1568" t="e">
        <f aca="false">IF(OR(BQ163,BS163),IF(CorrPowerGasOverFlag,INDEX(CorrPowerGasOver,C163),CorrPowerGas),"")</f>
        <v>#VALUE!</v>
      </c>
      <c r="CW163" s="1316" t="e">
        <f aca="false">IF(OR($BQ163,$BS163),SpreadOptPowerMargin,0)*((1+Assumptions!$C$26)^($B163-YEAR(Assumptions!$C$17)))</f>
        <v>#VALUE!</v>
      </c>
      <c r="CX163" s="1316" t="e">
        <f aca="false">IF(OR($BQ163,$BS163),SpreadOptPowerMargin,0)*((1+Assumptions!$C$26)^($B163-YEAR(Assumptions!$C$17)))</f>
        <v>#VALUE!</v>
      </c>
      <c r="CY163" s="1316" t="e">
        <f aca="false">IF(OR($BQ163,$BS163),SpreadOptPowerMargin,0)*((1+Assumptions!$C$26)^($B163-YEAR(Assumptions!$C$17)))</f>
        <v>#VALUE!</v>
      </c>
      <c r="CZ163" s="1316" t="e">
        <f aca="false">IF(OR($BQ163,$BS163),SpreadOptPowerMargin,0)*((1+Assumptions!$C$26)^($B163-YEAR(Assumptions!$C$17)))</f>
        <v>#VALUE!</v>
      </c>
      <c r="DA163" s="1591" t="e">
        <f aca="false">IF(OR(BQ163,BS163),(CW163*(AZ163+BH163)+CX163*(BA163+BI163)+CY163*(BB163+BJ163)+CZ163*(BC163+BK163))/(BQ163+BS163),0)</f>
        <v>#VALUE!</v>
      </c>
      <c r="DB163" s="1592" t="e">
        <f aca="false">IF(OR(BQ163,BS163),CG163+IF(OVolSmile,VLOOKUP(MAX(-5,CO163+CW163-BU163),IF(OVolSmile=1,VolSmileBook,VolSmileModel),2),0),"")</f>
        <v>#VALUE!</v>
      </c>
      <c r="DC163" s="1592" t="e">
        <f aca="false">IF(OR(BQ163,BS163),CH163+IF(OVolSmile,VLOOKUP(MAX(-5,CP163+CW163-BV163),IF(OVolSmile=1,VolSmileBook,VolSmileModel),2),0),"")</f>
        <v>#VALUE!</v>
      </c>
      <c r="DD163" s="1592" t="e">
        <f aca="false">IF(OR(BQ163,BS163),CI163+IF(OVolSmile,VLOOKUP(MAX(-5,CQ163+CW163-BW163),IF(OVolSmile=1,VolSmileBook,VolSmileModel),2),0),"")</f>
        <v>#VALUE!</v>
      </c>
      <c r="DE163" s="1592" t="e">
        <f aca="false">IF(OR(BQ163,BS163),CL163+IF(OVolSmile,VLOOKUP(MAX(-5,CR163+CZ163-BX163),IF(OVolSmile=1,VolSmileBook,VolSmileModel),2),0),"")</f>
        <v>#VALUE!</v>
      </c>
      <c r="DF163" s="1592" t="e">
        <f aca="false">IF(BQ163,CM163+IF(OVolSmile,VLOOKUP(MAX(-5,CS163+DA163-BZ163),IF(OVolSmile=1,VolSmileBook,VolSmileModel),2),0),"")</f>
        <v>#VALUE!</v>
      </c>
      <c r="DG163" s="1593" t="e">
        <f aca="false">IF(BS163,CN163+IF(OVolSmile,VLOOKUP(MAX(-5,CT163+DA163-CF163),IF(OVolSmile=1,VolSmileBook,VolSmileModel),2),0),"")</f>
        <v>#VALUE!</v>
      </c>
      <c r="DH163" s="1316" t="e">
        <f aca="false">IF(AND(BU163&gt;0,CO163&gt;0,DB163&gt;0,CU163&gt;0),newSPRDOPT(BU163,CO163,CW163,0,DB163,CU163,CV163,BT163*365.25,OCallPut,0),0)</f>
        <v>#VALUE!</v>
      </c>
      <c r="DI163" s="1316" t="e">
        <f aca="false">IF(AND(BV163&gt;0,CP163&gt;0,DC163&gt;0,CU163&gt;0),newSPRDOPT(BV163,CP163,CX163,0,DC163,CU163,CV163,BT163*365.25,OCallPut,0),0)</f>
        <v>#VALUE!</v>
      </c>
      <c r="DJ163" s="1316" t="e">
        <f aca="false">IF(AND(BW163&gt;0,CQ163&gt;0,DD163&gt;0,CU163&gt;0),newSPRDOPT(BW163,CQ163,CY163,0,DD163,CU163,CV163,BT163*365.25,OCallPut,0),0)</f>
        <v>#VALUE!</v>
      </c>
      <c r="DK163" s="1316" t="e">
        <f aca="false">IF(AND(BX163&gt;0,CR163&gt;0,DE163&gt;0,CU163&gt;0),newSPRDOPT(BX163,CR163,CZ163,0,DE163,CU163,CV163,BT163*365.25,OCallPut,0),0)</f>
        <v>#VALUE!</v>
      </c>
      <c r="DL163" s="1316" t="e">
        <f aca="false">IF(OVolType,IF(AND(BZ163&gt;0,CS163&gt;0,DF163&gt;0,CU163&gt;0),newSPRDOPT(BZ163,CS163,DA163,0,DF163,CU163,CV163,BT163*365.25,OCallPut,0),0),IF(BQ163,(DH163*AZ163+DI163*BA163+DJ163*BB163+DK163*BC163)/BQ163,0))</f>
        <v>#VALUE!</v>
      </c>
      <c r="DM163" s="1316"/>
      <c r="DN163" s="1316"/>
      <c r="DO163" s="1316"/>
      <c r="DP163" s="1316"/>
      <c r="DQ163" s="1316"/>
      <c r="DR163" s="1316"/>
      <c r="DS163" s="1316"/>
      <c r="DT163" s="1316"/>
      <c r="DU163" s="1316"/>
      <c r="DV163" s="1316"/>
      <c r="DW163" s="1594" t="e">
        <f aca="false">IF(AND(BW163&gt;0,CT163&gt;0,DD163&gt;0,CU163&gt;0),newSPRDOPT(BW163,CT163,CY163,0,DD163,CU163,CV163,BT163*365.25,OCallPut,0),0)</f>
        <v>#VALUE!</v>
      </c>
      <c r="DX163" s="1316" t="e">
        <f aca="false">IF(AND(BX163&gt;0,CT163&gt;0,DE163&gt;0,CU163&gt;0),newSPRDOPT(BX163,CT163,CZ163,0,DE163,CU163,CV163,BT163*365.25,OCallPut,0),0)</f>
        <v>#VALUE!</v>
      </c>
      <c r="DY163" s="1591" t="e">
        <f aca="false">IF(BS163,(DH163*BH163+DI163*BI163+DW163*BJ163+DX163*BK163)/BS163,0)</f>
        <v>#VALUE!</v>
      </c>
      <c r="DZ163" s="1551" t="e">
        <f aca="false">DH163*AZ163</f>
        <v>#VALUE!</v>
      </c>
      <c r="EA163" s="1551" t="e">
        <f aca="false">DI163*BA163</f>
        <v>#VALUE!</v>
      </c>
      <c r="EB163" s="1551" t="e">
        <f aca="false">DJ163*BB163</f>
        <v>#VALUE!</v>
      </c>
      <c r="EC163" s="1551" t="e">
        <f aca="false">DK163*BC163</f>
        <v>#VALUE!</v>
      </c>
      <c r="ED163" s="1551" t="e">
        <f aca="false">DL163*BQ163</f>
        <v>#VALUE!</v>
      </c>
      <c r="EE163" s="1595" t="e">
        <f aca="false">IF(BQ163,IF(OCallPut,IF(BU163&gt;(CO163+CW163),BU163-(CO163+CW163),0),IF((CO163+CW163)&gt;BU163,(CO163+CW163)-BU163,0))*AZ163,0)</f>
        <v>#VALUE!</v>
      </c>
      <c r="EF163" s="1596" t="e">
        <f aca="false">IF(BQ163,IF(OCallPut,IF(BV163&gt;(CP163+CX163),BV163-(CP163+CX163),0),IF((CP163+CX163)&gt;BV163,(CP163+CX163)-BV163,0))*BA163,0)</f>
        <v>#VALUE!</v>
      </c>
      <c r="EG163" s="1596" t="e">
        <f aca="false">IF(BQ163,IF(OCallPut,IF(BW163&gt;(CQ163+CY163),BW163-(CQ163+CY163),0),IF((CQ163+CY163)&gt;BW163,(CQ163+CY163)-BW163,0))*BB163,0)</f>
        <v>#VALUE!</v>
      </c>
      <c r="EH163" s="1596" t="e">
        <f aca="false">IF(BQ163,IF(OCallPut,IF(BX163&gt;(CR163+CZ163),BX163-(CR163+CZ163),0),IF((CR163+CZ163)&gt;BX163,(CR163+CZ163)-BX163,0))*BC163,0)</f>
        <v>#VALUE!</v>
      </c>
      <c r="EI163" s="1597" t="e">
        <f aca="false">IF(BQ163,IF(OVolType,IF(OCallPut,IF(BZ163&gt;(CS163+DA163),BZ163-(CS163+DA163),0),IF((CS163+DA163)&gt;BZ163,(CS163+DA163)-BZ163,0))*BQ163,SUM(EE163:EH163)),0)</f>
        <v>#VALUE!</v>
      </c>
      <c r="EJ163" s="1595" t="e">
        <f aca="false">DZ163-EE163</f>
        <v>#VALUE!</v>
      </c>
      <c r="EK163" s="1596" t="e">
        <f aca="false">EA163-EF163</f>
        <v>#VALUE!</v>
      </c>
      <c r="EL163" s="1596" t="e">
        <f aca="false">EB163-EG163</f>
        <v>#VALUE!</v>
      </c>
      <c r="EM163" s="1596" t="e">
        <f aca="false">EC163-EH163</f>
        <v>#VALUE!</v>
      </c>
      <c r="EN163" s="1597" t="e">
        <f aca="false">ED163-EI163</f>
        <v>#VALUE!</v>
      </c>
      <c r="EO163" s="1551" t="e">
        <f aca="false">DH163*BH163</f>
        <v>#VALUE!</v>
      </c>
      <c r="EP163" s="1551" t="e">
        <f aca="false">DI163*BI163</f>
        <v>#VALUE!</v>
      </c>
      <c r="EQ163" s="1551" t="e">
        <f aca="false">DW163*BJ163</f>
        <v>#VALUE!</v>
      </c>
      <c r="ER163" s="1551" t="e">
        <f aca="false">DX163*BK163</f>
        <v>#VALUE!</v>
      </c>
      <c r="ES163" s="1551" t="e">
        <f aca="false">DY163*BS163</f>
        <v>#VALUE!</v>
      </c>
      <c r="ET163" s="1566" t="e">
        <f aca="false">IF(EI163,IF(OCallPut,IF(CA163&gt;(CT163+CW163),CA163-(CT163+CW163),0),IF((CT163+CW163)&gt;CA163,(CT163+CW163)-CA163,0))*BH163,0)</f>
        <v>#VALUE!</v>
      </c>
      <c r="EU163" s="1551" t="e">
        <f aca="false">IF(EI163,IF(OCallPut,IF(CB163&gt;(CT163+CX163),CB163-(CT163+CX163),0),IF((CT163+CX163)&gt;CB163,(CT163+CX163)-CB163,0))*BI163,0)</f>
        <v>#VALUE!</v>
      </c>
      <c r="EV163" s="1551" t="e">
        <f aca="false">IF(EI163,IF(OCallPut,IF(CC163&gt;(CT163+CY163),CC163-(CT163+CY163),0),IF((CT163+CY163)&gt;CC163,(CT163+CY163)-CC163,0))*BJ163,0)</f>
        <v>#VALUE!</v>
      </c>
      <c r="EW163" s="1551" t="e">
        <f aca="false">IF(EI163,IF(OCallPut,IF(CD163&gt;(CT163+CZ163),CD163-(CT163+CZ163),0),IF((CT163+CZ163)&gt;CD163,(CT163+CZ163)-CD163,0))*BK163,0)</f>
        <v>#VALUE!</v>
      </c>
      <c r="EX163" s="1558" t="e">
        <f aca="false">IF(EI163,SUM(ET163:EW163),0)</f>
        <v>#VALUE!</v>
      </c>
      <c r="EY163" s="1551" t="e">
        <f aca="false">EO163-ET163</f>
        <v>#VALUE!</v>
      </c>
      <c r="EZ163" s="1551" t="e">
        <f aca="false">EP163-EU163</f>
        <v>#VALUE!</v>
      </c>
      <c r="FA163" s="1551" t="e">
        <f aca="false">EQ163-EV163</f>
        <v>#VALUE!</v>
      </c>
      <c r="FB163" s="1551" t="e">
        <f aca="false">ER163-EW163</f>
        <v>#VALUE!</v>
      </c>
      <c r="FC163" s="1551" t="e">
        <f aca="false">ES163-EX163</f>
        <v>#VALUE!</v>
      </c>
      <c r="FD163" s="1525" t="n">
        <f aca="false">IF(AX163,IF(VLOOKUP(C163,MAIN!$L$17:$M$28,2)="Yes",VLOOKUP(CALC!B163,MAIN!$H$17:$I$20,2),0),0)</f>
        <v>0</v>
      </c>
      <c r="FE163" s="1552" t="e">
        <f aca="false">$FD163*16*AT163*(1-$AY163)</f>
        <v>#VALUE!</v>
      </c>
      <c r="FF163" s="1553" t="e">
        <f aca="false">$FD163*16*AU163*(1-$AY163)</f>
        <v>#VALUE!</v>
      </c>
      <c r="FG163" s="1553" t="e">
        <f aca="false">$FD163*16*(AV163+AW163)*(1-$AY163)</f>
        <v>#VALUE!</v>
      </c>
      <c r="FH163" s="1554" t="n">
        <f aca="false">$FD163*8*AX163*(1-$AY163)</f>
        <v>0</v>
      </c>
      <c r="FI163" s="1555" t="n">
        <f aca="false">IF(AX163,VLOOKUP(CALC!B163,MAIN!$H$17:$K$20,4),0)</f>
        <v>0</v>
      </c>
      <c r="FJ163" s="1553" t="e">
        <f aca="false">SUM(FE163:FH163)</f>
        <v>#VALUE!</v>
      </c>
      <c r="FK163" s="1556" t="e">
        <f aca="false">FI163*FJ163</f>
        <v>#VALUE!</v>
      </c>
      <c r="FL163" s="1551" t="e">
        <f aca="false">IF($EI163&gt;0,MIN(FE163,AZ163*(1+VLOOKUP($C163,WeatherCapacityAdjustment,2))),0)</f>
        <v>#VALUE!</v>
      </c>
      <c r="FM163" s="1551" t="e">
        <f aca="false">IF($EI163&gt;0,MIN(FF163,BA163*(1+VLOOKUP($C163,WeatherCapacityAdjustment,2))),0)</f>
        <v>#VALUE!</v>
      </c>
      <c r="FN163" s="1551" t="e">
        <f aca="false">IF($EI163&gt;0,MIN(FG163,BB163*(1+VLOOKUP($C163,WeatherCapacityAdjustment,2))),0)</f>
        <v>#VALUE!</v>
      </c>
      <c r="FO163" s="1564" t="e">
        <f aca="false">IF($EI163&gt;0,MIN(FH163,BC163*(1+VLOOKUP($C163,WeatherCapacityAdjustment,3))),0)</f>
        <v>#VALUE!</v>
      </c>
      <c r="FP163" s="1551" t="e">
        <f aca="false">IF(ET163&gt;0,MIN(FE163-FL163,BH163*(1+VLOOKUP($C163,WeatherCapacityAdjustment,2))),0)</f>
        <v>#VALUE!</v>
      </c>
      <c r="FQ163" s="1551" t="e">
        <f aca="false">IF(EU163&gt;0,MIN(FF163-FM163,BI163*(1+VLOOKUP($C163,WeatherCapacityAdjustment,2))),0)</f>
        <v>#VALUE!</v>
      </c>
      <c r="FR163" s="1551" t="e">
        <f aca="false">IF(EV163&gt;0,MIN(FG163-FN163,BJ163*(1+VLOOKUP($C163,WeatherCapacityAdjustment,2))),0)</f>
        <v>#VALUE!</v>
      </c>
      <c r="FS163" s="1558" t="e">
        <f aca="false">IF(EW163&gt;0,MIN(FH163-FO163,BK163*(1+VLOOKUP($C163,WeatherCapacityAdjustment,3))),0)</f>
        <v>#VALUE!</v>
      </c>
      <c r="FT163" s="1566" t="e">
        <f aca="false">IF(AND(Assumptions!$H$71="Yes",A163&gt;=Assumptions!$H$72,A163&lt;=Assumptions!$H$73),0,IF(AND($A163&gt;=Assumptions!$C$17,$A163&lt;=Assumptions!$C$18),MAX(AZ163*(1+VLOOKUP($C163,WeatherCapacityAdjustment,2))-FL163,0),0))</f>
        <v>#VALUE!</v>
      </c>
      <c r="FU163" s="1551" t="e">
        <f aca="false">IF(AND(Assumptions!$H$71="Yes",A163&gt;=Assumptions!$H$72,A163&lt;=Assumptions!$H$73),0,IF(AND($A163&gt;=Assumptions!$C$17,$A163&lt;=Assumptions!$C$18),MAX(BA163*(1+VLOOKUP($C163,WeatherCapacityAdjustment,2))-FM163,0),0))</f>
        <v>#VALUE!</v>
      </c>
      <c r="FV163" s="1551" t="e">
        <f aca="false">IF(AND(Assumptions!$H$71="Yes",A163&gt;=Assumptions!$H$72,A163&lt;=Assumptions!$H$73),0,IF(AND($A163&gt;=Assumptions!$C$17,$A163&lt;=Assumptions!$C$18),MAX(BB163*(1+VLOOKUP($C163,WeatherCapacityAdjustment,2))-FN163,0),0))</f>
        <v>#VALUE!</v>
      </c>
      <c r="FW163" s="1564" t="e">
        <f aca="false">IF(AND(Assumptions!$H$71="Yes",A163&gt;=Assumptions!$H$72,A163&lt;=Assumptions!$H$73),0,IF(AND($A163&gt;=Assumptions!$C$17,$A163&lt;=Assumptions!$C$18),MAX(BC163*(1+VLOOKUP($C163,WeatherCapacityAdjustment,3))-FO163,0),0))</f>
        <v>#VALUE!</v>
      </c>
      <c r="FX163" s="1569" t="e">
        <f aca="false">IF(AND(Assumptions!$H$71="Yes",A163&gt;=Assumptions!$H$72,A163&lt;=Assumptions!$H$73),0,IF(ET163&gt;0,MAX(BH163*(1+VLOOKUP($C163,WeatherCapacityAdjustment,2))-FP163,0),0))</f>
        <v>#VALUE!</v>
      </c>
      <c r="FY163" s="1551" t="e">
        <f aca="false">IF(AND(Assumptions!$H$71="Yes",A163&gt;=Assumptions!$H$72,A163&lt;=Assumptions!$H$73),0,IF(EU163&gt;0,MAX(BI163*(1+VLOOKUP($C163,WeatherCapacityAdjustment,3))-FQ163,0),0))</f>
        <v>#VALUE!</v>
      </c>
      <c r="FZ163" s="1551" t="e">
        <f aca="false">IF(AND(Assumptions!$H$71="Yes",A163&gt;=Assumptions!$H$72,A163&lt;=Assumptions!$H$73),0,IF(EV163&gt;0,MAX(BJ163*(1+VLOOKUP($C163,WeatherCapacityAdjustment,2))-FR163,0),0))</f>
        <v>#VALUE!</v>
      </c>
      <c r="GA163" s="1564" t="e">
        <f aca="false">IF(AND(Assumptions!$H$71="Yes",A163&gt;=Assumptions!$H$72,A163&lt;=Assumptions!$H$73),0,IF(EW163&gt;0,MAX(BK163*(1+VLOOKUP($C163,WeatherCapacityAdjustment,2))-FS163,0),0))</f>
        <v>#VALUE!</v>
      </c>
      <c r="GB163" s="1551" t="e">
        <f aca="false">SUM(FT163:GA163)</f>
        <v>#VALUE!</v>
      </c>
      <c r="GC163" s="1563" t="e">
        <f aca="false">+IF(SUM(FT163:GA163)=0,0,(SUMPRODUCT(BU163:BX163,FT163:FW163)+SUMPRODUCT(CA163:CD163,FX163:GA163))/SUM(FT163:GA163))</f>
        <v>#VALUE!</v>
      </c>
      <c r="GD163" s="1551" t="e">
        <f aca="false">(FT163*BU163+FX163*CA163+FU163*BV163+FY163*CB163+FV163*BW163+FZ163*CC163+FW163*BX163+GA163*CD163)</f>
        <v>#VALUE!</v>
      </c>
      <c r="GE163" s="1561" t="e">
        <f aca="false">+IF(BQ163,((FL163+FM163+FT163+FU163)*HeatRatePeak/1000*(1+VLOOKUP($C163,WeatherHeatRateAdjustment,2))+(FN163+FV163)*IF(EV163&gt;0,HeatRatePeak,HeatRateOffPeak)/1000*(1+VLOOKUP($C163,WeatherHeatRateAdjustment,2))+(FO163+FW163)*IF(EW163&gt;0,HeatRatePeak,HeatRateOffPeak)/1000*(1+VLOOKUP($C163,WeatherHeatRateAdjustment,3)))*(1+VLOOKUP($B163,HeatRateDegradation,$C163+1)),0)</f>
        <v>#VALUE!</v>
      </c>
      <c r="GF163" s="1562" t="e">
        <f aca="false">IF(BQ163,((FP163+FQ163+FR163+FX163+FY163+FZ163)*HeatRatePeak/1000*(1+VLOOKUP($C163,WeatherHeatRateAdjustment,2))+(FS163+GA163)*HeatRatePeak/1000*(1+VLOOKUP($C163,WeatherHeatRateAdjustment,3)))*(1+VLOOKUP($B163,HeatRateDegradation,$C163+1)),0)</f>
        <v>#VALUE!</v>
      </c>
      <c r="GG163" s="1563" t="e">
        <f aca="false">IF(BQ163,VLOOKUP(A163,GasTable,13),0)</f>
        <v>#VALUE!</v>
      </c>
      <c r="GH163" s="1564" t="e">
        <f aca="false">(GE163+GF163)*GG163</f>
        <v>#VALUE!</v>
      </c>
      <c r="GI163" s="1569" t="e">
        <f aca="false">GB163</f>
        <v>#VALUE!</v>
      </c>
      <c r="GJ163" s="1598" t="e">
        <f aca="false">+DA163</f>
        <v>#VALUE!</v>
      </c>
      <c r="GK163" s="1558" t="e">
        <f aca="false">+GI163*GJ163</f>
        <v>#VALUE!</v>
      </c>
      <c r="GL163" s="1566" t="e">
        <f aca="false">MAX(FE163-FL163-FP163,0)</f>
        <v>#VALUE!</v>
      </c>
      <c r="GM163" s="1551" t="e">
        <f aca="false">MAX(FF163-FM163-FQ163,0)</f>
        <v>#VALUE!</v>
      </c>
      <c r="GN163" s="1551" t="e">
        <f aca="false">MAX(FG163-FN163-FR163,0)</f>
        <v>#VALUE!</v>
      </c>
      <c r="GO163" s="1564" t="e">
        <f aca="false">MAX(FH163-FO163-FS163,0)</f>
        <v>#VALUE!</v>
      </c>
      <c r="GP163" s="1551" t="e">
        <f aca="false">SUM(GL163:GO163)</f>
        <v>#VALUE!</v>
      </c>
      <c r="GQ163" s="1563" t="e">
        <f aca="false">IF(SUM(GL163:GO163)=0,0,((GL163*BU163+GM163*BV163+GN163*BW163+GO163*BX163)/SUM(GL163:GO163)))</f>
        <v>#VALUE!</v>
      </c>
      <c r="GR163" s="1558" t="e">
        <f aca="false">(GL163*BU163+GM163*BV163+GN163*BW163+GO163*BX163)</f>
        <v>#VALUE!</v>
      </c>
      <c r="GS163" s="1566" t="n">
        <f aca="false">IF($A163&gt;=BegDate,Assumptions!$C$56*24*($A164-$A163)*(1-VLOOKUP($B163,MAIN!$AA$7:$AM$28,$C163+1))*(1-VLOOKUP($B163,MAIN!$AA$33:$AM$54,$C163+1)),0)*80/168</f>
        <v>257742.857142857</v>
      </c>
      <c r="GT163" s="286" t="n">
        <f aca="false">J163</f>
        <v>64.3149510616764</v>
      </c>
      <c r="GU163" s="286" t="n">
        <f aca="false">IF($A163&gt;=BegDate,VLOOKUP($A163,GasTable,13)+Assumptions!$C$58,0)</f>
        <v>2.94880326853469</v>
      </c>
      <c r="GV163" s="286" t="n">
        <f aca="false">GU163*Assumptions!$C$57/1000</f>
        <v>21.3788236968765</v>
      </c>
      <c r="GW163" s="1558" t="n">
        <f aca="false">IF(Assumptions!$C$60="Hourly",MAX(0,GS163*(GT163-GV163)),GS163*(GT163-GV163))</f>
        <v>11066480.1416531</v>
      </c>
      <c r="GX163" s="1566" t="n">
        <f aca="false">IF($A163&gt;=BegDate,Assumptions!$C$56*24*($A164-$A163)*(1-VLOOKUP($B163,MAIN!$AA$7:$AM$28,$C163+1))*(1-VLOOKUP($B163,MAIN!$AA$33:$AM$54,$C163+1)),0)*16/168</f>
        <v>51548.5714285714</v>
      </c>
      <c r="GY163" s="286" t="n">
        <f aca="false">M163</f>
        <v>64.3149510616764</v>
      </c>
      <c r="GZ163" s="286" t="n">
        <f aca="false">IF($A163&gt;=BegDate,VLOOKUP($A163,GasTable,13)+Assumptions!$C$58,0)</f>
        <v>2.94880326853469</v>
      </c>
      <c r="HA163" s="286" t="n">
        <f aca="false">GZ163*Assumptions!$C$57/1000</f>
        <v>21.3788236968765</v>
      </c>
      <c r="HB163" s="1558" t="n">
        <f aca="false">IF(Assumptions!$C$60="Hourly",MAX(0,GX163*(GY163-HA163)),GX163*(GY163-HA163))</f>
        <v>2213296.02833063</v>
      </c>
      <c r="HC163" s="1566" t="n">
        <f aca="false">IF($A163&gt;=BegDate,Assumptions!$C$56*24*($A164-$A163)*(1-VLOOKUP($B163,MAIN!$AA$7:$AM$28,$C163+1))*(1-VLOOKUP($B163,MAIN!$AA$33:$AM$54,$C163+1)),0)*16/168</f>
        <v>51548.5714285714</v>
      </c>
      <c r="HD163" s="286" t="n">
        <f aca="false">P163</f>
        <v>29.9425546487244</v>
      </c>
      <c r="HE163" s="286" t="n">
        <f aca="false">IF($A163&gt;=BegDate,VLOOKUP($A163,GasTable,13)+Assumptions!$C$58,0)</f>
        <v>2.94880326853469</v>
      </c>
      <c r="HF163" s="286" t="n">
        <f aca="false">HE163*Assumptions!$C$57/1000</f>
        <v>21.3788236968765</v>
      </c>
      <c r="HG163" s="1558" t="n">
        <f aca="false">IF(Assumptions!$C$60="Hourly",MAX(0,HC163*(HD163-HF163)),HC163*(HD163-HF163))</f>
        <v>441448.096666402</v>
      </c>
      <c r="HH163" s="1566" t="n">
        <f aca="false">IF($A163&gt;=BegDate,Assumptions!$C$56*24*($A164-$A163)*(1-VLOOKUP($B163,MAIN!$AA$7:$AM$28,$C163+1))*(1-VLOOKUP($B163,MAIN!$AA$33:$AM$54,$C163+1)),0)*56/168</f>
        <v>180420</v>
      </c>
      <c r="HI163" s="286" t="n">
        <f aca="false">S163</f>
        <v>29.9425546487244</v>
      </c>
      <c r="HJ163" s="286" t="n">
        <f aca="false">IF($A163&gt;=BegDate,VLOOKUP($A163,GasTable,13)+Assumptions!$C$58,0)</f>
        <v>2.94880326853469</v>
      </c>
      <c r="HK163" s="286" t="n">
        <f aca="false">HJ163*Assumptions!$C$57/1000</f>
        <v>21.3788236968765</v>
      </c>
      <c r="HL163" s="1558" t="n">
        <f aca="false">IF(Assumptions!$C$60="Hourly",MAX(0,HH163*(HI163-HK163)),HH163*(HI163-HK163))</f>
        <v>1545068.33833241</v>
      </c>
      <c r="HM163" s="1566" t="n">
        <f aca="false">IF(AND(Assumptions!$H$71="Yes",A163&gt;=Assumptions!$H$72,A163&lt;=Assumptions!$H$73),Assumptions!$H$74*Assumptions!$C$9*1000,0)</f>
        <v>0</v>
      </c>
      <c r="HN163" s="1551"/>
      <c r="HO163" s="1563"/>
      <c r="HP163" s="1563"/>
      <c r="HQ163" s="1563"/>
      <c r="HR163" s="1563"/>
      <c r="HS163" s="1563"/>
      <c r="HT163" s="1563"/>
      <c r="HU163" s="1563"/>
      <c r="HV163" s="1563"/>
      <c r="HW163" s="1563"/>
      <c r="HX163" s="1563"/>
      <c r="HY163" s="1563"/>
      <c r="HZ163" s="1563"/>
      <c r="IA163" s="1563"/>
      <c r="IB163" s="1563"/>
      <c r="IC163" s="1563"/>
      <c r="ID163" s="1563"/>
      <c r="IE163" s="1563"/>
      <c r="IF163" s="1563"/>
      <c r="IG163" s="1563"/>
      <c r="IH163" s="1563"/>
      <c r="II163" s="1610"/>
      <c r="IJ163" s="1309"/>
      <c r="IK163" s="1309"/>
    </row>
    <row r="164" customFormat="false" ht="12.75" hidden="false" customHeight="false" outlineLevel="0" collapsed="false">
      <c r="A164" s="1571" t="n">
        <f aca="false">EOMONTH(A163,0)+1</f>
        <v>41122</v>
      </c>
      <c r="B164" s="594" t="n">
        <f aca="false">+YEAR(A164)</f>
        <v>2012</v>
      </c>
      <c r="C164" s="238" t="n">
        <f aca="false">MONTH(A164)</f>
        <v>8</v>
      </c>
      <c r="D164" s="1572" t="e">
        <f aca="false">IF(E164="","",Holiday(B164,C164))</f>
        <v>#VALUE!</v>
      </c>
      <c r="E164" s="1573" t="n">
        <f aca="false">IF(OR(BegDate&gt;=A165,EndDate&lt;A164,AND(VolumeMonthlyOverFlag,INDEX(VolumeMonthlyOver,C164)=0),NOT(INDEX(MonthKnockOutTable,C164))),"",MAX(A164,BegDate))</f>
        <v>41122</v>
      </c>
      <c r="F164" s="1574" t="n">
        <f aca="false">IF(E164="","",MIN(A165-1,EndDate))</f>
        <v>41152</v>
      </c>
      <c r="G164" s="1575" t="n">
        <v>0</v>
      </c>
      <c r="H164" s="1576" t="n">
        <f aca="false">(1+G164/2)^(-2*(DATE(B165,C165,20)-DateToday)/365.25)</f>
        <v>1</v>
      </c>
      <c r="I164" s="1568" t="n">
        <f aca="false">IF(Assumptions!$L$25=4,VLOOKUP($A164,'Henwood Reference'!$E$9:$R$320,10),(VLOOKUP($A164,PriceTable,2,0)+IF(BasisNumber&lt;&gt;1,VLOOKUP($A164,BasisTable,2,0),0)+I$1)/(1-I$2))</f>
        <v>113.440043325698</v>
      </c>
      <c r="J164" s="1568" t="n">
        <f aca="false">IF(Assumptions!$L$25=4,VLOOKUP($A164,'Henwood Reference'!$E$9:$R$320,10),(VLOOKUP($A164,PriceTable,3,0)+IF(BasisNumber&lt;&gt;1,VLOOKUP($A164,BasisTable,2,0),0)+J$1)/(1-J$2))</f>
        <v>113.440043325698</v>
      </c>
      <c r="K164" s="1568" t="n">
        <f aca="false">IF(Assumptions!$L$25=4,VLOOKUP($A164,'Henwood Reference'!$E$9:$R$320,10),(VLOOKUP($A164,PriceTable,4,0)+IF(BasisNumber&lt;&gt;1,VLOOKUP($A164,BasisTable,2,0),0)+K$1)/(1-K$2))</f>
        <v>113.440043325698</v>
      </c>
      <c r="L164" s="1523" t="n">
        <f aca="false">IF(Assumptions!$L$25=4,VLOOKUP($A164,'Henwood Reference'!$E$9:$R$320,10),(VLOOKUP($A164,PriceTableWeekend,2,0)+IF(BasisNumber&lt;&gt;1,VLOOKUP($A164,BasisTable,2,0),0)+L$1)/(1-L$2))</f>
        <v>113.440043325698</v>
      </c>
      <c r="M164" s="1568" t="n">
        <f aca="false">IF(Assumptions!$L$25=4,VLOOKUP($A164,'Henwood Reference'!$E$9:$R$320,10),(VLOOKUP($A164,PriceTableWeekend,3,0)+IF(BasisNumber&lt;&gt;1,VLOOKUP($A164,BasisTable,2,0),0)+M$1)/(1-M$2))</f>
        <v>113.440043325698</v>
      </c>
      <c r="N164" s="1599" t="n">
        <f aca="false">IF(Assumptions!$L$25=4,VLOOKUP($A164,'Henwood Reference'!$E$9:$R$320,10),(VLOOKUP($A164,PriceTableWeekend,4,0)+IF(BasisNumber&lt;&gt;1,VLOOKUP($A164,BasisTable,2,0),0)+N$1)/(1-N$2))</f>
        <v>113.440043325698</v>
      </c>
      <c r="O164" s="1568" t="n">
        <f aca="false">IF(Assumptions!$L$25=4,VLOOKUP($A164,'Henwood Reference'!$E$9:$R$320,11),(VLOOKUP($A164,PriceTableWeekend,6,0)+IF(BasisNumber&lt;&gt;1,VLOOKUP($A164,BasisTable,3,0),0)+O$1)/(1-O$2))</f>
        <v>35.2668873506569</v>
      </c>
      <c r="P164" s="1568" t="n">
        <f aca="false">IF(Assumptions!$L$25=4,VLOOKUP($A164,'Henwood Reference'!$E$9:$R$320,11),(VLOOKUP($A164,PriceTableWeekend,7,0)+IF(BasisNumber&lt;&gt;1,VLOOKUP($A164,BasisTable,3,0),0)+P$1)/(1-P$2))</f>
        <v>35.2668873506569</v>
      </c>
      <c r="Q164" s="1599" t="n">
        <f aca="false">IF(Assumptions!$L$25=4,VLOOKUP($A164,'Henwood Reference'!$E$9:$R$320,11),(VLOOKUP($A164,PriceTableWeekend,8,0)+IF(BasisNumber&lt;&gt;1,VLOOKUP($A164,BasisTable,3,0),0)+Q$1)/(1-Q$2))</f>
        <v>35.2668873506569</v>
      </c>
      <c r="R164" s="1568" t="n">
        <f aca="false">IF(Assumptions!$L$25=4,VLOOKUP($A164,'Henwood Reference'!$E$9:$R$320,11),(VLOOKUP($A164,PriceTable,6,0)+IF(BasisNumber&lt;&gt;1,VLOOKUP($A164,BasisTable,3,0),0)+R$1)/(1-R$2))</f>
        <v>35.2668873506569</v>
      </c>
      <c r="S164" s="1568" t="n">
        <f aca="false">IF(Assumptions!$L$25=4,VLOOKUP($A164,'Henwood Reference'!$E$9:$R$320,11),(VLOOKUP($A164,PriceTable,7,0)+IF(BasisNumber&lt;&gt;1,VLOOKUP($A164,BasisTable,3,0),0)+S$1)/(1-S$2))</f>
        <v>35.2668873506569</v>
      </c>
      <c r="T164" s="1600" t="n">
        <f aca="false">IF(Assumptions!$L$25=4,VLOOKUP($A164,'Henwood Reference'!$E$9:$R$320,11),(VLOOKUP($A164,PriceTable,8,0)+IF(BasisNumber&lt;&gt;1,VLOOKUP($A164,BasisTable,3,0),0)+T$1)/(1-T$2))</f>
        <v>35.2668873506569</v>
      </c>
      <c r="U164" s="1513" t="n">
        <f aca="false">VLOOKUP($A164,VolatilityTable,14)</f>
        <v>0.11</v>
      </c>
      <c r="V164" s="1513" t="n">
        <f aca="false">VLOOKUP($A164,VolatilityTable,15)</f>
        <v>0.12</v>
      </c>
      <c r="W164" s="1514" t="n">
        <f aca="false">VLOOKUP($A164,VolatilityTable,16)</f>
        <v>0.13</v>
      </c>
      <c r="X164" s="1513" t="n">
        <f aca="false">VLOOKUP($A164,VolatilityTable,14)</f>
        <v>0.11</v>
      </c>
      <c r="Y164" s="1513" t="n">
        <f aca="false">VLOOKUP($A164,VolatilityTable,15)</f>
        <v>0.12</v>
      </c>
      <c r="Z164" s="1514" t="n">
        <f aca="false">VLOOKUP($A164,VolatilityTable,16)</f>
        <v>0.13</v>
      </c>
      <c r="AA164" s="1513" t="n">
        <f aca="false">VLOOKUP($A164,VolatilityTable,18)</f>
        <v>0.09</v>
      </c>
      <c r="AB164" s="1513" t="n">
        <f aca="false">VLOOKUP($A164,VolatilityTable,19)</f>
        <v>0.11</v>
      </c>
      <c r="AC164" s="1514" t="n">
        <f aca="false">VLOOKUP($A164,VolatilityTable,20)</f>
        <v>0.13</v>
      </c>
      <c r="AD164" s="1513" t="n">
        <f aca="false">VLOOKUP($A164,VolatilityTable,18)</f>
        <v>0.09</v>
      </c>
      <c r="AE164" s="1513" t="n">
        <f aca="false">VLOOKUP($A164,VolatilityTable,19)</f>
        <v>0.11</v>
      </c>
      <c r="AF164" s="1514" t="n">
        <f aca="false">VLOOKUP($A164,VolatilityTable,20)</f>
        <v>0.13</v>
      </c>
      <c r="AG164" s="1513" t="n">
        <f aca="false">VLOOKUP($A164,VolatilityTable,22)</f>
        <v>-0.35</v>
      </c>
      <c r="AH164" s="1513" t="n">
        <f aca="false">VLOOKUP($A164,VolatilityTable,23)</f>
        <v>3</v>
      </c>
      <c r="AI164" s="1514" t="n">
        <f aca="false">VLOOKUP($A164,VolatilityTable,24)</f>
        <v>0.35</v>
      </c>
      <c r="AJ164" s="1513" t="n">
        <f aca="false">VLOOKUP($A164,VolatilityTable,22)</f>
        <v>-0.35</v>
      </c>
      <c r="AK164" s="1513" t="n">
        <f aca="false">VLOOKUP($A164,VolatilityTable,23)</f>
        <v>3</v>
      </c>
      <c r="AL164" s="1514" t="n">
        <f aca="false">VLOOKUP($A164,VolatilityTable,24)</f>
        <v>0.35</v>
      </c>
      <c r="AM164" s="1513" t="n">
        <f aca="false">VLOOKUP($A164,VolatilityTable,26)</f>
        <v>-0.01</v>
      </c>
      <c r="AN164" s="1513" t="n">
        <f aca="false">VLOOKUP($A164,VolatilityTable,27)</f>
        <v>0.16</v>
      </c>
      <c r="AO164" s="1514" t="n">
        <f aca="false">VLOOKUP($A164,VolatilityTable,28)</f>
        <v>0.01</v>
      </c>
      <c r="AP164" s="1513" t="n">
        <f aca="false">VLOOKUP($A164,VolatilityTable,26)</f>
        <v>-0.01</v>
      </c>
      <c r="AQ164" s="1513" t="n">
        <f aca="false">VLOOKUP($A164,VolatilityTable,27)</f>
        <v>0.16</v>
      </c>
      <c r="AR164" s="1515" t="n">
        <f aca="false">VLOOKUP($A164,VolatilityTable,28)</f>
        <v>0.01</v>
      </c>
      <c r="AS164" s="1581" t="n">
        <f aca="false">IF(CorrPeakOffPeakOverFlag,INDEX(CorrPeakOffPeakOver,C164),CorrPeakOffPeak)</f>
        <v>0.5</v>
      </c>
      <c r="AT164" s="594" t="e">
        <f aca="false">AX164-SUM(AU164:AW164)</f>
        <v>#VALUE!</v>
      </c>
      <c r="AU164" s="238" t="e">
        <f aca="false">IF(E164="",0,INT((F164-MOD(F164,7)-E164)/7)+1-IF(AW164,IF(WEEKDAY(D164)=7,1,0),0))</f>
        <v>#VALUE!</v>
      </c>
      <c r="AV164" s="238" t="e">
        <f aca="false">IF(E164="",0,INT((F164-MOD(F164-1,7)-E164)/7)+1-IF(AW164,IF(WEEKDAY(D164)=1,1,0),0))</f>
        <v>#VALUE!</v>
      </c>
      <c r="AW164" s="238" t="e">
        <f aca="false">IF(OR(E164="",D164="",D164&lt;BegDate,D164&gt;EndDate),0,1)</f>
        <v>#VALUE!</v>
      </c>
      <c r="AX164" s="238" t="n">
        <f aca="false">IF(E164="",0,F164-E164+1)</f>
        <v>31</v>
      </c>
      <c r="AY164" s="1582" t="n">
        <f aca="false">IF(E164="",0,MIN((1-(1-VLOOKUP(B164,MAIN!$AA$7:$AM$28,C164+1))*(1-VLOOKUP(B164,MAIN!$AA$33:$AM$54,C164+1))),1))</f>
        <v>0.03</v>
      </c>
      <c r="AZ164" s="1519" t="e">
        <v>#VALUE!</v>
      </c>
      <c r="BA164" s="1520" t="e">
        <v>#VALUE!</v>
      </c>
      <c r="BB164" s="1520" t="e">
        <v>#VALUE!</v>
      </c>
      <c r="BC164" s="1583" t="e">
        <v>#VALUE!</v>
      </c>
      <c r="BD164" s="1522" t="e">
        <v>#VALUE!</v>
      </c>
      <c r="BE164" s="1523" t="e">
        <v>#VALUE!</v>
      </c>
      <c r="BF164" s="1523" t="e">
        <v>#VALUE!</v>
      </c>
      <c r="BG164" s="1584" t="e">
        <v>#VALUE!</v>
      </c>
      <c r="BH164" s="1525" t="e">
        <v>#VALUE!</v>
      </c>
      <c r="BI164" s="1520" t="e">
        <v>#VALUE!</v>
      </c>
      <c r="BJ164" s="1520" t="e">
        <v>#VALUE!</v>
      </c>
      <c r="BK164" s="1583" t="e">
        <v>#VALUE!</v>
      </c>
      <c r="BL164" s="1522" t="e">
        <v>#VALUE!</v>
      </c>
      <c r="BM164" s="1523" t="e">
        <v>#VALUE!</v>
      </c>
      <c r="BN164" s="1523" t="e">
        <v>#VALUE!</v>
      </c>
      <c r="BO164" s="1523" t="e">
        <v>#VALUE!</v>
      </c>
      <c r="BP164" s="1525" t="e">
        <f aca="false">SUM(AZ164:BB164)</f>
        <v>#VALUE!</v>
      </c>
      <c r="BQ164" s="1529" t="e">
        <f aca="false">SUM(AZ164:BC164)</f>
        <v>#VALUE!</v>
      </c>
      <c r="BR164" s="1519" t="e">
        <f aca="false">SUM(BH164:BJ164)</f>
        <v>#VALUE!</v>
      </c>
      <c r="BS164" s="1529" t="e">
        <f aca="false">SUM(BH164:BK164)</f>
        <v>#VALUE!</v>
      </c>
      <c r="BT164" s="1316" t="n">
        <f aca="false">(IF(OVolType&lt;&gt;2,A164+14,IF(OptExpDateShift,ShiftBack(A164,OptExpDateShift,D163),A164))-DateToday)/365.25</f>
        <v>12.2984257357974</v>
      </c>
      <c r="BU164" s="1585" t="e">
        <f aca="false">IF(BQ164,IF(OPriceCurve,IF(OBuySell=OCallPut,I164/(1-AY164),K164/(1-AY164)),J164/(1-AY164))*BD164,0)</f>
        <v>#VALUE!</v>
      </c>
      <c r="BV164" s="1316" t="e">
        <f aca="false">IF(BQ164,IF(OPriceCurve,IF(OBuySell=OCallPut,L164/(1-AY164),N164/(1-AY164)),M164/(1-AY164))*BE164,0)</f>
        <v>#VALUE!</v>
      </c>
      <c r="BW164" s="1316" t="e">
        <f aca="false">IF(BQ164,IF(OPriceCurve,IF(OBuySell=OCallPut,O164/(1-AY164),Q164/(1-AY164)),P164/(1-AY164))*BF164,0)</f>
        <v>#VALUE!</v>
      </c>
      <c r="BX164" s="1316" t="e">
        <f aca="false">IF(BQ164,IF(OPriceCurve,IF(OBuySell=OCallPut,R164/(1-AY164),T164/(1-AY164)),S164/(1-AY164))*BG164,0)</f>
        <v>#VALUE!</v>
      </c>
      <c r="BY164" s="1316" t="e">
        <f aca="false">IF(BP164,(BU164*AZ164+BV164*BA164+BW164*BB164)/BP164,0)</f>
        <v>#VALUE!</v>
      </c>
      <c r="BZ164" s="1316" t="e">
        <f aca="false">IF(BQ164,(BY164*BP164+BX164*BC164)/BQ164,0)</f>
        <v>#VALUE!</v>
      </c>
      <c r="CA164" s="1531" t="e">
        <f aca="false">IF(BS164,IF(OPriceCurve,IF(OBuySell=OCallPut,I164/(1-AY164),K164/(1-AY164)),J164/(1-AY164))*BL164,0)</f>
        <v>#VALUE!</v>
      </c>
      <c r="CB164" s="1316" t="e">
        <f aca="false">IF(BS164,IF(OPriceCurve,IF(OBuySell=OCallPut,L164/(1-AY164),N164/(1-AY164)),M164/(1-AY164))*BM164,0)</f>
        <v>#VALUE!</v>
      </c>
      <c r="CC164" s="1316" t="e">
        <f aca="false">IF(BS164,IF(OPriceCurve,IF(OBuySell=OCallPut,O164/(1-AY164),Q164/(1-AY164)),P164/(1-AY164))*BN164,0)</f>
        <v>#VALUE!</v>
      </c>
      <c r="CD164" s="1316" t="e">
        <f aca="false">IF(BS164,IF(OPriceCurve,IF(OBuySell=OCallPut,R164/(1-AY164),T164/(1-AY164)),S164/(1-AY164))*BO164,0)</f>
        <v>#VALUE!</v>
      </c>
      <c r="CE164" s="1316" t="e">
        <f aca="false">IF(BR164,(BU164*BH164+BV164*BI164+BW164*BJ164)/BR164,0)</f>
        <v>#VALUE!</v>
      </c>
      <c r="CF164" s="1532" t="e">
        <f aca="false">IF(BS164,(CE164*BR164+CD164*BK164)/BS164,0)</f>
        <v>#VALUE!</v>
      </c>
      <c r="CG164" s="1586" t="e">
        <f aca="false">IF(OR(BQ164,BS164),IF(OVolType&lt;&gt;2,SQRT(IF(OVolOverMonthlyPeak,OVolOverMonthlyPeak,IF(OVolCurve,IF(OBuySell,U164,W164),V164))^2*(1-15/365.25/BT164)+IF(OVolOverDailyPeak,OVolOverDailyPeak,IF(OVolCurve,IF(OBuySell,AG164,AI164),AH164))^2*15/365.25/BT164),IF(OVolOverMonthlyPeak,OVolOverMonthlyPeak,IF(OVolCurve,IF(OBuySell,U164,W164),V164))),"")</f>
        <v>#VALUE!</v>
      </c>
      <c r="CH164" s="1587" t="e">
        <f aca="false">IF(OR(BQ164,BS164),IF(OVolType&lt;&gt;2,SQRT(IF(OVolOverMonthlyPeak,OVolOverMonthlyPeak,IF(OVolCurve,IF(OBuySell,X164,Z164),Y164))^2*(1-15/365.25/BT164)+IF(OVolOverDailyPeak,OVolOverDailyPeak,IF(OVolCurve,IF(OBuySell,AJ164,AL164),AK164))^2*15/365.25/BT164),IF(OVolOverMonthlyPeak,OVolOverMonthlyPeak,IF(OVolCurve,IF(OBuySell,X164,Z164),Y164))),"")</f>
        <v>#VALUE!</v>
      </c>
      <c r="CI164" s="1587" t="e">
        <f aca="false">IF(OR(BQ164,BS164),IF(OVolType&lt;&gt;2,SQRT(IF(OVolOverMonthlyPeak,OVolOverMonthlyPeak,IF(OVolCurve,IF(OBuySell,AA164,AC164),AB164))^2*(1-15/365.25/BT164)+IF(OVolOverDailyPeak,OVolOverDailyPeak,IF(OVolCurve,IF(OBuySell,AM164,AO164),AN164))^2*15/365.25/BT164),IF(OVolOverMonthlyPeak,OVolOverMonthlyPeak,IF(OVolCurve,IF(OBuySell,AA164,AC164),AB164))),"")</f>
        <v>#VALUE!</v>
      </c>
      <c r="CJ164" s="1587" t="e">
        <f aca="false">IF(BQ164,IF(BP164,SQRT(LN(1+((BU164*AZ164)^2*(EXP(CG164^2*BT164)-1)+(BV164*BA164)^2*(EXP(CH164^2*BT164)-1)+(BW164*BB164)^2*(EXP(CI164^2*BT164)-1)+2*BU164*AZ164*BV164*BA164*(EXP(CG164*CH164*BT164)-1)+2*BV164*BA164*BW164*BB164*(EXP(CH164*CI164*BT164)-1)+2*BW164*BB164*BU164*AZ164*(EXP(CI164*CG164*BT164)-1))/(BY164*BP164)^2)/BT164),0),"")</f>
        <v>#VALUE!</v>
      </c>
      <c r="CK164" s="1587" t="e">
        <f aca="false">IF(BS164,IF(BR164,SQRT(LN(1+((CA164*BH164)^2*(EXP(CG164^2*BT164)-1)+(CB164*BI164)^2*(EXP(CH164^2*BT164)-1)+(CC164*BJ164)^2*(EXP(CI164^2*BT164)-1)+2*CA164*BH164*CB164*BI164*(EXP(CG164*CH164*BT164)-1)+2*CB164*BI164*CC164*BJ164*(EXP(CH164*CI164*BT164)-1)+2*CC164*BJ164*CA164*BH164*(EXP(CI164*CG164*BT164)-1))/(CE164*BR164)^2)/BT164),0),"")</f>
        <v>#VALUE!</v>
      </c>
      <c r="CL164" s="1587" t="e">
        <f aca="false">IF(OR(BQ164,BS164),IF(OVolType&lt;&gt;2,SQRT(IF(OVolOverMonthlyOffPeak,OVolOverMonthlyOffPeak,IF(OVolCurve,IF(OBuySell,AD164,AF164),AE164))^2*(1-15/365.25/BT164)+IF(OVolOverDailyOffPeak,OVolOverDailyOffPeak,IF(OVolCurve,IF(OBuySell,AP164,AR164),AQ164))^2*15/365.25/BT164),IF(OVolOverMonthlyOffPeak,OVolOverMonthlyOffPeak,IF(OVolCurve,IF(OBuySell,AD164,AF164),AE164))),"")</f>
        <v>#VALUE!</v>
      </c>
      <c r="CM164" s="1587" t="e">
        <f aca="false">IF(BQ164,SQRT(LN(1+((BY164*BP164)^2*(EXP(CJ164^2*BT164)-1)+(BX164*BC164)^2*(EXP(CL164^2*BT164)-1)+2*BY164*BP164*BX164*BC164*(EXP(AS164*CJ164*CL164*BT164)-1))/(BY164*BP164+BX164*BC164)^2)/BT164),"")</f>
        <v>#VALUE!</v>
      </c>
      <c r="CN164" s="1588" t="e">
        <f aca="false">IF(BS164,SQRT(LN(1+((CE164*BR164)^2*(EXP(CK164^2*BT164)-1)+(CD164*BK164)^2*(EXP(CL164^2*BT164)-1)+2*CE164*BR164*CD164*BK164*(EXP(AS164*CK164*CL164*BT164)-1))/(CE164*BR164+CD164*BK164)^2)/BT164),"")</f>
        <v>#VALUE!</v>
      </c>
      <c r="CO164" s="1531" t="e">
        <f aca="false">IF(OR(BQ164,BS164),VLOOKUP(A164,GasTable,13)*HeatRatePeak*(1+VLOOKUP($B164,HeatRateDegradation,$C164+1))/1000,0)</f>
        <v>#VALUE!</v>
      </c>
      <c r="CP164" s="1316" t="e">
        <f aca="false">IF(OR(BQ164,BS164),VLOOKUP(A164,GasTable,13)*HeatRatePeak*(1+VLOOKUP($B164,HeatRateDegradation,$C164+1))/1000,0)</f>
        <v>#VALUE!</v>
      </c>
      <c r="CQ164" s="1316" t="e">
        <f aca="false">IF(OR(BQ164,BS164),VLOOKUP(A164,GasTable,13)*IF(EV164,HeatRatePeak,HeatRateOffPeak)*(1+VLOOKUP($B164,HeatRateDegradation,$C164+1))/1000,0)</f>
        <v>#VALUE!</v>
      </c>
      <c r="CR164" s="1316" t="e">
        <f aca="false">IF(OR(BQ164,BS164),VLOOKUP(A164,GasTable,13)*IF(EW164,HeatRatePeak,HeatRateOffPeak)*(1+VLOOKUP($B164,HeatRateDegradation,$C164+1))/1000,0)</f>
        <v>#VALUE!</v>
      </c>
      <c r="CS164" s="1589" t="e">
        <f aca="false">IF(BQ164,(CO164*AZ164+CP164*BA164+CQ164*BB164+CR164*BC164)/BQ164,0)</f>
        <v>#VALUE!</v>
      </c>
      <c r="CT164" s="1316" t="e">
        <f aca="false">IF(BS164,CO164,0)</f>
        <v>#VALUE!</v>
      </c>
      <c r="CU164" s="1590" t="e">
        <f aca="false">IF(OR(BQ164,BS164),VLOOKUP(A164,GasTable,14),"")</f>
        <v>#VALUE!</v>
      </c>
      <c r="CV164" s="1568" t="e">
        <f aca="false">IF(OR(BQ164,BS164),IF(CorrPowerGasOverFlag,INDEX(CorrPowerGasOver,C164),CorrPowerGas),"")</f>
        <v>#VALUE!</v>
      </c>
      <c r="CW164" s="1316" t="e">
        <f aca="false">IF(OR($BQ164,$BS164),SpreadOptPowerMargin,0)*((1+Assumptions!$C$26)^($B164-YEAR(Assumptions!$C$17)))</f>
        <v>#VALUE!</v>
      </c>
      <c r="CX164" s="1316" t="e">
        <f aca="false">IF(OR($BQ164,$BS164),SpreadOptPowerMargin,0)*((1+Assumptions!$C$26)^($B164-YEAR(Assumptions!$C$17)))</f>
        <v>#VALUE!</v>
      </c>
      <c r="CY164" s="1316" t="e">
        <f aca="false">IF(OR($BQ164,$BS164),SpreadOptPowerMargin,0)*((1+Assumptions!$C$26)^($B164-YEAR(Assumptions!$C$17)))</f>
        <v>#VALUE!</v>
      </c>
      <c r="CZ164" s="1316" t="e">
        <f aca="false">IF(OR($BQ164,$BS164),SpreadOptPowerMargin,0)*((1+Assumptions!$C$26)^($B164-YEAR(Assumptions!$C$17)))</f>
        <v>#VALUE!</v>
      </c>
      <c r="DA164" s="1591" t="e">
        <f aca="false">IF(OR(BQ164,BS164),(CW164*(AZ164+BH164)+CX164*(BA164+BI164)+CY164*(BB164+BJ164)+CZ164*(BC164+BK164))/(BQ164+BS164),0)</f>
        <v>#VALUE!</v>
      </c>
      <c r="DB164" s="1592" t="e">
        <f aca="false">IF(OR(BQ164,BS164),CG164+IF(OVolSmile,VLOOKUP(MAX(-5,CO164+CW164-BU164),IF(OVolSmile=1,VolSmileBook,VolSmileModel),2),0),"")</f>
        <v>#VALUE!</v>
      </c>
      <c r="DC164" s="1592" t="e">
        <f aca="false">IF(OR(BQ164,BS164),CH164+IF(OVolSmile,VLOOKUP(MAX(-5,CP164+CW164-BV164),IF(OVolSmile=1,VolSmileBook,VolSmileModel),2),0),"")</f>
        <v>#VALUE!</v>
      </c>
      <c r="DD164" s="1592" t="e">
        <f aca="false">IF(OR(BQ164,BS164),CI164+IF(OVolSmile,VLOOKUP(MAX(-5,CQ164+CW164-BW164),IF(OVolSmile=1,VolSmileBook,VolSmileModel),2),0),"")</f>
        <v>#VALUE!</v>
      </c>
      <c r="DE164" s="1592" t="e">
        <f aca="false">IF(OR(BQ164,BS164),CL164+IF(OVolSmile,VLOOKUP(MAX(-5,CR164+CZ164-BX164),IF(OVolSmile=1,VolSmileBook,VolSmileModel),2),0),"")</f>
        <v>#VALUE!</v>
      </c>
      <c r="DF164" s="1592" t="e">
        <f aca="false">IF(BQ164,CM164+IF(OVolSmile,VLOOKUP(MAX(-5,CS164+DA164-BZ164),IF(OVolSmile=1,VolSmileBook,VolSmileModel),2),0),"")</f>
        <v>#VALUE!</v>
      </c>
      <c r="DG164" s="1593" t="e">
        <f aca="false">IF(BS164,CN164+IF(OVolSmile,VLOOKUP(MAX(-5,CT164+DA164-CF164),IF(OVolSmile=1,VolSmileBook,VolSmileModel),2),0),"")</f>
        <v>#VALUE!</v>
      </c>
      <c r="DH164" s="1316" t="e">
        <f aca="false">IF(AND(BU164&gt;0,CO164&gt;0,DB164&gt;0,CU164&gt;0),newSPRDOPT(BU164,CO164,CW164,0,DB164,CU164,CV164,BT164*365.25,OCallPut,0),0)</f>
        <v>#VALUE!</v>
      </c>
      <c r="DI164" s="1316" t="e">
        <f aca="false">IF(AND(BV164&gt;0,CP164&gt;0,DC164&gt;0,CU164&gt;0),newSPRDOPT(BV164,CP164,CX164,0,DC164,CU164,CV164,BT164*365.25,OCallPut,0),0)</f>
        <v>#VALUE!</v>
      </c>
      <c r="DJ164" s="1316" t="e">
        <f aca="false">IF(AND(BW164&gt;0,CQ164&gt;0,DD164&gt;0,CU164&gt;0),newSPRDOPT(BW164,CQ164,CY164,0,DD164,CU164,CV164,BT164*365.25,OCallPut,0),0)</f>
        <v>#VALUE!</v>
      </c>
      <c r="DK164" s="1316" t="e">
        <f aca="false">IF(AND(BX164&gt;0,CR164&gt;0,DE164&gt;0,CU164&gt;0),newSPRDOPT(BX164,CR164,CZ164,0,DE164,CU164,CV164,BT164*365.25,OCallPut,0),0)</f>
        <v>#VALUE!</v>
      </c>
      <c r="DL164" s="1316" t="e">
        <f aca="false">IF(OVolType,IF(AND(BZ164&gt;0,CS164&gt;0,DF164&gt;0,CU164&gt;0),newSPRDOPT(BZ164,CS164,DA164,0,DF164,CU164,CV164,BT164*365.25,OCallPut,0),0),IF(BQ164,(DH164*AZ164+DI164*BA164+DJ164*BB164+DK164*BC164)/BQ164,0))</f>
        <v>#VALUE!</v>
      </c>
      <c r="DM164" s="1316"/>
      <c r="DN164" s="1316"/>
      <c r="DO164" s="1316"/>
      <c r="DP164" s="1316"/>
      <c r="DQ164" s="1316"/>
      <c r="DR164" s="1316"/>
      <c r="DS164" s="1316"/>
      <c r="DT164" s="1316"/>
      <c r="DU164" s="1316"/>
      <c r="DV164" s="1316"/>
      <c r="DW164" s="1594" t="e">
        <f aca="false">IF(AND(BW164&gt;0,CT164&gt;0,DD164&gt;0,CU164&gt;0),newSPRDOPT(BW164,CT164,CY164,0,DD164,CU164,CV164,BT164*365.25,OCallPut,0),0)</f>
        <v>#VALUE!</v>
      </c>
      <c r="DX164" s="1316" t="e">
        <f aca="false">IF(AND(BX164&gt;0,CT164&gt;0,DE164&gt;0,CU164&gt;0),newSPRDOPT(BX164,CT164,CZ164,0,DE164,CU164,CV164,BT164*365.25,OCallPut,0),0)</f>
        <v>#VALUE!</v>
      </c>
      <c r="DY164" s="1591" t="e">
        <f aca="false">IF(BS164,(DH164*BH164+DI164*BI164+DW164*BJ164+DX164*BK164)/BS164,0)</f>
        <v>#VALUE!</v>
      </c>
      <c r="DZ164" s="1551" t="e">
        <f aca="false">DH164*AZ164</f>
        <v>#VALUE!</v>
      </c>
      <c r="EA164" s="1551" t="e">
        <f aca="false">DI164*BA164</f>
        <v>#VALUE!</v>
      </c>
      <c r="EB164" s="1551" t="e">
        <f aca="false">DJ164*BB164</f>
        <v>#VALUE!</v>
      </c>
      <c r="EC164" s="1551" t="e">
        <f aca="false">DK164*BC164</f>
        <v>#VALUE!</v>
      </c>
      <c r="ED164" s="1551" t="e">
        <f aca="false">DL164*BQ164</f>
        <v>#VALUE!</v>
      </c>
      <c r="EE164" s="1595" t="e">
        <f aca="false">IF(BQ164,IF(OCallPut,IF(BU164&gt;(CO164+CW164),BU164-(CO164+CW164),0),IF((CO164+CW164)&gt;BU164,(CO164+CW164)-BU164,0))*AZ164,0)</f>
        <v>#VALUE!</v>
      </c>
      <c r="EF164" s="1596" t="e">
        <f aca="false">IF(BQ164,IF(OCallPut,IF(BV164&gt;(CP164+CX164),BV164-(CP164+CX164),0),IF((CP164+CX164)&gt;BV164,(CP164+CX164)-BV164,0))*BA164,0)</f>
        <v>#VALUE!</v>
      </c>
      <c r="EG164" s="1596" t="e">
        <f aca="false">IF(BQ164,IF(OCallPut,IF(BW164&gt;(CQ164+CY164),BW164-(CQ164+CY164),0),IF((CQ164+CY164)&gt;BW164,(CQ164+CY164)-BW164,0))*BB164,0)</f>
        <v>#VALUE!</v>
      </c>
      <c r="EH164" s="1596" t="e">
        <f aca="false">IF(BQ164,IF(OCallPut,IF(BX164&gt;(CR164+CZ164),BX164-(CR164+CZ164),0),IF((CR164+CZ164)&gt;BX164,(CR164+CZ164)-BX164,0))*BC164,0)</f>
        <v>#VALUE!</v>
      </c>
      <c r="EI164" s="1597" t="e">
        <f aca="false">IF(BQ164,IF(OVolType,IF(OCallPut,IF(BZ164&gt;(CS164+DA164),BZ164-(CS164+DA164),0),IF((CS164+DA164)&gt;BZ164,(CS164+DA164)-BZ164,0))*BQ164,SUM(EE164:EH164)),0)</f>
        <v>#VALUE!</v>
      </c>
      <c r="EJ164" s="1595" t="e">
        <f aca="false">DZ164-EE164</f>
        <v>#VALUE!</v>
      </c>
      <c r="EK164" s="1596" t="e">
        <f aca="false">EA164-EF164</f>
        <v>#VALUE!</v>
      </c>
      <c r="EL164" s="1596" t="e">
        <f aca="false">EB164-EG164</f>
        <v>#VALUE!</v>
      </c>
      <c r="EM164" s="1596" t="e">
        <f aca="false">EC164-EH164</f>
        <v>#VALUE!</v>
      </c>
      <c r="EN164" s="1597" t="e">
        <f aca="false">ED164-EI164</f>
        <v>#VALUE!</v>
      </c>
      <c r="EO164" s="1551" t="e">
        <f aca="false">DH164*BH164</f>
        <v>#VALUE!</v>
      </c>
      <c r="EP164" s="1551" t="e">
        <f aca="false">DI164*BI164</f>
        <v>#VALUE!</v>
      </c>
      <c r="EQ164" s="1551" t="e">
        <f aca="false">DW164*BJ164</f>
        <v>#VALUE!</v>
      </c>
      <c r="ER164" s="1551" t="e">
        <f aca="false">DX164*BK164</f>
        <v>#VALUE!</v>
      </c>
      <c r="ES164" s="1551" t="e">
        <f aca="false">DY164*BS164</f>
        <v>#VALUE!</v>
      </c>
      <c r="ET164" s="1566" t="e">
        <f aca="false">IF(EI164,IF(OCallPut,IF(CA164&gt;(CT164+CW164),CA164-(CT164+CW164),0),IF((CT164+CW164)&gt;CA164,(CT164+CW164)-CA164,0))*BH164,0)</f>
        <v>#VALUE!</v>
      </c>
      <c r="EU164" s="1551" t="e">
        <f aca="false">IF(EI164,IF(OCallPut,IF(CB164&gt;(CT164+CX164),CB164-(CT164+CX164),0),IF((CT164+CX164)&gt;CB164,(CT164+CX164)-CB164,0))*BI164,0)</f>
        <v>#VALUE!</v>
      </c>
      <c r="EV164" s="1551" t="e">
        <f aca="false">IF(EI164,IF(OCallPut,IF(CC164&gt;(CT164+CY164),CC164-(CT164+CY164),0),IF((CT164+CY164)&gt;CC164,(CT164+CY164)-CC164,0))*BJ164,0)</f>
        <v>#VALUE!</v>
      </c>
      <c r="EW164" s="1551" t="e">
        <f aca="false">IF(EI164,IF(OCallPut,IF(CD164&gt;(CT164+CZ164),CD164-(CT164+CZ164),0),IF((CT164+CZ164)&gt;CD164,(CT164+CZ164)-CD164,0))*BK164,0)</f>
        <v>#VALUE!</v>
      </c>
      <c r="EX164" s="1558" t="e">
        <f aca="false">IF(EI164,SUM(ET164:EW164),0)</f>
        <v>#VALUE!</v>
      </c>
      <c r="EY164" s="1551" t="e">
        <f aca="false">EO164-ET164</f>
        <v>#VALUE!</v>
      </c>
      <c r="EZ164" s="1551" t="e">
        <f aca="false">EP164-EU164</f>
        <v>#VALUE!</v>
      </c>
      <c r="FA164" s="1551" t="e">
        <f aca="false">EQ164-EV164</f>
        <v>#VALUE!</v>
      </c>
      <c r="FB164" s="1551" t="e">
        <f aca="false">ER164-EW164</f>
        <v>#VALUE!</v>
      </c>
      <c r="FC164" s="1551" t="e">
        <f aca="false">ES164-EX164</f>
        <v>#VALUE!</v>
      </c>
      <c r="FD164" s="1525" t="n">
        <f aca="false">IF(AX164,IF(VLOOKUP(C164,MAIN!$L$17:$M$28,2)="Yes",VLOOKUP(CALC!B164,MAIN!$H$17:$I$20,2),0),0)</f>
        <v>0</v>
      </c>
      <c r="FE164" s="1552" t="e">
        <f aca="false">$FD164*16*AT164*(1-$AY164)</f>
        <v>#VALUE!</v>
      </c>
      <c r="FF164" s="1553" t="e">
        <f aca="false">$FD164*16*AU164*(1-$AY164)</f>
        <v>#VALUE!</v>
      </c>
      <c r="FG164" s="1553" t="e">
        <f aca="false">$FD164*16*(AV164+AW164)*(1-$AY164)</f>
        <v>#VALUE!</v>
      </c>
      <c r="FH164" s="1554" t="n">
        <f aca="false">$FD164*8*AX164*(1-$AY164)</f>
        <v>0</v>
      </c>
      <c r="FI164" s="1555" t="n">
        <f aca="false">IF(AX164,VLOOKUP(CALC!B164,MAIN!$H$17:$K$20,4),0)</f>
        <v>0</v>
      </c>
      <c r="FJ164" s="1553" t="e">
        <f aca="false">SUM(FE164:FH164)</f>
        <v>#VALUE!</v>
      </c>
      <c r="FK164" s="1556" t="e">
        <f aca="false">FI164*FJ164</f>
        <v>#VALUE!</v>
      </c>
      <c r="FL164" s="1551" t="e">
        <f aca="false">IF($EI164&gt;0,MIN(FE164,AZ164*(1+VLOOKUP($C164,WeatherCapacityAdjustment,2))),0)</f>
        <v>#VALUE!</v>
      </c>
      <c r="FM164" s="1551" t="e">
        <f aca="false">IF($EI164&gt;0,MIN(FF164,BA164*(1+VLOOKUP($C164,WeatherCapacityAdjustment,2))),0)</f>
        <v>#VALUE!</v>
      </c>
      <c r="FN164" s="1551" t="e">
        <f aca="false">IF($EI164&gt;0,MIN(FG164,BB164*(1+VLOOKUP($C164,WeatherCapacityAdjustment,2))),0)</f>
        <v>#VALUE!</v>
      </c>
      <c r="FO164" s="1564" t="e">
        <f aca="false">IF($EI164&gt;0,MIN(FH164,BC164*(1+VLOOKUP($C164,WeatherCapacityAdjustment,3))),0)</f>
        <v>#VALUE!</v>
      </c>
      <c r="FP164" s="1551" t="e">
        <f aca="false">IF(ET164&gt;0,MIN(FE164-FL164,BH164*(1+VLOOKUP($C164,WeatherCapacityAdjustment,2))),0)</f>
        <v>#VALUE!</v>
      </c>
      <c r="FQ164" s="1551" t="e">
        <f aca="false">IF(EU164&gt;0,MIN(FF164-FM164,BI164*(1+VLOOKUP($C164,WeatherCapacityAdjustment,2))),0)</f>
        <v>#VALUE!</v>
      </c>
      <c r="FR164" s="1551" t="e">
        <f aca="false">IF(EV164&gt;0,MIN(FG164-FN164,BJ164*(1+VLOOKUP($C164,WeatherCapacityAdjustment,2))),0)</f>
        <v>#VALUE!</v>
      </c>
      <c r="FS164" s="1558" t="e">
        <f aca="false">IF(EW164&gt;0,MIN(FH164-FO164,BK164*(1+VLOOKUP($C164,WeatherCapacityAdjustment,3))),0)</f>
        <v>#VALUE!</v>
      </c>
      <c r="FT164" s="1566" t="e">
        <f aca="false">IF(AND(Assumptions!$H$71="Yes",A164&gt;=Assumptions!$H$72,A164&lt;=Assumptions!$H$73),0,IF(AND($A164&gt;=Assumptions!$C$17,$A164&lt;=Assumptions!$C$18),MAX(AZ164*(1+VLOOKUP($C164,WeatherCapacityAdjustment,2))-FL164,0),0))</f>
        <v>#VALUE!</v>
      </c>
      <c r="FU164" s="1551" t="e">
        <f aca="false">IF(AND(Assumptions!$H$71="Yes",A164&gt;=Assumptions!$H$72,A164&lt;=Assumptions!$H$73),0,IF(AND($A164&gt;=Assumptions!$C$17,$A164&lt;=Assumptions!$C$18),MAX(BA164*(1+VLOOKUP($C164,WeatherCapacityAdjustment,2))-FM164,0),0))</f>
        <v>#VALUE!</v>
      </c>
      <c r="FV164" s="1551" t="e">
        <f aca="false">IF(AND(Assumptions!$H$71="Yes",A164&gt;=Assumptions!$H$72,A164&lt;=Assumptions!$H$73),0,IF(AND($A164&gt;=Assumptions!$C$17,$A164&lt;=Assumptions!$C$18),MAX(BB164*(1+VLOOKUP($C164,WeatherCapacityAdjustment,2))-FN164,0),0))</f>
        <v>#VALUE!</v>
      </c>
      <c r="FW164" s="1564" t="e">
        <f aca="false">IF(AND(Assumptions!$H$71="Yes",A164&gt;=Assumptions!$H$72,A164&lt;=Assumptions!$H$73),0,IF(AND($A164&gt;=Assumptions!$C$17,$A164&lt;=Assumptions!$C$18),MAX(BC164*(1+VLOOKUP($C164,WeatherCapacityAdjustment,3))-FO164,0),0))</f>
        <v>#VALUE!</v>
      </c>
      <c r="FX164" s="1569" t="e">
        <f aca="false">IF(AND(Assumptions!$H$71="Yes",A164&gt;=Assumptions!$H$72,A164&lt;=Assumptions!$H$73),0,IF(ET164&gt;0,MAX(BH164*(1+VLOOKUP($C164,WeatherCapacityAdjustment,2))-FP164,0),0))</f>
        <v>#VALUE!</v>
      </c>
      <c r="FY164" s="1551" t="e">
        <f aca="false">IF(AND(Assumptions!$H$71="Yes",A164&gt;=Assumptions!$H$72,A164&lt;=Assumptions!$H$73),0,IF(EU164&gt;0,MAX(BI164*(1+VLOOKUP($C164,WeatherCapacityAdjustment,3))-FQ164,0),0))</f>
        <v>#VALUE!</v>
      </c>
      <c r="FZ164" s="1551" t="e">
        <f aca="false">IF(AND(Assumptions!$H$71="Yes",A164&gt;=Assumptions!$H$72,A164&lt;=Assumptions!$H$73),0,IF(EV164&gt;0,MAX(BJ164*(1+VLOOKUP($C164,WeatherCapacityAdjustment,2))-FR164,0),0))</f>
        <v>#VALUE!</v>
      </c>
      <c r="GA164" s="1564" t="e">
        <f aca="false">IF(AND(Assumptions!$H$71="Yes",A164&gt;=Assumptions!$H$72,A164&lt;=Assumptions!$H$73),0,IF(EW164&gt;0,MAX(BK164*(1+VLOOKUP($C164,WeatherCapacityAdjustment,2))-FS164,0),0))</f>
        <v>#VALUE!</v>
      </c>
      <c r="GB164" s="1551" t="e">
        <f aca="false">SUM(FT164:GA164)</f>
        <v>#VALUE!</v>
      </c>
      <c r="GC164" s="1563" t="e">
        <f aca="false">+IF(SUM(FT164:GA164)=0,0,(SUMPRODUCT(BU164:BX164,FT164:FW164)+SUMPRODUCT(CA164:CD164,FX164:GA164))/SUM(FT164:GA164))</f>
        <v>#VALUE!</v>
      </c>
      <c r="GD164" s="1551" t="e">
        <f aca="false">(FT164*BU164+FX164*CA164+FU164*BV164+FY164*CB164+FV164*BW164+FZ164*CC164+FW164*BX164+GA164*CD164)</f>
        <v>#VALUE!</v>
      </c>
      <c r="GE164" s="1561" t="e">
        <f aca="false">+IF(BQ164,((FL164+FM164+FT164+FU164)*HeatRatePeak/1000*(1+VLOOKUP($C164,WeatherHeatRateAdjustment,2))+(FN164+FV164)*IF(EV164&gt;0,HeatRatePeak,HeatRateOffPeak)/1000*(1+VLOOKUP($C164,WeatherHeatRateAdjustment,2))+(FO164+FW164)*IF(EW164&gt;0,HeatRatePeak,HeatRateOffPeak)/1000*(1+VLOOKUP($C164,WeatherHeatRateAdjustment,3)))*(1+VLOOKUP($B164,HeatRateDegradation,$C164+1)),0)</f>
        <v>#VALUE!</v>
      </c>
      <c r="GF164" s="1562" t="e">
        <f aca="false">IF(BQ164,((FP164+FQ164+FR164+FX164+FY164+FZ164)*HeatRatePeak/1000*(1+VLOOKUP($C164,WeatherHeatRateAdjustment,2))+(FS164+GA164)*HeatRatePeak/1000*(1+VLOOKUP($C164,WeatherHeatRateAdjustment,3)))*(1+VLOOKUP($B164,HeatRateDegradation,$C164+1)),0)</f>
        <v>#VALUE!</v>
      </c>
      <c r="GG164" s="1563" t="e">
        <f aca="false">IF(BQ164,VLOOKUP(A164,GasTable,13),0)</f>
        <v>#VALUE!</v>
      </c>
      <c r="GH164" s="1564" t="e">
        <f aca="false">(GE164+GF164)*GG164</f>
        <v>#VALUE!</v>
      </c>
      <c r="GI164" s="1569" t="e">
        <f aca="false">GB164</f>
        <v>#VALUE!</v>
      </c>
      <c r="GJ164" s="1598" t="e">
        <f aca="false">+DA164</f>
        <v>#VALUE!</v>
      </c>
      <c r="GK164" s="1558" t="e">
        <f aca="false">+GI164*GJ164</f>
        <v>#VALUE!</v>
      </c>
      <c r="GL164" s="1566" t="e">
        <f aca="false">MAX(FE164-FL164-FP164,0)</f>
        <v>#VALUE!</v>
      </c>
      <c r="GM164" s="1551" t="e">
        <f aca="false">MAX(FF164-FM164-FQ164,0)</f>
        <v>#VALUE!</v>
      </c>
      <c r="GN164" s="1551" t="e">
        <f aca="false">MAX(FG164-FN164-FR164,0)</f>
        <v>#VALUE!</v>
      </c>
      <c r="GO164" s="1564" t="e">
        <f aca="false">MAX(FH164-FO164-FS164,0)</f>
        <v>#VALUE!</v>
      </c>
      <c r="GP164" s="1551" t="e">
        <f aca="false">SUM(GL164:GO164)</f>
        <v>#VALUE!</v>
      </c>
      <c r="GQ164" s="1563" t="e">
        <f aca="false">IF(SUM(GL164:GO164)=0,0,((GL164*BU164+GM164*BV164+GN164*BW164+GO164*BX164)/SUM(GL164:GO164)))</f>
        <v>#VALUE!</v>
      </c>
      <c r="GR164" s="1558" t="e">
        <f aca="false">(GL164*BU164+GM164*BV164+GN164*BW164+GO164*BX164)</f>
        <v>#VALUE!</v>
      </c>
      <c r="GS164" s="1566" t="n">
        <f aca="false">IF($A164&gt;=BegDate,Assumptions!$C$56*24*($A165-$A164)*(1-VLOOKUP($B164,MAIN!$AA$7:$AM$28,$C164+1))*(1-VLOOKUP($B164,MAIN!$AA$33:$AM$54,$C164+1)),0)*80/168</f>
        <v>257742.857142857</v>
      </c>
      <c r="GT164" s="286" t="n">
        <f aca="false">J164</f>
        <v>113.440043325698</v>
      </c>
      <c r="GU164" s="286" t="n">
        <f aca="false">IF($A164&gt;=BegDate,VLOOKUP($A164,GasTable,13)+Assumptions!$C$58,0)</f>
        <v>3.05494071144177</v>
      </c>
      <c r="GV164" s="286" t="n">
        <f aca="false">GU164*Assumptions!$C$57/1000</f>
        <v>22.1483201579528</v>
      </c>
      <c r="GW164" s="1558" t="n">
        <f aca="false">IF(Assumptions!$C$60="Hourly",MAX(0,GS164*(GT164-GV164)),GS164*(GT164-GV164))</f>
        <v>23529789.5627493</v>
      </c>
      <c r="GX164" s="1566" t="n">
        <f aca="false">IF($A164&gt;=BegDate,Assumptions!$C$56*24*($A165-$A164)*(1-VLOOKUP($B164,MAIN!$AA$7:$AM$28,$C164+1))*(1-VLOOKUP($B164,MAIN!$AA$33:$AM$54,$C164+1)),0)*16/168</f>
        <v>51548.5714285714</v>
      </c>
      <c r="GY164" s="286" t="n">
        <f aca="false">M164</f>
        <v>113.440043325698</v>
      </c>
      <c r="GZ164" s="286" t="n">
        <f aca="false">IF($A164&gt;=BegDate,VLOOKUP($A164,GasTable,13)+Assumptions!$C$58,0)</f>
        <v>3.05494071144177</v>
      </c>
      <c r="HA164" s="286" t="n">
        <f aca="false">GZ164*Assumptions!$C$57/1000</f>
        <v>22.1483201579528</v>
      </c>
      <c r="HB164" s="1558" t="n">
        <f aca="false">IF(Assumptions!$C$60="Hourly",MAX(0,GX164*(GY164-HA164)),GX164*(GY164-HA164))</f>
        <v>4705957.91254986</v>
      </c>
      <c r="HC164" s="1566" t="n">
        <f aca="false">IF($A164&gt;=BegDate,Assumptions!$C$56*24*($A165-$A164)*(1-VLOOKUP($B164,MAIN!$AA$7:$AM$28,$C164+1))*(1-VLOOKUP($B164,MAIN!$AA$33:$AM$54,$C164+1)),0)*16/168</f>
        <v>51548.5714285714</v>
      </c>
      <c r="HD164" s="286" t="n">
        <f aca="false">P164</f>
        <v>35.2668873506569</v>
      </c>
      <c r="HE164" s="286" t="n">
        <f aca="false">IF($A164&gt;=BegDate,VLOOKUP($A164,GasTable,13)+Assumptions!$C$58,0)</f>
        <v>3.05494071144177</v>
      </c>
      <c r="HF164" s="286" t="n">
        <f aca="false">HE164*Assumptions!$C$57/1000</f>
        <v>22.1483201579528</v>
      </c>
      <c r="HG164" s="1558" t="n">
        <f aca="false">IF(Assumptions!$C$60="Hourly",MAX(0,HC164*(HD164-HF164)),HC164*(HD164-HF164))</f>
        <v>676243.397973619</v>
      </c>
      <c r="HH164" s="1566" t="n">
        <f aca="false">IF($A164&gt;=BegDate,Assumptions!$C$56*24*($A165-$A164)*(1-VLOOKUP($B164,MAIN!$AA$7:$AM$28,$C164+1))*(1-VLOOKUP($B164,MAIN!$AA$33:$AM$54,$C164+1)),0)*56/168</f>
        <v>180420</v>
      </c>
      <c r="HI164" s="286" t="n">
        <f aca="false">S164</f>
        <v>35.2668873506569</v>
      </c>
      <c r="HJ164" s="286" t="n">
        <f aca="false">IF($A164&gt;=BegDate,VLOOKUP($A164,GasTable,13)+Assumptions!$C$58,0)</f>
        <v>3.05494071144177</v>
      </c>
      <c r="HK164" s="286" t="n">
        <f aca="false">HJ164*Assumptions!$C$57/1000</f>
        <v>22.1483201579528</v>
      </c>
      <c r="HL164" s="1558" t="n">
        <f aca="false">IF(Assumptions!$C$60="Hourly",MAX(0,HH164*(HI164-HK164)),HH164*(HI164-HK164))</f>
        <v>2366851.89290767</v>
      </c>
      <c r="HM164" s="1566" t="n">
        <f aca="false">IF(AND(Assumptions!$H$71="Yes",A164&gt;=Assumptions!$H$72,A164&lt;=Assumptions!$H$73),Assumptions!$H$74*Assumptions!$C$9*1000,0)</f>
        <v>0</v>
      </c>
      <c r="HN164" s="1551"/>
      <c r="HO164" s="1563"/>
      <c r="HP164" s="1563"/>
      <c r="HQ164" s="1563"/>
      <c r="HR164" s="1563"/>
      <c r="HS164" s="1563"/>
      <c r="HT164" s="1563"/>
      <c r="HU164" s="1563"/>
      <c r="HV164" s="1563"/>
      <c r="HW164" s="1563"/>
      <c r="HX164" s="1563"/>
      <c r="HY164" s="1563"/>
      <c r="HZ164" s="1563"/>
      <c r="IA164" s="1563"/>
      <c r="IB164" s="1563"/>
      <c r="IC164" s="1563"/>
      <c r="ID164" s="1563"/>
      <c r="IE164" s="1563"/>
      <c r="IF164" s="1563"/>
      <c r="IG164" s="1563"/>
      <c r="IH164" s="1563"/>
      <c r="II164" s="1610"/>
      <c r="IJ164" s="1309"/>
      <c r="IK164" s="1309"/>
    </row>
    <row r="165" customFormat="false" ht="12.75" hidden="false" customHeight="false" outlineLevel="0" collapsed="false">
      <c r="A165" s="1571" t="n">
        <f aca="false">EOMONTH(A164,0)+1</f>
        <v>41153</v>
      </c>
      <c r="B165" s="594" t="n">
        <f aca="false">+YEAR(A165)</f>
        <v>2012</v>
      </c>
      <c r="C165" s="238" t="n">
        <f aca="false">MONTH(A165)</f>
        <v>9</v>
      </c>
      <c r="D165" s="1572" t="e">
        <f aca="false">IF(E165="","",Holiday(B165,C165))</f>
        <v>#VALUE!</v>
      </c>
      <c r="E165" s="1573" t="n">
        <f aca="false">IF(OR(BegDate&gt;=A166,EndDate&lt;A165,AND(VolumeMonthlyOverFlag,INDEX(VolumeMonthlyOver,C165)=0),NOT(INDEX(MonthKnockOutTable,C165))),"",MAX(A165,BegDate))</f>
        <v>41153</v>
      </c>
      <c r="F165" s="1574" t="n">
        <f aca="false">IF(E165="","",MIN(A166-1,EndDate))</f>
        <v>41182</v>
      </c>
      <c r="G165" s="1575" t="n">
        <v>0</v>
      </c>
      <c r="H165" s="1576" t="n">
        <f aca="false">(1+G165/2)^(-2*(DATE(B166,C166,20)-DateToday)/365.25)</f>
        <v>1</v>
      </c>
      <c r="I165" s="1568" t="n">
        <f aca="false">IF(Assumptions!$L$25=4,VLOOKUP($A165,'Henwood Reference'!$E$9:$R$320,10),(VLOOKUP($A165,PriceTable,2,0)+IF(BasisNumber&lt;&gt;1,VLOOKUP($A165,BasisTable,2,0),0)+I$1)/(1-I$2))</f>
        <v>70.6614866500262</v>
      </c>
      <c r="J165" s="1568" t="n">
        <f aca="false">IF(Assumptions!$L$25=4,VLOOKUP($A165,'Henwood Reference'!$E$9:$R$320,10),(VLOOKUP($A165,PriceTable,3,0)+IF(BasisNumber&lt;&gt;1,VLOOKUP($A165,BasisTable,2,0),0)+J$1)/(1-J$2))</f>
        <v>70.6614866500262</v>
      </c>
      <c r="K165" s="1568" t="n">
        <f aca="false">IF(Assumptions!$L$25=4,VLOOKUP($A165,'Henwood Reference'!$E$9:$R$320,10),(VLOOKUP($A165,PriceTable,4,0)+IF(BasisNumber&lt;&gt;1,VLOOKUP($A165,BasisTable,2,0),0)+K$1)/(1-K$2))</f>
        <v>70.6614866500262</v>
      </c>
      <c r="L165" s="1523" t="n">
        <f aca="false">IF(Assumptions!$L$25=4,VLOOKUP($A165,'Henwood Reference'!$E$9:$R$320,10),(VLOOKUP($A165,PriceTableWeekend,2,0)+IF(BasisNumber&lt;&gt;1,VLOOKUP($A165,BasisTable,2,0),0)+L$1)/(1-L$2))</f>
        <v>70.6614866500262</v>
      </c>
      <c r="M165" s="1568" t="n">
        <f aca="false">IF(Assumptions!$L$25=4,VLOOKUP($A165,'Henwood Reference'!$E$9:$R$320,10),(VLOOKUP($A165,PriceTableWeekend,3,0)+IF(BasisNumber&lt;&gt;1,VLOOKUP($A165,BasisTable,2,0),0)+M$1)/(1-M$2))</f>
        <v>70.6614866500262</v>
      </c>
      <c r="N165" s="1599" t="n">
        <f aca="false">IF(Assumptions!$L$25=4,VLOOKUP($A165,'Henwood Reference'!$E$9:$R$320,10),(VLOOKUP($A165,PriceTableWeekend,4,0)+IF(BasisNumber&lt;&gt;1,VLOOKUP($A165,BasisTable,2,0),0)+N$1)/(1-N$2))</f>
        <v>70.6614866500262</v>
      </c>
      <c r="O165" s="1568" t="n">
        <f aca="false">IF(Assumptions!$L$25=4,VLOOKUP($A165,'Henwood Reference'!$E$9:$R$320,11),(VLOOKUP($A165,PriceTableWeekend,6,0)+IF(BasisNumber&lt;&gt;1,VLOOKUP($A165,BasisTable,3,0),0)+O$1)/(1-O$2))</f>
        <v>32.9676918012945</v>
      </c>
      <c r="P165" s="1568" t="n">
        <f aca="false">IF(Assumptions!$L$25=4,VLOOKUP($A165,'Henwood Reference'!$E$9:$R$320,11),(VLOOKUP($A165,PriceTableWeekend,7,0)+IF(BasisNumber&lt;&gt;1,VLOOKUP($A165,BasisTable,3,0),0)+P$1)/(1-P$2))</f>
        <v>32.9676918012945</v>
      </c>
      <c r="Q165" s="1599" t="n">
        <f aca="false">IF(Assumptions!$L$25=4,VLOOKUP($A165,'Henwood Reference'!$E$9:$R$320,11),(VLOOKUP($A165,PriceTableWeekend,8,0)+IF(BasisNumber&lt;&gt;1,VLOOKUP($A165,BasisTable,3,0),0)+Q$1)/(1-Q$2))</f>
        <v>32.9676918012945</v>
      </c>
      <c r="R165" s="1568" t="n">
        <f aca="false">IF(Assumptions!$L$25=4,VLOOKUP($A165,'Henwood Reference'!$E$9:$R$320,11),(VLOOKUP($A165,PriceTable,6,0)+IF(BasisNumber&lt;&gt;1,VLOOKUP($A165,BasisTable,3,0),0)+R$1)/(1-R$2))</f>
        <v>32.9676918012945</v>
      </c>
      <c r="S165" s="1568" t="n">
        <f aca="false">IF(Assumptions!$L$25=4,VLOOKUP($A165,'Henwood Reference'!$E$9:$R$320,11),(VLOOKUP($A165,PriceTable,7,0)+IF(BasisNumber&lt;&gt;1,VLOOKUP($A165,BasisTable,3,0),0)+S$1)/(1-S$2))</f>
        <v>32.9676918012945</v>
      </c>
      <c r="T165" s="1600" t="n">
        <f aca="false">IF(Assumptions!$L$25=4,VLOOKUP($A165,'Henwood Reference'!$E$9:$R$320,11),(VLOOKUP($A165,PriceTable,8,0)+IF(BasisNumber&lt;&gt;1,VLOOKUP($A165,BasisTable,3,0),0)+T$1)/(1-T$2))</f>
        <v>32.9676918012945</v>
      </c>
      <c r="U165" s="1513" t="n">
        <f aca="false">VLOOKUP($A165,VolatilityTable,14)</f>
        <v>0.11</v>
      </c>
      <c r="V165" s="1513" t="n">
        <f aca="false">VLOOKUP($A165,VolatilityTable,15)</f>
        <v>0.12</v>
      </c>
      <c r="W165" s="1514" t="n">
        <f aca="false">VLOOKUP($A165,VolatilityTable,16)</f>
        <v>0.13</v>
      </c>
      <c r="X165" s="1513" t="n">
        <f aca="false">VLOOKUP($A165,VolatilityTable,14)</f>
        <v>0.11</v>
      </c>
      <c r="Y165" s="1513" t="n">
        <f aca="false">VLOOKUP($A165,VolatilityTable,15)</f>
        <v>0.12</v>
      </c>
      <c r="Z165" s="1514" t="n">
        <f aca="false">VLOOKUP($A165,VolatilityTable,16)</f>
        <v>0.13</v>
      </c>
      <c r="AA165" s="1513" t="n">
        <f aca="false">VLOOKUP($A165,VolatilityTable,18)</f>
        <v>0.09</v>
      </c>
      <c r="AB165" s="1513" t="n">
        <f aca="false">VLOOKUP($A165,VolatilityTable,19)</f>
        <v>0.11</v>
      </c>
      <c r="AC165" s="1514" t="n">
        <f aca="false">VLOOKUP($A165,VolatilityTable,20)</f>
        <v>0.13</v>
      </c>
      <c r="AD165" s="1513" t="n">
        <f aca="false">VLOOKUP($A165,VolatilityTable,18)</f>
        <v>0.09</v>
      </c>
      <c r="AE165" s="1513" t="n">
        <f aca="false">VLOOKUP($A165,VolatilityTable,19)</f>
        <v>0.11</v>
      </c>
      <c r="AF165" s="1514" t="n">
        <f aca="false">VLOOKUP($A165,VolatilityTable,20)</f>
        <v>0.13</v>
      </c>
      <c r="AG165" s="1513" t="n">
        <f aca="false">VLOOKUP($A165,VolatilityTable,22)</f>
        <v>-0.35</v>
      </c>
      <c r="AH165" s="1513" t="n">
        <f aca="false">VLOOKUP($A165,VolatilityTable,23)</f>
        <v>3</v>
      </c>
      <c r="AI165" s="1514" t="n">
        <f aca="false">VLOOKUP($A165,VolatilityTable,24)</f>
        <v>0.2</v>
      </c>
      <c r="AJ165" s="1513" t="n">
        <f aca="false">VLOOKUP($A165,VolatilityTable,22)</f>
        <v>-0.35</v>
      </c>
      <c r="AK165" s="1513" t="n">
        <f aca="false">VLOOKUP($A165,VolatilityTable,23)</f>
        <v>3</v>
      </c>
      <c r="AL165" s="1514" t="n">
        <f aca="false">VLOOKUP($A165,VolatilityTable,24)</f>
        <v>0.2</v>
      </c>
      <c r="AM165" s="1513" t="n">
        <f aca="false">VLOOKUP($A165,VolatilityTable,26)</f>
        <v>-0.01</v>
      </c>
      <c r="AN165" s="1513" t="n">
        <f aca="false">VLOOKUP($A165,VolatilityTable,27)</f>
        <v>0.16</v>
      </c>
      <c r="AO165" s="1514" t="n">
        <f aca="false">VLOOKUP($A165,VolatilityTable,28)</f>
        <v>0.01</v>
      </c>
      <c r="AP165" s="1513" t="n">
        <f aca="false">VLOOKUP($A165,VolatilityTable,26)</f>
        <v>-0.01</v>
      </c>
      <c r="AQ165" s="1513" t="n">
        <f aca="false">VLOOKUP($A165,VolatilityTable,27)</f>
        <v>0.16</v>
      </c>
      <c r="AR165" s="1515" t="n">
        <f aca="false">VLOOKUP($A165,VolatilityTable,28)</f>
        <v>0.01</v>
      </c>
      <c r="AS165" s="1581" t="n">
        <f aca="false">IF(CorrPeakOffPeakOverFlag,INDEX(CorrPeakOffPeakOver,C165),CorrPeakOffPeak)</f>
        <v>0.5</v>
      </c>
      <c r="AT165" s="594" t="e">
        <f aca="false">AX165-SUM(AU165:AW165)</f>
        <v>#VALUE!</v>
      </c>
      <c r="AU165" s="238" t="e">
        <f aca="false">IF(E165="",0,INT((F165-MOD(F165,7)-E165)/7)+1-IF(AW165,IF(WEEKDAY(D165)=7,1,0),0))</f>
        <v>#VALUE!</v>
      </c>
      <c r="AV165" s="238" t="e">
        <f aca="false">IF(E165="",0,INT((F165-MOD(F165-1,7)-E165)/7)+1-IF(AW165,IF(WEEKDAY(D165)=1,1,0),0))</f>
        <v>#VALUE!</v>
      </c>
      <c r="AW165" s="238" t="e">
        <f aca="false">IF(OR(E165="",D165="",D165&lt;BegDate,D165&gt;EndDate),0,1)</f>
        <v>#VALUE!</v>
      </c>
      <c r="AX165" s="238" t="n">
        <f aca="false">IF(E165="",0,F165-E165+1)</f>
        <v>30</v>
      </c>
      <c r="AY165" s="1582" t="n">
        <f aca="false">IF(E165="",0,MIN((1-(1-VLOOKUP(B165,MAIN!$AA$7:$AM$28,C165+1))*(1-VLOOKUP(B165,MAIN!$AA$33:$AM$54,C165+1))),1))</f>
        <v>0.03</v>
      </c>
      <c r="AZ165" s="1519" t="e">
        <v>#VALUE!</v>
      </c>
      <c r="BA165" s="1520" t="e">
        <v>#VALUE!</v>
      </c>
      <c r="BB165" s="1520" t="e">
        <v>#VALUE!</v>
      </c>
      <c r="BC165" s="1583" t="e">
        <v>#VALUE!</v>
      </c>
      <c r="BD165" s="1522" t="e">
        <v>#VALUE!</v>
      </c>
      <c r="BE165" s="1523" t="e">
        <v>#VALUE!</v>
      </c>
      <c r="BF165" s="1523" t="e">
        <v>#VALUE!</v>
      </c>
      <c r="BG165" s="1584" t="e">
        <v>#VALUE!</v>
      </c>
      <c r="BH165" s="1525" t="e">
        <v>#VALUE!</v>
      </c>
      <c r="BI165" s="1520" t="e">
        <v>#VALUE!</v>
      </c>
      <c r="BJ165" s="1520" t="e">
        <v>#VALUE!</v>
      </c>
      <c r="BK165" s="1583" t="e">
        <v>#VALUE!</v>
      </c>
      <c r="BL165" s="1522" t="e">
        <v>#VALUE!</v>
      </c>
      <c r="BM165" s="1523" t="e">
        <v>#VALUE!</v>
      </c>
      <c r="BN165" s="1523" t="e">
        <v>#VALUE!</v>
      </c>
      <c r="BO165" s="1523" t="e">
        <v>#VALUE!</v>
      </c>
      <c r="BP165" s="1525" t="e">
        <f aca="false">SUM(AZ165:BB165)</f>
        <v>#VALUE!</v>
      </c>
      <c r="BQ165" s="1529" t="e">
        <f aca="false">SUM(AZ165:BC165)</f>
        <v>#VALUE!</v>
      </c>
      <c r="BR165" s="1519" t="e">
        <f aca="false">SUM(BH165:BJ165)</f>
        <v>#VALUE!</v>
      </c>
      <c r="BS165" s="1529" t="e">
        <f aca="false">SUM(BH165:BK165)</f>
        <v>#VALUE!</v>
      </c>
      <c r="BT165" s="1316" t="n">
        <f aca="false">(IF(OVolType&lt;&gt;2,A165+14,IF(OptExpDateShift,ShiftBack(A165,OptExpDateShift,D164),A165))-DateToday)/365.25</f>
        <v>12.3832991101985</v>
      </c>
      <c r="BU165" s="1585" t="e">
        <f aca="false">IF(BQ165,IF(OPriceCurve,IF(OBuySell=OCallPut,I165/(1-AY165),K165/(1-AY165)),J165/(1-AY165))*BD165,0)</f>
        <v>#VALUE!</v>
      </c>
      <c r="BV165" s="1316" t="e">
        <f aca="false">IF(BQ165,IF(OPriceCurve,IF(OBuySell=OCallPut,L165/(1-AY165),N165/(1-AY165)),M165/(1-AY165))*BE165,0)</f>
        <v>#VALUE!</v>
      </c>
      <c r="BW165" s="1316" t="e">
        <f aca="false">IF(BQ165,IF(OPriceCurve,IF(OBuySell=OCallPut,O165/(1-AY165),Q165/(1-AY165)),P165/(1-AY165))*BF165,0)</f>
        <v>#VALUE!</v>
      </c>
      <c r="BX165" s="1316" t="e">
        <f aca="false">IF(BQ165,IF(OPriceCurve,IF(OBuySell=OCallPut,R165/(1-AY165),T165/(1-AY165)),S165/(1-AY165))*BG165,0)</f>
        <v>#VALUE!</v>
      </c>
      <c r="BY165" s="1316" t="e">
        <f aca="false">IF(BP165,(BU165*AZ165+BV165*BA165+BW165*BB165)/BP165,0)</f>
        <v>#VALUE!</v>
      </c>
      <c r="BZ165" s="1316" t="e">
        <f aca="false">IF(BQ165,(BY165*BP165+BX165*BC165)/BQ165,0)</f>
        <v>#VALUE!</v>
      </c>
      <c r="CA165" s="1531" t="e">
        <f aca="false">IF(BS165,IF(OPriceCurve,IF(OBuySell=OCallPut,I165/(1-AY165),K165/(1-AY165)),J165/(1-AY165))*BL165,0)</f>
        <v>#VALUE!</v>
      </c>
      <c r="CB165" s="1316" t="e">
        <f aca="false">IF(BS165,IF(OPriceCurve,IF(OBuySell=OCallPut,L165/(1-AY165),N165/(1-AY165)),M165/(1-AY165))*BM165,0)</f>
        <v>#VALUE!</v>
      </c>
      <c r="CC165" s="1316" t="e">
        <f aca="false">IF(BS165,IF(OPriceCurve,IF(OBuySell=OCallPut,O165/(1-AY165),Q165/(1-AY165)),P165/(1-AY165))*BN165,0)</f>
        <v>#VALUE!</v>
      </c>
      <c r="CD165" s="1316" t="e">
        <f aca="false">IF(BS165,IF(OPriceCurve,IF(OBuySell=OCallPut,R165/(1-AY165),T165/(1-AY165)),S165/(1-AY165))*BO165,0)</f>
        <v>#VALUE!</v>
      </c>
      <c r="CE165" s="1316" t="e">
        <f aca="false">IF(BR165,(BU165*BH165+BV165*BI165+BW165*BJ165)/BR165,0)</f>
        <v>#VALUE!</v>
      </c>
      <c r="CF165" s="1532" t="e">
        <f aca="false">IF(BS165,(CE165*BR165+CD165*BK165)/BS165,0)</f>
        <v>#VALUE!</v>
      </c>
      <c r="CG165" s="1586" t="e">
        <f aca="false">IF(OR(BQ165,BS165),IF(OVolType&lt;&gt;2,SQRT(IF(OVolOverMonthlyPeak,OVolOverMonthlyPeak,IF(OVolCurve,IF(OBuySell,U165,W165),V165))^2*(1-15/365.25/BT165)+IF(OVolOverDailyPeak,OVolOverDailyPeak,IF(OVolCurve,IF(OBuySell,AG165,AI165),AH165))^2*15/365.25/BT165),IF(OVolOverMonthlyPeak,OVolOverMonthlyPeak,IF(OVolCurve,IF(OBuySell,U165,W165),V165))),"")</f>
        <v>#VALUE!</v>
      </c>
      <c r="CH165" s="1587" t="e">
        <f aca="false">IF(OR(BQ165,BS165),IF(OVolType&lt;&gt;2,SQRT(IF(OVolOverMonthlyPeak,OVolOverMonthlyPeak,IF(OVolCurve,IF(OBuySell,X165,Z165),Y165))^2*(1-15/365.25/BT165)+IF(OVolOverDailyPeak,OVolOverDailyPeak,IF(OVolCurve,IF(OBuySell,AJ165,AL165),AK165))^2*15/365.25/BT165),IF(OVolOverMonthlyPeak,OVolOverMonthlyPeak,IF(OVolCurve,IF(OBuySell,X165,Z165),Y165))),"")</f>
        <v>#VALUE!</v>
      </c>
      <c r="CI165" s="1587" t="e">
        <f aca="false">IF(OR(BQ165,BS165),IF(OVolType&lt;&gt;2,SQRT(IF(OVolOverMonthlyPeak,OVolOverMonthlyPeak,IF(OVolCurve,IF(OBuySell,AA165,AC165),AB165))^2*(1-15/365.25/BT165)+IF(OVolOverDailyPeak,OVolOverDailyPeak,IF(OVolCurve,IF(OBuySell,AM165,AO165),AN165))^2*15/365.25/BT165),IF(OVolOverMonthlyPeak,OVolOverMonthlyPeak,IF(OVolCurve,IF(OBuySell,AA165,AC165),AB165))),"")</f>
        <v>#VALUE!</v>
      </c>
      <c r="CJ165" s="1587" t="e">
        <f aca="false">IF(BQ165,IF(BP165,SQRT(LN(1+((BU165*AZ165)^2*(EXP(CG165^2*BT165)-1)+(BV165*BA165)^2*(EXP(CH165^2*BT165)-1)+(BW165*BB165)^2*(EXP(CI165^2*BT165)-1)+2*BU165*AZ165*BV165*BA165*(EXP(CG165*CH165*BT165)-1)+2*BV165*BA165*BW165*BB165*(EXP(CH165*CI165*BT165)-1)+2*BW165*BB165*BU165*AZ165*(EXP(CI165*CG165*BT165)-1))/(BY165*BP165)^2)/BT165),0),"")</f>
        <v>#VALUE!</v>
      </c>
      <c r="CK165" s="1587" t="e">
        <f aca="false">IF(BS165,IF(BR165,SQRT(LN(1+((CA165*BH165)^2*(EXP(CG165^2*BT165)-1)+(CB165*BI165)^2*(EXP(CH165^2*BT165)-1)+(CC165*BJ165)^2*(EXP(CI165^2*BT165)-1)+2*CA165*BH165*CB165*BI165*(EXP(CG165*CH165*BT165)-1)+2*CB165*BI165*CC165*BJ165*(EXP(CH165*CI165*BT165)-1)+2*CC165*BJ165*CA165*BH165*(EXP(CI165*CG165*BT165)-1))/(CE165*BR165)^2)/BT165),0),"")</f>
        <v>#VALUE!</v>
      </c>
      <c r="CL165" s="1587" t="e">
        <f aca="false">IF(OR(BQ165,BS165),IF(OVolType&lt;&gt;2,SQRT(IF(OVolOverMonthlyOffPeak,OVolOverMonthlyOffPeak,IF(OVolCurve,IF(OBuySell,AD165,AF165),AE165))^2*(1-15/365.25/BT165)+IF(OVolOverDailyOffPeak,OVolOverDailyOffPeak,IF(OVolCurve,IF(OBuySell,AP165,AR165),AQ165))^2*15/365.25/BT165),IF(OVolOverMonthlyOffPeak,OVolOverMonthlyOffPeak,IF(OVolCurve,IF(OBuySell,AD165,AF165),AE165))),"")</f>
        <v>#VALUE!</v>
      </c>
      <c r="CM165" s="1587" t="e">
        <f aca="false">IF(BQ165,SQRT(LN(1+((BY165*BP165)^2*(EXP(CJ165^2*BT165)-1)+(BX165*BC165)^2*(EXP(CL165^2*BT165)-1)+2*BY165*BP165*BX165*BC165*(EXP(AS165*CJ165*CL165*BT165)-1))/(BY165*BP165+BX165*BC165)^2)/BT165),"")</f>
        <v>#VALUE!</v>
      </c>
      <c r="CN165" s="1588" t="e">
        <f aca="false">IF(BS165,SQRT(LN(1+((CE165*BR165)^2*(EXP(CK165^2*BT165)-1)+(CD165*BK165)^2*(EXP(CL165^2*BT165)-1)+2*CE165*BR165*CD165*BK165*(EXP(AS165*CK165*CL165*BT165)-1))/(CE165*BR165+CD165*BK165)^2)/BT165),"")</f>
        <v>#VALUE!</v>
      </c>
      <c r="CO165" s="1531" t="e">
        <f aca="false">IF(OR(BQ165,BS165),VLOOKUP(A165,GasTable,13)*HeatRatePeak*(1+VLOOKUP($B165,HeatRateDegradation,$C165+1))/1000,0)</f>
        <v>#VALUE!</v>
      </c>
      <c r="CP165" s="1316" t="e">
        <f aca="false">IF(OR(BQ165,BS165),VLOOKUP(A165,GasTable,13)*HeatRatePeak*(1+VLOOKUP($B165,HeatRateDegradation,$C165+1))/1000,0)</f>
        <v>#VALUE!</v>
      </c>
      <c r="CQ165" s="1316" t="e">
        <f aca="false">IF(OR(BQ165,BS165),VLOOKUP(A165,GasTable,13)*IF(EV165,HeatRatePeak,HeatRateOffPeak)*(1+VLOOKUP($B165,HeatRateDegradation,$C165+1))/1000,0)</f>
        <v>#VALUE!</v>
      </c>
      <c r="CR165" s="1316" t="e">
        <f aca="false">IF(OR(BQ165,BS165),VLOOKUP(A165,GasTable,13)*IF(EW165,HeatRatePeak,HeatRateOffPeak)*(1+VLOOKUP($B165,HeatRateDegradation,$C165+1))/1000,0)</f>
        <v>#VALUE!</v>
      </c>
      <c r="CS165" s="1589" t="e">
        <f aca="false">IF(BQ165,(CO165*AZ165+CP165*BA165+CQ165*BB165+CR165*BC165)/BQ165,0)</f>
        <v>#VALUE!</v>
      </c>
      <c r="CT165" s="1316" t="e">
        <f aca="false">IF(BS165,CO165,0)</f>
        <v>#VALUE!</v>
      </c>
      <c r="CU165" s="1590" t="e">
        <f aca="false">IF(OR(BQ165,BS165),VLOOKUP(A165,GasTable,14),"")</f>
        <v>#VALUE!</v>
      </c>
      <c r="CV165" s="1568" t="e">
        <f aca="false">IF(OR(BQ165,BS165),IF(CorrPowerGasOverFlag,INDEX(CorrPowerGasOver,C165),CorrPowerGas),"")</f>
        <v>#VALUE!</v>
      </c>
      <c r="CW165" s="1316" t="e">
        <f aca="false">IF(OR($BQ165,$BS165),SpreadOptPowerMargin,0)*((1+Assumptions!$C$26)^($B165-YEAR(Assumptions!$C$17)))</f>
        <v>#VALUE!</v>
      </c>
      <c r="CX165" s="1316" t="e">
        <f aca="false">IF(OR($BQ165,$BS165),SpreadOptPowerMargin,0)*((1+Assumptions!$C$26)^($B165-YEAR(Assumptions!$C$17)))</f>
        <v>#VALUE!</v>
      </c>
      <c r="CY165" s="1316" t="e">
        <f aca="false">IF(OR($BQ165,$BS165),SpreadOptPowerMargin,0)*((1+Assumptions!$C$26)^($B165-YEAR(Assumptions!$C$17)))</f>
        <v>#VALUE!</v>
      </c>
      <c r="CZ165" s="1316" t="e">
        <f aca="false">IF(OR($BQ165,$BS165),SpreadOptPowerMargin,0)*((1+Assumptions!$C$26)^($B165-YEAR(Assumptions!$C$17)))</f>
        <v>#VALUE!</v>
      </c>
      <c r="DA165" s="1591" t="e">
        <f aca="false">IF(OR(BQ165,BS165),(CW165*(AZ165+BH165)+CX165*(BA165+BI165)+CY165*(BB165+BJ165)+CZ165*(BC165+BK165))/(BQ165+BS165),0)</f>
        <v>#VALUE!</v>
      </c>
      <c r="DB165" s="1592" t="e">
        <f aca="false">IF(OR(BQ165,BS165),CG165+IF(OVolSmile,VLOOKUP(MAX(-5,CO165+CW165-BU165),IF(OVolSmile=1,VolSmileBook,VolSmileModel),2),0),"")</f>
        <v>#VALUE!</v>
      </c>
      <c r="DC165" s="1592" t="e">
        <f aca="false">IF(OR(BQ165,BS165),CH165+IF(OVolSmile,VLOOKUP(MAX(-5,CP165+CW165-BV165),IF(OVolSmile=1,VolSmileBook,VolSmileModel),2),0),"")</f>
        <v>#VALUE!</v>
      </c>
      <c r="DD165" s="1592" t="e">
        <f aca="false">IF(OR(BQ165,BS165),CI165+IF(OVolSmile,VLOOKUP(MAX(-5,CQ165+CW165-BW165),IF(OVolSmile=1,VolSmileBook,VolSmileModel),2),0),"")</f>
        <v>#VALUE!</v>
      </c>
      <c r="DE165" s="1592" t="e">
        <f aca="false">IF(OR(BQ165,BS165),CL165+IF(OVolSmile,VLOOKUP(MAX(-5,CR165+CZ165-BX165),IF(OVolSmile=1,VolSmileBook,VolSmileModel),2),0),"")</f>
        <v>#VALUE!</v>
      </c>
      <c r="DF165" s="1592" t="e">
        <f aca="false">IF(BQ165,CM165+IF(OVolSmile,VLOOKUP(MAX(-5,CS165+DA165-BZ165),IF(OVolSmile=1,VolSmileBook,VolSmileModel),2),0),"")</f>
        <v>#VALUE!</v>
      </c>
      <c r="DG165" s="1593" t="e">
        <f aca="false">IF(BS165,CN165+IF(OVolSmile,VLOOKUP(MAX(-5,CT165+DA165-CF165),IF(OVolSmile=1,VolSmileBook,VolSmileModel),2),0),"")</f>
        <v>#VALUE!</v>
      </c>
      <c r="DH165" s="1316" t="e">
        <f aca="false">IF(AND(BU165&gt;0,CO165&gt;0,DB165&gt;0,CU165&gt;0),newSPRDOPT(BU165,CO165,CW165,0,DB165,CU165,CV165,BT165*365.25,OCallPut,0),0)</f>
        <v>#VALUE!</v>
      </c>
      <c r="DI165" s="1316" t="e">
        <f aca="false">IF(AND(BV165&gt;0,CP165&gt;0,DC165&gt;0,CU165&gt;0),newSPRDOPT(BV165,CP165,CX165,0,DC165,CU165,CV165,BT165*365.25,OCallPut,0),0)</f>
        <v>#VALUE!</v>
      </c>
      <c r="DJ165" s="1316" t="e">
        <f aca="false">IF(AND(BW165&gt;0,CQ165&gt;0,DD165&gt;0,CU165&gt;0),newSPRDOPT(BW165,CQ165,CY165,0,DD165,CU165,CV165,BT165*365.25,OCallPut,0),0)</f>
        <v>#VALUE!</v>
      </c>
      <c r="DK165" s="1316" t="e">
        <f aca="false">IF(AND(BX165&gt;0,CR165&gt;0,DE165&gt;0,CU165&gt;0),newSPRDOPT(BX165,CR165,CZ165,0,DE165,CU165,CV165,BT165*365.25,OCallPut,0),0)</f>
        <v>#VALUE!</v>
      </c>
      <c r="DL165" s="1316" t="e">
        <f aca="false">IF(OVolType,IF(AND(BZ165&gt;0,CS165&gt;0,DF165&gt;0,CU165&gt;0),newSPRDOPT(BZ165,CS165,DA165,0,DF165,CU165,CV165,BT165*365.25,OCallPut,0),0),IF(BQ165,(DH165*AZ165+DI165*BA165+DJ165*BB165+DK165*BC165)/BQ165,0))</f>
        <v>#VALUE!</v>
      </c>
      <c r="DM165" s="1316"/>
      <c r="DN165" s="1316"/>
      <c r="DO165" s="1316"/>
      <c r="DP165" s="1316"/>
      <c r="DQ165" s="1316"/>
      <c r="DR165" s="1316"/>
      <c r="DS165" s="1316"/>
      <c r="DT165" s="1316"/>
      <c r="DU165" s="1316"/>
      <c r="DV165" s="1316"/>
      <c r="DW165" s="1594" t="e">
        <f aca="false">IF(AND(BW165&gt;0,CT165&gt;0,DD165&gt;0,CU165&gt;0),newSPRDOPT(BW165,CT165,CY165,0,DD165,CU165,CV165,BT165*365.25,OCallPut,0),0)</f>
        <v>#VALUE!</v>
      </c>
      <c r="DX165" s="1316" t="e">
        <f aca="false">IF(AND(BX165&gt;0,CT165&gt;0,DE165&gt;0,CU165&gt;0),newSPRDOPT(BX165,CT165,CZ165,0,DE165,CU165,CV165,BT165*365.25,OCallPut,0),0)</f>
        <v>#VALUE!</v>
      </c>
      <c r="DY165" s="1591" t="e">
        <f aca="false">IF(BS165,(DH165*BH165+DI165*BI165+DW165*BJ165+DX165*BK165)/BS165,0)</f>
        <v>#VALUE!</v>
      </c>
      <c r="DZ165" s="1551" t="e">
        <f aca="false">DH165*AZ165</f>
        <v>#VALUE!</v>
      </c>
      <c r="EA165" s="1551" t="e">
        <f aca="false">DI165*BA165</f>
        <v>#VALUE!</v>
      </c>
      <c r="EB165" s="1551" t="e">
        <f aca="false">DJ165*BB165</f>
        <v>#VALUE!</v>
      </c>
      <c r="EC165" s="1551" t="e">
        <f aca="false">DK165*BC165</f>
        <v>#VALUE!</v>
      </c>
      <c r="ED165" s="1551" t="e">
        <f aca="false">DL165*BQ165</f>
        <v>#VALUE!</v>
      </c>
      <c r="EE165" s="1595" t="e">
        <f aca="false">IF(BQ165,IF(OCallPut,IF(BU165&gt;(CO165+CW165),BU165-(CO165+CW165),0),IF((CO165+CW165)&gt;BU165,(CO165+CW165)-BU165,0))*AZ165,0)</f>
        <v>#VALUE!</v>
      </c>
      <c r="EF165" s="1596" t="e">
        <f aca="false">IF(BQ165,IF(OCallPut,IF(BV165&gt;(CP165+CX165),BV165-(CP165+CX165),0),IF((CP165+CX165)&gt;BV165,(CP165+CX165)-BV165,0))*BA165,0)</f>
        <v>#VALUE!</v>
      </c>
      <c r="EG165" s="1596" t="e">
        <f aca="false">IF(BQ165,IF(OCallPut,IF(BW165&gt;(CQ165+CY165),BW165-(CQ165+CY165),0),IF((CQ165+CY165)&gt;BW165,(CQ165+CY165)-BW165,0))*BB165,0)</f>
        <v>#VALUE!</v>
      </c>
      <c r="EH165" s="1596" t="e">
        <f aca="false">IF(BQ165,IF(OCallPut,IF(BX165&gt;(CR165+CZ165),BX165-(CR165+CZ165),0),IF((CR165+CZ165)&gt;BX165,(CR165+CZ165)-BX165,0))*BC165,0)</f>
        <v>#VALUE!</v>
      </c>
      <c r="EI165" s="1597" t="e">
        <f aca="false">IF(BQ165,IF(OVolType,IF(OCallPut,IF(BZ165&gt;(CS165+DA165),BZ165-(CS165+DA165),0),IF((CS165+DA165)&gt;BZ165,(CS165+DA165)-BZ165,0))*BQ165,SUM(EE165:EH165)),0)</f>
        <v>#VALUE!</v>
      </c>
      <c r="EJ165" s="1595" t="e">
        <f aca="false">DZ165-EE165</f>
        <v>#VALUE!</v>
      </c>
      <c r="EK165" s="1596" t="e">
        <f aca="false">EA165-EF165</f>
        <v>#VALUE!</v>
      </c>
      <c r="EL165" s="1596" t="e">
        <f aca="false">EB165-EG165</f>
        <v>#VALUE!</v>
      </c>
      <c r="EM165" s="1596" t="e">
        <f aca="false">EC165-EH165</f>
        <v>#VALUE!</v>
      </c>
      <c r="EN165" s="1597" t="e">
        <f aca="false">ED165-EI165</f>
        <v>#VALUE!</v>
      </c>
      <c r="EO165" s="1551" t="e">
        <f aca="false">DH165*BH165</f>
        <v>#VALUE!</v>
      </c>
      <c r="EP165" s="1551" t="e">
        <f aca="false">DI165*BI165</f>
        <v>#VALUE!</v>
      </c>
      <c r="EQ165" s="1551" t="e">
        <f aca="false">DW165*BJ165</f>
        <v>#VALUE!</v>
      </c>
      <c r="ER165" s="1551" t="e">
        <f aca="false">DX165*BK165</f>
        <v>#VALUE!</v>
      </c>
      <c r="ES165" s="1551" t="e">
        <f aca="false">DY165*BS165</f>
        <v>#VALUE!</v>
      </c>
      <c r="ET165" s="1566" t="e">
        <f aca="false">IF(EI165,IF(OCallPut,IF(CA165&gt;(CT165+CW165),CA165-(CT165+CW165),0),IF((CT165+CW165)&gt;CA165,(CT165+CW165)-CA165,0))*BH165,0)</f>
        <v>#VALUE!</v>
      </c>
      <c r="EU165" s="1551" t="e">
        <f aca="false">IF(EI165,IF(OCallPut,IF(CB165&gt;(CT165+CX165),CB165-(CT165+CX165),0),IF((CT165+CX165)&gt;CB165,(CT165+CX165)-CB165,0))*BI165,0)</f>
        <v>#VALUE!</v>
      </c>
      <c r="EV165" s="1551" t="e">
        <f aca="false">IF(EI165,IF(OCallPut,IF(CC165&gt;(CT165+CY165),CC165-(CT165+CY165),0),IF((CT165+CY165)&gt;CC165,(CT165+CY165)-CC165,0))*BJ165,0)</f>
        <v>#VALUE!</v>
      </c>
      <c r="EW165" s="1551" t="e">
        <f aca="false">IF(EI165,IF(OCallPut,IF(CD165&gt;(CT165+CZ165),CD165-(CT165+CZ165),0),IF((CT165+CZ165)&gt;CD165,(CT165+CZ165)-CD165,0))*BK165,0)</f>
        <v>#VALUE!</v>
      </c>
      <c r="EX165" s="1558" t="e">
        <f aca="false">IF(EI165,SUM(ET165:EW165),0)</f>
        <v>#VALUE!</v>
      </c>
      <c r="EY165" s="1551" t="e">
        <f aca="false">EO165-ET165</f>
        <v>#VALUE!</v>
      </c>
      <c r="EZ165" s="1551" t="e">
        <f aca="false">EP165-EU165</f>
        <v>#VALUE!</v>
      </c>
      <c r="FA165" s="1551" t="e">
        <f aca="false">EQ165-EV165</f>
        <v>#VALUE!</v>
      </c>
      <c r="FB165" s="1551" t="e">
        <f aca="false">ER165-EW165</f>
        <v>#VALUE!</v>
      </c>
      <c r="FC165" s="1551" t="e">
        <f aca="false">ES165-EX165</f>
        <v>#VALUE!</v>
      </c>
      <c r="FD165" s="1525" t="n">
        <f aca="false">IF(AX165,IF(VLOOKUP(C165,MAIN!$L$17:$M$28,2)="Yes",VLOOKUP(CALC!B165,MAIN!$H$17:$I$20,2),0),0)</f>
        <v>0</v>
      </c>
      <c r="FE165" s="1552" t="e">
        <f aca="false">$FD165*16*AT165*(1-$AY165)</f>
        <v>#VALUE!</v>
      </c>
      <c r="FF165" s="1553" t="e">
        <f aca="false">$FD165*16*AU165*(1-$AY165)</f>
        <v>#VALUE!</v>
      </c>
      <c r="FG165" s="1553" t="e">
        <f aca="false">$FD165*16*(AV165+AW165)*(1-$AY165)</f>
        <v>#VALUE!</v>
      </c>
      <c r="FH165" s="1554" t="n">
        <f aca="false">$FD165*8*AX165*(1-$AY165)</f>
        <v>0</v>
      </c>
      <c r="FI165" s="1555" t="n">
        <f aca="false">IF(AX165,VLOOKUP(CALC!B165,MAIN!$H$17:$K$20,4),0)</f>
        <v>0</v>
      </c>
      <c r="FJ165" s="1553" t="e">
        <f aca="false">SUM(FE165:FH165)</f>
        <v>#VALUE!</v>
      </c>
      <c r="FK165" s="1556" t="e">
        <f aca="false">FI165*FJ165</f>
        <v>#VALUE!</v>
      </c>
      <c r="FL165" s="1551" t="e">
        <f aca="false">IF($EI165&gt;0,MIN(FE165,AZ165*(1+VLOOKUP($C165,WeatherCapacityAdjustment,2))),0)</f>
        <v>#VALUE!</v>
      </c>
      <c r="FM165" s="1551" t="e">
        <f aca="false">IF($EI165&gt;0,MIN(FF165,BA165*(1+VLOOKUP($C165,WeatherCapacityAdjustment,2))),0)</f>
        <v>#VALUE!</v>
      </c>
      <c r="FN165" s="1551" t="e">
        <f aca="false">IF($EI165&gt;0,MIN(FG165,BB165*(1+VLOOKUP($C165,WeatherCapacityAdjustment,2))),0)</f>
        <v>#VALUE!</v>
      </c>
      <c r="FO165" s="1564" t="e">
        <f aca="false">IF($EI165&gt;0,MIN(FH165,BC165*(1+VLOOKUP($C165,WeatherCapacityAdjustment,3))),0)</f>
        <v>#VALUE!</v>
      </c>
      <c r="FP165" s="1551" t="e">
        <f aca="false">IF(ET165&gt;0,MIN(FE165-FL165,BH165*(1+VLOOKUP($C165,WeatherCapacityAdjustment,2))),0)</f>
        <v>#VALUE!</v>
      </c>
      <c r="FQ165" s="1551" t="e">
        <f aca="false">IF(EU165&gt;0,MIN(FF165-FM165,BI165*(1+VLOOKUP($C165,WeatherCapacityAdjustment,2))),0)</f>
        <v>#VALUE!</v>
      </c>
      <c r="FR165" s="1551" t="e">
        <f aca="false">IF(EV165&gt;0,MIN(FG165-FN165,BJ165*(1+VLOOKUP($C165,WeatherCapacityAdjustment,2))),0)</f>
        <v>#VALUE!</v>
      </c>
      <c r="FS165" s="1558" t="e">
        <f aca="false">IF(EW165&gt;0,MIN(FH165-FO165,BK165*(1+VLOOKUP($C165,WeatherCapacityAdjustment,3))),0)</f>
        <v>#VALUE!</v>
      </c>
      <c r="FT165" s="1566" t="e">
        <f aca="false">IF(AND(Assumptions!$H$71="Yes",A165&gt;=Assumptions!$H$72,A165&lt;=Assumptions!$H$73),0,IF(AND($A165&gt;=Assumptions!$C$17,$A165&lt;=Assumptions!$C$18),MAX(AZ165*(1+VLOOKUP($C165,WeatherCapacityAdjustment,2))-FL165,0),0))</f>
        <v>#VALUE!</v>
      </c>
      <c r="FU165" s="1551" t="e">
        <f aca="false">IF(AND(Assumptions!$H$71="Yes",A165&gt;=Assumptions!$H$72,A165&lt;=Assumptions!$H$73),0,IF(AND($A165&gt;=Assumptions!$C$17,$A165&lt;=Assumptions!$C$18),MAX(BA165*(1+VLOOKUP($C165,WeatherCapacityAdjustment,2))-FM165,0),0))</f>
        <v>#VALUE!</v>
      </c>
      <c r="FV165" s="1551" t="e">
        <f aca="false">IF(AND(Assumptions!$H$71="Yes",A165&gt;=Assumptions!$H$72,A165&lt;=Assumptions!$H$73),0,IF(AND($A165&gt;=Assumptions!$C$17,$A165&lt;=Assumptions!$C$18),MAX(BB165*(1+VLOOKUP($C165,WeatherCapacityAdjustment,2))-FN165,0),0))</f>
        <v>#VALUE!</v>
      </c>
      <c r="FW165" s="1564" t="e">
        <f aca="false">IF(AND(Assumptions!$H$71="Yes",A165&gt;=Assumptions!$H$72,A165&lt;=Assumptions!$H$73),0,IF(AND($A165&gt;=Assumptions!$C$17,$A165&lt;=Assumptions!$C$18),MAX(BC165*(1+VLOOKUP($C165,WeatherCapacityAdjustment,3))-FO165,0),0))</f>
        <v>#VALUE!</v>
      </c>
      <c r="FX165" s="1569" t="e">
        <f aca="false">IF(AND(Assumptions!$H$71="Yes",A165&gt;=Assumptions!$H$72,A165&lt;=Assumptions!$H$73),0,IF(ET165&gt;0,MAX(BH165*(1+VLOOKUP($C165,WeatherCapacityAdjustment,2))-FP165,0),0))</f>
        <v>#VALUE!</v>
      </c>
      <c r="FY165" s="1551" t="e">
        <f aca="false">IF(AND(Assumptions!$H$71="Yes",A165&gt;=Assumptions!$H$72,A165&lt;=Assumptions!$H$73),0,IF(EU165&gt;0,MAX(BI165*(1+VLOOKUP($C165,WeatherCapacityAdjustment,3))-FQ165,0),0))</f>
        <v>#VALUE!</v>
      </c>
      <c r="FZ165" s="1551" t="e">
        <f aca="false">IF(AND(Assumptions!$H$71="Yes",A165&gt;=Assumptions!$H$72,A165&lt;=Assumptions!$H$73),0,IF(EV165&gt;0,MAX(BJ165*(1+VLOOKUP($C165,WeatherCapacityAdjustment,2))-FR165,0),0))</f>
        <v>#VALUE!</v>
      </c>
      <c r="GA165" s="1564" t="e">
        <f aca="false">IF(AND(Assumptions!$H$71="Yes",A165&gt;=Assumptions!$H$72,A165&lt;=Assumptions!$H$73),0,IF(EW165&gt;0,MAX(BK165*(1+VLOOKUP($C165,WeatherCapacityAdjustment,2))-FS165,0),0))</f>
        <v>#VALUE!</v>
      </c>
      <c r="GB165" s="1551" t="e">
        <f aca="false">SUM(FT165:GA165)</f>
        <v>#VALUE!</v>
      </c>
      <c r="GC165" s="1563" t="e">
        <f aca="false">+IF(SUM(FT165:GA165)=0,0,(SUMPRODUCT(BU165:BX165,FT165:FW165)+SUMPRODUCT(CA165:CD165,FX165:GA165))/SUM(FT165:GA165))</f>
        <v>#VALUE!</v>
      </c>
      <c r="GD165" s="1551" t="e">
        <f aca="false">(FT165*BU165+FX165*CA165+FU165*BV165+FY165*CB165+FV165*BW165+FZ165*CC165+FW165*BX165+GA165*CD165)</f>
        <v>#VALUE!</v>
      </c>
      <c r="GE165" s="1561" t="e">
        <f aca="false">+IF(BQ165,((FL165+FM165+FT165+FU165)*HeatRatePeak/1000*(1+VLOOKUP($C165,WeatherHeatRateAdjustment,2))+(FN165+FV165)*IF(EV165&gt;0,HeatRatePeak,HeatRateOffPeak)/1000*(1+VLOOKUP($C165,WeatherHeatRateAdjustment,2))+(FO165+FW165)*IF(EW165&gt;0,HeatRatePeak,HeatRateOffPeak)/1000*(1+VLOOKUP($C165,WeatherHeatRateAdjustment,3)))*(1+VLOOKUP($B165,HeatRateDegradation,$C165+1)),0)</f>
        <v>#VALUE!</v>
      </c>
      <c r="GF165" s="1562" t="e">
        <f aca="false">IF(BQ165,((FP165+FQ165+FR165+FX165+FY165+FZ165)*HeatRatePeak/1000*(1+VLOOKUP($C165,WeatherHeatRateAdjustment,2))+(FS165+GA165)*HeatRatePeak/1000*(1+VLOOKUP($C165,WeatherHeatRateAdjustment,3)))*(1+VLOOKUP($B165,HeatRateDegradation,$C165+1)),0)</f>
        <v>#VALUE!</v>
      </c>
      <c r="GG165" s="1563" t="e">
        <f aca="false">IF(BQ165,VLOOKUP(A165,GasTable,13),0)</f>
        <v>#VALUE!</v>
      </c>
      <c r="GH165" s="1564" t="e">
        <f aca="false">(GE165+GF165)*GG165</f>
        <v>#VALUE!</v>
      </c>
      <c r="GI165" s="1569" t="e">
        <f aca="false">GB165</f>
        <v>#VALUE!</v>
      </c>
      <c r="GJ165" s="1598" t="e">
        <f aca="false">+DA165</f>
        <v>#VALUE!</v>
      </c>
      <c r="GK165" s="1558" t="e">
        <f aca="false">+GI165*GJ165</f>
        <v>#VALUE!</v>
      </c>
      <c r="GL165" s="1566" t="e">
        <f aca="false">MAX(FE165-FL165-FP165,0)</f>
        <v>#VALUE!</v>
      </c>
      <c r="GM165" s="1551" t="e">
        <f aca="false">MAX(FF165-FM165-FQ165,0)</f>
        <v>#VALUE!</v>
      </c>
      <c r="GN165" s="1551" t="e">
        <f aca="false">MAX(FG165-FN165-FR165,0)</f>
        <v>#VALUE!</v>
      </c>
      <c r="GO165" s="1564" t="e">
        <f aca="false">MAX(FH165-FO165-FS165,0)</f>
        <v>#VALUE!</v>
      </c>
      <c r="GP165" s="1551" t="e">
        <f aca="false">SUM(GL165:GO165)</f>
        <v>#VALUE!</v>
      </c>
      <c r="GQ165" s="1563" t="e">
        <f aca="false">IF(SUM(GL165:GO165)=0,0,((GL165*BU165+GM165*BV165+GN165*BW165+GO165*BX165)/SUM(GL165:GO165)))</f>
        <v>#VALUE!</v>
      </c>
      <c r="GR165" s="1558" t="e">
        <f aca="false">(GL165*BU165+GM165*BV165+GN165*BW165+GO165*BX165)</f>
        <v>#VALUE!</v>
      </c>
      <c r="GS165" s="1566" t="n">
        <f aca="false">IF($A165&gt;=BegDate,Assumptions!$C$56*24*($A166-$A165)*(1-VLOOKUP($B165,MAIN!$AA$7:$AM$28,$C165+1))*(1-VLOOKUP($B165,MAIN!$AA$33:$AM$54,$C165+1)),0)*80/168</f>
        <v>249428.571428571</v>
      </c>
      <c r="GT165" s="286" t="n">
        <f aca="false">J165</f>
        <v>70.6614866500262</v>
      </c>
      <c r="GU165" s="286" t="n">
        <f aca="false">IF($A165&gt;=BegDate,VLOOKUP($A165,GasTable,13)+Assumptions!$C$58,0)</f>
        <v>3.18185123185972</v>
      </c>
      <c r="GV165" s="286" t="n">
        <f aca="false">GU165*Assumptions!$C$57/1000</f>
        <v>23.068421430983</v>
      </c>
      <c r="GW165" s="1558" t="n">
        <f aca="false">IF(Assumptions!$C$60="Hourly",MAX(0,GS165*(GT165-GV165)),GS165*(GT165-GV165))</f>
        <v>11871070.2674928</v>
      </c>
      <c r="GX165" s="1566" t="n">
        <f aca="false">IF($A165&gt;=BegDate,Assumptions!$C$56*24*($A166-$A165)*(1-VLOOKUP($B165,MAIN!$AA$7:$AM$28,$C165+1))*(1-VLOOKUP($B165,MAIN!$AA$33:$AM$54,$C165+1)),0)*16/168</f>
        <v>49885.7142857143</v>
      </c>
      <c r="GY165" s="286" t="n">
        <f aca="false">M165</f>
        <v>70.6614866500262</v>
      </c>
      <c r="GZ165" s="286" t="n">
        <f aca="false">IF($A165&gt;=BegDate,VLOOKUP($A165,GasTable,13)+Assumptions!$C$58,0)</f>
        <v>3.18185123185972</v>
      </c>
      <c r="HA165" s="286" t="n">
        <f aca="false">GZ165*Assumptions!$C$57/1000</f>
        <v>23.068421430983</v>
      </c>
      <c r="HB165" s="1558" t="n">
        <f aca="false">IF(Assumptions!$C$60="Hourly",MAX(0,GX165*(GY165-HA165)),GX165*(GY165-HA165))</f>
        <v>2374214.05349856</v>
      </c>
      <c r="HC165" s="1566" t="n">
        <f aca="false">IF($A165&gt;=BegDate,Assumptions!$C$56*24*($A166-$A165)*(1-VLOOKUP($B165,MAIN!$AA$7:$AM$28,$C165+1))*(1-VLOOKUP($B165,MAIN!$AA$33:$AM$54,$C165+1)),0)*16/168</f>
        <v>49885.7142857143</v>
      </c>
      <c r="HD165" s="286" t="n">
        <f aca="false">P165</f>
        <v>32.9676918012945</v>
      </c>
      <c r="HE165" s="286" t="n">
        <f aca="false">IF($A165&gt;=BegDate,VLOOKUP($A165,GasTable,13)+Assumptions!$C$58,0)</f>
        <v>3.18185123185972</v>
      </c>
      <c r="HF165" s="286" t="n">
        <f aca="false">HE165*Assumptions!$C$57/1000</f>
        <v>23.068421430983</v>
      </c>
      <c r="HG165" s="1558" t="n">
        <f aca="false">IF(Assumptions!$C$60="Hourly",MAX(0,HC165*(HD165-HF165)),HC165*(HD165-HF165))</f>
        <v>493832.173330397</v>
      </c>
      <c r="HH165" s="1566" t="n">
        <f aca="false">IF($A165&gt;=BegDate,Assumptions!$C$56*24*($A166-$A165)*(1-VLOOKUP($B165,MAIN!$AA$7:$AM$28,$C165+1))*(1-VLOOKUP($B165,MAIN!$AA$33:$AM$54,$C165+1)),0)*56/168</f>
        <v>174600</v>
      </c>
      <c r="HI165" s="286" t="n">
        <f aca="false">S165</f>
        <v>32.9676918012945</v>
      </c>
      <c r="HJ165" s="286" t="n">
        <f aca="false">IF($A165&gt;=BegDate,VLOOKUP($A165,GasTable,13)+Assumptions!$C$58,0)</f>
        <v>3.18185123185972</v>
      </c>
      <c r="HK165" s="286" t="n">
        <f aca="false">HJ165*Assumptions!$C$57/1000</f>
        <v>23.068421430983</v>
      </c>
      <c r="HL165" s="1558" t="n">
        <f aca="false">IF(Assumptions!$C$60="Hourly",MAX(0,HH165*(HI165-HK165)),HH165*(HI165-HK165))</f>
        <v>1728412.60665639</v>
      </c>
      <c r="HM165" s="1566" t="n">
        <f aca="false">IF(AND(Assumptions!$H$71="Yes",A165&gt;=Assumptions!$H$72,A165&lt;=Assumptions!$H$73),Assumptions!$H$74*Assumptions!$C$9*1000,0)</f>
        <v>0</v>
      </c>
      <c r="HN165" s="1551"/>
      <c r="HO165" s="1563"/>
      <c r="HP165" s="1563"/>
      <c r="HQ165" s="1563"/>
      <c r="HR165" s="1563"/>
      <c r="HS165" s="1563"/>
      <c r="HT165" s="1563"/>
      <c r="HU165" s="1563"/>
      <c r="HV165" s="1563"/>
      <c r="HW165" s="1563"/>
      <c r="HX165" s="1563"/>
      <c r="HY165" s="1563"/>
      <c r="HZ165" s="1563"/>
      <c r="IA165" s="1563"/>
      <c r="IB165" s="1563"/>
      <c r="IC165" s="1563"/>
      <c r="ID165" s="1563"/>
      <c r="IE165" s="1563"/>
      <c r="IF165" s="1563"/>
      <c r="IG165" s="1563"/>
      <c r="IH165" s="1563"/>
      <c r="II165" s="1610"/>
      <c r="IJ165" s="1309"/>
      <c r="IK165" s="1309"/>
    </row>
    <row r="166" customFormat="false" ht="12.75" hidden="false" customHeight="false" outlineLevel="0" collapsed="false">
      <c r="A166" s="1571" t="n">
        <f aca="false">EOMONTH(A165,0)+1</f>
        <v>41183</v>
      </c>
      <c r="B166" s="594" t="n">
        <f aca="false">+YEAR(A166)</f>
        <v>2012</v>
      </c>
      <c r="C166" s="238" t="n">
        <f aca="false">MONTH(A166)</f>
        <v>10</v>
      </c>
      <c r="D166" s="1572" t="e">
        <f aca="false">IF(E166="","",Holiday(B166,C166))</f>
        <v>#VALUE!</v>
      </c>
      <c r="E166" s="1573" t="n">
        <f aca="false">IF(OR(BegDate&gt;=A167,EndDate&lt;A166,AND(VolumeMonthlyOverFlag,INDEX(VolumeMonthlyOver,C166)=0),NOT(INDEX(MonthKnockOutTable,C166))),"",MAX(A166,BegDate))</f>
        <v>41183</v>
      </c>
      <c r="F166" s="1574" t="n">
        <f aca="false">IF(E166="","",MIN(A167-1,EndDate))</f>
        <v>41213</v>
      </c>
      <c r="G166" s="1575" t="n">
        <v>0</v>
      </c>
      <c r="H166" s="1576" t="n">
        <f aca="false">(1+G166/2)^(-2*(DATE(B167,C167,20)-DateToday)/365.25)</f>
        <v>1</v>
      </c>
      <c r="I166" s="1568" t="n">
        <f aca="false">IF(Assumptions!$L$25=4,VLOOKUP($A166,'Henwood Reference'!$E$9:$R$320,10),(VLOOKUP($A166,PriceTable,2,0)+IF(BasisNumber&lt;&gt;1,VLOOKUP($A166,BasisTable,2,0),0)+I$1)/(1-I$2))</f>
        <v>50.6373437798577</v>
      </c>
      <c r="J166" s="1568" t="n">
        <f aca="false">IF(Assumptions!$L$25=4,VLOOKUP($A166,'Henwood Reference'!$E$9:$R$320,10),(VLOOKUP($A166,PriceTable,3,0)+IF(BasisNumber&lt;&gt;1,VLOOKUP($A166,BasisTable,2,0),0)+J$1)/(1-J$2))</f>
        <v>50.6373437798577</v>
      </c>
      <c r="K166" s="1568" t="n">
        <f aca="false">IF(Assumptions!$L$25=4,VLOOKUP($A166,'Henwood Reference'!$E$9:$R$320,10),(VLOOKUP($A166,PriceTable,4,0)+IF(BasisNumber&lt;&gt;1,VLOOKUP($A166,BasisTable,2,0),0)+K$1)/(1-K$2))</f>
        <v>50.6373437798577</v>
      </c>
      <c r="L166" s="1523" t="n">
        <f aca="false">IF(Assumptions!$L$25=4,VLOOKUP($A166,'Henwood Reference'!$E$9:$R$320,10),(VLOOKUP($A166,PriceTableWeekend,2,0)+IF(BasisNumber&lt;&gt;1,VLOOKUP($A166,BasisTable,2,0),0)+L$1)/(1-L$2))</f>
        <v>50.6373437798577</v>
      </c>
      <c r="M166" s="1568" t="n">
        <f aca="false">IF(Assumptions!$L$25=4,VLOOKUP($A166,'Henwood Reference'!$E$9:$R$320,10),(VLOOKUP($A166,PriceTableWeekend,3,0)+IF(BasisNumber&lt;&gt;1,VLOOKUP($A166,BasisTable,2,0),0)+M$1)/(1-M$2))</f>
        <v>50.6373437798577</v>
      </c>
      <c r="N166" s="1599" t="n">
        <f aca="false">IF(Assumptions!$L$25=4,VLOOKUP($A166,'Henwood Reference'!$E$9:$R$320,10),(VLOOKUP($A166,PriceTableWeekend,4,0)+IF(BasisNumber&lt;&gt;1,VLOOKUP($A166,BasisTable,2,0),0)+N$1)/(1-N$2))</f>
        <v>50.6373437798577</v>
      </c>
      <c r="O166" s="1568" t="n">
        <f aca="false">IF(Assumptions!$L$25=4,VLOOKUP($A166,'Henwood Reference'!$E$9:$R$320,11),(VLOOKUP($A166,PriceTableWeekend,6,0)+IF(BasisNumber&lt;&gt;1,VLOOKUP($A166,BasisTable,3,0),0)+O$1)/(1-O$2))</f>
        <v>28.8800216732399</v>
      </c>
      <c r="P166" s="1568" t="n">
        <f aca="false">IF(Assumptions!$L$25=4,VLOOKUP($A166,'Henwood Reference'!$E$9:$R$320,11),(VLOOKUP($A166,PriceTableWeekend,7,0)+IF(BasisNumber&lt;&gt;1,VLOOKUP($A166,BasisTable,3,0),0)+P$1)/(1-P$2))</f>
        <v>28.8800216732399</v>
      </c>
      <c r="Q166" s="1599" t="n">
        <f aca="false">IF(Assumptions!$L$25=4,VLOOKUP($A166,'Henwood Reference'!$E$9:$R$320,11),(VLOOKUP($A166,PriceTableWeekend,8,0)+IF(BasisNumber&lt;&gt;1,VLOOKUP($A166,BasisTable,3,0),0)+Q$1)/(1-Q$2))</f>
        <v>28.8800216732399</v>
      </c>
      <c r="R166" s="1568" t="n">
        <f aca="false">IF(Assumptions!$L$25=4,VLOOKUP($A166,'Henwood Reference'!$E$9:$R$320,11),(VLOOKUP($A166,PriceTable,6,0)+IF(BasisNumber&lt;&gt;1,VLOOKUP($A166,BasisTable,3,0),0)+R$1)/(1-R$2))</f>
        <v>28.8800216732399</v>
      </c>
      <c r="S166" s="1568" t="n">
        <f aca="false">IF(Assumptions!$L$25=4,VLOOKUP($A166,'Henwood Reference'!$E$9:$R$320,11),(VLOOKUP($A166,PriceTable,7,0)+IF(BasisNumber&lt;&gt;1,VLOOKUP($A166,BasisTable,3,0),0)+S$1)/(1-S$2))</f>
        <v>28.8800216732399</v>
      </c>
      <c r="T166" s="1600" t="n">
        <f aca="false">IF(Assumptions!$L$25=4,VLOOKUP($A166,'Henwood Reference'!$E$9:$R$320,11),(VLOOKUP($A166,PriceTable,8,0)+IF(BasisNumber&lt;&gt;1,VLOOKUP($A166,BasisTable,3,0),0)+T$1)/(1-T$2))</f>
        <v>28.8800216732399</v>
      </c>
      <c r="U166" s="1513" t="n">
        <f aca="false">VLOOKUP($A166,VolatilityTable,14)</f>
        <v>0.11</v>
      </c>
      <c r="V166" s="1513" t="n">
        <f aca="false">VLOOKUP($A166,VolatilityTable,15)</f>
        <v>0.12</v>
      </c>
      <c r="W166" s="1514" t="n">
        <f aca="false">VLOOKUP($A166,VolatilityTable,16)</f>
        <v>0.13</v>
      </c>
      <c r="X166" s="1513" t="n">
        <f aca="false">VLOOKUP($A166,VolatilityTable,14)</f>
        <v>0.11</v>
      </c>
      <c r="Y166" s="1513" t="n">
        <f aca="false">VLOOKUP($A166,VolatilityTable,15)</f>
        <v>0.12</v>
      </c>
      <c r="Z166" s="1514" t="n">
        <f aca="false">VLOOKUP($A166,VolatilityTable,16)</f>
        <v>0.13</v>
      </c>
      <c r="AA166" s="1513" t="n">
        <f aca="false">VLOOKUP($A166,VolatilityTable,18)</f>
        <v>0.09</v>
      </c>
      <c r="AB166" s="1513" t="n">
        <f aca="false">VLOOKUP($A166,VolatilityTable,19)</f>
        <v>0.11</v>
      </c>
      <c r="AC166" s="1514" t="n">
        <f aca="false">VLOOKUP($A166,VolatilityTable,20)</f>
        <v>0.13</v>
      </c>
      <c r="AD166" s="1513" t="n">
        <f aca="false">VLOOKUP($A166,VolatilityTable,18)</f>
        <v>0.09</v>
      </c>
      <c r="AE166" s="1513" t="n">
        <f aca="false">VLOOKUP($A166,VolatilityTable,19)</f>
        <v>0.11</v>
      </c>
      <c r="AF166" s="1514" t="n">
        <f aca="false">VLOOKUP($A166,VolatilityTable,20)</f>
        <v>0.13</v>
      </c>
      <c r="AG166" s="1513" t="n">
        <f aca="false">VLOOKUP($A166,VolatilityTable,22)</f>
        <v>-0.1</v>
      </c>
      <c r="AH166" s="1513" t="n">
        <f aca="false">VLOOKUP($A166,VolatilityTable,23)</f>
        <v>0.6</v>
      </c>
      <c r="AI166" s="1514" t="n">
        <f aca="false">VLOOKUP($A166,VolatilityTable,24)</f>
        <v>0.1</v>
      </c>
      <c r="AJ166" s="1513" t="n">
        <f aca="false">VLOOKUP($A166,VolatilityTable,22)</f>
        <v>-0.1</v>
      </c>
      <c r="AK166" s="1513" t="n">
        <f aca="false">VLOOKUP($A166,VolatilityTable,23)</f>
        <v>0.6</v>
      </c>
      <c r="AL166" s="1514" t="n">
        <f aca="false">VLOOKUP($A166,VolatilityTable,24)</f>
        <v>0.1</v>
      </c>
      <c r="AM166" s="1513" t="n">
        <f aca="false">VLOOKUP($A166,VolatilityTable,26)</f>
        <v>-0.01</v>
      </c>
      <c r="AN166" s="1513" t="n">
        <f aca="false">VLOOKUP($A166,VolatilityTable,27)</f>
        <v>0.16</v>
      </c>
      <c r="AO166" s="1514" t="n">
        <f aca="false">VLOOKUP($A166,VolatilityTable,28)</f>
        <v>0.01</v>
      </c>
      <c r="AP166" s="1513" t="n">
        <f aca="false">VLOOKUP($A166,VolatilityTable,26)</f>
        <v>-0.01</v>
      </c>
      <c r="AQ166" s="1513" t="n">
        <f aca="false">VLOOKUP($A166,VolatilityTable,27)</f>
        <v>0.16</v>
      </c>
      <c r="AR166" s="1515" t="n">
        <f aca="false">VLOOKUP($A166,VolatilityTable,28)</f>
        <v>0.01</v>
      </c>
      <c r="AS166" s="1581" t="n">
        <f aca="false">IF(CorrPeakOffPeakOverFlag,INDEX(CorrPeakOffPeakOver,C166),CorrPeakOffPeak)</f>
        <v>0.5</v>
      </c>
      <c r="AT166" s="594" t="e">
        <f aca="false">AX166-SUM(AU166:AW166)</f>
        <v>#VALUE!</v>
      </c>
      <c r="AU166" s="238" t="e">
        <f aca="false">IF(E166="",0,INT((F166-MOD(F166,7)-E166)/7)+1-IF(AW166,IF(WEEKDAY(D166)=7,1,0),0))</f>
        <v>#VALUE!</v>
      </c>
      <c r="AV166" s="238" t="e">
        <f aca="false">IF(E166="",0,INT((F166-MOD(F166-1,7)-E166)/7)+1-IF(AW166,IF(WEEKDAY(D166)=1,1,0),0))</f>
        <v>#VALUE!</v>
      </c>
      <c r="AW166" s="238" t="e">
        <f aca="false">IF(OR(E166="",D166="",D166&lt;BegDate,D166&gt;EndDate),0,1)</f>
        <v>#VALUE!</v>
      </c>
      <c r="AX166" s="238" t="n">
        <f aca="false">IF(E166="",0,F166-E166+1)</f>
        <v>31</v>
      </c>
      <c r="AY166" s="1582" t="n">
        <f aca="false">IF(E166="",0,MIN((1-(1-VLOOKUP(B166,MAIN!$AA$7:$AM$28,C166+1))*(1-VLOOKUP(B166,MAIN!$AA$33:$AM$54,C166+1))),1))</f>
        <v>0.03</v>
      </c>
      <c r="AZ166" s="1519" t="e">
        <v>#VALUE!</v>
      </c>
      <c r="BA166" s="1520" t="e">
        <v>#VALUE!</v>
      </c>
      <c r="BB166" s="1520" t="e">
        <v>#VALUE!</v>
      </c>
      <c r="BC166" s="1583" t="e">
        <v>#VALUE!</v>
      </c>
      <c r="BD166" s="1522" t="e">
        <v>#VALUE!</v>
      </c>
      <c r="BE166" s="1523" t="e">
        <v>#VALUE!</v>
      </c>
      <c r="BF166" s="1523" t="e">
        <v>#VALUE!</v>
      </c>
      <c r="BG166" s="1584" t="e">
        <v>#VALUE!</v>
      </c>
      <c r="BH166" s="1525" t="e">
        <v>#VALUE!</v>
      </c>
      <c r="BI166" s="1520" t="e">
        <v>#VALUE!</v>
      </c>
      <c r="BJ166" s="1520" t="e">
        <v>#VALUE!</v>
      </c>
      <c r="BK166" s="1583" t="e">
        <v>#VALUE!</v>
      </c>
      <c r="BL166" s="1522" t="e">
        <v>#VALUE!</v>
      </c>
      <c r="BM166" s="1523" t="e">
        <v>#VALUE!</v>
      </c>
      <c r="BN166" s="1523" t="e">
        <v>#VALUE!</v>
      </c>
      <c r="BO166" s="1523" t="e">
        <v>#VALUE!</v>
      </c>
      <c r="BP166" s="1525" t="e">
        <f aca="false">SUM(AZ166:BB166)</f>
        <v>#VALUE!</v>
      </c>
      <c r="BQ166" s="1529" t="e">
        <f aca="false">SUM(AZ166:BC166)</f>
        <v>#VALUE!</v>
      </c>
      <c r="BR166" s="1519" t="e">
        <f aca="false">SUM(BH166:BJ166)</f>
        <v>#VALUE!</v>
      </c>
      <c r="BS166" s="1529" t="e">
        <f aca="false">SUM(BH166:BK166)</f>
        <v>#VALUE!</v>
      </c>
      <c r="BT166" s="1316" t="n">
        <f aca="false">(IF(OVolType&lt;&gt;2,A166+14,IF(OptExpDateShift,ShiftBack(A166,OptExpDateShift,D165),A166))-DateToday)/365.25</f>
        <v>12.4654346338125</v>
      </c>
      <c r="BU166" s="1585" t="e">
        <f aca="false">IF(BQ166,IF(OPriceCurve,IF(OBuySell=OCallPut,I166/(1-AY166),K166/(1-AY166)),J166/(1-AY166))*BD166,0)</f>
        <v>#VALUE!</v>
      </c>
      <c r="BV166" s="1316" t="e">
        <f aca="false">IF(BQ166,IF(OPriceCurve,IF(OBuySell=OCallPut,L166/(1-AY166),N166/(1-AY166)),M166/(1-AY166))*BE166,0)</f>
        <v>#VALUE!</v>
      </c>
      <c r="BW166" s="1316" t="e">
        <f aca="false">IF(BQ166,IF(OPriceCurve,IF(OBuySell=OCallPut,O166/(1-AY166),Q166/(1-AY166)),P166/(1-AY166))*BF166,0)</f>
        <v>#VALUE!</v>
      </c>
      <c r="BX166" s="1316" t="e">
        <f aca="false">IF(BQ166,IF(OPriceCurve,IF(OBuySell=OCallPut,R166/(1-AY166),T166/(1-AY166)),S166/(1-AY166))*BG166,0)</f>
        <v>#VALUE!</v>
      </c>
      <c r="BY166" s="1316" t="e">
        <f aca="false">IF(BP166,(BU166*AZ166+BV166*BA166+BW166*BB166)/BP166,0)</f>
        <v>#VALUE!</v>
      </c>
      <c r="BZ166" s="1316" t="e">
        <f aca="false">IF(BQ166,(BY166*BP166+BX166*BC166)/BQ166,0)</f>
        <v>#VALUE!</v>
      </c>
      <c r="CA166" s="1531" t="e">
        <f aca="false">IF(BS166,IF(OPriceCurve,IF(OBuySell=OCallPut,I166/(1-AY166),K166/(1-AY166)),J166/(1-AY166))*BL166,0)</f>
        <v>#VALUE!</v>
      </c>
      <c r="CB166" s="1316" t="e">
        <f aca="false">IF(BS166,IF(OPriceCurve,IF(OBuySell=OCallPut,L166/(1-AY166),N166/(1-AY166)),M166/(1-AY166))*BM166,0)</f>
        <v>#VALUE!</v>
      </c>
      <c r="CC166" s="1316" t="e">
        <f aca="false">IF(BS166,IF(OPriceCurve,IF(OBuySell=OCallPut,O166/(1-AY166),Q166/(1-AY166)),P166/(1-AY166))*BN166,0)</f>
        <v>#VALUE!</v>
      </c>
      <c r="CD166" s="1316" t="e">
        <f aca="false">IF(BS166,IF(OPriceCurve,IF(OBuySell=OCallPut,R166/(1-AY166),T166/(1-AY166)),S166/(1-AY166))*BO166,0)</f>
        <v>#VALUE!</v>
      </c>
      <c r="CE166" s="1316" t="e">
        <f aca="false">IF(BR166,(BU166*BH166+BV166*BI166+BW166*BJ166)/BR166,0)</f>
        <v>#VALUE!</v>
      </c>
      <c r="CF166" s="1532" t="e">
        <f aca="false">IF(BS166,(CE166*BR166+CD166*BK166)/BS166,0)</f>
        <v>#VALUE!</v>
      </c>
      <c r="CG166" s="1586" t="e">
        <f aca="false">IF(OR(BQ166,BS166),IF(OVolType&lt;&gt;2,SQRT(IF(OVolOverMonthlyPeak,OVolOverMonthlyPeak,IF(OVolCurve,IF(OBuySell,U166,W166),V166))^2*(1-15/365.25/BT166)+IF(OVolOverDailyPeak,OVolOverDailyPeak,IF(OVolCurve,IF(OBuySell,AG166,AI166),AH166))^2*15/365.25/BT166),IF(OVolOverMonthlyPeak,OVolOverMonthlyPeak,IF(OVolCurve,IF(OBuySell,U166,W166),V166))),"")</f>
        <v>#VALUE!</v>
      </c>
      <c r="CH166" s="1587" t="e">
        <f aca="false">IF(OR(BQ166,BS166),IF(OVolType&lt;&gt;2,SQRT(IF(OVolOverMonthlyPeak,OVolOverMonthlyPeak,IF(OVolCurve,IF(OBuySell,X166,Z166),Y166))^2*(1-15/365.25/BT166)+IF(OVolOverDailyPeak,OVolOverDailyPeak,IF(OVolCurve,IF(OBuySell,AJ166,AL166),AK166))^2*15/365.25/BT166),IF(OVolOverMonthlyPeak,OVolOverMonthlyPeak,IF(OVolCurve,IF(OBuySell,X166,Z166),Y166))),"")</f>
        <v>#VALUE!</v>
      </c>
      <c r="CI166" s="1587" t="e">
        <f aca="false">IF(OR(BQ166,BS166),IF(OVolType&lt;&gt;2,SQRT(IF(OVolOverMonthlyPeak,OVolOverMonthlyPeak,IF(OVolCurve,IF(OBuySell,AA166,AC166),AB166))^2*(1-15/365.25/BT166)+IF(OVolOverDailyPeak,OVolOverDailyPeak,IF(OVolCurve,IF(OBuySell,AM166,AO166),AN166))^2*15/365.25/BT166),IF(OVolOverMonthlyPeak,OVolOverMonthlyPeak,IF(OVolCurve,IF(OBuySell,AA166,AC166),AB166))),"")</f>
        <v>#VALUE!</v>
      </c>
      <c r="CJ166" s="1587" t="e">
        <f aca="false">IF(BQ166,IF(BP166,SQRT(LN(1+((BU166*AZ166)^2*(EXP(CG166^2*BT166)-1)+(BV166*BA166)^2*(EXP(CH166^2*BT166)-1)+(BW166*BB166)^2*(EXP(CI166^2*BT166)-1)+2*BU166*AZ166*BV166*BA166*(EXP(CG166*CH166*BT166)-1)+2*BV166*BA166*BW166*BB166*(EXP(CH166*CI166*BT166)-1)+2*BW166*BB166*BU166*AZ166*(EXP(CI166*CG166*BT166)-1))/(BY166*BP166)^2)/BT166),0),"")</f>
        <v>#VALUE!</v>
      </c>
      <c r="CK166" s="1587" t="e">
        <f aca="false">IF(BS166,IF(BR166,SQRT(LN(1+((CA166*BH166)^2*(EXP(CG166^2*BT166)-1)+(CB166*BI166)^2*(EXP(CH166^2*BT166)-1)+(CC166*BJ166)^2*(EXP(CI166^2*BT166)-1)+2*CA166*BH166*CB166*BI166*(EXP(CG166*CH166*BT166)-1)+2*CB166*BI166*CC166*BJ166*(EXP(CH166*CI166*BT166)-1)+2*CC166*BJ166*CA166*BH166*(EXP(CI166*CG166*BT166)-1))/(CE166*BR166)^2)/BT166),0),"")</f>
        <v>#VALUE!</v>
      </c>
      <c r="CL166" s="1587" t="e">
        <f aca="false">IF(OR(BQ166,BS166),IF(OVolType&lt;&gt;2,SQRT(IF(OVolOverMonthlyOffPeak,OVolOverMonthlyOffPeak,IF(OVolCurve,IF(OBuySell,AD166,AF166),AE166))^2*(1-15/365.25/BT166)+IF(OVolOverDailyOffPeak,OVolOverDailyOffPeak,IF(OVolCurve,IF(OBuySell,AP166,AR166),AQ166))^2*15/365.25/BT166),IF(OVolOverMonthlyOffPeak,OVolOverMonthlyOffPeak,IF(OVolCurve,IF(OBuySell,AD166,AF166),AE166))),"")</f>
        <v>#VALUE!</v>
      </c>
      <c r="CM166" s="1587" t="e">
        <f aca="false">IF(BQ166,SQRT(LN(1+((BY166*BP166)^2*(EXP(CJ166^2*BT166)-1)+(BX166*BC166)^2*(EXP(CL166^2*BT166)-1)+2*BY166*BP166*BX166*BC166*(EXP(AS166*CJ166*CL166*BT166)-1))/(BY166*BP166+BX166*BC166)^2)/BT166),"")</f>
        <v>#VALUE!</v>
      </c>
      <c r="CN166" s="1588" t="e">
        <f aca="false">IF(BS166,SQRT(LN(1+((CE166*BR166)^2*(EXP(CK166^2*BT166)-1)+(CD166*BK166)^2*(EXP(CL166^2*BT166)-1)+2*CE166*BR166*CD166*BK166*(EXP(AS166*CK166*CL166*BT166)-1))/(CE166*BR166+CD166*BK166)^2)/BT166),"")</f>
        <v>#VALUE!</v>
      </c>
      <c r="CO166" s="1531" t="e">
        <f aca="false">IF(OR(BQ166,BS166),VLOOKUP(A166,GasTable,13)*HeatRatePeak*(1+VLOOKUP($B166,HeatRateDegradation,$C166+1))/1000,0)</f>
        <v>#VALUE!</v>
      </c>
      <c r="CP166" s="1316" t="e">
        <f aca="false">IF(OR(BQ166,BS166),VLOOKUP(A166,GasTable,13)*HeatRatePeak*(1+VLOOKUP($B166,HeatRateDegradation,$C166+1))/1000,0)</f>
        <v>#VALUE!</v>
      </c>
      <c r="CQ166" s="1316" t="e">
        <f aca="false">IF(OR(BQ166,BS166),VLOOKUP(A166,GasTable,13)*IF(EV166,HeatRatePeak,HeatRateOffPeak)*(1+VLOOKUP($B166,HeatRateDegradation,$C166+1))/1000,0)</f>
        <v>#VALUE!</v>
      </c>
      <c r="CR166" s="1316" t="e">
        <f aca="false">IF(OR(BQ166,BS166),VLOOKUP(A166,GasTable,13)*IF(EW166,HeatRatePeak,HeatRateOffPeak)*(1+VLOOKUP($B166,HeatRateDegradation,$C166+1))/1000,0)</f>
        <v>#VALUE!</v>
      </c>
      <c r="CS166" s="1589" t="e">
        <f aca="false">IF(BQ166,(CO166*AZ166+CP166*BA166+CQ166*BB166+CR166*BC166)/BQ166,0)</f>
        <v>#VALUE!</v>
      </c>
      <c r="CT166" s="1316" t="e">
        <f aca="false">IF(BS166,CO166,0)</f>
        <v>#VALUE!</v>
      </c>
      <c r="CU166" s="1590" t="e">
        <f aca="false">IF(OR(BQ166,BS166),VLOOKUP(A166,GasTable,14),"")</f>
        <v>#VALUE!</v>
      </c>
      <c r="CV166" s="1568" t="e">
        <f aca="false">IF(OR(BQ166,BS166),IF(CorrPowerGasOverFlag,INDEX(CorrPowerGasOver,C166),CorrPowerGas),"")</f>
        <v>#VALUE!</v>
      </c>
      <c r="CW166" s="1316" t="e">
        <f aca="false">IF(OR($BQ166,$BS166),SpreadOptPowerMargin,0)*((1+Assumptions!$C$26)^($B166-YEAR(Assumptions!$C$17)))</f>
        <v>#VALUE!</v>
      </c>
      <c r="CX166" s="1316" t="e">
        <f aca="false">IF(OR($BQ166,$BS166),SpreadOptPowerMargin,0)*((1+Assumptions!$C$26)^($B166-YEAR(Assumptions!$C$17)))</f>
        <v>#VALUE!</v>
      </c>
      <c r="CY166" s="1316" t="e">
        <f aca="false">IF(OR($BQ166,$BS166),SpreadOptPowerMargin,0)*((1+Assumptions!$C$26)^($B166-YEAR(Assumptions!$C$17)))</f>
        <v>#VALUE!</v>
      </c>
      <c r="CZ166" s="1316" t="e">
        <f aca="false">IF(OR($BQ166,$BS166),SpreadOptPowerMargin,0)*((1+Assumptions!$C$26)^($B166-YEAR(Assumptions!$C$17)))</f>
        <v>#VALUE!</v>
      </c>
      <c r="DA166" s="1591" t="e">
        <f aca="false">IF(OR(BQ166,BS166),(CW166*(AZ166+BH166)+CX166*(BA166+BI166)+CY166*(BB166+BJ166)+CZ166*(BC166+BK166))/(BQ166+BS166),0)</f>
        <v>#VALUE!</v>
      </c>
      <c r="DB166" s="1592" t="e">
        <f aca="false">IF(OR(BQ166,BS166),CG166+IF(OVolSmile,VLOOKUP(MAX(-5,CO166+CW166-BU166),IF(OVolSmile=1,VolSmileBook,VolSmileModel),2),0),"")</f>
        <v>#VALUE!</v>
      </c>
      <c r="DC166" s="1592" t="e">
        <f aca="false">IF(OR(BQ166,BS166),CH166+IF(OVolSmile,VLOOKUP(MAX(-5,CP166+CW166-BV166),IF(OVolSmile=1,VolSmileBook,VolSmileModel),2),0),"")</f>
        <v>#VALUE!</v>
      </c>
      <c r="DD166" s="1592" t="e">
        <f aca="false">IF(OR(BQ166,BS166),CI166+IF(OVolSmile,VLOOKUP(MAX(-5,CQ166+CW166-BW166),IF(OVolSmile=1,VolSmileBook,VolSmileModel),2),0),"")</f>
        <v>#VALUE!</v>
      </c>
      <c r="DE166" s="1592" t="e">
        <f aca="false">IF(OR(BQ166,BS166),CL166+IF(OVolSmile,VLOOKUP(MAX(-5,CR166+CZ166-BX166),IF(OVolSmile=1,VolSmileBook,VolSmileModel),2),0),"")</f>
        <v>#VALUE!</v>
      </c>
      <c r="DF166" s="1592" t="e">
        <f aca="false">IF(BQ166,CM166+IF(OVolSmile,VLOOKUP(MAX(-5,CS166+DA166-BZ166),IF(OVolSmile=1,VolSmileBook,VolSmileModel),2),0),"")</f>
        <v>#VALUE!</v>
      </c>
      <c r="DG166" s="1593" t="e">
        <f aca="false">IF(BS166,CN166+IF(OVolSmile,VLOOKUP(MAX(-5,CT166+DA166-CF166),IF(OVolSmile=1,VolSmileBook,VolSmileModel),2),0),"")</f>
        <v>#VALUE!</v>
      </c>
      <c r="DH166" s="1316" t="e">
        <f aca="false">IF(AND(BU166&gt;0,CO166&gt;0,DB166&gt;0,CU166&gt;0),newSPRDOPT(BU166,CO166,CW166,0,DB166,CU166,CV166,BT166*365.25,OCallPut,0),0)</f>
        <v>#VALUE!</v>
      </c>
      <c r="DI166" s="1316" t="e">
        <f aca="false">IF(AND(BV166&gt;0,CP166&gt;0,DC166&gt;0,CU166&gt;0),newSPRDOPT(BV166,CP166,CX166,0,DC166,CU166,CV166,BT166*365.25,OCallPut,0),0)</f>
        <v>#VALUE!</v>
      </c>
      <c r="DJ166" s="1316" t="e">
        <f aca="false">IF(AND(BW166&gt;0,CQ166&gt;0,DD166&gt;0,CU166&gt;0),newSPRDOPT(BW166,CQ166,CY166,0,DD166,CU166,CV166,BT166*365.25,OCallPut,0),0)</f>
        <v>#VALUE!</v>
      </c>
      <c r="DK166" s="1316" t="e">
        <f aca="false">IF(AND(BX166&gt;0,CR166&gt;0,DE166&gt;0,CU166&gt;0),newSPRDOPT(BX166,CR166,CZ166,0,DE166,CU166,CV166,BT166*365.25,OCallPut,0),0)</f>
        <v>#VALUE!</v>
      </c>
      <c r="DL166" s="1316" t="e">
        <f aca="false">IF(OVolType,IF(AND(BZ166&gt;0,CS166&gt;0,DF166&gt;0,CU166&gt;0),newSPRDOPT(BZ166,CS166,DA166,0,DF166,CU166,CV166,BT166*365.25,OCallPut,0),0),IF(BQ166,(DH166*AZ166+DI166*BA166+DJ166*BB166+DK166*BC166)/BQ166,0))</f>
        <v>#VALUE!</v>
      </c>
      <c r="DM166" s="1316"/>
      <c r="DN166" s="1316"/>
      <c r="DO166" s="1316"/>
      <c r="DP166" s="1316"/>
      <c r="DQ166" s="1316"/>
      <c r="DR166" s="1316"/>
      <c r="DS166" s="1316"/>
      <c r="DT166" s="1316"/>
      <c r="DU166" s="1316"/>
      <c r="DV166" s="1316"/>
      <c r="DW166" s="1594" t="e">
        <f aca="false">IF(AND(BW166&gt;0,CT166&gt;0,DD166&gt;0,CU166&gt;0),newSPRDOPT(BW166,CT166,CY166,0,DD166,CU166,CV166,BT166*365.25,OCallPut,0),0)</f>
        <v>#VALUE!</v>
      </c>
      <c r="DX166" s="1316" t="e">
        <f aca="false">IF(AND(BX166&gt;0,CT166&gt;0,DE166&gt;0,CU166&gt;0),newSPRDOPT(BX166,CT166,CZ166,0,DE166,CU166,CV166,BT166*365.25,OCallPut,0),0)</f>
        <v>#VALUE!</v>
      </c>
      <c r="DY166" s="1591" t="e">
        <f aca="false">IF(BS166,(DH166*BH166+DI166*BI166+DW166*BJ166+DX166*BK166)/BS166,0)</f>
        <v>#VALUE!</v>
      </c>
      <c r="DZ166" s="1551" t="e">
        <f aca="false">DH166*AZ166</f>
        <v>#VALUE!</v>
      </c>
      <c r="EA166" s="1551" t="e">
        <f aca="false">DI166*BA166</f>
        <v>#VALUE!</v>
      </c>
      <c r="EB166" s="1551" t="e">
        <f aca="false">DJ166*BB166</f>
        <v>#VALUE!</v>
      </c>
      <c r="EC166" s="1551" t="e">
        <f aca="false">DK166*BC166</f>
        <v>#VALUE!</v>
      </c>
      <c r="ED166" s="1551" t="e">
        <f aca="false">DL166*BQ166</f>
        <v>#VALUE!</v>
      </c>
      <c r="EE166" s="1595" t="e">
        <f aca="false">IF(BQ166,IF(OCallPut,IF(BU166&gt;(CO166+CW166),BU166-(CO166+CW166),0),IF((CO166+CW166)&gt;BU166,(CO166+CW166)-BU166,0))*AZ166,0)</f>
        <v>#VALUE!</v>
      </c>
      <c r="EF166" s="1596" t="e">
        <f aca="false">IF(BQ166,IF(OCallPut,IF(BV166&gt;(CP166+CX166),BV166-(CP166+CX166),0),IF((CP166+CX166)&gt;BV166,(CP166+CX166)-BV166,0))*BA166,0)</f>
        <v>#VALUE!</v>
      </c>
      <c r="EG166" s="1596" t="e">
        <f aca="false">IF(BQ166,IF(OCallPut,IF(BW166&gt;(CQ166+CY166),BW166-(CQ166+CY166),0),IF((CQ166+CY166)&gt;BW166,(CQ166+CY166)-BW166,0))*BB166,0)</f>
        <v>#VALUE!</v>
      </c>
      <c r="EH166" s="1596" t="e">
        <f aca="false">IF(BQ166,IF(OCallPut,IF(BX166&gt;(CR166+CZ166),BX166-(CR166+CZ166),0),IF((CR166+CZ166)&gt;BX166,(CR166+CZ166)-BX166,0))*BC166,0)</f>
        <v>#VALUE!</v>
      </c>
      <c r="EI166" s="1597" t="e">
        <f aca="false">IF(BQ166,IF(OVolType,IF(OCallPut,IF(BZ166&gt;(CS166+DA166),BZ166-(CS166+DA166),0),IF((CS166+DA166)&gt;BZ166,(CS166+DA166)-BZ166,0))*BQ166,SUM(EE166:EH166)),0)</f>
        <v>#VALUE!</v>
      </c>
      <c r="EJ166" s="1595" t="e">
        <f aca="false">DZ166-EE166</f>
        <v>#VALUE!</v>
      </c>
      <c r="EK166" s="1596" t="e">
        <f aca="false">EA166-EF166</f>
        <v>#VALUE!</v>
      </c>
      <c r="EL166" s="1596" t="e">
        <f aca="false">EB166-EG166</f>
        <v>#VALUE!</v>
      </c>
      <c r="EM166" s="1596" t="e">
        <f aca="false">EC166-EH166</f>
        <v>#VALUE!</v>
      </c>
      <c r="EN166" s="1597" t="e">
        <f aca="false">ED166-EI166</f>
        <v>#VALUE!</v>
      </c>
      <c r="EO166" s="1551" t="e">
        <f aca="false">DH166*BH166</f>
        <v>#VALUE!</v>
      </c>
      <c r="EP166" s="1551" t="e">
        <f aca="false">DI166*BI166</f>
        <v>#VALUE!</v>
      </c>
      <c r="EQ166" s="1551" t="e">
        <f aca="false">DW166*BJ166</f>
        <v>#VALUE!</v>
      </c>
      <c r="ER166" s="1551" t="e">
        <f aca="false">DX166*BK166</f>
        <v>#VALUE!</v>
      </c>
      <c r="ES166" s="1551" t="e">
        <f aca="false">DY166*BS166</f>
        <v>#VALUE!</v>
      </c>
      <c r="ET166" s="1566" t="e">
        <f aca="false">IF(EI166,IF(OCallPut,IF(CA166&gt;(CT166+CW166),CA166-(CT166+CW166),0),IF((CT166+CW166)&gt;CA166,(CT166+CW166)-CA166,0))*BH166,0)</f>
        <v>#VALUE!</v>
      </c>
      <c r="EU166" s="1551" t="e">
        <f aca="false">IF(EI166,IF(OCallPut,IF(CB166&gt;(CT166+CX166),CB166-(CT166+CX166),0),IF((CT166+CX166)&gt;CB166,(CT166+CX166)-CB166,0))*BI166,0)</f>
        <v>#VALUE!</v>
      </c>
      <c r="EV166" s="1551" t="e">
        <f aca="false">IF(EI166,IF(OCallPut,IF(CC166&gt;(CT166+CY166),CC166-(CT166+CY166),0),IF((CT166+CY166)&gt;CC166,(CT166+CY166)-CC166,0))*BJ166,0)</f>
        <v>#VALUE!</v>
      </c>
      <c r="EW166" s="1551" t="e">
        <f aca="false">IF(EI166,IF(OCallPut,IF(CD166&gt;(CT166+CZ166),CD166-(CT166+CZ166),0),IF((CT166+CZ166)&gt;CD166,(CT166+CZ166)-CD166,0))*BK166,0)</f>
        <v>#VALUE!</v>
      </c>
      <c r="EX166" s="1558" t="e">
        <f aca="false">IF(EI166,SUM(ET166:EW166),0)</f>
        <v>#VALUE!</v>
      </c>
      <c r="EY166" s="1551" t="e">
        <f aca="false">EO166-ET166</f>
        <v>#VALUE!</v>
      </c>
      <c r="EZ166" s="1551" t="e">
        <f aca="false">EP166-EU166</f>
        <v>#VALUE!</v>
      </c>
      <c r="FA166" s="1551" t="e">
        <f aca="false">EQ166-EV166</f>
        <v>#VALUE!</v>
      </c>
      <c r="FB166" s="1551" t="e">
        <f aca="false">ER166-EW166</f>
        <v>#VALUE!</v>
      </c>
      <c r="FC166" s="1551" t="e">
        <f aca="false">ES166-EX166</f>
        <v>#VALUE!</v>
      </c>
      <c r="FD166" s="1525" t="n">
        <f aca="false">IF(AX166,IF(VLOOKUP(C166,MAIN!$L$17:$M$28,2)="Yes",VLOOKUP(CALC!B166,MAIN!$H$17:$I$20,2),0),0)</f>
        <v>0</v>
      </c>
      <c r="FE166" s="1552" t="e">
        <f aca="false">$FD166*16*AT166*(1-$AY166)</f>
        <v>#VALUE!</v>
      </c>
      <c r="FF166" s="1553" t="e">
        <f aca="false">$FD166*16*AU166*(1-$AY166)</f>
        <v>#VALUE!</v>
      </c>
      <c r="FG166" s="1553" t="e">
        <f aca="false">$FD166*16*(AV166+AW166)*(1-$AY166)</f>
        <v>#VALUE!</v>
      </c>
      <c r="FH166" s="1554" t="n">
        <f aca="false">$FD166*8*AX166*(1-$AY166)</f>
        <v>0</v>
      </c>
      <c r="FI166" s="1555" t="n">
        <f aca="false">IF(AX166,VLOOKUP(CALC!B166,MAIN!$H$17:$K$20,4),0)</f>
        <v>0</v>
      </c>
      <c r="FJ166" s="1553" t="e">
        <f aca="false">SUM(FE166:FH166)</f>
        <v>#VALUE!</v>
      </c>
      <c r="FK166" s="1556" t="e">
        <f aca="false">FI166*FJ166</f>
        <v>#VALUE!</v>
      </c>
      <c r="FL166" s="1551" t="e">
        <f aca="false">IF($EI166&gt;0,MIN(FE166,AZ166*(1+VLOOKUP($C166,WeatherCapacityAdjustment,2))),0)</f>
        <v>#VALUE!</v>
      </c>
      <c r="FM166" s="1551" t="e">
        <f aca="false">IF($EI166&gt;0,MIN(FF166,BA166*(1+VLOOKUP($C166,WeatherCapacityAdjustment,2))),0)</f>
        <v>#VALUE!</v>
      </c>
      <c r="FN166" s="1551" t="e">
        <f aca="false">IF($EI166&gt;0,MIN(FG166,BB166*(1+VLOOKUP($C166,WeatherCapacityAdjustment,2))),0)</f>
        <v>#VALUE!</v>
      </c>
      <c r="FO166" s="1564" t="e">
        <f aca="false">IF($EI166&gt;0,MIN(FH166,BC166*(1+VLOOKUP($C166,WeatherCapacityAdjustment,3))),0)</f>
        <v>#VALUE!</v>
      </c>
      <c r="FP166" s="1551" t="e">
        <f aca="false">IF(ET166&gt;0,MIN(FE166-FL166,BH166*(1+VLOOKUP($C166,WeatherCapacityAdjustment,2))),0)</f>
        <v>#VALUE!</v>
      </c>
      <c r="FQ166" s="1551" t="e">
        <f aca="false">IF(EU166&gt;0,MIN(FF166-FM166,BI166*(1+VLOOKUP($C166,WeatherCapacityAdjustment,2))),0)</f>
        <v>#VALUE!</v>
      </c>
      <c r="FR166" s="1551" t="e">
        <f aca="false">IF(EV166&gt;0,MIN(FG166-FN166,BJ166*(1+VLOOKUP($C166,WeatherCapacityAdjustment,2))),0)</f>
        <v>#VALUE!</v>
      </c>
      <c r="FS166" s="1558" t="e">
        <f aca="false">IF(EW166&gt;0,MIN(FH166-FO166,BK166*(1+VLOOKUP($C166,WeatherCapacityAdjustment,3))),0)</f>
        <v>#VALUE!</v>
      </c>
      <c r="FT166" s="1566" t="e">
        <f aca="false">IF(AND(Assumptions!$H$71="Yes",A166&gt;=Assumptions!$H$72,A166&lt;=Assumptions!$H$73),0,IF(AND($A166&gt;=Assumptions!$C$17,$A166&lt;=Assumptions!$C$18),MAX(AZ166*(1+VLOOKUP($C166,WeatherCapacityAdjustment,2))-FL166,0),0))</f>
        <v>#VALUE!</v>
      </c>
      <c r="FU166" s="1551" t="e">
        <f aca="false">IF(AND(Assumptions!$H$71="Yes",A166&gt;=Assumptions!$H$72,A166&lt;=Assumptions!$H$73),0,IF(AND($A166&gt;=Assumptions!$C$17,$A166&lt;=Assumptions!$C$18),MAX(BA166*(1+VLOOKUP($C166,WeatherCapacityAdjustment,2))-FM166,0),0))</f>
        <v>#VALUE!</v>
      </c>
      <c r="FV166" s="1551" t="e">
        <f aca="false">IF(AND(Assumptions!$H$71="Yes",A166&gt;=Assumptions!$H$72,A166&lt;=Assumptions!$H$73),0,IF(AND($A166&gt;=Assumptions!$C$17,$A166&lt;=Assumptions!$C$18),MAX(BB166*(1+VLOOKUP($C166,WeatherCapacityAdjustment,2))-FN166,0),0))</f>
        <v>#VALUE!</v>
      </c>
      <c r="FW166" s="1564" t="e">
        <f aca="false">IF(AND(Assumptions!$H$71="Yes",A166&gt;=Assumptions!$H$72,A166&lt;=Assumptions!$H$73),0,IF(AND($A166&gt;=Assumptions!$C$17,$A166&lt;=Assumptions!$C$18),MAX(BC166*(1+VLOOKUP($C166,WeatherCapacityAdjustment,3))-FO166,0),0))</f>
        <v>#VALUE!</v>
      </c>
      <c r="FX166" s="1569" t="e">
        <f aca="false">IF(AND(Assumptions!$H$71="Yes",A166&gt;=Assumptions!$H$72,A166&lt;=Assumptions!$H$73),0,IF(ET166&gt;0,MAX(BH166*(1+VLOOKUP($C166,WeatherCapacityAdjustment,2))-FP166,0),0))</f>
        <v>#VALUE!</v>
      </c>
      <c r="FY166" s="1551" t="e">
        <f aca="false">IF(AND(Assumptions!$H$71="Yes",A166&gt;=Assumptions!$H$72,A166&lt;=Assumptions!$H$73),0,IF(EU166&gt;0,MAX(BI166*(1+VLOOKUP($C166,WeatherCapacityAdjustment,3))-FQ166,0),0))</f>
        <v>#VALUE!</v>
      </c>
      <c r="FZ166" s="1551" t="e">
        <f aca="false">IF(AND(Assumptions!$H$71="Yes",A166&gt;=Assumptions!$H$72,A166&lt;=Assumptions!$H$73),0,IF(EV166&gt;0,MAX(BJ166*(1+VLOOKUP($C166,WeatherCapacityAdjustment,2))-FR166,0),0))</f>
        <v>#VALUE!</v>
      </c>
      <c r="GA166" s="1564" t="e">
        <f aca="false">IF(AND(Assumptions!$H$71="Yes",A166&gt;=Assumptions!$H$72,A166&lt;=Assumptions!$H$73),0,IF(EW166&gt;0,MAX(BK166*(1+VLOOKUP($C166,WeatherCapacityAdjustment,2))-FS166,0),0))</f>
        <v>#VALUE!</v>
      </c>
      <c r="GB166" s="1551" t="e">
        <f aca="false">SUM(FT166:GA166)</f>
        <v>#VALUE!</v>
      </c>
      <c r="GC166" s="1563" t="e">
        <f aca="false">+IF(SUM(FT166:GA166)=0,0,(SUMPRODUCT(BU166:BX166,FT166:FW166)+SUMPRODUCT(CA166:CD166,FX166:GA166))/SUM(FT166:GA166))</f>
        <v>#VALUE!</v>
      </c>
      <c r="GD166" s="1551" t="e">
        <f aca="false">(FT166*BU166+FX166*CA166+FU166*BV166+FY166*CB166+FV166*BW166+FZ166*CC166+FW166*BX166+GA166*CD166)</f>
        <v>#VALUE!</v>
      </c>
      <c r="GE166" s="1561" t="e">
        <f aca="false">+IF(BQ166,((FL166+FM166+FT166+FU166)*HeatRatePeak/1000*(1+VLOOKUP($C166,WeatherHeatRateAdjustment,2))+(FN166+FV166)*IF(EV166&gt;0,HeatRatePeak,HeatRateOffPeak)/1000*(1+VLOOKUP($C166,WeatherHeatRateAdjustment,2))+(FO166+FW166)*IF(EW166&gt;0,HeatRatePeak,HeatRateOffPeak)/1000*(1+VLOOKUP($C166,WeatherHeatRateAdjustment,3)))*(1+VLOOKUP($B166,HeatRateDegradation,$C166+1)),0)</f>
        <v>#VALUE!</v>
      </c>
      <c r="GF166" s="1562" t="e">
        <f aca="false">IF(BQ166,((FP166+FQ166+FR166+FX166+FY166+FZ166)*HeatRatePeak/1000*(1+VLOOKUP($C166,WeatherHeatRateAdjustment,2))+(FS166+GA166)*HeatRatePeak/1000*(1+VLOOKUP($C166,WeatherHeatRateAdjustment,3)))*(1+VLOOKUP($B166,HeatRateDegradation,$C166+1)),0)</f>
        <v>#VALUE!</v>
      </c>
      <c r="GG166" s="1563" t="e">
        <f aca="false">IF(BQ166,VLOOKUP(A166,GasTable,13),0)</f>
        <v>#VALUE!</v>
      </c>
      <c r="GH166" s="1564" t="e">
        <f aca="false">(GE166+GF166)*GG166</f>
        <v>#VALUE!</v>
      </c>
      <c r="GI166" s="1569" t="e">
        <f aca="false">GB166</f>
        <v>#VALUE!</v>
      </c>
      <c r="GJ166" s="1598" t="e">
        <f aca="false">+DA166</f>
        <v>#VALUE!</v>
      </c>
      <c r="GK166" s="1558" t="e">
        <f aca="false">+GI166*GJ166</f>
        <v>#VALUE!</v>
      </c>
      <c r="GL166" s="1566" t="e">
        <f aca="false">MAX(FE166-FL166-FP166,0)</f>
        <v>#VALUE!</v>
      </c>
      <c r="GM166" s="1551" t="e">
        <f aca="false">MAX(FF166-FM166-FQ166,0)</f>
        <v>#VALUE!</v>
      </c>
      <c r="GN166" s="1551" t="e">
        <f aca="false">MAX(FG166-FN166-FR166,0)</f>
        <v>#VALUE!</v>
      </c>
      <c r="GO166" s="1564" t="e">
        <f aca="false">MAX(FH166-FO166-FS166,0)</f>
        <v>#VALUE!</v>
      </c>
      <c r="GP166" s="1551" t="e">
        <f aca="false">SUM(GL166:GO166)</f>
        <v>#VALUE!</v>
      </c>
      <c r="GQ166" s="1563" t="e">
        <f aca="false">IF(SUM(GL166:GO166)=0,0,((GL166*BU166+GM166*BV166+GN166*BW166+GO166*BX166)/SUM(GL166:GO166)))</f>
        <v>#VALUE!</v>
      </c>
      <c r="GR166" s="1558" t="e">
        <f aca="false">(GL166*BU166+GM166*BV166+GN166*BW166+GO166*BX166)</f>
        <v>#VALUE!</v>
      </c>
      <c r="GS166" s="1566" t="n">
        <f aca="false">IF($A166&gt;=BegDate,Assumptions!$C$56*24*($A167-$A166)*(1-VLOOKUP($B166,MAIN!$AA$7:$AM$28,$C166+1))*(1-VLOOKUP($B166,MAIN!$AA$33:$AM$54,$C166+1)),0)*80/168</f>
        <v>257742.857142857</v>
      </c>
      <c r="GT166" s="286" t="n">
        <f aca="false">J166</f>
        <v>50.6373437798577</v>
      </c>
      <c r="GU166" s="286" t="n">
        <f aca="false">IF($A166&gt;=BegDate,VLOOKUP($A166,GasTable,13)+Assumptions!$C$58,0)</f>
        <v>3.31784997368867</v>
      </c>
      <c r="GV166" s="286" t="n">
        <f aca="false">GU166*Assumptions!$C$57/1000</f>
        <v>24.0544123092429</v>
      </c>
      <c r="GW166" s="1558" t="n">
        <f aca="false">IF(Assumptions!$C$60="Hourly",MAX(0,GS166*(GT166-GV166)),GS166*(GT166-GV166))</f>
        <v>6851560.70846903</v>
      </c>
      <c r="GX166" s="1566" t="n">
        <f aca="false">IF($A166&gt;=BegDate,Assumptions!$C$56*24*($A167-$A166)*(1-VLOOKUP($B166,MAIN!$AA$7:$AM$28,$C166+1))*(1-VLOOKUP($B166,MAIN!$AA$33:$AM$54,$C166+1)),0)*16/168</f>
        <v>51548.5714285714</v>
      </c>
      <c r="GY166" s="286" t="n">
        <f aca="false">M166</f>
        <v>50.6373437798577</v>
      </c>
      <c r="GZ166" s="286" t="n">
        <f aca="false">IF($A166&gt;=BegDate,VLOOKUP($A166,GasTable,13)+Assumptions!$C$58,0)</f>
        <v>3.31784997368867</v>
      </c>
      <c r="HA166" s="286" t="n">
        <f aca="false">GZ166*Assumptions!$C$57/1000</f>
        <v>24.0544123092429</v>
      </c>
      <c r="HB166" s="1558" t="n">
        <f aca="false">IF(Assumptions!$C$60="Hourly",MAX(0,GX166*(GY166-HA166)),GX166*(GY166-HA166))</f>
        <v>1370312.14169381</v>
      </c>
      <c r="HC166" s="1566" t="n">
        <f aca="false">IF($A166&gt;=BegDate,Assumptions!$C$56*24*($A167-$A166)*(1-VLOOKUP($B166,MAIN!$AA$7:$AM$28,$C166+1))*(1-VLOOKUP($B166,MAIN!$AA$33:$AM$54,$C166+1)),0)*16/168</f>
        <v>51548.5714285714</v>
      </c>
      <c r="HD166" s="286" t="n">
        <f aca="false">P166</f>
        <v>28.8800216732399</v>
      </c>
      <c r="HE166" s="286" t="n">
        <f aca="false">IF($A166&gt;=BegDate,VLOOKUP($A166,GasTable,13)+Assumptions!$C$58,0)</f>
        <v>3.31784997368867</v>
      </c>
      <c r="HF166" s="286" t="n">
        <f aca="false">HE166*Assumptions!$C$57/1000</f>
        <v>24.0544123092429</v>
      </c>
      <c r="HG166" s="1558" t="n">
        <f aca="false">IF(Assumptions!$C$60="Hourly",MAX(0,HC166*(HD166-HF166)),HC166*(HD166-HF166))</f>
        <v>248753.268986385</v>
      </c>
      <c r="HH166" s="1566" t="n">
        <f aca="false">IF($A166&gt;=BegDate,Assumptions!$C$56*24*($A167-$A166)*(1-VLOOKUP($B166,MAIN!$AA$7:$AM$28,$C166+1))*(1-VLOOKUP($B166,MAIN!$AA$33:$AM$54,$C166+1)),0)*56/168</f>
        <v>180420</v>
      </c>
      <c r="HI166" s="286" t="n">
        <f aca="false">S166</f>
        <v>28.8800216732399</v>
      </c>
      <c r="HJ166" s="286" t="n">
        <f aca="false">IF($A166&gt;=BegDate,VLOOKUP($A166,GasTable,13)+Assumptions!$C$58,0)</f>
        <v>3.31784997368867</v>
      </c>
      <c r="HK166" s="286" t="n">
        <f aca="false">HJ166*Assumptions!$C$57/1000</f>
        <v>24.0544123092429</v>
      </c>
      <c r="HL166" s="1558" t="n">
        <f aca="false">IF(Assumptions!$C$60="Hourly",MAX(0,HH166*(HI166-HK166)),HH166*(HI166-HK166))</f>
        <v>870636.441452348</v>
      </c>
      <c r="HM166" s="1566" t="n">
        <f aca="false">IF(AND(Assumptions!$H$71="Yes",A166&gt;=Assumptions!$H$72,A166&lt;=Assumptions!$H$73),Assumptions!$H$74*Assumptions!$C$9*1000,0)</f>
        <v>0</v>
      </c>
      <c r="HN166" s="1551"/>
      <c r="HO166" s="1563"/>
      <c r="HP166" s="1563"/>
      <c r="HQ166" s="1563"/>
      <c r="HR166" s="1563"/>
      <c r="HS166" s="1563"/>
      <c r="HT166" s="1563"/>
      <c r="HU166" s="1563"/>
      <c r="HV166" s="1563"/>
      <c r="HW166" s="1563"/>
      <c r="HX166" s="1563"/>
      <c r="HY166" s="1563"/>
      <c r="HZ166" s="1563"/>
      <c r="IA166" s="1563"/>
      <c r="IB166" s="1563"/>
      <c r="IC166" s="1563"/>
      <c r="ID166" s="1563"/>
      <c r="IE166" s="1563"/>
      <c r="IF166" s="1563"/>
      <c r="IG166" s="1563"/>
      <c r="IH166" s="1563"/>
      <c r="II166" s="1610"/>
      <c r="IJ166" s="1309"/>
      <c r="IK166" s="1309"/>
    </row>
    <row r="167" customFormat="false" ht="12.75" hidden="false" customHeight="false" outlineLevel="0" collapsed="false">
      <c r="A167" s="1571" t="n">
        <f aca="false">EOMONTH(A166,0)+1</f>
        <v>41214</v>
      </c>
      <c r="B167" s="594" t="n">
        <f aca="false">+YEAR(A167)</f>
        <v>2012</v>
      </c>
      <c r="C167" s="238" t="n">
        <f aca="false">MONTH(A167)</f>
        <v>11</v>
      </c>
      <c r="D167" s="1572" t="e">
        <f aca="false">IF(E167="","",Holiday(B167,C167))</f>
        <v>#VALUE!</v>
      </c>
      <c r="E167" s="1573" t="n">
        <f aca="false">IF(OR(BegDate&gt;=A168,EndDate&lt;A167,AND(VolumeMonthlyOverFlag,INDEX(VolumeMonthlyOver,C167)=0),NOT(INDEX(MonthKnockOutTable,C167))),"",MAX(A167,BegDate))</f>
        <v>41214</v>
      </c>
      <c r="F167" s="1574" t="n">
        <f aca="false">IF(E167="","",MIN(A168-1,EndDate))</f>
        <v>41243</v>
      </c>
      <c r="G167" s="1575" t="n">
        <v>0</v>
      </c>
      <c r="H167" s="1576" t="n">
        <f aca="false">(1+G167/2)^(-2*(DATE(B168,C168,20)-DateToday)/365.25)</f>
        <v>1</v>
      </c>
      <c r="I167" s="1568" t="n">
        <f aca="false">IF(Assumptions!$L$25=4,VLOOKUP($A167,'Henwood Reference'!$E$9:$R$320,10),(VLOOKUP($A167,PriceTable,2,0)+IF(BasisNumber&lt;&gt;1,VLOOKUP($A167,BasisTable,2,0),0)+I$1)/(1-I$2))</f>
        <v>55.3119562104358</v>
      </c>
      <c r="J167" s="1568" t="n">
        <f aca="false">IF(Assumptions!$L$25=4,VLOOKUP($A167,'Henwood Reference'!$E$9:$R$320,10),(VLOOKUP($A167,PriceTable,3,0)+IF(BasisNumber&lt;&gt;1,VLOOKUP($A167,BasisTable,2,0),0)+J$1)/(1-J$2))</f>
        <v>55.3119562104358</v>
      </c>
      <c r="K167" s="1568" t="n">
        <f aca="false">IF(Assumptions!$L$25=4,VLOOKUP($A167,'Henwood Reference'!$E$9:$R$320,10),(VLOOKUP($A167,PriceTable,4,0)+IF(BasisNumber&lt;&gt;1,VLOOKUP($A167,BasisTable,2,0),0)+K$1)/(1-K$2))</f>
        <v>55.3119562104358</v>
      </c>
      <c r="L167" s="1523" t="n">
        <f aca="false">IF(Assumptions!$L$25=4,VLOOKUP($A167,'Henwood Reference'!$E$9:$R$320,10),(VLOOKUP($A167,PriceTableWeekend,2,0)+IF(BasisNumber&lt;&gt;1,VLOOKUP($A167,BasisTable,2,0),0)+L$1)/(1-L$2))</f>
        <v>55.3119562104358</v>
      </c>
      <c r="M167" s="1568" t="n">
        <f aca="false">IF(Assumptions!$L$25=4,VLOOKUP($A167,'Henwood Reference'!$E$9:$R$320,10),(VLOOKUP($A167,PriceTableWeekend,3,0)+IF(BasisNumber&lt;&gt;1,VLOOKUP($A167,BasisTable,2,0),0)+M$1)/(1-M$2))</f>
        <v>55.3119562104358</v>
      </c>
      <c r="N167" s="1599" t="n">
        <f aca="false">IF(Assumptions!$L$25=4,VLOOKUP($A167,'Henwood Reference'!$E$9:$R$320,10),(VLOOKUP($A167,PriceTableWeekend,4,0)+IF(BasisNumber&lt;&gt;1,VLOOKUP($A167,BasisTable,2,0),0)+N$1)/(1-N$2))</f>
        <v>55.3119562104358</v>
      </c>
      <c r="O167" s="1568" t="n">
        <f aca="false">IF(Assumptions!$L$25=4,VLOOKUP($A167,'Henwood Reference'!$E$9:$R$320,11),(VLOOKUP($A167,PriceTableWeekend,6,0)+IF(BasisNumber&lt;&gt;1,VLOOKUP($A167,BasisTable,3,0),0)+O$1)/(1-O$2))</f>
        <v>31.0390765043032</v>
      </c>
      <c r="P167" s="1568" t="n">
        <f aca="false">IF(Assumptions!$L$25=4,VLOOKUP($A167,'Henwood Reference'!$E$9:$R$320,11),(VLOOKUP($A167,PriceTableWeekend,7,0)+IF(BasisNumber&lt;&gt;1,VLOOKUP($A167,BasisTable,3,0),0)+P$1)/(1-P$2))</f>
        <v>31.0390765043032</v>
      </c>
      <c r="Q167" s="1599" t="n">
        <f aca="false">IF(Assumptions!$L$25=4,VLOOKUP($A167,'Henwood Reference'!$E$9:$R$320,11),(VLOOKUP($A167,PriceTableWeekend,8,0)+IF(BasisNumber&lt;&gt;1,VLOOKUP($A167,BasisTable,3,0),0)+Q$1)/(1-Q$2))</f>
        <v>31.0390765043032</v>
      </c>
      <c r="R167" s="1568" t="n">
        <f aca="false">IF(Assumptions!$L$25=4,VLOOKUP($A167,'Henwood Reference'!$E$9:$R$320,11),(VLOOKUP($A167,PriceTable,6,0)+IF(BasisNumber&lt;&gt;1,VLOOKUP($A167,BasisTable,3,0),0)+R$1)/(1-R$2))</f>
        <v>31.0390765043032</v>
      </c>
      <c r="S167" s="1568" t="n">
        <f aca="false">IF(Assumptions!$L$25=4,VLOOKUP($A167,'Henwood Reference'!$E$9:$R$320,11),(VLOOKUP($A167,PriceTable,7,0)+IF(BasisNumber&lt;&gt;1,VLOOKUP($A167,BasisTable,3,0),0)+S$1)/(1-S$2))</f>
        <v>31.0390765043032</v>
      </c>
      <c r="T167" s="1600" t="n">
        <f aca="false">IF(Assumptions!$L$25=4,VLOOKUP($A167,'Henwood Reference'!$E$9:$R$320,11),(VLOOKUP($A167,PriceTable,8,0)+IF(BasisNumber&lt;&gt;1,VLOOKUP($A167,BasisTable,3,0),0)+T$1)/(1-T$2))</f>
        <v>31.0390765043032</v>
      </c>
      <c r="U167" s="1513" t="n">
        <f aca="false">VLOOKUP($A167,VolatilityTable,14)</f>
        <v>0.11</v>
      </c>
      <c r="V167" s="1513" t="n">
        <f aca="false">VLOOKUP($A167,VolatilityTable,15)</f>
        <v>0.12</v>
      </c>
      <c r="W167" s="1514" t="n">
        <f aca="false">VLOOKUP($A167,VolatilityTable,16)</f>
        <v>0.13</v>
      </c>
      <c r="X167" s="1513" t="n">
        <f aca="false">VLOOKUP($A167,VolatilityTable,14)</f>
        <v>0.11</v>
      </c>
      <c r="Y167" s="1513" t="n">
        <f aca="false">VLOOKUP($A167,VolatilityTable,15)</f>
        <v>0.12</v>
      </c>
      <c r="Z167" s="1514" t="n">
        <f aca="false">VLOOKUP($A167,VolatilityTable,16)</f>
        <v>0.13</v>
      </c>
      <c r="AA167" s="1513" t="n">
        <f aca="false">VLOOKUP($A167,VolatilityTable,18)</f>
        <v>0.09</v>
      </c>
      <c r="AB167" s="1513" t="n">
        <f aca="false">VLOOKUP($A167,VolatilityTable,19)</f>
        <v>0.11</v>
      </c>
      <c r="AC167" s="1514" t="n">
        <f aca="false">VLOOKUP($A167,VolatilityTable,20)</f>
        <v>0.13</v>
      </c>
      <c r="AD167" s="1513" t="n">
        <f aca="false">VLOOKUP($A167,VolatilityTable,18)</f>
        <v>0.09</v>
      </c>
      <c r="AE167" s="1513" t="n">
        <f aca="false">VLOOKUP($A167,VolatilityTable,19)</f>
        <v>0.11</v>
      </c>
      <c r="AF167" s="1514" t="n">
        <f aca="false">VLOOKUP($A167,VolatilityTable,20)</f>
        <v>0.13</v>
      </c>
      <c r="AG167" s="1513" t="n">
        <f aca="false">VLOOKUP($A167,VolatilityTable,22)</f>
        <v>-0.1</v>
      </c>
      <c r="AH167" s="1513" t="n">
        <f aca="false">VLOOKUP($A167,VolatilityTable,23)</f>
        <v>0.6</v>
      </c>
      <c r="AI167" s="1514" t="n">
        <f aca="false">VLOOKUP($A167,VolatilityTable,24)</f>
        <v>0.1</v>
      </c>
      <c r="AJ167" s="1513" t="n">
        <f aca="false">VLOOKUP($A167,VolatilityTable,22)</f>
        <v>-0.1</v>
      </c>
      <c r="AK167" s="1513" t="n">
        <f aca="false">VLOOKUP($A167,VolatilityTable,23)</f>
        <v>0.6</v>
      </c>
      <c r="AL167" s="1514" t="n">
        <f aca="false">VLOOKUP($A167,VolatilityTable,24)</f>
        <v>0.1</v>
      </c>
      <c r="AM167" s="1513" t="n">
        <f aca="false">VLOOKUP($A167,VolatilityTable,26)</f>
        <v>-0.01</v>
      </c>
      <c r="AN167" s="1513" t="n">
        <f aca="false">VLOOKUP($A167,VolatilityTable,27)</f>
        <v>0.16</v>
      </c>
      <c r="AO167" s="1514" t="n">
        <f aca="false">VLOOKUP($A167,VolatilityTable,28)</f>
        <v>0.01</v>
      </c>
      <c r="AP167" s="1513" t="n">
        <f aca="false">VLOOKUP($A167,VolatilityTable,26)</f>
        <v>-0.01</v>
      </c>
      <c r="AQ167" s="1513" t="n">
        <f aca="false">VLOOKUP($A167,VolatilityTable,27)</f>
        <v>0.16</v>
      </c>
      <c r="AR167" s="1515" t="n">
        <f aca="false">VLOOKUP($A167,VolatilityTable,28)</f>
        <v>0.01</v>
      </c>
      <c r="AS167" s="1581" t="n">
        <f aca="false">IF(CorrPeakOffPeakOverFlag,INDEX(CorrPeakOffPeakOver,C167),CorrPeakOffPeak)</f>
        <v>0.5</v>
      </c>
      <c r="AT167" s="594" t="e">
        <f aca="false">AX167-SUM(AU167:AW167)</f>
        <v>#VALUE!</v>
      </c>
      <c r="AU167" s="238" t="e">
        <f aca="false">IF(E167="",0,INT((F167-MOD(F167,7)-E167)/7)+1-IF(AW167,IF(WEEKDAY(D167)=7,1,0),0))</f>
        <v>#VALUE!</v>
      </c>
      <c r="AV167" s="238" t="e">
        <f aca="false">IF(E167="",0,INT((F167-MOD(F167-1,7)-E167)/7)+1-IF(AW167,IF(WEEKDAY(D167)=1,1,0),0))</f>
        <v>#VALUE!</v>
      </c>
      <c r="AW167" s="238" t="e">
        <f aca="false">IF(OR(E167="",D167="",D167&lt;BegDate,D167&gt;EndDate),0,1)</f>
        <v>#VALUE!</v>
      </c>
      <c r="AX167" s="238" t="n">
        <f aca="false">IF(E167="",0,F167-E167+1)</f>
        <v>30</v>
      </c>
      <c r="AY167" s="1582" t="n">
        <f aca="false">IF(E167="",0,MIN((1-(1-VLOOKUP(B167,MAIN!$AA$7:$AM$28,C167+1))*(1-VLOOKUP(B167,MAIN!$AA$33:$AM$54,C167+1))),1))</f>
        <v>0.03</v>
      </c>
      <c r="AZ167" s="1519" t="e">
        <v>#VALUE!</v>
      </c>
      <c r="BA167" s="1520" t="e">
        <v>#VALUE!</v>
      </c>
      <c r="BB167" s="1520" t="e">
        <v>#VALUE!</v>
      </c>
      <c r="BC167" s="1583" t="e">
        <v>#VALUE!</v>
      </c>
      <c r="BD167" s="1522" t="e">
        <v>#VALUE!</v>
      </c>
      <c r="BE167" s="1523" t="e">
        <v>#VALUE!</v>
      </c>
      <c r="BF167" s="1523" t="e">
        <v>#VALUE!</v>
      </c>
      <c r="BG167" s="1584" t="e">
        <v>#VALUE!</v>
      </c>
      <c r="BH167" s="1525" t="e">
        <v>#VALUE!</v>
      </c>
      <c r="BI167" s="1520" t="e">
        <v>#VALUE!</v>
      </c>
      <c r="BJ167" s="1520" t="e">
        <v>#VALUE!</v>
      </c>
      <c r="BK167" s="1583" t="e">
        <v>#VALUE!</v>
      </c>
      <c r="BL167" s="1522" t="e">
        <v>#VALUE!</v>
      </c>
      <c r="BM167" s="1523" t="e">
        <v>#VALUE!</v>
      </c>
      <c r="BN167" s="1523" t="e">
        <v>#VALUE!</v>
      </c>
      <c r="BO167" s="1523" t="e">
        <v>#VALUE!</v>
      </c>
      <c r="BP167" s="1525" t="e">
        <f aca="false">SUM(AZ167:BB167)</f>
        <v>#VALUE!</v>
      </c>
      <c r="BQ167" s="1529" t="e">
        <f aca="false">SUM(AZ167:BC167)</f>
        <v>#VALUE!</v>
      </c>
      <c r="BR167" s="1519" t="e">
        <f aca="false">SUM(BH167:BJ167)</f>
        <v>#VALUE!</v>
      </c>
      <c r="BS167" s="1529" t="e">
        <f aca="false">SUM(BH167:BK167)</f>
        <v>#VALUE!</v>
      </c>
      <c r="BT167" s="1316" t="n">
        <f aca="false">(IF(OVolType&lt;&gt;2,A167+14,IF(OptExpDateShift,ShiftBack(A167,OptExpDateShift,D166),A167))-DateToday)/365.25</f>
        <v>12.5503080082136</v>
      </c>
      <c r="BU167" s="1585" t="e">
        <f aca="false">IF(BQ167,IF(OPriceCurve,IF(OBuySell=OCallPut,I167/(1-AY167),K167/(1-AY167)),J167/(1-AY167))*BD167,0)</f>
        <v>#VALUE!</v>
      </c>
      <c r="BV167" s="1316" t="e">
        <f aca="false">IF(BQ167,IF(OPriceCurve,IF(OBuySell=OCallPut,L167/(1-AY167),N167/(1-AY167)),M167/(1-AY167))*BE167,0)</f>
        <v>#VALUE!</v>
      </c>
      <c r="BW167" s="1316" t="e">
        <f aca="false">IF(BQ167,IF(OPriceCurve,IF(OBuySell=OCallPut,O167/(1-AY167),Q167/(1-AY167)),P167/(1-AY167))*BF167,0)</f>
        <v>#VALUE!</v>
      </c>
      <c r="BX167" s="1316" t="e">
        <f aca="false">IF(BQ167,IF(OPriceCurve,IF(OBuySell=OCallPut,R167/(1-AY167),T167/(1-AY167)),S167/(1-AY167))*BG167,0)</f>
        <v>#VALUE!</v>
      </c>
      <c r="BY167" s="1316" t="e">
        <f aca="false">IF(BP167,(BU167*AZ167+BV167*BA167+BW167*BB167)/BP167,0)</f>
        <v>#VALUE!</v>
      </c>
      <c r="BZ167" s="1316" t="e">
        <f aca="false">IF(BQ167,(BY167*BP167+BX167*BC167)/BQ167,0)</f>
        <v>#VALUE!</v>
      </c>
      <c r="CA167" s="1531" t="e">
        <f aca="false">IF(BS167,IF(OPriceCurve,IF(OBuySell=OCallPut,I167/(1-AY167),K167/(1-AY167)),J167/(1-AY167))*BL167,0)</f>
        <v>#VALUE!</v>
      </c>
      <c r="CB167" s="1316" t="e">
        <f aca="false">IF(BS167,IF(OPriceCurve,IF(OBuySell=OCallPut,L167/(1-AY167),N167/(1-AY167)),M167/(1-AY167))*BM167,0)</f>
        <v>#VALUE!</v>
      </c>
      <c r="CC167" s="1316" t="e">
        <f aca="false">IF(BS167,IF(OPriceCurve,IF(OBuySell=OCallPut,O167/(1-AY167),Q167/(1-AY167)),P167/(1-AY167))*BN167,0)</f>
        <v>#VALUE!</v>
      </c>
      <c r="CD167" s="1316" t="e">
        <f aca="false">IF(BS167,IF(OPriceCurve,IF(OBuySell=OCallPut,R167/(1-AY167),T167/(1-AY167)),S167/(1-AY167))*BO167,0)</f>
        <v>#VALUE!</v>
      </c>
      <c r="CE167" s="1316" t="e">
        <f aca="false">IF(BR167,(BU167*BH167+BV167*BI167+BW167*BJ167)/BR167,0)</f>
        <v>#VALUE!</v>
      </c>
      <c r="CF167" s="1532" t="e">
        <f aca="false">IF(BS167,(CE167*BR167+CD167*BK167)/BS167,0)</f>
        <v>#VALUE!</v>
      </c>
      <c r="CG167" s="1586" t="e">
        <f aca="false">IF(OR(BQ167,BS167),IF(OVolType&lt;&gt;2,SQRT(IF(OVolOverMonthlyPeak,OVolOverMonthlyPeak,IF(OVolCurve,IF(OBuySell,U167,W167),V167))^2*(1-15/365.25/BT167)+IF(OVolOverDailyPeak,OVolOverDailyPeak,IF(OVolCurve,IF(OBuySell,AG167,AI167),AH167))^2*15/365.25/BT167),IF(OVolOverMonthlyPeak,OVolOverMonthlyPeak,IF(OVolCurve,IF(OBuySell,U167,W167),V167))),"")</f>
        <v>#VALUE!</v>
      </c>
      <c r="CH167" s="1587" t="e">
        <f aca="false">IF(OR(BQ167,BS167),IF(OVolType&lt;&gt;2,SQRT(IF(OVolOverMonthlyPeak,OVolOverMonthlyPeak,IF(OVolCurve,IF(OBuySell,X167,Z167),Y167))^2*(1-15/365.25/BT167)+IF(OVolOverDailyPeak,OVolOverDailyPeak,IF(OVolCurve,IF(OBuySell,AJ167,AL167),AK167))^2*15/365.25/BT167),IF(OVolOverMonthlyPeak,OVolOverMonthlyPeak,IF(OVolCurve,IF(OBuySell,X167,Z167),Y167))),"")</f>
        <v>#VALUE!</v>
      </c>
      <c r="CI167" s="1587" t="e">
        <f aca="false">IF(OR(BQ167,BS167),IF(OVolType&lt;&gt;2,SQRT(IF(OVolOverMonthlyPeak,OVolOverMonthlyPeak,IF(OVolCurve,IF(OBuySell,AA167,AC167),AB167))^2*(1-15/365.25/BT167)+IF(OVolOverDailyPeak,OVolOverDailyPeak,IF(OVolCurve,IF(OBuySell,AM167,AO167),AN167))^2*15/365.25/BT167),IF(OVolOverMonthlyPeak,OVolOverMonthlyPeak,IF(OVolCurve,IF(OBuySell,AA167,AC167),AB167))),"")</f>
        <v>#VALUE!</v>
      </c>
      <c r="CJ167" s="1587" t="e">
        <f aca="false">IF(BQ167,IF(BP167,SQRT(LN(1+((BU167*AZ167)^2*(EXP(CG167^2*BT167)-1)+(BV167*BA167)^2*(EXP(CH167^2*BT167)-1)+(BW167*BB167)^2*(EXP(CI167^2*BT167)-1)+2*BU167*AZ167*BV167*BA167*(EXP(CG167*CH167*BT167)-1)+2*BV167*BA167*BW167*BB167*(EXP(CH167*CI167*BT167)-1)+2*BW167*BB167*BU167*AZ167*(EXP(CI167*CG167*BT167)-1))/(BY167*BP167)^2)/BT167),0),"")</f>
        <v>#VALUE!</v>
      </c>
      <c r="CK167" s="1587" t="e">
        <f aca="false">IF(BS167,IF(BR167,SQRT(LN(1+((CA167*BH167)^2*(EXP(CG167^2*BT167)-1)+(CB167*BI167)^2*(EXP(CH167^2*BT167)-1)+(CC167*BJ167)^2*(EXP(CI167^2*BT167)-1)+2*CA167*BH167*CB167*BI167*(EXP(CG167*CH167*BT167)-1)+2*CB167*BI167*CC167*BJ167*(EXP(CH167*CI167*BT167)-1)+2*CC167*BJ167*CA167*BH167*(EXP(CI167*CG167*BT167)-1))/(CE167*BR167)^2)/BT167),0),"")</f>
        <v>#VALUE!</v>
      </c>
      <c r="CL167" s="1587" t="e">
        <f aca="false">IF(OR(BQ167,BS167),IF(OVolType&lt;&gt;2,SQRT(IF(OVolOverMonthlyOffPeak,OVolOverMonthlyOffPeak,IF(OVolCurve,IF(OBuySell,AD167,AF167),AE167))^2*(1-15/365.25/BT167)+IF(OVolOverDailyOffPeak,OVolOverDailyOffPeak,IF(OVolCurve,IF(OBuySell,AP167,AR167),AQ167))^2*15/365.25/BT167),IF(OVolOverMonthlyOffPeak,OVolOverMonthlyOffPeak,IF(OVolCurve,IF(OBuySell,AD167,AF167),AE167))),"")</f>
        <v>#VALUE!</v>
      </c>
      <c r="CM167" s="1587" t="e">
        <f aca="false">IF(BQ167,SQRT(LN(1+((BY167*BP167)^2*(EXP(CJ167^2*BT167)-1)+(BX167*BC167)^2*(EXP(CL167^2*BT167)-1)+2*BY167*BP167*BX167*BC167*(EXP(AS167*CJ167*CL167*BT167)-1))/(BY167*BP167+BX167*BC167)^2)/BT167),"")</f>
        <v>#VALUE!</v>
      </c>
      <c r="CN167" s="1588" t="e">
        <f aca="false">IF(BS167,SQRT(LN(1+((CE167*BR167)^2*(EXP(CK167^2*BT167)-1)+(CD167*BK167)^2*(EXP(CL167^2*BT167)-1)+2*CE167*BR167*CD167*BK167*(EXP(AS167*CK167*CL167*BT167)-1))/(CE167*BR167+CD167*BK167)^2)/BT167),"")</f>
        <v>#VALUE!</v>
      </c>
      <c r="CO167" s="1531" t="e">
        <f aca="false">IF(OR(BQ167,BS167),VLOOKUP(A167,GasTable,13)*HeatRatePeak*(1+VLOOKUP($B167,HeatRateDegradation,$C167+1))/1000,0)</f>
        <v>#VALUE!</v>
      </c>
      <c r="CP167" s="1316" t="e">
        <f aca="false">IF(OR(BQ167,BS167),VLOOKUP(A167,GasTable,13)*HeatRatePeak*(1+VLOOKUP($B167,HeatRateDegradation,$C167+1))/1000,0)</f>
        <v>#VALUE!</v>
      </c>
      <c r="CQ167" s="1316" t="e">
        <f aca="false">IF(OR(BQ167,BS167),VLOOKUP(A167,GasTable,13)*IF(EV167,HeatRatePeak,HeatRateOffPeak)*(1+VLOOKUP($B167,HeatRateDegradation,$C167+1))/1000,0)</f>
        <v>#VALUE!</v>
      </c>
      <c r="CR167" s="1316" t="e">
        <f aca="false">IF(OR(BQ167,BS167),VLOOKUP(A167,GasTable,13)*IF(EW167,HeatRatePeak,HeatRateOffPeak)*(1+VLOOKUP($B167,HeatRateDegradation,$C167+1))/1000,0)</f>
        <v>#VALUE!</v>
      </c>
      <c r="CS167" s="1589" t="e">
        <f aca="false">IF(BQ167,(CO167*AZ167+CP167*BA167+CQ167*BB167+CR167*BC167)/BQ167,0)</f>
        <v>#VALUE!</v>
      </c>
      <c r="CT167" s="1316" t="e">
        <f aca="false">IF(BS167,CO167,0)</f>
        <v>#VALUE!</v>
      </c>
      <c r="CU167" s="1590" t="e">
        <f aca="false">IF(OR(BQ167,BS167),VLOOKUP(A167,GasTable,14),"")</f>
        <v>#VALUE!</v>
      </c>
      <c r="CV167" s="1568" t="e">
        <f aca="false">IF(OR(BQ167,BS167),IF(CorrPowerGasOverFlag,INDEX(CorrPowerGasOver,C167),CorrPowerGas),"")</f>
        <v>#VALUE!</v>
      </c>
      <c r="CW167" s="1316" t="e">
        <f aca="false">IF(OR($BQ167,$BS167),SpreadOptPowerMargin,0)*((1+Assumptions!$C$26)^($B167-YEAR(Assumptions!$C$17)))</f>
        <v>#VALUE!</v>
      </c>
      <c r="CX167" s="1316" t="e">
        <f aca="false">IF(OR($BQ167,$BS167),SpreadOptPowerMargin,0)*((1+Assumptions!$C$26)^($B167-YEAR(Assumptions!$C$17)))</f>
        <v>#VALUE!</v>
      </c>
      <c r="CY167" s="1316" t="e">
        <f aca="false">IF(OR($BQ167,$BS167),SpreadOptPowerMargin,0)*((1+Assumptions!$C$26)^($B167-YEAR(Assumptions!$C$17)))</f>
        <v>#VALUE!</v>
      </c>
      <c r="CZ167" s="1316" t="e">
        <f aca="false">IF(OR($BQ167,$BS167),SpreadOptPowerMargin,0)*((1+Assumptions!$C$26)^($B167-YEAR(Assumptions!$C$17)))</f>
        <v>#VALUE!</v>
      </c>
      <c r="DA167" s="1591" t="e">
        <f aca="false">IF(OR(BQ167,BS167),(CW167*(AZ167+BH167)+CX167*(BA167+BI167)+CY167*(BB167+BJ167)+CZ167*(BC167+BK167))/(BQ167+BS167),0)</f>
        <v>#VALUE!</v>
      </c>
      <c r="DB167" s="1592" t="e">
        <f aca="false">IF(OR(BQ167,BS167),CG167+IF(OVolSmile,VLOOKUP(MAX(-5,CO167+CW167-BU167),IF(OVolSmile=1,VolSmileBook,VolSmileModel),2),0),"")</f>
        <v>#VALUE!</v>
      </c>
      <c r="DC167" s="1592" t="e">
        <f aca="false">IF(OR(BQ167,BS167),CH167+IF(OVolSmile,VLOOKUP(MAX(-5,CP167+CW167-BV167),IF(OVolSmile=1,VolSmileBook,VolSmileModel),2),0),"")</f>
        <v>#VALUE!</v>
      </c>
      <c r="DD167" s="1592" t="e">
        <f aca="false">IF(OR(BQ167,BS167),CI167+IF(OVolSmile,VLOOKUP(MAX(-5,CQ167+CW167-BW167),IF(OVolSmile=1,VolSmileBook,VolSmileModel),2),0),"")</f>
        <v>#VALUE!</v>
      </c>
      <c r="DE167" s="1592" t="e">
        <f aca="false">IF(OR(BQ167,BS167),CL167+IF(OVolSmile,VLOOKUP(MAX(-5,CR167+CZ167-BX167),IF(OVolSmile=1,VolSmileBook,VolSmileModel),2),0),"")</f>
        <v>#VALUE!</v>
      </c>
      <c r="DF167" s="1592" t="e">
        <f aca="false">IF(BQ167,CM167+IF(OVolSmile,VLOOKUP(MAX(-5,CS167+DA167-BZ167),IF(OVolSmile=1,VolSmileBook,VolSmileModel),2),0),"")</f>
        <v>#VALUE!</v>
      </c>
      <c r="DG167" s="1593" t="e">
        <f aca="false">IF(BS167,CN167+IF(OVolSmile,VLOOKUP(MAX(-5,CT167+DA167-CF167),IF(OVolSmile=1,VolSmileBook,VolSmileModel),2),0),"")</f>
        <v>#VALUE!</v>
      </c>
      <c r="DH167" s="1316" t="e">
        <f aca="false">IF(AND(BU167&gt;0,CO167&gt;0,DB167&gt;0,CU167&gt;0),newSPRDOPT(BU167,CO167,CW167,0,DB167,CU167,CV167,BT167*365.25,OCallPut,0),0)</f>
        <v>#VALUE!</v>
      </c>
      <c r="DI167" s="1316" t="e">
        <f aca="false">IF(AND(BV167&gt;0,CP167&gt;0,DC167&gt;0,CU167&gt;0),newSPRDOPT(BV167,CP167,CX167,0,DC167,CU167,CV167,BT167*365.25,OCallPut,0),0)</f>
        <v>#VALUE!</v>
      </c>
      <c r="DJ167" s="1316" t="e">
        <f aca="false">IF(AND(BW167&gt;0,CQ167&gt;0,DD167&gt;0,CU167&gt;0),newSPRDOPT(BW167,CQ167,CY167,0,DD167,CU167,CV167,BT167*365.25,OCallPut,0),0)</f>
        <v>#VALUE!</v>
      </c>
      <c r="DK167" s="1316" t="e">
        <f aca="false">IF(AND(BX167&gt;0,CR167&gt;0,DE167&gt;0,CU167&gt;0),newSPRDOPT(BX167,CR167,CZ167,0,DE167,CU167,CV167,BT167*365.25,OCallPut,0),0)</f>
        <v>#VALUE!</v>
      </c>
      <c r="DL167" s="1316" t="e">
        <f aca="false">IF(OVolType,IF(AND(BZ167&gt;0,CS167&gt;0,DF167&gt;0,CU167&gt;0),newSPRDOPT(BZ167,CS167,DA167,0,DF167,CU167,CV167,BT167*365.25,OCallPut,0),0),IF(BQ167,(DH167*AZ167+DI167*BA167+DJ167*BB167+DK167*BC167)/BQ167,0))</f>
        <v>#VALUE!</v>
      </c>
      <c r="DM167" s="1316"/>
      <c r="DN167" s="1316"/>
      <c r="DO167" s="1316"/>
      <c r="DP167" s="1316"/>
      <c r="DQ167" s="1316"/>
      <c r="DR167" s="1316"/>
      <c r="DS167" s="1316"/>
      <c r="DT167" s="1316"/>
      <c r="DU167" s="1316"/>
      <c r="DV167" s="1316"/>
      <c r="DW167" s="1594" t="e">
        <f aca="false">IF(AND(BW167&gt;0,CT167&gt;0,DD167&gt;0,CU167&gt;0),newSPRDOPT(BW167,CT167,CY167,0,DD167,CU167,CV167,BT167*365.25,OCallPut,0),0)</f>
        <v>#VALUE!</v>
      </c>
      <c r="DX167" s="1316" t="e">
        <f aca="false">IF(AND(BX167&gt;0,CT167&gt;0,DE167&gt;0,CU167&gt;0),newSPRDOPT(BX167,CT167,CZ167,0,DE167,CU167,CV167,BT167*365.25,OCallPut,0),0)</f>
        <v>#VALUE!</v>
      </c>
      <c r="DY167" s="1591" t="e">
        <f aca="false">IF(BS167,(DH167*BH167+DI167*BI167+DW167*BJ167+DX167*BK167)/BS167,0)</f>
        <v>#VALUE!</v>
      </c>
      <c r="DZ167" s="1551" t="e">
        <f aca="false">DH167*AZ167</f>
        <v>#VALUE!</v>
      </c>
      <c r="EA167" s="1551" t="e">
        <f aca="false">DI167*BA167</f>
        <v>#VALUE!</v>
      </c>
      <c r="EB167" s="1551" t="e">
        <f aca="false">DJ167*BB167</f>
        <v>#VALUE!</v>
      </c>
      <c r="EC167" s="1551" t="e">
        <f aca="false">DK167*BC167</f>
        <v>#VALUE!</v>
      </c>
      <c r="ED167" s="1551" t="e">
        <f aca="false">DL167*BQ167</f>
        <v>#VALUE!</v>
      </c>
      <c r="EE167" s="1595" t="e">
        <f aca="false">IF(BQ167,IF(OCallPut,IF(BU167&gt;(CO167+CW167),BU167-(CO167+CW167),0),IF((CO167+CW167)&gt;BU167,(CO167+CW167)-BU167,0))*AZ167,0)</f>
        <v>#VALUE!</v>
      </c>
      <c r="EF167" s="1596" t="e">
        <f aca="false">IF(BQ167,IF(OCallPut,IF(BV167&gt;(CP167+CX167),BV167-(CP167+CX167),0),IF((CP167+CX167)&gt;BV167,(CP167+CX167)-BV167,0))*BA167,0)</f>
        <v>#VALUE!</v>
      </c>
      <c r="EG167" s="1596" t="e">
        <f aca="false">IF(BQ167,IF(OCallPut,IF(BW167&gt;(CQ167+CY167),BW167-(CQ167+CY167),0),IF((CQ167+CY167)&gt;BW167,(CQ167+CY167)-BW167,0))*BB167,0)</f>
        <v>#VALUE!</v>
      </c>
      <c r="EH167" s="1596" t="e">
        <f aca="false">IF(BQ167,IF(OCallPut,IF(BX167&gt;(CR167+CZ167),BX167-(CR167+CZ167),0),IF((CR167+CZ167)&gt;BX167,(CR167+CZ167)-BX167,0))*BC167,0)</f>
        <v>#VALUE!</v>
      </c>
      <c r="EI167" s="1597" t="e">
        <f aca="false">IF(BQ167,IF(OVolType,IF(OCallPut,IF(BZ167&gt;(CS167+DA167),BZ167-(CS167+DA167),0),IF((CS167+DA167)&gt;BZ167,(CS167+DA167)-BZ167,0))*BQ167,SUM(EE167:EH167)),0)</f>
        <v>#VALUE!</v>
      </c>
      <c r="EJ167" s="1595" t="e">
        <f aca="false">DZ167-EE167</f>
        <v>#VALUE!</v>
      </c>
      <c r="EK167" s="1596" t="e">
        <f aca="false">EA167-EF167</f>
        <v>#VALUE!</v>
      </c>
      <c r="EL167" s="1596" t="e">
        <f aca="false">EB167-EG167</f>
        <v>#VALUE!</v>
      </c>
      <c r="EM167" s="1596" t="e">
        <f aca="false">EC167-EH167</f>
        <v>#VALUE!</v>
      </c>
      <c r="EN167" s="1597" t="e">
        <f aca="false">ED167-EI167</f>
        <v>#VALUE!</v>
      </c>
      <c r="EO167" s="1551" t="e">
        <f aca="false">DH167*BH167</f>
        <v>#VALUE!</v>
      </c>
      <c r="EP167" s="1551" t="e">
        <f aca="false">DI167*BI167</f>
        <v>#VALUE!</v>
      </c>
      <c r="EQ167" s="1551" t="e">
        <f aca="false">DW167*BJ167</f>
        <v>#VALUE!</v>
      </c>
      <c r="ER167" s="1551" t="e">
        <f aca="false">DX167*BK167</f>
        <v>#VALUE!</v>
      </c>
      <c r="ES167" s="1551" t="e">
        <f aca="false">DY167*BS167</f>
        <v>#VALUE!</v>
      </c>
      <c r="ET167" s="1566" t="e">
        <f aca="false">IF(EI167,IF(OCallPut,IF(CA167&gt;(CT167+CW167),CA167-(CT167+CW167),0),IF((CT167+CW167)&gt;CA167,(CT167+CW167)-CA167,0))*BH167,0)</f>
        <v>#VALUE!</v>
      </c>
      <c r="EU167" s="1551" t="e">
        <f aca="false">IF(EI167,IF(OCallPut,IF(CB167&gt;(CT167+CX167),CB167-(CT167+CX167),0),IF((CT167+CX167)&gt;CB167,(CT167+CX167)-CB167,0))*BI167,0)</f>
        <v>#VALUE!</v>
      </c>
      <c r="EV167" s="1551" t="e">
        <f aca="false">IF(EI167,IF(OCallPut,IF(CC167&gt;(CT167+CY167),CC167-(CT167+CY167),0),IF((CT167+CY167)&gt;CC167,(CT167+CY167)-CC167,0))*BJ167,0)</f>
        <v>#VALUE!</v>
      </c>
      <c r="EW167" s="1551" t="e">
        <f aca="false">IF(EI167,IF(OCallPut,IF(CD167&gt;(CT167+CZ167),CD167-(CT167+CZ167),0),IF((CT167+CZ167)&gt;CD167,(CT167+CZ167)-CD167,0))*BK167,0)</f>
        <v>#VALUE!</v>
      </c>
      <c r="EX167" s="1558" t="e">
        <f aca="false">IF(EI167,SUM(ET167:EW167),0)</f>
        <v>#VALUE!</v>
      </c>
      <c r="EY167" s="1551" t="e">
        <f aca="false">EO167-ET167</f>
        <v>#VALUE!</v>
      </c>
      <c r="EZ167" s="1551" t="e">
        <f aca="false">EP167-EU167</f>
        <v>#VALUE!</v>
      </c>
      <c r="FA167" s="1551" t="e">
        <f aca="false">EQ167-EV167</f>
        <v>#VALUE!</v>
      </c>
      <c r="FB167" s="1551" t="e">
        <f aca="false">ER167-EW167</f>
        <v>#VALUE!</v>
      </c>
      <c r="FC167" s="1551" t="e">
        <f aca="false">ES167-EX167</f>
        <v>#VALUE!</v>
      </c>
      <c r="FD167" s="1525" t="n">
        <f aca="false">IF(AX167,IF(VLOOKUP(C167,MAIN!$L$17:$M$28,2)="Yes",VLOOKUP(CALC!B167,MAIN!$H$17:$I$20,2),0),0)</f>
        <v>0</v>
      </c>
      <c r="FE167" s="1552" t="e">
        <f aca="false">$FD167*16*AT167*(1-$AY167)</f>
        <v>#VALUE!</v>
      </c>
      <c r="FF167" s="1553" t="e">
        <f aca="false">$FD167*16*AU167*(1-$AY167)</f>
        <v>#VALUE!</v>
      </c>
      <c r="FG167" s="1553" t="e">
        <f aca="false">$FD167*16*(AV167+AW167)*(1-$AY167)</f>
        <v>#VALUE!</v>
      </c>
      <c r="FH167" s="1554" t="n">
        <f aca="false">$FD167*8*AX167*(1-$AY167)</f>
        <v>0</v>
      </c>
      <c r="FI167" s="1555" t="n">
        <f aca="false">IF(AX167,VLOOKUP(CALC!B167,MAIN!$H$17:$K$20,4),0)</f>
        <v>0</v>
      </c>
      <c r="FJ167" s="1553" t="e">
        <f aca="false">SUM(FE167:FH167)</f>
        <v>#VALUE!</v>
      </c>
      <c r="FK167" s="1556" t="e">
        <f aca="false">FI167*FJ167</f>
        <v>#VALUE!</v>
      </c>
      <c r="FL167" s="1551" t="e">
        <f aca="false">IF($EI167&gt;0,MIN(FE167,AZ167*(1+VLOOKUP($C167,WeatherCapacityAdjustment,2))),0)</f>
        <v>#VALUE!</v>
      </c>
      <c r="FM167" s="1551" t="e">
        <f aca="false">IF($EI167&gt;0,MIN(FF167,BA167*(1+VLOOKUP($C167,WeatherCapacityAdjustment,2))),0)</f>
        <v>#VALUE!</v>
      </c>
      <c r="FN167" s="1551" t="e">
        <f aca="false">IF($EI167&gt;0,MIN(FG167,BB167*(1+VLOOKUP($C167,WeatherCapacityAdjustment,2))),0)</f>
        <v>#VALUE!</v>
      </c>
      <c r="FO167" s="1564" t="e">
        <f aca="false">IF($EI167&gt;0,MIN(FH167,BC167*(1+VLOOKUP($C167,WeatherCapacityAdjustment,3))),0)</f>
        <v>#VALUE!</v>
      </c>
      <c r="FP167" s="1551" t="e">
        <f aca="false">IF(ET167&gt;0,MIN(FE167-FL167,BH167*(1+VLOOKUP($C167,WeatherCapacityAdjustment,2))),0)</f>
        <v>#VALUE!</v>
      </c>
      <c r="FQ167" s="1551" t="e">
        <f aca="false">IF(EU167&gt;0,MIN(FF167-FM167,BI167*(1+VLOOKUP($C167,WeatherCapacityAdjustment,2))),0)</f>
        <v>#VALUE!</v>
      </c>
      <c r="FR167" s="1551" t="e">
        <f aca="false">IF(EV167&gt;0,MIN(FG167-FN167,BJ167*(1+VLOOKUP($C167,WeatherCapacityAdjustment,2))),0)</f>
        <v>#VALUE!</v>
      </c>
      <c r="FS167" s="1558" t="e">
        <f aca="false">IF(EW167&gt;0,MIN(FH167-FO167,BK167*(1+VLOOKUP($C167,WeatherCapacityAdjustment,3))),0)</f>
        <v>#VALUE!</v>
      </c>
      <c r="FT167" s="1566" t="e">
        <f aca="false">IF(AND(Assumptions!$H$71="Yes",A167&gt;=Assumptions!$H$72,A167&lt;=Assumptions!$H$73),0,IF(AND($A167&gt;=Assumptions!$C$17,$A167&lt;=Assumptions!$C$18),MAX(AZ167*(1+VLOOKUP($C167,WeatherCapacityAdjustment,2))-FL167,0),0))</f>
        <v>#VALUE!</v>
      </c>
      <c r="FU167" s="1551" t="e">
        <f aca="false">IF(AND(Assumptions!$H$71="Yes",A167&gt;=Assumptions!$H$72,A167&lt;=Assumptions!$H$73),0,IF(AND($A167&gt;=Assumptions!$C$17,$A167&lt;=Assumptions!$C$18),MAX(BA167*(1+VLOOKUP($C167,WeatherCapacityAdjustment,2))-FM167,0),0))</f>
        <v>#VALUE!</v>
      </c>
      <c r="FV167" s="1551" t="e">
        <f aca="false">IF(AND(Assumptions!$H$71="Yes",A167&gt;=Assumptions!$H$72,A167&lt;=Assumptions!$H$73),0,IF(AND($A167&gt;=Assumptions!$C$17,$A167&lt;=Assumptions!$C$18),MAX(BB167*(1+VLOOKUP($C167,WeatherCapacityAdjustment,2))-FN167,0),0))</f>
        <v>#VALUE!</v>
      </c>
      <c r="FW167" s="1564" t="e">
        <f aca="false">IF(AND(Assumptions!$H$71="Yes",A167&gt;=Assumptions!$H$72,A167&lt;=Assumptions!$H$73),0,IF(AND($A167&gt;=Assumptions!$C$17,$A167&lt;=Assumptions!$C$18),MAX(BC167*(1+VLOOKUP($C167,WeatherCapacityAdjustment,3))-FO167,0),0))</f>
        <v>#VALUE!</v>
      </c>
      <c r="FX167" s="1569" t="e">
        <f aca="false">IF(AND(Assumptions!$H$71="Yes",A167&gt;=Assumptions!$H$72,A167&lt;=Assumptions!$H$73),0,IF(ET167&gt;0,MAX(BH167*(1+VLOOKUP($C167,WeatherCapacityAdjustment,2))-FP167,0),0))</f>
        <v>#VALUE!</v>
      </c>
      <c r="FY167" s="1551" t="e">
        <f aca="false">IF(AND(Assumptions!$H$71="Yes",A167&gt;=Assumptions!$H$72,A167&lt;=Assumptions!$H$73),0,IF(EU167&gt;0,MAX(BI167*(1+VLOOKUP($C167,WeatherCapacityAdjustment,3))-FQ167,0),0))</f>
        <v>#VALUE!</v>
      </c>
      <c r="FZ167" s="1551" t="e">
        <f aca="false">IF(AND(Assumptions!$H$71="Yes",A167&gt;=Assumptions!$H$72,A167&lt;=Assumptions!$H$73),0,IF(EV167&gt;0,MAX(BJ167*(1+VLOOKUP($C167,WeatherCapacityAdjustment,2))-FR167,0),0))</f>
        <v>#VALUE!</v>
      </c>
      <c r="GA167" s="1564" t="e">
        <f aca="false">IF(AND(Assumptions!$H$71="Yes",A167&gt;=Assumptions!$H$72,A167&lt;=Assumptions!$H$73),0,IF(EW167&gt;0,MAX(BK167*(1+VLOOKUP($C167,WeatherCapacityAdjustment,2))-FS167,0),0))</f>
        <v>#VALUE!</v>
      </c>
      <c r="GB167" s="1551" t="e">
        <f aca="false">SUM(FT167:GA167)</f>
        <v>#VALUE!</v>
      </c>
      <c r="GC167" s="1563" t="e">
        <f aca="false">+IF(SUM(FT167:GA167)=0,0,(SUMPRODUCT(BU167:BX167,FT167:FW167)+SUMPRODUCT(CA167:CD167,FX167:GA167))/SUM(FT167:GA167))</f>
        <v>#VALUE!</v>
      </c>
      <c r="GD167" s="1551" t="e">
        <f aca="false">(FT167*BU167+FX167*CA167+FU167*BV167+FY167*CB167+FV167*BW167+FZ167*CC167+FW167*BX167+GA167*CD167)</f>
        <v>#VALUE!</v>
      </c>
      <c r="GE167" s="1561" t="e">
        <f aca="false">+IF(BQ167,((FL167+FM167+FT167+FU167)*HeatRatePeak/1000*(1+VLOOKUP($C167,WeatherHeatRateAdjustment,2))+(FN167+FV167)*IF(EV167&gt;0,HeatRatePeak,HeatRateOffPeak)/1000*(1+VLOOKUP($C167,WeatherHeatRateAdjustment,2))+(FO167+FW167)*IF(EW167&gt;0,HeatRatePeak,HeatRateOffPeak)/1000*(1+VLOOKUP($C167,WeatherHeatRateAdjustment,3)))*(1+VLOOKUP($B167,HeatRateDegradation,$C167+1)),0)</f>
        <v>#VALUE!</v>
      </c>
      <c r="GF167" s="1562" t="e">
        <f aca="false">IF(BQ167,((FP167+FQ167+FR167+FX167+FY167+FZ167)*HeatRatePeak/1000*(1+VLOOKUP($C167,WeatherHeatRateAdjustment,2))+(FS167+GA167)*HeatRatePeak/1000*(1+VLOOKUP($C167,WeatherHeatRateAdjustment,3)))*(1+VLOOKUP($B167,HeatRateDegradation,$C167+1)),0)</f>
        <v>#VALUE!</v>
      </c>
      <c r="GG167" s="1563" t="e">
        <f aca="false">IF(BQ167,VLOOKUP(A167,GasTable,13),0)</f>
        <v>#VALUE!</v>
      </c>
      <c r="GH167" s="1564" t="e">
        <f aca="false">(GE167+GF167)*GG167</f>
        <v>#VALUE!</v>
      </c>
      <c r="GI167" s="1569" t="e">
        <f aca="false">GB167</f>
        <v>#VALUE!</v>
      </c>
      <c r="GJ167" s="1598" t="e">
        <f aca="false">+DA167</f>
        <v>#VALUE!</v>
      </c>
      <c r="GK167" s="1558" t="e">
        <f aca="false">+GI167*GJ167</f>
        <v>#VALUE!</v>
      </c>
      <c r="GL167" s="1566" t="e">
        <f aca="false">MAX(FE167-FL167-FP167,0)</f>
        <v>#VALUE!</v>
      </c>
      <c r="GM167" s="1551" t="e">
        <f aca="false">MAX(FF167-FM167-FQ167,0)</f>
        <v>#VALUE!</v>
      </c>
      <c r="GN167" s="1551" t="e">
        <f aca="false">MAX(FG167-FN167-FR167,0)</f>
        <v>#VALUE!</v>
      </c>
      <c r="GO167" s="1564" t="e">
        <f aca="false">MAX(FH167-FO167-FS167,0)</f>
        <v>#VALUE!</v>
      </c>
      <c r="GP167" s="1551" t="e">
        <f aca="false">SUM(GL167:GO167)</f>
        <v>#VALUE!</v>
      </c>
      <c r="GQ167" s="1563" t="e">
        <f aca="false">IF(SUM(GL167:GO167)=0,0,((GL167*BU167+GM167*BV167+GN167*BW167+GO167*BX167)/SUM(GL167:GO167)))</f>
        <v>#VALUE!</v>
      </c>
      <c r="GR167" s="1558" t="e">
        <f aca="false">(GL167*BU167+GM167*BV167+GN167*BW167+GO167*BX167)</f>
        <v>#VALUE!</v>
      </c>
      <c r="GS167" s="1566" t="n">
        <f aca="false">IF($A167&gt;=BegDate,Assumptions!$C$56*24*($A168-$A167)*(1-VLOOKUP($B167,MAIN!$AA$7:$AM$28,$C167+1))*(1-VLOOKUP($B167,MAIN!$AA$33:$AM$54,$C167+1)),0)*80/168</f>
        <v>249428.571428571</v>
      </c>
      <c r="GT167" s="286" t="n">
        <f aca="false">J167</f>
        <v>55.3119562104358</v>
      </c>
      <c r="GU167" s="286" t="n">
        <f aca="false">IF($A167&gt;=BegDate,VLOOKUP($A167,GasTable,13)+Assumptions!$C$58,0)</f>
        <v>3.45125208082876</v>
      </c>
      <c r="GV167" s="286" t="n">
        <f aca="false">GU167*Assumptions!$C$57/1000</f>
        <v>25.0215775860085</v>
      </c>
      <c r="GW167" s="1558" t="n">
        <f aca="false">IF(Assumptions!$C$60="Hourly",MAX(0,GS167*(GT167-GV167)),GS167*(GT167-GV167))</f>
        <v>7555285.86832142</v>
      </c>
      <c r="GX167" s="1566" t="n">
        <f aca="false">IF($A167&gt;=BegDate,Assumptions!$C$56*24*($A168-$A167)*(1-VLOOKUP($B167,MAIN!$AA$7:$AM$28,$C167+1))*(1-VLOOKUP($B167,MAIN!$AA$33:$AM$54,$C167+1)),0)*16/168</f>
        <v>49885.7142857143</v>
      </c>
      <c r="GY167" s="286" t="n">
        <f aca="false">M167</f>
        <v>55.3119562104358</v>
      </c>
      <c r="GZ167" s="286" t="n">
        <f aca="false">IF($A167&gt;=BegDate,VLOOKUP($A167,GasTable,13)+Assumptions!$C$58,0)</f>
        <v>3.45125208082876</v>
      </c>
      <c r="HA167" s="286" t="n">
        <f aca="false">GZ167*Assumptions!$C$57/1000</f>
        <v>25.0215775860085</v>
      </c>
      <c r="HB167" s="1558" t="n">
        <f aca="false">IF(Assumptions!$C$60="Hourly",MAX(0,GX167*(GY167-HA167)),GX167*(GY167-HA167))</f>
        <v>1511057.17366428</v>
      </c>
      <c r="HC167" s="1566" t="n">
        <f aca="false">IF($A167&gt;=BegDate,Assumptions!$C$56*24*($A168-$A167)*(1-VLOOKUP($B167,MAIN!$AA$7:$AM$28,$C167+1))*(1-VLOOKUP($B167,MAIN!$AA$33:$AM$54,$C167+1)),0)*16/168</f>
        <v>49885.7142857143</v>
      </c>
      <c r="HD167" s="286" t="n">
        <f aca="false">P167</f>
        <v>31.0390765043032</v>
      </c>
      <c r="HE167" s="286" t="n">
        <f aca="false">IF($A167&gt;=BegDate,VLOOKUP($A167,GasTable,13)+Assumptions!$C$58,0)</f>
        <v>3.45125208082876</v>
      </c>
      <c r="HF167" s="286" t="n">
        <f aca="false">HE167*Assumptions!$C$57/1000</f>
        <v>25.0215775860085</v>
      </c>
      <c r="HG167" s="1558" t="n">
        <f aca="false">IF(Assumptions!$C$60="Hourly",MAX(0,HC167*(HD167-HF167)),HC167*(HD167-HF167))</f>
        <v>300187.231752642</v>
      </c>
      <c r="HH167" s="1566" t="n">
        <f aca="false">IF($A167&gt;=BegDate,Assumptions!$C$56*24*($A168-$A167)*(1-VLOOKUP($B167,MAIN!$AA$7:$AM$28,$C167+1))*(1-VLOOKUP($B167,MAIN!$AA$33:$AM$54,$C167+1)),0)*56/168</f>
        <v>174600</v>
      </c>
      <c r="HI167" s="286" t="n">
        <f aca="false">S167</f>
        <v>31.0390765043032</v>
      </c>
      <c r="HJ167" s="286" t="n">
        <f aca="false">IF($A167&gt;=BegDate,VLOOKUP($A167,GasTable,13)+Assumptions!$C$58,0)</f>
        <v>3.45125208082876</v>
      </c>
      <c r="HK167" s="286" t="n">
        <f aca="false">HJ167*Assumptions!$C$57/1000</f>
        <v>25.0215775860085</v>
      </c>
      <c r="HL167" s="1558" t="n">
        <f aca="false">IF(Assumptions!$C$60="Hourly",MAX(0,HH167*(HI167-HK167)),HH167*(HI167-HK167))</f>
        <v>1050655.31113425</v>
      </c>
      <c r="HM167" s="1566" t="n">
        <f aca="false">IF(AND(Assumptions!$H$71="Yes",A167&gt;=Assumptions!$H$72,A167&lt;=Assumptions!$H$73),Assumptions!$H$74*Assumptions!$C$9*1000,0)</f>
        <v>0</v>
      </c>
      <c r="HN167" s="1551"/>
      <c r="HO167" s="1563"/>
      <c r="HP167" s="1563"/>
      <c r="HQ167" s="1563"/>
      <c r="HR167" s="1563"/>
      <c r="HS167" s="1563"/>
      <c r="HT167" s="1563"/>
      <c r="HU167" s="1563"/>
      <c r="HV167" s="1563"/>
      <c r="HW167" s="1563"/>
      <c r="HX167" s="1563"/>
      <c r="HY167" s="1563"/>
      <c r="HZ167" s="1563"/>
      <c r="IA167" s="1563"/>
      <c r="IB167" s="1563"/>
      <c r="IC167" s="1563"/>
      <c r="ID167" s="1563"/>
      <c r="IE167" s="1563"/>
      <c r="IF167" s="1563"/>
      <c r="IG167" s="1563"/>
      <c r="IH167" s="1563"/>
      <c r="II167" s="1610"/>
      <c r="IJ167" s="1309"/>
      <c r="IK167" s="1309"/>
    </row>
    <row r="168" customFormat="false" ht="12.75" hidden="false" customHeight="false" outlineLevel="0" collapsed="false">
      <c r="A168" s="1571" t="n">
        <f aca="false">EOMONTH(A167,0)+1</f>
        <v>41244</v>
      </c>
      <c r="B168" s="594" t="n">
        <f aca="false">+YEAR(A168)</f>
        <v>2012</v>
      </c>
      <c r="C168" s="238" t="n">
        <f aca="false">MONTH(A168)</f>
        <v>12</v>
      </c>
      <c r="D168" s="1572" t="e">
        <f aca="false">IF(E168="","",Holiday(B168,C168))</f>
        <v>#VALUE!</v>
      </c>
      <c r="E168" s="1573" t="n">
        <f aca="false">IF(OR(BegDate&gt;=A169,EndDate&lt;A168,AND(VolumeMonthlyOverFlag,INDEX(VolumeMonthlyOver,C168)=0),NOT(INDEX(MonthKnockOutTable,C168))),"",MAX(A168,BegDate))</f>
        <v>41244</v>
      </c>
      <c r="F168" s="1574" t="n">
        <f aca="false">IF(E168="","",MIN(A169-1,EndDate))</f>
        <v>41274</v>
      </c>
      <c r="G168" s="1575" t="n">
        <v>0</v>
      </c>
      <c r="H168" s="1576" t="n">
        <f aca="false">(1+G168/2)^(-2*(DATE(B169,C169,20)-DateToday)/365.25)</f>
        <v>1</v>
      </c>
      <c r="I168" s="1568" t="n">
        <f aca="false">IF(Assumptions!$L$25=4,VLOOKUP($A168,'Henwood Reference'!$E$9:$R$320,10),(VLOOKUP($A168,PriceTable,2,0)+IF(BasisNumber&lt;&gt;1,VLOOKUP($A168,BasisTable,2,0),0)+I$1)/(1-I$2))</f>
        <v>52.1039385910898</v>
      </c>
      <c r="J168" s="1568" t="n">
        <f aca="false">IF(Assumptions!$L$25=4,VLOOKUP($A168,'Henwood Reference'!$E$9:$R$320,10),(VLOOKUP($A168,PriceTable,3,0)+IF(BasisNumber&lt;&gt;1,VLOOKUP($A168,BasisTable,2,0),0)+J$1)/(1-J$2))</f>
        <v>52.1039385910898</v>
      </c>
      <c r="K168" s="1568" t="n">
        <f aca="false">IF(Assumptions!$L$25=4,VLOOKUP($A168,'Henwood Reference'!$E$9:$R$320,10),(VLOOKUP($A168,PriceTable,4,0)+IF(BasisNumber&lt;&gt;1,VLOOKUP($A168,BasisTable,2,0),0)+K$1)/(1-K$2))</f>
        <v>52.1039385910898</v>
      </c>
      <c r="L168" s="1523" t="n">
        <f aca="false">IF(Assumptions!$L$25=4,VLOOKUP($A168,'Henwood Reference'!$E$9:$R$320,10),(VLOOKUP($A168,PriceTableWeekend,2,0)+IF(BasisNumber&lt;&gt;1,VLOOKUP($A168,BasisTable,2,0),0)+L$1)/(1-L$2))</f>
        <v>52.1039385910898</v>
      </c>
      <c r="M168" s="1568" t="n">
        <f aca="false">IF(Assumptions!$L$25=4,VLOOKUP($A168,'Henwood Reference'!$E$9:$R$320,10),(VLOOKUP($A168,PriceTableWeekend,3,0)+IF(BasisNumber&lt;&gt;1,VLOOKUP($A168,BasisTable,2,0),0)+M$1)/(1-M$2))</f>
        <v>52.1039385910898</v>
      </c>
      <c r="N168" s="1599" t="n">
        <f aca="false">IF(Assumptions!$L$25=4,VLOOKUP($A168,'Henwood Reference'!$E$9:$R$320,10),(VLOOKUP($A168,PriceTableWeekend,4,0)+IF(BasisNumber&lt;&gt;1,VLOOKUP($A168,BasisTable,2,0),0)+N$1)/(1-N$2))</f>
        <v>52.1039385910898</v>
      </c>
      <c r="O168" s="1568" t="n">
        <f aca="false">IF(Assumptions!$L$25=4,VLOOKUP($A168,'Henwood Reference'!$E$9:$R$320,11),(VLOOKUP($A168,PriceTableWeekend,6,0)+IF(BasisNumber&lt;&gt;1,VLOOKUP($A168,BasisTable,3,0),0)+O$1)/(1-O$2))</f>
        <v>32.625393340942</v>
      </c>
      <c r="P168" s="1568" t="n">
        <f aca="false">IF(Assumptions!$L$25=4,VLOOKUP($A168,'Henwood Reference'!$E$9:$R$320,11),(VLOOKUP($A168,PriceTableWeekend,7,0)+IF(BasisNumber&lt;&gt;1,VLOOKUP($A168,BasisTable,3,0),0)+P$1)/(1-P$2))</f>
        <v>32.625393340942</v>
      </c>
      <c r="Q168" s="1599" t="n">
        <f aca="false">IF(Assumptions!$L$25=4,VLOOKUP($A168,'Henwood Reference'!$E$9:$R$320,11),(VLOOKUP($A168,PriceTableWeekend,8,0)+IF(BasisNumber&lt;&gt;1,VLOOKUP($A168,BasisTable,3,0),0)+Q$1)/(1-Q$2))</f>
        <v>32.625393340942</v>
      </c>
      <c r="R168" s="1568" t="n">
        <f aca="false">IF(Assumptions!$L$25=4,VLOOKUP($A168,'Henwood Reference'!$E$9:$R$320,11),(VLOOKUP($A168,PriceTable,6,0)+IF(BasisNumber&lt;&gt;1,VLOOKUP($A168,BasisTable,3,0),0)+R$1)/(1-R$2))</f>
        <v>32.625393340942</v>
      </c>
      <c r="S168" s="1568" t="n">
        <f aca="false">IF(Assumptions!$L$25=4,VLOOKUP($A168,'Henwood Reference'!$E$9:$R$320,11),(VLOOKUP($A168,PriceTable,7,0)+IF(BasisNumber&lt;&gt;1,VLOOKUP($A168,BasisTable,3,0),0)+S$1)/(1-S$2))</f>
        <v>32.625393340942</v>
      </c>
      <c r="T168" s="1600" t="n">
        <f aca="false">IF(Assumptions!$L$25=4,VLOOKUP($A168,'Henwood Reference'!$E$9:$R$320,11),(VLOOKUP($A168,PriceTable,8,0)+IF(BasisNumber&lt;&gt;1,VLOOKUP($A168,BasisTable,3,0),0)+T$1)/(1-T$2))</f>
        <v>32.625393340942</v>
      </c>
      <c r="U168" s="1513" t="n">
        <f aca="false">VLOOKUP($A168,VolatilityTable,14)</f>
        <v>0.11</v>
      </c>
      <c r="V168" s="1513" t="n">
        <f aca="false">VLOOKUP($A168,VolatilityTable,15)</f>
        <v>0.12</v>
      </c>
      <c r="W168" s="1514" t="n">
        <f aca="false">VLOOKUP($A168,VolatilityTable,16)</f>
        <v>0.13</v>
      </c>
      <c r="X168" s="1513" t="n">
        <f aca="false">VLOOKUP($A168,VolatilityTable,14)</f>
        <v>0.11</v>
      </c>
      <c r="Y168" s="1513" t="n">
        <f aca="false">VLOOKUP($A168,VolatilityTable,15)</f>
        <v>0.12</v>
      </c>
      <c r="Z168" s="1514" t="n">
        <f aca="false">VLOOKUP($A168,VolatilityTable,16)</f>
        <v>0.13</v>
      </c>
      <c r="AA168" s="1513" t="n">
        <f aca="false">VLOOKUP($A168,VolatilityTable,18)</f>
        <v>0.09</v>
      </c>
      <c r="AB168" s="1513" t="n">
        <f aca="false">VLOOKUP($A168,VolatilityTable,19)</f>
        <v>0.11</v>
      </c>
      <c r="AC168" s="1514" t="n">
        <f aca="false">VLOOKUP($A168,VolatilityTable,20)</f>
        <v>0.13</v>
      </c>
      <c r="AD168" s="1513" t="n">
        <f aca="false">VLOOKUP($A168,VolatilityTable,18)</f>
        <v>0.09</v>
      </c>
      <c r="AE168" s="1513" t="n">
        <f aca="false">VLOOKUP($A168,VolatilityTable,19)</f>
        <v>0.11</v>
      </c>
      <c r="AF168" s="1514" t="n">
        <f aca="false">VLOOKUP($A168,VolatilityTable,20)</f>
        <v>0.13</v>
      </c>
      <c r="AG168" s="1513" t="n">
        <f aca="false">VLOOKUP($A168,VolatilityTable,22)</f>
        <v>-0.25</v>
      </c>
      <c r="AH168" s="1513" t="n">
        <f aca="false">VLOOKUP($A168,VolatilityTable,23)</f>
        <v>0.6</v>
      </c>
      <c r="AI168" s="1514" t="n">
        <f aca="false">VLOOKUP($A168,VolatilityTable,24)</f>
        <v>0.25</v>
      </c>
      <c r="AJ168" s="1513" t="n">
        <f aca="false">VLOOKUP($A168,VolatilityTable,22)</f>
        <v>-0.25</v>
      </c>
      <c r="AK168" s="1513" t="n">
        <f aca="false">VLOOKUP($A168,VolatilityTable,23)</f>
        <v>0.6</v>
      </c>
      <c r="AL168" s="1514" t="n">
        <f aca="false">VLOOKUP($A168,VolatilityTable,24)</f>
        <v>0.25</v>
      </c>
      <c r="AM168" s="1513" t="n">
        <f aca="false">VLOOKUP($A168,VolatilityTable,26)</f>
        <v>-0.01</v>
      </c>
      <c r="AN168" s="1513" t="n">
        <f aca="false">VLOOKUP($A168,VolatilityTable,27)</f>
        <v>0.16</v>
      </c>
      <c r="AO168" s="1514" t="n">
        <f aca="false">VLOOKUP($A168,VolatilityTable,28)</f>
        <v>0.01</v>
      </c>
      <c r="AP168" s="1513" t="n">
        <f aca="false">VLOOKUP($A168,VolatilityTable,26)</f>
        <v>-0.01</v>
      </c>
      <c r="AQ168" s="1513" t="n">
        <f aca="false">VLOOKUP($A168,VolatilityTable,27)</f>
        <v>0.16</v>
      </c>
      <c r="AR168" s="1515" t="n">
        <f aca="false">VLOOKUP($A168,VolatilityTable,28)</f>
        <v>0.01</v>
      </c>
      <c r="AS168" s="1581" t="n">
        <f aca="false">IF(CorrPeakOffPeakOverFlag,INDEX(CorrPeakOffPeakOver,C168),CorrPeakOffPeak)</f>
        <v>0.5</v>
      </c>
      <c r="AT168" s="594" t="e">
        <f aca="false">AX168-SUM(AU168:AW168)</f>
        <v>#VALUE!</v>
      </c>
      <c r="AU168" s="238" t="e">
        <f aca="false">IF(E168="",0,INT((F168-MOD(F168,7)-E168)/7)+1-IF(AW168,IF(WEEKDAY(D168)=7,1,0),0))</f>
        <v>#VALUE!</v>
      </c>
      <c r="AV168" s="238" t="e">
        <f aca="false">IF(E168="",0,INT((F168-MOD(F168-1,7)-E168)/7)+1-IF(AW168,IF(WEEKDAY(D168)=1,1,0),0))</f>
        <v>#VALUE!</v>
      </c>
      <c r="AW168" s="238" t="e">
        <f aca="false">IF(OR(E168="",D168="",D168&lt;BegDate,D168&gt;EndDate),0,1)</f>
        <v>#VALUE!</v>
      </c>
      <c r="AX168" s="238" t="n">
        <f aca="false">IF(E168="",0,F168-E168+1)</f>
        <v>31</v>
      </c>
      <c r="AY168" s="1582" t="n">
        <f aca="false">IF(E168="",0,MIN((1-(1-VLOOKUP(B168,MAIN!$AA$7:$AM$28,C168+1))*(1-VLOOKUP(B168,MAIN!$AA$33:$AM$54,C168+1))),1))</f>
        <v>0.03</v>
      </c>
      <c r="AZ168" s="1519" t="e">
        <v>#VALUE!</v>
      </c>
      <c r="BA168" s="1520" t="e">
        <v>#VALUE!</v>
      </c>
      <c r="BB168" s="1520" t="e">
        <v>#VALUE!</v>
      </c>
      <c r="BC168" s="1583" t="e">
        <v>#VALUE!</v>
      </c>
      <c r="BD168" s="1522" t="e">
        <v>#VALUE!</v>
      </c>
      <c r="BE168" s="1523" t="e">
        <v>#VALUE!</v>
      </c>
      <c r="BF168" s="1523" t="e">
        <v>#VALUE!</v>
      </c>
      <c r="BG168" s="1584" t="e">
        <v>#VALUE!</v>
      </c>
      <c r="BH168" s="1525" t="e">
        <v>#VALUE!</v>
      </c>
      <c r="BI168" s="1520" t="e">
        <v>#VALUE!</v>
      </c>
      <c r="BJ168" s="1520" t="e">
        <v>#VALUE!</v>
      </c>
      <c r="BK168" s="1583" t="e">
        <v>#VALUE!</v>
      </c>
      <c r="BL168" s="1522" t="e">
        <v>#VALUE!</v>
      </c>
      <c r="BM168" s="1523" t="e">
        <v>#VALUE!</v>
      </c>
      <c r="BN168" s="1523" t="e">
        <v>#VALUE!</v>
      </c>
      <c r="BO168" s="1523" t="e">
        <v>#VALUE!</v>
      </c>
      <c r="BP168" s="1525" t="e">
        <f aca="false">SUM(AZ168:BB168)</f>
        <v>#VALUE!</v>
      </c>
      <c r="BQ168" s="1529" t="e">
        <f aca="false">SUM(AZ168:BC168)</f>
        <v>#VALUE!</v>
      </c>
      <c r="BR168" s="1519" t="e">
        <f aca="false">SUM(BH168:BJ168)</f>
        <v>#VALUE!</v>
      </c>
      <c r="BS168" s="1529" t="e">
        <f aca="false">SUM(BH168:BK168)</f>
        <v>#VALUE!</v>
      </c>
      <c r="BT168" s="1316" t="n">
        <f aca="false">(IF(OVolType&lt;&gt;2,A168+14,IF(OptExpDateShift,ShiftBack(A168,OptExpDateShift,D167),A168))-DateToday)/365.25</f>
        <v>12.6324435318275</v>
      </c>
      <c r="BU168" s="1585" t="e">
        <f aca="false">IF(BQ168,IF(OPriceCurve,IF(OBuySell=OCallPut,I168/(1-AY168),K168/(1-AY168)),J168/(1-AY168))*BD168,0)</f>
        <v>#VALUE!</v>
      </c>
      <c r="BV168" s="1316" t="e">
        <f aca="false">IF(BQ168,IF(OPriceCurve,IF(OBuySell=OCallPut,L168/(1-AY168),N168/(1-AY168)),M168/(1-AY168))*BE168,0)</f>
        <v>#VALUE!</v>
      </c>
      <c r="BW168" s="1316" t="e">
        <f aca="false">IF(BQ168,IF(OPriceCurve,IF(OBuySell=OCallPut,O168/(1-AY168),Q168/(1-AY168)),P168/(1-AY168))*BF168,0)</f>
        <v>#VALUE!</v>
      </c>
      <c r="BX168" s="1316" t="e">
        <f aca="false">IF(BQ168,IF(OPriceCurve,IF(OBuySell=OCallPut,R168/(1-AY168),T168/(1-AY168)),S168/(1-AY168))*BG168,0)</f>
        <v>#VALUE!</v>
      </c>
      <c r="BY168" s="1316" t="e">
        <f aca="false">IF(BP168,(BU168*AZ168+BV168*BA168+BW168*BB168)/BP168,0)</f>
        <v>#VALUE!</v>
      </c>
      <c r="BZ168" s="1316" t="e">
        <f aca="false">IF(BQ168,(BY168*BP168+BX168*BC168)/BQ168,0)</f>
        <v>#VALUE!</v>
      </c>
      <c r="CA168" s="1531" t="e">
        <f aca="false">IF(BS168,IF(OPriceCurve,IF(OBuySell=OCallPut,I168/(1-AY168),K168/(1-AY168)),J168/(1-AY168))*BL168,0)</f>
        <v>#VALUE!</v>
      </c>
      <c r="CB168" s="1316" t="e">
        <f aca="false">IF(BS168,IF(OPriceCurve,IF(OBuySell=OCallPut,L168/(1-AY168),N168/(1-AY168)),M168/(1-AY168))*BM168,0)</f>
        <v>#VALUE!</v>
      </c>
      <c r="CC168" s="1316" t="e">
        <f aca="false">IF(BS168,IF(OPriceCurve,IF(OBuySell=OCallPut,O168/(1-AY168),Q168/(1-AY168)),P168/(1-AY168))*BN168,0)</f>
        <v>#VALUE!</v>
      </c>
      <c r="CD168" s="1316" t="e">
        <f aca="false">IF(BS168,IF(OPriceCurve,IF(OBuySell=OCallPut,R168/(1-AY168),T168/(1-AY168)),S168/(1-AY168))*BO168,0)</f>
        <v>#VALUE!</v>
      </c>
      <c r="CE168" s="1316" t="e">
        <f aca="false">IF(BR168,(BU168*BH168+BV168*BI168+BW168*BJ168)/BR168,0)</f>
        <v>#VALUE!</v>
      </c>
      <c r="CF168" s="1532" t="e">
        <f aca="false">IF(BS168,(CE168*BR168+CD168*BK168)/BS168,0)</f>
        <v>#VALUE!</v>
      </c>
      <c r="CG168" s="1586" t="e">
        <f aca="false">IF(OR(BQ168,BS168),IF(OVolType&lt;&gt;2,SQRT(IF(OVolOverMonthlyPeak,OVolOverMonthlyPeak,IF(OVolCurve,IF(OBuySell,U168,W168),V168))^2*(1-15/365.25/BT168)+IF(OVolOverDailyPeak,OVolOverDailyPeak,IF(OVolCurve,IF(OBuySell,AG168,AI168),AH168))^2*15/365.25/BT168),IF(OVolOverMonthlyPeak,OVolOverMonthlyPeak,IF(OVolCurve,IF(OBuySell,U168,W168),V168))),"")</f>
        <v>#VALUE!</v>
      </c>
      <c r="CH168" s="1587" t="e">
        <f aca="false">IF(OR(BQ168,BS168),IF(OVolType&lt;&gt;2,SQRT(IF(OVolOverMonthlyPeak,OVolOverMonthlyPeak,IF(OVolCurve,IF(OBuySell,X168,Z168),Y168))^2*(1-15/365.25/BT168)+IF(OVolOverDailyPeak,OVolOverDailyPeak,IF(OVolCurve,IF(OBuySell,AJ168,AL168),AK168))^2*15/365.25/BT168),IF(OVolOverMonthlyPeak,OVolOverMonthlyPeak,IF(OVolCurve,IF(OBuySell,X168,Z168),Y168))),"")</f>
        <v>#VALUE!</v>
      </c>
      <c r="CI168" s="1587" t="e">
        <f aca="false">IF(OR(BQ168,BS168),IF(OVolType&lt;&gt;2,SQRT(IF(OVolOverMonthlyPeak,OVolOverMonthlyPeak,IF(OVolCurve,IF(OBuySell,AA168,AC168),AB168))^2*(1-15/365.25/BT168)+IF(OVolOverDailyPeak,OVolOverDailyPeak,IF(OVolCurve,IF(OBuySell,AM168,AO168),AN168))^2*15/365.25/BT168),IF(OVolOverMonthlyPeak,OVolOverMonthlyPeak,IF(OVolCurve,IF(OBuySell,AA168,AC168),AB168))),"")</f>
        <v>#VALUE!</v>
      </c>
      <c r="CJ168" s="1587" t="e">
        <f aca="false">IF(BQ168,IF(BP168,SQRT(LN(1+((BU168*AZ168)^2*(EXP(CG168^2*BT168)-1)+(BV168*BA168)^2*(EXP(CH168^2*BT168)-1)+(BW168*BB168)^2*(EXP(CI168^2*BT168)-1)+2*BU168*AZ168*BV168*BA168*(EXP(CG168*CH168*BT168)-1)+2*BV168*BA168*BW168*BB168*(EXP(CH168*CI168*BT168)-1)+2*BW168*BB168*BU168*AZ168*(EXP(CI168*CG168*BT168)-1))/(BY168*BP168)^2)/BT168),0),"")</f>
        <v>#VALUE!</v>
      </c>
      <c r="CK168" s="1587" t="e">
        <f aca="false">IF(BS168,IF(BR168,SQRT(LN(1+((CA168*BH168)^2*(EXP(CG168^2*BT168)-1)+(CB168*BI168)^2*(EXP(CH168^2*BT168)-1)+(CC168*BJ168)^2*(EXP(CI168^2*BT168)-1)+2*CA168*BH168*CB168*BI168*(EXP(CG168*CH168*BT168)-1)+2*CB168*BI168*CC168*BJ168*(EXP(CH168*CI168*BT168)-1)+2*CC168*BJ168*CA168*BH168*(EXP(CI168*CG168*BT168)-1))/(CE168*BR168)^2)/BT168),0),"")</f>
        <v>#VALUE!</v>
      </c>
      <c r="CL168" s="1587" t="e">
        <f aca="false">IF(OR(BQ168,BS168),IF(OVolType&lt;&gt;2,SQRT(IF(OVolOverMonthlyOffPeak,OVolOverMonthlyOffPeak,IF(OVolCurve,IF(OBuySell,AD168,AF168),AE168))^2*(1-15/365.25/BT168)+IF(OVolOverDailyOffPeak,OVolOverDailyOffPeak,IF(OVolCurve,IF(OBuySell,AP168,AR168),AQ168))^2*15/365.25/BT168),IF(OVolOverMonthlyOffPeak,OVolOverMonthlyOffPeak,IF(OVolCurve,IF(OBuySell,AD168,AF168),AE168))),"")</f>
        <v>#VALUE!</v>
      </c>
      <c r="CM168" s="1587" t="e">
        <f aca="false">IF(BQ168,SQRT(LN(1+((BY168*BP168)^2*(EXP(CJ168^2*BT168)-1)+(BX168*BC168)^2*(EXP(CL168^2*BT168)-1)+2*BY168*BP168*BX168*BC168*(EXP(AS168*CJ168*CL168*BT168)-1))/(BY168*BP168+BX168*BC168)^2)/BT168),"")</f>
        <v>#VALUE!</v>
      </c>
      <c r="CN168" s="1588" t="e">
        <f aca="false">IF(BS168,SQRT(LN(1+((CE168*BR168)^2*(EXP(CK168^2*BT168)-1)+(CD168*BK168)^2*(EXP(CL168^2*BT168)-1)+2*CE168*BR168*CD168*BK168*(EXP(AS168*CK168*CL168*BT168)-1))/(CE168*BR168+CD168*BK168)^2)/BT168),"")</f>
        <v>#VALUE!</v>
      </c>
      <c r="CO168" s="1531" t="e">
        <f aca="false">IF(OR(BQ168,BS168),VLOOKUP(A168,GasTable,13)*HeatRatePeak*(1+VLOOKUP($B168,HeatRateDegradation,$C168+1))/1000,0)</f>
        <v>#VALUE!</v>
      </c>
      <c r="CP168" s="1316" t="e">
        <f aca="false">IF(OR(BQ168,BS168),VLOOKUP(A168,GasTable,13)*HeatRatePeak*(1+VLOOKUP($B168,HeatRateDegradation,$C168+1))/1000,0)</f>
        <v>#VALUE!</v>
      </c>
      <c r="CQ168" s="1316" t="e">
        <f aca="false">IF(OR(BQ168,BS168),VLOOKUP(A168,GasTable,13)*IF(EV168,HeatRatePeak,HeatRateOffPeak)*(1+VLOOKUP($B168,HeatRateDegradation,$C168+1))/1000,0)</f>
        <v>#VALUE!</v>
      </c>
      <c r="CR168" s="1316" t="e">
        <f aca="false">IF(OR(BQ168,BS168),VLOOKUP(A168,GasTable,13)*IF(EW168,HeatRatePeak,HeatRateOffPeak)*(1+VLOOKUP($B168,HeatRateDegradation,$C168+1))/1000,0)</f>
        <v>#VALUE!</v>
      </c>
      <c r="CS168" s="1589" t="e">
        <f aca="false">IF(BQ168,(CO168*AZ168+CP168*BA168+CQ168*BB168+CR168*BC168)/BQ168,0)</f>
        <v>#VALUE!</v>
      </c>
      <c r="CT168" s="1316" t="e">
        <f aca="false">IF(BS168,CO168,0)</f>
        <v>#VALUE!</v>
      </c>
      <c r="CU168" s="1590" t="e">
        <f aca="false">IF(OR(BQ168,BS168),VLOOKUP(A168,GasTable,14),"")</f>
        <v>#VALUE!</v>
      </c>
      <c r="CV168" s="1568" t="e">
        <f aca="false">IF(OR(BQ168,BS168),IF(CorrPowerGasOverFlag,INDEX(CorrPowerGasOver,C168),CorrPowerGas),"")</f>
        <v>#VALUE!</v>
      </c>
      <c r="CW168" s="1316" t="e">
        <f aca="false">IF(OR($BQ168,$BS168),SpreadOptPowerMargin,0)*((1+Assumptions!$C$26)^($B168-YEAR(Assumptions!$C$17)))</f>
        <v>#VALUE!</v>
      </c>
      <c r="CX168" s="1316" t="e">
        <f aca="false">IF(OR($BQ168,$BS168),SpreadOptPowerMargin,0)*((1+Assumptions!$C$26)^($B168-YEAR(Assumptions!$C$17)))</f>
        <v>#VALUE!</v>
      </c>
      <c r="CY168" s="1316" t="e">
        <f aca="false">IF(OR($BQ168,$BS168),SpreadOptPowerMargin,0)*((1+Assumptions!$C$26)^($B168-YEAR(Assumptions!$C$17)))</f>
        <v>#VALUE!</v>
      </c>
      <c r="CZ168" s="1316" t="e">
        <f aca="false">IF(OR($BQ168,$BS168),SpreadOptPowerMargin,0)*((1+Assumptions!$C$26)^($B168-YEAR(Assumptions!$C$17)))</f>
        <v>#VALUE!</v>
      </c>
      <c r="DA168" s="1591" t="e">
        <f aca="false">IF(OR(BQ168,BS168),(CW168*(AZ168+BH168)+CX168*(BA168+BI168)+CY168*(BB168+BJ168)+CZ168*(BC168+BK168))/(BQ168+BS168),0)</f>
        <v>#VALUE!</v>
      </c>
      <c r="DB168" s="1592" t="e">
        <f aca="false">IF(OR(BQ168,BS168),CG168+IF(OVolSmile,VLOOKUP(MAX(-5,CO168+CW168-BU168),IF(OVolSmile=1,VolSmileBook,VolSmileModel),2),0),"")</f>
        <v>#VALUE!</v>
      </c>
      <c r="DC168" s="1592" t="e">
        <f aca="false">IF(OR(BQ168,BS168),CH168+IF(OVolSmile,VLOOKUP(MAX(-5,CP168+CW168-BV168),IF(OVolSmile=1,VolSmileBook,VolSmileModel),2),0),"")</f>
        <v>#VALUE!</v>
      </c>
      <c r="DD168" s="1592" t="e">
        <f aca="false">IF(OR(BQ168,BS168),CI168+IF(OVolSmile,VLOOKUP(MAX(-5,CQ168+CW168-BW168),IF(OVolSmile=1,VolSmileBook,VolSmileModel),2),0),"")</f>
        <v>#VALUE!</v>
      </c>
      <c r="DE168" s="1592" t="e">
        <f aca="false">IF(OR(BQ168,BS168),CL168+IF(OVolSmile,VLOOKUP(MAX(-5,CR168+CZ168-BX168),IF(OVolSmile=1,VolSmileBook,VolSmileModel),2),0),"")</f>
        <v>#VALUE!</v>
      </c>
      <c r="DF168" s="1592" t="e">
        <f aca="false">IF(BQ168,CM168+IF(OVolSmile,VLOOKUP(MAX(-5,CS168+DA168-BZ168),IF(OVolSmile=1,VolSmileBook,VolSmileModel),2),0),"")</f>
        <v>#VALUE!</v>
      </c>
      <c r="DG168" s="1593" t="e">
        <f aca="false">IF(BS168,CN168+IF(OVolSmile,VLOOKUP(MAX(-5,CT168+DA168-CF168),IF(OVolSmile=1,VolSmileBook,VolSmileModel),2),0),"")</f>
        <v>#VALUE!</v>
      </c>
      <c r="DH168" s="1316" t="e">
        <f aca="false">IF(AND(BU168&gt;0,CO168&gt;0,DB168&gt;0,CU168&gt;0),newSPRDOPT(BU168,CO168,CW168,0,DB168,CU168,CV168,BT168*365.25,OCallPut,0),0)</f>
        <v>#VALUE!</v>
      </c>
      <c r="DI168" s="1316" t="e">
        <f aca="false">IF(AND(BV168&gt;0,CP168&gt;0,DC168&gt;0,CU168&gt;0),newSPRDOPT(BV168,CP168,CX168,0,DC168,CU168,CV168,BT168*365.25,OCallPut,0),0)</f>
        <v>#VALUE!</v>
      </c>
      <c r="DJ168" s="1316" t="e">
        <f aca="false">IF(AND(BW168&gt;0,CQ168&gt;0,DD168&gt;0,CU168&gt;0),newSPRDOPT(BW168,CQ168,CY168,0,DD168,CU168,CV168,BT168*365.25,OCallPut,0),0)</f>
        <v>#VALUE!</v>
      </c>
      <c r="DK168" s="1316" t="e">
        <f aca="false">IF(AND(BX168&gt;0,CR168&gt;0,DE168&gt;0,CU168&gt;0),newSPRDOPT(BX168,CR168,CZ168,0,DE168,CU168,CV168,BT168*365.25,OCallPut,0),0)</f>
        <v>#VALUE!</v>
      </c>
      <c r="DL168" s="1316" t="e">
        <f aca="false">IF(OVolType,IF(AND(BZ168&gt;0,CS168&gt;0,DF168&gt;0,CU168&gt;0),newSPRDOPT(BZ168,CS168,DA168,0,DF168,CU168,CV168,BT168*365.25,OCallPut,0),0),IF(BQ168,(DH168*AZ168+DI168*BA168+DJ168*BB168+DK168*BC168)/BQ168,0))</f>
        <v>#VALUE!</v>
      </c>
      <c r="DM168" s="1316"/>
      <c r="DN168" s="1316"/>
      <c r="DO168" s="1316"/>
      <c r="DP168" s="1316"/>
      <c r="DQ168" s="1316"/>
      <c r="DR168" s="1316"/>
      <c r="DS168" s="1316"/>
      <c r="DT168" s="1316"/>
      <c r="DU168" s="1316"/>
      <c r="DV168" s="1316"/>
      <c r="DW168" s="1594" t="e">
        <f aca="false">IF(AND(BW168&gt;0,CT168&gt;0,DD168&gt;0,CU168&gt;0),newSPRDOPT(BW168,CT168,CY168,0,DD168,CU168,CV168,BT168*365.25,OCallPut,0),0)</f>
        <v>#VALUE!</v>
      </c>
      <c r="DX168" s="1316" t="e">
        <f aca="false">IF(AND(BX168&gt;0,CT168&gt;0,DE168&gt;0,CU168&gt;0),newSPRDOPT(BX168,CT168,CZ168,0,DE168,CU168,CV168,BT168*365.25,OCallPut,0),0)</f>
        <v>#VALUE!</v>
      </c>
      <c r="DY168" s="1591" t="e">
        <f aca="false">IF(BS168,(DH168*BH168+DI168*BI168+DW168*BJ168+DX168*BK168)/BS168,0)</f>
        <v>#VALUE!</v>
      </c>
      <c r="DZ168" s="1551" t="e">
        <f aca="false">DH168*AZ168</f>
        <v>#VALUE!</v>
      </c>
      <c r="EA168" s="1551" t="e">
        <f aca="false">DI168*BA168</f>
        <v>#VALUE!</v>
      </c>
      <c r="EB168" s="1551" t="e">
        <f aca="false">DJ168*BB168</f>
        <v>#VALUE!</v>
      </c>
      <c r="EC168" s="1551" t="e">
        <f aca="false">DK168*BC168</f>
        <v>#VALUE!</v>
      </c>
      <c r="ED168" s="1551" t="e">
        <f aca="false">DL168*BQ168</f>
        <v>#VALUE!</v>
      </c>
      <c r="EE168" s="1595" t="e">
        <f aca="false">IF(BQ168,IF(OCallPut,IF(BU168&gt;(CO168+CW168),BU168-(CO168+CW168),0),IF((CO168+CW168)&gt;BU168,(CO168+CW168)-BU168,0))*AZ168,0)</f>
        <v>#VALUE!</v>
      </c>
      <c r="EF168" s="1596" t="e">
        <f aca="false">IF(BQ168,IF(OCallPut,IF(BV168&gt;(CP168+CX168),BV168-(CP168+CX168),0),IF((CP168+CX168)&gt;BV168,(CP168+CX168)-BV168,0))*BA168,0)</f>
        <v>#VALUE!</v>
      </c>
      <c r="EG168" s="1596" t="e">
        <f aca="false">IF(BQ168,IF(OCallPut,IF(BW168&gt;(CQ168+CY168),BW168-(CQ168+CY168),0),IF((CQ168+CY168)&gt;BW168,(CQ168+CY168)-BW168,0))*BB168,0)</f>
        <v>#VALUE!</v>
      </c>
      <c r="EH168" s="1596" t="e">
        <f aca="false">IF(BQ168,IF(OCallPut,IF(BX168&gt;(CR168+CZ168),BX168-(CR168+CZ168),0),IF((CR168+CZ168)&gt;BX168,(CR168+CZ168)-BX168,0))*BC168,0)</f>
        <v>#VALUE!</v>
      </c>
      <c r="EI168" s="1597" t="e">
        <f aca="false">IF(BQ168,IF(OVolType,IF(OCallPut,IF(BZ168&gt;(CS168+DA168),BZ168-(CS168+DA168),0),IF((CS168+DA168)&gt;BZ168,(CS168+DA168)-BZ168,0))*BQ168,SUM(EE168:EH168)),0)</f>
        <v>#VALUE!</v>
      </c>
      <c r="EJ168" s="1595" t="e">
        <f aca="false">DZ168-EE168</f>
        <v>#VALUE!</v>
      </c>
      <c r="EK168" s="1596" t="e">
        <f aca="false">EA168-EF168</f>
        <v>#VALUE!</v>
      </c>
      <c r="EL168" s="1596" t="e">
        <f aca="false">EB168-EG168</f>
        <v>#VALUE!</v>
      </c>
      <c r="EM168" s="1596" t="e">
        <f aca="false">EC168-EH168</f>
        <v>#VALUE!</v>
      </c>
      <c r="EN168" s="1597" t="e">
        <f aca="false">ED168-EI168</f>
        <v>#VALUE!</v>
      </c>
      <c r="EO168" s="1551" t="e">
        <f aca="false">DH168*BH168</f>
        <v>#VALUE!</v>
      </c>
      <c r="EP168" s="1551" t="e">
        <f aca="false">DI168*BI168</f>
        <v>#VALUE!</v>
      </c>
      <c r="EQ168" s="1551" t="e">
        <f aca="false">DW168*BJ168</f>
        <v>#VALUE!</v>
      </c>
      <c r="ER168" s="1551" t="e">
        <f aca="false">DX168*BK168</f>
        <v>#VALUE!</v>
      </c>
      <c r="ES168" s="1551" t="e">
        <f aca="false">DY168*BS168</f>
        <v>#VALUE!</v>
      </c>
      <c r="ET168" s="1566" t="e">
        <f aca="false">IF(EI168,IF(OCallPut,IF(CA168&gt;(CT168+CW168),CA168-(CT168+CW168),0),IF((CT168+CW168)&gt;CA168,(CT168+CW168)-CA168,0))*BH168,0)</f>
        <v>#VALUE!</v>
      </c>
      <c r="EU168" s="1551" t="e">
        <f aca="false">IF(EI168,IF(OCallPut,IF(CB168&gt;(CT168+CX168),CB168-(CT168+CX168),0),IF((CT168+CX168)&gt;CB168,(CT168+CX168)-CB168,0))*BI168,0)</f>
        <v>#VALUE!</v>
      </c>
      <c r="EV168" s="1551" t="e">
        <f aca="false">IF(EI168,IF(OCallPut,IF(CC168&gt;(CT168+CY168),CC168-(CT168+CY168),0),IF((CT168+CY168)&gt;CC168,(CT168+CY168)-CC168,0))*BJ168,0)</f>
        <v>#VALUE!</v>
      </c>
      <c r="EW168" s="1551" t="e">
        <f aca="false">IF(EI168,IF(OCallPut,IF(CD168&gt;(CT168+CZ168),CD168-(CT168+CZ168),0),IF((CT168+CZ168)&gt;CD168,(CT168+CZ168)-CD168,0))*BK168,0)</f>
        <v>#VALUE!</v>
      </c>
      <c r="EX168" s="1558" t="e">
        <f aca="false">IF(EI168,SUM(ET168:EW168),0)</f>
        <v>#VALUE!</v>
      </c>
      <c r="EY168" s="1551" t="e">
        <f aca="false">EO168-ET168</f>
        <v>#VALUE!</v>
      </c>
      <c r="EZ168" s="1551" t="e">
        <f aca="false">EP168-EU168</f>
        <v>#VALUE!</v>
      </c>
      <c r="FA168" s="1551" t="e">
        <f aca="false">EQ168-EV168</f>
        <v>#VALUE!</v>
      </c>
      <c r="FB168" s="1551" t="e">
        <f aca="false">ER168-EW168</f>
        <v>#VALUE!</v>
      </c>
      <c r="FC168" s="1551" t="e">
        <f aca="false">ES168-EX168</f>
        <v>#VALUE!</v>
      </c>
      <c r="FD168" s="1525" t="n">
        <f aca="false">IF(AX168,IF(VLOOKUP(C168,MAIN!$L$17:$M$28,2)="Yes",VLOOKUP(CALC!B168,MAIN!$H$17:$I$20,2),0),0)</f>
        <v>0</v>
      </c>
      <c r="FE168" s="1552" t="e">
        <f aca="false">$FD168*16*AT168*(1-$AY168)</f>
        <v>#VALUE!</v>
      </c>
      <c r="FF168" s="1553" t="e">
        <f aca="false">$FD168*16*AU168*(1-$AY168)</f>
        <v>#VALUE!</v>
      </c>
      <c r="FG168" s="1553" t="e">
        <f aca="false">$FD168*16*(AV168+AW168)*(1-$AY168)</f>
        <v>#VALUE!</v>
      </c>
      <c r="FH168" s="1554" t="n">
        <f aca="false">$FD168*8*AX168*(1-$AY168)</f>
        <v>0</v>
      </c>
      <c r="FI168" s="1555" t="n">
        <f aca="false">IF(AX168,VLOOKUP(CALC!B168,MAIN!$H$17:$K$20,4),0)</f>
        <v>0</v>
      </c>
      <c r="FJ168" s="1553" t="e">
        <f aca="false">SUM(FE168:FH168)</f>
        <v>#VALUE!</v>
      </c>
      <c r="FK168" s="1556" t="e">
        <f aca="false">FI168*FJ168</f>
        <v>#VALUE!</v>
      </c>
      <c r="FL168" s="1551" t="e">
        <f aca="false">IF($EI168&gt;0,MIN(FE168,AZ168*(1+VLOOKUP($C168,WeatherCapacityAdjustment,2))),0)</f>
        <v>#VALUE!</v>
      </c>
      <c r="FM168" s="1551" t="e">
        <f aca="false">IF($EI168&gt;0,MIN(FF168,BA168*(1+VLOOKUP($C168,WeatherCapacityAdjustment,2))),0)</f>
        <v>#VALUE!</v>
      </c>
      <c r="FN168" s="1551" t="e">
        <f aca="false">IF($EI168&gt;0,MIN(FG168,BB168*(1+VLOOKUP($C168,WeatherCapacityAdjustment,2))),0)</f>
        <v>#VALUE!</v>
      </c>
      <c r="FO168" s="1564" t="e">
        <f aca="false">IF($EI168&gt;0,MIN(FH168,BC168*(1+VLOOKUP($C168,WeatherCapacityAdjustment,3))),0)</f>
        <v>#VALUE!</v>
      </c>
      <c r="FP168" s="1551" t="e">
        <f aca="false">IF(ET168&gt;0,MIN(FE168-FL168,BH168*(1+VLOOKUP($C168,WeatherCapacityAdjustment,2))),0)</f>
        <v>#VALUE!</v>
      </c>
      <c r="FQ168" s="1551" t="e">
        <f aca="false">IF(EU168&gt;0,MIN(FF168-FM168,BI168*(1+VLOOKUP($C168,WeatherCapacityAdjustment,2))),0)</f>
        <v>#VALUE!</v>
      </c>
      <c r="FR168" s="1551" t="e">
        <f aca="false">IF(EV168&gt;0,MIN(FG168-FN168,BJ168*(1+VLOOKUP($C168,WeatherCapacityAdjustment,2))),0)</f>
        <v>#VALUE!</v>
      </c>
      <c r="FS168" s="1558" t="e">
        <f aca="false">IF(EW168&gt;0,MIN(FH168-FO168,BK168*(1+VLOOKUP($C168,WeatherCapacityAdjustment,3))),0)</f>
        <v>#VALUE!</v>
      </c>
      <c r="FT168" s="1566" t="e">
        <f aca="false">IF(AND(Assumptions!$H$71="Yes",A168&gt;=Assumptions!$H$72,A168&lt;=Assumptions!$H$73),0,IF(AND($A168&gt;=Assumptions!$C$17,$A168&lt;=Assumptions!$C$18),MAX(AZ168*(1+VLOOKUP($C168,WeatherCapacityAdjustment,2))-FL168,0),0))</f>
        <v>#VALUE!</v>
      </c>
      <c r="FU168" s="1551" t="e">
        <f aca="false">IF(AND(Assumptions!$H$71="Yes",A168&gt;=Assumptions!$H$72,A168&lt;=Assumptions!$H$73),0,IF(AND($A168&gt;=Assumptions!$C$17,$A168&lt;=Assumptions!$C$18),MAX(BA168*(1+VLOOKUP($C168,WeatherCapacityAdjustment,2))-FM168,0),0))</f>
        <v>#VALUE!</v>
      </c>
      <c r="FV168" s="1551" t="e">
        <f aca="false">IF(AND(Assumptions!$H$71="Yes",A168&gt;=Assumptions!$H$72,A168&lt;=Assumptions!$H$73),0,IF(AND($A168&gt;=Assumptions!$C$17,$A168&lt;=Assumptions!$C$18),MAX(BB168*(1+VLOOKUP($C168,WeatherCapacityAdjustment,2))-FN168,0),0))</f>
        <v>#VALUE!</v>
      </c>
      <c r="FW168" s="1564" t="e">
        <f aca="false">IF(AND(Assumptions!$H$71="Yes",A168&gt;=Assumptions!$H$72,A168&lt;=Assumptions!$H$73),0,IF(AND($A168&gt;=Assumptions!$C$17,$A168&lt;=Assumptions!$C$18),MAX(BC168*(1+VLOOKUP($C168,WeatherCapacityAdjustment,3))-FO168,0),0))</f>
        <v>#VALUE!</v>
      </c>
      <c r="FX168" s="1569" t="e">
        <f aca="false">IF(AND(Assumptions!$H$71="Yes",A168&gt;=Assumptions!$H$72,A168&lt;=Assumptions!$H$73),0,IF(ET168&gt;0,MAX(BH168*(1+VLOOKUP($C168,WeatherCapacityAdjustment,2))-FP168,0),0))</f>
        <v>#VALUE!</v>
      </c>
      <c r="FY168" s="1551" t="e">
        <f aca="false">IF(AND(Assumptions!$H$71="Yes",A168&gt;=Assumptions!$H$72,A168&lt;=Assumptions!$H$73),0,IF(EU168&gt;0,MAX(BI168*(1+VLOOKUP($C168,WeatherCapacityAdjustment,3))-FQ168,0),0))</f>
        <v>#VALUE!</v>
      </c>
      <c r="FZ168" s="1551" t="e">
        <f aca="false">IF(AND(Assumptions!$H$71="Yes",A168&gt;=Assumptions!$H$72,A168&lt;=Assumptions!$H$73),0,IF(EV168&gt;0,MAX(BJ168*(1+VLOOKUP($C168,WeatherCapacityAdjustment,2))-FR168,0),0))</f>
        <v>#VALUE!</v>
      </c>
      <c r="GA168" s="1564" t="e">
        <f aca="false">IF(AND(Assumptions!$H$71="Yes",A168&gt;=Assumptions!$H$72,A168&lt;=Assumptions!$H$73),0,IF(EW168&gt;0,MAX(BK168*(1+VLOOKUP($C168,WeatherCapacityAdjustment,2))-FS168,0),0))</f>
        <v>#VALUE!</v>
      </c>
      <c r="GB168" s="1551" t="e">
        <f aca="false">SUM(FT168:GA168)</f>
        <v>#VALUE!</v>
      </c>
      <c r="GC168" s="1563" t="e">
        <f aca="false">+IF(SUM(FT168:GA168)=0,0,(SUMPRODUCT(BU168:BX168,FT168:FW168)+SUMPRODUCT(CA168:CD168,FX168:GA168))/SUM(FT168:GA168))</f>
        <v>#VALUE!</v>
      </c>
      <c r="GD168" s="1551" t="e">
        <f aca="false">(FT168*BU168+FX168*CA168+FU168*BV168+FY168*CB168+FV168*BW168+FZ168*CC168+FW168*BX168+GA168*CD168)</f>
        <v>#VALUE!</v>
      </c>
      <c r="GE168" s="1561" t="e">
        <f aca="false">+IF(BQ168,((FL168+FM168+FT168+FU168)*HeatRatePeak/1000*(1+VLOOKUP($C168,WeatherHeatRateAdjustment,2))+(FN168+FV168)*IF(EV168&gt;0,HeatRatePeak,HeatRateOffPeak)/1000*(1+VLOOKUP($C168,WeatherHeatRateAdjustment,2))+(FO168+FW168)*IF(EW168&gt;0,HeatRatePeak,HeatRateOffPeak)/1000*(1+VLOOKUP($C168,WeatherHeatRateAdjustment,3)))*(1+VLOOKUP($B168,HeatRateDegradation,$C168+1)),0)</f>
        <v>#VALUE!</v>
      </c>
      <c r="GF168" s="1562" t="e">
        <f aca="false">IF(BQ168,((FP168+FQ168+FR168+FX168+FY168+FZ168)*HeatRatePeak/1000*(1+VLOOKUP($C168,WeatherHeatRateAdjustment,2))+(FS168+GA168)*HeatRatePeak/1000*(1+VLOOKUP($C168,WeatherHeatRateAdjustment,3)))*(1+VLOOKUP($B168,HeatRateDegradation,$C168+1)),0)</f>
        <v>#VALUE!</v>
      </c>
      <c r="GG168" s="1563" t="e">
        <f aca="false">IF(BQ168,VLOOKUP(A168,GasTable,13),0)</f>
        <v>#VALUE!</v>
      </c>
      <c r="GH168" s="1564" t="e">
        <f aca="false">(GE168+GF168)*GG168</f>
        <v>#VALUE!</v>
      </c>
      <c r="GI168" s="1569" t="e">
        <f aca="false">GB168</f>
        <v>#VALUE!</v>
      </c>
      <c r="GJ168" s="1598" t="e">
        <f aca="false">+DA168</f>
        <v>#VALUE!</v>
      </c>
      <c r="GK168" s="1558" t="e">
        <f aca="false">+GI168*GJ168</f>
        <v>#VALUE!</v>
      </c>
      <c r="GL168" s="1566" t="e">
        <f aca="false">MAX(FE168-FL168-FP168,0)</f>
        <v>#VALUE!</v>
      </c>
      <c r="GM168" s="1551" t="e">
        <f aca="false">MAX(FF168-FM168-FQ168,0)</f>
        <v>#VALUE!</v>
      </c>
      <c r="GN168" s="1551" t="e">
        <f aca="false">MAX(FG168-FN168-FR168,0)</f>
        <v>#VALUE!</v>
      </c>
      <c r="GO168" s="1564" t="e">
        <f aca="false">MAX(FH168-FO168-FS168,0)</f>
        <v>#VALUE!</v>
      </c>
      <c r="GP168" s="1551" t="e">
        <f aca="false">SUM(GL168:GO168)</f>
        <v>#VALUE!</v>
      </c>
      <c r="GQ168" s="1563" t="e">
        <f aca="false">IF(SUM(GL168:GO168)=0,0,((GL168*BU168+GM168*BV168+GN168*BW168+GO168*BX168)/SUM(GL168:GO168)))</f>
        <v>#VALUE!</v>
      </c>
      <c r="GR168" s="1558" t="e">
        <f aca="false">(GL168*BU168+GM168*BV168+GN168*BW168+GO168*BX168)</f>
        <v>#VALUE!</v>
      </c>
      <c r="GS168" s="1566" t="n">
        <f aca="false">IF($A168&gt;=BegDate,Assumptions!$C$56*24*($A169-$A168)*(1-VLOOKUP($B168,MAIN!$AA$7:$AM$28,$C168+1))*(1-VLOOKUP($B168,MAIN!$AA$33:$AM$54,$C168+1)),0)*80/168</f>
        <v>257742.857142857</v>
      </c>
      <c r="GT168" s="286" t="n">
        <f aca="false">J168</f>
        <v>52.1039385910898</v>
      </c>
      <c r="GU168" s="286" t="n">
        <f aca="false">IF($A168&gt;=BegDate,VLOOKUP($A168,GasTable,13)+Assumptions!$C$58,0)</f>
        <v>3.59220396674492</v>
      </c>
      <c r="GV168" s="286" t="n">
        <f aca="false">GU168*Assumptions!$C$57/1000</f>
        <v>26.0434787589007</v>
      </c>
      <c r="GW168" s="1558" t="n">
        <f aca="false">IF(Assumptions!$C$60="Hourly",MAX(0,GS168*(GT168-GV168)),GS168*(GT168-GV168))</f>
        <v>6716897.37560508</v>
      </c>
      <c r="GX168" s="1566" t="n">
        <f aca="false">IF($A168&gt;=BegDate,Assumptions!$C$56*24*($A169-$A168)*(1-VLOOKUP($B168,MAIN!$AA$7:$AM$28,$C168+1))*(1-VLOOKUP($B168,MAIN!$AA$33:$AM$54,$C168+1)),0)*16/168</f>
        <v>51548.5714285714</v>
      </c>
      <c r="GY168" s="286" t="n">
        <f aca="false">M168</f>
        <v>52.1039385910898</v>
      </c>
      <c r="GZ168" s="286" t="n">
        <f aca="false">IF($A168&gt;=BegDate,VLOOKUP($A168,GasTable,13)+Assumptions!$C$58,0)</f>
        <v>3.59220396674492</v>
      </c>
      <c r="HA168" s="286" t="n">
        <f aca="false">GZ168*Assumptions!$C$57/1000</f>
        <v>26.0434787589007</v>
      </c>
      <c r="HB168" s="1558" t="n">
        <f aca="false">IF(Assumptions!$C$60="Hourly",MAX(0,GX168*(GY168-HA168)),GX168*(GY168-HA168))</f>
        <v>1343379.47512102</v>
      </c>
      <c r="HC168" s="1566" t="n">
        <f aca="false">IF($A168&gt;=BegDate,Assumptions!$C$56*24*($A169-$A168)*(1-VLOOKUP($B168,MAIN!$AA$7:$AM$28,$C168+1))*(1-VLOOKUP($B168,MAIN!$AA$33:$AM$54,$C168+1)),0)*16/168</f>
        <v>51548.5714285714</v>
      </c>
      <c r="HD168" s="286" t="n">
        <f aca="false">P168</f>
        <v>32.625393340942</v>
      </c>
      <c r="HE168" s="286" t="n">
        <f aca="false">IF($A168&gt;=BegDate,VLOOKUP($A168,GasTable,13)+Assumptions!$C$58,0)</f>
        <v>3.59220396674492</v>
      </c>
      <c r="HF168" s="286" t="n">
        <f aca="false">HE168*Assumptions!$C$57/1000</f>
        <v>26.0434787589007</v>
      </c>
      <c r="HG168" s="1558" t="n">
        <f aca="false">IF(Assumptions!$C$60="Hourly",MAX(0,HC168*(HD168-HF168)),HC168*(HD168-HF168))</f>
        <v>339288.293969113</v>
      </c>
      <c r="HH168" s="1566" t="n">
        <f aca="false">IF($A168&gt;=BegDate,Assumptions!$C$56*24*($A169-$A168)*(1-VLOOKUP($B168,MAIN!$AA$7:$AM$28,$C168+1))*(1-VLOOKUP($B168,MAIN!$AA$33:$AM$54,$C168+1)),0)*56/168</f>
        <v>180420</v>
      </c>
      <c r="HI168" s="286" t="n">
        <f aca="false">S168</f>
        <v>32.625393340942</v>
      </c>
      <c r="HJ168" s="286" t="n">
        <f aca="false">IF($A168&gt;=BegDate,VLOOKUP($A168,GasTable,13)+Assumptions!$C$58,0)</f>
        <v>3.59220396674492</v>
      </c>
      <c r="HK168" s="286" t="n">
        <f aca="false">HJ168*Assumptions!$C$57/1000</f>
        <v>26.0434787589007</v>
      </c>
      <c r="HL168" s="1558" t="n">
        <f aca="false">IF(Assumptions!$C$60="Hourly",MAX(0,HH168*(HI168-HK168)),HH168*(HI168-HK168))</f>
        <v>1187509.0288919</v>
      </c>
      <c r="HM168" s="1566" t="n">
        <f aca="false">IF(AND(Assumptions!$H$71="Yes",A168&gt;=Assumptions!$H$72,A168&lt;=Assumptions!$H$73),Assumptions!$H$74*Assumptions!$C$9*1000,0)</f>
        <v>0</v>
      </c>
      <c r="HN168" s="1551"/>
      <c r="HO168" s="1563"/>
      <c r="HP168" s="1563"/>
      <c r="HQ168" s="1563"/>
      <c r="HR168" s="1563"/>
      <c r="HS168" s="1563"/>
      <c r="HT168" s="1563"/>
      <c r="HU168" s="1563"/>
      <c r="HV168" s="1563"/>
      <c r="HW168" s="1563"/>
      <c r="HX168" s="1563"/>
      <c r="HY168" s="1563"/>
      <c r="HZ168" s="1563"/>
      <c r="IA168" s="1563"/>
      <c r="IB168" s="1563"/>
      <c r="IC168" s="1563"/>
      <c r="ID168" s="1563"/>
      <c r="IE168" s="1563"/>
      <c r="IF168" s="1563"/>
      <c r="IG168" s="1563"/>
      <c r="IH168" s="1563"/>
      <c r="II168" s="1610"/>
      <c r="IJ168" s="1309"/>
      <c r="IK168" s="1309"/>
    </row>
    <row r="169" customFormat="false" ht="12.75" hidden="false" customHeight="false" outlineLevel="0" collapsed="false">
      <c r="A169" s="1571" t="n">
        <f aca="false">EOMONTH(A168,0)+1</f>
        <v>41275</v>
      </c>
      <c r="B169" s="594" t="n">
        <f aca="false">+YEAR(A169)</f>
        <v>2013</v>
      </c>
      <c r="C169" s="238" t="n">
        <f aca="false">MONTH(A169)</f>
        <v>1</v>
      </c>
      <c r="D169" s="1572" t="e">
        <f aca="false">IF(E169="","",Holiday(B169,C169))</f>
        <v>#VALUE!</v>
      </c>
      <c r="E169" s="1573" t="n">
        <f aca="false">IF(OR(BegDate&gt;=A170,EndDate&lt;A169,AND(VolumeMonthlyOverFlag,INDEX(VolumeMonthlyOver,C169)=0),NOT(INDEX(MonthKnockOutTable,C169))),"",MAX(A169,BegDate))</f>
        <v>41275</v>
      </c>
      <c r="F169" s="1574" t="n">
        <f aca="false">IF(E169="","",MIN(A170-1,EndDate))</f>
        <v>41305</v>
      </c>
      <c r="G169" s="1575" t="n">
        <v>0</v>
      </c>
      <c r="H169" s="1576" t="n">
        <f aca="false">(1+G169/2)^(-2*(DATE(B170,C170,20)-DateToday)/365.25)</f>
        <v>1</v>
      </c>
      <c r="I169" s="1568" t="n">
        <f aca="false">IF(Assumptions!$L$25=4,VLOOKUP($A169,'Henwood Reference'!$E$9:$R$320,10),(VLOOKUP($A169,PriceTable,2,0)+IF(BasisNumber&lt;&gt;1,VLOOKUP($A169,BasisTable,2,0),0)+I$1)/(1-I$2))</f>
        <v>53.306812667077</v>
      </c>
      <c r="J169" s="1568" t="n">
        <f aca="false">IF(Assumptions!$L$25=4,VLOOKUP($A169,'Henwood Reference'!$E$9:$R$320,10),(VLOOKUP($A169,PriceTable,3,0)+IF(BasisNumber&lt;&gt;1,VLOOKUP($A169,BasisTable,2,0),0)+J$1)/(1-J$2))</f>
        <v>53.306812667077</v>
      </c>
      <c r="K169" s="1568" t="n">
        <f aca="false">IF(Assumptions!$L$25=4,VLOOKUP($A169,'Henwood Reference'!$E$9:$R$320,10),(VLOOKUP($A169,PriceTable,4,0)+IF(BasisNumber&lt;&gt;1,VLOOKUP($A169,BasisTable,2,0),0)+K$1)/(1-K$2))</f>
        <v>53.306812667077</v>
      </c>
      <c r="L169" s="1523" t="n">
        <f aca="false">IF(Assumptions!$L$25=4,VLOOKUP($A169,'Henwood Reference'!$E$9:$R$320,10),(VLOOKUP($A169,PriceTableWeekend,2,0)+IF(BasisNumber&lt;&gt;1,VLOOKUP($A169,BasisTable,2,0),0)+L$1)/(1-L$2))</f>
        <v>53.306812667077</v>
      </c>
      <c r="M169" s="1568" t="n">
        <f aca="false">IF(Assumptions!$L$25=4,VLOOKUP($A169,'Henwood Reference'!$E$9:$R$320,10),(VLOOKUP($A169,PriceTableWeekend,3,0)+IF(BasisNumber&lt;&gt;1,VLOOKUP($A169,BasisTable,2,0),0)+M$1)/(1-M$2))</f>
        <v>53.306812667077</v>
      </c>
      <c r="N169" s="1599" t="n">
        <f aca="false">IF(Assumptions!$L$25=4,VLOOKUP($A169,'Henwood Reference'!$E$9:$R$320,10),(VLOOKUP($A169,PriceTableWeekend,4,0)+IF(BasisNumber&lt;&gt;1,VLOOKUP($A169,BasisTable,2,0),0)+N$1)/(1-N$2))</f>
        <v>53.306812667077</v>
      </c>
      <c r="O169" s="1568" t="n">
        <f aca="false">IF(Assumptions!$L$25=4,VLOOKUP($A169,'Henwood Reference'!$E$9:$R$320,11),(VLOOKUP($A169,PriceTableWeekend,6,0)+IF(BasisNumber&lt;&gt;1,VLOOKUP($A169,BasisTable,3,0),0)+O$1)/(1-O$2))</f>
        <v>32.3867356000413</v>
      </c>
      <c r="P169" s="1568" t="n">
        <f aca="false">IF(Assumptions!$L$25=4,VLOOKUP($A169,'Henwood Reference'!$E$9:$R$320,11),(VLOOKUP($A169,PriceTableWeekend,7,0)+IF(BasisNumber&lt;&gt;1,VLOOKUP($A169,BasisTable,3,0),0)+P$1)/(1-P$2))</f>
        <v>32.3867356000413</v>
      </c>
      <c r="Q169" s="1599" t="n">
        <f aca="false">IF(Assumptions!$L$25=4,VLOOKUP($A169,'Henwood Reference'!$E$9:$R$320,11),(VLOOKUP($A169,PriceTableWeekend,8,0)+IF(BasisNumber&lt;&gt;1,VLOOKUP($A169,BasisTable,3,0),0)+Q$1)/(1-Q$2))</f>
        <v>32.3867356000413</v>
      </c>
      <c r="R169" s="1568" t="n">
        <f aca="false">IF(Assumptions!$L$25=4,VLOOKUP($A169,'Henwood Reference'!$E$9:$R$320,11),(VLOOKUP($A169,PriceTable,6,0)+IF(BasisNumber&lt;&gt;1,VLOOKUP($A169,BasisTable,3,0),0)+R$1)/(1-R$2))</f>
        <v>32.3867356000413</v>
      </c>
      <c r="S169" s="1568" t="n">
        <f aca="false">IF(Assumptions!$L$25=4,VLOOKUP($A169,'Henwood Reference'!$E$9:$R$320,11),(VLOOKUP($A169,PriceTable,7,0)+IF(BasisNumber&lt;&gt;1,VLOOKUP($A169,BasisTable,3,0),0)+S$1)/(1-S$2))</f>
        <v>32.3867356000413</v>
      </c>
      <c r="T169" s="1600" t="n">
        <f aca="false">IF(Assumptions!$L$25=4,VLOOKUP($A169,'Henwood Reference'!$E$9:$R$320,11),(VLOOKUP($A169,PriceTable,8,0)+IF(BasisNumber&lt;&gt;1,VLOOKUP($A169,BasisTable,3,0),0)+T$1)/(1-T$2))</f>
        <v>32.3867356000413</v>
      </c>
      <c r="U169" s="1513" t="n">
        <f aca="false">VLOOKUP($A169,VolatilityTable,14)</f>
        <v>0.105</v>
      </c>
      <c r="V169" s="1513" t="n">
        <f aca="false">VLOOKUP($A169,VolatilityTable,15)</f>
        <v>0.115</v>
      </c>
      <c r="W169" s="1514" t="n">
        <f aca="false">VLOOKUP($A169,VolatilityTable,16)</f>
        <v>0.125</v>
      </c>
      <c r="X169" s="1513" t="n">
        <f aca="false">VLOOKUP($A169,VolatilityTable,14)</f>
        <v>0.105</v>
      </c>
      <c r="Y169" s="1513" t="n">
        <f aca="false">VLOOKUP($A169,VolatilityTable,15)</f>
        <v>0.115</v>
      </c>
      <c r="Z169" s="1514" t="n">
        <f aca="false">VLOOKUP($A169,VolatilityTable,16)</f>
        <v>0.125</v>
      </c>
      <c r="AA169" s="1513" t="n">
        <f aca="false">VLOOKUP($A169,VolatilityTable,18)</f>
        <v>0.09</v>
      </c>
      <c r="AB169" s="1513" t="n">
        <f aca="false">VLOOKUP($A169,VolatilityTable,19)</f>
        <v>0.11</v>
      </c>
      <c r="AC169" s="1514" t="n">
        <f aca="false">VLOOKUP($A169,VolatilityTable,20)</f>
        <v>0.13</v>
      </c>
      <c r="AD169" s="1513" t="n">
        <f aca="false">VLOOKUP($A169,VolatilityTable,18)</f>
        <v>0.09</v>
      </c>
      <c r="AE169" s="1513" t="n">
        <f aca="false">VLOOKUP($A169,VolatilityTable,19)</f>
        <v>0.11</v>
      </c>
      <c r="AF169" s="1514" t="n">
        <f aca="false">VLOOKUP($A169,VolatilityTable,20)</f>
        <v>0.13</v>
      </c>
      <c r="AG169" s="1513" t="n">
        <f aca="false">VLOOKUP($A169,VolatilityTable,22)</f>
        <v>-0.25</v>
      </c>
      <c r="AH169" s="1513" t="n">
        <f aca="false">VLOOKUP($A169,VolatilityTable,23)</f>
        <v>0.65</v>
      </c>
      <c r="AI169" s="1514" t="n">
        <f aca="false">VLOOKUP($A169,VolatilityTable,24)</f>
        <v>0.25</v>
      </c>
      <c r="AJ169" s="1513" t="n">
        <f aca="false">VLOOKUP($A169,VolatilityTable,22)</f>
        <v>-0.25</v>
      </c>
      <c r="AK169" s="1513" t="n">
        <f aca="false">VLOOKUP($A169,VolatilityTable,23)</f>
        <v>0.65</v>
      </c>
      <c r="AL169" s="1514" t="n">
        <f aca="false">VLOOKUP($A169,VolatilityTable,24)</f>
        <v>0.25</v>
      </c>
      <c r="AM169" s="1513" t="n">
        <f aca="false">VLOOKUP($A169,VolatilityTable,26)</f>
        <v>-0.01</v>
      </c>
      <c r="AN169" s="1513" t="n">
        <f aca="false">VLOOKUP($A169,VolatilityTable,27)</f>
        <v>0.16</v>
      </c>
      <c r="AO169" s="1514" t="n">
        <f aca="false">VLOOKUP($A169,VolatilityTable,28)</f>
        <v>0.01</v>
      </c>
      <c r="AP169" s="1513" t="n">
        <f aca="false">VLOOKUP($A169,VolatilityTable,26)</f>
        <v>-0.01</v>
      </c>
      <c r="AQ169" s="1513" t="n">
        <f aca="false">VLOOKUP($A169,VolatilityTable,27)</f>
        <v>0.16</v>
      </c>
      <c r="AR169" s="1515" t="n">
        <f aca="false">VLOOKUP($A169,VolatilityTable,28)</f>
        <v>0.01</v>
      </c>
      <c r="AS169" s="1581" t="n">
        <f aca="false">IF(CorrPeakOffPeakOverFlag,INDEX(CorrPeakOffPeakOver,C169),CorrPeakOffPeak)</f>
        <v>0.5</v>
      </c>
      <c r="AT169" s="594" t="e">
        <f aca="false">AX169-SUM(AU169:AW169)</f>
        <v>#VALUE!</v>
      </c>
      <c r="AU169" s="238" t="e">
        <f aca="false">IF(E169="",0,INT((F169-MOD(F169,7)-E169)/7)+1-IF(AW169,IF(WEEKDAY(D169)=7,1,0),0))</f>
        <v>#VALUE!</v>
      </c>
      <c r="AV169" s="238" t="e">
        <f aca="false">IF(E169="",0,INT((F169-MOD(F169-1,7)-E169)/7)+1-IF(AW169,IF(WEEKDAY(D169)=1,1,0),0))</f>
        <v>#VALUE!</v>
      </c>
      <c r="AW169" s="238" t="e">
        <f aca="false">IF(OR(E169="",D169="",D169&lt;BegDate,D169&gt;EndDate),0,1)</f>
        <v>#VALUE!</v>
      </c>
      <c r="AX169" s="238" t="n">
        <f aca="false">IF(E169="",0,F169-E169+1)</f>
        <v>31</v>
      </c>
      <c r="AY169" s="1582" t="n">
        <f aca="false">IF(E169="",0,MIN((1-(1-VLOOKUP(B169,MAIN!$AA$7:$AM$28,C169+1))*(1-VLOOKUP(B169,MAIN!$AA$33:$AM$54,C169+1))),1))</f>
        <v>0.03</v>
      </c>
      <c r="AZ169" s="1519" t="e">
        <v>#VALUE!</v>
      </c>
      <c r="BA169" s="1520" t="e">
        <v>#VALUE!</v>
      </c>
      <c r="BB169" s="1520" t="e">
        <v>#VALUE!</v>
      </c>
      <c r="BC169" s="1583" t="e">
        <v>#VALUE!</v>
      </c>
      <c r="BD169" s="1522" t="e">
        <v>#VALUE!</v>
      </c>
      <c r="BE169" s="1523" t="e">
        <v>#VALUE!</v>
      </c>
      <c r="BF169" s="1523" t="e">
        <v>#VALUE!</v>
      </c>
      <c r="BG169" s="1584" t="e">
        <v>#VALUE!</v>
      </c>
      <c r="BH169" s="1525" t="e">
        <v>#VALUE!</v>
      </c>
      <c r="BI169" s="1520" t="e">
        <v>#VALUE!</v>
      </c>
      <c r="BJ169" s="1520" t="e">
        <v>#VALUE!</v>
      </c>
      <c r="BK169" s="1583" t="e">
        <v>#VALUE!</v>
      </c>
      <c r="BL169" s="1522" t="e">
        <v>#VALUE!</v>
      </c>
      <c r="BM169" s="1523" t="e">
        <v>#VALUE!</v>
      </c>
      <c r="BN169" s="1523" t="e">
        <v>#VALUE!</v>
      </c>
      <c r="BO169" s="1523" t="e">
        <v>#VALUE!</v>
      </c>
      <c r="BP169" s="1525" t="e">
        <f aca="false">SUM(AZ169:BB169)</f>
        <v>#VALUE!</v>
      </c>
      <c r="BQ169" s="1529" t="e">
        <f aca="false">SUM(AZ169:BC169)</f>
        <v>#VALUE!</v>
      </c>
      <c r="BR169" s="1519" t="e">
        <f aca="false">SUM(BH169:BJ169)</f>
        <v>#VALUE!</v>
      </c>
      <c r="BS169" s="1529" t="e">
        <f aca="false">SUM(BH169:BK169)</f>
        <v>#VALUE!</v>
      </c>
      <c r="BT169" s="1316" t="n">
        <f aca="false">(IF(OVolType&lt;&gt;2,A169+14,IF(OptExpDateShift,ShiftBack(A169,OptExpDateShift,D168),A169))-DateToday)/365.25</f>
        <v>12.7173169062286</v>
      </c>
      <c r="BU169" s="1585" t="e">
        <f aca="false">IF(BQ169,IF(OPriceCurve,IF(OBuySell=OCallPut,I169/(1-AY169),K169/(1-AY169)),J169/(1-AY169))*BD169,0)</f>
        <v>#VALUE!</v>
      </c>
      <c r="BV169" s="1316" t="e">
        <f aca="false">IF(BQ169,IF(OPriceCurve,IF(OBuySell=OCallPut,L169/(1-AY169),N169/(1-AY169)),M169/(1-AY169))*BE169,0)</f>
        <v>#VALUE!</v>
      </c>
      <c r="BW169" s="1316" t="e">
        <f aca="false">IF(BQ169,IF(OPriceCurve,IF(OBuySell=OCallPut,O169/(1-AY169),Q169/(1-AY169)),P169/(1-AY169))*BF169,0)</f>
        <v>#VALUE!</v>
      </c>
      <c r="BX169" s="1316" t="e">
        <f aca="false">IF(BQ169,IF(OPriceCurve,IF(OBuySell=OCallPut,R169/(1-AY169),T169/(1-AY169)),S169/(1-AY169))*BG169,0)</f>
        <v>#VALUE!</v>
      </c>
      <c r="BY169" s="1316" t="e">
        <f aca="false">IF(BP169,(BU169*AZ169+BV169*BA169+BW169*BB169)/BP169,0)</f>
        <v>#VALUE!</v>
      </c>
      <c r="BZ169" s="1316" t="e">
        <f aca="false">IF(BQ169,(BY169*BP169+BX169*BC169)/BQ169,0)</f>
        <v>#VALUE!</v>
      </c>
      <c r="CA169" s="1531" t="e">
        <f aca="false">IF(BS169,IF(OPriceCurve,IF(OBuySell=OCallPut,I169/(1-AY169),K169/(1-AY169)),J169/(1-AY169))*BL169,0)</f>
        <v>#VALUE!</v>
      </c>
      <c r="CB169" s="1316" t="e">
        <f aca="false">IF(BS169,IF(OPriceCurve,IF(OBuySell=OCallPut,L169/(1-AY169),N169/(1-AY169)),M169/(1-AY169))*BM169,0)</f>
        <v>#VALUE!</v>
      </c>
      <c r="CC169" s="1316" t="e">
        <f aca="false">IF(BS169,IF(OPriceCurve,IF(OBuySell=OCallPut,O169/(1-AY169),Q169/(1-AY169)),P169/(1-AY169))*BN169,0)</f>
        <v>#VALUE!</v>
      </c>
      <c r="CD169" s="1316" t="e">
        <f aca="false">IF(BS169,IF(OPriceCurve,IF(OBuySell=OCallPut,R169/(1-AY169),T169/(1-AY169)),S169/(1-AY169))*BO169,0)</f>
        <v>#VALUE!</v>
      </c>
      <c r="CE169" s="1316" t="e">
        <f aca="false">IF(BR169,(BU169*BH169+BV169*BI169+BW169*BJ169)/BR169,0)</f>
        <v>#VALUE!</v>
      </c>
      <c r="CF169" s="1532" t="e">
        <f aca="false">IF(BS169,(CE169*BR169+CD169*BK169)/BS169,0)</f>
        <v>#VALUE!</v>
      </c>
      <c r="CG169" s="1586" t="e">
        <f aca="false">IF(OR(BQ169,BS169),IF(OVolType&lt;&gt;2,SQRT(IF(OVolOverMonthlyPeak,OVolOverMonthlyPeak,IF(OVolCurve,IF(OBuySell,U169,W169),V169))^2*(1-15/365.25/BT169)+IF(OVolOverDailyPeak,OVolOverDailyPeak,IF(OVolCurve,IF(OBuySell,AG169,AI169),AH169))^2*15/365.25/BT169),IF(OVolOverMonthlyPeak,OVolOverMonthlyPeak,IF(OVolCurve,IF(OBuySell,U169,W169),V169))),"")</f>
        <v>#VALUE!</v>
      </c>
      <c r="CH169" s="1587" t="e">
        <f aca="false">IF(OR(BQ169,BS169),IF(OVolType&lt;&gt;2,SQRT(IF(OVolOverMonthlyPeak,OVolOverMonthlyPeak,IF(OVolCurve,IF(OBuySell,X169,Z169),Y169))^2*(1-15/365.25/BT169)+IF(OVolOverDailyPeak,OVolOverDailyPeak,IF(OVolCurve,IF(OBuySell,AJ169,AL169),AK169))^2*15/365.25/BT169),IF(OVolOverMonthlyPeak,OVolOverMonthlyPeak,IF(OVolCurve,IF(OBuySell,X169,Z169),Y169))),"")</f>
        <v>#VALUE!</v>
      </c>
      <c r="CI169" s="1587" t="e">
        <f aca="false">IF(OR(BQ169,BS169),IF(OVolType&lt;&gt;2,SQRT(IF(OVolOverMonthlyPeak,OVolOverMonthlyPeak,IF(OVolCurve,IF(OBuySell,AA169,AC169),AB169))^2*(1-15/365.25/BT169)+IF(OVolOverDailyPeak,OVolOverDailyPeak,IF(OVolCurve,IF(OBuySell,AM169,AO169),AN169))^2*15/365.25/BT169),IF(OVolOverMonthlyPeak,OVolOverMonthlyPeak,IF(OVolCurve,IF(OBuySell,AA169,AC169),AB169))),"")</f>
        <v>#VALUE!</v>
      </c>
      <c r="CJ169" s="1587" t="e">
        <f aca="false">IF(BQ169,IF(BP169,SQRT(LN(1+((BU169*AZ169)^2*(EXP(CG169^2*BT169)-1)+(BV169*BA169)^2*(EXP(CH169^2*BT169)-1)+(BW169*BB169)^2*(EXP(CI169^2*BT169)-1)+2*BU169*AZ169*BV169*BA169*(EXP(CG169*CH169*BT169)-1)+2*BV169*BA169*BW169*BB169*(EXP(CH169*CI169*BT169)-1)+2*BW169*BB169*BU169*AZ169*(EXP(CI169*CG169*BT169)-1))/(BY169*BP169)^2)/BT169),0),"")</f>
        <v>#VALUE!</v>
      </c>
      <c r="CK169" s="1587" t="e">
        <f aca="false">IF(BS169,IF(BR169,SQRT(LN(1+((CA169*BH169)^2*(EXP(CG169^2*BT169)-1)+(CB169*BI169)^2*(EXP(CH169^2*BT169)-1)+(CC169*BJ169)^2*(EXP(CI169^2*BT169)-1)+2*CA169*BH169*CB169*BI169*(EXP(CG169*CH169*BT169)-1)+2*CB169*BI169*CC169*BJ169*(EXP(CH169*CI169*BT169)-1)+2*CC169*BJ169*CA169*BH169*(EXP(CI169*CG169*BT169)-1))/(CE169*BR169)^2)/BT169),0),"")</f>
        <v>#VALUE!</v>
      </c>
      <c r="CL169" s="1587" t="e">
        <f aca="false">IF(OR(BQ169,BS169),IF(OVolType&lt;&gt;2,SQRT(IF(OVolOverMonthlyOffPeak,OVolOverMonthlyOffPeak,IF(OVolCurve,IF(OBuySell,AD169,AF169),AE169))^2*(1-15/365.25/BT169)+IF(OVolOverDailyOffPeak,OVolOverDailyOffPeak,IF(OVolCurve,IF(OBuySell,AP169,AR169),AQ169))^2*15/365.25/BT169),IF(OVolOverMonthlyOffPeak,OVolOverMonthlyOffPeak,IF(OVolCurve,IF(OBuySell,AD169,AF169),AE169))),"")</f>
        <v>#VALUE!</v>
      </c>
      <c r="CM169" s="1587" t="e">
        <f aca="false">IF(BQ169,SQRT(LN(1+((BY169*BP169)^2*(EXP(CJ169^2*BT169)-1)+(BX169*BC169)^2*(EXP(CL169^2*BT169)-1)+2*BY169*BP169*BX169*BC169*(EXP(AS169*CJ169*CL169*BT169)-1))/(BY169*BP169+BX169*BC169)^2)/BT169),"")</f>
        <v>#VALUE!</v>
      </c>
      <c r="CN169" s="1588" t="e">
        <f aca="false">IF(BS169,SQRT(LN(1+((CE169*BR169)^2*(EXP(CK169^2*BT169)-1)+(CD169*BK169)^2*(EXP(CL169^2*BT169)-1)+2*CE169*BR169*CD169*BK169*(EXP(AS169*CK169*CL169*BT169)-1))/(CE169*BR169+CD169*BK169)^2)/BT169),"")</f>
        <v>#VALUE!</v>
      </c>
      <c r="CO169" s="1531" t="e">
        <f aca="false">IF(OR(BQ169,BS169),VLOOKUP(A169,GasTable,13)*HeatRatePeak*(1+VLOOKUP($B169,HeatRateDegradation,$C169+1))/1000,0)</f>
        <v>#VALUE!</v>
      </c>
      <c r="CP169" s="1316" t="e">
        <f aca="false">IF(OR(BQ169,BS169),VLOOKUP(A169,GasTable,13)*HeatRatePeak*(1+VLOOKUP($B169,HeatRateDegradation,$C169+1))/1000,0)</f>
        <v>#VALUE!</v>
      </c>
      <c r="CQ169" s="1316" t="e">
        <f aca="false">IF(OR(BQ169,BS169),VLOOKUP(A169,GasTable,13)*IF(EV169,HeatRatePeak,HeatRateOffPeak)*(1+VLOOKUP($B169,HeatRateDegradation,$C169+1))/1000,0)</f>
        <v>#VALUE!</v>
      </c>
      <c r="CR169" s="1316" t="e">
        <f aca="false">IF(OR(BQ169,BS169),VLOOKUP(A169,GasTable,13)*IF(EW169,HeatRatePeak,HeatRateOffPeak)*(1+VLOOKUP($B169,HeatRateDegradation,$C169+1))/1000,0)</f>
        <v>#VALUE!</v>
      </c>
      <c r="CS169" s="1589" t="e">
        <f aca="false">IF(BQ169,(CO169*AZ169+CP169*BA169+CQ169*BB169+CR169*BC169)/BQ169,0)</f>
        <v>#VALUE!</v>
      </c>
      <c r="CT169" s="1316" t="e">
        <f aca="false">IF(BS169,CO169,0)</f>
        <v>#VALUE!</v>
      </c>
      <c r="CU169" s="1590" t="e">
        <f aca="false">IF(OR(BQ169,BS169),VLOOKUP(A169,GasTable,14),"")</f>
        <v>#VALUE!</v>
      </c>
      <c r="CV169" s="1568" t="e">
        <f aca="false">IF(OR(BQ169,BS169),IF(CorrPowerGasOverFlag,INDEX(CorrPowerGasOver,C169),CorrPowerGas),"")</f>
        <v>#VALUE!</v>
      </c>
      <c r="CW169" s="1316" t="e">
        <f aca="false">IF(OR($BQ169,$BS169),SpreadOptPowerMargin,0)*((1+Assumptions!$C$26)^($B169-YEAR(Assumptions!$C$17)))</f>
        <v>#VALUE!</v>
      </c>
      <c r="CX169" s="1316" t="e">
        <f aca="false">IF(OR($BQ169,$BS169),SpreadOptPowerMargin,0)*((1+Assumptions!$C$26)^($B169-YEAR(Assumptions!$C$17)))</f>
        <v>#VALUE!</v>
      </c>
      <c r="CY169" s="1316" t="e">
        <f aca="false">IF(OR($BQ169,$BS169),SpreadOptPowerMargin,0)*((1+Assumptions!$C$26)^($B169-YEAR(Assumptions!$C$17)))</f>
        <v>#VALUE!</v>
      </c>
      <c r="CZ169" s="1316" t="e">
        <f aca="false">IF(OR($BQ169,$BS169),SpreadOptPowerMargin,0)*((1+Assumptions!$C$26)^($B169-YEAR(Assumptions!$C$17)))</f>
        <v>#VALUE!</v>
      </c>
      <c r="DA169" s="1591" t="e">
        <f aca="false">IF(OR(BQ169,BS169),(CW169*(AZ169+BH169)+CX169*(BA169+BI169)+CY169*(BB169+BJ169)+CZ169*(BC169+BK169))/(BQ169+BS169),0)</f>
        <v>#VALUE!</v>
      </c>
      <c r="DB169" s="1592" t="e">
        <f aca="false">IF(OR(BQ169,BS169),CG169+IF(OVolSmile,VLOOKUP(MAX(-5,CO169+CW169-BU169),IF(OVolSmile=1,VolSmileBook,VolSmileModel),2),0),"")</f>
        <v>#VALUE!</v>
      </c>
      <c r="DC169" s="1592" t="e">
        <f aca="false">IF(OR(BQ169,BS169),CH169+IF(OVolSmile,VLOOKUP(MAX(-5,CP169+CW169-BV169),IF(OVolSmile=1,VolSmileBook,VolSmileModel),2),0),"")</f>
        <v>#VALUE!</v>
      </c>
      <c r="DD169" s="1592" t="e">
        <f aca="false">IF(OR(BQ169,BS169),CI169+IF(OVolSmile,VLOOKUP(MAX(-5,CQ169+CW169-BW169),IF(OVolSmile=1,VolSmileBook,VolSmileModel),2),0),"")</f>
        <v>#VALUE!</v>
      </c>
      <c r="DE169" s="1592" t="e">
        <f aca="false">IF(OR(BQ169,BS169),CL169+IF(OVolSmile,VLOOKUP(MAX(-5,CR169+CZ169-BX169),IF(OVolSmile=1,VolSmileBook,VolSmileModel),2),0),"")</f>
        <v>#VALUE!</v>
      </c>
      <c r="DF169" s="1592" t="e">
        <f aca="false">IF(BQ169,CM169+IF(OVolSmile,VLOOKUP(MAX(-5,CS169+DA169-BZ169),IF(OVolSmile=1,VolSmileBook,VolSmileModel),2),0),"")</f>
        <v>#VALUE!</v>
      </c>
      <c r="DG169" s="1593" t="e">
        <f aca="false">IF(BS169,CN169+IF(OVolSmile,VLOOKUP(MAX(-5,CT169+DA169-CF169),IF(OVolSmile=1,VolSmileBook,VolSmileModel),2),0),"")</f>
        <v>#VALUE!</v>
      </c>
      <c r="DH169" s="1316" t="e">
        <f aca="false">IF(AND(BU169&gt;0,CO169&gt;0,DB169&gt;0,CU169&gt;0),newSPRDOPT(BU169,CO169,CW169,0,DB169,CU169,CV169,BT169*365.25,OCallPut,0),0)</f>
        <v>#VALUE!</v>
      </c>
      <c r="DI169" s="1316" t="e">
        <f aca="false">IF(AND(BV169&gt;0,CP169&gt;0,DC169&gt;0,CU169&gt;0),newSPRDOPT(BV169,CP169,CX169,0,DC169,CU169,CV169,BT169*365.25,OCallPut,0),0)</f>
        <v>#VALUE!</v>
      </c>
      <c r="DJ169" s="1316" t="e">
        <f aca="false">IF(AND(BW169&gt;0,CQ169&gt;0,DD169&gt;0,CU169&gt;0),newSPRDOPT(BW169,CQ169,CY169,0,DD169,CU169,CV169,BT169*365.25,OCallPut,0),0)</f>
        <v>#VALUE!</v>
      </c>
      <c r="DK169" s="1316" t="e">
        <f aca="false">IF(AND(BX169&gt;0,CR169&gt;0,DE169&gt;0,CU169&gt;0),newSPRDOPT(BX169,CR169,CZ169,0,DE169,CU169,CV169,BT169*365.25,OCallPut,0),0)</f>
        <v>#VALUE!</v>
      </c>
      <c r="DL169" s="1316" t="e">
        <f aca="false">IF(OVolType,IF(AND(BZ169&gt;0,CS169&gt;0,DF169&gt;0,CU169&gt;0),newSPRDOPT(BZ169,CS169,DA169,0,DF169,CU169,CV169,BT169*365.25,OCallPut,0),0),IF(BQ169,(DH169*AZ169+DI169*BA169+DJ169*BB169+DK169*BC169)/BQ169,0))</f>
        <v>#VALUE!</v>
      </c>
      <c r="DM169" s="1316"/>
      <c r="DN169" s="1316"/>
      <c r="DO169" s="1316"/>
      <c r="DP169" s="1316"/>
      <c r="DQ169" s="1316"/>
      <c r="DR169" s="1316"/>
      <c r="DS169" s="1316"/>
      <c r="DT169" s="1316"/>
      <c r="DU169" s="1316"/>
      <c r="DV169" s="1316"/>
      <c r="DW169" s="1594" t="e">
        <f aca="false">IF(AND(BW169&gt;0,CT169&gt;0,DD169&gt;0,CU169&gt;0),newSPRDOPT(BW169,CT169,CY169,0,DD169,CU169,CV169,BT169*365.25,OCallPut,0),0)</f>
        <v>#VALUE!</v>
      </c>
      <c r="DX169" s="1316" t="e">
        <f aca="false">IF(AND(BX169&gt;0,CT169&gt;0,DE169&gt;0,CU169&gt;0),newSPRDOPT(BX169,CT169,CZ169,0,DE169,CU169,CV169,BT169*365.25,OCallPut,0),0)</f>
        <v>#VALUE!</v>
      </c>
      <c r="DY169" s="1591" t="e">
        <f aca="false">IF(BS169,(DH169*BH169+DI169*BI169+DW169*BJ169+DX169*BK169)/BS169,0)</f>
        <v>#VALUE!</v>
      </c>
      <c r="DZ169" s="1551" t="e">
        <f aca="false">DH169*AZ169</f>
        <v>#VALUE!</v>
      </c>
      <c r="EA169" s="1551" t="e">
        <f aca="false">DI169*BA169</f>
        <v>#VALUE!</v>
      </c>
      <c r="EB169" s="1551" t="e">
        <f aca="false">DJ169*BB169</f>
        <v>#VALUE!</v>
      </c>
      <c r="EC169" s="1551" t="e">
        <f aca="false">DK169*BC169</f>
        <v>#VALUE!</v>
      </c>
      <c r="ED169" s="1551" t="e">
        <f aca="false">DL169*BQ169</f>
        <v>#VALUE!</v>
      </c>
      <c r="EE169" s="1595" t="e">
        <f aca="false">IF(BQ169,IF(OCallPut,IF(BU169&gt;(CO169+CW169),BU169-(CO169+CW169),0),IF((CO169+CW169)&gt;BU169,(CO169+CW169)-BU169,0))*AZ169,0)</f>
        <v>#VALUE!</v>
      </c>
      <c r="EF169" s="1596" t="e">
        <f aca="false">IF(BQ169,IF(OCallPut,IF(BV169&gt;(CP169+CX169),BV169-(CP169+CX169),0),IF((CP169+CX169)&gt;BV169,(CP169+CX169)-BV169,0))*BA169,0)</f>
        <v>#VALUE!</v>
      </c>
      <c r="EG169" s="1596" t="e">
        <f aca="false">IF(BQ169,IF(OCallPut,IF(BW169&gt;(CQ169+CY169),BW169-(CQ169+CY169),0),IF((CQ169+CY169)&gt;BW169,(CQ169+CY169)-BW169,0))*BB169,0)</f>
        <v>#VALUE!</v>
      </c>
      <c r="EH169" s="1596" t="e">
        <f aca="false">IF(BQ169,IF(OCallPut,IF(BX169&gt;(CR169+CZ169),BX169-(CR169+CZ169),0),IF((CR169+CZ169)&gt;BX169,(CR169+CZ169)-BX169,0))*BC169,0)</f>
        <v>#VALUE!</v>
      </c>
      <c r="EI169" s="1597" t="e">
        <f aca="false">IF(BQ169,IF(OVolType,IF(OCallPut,IF(BZ169&gt;(CS169+DA169),BZ169-(CS169+DA169),0),IF((CS169+DA169)&gt;BZ169,(CS169+DA169)-BZ169,0))*BQ169,SUM(EE169:EH169)),0)</f>
        <v>#VALUE!</v>
      </c>
      <c r="EJ169" s="1595" t="e">
        <f aca="false">DZ169-EE169</f>
        <v>#VALUE!</v>
      </c>
      <c r="EK169" s="1596" t="e">
        <f aca="false">EA169-EF169</f>
        <v>#VALUE!</v>
      </c>
      <c r="EL169" s="1596" t="e">
        <f aca="false">EB169-EG169</f>
        <v>#VALUE!</v>
      </c>
      <c r="EM169" s="1596" t="e">
        <f aca="false">EC169-EH169</f>
        <v>#VALUE!</v>
      </c>
      <c r="EN169" s="1597" t="e">
        <f aca="false">ED169-EI169</f>
        <v>#VALUE!</v>
      </c>
      <c r="EO169" s="1551" t="e">
        <f aca="false">DH169*BH169</f>
        <v>#VALUE!</v>
      </c>
      <c r="EP169" s="1551" t="e">
        <f aca="false">DI169*BI169</f>
        <v>#VALUE!</v>
      </c>
      <c r="EQ169" s="1551" t="e">
        <f aca="false">DW169*BJ169</f>
        <v>#VALUE!</v>
      </c>
      <c r="ER169" s="1551" t="e">
        <f aca="false">DX169*BK169</f>
        <v>#VALUE!</v>
      </c>
      <c r="ES169" s="1551" t="e">
        <f aca="false">DY169*BS169</f>
        <v>#VALUE!</v>
      </c>
      <c r="ET169" s="1566" t="e">
        <f aca="false">IF(EI169,IF(OCallPut,IF(CA169&gt;(CT169+CW169),CA169-(CT169+CW169),0),IF((CT169+CW169)&gt;CA169,(CT169+CW169)-CA169,0))*BH169,0)</f>
        <v>#VALUE!</v>
      </c>
      <c r="EU169" s="1551" t="e">
        <f aca="false">IF(EI169,IF(OCallPut,IF(CB169&gt;(CT169+CX169),CB169-(CT169+CX169),0),IF((CT169+CX169)&gt;CB169,(CT169+CX169)-CB169,0))*BI169,0)</f>
        <v>#VALUE!</v>
      </c>
      <c r="EV169" s="1551" t="e">
        <f aca="false">IF(EI169,IF(OCallPut,IF(CC169&gt;(CT169+CY169),CC169-(CT169+CY169),0),IF((CT169+CY169)&gt;CC169,(CT169+CY169)-CC169,0))*BJ169,0)</f>
        <v>#VALUE!</v>
      </c>
      <c r="EW169" s="1551" t="e">
        <f aca="false">IF(EI169,IF(OCallPut,IF(CD169&gt;(CT169+CZ169),CD169-(CT169+CZ169),0),IF((CT169+CZ169)&gt;CD169,(CT169+CZ169)-CD169,0))*BK169,0)</f>
        <v>#VALUE!</v>
      </c>
      <c r="EX169" s="1558" t="e">
        <f aca="false">IF(EI169,SUM(ET169:EW169),0)</f>
        <v>#VALUE!</v>
      </c>
      <c r="EY169" s="1551" t="e">
        <f aca="false">EO169-ET169</f>
        <v>#VALUE!</v>
      </c>
      <c r="EZ169" s="1551" t="e">
        <f aca="false">EP169-EU169</f>
        <v>#VALUE!</v>
      </c>
      <c r="FA169" s="1551" t="e">
        <f aca="false">EQ169-EV169</f>
        <v>#VALUE!</v>
      </c>
      <c r="FB169" s="1551" t="e">
        <f aca="false">ER169-EW169</f>
        <v>#VALUE!</v>
      </c>
      <c r="FC169" s="1551" t="e">
        <f aca="false">ES169-EX169</f>
        <v>#VALUE!</v>
      </c>
      <c r="FD169" s="1525" t="n">
        <f aca="false">IF(AX169,IF(VLOOKUP(C169,MAIN!$L$17:$M$28,2)="Yes",VLOOKUP(CALC!B169,MAIN!$H$17:$I$20,2),0),0)</f>
        <v>0</v>
      </c>
      <c r="FE169" s="1552" t="e">
        <f aca="false">$FD169*16*AT169*(1-$AY169)</f>
        <v>#VALUE!</v>
      </c>
      <c r="FF169" s="1553" t="e">
        <f aca="false">$FD169*16*AU169*(1-$AY169)</f>
        <v>#VALUE!</v>
      </c>
      <c r="FG169" s="1553" t="e">
        <f aca="false">$FD169*16*(AV169+AW169)*(1-$AY169)</f>
        <v>#VALUE!</v>
      </c>
      <c r="FH169" s="1554" t="n">
        <f aca="false">$FD169*8*AX169*(1-$AY169)</f>
        <v>0</v>
      </c>
      <c r="FI169" s="1555" t="n">
        <f aca="false">IF(AX169,VLOOKUP(CALC!B169,MAIN!$H$17:$K$20,4),0)</f>
        <v>0</v>
      </c>
      <c r="FJ169" s="1553" t="e">
        <f aca="false">SUM(FE169:FH169)</f>
        <v>#VALUE!</v>
      </c>
      <c r="FK169" s="1556" t="e">
        <f aca="false">FI169*FJ169</f>
        <v>#VALUE!</v>
      </c>
      <c r="FL169" s="1551" t="e">
        <f aca="false">IF($EI169&gt;0,MIN(FE169,AZ169*(1+VLOOKUP($C169,WeatherCapacityAdjustment,2))),0)</f>
        <v>#VALUE!</v>
      </c>
      <c r="FM169" s="1551" t="e">
        <f aca="false">IF($EI169&gt;0,MIN(FF169,BA169*(1+VLOOKUP($C169,WeatherCapacityAdjustment,2))),0)</f>
        <v>#VALUE!</v>
      </c>
      <c r="FN169" s="1551" t="e">
        <f aca="false">IF($EI169&gt;0,MIN(FG169,BB169*(1+VLOOKUP($C169,WeatherCapacityAdjustment,2))),0)</f>
        <v>#VALUE!</v>
      </c>
      <c r="FO169" s="1564" t="e">
        <f aca="false">IF($EI169&gt;0,MIN(FH169,BC169*(1+VLOOKUP($C169,WeatherCapacityAdjustment,3))),0)</f>
        <v>#VALUE!</v>
      </c>
      <c r="FP169" s="1551" t="e">
        <f aca="false">IF(ET169&gt;0,MIN(FE169-FL169,BH169*(1+VLOOKUP($C169,WeatherCapacityAdjustment,2))),0)</f>
        <v>#VALUE!</v>
      </c>
      <c r="FQ169" s="1551" t="e">
        <f aca="false">IF(EU169&gt;0,MIN(FF169-FM169,BI169*(1+VLOOKUP($C169,WeatherCapacityAdjustment,2))),0)</f>
        <v>#VALUE!</v>
      </c>
      <c r="FR169" s="1551" t="e">
        <f aca="false">IF(EV169&gt;0,MIN(FG169-FN169,BJ169*(1+VLOOKUP($C169,WeatherCapacityAdjustment,2))),0)</f>
        <v>#VALUE!</v>
      </c>
      <c r="FS169" s="1558" t="e">
        <f aca="false">IF(EW169&gt;0,MIN(FH169-FO169,BK169*(1+VLOOKUP($C169,WeatherCapacityAdjustment,3))),0)</f>
        <v>#VALUE!</v>
      </c>
      <c r="FT169" s="1566" t="e">
        <f aca="false">IF(AND(Assumptions!$H$71="Yes",A169&gt;=Assumptions!$H$72,A169&lt;=Assumptions!$H$73),0,IF(AND($A169&gt;=Assumptions!$C$17,$A169&lt;=Assumptions!$C$18),MAX(AZ169*(1+VLOOKUP($C169,WeatherCapacityAdjustment,2))-FL169,0),0))</f>
        <v>#VALUE!</v>
      </c>
      <c r="FU169" s="1551" t="e">
        <f aca="false">IF(AND(Assumptions!$H$71="Yes",A169&gt;=Assumptions!$H$72,A169&lt;=Assumptions!$H$73),0,IF(AND($A169&gt;=Assumptions!$C$17,$A169&lt;=Assumptions!$C$18),MAX(BA169*(1+VLOOKUP($C169,WeatherCapacityAdjustment,2))-FM169,0),0))</f>
        <v>#VALUE!</v>
      </c>
      <c r="FV169" s="1551" t="e">
        <f aca="false">IF(AND(Assumptions!$H$71="Yes",A169&gt;=Assumptions!$H$72,A169&lt;=Assumptions!$H$73),0,IF(AND($A169&gt;=Assumptions!$C$17,$A169&lt;=Assumptions!$C$18),MAX(BB169*(1+VLOOKUP($C169,WeatherCapacityAdjustment,2))-FN169,0),0))</f>
        <v>#VALUE!</v>
      </c>
      <c r="FW169" s="1564" t="e">
        <f aca="false">IF(AND(Assumptions!$H$71="Yes",A169&gt;=Assumptions!$H$72,A169&lt;=Assumptions!$H$73),0,IF(AND($A169&gt;=Assumptions!$C$17,$A169&lt;=Assumptions!$C$18),MAX(BC169*(1+VLOOKUP($C169,WeatherCapacityAdjustment,3))-FO169,0),0))</f>
        <v>#VALUE!</v>
      </c>
      <c r="FX169" s="1569" t="e">
        <f aca="false">IF(AND(Assumptions!$H$71="Yes",A169&gt;=Assumptions!$H$72,A169&lt;=Assumptions!$H$73),0,IF(ET169&gt;0,MAX(BH169*(1+VLOOKUP($C169,WeatherCapacityAdjustment,2))-FP169,0),0))</f>
        <v>#VALUE!</v>
      </c>
      <c r="FY169" s="1551" t="e">
        <f aca="false">IF(AND(Assumptions!$H$71="Yes",A169&gt;=Assumptions!$H$72,A169&lt;=Assumptions!$H$73),0,IF(EU169&gt;0,MAX(BI169*(1+VLOOKUP($C169,WeatherCapacityAdjustment,3))-FQ169,0),0))</f>
        <v>#VALUE!</v>
      </c>
      <c r="FZ169" s="1551" t="e">
        <f aca="false">IF(AND(Assumptions!$H$71="Yes",A169&gt;=Assumptions!$H$72,A169&lt;=Assumptions!$H$73),0,IF(EV169&gt;0,MAX(BJ169*(1+VLOOKUP($C169,WeatherCapacityAdjustment,2))-FR169,0),0))</f>
        <v>#VALUE!</v>
      </c>
      <c r="GA169" s="1564" t="e">
        <f aca="false">IF(AND(Assumptions!$H$71="Yes",A169&gt;=Assumptions!$H$72,A169&lt;=Assumptions!$H$73),0,IF(EW169&gt;0,MAX(BK169*(1+VLOOKUP($C169,WeatherCapacityAdjustment,2))-FS169,0),0))</f>
        <v>#VALUE!</v>
      </c>
      <c r="GB169" s="1551" t="e">
        <f aca="false">SUM(FT169:GA169)</f>
        <v>#VALUE!</v>
      </c>
      <c r="GC169" s="1563" t="e">
        <f aca="false">+IF(SUM(FT169:GA169)=0,0,(SUMPRODUCT(BU169:BX169,FT169:FW169)+SUMPRODUCT(CA169:CD169,FX169:GA169))/SUM(FT169:GA169))</f>
        <v>#VALUE!</v>
      </c>
      <c r="GD169" s="1551" t="e">
        <f aca="false">(FT169*BU169+FX169*CA169+FU169*BV169+FY169*CB169+FV169*BW169+FZ169*CC169+FW169*BX169+GA169*CD169)</f>
        <v>#VALUE!</v>
      </c>
      <c r="GE169" s="1561" t="e">
        <f aca="false">+IF(BQ169,((FL169+FM169+FT169+FU169)*HeatRatePeak/1000*(1+VLOOKUP($C169,WeatherHeatRateAdjustment,2))+(FN169+FV169)*IF(EV169&gt;0,HeatRatePeak,HeatRateOffPeak)/1000*(1+VLOOKUP($C169,WeatherHeatRateAdjustment,2))+(FO169+FW169)*IF(EW169&gt;0,HeatRatePeak,HeatRateOffPeak)/1000*(1+VLOOKUP($C169,WeatherHeatRateAdjustment,3)))*(1+VLOOKUP($B169,HeatRateDegradation,$C169+1)),0)</f>
        <v>#VALUE!</v>
      </c>
      <c r="GF169" s="1562" t="e">
        <f aca="false">IF(BQ169,((FP169+FQ169+FR169+FX169+FY169+FZ169)*HeatRatePeak/1000*(1+VLOOKUP($C169,WeatherHeatRateAdjustment,2))+(FS169+GA169)*HeatRatePeak/1000*(1+VLOOKUP($C169,WeatherHeatRateAdjustment,3)))*(1+VLOOKUP($B169,HeatRateDegradation,$C169+1)),0)</f>
        <v>#VALUE!</v>
      </c>
      <c r="GG169" s="1563" t="e">
        <f aca="false">IF(BQ169,VLOOKUP(A169,GasTable,13),0)</f>
        <v>#VALUE!</v>
      </c>
      <c r="GH169" s="1564" t="e">
        <f aca="false">(GE169+GF169)*GG169</f>
        <v>#VALUE!</v>
      </c>
      <c r="GI169" s="1569" t="e">
        <f aca="false">GB169</f>
        <v>#VALUE!</v>
      </c>
      <c r="GJ169" s="1598" t="e">
        <f aca="false">+DA169</f>
        <v>#VALUE!</v>
      </c>
      <c r="GK169" s="1558" t="e">
        <f aca="false">+GI169*GJ169</f>
        <v>#VALUE!</v>
      </c>
      <c r="GL169" s="1566" t="e">
        <f aca="false">MAX(FE169-FL169-FP169,0)</f>
        <v>#VALUE!</v>
      </c>
      <c r="GM169" s="1551" t="e">
        <f aca="false">MAX(FF169-FM169-FQ169,0)</f>
        <v>#VALUE!</v>
      </c>
      <c r="GN169" s="1551" t="e">
        <f aca="false">MAX(FG169-FN169-FR169,0)</f>
        <v>#VALUE!</v>
      </c>
      <c r="GO169" s="1564" t="e">
        <f aca="false">MAX(FH169-FO169-FS169,0)</f>
        <v>#VALUE!</v>
      </c>
      <c r="GP169" s="1551" t="e">
        <f aca="false">SUM(GL169:GO169)</f>
        <v>#VALUE!</v>
      </c>
      <c r="GQ169" s="1563" t="e">
        <f aca="false">IF(SUM(GL169:GO169)=0,0,((GL169*BU169+GM169*BV169+GN169*BW169+GO169*BX169)/SUM(GL169:GO169)))</f>
        <v>#VALUE!</v>
      </c>
      <c r="GR169" s="1558" t="e">
        <f aca="false">(GL169*BU169+GM169*BV169+GN169*BW169+GO169*BX169)</f>
        <v>#VALUE!</v>
      </c>
      <c r="GS169" s="1566" t="n">
        <f aca="false">IF($A169&gt;=BegDate,Assumptions!$C$56*24*($A170-$A169)*(1-VLOOKUP($B169,MAIN!$AA$7:$AM$28,$C169+1))*(1-VLOOKUP($B169,MAIN!$AA$33:$AM$54,$C169+1)),0)*80/168</f>
        <v>257742.857142857</v>
      </c>
      <c r="GT169" s="286" t="n">
        <f aca="false">J169</f>
        <v>53.306812667077</v>
      </c>
      <c r="GU169" s="286" t="n">
        <f aca="false">IF($A169&gt;=BegDate,VLOOKUP($A169,GasTable,13)+Assumptions!$C$58,0)</f>
        <v>3.49988386181841</v>
      </c>
      <c r="GV169" s="286" t="n">
        <f aca="false">GU169*Assumptions!$C$57/1000</f>
        <v>25.3741579981835</v>
      </c>
      <c r="GW169" s="1558" t="n">
        <f aca="false">IF(Assumptions!$C$60="Hourly",MAX(0,GS169*(GT169-GV169)),GS169*(GT169-GV169))</f>
        <v>7199442.22194538</v>
      </c>
      <c r="GX169" s="1566" t="n">
        <f aca="false">IF($A169&gt;=BegDate,Assumptions!$C$56*24*($A170-$A169)*(1-VLOOKUP($B169,MAIN!$AA$7:$AM$28,$C169+1))*(1-VLOOKUP($B169,MAIN!$AA$33:$AM$54,$C169+1)),0)*16/168</f>
        <v>51548.5714285714</v>
      </c>
      <c r="GY169" s="286" t="n">
        <f aca="false">M169</f>
        <v>53.306812667077</v>
      </c>
      <c r="GZ169" s="286" t="n">
        <f aca="false">IF($A169&gt;=BegDate,VLOOKUP($A169,GasTable,13)+Assumptions!$C$58,0)</f>
        <v>3.49988386181841</v>
      </c>
      <c r="HA169" s="286" t="n">
        <f aca="false">GZ169*Assumptions!$C$57/1000</f>
        <v>25.3741579981835</v>
      </c>
      <c r="HB169" s="1558" t="n">
        <f aca="false">IF(Assumptions!$C$60="Hourly",MAX(0,GX169*(GY169-HA169)),GX169*(GY169-HA169))</f>
        <v>1439888.44438908</v>
      </c>
      <c r="HC169" s="1566" t="n">
        <f aca="false">IF($A169&gt;=BegDate,Assumptions!$C$56*24*($A170-$A169)*(1-VLOOKUP($B169,MAIN!$AA$7:$AM$28,$C169+1))*(1-VLOOKUP($B169,MAIN!$AA$33:$AM$54,$C169+1)),0)*16/168</f>
        <v>51548.5714285714</v>
      </c>
      <c r="HD169" s="286" t="n">
        <f aca="false">P169</f>
        <v>32.3867356000413</v>
      </c>
      <c r="HE169" s="286" t="n">
        <f aca="false">IF($A169&gt;=BegDate,VLOOKUP($A169,GasTable,13)+Assumptions!$C$58,0)</f>
        <v>3.49988386181841</v>
      </c>
      <c r="HF169" s="286" t="n">
        <f aca="false">HE169*Assumptions!$C$57/1000</f>
        <v>25.3741579981835</v>
      </c>
      <c r="HG169" s="1558" t="n">
        <f aca="false">IF(Assumptions!$C$60="Hourly",MAX(0,HC169*(HD169-HF169)),HC169*(HD169-HF169))</f>
        <v>361488.357407765</v>
      </c>
      <c r="HH169" s="1566" t="n">
        <f aca="false">IF($A169&gt;=BegDate,Assumptions!$C$56*24*($A170-$A169)*(1-VLOOKUP($B169,MAIN!$AA$7:$AM$28,$C169+1))*(1-VLOOKUP($B169,MAIN!$AA$33:$AM$54,$C169+1)),0)*56/168</f>
        <v>180420</v>
      </c>
      <c r="HI169" s="286" t="n">
        <f aca="false">S169</f>
        <v>32.3867356000413</v>
      </c>
      <c r="HJ169" s="286" t="n">
        <f aca="false">IF($A169&gt;=BegDate,VLOOKUP($A169,GasTable,13)+Assumptions!$C$58,0)</f>
        <v>3.49988386181841</v>
      </c>
      <c r="HK169" s="286" t="n">
        <f aca="false">HJ169*Assumptions!$C$57/1000</f>
        <v>25.3741579981835</v>
      </c>
      <c r="HL169" s="1558" t="n">
        <f aca="false">IF(Assumptions!$C$60="Hourly",MAX(0,HH169*(HI169-HK169)),HH169*(HI169-HK169))</f>
        <v>1265209.25092718</v>
      </c>
      <c r="HM169" s="1566" t="n">
        <f aca="false">IF(AND(Assumptions!$H$71="Yes",A169&gt;=Assumptions!$H$72,A169&lt;=Assumptions!$H$73),Assumptions!$H$74*Assumptions!$C$9*1000,0)</f>
        <v>0</v>
      </c>
      <c r="HN169" s="1551"/>
      <c r="HO169" s="1563"/>
      <c r="HP169" s="1563"/>
      <c r="HQ169" s="1563"/>
      <c r="HR169" s="1563"/>
      <c r="HS169" s="1563"/>
      <c r="HT169" s="1563"/>
      <c r="HU169" s="1563"/>
      <c r="HV169" s="1563"/>
      <c r="HW169" s="1563"/>
      <c r="HX169" s="1563"/>
      <c r="HY169" s="1563"/>
      <c r="HZ169" s="1563"/>
      <c r="IA169" s="1563"/>
      <c r="IB169" s="1563"/>
      <c r="IC169" s="1563"/>
      <c r="ID169" s="1563"/>
      <c r="IE169" s="1563"/>
      <c r="IF169" s="1563"/>
      <c r="IG169" s="1563"/>
      <c r="IH169" s="1563"/>
      <c r="II169" s="1610"/>
      <c r="IJ169" s="1309"/>
      <c r="IK169" s="1309"/>
    </row>
    <row r="170" customFormat="false" ht="12.75" hidden="false" customHeight="false" outlineLevel="0" collapsed="false">
      <c r="A170" s="1571" t="n">
        <f aca="false">EOMONTH(A169,0)+1</f>
        <v>41306</v>
      </c>
      <c r="B170" s="594" t="n">
        <f aca="false">+YEAR(A170)</f>
        <v>2013</v>
      </c>
      <c r="C170" s="238" t="n">
        <f aca="false">MONTH(A170)</f>
        <v>2</v>
      </c>
      <c r="D170" s="1572" t="e">
        <f aca="false">IF(E170="","",Holiday(B170,C170))</f>
        <v>#VALUE!</v>
      </c>
      <c r="E170" s="1573" t="n">
        <f aca="false">IF(OR(BegDate&gt;=A171,EndDate&lt;A170,AND(VolumeMonthlyOverFlag,INDEX(VolumeMonthlyOver,C170)=0),NOT(INDEX(MonthKnockOutTable,C170))),"",MAX(A170,BegDate))</f>
        <v>41306</v>
      </c>
      <c r="F170" s="1574" t="n">
        <f aca="false">IF(E170="","",MIN(A171-1,EndDate))</f>
        <v>41333</v>
      </c>
      <c r="G170" s="1575" t="n">
        <v>0</v>
      </c>
      <c r="H170" s="1576" t="n">
        <f aca="false">(1+G170/2)^(-2*(DATE(B171,C171,20)-DateToday)/365.25)</f>
        <v>1</v>
      </c>
      <c r="I170" s="1568" t="n">
        <f aca="false">IF(Assumptions!$L$25=4,VLOOKUP($A170,'Henwood Reference'!$E$9:$R$320,10),(VLOOKUP($A170,PriceTable,2,0)+IF(BasisNumber&lt;&gt;1,VLOOKUP($A170,BasisTable,2,0),0)+I$1)/(1-I$2))</f>
        <v>50.7338290791044</v>
      </c>
      <c r="J170" s="1568" t="n">
        <f aca="false">IF(Assumptions!$L$25=4,VLOOKUP($A170,'Henwood Reference'!$E$9:$R$320,10),(VLOOKUP($A170,PriceTable,3,0)+IF(BasisNumber&lt;&gt;1,VLOOKUP($A170,BasisTable,2,0),0)+J$1)/(1-J$2))</f>
        <v>50.7338290791044</v>
      </c>
      <c r="K170" s="1568" t="n">
        <f aca="false">IF(Assumptions!$L$25=4,VLOOKUP($A170,'Henwood Reference'!$E$9:$R$320,10),(VLOOKUP($A170,PriceTable,4,0)+IF(BasisNumber&lt;&gt;1,VLOOKUP($A170,BasisTable,2,0),0)+K$1)/(1-K$2))</f>
        <v>50.7338290791044</v>
      </c>
      <c r="L170" s="1523" t="n">
        <f aca="false">IF(Assumptions!$L$25=4,VLOOKUP($A170,'Henwood Reference'!$E$9:$R$320,10),(VLOOKUP($A170,PriceTableWeekend,2,0)+IF(BasisNumber&lt;&gt;1,VLOOKUP($A170,BasisTable,2,0),0)+L$1)/(1-L$2))</f>
        <v>50.7338290791044</v>
      </c>
      <c r="M170" s="1568" t="n">
        <f aca="false">IF(Assumptions!$L$25=4,VLOOKUP($A170,'Henwood Reference'!$E$9:$R$320,10),(VLOOKUP($A170,PriceTableWeekend,3,0)+IF(BasisNumber&lt;&gt;1,VLOOKUP($A170,BasisTable,2,0),0)+M$1)/(1-M$2))</f>
        <v>50.7338290791044</v>
      </c>
      <c r="N170" s="1599" t="n">
        <f aca="false">IF(Assumptions!$L$25=4,VLOOKUP($A170,'Henwood Reference'!$E$9:$R$320,10),(VLOOKUP($A170,PriceTableWeekend,4,0)+IF(BasisNumber&lt;&gt;1,VLOOKUP($A170,BasisTable,2,0),0)+N$1)/(1-N$2))</f>
        <v>50.7338290791044</v>
      </c>
      <c r="O170" s="1568" t="n">
        <f aca="false">IF(Assumptions!$L$25=4,VLOOKUP($A170,'Henwood Reference'!$E$9:$R$320,11),(VLOOKUP($A170,PriceTableWeekend,6,0)+IF(BasisNumber&lt;&gt;1,VLOOKUP($A170,BasisTable,3,0),0)+O$1)/(1-O$2))</f>
        <v>28.8888232712942</v>
      </c>
      <c r="P170" s="1568" t="n">
        <f aca="false">IF(Assumptions!$L$25=4,VLOOKUP($A170,'Henwood Reference'!$E$9:$R$320,11),(VLOOKUP($A170,PriceTableWeekend,7,0)+IF(BasisNumber&lt;&gt;1,VLOOKUP($A170,BasisTable,3,0),0)+P$1)/(1-P$2))</f>
        <v>28.8888232712942</v>
      </c>
      <c r="Q170" s="1599" t="n">
        <f aca="false">IF(Assumptions!$L$25=4,VLOOKUP($A170,'Henwood Reference'!$E$9:$R$320,11),(VLOOKUP($A170,PriceTableWeekend,8,0)+IF(BasisNumber&lt;&gt;1,VLOOKUP($A170,BasisTable,3,0),0)+Q$1)/(1-Q$2))</f>
        <v>28.8888232712942</v>
      </c>
      <c r="R170" s="1568" t="n">
        <f aca="false">IF(Assumptions!$L$25=4,VLOOKUP($A170,'Henwood Reference'!$E$9:$R$320,11),(VLOOKUP($A170,PriceTable,6,0)+IF(BasisNumber&lt;&gt;1,VLOOKUP($A170,BasisTable,3,0),0)+R$1)/(1-R$2))</f>
        <v>28.8888232712942</v>
      </c>
      <c r="S170" s="1568" t="n">
        <f aca="false">IF(Assumptions!$L$25=4,VLOOKUP($A170,'Henwood Reference'!$E$9:$R$320,11),(VLOOKUP($A170,PriceTable,7,0)+IF(BasisNumber&lt;&gt;1,VLOOKUP($A170,BasisTable,3,0),0)+S$1)/(1-S$2))</f>
        <v>28.8888232712942</v>
      </c>
      <c r="T170" s="1600" t="n">
        <f aca="false">IF(Assumptions!$L$25=4,VLOOKUP($A170,'Henwood Reference'!$E$9:$R$320,11),(VLOOKUP($A170,PriceTable,8,0)+IF(BasisNumber&lt;&gt;1,VLOOKUP($A170,BasisTable,3,0),0)+T$1)/(1-T$2))</f>
        <v>28.8888232712942</v>
      </c>
      <c r="U170" s="1513" t="n">
        <f aca="false">VLOOKUP($A170,VolatilityTable,14)</f>
        <v>0.105</v>
      </c>
      <c r="V170" s="1513" t="n">
        <f aca="false">VLOOKUP($A170,VolatilityTable,15)</f>
        <v>0.115</v>
      </c>
      <c r="W170" s="1514" t="n">
        <f aca="false">VLOOKUP($A170,VolatilityTable,16)</f>
        <v>0.125</v>
      </c>
      <c r="X170" s="1513" t="n">
        <f aca="false">VLOOKUP($A170,VolatilityTable,14)</f>
        <v>0.105</v>
      </c>
      <c r="Y170" s="1513" t="n">
        <f aca="false">VLOOKUP($A170,VolatilityTable,15)</f>
        <v>0.115</v>
      </c>
      <c r="Z170" s="1514" t="n">
        <f aca="false">VLOOKUP($A170,VolatilityTable,16)</f>
        <v>0.125</v>
      </c>
      <c r="AA170" s="1513" t="n">
        <f aca="false">VLOOKUP($A170,VolatilityTable,18)</f>
        <v>0.09</v>
      </c>
      <c r="AB170" s="1513" t="n">
        <f aca="false">VLOOKUP($A170,VolatilityTable,19)</f>
        <v>0.11</v>
      </c>
      <c r="AC170" s="1514" t="n">
        <f aca="false">VLOOKUP($A170,VolatilityTable,20)</f>
        <v>0.13</v>
      </c>
      <c r="AD170" s="1513" t="n">
        <f aca="false">VLOOKUP($A170,VolatilityTable,18)</f>
        <v>0.09</v>
      </c>
      <c r="AE170" s="1513" t="n">
        <f aca="false">VLOOKUP($A170,VolatilityTable,19)</f>
        <v>0.11</v>
      </c>
      <c r="AF170" s="1514" t="n">
        <f aca="false">VLOOKUP($A170,VolatilityTable,20)</f>
        <v>0.13</v>
      </c>
      <c r="AG170" s="1513" t="n">
        <f aca="false">VLOOKUP($A170,VolatilityTable,22)</f>
        <v>-0.25</v>
      </c>
      <c r="AH170" s="1513" t="n">
        <f aca="false">VLOOKUP($A170,VolatilityTable,23)</f>
        <v>0.65</v>
      </c>
      <c r="AI170" s="1514" t="n">
        <f aca="false">VLOOKUP($A170,VolatilityTable,24)</f>
        <v>0.25</v>
      </c>
      <c r="AJ170" s="1513" t="n">
        <f aca="false">VLOOKUP($A170,VolatilityTable,22)</f>
        <v>-0.25</v>
      </c>
      <c r="AK170" s="1513" t="n">
        <f aca="false">VLOOKUP($A170,VolatilityTable,23)</f>
        <v>0.65</v>
      </c>
      <c r="AL170" s="1514" t="n">
        <f aca="false">VLOOKUP($A170,VolatilityTable,24)</f>
        <v>0.25</v>
      </c>
      <c r="AM170" s="1513" t="n">
        <f aca="false">VLOOKUP($A170,VolatilityTable,26)</f>
        <v>-0.01</v>
      </c>
      <c r="AN170" s="1513" t="n">
        <f aca="false">VLOOKUP($A170,VolatilityTable,27)</f>
        <v>0.16</v>
      </c>
      <c r="AO170" s="1514" t="n">
        <f aca="false">VLOOKUP($A170,VolatilityTable,28)</f>
        <v>0.01</v>
      </c>
      <c r="AP170" s="1513" t="n">
        <f aca="false">VLOOKUP($A170,VolatilityTable,26)</f>
        <v>-0.01</v>
      </c>
      <c r="AQ170" s="1513" t="n">
        <f aca="false">VLOOKUP($A170,VolatilityTable,27)</f>
        <v>0.16</v>
      </c>
      <c r="AR170" s="1515" t="n">
        <f aca="false">VLOOKUP($A170,VolatilityTable,28)</f>
        <v>0.01</v>
      </c>
      <c r="AS170" s="1581" t="n">
        <f aca="false">IF(CorrPeakOffPeakOverFlag,INDEX(CorrPeakOffPeakOver,C170),CorrPeakOffPeak)</f>
        <v>0.5</v>
      </c>
      <c r="AT170" s="594" t="e">
        <f aca="false">AX170-SUM(AU170:AW170)</f>
        <v>#VALUE!</v>
      </c>
      <c r="AU170" s="238" t="e">
        <f aca="false">IF(E170="",0,INT((F170-MOD(F170,7)-E170)/7)+1-IF(AW170,IF(WEEKDAY(D170)=7,1,0),0))</f>
        <v>#VALUE!</v>
      </c>
      <c r="AV170" s="238" t="e">
        <f aca="false">IF(E170="",0,INT((F170-MOD(F170-1,7)-E170)/7)+1-IF(AW170,IF(WEEKDAY(D170)=1,1,0),0))</f>
        <v>#VALUE!</v>
      </c>
      <c r="AW170" s="238" t="e">
        <f aca="false">IF(OR(E170="",D170="",D170&lt;BegDate,D170&gt;EndDate),0,1)</f>
        <v>#VALUE!</v>
      </c>
      <c r="AX170" s="238" t="n">
        <f aca="false">IF(E170="",0,F170-E170+1)</f>
        <v>28</v>
      </c>
      <c r="AY170" s="1582" t="n">
        <f aca="false">IF(E170="",0,MIN((1-(1-VLOOKUP(B170,MAIN!$AA$7:$AM$28,C170+1))*(1-VLOOKUP(B170,MAIN!$AA$33:$AM$54,C170+1))),1))</f>
        <v>0.03</v>
      </c>
      <c r="AZ170" s="1519" t="e">
        <v>#VALUE!</v>
      </c>
      <c r="BA170" s="1520" t="e">
        <v>#VALUE!</v>
      </c>
      <c r="BB170" s="1520" t="e">
        <v>#VALUE!</v>
      </c>
      <c r="BC170" s="1583" t="e">
        <v>#VALUE!</v>
      </c>
      <c r="BD170" s="1522" t="e">
        <v>#VALUE!</v>
      </c>
      <c r="BE170" s="1523" t="e">
        <v>#VALUE!</v>
      </c>
      <c r="BF170" s="1523" t="e">
        <v>#VALUE!</v>
      </c>
      <c r="BG170" s="1584" t="e">
        <v>#VALUE!</v>
      </c>
      <c r="BH170" s="1525" t="e">
        <v>#VALUE!</v>
      </c>
      <c r="BI170" s="1520" t="e">
        <v>#VALUE!</v>
      </c>
      <c r="BJ170" s="1520" t="e">
        <v>#VALUE!</v>
      </c>
      <c r="BK170" s="1583" t="e">
        <v>#VALUE!</v>
      </c>
      <c r="BL170" s="1522" t="e">
        <v>#VALUE!</v>
      </c>
      <c r="BM170" s="1523" t="e">
        <v>#VALUE!</v>
      </c>
      <c r="BN170" s="1523" t="e">
        <v>#VALUE!</v>
      </c>
      <c r="BO170" s="1523" t="e">
        <v>#VALUE!</v>
      </c>
      <c r="BP170" s="1525" t="e">
        <f aca="false">SUM(AZ170:BB170)</f>
        <v>#VALUE!</v>
      </c>
      <c r="BQ170" s="1529" t="e">
        <f aca="false">SUM(AZ170:BC170)</f>
        <v>#VALUE!</v>
      </c>
      <c r="BR170" s="1519" t="e">
        <f aca="false">SUM(BH170:BJ170)</f>
        <v>#VALUE!</v>
      </c>
      <c r="BS170" s="1529" t="e">
        <f aca="false">SUM(BH170:BK170)</f>
        <v>#VALUE!</v>
      </c>
      <c r="BT170" s="1316" t="n">
        <f aca="false">(IF(OVolType&lt;&gt;2,A170+14,IF(OptExpDateShift,ShiftBack(A170,OptExpDateShift,D169),A170))-DateToday)/365.25</f>
        <v>12.8021902806297</v>
      </c>
      <c r="BU170" s="1585" t="e">
        <f aca="false">IF(BQ170,IF(OPriceCurve,IF(OBuySell=OCallPut,I170/(1-AY170),K170/(1-AY170)),J170/(1-AY170))*BD170,0)</f>
        <v>#VALUE!</v>
      </c>
      <c r="BV170" s="1316" t="e">
        <f aca="false">IF(BQ170,IF(OPriceCurve,IF(OBuySell=OCallPut,L170/(1-AY170),N170/(1-AY170)),M170/(1-AY170))*BE170,0)</f>
        <v>#VALUE!</v>
      </c>
      <c r="BW170" s="1316" t="e">
        <f aca="false">IF(BQ170,IF(OPriceCurve,IF(OBuySell=OCallPut,O170/(1-AY170),Q170/(1-AY170)),P170/(1-AY170))*BF170,0)</f>
        <v>#VALUE!</v>
      </c>
      <c r="BX170" s="1316" t="e">
        <f aca="false">IF(BQ170,IF(OPriceCurve,IF(OBuySell=OCallPut,R170/(1-AY170),T170/(1-AY170)),S170/(1-AY170))*BG170,0)</f>
        <v>#VALUE!</v>
      </c>
      <c r="BY170" s="1316" t="e">
        <f aca="false">IF(BP170,(BU170*AZ170+BV170*BA170+BW170*BB170)/BP170,0)</f>
        <v>#VALUE!</v>
      </c>
      <c r="BZ170" s="1316" t="e">
        <f aca="false">IF(BQ170,(BY170*BP170+BX170*BC170)/BQ170,0)</f>
        <v>#VALUE!</v>
      </c>
      <c r="CA170" s="1531" t="e">
        <f aca="false">IF(BS170,IF(OPriceCurve,IF(OBuySell=OCallPut,I170/(1-AY170),K170/(1-AY170)),J170/(1-AY170))*BL170,0)</f>
        <v>#VALUE!</v>
      </c>
      <c r="CB170" s="1316" t="e">
        <f aca="false">IF(BS170,IF(OPriceCurve,IF(OBuySell=OCallPut,L170/(1-AY170),N170/(1-AY170)),M170/(1-AY170))*BM170,0)</f>
        <v>#VALUE!</v>
      </c>
      <c r="CC170" s="1316" t="e">
        <f aca="false">IF(BS170,IF(OPriceCurve,IF(OBuySell=OCallPut,O170/(1-AY170),Q170/(1-AY170)),P170/(1-AY170))*BN170,0)</f>
        <v>#VALUE!</v>
      </c>
      <c r="CD170" s="1316" t="e">
        <f aca="false">IF(BS170,IF(OPriceCurve,IF(OBuySell=OCallPut,R170/(1-AY170),T170/(1-AY170)),S170/(1-AY170))*BO170,0)</f>
        <v>#VALUE!</v>
      </c>
      <c r="CE170" s="1316" t="e">
        <f aca="false">IF(BR170,(BU170*BH170+BV170*BI170+BW170*BJ170)/BR170,0)</f>
        <v>#VALUE!</v>
      </c>
      <c r="CF170" s="1532" t="e">
        <f aca="false">IF(BS170,(CE170*BR170+CD170*BK170)/BS170,0)</f>
        <v>#VALUE!</v>
      </c>
      <c r="CG170" s="1586" t="e">
        <f aca="false">IF(OR(BQ170,BS170),IF(OVolType&lt;&gt;2,SQRT(IF(OVolOverMonthlyPeak,OVolOverMonthlyPeak,IF(OVolCurve,IF(OBuySell,U170,W170),V170))^2*(1-15/365.25/BT170)+IF(OVolOverDailyPeak,OVolOverDailyPeak,IF(OVolCurve,IF(OBuySell,AG170,AI170),AH170))^2*15/365.25/BT170),IF(OVolOverMonthlyPeak,OVolOverMonthlyPeak,IF(OVolCurve,IF(OBuySell,U170,W170),V170))),"")</f>
        <v>#VALUE!</v>
      </c>
      <c r="CH170" s="1587" t="e">
        <f aca="false">IF(OR(BQ170,BS170),IF(OVolType&lt;&gt;2,SQRT(IF(OVolOverMonthlyPeak,OVolOverMonthlyPeak,IF(OVolCurve,IF(OBuySell,X170,Z170),Y170))^2*(1-15/365.25/BT170)+IF(OVolOverDailyPeak,OVolOverDailyPeak,IF(OVolCurve,IF(OBuySell,AJ170,AL170),AK170))^2*15/365.25/BT170),IF(OVolOverMonthlyPeak,OVolOverMonthlyPeak,IF(OVolCurve,IF(OBuySell,X170,Z170),Y170))),"")</f>
        <v>#VALUE!</v>
      </c>
      <c r="CI170" s="1587" t="e">
        <f aca="false">IF(OR(BQ170,BS170),IF(OVolType&lt;&gt;2,SQRT(IF(OVolOverMonthlyPeak,OVolOverMonthlyPeak,IF(OVolCurve,IF(OBuySell,AA170,AC170),AB170))^2*(1-15/365.25/BT170)+IF(OVolOverDailyPeak,OVolOverDailyPeak,IF(OVolCurve,IF(OBuySell,AM170,AO170),AN170))^2*15/365.25/BT170),IF(OVolOverMonthlyPeak,OVolOverMonthlyPeak,IF(OVolCurve,IF(OBuySell,AA170,AC170),AB170))),"")</f>
        <v>#VALUE!</v>
      </c>
      <c r="CJ170" s="1587" t="e">
        <f aca="false">IF(BQ170,IF(BP170,SQRT(LN(1+((BU170*AZ170)^2*(EXP(CG170^2*BT170)-1)+(BV170*BA170)^2*(EXP(CH170^2*BT170)-1)+(BW170*BB170)^2*(EXP(CI170^2*BT170)-1)+2*BU170*AZ170*BV170*BA170*(EXP(CG170*CH170*BT170)-1)+2*BV170*BA170*BW170*BB170*(EXP(CH170*CI170*BT170)-1)+2*BW170*BB170*BU170*AZ170*(EXP(CI170*CG170*BT170)-1))/(BY170*BP170)^2)/BT170),0),"")</f>
        <v>#VALUE!</v>
      </c>
      <c r="CK170" s="1587" t="e">
        <f aca="false">IF(BS170,IF(BR170,SQRT(LN(1+((CA170*BH170)^2*(EXP(CG170^2*BT170)-1)+(CB170*BI170)^2*(EXP(CH170^2*BT170)-1)+(CC170*BJ170)^2*(EXP(CI170^2*BT170)-1)+2*CA170*BH170*CB170*BI170*(EXP(CG170*CH170*BT170)-1)+2*CB170*BI170*CC170*BJ170*(EXP(CH170*CI170*BT170)-1)+2*CC170*BJ170*CA170*BH170*(EXP(CI170*CG170*BT170)-1))/(CE170*BR170)^2)/BT170),0),"")</f>
        <v>#VALUE!</v>
      </c>
      <c r="CL170" s="1587" t="e">
        <f aca="false">IF(OR(BQ170,BS170),IF(OVolType&lt;&gt;2,SQRT(IF(OVolOverMonthlyOffPeak,OVolOverMonthlyOffPeak,IF(OVolCurve,IF(OBuySell,AD170,AF170),AE170))^2*(1-15/365.25/BT170)+IF(OVolOverDailyOffPeak,OVolOverDailyOffPeak,IF(OVolCurve,IF(OBuySell,AP170,AR170),AQ170))^2*15/365.25/BT170),IF(OVolOverMonthlyOffPeak,OVolOverMonthlyOffPeak,IF(OVolCurve,IF(OBuySell,AD170,AF170),AE170))),"")</f>
        <v>#VALUE!</v>
      </c>
      <c r="CM170" s="1587" t="e">
        <f aca="false">IF(BQ170,SQRT(LN(1+((BY170*BP170)^2*(EXP(CJ170^2*BT170)-1)+(BX170*BC170)^2*(EXP(CL170^2*BT170)-1)+2*BY170*BP170*BX170*BC170*(EXP(AS170*CJ170*CL170*BT170)-1))/(BY170*BP170+BX170*BC170)^2)/BT170),"")</f>
        <v>#VALUE!</v>
      </c>
      <c r="CN170" s="1588" t="e">
        <f aca="false">IF(BS170,SQRT(LN(1+((CE170*BR170)^2*(EXP(CK170^2*BT170)-1)+(CD170*BK170)^2*(EXP(CL170^2*BT170)-1)+2*CE170*BR170*CD170*BK170*(EXP(AS170*CK170*CL170*BT170)-1))/(CE170*BR170+CD170*BK170)^2)/BT170),"")</f>
        <v>#VALUE!</v>
      </c>
      <c r="CO170" s="1531" t="e">
        <f aca="false">IF(OR(BQ170,BS170),VLOOKUP(A170,GasTable,13)*HeatRatePeak*(1+VLOOKUP($B170,HeatRateDegradation,$C170+1))/1000,0)</f>
        <v>#VALUE!</v>
      </c>
      <c r="CP170" s="1316" t="e">
        <f aca="false">IF(OR(BQ170,BS170),VLOOKUP(A170,GasTable,13)*HeatRatePeak*(1+VLOOKUP($B170,HeatRateDegradation,$C170+1))/1000,0)</f>
        <v>#VALUE!</v>
      </c>
      <c r="CQ170" s="1316" t="e">
        <f aca="false">IF(OR(BQ170,BS170),VLOOKUP(A170,GasTable,13)*IF(EV170,HeatRatePeak,HeatRateOffPeak)*(1+VLOOKUP($B170,HeatRateDegradation,$C170+1))/1000,0)</f>
        <v>#VALUE!</v>
      </c>
      <c r="CR170" s="1316" t="e">
        <f aca="false">IF(OR(BQ170,BS170),VLOOKUP(A170,GasTable,13)*IF(EW170,HeatRatePeak,HeatRateOffPeak)*(1+VLOOKUP($B170,HeatRateDegradation,$C170+1))/1000,0)</f>
        <v>#VALUE!</v>
      </c>
      <c r="CS170" s="1589" t="e">
        <f aca="false">IF(BQ170,(CO170*AZ170+CP170*BA170+CQ170*BB170+CR170*BC170)/BQ170,0)</f>
        <v>#VALUE!</v>
      </c>
      <c r="CT170" s="1316" t="e">
        <f aca="false">IF(BS170,CO170,0)</f>
        <v>#VALUE!</v>
      </c>
      <c r="CU170" s="1590" t="e">
        <f aca="false">IF(OR(BQ170,BS170),VLOOKUP(A170,GasTable,14),"")</f>
        <v>#VALUE!</v>
      </c>
      <c r="CV170" s="1568" t="e">
        <f aca="false">IF(OR(BQ170,BS170),IF(CorrPowerGasOverFlag,INDEX(CorrPowerGasOver,C170),CorrPowerGas),"")</f>
        <v>#VALUE!</v>
      </c>
      <c r="CW170" s="1316" t="e">
        <f aca="false">IF(OR($BQ170,$BS170),SpreadOptPowerMargin,0)*((1+Assumptions!$C$26)^($B170-YEAR(Assumptions!$C$17)))</f>
        <v>#VALUE!</v>
      </c>
      <c r="CX170" s="1316" t="e">
        <f aca="false">IF(OR($BQ170,$BS170),SpreadOptPowerMargin,0)*((1+Assumptions!$C$26)^($B170-YEAR(Assumptions!$C$17)))</f>
        <v>#VALUE!</v>
      </c>
      <c r="CY170" s="1316" t="e">
        <f aca="false">IF(OR($BQ170,$BS170),SpreadOptPowerMargin,0)*((1+Assumptions!$C$26)^($B170-YEAR(Assumptions!$C$17)))</f>
        <v>#VALUE!</v>
      </c>
      <c r="CZ170" s="1316" t="e">
        <f aca="false">IF(OR($BQ170,$BS170),SpreadOptPowerMargin,0)*((1+Assumptions!$C$26)^($B170-YEAR(Assumptions!$C$17)))</f>
        <v>#VALUE!</v>
      </c>
      <c r="DA170" s="1591" t="e">
        <f aca="false">IF(OR(BQ170,BS170),(CW170*(AZ170+BH170)+CX170*(BA170+BI170)+CY170*(BB170+BJ170)+CZ170*(BC170+BK170))/(BQ170+BS170),0)</f>
        <v>#VALUE!</v>
      </c>
      <c r="DB170" s="1592" t="e">
        <f aca="false">IF(OR(BQ170,BS170),CG170+IF(OVolSmile,VLOOKUP(MAX(-5,CO170+CW170-BU170),IF(OVolSmile=1,VolSmileBook,VolSmileModel),2),0),"")</f>
        <v>#VALUE!</v>
      </c>
      <c r="DC170" s="1592" t="e">
        <f aca="false">IF(OR(BQ170,BS170),CH170+IF(OVolSmile,VLOOKUP(MAX(-5,CP170+CW170-BV170),IF(OVolSmile=1,VolSmileBook,VolSmileModel),2),0),"")</f>
        <v>#VALUE!</v>
      </c>
      <c r="DD170" s="1592" t="e">
        <f aca="false">IF(OR(BQ170,BS170),CI170+IF(OVolSmile,VLOOKUP(MAX(-5,CQ170+CW170-BW170),IF(OVolSmile=1,VolSmileBook,VolSmileModel),2),0),"")</f>
        <v>#VALUE!</v>
      </c>
      <c r="DE170" s="1592" t="e">
        <f aca="false">IF(OR(BQ170,BS170),CL170+IF(OVolSmile,VLOOKUP(MAX(-5,CR170+CZ170-BX170),IF(OVolSmile=1,VolSmileBook,VolSmileModel),2),0),"")</f>
        <v>#VALUE!</v>
      </c>
      <c r="DF170" s="1592" t="e">
        <f aca="false">IF(BQ170,CM170+IF(OVolSmile,VLOOKUP(MAX(-5,CS170+DA170-BZ170),IF(OVolSmile=1,VolSmileBook,VolSmileModel),2),0),"")</f>
        <v>#VALUE!</v>
      </c>
      <c r="DG170" s="1593" t="e">
        <f aca="false">IF(BS170,CN170+IF(OVolSmile,VLOOKUP(MAX(-5,CT170+DA170-CF170),IF(OVolSmile=1,VolSmileBook,VolSmileModel),2),0),"")</f>
        <v>#VALUE!</v>
      </c>
      <c r="DH170" s="1316" t="e">
        <f aca="false">IF(AND(BU170&gt;0,CO170&gt;0,DB170&gt;0,CU170&gt;0),newSPRDOPT(BU170,CO170,CW170,0,DB170,CU170,CV170,BT170*365.25,OCallPut,0),0)</f>
        <v>#VALUE!</v>
      </c>
      <c r="DI170" s="1316" t="e">
        <f aca="false">IF(AND(BV170&gt;0,CP170&gt;0,DC170&gt;0,CU170&gt;0),newSPRDOPT(BV170,CP170,CX170,0,DC170,CU170,CV170,BT170*365.25,OCallPut,0),0)</f>
        <v>#VALUE!</v>
      </c>
      <c r="DJ170" s="1316" t="e">
        <f aca="false">IF(AND(BW170&gt;0,CQ170&gt;0,DD170&gt;0,CU170&gt;0),newSPRDOPT(BW170,CQ170,CY170,0,DD170,CU170,CV170,BT170*365.25,OCallPut,0),0)</f>
        <v>#VALUE!</v>
      </c>
      <c r="DK170" s="1316" t="e">
        <f aca="false">IF(AND(BX170&gt;0,CR170&gt;0,DE170&gt;0,CU170&gt;0),newSPRDOPT(BX170,CR170,CZ170,0,DE170,CU170,CV170,BT170*365.25,OCallPut,0),0)</f>
        <v>#VALUE!</v>
      </c>
      <c r="DL170" s="1316" t="e">
        <f aca="false">IF(OVolType,IF(AND(BZ170&gt;0,CS170&gt;0,DF170&gt;0,CU170&gt;0),newSPRDOPT(BZ170,CS170,DA170,0,DF170,CU170,CV170,BT170*365.25,OCallPut,0),0),IF(BQ170,(DH170*AZ170+DI170*BA170+DJ170*BB170+DK170*BC170)/BQ170,0))</f>
        <v>#VALUE!</v>
      </c>
      <c r="DM170" s="1316"/>
      <c r="DN170" s="1316"/>
      <c r="DO170" s="1316"/>
      <c r="DP170" s="1316"/>
      <c r="DQ170" s="1316"/>
      <c r="DR170" s="1316"/>
      <c r="DS170" s="1316"/>
      <c r="DT170" s="1316"/>
      <c r="DU170" s="1316"/>
      <c r="DV170" s="1316"/>
      <c r="DW170" s="1594" t="e">
        <f aca="false">IF(AND(BW170&gt;0,CT170&gt;0,DD170&gt;0,CU170&gt;0),newSPRDOPT(BW170,CT170,CY170,0,DD170,CU170,CV170,BT170*365.25,OCallPut,0),0)</f>
        <v>#VALUE!</v>
      </c>
      <c r="DX170" s="1316" t="e">
        <f aca="false">IF(AND(BX170&gt;0,CT170&gt;0,DE170&gt;0,CU170&gt;0),newSPRDOPT(BX170,CT170,CZ170,0,DE170,CU170,CV170,BT170*365.25,OCallPut,0),0)</f>
        <v>#VALUE!</v>
      </c>
      <c r="DY170" s="1591" t="e">
        <f aca="false">IF(BS170,(DH170*BH170+DI170*BI170+DW170*BJ170+DX170*BK170)/BS170,0)</f>
        <v>#VALUE!</v>
      </c>
      <c r="DZ170" s="1551" t="e">
        <f aca="false">DH170*AZ170</f>
        <v>#VALUE!</v>
      </c>
      <c r="EA170" s="1551" t="e">
        <f aca="false">DI170*BA170</f>
        <v>#VALUE!</v>
      </c>
      <c r="EB170" s="1551" t="e">
        <f aca="false">DJ170*BB170</f>
        <v>#VALUE!</v>
      </c>
      <c r="EC170" s="1551" t="e">
        <f aca="false">DK170*BC170</f>
        <v>#VALUE!</v>
      </c>
      <c r="ED170" s="1551" t="e">
        <f aca="false">DL170*BQ170</f>
        <v>#VALUE!</v>
      </c>
      <c r="EE170" s="1595" t="e">
        <f aca="false">IF(BQ170,IF(OCallPut,IF(BU170&gt;(CO170+CW170),BU170-(CO170+CW170),0),IF((CO170+CW170)&gt;BU170,(CO170+CW170)-BU170,0))*AZ170,0)</f>
        <v>#VALUE!</v>
      </c>
      <c r="EF170" s="1596" t="e">
        <f aca="false">IF(BQ170,IF(OCallPut,IF(BV170&gt;(CP170+CX170),BV170-(CP170+CX170),0),IF((CP170+CX170)&gt;BV170,(CP170+CX170)-BV170,0))*BA170,0)</f>
        <v>#VALUE!</v>
      </c>
      <c r="EG170" s="1596" t="e">
        <f aca="false">IF(BQ170,IF(OCallPut,IF(BW170&gt;(CQ170+CY170),BW170-(CQ170+CY170),0),IF((CQ170+CY170)&gt;BW170,(CQ170+CY170)-BW170,0))*BB170,0)</f>
        <v>#VALUE!</v>
      </c>
      <c r="EH170" s="1596" t="e">
        <f aca="false">IF(BQ170,IF(OCallPut,IF(BX170&gt;(CR170+CZ170),BX170-(CR170+CZ170),0),IF((CR170+CZ170)&gt;BX170,(CR170+CZ170)-BX170,0))*BC170,0)</f>
        <v>#VALUE!</v>
      </c>
      <c r="EI170" s="1597" t="e">
        <f aca="false">IF(BQ170,IF(OVolType,IF(OCallPut,IF(BZ170&gt;(CS170+DA170),BZ170-(CS170+DA170),0),IF((CS170+DA170)&gt;BZ170,(CS170+DA170)-BZ170,0))*BQ170,SUM(EE170:EH170)),0)</f>
        <v>#VALUE!</v>
      </c>
      <c r="EJ170" s="1595" t="e">
        <f aca="false">DZ170-EE170</f>
        <v>#VALUE!</v>
      </c>
      <c r="EK170" s="1596" t="e">
        <f aca="false">EA170-EF170</f>
        <v>#VALUE!</v>
      </c>
      <c r="EL170" s="1596" t="e">
        <f aca="false">EB170-EG170</f>
        <v>#VALUE!</v>
      </c>
      <c r="EM170" s="1596" t="e">
        <f aca="false">EC170-EH170</f>
        <v>#VALUE!</v>
      </c>
      <c r="EN170" s="1597" t="e">
        <f aca="false">ED170-EI170</f>
        <v>#VALUE!</v>
      </c>
      <c r="EO170" s="1551" t="e">
        <f aca="false">DH170*BH170</f>
        <v>#VALUE!</v>
      </c>
      <c r="EP170" s="1551" t="e">
        <f aca="false">DI170*BI170</f>
        <v>#VALUE!</v>
      </c>
      <c r="EQ170" s="1551" t="e">
        <f aca="false">DW170*BJ170</f>
        <v>#VALUE!</v>
      </c>
      <c r="ER170" s="1551" t="e">
        <f aca="false">DX170*BK170</f>
        <v>#VALUE!</v>
      </c>
      <c r="ES170" s="1551" t="e">
        <f aca="false">DY170*BS170</f>
        <v>#VALUE!</v>
      </c>
      <c r="ET170" s="1566" t="e">
        <f aca="false">IF(EI170,IF(OCallPut,IF(CA170&gt;(CT170+CW170),CA170-(CT170+CW170),0),IF((CT170+CW170)&gt;CA170,(CT170+CW170)-CA170,0))*BH170,0)</f>
        <v>#VALUE!</v>
      </c>
      <c r="EU170" s="1551" t="e">
        <f aca="false">IF(EI170,IF(OCallPut,IF(CB170&gt;(CT170+CX170),CB170-(CT170+CX170),0),IF((CT170+CX170)&gt;CB170,(CT170+CX170)-CB170,0))*BI170,0)</f>
        <v>#VALUE!</v>
      </c>
      <c r="EV170" s="1551" t="e">
        <f aca="false">IF(EI170,IF(OCallPut,IF(CC170&gt;(CT170+CY170),CC170-(CT170+CY170),0),IF((CT170+CY170)&gt;CC170,(CT170+CY170)-CC170,0))*BJ170,0)</f>
        <v>#VALUE!</v>
      </c>
      <c r="EW170" s="1551" t="e">
        <f aca="false">IF(EI170,IF(OCallPut,IF(CD170&gt;(CT170+CZ170),CD170-(CT170+CZ170),0),IF((CT170+CZ170)&gt;CD170,(CT170+CZ170)-CD170,0))*BK170,0)</f>
        <v>#VALUE!</v>
      </c>
      <c r="EX170" s="1558" t="e">
        <f aca="false">IF(EI170,SUM(ET170:EW170),0)</f>
        <v>#VALUE!</v>
      </c>
      <c r="EY170" s="1551" t="e">
        <f aca="false">EO170-ET170</f>
        <v>#VALUE!</v>
      </c>
      <c r="EZ170" s="1551" t="e">
        <f aca="false">EP170-EU170</f>
        <v>#VALUE!</v>
      </c>
      <c r="FA170" s="1551" t="e">
        <f aca="false">EQ170-EV170</f>
        <v>#VALUE!</v>
      </c>
      <c r="FB170" s="1551" t="e">
        <f aca="false">ER170-EW170</f>
        <v>#VALUE!</v>
      </c>
      <c r="FC170" s="1551" t="e">
        <f aca="false">ES170-EX170</f>
        <v>#VALUE!</v>
      </c>
      <c r="FD170" s="1525" t="n">
        <f aca="false">IF(AX170,IF(VLOOKUP(C170,MAIN!$L$17:$M$28,2)="Yes",VLOOKUP(CALC!B170,MAIN!$H$17:$I$20,2),0),0)</f>
        <v>0</v>
      </c>
      <c r="FE170" s="1552" t="e">
        <f aca="false">$FD170*16*AT170*(1-$AY170)</f>
        <v>#VALUE!</v>
      </c>
      <c r="FF170" s="1553" t="e">
        <f aca="false">$FD170*16*AU170*(1-$AY170)</f>
        <v>#VALUE!</v>
      </c>
      <c r="FG170" s="1553" t="e">
        <f aca="false">$FD170*16*(AV170+AW170)*(1-$AY170)</f>
        <v>#VALUE!</v>
      </c>
      <c r="FH170" s="1554" t="n">
        <f aca="false">$FD170*8*AX170*(1-$AY170)</f>
        <v>0</v>
      </c>
      <c r="FI170" s="1555" t="n">
        <f aca="false">IF(AX170,VLOOKUP(CALC!B170,MAIN!$H$17:$K$20,4),0)</f>
        <v>0</v>
      </c>
      <c r="FJ170" s="1553" t="e">
        <f aca="false">SUM(FE170:FH170)</f>
        <v>#VALUE!</v>
      </c>
      <c r="FK170" s="1556" t="e">
        <f aca="false">FI170*FJ170</f>
        <v>#VALUE!</v>
      </c>
      <c r="FL170" s="1551" t="e">
        <f aca="false">IF($EI170&gt;0,MIN(FE170,AZ170*(1+VLOOKUP($C170,WeatherCapacityAdjustment,2))),0)</f>
        <v>#VALUE!</v>
      </c>
      <c r="FM170" s="1551" t="e">
        <f aca="false">IF($EI170&gt;0,MIN(FF170,BA170*(1+VLOOKUP($C170,WeatherCapacityAdjustment,2))),0)</f>
        <v>#VALUE!</v>
      </c>
      <c r="FN170" s="1551" t="e">
        <f aca="false">IF($EI170&gt;0,MIN(FG170,BB170*(1+VLOOKUP($C170,WeatherCapacityAdjustment,2))),0)</f>
        <v>#VALUE!</v>
      </c>
      <c r="FO170" s="1564" t="e">
        <f aca="false">IF($EI170&gt;0,MIN(FH170,BC170*(1+VLOOKUP($C170,WeatherCapacityAdjustment,3))),0)</f>
        <v>#VALUE!</v>
      </c>
      <c r="FP170" s="1551" t="e">
        <f aca="false">IF(ET170&gt;0,MIN(FE170-FL170,BH170*(1+VLOOKUP($C170,WeatherCapacityAdjustment,2))),0)</f>
        <v>#VALUE!</v>
      </c>
      <c r="FQ170" s="1551" t="e">
        <f aca="false">IF(EU170&gt;0,MIN(FF170-FM170,BI170*(1+VLOOKUP($C170,WeatherCapacityAdjustment,2))),0)</f>
        <v>#VALUE!</v>
      </c>
      <c r="FR170" s="1551" t="e">
        <f aca="false">IF(EV170&gt;0,MIN(FG170-FN170,BJ170*(1+VLOOKUP($C170,WeatherCapacityAdjustment,2))),0)</f>
        <v>#VALUE!</v>
      </c>
      <c r="FS170" s="1558" t="e">
        <f aca="false">IF(EW170&gt;0,MIN(FH170-FO170,BK170*(1+VLOOKUP($C170,WeatherCapacityAdjustment,3))),0)</f>
        <v>#VALUE!</v>
      </c>
      <c r="FT170" s="1566" t="e">
        <f aca="false">IF(AND(Assumptions!$H$71="Yes",A170&gt;=Assumptions!$H$72,A170&lt;=Assumptions!$H$73),0,IF(AND($A170&gt;=Assumptions!$C$17,$A170&lt;=Assumptions!$C$18),MAX(AZ170*(1+VLOOKUP($C170,WeatherCapacityAdjustment,2))-FL170,0),0))</f>
        <v>#VALUE!</v>
      </c>
      <c r="FU170" s="1551" t="e">
        <f aca="false">IF(AND(Assumptions!$H$71="Yes",A170&gt;=Assumptions!$H$72,A170&lt;=Assumptions!$H$73),0,IF(AND($A170&gt;=Assumptions!$C$17,$A170&lt;=Assumptions!$C$18),MAX(BA170*(1+VLOOKUP($C170,WeatherCapacityAdjustment,2))-FM170,0),0))</f>
        <v>#VALUE!</v>
      </c>
      <c r="FV170" s="1551" t="e">
        <f aca="false">IF(AND(Assumptions!$H$71="Yes",A170&gt;=Assumptions!$H$72,A170&lt;=Assumptions!$H$73),0,IF(AND($A170&gt;=Assumptions!$C$17,$A170&lt;=Assumptions!$C$18),MAX(BB170*(1+VLOOKUP($C170,WeatherCapacityAdjustment,2))-FN170,0),0))</f>
        <v>#VALUE!</v>
      </c>
      <c r="FW170" s="1564" t="e">
        <f aca="false">IF(AND(Assumptions!$H$71="Yes",A170&gt;=Assumptions!$H$72,A170&lt;=Assumptions!$H$73),0,IF(AND($A170&gt;=Assumptions!$C$17,$A170&lt;=Assumptions!$C$18),MAX(BC170*(1+VLOOKUP($C170,WeatherCapacityAdjustment,3))-FO170,0),0))</f>
        <v>#VALUE!</v>
      </c>
      <c r="FX170" s="1569" t="e">
        <f aca="false">IF(AND(Assumptions!$H$71="Yes",A170&gt;=Assumptions!$H$72,A170&lt;=Assumptions!$H$73),0,IF(ET170&gt;0,MAX(BH170*(1+VLOOKUP($C170,WeatherCapacityAdjustment,2))-FP170,0),0))</f>
        <v>#VALUE!</v>
      </c>
      <c r="FY170" s="1551" t="e">
        <f aca="false">IF(AND(Assumptions!$H$71="Yes",A170&gt;=Assumptions!$H$72,A170&lt;=Assumptions!$H$73),0,IF(EU170&gt;0,MAX(BI170*(1+VLOOKUP($C170,WeatherCapacityAdjustment,3))-FQ170,0),0))</f>
        <v>#VALUE!</v>
      </c>
      <c r="FZ170" s="1551" t="e">
        <f aca="false">IF(AND(Assumptions!$H$71="Yes",A170&gt;=Assumptions!$H$72,A170&lt;=Assumptions!$H$73),0,IF(EV170&gt;0,MAX(BJ170*(1+VLOOKUP($C170,WeatherCapacityAdjustment,2))-FR170,0),0))</f>
        <v>#VALUE!</v>
      </c>
      <c r="GA170" s="1564" t="e">
        <f aca="false">IF(AND(Assumptions!$H$71="Yes",A170&gt;=Assumptions!$H$72,A170&lt;=Assumptions!$H$73),0,IF(EW170&gt;0,MAX(BK170*(1+VLOOKUP($C170,WeatherCapacityAdjustment,2))-FS170,0),0))</f>
        <v>#VALUE!</v>
      </c>
      <c r="GB170" s="1551" t="e">
        <f aca="false">SUM(FT170:GA170)</f>
        <v>#VALUE!</v>
      </c>
      <c r="GC170" s="1563" t="e">
        <f aca="false">+IF(SUM(FT170:GA170)=0,0,(SUMPRODUCT(BU170:BX170,FT170:FW170)+SUMPRODUCT(CA170:CD170,FX170:GA170))/SUM(FT170:GA170))</f>
        <v>#VALUE!</v>
      </c>
      <c r="GD170" s="1551" t="e">
        <f aca="false">(FT170*BU170+FX170*CA170+FU170*BV170+FY170*CB170+FV170*BW170+FZ170*CC170+FW170*BX170+GA170*CD170)</f>
        <v>#VALUE!</v>
      </c>
      <c r="GE170" s="1561" t="e">
        <f aca="false">+IF(BQ170,((FL170+FM170+FT170+FU170)*HeatRatePeak/1000*(1+VLOOKUP($C170,WeatherHeatRateAdjustment,2))+(FN170+FV170)*IF(EV170&gt;0,HeatRatePeak,HeatRateOffPeak)/1000*(1+VLOOKUP($C170,WeatherHeatRateAdjustment,2))+(FO170+FW170)*IF(EW170&gt;0,HeatRatePeak,HeatRateOffPeak)/1000*(1+VLOOKUP($C170,WeatherHeatRateAdjustment,3)))*(1+VLOOKUP($B170,HeatRateDegradation,$C170+1)),0)</f>
        <v>#VALUE!</v>
      </c>
      <c r="GF170" s="1562" t="e">
        <f aca="false">IF(BQ170,((FP170+FQ170+FR170+FX170+FY170+FZ170)*HeatRatePeak/1000*(1+VLOOKUP($C170,WeatherHeatRateAdjustment,2))+(FS170+GA170)*HeatRatePeak/1000*(1+VLOOKUP($C170,WeatherHeatRateAdjustment,3)))*(1+VLOOKUP($B170,HeatRateDegradation,$C170+1)),0)</f>
        <v>#VALUE!</v>
      </c>
      <c r="GG170" s="1563" t="e">
        <f aca="false">IF(BQ170,VLOOKUP(A170,GasTable,13),0)</f>
        <v>#VALUE!</v>
      </c>
      <c r="GH170" s="1564" t="e">
        <f aca="false">(GE170+GF170)*GG170</f>
        <v>#VALUE!</v>
      </c>
      <c r="GI170" s="1569" t="e">
        <f aca="false">GB170</f>
        <v>#VALUE!</v>
      </c>
      <c r="GJ170" s="1598" t="e">
        <f aca="false">+DA170</f>
        <v>#VALUE!</v>
      </c>
      <c r="GK170" s="1558" t="e">
        <f aca="false">+GI170*GJ170</f>
        <v>#VALUE!</v>
      </c>
      <c r="GL170" s="1566" t="e">
        <f aca="false">MAX(FE170-FL170-FP170,0)</f>
        <v>#VALUE!</v>
      </c>
      <c r="GM170" s="1551" t="e">
        <f aca="false">MAX(FF170-FM170-FQ170,0)</f>
        <v>#VALUE!</v>
      </c>
      <c r="GN170" s="1551" t="e">
        <f aca="false">MAX(FG170-FN170-FR170,0)</f>
        <v>#VALUE!</v>
      </c>
      <c r="GO170" s="1564" t="e">
        <f aca="false">MAX(FH170-FO170-FS170,0)</f>
        <v>#VALUE!</v>
      </c>
      <c r="GP170" s="1551" t="e">
        <f aca="false">SUM(GL170:GO170)</f>
        <v>#VALUE!</v>
      </c>
      <c r="GQ170" s="1563" t="e">
        <f aca="false">IF(SUM(GL170:GO170)=0,0,((GL170*BU170+GM170*BV170+GN170*BW170+GO170*BX170)/SUM(GL170:GO170)))</f>
        <v>#VALUE!</v>
      </c>
      <c r="GR170" s="1558" t="e">
        <f aca="false">(GL170*BU170+GM170*BV170+GN170*BW170+GO170*BX170)</f>
        <v>#VALUE!</v>
      </c>
      <c r="GS170" s="1566" t="n">
        <f aca="false">IF($A170&gt;=BegDate,Assumptions!$C$56*24*($A171-$A170)*(1-VLOOKUP($B170,MAIN!$AA$7:$AM$28,$C170+1))*(1-VLOOKUP($B170,MAIN!$AA$33:$AM$54,$C170+1)),0)*80/168</f>
        <v>232800</v>
      </c>
      <c r="GT170" s="286" t="n">
        <f aca="false">J170</f>
        <v>50.7338290791044</v>
      </c>
      <c r="GU170" s="286" t="n">
        <f aca="false">IF($A170&gt;=BegDate,VLOOKUP($A170,GasTable,13)+Assumptions!$C$58,0)</f>
        <v>3.22712461006465</v>
      </c>
      <c r="GV170" s="286" t="n">
        <f aca="false">GU170*Assumptions!$C$57/1000</f>
        <v>23.3966534229687</v>
      </c>
      <c r="GW170" s="1558" t="n">
        <f aca="false">IF(Assumptions!$C$60="Hourly",MAX(0,GS170*(GT170-GV170)),GS170*(GT170-GV170))</f>
        <v>6364094.49274838</v>
      </c>
      <c r="GX170" s="1566" t="n">
        <f aca="false">IF($A170&gt;=BegDate,Assumptions!$C$56*24*($A171-$A170)*(1-VLOOKUP($B170,MAIN!$AA$7:$AM$28,$C170+1))*(1-VLOOKUP($B170,MAIN!$AA$33:$AM$54,$C170+1)),0)*16/168</f>
        <v>46560</v>
      </c>
      <c r="GY170" s="286" t="n">
        <f aca="false">M170</f>
        <v>50.7338290791044</v>
      </c>
      <c r="GZ170" s="286" t="n">
        <f aca="false">IF($A170&gt;=BegDate,VLOOKUP($A170,GasTable,13)+Assumptions!$C$58,0)</f>
        <v>3.22712461006465</v>
      </c>
      <c r="HA170" s="286" t="n">
        <f aca="false">GZ170*Assumptions!$C$57/1000</f>
        <v>23.3966534229687</v>
      </c>
      <c r="HB170" s="1558" t="n">
        <f aca="false">IF(Assumptions!$C$60="Hourly",MAX(0,GX170*(GY170-HA170)),GX170*(GY170-HA170))</f>
        <v>1272818.89854968</v>
      </c>
      <c r="HC170" s="1566" t="n">
        <f aca="false">IF($A170&gt;=BegDate,Assumptions!$C$56*24*($A171-$A170)*(1-VLOOKUP($B170,MAIN!$AA$7:$AM$28,$C170+1))*(1-VLOOKUP($B170,MAIN!$AA$33:$AM$54,$C170+1)),0)*16/168</f>
        <v>46560</v>
      </c>
      <c r="HD170" s="286" t="n">
        <f aca="false">P170</f>
        <v>28.8888232712942</v>
      </c>
      <c r="HE170" s="286" t="n">
        <f aca="false">IF($A170&gt;=BegDate,VLOOKUP($A170,GasTable,13)+Assumptions!$C$58,0)</f>
        <v>3.22712461006465</v>
      </c>
      <c r="HF170" s="286" t="n">
        <f aca="false">HE170*Assumptions!$C$57/1000</f>
        <v>23.3966534229687</v>
      </c>
      <c r="HG170" s="1558" t="n">
        <f aca="false">IF(Assumptions!$C$60="Hourly",MAX(0,HC170*(HD170-HF170)),HC170*(HD170-HF170))</f>
        <v>255715.428138033</v>
      </c>
      <c r="HH170" s="1566" t="n">
        <f aca="false">IF($A170&gt;=BegDate,Assumptions!$C$56*24*($A171-$A170)*(1-VLOOKUP($B170,MAIN!$AA$7:$AM$28,$C170+1))*(1-VLOOKUP($B170,MAIN!$AA$33:$AM$54,$C170+1)),0)*56/168</f>
        <v>162960</v>
      </c>
      <c r="HI170" s="286" t="n">
        <f aca="false">S170</f>
        <v>28.8888232712942</v>
      </c>
      <c r="HJ170" s="286" t="n">
        <f aca="false">IF($A170&gt;=BegDate,VLOOKUP($A170,GasTable,13)+Assumptions!$C$58,0)</f>
        <v>3.22712461006465</v>
      </c>
      <c r="HK170" s="286" t="n">
        <f aca="false">HJ170*Assumptions!$C$57/1000</f>
        <v>23.3966534229687</v>
      </c>
      <c r="HL170" s="1558" t="n">
        <f aca="false">IF(Assumptions!$C$60="Hourly",MAX(0,HH170*(HI170-HK170)),HH170*(HI170-HK170))</f>
        <v>895003.998483114</v>
      </c>
      <c r="HM170" s="1566" t="n">
        <f aca="false">IF(AND(Assumptions!$H$71="Yes",A170&gt;=Assumptions!$H$72,A170&lt;=Assumptions!$H$73),Assumptions!$H$74*Assumptions!$C$9*1000,0)</f>
        <v>0</v>
      </c>
      <c r="HN170" s="1551"/>
      <c r="HO170" s="1563"/>
      <c r="HP170" s="1563"/>
      <c r="HQ170" s="1563"/>
      <c r="HR170" s="1563"/>
      <c r="HS170" s="1563"/>
      <c r="HT170" s="1563"/>
      <c r="HU170" s="1563"/>
      <c r="HV170" s="1563"/>
      <c r="HW170" s="1563"/>
      <c r="HX170" s="1563"/>
      <c r="HY170" s="1563"/>
      <c r="HZ170" s="1563"/>
      <c r="IA170" s="1563"/>
      <c r="IB170" s="1563"/>
      <c r="IC170" s="1563"/>
      <c r="ID170" s="1563"/>
      <c r="IE170" s="1563"/>
      <c r="IF170" s="1563"/>
      <c r="IG170" s="1563"/>
      <c r="IH170" s="1563"/>
      <c r="II170" s="1610"/>
      <c r="IJ170" s="1309"/>
      <c r="IK170" s="1309"/>
    </row>
    <row r="171" customFormat="false" ht="12.75" hidden="false" customHeight="false" outlineLevel="0" collapsed="false">
      <c r="A171" s="1571" t="n">
        <f aca="false">EOMONTH(A170,0)+1</f>
        <v>41334</v>
      </c>
      <c r="B171" s="594" t="n">
        <f aca="false">+YEAR(A171)</f>
        <v>2013</v>
      </c>
      <c r="C171" s="238" t="n">
        <f aca="false">MONTH(A171)</f>
        <v>3</v>
      </c>
      <c r="D171" s="1572" t="e">
        <f aca="false">IF(E171="","",Holiday(B171,C171))</f>
        <v>#VALUE!</v>
      </c>
      <c r="E171" s="1573" t="n">
        <f aca="false">IF(OR(BegDate&gt;=A172,EndDate&lt;A171,AND(VolumeMonthlyOverFlag,INDEX(VolumeMonthlyOver,C171)=0),NOT(INDEX(MonthKnockOutTable,C171))),"",MAX(A171,BegDate))</f>
        <v>41334</v>
      </c>
      <c r="F171" s="1574" t="n">
        <f aca="false">IF(E171="","",MIN(A172-1,EndDate))</f>
        <v>41364</v>
      </c>
      <c r="G171" s="1575" t="n">
        <v>0</v>
      </c>
      <c r="H171" s="1576" t="n">
        <f aca="false">(1+G171/2)^(-2*(DATE(B172,C172,20)-DateToday)/365.25)</f>
        <v>1</v>
      </c>
      <c r="I171" s="1568" t="n">
        <f aca="false">IF(Assumptions!$L$25=4,VLOOKUP($A171,'Henwood Reference'!$E$9:$R$320,10),(VLOOKUP($A171,PriceTable,2,0)+IF(BasisNumber&lt;&gt;1,VLOOKUP($A171,BasisTable,2,0),0)+I$1)/(1-I$2))</f>
        <v>42.4196899045148</v>
      </c>
      <c r="J171" s="1568" t="n">
        <f aca="false">IF(Assumptions!$L$25=4,VLOOKUP($A171,'Henwood Reference'!$E$9:$R$320,10),(VLOOKUP($A171,PriceTable,3,0)+IF(BasisNumber&lt;&gt;1,VLOOKUP($A171,BasisTable,2,0),0)+J$1)/(1-J$2))</f>
        <v>42.4196899045148</v>
      </c>
      <c r="K171" s="1568" t="n">
        <f aca="false">IF(Assumptions!$L$25=4,VLOOKUP($A171,'Henwood Reference'!$E$9:$R$320,10),(VLOOKUP($A171,PriceTable,4,0)+IF(BasisNumber&lt;&gt;1,VLOOKUP($A171,BasisTable,2,0),0)+K$1)/(1-K$2))</f>
        <v>42.4196899045148</v>
      </c>
      <c r="L171" s="1523" t="n">
        <f aca="false">IF(Assumptions!$L$25=4,VLOOKUP($A171,'Henwood Reference'!$E$9:$R$320,10),(VLOOKUP($A171,PriceTableWeekend,2,0)+IF(BasisNumber&lt;&gt;1,VLOOKUP($A171,BasisTable,2,0),0)+L$1)/(1-L$2))</f>
        <v>42.4196899045148</v>
      </c>
      <c r="M171" s="1568" t="n">
        <f aca="false">IF(Assumptions!$L$25=4,VLOOKUP($A171,'Henwood Reference'!$E$9:$R$320,10),(VLOOKUP($A171,PriceTableWeekend,3,0)+IF(BasisNumber&lt;&gt;1,VLOOKUP($A171,BasisTable,2,0),0)+M$1)/(1-M$2))</f>
        <v>42.4196899045148</v>
      </c>
      <c r="N171" s="1599" t="n">
        <f aca="false">IF(Assumptions!$L$25=4,VLOOKUP($A171,'Henwood Reference'!$E$9:$R$320,10),(VLOOKUP($A171,PriceTableWeekend,4,0)+IF(BasisNumber&lt;&gt;1,VLOOKUP($A171,BasisTable,2,0),0)+N$1)/(1-N$2))</f>
        <v>42.4196899045148</v>
      </c>
      <c r="O171" s="1568" t="n">
        <f aca="false">IF(Assumptions!$L$25=4,VLOOKUP($A171,'Henwood Reference'!$E$9:$R$320,11),(VLOOKUP($A171,PriceTableWeekend,6,0)+IF(BasisNumber&lt;&gt;1,VLOOKUP($A171,BasisTable,3,0),0)+O$1)/(1-O$2))</f>
        <v>25.5850812977782</v>
      </c>
      <c r="P171" s="1568" t="n">
        <f aca="false">IF(Assumptions!$L$25=4,VLOOKUP($A171,'Henwood Reference'!$E$9:$R$320,11),(VLOOKUP($A171,PriceTableWeekend,7,0)+IF(BasisNumber&lt;&gt;1,VLOOKUP($A171,BasisTable,3,0),0)+P$1)/(1-P$2))</f>
        <v>25.5850812977782</v>
      </c>
      <c r="Q171" s="1599" t="n">
        <f aca="false">IF(Assumptions!$L$25=4,VLOOKUP($A171,'Henwood Reference'!$E$9:$R$320,11),(VLOOKUP($A171,PriceTableWeekend,8,0)+IF(BasisNumber&lt;&gt;1,VLOOKUP($A171,BasisTable,3,0),0)+Q$1)/(1-Q$2))</f>
        <v>25.5850812977782</v>
      </c>
      <c r="R171" s="1568" t="n">
        <f aca="false">IF(Assumptions!$L$25=4,VLOOKUP($A171,'Henwood Reference'!$E$9:$R$320,11),(VLOOKUP($A171,PriceTable,6,0)+IF(BasisNumber&lt;&gt;1,VLOOKUP($A171,BasisTable,3,0),0)+R$1)/(1-R$2))</f>
        <v>25.5850812977782</v>
      </c>
      <c r="S171" s="1568" t="n">
        <f aca="false">IF(Assumptions!$L$25=4,VLOOKUP($A171,'Henwood Reference'!$E$9:$R$320,11),(VLOOKUP($A171,PriceTable,7,0)+IF(BasisNumber&lt;&gt;1,VLOOKUP($A171,BasisTable,3,0),0)+S$1)/(1-S$2))</f>
        <v>25.5850812977782</v>
      </c>
      <c r="T171" s="1600" t="n">
        <f aca="false">IF(Assumptions!$L$25=4,VLOOKUP($A171,'Henwood Reference'!$E$9:$R$320,11),(VLOOKUP($A171,PriceTable,8,0)+IF(BasisNumber&lt;&gt;1,VLOOKUP($A171,BasisTable,3,0),0)+T$1)/(1-T$2))</f>
        <v>25.5850812977782</v>
      </c>
      <c r="U171" s="1513" t="n">
        <f aca="false">VLOOKUP($A171,VolatilityTable,14)</f>
        <v>0.105</v>
      </c>
      <c r="V171" s="1513" t="n">
        <f aca="false">VLOOKUP($A171,VolatilityTable,15)</f>
        <v>0.115</v>
      </c>
      <c r="W171" s="1514" t="n">
        <f aca="false">VLOOKUP($A171,VolatilityTable,16)</f>
        <v>0.125</v>
      </c>
      <c r="X171" s="1513" t="n">
        <f aca="false">VLOOKUP($A171,VolatilityTable,14)</f>
        <v>0.105</v>
      </c>
      <c r="Y171" s="1513" t="n">
        <f aca="false">VLOOKUP($A171,VolatilityTable,15)</f>
        <v>0.115</v>
      </c>
      <c r="Z171" s="1514" t="n">
        <f aca="false">VLOOKUP($A171,VolatilityTable,16)</f>
        <v>0.125</v>
      </c>
      <c r="AA171" s="1513" t="n">
        <f aca="false">VLOOKUP($A171,VolatilityTable,18)</f>
        <v>0.09</v>
      </c>
      <c r="AB171" s="1513" t="n">
        <f aca="false">VLOOKUP($A171,VolatilityTable,19)</f>
        <v>0.11</v>
      </c>
      <c r="AC171" s="1514" t="n">
        <f aca="false">VLOOKUP($A171,VolatilityTable,20)</f>
        <v>0.13</v>
      </c>
      <c r="AD171" s="1513" t="n">
        <f aca="false">VLOOKUP($A171,VolatilityTable,18)</f>
        <v>0.09</v>
      </c>
      <c r="AE171" s="1513" t="n">
        <f aca="false">VLOOKUP($A171,VolatilityTable,19)</f>
        <v>0.11</v>
      </c>
      <c r="AF171" s="1514" t="n">
        <f aca="false">VLOOKUP($A171,VolatilityTable,20)</f>
        <v>0.13</v>
      </c>
      <c r="AG171" s="1513" t="n">
        <f aca="false">VLOOKUP($A171,VolatilityTable,22)</f>
        <v>-0.1</v>
      </c>
      <c r="AH171" s="1513" t="n">
        <f aca="false">VLOOKUP($A171,VolatilityTable,23)</f>
        <v>0.65</v>
      </c>
      <c r="AI171" s="1514" t="n">
        <f aca="false">VLOOKUP($A171,VolatilityTable,24)</f>
        <v>0.1</v>
      </c>
      <c r="AJ171" s="1513" t="n">
        <f aca="false">VLOOKUP($A171,VolatilityTable,22)</f>
        <v>-0.1</v>
      </c>
      <c r="AK171" s="1513" t="n">
        <f aca="false">VLOOKUP($A171,VolatilityTable,23)</f>
        <v>0.65</v>
      </c>
      <c r="AL171" s="1514" t="n">
        <f aca="false">VLOOKUP($A171,VolatilityTable,24)</f>
        <v>0.1</v>
      </c>
      <c r="AM171" s="1513" t="n">
        <f aca="false">VLOOKUP($A171,VolatilityTable,26)</f>
        <v>-0.01</v>
      </c>
      <c r="AN171" s="1513" t="n">
        <f aca="false">VLOOKUP($A171,VolatilityTable,27)</f>
        <v>0.16</v>
      </c>
      <c r="AO171" s="1514" t="n">
        <f aca="false">VLOOKUP($A171,VolatilityTable,28)</f>
        <v>0.01</v>
      </c>
      <c r="AP171" s="1513" t="n">
        <f aca="false">VLOOKUP($A171,VolatilityTable,26)</f>
        <v>-0.01</v>
      </c>
      <c r="AQ171" s="1513" t="n">
        <f aca="false">VLOOKUP($A171,VolatilityTable,27)</f>
        <v>0.16</v>
      </c>
      <c r="AR171" s="1515" t="n">
        <f aca="false">VLOOKUP($A171,VolatilityTable,28)</f>
        <v>0.01</v>
      </c>
      <c r="AS171" s="1581" t="n">
        <f aca="false">IF(CorrPeakOffPeakOverFlag,INDEX(CorrPeakOffPeakOver,C171),CorrPeakOffPeak)</f>
        <v>0.5</v>
      </c>
      <c r="AT171" s="594" t="e">
        <f aca="false">AX171-SUM(AU171:AW171)</f>
        <v>#VALUE!</v>
      </c>
      <c r="AU171" s="238" t="e">
        <f aca="false">IF(E171="",0,INT((F171-MOD(F171,7)-E171)/7)+1-IF(AW171,IF(WEEKDAY(D171)=7,1,0),0))</f>
        <v>#VALUE!</v>
      </c>
      <c r="AV171" s="238" t="e">
        <f aca="false">IF(E171="",0,INT((F171-MOD(F171-1,7)-E171)/7)+1-IF(AW171,IF(WEEKDAY(D171)=1,1,0),0))</f>
        <v>#VALUE!</v>
      </c>
      <c r="AW171" s="238" t="e">
        <f aca="false">IF(OR(E171="",D171="",D171&lt;BegDate,D171&gt;EndDate),0,1)</f>
        <v>#VALUE!</v>
      </c>
      <c r="AX171" s="238" t="n">
        <f aca="false">IF(E171="",0,F171-E171+1)</f>
        <v>31</v>
      </c>
      <c r="AY171" s="1582" t="n">
        <f aca="false">IF(E171="",0,MIN((1-(1-VLOOKUP(B171,MAIN!$AA$7:$AM$28,C171+1))*(1-VLOOKUP(B171,MAIN!$AA$33:$AM$54,C171+1))),1))</f>
        <v>0.03</v>
      </c>
      <c r="AZ171" s="1519" t="e">
        <v>#VALUE!</v>
      </c>
      <c r="BA171" s="1520" t="e">
        <v>#VALUE!</v>
      </c>
      <c r="BB171" s="1520" t="e">
        <v>#VALUE!</v>
      </c>
      <c r="BC171" s="1583" t="e">
        <v>#VALUE!</v>
      </c>
      <c r="BD171" s="1522" t="e">
        <v>#VALUE!</v>
      </c>
      <c r="BE171" s="1523" t="e">
        <v>#VALUE!</v>
      </c>
      <c r="BF171" s="1523" t="e">
        <v>#VALUE!</v>
      </c>
      <c r="BG171" s="1584" t="e">
        <v>#VALUE!</v>
      </c>
      <c r="BH171" s="1525" t="e">
        <v>#VALUE!</v>
      </c>
      <c r="BI171" s="1520" t="e">
        <v>#VALUE!</v>
      </c>
      <c r="BJ171" s="1520" t="e">
        <v>#VALUE!</v>
      </c>
      <c r="BK171" s="1583" t="e">
        <v>#VALUE!</v>
      </c>
      <c r="BL171" s="1522" t="e">
        <v>#VALUE!</v>
      </c>
      <c r="BM171" s="1523" t="e">
        <v>#VALUE!</v>
      </c>
      <c r="BN171" s="1523" t="e">
        <v>#VALUE!</v>
      </c>
      <c r="BO171" s="1523" t="e">
        <v>#VALUE!</v>
      </c>
      <c r="BP171" s="1525" t="e">
        <f aca="false">SUM(AZ171:BB171)</f>
        <v>#VALUE!</v>
      </c>
      <c r="BQ171" s="1529" t="e">
        <f aca="false">SUM(AZ171:BC171)</f>
        <v>#VALUE!</v>
      </c>
      <c r="BR171" s="1519" t="e">
        <f aca="false">SUM(BH171:BJ171)</f>
        <v>#VALUE!</v>
      </c>
      <c r="BS171" s="1529" t="e">
        <f aca="false">SUM(BH171:BK171)</f>
        <v>#VALUE!</v>
      </c>
      <c r="BT171" s="1316" t="n">
        <f aca="false">(IF(OVolType&lt;&gt;2,A171+14,IF(OptExpDateShift,ShiftBack(A171,OptExpDateShift,D170),A171))-DateToday)/365.25</f>
        <v>12.8788501026694</v>
      </c>
      <c r="BU171" s="1585" t="e">
        <f aca="false">IF(BQ171,IF(OPriceCurve,IF(OBuySell=OCallPut,I171/(1-AY171),K171/(1-AY171)),J171/(1-AY171))*BD171,0)</f>
        <v>#VALUE!</v>
      </c>
      <c r="BV171" s="1316" t="e">
        <f aca="false">IF(BQ171,IF(OPriceCurve,IF(OBuySell=OCallPut,L171/(1-AY171),N171/(1-AY171)),M171/(1-AY171))*BE171,0)</f>
        <v>#VALUE!</v>
      </c>
      <c r="BW171" s="1316" t="e">
        <f aca="false">IF(BQ171,IF(OPriceCurve,IF(OBuySell=OCallPut,O171/(1-AY171),Q171/(1-AY171)),P171/(1-AY171))*BF171,0)</f>
        <v>#VALUE!</v>
      </c>
      <c r="BX171" s="1316" t="e">
        <f aca="false">IF(BQ171,IF(OPriceCurve,IF(OBuySell=OCallPut,R171/(1-AY171),T171/(1-AY171)),S171/(1-AY171))*BG171,0)</f>
        <v>#VALUE!</v>
      </c>
      <c r="BY171" s="1316" t="e">
        <f aca="false">IF(BP171,(BU171*AZ171+BV171*BA171+BW171*BB171)/BP171,0)</f>
        <v>#VALUE!</v>
      </c>
      <c r="BZ171" s="1316" t="e">
        <f aca="false">IF(BQ171,(BY171*BP171+BX171*BC171)/BQ171,0)</f>
        <v>#VALUE!</v>
      </c>
      <c r="CA171" s="1531" t="e">
        <f aca="false">IF(BS171,IF(OPriceCurve,IF(OBuySell=OCallPut,I171/(1-AY171),K171/(1-AY171)),J171/(1-AY171))*BL171,0)</f>
        <v>#VALUE!</v>
      </c>
      <c r="CB171" s="1316" t="e">
        <f aca="false">IF(BS171,IF(OPriceCurve,IF(OBuySell=OCallPut,L171/(1-AY171),N171/(1-AY171)),M171/(1-AY171))*BM171,0)</f>
        <v>#VALUE!</v>
      </c>
      <c r="CC171" s="1316" t="e">
        <f aca="false">IF(BS171,IF(OPriceCurve,IF(OBuySell=OCallPut,O171/(1-AY171),Q171/(1-AY171)),P171/(1-AY171))*BN171,0)</f>
        <v>#VALUE!</v>
      </c>
      <c r="CD171" s="1316" t="e">
        <f aca="false">IF(BS171,IF(OPriceCurve,IF(OBuySell=OCallPut,R171/(1-AY171),T171/(1-AY171)),S171/(1-AY171))*BO171,0)</f>
        <v>#VALUE!</v>
      </c>
      <c r="CE171" s="1316" t="e">
        <f aca="false">IF(BR171,(BU171*BH171+BV171*BI171+BW171*BJ171)/BR171,0)</f>
        <v>#VALUE!</v>
      </c>
      <c r="CF171" s="1532" t="e">
        <f aca="false">IF(BS171,(CE171*BR171+CD171*BK171)/BS171,0)</f>
        <v>#VALUE!</v>
      </c>
      <c r="CG171" s="1586" t="e">
        <f aca="false">IF(OR(BQ171,BS171),IF(OVolType&lt;&gt;2,SQRT(IF(OVolOverMonthlyPeak,OVolOverMonthlyPeak,IF(OVolCurve,IF(OBuySell,U171,W171),V171))^2*(1-15/365.25/BT171)+IF(OVolOverDailyPeak,OVolOverDailyPeak,IF(OVolCurve,IF(OBuySell,AG171,AI171),AH171))^2*15/365.25/BT171),IF(OVolOverMonthlyPeak,OVolOverMonthlyPeak,IF(OVolCurve,IF(OBuySell,U171,W171),V171))),"")</f>
        <v>#VALUE!</v>
      </c>
      <c r="CH171" s="1587" t="e">
        <f aca="false">IF(OR(BQ171,BS171),IF(OVolType&lt;&gt;2,SQRT(IF(OVolOverMonthlyPeak,OVolOverMonthlyPeak,IF(OVolCurve,IF(OBuySell,X171,Z171),Y171))^2*(1-15/365.25/BT171)+IF(OVolOverDailyPeak,OVolOverDailyPeak,IF(OVolCurve,IF(OBuySell,AJ171,AL171),AK171))^2*15/365.25/BT171),IF(OVolOverMonthlyPeak,OVolOverMonthlyPeak,IF(OVolCurve,IF(OBuySell,X171,Z171),Y171))),"")</f>
        <v>#VALUE!</v>
      </c>
      <c r="CI171" s="1587" t="e">
        <f aca="false">IF(OR(BQ171,BS171),IF(OVolType&lt;&gt;2,SQRT(IF(OVolOverMonthlyPeak,OVolOverMonthlyPeak,IF(OVolCurve,IF(OBuySell,AA171,AC171),AB171))^2*(1-15/365.25/BT171)+IF(OVolOverDailyPeak,OVolOverDailyPeak,IF(OVolCurve,IF(OBuySell,AM171,AO171),AN171))^2*15/365.25/BT171),IF(OVolOverMonthlyPeak,OVolOverMonthlyPeak,IF(OVolCurve,IF(OBuySell,AA171,AC171),AB171))),"")</f>
        <v>#VALUE!</v>
      </c>
      <c r="CJ171" s="1587" t="e">
        <f aca="false">IF(BQ171,IF(BP171,SQRT(LN(1+((BU171*AZ171)^2*(EXP(CG171^2*BT171)-1)+(BV171*BA171)^2*(EXP(CH171^2*BT171)-1)+(BW171*BB171)^2*(EXP(CI171^2*BT171)-1)+2*BU171*AZ171*BV171*BA171*(EXP(CG171*CH171*BT171)-1)+2*BV171*BA171*BW171*BB171*(EXP(CH171*CI171*BT171)-1)+2*BW171*BB171*BU171*AZ171*(EXP(CI171*CG171*BT171)-1))/(BY171*BP171)^2)/BT171),0),"")</f>
        <v>#VALUE!</v>
      </c>
      <c r="CK171" s="1587" t="e">
        <f aca="false">IF(BS171,IF(BR171,SQRT(LN(1+((CA171*BH171)^2*(EXP(CG171^2*BT171)-1)+(CB171*BI171)^2*(EXP(CH171^2*BT171)-1)+(CC171*BJ171)^2*(EXP(CI171^2*BT171)-1)+2*CA171*BH171*CB171*BI171*(EXP(CG171*CH171*BT171)-1)+2*CB171*BI171*CC171*BJ171*(EXP(CH171*CI171*BT171)-1)+2*CC171*BJ171*CA171*BH171*(EXP(CI171*CG171*BT171)-1))/(CE171*BR171)^2)/BT171),0),"")</f>
        <v>#VALUE!</v>
      </c>
      <c r="CL171" s="1587" t="e">
        <f aca="false">IF(OR(BQ171,BS171),IF(OVolType&lt;&gt;2,SQRT(IF(OVolOverMonthlyOffPeak,OVolOverMonthlyOffPeak,IF(OVolCurve,IF(OBuySell,AD171,AF171),AE171))^2*(1-15/365.25/BT171)+IF(OVolOverDailyOffPeak,OVolOverDailyOffPeak,IF(OVolCurve,IF(OBuySell,AP171,AR171),AQ171))^2*15/365.25/BT171),IF(OVolOverMonthlyOffPeak,OVolOverMonthlyOffPeak,IF(OVolCurve,IF(OBuySell,AD171,AF171),AE171))),"")</f>
        <v>#VALUE!</v>
      </c>
      <c r="CM171" s="1587" t="e">
        <f aca="false">IF(BQ171,SQRT(LN(1+((BY171*BP171)^2*(EXP(CJ171^2*BT171)-1)+(BX171*BC171)^2*(EXP(CL171^2*BT171)-1)+2*BY171*BP171*BX171*BC171*(EXP(AS171*CJ171*CL171*BT171)-1))/(BY171*BP171+BX171*BC171)^2)/BT171),"")</f>
        <v>#VALUE!</v>
      </c>
      <c r="CN171" s="1588" t="e">
        <f aca="false">IF(BS171,SQRT(LN(1+((CE171*BR171)^2*(EXP(CK171^2*BT171)-1)+(CD171*BK171)^2*(EXP(CL171^2*BT171)-1)+2*CE171*BR171*CD171*BK171*(EXP(AS171*CK171*CL171*BT171)-1))/(CE171*BR171+CD171*BK171)^2)/BT171),"")</f>
        <v>#VALUE!</v>
      </c>
      <c r="CO171" s="1531" t="e">
        <f aca="false">IF(OR(BQ171,BS171),VLOOKUP(A171,GasTable,13)*HeatRatePeak*(1+VLOOKUP($B171,HeatRateDegradation,$C171+1))/1000,0)</f>
        <v>#VALUE!</v>
      </c>
      <c r="CP171" s="1316" t="e">
        <f aca="false">IF(OR(BQ171,BS171),VLOOKUP(A171,GasTable,13)*HeatRatePeak*(1+VLOOKUP($B171,HeatRateDegradation,$C171+1))/1000,0)</f>
        <v>#VALUE!</v>
      </c>
      <c r="CQ171" s="1316" t="e">
        <f aca="false">IF(OR(BQ171,BS171),VLOOKUP(A171,GasTable,13)*IF(EV171,HeatRatePeak,HeatRateOffPeak)*(1+VLOOKUP($B171,HeatRateDegradation,$C171+1))/1000,0)</f>
        <v>#VALUE!</v>
      </c>
      <c r="CR171" s="1316" t="e">
        <f aca="false">IF(OR(BQ171,BS171),VLOOKUP(A171,GasTable,13)*IF(EW171,HeatRatePeak,HeatRateOffPeak)*(1+VLOOKUP($B171,HeatRateDegradation,$C171+1))/1000,0)</f>
        <v>#VALUE!</v>
      </c>
      <c r="CS171" s="1589" t="e">
        <f aca="false">IF(BQ171,(CO171*AZ171+CP171*BA171+CQ171*BB171+CR171*BC171)/BQ171,0)</f>
        <v>#VALUE!</v>
      </c>
      <c r="CT171" s="1316" t="e">
        <f aca="false">IF(BS171,CO171,0)</f>
        <v>#VALUE!</v>
      </c>
      <c r="CU171" s="1590" t="e">
        <f aca="false">IF(OR(BQ171,BS171),VLOOKUP(A171,GasTable,14),"")</f>
        <v>#VALUE!</v>
      </c>
      <c r="CV171" s="1568" t="e">
        <f aca="false">IF(OR(BQ171,BS171),IF(CorrPowerGasOverFlag,INDEX(CorrPowerGasOver,C171),CorrPowerGas),"")</f>
        <v>#VALUE!</v>
      </c>
      <c r="CW171" s="1316" t="e">
        <f aca="false">IF(OR($BQ171,$BS171),SpreadOptPowerMargin,0)*((1+Assumptions!$C$26)^($B171-YEAR(Assumptions!$C$17)))</f>
        <v>#VALUE!</v>
      </c>
      <c r="CX171" s="1316" t="e">
        <f aca="false">IF(OR($BQ171,$BS171),SpreadOptPowerMargin,0)*((1+Assumptions!$C$26)^($B171-YEAR(Assumptions!$C$17)))</f>
        <v>#VALUE!</v>
      </c>
      <c r="CY171" s="1316" t="e">
        <f aca="false">IF(OR($BQ171,$BS171),SpreadOptPowerMargin,0)*((1+Assumptions!$C$26)^($B171-YEAR(Assumptions!$C$17)))</f>
        <v>#VALUE!</v>
      </c>
      <c r="CZ171" s="1316" t="e">
        <f aca="false">IF(OR($BQ171,$BS171),SpreadOptPowerMargin,0)*((1+Assumptions!$C$26)^($B171-YEAR(Assumptions!$C$17)))</f>
        <v>#VALUE!</v>
      </c>
      <c r="DA171" s="1591" t="e">
        <f aca="false">IF(OR(BQ171,BS171),(CW171*(AZ171+BH171)+CX171*(BA171+BI171)+CY171*(BB171+BJ171)+CZ171*(BC171+BK171))/(BQ171+BS171),0)</f>
        <v>#VALUE!</v>
      </c>
      <c r="DB171" s="1592" t="e">
        <f aca="false">IF(OR(BQ171,BS171),CG171+IF(OVolSmile,VLOOKUP(MAX(-5,CO171+CW171-BU171),IF(OVolSmile=1,VolSmileBook,VolSmileModel),2),0),"")</f>
        <v>#VALUE!</v>
      </c>
      <c r="DC171" s="1592" t="e">
        <f aca="false">IF(OR(BQ171,BS171),CH171+IF(OVolSmile,VLOOKUP(MAX(-5,CP171+CW171-BV171),IF(OVolSmile=1,VolSmileBook,VolSmileModel),2),0),"")</f>
        <v>#VALUE!</v>
      </c>
      <c r="DD171" s="1592" t="e">
        <f aca="false">IF(OR(BQ171,BS171),CI171+IF(OVolSmile,VLOOKUP(MAX(-5,CQ171+CW171-BW171),IF(OVolSmile=1,VolSmileBook,VolSmileModel),2),0),"")</f>
        <v>#VALUE!</v>
      </c>
      <c r="DE171" s="1592" t="e">
        <f aca="false">IF(OR(BQ171,BS171),CL171+IF(OVolSmile,VLOOKUP(MAX(-5,CR171+CZ171-BX171),IF(OVolSmile=1,VolSmileBook,VolSmileModel),2),0),"")</f>
        <v>#VALUE!</v>
      </c>
      <c r="DF171" s="1592" t="e">
        <f aca="false">IF(BQ171,CM171+IF(OVolSmile,VLOOKUP(MAX(-5,CS171+DA171-BZ171),IF(OVolSmile=1,VolSmileBook,VolSmileModel),2),0),"")</f>
        <v>#VALUE!</v>
      </c>
      <c r="DG171" s="1593" t="e">
        <f aca="false">IF(BS171,CN171+IF(OVolSmile,VLOOKUP(MAX(-5,CT171+DA171-CF171),IF(OVolSmile=1,VolSmileBook,VolSmileModel),2),0),"")</f>
        <v>#VALUE!</v>
      </c>
      <c r="DH171" s="1316" t="e">
        <f aca="false">IF(AND(BU171&gt;0,CO171&gt;0,DB171&gt;0,CU171&gt;0),newSPRDOPT(BU171,CO171,CW171,0,DB171,CU171,CV171,BT171*365.25,OCallPut,0),0)</f>
        <v>#VALUE!</v>
      </c>
      <c r="DI171" s="1316" t="e">
        <f aca="false">IF(AND(BV171&gt;0,CP171&gt;0,DC171&gt;0,CU171&gt;0),newSPRDOPT(BV171,CP171,CX171,0,DC171,CU171,CV171,BT171*365.25,OCallPut,0),0)</f>
        <v>#VALUE!</v>
      </c>
      <c r="DJ171" s="1316" t="e">
        <f aca="false">IF(AND(BW171&gt;0,CQ171&gt;0,DD171&gt;0,CU171&gt;0),newSPRDOPT(BW171,CQ171,CY171,0,DD171,CU171,CV171,BT171*365.25,OCallPut,0),0)</f>
        <v>#VALUE!</v>
      </c>
      <c r="DK171" s="1316" t="e">
        <f aca="false">IF(AND(BX171&gt;0,CR171&gt;0,DE171&gt;0,CU171&gt;0),newSPRDOPT(BX171,CR171,CZ171,0,DE171,CU171,CV171,BT171*365.25,OCallPut,0),0)</f>
        <v>#VALUE!</v>
      </c>
      <c r="DL171" s="1316" t="e">
        <f aca="false">IF(OVolType,IF(AND(BZ171&gt;0,CS171&gt;0,DF171&gt;0,CU171&gt;0),newSPRDOPT(BZ171,CS171,DA171,0,DF171,CU171,CV171,BT171*365.25,OCallPut,0),0),IF(BQ171,(DH171*AZ171+DI171*BA171+DJ171*BB171+DK171*BC171)/BQ171,0))</f>
        <v>#VALUE!</v>
      </c>
      <c r="DM171" s="1316"/>
      <c r="DN171" s="1316"/>
      <c r="DO171" s="1316"/>
      <c r="DP171" s="1316"/>
      <c r="DQ171" s="1316"/>
      <c r="DR171" s="1316"/>
      <c r="DS171" s="1316"/>
      <c r="DT171" s="1316"/>
      <c r="DU171" s="1316"/>
      <c r="DV171" s="1316"/>
      <c r="DW171" s="1594" t="e">
        <f aca="false">IF(AND(BW171&gt;0,CT171&gt;0,DD171&gt;0,CU171&gt;0),newSPRDOPT(BW171,CT171,CY171,0,DD171,CU171,CV171,BT171*365.25,OCallPut,0),0)</f>
        <v>#VALUE!</v>
      </c>
      <c r="DX171" s="1316" t="e">
        <f aca="false">IF(AND(BX171&gt;0,CT171&gt;0,DE171&gt;0,CU171&gt;0),newSPRDOPT(BX171,CT171,CZ171,0,DE171,CU171,CV171,BT171*365.25,OCallPut,0),0)</f>
        <v>#VALUE!</v>
      </c>
      <c r="DY171" s="1591" t="e">
        <f aca="false">IF(BS171,(DH171*BH171+DI171*BI171+DW171*BJ171+DX171*BK171)/BS171,0)</f>
        <v>#VALUE!</v>
      </c>
      <c r="DZ171" s="1551" t="e">
        <f aca="false">DH171*AZ171</f>
        <v>#VALUE!</v>
      </c>
      <c r="EA171" s="1551" t="e">
        <f aca="false">DI171*BA171</f>
        <v>#VALUE!</v>
      </c>
      <c r="EB171" s="1551" t="e">
        <f aca="false">DJ171*BB171</f>
        <v>#VALUE!</v>
      </c>
      <c r="EC171" s="1551" t="e">
        <f aca="false">DK171*BC171</f>
        <v>#VALUE!</v>
      </c>
      <c r="ED171" s="1551" t="e">
        <f aca="false">DL171*BQ171</f>
        <v>#VALUE!</v>
      </c>
      <c r="EE171" s="1595" t="e">
        <f aca="false">IF(BQ171,IF(OCallPut,IF(BU171&gt;(CO171+CW171),BU171-(CO171+CW171),0),IF((CO171+CW171)&gt;BU171,(CO171+CW171)-BU171,0))*AZ171,0)</f>
        <v>#VALUE!</v>
      </c>
      <c r="EF171" s="1596" t="e">
        <f aca="false">IF(BQ171,IF(OCallPut,IF(BV171&gt;(CP171+CX171),BV171-(CP171+CX171),0),IF((CP171+CX171)&gt;BV171,(CP171+CX171)-BV171,0))*BA171,0)</f>
        <v>#VALUE!</v>
      </c>
      <c r="EG171" s="1596" t="e">
        <f aca="false">IF(BQ171,IF(OCallPut,IF(BW171&gt;(CQ171+CY171),BW171-(CQ171+CY171),0),IF((CQ171+CY171)&gt;BW171,(CQ171+CY171)-BW171,0))*BB171,0)</f>
        <v>#VALUE!</v>
      </c>
      <c r="EH171" s="1596" t="e">
        <f aca="false">IF(BQ171,IF(OCallPut,IF(BX171&gt;(CR171+CZ171),BX171-(CR171+CZ171),0),IF((CR171+CZ171)&gt;BX171,(CR171+CZ171)-BX171,0))*BC171,0)</f>
        <v>#VALUE!</v>
      </c>
      <c r="EI171" s="1597" t="e">
        <f aca="false">IF(BQ171,IF(OVolType,IF(OCallPut,IF(BZ171&gt;(CS171+DA171),BZ171-(CS171+DA171),0),IF((CS171+DA171)&gt;BZ171,(CS171+DA171)-BZ171,0))*BQ171,SUM(EE171:EH171)),0)</f>
        <v>#VALUE!</v>
      </c>
      <c r="EJ171" s="1595" t="e">
        <f aca="false">DZ171-EE171</f>
        <v>#VALUE!</v>
      </c>
      <c r="EK171" s="1596" t="e">
        <f aca="false">EA171-EF171</f>
        <v>#VALUE!</v>
      </c>
      <c r="EL171" s="1596" t="e">
        <f aca="false">EB171-EG171</f>
        <v>#VALUE!</v>
      </c>
      <c r="EM171" s="1596" t="e">
        <f aca="false">EC171-EH171</f>
        <v>#VALUE!</v>
      </c>
      <c r="EN171" s="1597" t="e">
        <f aca="false">ED171-EI171</f>
        <v>#VALUE!</v>
      </c>
      <c r="EO171" s="1551" t="e">
        <f aca="false">DH171*BH171</f>
        <v>#VALUE!</v>
      </c>
      <c r="EP171" s="1551" t="e">
        <f aca="false">DI171*BI171</f>
        <v>#VALUE!</v>
      </c>
      <c r="EQ171" s="1551" t="e">
        <f aca="false">DW171*BJ171</f>
        <v>#VALUE!</v>
      </c>
      <c r="ER171" s="1551" t="e">
        <f aca="false">DX171*BK171</f>
        <v>#VALUE!</v>
      </c>
      <c r="ES171" s="1551" t="e">
        <f aca="false">DY171*BS171</f>
        <v>#VALUE!</v>
      </c>
      <c r="ET171" s="1566" t="e">
        <f aca="false">IF(EI171,IF(OCallPut,IF(CA171&gt;(CT171+CW171),CA171-(CT171+CW171),0),IF((CT171+CW171)&gt;CA171,(CT171+CW171)-CA171,0))*BH171,0)</f>
        <v>#VALUE!</v>
      </c>
      <c r="EU171" s="1551" t="e">
        <f aca="false">IF(EI171,IF(OCallPut,IF(CB171&gt;(CT171+CX171),CB171-(CT171+CX171),0),IF((CT171+CX171)&gt;CB171,(CT171+CX171)-CB171,0))*BI171,0)</f>
        <v>#VALUE!</v>
      </c>
      <c r="EV171" s="1551" t="e">
        <f aca="false">IF(EI171,IF(OCallPut,IF(CC171&gt;(CT171+CY171),CC171-(CT171+CY171),0),IF((CT171+CY171)&gt;CC171,(CT171+CY171)-CC171,0))*BJ171,0)</f>
        <v>#VALUE!</v>
      </c>
      <c r="EW171" s="1551" t="e">
        <f aca="false">IF(EI171,IF(OCallPut,IF(CD171&gt;(CT171+CZ171),CD171-(CT171+CZ171),0),IF((CT171+CZ171)&gt;CD171,(CT171+CZ171)-CD171,0))*BK171,0)</f>
        <v>#VALUE!</v>
      </c>
      <c r="EX171" s="1558" t="e">
        <f aca="false">IF(EI171,SUM(ET171:EW171),0)</f>
        <v>#VALUE!</v>
      </c>
      <c r="EY171" s="1551" t="e">
        <f aca="false">EO171-ET171</f>
        <v>#VALUE!</v>
      </c>
      <c r="EZ171" s="1551" t="e">
        <f aca="false">EP171-EU171</f>
        <v>#VALUE!</v>
      </c>
      <c r="FA171" s="1551" t="e">
        <f aca="false">EQ171-EV171</f>
        <v>#VALUE!</v>
      </c>
      <c r="FB171" s="1551" t="e">
        <f aca="false">ER171-EW171</f>
        <v>#VALUE!</v>
      </c>
      <c r="FC171" s="1551" t="e">
        <f aca="false">ES171-EX171</f>
        <v>#VALUE!</v>
      </c>
      <c r="FD171" s="1525" t="n">
        <f aca="false">IF(AX171,IF(VLOOKUP(C171,MAIN!$L$17:$M$28,2)="Yes",VLOOKUP(CALC!B171,MAIN!$H$17:$I$20,2),0),0)</f>
        <v>0</v>
      </c>
      <c r="FE171" s="1552" t="e">
        <f aca="false">$FD171*16*AT171*(1-$AY171)</f>
        <v>#VALUE!</v>
      </c>
      <c r="FF171" s="1553" t="e">
        <f aca="false">$FD171*16*AU171*(1-$AY171)</f>
        <v>#VALUE!</v>
      </c>
      <c r="FG171" s="1553" t="e">
        <f aca="false">$FD171*16*(AV171+AW171)*(1-$AY171)</f>
        <v>#VALUE!</v>
      </c>
      <c r="FH171" s="1554" t="n">
        <f aca="false">$FD171*8*AX171*(1-$AY171)</f>
        <v>0</v>
      </c>
      <c r="FI171" s="1555" t="n">
        <f aca="false">IF(AX171,VLOOKUP(CALC!B171,MAIN!$H$17:$K$20,4),0)</f>
        <v>0</v>
      </c>
      <c r="FJ171" s="1553" t="e">
        <f aca="false">SUM(FE171:FH171)</f>
        <v>#VALUE!</v>
      </c>
      <c r="FK171" s="1556" t="e">
        <f aca="false">FI171*FJ171</f>
        <v>#VALUE!</v>
      </c>
      <c r="FL171" s="1551" t="e">
        <f aca="false">IF($EI171&gt;0,MIN(FE171,AZ171*(1+VLOOKUP($C171,WeatherCapacityAdjustment,2))),0)</f>
        <v>#VALUE!</v>
      </c>
      <c r="FM171" s="1551" t="e">
        <f aca="false">IF($EI171&gt;0,MIN(FF171,BA171*(1+VLOOKUP($C171,WeatherCapacityAdjustment,2))),0)</f>
        <v>#VALUE!</v>
      </c>
      <c r="FN171" s="1551" t="e">
        <f aca="false">IF($EI171&gt;0,MIN(FG171,BB171*(1+VLOOKUP($C171,WeatherCapacityAdjustment,2))),0)</f>
        <v>#VALUE!</v>
      </c>
      <c r="FO171" s="1564" t="e">
        <f aca="false">IF($EI171&gt;0,MIN(FH171,BC171*(1+VLOOKUP($C171,WeatherCapacityAdjustment,3))),0)</f>
        <v>#VALUE!</v>
      </c>
      <c r="FP171" s="1551" t="e">
        <f aca="false">IF(ET171&gt;0,MIN(FE171-FL171,BH171*(1+VLOOKUP($C171,WeatherCapacityAdjustment,2))),0)</f>
        <v>#VALUE!</v>
      </c>
      <c r="FQ171" s="1551" t="e">
        <f aca="false">IF(EU171&gt;0,MIN(FF171-FM171,BI171*(1+VLOOKUP($C171,WeatherCapacityAdjustment,2))),0)</f>
        <v>#VALUE!</v>
      </c>
      <c r="FR171" s="1551" t="e">
        <f aca="false">IF(EV171&gt;0,MIN(FG171-FN171,BJ171*(1+VLOOKUP($C171,WeatherCapacityAdjustment,2))),0)</f>
        <v>#VALUE!</v>
      </c>
      <c r="FS171" s="1558" t="e">
        <f aca="false">IF(EW171&gt;0,MIN(FH171-FO171,BK171*(1+VLOOKUP($C171,WeatherCapacityAdjustment,3))),0)</f>
        <v>#VALUE!</v>
      </c>
      <c r="FT171" s="1566" t="e">
        <f aca="false">IF(AND(Assumptions!$H$71="Yes",A171&gt;=Assumptions!$H$72,A171&lt;=Assumptions!$H$73),0,IF(AND($A171&gt;=Assumptions!$C$17,$A171&lt;=Assumptions!$C$18),MAX(AZ171*(1+VLOOKUP($C171,WeatherCapacityAdjustment,2))-FL171,0),0))</f>
        <v>#VALUE!</v>
      </c>
      <c r="FU171" s="1551" t="e">
        <f aca="false">IF(AND(Assumptions!$H$71="Yes",A171&gt;=Assumptions!$H$72,A171&lt;=Assumptions!$H$73),0,IF(AND($A171&gt;=Assumptions!$C$17,$A171&lt;=Assumptions!$C$18),MAX(BA171*(1+VLOOKUP($C171,WeatherCapacityAdjustment,2))-FM171,0),0))</f>
        <v>#VALUE!</v>
      </c>
      <c r="FV171" s="1551" t="e">
        <f aca="false">IF(AND(Assumptions!$H$71="Yes",A171&gt;=Assumptions!$H$72,A171&lt;=Assumptions!$H$73),0,IF(AND($A171&gt;=Assumptions!$C$17,$A171&lt;=Assumptions!$C$18),MAX(BB171*(1+VLOOKUP($C171,WeatherCapacityAdjustment,2))-FN171,0),0))</f>
        <v>#VALUE!</v>
      </c>
      <c r="FW171" s="1564" t="e">
        <f aca="false">IF(AND(Assumptions!$H$71="Yes",A171&gt;=Assumptions!$H$72,A171&lt;=Assumptions!$H$73),0,IF(AND($A171&gt;=Assumptions!$C$17,$A171&lt;=Assumptions!$C$18),MAX(BC171*(1+VLOOKUP($C171,WeatherCapacityAdjustment,3))-FO171,0),0))</f>
        <v>#VALUE!</v>
      </c>
      <c r="FX171" s="1569" t="e">
        <f aca="false">IF(AND(Assumptions!$H$71="Yes",A171&gt;=Assumptions!$H$72,A171&lt;=Assumptions!$H$73),0,IF(ET171&gt;0,MAX(BH171*(1+VLOOKUP($C171,WeatherCapacityAdjustment,2))-FP171,0),0))</f>
        <v>#VALUE!</v>
      </c>
      <c r="FY171" s="1551" t="e">
        <f aca="false">IF(AND(Assumptions!$H$71="Yes",A171&gt;=Assumptions!$H$72,A171&lt;=Assumptions!$H$73),0,IF(EU171&gt;0,MAX(BI171*(1+VLOOKUP($C171,WeatherCapacityAdjustment,3))-FQ171,0),0))</f>
        <v>#VALUE!</v>
      </c>
      <c r="FZ171" s="1551" t="e">
        <f aca="false">IF(AND(Assumptions!$H$71="Yes",A171&gt;=Assumptions!$H$72,A171&lt;=Assumptions!$H$73),0,IF(EV171&gt;0,MAX(BJ171*(1+VLOOKUP($C171,WeatherCapacityAdjustment,2))-FR171,0),0))</f>
        <v>#VALUE!</v>
      </c>
      <c r="GA171" s="1564" t="e">
        <f aca="false">IF(AND(Assumptions!$H$71="Yes",A171&gt;=Assumptions!$H$72,A171&lt;=Assumptions!$H$73),0,IF(EW171&gt;0,MAX(BK171*(1+VLOOKUP($C171,WeatherCapacityAdjustment,2))-FS171,0),0))</f>
        <v>#VALUE!</v>
      </c>
      <c r="GB171" s="1551" t="e">
        <f aca="false">SUM(FT171:GA171)</f>
        <v>#VALUE!</v>
      </c>
      <c r="GC171" s="1563" t="e">
        <f aca="false">+IF(SUM(FT171:GA171)=0,0,(SUMPRODUCT(BU171:BX171,FT171:FW171)+SUMPRODUCT(CA171:CD171,FX171:GA171))/SUM(FT171:GA171))</f>
        <v>#VALUE!</v>
      </c>
      <c r="GD171" s="1551" t="e">
        <f aca="false">(FT171*BU171+FX171*CA171+FU171*BV171+FY171*CB171+FV171*BW171+FZ171*CC171+FW171*BX171+GA171*CD171)</f>
        <v>#VALUE!</v>
      </c>
      <c r="GE171" s="1561" t="e">
        <f aca="false">+IF(BQ171,((FL171+FM171+FT171+FU171)*HeatRatePeak/1000*(1+VLOOKUP($C171,WeatherHeatRateAdjustment,2))+(FN171+FV171)*IF(EV171&gt;0,HeatRatePeak,HeatRateOffPeak)/1000*(1+VLOOKUP($C171,WeatherHeatRateAdjustment,2))+(FO171+FW171)*IF(EW171&gt;0,HeatRatePeak,HeatRateOffPeak)/1000*(1+VLOOKUP($C171,WeatherHeatRateAdjustment,3)))*(1+VLOOKUP($B171,HeatRateDegradation,$C171+1)),0)</f>
        <v>#VALUE!</v>
      </c>
      <c r="GF171" s="1562" t="e">
        <f aca="false">IF(BQ171,((FP171+FQ171+FR171+FX171+FY171+FZ171)*HeatRatePeak/1000*(1+VLOOKUP($C171,WeatherHeatRateAdjustment,2))+(FS171+GA171)*HeatRatePeak/1000*(1+VLOOKUP($C171,WeatherHeatRateAdjustment,3)))*(1+VLOOKUP($B171,HeatRateDegradation,$C171+1)),0)</f>
        <v>#VALUE!</v>
      </c>
      <c r="GG171" s="1563" t="e">
        <f aca="false">IF(BQ171,VLOOKUP(A171,GasTable,13),0)</f>
        <v>#VALUE!</v>
      </c>
      <c r="GH171" s="1564" t="e">
        <f aca="false">(GE171+GF171)*GG171</f>
        <v>#VALUE!</v>
      </c>
      <c r="GI171" s="1569" t="e">
        <f aca="false">GB171</f>
        <v>#VALUE!</v>
      </c>
      <c r="GJ171" s="1598" t="e">
        <f aca="false">+DA171</f>
        <v>#VALUE!</v>
      </c>
      <c r="GK171" s="1558" t="e">
        <f aca="false">+GI171*GJ171</f>
        <v>#VALUE!</v>
      </c>
      <c r="GL171" s="1566" t="e">
        <f aca="false">MAX(FE171-FL171-FP171,0)</f>
        <v>#VALUE!</v>
      </c>
      <c r="GM171" s="1551" t="e">
        <f aca="false">MAX(FF171-FM171-FQ171,0)</f>
        <v>#VALUE!</v>
      </c>
      <c r="GN171" s="1551" t="e">
        <f aca="false">MAX(FG171-FN171-FR171,0)</f>
        <v>#VALUE!</v>
      </c>
      <c r="GO171" s="1564" t="e">
        <f aca="false">MAX(FH171-FO171-FS171,0)</f>
        <v>#VALUE!</v>
      </c>
      <c r="GP171" s="1551" t="e">
        <f aca="false">SUM(GL171:GO171)</f>
        <v>#VALUE!</v>
      </c>
      <c r="GQ171" s="1563" t="e">
        <f aca="false">IF(SUM(GL171:GO171)=0,0,((GL171*BU171+GM171*BV171+GN171*BW171+GO171*BX171)/SUM(GL171:GO171)))</f>
        <v>#VALUE!</v>
      </c>
      <c r="GR171" s="1558" t="e">
        <f aca="false">(GL171*BU171+GM171*BV171+GN171*BW171+GO171*BX171)</f>
        <v>#VALUE!</v>
      </c>
      <c r="GS171" s="1566" t="n">
        <f aca="false">IF($A171&gt;=BegDate,Assumptions!$C$56*24*($A172-$A171)*(1-VLOOKUP($B171,MAIN!$AA$7:$AM$28,$C171+1))*(1-VLOOKUP($B171,MAIN!$AA$33:$AM$54,$C171+1)),0)*80/168</f>
        <v>257742.857142857</v>
      </c>
      <c r="GT171" s="286" t="n">
        <f aca="false">J171</f>
        <v>42.4196899045148</v>
      </c>
      <c r="GU171" s="286" t="n">
        <f aca="false">IF($A171&gt;=BegDate,VLOOKUP($A171,GasTable,13)+Assumptions!$C$58,0)</f>
        <v>3.04924897230204</v>
      </c>
      <c r="GV171" s="286" t="n">
        <f aca="false">GU171*Assumptions!$C$57/1000</f>
        <v>22.1070550491898</v>
      </c>
      <c r="GW171" s="1558" t="n">
        <f aca="false">IF(Assumptions!$C$60="Hourly",MAX(0,GS171*(GT171-GV171)),GS171*(GT171-GV171))</f>
        <v>5235436.54371105</v>
      </c>
      <c r="GX171" s="1566" t="n">
        <f aca="false">IF($A171&gt;=BegDate,Assumptions!$C$56*24*($A172-$A171)*(1-VLOOKUP($B171,MAIN!$AA$7:$AM$28,$C171+1))*(1-VLOOKUP($B171,MAIN!$AA$33:$AM$54,$C171+1)),0)*16/168</f>
        <v>51548.5714285714</v>
      </c>
      <c r="GY171" s="286" t="n">
        <f aca="false">M171</f>
        <v>42.4196899045148</v>
      </c>
      <c r="GZ171" s="286" t="n">
        <f aca="false">IF($A171&gt;=BegDate,VLOOKUP($A171,GasTable,13)+Assumptions!$C$58,0)</f>
        <v>3.04924897230204</v>
      </c>
      <c r="HA171" s="286" t="n">
        <f aca="false">GZ171*Assumptions!$C$57/1000</f>
        <v>22.1070550491898</v>
      </c>
      <c r="HB171" s="1558" t="n">
        <f aca="false">IF(Assumptions!$C$60="Hourly",MAX(0,GX171*(GY171-HA171)),GX171*(GY171-HA171))</f>
        <v>1047087.30874221</v>
      </c>
      <c r="HC171" s="1566" t="n">
        <f aca="false">IF($A171&gt;=BegDate,Assumptions!$C$56*24*($A172-$A171)*(1-VLOOKUP($B171,MAIN!$AA$7:$AM$28,$C171+1))*(1-VLOOKUP($B171,MAIN!$AA$33:$AM$54,$C171+1)),0)*16/168</f>
        <v>51548.5714285714</v>
      </c>
      <c r="HD171" s="286" t="n">
        <f aca="false">P171</f>
        <v>25.5850812977782</v>
      </c>
      <c r="HE171" s="286" t="n">
        <f aca="false">IF($A171&gt;=BegDate,VLOOKUP($A171,GasTable,13)+Assumptions!$C$58,0)</f>
        <v>3.04924897230204</v>
      </c>
      <c r="HF171" s="286" t="n">
        <f aca="false">HE171*Assumptions!$C$57/1000</f>
        <v>22.1070550491898</v>
      </c>
      <c r="HG171" s="1558" t="n">
        <f aca="false">IF(Assumptions!$C$60="Hourly",MAX(0,HC171*(HD171-HF171)),HC171*(HD171-HF171))</f>
        <v>179287.284505807</v>
      </c>
      <c r="HH171" s="1566" t="n">
        <f aca="false">IF($A171&gt;=BegDate,Assumptions!$C$56*24*($A172-$A171)*(1-VLOOKUP($B171,MAIN!$AA$7:$AM$28,$C171+1))*(1-VLOOKUP($B171,MAIN!$AA$33:$AM$54,$C171+1)),0)*56/168</f>
        <v>180420</v>
      </c>
      <c r="HI171" s="286" t="n">
        <f aca="false">S171</f>
        <v>25.5850812977782</v>
      </c>
      <c r="HJ171" s="286" t="n">
        <f aca="false">IF($A171&gt;=BegDate,VLOOKUP($A171,GasTable,13)+Assumptions!$C$58,0)</f>
        <v>3.04924897230204</v>
      </c>
      <c r="HK171" s="286" t="n">
        <f aca="false">HJ171*Assumptions!$C$57/1000</f>
        <v>22.1070550491898</v>
      </c>
      <c r="HL171" s="1558" t="n">
        <f aca="false">IF(Assumptions!$C$60="Hourly",MAX(0,HH171*(HI171-HK171)),HH171*(HI171-HK171))</f>
        <v>627505.495770324</v>
      </c>
      <c r="HM171" s="1566" t="n">
        <f aca="false">IF(AND(Assumptions!$H$71="Yes",A171&gt;=Assumptions!$H$72,A171&lt;=Assumptions!$H$73),Assumptions!$H$74*Assumptions!$C$9*1000,0)</f>
        <v>0</v>
      </c>
      <c r="HN171" s="1551"/>
      <c r="HO171" s="1563"/>
      <c r="HP171" s="1563"/>
      <c r="HQ171" s="1563"/>
      <c r="HR171" s="1563"/>
      <c r="HS171" s="1563"/>
      <c r="HT171" s="1563"/>
      <c r="HU171" s="1563"/>
      <c r="HV171" s="1563"/>
      <c r="HW171" s="1563"/>
      <c r="HX171" s="1563"/>
      <c r="HY171" s="1563"/>
      <c r="HZ171" s="1563"/>
      <c r="IA171" s="1563"/>
      <c r="IB171" s="1563"/>
      <c r="IC171" s="1563"/>
      <c r="ID171" s="1563"/>
      <c r="IE171" s="1563"/>
      <c r="IF171" s="1563"/>
      <c r="IG171" s="1563"/>
      <c r="IH171" s="1563"/>
      <c r="II171" s="1610"/>
      <c r="IJ171" s="1309"/>
      <c r="IK171" s="1309"/>
    </row>
    <row r="172" customFormat="false" ht="12.75" hidden="false" customHeight="false" outlineLevel="0" collapsed="false">
      <c r="A172" s="1571" t="n">
        <f aca="false">EOMONTH(A171,0)+1</f>
        <v>41365</v>
      </c>
      <c r="B172" s="594" t="n">
        <f aca="false">+YEAR(A172)</f>
        <v>2013</v>
      </c>
      <c r="C172" s="238" t="n">
        <f aca="false">MONTH(A172)</f>
        <v>4</v>
      </c>
      <c r="D172" s="1572" t="e">
        <f aca="false">IF(E172="","",Holiday(B172,C172))</f>
        <v>#VALUE!</v>
      </c>
      <c r="E172" s="1573" t="n">
        <f aca="false">IF(OR(BegDate&gt;=A173,EndDate&lt;A172,AND(VolumeMonthlyOverFlag,INDEX(VolumeMonthlyOver,C172)=0),NOT(INDEX(MonthKnockOutTable,C172))),"",MAX(A172,BegDate))</f>
        <v>41365</v>
      </c>
      <c r="F172" s="1574" t="n">
        <f aca="false">IF(E172="","",MIN(A173-1,EndDate))</f>
        <v>41394</v>
      </c>
      <c r="G172" s="1575" t="n">
        <v>0</v>
      </c>
      <c r="H172" s="1576" t="n">
        <f aca="false">(1+G172/2)^(-2*(DATE(B173,C173,20)-DateToday)/365.25)</f>
        <v>1</v>
      </c>
      <c r="I172" s="1568" t="n">
        <f aca="false">IF(Assumptions!$L$25=4,VLOOKUP($A172,'Henwood Reference'!$E$9:$R$320,10),(VLOOKUP($A172,PriceTable,2,0)+IF(BasisNumber&lt;&gt;1,VLOOKUP($A172,BasisTable,2,0),0)+I$1)/(1-I$2))</f>
        <v>39.6535708466155</v>
      </c>
      <c r="J172" s="1568" t="n">
        <f aca="false">IF(Assumptions!$L$25=4,VLOOKUP($A172,'Henwood Reference'!$E$9:$R$320,10),(VLOOKUP($A172,PriceTable,3,0)+IF(BasisNumber&lt;&gt;1,VLOOKUP($A172,BasisTable,2,0),0)+J$1)/(1-J$2))</f>
        <v>39.6535708466155</v>
      </c>
      <c r="K172" s="1568" t="n">
        <f aca="false">IF(Assumptions!$L$25=4,VLOOKUP($A172,'Henwood Reference'!$E$9:$R$320,10),(VLOOKUP($A172,PriceTable,4,0)+IF(BasisNumber&lt;&gt;1,VLOOKUP($A172,BasisTable,2,0),0)+K$1)/(1-K$2))</f>
        <v>39.6535708466155</v>
      </c>
      <c r="L172" s="1523" t="n">
        <f aca="false">IF(Assumptions!$L$25=4,VLOOKUP($A172,'Henwood Reference'!$E$9:$R$320,10),(VLOOKUP($A172,PriceTableWeekend,2,0)+IF(BasisNumber&lt;&gt;1,VLOOKUP($A172,BasisTable,2,0),0)+L$1)/(1-L$2))</f>
        <v>39.6535708466155</v>
      </c>
      <c r="M172" s="1568" t="n">
        <f aca="false">IF(Assumptions!$L$25=4,VLOOKUP($A172,'Henwood Reference'!$E$9:$R$320,10),(VLOOKUP($A172,PriceTableWeekend,3,0)+IF(BasisNumber&lt;&gt;1,VLOOKUP($A172,BasisTable,2,0),0)+M$1)/(1-M$2))</f>
        <v>39.6535708466155</v>
      </c>
      <c r="N172" s="1599" t="n">
        <f aca="false">IF(Assumptions!$L$25=4,VLOOKUP($A172,'Henwood Reference'!$E$9:$R$320,10),(VLOOKUP($A172,PriceTableWeekend,4,0)+IF(BasisNumber&lt;&gt;1,VLOOKUP($A172,BasisTable,2,0),0)+N$1)/(1-N$2))</f>
        <v>39.6535708466155</v>
      </c>
      <c r="O172" s="1568" t="n">
        <f aca="false">IF(Assumptions!$L$25=4,VLOOKUP($A172,'Henwood Reference'!$E$9:$R$320,11),(VLOOKUP($A172,PriceTableWeekend,6,0)+IF(BasisNumber&lt;&gt;1,VLOOKUP($A172,BasisTable,3,0),0)+O$1)/(1-O$2))</f>
        <v>25.9763973034905</v>
      </c>
      <c r="P172" s="1568" t="n">
        <f aca="false">IF(Assumptions!$L$25=4,VLOOKUP($A172,'Henwood Reference'!$E$9:$R$320,11),(VLOOKUP($A172,PriceTableWeekend,7,0)+IF(BasisNumber&lt;&gt;1,VLOOKUP($A172,BasisTable,3,0),0)+P$1)/(1-P$2))</f>
        <v>25.9763973034905</v>
      </c>
      <c r="Q172" s="1599" t="n">
        <f aca="false">IF(Assumptions!$L$25=4,VLOOKUP($A172,'Henwood Reference'!$E$9:$R$320,11),(VLOOKUP($A172,PriceTableWeekend,8,0)+IF(BasisNumber&lt;&gt;1,VLOOKUP($A172,BasisTable,3,0),0)+Q$1)/(1-Q$2))</f>
        <v>25.9763973034905</v>
      </c>
      <c r="R172" s="1568" t="n">
        <f aca="false">IF(Assumptions!$L$25=4,VLOOKUP($A172,'Henwood Reference'!$E$9:$R$320,11),(VLOOKUP($A172,PriceTable,6,0)+IF(BasisNumber&lt;&gt;1,VLOOKUP($A172,BasisTable,3,0),0)+R$1)/(1-R$2))</f>
        <v>25.9763973034905</v>
      </c>
      <c r="S172" s="1568" t="n">
        <f aca="false">IF(Assumptions!$L$25=4,VLOOKUP($A172,'Henwood Reference'!$E$9:$R$320,11),(VLOOKUP($A172,PriceTable,7,0)+IF(BasisNumber&lt;&gt;1,VLOOKUP($A172,BasisTable,3,0),0)+S$1)/(1-S$2))</f>
        <v>25.9763973034905</v>
      </c>
      <c r="T172" s="1600" t="n">
        <f aca="false">IF(Assumptions!$L$25=4,VLOOKUP($A172,'Henwood Reference'!$E$9:$R$320,11),(VLOOKUP($A172,PriceTable,8,0)+IF(BasisNumber&lt;&gt;1,VLOOKUP($A172,BasisTable,3,0),0)+T$1)/(1-T$2))</f>
        <v>25.9763973034905</v>
      </c>
      <c r="U172" s="1513" t="n">
        <f aca="false">VLOOKUP($A172,VolatilityTable,14)</f>
        <v>0.105</v>
      </c>
      <c r="V172" s="1513" t="n">
        <f aca="false">VLOOKUP($A172,VolatilityTable,15)</f>
        <v>0.115</v>
      </c>
      <c r="W172" s="1514" t="n">
        <f aca="false">VLOOKUP($A172,VolatilityTable,16)</f>
        <v>0.125</v>
      </c>
      <c r="X172" s="1513" t="n">
        <f aca="false">VLOOKUP($A172,VolatilityTable,14)</f>
        <v>0.105</v>
      </c>
      <c r="Y172" s="1513" t="n">
        <f aca="false">VLOOKUP($A172,VolatilityTable,15)</f>
        <v>0.115</v>
      </c>
      <c r="Z172" s="1514" t="n">
        <f aca="false">VLOOKUP($A172,VolatilityTable,16)</f>
        <v>0.125</v>
      </c>
      <c r="AA172" s="1513" t="n">
        <f aca="false">VLOOKUP($A172,VolatilityTable,18)</f>
        <v>0.09</v>
      </c>
      <c r="AB172" s="1513" t="n">
        <f aca="false">VLOOKUP($A172,VolatilityTable,19)</f>
        <v>0.11</v>
      </c>
      <c r="AC172" s="1514" t="n">
        <f aca="false">VLOOKUP($A172,VolatilityTable,20)</f>
        <v>0.13</v>
      </c>
      <c r="AD172" s="1513" t="n">
        <f aca="false">VLOOKUP($A172,VolatilityTable,18)</f>
        <v>0.09</v>
      </c>
      <c r="AE172" s="1513" t="n">
        <f aca="false">VLOOKUP($A172,VolatilityTable,19)</f>
        <v>0.11</v>
      </c>
      <c r="AF172" s="1514" t="n">
        <f aca="false">VLOOKUP($A172,VolatilityTable,20)</f>
        <v>0.13</v>
      </c>
      <c r="AG172" s="1513" t="n">
        <f aca="false">VLOOKUP($A172,VolatilityTable,22)</f>
        <v>-0.1</v>
      </c>
      <c r="AH172" s="1513" t="n">
        <f aca="false">VLOOKUP($A172,VolatilityTable,23)</f>
        <v>0.65</v>
      </c>
      <c r="AI172" s="1514" t="n">
        <f aca="false">VLOOKUP($A172,VolatilityTable,24)</f>
        <v>0.1</v>
      </c>
      <c r="AJ172" s="1513" t="n">
        <f aca="false">VLOOKUP($A172,VolatilityTable,22)</f>
        <v>-0.1</v>
      </c>
      <c r="AK172" s="1513" t="n">
        <f aca="false">VLOOKUP($A172,VolatilityTable,23)</f>
        <v>0.65</v>
      </c>
      <c r="AL172" s="1514" t="n">
        <f aca="false">VLOOKUP($A172,VolatilityTable,24)</f>
        <v>0.1</v>
      </c>
      <c r="AM172" s="1513" t="n">
        <f aca="false">VLOOKUP($A172,VolatilityTable,26)</f>
        <v>-0.01</v>
      </c>
      <c r="AN172" s="1513" t="n">
        <f aca="false">VLOOKUP($A172,VolatilityTable,27)</f>
        <v>0.16</v>
      </c>
      <c r="AO172" s="1514" t="n">
        <f aca="false">VLOOKUP($A172,VolatilityTable,28)</f>
        <v>0.01</v>
      </c>
      <c r="AP172" s="1513" t="n">
        <f aca="false">VLOOKUP($A172,VolatilityTable,26)</f>
        <v>-0.01</v>
      </c>
      <c r="AQ172" s="1513" t="n">
        <f aca="false">VLOOKUP($A172,VolatilityTable,27)</f>
        <v>0.16</v>
      </c>
      <c r="AR172" s="1515" t="n">
        <f aca="false">VLOOKUP($A172,VolatilityTable,28)</f>
        <v>0.01</v>
      </c>
      <c r="AS172" s="1581" t="n">
        <f aca="false">IF(CorrPeakOffPeakOverFlag,INDEX(CorrPeakOffPeakOver,C172),CorrPeakOffPeak)</f>
        <v>0.5</v>
      </c>
      <c r="AT172" s="594" t="e">
        <f aca="false">AX172-SUM(AU172:AW172)</f>
        <v>#VALUE!</v>
      </c>
      <c r="AU172" s="238" t="e">
        <f aca="false">IF(E172="",0,INT((F172-MOD(F172,7)-E172)/7)+1-IF(AW172,IF(WEEKDAY(D172)=7,1,0),0))</f>
        <v>#VALUE!</v>
      </c>
      <c r="AV172" s="238" t="e">
        <f aca="false">IF(E172="",0,INT((F172-MOD(F172-1,7)-E172)/7)+1-IF(AW172,IF(WEEKDAY(D172)=1,1,0),0))</f>
        <v>#VALUE!</v>
      </c>
      <c r="AW172" s="238" t="e">
        <f aca="false">IF(OR(E172="",D172="",D172&lt;BegDate,D172&gt;EndDate),0,1)</f>
        <v>#VALUE!</v>
      </c>
      <c r="AX172" s="238" t="n">
        <f aca="false">IF(E172="",0,F172-E172+1)</f>
        <v>30</v>
      </c>
      <c r="AY172" s="1582" t="n">
        <f aca="false">IF(E172="",0,MIN((1-(1-VLOOKUP(B172,MAIN!$AA$7:$AM$28,C172+1))*(1-VLOOKUP(B172,MAIN!$AA$33:$AM$54,C172+1))),1))</f>
        <v>0.127</v>
      </c>
      <c r="AZ172" s="1519" t="e">
        <v>#VALUE!</v>
      </c>
      <c r="BA172" s="1520" t="e">
        <v>#VALUE!</v>
      </c>
      <c r="BB172" s="1520" t="e">
        <v>#VALUE!</v>
      </c>
      <c r="BC172" s="1583" t="e">
        <v>#VALUE!</v>
      </c>
      <c r="BD172" s="1522" t="e">
        <v>#VALUE!</v>
      </c>
      <c r="BE172" s="1523" t="e">
        <v>#VALUE!</v>
      </c>
      <c r="BF172" s="1523" t="e">
        <v>#VALUE!</v>
      </c>
      <c r="BG172" s="1584" t="e">
        <v>#VALUE!</v>
      </c>
      <c r="BH172" s="1525" t="e">
        <v>#VALUE!</v>
      </c>
      <c r="BI172" s="1520" t="e">
        <v>#VALUE!</v>
      </c>
      <c r="BJ172" s="1520" t="e">
        <v>#VALUE!</v>
      </c>
      <c r="BK172" s="1583" t="e">
        <v>#VALUE!</v>
      </c>
      <c r="BL172" s="1522" t="e">
        <v>#VALUE!</v>
      </c>
      <c r="BM172" s="1523" t="e">
        <v>#VALUE!</v>
      </c>
      <c r="BN172" s="1523" t="e">
        <v>#VALUE!</v>
      </c>
      <c r="BO172" s="1523" t="e">
        <v>#VALUE!</v>
      </c>
      <c r="BP172" s="1525" t="e">
        <f aca="false">SUM(AZ172:BB172)</f>
        <v>#VALUE!</v>
      </c>
      <c r="BQ172" s="1529" t="e">
        <f aca="false">SUM(AZ172:BC172)</f>
        <v>#VALUE!</v>
      </c>
      <c r="BR172" s="1519" t="e">
        <f aca="false">SUM(BH172:BJ172)</f>
        <v>#VALUE!</v>
      </c>
      <c r="BS172" s="1529" t="e">
        <f aca="false">SUM(BH172:BK172)</f>
        <v>#VALUE!</v>
      </c>
      <c r="BT172" s="1316" t="n">
        <f aca="false">(IF(OVolType&lt;&gt;2,A172+14,IF(OptExpDateShift,ShiftBack(A172,OptExpDateShift,D171),A172))-DateToday)/365.25</f>
        <v>12.9637234770705</v>
      </c>
      <c r="BU172" s="1585" t="e">
        <f aca="false">IF(BQ172,IF(OPriceCurve,IF(OBuySell=OCallPut,I172/(1-AY172),K172/(1-AY172)),J172/(1-AY172))*BD172,0)</f>
        <v>#VALUE!</v>
      </c>
      <c r="BV172" s="1316" t="e">
        <f aca="false">IF(BQ172,IF(OPriceCurve,IF(OBuySell=OCallPut,L172/(1-AY172),N172/(1-AY172)),M172/(1-AY172))*BE172,0)</f>
        <v>#VALUE!</v>
      </c>
      <c r="BW172" s="1316" t="e">
        <f aca="false">IF(BQ172,IF(OPriceCurve,IF(OBuySell=OCallPut,O172/(1-AY172),Q172/(1-AY172)),P172/(1-AY172))*BF172,0)</f>
        <v>#VALUE!</v>
      </c>
      <c r="BX172" s="1316" t="e">
        <f aca="false">IF(BQ172,IF(OPriceCurve,IF(OBuySell=OCallPut,R172/(1-AY172),T172/(1-AY172)),S172/(1-AY172))*BG172,0)</f>
        <v>#VALUE!</v>
      </c>
      <c r="BY172" s="1316" t="e">
        <f aca="false">IF(BP172,(BU172*AZ172+BV172*BA172+BW172*BB172)/BP172,0)</f>
        <v>#VALUE!</v>
      </c>
      <c r="BZ172" s="1316" t="e">
        <f aca="false">IF(BQ172,(BY172*BP172+BX172*BC172)/BQ172,0)</f>
        <v>#VALUE!</v>
      </c>
      <c r="CA172" s="1531" t="e">
        <f aca="false">IF(BS172,IF(OPriceCurve,IF(OBuySell=OCallPut,I172/(1-AY172),K172/(1-AY172)),J172/(1-AY172))*BL172,0)</f>
        <v>#VALUE!</v>
      </c>
      <c r="CB172" s="1316" t="e">
        <f aca="false">IF(BS172,IF(OPriceCurve,IF(OBuySell=OCallPut,L172/(1-AY172),N172/(1-AY172)),M172/(1-AY172))*BM172,0)</f>
        <v>#VALUE!</v>
      </c>
      <c r="CC172" s="1316" t="e">
        <f aca="false">IF(BS172,IF(OPriceCurve,IF(OBuySell=OCallPut,O172/(1-AY172),Q172/(1-AY172)),P172/(1-AY172))*BN172,0)</f>
        <v>#VALUE!</v>
      </c>
      <c r="CD172" s="1316" t="e">
        <f aca="false">IF(BS172,IF(OPriceCurve,IF(OBuySell=OCallPut,R172/(1-AY172),T172/(1-AY172)),S172/(1-AY172))*BO172,0)</f>
        <v>#VALUE!</v>
      </c>
      <c r="CE172" s="1316" t="e">
        <f aca="false">IF(BR172,(BU172*BH172+BV172*BI172+BW172*BJ172)/BR172,0)</f>
        <v>#VALUE!</v>
      </c>
      <c r="CF172" s="1532" t="e">
        <f aca="false">IF(BS172,(CE172*BR172+CD172*BK172)/BS172,0)</f>
        <v>#VALUE!</v>
      </c>
      <c r="CG172" s="1586" t="e">
        <f aca="false">IF(OR(BQ172,BS172),IF(OVolType&lt;&gt;2,SQRT(IF(OVolOverMonthlyPeak,OVolOverMonthlyPeak,IF(OVolCurve,IF(OBuySell,U172,W172),V172))^2*(1-15/365.25/BT172)+IF(OVolOverDailyPeak,OVolOverDailyPeak,IF(OVolCurve,IF(OBuySell,AG172,AI172),AH172))^2*15/365.25/BT172),IF(OVolOverMonthlyPeak,OVolOverMonthlyPeak,IF(OVolCurve,IF(OBuySell,U172,W172),V172))),"")</f>
        <v>#VALUE!</v>
      </c>
      <c r="CH172" s="1587" t="e">
        <f aca="false">IF(OR(BQ172,BS172),IF(OVolType&lt;&gt;2,SQRT(IF(OVolOverMonthlyPeak,OVolOverMonthlyPeak,IF(OVolCurve,IF(OBuySell,X172,Z172),Y172))^2*(1-15/365.25/BT172)+IF(OVolOverDailyPeak,OVolOverDailyPeak,IF(OVolCurve,IF(OBuySell,AJ172,AL172),AK172))^2*15/365.25/BT172),IF(OVolOverMonthlyPeak,OVolOverMonthlyPeak,IF(OVolCurve,IF(OBuySell,X172,Z172),Y172))),"")</f>
        <v>#VALUE!</v>
      </c>
      <c r="CI172" s="1587" t="e">
        <f aca="false">IF(OR(BQ172,BS172),IF(OVolType&lt;&gt;2,SQRT(IF(OVolOverMonthlyPeak,OVolOverMonthlyPeak,IF(OVolCurve,IF(OBuySell,AA172,AC172),AB172))^2*(1-15/365.25/BT172)+IF(OVolOverDailyPeak,OVolOverDailyPeak,IF(OVolCurve,IF(OBuySell,AM172,AO172),AN172))^2*15/365.25/BT172),IF(OVolOverMonthlyPeak,OVolOverMonthlyPeak,IF(OVolCurve,IF(OBuySell,AA172,AC172),AB172))),"")</f>
        <v>#VALUE!</v>
      </c>
      <c r="CJ172" s="1587" t="e">
        <f aca="false">IF(BQ172,IF(BP172,SQRT(LN(1+((BU172*AZ172)^2*(EXP(CG172^2*BT172)-1)+(BV172*BA172)^2*(EXP(CH172^2*BT172)-1)+(BW172*BB172)^2*(EXP(CI172^2*BT172)-1)+2*BU172*AZ172*BV172*BA172*(EXP(CG172*CH172*BT172)-1)+2*BV172*BA172*BW172*BB172*(EXP(CH172*CI172*BT172)-1)+2*BW172*BB172*BU172*AZ172*(EXP(CI172*CG172*BT172)-1))/(BY172*BP172)^2)/BT172),0),"")</f>
        <v>#VALUE!</v>
      </c>
      <c r="CK172" s="1587" t="e">
        <f aca="false">IF(BS172,IF(BR172,SQRT(LN(1+((CA172*BH172)^2*(EXP(CG172^2*BT172)-1)+(CB172*BI172)^2*(EXP(CH172^2*BT172)-1)+(CC172*BJ172)^2*(EXP(CI172^2*BT172)-1)+2*CA172*BH172*CB172*BI172*(EXP(CG172*CH172*BT172)-1)+2*CB172*BI172*CC172*BJ172*(EXP(CH172*CI172*BT172)-1)+2*CC172*BJ172*CA172*BH172*(EXP(CI172*CG172*BT172)-1))/(CE172*BR172)^2)/BT172),0),"")</f>
        <v>#VALUE!</v>
      </c>
      <c r="CL172" s="1587" t="e">
        <f aca="false">IF(OR(BQ172,BS172),IF(OVolType&lt;&gt;2,SQRT(IF(OVolOverMonthlyOffPeak,OVolOverMonthlyOffPeak,IF(OVolCurve,IF(OBuySell,AD172,AF172),AE172))^2*(1-15/365.25/BT172)+IF(OVolOverDailyOffPeak,OVolOverDailyOffPeak,IF(OVolCurve,IF(OBuySell,AP172,AR172),AQ172))^2*15/365.25/BT172),IF(OVolOverMonthlyOffPeak,OVolOverMonthlyOffPeak,IF(OVolCurve,IF(OBuySell,AD172,AF172),AE172))),"")</f>
        <v>#VALUE!</v>
      </c>
      <c r="CM172" s="1587" t="e">
        <f aca="false">IF(BQ172,SQRT(LN(1+((BY172*BP172)^2*(EXP(CJ172^2*BT172)-1)+(BX172*BC172)^2*(EXP(CL172^2*BT172)-1)+2*BY172*BP172*BX172*BC172*(EXP(AS172*CJ172*CL172*BT172)-1))/(BY172*BP172+BX172*BC172)^2)/BT172),"")</f>
        <v>#VALUE!</v>
      </c>
      <c r="CN172" s="1588" t="e">
        <f aca="false">IF(BS172,SQRT(LN(1+((CE172*BR172)^2*(EXP(CK172^2*BT172)-1)+(CD172*BK172)^2*(EXP(CL172^2*BT172)-1)+2*CE172*BR172*CD172*BK172*(EXP(AS172*CK172*CL172*BT172)-1))/(CE172*BR172+CD172*BK172)^2)/BT172),"")</f>
        <v>#VALUE!</v>
      </c>
      <c r="CO172" s="1531" t="e">
        <f aca="false">IF(OR(BQ172,BS172),VLOOKUP(A172,GasTable,13)*HeatRatePeak*(1+VLOOKUP($B172,HeatRateDegradation,$C172+1))/1000,0)</f>
        <v>#VALUE!</v>
      </c>
      <c r="CP172" s="1316" t="e">
        <f aca="false">IF(OR(BQ172,BS172),VLOOKUP(A172,GasTable,13)*HeatRatePeak*(1+VLOOKUP($B172,HeatRateDegradation,$C172+1))/1000,0)</f>
        <v>#VALUE!</v>
      </c>
      <c r="CQ172" s="1316" t="e">
        <f aca="false">IF(OR(BQ172,BS172),VLOOKUP(A172,GasTable,13)*IF(EV172,HeatRatePeak,HeatRateOffPeak)*(1+VLOOKUP($B172,HeatRateDegradation,$C172+1))/1000,0)</f>
        <v>#VALUE!</v>
      </c>
      <c r="CR172" s="1316" t="e">
        <f aca="false">IF(OR(BQ172,BS172),VLOOKUP(A172,GasTable,13)*IF(EW172,HeatRatePeak,HeatRateOffPeak)*(1+VLOOKUP($B172,HeatRateDegradation,$C172+1))/1000,0)</f>
        <v>#VALUE!</v>
      </c>
      <c r="CS172" s="1589" t="e">
        <f aca="false">IF(BQ172,(CO172*AZ172+CP172*BA172+CQ172*BB172+CR172*BC172)/BQ172,0)</f>
        <v>#VALUE!</v>
      </c>
      <c r="CT172" s="1316" t="e">
        <f aca="false">IF(BS172,CO172,0)</f>
        <v>#VALUE!</v>
      </c>
      <c r="CU172" s="1590" t="e">
        <f aca="false">IF(OR(BQ172,BS172),VLOOKUP(A172,GasTable,14),"")</f>
        <v>#VALUE!</v>
      </c>
      <c r="CV172" s="1568" t="e">
        <f aca="false">IF(OR(BQ172,BS172),IF(CorrPowerGasOverFlag,INDEX(CorrPowerGasOver,C172),CorrPowerGas),"")</f>
        <v>#VALUE!</v>
      </c>
      <c r="CW172" s="1316" t="e">
        <f aca="false">IF(OR($BQ172,$BS172),SpreadOptPowerMargin,0)*((1+Assumptions!$C$26)^($B172-YEAR(Assumptions!$C$17)))</f>
        <v>#VALUE!</v>
      </c>
      <c r="CX172" s="1316" t="e">
        <f aca="false">IF(OR($BQ172,$BS172),SpreadOptPowerMargin,0)*((1+Assumptions!$C$26)^($B172-YEAR(Assumptions!$C$17)))</f>
        <v>#VALUE!</v>
      </c>
      <c r="CY172" s="1316" t="e">
        <f aca="false">IF(OR($BQ172,$BS172),SpreadOptPowerMargin,0)*((1+Assumptions!$C$26)^($B172-YEAR(Assumptions!$C$17)))</f>
        <v>#VALUE!</v>
      </c>
      <c r="CZ172" s="1316" t="e">
        <f aca="false">IF(OR($BQ172,$BS172),SpreadOptPowerMargin,0)*((1+Assumptions!$C$26)^($B172-YEAR(Assumptions!$C$17)))</f>
        <v>#VALUE!</v>
      </c>
      <c r="DA172" s="1591" t="e">
        <f aca="false">IF(OR(BQ172,BS172),(CW172*(AZ172+BH172)+CX172*(BA172+BI172)+CY172*(BB172+BJ172)+CZ172*(BC172+BK172))/(BQ172+BS172),0)</f>
        <v>#VALUE!</v>
      </c>
      <c r="DB172" s="1592" t="e">
        <f aca="false">IF(OR(BQ172,BS172),CG172+IF(OVolSmile,VLOOKUP(MAX(-5,CO172+CW172-BU172),IF(OVolSmile=1,VolSmileBook,VolSmileModel),2),0),"")</f>
        <v>#VALUE!</v>
      </c>
      <c r="DC172" s="1592" t="e">
        <f aca="false">IF(OR(BQ172,BS172),CH172+IF(OVolSmile,VLOOKUP(MAX(-5,CP172+CW172-BV172),IF(OVolSmile=1,VolSmileBook,VolSmileModel),2),0),"")</f>
        <v>#VALUE!</v>
      </c>
      <c r="DD172" s="1592" t="e">
        <f aca="false">IF(OR(BQ172,BS172),CI172+IF(OVolSmile,VLOOKUP(MAX(-5,CQ172+CW172-BW172),IF(OVolSmile=1,VolSmileBook,VolSmileModel),2),0),"")</f>
        <v>#VALUE!</v>
      </c>
      <c r="DE172" s="1592" t="e">
        <f aca="false">IF(OR(BQ172,BS172),CL172+IF(OVolSmile,VLOOKUP(MAX(-5,CR172+CZ172-BX172),IF(OVolSmile=1,VolSmileBook,VolSmileModel),2),0),"")</f>
        <v>#VALUE!</v>
      </c>
      <c r="DF172" s="1592" t="e">
        <f aca="false">IF(BQ172,CM172+IF(OVolSmile,VLOOKUP(MAX(-5,CS172+DA172-BZ172),IF(OVolSmile=1,VolSmileBook,VolSmileModel),2),0),"")</f>
        <v>#VALUE!</v>
      </c>
      <c r="DG172" s="1593" t="e">
        <f aca="false">IF(BS172,CN172+IF(OVolSmile,VLOOKUP(MAX(-5,CT172+DA172-CF172),IF(OVolSmile=1,VolSmileBook,VolSmileModel),2),0),"")</f>
        <v>#VALUE!</v>
      </c>
      <c r="DH172" s="1316" t="e">
        <f aca="false">IF(AND(BU172&gt;0,CO172&gt;0,DB172&gt;0,CU172&gt;0),newSPRDOPT(BU172,CO172,CW172,0,DB172,CU172,CV172,BT172*365.25,OCallPut,0),0)</f>
        <v>#VALUE!</v>
      </c>
      <c r="DI172" s="1316" t="e">
        <f aca="false">IF(AND(BV172&gt;0,CP172&gt;0,DC172&gt;0,CU172&gt;0),newSPRDOPT(BV172,CP172,CX172,0,DC172,CU172,CV172,BT172*365.25,OCallPut,0),0)</f>
        <v>#VALUE!</v>
      </c>
      <c r="DJ172" s="1316" t="e">
        <f aca="false">IF(AND(BW172&gt;0,CQ172&gt;0,DD172&gt;0,CU172&gt;0),newSPRDOPT(BW172,CQ172,CY172,0,DD172,CU172,CV172,BT172*365.25,OCallPut,0),0)</f>
        <v>#VALUE!</v>
      </c>
      <c r="DK172" s="1316" t="e">
        <f aca="false">IF(AND(BX172&gt;0,CR172&gt;0,DE172&gt;0,CU172&gt;0),newSPRDOPT(BX172,CR172,CZ172,0,DE172,CU172,CV172,BT172*365.25,OCallPut,0),0)</f>
        <v>#VALUE!</v>
      </c>
      <c r="DL172" s="1316" t="e">
        <f aca="false">IF(OVolType,IF(AND(BZ172&gt;0,CS172&gt;0,DF172&gt;0,CU172&gt;0),newSPRDOPT(BZ172,CS172,DA172,0,DF172,CU172,CV172,BT172*365.25,OCallPut,0),0),IF(BQ172,(DH172*AZ172+DI172*BA172+DJ172*BB172+DK172*BC172)/BQ172,0))</f>
        <v>#VALUE!</v>
      </c>
      <c r="DM172" s="1316"/>
      <c r="DN172" s="1316"/>
      <c r="DO172" s="1316"/>
      <c r="DP172" s="1316"/>
      <c r="DQ172" s="1316"/>
      <c r="DR172" s="1316"/>
      <c r="DS172" s="1316"/>
      <c r="DT172" s="1316"/>
      <c r="DU172" s="1316"/>
      <c r="DV172" s="1316"/>
      <c r="DW172" s="1594" t="e">
        <f aca="false">IF(AND(BW172&gt;0,CT172&gt;0,DD172&gt;0,CU172&gt;0),newSPRDOPT(BW172,CT172,CY172,0,DD172,CU172,CV172,BT172*365.25,OCallPut,0),0)</f>
        <v>#VALUE!</v>
      </c>
      <c r="DX172" s="1316" t="e">
        <f aca="false">IF(AND(BX172&gt;0,CT172&gt;0,DE172&gt;0,CU172&gt;0),newSPRDOPT(BX172,CT172,CZ172,0,DE172,CU172,CV172,BT172*365.25,OCallPut,0),0)</f>
        <v>#VALUE!</v>
      </c>
      <c r="DY172" s="1591" t="e">
        <f aca="false">IF(BS172,(DH172*BH172+DI172*BI172+DW172*BJ172+DX172*BK172)/BS172,0)</f>
        <v>#VALUE!</v>
      </c>
      <c r="DZ172" s="1551" t="e">
        <f aca="false">DH172*AZ172</f>
        <v>#VALUE!</v>
      </c>
      <c r="EA172" s="1551" t="e">
        <f aca="false">DI172*BA172</f>
        <v>#VALUE!</v>
      </c>
      <c r="EB172" s="1551" t="e">
        <f aca="false">DJ172*BB172</f>
        <v>#VALUE!</v>
      </c>
      <c r="EC172" s="1551" t="e">
        <f aca="false">DK172*BC172</f>
        <v>#VALUE!</v>
      </c>
      <c r="ED172" s="1551" t="e">
        <f aca="false">DL172*BQ172</f>
        <v>#VALUE!</v>
      </c>
      <c r="EE172" s="1595" t="e">
        <f aca="false">IF(BQ172,IF(OCallPut,IF(BU172&gt;(CO172+CW172),BU172-(CO172+CW172),0),IF((CO172+CW172)&gt;BU172,(CO172+CW172)-BU172,0))*AZ172,0)</f>
        <v>#VALUE!</v>
      </c>
      <c r="EF172" s="1596" t="e">
        <f aca="false">IF(BQ172,IF(OCallPut,IF(BV172&gt;(CP172+CX172),BV172-(CP172+CX172),0),IF((CP172+CX172)&gt;BV172,(CP172+CX172)-BV172,0))*BA172,0)</f>
        <v>#VALUE!</v>
      </c>
      <c r="EG172" s="1596" t="e">
        <f aca="false">IF(BQ172,IF(OCallPut,IF(BW172&gt;(CQ172+CY172),BW172-(CQ172+CY172),0),IF((CQ172+CY172)&gt;BW172,(CQ172+CY172)-BW172,0))*BB172,0)</f>
        <v>#VALUE!</v>
      </c>
      <c r="EH172" s="1596" t="e">
        <f aca="false">IF(BQ172,IF(OCallPut,IF(BX172&gt;(CR172+CZ172),BX172-(CR172+CZ172),0),IF((CR172+CZ172)&gt;BX172,(CR172+CZ172)-BX172,0))*BC172,0)</f>
        <v>#VALUE!</v>
      </c>
      <c r="EI172" s="1597" t="e">
        <f aca="false">IF(BQ172,IF(OVolType,IF(OCallPut,IF(BZ172&gt;(CS172+DA172),BZ172-(CS172+DA172),0),IF((CS172+DA172)&gt;BZ172,(CS172+DA172)-BZ172,0))*BQ172,SUM(EE172:EH172)),0)</f>
        <v>#VALUE!</v>
      </c>
      <c r="EJ172" s="1595" t="e">
        <f aca="false">DZ172-EE172</f>
        <v>#VALUE!</v>
      </c>
      <c r="EK172" s="1596" t="e">
        <f aca="false">EA172-EF172</f>
        <v>#VALUE!</v>
      </c>
      <c r="EL172" s="1596" t="e">
        <f aca="false">EB172-EG172</f>
        <v>#VALUE!</v>
      </c>
      <c r="EM172" s="1596" t="e">
        <f aca="false">EC172-EH172</f>
        <v>#VALUE!</v>
      </c>
      <c r="EN172" s="1597" t="e">
        <f aca="false">ED172-EI172</f>
        <v>#VALUE!</v>
      </c>
      <c r="EO172" s="1551" t="e">
        <f aca="false">DH172*BH172</f>
        <v>#VALUE!</v>
      </c>
      <c r="EP172" s="1551" t="e">
        <f aca="false">DI172*BI172</f>
        <v>#VALUE!</v>
      </c>
      <c r="EQ172" s="1551" t="e">
        <f aca="false">DW172*BJ172</f>
        <v>#VALUE!</v>
      </c>
      <c r="ER172" s="1551" t="e">
        <f aca="false">DX172*BK172</f>
        <v>#VALUE!</v>
      </c>
      <c r="ES172" s="1551" t="e">
        <f aca="false">DY172*BS172</f>
        <v>#VALUE!</v>
      </c>
      <c r="ET172" s="1566" t="e">
        <f aca="false">IF(EI172,IF(OCallPut,IF(CA172&gt;(CT172+CW172),CA172-(CT172+CW172),0),IF((CT172+CW172)&gt;CA172,(CT172+CW172)-CA172,0))*BH172,0)</f>
        <v>#VALUE!</v>
      </c>
      <c r="EU172" s="1551" t="e">
        <f aca="false">IF(EI172,IF(OCallPut,IF(CB172&gt;(CT172+CX172),CB172-(CT172+CX172),0),IF((CT172+CX172)&gt;CB172,(CT172+CX172)-CB172,0))*BI172,0)</f>
        <v>#VALUE!</v>
      </c>
      <c r="EV172" s="1551" t="e">
        <f aca="false">IF(EI172,IF(OCallPut,IF(CC172&gt;(CT172+CY172),CC172-(CT172+CY172),0),IF((CT172+CY172)&gt;CC172,(CT172+CY172)-CC172,0))*BJ172,0)</f>
        <v>#VALUE!</v>
      </c>
      <c r="EW172" s="1551" t="e">
        <f aca="false">IF(EI172,IF(OCallPut,IF(CD172&gt;(CT172+CZ172),CD172-(CT172+CZ172),0),IF((CT172+CZ172)&gt;CD172,(CT172+CZ172)-CD172,0))*BK172,0)</f>
        <v>#VALUE!</v>
      </c>
      <c r="EX172" s="1558" t="e">
        <f aca="false">IF(EI172,SUM(ET172:EW172),0)</f>
        <v>#VALUE!</v>
      </c>
      <c r="EY172" s="1551" t="e">
        <f aca="false">EO172-ET172</f>
        <v>#VALUE!</v>
      </c>
      <c r="EZ172" s="1551" t="e">
        <f aca="false">EP172-EU172</f>
        <v>#VALUE!</v>
      </c>
      <c r="FA172" s="1551" t="e">
        <f aca="false">EQ172-EV172</f>
        <v>#VALUE!</v>
      </c>
      <c r="FB172" s="1551" t="e">
        <f aca="false">ER172-EW172</f>
        <v>#VALUE!</v>
      </c>
      <c r="FC172" s="1551" t="e">
        <f aca="false">ES172-EX172</f>
        <v>#VALUE!</v>
      </c>
      <c r="FD172" s="1525" t="n">
        <f aca="false">IF(AX172,IF(VLOOKUP(C172,MAIN!$L$17:$M$28,2)="Yes",VLOOKUP(CALC!B172,MAIN!$H$17:$I$20,2),0),0)</f>
        <v>0</v>
      </c>
      <c r="FE172" s="1552" t="e">
        <f aca="false">$FD172*16*AT172*(1-$AY172)</f>
        <v>#VALUE!</v>
      </c>
      <c r="FF172" s="1553" t="e">
        <f aca="false">$FD172*16*AU172*(1-$AY172)</f>
        <v>#VALUE!</v>
      </c>
      <c r="FG172" s="1553" t="e">
        <f aca="false">$FD172*16*(AV172+AW172)*(1-$AY172)</f>
        <v>#VALUE!</v>
      </c>
      <c r="FH172" s="1554" t="n">
        <f aca="false">$FD172*8*AX172*(1-$AY172)</f>
        <v>0</v>
      </c>
      <c r="FI172" s="1555" t="n">
        <f aca="false">IF(AX172,VLOOKUP(CALC!B172,MAIN!$H$17:$K$20,4),0)</f>
        <v>0</v>
      </c>
      <c r="FJ172" s="1553" t="e">
        <f aca="false">SUM(FE172:FH172)</f>
        <v>#VALUE!</v>
      </c>
      <c r="FK172" s="1556" t="e">
        <f aca="false">FI172*FJ172</f>
        <v>#VALUE!</v>
      </c>
      <c r="FL172" s="1551" t="e">
        <f aca="false">IF($EI172&gt;0,MIN(FE172,AZ172*(1+VLOOKUP($C172,WeatherCapacityAdjustment,2))),0)</f>
        <v>#VALUE!</v>
      </c>
      <c r="FM172" s="1551" t="e">
        <f aca="false">IF($EI172&gt;0,MIN(FF172,BA172*(1+VLOOKUP($C172,WeatherCapacityAdjustment,2))),0)</f>
        <v>#VALUE!</v>
      </c>
      <c r="FN172" s="1551" t="e">
        <f aca="false">IF($EI172&gt;0,MIN(FG172,BB172*(1+VLOOKUP($C172,WeatherCapacityAdjustment,2))),0)</f>
        <v>#VALUE!</v>
      </c>
      <c r="FO172" s="1564" t="e">
        <f aca="false">IF($EI172&gt;0,MIN(FH172,BC172*(1+VLOOKUP($C172,WeatherCapacityAdjustment,3))),0)</f>
        <v>#VALUE!</v>
      </c>
      <c r="FP172" s="1551" t="e">
        <f aca="false">IF(ET172&gt;0,MIN(FE172-FL172,BH172*(1+VLOOKUP($C172,WeatherCapacityAdjustment,2))),0)</f>
        <v>#VALUE!</v>
      </c>
      <c r="FQ172" s="1551" t="e">
        <f aca="false">IF(EU172&gt;0,MIN(FF172-FM172,BI172*(1+VLOOKUP($C172,WeatherCapacityAdjustment,2))),0)</f>
        <v>#VALUE!</v>
      </c>
      <c r="FR172" s="1551" t="e">
        <f aca="false">IF(EV172&gt;0,MIN(FG172-FN172,BJ172*(1+VLOOKUP($C172,WeatherCapacityAdjustment,2))),0)</f>
        <v>#VALUE!</v>
      </c>
      <c r="FS172" s="1558" t="e">
        <f aca="false">IF(EW172&gt;0,MIN(FH172-FO172,BK172*(1+VLOOKUP($C172,WeatherCapacityAdjustment,3))),0)</f>
        <v>#VALUE!</v>
      </c>
      <c r="FT172" s="1566" t="e">
        <f aca="false">IF(AND(Assumptions!$H$71="Yes",A172&gt;=Assumptions!$H$72,A172&lt;=Assumptions!$H$73),0,IF(AND($A172&gt;=Assumptions!$C$17,$A172&lt;=Assumptions!$C$18),MAX(AZ172*(1+VLOOKUP($C172,WeatherCapacityAdjustment,2))-FL172,0),0))</f>
        <v>#VALUE!</v>
      </c>
      <c r="FU172" s="1551" t="e">
        <f aca="false">IF(AND(Assumptions!$H$71="Yes",A172&gt;=Assumptions!$H$72,A172&lt;=Assumptions!$H$73),0,IF(AND($A172&gt;=Assumptions!$C$17,$A172&lt;=Assumptions!$C$18),MAX(BA172*(1+VLOOKUP($C172,WeatherCapacityAdjustment,2))-FM172,0),0))</f>
        <v>#VALUE!</v>
      </c>
      <c r="FV172" s="1551" t="e">
        <f aca="false">IF(AND(Assumptions!$H$71="Yes",A172&gt;=Assumptions!$H$72,A172&lt;=Assumptions!$H$73),0,IF(AND($A172&gt;=Assumptions!$C$17,$A172&lt;=Assumptions!$C$18),MAX(BB172*(1+VLOOKUP($C172,WeatherCapacityAdjustment,2))-FN172,0),0))</f>
        <v>#VALUE!</v>
      </c>
      <c r="FW172" s="1564" t="e">
        <f aca="false">IF(AND(Assumptions!$H$71="Yes",A172&gt;=Assumptions!$H$72,A172&lt;=Assumptions!$H$73),0,IF(AND($A172&gt;=Assumptions!$C$17,$A172&lt;=Assumptions!$C$18),MAX(BC172*(1+VLOOKUP($C172,WeatherCapacityAdjustment,3))-FO172,0),0))</f>
        <v>#VALUE!</v>
      </c>
      <c r="FX172" s="1569" t="e">
        <f aca="false">IF(AND(Assumptions!$H$71="Yes",A172&gt;=Assumptions!$H$72,A172&lt;=Assumptions!$H$73),0,IF(ET172&gt;0,MAX(BH172*(1+VLOOKUP($C172,WeatherCapacityAdjustment,2))-FP172,0),0))</f>
        <v>#VALUE!</v>
      </c>
      <c r="FY172" s="1551" t="e">
        <f aca="false">IF(AND(Assumptions!$H$71="Yes",A172&gt;=Assumptions!$H$72,A172&lt;=Assumptions!$H$73),0,IF(EU172&gt;0,MAX(BI172*(1+VLOOKUP($C172,WeatherCapacityAdjustment,3))-FQ172,0),0))</f>
        <v>#VALUE!</v>
      </c>
      <c r="FZ172" s="1551" t="e">
        <f aca="false">IF(AND(Assumptions!$H$71="Yes",A172&gt;=Assumptions!$H$72,A172&lt;=Assumptions!$H$73),0,IF(EV172&gt;0,MAX(BJ172*(1+VLOOKUP($C172,WeatherCapacityAdjustment,2))-FR172,0),0))</f>
        <v>#VALUE!</v>
      </c>
      <c r="GA172" s="1564" t="e">
        <f aca="false">IF(AND(Assumptions!$H$71="Yes",A172&gt;=Assumptions!$H$72,A172&lt;=Assumptions!$H$73),0,IF(EW172&gt;0,MAX(BK172*(1+VLOOKUP($C172,WeatherCapacityAdjustment,2))-FS172,0),0))</f>
        <v>#VALUE!</v>
      </c>
      <c r="GB172" s="1551" t="e">
        <f aca="false">SUM(FT172:GA172)</f>
        <v>#VALUE!</v>
      </c>
      <c r="GC172" s="1563" t="e">
        <f aca="false">+IF(SUM(FT172:GA172)=0,0,(SUMPRODUCT(BU172:BX172,FT172:FW172)+SUMPRODUCT(CA172:CD172,FX172:GA172))/SUM(FT172:GA172))</f>
        <v>#VALUE!</v>
      </c>
      <c r="GD172" s="1551" t="e">
        <f aca="false">(FT172*BU172+FX172*CA172+FU172*BV172+FY172*CB172+FV172*BW172+FZ172*CC172+FW172*BX172+GA172*CD172)</f>
        <v>#VALUE!</v>
      </c>
      <c r="GE172" s="1561" t="e">
        <f aca="false">+IF(BQ172,((FL172+FM172+FT172+FU172)*HeatRatePeak/1000*(1+VLOOKUP($C172,WeatherHeatRateAdjustment,2))+(FN172+FV172)*IF(EV172&gt;0,HeatRatePeak,HeatRateOffPeak)/1000*(1+VLOOKUP($C172,WeatherHeatRateAdjustment,2))+(FO172+FW172)*IF(EW172&gt;0,HeatRatePeak,HeatRateOffPeak)/1000*(1+VLOOKUP($C172,WeatherHeatRateAdjustment,3)))*(1+VLOOKUP($B172,HeatRateDegradation,$C172+1)),0)</f>
        <v>#VALUE!</v>
      </c>
      <c r="GF172" s="1562" t="e">
        <f aca="false">IF(BQ172,((FP172+FQ172+FR172+FX172+FY172+FZ172)*HeatRatePeak/1000*(1+VLOOKUP($C172,WeatherHeatRateAdjustment,2))+(FS172+GA172)*HeatRatePeak/1000*(1+VLOOKUP($C172,WeatherHeatRateAdjustment,3)))*(1+VLOOKUP($B172,HeatRateDegradation,$C172+1)),0)</f>
        <v>#VALUE!</v>
      </c>
      <c r="GG172" s="1563" t="e">
        <f aca="false">IF(BQ172,VLOOKUP(A172,GasTable,13),0)</f>
        <v>#VALUE!</v>
      </c>
      <c r="GH172" s="1564" t="e">
        <f aca="false">(GE172+GF172)*GG172</f>
        <v>#VALUE!</v>
      </c>
      <c r="GI172" s="1569" t="e">
        <f aca="false">GB172</f>
        <v>#VALUE!</v>
      </c>
      <c r="GJ172" s="1598" t="e">
        <f aca="false">+DA172</f>
        <v>#VALUE!</v>
      </c>
      <c r="GK172" s="1558" t="e">
        <f aca="false">+GI172*GJ172</f>
        <v>#VALUE!</v>
      </c>
      <c r="GL172" s="1566" t="e">
        <f aca="false">MAX(FE172-FL172-FP172,0)</f>
        <v>#VALUE!</v>
      </c>
      <c r="GM172" s="1551" t="e">
        <f aca="false">MAX(FF172-FM172-FQ172,0)</f>
        <v>#VALUE!</v>
      </c>
      <c r="GN172" s="1551" t="e">
        <f aca="false">MAX(FG172-FN172-FR172,0)</f>
        <v>#VALUE!</v>
      </c>
      <c r="GO172" s="1564" t="e">
        <f aca="false">MAX(FH172-FO172-FS172,0)</f>
        <v>#VALUE!</v>
      </c>
      <c r="GP172" s="1551" t="e">
        <f aca="false">SUM(GL172:GO172)</f>
        <v>#VALUE!</v>
      </c>
      <c r="GQ172" s="1563" t="e">
        <f aca="false">IF(SUM(GL172:GO172)=0,0,((GL172*BU172+GM172*BV172+GN172*BW172+GO172*BX172)/SUM(GL172:GO172)))</f>
        <v>#VALUE!</v>
      </c>
      <c r="GR172" s="1558" t="e">
        <f aca="false">(GL172*BU172+GM172*BV172+GN172*BW172+GO172*BX172)</f>
        <v>#VALUE!</v>
      </c>
      <c r="GS172" s="1566" t="n">
        <f aca="false">IF($A172&gt;=BegDate,Assumptions!$C$56*24*($A173-$A172)*(1-VLOOKUP($B172,MAIN!$AA$7:$AM$28,$C172+1))*(1-VLOOKUP($B172,MAIN!$AA$33:$AM$54,$C172+1)),0)*80/168</f>
        <v>224485.714285714</v>
      </c>
      <c r="GT172" s="286" t="n">
        <f aca="false">J172</f>
        <v>39.6535708466155</v>
      </c>
      <c r="GU172" s="286" t="n">
        <f aca="false">IF($A172&gt;=BegDate,VLOOKUP($A172,GasTable,13)+Assumptions!$C$58,0)</f>
        <v>2.9528023319392</v>
      </c>
      <c r="GV172" s="286" t="n">
        <f aca="false">GU172*Assumptions!$C$57/1000</f>
        <v>21.4078169065592</v>
      </c>
      <c r="GW172" s="1558" t="n">
        <f aca="false">IF(Assumptions!$C$60="Hourly",MAX(0,GS172*(GT172-GV172)),GS172*(GT172-GV172))</f>
        <v>4095911.10591491</v>
      </c>
      <c r="GX172" s="1566" t="n">
        <f aca="false">IF($A172&gt;=BegDate,Assumptions!$C$56*24*($A173-$A172)*(1-VLOOKUP($B172,MAIN!$AA$7:$AM$28,$C172+1))*(1-VLOOKUP($B172,MAIN!$AA$33:$AM$54,$C172+1)),0)*16/168</f>
        <v>44897.1428571429</v>
      </c>
      <c r="GY172" s="286" t="n">
        <f aca="false">M172</f>
        <v>39.6535708466155</v>
      </c>
      <c r="GZ172" s="286" t="n">
        <f aca="false">IF($A172&gt;=BegDate,VLOOKUP($A172,GasTable,13)+Assumptions!$C$58,0)</f>
        <v>2.9528023319392</v>
      </c>
      <c r="HA172" s="286" t="n">
        <f aca="false">GZ172*Assumptions!$C$57/1000</f>
        <v>21.4078169065592</v>
      </c>
      <c r="HB172" s="1558" t="n">
        <f aca="false">IF(Assumptions!$C$60="Hourly",MAX(0,GX172*(GY172-HA172)),GX172*(GY172-HA172))</f>
        <v>819182.221182983</v>
      </c>
      <c r="HC172" s="1566" t="n">
        <f aca="false">IF($A172&gt;=BegDate,Assumptions!$C$56*24*($A173-$A172)*(1-VLOOKUP($B172,MAIN!$AA$7:$AM$28,$C172+1))*(1-VLOOKUP($B172,MAIN!$AA$33:$AM$54,$C172+1)),0)*16/168</f>
        <v>44897.1428571429</v>
      </c>
      <c r="HD172" s="286" t="n">
        <f aca="false">P172</f>
        <v>25.9763973034905</v>
      </c>
      <c r="HE172" s="286" t="n">
        <f aca="false">IF($A172&gt;=BegDate,VLOOKUP($A172,GasTable,13)+Assumptions!$C$58,0)</f>
        <v>2.9528023319392</v>
      </c>
      <c r="HF172" s="286" t="n">
        <f aca="false">HE172*Assumptions!$C$57/1000</f>
        <v>21.4078169065592</v>
      </c>
      <c r="HG172" s="1558" t="n">
        <f aca="false">IF(Assumptions!$C$60="Hourly",MAX(0,HC172*(HD172-HF172)),HC172*(HD172-HF172))</f>
        <v>205116.206735367</v>
      </c>
      <c r="HH172" s="1566" t="n">
        <f aca="false">IF($A172&gt;=BegDate,Assumptions!$C$56*24*($A173-$A172)*(1-VLOOKUP($B172,MAIN!$AA$7:$AM$28,$C172+1))*(1-VLOOKUP($B172,MAIN!$AA$33:$AM$54,$C172+1)),0)*56/168</f>
        <v>157140</v>
      </c>
      <c r="HI172" s="286" t="n">
        <f aca="false">S172</f>
        <v>25.9763973034905</v>
      </c>
      <c r="HJ172" s="286" t="n">
        <f aca="false">IF($A172&gt;=BegDate,VLOOKUP($A172,GasTable,13)+Assumptions!$C$58,0)</f>
        <v>2.9528023319392</v>
      </c>
      <c r="HK172" s="286" t="n">
        <f aca="false">HJ172*Assumptions!$C$57/1000</f>
        <v>21.4078169065592</v>
      </c>
      <c r="HL172" s="1558" t="n">
        <f aca="false">IF(Assumptions!$C$60="Hourly",MAX(0,HH172*(HI172-HK172)),HH172*(HI172-HK172))</f>
        <v>717906.723573786</v>
      </c>
      <c r="HM172" s="1566" t="n">
        <f aca="false">IF(AND(Assumptions!$H$71="Yes",A172&gt;=Assumptions!$H$72,A172&lt;=Assumptions!$H$73),Assumptions!$H$74*Assumptions!$C$9*1000,0)</f>
        <v>0</v>
      </c>
      <c r="HN172" s="1551"/>
      <c r="HO172" s="1563"/>
      <c r="HP172" s="1563"/>
      <c r="HQ172" s="1563"/>
      <c r="HR172" s="1563"/>
      <c r="HS172" s="1563"/>
      <c r="HT172" s="1563"/>
      <c r="HU172" s="1563"/>
      <c r="HV172" s="1563"/>
      <c r="HW172" s="1563"/>
      <c r="HX172" s="1563"/>
      <c r="HY172" s="1563"/>
      <c r="HZ172" s="1563"/>
      <c r="IA172" s="1563"/>
      <c r="IB172" s="1563"/>
      <c r="IC172" s="1563"/>
      <c r="ID172" s="1563"/>
      <c r="IE172" s="1563"/>
      <c r="IF172" s="1563"/>
      <c r="IG172" s="1563"/>
      <c r="IH172" s="1563"/>
      <c r="II172" s="1610"/>
      <c r="IJ172" s="1309"/>
      <c r="IK172" s="1309"/>
    </row>
    <row r="173" customFormat="false" ht="12.75" hidden="false" customHeight="false" outlineLevel="0" collapsed="false">
      <c r="A173" s="1571" t="n">
        <f aca="false">EOMONTH(A172,0)+1</f>
        <v>41395</v>
      </c>
      <c r="B173" s="594" t="n">
        <f aca="false">+YEAR(A173)</f>
        <v>2013</v>
      </c>
      <c r="C173" s="238" t="n">
        <f aca="false">MONTH(A173)</f>
        <v>5</v>
      </c>
      <c r="D173" s="1572" t="e">
        <f aca="false">IF(E173="","",Holiday(B173,C173))</f>
        <v>#VALUE!</v>
      </c>
      <c r="E173" s="1573" t="n">
        <f aca="false">IF(OR(BegDate&gt;=A174,EndDate&lt;A173,AND(VolumeMonthlyOverFlag,INDEX(VolumeMonthlyOver,C173)=0),NOT(INDEX(MonthKnockOutTable,C173))),"",MAX(A173,BegDate))</f>
        <v>41395</v>
      </c>
      <c r="F173" s="1574" t="n">
        <f aca="false">IF(E173="","",MIN(A174-1,EndDate))</f>
        <v>41425</v>
      </c>
      <c r="G173" s="1575" t="n">
        <v>0</v>
      </c>
      <c r="H173" s="1576" t="n">
        <f aca="false">(1+G173/2)^(-2*(DATE(B174,C174,20)-DateToday)/365.25)</f>
        <v>1</v>
      </c>
      <c r="I173" s="1568" t="n">
        <f aca="false">IF(Assumptions!$L$25=4,VLOOKUP($A173,'Henwood Reference'!$E$9:$R$320,10),(VLOOKUP($A173,PriceTable,2,0)+IF(BasisNumber&lt;&gt;1,VLOOKUP($A173,BasisTable,2,0),0)+I$1)/(1-I$2))</f>
        <v>45.5310725720823</v>
      </c>
      <c r="J173" s="1568" t="n">
        <f aca="false">IF(Assumptions!$L$25=4,VLOOKUP($A173,'Henwood Reference'!$E$9:$R$320,10),(VLOOKUP($A173,PriceTable,3,0)+IF(BasisNumber&lt;&gt;1,VLOOKUP($A173,BasisTable,2,0),0)+J$1)/(1-J$2))</f>
        <v>45.5310725720823</v>
      </c>
      <c r="K173" s="1568" t="n">
        <f aca="false">IF(Assumptions!$L$25=4,VLOOKUP($A173,'Henwood Reference'!$E$9:$R$320,10),(VLOOKUP($A173,PriceTable,4,0)+IF(BasisNumber&lt;&gt;1,VLOOKUP($A173,BasisTable,2,0),0)+K$1)/(1-K$2))</f>
        <v>45.5310725720823</v>
      </c>
      <c r="L173" s="1523" t="n">
        <f aca="false">IF(Assumptions!$L$25=4,VLOOKUP($A173,'Henwood Reference'!$E$9:$R$320,10),(VLOOKUP($A173,PriceTableWeekend,2,0)+IF(BasisNumber&lt;&gt;1,VLOOKUP($A173,BasisTable,2,0),0)+L$1)/(1-L$2))</f>
        <v>45.5310725720823</v>
      </c>
      <c r="M173" s="1568" t="n">
        <f aca="false">IF(Assumptions!$L$25=4,VLOOKUP($A173,'Henwood Reference'!$E$9:$R$320,10),(VLOOKUP($A173,PriceTableWeekend,3,0)+IF(BasisNumber&lt;&gt;1,VLOOKUP($A173,BasisTable,2,0),0)+M$1)/(1-M$2))</f>
        <v>45.5310725720823</v>
      </c>
      <c r="N173" s="1599" t="n">
        <f aca="false">IF(Assumptions!$L$25=4,VLOOKUP($A173,'Henwood Reference'!$E$9:$R$320,10),(VLOOKUP($A173,PriceTableWeekend,4,0)+IF(BasisNumber&lt;&gt;1,VLOOKUP($A173,BasisTable,2,0),0)+N$1)/(1-N$2))</f>
        <v>45.5310725720823</v>
      </c>
      <c r="O173" s="1568" t="n">
        <f aca="false">IF(Assumptions!$L$25=4,VLOOKUP($A173,'Henwood Reference'!$E$9:$R$320,11),(VLOOKUP($A173,PriceTableWeekend,6,0)+IF(BasisNumber&lt;&gt;1,VLOOKUP($A173,BasisTable,3,0),0)+O$1)/(1-O$2))</f>
        <v>25.989333369795</v>
      </c>
      <c r="P173" s="1568" t="n">
        <f aca="false">IF(Assumptions!$L$25=4,VLOOKUP($A173,'Henwood Reference'!$E$9:$R$320,11),(VLOOKUP($A173,PriceTableWeekend,7,0)+IF(BasisNumber&lt;&gt;1,VLOOKUP($A173,BasisTable,3,0),0)+P$1)/(1-P$2))</f>
        <v>25.989333369795</v>
      </c>
      <c r="Q173" s="1599" t="n">
        <f aca="false">IF(Assumptions!$L$25=4,VLOOKUP($A173,'Henwood Reference'!$E$9:$R$320,11),(VLOOKUP($A173,PriceTableWeekend,8,0)+IF(BasisNumber&lt;&gt;1,VLOOKUP($A173,BasisTable,3,0),0)+Q$1)/(1-Q$2))</f>
        <v>25.989333369795</v>
      </c>
      <c r="R173" s="1568" t="n">
        <f aca="false">IF(Assumptions!$L$25=4,VLOOKUP($A173,'Henwood Reference'!$E$9:$R$320,11),(VLOOKUP($A173,PriceTable,6,0)+IF(BasisNumber&lt;&gt;1,VLOOKUP($A173,BasisTable,3,0),0)+R$1)/(1-R$2))</f>
        <v>25.989333369795</v>
      </c>
      <c r="S173" s="1568" t="n">
        <f aca="false">IF(Assumptions!$L$25=4,VLOOKUP($A173,'Henwood Reference'!$E$9:$R$320,11),(VLOOKUP($A173,PriceTable,7,0)+IF(BasisNumber&lt;&gt;1,VLOOKUP($A173,BasisTable,3,0),0)+S$1)/(1-S$2))</f>
        <v>25.989333369795</v>
      </c>
      <c r="T173" s="1600" t="n">
        <f aca="false">IF(Assumptions!$L$25=4,VLOOKUP($A173,'Henwood Reference'!$E$9:$R$320,11),(VLOOKUP($A173,PriceTable,8,0)+IF(BasisNumber&lt;&gt;1,VLOOKUP($A173,BasisTable,3,0),0)+T$1)/(1-T$2))</f>
        <v>25.989333369795</v>
      </c>
      <c r="U173" s="1513" t="n">
        <f aca="false">VLOOKUP($A173,VolatilityTable,14)</f>
        <v>0.105</v>
      </c>
      <c r="V173" s="1513" t="n">
        <f aca="false">VLOOKUP($A173,VolatilityTable,15)</f>
        <v>0.115</v>
      </c>
      <c r="W173" s="1514" t="n">
        <f aca="false">VLOOKUP($A173,VolatilityTable,16)</f>
        <v>0.125</v>
      </c>
      <c r="X173" s="1513" t="n">
        <f aca="false">VLOOKUP($A173,VolatilityTable,14)</f>
        <v>0.105</v>
      </c>
      <c r="Y173" s="1513" t="n">
        <f aca="false">VLOOKUP($A173,VolatilityTable,15)</f>
        <v>0.115</v>
      </c>
      <c r="Z173" s="1514" t="n">
        <f aca="false">VLOOKUP($A173,VolatilityTable,16)</f>
        <v>0.125</v>
      </c>
      <c r="AA173" s="1513" t="n">
        <f aca="false">VLOOKUP($A173,VolatilityTable,18)</f>
        <v>0.09</v>
      </c>
      <c r="AB173" s="1513" t="n">
        <f aca="false">VLOOKUP($A173,VolatilityTable,19)</f>
        <v>0.11</v>
      </c>
      <c r="AC173" s="1514" t="n">
        <f aca="false">VLOOKUP($A173,VolatilityTable,20)</f>
        <v>0.13</v>
      </c>
      <c r="AD173" s="1513" t="n">
        <f aca="false">VLOOKUP($A173,VolatilityTable,18)</f>
        <v>0.09</v>
      </c>
      <c r="AE173" s="1513" t="n">
        <f aca="false">VLOOKUP($A173,VolatilityTable,19)</f>
        <v>0.11</v>
      </c>
      <c r="AF173" s="1514" t="n">
        <f aca="false">VLOOKUP($A173,VolatilityTable,20)</f>
        <v>0.13</v>
      </c>
      <c r="AG173" s="1513" t="n">
        <f aca="false">VLOOKUP($A173,VolatilityTable,22)</f>
        <v>-0.1</v>
      </c>
      <c r="AH173" s="1513" t="n">
        <f aca="false">VLOOKUP($A173,VolatilityTable,23)</f>
        <v>0.65</v>
      </c>
      <c r="AI173" s="1514" t="n">
        <f aca="false">VLOOKUP($A173,VolatilityTable,24)</f>
        <v>0.1</v>
      </c>
      <c r="AJ173" s="1513" t="n">
        <f aca="false">VLOOKUP($A173,VolatilityTable,22)</f>
        <v>-0.1</v>
      </c>
      <c r="AK173" s="1513" t="n">
        <f aca="false">VLOOKUP($A173,VolatilityTable,23)</f>
        <v>0.65</v>
      </c>
      <c r="AL173" s="1514" t="n">
        <f aca="false">VLOOKUP($A173,VolatilityTable,24)</f>
        <v>0.1</v>
      </c>
      <c r="AM173" s="1513" t="n">
        <f aca="false">VLOOKUP($A173,VolatilityTable,26)</f>
        <v>-0.01</v>
      </c>
      <c r="AN173" s="1513" t="n">
        <f aca="false">VLOOKUP($A173,VolatilityTable,27)</f>
        <v>0.16</v>
      </c>
      <c r="AO173" s="1514" t="n">
        <f aca="false">VLOOKUP($A173,VolatilityTable,28)</f>
        <v>0.01</v>
      </c>
      <c r="AP173" s="1513" t="n">
        <f aca="false">VLOOKUP($A173,VolatilityTable,26)</f>
        <v>-0.01</v>
      </c>
      <c r="AQ173" s="1513" t="n">
        <f aca="false">VLOOKUP($A173,VolatilityTable,27)</f>
        <v>0.16</v>
      </c>
      <c r="AR173" s="1515" t="n">
        <f aca="false">VLOOKUP($A173,VolatilityTable,28)</f>
        <v>0.01</v>
      </c>
      <c r="AS173" s="1581" t="n">
        <f aca="false">IF(CorrPeakOffPeakOverFlag,INDEX(CorrPeakOffPeakOver,C173),CorrPeakOffPeak)</f>
        <v>0.5</v>
      </c>
      <c r="AT173" s="594" t="e">
        <f aca="false">AX173-SUM(AU173:AW173)</f>
        <v>#VALUE!</v>
      </c>
      <c r="AU173" s="238" t="e">
        <f aca="false">IF(E173="",0,INT((F173-MOD(F173,7)-E173)/7)+1-IF(AW173,IF(WEEKDAY(D173)=7,1,0),0))</f>
        <v>#VALUE!</v>
      </c>
      <c r="AV173" s="238" t="e">
        <f aca="false">IF(E173="",0,INT((F173-MOD(F173-1,7)-E173)/7)+1-IF(AW173,IF(WEEKDAY(D173)=1,1,0),0))</f>
        <v>#VALUE!</v>
      </c>
      <c r="AW173" s="238" t="e">
        <f aca="false">IF(OR(E173="",D173="",D173&lt;BegDate,D173&gt;EndDate),0,1)</f>
        <v>#VALUE!</v>
      </c>
      <c r="AX173" s="238" t="n">
        <f aca="false">IF(E173="",0,F173-E173+1)</f>
        <v>31</v>
      </c>
      <c r="AY173" s="1582" t="n">
        <f aca="false">IF(E173="",0,MIN((1-(1-VLOOKUP(B173,MAIN!$AA$7:$AM$28,C173+1))*(1-VLOOKUP(B173,MAIN!$AA$33:$AM$54,C173+1))),1))</f>
        <v>0.03</v>
      </c>
      <c r="AZ173" s="1519" t="e">
        <v>#VALUE!</v>
      </c>
      <c r="BA173" s="1520" t="e">
        <v>#VALUE!</v>
      </c>
      <c r="BB173" s="1520" t="e">
        <v>#VALUE!</v>
      </c>
      <c r="BC173" s="1583" t="e">
        <v>#VALUE!</v>
      </c>
      <c r="BD173" s="1522" t="e">
        <v>#VALUE!</v>
      </c>
      <c r="BE173" s="1523" t="e">
        <v>#VALUE!</v>
      </c>
      <c r="BF173" s="1523" t="e">
        <v>#VALUE!</v>
      </c>
      <c r="BG173" s="1584" t="e">
        <v>#VALUE!</v>
      </c>
      <c r="BH173" s="1525" t="e">
        <v>#VALUE!</v>
      </c>
      <c r="BI173" s="1520" t="e">
        <v>#VALUE!</v>
      </c>
      <c r="BJ173" s="1520" t="e">
        <v>#VALUE!</v>
      </c>
      <c r="BK173" s="1583" t="e">
        <v>#VALUE!</v>
      </c>
      <c r="BL173" s="1522" t="e">
        <v>#VALUE!</v>
      </c>
      <c r="BM173" s="1523" t="e">
        <v>#VALUE!</v>
      </c>
      <c r="BN173" s="1523" t="e">
        <v>#VALUE!</v>
      </c>
      <c r="BO173" s="1523" t="e">
        <v>#VALUE!</v>
      </c>
      <c r="BP173" s="1525" t="e">
        <f aca="false">SUM(AZ173:BB173)</f>
        <v>#VALUE!</v>
      </c>
      <c r="BQ173" s="1529" t="e">
        <f aca="false">SUM(AZ173:BC173)</f>
        <v>#VALUE!</v>
      </c>
      <c r="BR173" s="1519" t="e">
        <f aca="false">SUM(BH173:BJ173)</f>
        <v>#VALUE!</v>
      </c>
      <c r="BS173" s="1529" t="e">
        <f aca="false">SUM(BH173:BK173)</f>
        <v>#VALUE!</v>
      </c>
      <c r="BT173" s="1316" t="n">
        <f aca="false">(IF(OVolType&lt;&gt;2,A173+14,IF(OptExpDateShift,ShiftBack(A173,OptExpDateShift,D172),A173))-DateToday)/365.25</f>
        <v>13.0458590006845</v>
      </c>
      <c r="BU173" s="1585" t="e">
        <f aca="false">IF(BQ173,IF(OPriceCurve,IF(OBuySell=OCallPut,I173/(1-AY173),K173/(1-AY173)),J173/(1-AY173))*BD173,0)</f>
        <v>#VALUE!</v>
      </c>
      <c r="BV173" s="1316" t="e">
        <f aca="false">IF(BQ173,IF(OPriceCurve,IF(OBuySell=OCallPut,L173/(1-AY173),N173/(1-AY173)),M173/(1-AY173))*BE173,0)</f>
        <v>#VALUE!</v>
      </c>
      <c r="BW173" s="1316" t="e">
        <f aca="false">IF(BQ173,IF(OPriceCurve,IF(OBuySell=OCallPut,O173/(1-AY173),Q173/(1-AY173)),P173/(1-AY173))*BF173,0)</f>
        <v>#VALUE!</v>
      </c>
      <c r="BX173" s="1316" t="e">
        <f aca="false">IF(BQ173,IF(OPriceCurve,IF(OBuySell=OCallPut,R173/(1-AY173),T173/(1-AY173)),S173/(1-AY173))*BG173,0)</f>
        <v>#VALUE!</v>
      </c>
      <c r="BY173" s="1316" t="e">
        <f aca="false">IF(BP173,(BU173*AZ173+BV173*BA173+BW173*BB173)/BP173,0)</f>
        <v>#VALUE!</v>
      </c>
      <c r="BZ173" s="1316" t="e">
        <f aca="false">IF(BQ173,(BY173*BP173+BX173*BC173)/BQ173,0)</f>
        <v>#VALUE!</v>
      </c>
      <c r="CA173" s="1531" t="e">
        <f aca="false">IF(BS173,IF(OPriceCurve,IF(OBuySell=OCallPut,I173/(1-AY173),K173/(1-AY173)),J173/(1-AY173))*BL173,0)</f>
        <v>#VALUE!</v>
      </c>
      <c r="CB173" s="1316" t="e">
        <f aca="false">IF(BS173,IF(OPriceCurve,IF(OBuySell=OCallPut,L173/(1-AY173),N173/(1-AY173)),M173/(1-AY173))*BM173,0)</f>
        <v>#VALUE!</v>
      </c>
      <c r="CC173" s="1316" t="e">
        <f aca="false">IF(BS173,IF(OPriceCurve,IF(OBuySell=OCallPut,O173/(1-AY173),Q173/(1-AY173)),P173/(1-AY173))*BN173,0)</f>
        <v>#VALUE!</v>
      </c>
      <c r="CD173" s="1316" t="e">
        <f aca="false">IF(BS173,IF(OPriceCurve,IF(OBuySell=OCallPut,R173/(1-AY173),T173/(1-AY173)),S173/(1-AY173))*BO173,0)</f>
        <v>#VALUE!</v>
      </c>
      <c r="CE173" s="1316" t="e">
        <f aca="false">IF(BR173,(BU173*BH173+BV173*BI173+BW173*BJ173)/BR173,0)</f>
        <v>#VALUE!</v>
      </c>
      <c r="CF173" s="1532" t="e">
        <f aca="false">IF(BS173,(CE173*BR173+CD173*BK173)/BS173,0)</f>
        <v>#VALUE!</v>
      </c>
      <c r="CG173" s="1586" t="e">
        <f aca="false">IF(OR(BQ173,BS173),IF(OVolType&lt;&gt;2,SQRT(IF(OVolOverMonthlyPeak,OVolOverMonthlyPeak,IF(OVolCurve,IF(OBuySell,U173,W173),V173))^2*(1-15/365.25/BT173)+IF(OVolOverDailyPeak,OVolOverDailyPeak,IF(OVolCurve,IF(OBuySell,AG173,AI173),AH173))^2*15/365.25/BT173),IF(OVolOverMonthlyPeak,OVolOverMonthlyPeak,IF(OVolCurve,IF(OBuySell,U173,W173),V173))),"")</f>
        <v>#VALUE!</v>
      </c>
      <c r="CH173" s="1587" t="e">
        <f aca="false">IF(OR(BQ173,BS173),IF(OVolType&lt;&gt;2,SQRT(IF(OVolOverMonthlyPeak,OVolOverMonthlyPeak,IF(OVolCurve,IF(OBuySell,X173,Z173),Y173))^2*(1-15/365.25/BT173)+IF(OVolOverDailyPeak,OVolOverDailyPeak,IF(OVolCurve,IF(OBuySell,AJ173,AL173),AK173))^2*15/365.25/BT173),IF(OVolOverMonthlyPeak,OVolOverMonthlyPeak,IF(OVolCurve,IF(OBuySell,X173,Z173),Y173))),"")</f>
        <v>#VALUE!</v>
      </c>
      <c r="CI173" s="1587" t="e">
        <f aca="false">IF(OR(BQ173,BS173),IF(OVolType&lt;&gt;2,SQRT(IF(OVolOverMonthlyPeak,OVolOverMonthlyPeak,IF(OVolCurve,IF(OBuySell,AA173,AC173),AB173))^2*(1-15/365.25/BT173)+IF(OVolOverDailyPeak,OVolOverDailyPeak,IF(OVolCurve,IF(OBuySell,AM173,AO173),AN173))^2*15/365.25/BT173),IF(OVolOverMonthlyPeak,OVolOverMonthlyPeak,IF(OVolCurve,IF(OBuySell,AA173,AC173),AB173))),"")</f>
        <v>#VALUE!</v>
      </c>
      <c r="CJ173" s="1587" t="e">
        <f aca="false">IF(BQ173,IF(BP173,SQRT(LN(1+((BU173*AZ173)^2*(EXP(CG173^2*BT173)-1)+(BV173*BA173)^2*(EXP(CH173^2*BT173)-1)+(BW173*BB173)^2*(EXP(CI173^2*BT173)-1)+2*BU173*AZ173*BV173*BA173*(EXP(CG173*CH173*BT173)-1)+2*BV173*BA173*BW173*BB173*(EXP(CH173*CI173*BT173)-1)+2*BW173*BB173*BU173*AZ173*(EXP(CI173*CG173*BT173)-1))/(BY173*BP173)^2)/BT173),0),"")</f>
        <v>#VALUE!</v>
      </c>
      <c r="CK173" s="1587" t="e">
        <f aca="false">IF(BS173,IF(BR173,SQRT(LN(1+((CA173*BH173)^2*(EXP(CG173^2*BT173)-1)+(CB173*BI173)^2*(EXP(CH173^2*BT173)-1)+(CC173*BJ173)^2*(EXP(CI173^2*BT173)-1)+2*CA173*BH173*CB173*BI173*(EXP(CG173*CH173*BT173)-1)+2*CB173*BI173*CC173*BJ173*(EXP(CH173*CI173*BT173)-1)+2*CC173*BJ173*CA173*BH173*(EXP(CI173*CG173*BT173)-1))/(CE173*BR173)^2)/BT173),0),"")</f>
        <v>#VALUE!</v>
      </c>
      <c r="CL173" s="1587" t="e">
        <f aca="false">IF(OR(BQ173,BS173),IF(OVolType&lt;&gt;2,SQRT(IF(OVolOverMonthlyOffPeak,OVolOverMonthlyOffPeak,IF(OVolCurve,IF(OBuySell,AD173,AF173),AE173))^2*(1-15/365.25/BT173)+IF(OVolOverDailyOffPeak,OVolOverDailyOffPeak,IF(OVolCurve,IF(OBuySell,AP173,AR173),AQ173))^2*15/365.25/BT173),IF(OVolOverMonthlyOffPeak,OVolOverMonthlyOffPeak,IF(OVolCurve,IF(OBuySell,AD173,AF173),AE173))),"")</f>
        <v>#VALUE!</v>
      </c>
      <c r="CM173" s="1587" t="e">
        <f aca="false">IF(BQ173,SQRT(LN(1+((BY173*BP173)^2*(EXP(CJ173^2*BT173)-1)+(BX173*BC173)^2*(EXP(CL173^2*BT173)-1)+2*BY173*BP173*BX173*BC173*(EXP(AS173*CJ173*CL173*BT173)-1))/(BY173*BP173+BX173*BC173)^2)/BT173),"")</f>
        <v>#VALUE!</v>
      </c>
      <c r="CN173" s="1588" t="e">
        <f aca="false">IF(BS173,SQRT(LN(1+((CE173*BR173)^2*(EXP(CK173^2*BT173)-1)+(CD173*BK173)^2*(EXP(CL173^2*BT173)-1)+2*CE173*BR173*CD173*BK173*(EXP(AS173*CK173*CL173*BT173)-1))/(CE173*BR173+CD173*BK173)^2)/BT173),"")</f>
        <v>#VALUE!</v>
      </c>
      <c r="CO173" s="1531" t="e">
        <f aca="false">IF(OR(BQ173,BS173),VLOOKUP(A173,GasTable,13)*HeatRatePeak*(1+VLOOKUP($B173,HeatRateDegradation,$C173+1))/1000,0)</f>
        <v>#VALUE!</v>
      </c>
      <c r="CP173" s="1316" t="e">
        <f aca="false">IF(OR(BQ173,BS173),VLOOKUP(A173,GasTable,13)*HeatRatePeak*(1+VLOOKUP($B173,HeatRateDegradation,$C173+1))/1000,0)</f>
        <v>#VALUE!</v>
      </c>
      <c r="CQ173" s="1316" t="e">
        <f aca="false">IF(OR(BQ173,BS173),VLOOKUP(A173,GasTable,13)*IF(EV173,HeatRatePeak,HeatRateOffPeak)*(1+VLOOKUP($B173,HeatRateDegradation,$C173+1))/1000,0)</f>
        <v>#VALUE!</v>
      </c>
      <c r="CR173" s="1316" t="e">
        <f aca="false">IF(OR(BQ173,BS173),VLOOKUP(A173,GasTable,13)*IF(EW173,HeatRatePeak,HeatRateOffPeak)*(1+VLOOKUP($B173,HeatRateDegradation,$C173+1))/1000,0)</f>
        <v>#VALUE!</v>
      </c>
      <c r="CS173" s="1589" t="e">
        <f aca="false">IF(BQ173,(CO173*AZ173+CP173*BA173+CQ173*BB173+CR173*BC173)/BQ173,0)</f>
        <v>#VALUE!</v>
      </c>
      <c r="CT173" s="1316" t="e">
        <f aca="false">IF(BS173,CO173,0)</f>
        <v>#VALUE!</v>
      </c>
      <c r="CU173" s="1590" t="e">
        <f aca="false">IF(OR(BQ173,BS173),VLOOKUP(A173,GasTable,14),"")</f>
        <v>#VALUE!</v>
      </c>
      <c r="CV173" s="1568" t="e">
        <f aca="false">IF(OR(BQ173,BS173),IF(CorrPowerGasOverFlag,INDEX(CorrPowerGasOver,C173),CorrPowerGas),"")</f>
        <v>#VALUE!</v>
      </c>
      <c r="CW173" s="1316" t="e">
        <f aca="false">IF(OR($BQ173,$BS173),SpreadOptPowerMargin,0)*((1+Assumptions!$C$26)^($B173-YEAR(Assumptions!$C$17)))</f>
        <v>#VALUE!</v>
      </c>
      <c r="CX173" s="1316" t="e">
        <f aca="false">IF(OR($BQ173,$BS173),SpreadOptPowerMargin,0)*((1+Assumptions!$C$26)^($B173-YEAR(Assumptions!$C$17)))</f>
        <v>#VALUE!</v>
      </c>
      <c r="CY173" s="1316" t="e">
        <f aca="false">IF(OR($BQ173,$BS173),SpreadOptPowerMargin,0)*((1+Assumptions!$C$26)^($B173-YEAR(Assumptions!$C$17)))</f>
        <v>#VALUE!</v>
      </c>
      <c r="CZ173" s="1316" t="e">
        <f aca="false">IF(OR($BQ173,$BS173),SpreadOptPowerMargin,0)*((1+Assumptions!$C$26)^($B173-YEAR(Assumptions!$C$17)))</f>
        <v>#VALUE!</v>
      </c>
      <c r="DA173" s="1591" t="e">
        <f aca="false">IF(OR(BQ173,BS173),(CW173*(AZ173+BH173)+CX173*(BA173+BI173)+CY173*(BB173+BJ173)+CZ173*(BC173+BK173))/(BQ173+BS173),0)</f>
        <v>#VALUE!</v>
      </c>
      <c r="DB173" s="1592" t="e">
        <f aca="false">IF(OR(BQ173,BS173),CG173+IF(OVolSmile,VLOOKUP(MAX(-5,CO173+CW173-BU173),IF(OVolSmile=1,VolSmileBook,VolSmileModel),2),0),"")</f>
        <v>#VALUE!</v>
      </c>
      <c r="DC173" s="1592" t="e">
        <f aca="false">IF(OR(BQ173,BS173),CH173+IF(OVolSmile,VLOOKUP(MAX(-5,CP173+CW173-BV173),IF(OVolSmile=1,VolSmileBook,VolSmileModel),2),0),"")</f>
        <v>#VALUE!</v>
      </c>
      <c r="DD173" s="1592" t="e">
        <f aca="false">IF(OR(BQ173,BS173),CI173+IF(OVolSmile,VLOOKUP(MAX(-5,CQ173+CW173-BW173),IF(OVolSmile=1,VolSmileBook,VolSmileModel),2),0),"")</f>
        <v>#VALUE!</v>
      </c>
      <c r="DE173" s="1592" t="e">
        <f aca="false">IF(OR(BQ173,BS173),CL173+IF(OVolSmile,VLOOKUP(MAX(-5,CR173+CZ173-BX173),IF(OVolSmile=1,VolSmileBook,VolSmileModel),2),0),"")</f>
        <v>#VALUE!</v>
      </c>
      <c r="DF173" s="1592" t="e">
        <f aca="false">IF(BQ173,CM173+IF(OVolSmile,VLOOKUP(MAX(-5,CS173+DA173-BZ173),IF(OVolSmile=1,VolSmileBook,VolSmileModel),2),0),"")</f>
        <v>#VALUE!</v>
      </c>
      <c r="DG173" s="1593" t="e">
        <f aca="false">IF(BS173,CN173+IF(OVolSmile,VLOOKUP(MAX(-5,CT173+DA173-CF173),IF(OVolSmile=1,VolSmileBook,VolSmileModel),2),0),"")</f>
        <v>#VALUE!</v>
      </c>
      <c r="DH173" s="1316" t="e">
        <f aca="false">IF(AND(BU173&gt;0,CO173&gt;0,DB173&gt;0,CU173&gt;0),newSPRDOPT(BU173,CO173,CW173,0,DB173,CU173,CV173,BT173*365.25,OCallPut,0),0)</f>
        <v>#VALUE!</v>
      </c>
      <c r="DI173" s="1316" t="e">
        <f aca="false">IF(AND(BV173&gt;0,CP173&gt;0,DC173&gt;0,CU173&gt;0),newSPRDOPT(BV173,CP173,CX173,0,DC173,CU173,CV173,BT173*365.25,OCallPut,0),0)</f>
        <v>#VALUE!</v>
      </c>
      <c r="DJ173" s="1316" t="e">
        <f aca="false">IF(AND(BW173&gt;0,CQ173&gt;0,DD173&gt;0,CU173&gt;0),newSPRDOPT(BW173,CQ173,CY173,0,DD173,CU173,CV173,BT173*365.25,OCallPut,0),0)</f>
        <v>#VALUE!</v>
      </c>
      <c r="DK173" s="1316" t="e">
        <f aca="false">IF(AND(BX173&gt;0,CR173&gt;0,DE173&gt;0,CU173&gt;0),newSPRDOPT(BX173,CR173,CZ173,0,DE173,CU173,CV173,BT173*365.25,OCallPut,0),0)</f>
        <v>#VALUE!</v>
      </c>
      <c r="DL173" s="1316" t="e">
        <f aca="false">IF(OVolType,IF(AND(BZ173&gt;0,CS173&gt;0,DF173&gt;0,CU173&gt;0),newSPRDOPT(BZ173,CS173,DA173,0,DF173,CU173,CV173,BT173*365.25,OCallPut,0),0),IF(BQ173,(DH173*AZ173+DI173*BA173+DJ173*BB173+DK173*BC173)/BQ173,0))</f>
        <v>#VALUE!</v>
      </c>
      <c r="DM173" s="1316"/>
      <c r="DN173" s="1316"/>
      <c r="DO173" s="1316"/>
      <c r="DP173" s="1316"/>
      <c r="DQ173" s="1316"/>
      <c r="DR173" s="1316"/>
      <c r="DS173" s="1316"/>
      <c r="DT173" s="1316"/>
      <c r="DU173" s="1316"/>
      <c r="DV173" s="1316"/>
      <c r="DW173" s="1594" t="e">
        <f aca="false">IF(AND(BW173&gt;0,CT173&gt;0,DD173&gt;0,CU173&gt;0),newSPRDOPT(BW173,CT173,CY173,0,DD173,CU173,CV173,BT173*365.25,OCallPut,0),0)</f>
        <v>#VALUE!</v>
      </c>
      <c r="DX173" s="1316" t="e">
        <f aca="false">IF(AND(BX173&gt;0,CT173&gt;0,DE173&gt;0,CU173&gt;0),newSPRDOPT(BX173,CT173,CZ173,0,DE173,CU173,CV173,BT173*365.25,OCallPut,0),0)</f>
        <v>#VALUE!</v>
      </c>
      <c r="DY173" s="1591" t="e">
        <f aca="false">IF(BS173,(DH173*BH173+DI173*BI173+DW173*BJ173+DX173*BK173)/BS173,0)</f>
        <v>#VALUE!</v>
      </c>
      <c r="DZ173" s="1551" t="e">
        <f aca="false">DH173*AZ173</f>
        <v>#VALUE!</v>
      </c>
      <c r="EA173" s="1551" t="e">
        <f aca="false">DI173*BA173</f>
        <v>#VALUE!</v>
      </c>
      <c r="EB173" s="1551" t="e">
        <f aca="false">DJ173*BB173</f>
        <v>#VALUE!</v>
      </c>
      <c r="EC173" s="1551" t="e">
        <f aca="false">DK173*BC173</f>
        <v>#VALUE!</v>
      </c>
      <c r="ED173" s="1551" t="e">
        <f aca="false">DL173*BQ173</f>
        <v>#VALUE!</v>
      </c>
      <c r="EE173" s="1595" t="e">
        <f aca="false">IF(BQ173,IF(OCallPut,IF(BU173&gt;(CO173+CW173),BU173-(CO173+CW173),0),IF((CO173+CW173)&gt;BU173,(CO173+CW173)-BU173,0))*AZ173,0)</f>
        <v>#VALUE!</v>
      </c>
      <c r="EF173" s="1596" t="e">
        <f aca="false">IF(BQ173,IF(OCallPut,IF(BV173&gt;(CP173+CX173),BV173-(CP173+CX173),0),IF((CP173+CX173)&gt;BV173,(CP173+CX173)-BV173,0))*BA173,0)</f>
        <v>#VALUE!</v>
      </c>
      <c r="EG173" s="1596" t="e">
        <f aca="false">IF(BQ173,IF(OCallPut,IF(BW173&gt;(CQ173+CY173),BW173-(CQ173+CY173),0),IF((CQ173+CY173)&gt;BW173,(CQ173+CY173)-BW173,0))*BB173,0)</f>
        <v>#VALUE!</v>
      </c>
      <c r="EH173" s="1596" t="e">
        <f aca="false">IF(BQ173,IF(OCallPut,IF(BX173&gt;(CR173+CZ173),BX173-(CR173+CZ173),0),IF((CR173+CZ173)&gt;BX173,(CR173+CZ173)-BX173,0))*BC173,0)</f>
        <v>#VALUE!</v>
      </c>
      <c r="EI173" s="1597" t="e">
        <f aca="false">IF(BQ173,IF(OVolType,IF(OCallPut,IF(BZ173&gt;(CS173+DA173),BZ173-(CS173+DA173),0),IF((CS173+DA173)&gt;BZ173,(CS173+DA173)-BZ173,0))*BQ173,SUM(EE173:EH173)),0)</f>
        <v>#VALUE!</v>
      </c>
      <c r="EJ173" s="1595" t="e">
        <f aca="false">DZ173-EE173</f>
        <v>#VALUE!</v>
      </c>
      <c r="EK173" s="1596" t="e">
        <f aca="false">EA173-EF173</f>
        <v>#VALUE!</v>
      </c>
      <c r="EL173" s="1596" t="e">
        <f aca="false">EB173-EG173</f>
        <v>#VALUE!</v>
      </c>
      <c r="EM173" s="1596" t="e">
        <f aca="false">EC173-EH173</f>
        <v>#VALUE!</v>
      </c>
      <c r="EN173" s="1597" t="e">
        <f aca="false">ED173-EI173</f>
        <v>#VALUE!</v>
      </c>
      <c r="EO173" s="1551" t="e">
        <f aca="false">DH173*BH173</f>
        <v>#VALUE!</v>
      </c>
      <c r="EP173" s="1551" t="e">
        <f aca="false">DI173*BI173</f>
        <v>#VALUE!</v>
      </c>
      <c r="EQ173" s="1551" t="e">
        <f aca="false">DW173*BJ173</f>
        <v>#VALUE!</v>
      </c>
      <c r="ER173" s="1551" t="e">
        <f aca="false">DX173*BK173</f>
        <v>#VALUE!</v>
      </c>
      <c r="ES173" s="1551" t="e">
        <f aca="false">DY173*BS173</f>
        <v>#VALUE!</v>
      </c>
      <c r="ET173" s="1566" t="e">
        <f aca="false">IF(EI173,IF(OCallPut,IF(CA173&gt;(CT173+CW173),CA173-(CT173+CW173),0),IF((CT173+CW173)&gt;CA173,(CT173+CW173)-CA173,0))*BH173,0)</f>
        <v>#VALUE!</v>
      </c>
      <c r="EU173" s="1551" t="e">
        <f aca="false">IF(EI173,IF(OCallPut,IF(CB173&gt;(CT173+CX173),CB173-(CT173+CX173),0),IF((CT173+CX173)&gt;CB173,(CT173+CX173)-CB173,0))*BI173,0)</f>
        <v>#VALUE!</v>
      </c>
      <c r="EV173" s="1551" t="e">
        <f aca="false">IF(EI173,IF(OCallPut,IF(CC173&gt;(CT173+CY173),CC173-(CT173+CY173),0),IF((CT173+CY173)&gt;CC173,(CT173+CY173)-CC173,0))*BJ173,0)</f>
        <v>#VALUE!</v>
      </c>
      <c r="EW173" s="1551" t="e">
        <f aca="false">IF(EI173,IF(OCallPut,IF(CD173&gt;(CT173+CZ173),CD173-(CT173+CZ173),0),IF((CT173+CZ173)&gt;CD173,(CT173+CZ173)-CD173,0))*BK173,0)</f>
        <v>#VALUE!</v>
      </c>
      <c r="EX173" s="1558" t="e">
        <f aca="false">IF(EI173,SUM(ET173:EW173),0)</f>
        <v>#VALUE!</v>
      </c>
      <c r="EY173" s="1551" t="e">
        <f aca="false">EO173-ET173</f>
        <v>#VALUE!</v>
      </c>
      <c r="EZ173" s="1551" t="e">
        <f aca="false">EP173-EU173</f>
        <v>#VALUE!</v>
      </c>
      <c r="FA173" s="1551" t="e">
        <f aca="false">EQ173-EV173</f>
        <v>#VALUE!</v>
      </c>
      <c r="FB173" s="1551" t="e">
        <f aca="false">ER173-EW173</f>
        <v>#VALUE!</v>
      </c>
      <c r="FC173" s="1551" t="e">
        <f aca="false">ES173-EX173</f>
        <v>#VALUE!</v>
      </c>
      <c r="FD173" s="1525" t="n">
        <f aca="false">IF(AX173,IF(VLOOKUP(C173,MAIN!$L$17:$M$28,2)="Yes",VLOOKUP(CALC!B173,MAIN!$H$17:$I$20,2),0),0)</f>
        <v>0</v>
      </c>
      <c r="FE173" s="1552" t="e">
        <f aca="false">$FD173*16*AT173*(1-$AY173)</f>
        <v>#VALUE!</v>
      </c>
      <c r="FF173" s="1553" t="e">
        <f aca="false">$FD173*16*AU173*(1-$AY173)</f>
        <v>#VALUE!</v>
      </c>
      <c r="FG173" s="1553" t="e">
        <f aca="false">$FD173*16*(AV173+AW173)*(1-$AY173)</f>
        <v>#VALUE!</v>
      </c>
      <c r="FH173" s="1554" t="n">
        <f aca="false">$FD173*8*AX173*(1-$AY173)</f>
        <v>0</v>
      </c>
      <c r="FI173" s="1555" t="n">
        <f aca="false">IF(AX173,VLOOKUP(CALC!B173,MAIN!$H$17:$K$20,4),0)</f>
        <v>0</v>
      </c>
      <c r="FJ173" s="1553" t="e">
        <f aca="false">SUM(FE173:FH173)</f>
        <v>#VALUE!</v>
      </c>
      <c r="FK173" s="1556" t="e">
        <f aca="false">FI173*FJ173</f>
        <v>#VALUE!</v>
      </c>
      <c r="FL173" s="1551" t="e">
        <f aca="false">IF($EI173&gt;0,MIN(FE173,AZ173*(1+VLOOKUP($C173,WeatherCapacityAdjustment,2))),0)</f>
        <v>#VALUE!</v>
      </c>
      <c r="FM173" s="1551" t="e">
        <f aca="false">IF($EI173&gt;0,MIN(FF173,BA173*(1+VLOOKUP($C173,WeatherCapacityAdjustment,2))),0)</f>
        <v>#VALUE!</v>
      </c>
      <c r="FN173" s="1551" t="e">
        <f aca="false">IF($EI173&gt;0,MIN(FG173,BB173*(1+VLOOKUP($C173,WeatherCapacityAdjustment,2))),0)</f>
        <v>#VALUE!</v>
      </c>
      <c r="FO173" s="1564" t="e">
        <f aca="false">IF($EI173&gt;0,MIN(FH173,BC173*(1+VLOOKUP($C173,WeatherCapacityAdjustment,3))),0)</f>
        <v>#VALUE!</v>
      </c>
      <c r="FP173" s="1551" t="e">
        <f aca="false">IF(ET173&gt;0,MIN(FE173-FL173,BH173*(1+VLOOKUP($C173,WeatherCapacityAdjustment,2))),0)</f>
        <v>#VALUE!</v>
      </c>
      <c r="FQ173" s="1551" t="e">
        <f aca="false">IF(EU173&gt;0,MIN(FF173-FM173,BI173*(1+VLOOKUP($C173,WeatherCapacityAdjustment,2))),0)</f>
        <v>#VALUE!</v>
      </c>
      <c r="FR173" s="1551" t="e">
        <f aca="false">IF(EV173&gt;0,MIN(FG173-FN173,BJ173*(1+VLOOKUP($C173,WeatherCapacityAdjustment,2))),0)</f>
        <v>#VALUE!</v>
      </c>
      <c r="FS173" s="1558" t="e">
        <f aca="false">IF(EW173&gt;0,MIN(FH173-FO173,BK173*(1+VLOOKUP($C173,WeatherCapacityAdjustment,3))),0)</f>
        <v>#VALUE!</v>
      </c>
      <c r="FT173" s="1566" t="e">
        <f aca="false">IF(AND(Assumptions!$H$71="Yes",A173&gt;=Assumptions!$H$72,A173&lt;=Assumptions!$H$73),0,IF(AND($A173&gt;=Assumptions!$C$17,$A173&lt;=Assumptions!$C$18),MAX(AZ173*(1+VLOOKUP($C173,WeatherCapacityAdjustment,2))-FL173,0),0))</f>
        <v>#VALUE!</v>
      </c>
      <c r="FU173" s="1551" t="e">
        <f aca="false">IF(AND(Assumptions!$H$71="Yes",A173&gt;=Assumptions!$H$72,A173&lt;=Assumptions!$H$73),0,IF(AND($A173&gt;=Assumptions!$C$17,$A173&lt;=Assumptions!$C$18),MAX(BA173*(1+VLOOKUP($C173,WeatherCapacityAdjustment,2))-FM173,0),0))</f>
        <v>#VALUE!</v>
      </c>
      <c r="FV173" s="1551" t="e">
        <f aca="false">IF(AND(Assumptions!$H$71="Yes",A173&gt;=Assumptions!$H$72,A173&lt;=Assumptions!$H$73),0,IF(AND($A173&gt;=Assumptions!$C$17,$A173&lt;=Assumptions!$C$18),MAX(BB173*(1+VLOOKUP($C173,WeatherCapacityAdjustment,2))-FN173,0),0))</f>
        <v>#VALUE!</v>
      </c>
      <c r="FW173" s="1564" t="e">
        <f aca="false">IF(AND(Assumptions!$H$71="Yes",A173&gt;=Assumptions!$H$72,A173&lt;=Assumptions!$H$73),0,IF(AND($A173&gt;=Assumptions!$C$17,$A173&lt;=Assumptions!$C$18),MAX(BC173*(1+VLOOKUP($C173,WeatherCapacityAdjustment,3))-FO173,0),0))</f>
        <v>#VALUE!</v>
      </c>
      <c r="FX173" s="1569" t="e">
        <f aca="false">IF(AND(Assumptions!$H$71="Yes",A173&gt;=Assumptions!$H$72,A173&lt;=Assumptions!$H$73),0,IF(ET173&gt;0,MAX(BH173*(1+VLOOKUP($C173,WeatherCapacityAdjustment,2))-FP173,0),0))</f>
        <v>#VALUE!</v>
      </c>
      <c r="FY173" s="1551" t="e">
        <f aca="false">IF(AND(Assumptions!$H$71="Yes",A173&gt;=Assumptions!$H$72,A173&lt;=Assumptions!$H$73),0,IF(EU173&gt;0,MAX(BI173*(1+VLOOKUP($C173,WeatherCapacityAdjustment,3))-FQ173,0),0))</f>
        <v>#VALUE!</v>
      </c>
      <c r="FZ173" s="1551" t="e">
        <f aca="false">IF(AND(Assumptions!$H$71="Yes",A173&gt;=Assumptions!$H$72,A173&lt;=Assumptions!$H$73),0,IF(EV173&gt;0,MAX(BJ173*(1+VLOOKUP($C173,WeatherCapacityAdjustment,2))-FR173,0),0))</f>
        <v>#VALUE!</v>
      </c>
      <c r="GA173" s="1564" t="e">
        <f aca="false">IF(AND(Assumptions!$H$71="Yes",A173&gt;=Assumptions!$H$72,A173&lt;=Assumptions!$H$73),0,IF(EW173&gt;0,MAX(BK173*(1+VLOOKUP($C173,WeatherCapacityAdjustment,2))-FS173,0),0))</f>
        <v>#VALUE!</v>
      </c>
      <c r="GB173" s="1551" t="e">
        <f aca="false">SUM(FT173:GA173)</f>
        <v>#VALUE!</v>
      </c>
      <c r="GC173" s="1563" t="e">
        <f aca="false">+IF(SUM(FT173:GA173)=0,0,(SUMPRODUCT(BU173:BX173,FT173:FW173)+SUMPRODUCT(CA173:CD173,FX173:GA173))/SUM(FT173:GA173))</f>
        <v>#VALUE!</v>
      </c>
      <c r="GD173" s="1551" t="e">
        <f aca="false">(FT173*BU173+FX173*CA173+FU173*BV173+FY173*CB173+FV173*BW173+FZ173*CC173+FW173*BX173+GA173*CD173)</f>
        <v>#VALUE!</v>
      </c>
      <c r="GE173" s="1561" t="e">
        <f aca="false">+IF(BQ173,((FL173+FM173+FT173+FU173)*HeatRatePeak/1000*(1+VLOOKUP($C173,WeatherHeatRateAdjustment,2))+(FN173+FV173)*IF(EV173&gt;0,HeatRatePeak,HeatRateOffPeak)/1000*(1+VLOOKUP($C173,WeatherHeatRateAdjustment,2))+(FO173+FW173)*IF(EW173&gt;0,HeatRatePeak,HeatRateOffPeak)/1000*(1+VLOOKUP($C173,WeatherHeatRateAdjustment,3)))*(1+VLOOKUP($B173,HeatRateDegradation,$C173+1)),0)</f>
        <v>#VALUE!</v>
      </c>
      <c r="GF173" s="1562" t="e">
        <f aca="false">IF(BQ173,((FP173+FQ173+FR173+FX173+FY173+FZ173)*HeatRatePeak/1000*(1+VLOOKUP($C173,WeatherHeatRateAdjustment,2))+(FS173+GA173)*HeatRatePeak/1000*(1+VLOOKUP($C173,WeatherHeatRateAdjustment,3)))*(1+VLOOKUP($B173,HeatRateDegradation,$C173+1)),0)</f>
        <v>#VALUE!</v>
      </c>
      <c r="GG173" s="1563" t="e">
        <f aca="false">IF(BQ173,VLOOKUP(A173,GasTable,13),0)</f>
        <v>#VALUE!</v>
      </c>
      <c r="GH173" s="1564" t="e">
        <f aca="false">(GE173+GF173)*GG173</f>
        <v>#VALUE!</v>
      </c>
      <c r="GI173" s="1569" t="e">
        <f aca="false">GB173</f>
        <v>#VALUE!</v>
      </c>
      <c r="GJ173" s="1598" t="e">
        <f aca="false">+DA173</f>
        <v>#VALUE!</v>
      </c>
      <c r="GK173" s="1558" t="e">
        <f aca="false">+GI173*GJ173</f>
        <v>#VALUE!</v>
      </c>
      <c r="GL173" s="1566" t="e">
        <f aca="false">MAX(FE173-FL173-FP173,0)</f>
        <v>#VALUE!</v>
      </c>
      <c r="GM173" s="1551" t="e">
        <f aca="false">MAX(FF173-FM173-FQ173,0)</f>
        <v>#VALUE!</v>
      </c>
      <c r="GN173" s="1551" t="e">
        <f aca="false">MAX(FG173-FN173-FR173,0)</f>
        <v>#VALUE!</v>
      </c>
      <c r="GO173" s="1564" t="e">
        <f aca="false">MAX(FH173-FO173-FS173,0)</f>
        <v>#VALUE!</v>
      </c>
      <c r="GP173" s="1551" t="e">
        <f aca="false">SUM(GL173:GO173)</f>
        <v>#VALUE!</v>
      </c>
      <c r="GQ173" s="1563" t="e">
        <f aca="false">IF(SUM(GL173:GO173)=0,0,((GL173*BU173+GM173*BV173+GN173*BW173+GO173*BX173)/SUM(GL173:GO173)))</f>
        <v>#VALUE!</v>
      </c>
      <c r="GR173" s="1558" t="e">
        <f aca="false">(GL173*BU173+GM173*BV173+GN173*BW173+GO173*BX173)</f>
        <v>#VALUE!</v>
      </c>
      <c r="GS173" s="1566" t="n">
        <f aca="false">IF($A173&gt;=BegDate,Assumptions!$C$56*24*($A174-$A173)*(1-VLOOKUP($B173,MAIN!$AA$7:$AM$28,$C173+1))*(1-VLOOKUP($B173,MAIN!$AA$33:$AM$54,$C173+1)),0)*80/168</f>
        <v>257742.857142857</v>
      </c>
      <c r="GT173" s="286" t="n">
        <f aca="false">J173</f>
        <v>45.5310725720823</v>
      </c>
      <c r="GU173" s="286" t="n">
        <f aca="false">IF($A173&gt;=BegDate,VLOOKUP($A173,GasTable,13)+Assumptions!$C$58,0)</f>
        <v>2.92577057460567</v>
      </c>
      <c r="GV173" s="286" t="n">
        <f aca="false">GU173*Assumptions!$C$57/1000</f>
        <v>21.2118366658911</v>
      </c>
      <c r="GW173" s="1558" t="n">
        <f aca="false">IF(Assumptions!$C$60="Hourly",MAX(0,GS173*(GT173-GV173)),GS173*(GT173-GV173))</f>
        <v>6268109.34599287</v>
      </c>
      <c r="GX173" s="1566" t="n">
        <f aca="false">IF($A173&gt;=BegDate,Assumptions!$C$56*24*($A174-$A173)*(1-VLOOKUP($B173,MAIN!$AA$7:$AM$28,$C173+1))*(1-VLOOKUP($B173,MAIN!$AA$33:$AM$54,$C173+1)),0)*16/168</f>
        <v>51548.5714285714</v>
      </c>
      <c r="GY173" s="286" t="n">
        <f aca="false">M173</f>
        <v>45.5310725720823</v>
      </c>
      <c r="GZ173" s="286" t="n">
        <f aca="false">IF($A173&gt;=BegDate,VLOOKUP($A173,GasTable,13)+Assumptions!$C$58,0)</f>
        <v>2.92577057460567</v>
      </c>
      <c r="HA173" s="286" t="n">
        <f aca="false">GZ173*Assumptions!$C$57/1000</f>
        <v>21.2118366658911</v>
      </c>
      <c r="HB173" s="1558" t="n">
        <f aca="false">IF(Assumptions!$C$60="Hourly",MAX(0,GX173*(GY173-HA173)),GX173*(GY173-HA173))</f>
        <v>1253621.86919858</v>
      </c>
      <c r="HC173" s="1566" t="n">
        <f aca="false">IF($A173&gt;=BegDate,Assumptions!$C$56*24*($A174-$A173)*(1-VLOOKUP($B173,MAIN!$AA$7:$AM$28,$C173+1))*(1-VLOOKUP($B173,MAIN!$AA$33:$AM$54,$C173+1)),0)*16/168</f>
        <v>51548.5714285714</v>
      </c>
      <c r="HD173" s="286" t="n">
        <f aca="false">P173</f>
        <v>25.989333369795</v>
      </c>
      <c r="HE173" s="286" t="n">
        <f aca="false">IF($A173&gt;=BegDate,VLOOKUP($A173,GasTable,13)+Assumptions!$C$58,0)</f>
        <v>2.92577057460567</v>
      </c>
      <c r="HF173" s="286" t="n">
        <f aca="false">HE173*Assumptions!$C$57/1000</f>
        <v>21.2118366658911</v>
      </c>
      <c r="HG173" s="1558" t="n">
        <f aca="false">IF(Assumptions!$C$60="Hourly",MAX(0,HC173*(HD173-HF173)),HC173*(HD173-HF173))</f>
        <v>246273.130090957</v>
      </c>
      <c r="HH173" s="1566" t="n">
        <f aca="false">IF($A173&gt;=BegDate,Assumptions!$C$56*24*($A174-$A173)*(1-VLOOKUP($B173,MAIN!$AA$7:$AM$28,$C173+1))*(1-VLOOKUP($B173,MAIN!$AA$33:$AM$54,$C173+1)),0)*56/168</f>
        <v>180420</v>
      </c>
      <c r="HI173" s="286" t="n">
        <f aca="false">S173</f>
        <v>25.989333369795</v>
      </c>
      <c r="HJ173" s="286" t="n">
        <f aca="false">IF($A173&gt;=BegDate,VLOOKUP($A173,GasTable,13)+Assumptions!$C$58,0)</f>
        <v>2.92577057460567</v>
      </c>
      <c r="HK173" s="286" t="n">
        <f aca="false">HJ173*Assumptions!$C$57/1000</f>
        <v>21.2118366658911</v>
      </c>
      <c r="HL173" s="1558" t="n">
        <f aca="false">IF(Assumptions!$C$60="Hourly",MAX(0,HH173*(HI173-HK173)),HH173*(HI173-HK173))</f>
        <v>861955.955318349</v>
      </c>
      <c r="HM173" s="1566" t="n">
        <f aca="false">IF(AND(Assumptions!$H$71="Yes",A173&gt;=Assumptions!$H$72,A173&lt;=Assumptions!$H$73),Assumptions!$H$74*Assumptions!$C$9*1000,0)</f>
        <v>0</v>
      </c>
      <c r="HN173" s="1551"/>
      <c r="HO173" s="1563"/>
      <c r="HP173" s="1563"/>
      <c r="HQ173" s="1563"/>
      <c r="HR173" s="1563"/>
      <c r="HS173" s="1563"/>
      <c r="HT173" s="1563"/>
      <c r="HU173" s="1563"/>
      <c r="HV173" s="1563"/>
      <c r="HW173" s="1563"/>
      <c r="HX173" s="1563"/>
      <c r="HY173" s="1563"/>
      <c r="HZ173" s="1563"/>
      <c r="IA173" s="1563"/>
      <c r="IB173" s="1563"/>
      <c r="IC173" s="1563"/>
      <c r="ID173" s="1563"/>
      <c r="IE173" s="1563"/>
      <c r="IF173" s="1563"/>
      <c r="IG173" s="1563"/>
      <c r="IH173" s="1563"/>
      <c r="II173" s="1610"/>
      <c r="IJ173" s="1309"/>
      <c r="IK173" s="1309"/>
    </row>
    <row r="174" customFormat="false" ht="12.75" hidden="false" customHeight="false" outlineLevel="0" collapsed="false">
      <c r="A174" s="1571" t="n">
        <f aca="false">EOMONTH(A173,0)+1</f>
        <v>41426</v>
      </c>
      <c r="B174" s="594" t="n">
        <f aca="false">+YEAR(A174)</f>
        <v>2013</v>
      </c>
      <c r="C174" s="238" t="n">
        <f aca="false">MONTH(A174)</f>
        <v>6</v>
      </c>
      <c r="D174" s="1572" t="e">
        <f aca="false">IF(E174="","",Holiday(B174,C174))</f>
        <v>#VALUE!</v>
      </c>
      <c r="E174" s="1573" t="n">
        <f aca="false">IF(OR(BegDate&gt;=A175,EndDate&lt;A174,AND(VolumeMonthlyOverFlag,INDEX(VolumeMonthlyOver,C174)=0),NOT(INDEX(MonthKnockOutTable,C174))),"",MAX(A174,BegDate))</f>
        <v>41426</v>
      </c>
      <c r="F174" s="1574" t="n">
        <f aca="false">IF(E174="","",MIN(A175-1,EndDate))</f>
        <v>41455</v>
      </c>
      <c r="G174" s="1575" t="n">
        <v>0</v>
      </c>
      <c r="H174" s="1576" t="n">
        <f aca="false">(1+G174/2)^(-2*(DATE(B175,C175,20)-DateToday)/365.25)</f>
        <v>1</v>
      </c>
      <c r="I174" s="1568" t="n">
        <f aca="false">IF(Assumptions!$L$25=4,VLOOKUP($A174,'Henwood Reference'!$E$9:$R$320,10),(VLOOKUP($A174,PriceTable,2,0)+IF(BasisNumber&lt;&gt;1,VLOOKUP($A174,BasisTable,2,0),0)+I$1)/(1-I$2))</f>
        <v>40.704108791207</v>
      </c>
      <c r="J174" s="1568" t="n">
        <f aca="false">IF(Assumptions!$L$25=4,VLOOKUP($A174,'Henwood Reference'!$E$9:$R$320,10),(VLOOKUP($A174,PriceTable,3,0)+IF(BasisNumber&lt;&gt;1,VLOOKUP($A174,BasisTable,2,0),0)+J$1)/(1-J$2))</f>
        <v>40.704108791207</v>
      </c>
      <c r="K174" s="1568" t="n">
        <f aca="false">IF(Assumptions!$L$25=4,VLOOKUP($A174,'Henwood Reference'!$E$9:$R$320,10),(VLOOKUP($A174,PriceTable,4,0)+IF(BasisNumber&lt;&gt;1,VLOOKUP($A174,BasisTable,2,0),0)+K$1)/(1-K$2))</f>
        <v>40.704108791207</v>
      </c>
      <c r="L174" s="1523" t="n">
        <f aca="false">IF(Assumptions!$L$25=4,VLOOKUP($A174,'Henwood Reference'!$E$9:$R$320,10),(VLOOKUP($A174,PriceTableWeekend,2,0)+IF(BasisNumber&lt;&gt;1,VLOOKUP($A174,BasisTable,2,0),0)+L$1)/(1-L$2))</f>
        <v>40.704108791207</v>
      </c>
      <c r="M174" s="1568" t="n">
        <f aca="false">IF(Assumptions!$L$25=4,VLOOKUP($A174,'Henwood Reference'!$E$9:$R$320,10),(VLOOKUP($A174,PriceTableWeekend,3,0)+IF(BasisNumber&lt;&gt;1,VLOOKUP($A174,BasisTable,2,0),0)+M$1)/(1-M$2))</f>
        <v>40.704108791207</v>
      </c>
      <c r="N174" s="1599" t="n">
        <f aca="false">IF(Assumptions!$L$25=4,VLOOKUP($A174,'Henwood Reference'!$E$9:$R$320,10),(VLOOKUP($A174,PriceTableWeekend,4,0)+IF(BasisNumber&lt;&gt;1,VLOOKUP($A174,BasisTable,2,0),0)+N$1)/(1-N$2))</f>
        <v>40.704108791207</v>
      </c>
      <c r="O174" s="1568" t="n">
        <f aca="false">IF(Assumptions!$L$25=4,VLOOKUP($A174,'Henwood Reference'!$E$9:$R$320,11),(VLOOKUP($A174,PriceTableWeekend,6,0)+IF(BasisNumber&lt;&gt;1,VLOOKUP($A174,BasisTable,3,0),0)+O$1)/(1-O$2))</f>
        <v>24.2784092403569</v>
      </c>
      <c r="P174" s="1568" t="n">
        <f aca="false">IF(Assumptions!$L$25=4,VLOOKUP($A174,'Henwood Reference'!$E$9:$R$320,11),(VLOOKUP($A174,PriceTableWeekend,7,0)+IF(BasisNumber&lt;&gt;1,VLOOKUP($A174,BasisTable,3,0),0)+P$1)/(1-P$2))</f>
        <v>24.2784092403569</v>
      </c>
      <c r="Q174" s="1599" t="n">
        <f aca="false">IF(Assumptions!$L$25=4,VLOOKUP($A174,'Henwood Reference'!$E$9:$R$320,11),(VLOOKUP($A174,PriceTableWeekend,8,0)+IF(BasisNumber&lt;&gt;1,VLOOKUP($A174,BasisTable,3,0),0)+Q$1)/(1-Q$2))</f>
        <v>24.2784092403569</v>
      </c>
      <c r="R174" s="1568" t="n">
        <f aca="false">IF(Assumptions!$L$25=4,VLOOKUP($A174,'Henwood Reference'!$E$9:$R$320,11),(VLOOKUP($A174,PriceTable,6,0)+IF(BasisNumber&lt;&gt;1,VLOOKUP($A174,BasisTable,3,0),0)+R$1)/(1-R$2))</f>
        <v>24.2784092403569</v>
      </c>
      <c r="S174" s="1568" t="n">
        <f aca="false">IF(Assumptions!$L$25=4,VLOOKUP($A174,'Henwood Reference'!$E$9:$R$320,11),(VLOOKUP($A174,PriceTable,7,0)+IF(BasisNumber&lt;&gt;1,VLOOKUP($A174,BasisTable,3,0),0)+S$1)/(1-S$2))</f>
        <v>24.2784092403569</v>
      </c>
      <c r="T174" s="1600" t="n">
        <f aca="false">IF(Assumptions!$L$25=4,VLOOKUP($A174,'Henwood Reference'!$E$9:$R$320,11),(VLOOKUP($A174,PriceTable,8,0)+IF(BasisNumber&lt;&gt;1,VLOOKUP($A174,BasisTable,3,0),0)+T$1)/(1-T$2))</f>
        <v>24.2784092403569</v>
      </c>
      <c r="U174" s="1513" t="n">
        <f aca="false">VLOOKUP($A174,VolatilityTable,14)</f>
        <v>0.105</v>
      </c>
      <c r="V174" s="1513" t="n">
        <f aca="false">VLOOKUP($A174,VolatilityTable,15)</f>
        <v>0.115</v>
      </c>
      <c r="W174" s="1514" t="n">
        <f aca="false">VLOOKUP($A174,VolatilityTable,16)</f>
        <v>0.125</v>
      </c>
      <c r="X174" s="1513" t="n">
        <f aca="false">VLOOKUP($A174,VolatilityTable,14)</f>
        <v>0.105</v>
      </c>
      <c r="Y174" s="1513" t="n">
        <f aca="false">VLOOKUP($A174,VolatilityTable,15)</f>
        <v>0.115</v>
      </c>
      <c r="Z174" s="1514" t="n">
        <f aca="false">VLOOKUP($A174,VolatilityTable,16)</f>
        <v>0.125</v>
      </c>
      <c r="AA174" s="1513" t="n">
        <f aca="false">VLOOKUP($A174,VolatilityTable,18)</f>
        <v>0.09</v>
      </c>
      <c r="AB174" s="1513" t="n">
        <f aca="false">VLOOKUP($A174,VolatilityTable,19)</f>
        <v>0.11</v>
      </c>
      <c r="AC174" s="1514" t="n">
        <f aca="false">VLOOKUP($A174,VolatilityTable,20)</f>
        <v>0.13</v>
      </c>
      <c r="AD174" s="1513" t="n">
        <f aca="false">VLOOKUP($A174,VolatilityTable,18)</f>
        <v>0.09</v>
      </c>
      <c r="AE174" s="1513" t="n">
        <f aca="false">VLOOKUP($A174,VolatilityTable,19)</f>
        <v>0.11</v>
      </c>
      <c r="AF174" s="1514" t="n">
        <f aca="false">VLOOKUP($A174,VolatilityTable,20)</f>
        <v>0.13</v>
      </c>
      <c r="AG174" s="1513" t="n">
        <f aca="false">VLOOKUP($A174,VolatilityTable,22)</f>
        <v>-0.35</v>
      </c>
      <c r="AH174" s="1513" t="n">
        <f aca="false">VLOOKUP($A174,VolatilityTable,23)</f>
        <v>0.65</v>
      </c>
      <c r="AI174" s="1514" t="n">
        <f aca="false">VLOOKUP($A174,VolatilityTable,24)</f>
        <v>0.2</v>
      </c>
      <c r="AJ174" s="1513" t="n">
        <f aca="false">VLOOKUP($A174,VolatilityTable,22)</f>
        <v>-0.35</v>
      </c>
      <c r="AK174" s="1513" t="n">
        <f aca="false">VLOOKUP($A174,VolatilityTable,23)</f>
        <v>0.65</v>
      </c>
      <c r="AL174" s="1514" t="n">
        <f aca="false">VLOOKUP($A174,VolatilityTable,24)</f>
        <v>0.2</v>
      </c>
      <c r="AM174" s="1513" t="n">
        <f aca="false">VLOOKUP($A174,VolatilityTable,26)</f>
        <v>-0.01</v>
      </c>
      <c r="AN174" s="1513" t="n">
        <f aca="false">VLOOKUP($A174,VolatilityTable,27)</f>
        <v>0.16</v>
      </c>
      <c r="AO174" s="1514" t="n">
        <f aca="false">VLOOKUP($A174,VolatilityTable,28)</f>
        <v>0.01</v>
      </c>
      <c r="AP174" s="1513" t="n">
        <f aca="false">VLOOKUP($A174,VolatilityTable,26)</f>
        <v>-0.01</v>
      </c>
      <c r="AQ174" s="1513" t="n">
        <f aca="false">VLOOKUP($A174,VolatilityTable,27)</f>
        <v>0.16</v>
      </c>
      <c r="AR174" s="1515" t="n">
        <f aca="false">VLOOKUP($A174,VolatilityTable,28)</f>
        <v>0.01</v>
      </c>
      <c r="AS174" s="1581" t="n">
        <f aca="false">IF(CorrPeakOffPeakOverFlag,INDEX(CorrPeakOffPeakOver,C174),CorrPeakOffPeak)</f>
        <v>0.5</v>
      </c>
      <c r="AT174" s="594" t="e">
        <f aca="false">AX174-SUM(AU174:AW174)</f>
        <v>#VALUE!</v>
      </c>
      <c r="AU174" s="238" t="e">
        <f aca="false">IF(E174="",0,INT((F174-MOD(F174,7)-E174)/7)+1-IF(AW174,IF(WEEKDAY(D174)=7,1,0),0))</f>
        <v>#VALUE!</v>
      </c>
      <c r="AV174" s="238" t="e">
        <f aca="false">IF(E174="",0,INT((F174-MOD(F174-1,7)-E174)/7)+1-IF(AW174,IF(WEEKDAY(D174)=1,1,0),0))</f>
        <v>#VALUE!</v>
      </c>
      <c r="AW174" s="238" t="e">
        <f aca="false">IF(OR(E174="",D174="",D174&lt;BegDate,D174&gt;EndDate),0,1)</f>
        <v>#VALUE!</v>
      </c>
      <c r="AX174" s="238" t="n">
        <f aca="false">IF(E174="",0,F174-E174+1)</f>
        <v>30</v>
      </c>
      <c r="AY174" s="1582" t="n">
        <f aca="false">IF(E174="",0,MIN((1-(1-VLOOKUP(B174,MAIN!$AA$7:$AM$28,C174+1))*(1-VLOOKUP(B174,MAIN!$AA$33:$AM$54,C174+1))),1))</f>
        <v>0.03</v>
      </c>
      <c r="AZ174" s="1519" t="e">
        <v>#VALUE!</v>
      </c>
      <c r="BA174" s="1520" t="e">
        <v>#VALUE!</v>
      </c>
      <c r="BB174" s="1520" t="e">
        <v>#VALUE!</v>
      </c>
      <c r="BC174" s="1583" t="e">
        <v>#VALUE!</v>
      </c>
      <c r="BD174" s="1522" t="e">
        <v>#VALUE!</v>
      </c>
      <c r="BE174" s="1523" t="e">
        <v>#VALUE!</v>
      </c>
      <c r="BF174" s="1523" t="e">
        <v>#VALUE!</v>
      </c>
      <c r="BG174" s="1584" t="e">
        <v>#VALUE!</v>
      </c>
      <c r="BH174" s="1525" t="e">
        <v>#VALUE!</v>
      </c>
      <c r="BI174" s="1520" t="e">
        <v>#VALUE!</v>
      </c>
      <c r="BJ174" s="1520" t="e">
        <v>#VALUE!</v>
      </c>
      <c r="BK174" s="1583" t="e">
        <v>#VALUE!</v>
      </c>
      <c r="BL174" s="1522" t="e">
        <v>#VALUE!</v>
      </c>
      <c r="BM174" s="1523" t="e">
        <v>#VALUE!</v>
      </c>
      <c r="BN174" s="1523" t="e">
        <v>#VALUE!</v>
      </c>
      <c r="BO174" s="1523" t="e">
        <v>#VALUE!</v>
      </c>
      <c r="BP174" s="1525" t="e">
        <f aca="false">SUM(AZ174:BB174)</f>
        <v>#VALUE!</v>
      </c>
      <c r="BQ174" s="1529" t="e">
        <f aca="false">SUM(AZ174:BC174)</f>
        <v>#VALUE!</v>
      </c>
      <c r="BR174" s="1519" t="e">
        <f aca="false">SUM(BH174:BJ174)</f>
        <v>#VALUE!</v>
      </c>
      <c r="BS174" s="1529" t="e">
        <f aca="false">SUM(BH174:BK174)</f>
        <v>#VALUE!</v>
      </c>
      <c r="BT174" s="1316" t="n">
        <f aca="false">(IF(OVolType&lt;&gt;2,A174+14,IF(OptExpDateShift,ShiftBack(A174,OptExpDateShift,D173),A174))-DateToday)/365.25</f>
        <v>13.1307323750856</v>
      </c>
      <c r="BU174" s="1585" t="e">
        <f aca="false">IF(BQ174,IF(OPriceCurve,IF(OBuySell=OCallPut,I174/(1-AY174),K174/(1-AY174)),J174/(1-AY174))*BD174,0)</f>
        <v>#VALUE!</v>
      </c>
      <c r="BV174" s="1316" t="e">
        <f aca="false">IF(BQ174,IF(OPriceCurve,IF(OBuySell=OCallPut,L174/(1-AY174),N174/(1-AY174)),M174/(1-AY174))*BE174,0)</f>
        <v>#VALUE!</v>
      </c>
      <c r="BW174" s="1316" t="e">
        <f aca="false">IF(BQ174,IF(OPriceCurve,IF(OBuySell=OCallPut,O174/(1-AY174),Q174/(1-AY174)),P174/(1-AY174))*BF174,0)</f>
        <v>#VALUE!</v>
      </c>
      <c r="BX174" s="1316" t="e">
        <f aca="false">IF(BQ174,IF(OPriceCurve,IF(OBuySell=OCallPut,R174/(1-AY174),T174/(1-AY174)),S174/(1-AY174))*BG174,0)</f>
        <v>#VALUE!</v>
      </c>
      <c r="BY174" s="1316" t="e">
        <f aca="false">IF(BP174,(BU174*AZ174+BV174*BA174+BW174*BB174)/BP174,0)</f>
        <v>#VALUE!</v>
      </c>
      <c r="BZ174" s="1316" t="e">
        <f aca="false">IF(BQ174,(BY174*BP174+BX174*BC174)/BQ174,0)</f>
        <v>#VALUE!</v>
      </c>
      <c r="CA174" s="1531" t="e">
        <f aca="false">IF(BS174,IF(OPriceCurve,IF(OBuySell=OCallPut,I174/(1-AY174),K174/(1-AY174)),J174/(1-AY174))*BL174,0)</f>
        <v>#VALUE!</v>
      </c>
      <c r="CB174" s="1316" t="e">
        <f aca="false">IF(BS174,IF(OPriceCurve,IF(OBuySell=OCallPut,L174/(1-AY174),N174/(1-AY174)),M174/(1-AY174))*BM174,0)</f>
        <v>#VALUE!</v>
      </c>
      <c r="CC174" s="1316" t="e">
        <f aca="false">IF(BS174,IF(OPriceCurve,IF(OBuySell=OCallPut,O174/(1-AY174),Q174/(1-AY174)),P174/(1-AY174))*BN174,0)</f>
        <v>#VALUE!</v>
      </c>
      <c r="CD174" s="1316" t="e">
        <f aca="false">IF(BS174,IF(OPriceCurve,IF(OBuySell=OCallPut,R174/(1-AY174),T174/(1-AY174)),S174/(1-AY174))*BO174,0)</f>
        <v>#VALUE!</v>
      </c>
      <c r="CE174" s="1316" t="e">
        <f aca="false">IF(BR174,(BU174*BH174+BV174*BI174+BW174*BJ174)/BR174,0)</f>
        <v>#VALUE!</v>
      </c>
      <c r="CF174" s="1532" t="e">
        <f aca="false">IF(BS174,(CE174*BR174+CD174*BK174)/BS174,0)</f>
        <v>#VALUE!</v>
      </c>
      <c r="CG174" s="1586" t="e">
        <f aca="false">IF(OR(BQ174,BS174),IF(OVolType&lt;&gt;2,SQRT(IF(OVolOverMonthlyPeak,OVolOverMonthlyPeak,IF(OVolCurve,IF(OBuySell,U174,W174),V174))^2*(1-15/365.25/BT174)+IF(OVolOverDailyPeak,OVolOverDailyPeak,IF(OVolCurve,IF(OBuySell,AG174,AI174),AH174))^2*15/365.25/BT174),IF(OVolOverMonthlyPeak,OVolOverMonthlyPeak,IF(OVolCurve,IF(OBuySell,U174,W174),V174))),"")</f>
        <v>#VALUE!</v>
      </c>
      <c r="CH174" s="1587" t="e">
        <f aca="false">IF(OR(BQ174,BS174),IF(OVolType&lt;&gt;2,SQRT(IF(OVolOverMonthlyPeak,OVolOverMonthlyPeak,IF(OVolCurve,IF(OBuySell,X174,Z174),Y174))^2*(1-15/365.25/BT174)+IF(OVolOverDailyPeak,OVolOverDailyPeak,IF(OVolCurve,IF(OBuySell,AJ174,AL174),AK174))^2*15/365.25/BT174),IF(OVolOverMonthlyPeak,OVolOverMonthlyPeak,IF(OVolCurve,IF(OBuySell,X174,Z174),Y174))),"")</f>
        <v>#VALUE!</v>
      </c>
      <c r="CI174" s="1587" t="e">
        <f aca="false">IF(OR(BQ174,BS174),IF(OVolType&lt;&gt;2,SQRT(IF(OVolOverMonthlyPeak,OVolOverMonthlyPeak,IF(OVolCurve,IF(OBuySell,AA174,AC174),AB174))^2*(1-15/365.25/BT174)+IF(OVolOverDailyPeak,OVolOverDailyPeak,IF(OVolCurve,IF(OBuySell,AM174,AO174),AN174))^2*15/365.25/BT174),IF(OVolOverMonthlyPeak,OVolOverMonthlyPeak,IF(OVolCurve,IF(OBuySell,AA174,AC174),AB174))),"")</f>
        <v>#VALUE!</v>
      </c>
      <c r="CJ174" s="1587" t="e">
        <f aca="false">IF(BQ174,IF(BP174,SQRT(LN(1+((BU174*AZ174)^2*(EXP(CG174^2*BT174)-1)+(BV174*BA174)^2*(EXP(CH174^2*BT174)-1)+(BW174*BB174)^2*(EXP(CI174^2*BT174)-1)+2*BU174*AZ174*BV174*BA174*(EXP(CG174*CH174*BT174)-1)+2*BV174*BA174*BW174*BB174*(EXP(CH174*CI174*BT174)-1)+2*BW174*BB174*BU174*AZ174*(EXP(CI174*CG174*BT174)-1))/(BY174*BP174)^2)/BT174),0),"")</f>
        <v>#VALUE!</v>
      </c>
      <c r="CK174" s="1587" t="e">
        <f aca="false">IF(BS174,IF(BR174,SQRT(LN(1+((CA174*BH174)^2*(EXP(CG174^2*BT174)-1)+(CB174*BI174)^2*(EXP(CH174^2*BT174)-1)+(CC174*BJ174)^2*(EXP(CI174^2*BT174)-1)+2*CA174*BH174*CB174*BI174*(EXP(CG174*CH174*BT174)-1)+2*CB174*BI174*CC174*BJ174*(EXP(CH174*CI174*BT174)-1)+2*CC174*BJ174*CA174*BH174*(EXP(CI174*CG174*BT174)-1))/(CE174*BR174)^2)/BT174),0),"")</f>
        <v>#VALUE!</v>
      </c>
      <c r="CL174" s="1587" t="e">
        <f aca="false">IF(OR(BQ174,BS174),IF(OVolType&lt;&gt;2,SQRT(IF(OVolOverMonthlyOffPeak,OVolOverMonthlyOffPeak,IF(OVolCurve,IF(OBuySell,AD174,AF174),AE174))^2*(1-15/365.25/BT174)+IF(OVolOverDailyOffPeak,OVolOverDailyOffPeak,IF(OVolCurve,IF(OBuySell,AP174,AR174),AQ174))^2*15/365.25/BT174),IF(OVolOverMonthlyOffPeak,OVolOverMonthlyOffPeak,IF(OVolCurve,IF(OBuySell,AD174,AF174),AE174))),"")</f>
        <v>#VALUE!</v>
      </c>
      <c r="CM174" s="1587" t="e">
        <f aca="false">IF(BQ174,SQRT(LN(1+((BY174*BP174)^2*(EXP(CJ174^2*BT174)-1)+(BX174*BC174)^2*(EXP(CL174^2*BT174)-1)+2*BY174*BP174*BX174*BC174*(EXP(AS174*CJ174*CL174*BT174)-1))/(BY174*BP174+BX174*BC174)^2)/BT174),"")</f>
        <v>#VALUE!</v>
      </c>
      <c r="CN174" s="1588" t="e">
        <f aca="false">IF(BS174,SQRT(LN(1+((CE174*BR174)^2*(EXP(CK174^2*BT174)-1)+(CD174*BK174)^2*(EXP(CL174^2*BT174)-1)+2*CE174*BR174*CD174*BK174*(EXP(AS174*CK174*CL174*BT174)-1))/(CE174*BR174+CD174*BK174)^2)/BT174),"")</f>
        <v>#VALUE!</v>
      </c>
      <c r="CO174" s="1531" t="e">
        <f aca="false">IF(OR(BQ174,BS174),VLOOKUP(A174,GasTable,13)*HeatRatePeak*(1+VLOOKUP($B174,HeatRateDegradation,$C174+1))/1000,0)</f>
        <v>#VALUE!</v>
      </c>
      <c r="CP174" s="1316" t="e">
        <f aca="false">IF(OR(BQ174,BS174),VLOOKUP(A174,GasTable,13)*HeatRatePeak*(1+VLOOKUP($B174,HeatRateDegradation,$C174+1))/1000,0)</f>
        <v>#VALUE!</v>
      </c>
      <c r="CQ174" s="1316" t="e">
        <f aca="false">IF(OR(BQ174,BS174),VLOOKUP(A174,GasTable,13)*IF(EV174,HeatRatePeak,HeatRateOffPeak)*(1+VLOOKUP($B174,HeatRateDegradation,$C174+1))/1000,0)</f>
        <v>#VALUE!</v>
      </c>
      <c r="CR174" s="1316" t="e">
        <f aca="false">IF(OR(BQ174,BS174),VLOOKUP(A174,GasTable,13)*IF(EW174,HeatRatePeak,HeatRateOffPeak)*(1+VLOOKUP($B174,HeatRateDegradation,$C174+1))/1000,0)</f>
        <v>#VALUE!</v>
      </c>
      <c r="CS174" s="1589" t="e">
        <f aca="false">IF(BQ174,(CO174*AZ174+CP174*BA174+CQ174*BB174+CR174*BC174)/BQ174,0)</f>
        <v>#VALUE!</v>
      </c>
      <c r="CT174" s="1316" t="e">
        <f aca="false">IF(BS174,CO174,0)</f>
        <v>#VALUE!</v>
      </c>
      <c r="CU174" s="1590" t="e">
        <f aca="false">IF(OR(BQ174,BS174),VLOOKUP(A174,GasTable,14),"")</f>
        <v>#VALUE!</v>
      </c>
      <c r="CV174" s="1568" t="e">
        <f aca="false">IF(OR(BQ174,BS174),IF(CorrPowerGasOverFlag,INDEX(CorrPowerGasOver,C174),CorrPowerGas),"")</f>
        <v>#VALUE!</v>
      </c>
      <c r="CW174" s="1316" t="e">
        <f aca="false">IF(OR($BQ174,$BS174),SpreadOptPowerMargin,0)*((1+Assumptions!$C$26)^($B174-YEAR(Assumptions!$C$17)))</f>
        <v>#VALUE!</v>
      </c>
      <c r="CX174" s="1316" t="e">
        <f aca="false">IF(OR($BQ174,$BS174),SpreadOptPowerMargin,0)*((1+Assumptions!$C$26)^($B174-YEAR(Assumptions!$C$17)))</f>
        <v>#VALUE!</v>
      </c>
      <c r="CY174" s="1316" t="e">
        <f aca="false">IF(OR($BQ174,$BS174),SpreadOptPowerMargin,0)*((1+Assumptions!$C$26)^($B174-YEAR(Assumptions!$C$17)))</f>
        <v>#VALUE!</v>
      </c>
      <c r="CZ174" s="1316" t="e">
        <f aca="false">IF(OR($BQ174,$BS174),SpreadOptPowerMargin,0)*((1+Assumptions!$C$26)^($B174-YEAR(Assumptions!$C$17)))</f>
        <v>#VALUE!</v>
      </c>
      <c r="DA174" s="1591" t="e">
        <f aca="false">IF(OR(BQ174,BS174),(CW174*(AZ174+BH174)+CX174*(BA174+BI174)+CY174*(BB174+BJ174)+CZ174*(BC174+BK174))/(BQ174+BS174),0)</f>
        <v>#VALUE!</v>
      </c>
      <c r="DB174" s="1592" t="e">
        <f aca="false">IF(OR(BQ174,BS174),CG174+IF(OVolSmile,VLOOKUP(MAX(-5,CO174+CW174-BU174),IF(OVolSmile=1,VolSmileBook,VolSmileModel),2),0),"")</f>
        <v>#VALUE!</v>
      </c>
      <c r="DC174" s="1592" t="e">
        <f aca="false">IF(OR(BQ174,BS174),CH174+IF(OVolSmile,VLOOKUP(MAX(-5,CP174+CW174-BV174),IF(OVolSmile=1,VolSmileBook,VolSmileModel),2),0),"")</f>
        <v>#VALUE!</v>
      </c>
      <c r="DD174" s="1592" t="e">
        <f aca="false">IF(OR(BQ174,BS174),CI174+IF(OVolSmile,VLOOKUP(MAX(-5,CQ174+CW174-BW174),IF(OVolSmile=1,VolSmileBook,VolSmileModel),2),0),"")</f>
        <v>#VALUE!</v>
      </c>
      <c r="DE174" s="1592" t="e">
        <f aca="false">IF(OR(BQ174,BS174),CL174+IF(OVolSmile,VLOOKUP(MAX(-5,CR174+CZ174-BX174),IF(OVolSmile=1,VolSmileBook,VolSmileModel),2),0),"")</f>
        <v>#VALUE!</v>
      </c>
      <c r="DF174" s="1592" t="e">
        <f aca="false">IF(BQ174,CM174+IF(OVolSmile,VLOOKUP(MAX(-5,CS174+DA174-BZ174),IF(OVolSmile=1,VolSmileBook,VolSmileModel),2),0),"")</f>
        <v>#VALUE!</v>
      </c>
      <c r="DG174" s="1593" t="e">
        <f aca="false">IF(BS174,CN174+IF(OVolSmile,VLOOKUP(MAX(-5,CT174+DA174-CF174),IF(OVolSmile=1,VolSmileBook,VolSmileModel),2),0),"")</f>
        <v>#VALUE!</v>
      </c>
      <c r="DH174" s="1316" t="e">
        <f aca="false">IF(AND(BU174&gt;0,CO174&gt;0,DB174&gt;0,CU174&gt;0),newSPRDOPT(BU174,CO174,CW174,0,DB174,CU174,CV174,BT174*365.25,OCallPut,0),0)</f>
        <v>#VALUE!</v>
      </c>
      <c r="DI174" s="1316" t="e">
        <f aca="false">IF(AND(BV174&gt;0,CP174&gt;0,DC174&gt;0,CU174&gt;0),newSPRDOPT(BV174,CP174,CX174,0,DC174,CU174,CV174,BT174*365.25,OCallPut,0),0)</f>
        <v>#VALUE!</v>
      </c>
      <c r="DJ174" s="1316" t="e">
        <f aca="false">IF(AND(BW174&gt;0,CQ174&gt;0,DD174&gt;0,CU174&gt;0),newSPRDOPT(BW174,CQ174,CY174,0,DD174,CU174,CV174,BT174*365.25,OCallPut,0),0)</f>
        <v>#VALUE!</v>
      </c>
      <c r="DK174" s="1316" t="e">
        <f aca="false">IF(AND(BX174&gt;0,CR174&gt;0,DE174&gt;0,CU174&gt;0),newSPRDOPT(BX174,CR174,CZ174,0,DE174,CU174,CV174,BT174*365.25,OCallPut,0),0)</f>
        <v>#VALUE!</v>
      </c>
      <c r="DL174" s="1316" t="e">
        <f aca="false">IF(OVolType,IF(AND(BZ174&gt;0,CS174&gt;0,DF174&gt;0,CU174&gt;0),newSPRDOPT(BZ174,CS174,DA174,0,DF174,CU174,CV174,BT174*365.25,OCallPut,0),0),IF(BQ174,(DH174*AZ174+DI174*BA174+DJ174*BB174+DK174*BC174)/BQ174,0))</f>
        <v>#VALUE!</v>
      </c>
      <c r="DM174" s="1316"/>
      <c r="DN174" s="1316"/>
      <c r="DO174" s="1316"/>
      <c r="DP174" s="1316"/>
      <c r="DQ174" s="1316"/>
      <c r="DR174" s="1316"/>
      <c r="DS174" s="1316"/>
      <c r="DT174" s="1316"/>
      <c r="DU174" s="1316"/>
      <c r="DV174" s="1316"/>
      <c r="DW174" s="1594" t="e">
        <f aca="false">IF(AND(BW174&gt;0,CT174&gt;0,DD174&gt;0,CU174&gt;0),newSPRDOPT(BW174,CT174,CY174,0,DD174,CU174,CV174,BT174*365.25,OCallPut,0),0)</f>
        <v>#VALUE!</v>
      </c>
      <c r="DX174" s="1316" t="e">
        <f aca="false">IF(AND(BX174&gt;0,CT174&gt;0,DE174&gt;0,CU174&gt;0),newSPRDOPT(BX174,CT174,CZ174,0,DE174,CU174,CV174,BT174*365.25,OCallPut,0),0)</f>
        <v>#VALUE!</v>
      </c>
      <c r="DY174" s="1591" t="e">
        <f aca="false">IF(BS174,(DH174*BH174+DI174*BI174+DW174*BJ174+DX174*BK174)/BS174,0)</f>
        <v>#VALUE!</v>
      </c>
      <c r="DZ174" s="1551" t="e">
        <f aca="false">DH174*AZ174</f>
        <v>#VALUE!</v>
      </c>
      <c r="EA174" s="1551" t="e">
        <f aca="false">DI174*BA174</f>
        <v>#VALUE!</v>
      </c>
      <c r="EB174" s="1551" t="e">
        <f aca="false">DJ174*BB174</f>
        <v>#VALUE!</v>
      </c>
      <c r="EC174" s="1551" t="e">
        <f aca="false">DK174*BC174</f>
        <v>#VALUE!</v>
      </c>
      <c r="ED174" s="1551" t="e">
        <f aca="false">DL174*BQ174</f>
        <v>#VALUE!</v>
      </c>
      <c r="EE174" s="1595" t="e">
        <f aca="false">IF(BQ174,IF(OCallPut,IF(BU174&gt;(CO174+CW174),BU174-(CO174+CW174),0),IF((CO174+CW174)&gt;BU174,(CO174+CW174)-BU174,0))*AZ174,0)</f>
        <v>#VALUE!</v>
      </c>
      <c r="EF174" s="1596" t="e">
        <f aca="false">IF(BQ174,IF(OCallPut,IF(BV174&gt;(CP174+CX174),BV174-(CP174+CX174),0),IF((CP174+CX174)&gt;BV174,(CP174+CX174)-BV174,0))*BA174,0)</f>
        <v>#VALUE!</v>
      </c>
      <c r="EG174" s="1596" t="e">
        <f aca="false">IF(BQ174,IF(OCallPut,IF(BW174&gt;(CQ174+CY174),BW174-(CQ174+CY174),0),IF((CQ174+CY174)&gt;BW174,(CQ174+CY174)-BW174,0))*BB174,0)</f>
        <v>#VALUE!</v>
      </c>
      <c r="EH174" s="1596" t="e">
        <f aca="false">IF(BQ174,IF(OCallPut,IF(BX174&gt;(CR174+CZ174),BX174-(CR174+CZ174),0),IF((CR174+CZ174)&gt;BX174,(CR174+CZ174)-BX174,0))*BC174,0)</f>
        <v>#VALUE!</v>
      </c>
      <c r="EI174" s="1597" t="e">
        <f aca="false">IF(BQ174,IF(OVolType,IF(OCallPut,IF(BZ174&gt;(CS174+DA174),BZ174-(CS174+DA174),0),IF((CS174+DA174)&gt;BZ174,(CS174+DA174)-BZ174,0))*BQ174,SUM(EE174:EH174)),0)</f>
        <v>#VALUE!</v>
      </c>
      <c r="EJ174" s="1595" t="e">
        <f aca="false">DZ174-EE174</f>
        <v>#VALUE!</v>
      </c>
      <c r="EK174" s="1596" t="e">
        <f aca="false">EA174-EF174</f>
        <v>#VALUE!</v>
      </c>
      <c r="EL174" s="1596" t="e">
        <f aca="false">EB174-EG174</f>
        <v>#VALUE!</v>
      </c>
      <c r="EM174" s="1596" t="e">
        <f aca="false">EC174-EH174</f>
        <v>#VALUE!</v>
      </c>
      <c r="EN174" s="1597" t="e">
        <f aca="false">ED174-EI174</f>
        <v>#VALUE!</v>
      </c>
      <c r="EO174" s="1551" t="e">
        <f aca="false">DH174*BH174</f>
        <v>#VALUE!</v>
      </c>
      <c r="EP174" s="1551" t="e">
        <f aca="false">DI174*BI174</f>
        <v>#VALUE!</v>
      </c>
      <c r="EQ174" s="1551" t="e">
        <f aca="false">DW174*BJ174</f>
        <v>#VALUE!</v>
      </c>
      <c r="ER174" s="1551" t="e">
        <f aca="false">DX174*BK174</f>
        <v>#VALUE!</v>
      </c>
      <c r="ES174" s="1551" t="e">
        <f aca="false">DY174*BS174</f>
        <v>#VALUE!</v>
      </c>
      <c r="ET174" s="1566" t="e">
        <f aca="false">IF(EI174,IF(OCallPut,IF(CA174&gt;(CT174+CW174),CA174-(CT174+CW174),0),IF((CT174+CW174)&gt;CA174,(CT174+CW174)-CA174,0))*BH174,0)</f>
        <v>#VALUE!</v>
      </c>
      <c r="EU174" s="1551" t="e">
        <f aca="false">IF(EI174,IF(OCallPut,IF(CB174&gt;(CT174+CX174),CB174-(CT174+CX174),0),IF((CT174+CX174)&gt;CB174,(CT174+CX174)-CB174,0))*BI174,0)</f>
        <v>#VALUE!</v>
      </c>
      <c r="EV174" s="1551" t="e">
        <f aca="false">IF(EI174,IF(OCallPut,IF(CC174&gt;(CT174+CY174),CC174-(CT174+CY174),0),IF((CT174+CY174)&gt;CC174,(CT174+CY174)-CC174,0))*BJ174,0)</f>
        <v>#VALUE!</v>
      </c>
      <c r="EW174" s="1551" t="e">
        <f aca="false">IF(EI174,IF(OCallPut,IF(CD174&gt;(CT174+CZ174),CD174-(CT174+CZ174),0),IF((CT174+CZ174)&gt;CD174,(CT174+CZ174)-CD174,0))*BK174,0)</f>
        <v>#VALUE!</v>
      </c>
      <c r="EX174" s="1558" t="e">
        <f aca="false">IF(EI174,SUM(ET174:EW174),0)</f>
        <v>#VALUE!</v>
      </c>
      <c r="EY174" s="1551" t="e">
        <f aca="false">EO174-ET174</f>
        <v>#VALUE!</v>
      </c>
      <c r="EZ174" s="1551" t="e">
        <f aca="false">EP174-EU174</f>
        <v>#VALUE!</v>
      </c>
      <c r="FA174" s="1551" t="e">
        <f aca="false">EQ174-EV174</f>
        <v>#VALUE!</v>
      </c>
      <c r="FB174" s="1551" t="e">
        <f aca="false">ER174-EW174</f>
        <v>#VALUE!</v>
      </c>
      <c r="FC174" s="1551" t="e">
        <f aca="false">ES174-EX174</f>
        <v>#VALUE!</v>
      </c>
      <c r="FD174" s="1525" t="n">
        <f aca="false">IF(AX174,IF(VLOOKUP(C174,MAIN!$L$17:$M$28,2)="Yes",VLOOKUP(CALC!B174,MAIN!$H$17:$I$20,2),0),0)</f>
        <v>0</v>
      </c>
      <c r="FE174" s="1552" t="e">
        <f aca="false">$FD174*16*AT174*(1-$AY174)</f>
        <v>#VALUE!</v>
      </c>
      <c r="FF174" s="1553" t="e">
        <f aca="false">$FD174*16*AU174*(1-$AY174)</f>
        <v>#VALUE!</v>
      </c>
      <c r="FG174" s="1553" t="e">
        <f aca="false">$FD174*16*(AV174+AW174)*(1-$AY174)</f>
        <v>#VALUE!</v>
      </c>
      <c r="FH174" s="1554" t="n">
        <f aca="false">$FD174*8*AX174*(1-$AY174)</f>
        <v>0</v>
      </c>
      <c r="FI174" s="1555" t="n">
        <f aca="false">IF(AX174,VLOOKUP(CALC!B174,MAIN!$H$17:$K$20,4),0)</f>
        <v>0</v>
      </c>
      <c r="FJ174" s="1553" t="e">
        <f aca="false">SUM(FE174:FH174)</f>
        <v>#VALUE!</v>
      </c>
      <c r="FK174" s="1556" t="e">
        <f aca="false">FI174*FJ174</f>
        <v>#VALUE!</v>
      </c>
      <c r="FL174" s="1551" t="e">
        <f aca="false">IF($EI174&gt;0,MIN(FE174,AZ174*(1+VLOOKUP($C174,WeatherCapacityAdjustment,2))),0)</f>
        <v>#VALUE!</v>
      </c>
      <c r="FM174" s="1551" t="e">
        <f aca="false">IF($EI174&gt;0,MIN(FF174,BA174*(1+VLOOKUP($C174,WeatherCapacityAdjustment,2))),0)</f>
        <v>#VALUE!</v>
      </c>
      <c r="FN174" s="1551" t="e">
        <f aca="false">IF($EI174&gt;0,MIN(FG174,BB174*(1+VLOOKUP($C174,WeatherCapacityAdjustment,2))),0)</f>
        <v>#VALUE!</v>
      </c>
      <c r="FO174" s="1564" t="e">
        <f aca="false">IF($EI174&gt;0,MIN(FH174,BC174*(1+VLOOKUP($C174,WeatherCapacityAdjustment,3))),0)</f>
        <v>#VALUE!</v>
      </c>
      <c r="FP174" s="1551" t="e">
        <f aca="false">IF(ET174&gt;0,MIN(FE174-FL174,BH174*(1+VLOOKUP($C174,WeatherCapacityAdjustment,2))),0)</f>
        <v>#VALUE!</v>
      </c>
      <c r="FQ174" s="1551" t="e">
        <f aca="false">IF(EU174&gt;0,MIN(FF174-FM174,BI174*(1+VLOOKUP($C174,WeatherCapacityAdjustment,2))),0)</f>
        <v>#VALUE!</v>
      </c>
      <c r="FR174" s="1551" t="e">
        <f aca="false">IF(EV174&gt;0,MIN(FG174-FN174,BJ174*(1+VLOOKUP($C174,WeatherCapacityAdjustment,2))),0)</f>
        <v>#VALUE!</v>
      </c>
      <c r="FS174" s="1558" t="e">
        <f aca="false">IF(EW174&gt;0,MIN(FH174-FO174,BK174*(1+VLOOKUP($C174,WeatherCapacityAdjustment,3))),0)</f>
        <v>#VALUE!</v>
      </c>
      <c r="FT174" s="1566" t="e">
        <f aca="false">IF(AND(Assumptions!$H$71="Yes",A174&gt;=Assumptions!$H$72,A174&lt;=Assumptions!$H$73),0,IF(AND($A174&gt;=Assumptions!$C$17,$A174&lt;=Assumptions!$C$18),MAX(AZ174*(1+VLOOKUP($C174,WeatherCapacityAdjustment,2))-FL174,0),0))</f>
        <v>#VALUE!</v>
      </c>
      <c r="FU174" s="1551" t="e">
        <f aca="false">IF(AND(Assumptions!$H$71="Yes",A174&gt;=Assumptions!$H$72,A174&lt;=Assumptions!$H$73),0,IF(AND($A174&gt;=Assumptions!$C$17,$A174&lt;=Assumptions!$C$18),MAX(BA174*(1+VLOOKUP($C174,WeatherCapacityAdjustment,2))-FM174,0),0))</f>
        <v>#VALUE!</v>
      </c>
      <c r="FV174" s="1551" t="e">
        <f aca="false">IF(AND(Assumptions!$H$71="Yes",A174&gt;=Assumptions!$H$72,A174&lt;=Assumptions!$H$73),0,IF(AND($A174&gt;=Assumptions!$C$17,$A174&lt;=Assumptions!$C$18),MAX(BB174*(1+VLOOKUP($C174,WeatherCapacityAdjustment,2))-FN174,0),0))</f>
        <v>#VALUE!</v>
      </c>
      <c r="FW174" s="1564" t="e">
        <f aca="false">IF(AND(Assumptions!$H$71="Yes",A174&gt;=Assumptions!$H$72,A174&lt;=Assumptions!$H$73),0,IF(AND($A174&gt;=Assumptions!$C$17,$A174&lt;=Assumptions!$C$18),MAX(BC174*(1+VLOOKUP($C174,WeatherCapacityAdjustment,3))-FO174,0),0))</f>
        <v>#VALUE!</v>
      </c>
      <c r="FX174" s="1569" t="e">
        <f aca="false">IF(AND(Assumptions!$H$71="Yes",A174&gt;=Assumptions!$H$72,A174&lt;=Assumptions!$H$73),0,IF(ET174&gt;0,MAX(BH174*(1+VLOOKUP($C174,WeatherCapacityAdjustment,2))-FP174,0),0))</f>
        <v>#VALUE!</v>
      </c>
      <c r="FY174" s="1551" t="e">
        <f aca="false">IF(AND(Assumptions!$H$71="Yes",A174&gt;=Assumptions!$H$72,A174&lt;=Assumptions!$H$73),0,IF(EU174&gt;0,MAX(BI174*(1+VLOOKUP($C174,WeatherCapacityAdjustment,3))-FQ174,0),0))</f>
        <v>#VALUE!</v>
      </c>
      <c r="FZ174" s="1551" t="e">
        <f aca="false">IF(AND(Assumptions!$H$71="Yes",A174&gt;=Assumptions!$H$72,A174&lt;=Assumptions!$H$73),0,IF(EV174&gt;0,MAX(BJ174*(1+VLOOKUP($C174,WeatherCapacityAdjustment,2))-FR174,0),0))</f>
        <v>#VALUE!</v>
      </c>
      <c r="GA174" s="1564" t="e">
        <f aca="false">IF(AND(Assumptions!$H$71="Yes",A174&gt;=Assumptions!$H$72,A174&lt;=Assumptions!$H$73),0,IF(EW174&gt;0,MAX(BK174*(1+VLOOKUP($C174,WeatherCapacityAdjustment,2))-FS174,0),0))</f>
        <v>#VALUE!</v>
      </c>
      <c r="GB174" s="1551" t="e">
        <f aca="false">SUM(FT174:GA174)</f>
        <v>#VALUE!</v>
      </c>
      <c r="GC174" s="1563" t="e">
        <f aca="false">+IF(SUM(FT174:GA174)=0,0,(SUMPRODUCT(BU174:BX174,FT174:FW174)+SUMPRODUCT(CA174:CD174,FX174:GA174))/SUM(FT174:GA174))</f>
        <v>#VALUE!</v>
      </c>
      <c r="GD174" s="1551" t="e">
        <f aca="false">(FT174*BU174+FX174*CA174+FU174*BV174+FY174*CB174+FV174*BW174+FZ174*CC174+FW174*BX174+GA174*CD174)</f>
        <v>#VALUE!</v>
      </c>
      <c r="GE174" s="1561" t="e">
        <f aca="false">+IF(BQ174,((FL174+FM174+FT174+FU174)*HeatRatePeak/1000*(1+VLOOKUP($C174,WeatherHeatRateAdjustment,2))+(FN174+FV174)*IF(EV174&gt;0,HeatRatePeak,HeatRateOffPeak)/1000*(1+VLOOKUP($C174,WeatherHeatRateAdjustment,2))+(FO174+FW174)*IF(EW174&gt;0,HeatRatePeak,HeatRateOffPeak)/1000*(1+VLOOKUP($C174,WeatherHeatRateAdjustment,3)))*(1+VLOOKUP($B174,HeatRateDegradation,$C174+1)),0)</f>
        <v>#VALUE!</v>
      </c>
      <c r="GF174" s="1562" t="e">
        <f aca="false">IF(BQ174,((FP174+FQ174+FR174+FX174+FY174+FZ174)*HeatRatePeak/1000*(1+VLOOKUP($C174,WeatherHeatRateAdjustment,2))+(FS174+GA174)*HeatRatePeak/1000*(1+VLOOKUP($C174,WeatherHeatRateAdjustment,3)))*(1+VLOOKUP($B174,HeatRateDegradation,$C174+1)),0)</f>
        <v>#VALUE!</v>
      </c>
      <c r="GG174" s="1563" t="e">
        <f aca="false">IF(BQ174,VLOOKUP(A174,GasTable,13),0)</f>
        <v>#VALUE!</v>
      </c>
      <c r="GH174" s="1564" t="e">
        <f aca="false">(GE174+GF174)*GG174</f>
        <v>#VALUE!</v>
      </c>
      <c r="GI174" s="1569" t="e">
        <f aca="false">GB174</f>
        <v>#VALUE!</v>
      </c>
      <c r="GJ174" s="1598" t="e">
        <f aca="false">+DA174</f>
        <v>#VALUE!</v>
      </c>
      <c r="GK174" s="1558" t="e">
        <f aca="false">+GI174*GJ174</f>
        <v>#VALUE!</v>
      </c>
      <c r="GL174" s="1566" t="e">
        <f aca="false">MAX(FE174-FL174-FP174,0)</f>
        <v>#VALUE!</v>
      </c>
      <c r="GM174" s="1551" t="e">
        <f aca="false">MAX(FF174-FM174-FQ174,0)</f>
        <v>#VALUE!</v>
      </c>
      <c r="GN174" s="1551" t="e">
        <f aca="false">MAX(FG174-FN174-FR174,0)</f>
        <v>#VALUE!</v>
      </c>
      <c r="GO174" s="1564" t="e">
        <f aca="false">MAX(FH174-FO174-FS174,0)</f>
        <v>#VALUE!</v>
      </c>
      <c r="GP174" s="1551" t="e">
        <f aca="false">SUM(GL174:GO174)</f>
        <v>#VALUE!</v>
      </c>
      <c r="GQ174" s="1563" t="e">
        <f aca="false">IF(SUM(GL174:GO174)=0,0,((GL174*BU174+GM174*BV174+GN174*BW174+GO174*BX174)/SUM(GL174:GO174)))</f>
        <v>#VALUE!</v>
      </c>
      <c r="GR174" s="1558" t="e">
        <f aca="false">(GL174*BU174+GM174*BV174+GN174*BW174+GO174*BX174)</f>
        <v>#VALUE!</v>
      </c>
      <c r="GS174" s="1566" t="n">
        <f aca="false">IF($A174&gt;=BegDate,Assumptions!$C$56*24*($A175-$A174)*(1-VLOOKUP($B174,MAIN!$AA$7:$AM$28,$C174+1))*(1-VLOOKUP($B174,MAIN!$AA$33:$AM$54,$C174+1)),0)*80/168</f>
        <v>249428.571428571</v>
      </c>
      <c r="GT174" s="286" t="n">
        <f aca="false">J174</f>
        <v>40.704108791207</v>
      </c>
      <c r="GU174" s="286" t="n">
        <f aca="false">IF($A174&gt;=BegDate,VLOOKUP($A174,GasTable,13)+Assumptions!$C$58,0)</f>
        <v>2.95613958593099</v>
      </c>
      <c r="GV174" s="286" t="n">
        <f aca="false">GU174*Assumptions!$C$57/1000</f>
        <v>21.4320119979997</v>
      </c>
      <c r="GW174" s="1558" t="n">
        <f aca="false">IF(Assumptions!$C$60="Hourly",MAX(0,GS174*(GT174-GV174)),GS174*(GT174-GV174))</f>
        <v>4807011.57156284</v>
      </c>
      <c r="GX174" s="1566" t="n">
        <f aca="false">IF($A174&gt;=BegDate,Assumptions!$C$56*24*($A175-$A174)*(1-VLOOKUP($B174,MAIN!$AA$7:$AM$28,$C174+1))*(1-VLOOKUP($B174,MAIN!$AA$33:$AM$54,$C174+1)),0)*16/168</f>
        <v>49885.7142857143</v>
      </c>
      <c r="GY174" s="286" t="n">
        <f aca="false">M174</f>
        <v>40.704108791207</v>
      </c>
      <c r="GZ174" s="286" t="n">
        <f aca="false">IF($A174&gt;=BegDate,VLOOKUP($A174,GasTable,13)+Assumptions!$C$58,0)</f>
        <v>2.95613958593099</v>
      </c>
      <c r="HA174" s="286" t="n">
        <f aca="false">GZ174*Assumptions!$C$57/1000</f>
        <v>21.4320119979997</v>
      </c>
      <c r="HB174" s="1558" t="n">
        <f aca="false">IF(Assumptions!$C$60="Hourly",MAX(0,GX174*(GY174-HA174)),GX174*(GY174-HA174))</f>
        <v>961402.314312569</v>
      </c>
      <c r="HC174" s="1566" t="n">
        <f aca="false">IF($A174&gt;=BegDate,Assumptions!$C$56*24*($A175-$A174)*(1-VLOOKUP($B174,MAIN!$AA$7:$AM$28,$C174+1))*(1-VLOOKUP($B174,MAIN!$AA$33:$AM$54,$C174+1)),0)*16/168</f>
        <v>49885.7142857143</v>
      </c>
      <c r="HD174" s="286" t="n">
        <f aca="false">P174</f>
        <v>24.2784092403569</v>
      </c>
      <c r="HE174" s="286" t="n">
        <f aca="false">IF($A174&gt;=BegDate,VLOOKUP($A174,GasTable,13)+Assumptions!$C$58,0)</f>
        <v>2.95613958593099</v>
      </c>
      <c r="HF174" s="286" t="n">
        <f aca="false">HE174*Assumptions!$C$57/1000</f>
        <v>21.4320119979997</v>
      </c>
      <c r="HG174" s="1558" t="n">
        <f aca="false">IF(Assumptions!$C$60="Hourly",MAX(0,HC174*(HD174-HF174)),HC174*(HD174-HF174))</f>
        <v>141994.559575874</v>
      </c>
      <c r="HH174" s="1566" t="n">
        <f aca="false">IF($A174&gt;=BegDate,Assumptions!$C$56*24*($A175-$A174)*(1-VLOOKUP($B174,MAIN!$AA$7:$AM$28,$C174+1))*(1-VLOOKUP($B174,MAIN!$AA$33:$AM$54,$C174+1)),0)*56/168</f>
        <v>174600</v>
      </c>
      <c r="HI174" s="286" t="n">
        <f aca="false">S174</f>
        <v>24.2784092403569</v>
      </c>
      <c r="HJ174" s="286" t="n">
        <f aca="false">IF($A174&gt;=BegDate,VLOOKUP($A174,GasTable,13)+Assumptions!$C$58,0)</f>
        <v>2.95613958593099</v>
      </c>
      <c r="HK174" s="286" t="n">
        <f aca="false">HJ174*Assumptions!$C$57/1000</f>
        <v>21.4320119979997</v>
      </c>
      <c r="HL174" s="1558" t="n">
        <f aca="false">IF(Assumptions!$C$60="Hourly",MAX(0,HH174*(HI174-HK174)),HH174*(HI174-HK174))</f>
        <v>496980.958515559</v>
      </c>
      <c r="HM174" s="1566" t="n">
        <f aca="false">IF(AND(Assumptions!$H$71="Yes",A174&gt;=Assumptions!$H$72,A174&lt;=Assumptions!$H$73),Assumptions!$H$74*Assumptions!$C$9*1000,0)</f>
        <v>0</v>
      </c>
      <c r="HN174" s="1551"/>
      <c r="HO174" s="1563"/>
      <c r="HP174" s="1563"/>
      <c r="HQ174" s="1563"/>
      <c r="HR174" s="1563"/>
      <c r="HS174" s="1563"/>
      <c r="HT174" s="1563"/>
      <c r="HU174" s="1563"/>
      <c r="HV174" s="1563"/>
      <c r="HW174" s="1563"/>
      <c r="HX174" s="1563"/>
      <c r="HY174" s="1563"/>
      <c r="HZ174" s="1563"/>
      <c r="IA174" s="1563"/>
      <c r="IB174" s="1563"/>
      <c r="IC174" s="1563"/>
      <c r="ID174" s="1563"/>
      <c r="IE174" s="1563"/>
      <c r="IF174" s="1563"/>
      <c r="IG174" s="1563"/>
      <c r="IH174" s="1563"/>
      <c r="II174" s="1610"/>
      <c r="IJ174" s="1309"/>
      <c r="IK174" s="1309"/>
    </row>
    <row r="175" customFormat="false" ht="12.75" hidden="false" customHeight="false" outlineLevel="0" collapsed="false">
      <c r="A175" s="1571" t="n">
        <f aca="false">EOMONTH(A174,0)+1</f>
        <v>41456</v>
      </c>
      <c r="B175" s="594" t="n">
        <f aca="false">+YEAR(A175)</f>
        <v>2013</v>
      </c>
      <c r="C175" s="238" t="n">
        <f aca="false">MONTH(A175)</f>
        <v>7</v>
      </c>
      <c r="D175" s="1572" t="e">
        <f aca="false">IF(E175="","",Holiday(B175,C175))</f>
        <v>#VALUE!</v>
      </c>
      <c r="E175" s="1573" t="n">
        <f aca="false">IF(OR(BegDate&gt;=A176,EndDate&lt;A175,AND(VolumeMonthlyOverFlag,INDEX(VolumeMonthlyOver,C175)=0),NOT(INDEX(MonthKnockOutTable,C175))),"",MAX(A175,BegDate))</f>
        <v>41456</v>
      </c>
      <c r="F175" s="1574" t="n">
        <f aca="false">IF(E175="","",MIN(A176-1,EndDate))</f>
        <v>41486</v>
      </c>
      <c r="G175" s="1575" t="n">
        <v>0</v>
      </c>
      <c r="H175" s="1576" t="n">
        <f aca="false">(1+G175/2)^(-2*(DATE(B176,C176,20)-DateToday)/365.25)</f>
        <v>1</v>
      </c>
      <c r="I175" s="1568" t="n">
        <f aca="false">IF(Assumptions!$L$25=4,VLOOKUP($A175,'Henwood Reference'!$E$9:$R$320,10),(VLOOKUP($A175,PriceTable,2,0)+IF(BasisNumber&lt;&gt;1,VLOOKUP($A175,BasisTable,2,0),0)+I$1)/(1-I$2))</f>
        <v>65.9007200178599</v>
      </c>
      <c r="J175" s="1568" t="n">
        <f aca="false">IF(Assumptions!$L$25=4,VLOOKUP($A175,'Henwood Reference'!$E$9:$R$320,10),(VLOOKUP($A175,PriceTable,3,0)+IF(BasisNumber&lt;&gt;1,VLOOKUP($A175,BasisTable,2,0),0)+J$1)/(1-J$2))</f>
        <v>65.9007200178599</v>
      </c>
      <c r="K175" s="1568" t="n">
        <f aca="false">IF(Assumptions!$L$25=4,VLOOKUP($A175,'Henwood Reference'!$E$9:$R$320,10),(VLOOKUP($A175,PriceTable,4,0)+IF(BasisNumber&lt;&gt;1,VLOOKUP($A175,BasisTable,2,0),0)+K$1)/(1-K$2))</f>
        <v>65.9007200178599</v>
      </c>
      <c r="L175" s="1523" t="n">
        <f aca="false">IF(Assumptions!$L$25=4,VLOOKUP($A175,'Henwood Reference'!$E$9:$R$320,10),(VLOOKUP($A175,PriceTableWeekend,2,0)+IF(BasisNumber&lt;&gt;1,VLOOKUP($A175,BasisTable,2,0),0)+L$1)/(1-L$2))</f>
        <v>65.9007200178599</v>
      </c>
      <c r="M175" s="1568" t="n">
        <f aca="false">IF(Assumptions!$L$25=4,VLOOKUP($A175,'Henwood Reference'!$E$9:$R$320,10),(VLOOKUP($A175,PriceTableWeekend,3,0)+IF(BasisNumber&lt;&gt;1,VLOOKUP($A175,BasisTable,2,0),0)+M$1)/(1-M$2))</f>
        <v>65.9007200178599</v>
      </c>
      <c r="N175" s="1599" t="n">
        <f aca="false">IF(Assumptions!$L$25=4,VLOOKUP($A175,'Henwood Reference'!$E$9:$R$320,10),(VLOOKUP($A175,PriceTableWeekend,4,0)+IF(BasisNumber&lt;&gt;1,VLOOKUP($A175,BasisTable,2,0),0)+N$1)/(1-N$2))</f>
        <v>65.9007200178599</v>
      </c>
      <c r="O175" s="1568" t="n">
        <f aca="false">IF(Assumptions!$L$25=4,VLOOKUP($A175,'Henwood Reference'!$E$9:$R$320,11),(VLOOKUP($A175,PriceTableWeekend,6,0)+IF(BasisNumber&lt;&gt;1,VLOOKUP($A175,BasisTable,3,0),0)+O$1)/(1-O$2))</f>
        <v>31.0781231326742</v>
      </c>
      <c r="P175" s="1568" t="n">
        <f aca="false">IF(Assumptions!$L$25=4,VLOOKUP($A175,'Henwood Reference'!$E$9:$R$320,11),(VLOOKUP($A175,PriceTableWeekend,7,0)+IF(BasisNumber&lt;&gt;1,VLOOKUP($A175,BasisTable,3,0),0)+P$1)/(1-P$2))</f>
        <v>31.0781231326742</v>
      </c>
      <c r="Q175" s="1599" t="n">
        <f aca="false">IF(Assumptions!$L$25=4,VLOOKUP($A175,'Henwood Reference'!$E$9:$R$320,11),(VLOOKUP($A175,PriceTableWeekend,8,0)+IF(BasisNumber&lt;&gt;1,VLOOKUP($A175,BasisTable,3,0),0)+Q$1)/(1-Q$2))</f>
        <v>31.0781231326742</v>
      </c>
      <c r="R175" s="1568" t="n">
        <f aca="false">IF(Assumptions!$L$25=4,VLOOKUP($A175,'Henwood Reference'!$E$9:$R$320,11),(VLOOKUP($A175,PriceTable,6,0)+IF(BasisNumber&lt;&gt;1,VLOOKUP($A175,BasisTable,3,0),0)+R$1)/(1-R$2))</f>
        <v>31.0781231326742</v>
      </c>
      <c r="S175" s="1568" t="n">
        <f aca="false">IF(Assumptions!$L$25=4,VLOOKUP($A175,'Henwood Reference'!$E$9:$R$320,11),(VLOOKUP($A175,PriceTable,7,0)+IF(BasisNumber&lt;&gt;1,VLOOKUP($A175,BasisTable,3,0),0)+S$1)/(1-S$2))</f>
        <v>31.0781231326742</v>
      </c>
      <c r="T175" s="1600" t="n">
        <f aca="false">IF(Assumptions!$L$25=4,VLOOKUP($A175,'Henwood Reference'!$E$9:$R$320,11),(VLOOKUP($A175,PriceTable,8,0)+IF(BasisNumber&lt;&gt;1,VLOOKUP($A175,BasisTable,3,0),0)+T$1)/(1-T$2))</f>
        <v>31.0781231326742</v>
      </c>
      <c r="U175" s="1513" t="n">
        <f aca="false">VLOOKUP($A175,VolatilityTable,14)</f>
        <v>0.105</v>
      </c>
      <c r="V175" s="1513" t="n">
        <f aca="false">VLOOKUP($A175,VolatilityTable,15)</f>
        <v>0.115</v>
      </c>
      <c r="W175" s="1514" t="n">
        <f aca="false">VLOOKUP($A175,VolatilityTable,16)</f>
        <v>0.125</v>
      </c>
      <c r="X175" s="1513" t="n">
        <f aca="false">VLOOKUP($A175,VolatilityTable,14)</f>
        <v>0.105</v>
      </c>
      <c r="Y175" s="1513" t="n">
        <f aca="false">VLOOKUP($A175,VolatilityTable,15)</f>
        <v>0.115</v>
      </c>
      <c r="Z175" s="1514" t="n">
        <f aca="false">VLOOKUP($A175,VolatilityTable,16)</f>
        <v>0.125</v>
      </c>
      <c r="AA175" s="1513" t="n">
        <f aca="false">VLOOKUP($A175,VolatilityTable,18)</f>
        <v>0.09</v>
      </c>
      <c r="AB175" s="1513" t="n">
        <f aca="false">VLOOKUP($A175,VolatilityTable,19)</f>
        <v>0.11</v>
      </c>
      <c r="AC175" s="1514" t="n">
        <f aca="false">VLOOKUP($A175,VolatilityTable,20)</f>
        <v>0.13</v>
      </c>
      <c r="AD175" s="1513" t="n">
        <f aca="false">VLOOKUP($A175,VolatilityTable,18)</f>
        <v>0.09</v>
      </c>
      <c r="AE175" s="1513" t="n">
        <f aca="false">VLOOKUP($A175,VolatilityTable,19)</f>
        <v>0.11</v>
      </c>
      <c r="AF175" s="1514" t="n">
        <f aca="false">VLOOKUP($A175,VolatilityTable,20)</f>
        <v>0.13</v>
      </c>
      <c r="AG175" s="1513" t="n">
        <f aca="false">VLOOKUP($A175,VolatilityTable,22)</f>
        <v>-0.35</v>
      </c>
      <c r="AH175" s="1513" t="n">
        <f aca="false">VLOOKUP($A175,VolatilityTable,23)</f>
        <v>3</v>
      </c>
      <c r="AI175" s="1514" t="n">
        <f aca="false">VLOOKUP($A175,VolatilityTable,24)</f>
        <v>0.35</v>
      </c>
      <c r="AJ175" s="1513" t="n">
        <f aca="false">VLOOKUP($A175,VolatilityTable,22)</f>
        <v>-0.35</v>
      </c>
      <c r="AK175" s="1513" t="n">
        <f aca="false">VLOOKUP($A175,VolatilityTable,23)</f>
        <v>3</v>
      </c>
      <c r="AL175" s="1514" t="n">
        <f aca="false">VLOOKUP($A175,VolatilityTable,24)</f>
        <v>0.35</v>
      </c>
      <c r="AM175" s="1513" t="n">
        <f aca="false">VLOOKUP($A175,VolatilityTable,26)</f>
        <v>-0.01</v>
      </c>
      <c r="AN175" s="1513" t="n">
        <f aca="false">VLOOKUP($A175,VolatilityTable,27)</f>
        <v>0.16</v>
      </c>
      <c r="AO175" s="1514" t="n">
        <f aca="false">VLOOKUP($A175,VolatilityTable,28)</f>
        <v>0.01</v>
      </c>
      <c r="AP175" s="1513" t="n">
        <f aca="false">VLOOKUP($A175,VolatilityTable,26)</f>
        <v>-0.01</v>
      </c>
      <c r="AQ175" s="1513" t="n">
        <f aca="false">VLOOKUP($A175,VolatilityTable,27)</f>
        <v>0.16</v>
      </c>
      <c r="AR175" s="1515" t="n">
        <f aca="false">VLOOKUP($A175,VolatilityTable,28)</f>
        <v>0.01</v>
      </c>
      <c r="AS175" s="1581" t="n">
        <f aca="false">IF(CorrPeakOffPeakOverFlag,INDEX(CorrPeakOffPeakOver,C175),CorrPeakOffPeak)</f>
        <v>0.5</v>
      </c>
      <c r="AT175" s="594" t="e">
        <f aca="false">AX175-SUM(AU175:AW175)</f>
        <v>#VALUE!</v>
      </c>
      <c r="AU175" s="238" t="e">
        <f aca="false">IF(E175="",0,INT((F175-MOD(F175,7)-E175)/7)+1-IF(AW175,IF(WEEKDAY(D175)=7,1,0),0))</f>
        <v>#VALUE!</v>
      </c>
      <c r="AV175" s="238" t="e">
        <f aca="false">IF(E175="",0,INT((F175-MOD(F175-1,7)-E175)/7)+1-IF(AW175,IF(WEEKDAY(D175)=1,1,0),0))</f>
        <v>#VALUE!</v>
      </c>
      <c r="AW175" s="238" t="e">
        <f aca="false">IF(OR(E175="",D175="",D175&lt;BegDate,D175&gt;EndDate),0,1)</f>
        <v>#VALUE!</v>
      </c>
      <c r="AX175" s="238" t="n">
        <f aca="false">IF(E175="",0,F175-E175+1)</f>
        <v>31</v>
      </c>
      <c r="AY175" s="1582" t="n">
        <f aca="false">IF(E175="",0,MIN((1-(1-VLOOKUP(B175,MAIN!$AA$7:$AM$28,C175+1))*(1-VLOOKUP(B175,MAIN!$AA$33:$AM$54,C175+1))),1))</f>
        <v>0.03</v>
      </c>
      <c r="AZ175" s="1519" t="e">
        <v>#VALUE!</v>
      </c>
      <c r="BA175" s="1520" t="e">
        <v>#VALUE!</v>
      </c>
      <c r="BB175" s="1520" t="e">
        <v>#VALUE!</v>
      </c>
      <c r="BC175" s="1583" t="e">
        <v>#VALUE!</v>
      </c>
      <c r="BD175" s="1522" t="e">
        <v>#VALUE!</v>
      </c>
      <c r="BE175" s="1523" t="e">
        <v>#VALUE!</v>
      </c>
      <c r="BF175" s="1523" t="e">
        <v>#VALUE!</v>
      </c>
      <c r="BG175" s="1584" t="e">
        <v>#VALUE!</v>
      </c>
      <c r="BH175" s="1525" t="e">
        <v>#VALUE!</v>
      </c>
      <c r="BI175" s="1520" t="e">
        <v>#VALUE!</v>
      </c>
      <c r="BJ175" s="1520" t="e">
        <v>#VALUE!</v>
      </c>
      <c r="BK175" s="1583" t="e">
        <v>#VALUE!</v>
      </c>
      <c r="BL175" s="1522" t="e">
        <v>#VALUE!</v>
      </c>
      <c r="BM175" s="1523" t="e">
        <v>#VALUE!</v>
      </c>
      <c r="BN175" s="1523" t="e">
        <v>#VALUE!</v>
      </c>
      <c r="BO175" s="1523" t="e">
        <v>#VALUE!</v>
      </c>
      <c r="BP175" s="1525" t="e">
        <f aca="false">SUM(AZ175:BB175)</f>
        <v>#VALUE!</v>
      </c>
      <c r="BQ175" s="1529" t="e">
        <f aca="false">SUM(AZ175:BC175)</f>
        <v>#VALUE!</v>
      </c>
      <c r="BR175" s="1519" t="e">
        <f aca="false">SUM(BH175:BJ175)</f>
        <v>#VALUE!</v>
      </c>
      <c r="BS175" s="1529" t="e">
        <f aca="false">SUM(BH175:BK175)</f>
        <v>#VALUE!</v>
      </c>
      <c r="BT175" s="1316" t="n">
        <f aca="false">(IF(OVolType&lt;&gt;2,A175+14,IF(OptExpDateShift,ShiftBack(A175,OptExpDateShift,D174),A175))-DateToday)/365.25</f>
        <v>13.2128678986995</v>
      </c>
      <c r="BU175" s="1585" t="e">
        <f aca="false">IF(BQ175,IF(OPriceCurve,IF(OBuySell=OCallPut,I175/(1-AY175),K175/(1-AY175)),J175/(1-AY175))*BD175,0)</f>
        <v>#VALUE!</v>
      </c>
      <c r="BV175" s="1316" t="e">
        <f aca="false">IF(BQ175,IF(OPriceCurve,IF(OBuySell=OCallPut,L175/(1-AY175),N175/(1-AY175)),M175/(1-AY175))*BE175,0)</f>
        <v>#VALUE!</v>
      </c>
      <c r="BW175" s="1316" t="e">
        <f aca="false">IF(BQ175,IF(OPriceCurve,IF(OBuySell=OCallPut,O175/(1-AY175),Q175/(1-AY175)),P175/(1-AY175))*BF175,0)</f>
        <v>#VALUE!</v>
      </c>
      <c r="BX175" s="1316" t="e">
        <f aca="false">IF(BQ175,IF(OPriceCurve,IF(OBuySell=OCallPut,R175/(1-AY175),T175/(1-AY175)),S175/(1-AY175))*BG175,0)</f>
        <v>#VALUE!</v>
      </c>
      <c r="BY175" s="1316" t="e">
        <f aca="false">IF(BP175,(BU175*AZ175+BV175*BA175+BW175*BB175)/BP175,0)</f>
        <v>#VALUE!</v>
      </c>
      <c r="BZ175" s="1316" t="e">
        <f aca="false">IF(BQ175,(BY175*BP175+BX175*BC175)/BQ175,0)</f>
        <v>#VALUE!</v>
      </c>
      <c r="CA175" s="1531" t="e">
        <f aca="false">IF(BS175,IF(OPriceCurve,IF(OBuySell=OCallPut,I175/(1-AY175),K175/(1-AY175)),J175/(1-AY175))*BL175,0)</f>
        <v>#VALUE!</v>
      </c>
      <c r="CB175" s="1316" t="e">
        <f aca="false">IF(BS175,IF(OPriceCurve,IF(OBuySell=OCallPut,L175/(1-AY175),N175/(1-AY175)),M175/(1-AY175))*BM175,0)</f>
        <v>#VALUE!</v>
      </c>
      <c r="CC175" s="1316" t="e">
        <f aca="false">IF(BS175,IF(OPriceCurve,IF(OBuySell=OCallPut,O175/(1-AY175),Q175/(1-AY175)),P175/(1-AY175))*BN175,0)</f>
        <v>#VALUE!</v>
      </c>
      <c r="CD175" s="1316" t="e">
        <f aca="false">IF(BS175,IF(OPriceCurve,IF(OBuySell=OCallPut,R175/(1-AY175),T175/(1-AY175)),S175/(1-AY175))*BO175,0)</f>
        <v>#VALUE!</v>
      </c>
      <c r="CE175" s="1316" t="e">
        <f aca="false">IF(BR175,(BU175*BH175+BV175*BI175+BW175*BJ175)/BR175,0)</f>
        <v>#VALUE!</v>
      </c>
      <c r="CF175" s="1532" t="e">
        <f aca="false">IF(BS175,(CE175*BR175+CD175*BK175)/BS175,0)</f>
        <v>#VALUE!</v>
      </c>
      <c r="CG175" s="1586" t="e">
        <f aca="false">IF(OR(BQ175,BS175),IF(OVolType&lt;&gt;2,SQRT(IF(OVolOverMonthlyPeak,OVolOverMonthlyPeak,IF(OVolCurve,IF(OBuySell,U175,W175),V175))^2*(1-15/365.25/BT175)+IF(OVolOverDailyPeak,OVolOverDailyPeak,IF(OVolCurve,IF(OBuySell,AG175,AI175),AH175))^2*15/365.25/BT175),IF(OVolOverMonthlyPeak,OVolOverMonthlyPeak,IF(OVolCurve,IF(OBuySell,U175,W175),V175))),"")</f>
        <v>#VALUE!</v>
      </c>
      <c r="CH175" s="1587" t="e">
        <f aca="false">IF(OR(BQ175,BS175),IF(OVolType&lt;&gt;2,SQRT(IF(OVolOverMonthlyPeak,OVolOverMonthlyPeak,IF(OVolCurve,IF(OBuySell,X175,Z175),Y175))^2*(1-15/365.25/BT175)+IF(OVolOverDailyPeak,OVolOverDailyPeak,IF(OVolCurve,IF(OBuySell,AJ175,AL175),AK175))^2*15/365.25/BT175),IF(OVolOverMonthlyPeak,OVolOverMonthlyPeak,IF(OVolCurve,IF(OBuySell,X175,Z175),Y175))),"")</f>
        <v>#VALUE!</v>
      </c>
      <c r="CI175" s="1587" t="e">
        <f aca="false">IF(OR(BQ175,BS175),IF(OVolType&lt;&gt;2,SQRT(IF(OVolOverMonthlyPeak,OVolOverMonthlyPeak,IF(OVolCurve,IF(OBuySell,AA175,AC175),AB175))^2*(1-15/365.25/BT175)+IF(OVolOverDailyPeak,OVolOverDailyPeak,IF(OVolCurve,IF(OBuySell,AM175,AO175),AN175))^2*15/365.25/BT175),IF(OVolOverMonthlyPeak,OVolOverMonthlyPeak,IF(OVolCurve,IF(OBuySell,AA175,AC175),AB175))),"")</f>
        <v>#VALUE!</v>
      </c>
      <c r="CJ175" s="1587" t="e">
        <f aca="false">IF(BQ175,IF(BP175,SQRT(LN(1+((BU175*AZ175)^2*(EXP(CG175^2*BT175)-1)+(BV175*BA175)^2*(EXP(CH175^2*BT175)-1)+(BW175*BB175)^2*(EXP(CI175^2*BT175)-1)+2*BU175*AZ175*BV175*BA175*(EXP(CG175*CH175*BT175)-1)+2*BV175*BA175*BW175*BB175*(EXP(CH175*CI175*BT175)-1)+2*BW175*BB175*BU175*AZ175*(EXP(CI175*CG175*BT175)-1))/(BY175*BP175)^2)/BT175),0),"")</f>
        <v>#VALUE!</v>
      </c>
      <c r="CK175" s="1587" t="e">
        <f aca="false">IF(BS175,IF(BR175,SQRT(LN(1+((CA175*BH175)^2*(EXP(CG175^2*BT175)-1)+(CB175*BI175)^2*(EXP(CH175^2*BT175)-1)+(CC175*BJ175)^2*(EXP(CI175^2*BT175)-1)+2*CA175*BH175*CB175*BI175*(EXP(CG175*CH175*BT175)-1)+2*CB175*BI175*CC175*BJ175*(EXP(CH175*CI175*BT175)-1)+2*CC175*BJ175*CA175*BH175*(EXP(CI175*CG175*BT175)-1))/(CE175*BR175)^2)/BT175),0),"")</f>
        <v>#VALUE!</v>
      </c>
      <c r="CL175" s="1587" t="e">
        <f aca="false">IF(OR(BQ175,BS175),IF(OVolType&lt;&gt;2,SQRT(IF(OVolOverMonthlyOffPeak,OVolOverMonthlyOffPeak,IF(OVolCurve,IF(OBuySell,AD175,AF175),AE175))^2*(1-15/365.25/BT175)+IF(OVolOverDailyOffPeak,OVolOverDailyOffPeak,IF(OVolCurve,IF(OBuySell,AP175,AR175),AQ175))^2*15/365.25/BT175),IF(OVolOverMonthlyOffPeak,OVolOverMonthlyOffPeak,IF(OVolCurve,IF(OBuySell,AD175,AF175),AE175))),"")</f>
        <v>#VALUE!</v>
      </c>
      <c r="CM175" s="1587" t="e">
        <f aca="false">IF(BQ175,SQRT(LN(1+((BY175*BP175)^2*(EXP(CJ175^2*BT175)-1)+(BX175*BC175)^2*(EXP(CL175^2*BT175)-1)+2*BY175*BP175*BX175*BC175*(EXP(AS175*CJ175*CL175*BT175)-1))/(BY175*BP175+BX175*BC175)^2)/BT175),"")</f>
        <v>#VALUE!</v>
      </c>
      <c r="CN175" s="1588" t="e">
        <f aca="false">IF(BS175,SQRT(LN(1+((CE175*BR175)^2*(EXP(CK175^2*BT175)-1)+(CD175*BK175)^2*(EXP(CL175^2*BT175)-1)+2*CE175*BR175*CD175*BK175*(EXP(AS175*CK175*CL175*BT175)-1))/(CE175*BR175+CD175*BK175)^2)/BT175),"")</f>
        <v>#VALUE!</v>
      </c>
      <c r="CO175" s="1531" t="e">
        <f aca="false">IF(OR(BQ175,BS175),VLOOKUP(A175,GasTable,13)*HeatRatePeak*(1+VLOOKUP($B175,HeatRateDegradation,$C175+1))/1000,0)</f>
        <v>#VALUE!</v>
      </c>
      <c r="CP175" s="1316" t="e">
        <f aca="false">IF(OR(BQ175,BS175),VLOOKUP(A175,GasTable,13)*HeatRatePeak*(1+VLOOKUP($B175,HeatRateDegradation,$C175+1))/1000,0)</f>
        <v>#VALUE!</v>
      </c>
      <c r="CQ175" s="1316" t="e">
        <f aca="false">IF(OR(BQ175,BS175),VLOOKUP(A175,GasTable,13)*IF(EV175,HeatRatePeak,HeatRateOffPeak)*(1+VLOOKUP($B175,HeatRateDegradation,$C175+1))/1000,0)</f>
        <v>#VALUE!</v>
      </c>
      <c r="CR175" s="1316" t="e">
        <f aca="false">IF(OR(BQ175,BS175),VLOOKUP(A175,GasTable,13)*IF(EW175,HeatRatePeak,HeatRateOffPeak)*(1+VLOOKUP($B175,HeatRateDegradation,$C175+1))/1000,0)</f>
        <v>#VALUE!</v>
      </c>
      <c r="CS175" s="1589" t="e">
        <f aca="false">IF(BQ175,(CO175*AZ175+CP175*BA175+CQ175*BB175+CR175*BC175)/BQ175,0)</f>
        <v>#VALUE!</v>
      </c>
      <c r="CT175" s="1316" t="e">
        <f aca="false">IF(BS175,CO175,0)</f>
        <v>#VALUE!</v>
      </c>
      <c r="CU175" s="1590" t="e">
        <f aca="false">IF(OR(BQ175,BS175),VLOOKUP(A175,GasTable,14),"")</f>
        <v>#VALUE!</v>
      </c>
      <c r="CV175" s="1568" t="e">
        <f aca="false">IF(OR(BQ175,BS175),IF(CorrPowerGasOverFlag,INDEX(CorrPowerGasOver,C175),CorrPowerGas),"")</f>
        <v>#VALUE!</v>
      </c>
      <c r="CW175" s="1316" t="e">
        <f aca="false">IF(OR($BQ175,$BS175),SpreadOptPowerMargin,0)*((1+Assumptions!$C$26)^($B175-YEAR(Assumptions!$C$17)))</f>
        <v>#VALUE!</v>
      </c>
      <c r="CX175" s="1316" t="e">
        <f aca="false">IF(OR($BQ175,$BS175),SpreadOptPowerMargin,0)*((1+Assumptions!$C$26)^($B175-YEAR(Assumptions!$C$17)))</f>
        <v>#VALUE!</v>
      </c>
      <c r="CY175" s="1316" t="e">
        <f aca="false">IF(OR($BQ175,$BS175),SpreadOptPowerMargin,0)*((1+Assumptions!$C$26)^($B175-YEAR(Assumptions!$C$17)))</f>
        <v>#VALUE!</v>
      </c>
      <c r="CZ175" s="1316" t="e">
        <f aca="false">IF(OR($BQ175,$BS175),SpreadOptPowerMargin,0)*((1+Assumptions!$C$26)^($B175-YEAR(Assumptions!$C$17)))</f>
        <v>#VALUE!</v>
      </c>
      <c r="DA175" s="1591" t="e">
        <f aca="false">IF(OR(BQ175,BS175),(CW175*(AZ175+BH175)+CX175*(BA175+BI175)+CY175*(BB175+BJ175)+CZ175*(BC175+BK175))/(BQ175+BS175),0)</f>
        <v>#VALUE!</v>
      </c>
      <c r="DB175" s="1592" t="e">
        <f aca="false">IF(OR(BQ175,BS175),CG175+IF(OVolSmile,VLOOKUP(MAX(-5,CO175+CW175-BU175),IF(OVolSmile=1,VolSmileBook,VolSmileModel),2),0),"")</f>
        <v>#VALUE!</v>
      </c>
      <c r="DC175" s="1592" t="e">
        <f aca="false">IF(OR(BQ175,BS175),CH175+IF(OVolSmile,VLOOKUP(MAX(-5,CP175+CW175-BV175),IF(OVolSmile=1,VolSmileBook,VolSmileModel),2),0),"")</f>
        <v>#VALUE!</v>
      </c>
      <c r="DD175" s="1592" t="e">
        <f aca="false">IF(OR(BQ175,BS175),CI175+IF(OVolSmile,VLOOKUP(MAX(-5,CQ175+CW175-BW175),IF(OVolSmile=1,VolSmileBook,VolSmileModel),2),0),"")</f>
        <v>#VALUE!</v>
      </c>
      <c r="DE175" s="1592" t="e">
        <f aca="false">IF(OR(BQ175,BS175),CL175+IF(OVolSmile,VLOOKUP(MAX(-5,CR175+CZ175-BX175),IF(OVolSmile=1,VolSmileBook,VolSmileModel),2),0),"")</f>
        <v>#VALUE!</v>
      </c>
      <c r="DF175" s="1592" t="e">
        <f aca="false">IF(BQ175,CM175+IF(OVolSmile,VLOOKUP(MAX(-5,CS175+DA175-BZ175),IF(OVolSmile=1,VolSmileBook,VolSmileModel),2),0),"")</f>
        <v>#VALUE!</v>
      </c>
      <c r="DG175" s="1593" t="e">
        <f aca="false">IF(BS175,CN175+IF(OVolSmile,VLOOKUP(MAX(-5,CT175+DA175-CF175),IF(OVolSmile=1,VolSmileBook,VolSmileModel),2),0),"")</f>
        <v>#VALUE!</v>
      </c>
      <c r="DH175" s="1316" t="e">
        <f aca="false">IF(AND(BU175&gt;0,CO175&gt;0,DB175&gt;0,CU175&gt;0),newSPRDOPT(BU175,CO175,CW175,0,DB175,CU175,CV175,BT175*365.25,OCallPut,0),0)</f>
        <v>#VALUE!</v>
      </c>
      <c r="DI175" s="1316" t="e">
        <f aca="false">IF(AND(BV175&gt;0,CP175&gt;0,DC175&gt;0,CU175&gt;0),newSPRDOPT(BV175,CP175,CX175,0,DC175,CU175,CV175,BT175*365.25,OCallPut,0),0)</f>
        <v>#VALUE!</v>
      </c>
      <c r="DJ175" s="1316" t="e">
        <f aca="false">IF(AND(BW175&gt;0,CQ175&gt;0,DD175&gt;0,CU175&gt;0),newSPRDOPT(BW175,CQ175,CY175,0,DD175,CU175,CV175,BT175*365.25,OCallPut,0),0)</f>
        <v>#VALUE!</v>
      </c>
      <c r="DK175" s="1316" t="e">
        <f aca="false">IF(AND(BX175&gt;0,CR175&gt;0,DE175&gt;0,CU175&gt;0),newSPRDOPT(BX175,CR175,CZ175,0,DE175,CU175,CV175,BT175*365.25,OCallPut,0),0)</f>
        <v>#VALUE!</v>
      </c>
      <c r="DL175" s="1316" t="e">
        <f aca="false">IF(OVolType,IF(AND(BZ175&gt;0,CS175&gt;0,DF175&gt;0,CU175&gt;0),newSPRDOPT(BZ175,CS175,DA175,0,DF175,CU175,CV175,BT175*365.25,OCallPut,0),0),IF(BQ175,(DH175*AZ175+DI175*BA175+DJ175*BB175+DK175*BC175)/BQ175,0))</f>
        <v>#VALUE!</v>
      </c>
      <c r="DM175" s="1316"/>
      <c r="DN175" s="1316"/>
      <c r="DO175" s="1316"/>
      <c r="DP175" s="1316"/>
      <c r="DQ175" s="1316"/>
      <c r="DR175" s="1316"/>
      <c r="DS175" s="1316"/>
      <c r="DT175" s="1316"/>
      <c r="DU175" s="1316"/>
      <c r="DV175" s="1316"/>
      <c r="DW175" s="1594" t="e">
        <f aca="false">IF(AND(BW175&gt;0,CT175&gt;0,DD175&gt;0,CU175&gt;0),newSPRDOPT(BW175,CT175,CY175,0,DD175,CU175,CV175,BT175*365.25,OCallPut,0),0)</f>
        <v>#VALUE!</v>
      </c>
      <c r="DX175" s="1316" t="e">
        <f aca="false">IF(AND(BX175&gt;0,CT175&gt;0,DE175&gt;0,CU175&gt;0),newSPRDOPT(BX175,CT175,CZ175,0,DE175,CU175,CV175,BT175*365.25,OCallPut,0),0)</f>
        <v>#VALUE!</v>
      </c>
      <c r="DY175" s="1591" t="e">
        <f aca="false">IF(BS175,(DH175*BH175+DI175*BI175+DW175*BJ175+DX175*BK175)/BS175,0)</f>
        <v>#VALUE!</v>
      </c>
      <c r="DZ175" s="1551" t="e">
        <f aca="false">DH175*AZ175</f>
        <v>#VALUE!</v>
      </c>
      <c r="EA175" s="1551" t="e">
        <f aca="false">DI175*BA175</f>
        <v>#VALUE!</v>
      </c>
      <c r="EB175" s="1551" t="e">
        <f aca="false">DJ175*BB175</f>
        <v>#VALUE!</v>
      </c>
      <c r="EC175" s="1551" t="e">
        <f aca="false">DK175*BC175</f>
        <v>#VALUE!</v>
      </c>
      <c r="ED175" s="1551" t="e">
        <f aca="false">DL175*BQ175</f>
        <v>#VALUE!</v>
      </c>
      <c r="EE175" s="1595" t="e">
        <f aca="false">IF(BQ175,IF(OCallPut,IF(BU175&gt;(CO175+CW175),BU175-(CO175+CW175),0),IF((CO175+CW175)&gt;BU175,(CO175+CW175)-BU175,0))*AZ175,0)</f>
        <v>#VALUE!</v>
      </c>
      <c r="EF175" s="1596" t="e">
        <f aca="false">IF(BQ175,IF(OCallPut,IF(BV175&gt;(CP175+CX175),BV175-(CP175+CX175),0),IF((CP175+CX175)&gt;BV175,(CP175+CX175)-BV175,0))*BA175,0)</f>
        <v>#VALUE!</v>
      </c>
      <c r="EG175" s="1596" t="e">
        <f aca="false">IF(BQ175,IF(OCallPut,IF(BW175&gt;(CQ175+CY175),BW175-(CQ175+CY175),0),IF((CQ175+CY175)&gt;BW175,(CQ175+CY175)-BW175,0))*BB175,0)</f>
        <v>#VALUE!</v>
      </c>
      <c r="EH175" s="1596" t="e">
        <f aca="false">IF(BQ175,IF(OCallPut,IF(BX175&gt;(CR175+CZ175),BX175-(CR175+CZ175),0),IF((CR175+CZ175)&gt;BX175,(CR175+CZ175)-BX175,0))*BC175,0)</f>
        <v>#VALUE!</v>
      </c>
      <c r="EI175" s="1597" t="e">
        <f aca="false">IF(BQ175,IF(OVolType,IF(OCallPut,IF(BZ175&gt;(CS175+DA175),BZ175-(CS175+DA175),0),IF((CS175+DA175)&gt;BZ175,(CS175+DA175)-BZ175,0))*BQ175,SUM(EE175:EH175)),0)</f>
        <v>#VALUE!</v>
      </c>
      <c r="EJ175" s="1595" t="e">
        <f aca="false">DZ175-EE175</f>
        <v>#VALUE!</v>
      </c>
      <c r="EK175" s="1596" t="e">
        <f aca="false">EA175-EF175</f>
        <v>#VALUE!</v>
      </c>
      <c r="EL175" s="1596" t="e">
        <f aca="false">EB175-EG175</f>
        <v>#VALUE!</v>
      </c>
      <c r="EM175" s="1596" t="e">
        <f aca="false">EC175-EH175</f>
        <v>#VALUE!</v>
      </c>
      <c r="EN175" s="1597" t="e">
        <f aca="false">ED175-EI175</f>
        <v>#VALUE!</v>
      </c>
      <c r="EO175" s="1551" t="e">
        <f aca="false">DH175*BH175</f>
        <v>#VALUE!</v>
      </c>
      <c r="EP175" s="1551" t="e">
        <f aca="false">DI175*BI175</f>
        <v>#VALUE!</v>
      </c>
      <c r="EQ175" s="1551" t="e">
        <f aca="false">DW175*BJ175</f>
        <v>#VALUE!</v>
      </c>
      <c r="ER175" s="1551" t="e">
        <f aca="false">DX175*BK175</f>
        <v>#VALUE!</v>
      </c>
      <c r="ES175" s="1551" t="e">
        <f aca="false">DY175*BS175</f>
        <v>#VALUE!</v>
      </c>
      <c r="ET175" s="1566" t="e">
        <f aca="false">IF(EI175,IF(OCallPut,IF(CA175&gt;(CT175+CW175),CA175-(CT175+CW175),0),IF((CT175+CW175)&gt;CA175,(CT175+CW175)-CA175,0))*BH175,0)</f>
        <v>#VALUE!</v>
      </c>
      <c r="EU175" s="1551" t="e">
        <f aca="false">IF(EI175,IF(OCallPut,IF(CB175&gt;(CT175+CX175),CB175-(CT175+CX175),0),IF((CT175+CX175)&gt;CB175,(CT175+CX175)-CB175,0))*BI175,0)</f>
        <v>#VALUE!</v>
      </c>
      <c r="EV175" s="1551" t="e">
        <f aca="false">IF(EI175,IF(OCallPut,IF(CC175&gt;(CT175+CY175),CC175-(CT175+CY175),0),IF((CT175+CY175)&gt;CC175,(CT175+CY175)-CC175,0))*BJ175,0)</f>
        <v>#VALUE!</v>
      </c>
      <c r="EW175" s="1551" t="e">
        <f aca="false">IF(EI175,IF(OCallPut,IF(CD175&gt;(CT175+CZ175),CD175-(CT175+CZ175),0),IF((CT175+CZ175)&gt;CD175,(CT175+CZ175)-CD175,0))*BK175,0)</f>
        <v>#VALUE!</v>
      </c>
      <c r="EX175" s="1558" t="e">
        <f aca="false">IF(EI175,SUM(ET175:EW175),0)</f>
        <v>#VALUE!</v>
      </c>
      <c r="EY175" s="1551" t="e">
        <f aca="false">EO175-ET175</f>
        <v>#VALUE!</v>
      </c>
      <c r="EZ175" s="1551" t="e">
        <f aca="false">EP175-EU175</f>
        <v>#VALUE!</v>
      </c>
      <c r="FA175" s="1551" t="e">
        <f aca="false">EQ175-EV175</f>
        <v>#VALUE!</v>
      </c>
      <c r="FB175" s="1551" t="e">
        <f aca="false">ER175-EW175</f>
        <v>#VALUE!</v>
      </c>
      <c r="FC175" s="1551" t="e">
        <f aca="false">ES175-EX175</f>
        <v>#VALUE!</v>
      </c>
      <c r="FD175" s="1525" t="n">
        <f aca="false">IF(AX175,IF(VLOOKUP(C175,MAIN!$L$17:$M$28,2)="Yes",VLOOKUP(CALC!B175,MAIN!$H$17:$I$20,2),0),0)</f>
        <v>0</v>
      </c>
      <c r="FE175" s="1552" t="e">
        <f aca="false">$FD175*16*AT175*(1-$AY175)</f>
        <v>#VALUE!</v>
      </c>
      <c r="FF175" s="1553" t="e">
        <f aca="false">$FD175*16*AU175*(1-$AY175)</f>
        <v>#VALUE!</v>
      </c>
      <c r="FG175" s="1553" t="e">
        <f aca="false">$FD175*16*(AV175+AW175)*(1-$AY175)</f>
        <v>#VALUE!</v>
      </c>
      <c r="FH175" s="1554" t="n">
        <f aca="false">$FD175*8*AX175*(1-$AY175)</f>
        <v>0</v>
      </c>
      <c r="FI175" s="1555" t="n">
        <f aca="false">IF(AX175,VLOOKUP(CALC!B175,MAIN!$H$17:$K$20,4),0)</f>
        <v>0</v>
      </c>
      <c r="FJ175" s="1553" t="e">
        <f aca="false">SUM(FE175:FH175)</f>
        <v>#VALUE!</v>
      </c>
      <c r="FK175" s="1556" t="e">
        <f aca="false">FI175*FJ175</f>
        <v>#VALUE!</v>
      </c>
      <c r="FL175" s="1551" t="e">
        <f aca="false">IF($EI175&gt;0,MIN(FE175,AZ175*(1+VLOOKUP($C175,WeatherCapacityAdjustment,2))),0)</f>
        <v>#VALUE!</v>
      </c>
      <c r="FM175" s="1551" t="e">
        <f aca="false">IF($EI175&gt;0,MIN(FF175,BA175*(1+VLOOKUP($C175,WeatherCapacityAdjustment,2))),0)</f>
        <v>#VALUE!</v>
      </c>
      <c r="FN175" s="1551" t="e">
        <f aca="false">IF($EI175&gt;0,MIN(FG175,BB175*(1+VLOOKUP($C175,WeatherCapacityAdjustment,2))),0)</f>
        <v>#VALUE!</v>
      </c>
      <c r="FO175" s="1564" t="e">
        <f aca="false">IF($EI175&gt;0,MIN(FH175,BC175*(1+VLOOKUP($C175,WeatherCapacityAdjustment,3))),0)</f>
        <v>#VALUE!</v>
      </c>
      <c r="FP175" s="1551" t="e">
        <f aca="false">IF(ET175&gt;0,MIN(FE175-FL175,BH175*(1+VLOOKUP($C175,WeatherCapacityAdjustment,2))),0)</f>
        <v>#VALUE!</v>
      </c>
      <c r="FQ175" s="1551" t="e">
        <f aca="false">IF(EU175&gt;0,MIN(FF175-FM175,BI175*(1+VLOOKUP($C175,WeatherCapacityAdjustment,2))),0)</f>
        <v>#VALUE!</v>
      </c>
      <c r="FR175" s="1551" t="e">
        <f aca="false">IF(EV175&gt;0,MIN(FG175-FN175,BJ175*(1+VLOOKUP($C175,WeatherCapacityAdjustment,2))),0)</f>
        <v>#VALUE!</v>
      </c>
      <c r="FS175" s="1558" t="e">
        <f aca="false">IF(EW175&gt;0,MIN(FH175-FO175,BK175*(1+VLOOKUP($C175,WeatherCapacityAdjustment,3))),0)</f>
        <v>#VALUE!</v>
      </c>
      <c r="FT175" s="1566" t="e">
        <f aca="false">IF(AND(Assumptions!$H$71="Yes",A175&gt;=Assumptions!$H$72,A175&lt;=Assumptions!$H$73),0,IF(AND($A175&gt;=Assumptions!$C$17,$A175&lt;=Assumptions!$C$18),MAX(AZ175*(1+VLOOKUP($C175,WeatherCapacityAdjustment,2))-FL175,0),0))</f>
        <v>#VALUE!</v>
      </c>
      <c r="FU175" s="1551" t="e">
        <f aca="false">IF(AND(Assumptions!$H$71="Yes",A175&gt;=Assumptions!$H$72,A175&lt;=Assumptions!$H$73),0,IF(AND($A175&gt;=Assumptions!$C$17,$A175&lt;=Assumptions!$C$18),MAX(BA175*(1+VLOOKUP($C175,WeatherCapacityAdjustment,2))-FM175,0),0))</f>
        <v>#VALUE!</v>
      </c>
      <c r="FV175" s="1551" t="e">
        <f aca="false">IF(AND(Assumptions!$H$71="Yes",A175&gt;=Assumptions!$H$72,A175&lt;=Assumptions!$H$73),0,IF(AND($A175&gt;=Assumptions!$C$17,$A175&lt;=Assumptions!$C$18),MAX(BB175*(1+VLOOKUP($C175,WeatherCapacityAdjustment,2))-FN175,0),0))</f>
        <v>#VALUE!</v>
      </c>
      <c r="FW175" s="1564" t="e">
        <f aca="false">IF(AND(Assumptions!$H$71="Yes",A175&gt;=Assumptions!$H$72,A175&lt;=Assumptions!$H$73),0,IF(AND($A175&gt;=Assumptions!$C$17,$A175&lt;=Assumptions!$C$18),MAX(BC175*(1+VLOOKUP($C175,WeatherCapacityAdjustment,3))-FO175,0),0))</f>
        <v>#VALUE!</v>
      </c>
      <c r="FX175" s="1569" t="e">
        <f aca="false">IF(AND(Assumptions!$H$71="Yes",A175&gt;=Assumptions!$H$72,A175&lt;=Assumptions!$H$73),0,IF(ET175&gt;0,MAX(BH175*(1+VLOOKUP($C175,WeatherCapacityAdjustment,2))-FP175,0),0))</f>
        <v>#VALUE!</v>
      </c>
      <c r="FY175" s="1551" t="e">
        <f aca="false">IF(AND(Assumptions!$H$71="Yes",A175&gt;=Assumptions!$H$72,A175&lt;=Assumptions!$H$73),0,IF(EU175&gt;0,MAX(BI175*(1+VLOOKUP($C175,WeatherCapacityAdjustment,3))-FQ175,0),0))</f>
        <v>#VALUE!</v>
      </c>
      <c r="FZ175" s="1551" t="e">
        <f aca="false">IF(AND(Assumptions!$H$71="Yes",A175&gt;=Assumptions!$H$72,A175&lt;=Assumptions!$H$73),0,IF(EV175&gt;0,MAX(BJ175*(1+VLOOKUP($C175,WeatherCapacityAdjustment,2))-FR175,0),0))</f>
        <v>#VALUE!</v>
      </c>
      <c r="GA175" s="1564" t="e">
        <f aca="false">IF(AND(Assumptions!$H$71="Yes",A175&gt;=Assumptions!$H$72,A175&lt;=Assumptions!$H$73),0,IF(EW175&gt;0,MAX(BK175*(1+VLOOKUP($C175,WeatherCapacityAdjustment,2))-FS175,0),0))</f>
        <v>#VALUE!</v>
      </c>
      <c r="GB175" s="1551" t="e">
        <f aca="false">SUM(FT175:GA175)</f>
        <v>#VALUE!</v>
      </c>
      <c r="GC175" s="1563" t="e">
        <f aca="false">+IF(SUM(FT175:GA175)=0,0,(SUMPRODUCT(BU175:BX175,FT175:FW175)+SUMPRODUCT(CA175:CD175,FX175:GA175))/SUM(FT175:GA175))</f>
        <v>#VALUE!</v>
      </c>
      <c r="GD175" s="1551" t="e">
        <f aca="false">(FT175*BU175+FX175*CA175+FU175*BV175+FY175*CB175+FV175*BW175+FZ175*CC175+FW175*BX175+GA175*CD175)</f>
        <v>#VALUE!</v>
      </c>
      <c r="GE175" s="1561" t="e">
        <f aca="false">+IF(BQ175,((FL175+FM175+FT175+FU175)*HeatRatePeak/1000*(1+VLOOKUP($C175,WeatherHeatRateAdjustment,2))+(FN175+FV175)*IF(EV175&gt;0,HeatRatePeak,HeatRateOffPeak)/1000*(1+VLOOKUP($C175,WeatherHeatRateAdjustment,2))+(FO175+FW175)*IF(EW175&gt;0,HeatRatePeak,HeatRateOffPeak)/1000*(1+VLOOKUP($C175,WeatherHeatRateAdjustment,3)))*(1+VLOOKUP($B175,HeatRateDegradation,$C175+1)),0)</f>
        <v>#VALUE!</v>
      </c>
      <c r="GF175" s="1562" t="e">
        <f aca="false">IF(BQ175,((FP175+FQ175+FR175+FX175+FY175+FZ175)*HeatRatePeak/1000*(1+VLOOKUP($C175,WeatherHeatRateAdjustment,2))+(FS175+GA175)*HeatRatePeak/1000*(1+VLOOKUP($C175,WeatherHeatRateAdjustment,3)))*(1+VLOOKUP($B175,HeatRateDegradation,$C175+1)),0)</f>
        <v>#VALUE!</v>
      </c>
      <c r="GG175" s="1563" t="e">
        <f aca="false">IF(BQ175,VLOOKUP(A175,GasTable,13),0)</f>
        <v>#VALUE!</v>
      </c>
      <c r="GH175" s="1564" t="e">
        <f aca="false">(GE175+GF175)*GG175</f>
        <v>#VALUE!</v>
      </c>
      <c r="GI175" s="1569" t="e">
        <f aca="false">GB175</f>
        <v>#VALUE!</v>
      </c>
      <c r="GJ175" s="1598" t="e">
        <f aca="false">+DA175</f>
        <v>#VALUE!</v>
      </c>
      <c r="GK175" s="1558" t="e">
        <f aca="false">+GI175*GJ175</f>
        <v>#VALUE!</v>
      </c>
      <c r="GL175" s="1566" t="e">
        <f aca="false">MAX(FE175-FL175-FP175,0)</f>
        <v>#VALUE!</v>
      </c>
      <c r="GM175" s="1551" t="e">
        <f aca="false">MAX(FF175-FM175-FQ175,0)</f>
        <v>#VALUE!</v>
      </c>
      <c r="GN175" s="1551" t="e">
        <f aca="false">MAX(FG175-FN175-FR175,0)</f>
        <v>#VALUE!</v>
      </c>
      <c r="GO175" s="1564" t="e">
        <f aca="false">MAX(FH175-FO175-FS175,0)</f>
        <v>#VALUE!</v>
      </c>
      <c r="GP175" s="1551" t="e">
        <f aca="false">SUM(GL175:GO175)</f>
        <v>#VALUE!</v>
      </c>
      <c r="GQ175" s="1563" t="e">
        <f aca="false">IF(SUM(GL175:GO175)=0,0,((GL175*BU175+GM175*BV175+GN175*BW175+GO175*BX175)/SUM(GL175:GO175)))</f>
        <v>#VALUE!</v>
      </c>
      <c r="GR175" s="1558" t="e">
        <f aca="false">(GL175*BU175+GM175*BV175+GN175*BW175+GO175*BX175)</f>
        <v>#VALUE!</v>
      </c>
      <c r="GS175" s="1566" t="n">
        <f aca="false">IF($A175&gt;=BegDate,Assumptions!$C$56*24*($A176-$A175)*(1-VLOOKUP($B175,MAIN!$AA$7:$AM$28,$C175+1))*(1-VLOOKUP($B175,MAIN!$AA$33:$AM$54,$C175+1)),0)*80/168</f>
        <v>257742.857142857</v>
      </c>
      <c r="GT175" s="286" t="n">
        <f aca="false">J175</f>
        <v>65.9007200178599</v>
      </c>
      <c r="GU175" s="286" t="n">
        <f aca="false">IF($A175&gt;=BegDate,VLOOKUP($A175,GasTable,13)+Assumptions!$C$58,0)</f>
        <v>3.03189525154471</v>
      </c>
      <c r="GV175" s="286" t="n">
        <f aca="false">GU175*Assumptions!$C$57/1000</f>
        <v>21.9812405736992</v>
      </c>
      <c r="GW175" s="1558" t="n">
        <f aca="false">IF(Assumptions!$C$60="Hourly",MAX(0,GS175*(GT175-GV175)),GS175*(GT175-GV175))</f>
        <v>11319932.116165</v>
      </c>
      <c r="GX175" s="1566" t="n">
        <f aca="false">IF($A175&gt;=BegDate,Assumptions!$C$56*24*($A176-$A175)*(1-VLOOKUP($B175,MAIN!$AA$7:$AM$28,$C175+1))*(1-VLOOKUP($B175,MAIN!$AA$33:$AM$54,$C175+1)),0)*16/168</f>
        <v>51548.5714285714</v>
      </c>
      <c r="GY175" s="286" t="n">
        <f aca="false">M175</f>
        <v>65.9007200178599</v>
      </c>
      <c r="GZ175" s="286" t="n">
        <f aca="false">IF($A175&gt;=BegDate,VLOOKUP($A175,GasTable,13)+Assumptions!$C$58,0)</f>
        <v>3.03189525154471</v>
      </c>
      <c r="HA175" s="286" t="n">
        <f aca="false">GZ175*Assumptions!$C$57/1000</f>
        <v>21.9812405736992</v>
      </c>
      <c r="HB175" s="1558" t="n">
        <f aca="false">IF(Assumptions!$C$60="Hourly",MAX(0,GX175*(GY175-HA175)),GX175*(GY175-HA175))</f>
        <v>2263986.423233</v>
      </c>
      <c r="HC175" s="1566" t="n">
        <f aca="false">IF($A175&gt;=BegDate,Assumptions!$C$56*24*($A176-$A175)*(1-VLOOKUP($B175,MAIN!$AA$7:$AM$28,$C175+1))*(1-VLOOKUP($B175,MAIN!$AA$33:$AM$54,$C175+1)),0)*16/168</f>
        <v>51548.5714285714</v>
      </c>
      <c r="HD175" s="286" t="n">
        <f aca="false">P175</f>
        <v>31.0781231326742</v>
      </c>
      <c r="HE175" s="286" t="n">
        <f aca="false">IF($A175&gt;=BegDate,VLOOKUP($A175,GasTable,13)+Assumptions!$C$58,0)</f>
        <v>3.03189525154471</v>
      </c>
      <c r="HF175" s="286" t="n">
        <f aca="false">HE175*Assumptions!$C$57/1000</f>
        <v>21.9812405736992</v>
      </c>
      <c r="HG175" s="1558" t="n">
        <f aca="false">IF(Assumptions!$C$60="Hourly",MAX(0,HC175*(HD175-HF175)),HC175*(HD175-HF175))</f>
        <v>468931.300368649</v>
      </c>
      <c r="HH175" s="1566" t="n">
        <f aca="false">IF($A175&gt;=BegDate,Assumptions!$C$56*24*($A176-$A175)*(1-VLOOKUP($B175,MAIN!$AA$7:$AM$28,$C175+1))*(1-VLOOKUP($B175,MAIN!$AA$33:$AM$54,$C175+1)),0)*56/168</f>
        <v>180420</v>
      </c>
      <c r="HI175" s="286" t="n">
        <f aca="false">S175</f>
        <v>31.0781231326742</v>
      </c>
      <c r="HJ175" s="286" t="n">
        <f aca="false">IF($A175&gt;=BegDate,VLOOKUP($A175,GasTable,13)+Assumptions!$C$58,0)</f>
        <v>3.03189525154471</v>
      </c>
      <c r="HK175" s="286" t="n">
        <f aca="false">HJ175*Assumptions!$C$57/1000</f>
        <v>21.9812405736992</v>
      </c>
      <c r="HL175" s="1558" t="n">
        <f aca="false">IF(Assumptions!$C$60="Hourly",MAX(0,HH175*(HI175-HK175)),HH175*(HI175-HK175))</f>
        <v>1641259.55129027</v>
      </c>
      <c r="HM175" s="1566" t="n">
        <f aca="false">IF(AND(Assumptions!$H$71="Yes",A175&gt;=Assumptions!$H$72,A175&lt;=Assumptions!$H$73),Assumptions!$H$74*Assumptions!$C$9*1000,0)</f>
        <v>0</v>
      </c>
      <c r="HN175" s="1551"/>
      <c r="HO175" s="1563"/>
      <c r="HP175" s="1563"/>
      <c r="HQ175" s="1563"/>
      <c r="HR175" s="1563"/>
      <c r="HS175" s="1563"/>
      <c r="HT175" s="1563"/>
      <c r="HU175" s="1563"/>
      <c r="HV175" s="1563"/>
      <c r="HW175" s="1563"/>
      <c r="HX175" s="1563"/>
      <c r="HY175" s="1563"/>
      <c r="HZ175" s="1563"/>
      <c r="IA175" s="1563"/>
      <c r="IB175" s="1563"/>
      <c r="IC175" s="1563"/>
      <c r="ID175" s="1563"/>
      <c r="IE175" s="1563"/>
      <c r="IF175" s="1563"/>
      <c r="IG175" s="1563"/>
      <c r="IH175" s="1563"/>
      <c r="II175" s="1610"/>
      <c r="IJ175" s="1309"/>
      <c r="IK175" s="1309"/>
    </row>
    <row r="176" customFormat="false" ht="12.75" hidden="false" customHeight="false" outlineLevel="0" collapsed="false">
      <c r="A176" s="1571" t="n">
        <f aca="false">EOMONTH(A175,0)+1</f>
        <v>41487</v>
      </c>
      <c r="B176" s="594" t="n">
        <f aca="false">+YEAR(A176)</f>
        <v>2013</v>
      </c>
      <c r="C176" s="238" t="n">
        <f aca="false">MONTH(A176)</f>
        <v>8</v>
      </c>
      <c r="D176" s="1572" t="e">
        <f aca="false">IF(E176="","",Holiday(B176,C176))</f>
        <v>#VALUE!</v>
      </c>
      <c r="E176" s="1573" t="n">
        <f aca="false">IF(OR(BegDate&gt;=A177,EndDate&lt;A176,AND(VolumeMonthlyOverFlag,INDEX(VolumeMonthlyOver,C176)=0),NOT(INDEX(MonthKnockOutTable,C176))),"",MAX(A176,BegDate))</f>
        <v>41487</v>
      </c>
      <c r="F176" s="1574" t="n">
        <f aca="false">IF(E176="","",MIN(A177-1,EndDate))</f>
        <v>41517</v>
      </c>
      <c r="G176" s="1575" t="n">
        <v>0</v>
      </c>
      <c r="H176" s="1576" t="n">
        <f aca="false">(1+G176/2)^(-2*(DATE(B177,C177,20)-DateToday)/365.25)</f>
        <v>1</v>
      </c>
      <c r="I176" s="1568" t="n">
        <f aca="false">IF(Assumptions!$L$25=4,VLOOKUP($A176,'Henwood Reference'!$E$9:$R$320,10),(VLOOKUP($A176,PriceTable,2,0)+IF(BasisNumber&lt;&gt;1,VLOOKUP($A176,BasisTable,2,0),0)+I$1)/(1-I$2))</f>
        <v>116.076099114597</v>
      </c>
      <c r="J176" s="1568" t="n">
        <f aca="false">IF(Assumptions!$L$25=4,VLOOKUP($A176,'Henwood Reference'!$E$9:$R$320,10),(VLOOKUP($A176,PriceTable,3,0)+IF(BasisNumber&lt;&gt;1,VLOOKUP($A176,BasisTable,2,0),0)+J$1)/(1-J$2))</f>
        <v>116.076099114597</v>
      </c>
      <c r="K176" s="1568" t="n">
        <f aca="false">IF(Assumptions!$L$25=4,VLOOKUP($A176,'Henwood Reference'!$E$9:$R$320,10),(VLOOKUP($A176,PriceTable,4,0)+IF(BasisNumber&lt;&gt;1,VLOOKUP($A176,BasisTable,2,0),0)+K$1)/(1-K$2))</f>
        <v>116.076099114597</v>
      </c>
      <c r="L176" s="1523" t="n">
        <f aca="false">IF(Assumptions!$L$25=4,VLOOKUP($A176,'Henwood Reference'!$E$9:$R$320,10),(VLOOKUP($A176,PriceTableWeekend,2,0)+IF(BasisNumber&lt;&gt;1,VLOOKUP($A176,BasisTable,2,0),0)+L$1)/(1-L$2))</f>
        <v>116.076099114597</v>
      </c>
      <c r="M176" s="1568" t="n">
        <f aca="false">IF(Assumptions!$L$25=4,VLOOKUP($A176,'Henwood Reference'!$E$9:$R$320,10),(VLOOKUP($A176,PriceTableWeekend,3,0)+IF(BasisNumber&lt;&gt;1,VLOOKUP($A176,BasisTable,2,0),0)+M$1)/(1-M$2))</f>
        <v>116.076099114597</v>
      </c>
      <c r="N176" s="1599" t="n">
        <f aca="false">IF(Assumptions!$L$25=4,VLOOKUP($A176,'Henwood Reference'!$E$9:$R$320,10),(VLOOKUP($A176,PriceTableWeekend,4,0)+IF(BasisNumber&lt;&gt;1,VLOOKUP($A176,BasisTable,2,0),0)+N$1)/(1-N$2))</f>
        <v>116.076099114597</v>
      </c>
      <c r="O176" s="1568" t="n">
        <f aca="false">IF(Assumptions!$L$25=4,VLOOKUP($A176,'Henwood Reference'!$E$9:$R$320,11),(VLOOKUP($A176,PriceTableWeekend,6,0)+IF(BasisNumber&lt;&gt;1,VLOOKUP($A176,BasisTable,3,0),0)+O$1)/(1-O$2))</f>
        <v>35.5173930064025</v>
      </c>
      <c r="P176" s="1568" t="n">
        <f aca="false">IF(Assumptions!$L$25=4,VLOOKUP($A176,'Henwood Reference'!$E$9:$R$320,11),(VLOOKUP($A176,PriceTableWeekend,7,0)+IF(BasisNumber&lt;&gt;1,VLOOKUP($A176,BasisTable,3,0),0)+P$1)/(1-P$2))</f>
        <v>35.5173930064025</v>
      </c>
      <c r="Q176" s="1599" t="n">
        <f aca="false">IF(Assumptions!$L$25=4,VLOOKUP($A176,'Henwood Reference'!$E$9:$R$320,11),(VLOOKUP($A176,PriceTableWeekend,8,0)+IF(BasisNumber&lt;&gt;1,VLOOKUP($A176,BasisTable,3,0),0)+Q$1)/(1-Q$2))</f>
        <v>35.5173930064025</v>
      </c>
      <c r="R176" s="1568" t="n">
        <f aca="false">IF(Assumptions!$L$25=4,VLOOKUP($A176,'Henwood Reference'!$E$9:$R$320,11),(VLOOKUP($A176,PriceTable,6,0)+IF(BasisNumber&lt;&gt;1,VLOOKUP($A176,BasisTable,3,0),0)+R$1)/(1-R$2))</f>
        <v>35.5173930064025</v>
      </c>
      <c r="S176" s="1568" t="n">
        <f aca="false">IF(Assumptions!$L$25=4,VLOOKUP($A176,'Henwood Reference'!$E$9:$R$320,11),(VLOOKUP($A176,PriceTable,7,0)+IF(BasisNumber&lt;&gt;1,VLOOKUP($A176,BasisTable,3,0),0)+S$1)/(1-S$2))</f>
        <v>35.5173930064025</v>
      </c>
      <c r="T176" s="1600" t="n">
        <f aca="false">IF(Assumptions!$L$25=4,VLOOKUP($A176,'Henwood Reference'!$E$9:$R$320,11),(VLOOKUP($A176,PriceTable,8,0)+IF(BasisNumber&lt;&gt;1,VLOOKUP($A176,BasisTable,3,0),0)+T$1)/(1-T$2))</f>
        <v>35.5173930064025</v>
      </c>
      <c r="U176" s="1513" t="n">
        <f aca="false">VLOOKUP($A176,VolatilityTable,14)</f>
        <v>0.105</v>
      </c>
      <c r="V176" s="1513" t="n">
        <f aca="false">VLOOKUP($A176,VolatilityTable,15)</f>
        <v>0.115</v>
      </c>
      <c r="W176" s="1514" t="n">
        <f aca="false">VLOOKUP($A176,VolatilityTable,16)</f>
        <v>0.125</v>
      </c>
      <c r="X176" s="1513" t="n">
        <f aca="false">VLOOKUP($A176,VolatilityTable,14)</f>
        <v>0.105</v>
      </c>
      <c r="Y176" s="1513" t="n">
        <f aca="false">VLOOKUP($A176,VolatilityTable,15)</f>
        <v>0.115</v>
      </c>
      <c r="Z176" s="1514" t="n">
        <f aca="false">VLOOKUP($A176,VolatilityTable,16)</f>
        <v>0.125</v>
      </c>
      <c r="AA176" s="1513" t="n">
        <f aca="false">VLOOKUP($A176,VolatilityTable,18)</f>
        <v>0.09</v>
      </c>
      <c r="AB176" s="1513" t="n">
        <f aca="false">VLOOKUP($A176,VolatilityTable,19)</f>
        <v>0.11</v>
      </c>
      <c r="AC176" s="1514" t="n">
        <f aca="false">VLOOKUP($A176,VolatilityTable,20)</f>
        <v>0.13</v>
      </c>
      <c r="AD176" s="1513" t="n">
        <f aca="false">VLOOKUP($A176,VolatilityTable,18)</f>
        <v>0.09</v>
      </c>
      <c r="AE176" s="1513" t="n">
        <f aca="false">VLOOKUP($A176,VolatilityTable,19)</f>
        <v>0.11</v>
      </c>
      <c r="AF176" s="1514" t="n">
        <f aca="false">VLOOKUP($A176,VolatilityTable,20)</f>
        <v>0.13</v>
      </c>
      <c r="AG176" s="1513" t="n">
        <f aca="false">VLOOKUP($A176,VolatilityTable,22)</f>
        <v>-0.35</v>
      </c>
      <c r="AH176" s="1513" t="n">
        <f aca="false">VLOOKUP($A176,VolatilityTable,23)</f>
        <v>3</v>
      </c>
      <c r="AI176" s="1514" t="n">
        <f aca="false">VLOOKUP($A176,VolatilityTable,24)</f>
        <v>0.35</v>
      </c>
      <c r="AJ176" s="1513" t="n">
        <f aca="false">VLOOKUP($A176,VolatilityTable,22)</f>
        <v>-0.35</v>
      </c>
      <c r="AK176" s="1513" t="n">
        <f aca="false">VLOOKUP($A176,VolatilityTable,23)</f>
        <v>3</v>
      </c>
      <c r="AL176" s="1514" t="n">
        <f aca="false">VLOOKUP($A176,VolatilityTable,24)</f>
        <v>0.35</v>
      </c>
      <c r="AM176" s="1513" t="n">
        <f aca="false">VLOOKUP($A176,VolatilityTable,26)</f>
        <v>-0.01</v>
      </c>
      <c r="AN176" s="1513" t="n">
        <f aca="false">VLOOKUP($A176,VolatilityTable,27)</f>
        <v>0.16</v>
      </c>
      <c r="AO176" s="1514" t="n">
        <f aca="false">VLOOKUP($A176,VolatilityTable,28)</f>
        <v>0.01</v>
      </c>
      <c r="AP176" s="1513" t="n">
        <f aca="false">VLOOKUP($A176,VolatilityTable,26)</f>
        <v>-0.01</v>
      </c>
      <c r="AQ176" s="1513" t="n">
        <f aca="false">VLOOKUP($A176,VolatilityTable,27)</f>
        <v>0.16</v>
      </c>
      <c r="AR176" s="1515" t="n">
        <f aca="false">VLOOKUP($A176,VolatilityTable,28)</f>
        <v>0.01</v>
      </c>
      <c r="AS176" s="1581" t="n">
        <f aca="false">IF(CorrPeakOffPeakOverFlag,INDEX(CorrPeakOffPeakOver,C176),CorrPeakOffPeak)</f>
        <v>0.5</v>
      </c>
      <c r="AT176" s="594" t="e">
        <f aca="false">AX176-SUM(AU176:AW176)</f>
        <v>#VALUE!</v>
      </c>
      <c r="AU176" s="238" t="e">
        <f aca="false">IF(E176="",0,INT((F176-MOD(F176,7)-E176)/7)+1-IF(AW176,IF(WEEKDAY(D176)=7,1,0),0))</f>
        <v>#VALUE!</v>
      </c>
      <c r="AV176" s="238" t="e">
        <f aca="false">IF(E176="",0,INT((F176-MOD(F176-1,7)-E176)/7)+1-IF(AW176,IF(WEEKDAY(D176)=1,1,0),0))</f>
        <v>#VALUE!</v>
      </c>
      <c r="AW176" s="238" t="e">
        <f aca="false">IF(OR(E176="",D176="",D176&lt;BegDate,D176&gt;EndDate),0,1)</f>
        <v>#VALUE!</v>
      </c>
      <c r="AX176" s="238" t="n">
        <f aca="false">IF(E176="",0,F176-E176+1)</f>
        <v>31</v>
      </c>
      <c r="AY176" s="1582" t="n">
        <f aca="false">IF(E176="",0,MIN((1-(1-VLOOKUP(B176,MAIN!$AA$7:$AM$28,C176+1))*(1-VLOOKUP(B176,MAIN!$AA$33:$AM$54,C176+1))),1))</f>
        <v>0.03</v>
      </c>
      <c r="AZ176" s="1519" t="e">
        <v>#VALUE!</v>
      </c>
      <c r="BA176" s="1520" t="e">
        <v>#VALUE!</v>
      </c>
      <c r="BB176" s="1520" t="e">
        <v>#VALUE!</v>
      </c>
      <c r="BC176" s="1583" t="e">
        <v>#VALUE!</v>
      </c>
      <c r="BD176" s="1522" t="e">
        <v>#VALUE!</v>
      </c>
      <c r="BE176" s="1523" t="e">
        <v>#VALUE!</v>
      </c>
      <c r="BF176" s="1523" t="e">
        <v>#VALUE!</v>
      </c>
      <c r="BG176" s="1584" t="e">
        <v>#VALUE!</v>
      </c>
      <c r="BH176" s="1525" t="e">
        <v>#VALUE!</v>
      </c>
      <c r="BI176" s="1520" t="e">
        <v>#VALUE!</v>
      </c>
      <c r="BJ176" s="1520" t="e">
        <v>#VALUE!</v>
      </c>
      <c r="BK176" s="1583" t="e">
        <v>#VALUE!</v>
      </c>
      <c r="BL176" s="1522" t="e">
        <v>#VALUE!</v>
      </c>
      <c r="BM176" s="1523" t="e">
        <v>#VALUE!</v>
      </c>
      <c r="BN176" s="1523" t="e">
        <v>#VALUE!</v>
      </c>
      <c r="BO176" s="1523" t="e">
        <v>#VALUE!</v>
      </c>
      <c r="BP176" s="1525" t="e">
        <f aca="false">SUM(AZ176:BB176)</f>
        <v>#VALUE!</v>
      </c>
      <c r="BQ176" s="1529" t="e">
        <f aca="false">SUM(AZ176:BC176)</f>
        <v>#VALUE!</v>
      </c>
      <c r="BR176" s="1519" t="e">
        <f aca="false">SUM(BH176:BJ176)</f>
        <v>#VALUE!</v>
      </c>
      <c r="BS176" s="1529" t="e">
        <f aca="false">SUM(BH176:BK176)</f>
        <v>#VALUE!</v>
      </c>
      <c r="BT176" s="1316" t="n">
        <f aca="false">(IF(OVolType&lt;&gt;2,A176+14,IF(OptExpDateShift,ShiftBack(A176,OptExpDateShift,D175),A176))-DateToday)/365.25</f>
        <v>13.2977412731006</v>
      </c>
      <c r="BU176" s="1585" t="e">
        <f aca="false">IF(BQ176,IF(OPriceCurve,IF(OBuySell=OCallPut,I176/(1-AY176),K176/(1-AY176)),J176/(1-AY176))*BD176,0)</f>
        <v>#VALUE!</v>
      </c>
      <c r="BV176" s="1316" t="e">
        <f aca="false">IF(BQ176,IF(OPriceCurve,IF(OBuySell=OCallPut,L176/(1-AY176),N176/(1-AY176)),M176/(1-AY176))*BE176,0)</f>
        <v>#VALUE!</v>
      </c>
      <c r="BW176" s="1316" t="e">
        <f aca="false">IF(BQ176,IF(OPriceCurve,IF(OBuySell=OCallPut,O176/(1-AY176),Q176/(1-AY176)),P176/(1-AY176))*BF176,0)</f>
        <v>#VALUE!</v>
      </c>
      <c r="BX176" s="1316" t="e">
        <f aca="false">IF(BQ176,IF(OPriceCurve,IF(OBuySell=OCallPut,R176/(1-AY176),T176/(1-AY176)),S176/(1-AY176))*BG176,0)</f>
        <v>#VALUE!</v>
      </c>
      <c r="BY176" s="1316" t="e">
        <f aca="false">IF(BP176,(BU176*AZ176+BV176*BA176+BW176*BB176)/BP176,0)</f>
        <v>#VALUE!</v>
      </c>
      <c r="BZ176" s="1316" t="e">
        <f aca="false">IF(BQ176,(BY176*BP176+BX176*BC176)/BQ176,0)</f>
        <v>#VALUE!</v>
      </c>
      <c r="CA176" s="1531" t="e">
        <f aca="false">IF(BS176,IF(OPriceCurve,IF(OBuySell=OCallPut,I176/(1-AY176),K176/(1-AY176)),J176/(1-AY176))*BL176,0)</f>
        <v>#VALUE!</v>
      </c>
      <c r="CB176" s="1316" t="e">
        <f aca="false">IF(BS176,IF(OPriceCurve,IF(OBuySell=OCallPut,L176/(1-AY176),N176/(1-AY176)),M176/(1-AY176))*BM176,0)</f>
        <v>#VALUE!</v>
      </c>
      <c r="CC176" s="1316" t="e">
        <f aca="false">IF(BS176,IF(OPriceCurve,IF(OBuySell=OCallPut,O176/(1-AY176),Q176/(1-AY176)),P176/(1-AY176))*BN176,0)</f>
        <v>#VALUE!</v>
      </c>
      <c r="CD176" s="1316" t="e">
        <f aca="false">IF(BS176,IF(OPriceCurve,IF(OBuySell=OCallPut,R176/(1-AY176),T176/(1-AY176)),S176/(1-AY176))*BO176,0)</f>
        <v>#VALUE!</v>
      </c>
      <c r="CE176" s="1316" t="e">
        <f aca="false">IF(BR176,(BU176*BH176+BV176*BI176+BW176*BJ176)/BR176,0)</f>
        <v>#VALUE!</v>
      </c>
      <c r="CF176" s="1532" t="e">
        <f aca="false">IF(BS176,(CE176*BR176+CD176*BK176)/BS176,0)</f>
        <v>#VALUE!</v>
      </c>
      <c r="CG176" s="1586" t="e">
        <f aca="false">IF(OR(BQ176,BS176),IF(OVolType&lt;&gt;2,SQRT(IF(OVolOverMonthlyPeak,OVolOverMonthlyPeak,IF(OVolCurve,IF(OBuySell,U176,W176),V176))^2*(1-15/365.25/BT176)+IF(OVolOverDailyPeak,OVolOverDailyPeak,IF(OVolCurve,IF(OBuySell,AG176,AI176),AH176))^2*15/365.25/BT176),IF(OVolOverMonthlyPeak,OVolOverMonthlyPeak,IF(OVolCurve,IF(OBuySell,U176,W176),V176))),"")</f>
        <v>#VALUE!</v>
      </c>
      <c r="CH176" s="1587" t="e">
        <f aca="false">IF(OR(BQ176,BS176),IF(OVolType&lt;&gt;2,SQRT(IF(OVolOverMonthlyPeak,OVolOverMonthlyPeak,IF(OVolCurve,IF(OBuySell,X176,Z176),Y176))^2*(1-15/365.25/BT176)+IF(OVolOverDailyPeak,OVolOverDailyPeak,IF(OVolCurve,IF(OBuySell,AJ176,AL176),AK176))^2*15/365.25/BT176),IF(OVolOverMonthlyPeak,OVolOverMonthlyPeak,IF(OVolCurve,IF(OBuySell,X176,Z176),Y176))),"")</f>
        <v>#VALUE!</v>
      </c>
      <c r="CI176" s="1587" t="e">
        <f aca="false">IF(OR(BQ176,BS176),IF(OVolType&lt;&gt;2,SQRT(IF(OVolOverMonthlyPeak,OVolOverMonthlyPeak,IF(OVolCurve,IF(OBuySell,AA176,AC176),AB176))^2*(1-15/365.25/BT176)+IF(OVolOverDailyPeak,OVolOverDailyPeak,IF(OVolCurve,IF(OBuySell,AM176,AO176),AN176))^2*15/365.25/BT176),IF(OVolOverMonthlyPeak,OVolOverMonthlyPeak,IF(OVolCurve,IF(OBuySell,AA176,AC176),AB176))),"")</f>
        <v>#VALUE!</v>
      </c>
      <c r="CJ176" s="1587" t="e">
        <f aca="false">IF(BQ176,IF(BP176,SQRT(LN(1+((BU176*AZ176)^2*(EXP(CG176^2*BT176)-1)+(BV176*BA176)^2*(EXP(CH176^2*BT176)-1)+(BW176*BB176)^2*(EXP(CI176^2*BT176)-1)+2*BU176*AZ176*BV176*BA176*(EXP(CG176*CH176*BT176)-1)+2*BV176*BA176*BW176*BB176*(EXP(CH176*CI176*BT176)-1)+2*BW176*BB176*BU176*AZ176*(EXP(CI176*CG176*BT176)-1))/(BY176*BP176)^2)/BT176),0),"")</f>
        <v>#VALUE!</v>
      </c>
      <c r="CK176" s="1587" t="e">
        <f aca="false">IF(BS176,IF(BR176,SQRT(LN(1+((CA176*BH176)^2*(EXP(CG176^2*BT176)-1)+(CB176*BI176)^2*(EXP(CH176^2*BT176)-1)+(CC176*BJ176)^2*(EXP(CI176^2*BT176)-1)+2*CA176*BH176*CB176*BI176*(EXP(CG176*CH176*BT176)-1)+2*CB176*BI176*CC176*BJ176*(EXP(CH176*CI176*BT176)-1)+2*CC176*BJ176*CA176*BH176*(EXP(CI176*CG176*BT176)-1))/(CE176*BR176)^2)/BT176),0),"")</f>
        <v>#VALUE!</v>
      </c>
      <c r="CL176" s="1587" t="e">
        <f aca="false">IF(OR(BQ176,BS176),IF(OVolType&lt;&gt;2,SQRT(IF(OVolOverMonthlyOffPeak,OVolOverMonthlyOffPeak,IF(OVolCurve,IF(OBuySell,AD176,AF176),AE176))^2*(1-15/365.25/BT176)+IF(OVolOverDailyOffPeak,OVolOverDailyOffPeak,IF(OVolCurve,IF(OBuySell,AP176,AR176),AQ176))^2*15/365.25/BT176),IF(OVolOverMonthlyOffPeak,OVolOverMonthlyOffPeak,IF(OVolCurve,IF(OBuySell,AD176,AF176),AE176))),"")</f>
        <v>#VALUE!</v>
      </c>
      <c r="CM176" s="1587" t="e">
        <f aca="false">IF(BQ176,SQRT(LN(1+((BY176*BP176)^2*(EXP(CJ176^2*BT176)-1)+(BX176*BC176)^2*(EXP(CL176^2*BT176)-1)+2*BY176*BP176*BX176*BC176*(EXP(AS176*CJ176*CL176*BT176)-1))/(BY176*BP176+BX176*BC176)^2)/BT176),"")</f>
        <v>#VALUE!</v>
      </c>
      <c r="CN176" s="1588" t="e">
        <f aca="false">IF(BS176,SQRT(LN(1+((CE176*BR176)^2*(EXP(CK176^2*BT176)-1)+(CD176*BK176)^2*(EXP(CL176^2*BT176)-1)+2*CE176*BR176*CD176*BK176*(EXP(AS176*CK176*CL176*BT176)-1))/(CE176*BR176+CD176*BK176)^2)/BT176),"")</f>
        <v>#VALUE!</v>
      </c>
      <c r="CO176" s="1531" t="e">
        <f aca="false">IF(OR(BQ176,BS176),VLOOKUP(A176,GasTable,13)*HeatRatePeak*(1+VLOOKUP($B176,HeatRateDegradation,$C176+1))/1000,0)</f>
        <v>#VALUE!</v>
      </c>
      <c r="CP176" s="1316" t="e">
        <f aca="false">IF(OR(BQ176,BS176),VLOOKUP(A176,GasTable,13)*HeatRatePeak*(1+VLOOKUP($B176,HeatRateDegradation,$C176+1))/1000,0)</f>
        <v>#VALUE!</v>
      </c>
      <c r="CQ176" s="1316" t="e">
        <f aca="false">IF(OR(BQ176,BS176),VLOOKUP(A176,GasTable,13)*IF(EV176,HeatRatePeak,HeatRateOffPeak)*(1+VLOOKUP($B176,HeatRateDegradation,$C176+1))/1000,0)</f>
        <v>#VALUE!</v>
      </c>
      <c r="CR176" s="1316" t="e">
        <f aca="false">IF(OR(BQ176,BS176),VLOOKUP(A176,GasTable,13)*IF(EW176,HeatRatePeak,HeatRateOffPeak)*(1+VLOOKUP($B176,HeatRateDegradation,$C176+1))/1000,0)</f>
        <v>#VALUE!</v>
      </c>
      <c r="CS176" s="1589" t="e">
        <f aca="false">IF(BQ176,(CO176*AZ176+CP176*BA176+CQ176*BB176+CR176*BC176)/BQ176,0)</f>
        <v>#VALUE!</v>
      </c>
      <c r="CT176" s="1316" t="e">
        <f aca="false">IF(BS176,CO176,0)</f>
        <v>#VALUE!</v>
      </c>
      <c r="CU176" s="1590" t="e">
        <f aca="false">IF(OR(BQ176,BS176),VLOOKUP(A176,GasTable,14),"")</f>
        <v>#VALUE!</v>
      </c>
      <c r="CV176" s="1568" t="e">
        <f aca="false">IF(OR(BQ176,BS176),IF(CorrPowerGasOverFlag,INDEX(CorrPowerGasOver,C176),CorrPowerGas),"")</f>
        <v>#VALUE!</v>
      </c>
      <c r="CW176" s="1316" t="e">
        <f aca="false">IF(OR($BQ176,$BS176),SpreadOptPowerMargin,0)*((1+Assumptions!$C$26)^($B176-YEAR(Assumptions!$C$17)))</f>
        <v>#VALUE!</v>
      </c>
      <c r="CX176" s="1316" t="e">
        <f aca="false">IF(OR($BQ176,$BS176),SpreadOptPowerMargin,0)*((1+Assumptions!$C$26)^($B176-YEAR(Assumptions!$C$17)))</f>
        <v>#VALUE!</v>
      </c>
      <c r="CY176" s="1316" t="e">
        <f aca="false">IF(OR($BQ176,$BS176),SpreadOptPowerMargin,0)*((1+Assumptions!$C$26)^($B176-YEAR(Assumptions!$C$17)))</f>
        <v>#VALUE!</v>
      </c>
      <c r="CZ176" s="1316" t="e">
        <f aca="false">IF(OR($BQ176,$BS176),SpreadOptPowerMargin,0)*((1+Assumptions!$C$26)^($B176-YEAR(Assumptions!$C$17)))</f>
        <v>#VALUE!</v>
      </c>
      <c r="DA176" s="1591" t="e">
        <f aca="false">IF(OR(BQ176,BS176),(CW176*(AZ176+BH176)+CX176*(BA176+BI176)+CY176*(BB176+BJ176)+CZ176*(BC176+BK176))/(BQ176+BS176),0)</f>
        <v>#VALUE!</v>
      </c>
      <c r="DB176" s="1592" t="e">
        <f aca="false">IF(OR(BQ176,BS176),CG176+IF(OVolSmile,VLOOKUP(MAX(-5,CO176+CW176-BU176),IF(OVolSmile=1,VolSmileBook,VolSmileModel),2),0),"")</f>
        <v>#VALUE!</v>
      </c>
      <c r="DC176" s="1592" t="e">
        <f aca="false">IF(OR(BQ176,BS176),CH176+IF(OVolSmile,VLOOKUP(MAX(-5,CP176+CW176-BV176),IF(OVolSmile=1,VolSmileBook,VolSmileModel),2),0),"")</f>
        <v>#VALUE!</v>
      </c>
      <c r="DD176" s="1592" t="e">
        <f aca="false">IF(OR(BQ176,BS176),CI176+IF(OVolSmile,VLOOKUP(MAX(-5,CQ176+CW176-BW176),IF(OVolSmile=1,VolSmileBook,VolSmileModel),2),0),"")</f>
        <v>#VALUE!</v>
      </c>
      <c r="DE176" s="1592" t="e">
        <f aca="false">IF(OR(BQ176,BS176),CL176+IF(OVolSmile,VLOOKUP(MAX(-5,CR176+CZ176-BX176),IF(OVolSmile=1,VolSmileBook,VolSmileModel),2),0),"")</f>
        <v>#VALUE!</v>
      </c>
      <c r="DF176" s="1592" t="e">
        <f aca="false">IF(BQ176,CM176+IF(OVolSmile,VLOOKUP(MAX(-5,CS176+DA176-BZ176),IF(OVolSmile=1,VolSmileBook,VolSmileModel),2),0),"")</f>
        <v>#VALUE!</v>
      </c>
      <c r="DG176" s="1593" t="e">
        <f aca="false">IF(BS176,CN176+IF(OVolSmile,VLOOKUP(MAX(-5,CT176+DA176-CF176),IF(OVolSmile=1,VolSmileBook,VolSmileModel),2),0),"")</f>
        <v>#VALUE!</v>
      </c>
      <c r="DH176" s="1316" t="e">
        <f aca="false">IF(AND(BU176&gt;0,CO176&gt;0,DB176&gt;0,CU176&gt;0),newSPRDOPT(BU176,CO176,CW176,0,DB176,CU176,CV176,BT176*365.25,OCallPut,0),0)</f>
        <v>#VALUE!</v>
      </c>
      <c r="DI176" s="1316" t="e">
        <f aca="false">IF(AND(BV176&gt;0,CP176&gt;0,DC176&gt;0,CU176&gt;0),newSPRDOPT(BV176,CP176,CX176,0,DC176,CU176,CV176,BT176*365.25,OCallPut,0),0)</f>
        <v>#VALUE!</v>
      </c>
      <c r="DJ176" s="1316" t="e">
        <f aca="false">IF(AND(BW176&gt;0,CQ176&gt;0,DD176&gt;0,CU176&gt;0),newSPRDOPT(BW176,CQ176,CY176,0,DD176,CU176,CV176,BT176*365.25,OCallPut,0),0)</f>
        <v>#VALUE!</v>
      </c>
      <c r="DK176" s="1316" t="e">
        <f aca="false">IF(AND(BX176&gt;0,CR176&gt;0,DE176&gt;0,CU176&gt;0),newSPRDOPT(BX176,CR176,CZ176,0,DE176,CU176,CV176,BT176*365.25,OCallPut,0),0)</f>
        <v>#VALUE!</v>
      </c>
      <c r="DL176" s="1316" t="e">
        <f aca="false">IF(OVolType,IF(AND(BZ176&gt;0,CS176&gt;0,DF176&gt;0,CU176&gt;0),newSPRDOPT(BZ176,CS176,DA176,0,DF176,CU176,CV176,BT176*365.25,OCallPut,0),0),IF(BQ176,(DH176*AZ176+DI176*BA176+DJ176*BB176+DK176*BC176)/BQ176,0))</f>
        <v>#VALUE!</v>
      </c>
      <c r="DM176" s="1316"/>
      <c r="DN176" s="1316"/>
      <c r="DO176" s="1316"/>
      <c r="DP176" s="1316"/>
      <c r="DQ176" s="1316"/>
      <c r="DR176" s="1316"/>
      <c r="DS176" s="1316"/>
      <c r="DT176" s="1316"/>
      <c r="DU176" s="1316"/>
      <c r="DV176" s="1316"/>
      <c r="DW176" s="1594" t="e">
        <f aca="false">IF(AND(BW176&gt;0,CT176&gt;0,DD176&gt;0,CU176&gt;0),newSPRDOPT(BW176,CT176,CY176,0,DD176,CU176,CV176,BT176*365.25,OCallPut,0),0)</f>
        <v>#VALUE!</v>
      </c>
      <c r="DX176" s="1316" t="e">
        <f aca="false">IF(AND(BX176&gt;0,CT176&gt;0,DE176&gt;0,CU176&gt;0),newSPRDOPT(BX176,CT176,CZ176,0,DE176,CU176,CV176,BT176*365.25,OCallPut,0),0)</f>
        <v>#VALUE!</v>
      </c>
      <c r="DY176" s="1591" t="e">
        <f aca="false">IF(BS176,(DH176*BH176+DI176*BI176+DW176*BJ176+DX176*BK176)/BS176,0)</f>
        <v>#VALUE!</v>
      </c>
      <c r="DZ176" s="1551" t="e">
        <f aca="false">DH176*AZ176</f>
        <v>#VALUE!</v>
      </c>
      <c r="EA176" s="1551" t="e">
        <f aca="false">DI176*BA176</f>
        <v>#VALUE!</v>
      </c>
      <c r="EB176" s="1551" t="e">
        <f aca="false">DJ176*BB176</f>
        <v>#VALUE!</v>
      </c>
      <c r="EC176" s="1551" t="e">
        <f aca="false">DK176*BC176</f>
        <v>#VALUE!</v>
      </c>
      <c r="ED176" s="1551" t="e">
        <f aca="false">DL176*BQ176</f>
        <v>#VALUE!</v>
      </c>
      <c r="EE176" s="1595" t="e">
        <f aca="false">IF(BQ176,IF(OCallPut,IF(BU176&gt;(CO176+CW176),BU176-(CO176+CW176),0),IF((CO176+CW176)&gt;BU176,(CO176+CW176)-BU176,0))*AZ176,0)</f>
        <v>#VALUE!</v>
      </c>
      <c r="EF176" s="1596" t="e">
        <f aca="false">IF(BQ176,IF(OCallPut,IF(BV176&gt;(CP176+CX176),BV176-(CP176+CX176),0),IF((CP176+CX176)&gt;BV176,(CP176+CX176)-BV176,0))*BA176,0)</f>
        <v>#VALUE!</v>
      </c>
      <c r="EG176" s="1596" t="e">
        <f aca="false">IF(BQ176,IF(OCallPut,IF(BW176&gt;(CQ176+CY176),BW176-(CQ176+CY176),0),IF((CQ176+CY176)&gt;BW176,(CQ176+CY176)-BW176,0))*BB176,0)</f>
        <v>#VALUE!</v>
      </c>
      <c r="EH176" s="1596" t="e">
        <f aca="false">IF(BQ176,IF(OCallPut,IF(BX176&gt;(CR176+CZ176),BX176-(CR176+CZ176),0),IF((CR176+CZ176)&gt;BX176,(CR176+CZ176)-BX176,0))*BC176,0)</f>
        <v>#VALUE!</v>
      </c>
      <c r="EI176" s="1597" t="e">
        <f aca="false">IF(BQ176,IF(OVolType,IF(OCallPut,IF(BZ176&gt;(CS176+DA176),BZ176-(CS176+DA176),0),IF((CS176+DA176)&gt;BZ176,(CS176+DA176)-BZ176,0))*BQ176,SUM(EE176:EH176)),0)</f>
        <v>#VALUE!</v>
      </c>
      <c r="EJ176" s="1595" t="e">
        <f aca="false">DZ176-EE176</f>
        <v>#VALUE!</v>
      </c>
      <c r="EK176" s="1596" t="e">
        <f aca="false">EA176-EF176</f>
        <v>#VALUE!</v>
      </c>
      <c r="EL176" s="1596" t="e">
        <f aca="false">EB176-EG176</f>
        <v>#VALUE!</v>
      </c>
      <c r="EM176" s="1596" t="e">
        <f aca="false">EC176-EH176</f>
        <v>#VALUE!</v>
      </c>
      <c r="EN176" s="1597" t="e">
        <f aca="false">ED176-EI176</f>
        <v>#VALUE!</v>
      </c>
      <c r="EO176" s="1551" t="e">
        <f aca="false">DH176*BH176</f>
        <v>#VALUE!</v>
      </c>
      <c r="EP176" s="1551" t="e">
        <f aca="false">DI176*BI176</f>
        <v>#VALUE!</v>
      </c>
      <c r="EQ176" s="1551" t="e">
        <f aca="false">DW176*BJ176</f>
        <v>#VALUE!</v>
      </c>
      <c r="ER176" s="1551" t="e">
        <f aca="false">DX176*BK176</f>
        <v>#VALUE!</v>
      </c>
      <c r="ES176" s="1551" t="e">
        <f aca="false">DY176*BS176</f>
        <v>#VALUE!</v>
      </c>
      <c r="ET176" s="1566" t="e">
        <f aca="false">IF(EI176,IF(OCallPut,IF(CA176&gt;(CT176+CW176),CA176-(CT176+CW176),0),IF((CT176+CW176)&gt;CA176,(CT176+CW176)-CA176,0))*BH176,0)</f>
        <v>#VALUE!</v>
      </c>
      <c r="EU176" s="1551" t="e">
        <f aca="false">IF(EI176,IF(OCallPut,IF(CB176&gt;(CT176+CX176),CB176-(CT176+CX176),0),IF((CT176+CX176)&gt;CB176,(CT176+CX176)-CB176,0))*BI176,0)</f>
        <v>#VALUE!</v>
      </c>
      <c r="EV176" s="1551" t="e">
        <f aca="false">IF(EI176,IF(OCallPut,IF(CC176&gt;(CT176+CY176),CC176-(CT176+CY176),0),IF((CT176+CY176)&gt;CC176,(CT176+CY176)-CC176,0))*BJ176,0)</f>
        <v>#VALUE!</v>
      </c>
      <c r="EW176" s="1551" t="e">
        <f aca="false">IF(EI176,IF(OCallPut,IF(CD176&gt;(CT176+CZ176),CD176-(CT176+CZ176),0),IF((CT176+CZ176)&gt;CD176,(CT176+CZ176)-CD176,0))*BK176,0)</f>
        <v>#VALUE!</v>
      </c>
      <c r="EX176" s="1558" t="e">
        <f aca="false">IF(EI176,SUM(ET176:EW176),0)</f>
        <v>#VALUE!</v>
      </c>
      <c r="EY176" s="1551" t="e">
        <f aca="false">EO176-ET176</f>
        <v>#VALUE!</v>
      </c>
      <c r="EZ176" s="1551" t="e">
        <f aca="false">EP176-EU176</f>
        <v>#VALUE!</v>
      </c>
      <c r="FA176" s="1551" t="e">
        <f aca="false">EQ176-EV176</f>
        <v>#VALUE!</v>
      </c>
      <c r="FB176" s="1551" t="e">
        <f aca="false">ER176-EW176</f>
        <v>#VALUE!</v>
      </c>
      <c r="FC176" s="1551" t="e">
        <f aca="false">ES176-EX176</f>
        <v>#VALUE!</v>
      </c>
      <c r="FD176" s="1525" t="n">
        <f aca="false">IF(AX176,IF(VLOOKUP(C176,MAIN!$L$17:$M$28,2)="Yes",VLOOKUP(CALC!B176,MAIN!$H$17:$I$20,2),0),0)</f>
        <v>0</v>
      </c>
      <c r="FE176" s="1552" t="e">
        <f aca="false">$FD176*16*AT176*(1-$AY176)</f>
        <v>#VALUE!</v>
      </c>
      <c r="FF176" s="1553" t="e">
        <f aca="false">$FD176*16*AU176*(1-$AY176)</f>
        <v>#VALUE!</v>
      </c>
      <c r="FG176" s="1553" t="e">
        <f aca="false">$FD176*16*(AV176+AW176)*(1-$AY176)</f>
        <v>#VALUE!</v>
      </c>
      <c r="FH176" s="1554" t="n">
        <f aca="false">$FD176*8*AX176*(1-$AY176)</f>
        <v>0</v>
      </c>
      <c r="FI176" s="1555" t="n">
        <f aca="false">IF(AX176,VLOOKUP(CALC!B176,MAIN!$H$17:$K$20,4),0)</f>
        <v>0</v>
      </c>
      <c r="FJ176" s="1553" t="e">
        <f aca="false">SUM(FE176:FH176)</f>
        <v>#VALUE!</v>
      </c>
      <c r="FK176" s="1556" t="e">
        <f aca="false">FI176*FJ176</f>
        <v>#VALUE!</v>
      </c>
      <c r="FL176" s="1551" t="e">
        <f aca="false">IF($EI176&gt;0,MIN(FE176,AZ176*(1+VLOOKUP($C176,WeatherCapacityAdjustment,2))),0)</f>
        <v>#VALUE!</v>
      </c>
      <c r="FM176" s="1551" t="e">
        <f aca="false">IF($EI176&gt;0,MIN(FF176,BA176*(1+VLOOKUP($C176,WeatherCapacityAdjustment,2))),0)</f>
        <v>#VALUE!</v>
      </c>
      <c r="FN176" s="1551" t="e">
        <f aca="false">IF($EI176&gt;0,MIN(FG176,BB176*(1+VLOOKUP($C176,WeatherCapacityAdjustment,2))),0)</f>
        <v>#VALUE!</v>
      </c>
      <c r="FO176" s="1564" t="e">
        <f aca="false">IF($EI176&gt;0,MIN(FH176,BC176*(1+VLOOKUP($C176,WeatherCapacityAdjustment,3))),0)</f>
        <v>#VALUE!</v>
      </c>
      <c r="FP176" s="1551" t="e">
        <f aca="false">IF(ET176&gt;0,MIN(FE176-FL176,BH176*(1+VLOOKUP($C176,WeatherCapacityAdjustment,2))),0)</f>
        <v>#VALUE!</v>
      </c>
      <c r="FQ176" s="1551" t="e">
        <f aca="false">IF(EU176&gt;0,MIN(FF176-FM176,BI176*(1+VLOOKUP($C176,WeatherCapacityAdjustment,2))),0)</f>
        <v>#VALUE!</v>
      </c>
      <c r="FR176" s="1551" t="e">
        <f aca="false">IF(EV176&gt;0,MIN(FG176-FN176,BJ176*(1+VLOOKUP($C176,WeatherCapacityAdjustment,2))),0)</f>
        <v>#VALUE!</v>
      </c>
      <c r="FS176" s="1558" t="e">
        <f aca="false">IF(EW176&gt;0,MIN(FH176-FO176,BK176*(1+VLOOKUP($C176,WeatherCapacityAdjustment,3))),0)</f>
        <v>#VALUE!</v>
      </c>
      <c r="FT176" s="1566" t="e">
        <f aca="false">IF(AND(Assumptions!$H$71="Yes",A176&gt;=Assumptions!$H$72,A176&lt;=Assumptions!$H$73),0,IF(AND($A176&gt;=Assumptions!$C$17,$A176&lt;=Assumptions!$C$18),MAX(AZ176*(1+VLOOKUP($C176,WeatherCapacityAdjustment,2))-FL176,0),0))</f>
        <v>#VALUE!</v>
      </c>
      <c r="FU176" s="1551" t="e">
        <f aca="false">IF(AND(Assumptions!$H$71="Yes",A176&gt;=Assumptions!$H$72,A176&lt;=Assumptions!$H$73),0,IF(AND($A176&gt;=Assumptions!$C$17,$A176&lt;=Assumptions!$C$18),MAX(BA176*(1+VLOOKUP($C176,WeatherCapacityAdjustment,2))-FM176,0),0))</f>
        <v>#VALUE!</v>
      </c>
      <c r="FV176" s="1551" t="e">
        <f aca="false">IF(AND(Assumptions!$H$71="Yes",A176&gt;=Assumptions!$H$72,A176&lt;=Assumptions!$H$73),0,IF(AND($A176&gt;=Assumptions!$C$17,$A176&lt;=Assumptions!$C$18),MAX(BB176*(1+VLOOKUP($C176,WeatherCapacityAdjustment,2))-FN176,0),0))</f>
        <v>#VALUE!</v>
      </c>
      <c r="FW176" s="1564" t="e">
        <f aca="false">IF(AND(Assumptions!$H$71="Yes",A176&gt;=Assumptions!$H$72,A176&lt;=Assumptions!$H$73),0,IF(AND($A176&gt;=Assumptions!$C$17,$A176&lt;=Assumptions!$C$18),MAX(BC176*(1+VLOOKUP($C176,WeatherCapacityAdjustment,3))-FO176,0),0))</f>
        <v>#VALUE!</v>
      </c>
      <c r="FX176" s="1569" t="e">
        <f aca="false">IF(AND(Assumptions!$H$71="Yes",A176&gt;=Assumptions!$H$72,A176&lt;=Assumptions!$H$73),0,IF(ET176&gt;0,MAX(BH176*(1+VLOOKUP($C176,WeatherCapacityAdjustment,2))-FP176,0),0))</f>
        <v>#VALUE!</v>
      </c>
      <c r="FY176" s="1551" t="e">
        <f aca="false">IF(AND(Assumptions!$H$71="Yes",A176&gt;=Assumptions!$H$72,A176&lt;=Assumptions!$H$73),0,IF(EU176&gt;0,MAX(BI176*(1+VLOOKUP($C176,WeatherCapacityAdjustment,3))-FQ176,0),0))</f>
        <v>#VALUE!</v>
      </c>
      <c r="FZ176" s="1551" t="e">
        <f aca="false">IF(AND(Assumptions!$H$71="Yes",A176&gt;=Assumptions!$H$72,A176&lt;=Assumptions!$H$73),0,IF(EV176&gt;0,MAX(BJ176*(1+VLOOKUP($C176,WeatherCapacityAdjustment,2))-FR176,0),0))</f>
        <v>#VALUE!</v>
      </c>
      <c r="GA176" s="1564" t="e">
        <f aca="false">IF(AND(Assumptions!$H$71="Yes",A176&gt;=Assumptions!$H$72,A176&lt;=Assumptions!$H$73),0,IF(EW176&gt;0,MAX(BK176*(1+VLOOKUP($C176,WeatherCapacityAdjustment,2))-FS176,0),0))</f>
        <v>#VALUE!</v>
      </c>
      <c r="GB176" s="1551" t="e">
        <f aca="false">SUM(FT176:GA176)</f>
        <v>#VALUE!</v>
      </c>
      <c r="GC176" s="1563" t="e">
        <f aca="false">+IF(SUM(FT176:GA176)=0,0,(SUMPRODUCT(BU176:BX176,FT176:FW176)+SUMPRODUCT(CA176:CD176,FX176:GA176))/SUM(FT176:GA176))</f>
        <v>#VALUE!</v>
      </c>
      <c r="GD176" s="1551" t="e">
        <f aca="false">(FT176*BU176+FX176*CA176+FU176*BV176+FY176*CB176+FV176*BW176+FZ176*CC176+FW176*BX176+GA176*CD176)</f>
        <v>#VALUE!</v>
      </c>
      <c r="GE176" s="1561" t="e">
        <f aca="false">+IF(BQ176,((FL176+FM176+FT176+FU176)*HeatRatePeak/1000*(1+VLOOKUP($C176,WeatherHeatRateAdjustment,2))+(FN176+FV176)*IF(EV176&gt;0,HeatRatePeak,HeatRateOffPeak)/1000*(1+VLOOKUP($C176,WeatherHeatRateAdjustment,2))+(FO176+FW176)*IF(EW176&gt;0,HeatRatePeak,HeatRateOffPeak)/1000*(1+VLOOKUP($C176,WeatherHeatRateAdjustment,3)))*(1+VLOOKUP($B176,HeatRateDegradation,$C176+1)),0)</f>
        <v>#VALUE!</v>
      </c>
      <c r="GF176" s="1562" t="e">
        <f aca="false">IF(BQ176,((FP176+FQ176+FR176+FX176+FY176+FZ176)*HeatRatePeak/1000*(1+VLOOKUP($C176,WeatherHeatRateAdjustment,2))+(FS176+GA176)*HeatRatePeak/1000*(1+VLOOKUP($C176,WeatherHeatRateAdjustment,3)))*(1+VLOOKUP($B176,HeatRateDegradation,$C176+1)),0)</f>
        <v>#VALUE!</v>
      </c>
      <c r="GG176" s="1563" t="e">
        <f aca="false">IF(BQ176,VLOOKUP(A176,GasTable,13),0)</f>
        <v>#VALUE!</v>
      </c>
      <c r="GH176" s="1564" t="e">
        <f aca="false">(GE176+GF176)*GG176</f>
        <v>#VALUE!</v>
      </c>
      <c r="GI176" s="1569" t="e">
        <f aca="false">GB176</f>
        <v>#VALUE!</v>
      </c>
      <c r="GJ176" s="1598" t="e">
        <f aca="false">+DA176</f>
        <v>#VALUE!</v>
      </c>
      <c r="GK176" s="1558" t="e">
        <f aca="false">+GI176*GJ176</f>
        <v>#VALUE!</v>
      </c>
      <c r="GL176" s="1566" t="e">
        <f aca="false">MAX(FE176-FL176-FP176,0)</f>
        <v>#VALUE!</v>
      </c>
      <c r="GM176" s="1551" t="e">
        <f aca="false">MAX(FF176-FM176-FQ176,0)</f>
        <v>#VALUE!</v>
      </c>
      <c r="GN176" s="1551" t="e">
        <f aca="false">MAX(FG176-FN176-FR176,0)</f>
        <v>#VALUE!</v>
      </c>
      <c r="GO176" s="1564" t="e">
        <f aca="false">MAX(FH176-FO176-FS176,0)</f>
        <v>#VALUE!</v>
      </c>
      <c r="GP176" s="1551" t="e">
        <f aca="false">SUM(GL176:GO176)</f>
        <v>#VALUE!</v>
      </c>
      <c r="GQ176" s="1563" t="e">
        <f aca="false">IF(SUM(GL176:GO176)=0,0,((GL176*BU176+GM176*BV176+GN176*BW176+GO176*BX176)/SUM(GL176:GO176)))</f>
        <v>#VALUE!</v>
      </c>
      <c r="GR176" s="1558" t="e">
        <f aca="false">(GL176*BU176+GM176*BV176+GN176*BW176+GO176*BX176)</f>
        <v>#VALUE!</v>
      </c>
      <c r="GS176" s="1566" t="n">
        <f aca="false">IF($A176&gt;=BegDate,Assumptions!$C$56*24*($A177-$A176)*(1-VLOOKUP($B176,MAIN!$AA$7:$AM$28,$C176+1))*(1-VLOOKUP($B176,MAIN!$AA$33:$AM$54,$C176+1)),0)*80/168</f>
        <v>257742.857142857</v>
      </c>
      <c r="GT176" s="286" t="n">
        <f aca="false">J176</f>
        <v>116.076099114597</v>
      </c>
      <c r="GU176" s="286" t="n">
        <f aca="false">IF($A176&gt;=BegDate,VLOOKUP($A176,GasTable,13)+Assumptions!$C$58,0)</f>
        <v>3.14102345707637</v>
      </c>
      <c r="GV176" s="286" t="n">
        <f aca="false">GU176*Assumptions!$C$57/1000</f>
        <v>22.7724200638037</v>
      </c>
      <c r="GW176" s="1558" t="n">
        <f aca="false">IF(Assumptions!$C$60="Hourly",MAX(0,GS176*(GT176-GV176)),GS176*(GT176-GV176))</f>
        <v>24048356.8204917</v>
      </c>
      <c r="GX176" s="1566" t="n">
        <f aca="false">IF($A176&gt;=BegDate,Assumptions!$C$56*24*($A177-$A176)*(1-VLOOKUP($B176,MAIN!$AA$7:$AM$28,$C176+1))*(1-VLOOKUP($B176,MAIN!$AA$33:$AM$54,$C176+1)),0)*16/168</f>
        <v>51548.5714285714</v>
      </c>
      <c r="GY176" s="286" t="n">
        <f aca="false">M176</f>
        <v>116.076099114597</v>
      </c>
      <c r="GZ176" s="286" t="n">
        <f aca="false">IF($A176&gt;=BegDate,VLOOKUP($A176,GasTable,13)+Assumptions!$C$58,0)</f>
        <v>3.14102345707637</v>
      </c>
      <c r="HA176" s="286" t="n">
        <f aca="false">GZ176*Assumptions!$C$57/1000</f>
        <v>22.7724200638037</v>
      </c>
      <c r="HB176" s="1558" t="n">
        <f aca="false">IF(Assumptions!$C$60="Hourly",MAX(0,GX176*(GY176-HA176)),GX176*(GY176-HA176))</f>
        <v>4809671.36409834</v>
      </c>
      <c r="HC176" s="1566" t="n">
        <f aca="false">IF($A176&gt;=BegDate,Assumptions!$C$56*24*($A177-$A176)*(1-VLOOKUP($B176,MAIN!$AA$7:$AM$28,$C176+1))*(1-VLOOKUP($B176,MAIN!$AA$33:$AM$54,$C176+1)),0)*16/168</f>
        <v>51548.5714285714</v>
      </c>
      <c r="HD176" s="286" t="n">
        <f aca="false">P176</f>
        <v>35.5173930064025</v>
      </c>
      <c r="HE176" s="286" t="n">
        <f aca="false">IF($A176&gt;=BegDate,VLOOKUP($A176,GasTable,13)+Assumptions!$C$58,0)</f>
        <v>3.14102345707637</v>
      </c>
      <c r="HF176" s="286" t="n">
        <f aca="false">HE176*Assumptions!$C$57/1000</f>
        <v>22.7724200638037</v>
      </c>
      <c r="HG176" s="1558" t="n">
        <f aca="false">IF(Assumptions!$C$60="Hourly",MAX(0,HC176*(HD176-HF176)),HC176*(HD176-HF176))</f>
        <v>656985.148086763</v>
      </c>
      <c r="HH176" s="1566" t="n">
        <f aca="false">IF($A176&gt;=BegDate,Assumptions!$C$56*24*($A177-$A176)*(1-VLOOKUP($B176,MAIN!$AA$7:$AM$28,$C176+1))*(1-VLOOKUP($B176,MAIN!$AA$33:$AM$54,$C176+1)),0)*56/168</f>
        <v>180420</v>
      </c>
      <c r="HI176" s="286" t="n">
        <f aca="false">S176</f>
        <v>35.5173930064025</v>
      </c>
      <c r="HJ176" s="286" t="n">
        <f aca="false">IF($A176&gt;=BegDate,VLOOKUP($A176,GasTable,13)+Assumptions!$C$58,0)</f>
        <v>3.14102345707637</v>
      </c>
      <c r="HK176" s="286" t="n">
        <f aca="false">HJ176*Assumptions!$C$57/1000</f>
        <v>22.7724200638037</v>
      </c>
      <c r="HL176" s="1558" t="n">
        <f aca="false">IF(Assumptions!$C$60="Hourly",MAX(0,HH176*(HI176-HK176)),HH176*(HI176-HK176))</f>
        <v>2299448.01830367</v>
      </c>
      <c r="HM176" s="1566" t="n">
        <f aca="false">IF(AND(Assumptions!$H$71="Yes",A176&gt;=Assumptions!$H$72,A176&lt;=Assumptions!$H$73),Assumptions!$H$74*Assumptions!$C$9*1000,0)</f>
        <v>0</v>
      </c>
      <c r="HN176" s="1551"/>
      <c r="HO176" s="1563"/>
      <c r="HP176" s="1563"/>
      <c r="HQ176" s="1563"/>
      <c r="HR176" s="1563"/>
      <c r="HS176" s="1563"/>
      <c r="HT176" s="1563"/>
      <c r="HU176" s="1563"/>
      <c r="HV176" s="1563"/>
      <c r="HW176" s="1563"/>
      <c r="HX176" s="1563"/>
      <c r="HY176" s="1563"/>
      <c r="HZ176" s="1563"/>
      <c r="IA176" s="1563"/>
      <c r="IB176" s="1563"/>
      <c r="IC176" s="1563"/>
      <c r="ID176" s="1563"/>
      <c r="IE176" s="1563"/>
      <c r="IF176" s="1563"/>
      <c r="IG176" s="1563"/>
      <c r="IH176" s="1563"/>
      <c r="II176" s="1610"/>
      <c r="IJ176" s="1309"/>
      <c r="IK176" s="1309"/>
    </row>
    <row r="177" customFormat="false" ht="12.75" hidden="false" customHeight="false" outlineLevel="0" collapsed="false">
      <c r="A177" s="1571" t="n">
        <f aca="false">EOMONTH(A176,0)+1</f>
        <v>41518</v>
      </c>
      <c r="B177" s="594" t="n">
        <f aca="false">+YEAR(A177)</f>
        <v>2013</v>
      </c>
      <c r="C177" s="238" t="n">
        <f aca="false">MONTH(A177)</f>
        <v>9</v>
      </c>
      <c r="D177" s="1572" t="e">
        <f aca="false">IF(E177="","",Holiday(B177,C177))</f>
        <v>#VALUE!</v>
      </c>
      <c r="E177" s="1573" t="n">
        <f aca="false">IF(OR(BegDate&gt;=A178,EndDate&lt;A177,AND(VolumeMonthlyOverFlag,INDEX(VolumeMonthlyOver,C177)=0),NOT(INDEX(MonthKnockOutTable,C177))),"",MAX(A177,BegDate))</f>
        <v>41518</v>
      </c>
      <c r="F177" s="1574" t="n">
        <f aca="false">IF(E177="","",MIN(A178-1,EndDate))</f>
        <v>41547</v>
      </c>
      <c r="G177" s="1575" t="n">
        <v>0</v>
      </c>
      <c r="H177" s="1576" t="n">
        <f aca="false">(1+G177/2)^(-2*(DATE(B178,C178,20)-DateToday)/365.25)</f>
        <v>1</v>
      </c>
      <c r="I177" s="1568" t="n">
        <f aca="false">IF(Assumptions!$L$25=4,VLOOKUP($A177,'Henwood Reference'!$E$9:$R$320,10),(VLOOKUP($A177,PriceTable,2,0)+IF(BasisNumber&lt;&gt;1,VLOOKUP($A177,BasisTable,2,0),0)+I$1)/(1-I$2))</f>
        <v>70.3494332199905</v>
      </c>
      <c r="J177" s="1568" t="n">
        <f aca="false">IF(Assumptions!$L$25=4,VLOOKUP($A177,'Henwood Reference'!$E$9:$R$320,10),(VLOOKUP($A177,PriceTable,3,0)+IF(BasisNumber&lt;&gt;1,VLOOKUP($A177,BasisTable,2,0),0)+J$1)/(1-J$2))</f>
        <v>70.3494332199905</v>
      </c>
      <c r="K177" s="1568" t="n">
        <f aca="false">IF(Assumptions!$L$25=4,VLOOKUP($A177,'Henwood Reference'!$E$9:$R$320,10),(VLOOKUP($A177,PriceTable,4,0)+IF(BasisNumber&lt;&gt;1,VLOOKUP($A177,BasisTable,2,0),0)+K$1)/(1-K$2))</f>
        <v>70.3494332199905</v>
      </c>
      <c r="L177" s="1523" t="n">
        <f aca="false">IF(Assumptions!$L$25=4,VLOOKUP($A177,'Henwood Reference'!$E$9:$R$320,10),(VLOOKUP($A177,PriceTableWeekend,2,0)+IF(BasisNumber&lt;&gt;1,VLOOKUP($A177,BasisTable,2,0),0)+L$1)/(1-L$2))</f>
        <v>70.3494332199905</v>
      </c>
      <c r="M177" s="1568" t="n">
        <f aca="false">IF(Assumptions!$L$25=4,VLOOKUP($A177,'Henwood Reference'!$E$9:$R$320,10),(VLOOKUP($A177,PriceTableWeekend,3,0)+IF(BasisNumber&lt;&gt;1,VLOOKUP($A177,BasisTable,2,0),0)+M$1)/(1-M$2))</f>
        <v>70.3494332199905</v>
      </c>
      <c r="N177" s="1599" t="n">
        <f aca="false">IF(Assumptions!$L$25=4,VLOOKUP($A177,'Henwood Reference'!$E$9:$R$320,10),(VLOOKUP($A177,PriceTableWeekend,4,0)+IF(BasisNumber&lt;&gt;1,VLOOKUP($A177,BasisTable,2,0),0)+N$1)/(1-N$2))</f>
        <v>70.3494332199905</v>
      </c>
      <c r="O177" s="1568" t="n">
        <f aca="false">IF(Assumptions!$L$25=4,VLOOKUP($A177,'Henwood Reference'!$E$9:$R$320,11),(VLOOKUP($A177,PriceTableWeekend,6,0)+IF(BasisNumber&lt;&gt;1,VLOOKUP($A177,BasisTable,3,0),0)+O$1)/(1-O$2))</f>
        <v>33.8878367340198</v>
      </c>
      <c r="P177" s="1568" t="n">
        <f aca="false">IF(Assumptions!$L$25=4,VLOOKUP($A177,'Henwood Reference'!$E$9:$R$320,11),(VLOOKUP($A177,PriceTableWeekend,7,0)+IF(BasisNumber&lt;&gt;1,VLOOKUP($A177,BasisTable,3,0),0)+P$1)/(1-P$2))</f>
        <v>33.8878367340198</v>
      </c>
      <c r="Q177" s="1599" t="n">
        <f aca="false">IF(Assumptions!$L$25=4,VLOOKUP($A177,'Henwood Reference'!$E$9:$R$320,11),(VLOOKUP($A177,PriceTableWeekend,8,0)+IF(BasisNumber&lt;&gt;1,VLOOKUP($A177,BasisTable,3,0),0)+Q$1)/(1-Q$2))</f>
        <v>33.8878367340198</v>
      </c>
      <c r="R177" s="1568" t="n">
        <f aca="false">IF(Assumptions!$L$25=4,VLOOKUP($A177,'Henwood Reference'!$E$9:$R$320,11),(VLOOKUP($A177,PriceTable,6,0)+IF(BasisNumber&lt;&gt;1,VLOOKUP($A177,BasisTable,3,0),0)+R$1)/(1-R$2))</f>
        <v>33.8878367340198</v>
      </c>
      <c r="S177" s="1568" t="n">
        <f aca="false">IF(Assumptions!$L$25=4,VLOOKUP($A177,'Henwood Reference'!$E$9:$R$320,11),(VLOOKUP($A177,PriceTable,7,0)+IF(BasisNumber&lt;&gt;1,VLOOKUP($A177,BasisTable,3,0),0)+S$1)/(1-S$2))</f>
        <v>33.8878367340198</v>
      </c>
      <c r="T177" s="1600" t="n">
        <f aca="false">IF(Assumptions!$L$25=4,VLOOKUP($A177,'Henwood Reference'!$E$9:$R$320,11),(VLOOKUP($A177,PriceTable,8,0)+IF(BasisNumber&lt;&gt;1,VLOOKUP($A177,BasisTable,3,0),0)+T$1)/(1-T$2))</f>
        <v>33.8878367340198</v>
      </c>
      <c r="U177" s="1513" t="n">
        <f aca="false">VLOOKUP($A177,VolatilityTable,14)</f>
        <v>0.105</v>
      </c>
      <c r="V177" s="1513" t="n">
        <f aca="false">VLOOKUP($A177,VolatilityTable,15)</f>
        <v>0.115</v>
      </c>
      <c r="W177" s="1514" t="n">
        <f aca="false">VLOOKUP($A177,VolatilityTable,16)</f>
        <v>0.125</v>
      </c>
      <c r="X177" s="1513" t="n">
        <f aca="false">VLOOKUP($A177,VolatilityTable,14)</f>
        <v>0.105</v>
      </c>
      <c r="Y177" s="1513" t="n">
        <f aca="false">VLOOKUP($A177,VolatilityTable,15)</f>
        <v>0.115</v>
      </c>
      <c r="Z177" s="1514" t="n">
        <f aca="false">VLOOKUP($A177,VolatilityTable,16)</f>
        <v>0.125</v>
      </c>
      <c r="AA177" s="1513" t="n">
        <f aca="false">VLOOKUP($A177,VolatilityTable,18)</f>
        <v>0.09</v>
      </c>
      <c r="AB177" s="1513" t="n">
        <f aca="false">VLOOKUP($A177,VolatilityTable,19)</f>
        <v>0.11</v>
      </c>
      <c r="AC177" s="1514" t="n">
        <f aca="false">VLOOKUP($A177,VolatilityTable,20)</f>
        <v>0.13</v>
      </c>
      <c r="AD177" s="1513" t="n">
        <f aca="false">VLOOKUP($A177,VolatilityTable,18)</f>
        <v>0.09</v>
      </c>
      <c r="AE177" s="1513" t="n">
        <f aca="false">VLOOKUP($A177,VolatilityTable,19)</f>
        <v>0.11</v>
      </c>
      <c r="AF177" s="1514" t="n">
        <f aca="false">VLOOKUP($A177,VolatilityTable,20)</f>
        <v>0.13</v>
      </c>
      <c r="AG177" s="1513" t="n">
        <f aca="false">VLOOKUP($A177,VolatilityTable,22)</f>
        <v>-0.35</v>
      </c>
      <c r="AH177" s="1513" t="n">
        <f aca="false">VLOOKUP($A177,VolatilityTable,23)</f>
        <v>3</v>
      </c>
      <c r="AI177" s="1514" t="n">
        <f aca="false">VLOOKUP($A177,VolatilityTable,24)</f>
        <v>0.2</v>
      </c>
      <c r="AJ177" s="1513" t="n">
        <f aca="false">VLOOKUP($A177,VolatilityTable,22)</f>
        <v>-0.35</v>
      </c>
      <c r="AK177" s="1513" t="n">
        <f aca="false">VLOOKUP($A177,VolatilityTable,23)</f>
        <v>3</v>
      </c>
      <c r="AL177" s="1514" t="n">
        <f aca="false">VLOOKUP($A177,VolatilityTable,24)</f>
        <v>0.2</v>
      </c>
      <c r="AM177" s="1513" t="n">
        <f aca="false">VLOOKUP($A177,VolatilityTable,26)</f>
        <v>-0.01</v>
      </c>
      <c r="AN177" s="1513" t="n">
        <f aca="false">VLOOKUP($A177,VolatilityTable,27)</f>
        <v>0.16</v>
      </c>
      <c r="AO177" s="1514" t="n">
        <f aca="false">VLOOKUP($A177,VolatilityTable,28)</f>
        <v>0.01</v>
      </c>
      <c r="AP177" s="1513" t="n">
        <f aca="false">VLOOKUP($A177,VolatilityTable,26)</f>
        <v>-0.01</v>
      </c>
      <c r="AQ177" s="1513" t="n">
        <f aca="false">VLOOKUP($A177,VolatilityTable,27)</f>
        <v>0.16</v>
      </c>
      <c r="AR177" s="1515" t="n">
        <f aca="false">VLOOKUP($A177,VolatilityTable,28)</f>
        <v>0.01</v>
      </c>
      <c r="AS177" s="1581" t="n">
        <f aca="false">IF(CorrPeakOffPeakOverFlag,INDEX(CorrPeakOffPeakOver,C177),CorrPeakOffPeak)</f>
        <v>0.5</v>
      </c>
      <c r="AT177" s="594" t="e">
        <f aca="false">AX177-SUM(AU177:AW177)</f>
        <v>#VALUE!</v>
      </c>
      <c r="AU177" s="238" t="e">
        <f aca="false">IF(E177="",0,INT((F177-MOD(F177,7)-E177)/7)+1-IF(AW177,IF(WEEKDAY(D177)=7,1,0),0))</f>
        <v>#VALUE!</v>
      </c>
      <c r="AV177" s="238" t="e">
        <f aca="false">IF(E177="",0,INT((F177-MOD(F177-1,7)-E177)/7)+1-IF(AW177,IF(WEEKDAY(D177)=1,1,0),0))</f>
        <v>#VALUE!</v>
      </c>
      <c r="AW177" s="238" t="e">
        <f aca="false">IF(OR(E177="",D177="",D177&lt;BegDate,D177&gt;EndDate),0,1)</f>
        <v>#VALUE!</v>
      </c>
      <c r="AX177" s="238" t="n">
        <f aca="false">IF(E177="",0,F177-E177+1)</f>
        <v>30</v>
      </c>
      <c r="AY177" s="1582" t="n">
        <f aca="false">IF(E177="",0,MIN((1-(1-VLOOKUP(B177,MAIN!$AA$7:$AM$28,C177+1))*(1-VLOOKUP(B177,MAIN!$AA$33:$AM$54,C177+1))),1))</f>
        <v>0.03</v>
      </c>
      <c r="AZ177" s="1519" t="e">
        <v>#VALUE!</v>
      </c>
      <c r="BA177" s="1520" t="e">
        <v>#VALUE!</v>
      </c>
      <c r="BB177" s="1520" t="e">
        <v>#VALUE!</v>
      </c>
      <c r="BC177" s="1583" t="e">
        <v>#VALUE!</v>
      </c>
      <c r="BD177" s="1522" t="e">
        <v>#VALUE!</v>
      </c>
      <c r="BE177" s="1523" t="e">
        <v>#VALUE!</v>
      </c>
      <c r="BF177" s="1523" t="e">
        <v>#VALUE!</v>
      </c>
      <c r="BG177" s="1584" t="e">
        <v>#VALUE!</v>
      </c>
      <c r="BH177" s="1525" t="e">
        <v>#VALUE!</v>
      </c>
      <c r="BI177" s="1520" t="e">
        <v>#VALUE!</v>
      </c>
      <c r="BJ177" s="1520" t="e">
        <v>#VALUE!</v>
      </c>
      <c r="BK177" s="1583" t="e">
        <v>#VALUE!</v>
      </c>
      <c r="BL177" s="1522" t="e">
        <v>#VALUE!</v>
      </c>
      <c r="BM177" s="1523" t="e">
        <v>#VALUE!</v>
      </c>
      <c r="BN177" s="1523" t="e">
        <v>#VALUE!</v>
      </c>
      <c r="BO177" s="1523" t="e">
        <v>#VALUE!</v>
      </c>
      <c r="BP177" s="1525" t="e">
        <f aca="false">SUM(AZ177:BB177)</f>
        <v>#VALUE!</v>
      </c>
      <c r="BQ177" s="1529" t="e">
        <f aca="false">SUM(AZ177:BC177)</f>
        <v>#VALUE!</v>
      </c>
      <c r="BR177" s="1519" t="e">
        <f aca="false">SUM(BH177:BJ177)</f>
        <v>#VALUE!</v>
      </c>
      <c r="BS177" s="1529" t="e">
        <f aca="false">SUM(BH177:BK177)</f>
        <v>#VALUE!</v>
      </c>
      <c r="BT177" s="1316" t="n">
        <f aca="false">(IF(OVolType&lt;&gt;2,A177+14,IF(OptExpDateShift,ShiftBack(A177,OptExpDateShift,D176),A177))-DateToday)/365.25</f>
        <v>13.3826146475017</v>
      </c>
      <c r="BU177" s="1585" t="e">
        <f aca="false">IF(BQ177,IF(OPriceCurve,IF(OBuySell=OCallPut,I177/(1-AY177),K177/(1-AY177)),J177/(1-AY177))*BD177,0)</f>
        <v>#VALUE!</v>
      </c>
      <c r="BV177" s="1316" t="e">
        <f aca="false">IF(BQ177,IF(OPriceCurve,IF(OBuySell=OCallPut,L177/(1-AY177),N177/(1-AY177)),M177/(1-AY177))*BE177,0)</f>
        <v>#VALUE!</v>
      </c>
      <c r="BW177" s="1316" t="e">
        <f aca="false">IF(BQ177,IF(OPriceCurve,IF(OBuySell=OCallPut,O177/(1-AY177),Q177/(1-AY177)),P177/(1-AY177))*BF177,0)</f>
        <v>#VALUE!</v>
      </c>
      <c r="BX177" s="1316" t="e">
        <f aca="false">IF(BQ177,IF(OPriceCurve,IF(OBuySell=OCallPut,R177/(1-AY177),T177/(1-AY177)),S177/(1-AY177))*BG177,0)</f>
        <v>#VALUE!</v>
      </c>
      <c r="BY177" s="1316" t="e">
        <f aca="false">IF(BP177,(BU177*AZ177+BV177*BA177+BW177*BB177)/BP177,0)</f>
        <v>#VALUE!</v>
      </c>
      <c r="BZ177" s="1316" t="e">
        <f aca="false">IF(BQ177,(BY177*BP177+BX177*BC177)/BQ177,0)</f>
        <v>#VALUE!</v>
      </c>
      <c r="CA177" s="1531" t="e">
        <f aca="false">IF(BS177,IF(OPriceCurve,IF(OBuySell=OCallPut,I177/(1-AY177),K177/(1-AY177)),J177/(1-AY177))*BL177,0)</f>
        <v>#VALUE!</v>
      </c>
      <c r="CB177" s="1316" t="e">
        <f aca="false">IF(BS177,IF(OPriceCurve,IF(OBuySell=OCallPut,L177/(1-AY177),N177/(1-AY177)),M177/(1-AY177))*BM177,0)</f>
        <v>#VALUE!</v>
      </c>
      <c r="CC177" s="1316" t="e">
        <f aca="false">IF(BS177,IF(OPriceCurve,IF(OBuySell=OCallPut,O177/(1-AY177),Q177/(1-AY177)),P177/(1-AY177))*BN177,0)</f>
        <v>#VALUE!</v>
      </c>
      <c r="CD177" s="1316" t="e">
        <f aca="false">IF(BS177,IF(OPriceCurve,IF(OBuySell=OCallPut,R177/(1-AY177),T177/(1-AY177)),S177/(1-AY177))*BO177,0)</f>
        <v>#VALUE!</v>
      </c>
      <c r="CE177" s="1316" t="e">
        <f aca="false">IF(BR177,(BU177*BH177+BV177*BI177+BW177*BJ177)/BR177,0)</f>
        <v>#VALUE!</v>
      </c>
      <c r="CF177" s="1532" t="e">
        <f aca="false">IF(BS177,(CE177*BR177+CD177*BK177)/BS177,0)</f>
        <v>#VALUE!</v>
      </c>
      <c r="CG177" s="1586" t="e">
        <f aca="false">IF(OR(BQ177,BS177),IF(OVolType&lt;&gt;2,SQRT(IF(OVolOverMonthlyPeak,OVolOverMonthlyPeak,IF(OVolCurve,IF(OBuySell,U177,W177),V177))^2*(1-15/365.25/BT177)+IF(OVolOverDailyPeak,OVolOverDailyPeak,IF(OVolCurve,IF(OBuySell,AG177,AI177),AH177))^2*15/365.25/BT177),IF(OVolOverMonthlyPeak,OVolOverMonthlyPeak,IF(OVolCurve,IF(OBuySell,U177,W177),V177))),"")</f>
        <v>#VALUE!</v>
      </c>
      <c r="CH177" s="1587" t="e">
        <f aca="false">IF(OR(BQ177,BS177),IF(OVolType&lt;&gt;2,SQRT(IF(OVolOverMonthlyPeak,OVolOverMonthlyPeak,IF(OVolCurve,IF(OBuySell,X177,Z177),Y177))^2*(1-15/365.25/BT177)+IF(OVolOverDailyPeak,OVolOverDailyPeak,IF(OVolCurve,IF(OBuySell,AJ177,AL177),AK177))^2*15/365.25/BT177),IF(OVolOverMonthlyPeak,OVolOverMonthlyPeak,IF(OVolCurve,IF(OBuySell,X177,Z177),Y177))),"")</f>
        <v>#VALUE!</v>
      </c>
      <c r="CI177" s="1587" t="e">
        <f aca="false">IF(OR(BQ177,BS177),IF(OVolType&lt;&gt;2,SQRT(IF(OVolOverMonthlyPeak,OVolOverMonthlyPeak,IF(OVolCurve,IF(OBuySell,AA177,AC177),AB177))^2*(1-15/365.25/BT177)+IF(OVolOverDailyPeak,OVolOverDailyPeak,IF(OVolCurve,IF(OBuySell,AM177,AO177),AN177))^2*15/365.25/BT177),IF(OVolOverMonthlyPeak,OVolOverMonthlyPeak,IF(OVolCurve,IF(OBuySell,AA177,AC177),AB177))),"")</f>
        <v>#VALUE!</v>
      </c>
      <c r="CJ177" s="1587" t="e">
        <f aca="false">IF(BQ177,IF(BP177,SQRT(LN(1+((BU177*AZ177)^2*(EXP(CG177^2*BT177)-1)+(BV177*BA177)^2*(EXP(CH177^2*BT177)-1)+(BW177*BB177)^2*(EXP(CI177^2*BT177)-1)+2*BU177*AZ177*BV177*BA177*(EXP(CG177*CH177*BT177)-1)+2*BV177*BA177*BW177*BB177*(EXP(CH177*CI177*BT177)-1)+2*BW177*BB177*BU177*AZ177*(EXP(CI177*CG177*BT177)-1))/(BY177*BP177)^2)/BT177),0),"")</f>
        <v>#VALUE!</v>
      </c>
      <c r="CK177" s="1587" t="e">
        <f aca="false">IF(BS177,IF(BR177,SQRT(LN(1+((CA177*BH177)^2*(EXP(CG177^2*BT177)-1)+(CB177*BI177)^2*(EXP(CH177^2*BT177)-1)+(CC177*BJ177)^2*(EXP(CI177^2*BT177)-1)+2*CA177*BH177*CB177*BI177*(EXP(CG177*CH177*BT177)-1)+2*CB177*BI177*CC177*BJ177*(EXP(CH177*CI177*BT177)-1)+2*CC177*BJ177*CA177*BH177*(EXP(CI177*CG177*BT177)-1))/(CE177*BR177)^2)/BT177),0),"")</f>
        <v>#VALUE!</v>
      </c>
      <c r="CL177" s="1587" t="e">
        <f aca="false">IF(OR(BQ177,BS177),IF(OVolType&lt;&gt;2,SQRT(IF(OVolOverMonthlyOffPeak,OVolOverMonthlyOffPeak,IF(OVolCurve,IF(OBuySell,AD177,AF177),AE177))^2*(1-15/365.25/BT177)+IF(OVolOverDailyOffPeak,OVolOverDailyOffPeak,IF(OVolCurve,IF(OBuySell,AP177,AR177),AQ177))^2*15/365.25/BT177),IF(OVolOverMonthlyOffPeak,OVolOverMonthlyOffPeak,IF(OVolCurve,IF(OBuySell,AD177,AF177),AE177))),"")</f>
        <v>#VALUE!</v>
      </c>
      <c r="CM177" s="1587" t="e">
        <f aca="false">IF(BQ177,SQRT(LN(1+((BY177*BP177)^2*(EXP(CJ177^2*BT177)-1)+(BX177*BC177)^2*(EXP(CL177^2*BT177)-1)+2*BY177*BP177*BX177*BC177*(EXP(AS177*CJ177*CL177*BT177)-1))/(BY177*BP177+BX177*BC177)^2)/BT177),"")</f>
        <v>#VALUE!</v>
      </c>
      <c r="CN177" s="1588" t="e">
        <f aca="false">IF(BS177,SQRT(LN(1+((CE177*BR177)^2*(EXP(CK177^2*BT177)-1)+(CD177*BK177)^2*(EXP(CL177^2*BT177)-1)+2*CE177*BR177*CD177*BK177*(EXP(AS177*CK177*CL177*BT177)-1))/(CE177*BR177+CD177*BK177)^2)/BT177),"")</f>
        <v>#VALUE!</v>
      </c>
      <c r="CO177" s="1531" t="e">
        <f aca="false">IF(OR(BQ177,BS177),VLOOKUP(A177,GasTable,13)*HeatRatePeak*(1+VLOOKUP($B177,HeatRateDegradation,$C177+1))/1000,0)</f>
        <v>#VALUE!</v>
      </c>
      <c r="CP177" s="1316" t="e">
        <f aca="false">IF(OR(BQ177,BS177),VLOOKUP(A177,GasTable,13)*HeatRatePeak*(1+VLOOKUP($B177,HeatRateDegradation,$C177+1))/1000,0)</f>
        <v>#VALUE!</v>
      </c>
      <c r="CQ177" s="1316" t="e">
        <f aca="false">IF(OR(BQ177,BS177),VLOOKUP(A177,GasTable,13)*IF(EV177,HeatRatePeak,HeatRateOffPeak)*(1+VLOOKUP($B177,HeatRateDegradation,$C177+1))/1000,0)</f>
        <v>#VALUE!</v>
      </c>
      <c r="CR177" s="1316" t="e">
        <f aca="false">IF(OR(BQ177,BS177),VLOOKUP(A177,GasTable,13)*IF(EW177,HeatRatePeak,HeatRateOffPeak)*(1+VLOOKUP($B177,HeatRateDegradation,$C177+1))/1000,0)</f>
        <v>#VALUE!</v>
      </c>
      <c r="CS177" s="1589" t="e">
        <f aca="false">IF(BQ177,(CO177*AZ177+CP177*BA177+CQ177*BB177+CR177*BC177)/BQ177,0)</f>
        <v>#VALUE!</v>
      </c>
      <c r="CT177" s="1316" t="e">
        <f aca="false">IF(BS177,CO177,0)</f>
        <v>#VALUE!</v>
      </c>
      <c r="CU177" s="1590" t="e">
        <f aca="false">IF(OR(BQ177,BS177),VLOOKUP(A177,GasTable,14),"")</f>
        <v>#VALUE!</v>
      </c>
      <c r="CV177" s="1568" t="e">
        <f aca="false">IF(OR(BQ177,BS177),IF(CorrPowerGasOverFlag,INDEX(CorrPowerGasOver,C177),CorrPowerGas),"")</f>
        <v>#VALUE!</v>
      </c>
      <c r="CW177" s="1316" t="e">
        <f aca="false">IF(OR($BQ177,$BS177),SpreadOptPowerMargin,0)*((1+Assumptions!$C$26)^($B177-YEAR(Assumptions!$C$17)))</f>
        <v>#VALUE!</v>
      </c>
      <c r="CX177" s="1316" t="e">
        <f aca="false">IF(OR($BQ177,$BS177),SpreadOptPowerMargin,0)*((1+Assumptions!$C$26)^($B177-YEAR(Assumptions!$C$17)))</f>
        <v>#VALUE!</v>
      </c>
      <c r="CY177" s="1316" t="e">
        <f aca="false">IF(OR($BQ177,$BS177),SpreadOptPowerMargin,0)*((1+Assumptions!$C$26)^($B177-YEAR(Assumptions!$C$17)))</f>
        <v>#VALUE!</v>
      </c>
      <c r="CZ177" s="1316" t="e">
        <f aca="false">IF(OR($BQ177,$BS177),SpreadOptPowerMargin,0)*((1+Assumptions!$C$26)^($B177-YEAR(Assumptions!$C$17)))</f>
        <v>#VALUE!</v>
      </c>
      <c r="DA177" s="1591" t="e">
        <f aca="false">IF(OR(BQ177,BS177),(CW177*(AZ177+BH177)+CX177*(BA177+BI177)+CY177*(BB177+BJ177)+CZ177*(BC177+BK177))/(BQ177+BS177),0)</f>
        <v>#VALUE!</v>
      </c>
      <c r="DB177" s="1592" t="e">
        <f aca="false">IF(OR(BQ177,BS177),CG177+IF(OVolSmile,VLOOKUP(MAX(-5,CO177+CW177-BU177),IF(OVolSmile=1,VolSmileBook,VolSmileModel),2),0),"")</f>
        <v>#VALUE!</v>
      </c>
      <c r="DC177" s="1592" t="e">
        <f aca="false">IF(OR(BQ177,BS177),CH177+IF(OVolSmile,VLOOKUP(MAX(-5,CP177+CW177-BV177),IF(OVolSmile=1,VolSmileBook,VolSmileModel),2),0),"")</f>
        <v>#VALUE!</v>
      </c>
      <c r="DD177" s="1592" t="e">
        <f aca="false">IF(OR(BQ177,BS177),CI177+IF(OVolSmile,VLOOKUP(MAX(-5,CQ177+CW177-BW177),IF(OVolSmile=1,VolSmileBook,VolSmileModel),2),0),"")</f>
        <v>#VALUE!</v>
      </c>
      <c r="DE177" s="1592" t="e">
        <f aca="false">IF(OR(BQ177,BS177),CL177+IF(OVolSmile,VLOOKUP(MAX(-5,CR177+CZ177-BX177),IF(OVolSmile=1,VolSmileBook,VolSmileModel),2),0),"")</f>
        <v>#VALUE!</v>
      </c>
      <c r="DF177" s="1592" t="e">
        <f aca="false">IF(BQ177,CM177+IF(OVolSmile,VLOOKUP(MAX(-5,CS177+DA177-BZ177),IF(OVolSmile=1,VolSmileBook,VolSmileModel),2),0),"")</f>
        <v>#VALUE!</v>
      </c>
      <c r="DG177" s="1593" t="e">
        <f aca="false">IF(BS177,CN177+IF(OVolSmile,VLOOKUP(MAX(-5,CT177+DA177-CF177),IF(OVolSmile=1,VolSmileBook,VolSmileModel),2),0),"")</f>
        <v>#VALUE!</v>
      </c>
      <c r="DH177" s="1316" t="e">
        <f aca="false">IF(AND(BU177&gt;0,CO177&gt;0,DB177&gt;0,CU177&gt;0),newSPRDOPT(BU177,CO177,CW177,0,DB177,CU177,CV177,BT177*365.25,OCallPut,0),0)</f>
        <v>#VALUE!</v>
      </c>
      <c r="DI177" s="1316" t="e">
        <f aca="false">IF(AND(BV177&gt;0,CP177&gt;0,DC177&gt;0,CU177&gt;0),newSPRDOPT(BV177,CP177,CX177,0,DC177,CU177,CV177,BT177*365.25,OCallPut,0),0)</f>
        <v>#VALUE!</v>
      </c>
      <c r="DJ177" s="1316" t="e">
        <f aca="false">IF(AND(BW177&gt;0,CQ177&gt;0,DD177&gt;0,CU177&gt;0),newSPRDOPT(BW177,CQ177,CY177,0,DD177,CU177,CV177,BT177*365.25,OCallPut,0),0)</f>
        <v>#VALUE!</v>
      </c>
      <c r="DK177" s="1316" t="e">
        <f aca="false">IF(AND(BX177&gt;0,CR177&gt;0,DE177&gt;0,CU177&gt;0),newSPRDOPT(BX177,CR177,CZ177,0,DE177,CU177,CV177,BT177*365.25,OCallPut,0),0)</f>
        <v>#VALUE!</v>
      </c>
      <c r="DL177" s="1316" t="e">
        <f aca="false">IF(OVolType,IF(AND(BZ177&gt;0,CS177&gt;0,DF177&gt;0,CU177&gt;0),newSPRDOPT(BZ177,CS177,DA177,0,DF177,CU177,CV177,BT177*365.25,OCallPut,0),0),IF(BQ177,(DH177*AZ177+DI177*BA177+DJ177*BB177+DK177*BC177)/BQ177,0))</f>
        <v>#VALUE!</v>
      </c>
      <c r="DM177" s="1316"/>
      <c r="DN177" s="1316"/>
      <c r="DO177" s="1316"/>
      <c r="DP177" s="1316"/>
      <c r="DQ177" s="1316"/>
      <c r="DR177" s="1316"/>
      <c r="DS177" s="1316"/>
      <c r="DT177" s="1316"/>
      <c r="DU177" s="1316"/>
      <c r="DV177" s="1316"/>
      <c r="DW177" s="1594" t="e">
        <f aca="false">IF(AND(BW177&gt;0,CT177&gt;0,DD177&gt;0,CU177&gt;0),newSPRDOPT(BW177,CT177,CY177,0,DD177,CU177,CV177,BT177*365.25,OCallPut,0),0)</f>
        <v>#VALUE!</v>
      </c>
      <c r="DX177" s="1316" t="e">
        <f aca="false">IF(AND(BX177&gt;0,CT177&gt;0,DE177&gt;0,CU177&gt;0),newSPRDOPT(BX177,CT177,CZ177,0,DE177,CU177,CV177,BT177*365.25,OCallPut,0),0)</f>
        <v>#VALUE!</v>
      </c>
      <c r="DY177" s="1591" t="e">
        <f aca="false">IF(BS177,(DH177*BH177+DI177*BI177+DW177*BJ177+DX177*BK177)/BS177,0)</f>
        <v>#VALUE!</v>
      </c>
      <c r="DZ177" s="1551" t="e">
        <f aca="false">DH177*AZ177</f>
        <v>#VALUE!</v>
      </c>
      <c r="EA177" s="1551" t="e">
        <f aca="false">DI177*BA177</f>
        <v>#VALUE!</v>
      </c>
      <c r="EB177" s="1551" t="e">
        <f aca="false">DJ177*BB177</f>
        <v>#VALUE!</v>
      </c>
      <c r="EC177" s="1551" t="e">
        <f aca="false">DK177*BC177</f>
        <v>#VALUE!</v>
      </c>
      <c r="ED177" s="1551" t="e">
        <f aca="false">DL177*BQ177</f>
        <v>#VALUE!</v>
      </c>
      <c r="EE177" s="1595" t="e">
        <f aca="false">IF(BQ177,IF(OCallPut,IF(BU177&gt;(CO177+CW177),BU177-(CO177+CW177),0),IF((CO177+CW177)&gt;BU177,(CO177+CW177)-BU177,0))*AZ177,0)</f>
        <v>#VALUE!</v>
      </c>
      <c r="EF177" s="1596" t="e">
        <f aca="false">IF(BQ177,IF(OCallPut,IF(BV177&gt;(CP177+CX177),BV177-(CP177+CX177),0),IF((CP177+CX177)&gt;BV177,(CP177+CX177)-BV177,0))*BA177,0)</f>
        <v>#VALUE!</v>
      </c>
      <c r="EG177" s="1596" t="e">
        <f aca="false">IF(BQ177,IF(OCallPut,IF(BW177&gt;(CQ177+CY177),BW177-(CQ177+CY177),0),IF((CQ177+CY177)&gt;BW177,(CQ177+CY177)-BW177,0))*BB177,0)</f>
        <v>#VALUE!</v>
      </c>
      <c r="EH177" s="1596" t="e">
        <f aca="false">IF(BQ177,IF(OCallPut,IF(BX177&gt;(CR177+CZ177),BX177-(CR177+CZ177),0),IF((CR177+CZ177)&gt;BX177,(CR177+CZ177)-BX177,0))*BC177,0)</f>
        <v>#VALUE!</v>
      </c>
      <c r="EI177" s="1597" t="e">
        <f aca="false">IF(BQ177,IF(OVolType,IF(OCallPut,IF(BZ177&gt;(CS177+DA177),BZ177-(CS177+DA177),0),IF((CS177+DA177)&gt;BZ177,(CS177+DA177)-BZ177,0))*BQ177,SUM(EE177:EH177)),0)</f>
        <v>#VALUE!</v>
      </c>
      <c r="EJ177" s="1595" t="e">
        <f aca="false">DZ177-EE177</f>
        <v>#VALUE!</v>
      </c>
      <c r="EK177" s="1596" t="e">
        <f aca="false">EA177-EF177</f>
        <v>#VALUE!</v>
      </c>
      <c r="EL177" s="1596" t="e">
        <f aca="false">EB177-EG177</f>
        <v>#VALUE!</v>
      </c>
      <c r="EM177" s="1596" t="e">
        <f aca="false">EC177-EH177</f>
        <v>#VALUE!</v>
      </c>
      <c r="EN177" s="1597" t="e">
        <f aca="false">ED177-EI177</f>
        <v>#VALUE!</v>
      </c>
      <c r="EO177" s="1551" t="e">
        <f aca="false">DH177*BH177</f>
        <v>#VALUE!</v>
      </c>
      <c r="EP177" s="1551" t="e">
        <f aca="false">DI177*BI177</f>
        <v>#VALUE!</v>
      </c>
      <c r="EQ177" s="1551" t="e">
        <f aca="false">DW177*BJ177</f>
        <v>#VALUE!</v>
      </c>
      <c r="ER177" s="1551" t="e">
        <f aca="false">DX177*BK177</f>
        <v>#VALUE!</v>
      </c>
      <c r="ES177" s="1551" t="e">
        <f aca="false">DY177*BS177</f>
        <v>#VALUE!</v>
      </c>
      <c r="ET177" s="1566" t="e">
        <f aca="false">IF(EI177,IF(OCallPut,IF(CA177&gt;(CT177+CW177),CA177-(CT177+CW177),0),IF((CT177+CW177)&gt;CA177,(CT177+CW177)-CA177,0))*BH177,0)</f>
        <v>#VALUE!</v>
      </c>
      <c r="EU177" s="1551" t="e">
        <f aca="false">IF(EI177,IF(OCallPut,IF(CB177&gt;(CT177+CX177),CB177-(CT177+CX177),0),IF((CT177+CX177)&gt;CB177,(CT177+CX177)-CB177,0))*BI177,0)</f>
        <v>#VALUE!</v>
      </c>
      <c r="EV177" s="1551" t="e">
        <f aca="false">IF(EI177,IF(OCallPut,IF(CC177&gt;(CT177+CY177),CC177-(CT177+CY177),0),IF((CT177+CY177)&gt;CC177,(CT177+CY177)-CC177,0))*BJ177,0)</f>
        <v>#VALUE!</v>
      </c>
      <c r="EW177" s="1551" t="e">
        <f aca="false">IF(EI177,IF(OCallPut,IF(CD177&gt;(CT177+CZ177),CD177-(CT177+CZ177),0),IF((CT177+CZ177)&gt;CD177,(CT177+CZ177)-CD177,0))*BK177,0)</f>
        <v>#VALUE!</v>
      </c>
      <c r="EX177" s="1558" t="e">
        <f aca="false">IF(EI177,SUM(ET177:EW177),0)</f>
        <v>#VALUE!</v>
      </c>
      <c r="EY177" s="1551" t="e">
        <f aca="false">EO177-ET177</f>
        <v>#VALUE!</v>
      </c>
      <c r="EZ177" s="1551" t="e">
        <f aca="false">EP177-EU177</f>
        <v>#VALUE!</v>
      </c>
      <c r="FA177" s="1551" t="e">
        <f aca="false">EQ177-EV177</f>
        <v>#VALUE!</v>
      </c>
      <c r="FB177" s="1551" t="e">
        <f aca="false">ER177-EW177</f>
        <v>#VALUE!</v>
      </c>
      <c r="FC177" s="1551" t="e">
        <f aca="false">ES177-EX177</f>
        <v>#VALUE!</v>
      </c>
      <c r="FD177" s="1525" t="n">
        <f aca="false">IF(AX177,IF(VLOOKUP(C177,MAIN!$L$17:$M$28,2)="Yes",VLOOKUP(CALC!B177,MAIN!$H$17:$I$20,2),0),0)</f>
        <v>0</v>
      </c>
      <c r="FE177" s="1552" t="e">
        <f aca="false">$FD177*16*AT177*(1-$AY177)</f>
        <v>#VALUE!</v>
      </c>
      <c r="FF177" s="1553" t="e">
        <f aca="false">$FD177*16*AU177*(1-$AY177)</f>
        <v>#VALUE!</v>
      </c>
      <c r="FG177" s="1553" t="e">
        <f aca="false">$FD177*16*(AV177+AW177)*(1-$AY177)</f>
        <v>#VALUE!</v>
      </c>
      <c r="FH177" s="1554" t="n">
        <f aca="false">$FD177*8*AX177*(1-$AY177)</f>
        <v>0</v>
      </c>
      <c r="FI177" s="1555" t="n">
        <f aca="false">IF(AX177,VLOOKUP(CALC!B177,MAIN!$H$17:$K$20,4),0)</f>
        <v>0</v>
      </c>
      <c r="FJ177" s="1553" t="e">
        <f aca="false">SUM(FE177:FH177)</f>
        <v>#VALUE!</v>
      </c>
      <c r="FK177" s="1556" t="e">
        <f aca="false">FI177*FJ177</f>
        <v>#VALUE!</v>
      </c>
      <c r="FL177" s="1551" t="e">
        <f aca="false">IF($EI177&gt;0,MIN(FE177,AZ177*(1+VLOOKUP($C177,WeatherCapacityAdjustment,2))),0)</f>
        <v>#VALUE!</v>
      </c>
      <c r="FM177" s="1551" t="e">
        <f aca="false">IF($EI177&gt;0,MIN(FF177,BA177*(1+VLOOKUP($C177,WeatherCapacityAdjustment,2))),0)</f>
        <v>#VALUE!</v>
      </c>
      <c r="FN177" s="1551" t="e">
        <f aca="false">IF($EI177&gt;0,MIN(FG177,BB177*(1+VLOOKUP($C177,WeatherCapacityAdjustment,2))),0)</f>
        <v>#VALUE!</v>
      </c>
      <c r="FO177" s="1564" t="e">
        <f aca="false">IF($EI177&gt;0,MIN(FH177,BC177*(1+VLOOKUP($C177,WeatherCapacityAdjustment,3))),0)</f>
        <v>#VALUE!</v>
      </c>
      <c r="FP177" s="1551" t="e">
        <f aca="false">IF(ET177&gt;0,MIN(FE177-FL177,BH177*(1+VLOOKUP($C177,WeatherCapacityAdjustment,2))),0)</f>
        <v>#VALUE!</v>
      </c>
      <c r="FQ177" s="1551" t="e">
        <f aca="false">IF(EU177&gt;0,MIN(FF177-FM177,BI177*(1+VLOOKUP($C177,WeatherCapacityAdjustment,2))),0)</f>
        <v>#VALUE!</v>
      </c>
      <c r="FR177" s="1551" t="e">
        <f aca="false">IF(EV177&gt;0,MIN(FG177-FN177,BJ177*(1+VLOOKUP($C177,WeatherCapacityAdjustment,2))),0)</f>
        <v>#VALUE!</v>
      </c>
      <c r="FS177" s="1558" t="e">
        <f aca="false">IF(EW177&gt;0,MIN(FH177-FO177,BK177*(1+VLOOKUP($C177,WeatherCapacityAdjustment,3))),0)</f>
        <v>#VALUE!</v>
      </c>
      <c r="FT177" s="1566" t="e">
        <f aca="false">IF(AND(Assumptions!$H$71="Yes",A177&gt;=Assumptions!$H$72,A177&lt;=Assumptions!$H$73),0,IF(AND($A177&gt;=Assumptions!$C$17,$A177&lt;=Assumptions!$C$18),MAX(AZ177*(1+VLOOKUP($C177,WeatherCapacityAdjustment,2))-FL177,0),0))</f>
        <v>#VALUE!</v>
      </c>
      <c r="FU177" s="1551" t="e">
        <f aca="false">IF(AND(Assumptions!$H$71="Yes",A177&gt;=Assumptions!$H$72,A177&lt;=Assumptions!$H$73),0,IF(AND($A177&gt;=Assumptions!$C$17,$A177&lt;=Assumptions!$C$18),MAX(BA177*(1+VLOOKUP($C177,WeatherCapacityAdjustment,2))-FM177,0),0))</f>
        <v>#VALUE!</v>
      </c>
      <c r="FV177" s="1551" t="e">
        <f aca="false">IF(AND(Assumptions!$H$71="Yes",A177&gt;=Assumptions!$H$72,A177&lt;=Assumptions!$H$73),0,IF(AND($A177&gt;=Assumptions!$C$17,$A177&lt;=Assumptions!$C$18),MAX(BB177*(1+VLOOKUP($C177,WeatherCapacityAdjustment,2))-FN177,0),0))</f>
        <v>#VALUE!</v>
      </c>
      <c r="FW177" s="1564" t="e">
        <f aca="false">IF(AND(Assumptions!$H$71="Yes",A177&gt;=Assumptions!$H$72,A177&lt;=Assumptions!$H$73),0,IF(AND($A177&gt;=Assumptions!$C$17,$A177&lt;=Assumptions!$C$18),MAX(BC177*(1+VLOOKUP($C177,WeatherCapacityAdjustment,3))-FO177,0),0))</f>
        <v>#VALUE!</v>
      </c>
      <c r="FX177" s="1569" t="e">
        <f aca="false">IF(AND(Assumptions!$H$71="Yes",A177&gt;=Assumptions!$H$72,A177&lt;=Assumptions!$H$73),0,IF(ET177&gt;0,MAX(BH177*(1+VLOOKUP($C177,WeatherCapacityAdjustment,2))-FP177,0),0))</f>
        <v>#VALUE!</v>
      </c>
      <c r="FY177" s="1551" t="e">
        <f aca="false">IF(AND(Assumptions!$H$71="Yes",A177&gt;=Assumptions!$H$72,A177&lt;=Assumptions!$H$73),0,IF(EU177&gt;0,MAX(BI177*(1+VLOOKUP($C177,WeatherCapacityAdjustment,3))-FQ177,0),0))</f>
        <v>#VALUE!</v>
      </c>
      <c r="FZ177" s="1551" t="e">
        <f aca="false">IF(AND(Assumptions!$H$71="Yes",A177&gt;=Assumptions!$H$72,A177&lt;=Assumptions!$H$73),0,IF(EV177&gt;0,MAX(BJ177*(1+VLOOKUP($C177,WeatherCapacityAdjustment,2))-FR177,0),0))</f>
        <v>#VALUE!</v>
      </c>
      <c r="GA177" s="1564" t="e">
        <f aca="false">IF(AND(Assumptions!$H$71="Yes",A177&gt;=Assumptions!$H$72,A177&lt;=Assumptions!$H$73),0,IF(EW177&gt;0,MAX(BK177*(1+VLOOKUP($C177,WeatherCapacityAdjustment,2))-FS177,0),0))</f>
        <v>#VALUE!</v>
      </c>
      <c r="GB177" s="1551" t="e">
        <f aca="false">SUM(FT177:GA177)</f>
        <v>#VALUE!</v>
      </c>
      <c r="GC177" s="1563" t="e">
        <f aca="false">+IF(SUM(FT177:GA177)=0,0,(SUMPRODUCT(BU177:BX177,FT177:FW177)+SUMPRODUCT(CA177:CD177,FX177:GA177))/SUM(FT177:GA177))</f>
        <v>#VALUE!</v>
      </c>
      <c r="GD177" s="1551" t="e">
        <f aca="false">(FT177*BU177+FX177*CA177+FU177*BV177+FY177*CB177+FV177*BW177+FZ177*CC177+FW177*BX177+GA177*CD177)</f>
        <v>#VALUE!</v>
      </c>
      <c r="GE177" s="1561" t="e">
        <f aca="false">+IF(BQ177,((FL177+FM177+FT177+FU177)*HeatRatePeak/1000*(1+VLOOKUP($C177,WeatherHeatRateAdjustment,2))+(FN177+FV177)*IF(EV177&gt;0,HeatRatePeak,HeatRateOffPeak)/1000*(1+VLOOKUP($C177,WeatherHeatRateAdjustment,2))+(FO177+FW177)*IF(EW177&gt;0,HeatRatePeak,HeatRateOffPeak)/1000*(1+VLOOKUP($C177,WeatherHeatRateAdjustment,3)))*(1+VLOOKUP($B177,HeatRateDegradation,$C177+1)),0)</f>
        <v>#VALUE!</v>
      </c>
      <c r="GF177" s="1562" t="e">
        <f aca="false">IF(BQ177,((FP177+FQ177+FR177+FX177+FY177+FZ177)*HeatRatePeak/1000*(1+VLOOKUP($C177,WeatherHeatRateAdjustment,2))+(FS177+GA177)*HeatRatePeak/1000*(1+VLOOKUP($C177,WeatherHeatRateAdjustment,3)))*(1+VLOOKUP($B177,HeatRateDegradation,$C177+1)),0)</f>
        <v>#VALUE!</v>
      </c>
      <c r="GG177" s="1563" t="e">
        <f aca="false">IF(BQ177,VLOOKUP(A177,GasTable,13),0)</f>
        <v>#VALUE!</v>
      </c>
      <c r="GH177" s="1564" t="e">
        <f aca="false">(GE177+GF177)*GG177</f>
        <v>#VALUE!</v>
      </c>
      <c r="GI177" s="1569" t="e">
        <f aca="false">GB177</f>
        <v>#VALUE!</v>
      </c>
      <c r="GJ177" s="1598" t="e">
        <f aca="false">+DA177</f>
        <v>#VALUE!</v>
      </c>
      <c r="GK177" s="1558" t="e">
        <f aca="false">+GI177*GJ177</f>
        <v>#VALUE!</v>
      </c>
      <c r="GL177" s="1566" t="e">
        <f aca="false">MAX(FE177-FL177-FP177,0)</f>
        <v>#VALUE!</v>
      </c>
      <c r="GM177" s="1551" t="e">
        <f aca="false">MAX(FF177-FM177-FQ177,0)</f>
        <v>#VALUE!</v>
      </c>
      <c r="GN177" s="1551" t="e">
        <f aca="false">MAX(FG177-FN177-FR177,0)</f>
        <v>#VALUE!</v>
      </c>
      <c r="GO177" s="1564" t="e">
        <f aca="false">MAX(FH177-FO177-FS177,0)</f>
        <v>#VALUE!</v>
      </c>
      <c r="GP177" s="1551" t="e">
        <f aca="false">SUM(GL177:GO177)</f>
        <v>#VALUE!</v>
      </c>
      <c r="GQ177" s="1563" t="e">
        <f aca="false">IF(SUM(GL177:GO177)=0,0,((GL177*BU177+GM177*BV177+GN177*BW177+GO177*BX177)/SUM(GL177:GO177)))</f>
        <v>#VALUE!</v>
      </c>
      <c r="GR177" s="1558" t="e">
        <f aca="false">(GL177*BU177+GM177*BV177+GN177*BW177+GO177*BX177)</f>
        <v>#VALUE!</v>
      </c>
      <c r="GS177" s="1566" t="n">
        <f aca="false">IF($A177&gt;=BegDate,Assumptions!$C$56*24*($A178-$A177)*(1-VLOOKUP($B177,MAIN!$AA$7:$AM$28,$C177+1))*(1-VLOOKUP($B177,MAIN!$AA$33:$AM$54,$C177+1)),0)*80/168</f>
        <v>249428.571428571</v>
      </c>
      <c r="GT177" s="286" t="n">
        <f aca="false">J177</f>
        <v>70.3494332199905</v>
      </c>
      <c r="GU177" s="286" t="n">
        <f aca="false">IF($A177&gt;=BegDate,VLOOKUP($A177,GasTable,13)+Assumptions!$C$58,0)</f>
        <v>3.27151008815551</v>
      </c>
      <c r="GV177" s="286" t="n">
        <f aca="false">GU177*Assumptions!$C$57/1000</f>
        <v>23.7184481391275</v>
      </c>
      <c r="GW177" s="1558" t="n">
        <f aca="false">IF(Assumptions!$C$60="Hourly",MAX(0,GS177*(GT177-GV177)),GS177*(GT177-GV177))</f>
        <v>11631099.9930267</v>
      </c>
      <c r="GX177" s="1566" t="n">
        <f aca="false">IF($A177&gt;=BegDate,Assumptions!$C$56*24*($A178-$A177)*(1-VLOOKUP($B177,MAIN!$AA$7:$AM$28,$C177+1))*(1-VLOOKUP($B177,MAIN!$AA$33:$AM$54,$C177+1)),0)*16/168</f>
        <v>49885.7142857143</v>
      </c>
      <c r="GY177" s="286" t="n">
        <f aca="false">M177</f>
        <v>70.3494332199905</v>
      </c>
      <c r="GZ177" s="286" t="n">
        <f aca="false">IF($A177&gt;=BegDate,VLOOKUP($A177,GasTable,13)+Assumptions!$C$58,0)</f>
        <v>3.27151008815551</v>
      </c>
      <c r="HA177" s="286" t="n">
        <f aca="false">GZ177*Assumptions!$C$57/1000</f>
        <v>23.7184481391275</v>
      </c>
      <c r="HB177" s="1558" t="n">
        <f aca="false">IF(Assumptions!$C$60="Hourly",MAX(0,GX177*(GY177-HA177)),GX177*(GY177-HA177))</f>
        <v>2326219.99860534</v>
      </c>
      <c r="HC177" s="1566" t="n">
        <f aca="false">IF($A177&gt;=BegDate,Assumptions!$C$56*24*($A178-$A177)*(1-VLOOKUP($B177,MAIN!$AA$7:$AM$28,$C177+1))*(1-VLOOKUP($B177,MAIN!$AA$33:$AM$54,$C177+1)),0)*16/168</f>
        <v>49885.7142857143</v>
      </c>
      <c r="HD177" s="286" t="n">
        <f aca="false">P177</f>
        <v>33.8878367340198</v>
      </c>
      <c r="HE177" s="286" t="n">
        <f aca="false">IF($A177&gt;=BegDate,VLOOKUP($A177,GasTable,13)+Assumptions!$C$58,0)</f>
        <v>3.27151008815551</v>
      </c>
      <c r="HF177" s="286" t="n">
        <f aca="false">HE177*Assumptions!$C$57/1000</f>
        <v>23.7184481391275</v>
      </c>
      <c r="HG177" s="1558" t="n">
        <f aca="false">IF(Assumptions!$C$60="Hourly",MAX(0,HC177*(HD177-HF177)),HC177*(HD177-HF177))</f>
        <v>507307.213905202</v>
      </c>
      <c r="HH177" s="1566" t="n">
        <f aca="false">IF($A177&gt;=BegDate,Assumptions!$C$56*24*($A178-$A177)*(1-VLOOKUP($B177,MAIN!$AA$7:$AM$28,$C177+1))*(1-VLOOKUP($B177,MAIN!$AA$33:$AM$54,$C177+1)),0)*56/168</f>
        <v>174600</v>
      </c>
      <c r="HI177" s="286" t="n">
        <f aca="false">S177</f>
        <v>33.8878367340198</v>
      </c>
      <c r="HJ177" s="286" t="n">
        <f aca="false">IF($A177&gt;=BegDate,VLOOKUP($A177,GasTable,13)+Assumptions!$C$58,0)</f>
        <v>3.27151008815551</v>
      </c>
      <c r="HK177" s="286" t="n">
        <f aca="false">HJ177*Assumptions!$C$57/1000</f>
        <v>23.7184481391275</v>
      </c>
      <c r="HL177" s="1558" t="n">
        <f aca="false">IF(Assumptions!$C$60="Hourly",MAX(0,HH177*(HI177-HK177)),HH177*(HI177-HK177))</f>
        <v>1775575.24866821</v>
      </c>
      <c r="HM177" s="1566" t="n">
        <f aca="false">IF(AND(Assumptions!$H$71="Yes",A177&gt;=Assumptions!$H$72,A177&lt;=Assumptions!$H$73),Assumptions!$H$74*Assumptions!$C$9*1000,0)</f>
        <v>0</v>
      </c>
      <c r="HN177" s="1551"/>
      <c r="HO177" s="1563"/>
      <c r="HP177" s="1563"/>
      <c r="HQ177" s="1563"/>
      <c r="HR177" s="1563"/>
      <c r="HS177" s="1563"/>
      <c r="HT177" s="1563"/>
      <c r="HU177" s="1563"/>
      <c r="HV177" s="1563"/>
      <c r="HW177" s="1563"/>
      <c r="HX177" s="1563"/>
      <c r="HY177" s="1563"/>
      <c r="HZ177" s="1563"/>
      <c r="IA177" s="1563"/>
      <c r="IB177" s="1563"/>
      <c r="IC177" s="1563"/>
      <c r="ID177" s="1563"/>
      <c r="IE177" s="1563"/>
      <c r="IF177" s="1563"/>
      <c r="IG177" s="1563"/>
      <c r="IH177" s="1563"/>
      <c r="II177" s="1610"/>
      <c r="IJ177" s="1309"/>
      <c r="IK177" s="1309"/>
    </row>
    <row r="178" customFormat="false" ht="12.75" hidden="false" customHeight="false" outlineLevel="0" collapsed="false">
      <c r="A178" s="1571" t="n">
        <f aca="false">EOMONTH(A177,0)+1</f>
        <v>41548</v>
      </c>
      <c r="B178" s="594" t="n">
        <f aca="false">+YEAR(A178)</f>
        <v>2013</v>
      </c>
      <c r="C178" s="238" t="n">
        <f aca="false">MONTH(A178)</f>
        <v>10</v>
      </c>
      <c r="D178" s="1572" t="e">
        <f aca="false">IF(E178="","",Holiday(B178,C178))</f>
        <v>#VALUE!</v>
      </c>
      <c r="E178" s="1573" t="n">
        <f aca="false">IF(OR(BegDate&gt;=A179,EndDate&lt;A178,AND(VolumeMonthlyOverFlag,INDEX(VolumeMonthlyOver,C178)=0),NOT(INDEX(MonthKnockOutTable,C178))),"",MAX(A178,BegDate))</f>
        <v>41548</v>
      </c>
      <c r="F178" s="1574" t="n">
        <f aca="false">IF(E178="","",MIN(A179-1,EndDate))</f>
        <v>41578</v>
      </c>
      <c r="G178" s="1575" t="n">
        <v>0</v>
      </c>
      <c r="H178" s="1576" t="n">
        <f aca="false">(1+G178/2)^(-2*(DATE(B179,C179,20)-DateToday)/365.25)</f>
        <v>1</v>
      </c>
      <c r="I178" s="1568" t="n">
        <f aca="false">IF(Assumptions!$L$25=4,VLOOKUP($A178,'Henwood Reference'!$E$9:$R$320,10),(VLOOKUP($A178,PriceTable,2,0)+IF(BasisNumber&lt;&gt;1,VLOOKUP($A178,BasisTable,2,0),0)+I$1)/(1-I$2))</f>
        <v>52.0059618394927</v>
      </c>
      <c r="J178" s="1568" t="n">
        <f aca="false">IF(Assumptions!$L$25=4,VLOOKUP($A178,'Henwood Reference'!$E$9:$R$320,10),(VLOOKUP($A178,PriceTable,3,0)+IF(BasisNumber&lt;&gt;1,VLOOKUP($A178,BasisTable,2,0),0)+J$1)/(1-J$2))</f>
        <v>52.0059618394927</v>
      </c>
      <c r="K178" s="1568" t="n">
        <f aca="false">IF(Assumptions!$L$25=4,VLOOKUP($A178,'Henwood Reference'!$E$9:$R$320,10),(VLOOKUP($A178,PriceTable,4,0)+IF(BasisNumber&lt;&gt;1,VLOOKUP($A178,BasisTable,2,0),0)+K$1)/(1-K$2))</f>
        <v>52.0059618394927</v>
      </c>
      <c r="L178" s="1523" t="n">
        <f aca="false">IF(Assumptions!$L$25=4,VLOOKUP($A178,'Henwood Reference'!$E$9:$R$320,10),(VLOOKUP($A178,PriceTableWeekend,2,0)+IF(BasisNumber&lt;&gt;1,VLOOKUP($A178,BasisTable,2,0),0)+L$1)/(1-L$2))</f>
        <v>52.0059618394927</v>
      </c>
      <c r="M178" s="1568" t="n">
        <f aca="false">IF(Assumptions!$L$25=4,VLOOKUP($A178,'Henwood Reference'!$E$9:$R$320,10),(VLOOKUP($A178,PriceTableWeekend,3,0)+IF(BasisNumber&lt;&gt;1,VLOOKUP($A178,BasisTable,2,0),0)+M$1)/(1-M$2))</f>
        <v>52.0059618394927</v>
      </c>
      <c r="N178" s="1599" t="n">
        <f aca="false">IF(Assumptions!$L$25=4,VLOOKUP($A178,'Henwood Reference'!$E$9:$R$320,10),(VLOOKUP($A178,PriceTableWeekend,4,0)+IF(BasisNumber&lt;&gt;1,VLOOKUP($A178,BasisTable,2,0),0)+N$1)/(1-N$2))</f>
        <v>52.0059618394927</v>
      </c>
      <c r="O178" s="1568" t="n">
        <f aca="false">IF(Assumptions!$L$25=4,VLOOKUP($A178,'Henwood Reference'!$E$9:$R$320,11),(VLOOKUP($A178,PriceTableWeekend,6,0)+IF(BasisNumber&lt;&gt;1,VLOOKUP($A178,BasisTable,3,0),0)+O$1)/(1-O$2))</f>
        <v>29.2029109611684</v>
      </c>
      <c r="P178" s="1568" t="n">
        <f aca="false">IF(Assumptions!$L$25=4,VLOOKUP($A178,'Henwood Reference'!$E$9:$R$320,11),(VLOOKUP($A178,PriceTableWeekend,7,0)+IF(BasisNumber&lt;&gt;1,VLOOKUP($A178,BasisTable,3,0),0)+P$1)/(1-P$2))</f>
        <v>29.2029109611684</v>
      </c>
      <c r="Q178" s="1599" t="n">
        <f aca="false">IF(Assumptions!$L$25=4,VLOOKUP($A178,'Henwood Reference'!$E$9:$R$320,11),(VLOOKUP($A178,PriceTableWeekend,8,0)+IF(BasisNumber&lt;&gt;1,VLOOKUP($A178,BasisTable,3,0),0)+Q$1)/(1-Q$2))</f>
        <v>29.2029109611684</v>
      </c>
      <c r="R178" s="1568" t="n">
        <f aca="false">IF(Assumptions!$L$25=4,VLOOKUP($A178,'Henwood Reference'!$E$9:$R$320,11),(VLOOKUP($A178,PriceTable,6,0)+IF(BasisNumber&lt;&gt;1,VLOOKUP($A178,BasisTable,3,0),0)+R$1)/(1-R$2))</f>
        <v>29.2029109611684</v>
      </c>
      <c r="S178" s="1568" t="n">
        <f aca="false">IF(Assumptions!$L$25=4,VLOOKUP($A178,'Henwood Reference'!$E$9:$R$320,11),(VLOOKUP($A178,PriceTable,7,0)+IF(BasisNumber&lt;&gt;1,VLOOKUP($A178,BasisTable,3,0),0)+S$1)/(1-S$2))</f>
        <v>29.2029109611684</v>
      </c>
      <c r="T178" s="1600" t="n">
        <f aca="false">IF(Assumptions!$L$25=4,VLOOKUP($A178,'Henwood Reference'!$E$9:$R$320,11),(VLOOKUP($A178,PriceTable,8,0)+IF(BasisNumber&lt;&gt;1,VLOOKUP($A178,BasisTable,3,0),0)+T$1)/(1-T$2))</f>
        <v>29.2029109611684</v>
      </c>
      <c r="U178" s="1513" t="n">
        <f aca="false">VLOOKUP($A178,VolatilityTable,14)</f>
        <v>0.105</v>
      </c>
      <c r="V178" s="1513" t="n">
        <f aca="false">VLOOKUP($A178,VolatilityTable,15)</f>
        <v>0.115</v>
      </c>
      <c r="W178" s="1514" t="n">
        <f aca="false">VLOOKUP($A178,VolatilityTable,16)</f>
        <v>0.125</v>
      </c>
      <c r="X178" s="1513" t="n">
        <f aca="false">VLOOKUP($A178,VolatilityTable,14)</f>
        <v>0.105</v>
      </c>
      <c r="Y178" s="1513" t="n">
        <f aca="false">VLOOKUP($A178,VolatilityTable,15)</f>
        <v>0.115</v>
      </c>
      <c r="Z178" s="1514" t="n">
        <f aca="false">VLOOKUP($A178,VolatilityTable,16)</f>
        <v>0.125</v>
      </c>
      <c r="AA178" s="1513" t="n">
        <f aca="false">VLOOKUP($A178,VolatilityTable,18)</f>
        <v>0.09</v>
      </c>
      <c r="AB178" s="1513" t="n">
        <f aca="false">VLOOKUP($A178,VolatilityTable,19)</f>
        <v>0.11</v>
      </c>
      <c r="AC178" s="1514" t="n">
        <f aca="false">VLOOKUP($A178,VolatilityTable,20)</f>
        <v>0.13</v>
      </c>
      <c r="AD178" s="1513" t="n">
        <f aca="false">VLOOKUP($A178,VolatilityTable,18)</f>
        <v>0.09</v>
      </c>
      <c r="AE178" s="1513" t="n">
        <f aca="false">VLOOKUP($A178,VolatilityTable,19)</f>
        <v>0.11</v>
      </c>
      <c r="AF178" s="1514" t="n">
        <f aca="false">VLOOKUP($A178,VolatilityTable,20)</f>
        <v>0.13</v>
      </c>
      <c r="AG178" s="1513" t="n">
        <f aca="false">VLOOKUP($A178,VolatilityTable,22)</f>
        <v>-0.1</v>
      </c>
      <c r="AH178" s="1513" t="n">
        <f aca="false">VLOOKUP($A178,VolatilityTable,23)</f>
        <v>0.6</v>
      </c>
      <c r="AI178" s="1514" t="n">
        <f aca="false">VLOOKUP($A178,VolatilityTable,24)</f>
        <v>0.1</v>
      </c>
      <c r="AJ178" s="1513" t="n">
        <f aca="false">VLOOKUP($A178,VolatilityTable,22)</f>
        <v>-0.1</v>
      </c>
      <c r="AK178" s="1513" t="n">
        <f aca="false">VLOOKUP($A178,VolatilityTable,23)</f>
        <v>0.6</v>
      </c>
      <c r="AL178" s="1514" t="n">
        <f aca="false">VLOOKUP($A178,VolatilityTable,24)</f>
        <v>0.1</v>
      </c>
      <c r="AM178" s="1513" t="n">
        <f aca="false">VLOOKUP($A178,VolatilityTable,26)</f>
        <v>-0.01</v>
      </c>
      <c r="AN178" s="1513" t="n">
        <f aca="false">VLOOKUP($A178,VolatilityTable,27)</f>
        <v>0.16</v>
      </c>
      <c r="AO178" s="1514" t="n">
        <f aca="false">VLOOKUP($A178,VolatilityTable,28)</f>
        <v>0.01</v>
      </c>
      <c r="AP178" s="1513" t="n">
        <f aca="false">VLOOKUP($A178,VolatilityTable,26)</f>
        <v>-0.01</v>
      </c>
      <c r="AQ178" s="1513" t="n">
        <f aca="false">VLOOKUP($A178,VolatilityTable,27)</f>
        <v>0.16</v>
      </c>
      <c r="AR178" s="1515" t="n">
        <f aca="false">VLOOKUP($A178,VolatilityTable,28)</f>
        <v>0.01</v>
      </c>
      <c r="AS178" s="1581" t="n">
        <f aca="false">IF(CorrPeakOffPeakOverFlag,INDEX(CorrPeakOffPeakOver,C178),CorrPeakOffPeak)</f>
        <v>0.5</v>
      </c>
      <c r="AT178" s="594" t="e">
        <f aca="false">AX178-SUM(AU178:AW178)</f>
        <v>#VALUE!</v>
      </c>
      <c r="AU178" s="238" t="e">
        <f aca="false">IF(E178="",0,INT((F178-MOD(F178,7)-E178)/7)+1-IF(AW178,IF(WEEKDAY(D178)=7,1,0),0))</f>
        <v>#VALUE!</v>
      </c>
      <c r="AV178" s="238" t="e">
        <f aca="false">IF(E178="",0,INT((F178-MOD(F178-1,7)-E178)/7)+1-IF(AW178,IF(WEEKDAY(D178)=1,1,0),0))</f>
        <v>#VALUE!</v>
      </c>
      <c r="AW178" s="238" t="e">
        <f aca="false">IF(OR(E178="",D178="",D178&lt;BegDate,D178&gt;EndDate),0,1)</f>
        <v>#VALUE!</v>
      </c>
      <c r="AX178" s="238" t="n">
        <f aca="false">IF(E178="",0,F178-E178+1)</f>
        <v>31</v>
      </c>
      <c r="AY178" s="1582" t="n">
        <f aca="false">IF(E178="",0,MIN((1-(1-VLOOKUP(B178,MAIN!$AA$7:$AM$28,C178+1))*(1-VLOOKUP(B178,MAIN!$AA$33:$AM$54,C178+1))),1))</f>
        <v>0.03</v>
      </c>
      <c r="AZ178" s="1519" t="e">
        <v>#VALUE!</v>
      </c>
      <c r="BA178" s="1520" t="e">
        <v>#VALUE!</v>
      </c>
      <c r="BB178" s="1520" t="e">
        <v>#VALUE!</v>
      </c>
      <c r="BC178" s="1583" t="e">
        <v>#VALUE!</v>
      </c>
      <c r="BD178" s="1522" t="e">
        <v>#VALUE!</v>
      </c>
      <c r="BE178" s="1523" t="e">
        <v>#VALUE!</v>
      </c>
      <c r="BF178" s="1523" t="e">
        <v>#VALUE!</v>
      </c>
      <c r="BG178" s="1584" t="e">
        <v>#VALUE!</v>
      </c>
      <c r="BH178" s="1525" t="e">
        <v>#VALUE!</v>
      </c>
      <c r="BI178" s="1520" t="e">
        <v>#VALUE!</v>
      </c>
      <c r="BJ178" s="1520" t="e">
        <v>#VALUE!</v>
      </c>
      <c r="BK178" s="1583" t="e">
        <v>#VALUE!</v>
      </c>
      <c r="BL178" s="1522" t="e">
        <v>#VALUE!</v>
      </c>
      <c r="BM178" s="1523" t="e">
        <v>#VALUE!</v>
      </c>
      <c r="BN178" s="1523" t="e">
        <v>#VALUE!</v>
      </c>
      <c r="BO178" s="1523" t="e">
        <v>#VALUE!</v>
      </c>
      <c r="BP178" s="1525" t="e">
        <f aca="false">SUM(AZ178:BB178)</f>
        <v>#VALUE!</v>
      </c>
      <c r="BQ178" s="1529" t="e">
        <f aca="false">SUM(AZ178:BC178)</f>
        <v>#VALUE!</v>
      </c>
      <c r="BR178" s="1519" t="e">
        <f aca="false">SUM(BH178:BJ178)</f>
        <v>#VALUE!</v>
      </c>
      <c r="BS178" s="1529" t="e">
        <f aca="false">SUM(BH178:BK178)</f>
        <v>#VALUE!</v>
      </c>
      <c r="BT178" s="1316" t="n">
        <f aca="false">(IF(OVolType&lt;&gt;2,A178+14,IF(OptExpDateShift,ShiftBack(A178,OptExpDateShift,D177),A178))-DateToday)/365.25</f>
        <v>13.4647501711157</v>
      </c>
      <c r="BU178" s="1585" t="e">
        <f aca="false">IF(BQ178,IF(OPriceCurve,IF(OBuySell=OCallPut,I178/(1-AY178),K178/(1-AY178)),J178/(1-AY178))*BD178,0)</f>
        <v>#VALUE!</v>
      </c>
      <c r="BV178" s="1316" t="e">
        <f aca="false">IF(BQ178,IF(OPriceCurve,IF(OBuySell=OCallPut,L178/(1-AY178),N178/(1-AY178)),M178/(1-AY178))*BE178,0)</f>
        <v>#VALUE!</v>
      </c>
      <c r="BW178" s="1316" t="e">
        <f aca="false">IF(BQ178,IF(OPriceCurve,IF(OBuySell=OCallPut,O178/(1-AY178),Q178/(1-AY178)),P178/(1-AY178))*BF178,0)</f>
        <v>#VALUE!</v>
      </c>
      <c r="BX178" s="1316" t="e">
        <f aca="false">IF(BQ178,IF(OPriceCurve,IF(OBuySell=OCallPut,R178/(1-AY178),T178/(1-AY178)),S178/(1-AY178))*BG178,0)</f>
        <v>#VALUE!</v>
      </c>
      <c r="BY178" s="1316" t="e">
        <f aca="false">IF(BP178,(BU178*AZ178+BV178*BA178+BW178*BB178)/BP178,0)</f>
        <v>#VALUE!</v>
      </c>
      <c r="BZ178" s="1316" t="e">
        <f aca="false">IF(BQ178,(BY178*BP178+BX178*BC178)/BQ178,0)</f>
        <v>#VALUE!</v>
      </c>
      <c r="CA178" s="1531" t="e">
        <f aca="false">IF(BS178,IF(OPriceCurve,IF(OBuySell=OCallPut,I178/(1-AY178),K178/(1-AY178)),J178/(1-AY178))*BL178,0)</f>
        <v>#VALUE!</v>
      </c>
      <c r="CB178" s="1316" t="e">
        <f aca="false">IF(BS178,IF(OPriceCurve,IF(OBuySell=OCallPut,L178/(1-AY178),N178/(1-AY178)),M178/(1-AY178))*BM178,0)</f>
        <v>#VALUE!</v>
      </c>
      <c r="CC178" s="1316" t="e">
        <f aca="false">IF(BS178,IF(OPriceCurve,IF(OBuySell=OCallPut,O178/(1-AY178),Q178/(1-AY178)),P178/(1-AY178))*BN178,0)</f>
        <v>#VALUE!</v>
      </c>
      <c r="CD178" s="1316" t="e">
        <f aca="false">IF(BS178,IF(OPriceCurve,IF(OBuySell=OCallPut,R178/(1-AY178),T178/(1-AY178)),S178/(1-AY178))*BO178,0)</f>
        <v>#VALUE!</v>
      </c>
      <c r="CE178" s="1316" t="e">
        <f aca="false">IF(BR178,(BU178*BH178+BV178*BI178+BW178*BJ178)/BR178,0)</f>
        <v>#VALUE!</v>
      </c>
      <c r="CF178" s="1532" t="e">
        <f aca="false">IF(BS178,(CE178*BR178+CD178*BK178)/BS178,0)</f>
        <v>#VALUE!</v>
      </c>
      <c r="CG178" s="1586" t="e">
        <f aca="false">IF(OR(BQ178,BS178),IF(OVolType&lt;&gt;2,SQRT(IF(OVolOverMonthlyPeak,OVolOverMonthlyPeak,IF(OVolCurve,IF(OBuySell,U178,W178),V178))^2*(1-15/365.25/BT178)+IF(OVolOverDailyPeak,OVolOverDailyPeak,IF(OVolCurve,IF(OBuySell,AG178,AI178),AH178))^2*15/365.25/BT178),IF(OVolOverMonthlyPeak,OVolOverMonthlyPeak,IF(OVolCurve,IF(OBuySell,U178,W178),V178))),"")</f>
        <v>#VALUE!</v>
      </c>
      <c r="CH178" s="1587" t="e">
        <f aca="false">IF(OR(BQ178,BS178),IF(OVolType&lt;&gt;2,SQRT(IF(OVolOverMonthlyPeak,OVolOverMonthlyPeak,IF(OVolCurve,IF(OBuySell,X178,Z178),Y178))^2*(1-15/365.25/BT178)+IF(OVolOverDailyPeak,OVolOverDailyPeak,IF(OVolCurve,IF(OBuySell,AJ178,AL178),AK178))^2*15/365.25/BT178),IF(OVolOverMonthlyPeak,OVolOverMonthlyPeak,IF(OVolCurve,IF(OBuySell,X178,Z178),Y178))),"")</f>
        <v>#VALUE!</v>
      </c>
      <c r="CI178" s="1587" t="e">
        <f aca="false">IF(OR(BQ178,BS178),IF(OVolType&lt;&gt;2,SQRT(IF(OVolOverMonthlyPeak,OVolOverMonthlyPeak,IF(OVolCurve,IF(OBuySell,AA178,AC178),AB178))^2*(1-15/365.25/BT178)+IF(OVolOverDailyPeak,OVolOverDailyPeak,IF(OVolCurve,IF(OBuySell,AM178,AO178),AN178))^2*15/365.25/BT178),IF(OVolOverMonthlyPeak,OVolOverMonthlyPeak,IF(OVolCurve,IF(OBuySell,AA178,AC178),AB178))),"")</f>
        <v>#VALUE!</v>
      </c>
      <c r="CJ178" s="1587" t="e">
        <f aca="false">IF(BQ178,IF(BP178,SQRT(LN(1+((BU178*AZ178)^2*(EXP(CG178^2*BT178)-1)+(BV178*BA178)^2*(EXP(CH178^2*BT178)-1)+(BW178*BB178)^2*(EXP(CI178^2*BT178)-1)+2*BU178*AZ178*BV178*BA178*(EXP(CG178*CH178*BT178)-1)+2*BV178*BA178*BW178*BB178*(EXP(CH178*CI178*BT178)-1)+2*BW178*BB178*BU178*AZ178*(EXP(CI178*CG178*BT178)-1))/(BY178*BP178)^2)/BT178),0),"")</f>
        <v>#VALUE!</v>
      </c>
      <c r="CK178" s="1587" t="e">
        <f aca="false">IF(BS178,IF(BR178,SQRT(LN(1+((CA178*BH178)^2*(EXP(CG178^2*BT178)-1)+(CB178*BI178)^2*(EXP(CH178^2*BT178)-1)+(CC178*BJ178)^2*(EXP(CI178^2*BT178)-1)+2*CA178*BH178*CB178*BI178*(EXP(CG178*CH178*BT178)-1)+2*CB178*BI178*CC178*BJ178*(EXP(CH178*CI178*BT178)-1)+2*CC178*BJ178*CA178*BH178*(EXP(CI178*CG178*BT178)-1))/(CE178*BR178)^2)/BT178),0),"")</f>
        <v>#VALUE!</v>
      </c>
      <c r="CL178" s="1587" t="e">
        <f aca="false">IF(OR(BQ178,BS178),IF(OVolType&lt;&gt;2,SQRT(IF(OVolOverMonthlyOffPeak,OVolOverMonthlyOffPeak,IF(OVolCurve,IF(OBuySell,AD178,AF178),AE178))^2*(1-15/365.25/BT178)+IF(OVolOverDailyOffPeak,OVolOverDailyOffPeak,IF(OVolCurve,IF(OBuySell,AP178,AR178),AQ178))^2*15/365.25/BT178),IF(OVolOverMonthlyOffPeak,OVolOverMonthlyOffPeak,IF(OVolCurve,IF(OBuySell,AD178,AF178),AE178))),"")</f>
        <v>#VALUE!</v>
      </c>
      <c r="CM178" s="1587" t="e">
        <f aca="false">IF(BQ178,SQRT(LN(1+((BY178*BP178)^2*(EXP(CJ178^2*BT178)-1)+(BX178*BC178)^2*(EXP(CL178^2*BT178)-1)+2*BY178*BP178*BX178*BC178*(EXP(AS178*CJ178*CL178*BT178)-1))/(BY178*BP178+BX178*BC178)^2)/BT178),"")</f>
        <v>#VALUE!</v>
      </c>
      <c r="CN178" s="1588" t="e">
        <f aca="false">IF(BS178,SQRT(LN(1+((CE178*BR178)^2*(EXP(CK178^2*BT178)-1)+(CD178*BK178)^2*(EXP(CL178^2*BT178)-1)+2*CE178*BR178*CD178*BK178*(EXP(AS178*CK178*CL178*BT178)-1))/(CE178*BR178+CD178*BK178)^2)/BT178),"")</f>
        <v>#VALUE!</v>
      </c>
      <c r="CO178" s="1531" t="e">
        <f aca="false">IF(OR(BQ178,BS178),VLOOKUP(A178,GasTable,13)*HeatRatePeak*(1+VLOOKUP($B178,HeatRateDegradation,$C178+1))/1000,0)</f>
        <v>#VALUE!</v>
      </c>
      <c r="CP178" s="1316" t="e">
        <f aca="false">IF(OR(BQ178,BS178),VLOOKUP(A178,GasTable,13)*HeatRatePeak*(1+VLOOKUP($B178,HeatRateDegradation,$C178+1))/1000,0)</f>
        <v>#VALUE!</v>
      </c>
      <c r="CQ178" s="1316" t="e">
        <f aca="false">IF(OR(BQ178,BS178),VLOOKUP(A178,GasTable,13)*IF(EV178,HeatRatePeak,HeatRateOffPeak)*(1+VLOOKUP($B178,HeatRateDegradation,$C178+1))/1000,0)</f>
        <v>#VALUE!</v>
      </c>
      <c r="CR178" s="1316" t="e">
        <f aca="false">IF(OR(BQ178,BS178),VLOOKUP(A178,GasTable,13)*IF(EW178,HeatRatePeak,HeatRateOffPeak)*(1+VLOOKUP($B178,HeatRateDegradation,$C178+1))/1000,0)</f>
        <v>#VALUE!</v>
      </c>
      <c r="CS178" s="1589" t="e">
        <f aca="false">IF(BQ178,(CO178*AZ178+CP178*BA178+CQ178*BB178+CR178*BC178)/BQ178,0)</f>
        <v>#VALUE!</v>
      </c>
      <c r="CT178" s="1316" t="e">
        <f aca="false">IF(BS178,CO178,0)</f>
        <v>#VALUE!</v>
      </c>
      <c r="CU178" s="1590" t="e">
        <f aca="false">IF(OR(BQ178,BS178),VLOOKUP(A178,GasTable,14),"")</f>
        <v>#VALUE!</v>
      </c>
      <c r="CV178" s="1568" t="e">
        <f aca="false">IF(OR(BQ178,BS178),IF(CorrPowerGasOverFlag,INDEX(CorrPowerGasOver,C178),CorrPowerGas),"")</f>
        <v>#VALUE!</v>
      </c>
      <c r="CW178" s="1316" t="e">
        <f aca="false">IF(OR($BQ178,$BS178),SpreadOptPowerMargin,0)*((1+Assumptions!$C$26)^($B178-YEAR(Assumptions!$C$17)))</f>
        <v>#VALUE!</v>
      </c>
      <c r="CX178" s="1316" t="e">
        <f aca="false">IF(OR($BQ178,$BS178),SpreadOptPowerMargin,0)*((1+Assumptions!$C$26)^($B178-YEAR(Assumptions!$C$17)))</f>
        <v>#VALUE!</v>
      </c>
      <c r="CY178" s="1316" t="e">
        <f aca="false">IF(OR($BQ178,$BS178),SpreadOptPowerMargin,0)*((1+Assumptions!$C$26)^($B178-YEAR(Assumptions!$C$17)))</f>
        <v>#VALUE!</v>
      </c>
      <c r="CZ178" s="1316" t="e">
        <f aca="false">IF(OR($BQ178,$BS178),SpreadOptPowerMargin,0)*((1+Assumptions!$C$26)^($B178-YEAR(Assumptions!$C$17)))</f>
        <v>#VALUE!</v>
      </c>
      <c r="DA178" s="1591" t="e">
        <f aca="false">IF(OR(BQ178,BS178),(CW178*(AZ178+BH178)+CX178*(BA178+BI178)+CY178*(BB178+BJ178)+CZ178*(BC178+BK178))/(BQ178+BS178),0)</f>
        <v>#VALUE!</v>
      </c>
      <c r="DB178" s="1592" t="e">
        <f aca="false">IF(OR(BQ178,BS178),CG178+IF(OVolSmile,VLOOKUP(MAX(-5,CO178+CW178-BU178),IF(OVolSmile=1,VolSmileBook,VolSmileModel),2),0),"")</f>
        <v>#VALUE!</v>
      </c>
      <c r="DC178" s="1592" t="e">
        <f aca="false">IF(OR(BQ178,BS178),CH178+IF(OVolSmile,VLOOKUP(MAX(-5,CP178+CW178-BV178),IF(OVolSmile=1,VolSmileBook,VolSmileModel),2),0),"")</f>
        <v>#VALUE!</v>
      </c>
      <c r="DD178" s="1592" t="e">
        <f aca="false">IF(OR(BQ178,BS178),CI178+IF(OVolSmile,VLOOKUP(MAX(-5,CQ178+CW178-BW178),IF(OVolSmile=1,VolSmileBook,VolSmileModel),2),0),"")</f>
        <v>#VALUE!</v>
      </c>
      <c r="DE178" s="1592" t="e">
        <f aca="false">IF(OR(BQ178,BS178),CL178+IF(OVolSmile,VLOOKUP(MAX(-5,CR178+CZ178-BX178),IF(OVolSmile=1,VolSmileBook,VolSmileModel),2),0),"")</f>
        <v>#VALUE!</v>
      </c>
      <c r="DF178" s="1592" t="e">
        <f aca="false">IF(BQ178,CM178+IF(OVolSmile,VLOOKUP(MAX(-5,CS178+DA178-BZ178),IF(OVolSmile=1,VolSmileBook,VolSmileModel),2),0),"")</f>
        <v>#VALUE!</v>
      </c>
      <c r="DG178" s="1593" t="e">
        <f aca="false">IF(BS178,CN178+IF(OVolSmile,VLOOKUP(MAX(-5,CT178+DA178-CF178),IF(OVolSmile=1,VolSmileBook,VolSmileModel),2),0),"")</f>
        <v>#VALUE!</v>
      </c>
      <c r="DH178" s="1316" t="e">
        <f aca="false">IF(AND(BU178&gt;0,CO178&gt;0,DB178&gt;0,CU178&gt;0),newSPRDOPT(BU178,CO178,CW178,0,DB178,CU178,CV178,BT178*365.25,OCallPut,0),0)</f>
        <v>#VALUE!</v>
      </c>
      <c r="DI178" s="1316" t="e">
        <f aca="false">IF(AND(BV178&gt;0,CP178&gt;0,DC178&gt;0,CU178&gt;0),newSPRDOPT(BV178,CP178,CX178,0,DC178,CU178,CV178,BT178*365.25,OCallPut,0),0)</f>
        <v>#VALUE!</v>
      </c>
      <c r="DJ178" s="1316" t="e">
        <f aca="false">IF(AND(BW178&gt;0,CQ178&gt;0,DD178&gt;0,CU178&gt;0),newSPRDOPT(BW178,CQ178,CY178,0,DD178,CU178,CV178,BT178*365.25,OCallPut,0),0)</f>
        <v>#VALUE!</v>
      </c>
      <c r="DK178" s="1316" t="e">
        <f aca="false">IF(AND(BX178&gt;0,CR178&gt;0,DE178&gt;0,CU178&gt;0),newSPRDOPT(BX178,CR178,CZ178,0,DE178,CU178,CV178,BT178*365.25,OCallPut,0),0)</f>
        <v>#VALUE!</v>
      </c>
      <c r="DL178" s="1316" t="e">
        <f aca="false">IF(OVolType,IF(AND(BZ178&gt;0,CS178&gt;0,DF178&gt;0,CU178&gt;0),newSPRDOPT(BZ178,CS178,DA178,0,DF178,CU178,CV178,BT178*365.25,OCallPut,0),0),IF(BQ178,(DH178*AZ178+DI178*BA178+DJ178*BB178+DK178*BC178)/BQ178,0))</f>
        <v>#VALUE!</v>
      </c>
      <c r="DM178" s="1316"/>
      <c r="DN178" s="1316"/>
      <c r="DO178" s="1316"/>
      <c r="DP178" s="1316"/>
      <c r="DQ178" s="1316"/>
      <c r="DR178" s="1316"/>
      <c r="DS178" s="1316"/>
      <c r="DT178" s="1316"/>
      <c r="DU178" s="1316"/>
      <c r="DV178" s="1316"/>
      <c r="DW178" s="1594" t="e">
        <f aca="false">IF(AND(BW178&gt;0,CT178&gt;0,DD178&gt;0,CU178&gt;0),newSPRDOPT(BW178,CT178,CY178,0,DD178,CU178,CV178,BT178*365.25,OCallPut,0),0)</f>
        <v>#VALUE!</v>
      </c>
      <c r="DX178" s="1316" t="e">
        <f aca="false">IF(AND(BX178&gt;0,CT178&gt;0,DE178&gt;0,CU178&gt;0),newSPRDOPT(BX178,CT178,CZ178,0,DE178,CU178,CV178,BT178*365.25,OCallPut,0),0)</f>
        <v>#VALUE!</v>
      </c>
      <c r="DY178" s="1591" t="e">
        <f aca="false">IF(BS178,(DH178*BH178+DI178*BI178+DW178*BJ178+DX178*BK178)/BS178,0)</f>
        <v>#VALUE!</v>
      </c>
      <c r="DZ178" s="1551" t="e">
        <f aca="false">DH178*AZ178</f>
        <v>#VALUE!</v>
      </c>
      <c r="EA178" s="1551" t="e">
        <f aca="false">DI178*BA178</f>
        <v>#VALUE!</v>
      </c>
      <c r="EB178" s="1551" t="e">
        <f aca="false">DJ178*BB178</f>
        <v>#VALUE!</v>
      </c>
      <c r="EC178" s="1551" t="e">
        <f aca="false">DK178*BC178</f>
        <v>#VALUE!</v>
      </c>
      <c r="ED178" s="1551" t="e">
        <f aca="false">DL178*BQ178</f>
        <v>#VALUE!</v>
      </c>
      <c r="EE178" s="1595" t="e">
        <f aca="false">IF(BQ178,IF(OCallPut,IF(BU178&gt;(CO178+CW178),BU178-(CO178+CW178),0),IF((CO178+CW178)&gt;BU178,(CO178+CW178)-BU178,0))*AZ178,0)</f>
        <v>#VALUE!</v>
      </c>
      <c r="EF178" s="1596" t="e">
        <f aca="false">IF(BQ178,IF(OCallPut,IF(BV178&gt;(CP178+CX178),BV178-(CP178+CX178),0),IF((CP178+CX178)&gt;BV178,(CP178+CX178)-BV178,0))*BA178,0)</f>
        <v>#VALUE!</v>
      </c>
      <c r="EG178" s="1596" t="e">
        <f aca="false">IF(BQ178,IF(OCallPut,IF(BW178&gt;(CQ178+CY178),BW178-(CQ178+CY178),0),IF((CQ178+CY178)&gt;BW178,(CQ178+CY178)-BW178,0))*BB178,0)</f>
        <v>#VALUE!</v>
      </c>
      <c r="EH178" s="1596" t="e">
        <f aca="false">IF(BQ178,IF(OCallPut,IF(BX178&gt;(CR178+CZ178),BX178-(CR178+CZ178),0),IF((CR178+CZ178)&gt;BX178,(CR178+CZ178)-BX178,0))*BC178,0)</f>
        <v>#VALUE!</v>
      </c>
      <c r="EI178" s="1597" t="e">
        <f aca="false">IF(BQ178,IF(OVolType,IF(OCallPut,IF(BZ178&gt;(CS178+DA178),BZ178-(CS178+DA178),0),IF((CS178+DA178)&gt;BZ178,(CS178+DA178)-BZ178,0))*BQ178,SUM(EE178:EH178)),0)</f>
        <v>#VALUE!</v>
      </c>
      <c r="EJ178" s="1595" t="e">
        <f aca="false">DZ178-EE178</f>
        <v>#VALUE!</v>
      </c>
      <c r="EK178" s="1596" t="e">
        <f aca="false">EA178-EF178</f>
        <v>#VALUE!</v>
      </c>
      <c r="EL178" s="1596" t="e">
        <f aca="false">EB178-EG178</f>
        <v>#VALUE!</v>
      </c>
      <c r="EM178" s="1596" t="e">
        <f aca="false">EC178-EH178</f>
        <v>#VALUE!</v>
      </c>
      <c r="EN178" s="1597" t="e">
        <f aca="false">ED178-EI178</f>
        <v>#VALUE!</v>
      </c>
      <c r="EO178" s="1551" t="e">
        <f aca="false">DH178*BH178</f>
        <v>#VALUE!</v>
      </c>
      <c r="EP178" s="1551" t="e">
        <f aca="false">DI178*BI178</f>
        <v>#VALUE!</v>
      </c>
      <c r="EQ178" s="1551" t="e">
        <f aca="false">DW178*BJ178</f>
        <v>#VALUE!</v>
      </c>
      <c r="ER178" s="1551" t="e">
        <f aca="false">DX178*BK178</f>
        <v>#VALUE!</v>
      </c>
      <c r="ES178" s="1551" t="e">
        <f aca="false">DY178*BS178</f>
        <v>#VALUE!</v>
      </c>
      <c r="ET178" s="1566" t="e">
        <f aca="false">IF(EI178,IF(OCallPut,IF(CA178&gt;(CT178+CW178),CA178-(CT178+CW178),0),IF((CT178+CW178)&gt;CA178,(CT178+CW178)-CA178,0))*BH178,0)</f>
        <v>#VALUE!</v>
      </c>
      <c r="EU178" s="1551" t="e">
        <f aca="false">IF(EI178,IF(OCallPut,IF(CB178&gt;(CT178+CX178),CB178-(CT178+CX178),0),IF((CT178+CX178)&gt;CB178,(CT178+CX178)-CB178,0))*BI178,0)</f>
        <v>#VALUE!</v>
      </c>
      <c r="EV178" s="1551" t="e">
        <f aca="false">IF(EI178,IF(OCallPut,IF(CC178&gt;(CT178+CY178),CC178-(CT178+CY178),0),IF((CT178+CY178)&gt;CC178,(CT178+CY178)-CC178,0))*BJ178,0)</f>
        <v>#VALUE!</v>
      </c>
      <c r="EW178" s="1551" t="e">
        <f aca="false">IF(EI178,IF(OCallPut,IF(CD178&gt;(CT178+CZ178),CD178-(CT178+CZ178),0),IF((CT178+CZ178)&gt;CD178,(CT178+CZ178)-CD178,0))*BK178,0)</f>
        <v>#VALUE!</v>
      </c>
      <c r="EX178" s="1558" t="e">
        <f aca="false">IF(EI178,SUM(ET178:EW178),0)</f>
        <v>#VALUE!</v>
      </c>
      <c r="EY178" s="1551" t="e">
        <f aca="false">EO178-ET178</f>
        <v>#VALUE!</v>
      </c>
      <c r="EZ178" s="1551" t="e">
        <f aca="false">EP178-EU178</f>
        <v>#VALUE!</v>
      </c>
      <c r="FA178" s="1551" t="e">
        <f aca="false">EQ178-EV178</f>
        <v>#VALUE!</v>
      </c>
      <c r="FB178" s="1551" t="e">
        <f aca="false">ER178-EW178</f>
        <v>#VALUE!</v>
      </c>
      <c r="FC178" s="1551" t="e">
        <f aca="false">ES178-EX178</f>
        <v>#VALUE!</v>
      </c>
      <c r="FD178" s="1525" t="n">
        <f aca="false">IF(AX178,IF(VLOOKUP(C178,MAIN!$L$17:$M$28,2)="Yes",VLOOKUP(CALC!B178,MAIN!$H$17:$I$20,2),0),0)</f>
        <v>0</v>
      </c>
      <c r="FE178" s="1552" t="e">
        <f aca="false">$FD178*16*AT178*(1-$AY178)</f>
        <v>#VALUE!</v>
      </c>
      <c r="FF178" s="1553" t="e">
        <f aca="false">$FD178*16*AU178*(1-$AY178)</f>
        <v>#VALUE!</v>
      </c>
      <c r="FG178" s="1553" t="e">
        <f aca="false">$FD178*16*(AV178+AW178)*(1-$AY178)</f>
        <v>#VALUE!</v>
      </c>
      <c r="FH178" s="1554" t="n">
        <f aca="false">$FD178*8*AX178*(1-$AY178)</f>
        <v>0</v>
      </c>
      <c r="FI178" s="1555" t="n">
        <f aca="false">IF(AX178,VLOOKUP(CALC!B178,MAIN!$H$17:$K$20,4),0)</f>
        <v>0</v>
      </c>
      <c r="FJ178" s="1553" t="e">
        <f aca="false">SUM(FE178:FH178)</f>
        <v>#VALUE!</v>
      </c>
      <c r="FK178" s="1556" t="e">
        <f aca="false">FI178*FJ178</f>
        <v>#VALUE!</v>
      </c>
      <c r="FL178" s="1551" t="e">
        <f aca="false">IF($EI178&gt;0,MIN(FE178,AZ178*(1+VLOOKUP($C178,WeatherCapacityAdjustment,2))),0)</f>
        <v>#VALUE!</v>
      </c>
      <c r="FM178" s="1551" t="e">
        <f aca="false">IF($EI178&gt;0,MIN(FF178,BA178*(1+VLOOKUP($C178,WeatherCapacityAdjustment,2))),0)</f>
        <v>#VALUE!</v>
      </c>
      <c r="FN178" s="1551" t="e">
        <f aca="false">IF($EI178&gt;0,MIN(FG178,BB178*(1+VLOOKUP($C178,WeatherCapacityAdjustment,2))),0)</f>
        <v>#VALUE!</v>
      </c>
      <c r="FO178" s="1564" t="e">
        <f aca="false">IF($EI178&gt;0,MIN(FH178,BC178*(1+VLOOKUP($C178,WeatherCapacityAdjustment,3))),0)</f>
        <v>#VALUE!</v>
      </c>
      <c r="FP178" s="1551" t="e">
        <f aca="false">IF(ET178&gt;0,MIN(FE178-FL178,BH178*(1+VLOOKUP($C178,WeatherCapacityAdjustment,2))),0)</f>
        <v>#VALUE!</v>
      </c>
      <c r="FQ178" s="1551" t="e">
        <f aca="false">IF(EU178&gt;0,MIN(FF178-FM178,BI178*(1+VLOOKUP($C178,WeatherCapacityAdjustment,2))),0)</f>
        <v>#VALUE!</v>
      </c>
      <c r="FR178" s="1551" t="e">
        <f aca="false">IF(EV178&gt;0,MIN(FG178-FN178,BJ178*(1+VLOOKUP($C178,WeatherCapacityAdjustment,2))),0)</f>
        <v>#VALUE!</v>
      </c>
      <c r="FS178" s="1558" t="e">
        <f aca="false">IF(EW178&gt;0,MIN(FH178-FO178,BK178*(1+VLOOKUP($C178,WeatherCapacityAdjustment,3))),0)</f>
        <v>#VALUE!</v>
      </c>
      <c r="FT178" s="1566" t="e">
        <f aca="false">IF(AND(Assumptions!$H$71="Yes",A178&gt;=Assumptions!$H$72,A178&lt;=Assumptions!$H$73),0,IF(AND($A178&gt;=Assumptions!$C$17,$A178&lt;=Assumptions!$C$18),MAX(AZ178*(1+VLOOKUP($C178,WeatherCapacityAdjustment,2))-FL178,0),0))</f>
        <v>#VALUE!</v>
      </c>
      <c r="FU178" s="1551" t="e">
        <f aca="false">IF(AND(Assumptions!$H$71="Yes",A178&gt;=Assumptions!$H$72,A178&lt;=Assumptions!$H$73),0,IF(AND($A178&gt;=Assumptions!$C$17,$A178&lt;=Assumptions!$C$18),MAX(BA178*(1+VLOOKUP($C178,WeatherCapacityAdjustment,2))-FM178,0),0))</f>
        <v>#VALUE!</v>
      </c>
      <c r="FV178" s="1551" t="e">
        <f aca="false">IF(AND(Assumptions!$H$71="Yes",A178&gt;=Assumptions!$H$72,A178&lt;=Assumptions!$H$73),0,IF(AND($A178&gt;=Assumptions!$C$17,$A178&lt;=Assumptions!$C$18),MAX(BB178*(1+VLOOKUP($C178,WeatherCapacityAdjustment,2))-FN178,0),0))</f>
        <v>#VALUE!</v>
      </c>
      <c r="FW178" s="1564" t="e">
        <f aca="false">IF(AND(Assumptions!$H$71="Yes",A178&gt;=Assumptions!$H$72,A178&lt;=Assumptions!$H$73),0,IF(AND($A178&gt;=Assumptions!$C$17,$A178&lt;=Assumptions!$C$18),MAX(BC178*(1+VLOOKUP($C178,WeatherCapacityAdjustment,3))-FO178,0),0))</f>
        <v>#VALUE!</v>
      </c>
      <c r="FX178" s="1569" t="e">
        <f aca="false">IF(AND(Assumptions!$H$71="Yes",A178&gt;=Assumptions!$H$72,A178&lt;=Assumptions!$H$73),0,IF(ET178&gt;0,MAX(BH178*(1+VLOOKUP($C178,WeatherCapacityAdjustment,2))-FP178,0),0))</f>
        <v>#VALUE!</v>
      </c>
      <c r="FY178" s="1551" t="e">
        <f aca="false">IF(AND(Assumptions!$H$71="Yes",A178&gt;=Assumptions!$H$72,A178&lt;=Assumptions!$H$73),0,IF(EU178&gt;0,MAX(BI178*(1+VLOOKUP($C178,WeatherCapacityAdjustment,3))-FQ178,0),0))</f>
        <v>#VALUE!</v>
      </c>
      <c r="FZ178" s="1551" t="e">
        <f aca="false">IF(AND(Assumptions!$H$71="Yes",A178&gt;=Assumptions!$H$72,A178&lt;=Assumptions!$H$73),0,IF(EV178&gt;0,MAX(BJ178*(1+VLOOKUP($C178,WeatherCapacityAdjustment,2))-FR178,0),0))</f>
        <v>#VALUE!</v>
      </c>
      <c r="GA178" s="1564" t="e">
        <f aca="false">IF(AND(Assumptions!$H$71="Yes",A178&gt;=Assumptions!$H$72,A178&lt;=Assumptions!$H$73),0,IF(EW178&gt;0,MAX(BK178*(1+VLOOKUP($C178,WeatherCapacityAdjustment,2))-FS178,0),0))</f>
        <v>#VALUE!</v>
      </c>
      <c r="GB178" s="1551" t="e">
        <f aca="false">SUM(FT178:GA178)</f>
        <v>#VALUE!</v>
      </c>
      <c r="GC178" s="1563" t="e">
        <f aca="false">+IF(SUM(FT178:GA178)=0,0,(SUMPRODUCT(BU178:BX178,FT178:FW178)+SUMPRODUCT(CA178:CD178,FX178:GA178))/SUM(FT178:GA178))</f>
        <v>#VALUE!</v>
      </c>
      <c r="GD178" s="1551" t="e">
        <f aca="false">(FT178*BU178+FX178*CA178+FU178*BV178+FY178*CB178+FV178*BW178+FZ178*CC178+FW178*BX178+GA178*CD178)</f>
        <v>#VALUE!</v>
      </c>
      <c r="GE178" s="1561" t="e">
        <f aca="false">+IF(BQ178,((FL178+FM178+FT178+FU178)*HeatRatePeak/1000*(1+VLOOKUP($C178,WeatherHeatRateAdjustment,2))+(FN178+FV178)*IF(EV178&gt;0,HeatRatePeak,HeatRateOffPeak)/1000*(1+VLOOKUP($C178,WeatherHeatRateAdjustment,2))+(FO178+FW178)*IF(EW178&gt;0,HeatRatePeak,HeatRateOffPeak)/1000*(1+VLOOKUP($C178,WeatherHeatRateAdjustment,3)))*(1+VLOOKUP($B178,HeatRateDegradation,$C178+1)),0)</f>
        <v>#VALUE!</v>
      </c>
      <c r="GF178" s="1562" t="e">
        <f aca="false">IF(BQ178,((FP178+FQ178+FR178+FX178+FY178+FZ178)*HeatRatePeak/1000*(1+VLOOKUP($C178,WeatherHeatRateAdjustment,2))+(FS178+GA178)*HeatRatePeak/1000*(1+VLOOKUP($C178,WeatherHeatRateAdjustment,3)))*(1+VLOOKUP($B178,HeatRateDegradation,$C178+1)),0)</f>
        <v>#VALUE!</v>
      </c>
      <c r="GG178" s="1563" t="e">
        <f aca="false">IF(BQ178,VLOOKUP(A178,GasTable,13),0)</f>
        <v>#VALUE!</v>
      </c>
      <c r="GH178" s="1564" t="e">
        <f aca="false">(GE178+GF178)*GG178</f>
        <v>#VALUE!</v>
      </c>
      <c r="GI178" s="1569" t="e">
        <f aca="false">GB178</f>
        <v>#VALUE!</v>
      </c>
      <c r="GJ178" s="1598" t="e">
        <f aca="false">+DA178</f>
        <v>#VALUE!</v>
      </c>
      <c r="GK178" s="1558" t="e">
        <f aca="false">+GI178*GJ178</f>
        <v>#VALUE!</v>
      </c>
      <c r="GL178" s="1566" t="e">
        <f aca="false">MAX(FE178-FL178-FP178,0)</f>
        <v>#VALUE!</v>
      </c>
      <c r="GM178" s="1551" t="e">
        <f aca="false">MAX(FF178-FM178-FQ178,0)</f>
        <v>#VALUE!</v>
      </c>
      <c r="GN178" s="1551" t="e">
        <f aca="false">MAX(FG178-FN178-FR178,0)</f>
        <v>#VALUE!</v>
      </c>
      <c r="GO178" s="1564" t="e">
        <f aca="false">MAX(FH178-FO178-FS178,0)</f>
        <v>#VALUE!</v>
      </c>
      <c r="GP178" s="1551" t="e">
        <f aca="false">SUM(GL178:GO178)</f>
        <v>#VALUE!</v>
      </c>
      <c r="GQ178" s="1563" t="e">
        <f aca="false">IF(SUM(GL178:GO178)=0,0,((GL178*BU178+GM178*BV178+GN178*BW178+GO178*BX178)/SUM(GL178:GO178)))</f>
        <v>#VALUE!</v>
      </c>
      <c r="GR178" s="1558" t="e">
        <f aca="false">(GL178*BU178+GM178*BV178+GN178*BW178+GO178*BX178)</f>
        <v>#VALUE!</v>
      </c>
      <c r="GS178" s="1566" t="n">
        <f aca="false">IF($A178&gt;=BegDate,Assumptions!$C$56*24*($A179-$A178)*(1-VLOOKUP($B178,MAIN!$AA$7:$AM$28,$C178+1))*(1-VLOOKUP($B178,MAIN!$AA$33:$AM$54,$C178+1)),0)*80/168</f>
        <v>257742.857142857</v>
      </c>
      <c r="GT178" s="286" t="n">
        <f aca="false">J178</f>
        <v>52.0059618394927</v>
      </c>
      <c r="GU178" s="286" t="n">
        <f aca="false">IF($A178&gt;=BegDate,VLOOKUP($A178,GasTable,13)+Assumptions!$C$58,0)</f>
        <v>3.41134103041168</v>
      </c>
      <c r="GV178" s="286" t="n">
        <f aca="false">GU178*Assumptions!$C$57/1000</f>
        <v>24.7322224704846</v>
      </c>
      <c r="GW178" s="1558" t="n">
        <f aca="false">IF(Assumptions!$C$60="Hourly",MAX(0,GS178*(GT178-GV178)),GS178*(GT178-GV178))</f>
        <v>7029611.50993775</v>
      </c>
      <c r="GX178" s="1566" t="n">
        <f aca="false">IF($A178&gt;=BegDate,Assumptions!$C$56*24*($A179-$A178)*(1-VLOOKUP($B178,MAIN!$AA$7:$AM$28,$C178+1))*(1-VLOOKUP($B178,MAIN!$AA$33:$AM$54,$C178+1)),0)*16/168</f>
        <v>51548.5714285714</v>
      </c>
      <c r="GY178" s="286" t="n">
        <f aca="false">M178</f>
        <v>52.0059618394927</v>
      </c>
      <c r="GZ178" s="286" t="n">
        <f aca="false">IF($A178&gt;=BegDate,VLOOKUP($A178,GasTable,13)+Assumptions!$C$58,0)</f>
        <v>3.41134103041168</v>
      </c>
      <c r="HA178" s="286" t="n">
        <f aca="false">GZ178*Assumptions!$C$57/1000</f>
        <v>24.7322224704846</v>
      </c>
      <c r="HB178" s="1558" t="n">
        <f aca="false">IF(Assumptions!$C$60="Hourly",MAX(0,GX178*(GY178-HA178)),GX178*(GY178-HA178))</f>
        <v>1405922.30198755</v>
      </c>
      <c r="HC178" s="1566" t="n">
        <f aca="false">IF($A178&gt;=BegDate,Assumptions!$C$56*24*($A179-$A178)*(1-VLOOKUP($B178,MAIN!$AA$7:$AM$28,$C178+1))*(1-VLOOKUP($B178,MAIN!$AA$33:$AM$54,$C178+1)),0)*16/168</f>
        <v>51548.5714285714</v>
      </c>
      <c r="HD178" s="286" t="n">
        <f aca="false">P178</f>
        <v>29.2029109611684</v>
      </c>
      <c r="HE178" s="286" t="n">
        <f aca="false">IF($A178&gt;=BegDate,VLOOKUP($A178,GasTable,13)+Assumptions!$C$58,0)</f>
        <v>3.41134103041168</v>
      </c>
      <c r="HF178" s="286" t="n">
        <f aca="false">HE178*Assumptions!$C$57/1000</f>
        <v>24.7322224704846</v>
      </c>
      <c r="HG178" s="1558" t="n">
        <f aca="false">IF(Assumptions!$C$60="Hourly",MAX(0,HC178*(HD178-HF178)),HC178*(HD178-HF178))</f>
        <v>230457.604996902</v>
      </c>
      <c r="HH178" s="1566" t="n">
        <f aca="false">IF($A178&gt;=BegDate,Assumptions!$C$56*24*($A179-$A178)*(1-VLOOKUP($B178,MAIN!$AA$7:$AM$28,$C178+1))*(1-VLOOKUP($B178,MAIN!$AA$33:$AM$54,$C178+1)),0)*56/168</f>
        <v>180420</v>
      </c>
      <c r="HI178" s="286" t="n">
        <f aca="false">S178</f>
        <v>29.2029109611684</v>
      </c>
      <c r="HJ178" s="286" t="n">
        <f aca="false">IF($A178&gt;=BegDate,VLOOKUP($A178,GasTable,13)+Assumptions!$C$58,0)</f>
        <v>3.41134103041168</v>
      </c>
      <c r="HK178" s="286" t="n">
        <f aca="false">HJ178*Assumptions!$C$57/1000</f>
        <v>24.7322224704846</v>
      </c>
      <c r="HL178" s="1558" t="n">
        <f aca="false">IF(Assumptions!$C$60="Hourly",MAX(0,HH178*(HI178-HK178)),HH178*(HI178-HK178))</f>
        <v>806601.617489157</v>
      </c>
      <c r="HM178" s="1566" t="n">
        <f aca="false">IF(AND(Assumptions!$H$71="Yes",A178&gt;=Assumptions!$H$72,A178&lt;=Assumptions!$H$73),Assumptions!$H$74*Assumptions!$C$9*1000,0)</f>
        <v>0</v>
      </c>
      <c r="HN178" s="1551"/>
      <c r="HO178" s="1563"/>
      <c r="HP178" s="1563"/>
      <c r="HQ178" s="1563"/>
      <c r="HR178" s="1563"/>
      <c r="HS178" s="1563"/>
      <c r="HT178" s="1563"/>
      <c r="HU178" s="1563"/>
      <c r="HV178" s="1563"/>
      <c r="HW178" s="1563"/>
      <c r="HX178" s="1563"/>
      <c r="HY178" s="1563"/>
      <c r="HZ178" s="1563"/>
      <c r="IA178" s="1563"/>
      <c r="IB178" s="1563"/>
      <c r="IC178" s="1563"/>
      <c r="ID178" s="1563"/>
      <c r="IE178" s="1563"/>
      <c r="IF178" s="1563"/>
      <c r="IG178" s="1563"/>
      <c r="IH178" s="1563"/>
      <c r="II178" s="1610"/>
      <c r="IJ178" s="1309"/>
      <c r="IK178" s="1309"/>
    </row>
    <row r="179" customFormat="false" ht="12.75" hidden="false" customHeight="false" outlineLevel="0" collapsed="false">
      <c r="A179" s="1571" t="n">
        <f aca="false">EOMONTH(A178,0)+1</f>
        <v>41579</v>
      </c>
      <c r="B179" s="594" t="n">
        <f aca="false">+YEAR(A179)</f>
        <v>2013</v>
      </c>
      <c r="C179" s="238" t="n">
        <f aca="false">MONTH(A179)</f>
        <v>11</v>
      </c>
      <c r="D179" s="1572" t="e">
        <f aca="false">IF(E179="","",Holiday(B179,C179))</f>
        <v>#VALUE!</v>
      </c>
      <c r="E179" s="1573" t="n">
        <f aca="false">IF(OR(BegDate&gt;=A180,EndDate&lt;A179,AND(VolumeMonthlyOverFlag,INDEX(VolumeMonthlyOver,C179)=0),NOT(INDEX(MonthKnockOutTable,C179))),"",MAX(A179,BegDate))</f>
        <v>41579</v>
      </c>
      <c r="F179" s="1574" t="n">
        <f aca="false">IF(E179="","",MIN(A180-1,EndDate))</f>
        <v>41608</v>
      </c>
      <c r="G179" s="1575" t="n">
        <v>0</v>
      </c>
      <c r="H179" s="1576" t="n">
        <f aca="false">(1+G179/2)^(-2*(DATE(B180,C180,20)-DateToday)/365.25)</f>
        <v>1</v>
      </c>
      <c r="I179" s="1568" t="n">
        <f aca="false">IF(Assumptions!$L$25=4,VLOOKUP($A179,'Henwood Reference'!$E$9:$R$320,10),(VLOOKUP($A179,PriceTable,2,0)+IF(BasisNumber&lt;&gt;1,VLOOKUP($A179,BasisTable,2,0),0)+I$1)/(1-I$2))</f>
        <v>56.6836434152136</v>
      </c>
      <c r="J179" s="1568" t="n">
        <f aca="false">IF(Assumptions!$L$25=4,VLOOKUP($A179,'Henwood Reference'!$E$9:$R$320,10),(VLOOKUP($A179,PriceTable,3,0)+IF(BasisNumber&lt;&gt;1,VLOOKUP($A179,BasisTable,2,0),0)+J$1)/(1-J$2))</f>
        <v>56.6836434152136</v>
      </c>
      <c r="K179" s="1568" t="n">
        <f aca="false">IF(Assumptions!$L$25=4,VLOOKUP($A179,'Henwood Reference'!$E$9:$R$320,10),(VLOOKUP($A179,PriceTable,4,0)+IF(BasisNumber&lt;&gt;1,VLOOKUP($A179,BasisTable,2,0),0)+K$1)/(1-K$2))</f>
        <v>56.6836434152136</v>
      </c>
      <c r="L179" s="1523" t="n">
        <f aca="false">IF(Assumptions!$L$25=4,VLOOKUP($A179,'Henwood Reference'!$E$9:$R$320,10),(VLOOKUP($A179,PriceTableWeekend,2,0)+IF(BasisNumber&lt;&gt;1,VLOOKUP($A179,BasisTable,2,0),0)+L$1)/(1-L$2))</f>
        <v>56.6836434152136</v>
      </c>
      <c r="M179" s="1568" t="n">
        <f aca="false">IF(Assumptions!$L$25=4,VLOOKUP($A179,'Henwood Reference'!$E$9:$R$320,10),(VLOOKUP($A179,PriceTableWeekend,3,0)+IF(BasisNumber&lt;&gt;1,VLOOKUP($A179,BasisTable,2,0),0)+M$1)/(1-M$2))</f>
        <v>56.6836434152136</v>
      </c>
      <c r="N179" s="1599" t="n">
        <f aca="false">IF(Assumptions!$L$25=4,VLOOKUP($A179,'Henwood Reference'!$E$9:$R$320,10),(VLOOKUP($A179,PriceTableWeekend,4,0)+IF(BasisNumber&lt;&gt;1,VLOOKUP($A179,BasisTable,2,0),0)+N$1)/(1-N$2))</f>
        <v>56.6836434152136</v>
      </c>
      <c r="O179" s="1568" t="n">
        <f aca="false">IF(Assumptions!$L$25=4,VLOOKUP($A179,'Henwood Reference'!$E$9:$R$320,11),(VLOOKUP($A179,PriceTableWeekend,6,0)+IF(BasisNumber&lt;&gt;1,VLOOKUP($A179,BasisTable,3,0),0)+O$1)/(1-O$2))</f>
        <v>31.1640186129363</v>
      </c>
      <c r="P179" s="1568" t="n">
        <f aca="false">IF(Assumptions!$L$25=4,VLOOKUP($A179,'Henwood Reference'!$E$9:$R$320,11),(VLOOKUP($A179,PriceTableWeekend,7,0)+IF(BasisNumber&lt;&gt;1,VLOOKUP($A179,BasisTable,3,0),0)+P$1)/(1-P$2))</f>
        <v>31.1640186129363</v>
      </c>
      <c r="Q179" s="1599" t="n">
        <f aca="false">IF(Assumptions!$L$25=4,VLOOKUP($A179,'Henwood Reference'!$E$9:$R$320,11),(VLOOKUP($A179,PriceTableWeekend,8,0)+IF(BasisNumber&lt;&gt;1,VLOOKUP($A179,BasisTable,3,0),0)+Q$1)/(1-Q$2))</f>
        <v>31.1640186129363</v>
      </c>
      <c r="R179" s="1568" t="n">
        <f aca="false">IF(Assumptions!$L$25=4,VLOOKUP($A179,'Henwood Reference'!$E$9:$R$320,11),(VLOOKUP($A179,PriceTable,6,0)+IF(BasisNumber&lt;&gt;1,VLOOKUP($A179,BasisTable,3,0),0)+R$1)/(1-R$2))</f>
        <v>31.1640186129363</v>
      </c>
      <c r="S179" s="1568" t="n">
        <f aca="false">IF(Assumptions!$L$25=4,VLOOKUP($A179,'Henwood Reference'!$E$9:$R$320,11),(VLOOKUP($A179,PriceTable,7,0)+IF(BasisNumber&lt;&gt;1,VLOOKUP($A179,BasisTable,3,0),0)+S$1)/(1-S$2))</f>
        <v>31.1640186129363</v>
      </c>
      <c r="T179" s="1600" t="n">
        <f aca="false">IF(Assumptions!$L$25=4,VLOOKUP($A179,'Henwood Reference'!$E$9:$R$320,11),(VLOOKUP($A179,PriceTable,8,0)+IF(BasisNumber&lt;&gt;1,VLOOKUP($A179,BasisTable,3,0),0)+T$1)/(1-T$2))</f>
        <v>31.1640186129363</v>
      </c>
      <c r="U179" s="1513" t="n">
        <f aca="false">VLOOKUP($A179,VolatilityTable,14)</f>
        <v>0.105</v>
      </c>
      <c r="V179" s="1513" t="n">
        <f aca="false">VLOOKUP($A179,VolatilityTable,15)</f>
        <v>0.115</v>
      </c>
      <c r="W179" s="1514" t="n">
        <f aca="false">VLOOKUP($A179,VolatilityTable,16)</f>
        <v>0.125</v>
      </c>
      <c r="X179" s="1513" t="n">
        <f aca="false">VLOOKUP($A179,VolatilityTable,14)</f>
        <v>0.105</v>
      </c>
      <c r="Y179" s="1513" t="n">
        <f aca="false">VLOOKUP($A179,VolatilityTable,15)</f>
        <v>0.115</v>
      </c>
      <c r="Z179" s="1514" t="n">
        <f aca="false">VLOOKUP($A179,VolatilityTable,16)</f>
        <v>0.125</v>
      </c>
      <c r="AA179" s="1513" t="n">
        <f aca="false">VLOOKUP($A179,VolatilityTable,18)</f>
        <v>0.09</v>
      </c>
      <c r="AB179" s="1513" t="n">
        <f aca="false">VLOOKUP($A179,VolatilityTable,19)</f>
        <v>0.11</v>
      </c>
      <c r="AC179" s="1514" t="n">
        <f aca="false">VLOOKUP($A179,VolatilityTable,20)</f>
        <v>0.13</v>
      </c>
      <c r="AD179" s="1513" t="n">
        <f aca="false">VLOOKUP($A179,VolatilityTable,18)</f>
        <v>0.09</v>
      </c>
      <c r="AE179" s="1513" t="n">
        <f aca="false">VLOOKUP($A179,VolatilityTable,19)</f>
        <v>0.11</v>
      </c>
      <c r="AF179" s="1514" t="n">
        <f aca="false">VLOOKUP($A179,VolatilityTable,20)</f>
        <v>0.13</v>
      </c>
      <c r="AG179" s="1513" t="n">
        <f aca="false">VLOOKUP($A179,VolatilityTable,22)</f>
        <v>-0.1</v>
      </c>
      <c r="AH179" s="1513" t="n">
        <f aca="false">VLOOKUP($A179,VolatilityTable,23)</f>
        <v>0.6</v>
      </c>
      <c r="AI179" s="1514" t="n">
        <f aca="false">VLOOKUP($A179,VolatilityTable,24)</f>
        <v>0.1</v>
      </c>
      <c r="AJ179" s="1513" t="n">
        <f aca="false">VLOOKUP($A179,VolatilityTable,22)</f>
        <v>-0.1</v>
      </c>
      <c r="AK179" s="1513" t="n">
        <f aca="false">VLOOKUP($A179,VolatilityTable,23)</f>
        <v>0.6</v>
      </c>
      <c r="AL179" s="1514" t="n">
        <f aca="false">VLOOKUP($A179,VolatilityTable,24)</f>
        <v>0.1</v>
      </c>
      <c r="AM179" s="1513" t="n">
        <f aca="false">VLOOKUP($A179,VolatilityTable,26)</f>
        <v>-0.01</v>
      </c>
      <c r="AN179" s="1513" t="n">
        <f aca="false">VLOOKUP($A179,VolatilityTable,27)</f>
        <v>0.16</v>
      </c>
      <c r="AO179" s="1514" t="n">
        <f aca="false">VLOOKUP($A179,VolatilityTable,28)</f>
        <v>0.01</v>
      </c>
      <c r="AP179" s="1513" t="n">
        <f aca="false">VLOOKUP($A179,VolatilityTable,26)</f>
        <v>-0.01</v>
      </c>
      <c r="AQ179" s="1513" t="n">
        <f aca="false">VLOOKUP($A179,VolatilityTable,27)</f>
        <v>0.16</v>
      </c>
      <c r="AR179" s="1515" t="n">
        <f aca="false">VLOOKUP($A179,VolatilityTable,28)</f>
        <v>0.01</v>
      </c>
      <c r="AS179" s="1581" t="n">
        <f aca="false">IF(CorrPeakOffPeakOverFlag,INDEX(CorrPeakOffPeakOver,C179),CorrPeakOffPeak)</f>
        <v>0.5</v>
      </c>
      <c r="AT179" s="594" t="e">
        <f aca="false">AX179-SUM(AU179:AW179)</f>
        <v>#VALUE!</v>
      </c>
      <c r="AU179" s="238" t="e">
        <f aca="false">IF(E179="",0,INT((F179-MOD(F179,7)-E179)/7)+1-IF(AW179,IF(WEEKDAY(D179)=7,1,0),0))</f>
        <v>#VALUE!</v>
      </c>
      <c r="AV179" s="238" t="e">
        <f aca="false">IF(E179="",0,INT((F179-MOD(F179-1,7)-E179)/7)+1-IF(AW179,IF(WEEKDAY(D179)=1,1,0),0))</f>
        <v>#VALUE!</v>
      </c>
      <c r="AW179" s="238" t="e">
        <f aca="false">IF(OR(E179="",D179="",D179&lt;BegDate,D179&gt;EndDate),0,1)</f>
        <v>#VALUE!</v>
      </c>
      <c r="AX179" s="238" t="n">
        <f aca="false">IF(E179="",0,F179-E179+1)</f>
        <v>30</v>
      </c>
      <c r="AY179" s="1582" t="n">
        <f aca="false">IF(E179="",0,MIN((1-(1-VLOOKUP(B179,MAIN!$AA$7:$AM$28,C179+1))*(1-VLOOKUP(B179,MAIN!$AA$33:$AM$54,C179+1))),1))</f>
        <v>0.03</v>
      </c>
      <c r="AZ179" s="1519" t="e">
        <v>#VALUE!</v>
      </c>
      <c r="BA179" s="1520" t="e">
        <v>#VALUE!</v>
      </c>
      <c r="BB179" s="1520" t="e">
        <v>#VALUE!</v>
      </c>
      <c r="BC179" s="1583" t="e">
        <v>#VALUE!</v>
      </c>
      <c r="BD179" s="1522" t="e">
        <v>#VALUE!</v>
      </c>
      <c r="BE179" s="1523" t="e">
        <v>#VALUE!</v>
      </c>
      <c r="BF179" s="1523" t="e">
        <v>#VALUE!</v>
      </c>
      <c r="BG179" s="1584" t="e">
        <v>#VALUE!</v>
      </c>
      <c r="BH179" s="1525" t="e">
        <v>#VALUE!</v>
      </c>
      <c r="BI179" s="1520" t="e">
        <v>#VALUE!</v>
      </c>
      <c r="BJ179" s="1520" t="e">
        <v>#VALUE!</v>
      </c>
      <c r="BK179" s="1583" t="e">
        <v>#VALUE!</v>
      </c>
      <c r="BL179" s="1522" t="e">
        <v>#VALUE!</v>
      </c>
      <c r="BM179" s="1523" t="e">
        <v>#VALUE!</v>
      </c>
      <c r="BN179" s="1523" t="e">
        <v>#VALUE!</v>
      </c>
      <c r="BO179" s="1523" t="e">
        <v>#VALUE!</v>
      </c>
      <c r="BP179" s="1525" t="e">
        <f aca="false">SUM(AZ179:BB179)</f>
        <v>#VALUE!</v>
      </c>
      <c r="BQ179" s="1529" t="e">
        <f aca="false">SUM(AZ179:BC179)</f>
        <v>#VALUE!</v>
      </c>
      <c r="BR179" s="1519" t="e">
        <f aca="false">SUM(BH179:BJ179)</f>
        <v>#VALUE!</v>
      </c>
      <c r="BS179" s="1529" t="e">
        <f aca="false">SUM(BH179:BK179)</f>
        <v>#VALUE!</v>
      </c>
      <c r="BT179" s="1316" t="n">
        <f aca="false">(IF(OVolType&lt;&gt;2,A179+14,IF(OptExpDateShift,ShiftBack(A179,OptExpDateShift,D178),A179))-DateToday)/365.25</f>
        <v>13.5496235455168</v>
      </c>
      <c r="BU179" s="1585" t="e">
        <f aca="false">IF(BQ179,IF(OPriceCurve,IF(OBuySell=OCallPut,I179/(1-AY179),K179/(1-AY179)),J179/(1-AY179))*BD179,0)</f>
        <v>#VALUE!</v>
      </c>
      <c r="BV179" s="1316" t="e">
        <f aca="false">IF(BQ179,IF(OPriceCurve,IF(OBuySell=OCallPut,L179/(1-AY179),N179/(1-AY179)),M179/(1-AY179))*BE179,0)</f>
        <v>#VALUE!</v>
      </c>
      <c r="BW179" s="1316" t="e">
        <f aca="false">IF(BQ179,IF(OPriceCurve,IF(OBuySell=OCallPut,O179/(1-AY179),Q179/(1-AY179)),P179/(1-AY179))*BF179,0)</f>
        <v>#VALUE!</v>
      </c>
      <c r="BX179" s="1316" t="e">
        <f aca="false">IF(BQ179,IF(OPriceCurve,IF(OBuySell=OCallPut,R179/(1-AY179),T179/(1-AY179)),S179/(1-AY179))*BG179,0)</f>
        <v>#VALUE!</v>
      </c>
      <c r="BY179" s="1316" t="e">
        <f aca="false">IF(BP179,(BU179*AZ179+BV179*BA179+BW179*BB179)/BP179,0)</f>
        <v>#VALUE!</v>
      </c>
      <c r="BZ179" s="1316" t="e">
        <f aca="false">IF(BQ179,(BY179*BP179+BX179*BC179)/BQ179,0)</f>
        <v>#VALUE!</v>
      </c>
      <c r="CA179" s="1531" t="e">
        <f aca="false">IF(BS179,IF(OPriceCurve,IF(OBuySell=OCallPut,I179/(1-AY179),K179/(1-AY179)),J179/(1-AY179))*BL179,0)</f>
        <v>#VALUE!</v>
      </c>
      <c r="CB179" s="1316" t="e">
        <f aca="false">IF(BS179,IF(OPriceCurve,IF(OBuySell=OCallPut,L179/(1-AY179),N179/(1-AY179)),M179/(1-AY179))*BM179,0)</f>
        <v>#VALUE!</v>
      </c>
      <c r="CC179" s="1316" t="e">
        <f aca="false">IF(BS179,IF(OPriceCurve,IF(OBuySell=OCallPut,O179/(1-AY179),Q179/(1-AY179)),P179/(1-AY179))*BN179,0)</f>
        <v>#VALUE!</v>
      </c>
      <c r="CD179" s="1316" t="e">
        <f aca="false">IF(BS179,IF(OPriceCurve,IF(OBuySell=OCallPut,R179/(1-AY179),T179/(1-AY179)),S179/(1-AY179))*BO179,0)</f>
        <v>#VALUE!</v>
      </c>
      <c r="CE179" s="1316" t="e">
        <f aca="false">IF(BR179,(BU179*BH179+BV179*BI179+BW179*BJ179)/BR179,0)</f>
        <v>#VALUE!</v>
      </c>
      <c r="CF179" s="1532" t="e">
        <f aca="false">IF(BS179,(CE179*BR179+CD179*BK179)/BS179,0)</f>
        <v>#VALUE!</v>
      </c>
      <c r="CG179" s="1586" t="e">
        <f aca="false">IF(OR(BQ179,BS179),IF(OVolType&lt;&gt;2,SQRT(IF(OVolOverMonthlyPeak,OVolOverMonthlyPeak,IF(OVolCurve,IF(OBuySell,U179,W179),V179))^2*(1-15/365.25/BT179)+IF(OVolOverDailyPeak,OVolOverDailyPeak,IF(OVolCurve,IF(OBuySell,AG179,AI179),AH179))^2*15/365.25/BT179),IF(OVolOverMonthlyPeak,OVolOverMonthlyPeak,IF(OVolCurve,IF(OBuySell,U179,W179),V179))),"")</f>
        <v>#VALUE!</v>
      </c>
      <c r="CH179" s="1587" t="e">
        <f aca="false">IF(OR(BQ179,BS179),IF(OVolType&lt;&gt;2,SQRT(IF(OVolOverMonthlyPeak,OVolOverMonthlyPeak,IF(OVolCurve,IF(OBuySell,X179,Z179),Y179))^2*(1-15/365.25/BT179)+IF(OVolOverDailyPeak,OVolOverDailyPeak,IF(OVolCurve,IF(OBuySell,AJ179,AL179),AK179))^2*15/365.25/BT179),IF(OVolOverMonthlyPeak,OVolOverMonthlyPeak,IF(OVolCurve,IF(OBuySell,X179,Z179),Y179))),"")</f>
        <v>#VALUE!</v>
      </c>
      <c r="CI179" s="1587" t="e">
        <f aca="false">IF(OR(BQ179,BS179),IF(OVolType&lt;&gt;2,SQRT(IF(OVolOverMonthlyPeak,OVolOverMonthlyPeak,IF(OVolCurve,IF(OBuySell,AA179,AC179),AB179))^2*(1-15/365.25/BT179)+IF(OVolOverDailyPeak,OVolOverDailyPeak,IF(OVolCurve,IF(OBuySell,AM179,AO179),AN179))^2*15/365.25/BT179),IF(OVolOverMonthlyPeak,OVolOverMonthlyPeak,IF(OVolCurve,IF(OBuySell,AA179,AC179),AB179))),"")</f>
        <v>#VALUE!</v>
      </c>
      <c r="CJ179" s="1587" t="e">
        <f aca="false">IF(BQ179,IF(BP179,SQRT(LN(1+((BU179*AZ179)^2*(EXP(CG179^2*BT179)-1)+(BV179*BA179)^2*(EXP(CH179^2*BT179)-1)+(BW179*BB179)^2*(EXP(CI179^2*BT179)-1)+2*BU179*AZ179*BV179*BA179*(EXP(CG179*CH179*BT179)-1)+2*BV179*BA179*BW179*BB179*(EXP(CH179*CI179*BT179)-1)+2*BW179*BB179*BU179*AZ179*(EXP(CI179*CG179*BT179)-1))/(BY179*BP179)^2)/BT179),0),"")</f>
        <v>#VALUE!</v>
      </c>
      <c r="CK179" s="1587" t="e">
        <f aca="false">IF(BS179,IF(BR179,SQRT(LN(1+((CA179*BH179)^2*(EXP(CG179^2*BT179)-1)+(CB179*BI179)^2*(EXP(CH179^2*BT179)-1)+(CC179*BJ179)^2*(EXP(CI179^2*BT179)-1)+2*CA179*BH179*CB179*BI179*(EXP(CG179*CH179*BT179)-1)+2*CB179*BI179*CC179*BJ179*(EXP(CH179*CI179*BT179)-1)+2*CC179*BJ179*CA179*BH179*(EXP(CI179*CG179*BT179)-1))/(CE179*BR179)^2)/BT179),0),"")</f>
        <v>#VALUE!</v>
      </c>
      <c r="CL179" s="1587" t="e">
        <f aca="false">IF(OR(BQ179,BS179),IF(OVolType&lt;&gt;2,SQRT(IF(OVolOverMonthlyOffPeak,OVolOverMonthlyOffPeak,IF(OVolCurve,IF(OBuySell,AD179,AF179),AE179))^2*(1-15/365.25/BT179)+IF(OVolOverDailyOffPeak,OVolOverDailyOffPeak,IF(OVolCurve,IF(OBuySell,AP179,AR179),AQ179))^2*15/365.25/BT179),IF(OVolOverMonthlyOffPeak,OVolOverMonthlyOffPeak,IF(OVolCurve,IF(OBuySell,AD179,AF179),AE179))),"")</f>
        <v>#VALUE!</v>
      </c>
      <c r="CM179" s="1587" t="e">
        <f aca="false">IF(BQ179,SQRT(LN(1+((BY179*BP179)^2*(EXP(CJ179^2*BT179)-1)+(BX179*BC179)^2*(EXP(CL179^2*BT179)-1)+2*BY179*BP179*BX179*BC179*(EXP(AS179*CJ179*CL179*BT179)-1))/(BY179*BP179+BX179*BC179)^2)/BT179),"")</f>
        <v>#VALUE!</v>
      </c>
      <c r="CN179" s="1588" t="e">
        <f aca="false">IF(BS179,SQRT(LN(1+((CE179*BR179)^2*(EXP(CK179^2*BT179)-1)+(CD179*BK179)^2*(EXP(CL179^2*BT179)-1)+2*CE179*BR179*CD179*BK179*(EXP(AS179*CK179*CL179*BT179)-1))/(CE179*BR179+CD179*BK179)^2)/BT179),"")</f>
        <v>#VALUE!</v>
      </c>
      <c r="CO179" s="1531" t="e">
        <f aca="false">IF(OR(BQ179,BS179),VLOOKUP(A179,GasTable,13)*HeatRatePeak*(1+VLOOKUP($B179,HeatRateDegradation,$C179+1))/1000,0)</f>
        <v>#VALUE!</v>
      </c>
      <c r="CP179" s="1316" t="e">
        <f aca="false">IF(OR(BQ179,BS179),VLOOKUP(A179,GasTable,13)*HeatRatePeak*(1+VLOOKUP($B179,HeatRateDegradation,$C179+1))/1000,0)</f>
        <v>#VALUE!</v>
      </c>
      <c r="CQ179" s="1316" t="e">
        <f aca="false">IF(OR(BQ179,BS179),VLOOKUP(A179,GasTable,13)*IF(EV179,HeatRatePeak,HeatRateOffPeak)*(1+VLOOKUP($B179,HeatRateDegradation,$C179+1))/1000,0)</f>
        <v>#VALUE!</v>
      </c>
      <c r="CR179" s="1316" t="e">
        <f aca="false">IF(OR(BQ179,BS179),VLOOKUP(A179,GasTable,13)*IF(EW179,HeatRatePeak,HeatRateOffPeak)*(1+VLOOKUP($B179,HeatRateDegradation,$C179+1))/1000,0)</f>
        <v>#VALUE!</v>
      </c>
      <c r="CS179" s="1589" t="e">
        <f aca="false">IF(BQ179,(CO179*AZ179+CP179*BA179+CQ179*BB179+CR179*BC179)/BQ179,0)</f>
        <v>#VALUE!</v>
      </c>
      <c r="CT179" s="1316" t="e">
        <f aca="false">IF(BS179,CO179,0)</f>
        <v>#VALUE!</v>
      </c>
      <c r="CU179" s="1590" t="e">
        <f aca="false">IF(OR(BQ179,BS179),VLOOKUP(A179,GasTable,14),"")</f>
        <v>#VALUE!</v>
      </c>
      <c r="CV179" s="1568" t="e">
        <f aca="false">IF(OR(BQ179,BS179),IF(CorrPowerGasOverFlag,INDEX(CorrPowerGasOver,C179),CorrPowerGas),"")</f>
        <v>#VALUE!</v>
      </c>
      <c r="CW179" s="1316" t="e">
        <f aca="false">IF(OR($BQ179,$BS179),SpreadOptPowerMargin,0)*((1+Assumptions!$C$26)^($B179-YEAR(Assumptions!$C$17)))</f>
        <v>#VALUE!</v>
      </c>
      <c r="CX179" s="1316" t="e">
        <f aca="false">IF(OR($BQ179,$BS179),SpreadOptPowerMargin,0)*((1+Assumptions!$C$26)^($B179-YEAR(Assumptions!$C$17)))</f>
        <v>#VALUE!</v>
      </c>
      <c r="CY179" s="1316" t="e">
        <f aca="false">IF(OR($BQ179,$BS179),SpreadOptPowerMargin,0)*((1+Assumptions!$C$26)^($B179-YEAR(Assumptions!$C$17)))</f>
        <v>#VALUE!</v>
      </c>
      <c r="CZ179" s="1316" t="e">
        <f aca="false">IF(OR($BQ179,$BS179),SpreadOptPowerMargin,0)*((1+Assumptions!$C$26)^($B179-YEAR(Assumptions!$C$17)))</f>
        <v>#VALUE!</v>
      </c>
      <c r="DA179" s="1591" t="e">
        <f aca="false">IF(OR(BQ179,BS179),(CW179*(AZ179+BH179)+CX179*(BA179+BI179)+CY179*(BB179+BJ179)+CZ179*(BC179+BK179))/(BQ179+BS179),0)</f>
        <v>#VALUE!</v>
      </c>
      <c r="DB179" s="1592" t="e">
        <f aca="false">IF(OR(BQ179,BS179),CG179+IF(OVolSmile,VLOOKUP(MAX(-5,CO179+CW179-BU179),IF(OVolSmile=1,VolSmileBook,VolSmileModel),2),0),"")</f>
        <v>#VALUE!</v>
      </c>
      <c r="DC179" s="1592" t="e">
        <f aca="false">IF(OR(BQ179,BS179),CH179+IF(OVolSmile,VLOOKUP(MAX(-5,CP179+CW179-BV179),IF(OVolSmile=1,VolSmileBook,VolSmileModel),2),0),"")</f>
        <v>#VALUE!</v>
      </c>
      <c r="DD179" s="1592" t="e">
        <f aca="false">IF(OR(BQ179,BS179),CI179+IF(OVolSmile,VLOOKUP(MAX(-5,CQ179+CW179-BW179),IF(OVolSmile=1,VolSmileBook,VolSmileModel),2),0),"")</f>
        <v>#VALUE!</v>
      </c>
      <c r="DE179" s="1592" t="e">
        <f aca="false">IF(OR(BQ179,BS179),CL179+IF(OVolSmile,VLOOKUP(MAX(-5,CR179+CZ179-BX179),IF(OVolSmile=1,VolSmileBook,VolSmileModel),2),0),"")</f>
        <v>#VALUE!</v>
      </c>
      <c r="DF179" s="1592" t="e">
        <f aca="false">IF(BQ179,CM179+IF(OVolSmile,VLOOKUP(MAX(-5,CS179+DA179-BZ179),IF(OVolSmile=1,VolSmileBook,VolSmileModel),2),0),"")</f>
        <v>#VALUE!</v>
      </c>
      <c r="DG179" s="1593" t="e">
        <f aca="false">IF(BS179,CN179+IF(OVolSmile,VLOOKUP(MAX(-5,CT179+DA179-CF179),IF(OVolSmile=1,VolSmileBook,VolSmileModel),2),0),"")</f>
        <v>#VALUE!</v>
      </c>
      <c r="DH179" s="1316" t="e">
        <f aca="false">IF(AND(BU179&gt;0,CO179&gt;0,DB179&gt;0,CU179&gt;0),newSPRDOPT(BU179,CO179,CW179,0,DB179,CU179,CV179,BT179*365.25,OCallPut,0),0)</f>
        <v>#VALUE!</v>
      </c>
      <c r="DI179" s="1316" t="e">
        <f aca="false">IF(AND(BV179&gt;0,CP179&gt;0,DC179&gt;0,CU179&gt;0),newSPRDOPT(BV179,CP179,CX179,0,DC179,CU179,CV179,BT179*365.25,OCallPut,0),0)</f>
        <v>#VALUE!</v>
      </c>
      <c r="DJ179" s="1316" t="e">
        <f aca="false">IF(AND(BW179&gt;0,CQ179&gt;0,DD179&gt;0,CU179&gt;0),newSPRDOPT(BW179,CQ179,CY179,0,DD179,CU179,CV179,BT179*365.25,OCallPut,0),0)</f>
        <v>#VALUE!</v>
      </c>
      <c r="DK179" s="1316" t="e">
        <f aca="false">IF(AND(BX179&gt;0,CR179&gt;0,DE179&gt;0,CU179&gt;0),newSPRDOPT(BX179,CR179,CZ179,0,DE179,CU179,CV179,BT179*365.25,OCallPut,0),0)</f>
        <v>#VALUE!</v>
      </c>
      <c r="DL179" s="1316" t="e">
        <f aca="false">IF(OVolType,IF(AND(BZ179&gt;0,CS179&gt;0,DF179&gt;0,CU179&gt;0),newSPRDOPT(BZ179,CS179,DA179,0,DF179,CU179,CV179,BT179*365.25,OCallPut,0),0),IF(BQ179,(DH179*AZ179+DI179*BA179+DJ179*BB179+DK179*BC179)/BQ179,0))</f>
        <v>#VALUE!</v>
      </c>
      <c r="DM179" s="1316"/>
      <c r="DN179" s="1316"/>
      <c r="DO179" s="1316"/>
      <c r="DP179" s="1316"/>
      <c r="DQ179" s="1316"/>
      <c r="DR179" s="1316"/>
      <c r="DS179" s="1316"/>
      <c r="DT179" s="1316"/>
      <c r="DU179" s="1316"/>
      <c r="DV179" s="1316"/>
      <c r="DW179" s="1594" t="e">
        <f aca="false">IF(AND(BW179&gt;0,CT179&gt;0,DD179&gt;0,CU179&gt;0),newSPRDOPT(BW179,CT179,CY179,0,DD179,CU179,CV179,BT179*365.25,OCallPut,0),0)</f>
        <v>#VALUE!</v>
      </c>
      <c r="DX179" s="1316" t="e">
        <f aca="false">IF(AND(BX179&gt;0,CT179&gt;0,DE179&gt;0,CU179&gt;0),newSPRDOPT(BX179,CT179,CZ179,0,DE179,CU179,CV179,BT179*365.25,OCallPut,0),0)</f>
        <v>#VALUE!</v>
      </c>
      <c r="DY179" s="1591" t="e">
        <f aca="false">IF(BS179,(DH179*BH179+DI179*BI179+DW179*BJ179+DX179*BK179)/BS179,0)</f>
        <v>#VALUE!</v>
      </c>
      <c r="DZ179" s="1551" t="e">
        <f aca="false">DH179*AZ179</f>
        <v>#VALUE!</v>
      </c>
      <c r="EA179" s="1551" t="e">
        <f aca="false">DI179*BA179</f>
        <v>#VALUE!</v>
      </c>
      <c r="EB179" s="1551" t="e">
        <f aca="false">DJ179*BB179</f>
        <v>#VALUE!</v>
      </c>
      <c r="EC179" s="1551" t="e">
        <f aca="false">DK179*BC179</f>
        <v>#VALUE!</v>
      </c>
      <c r="ED179" s="1551" t="e">
        <f aca="false">DL179*BQ179</f>
        <v>#VALUE!</v>
      </c>
      <c r="EE179" s="1595" t="e">
        <f aca="false">IF(BQ179,IF(OCallPut,IF(BU179&gt;(CO179+CW179),BU179-(CO179+CW179),0),IF((CO179+CW179)&gt;BU179,(CO179+CW179)-BU179,0))*AZ179,0)</f>
        <v>#VALUE!</v>
      </c>
      <c r="EF179" s="1596" t="e">
        <f aca="false">IF(BQ179,IF(OCallPut,IF(BV179&gt;(CP179+CX179),BV179-(CP179+CX179),0),IF((CP179+CX179)&gt;BV179,(CP179+CX179)-BV179,0))*BA179,0)</f>
        <v>#VALUE!</v>
      </c>
      <c r="EG179" s="1596" t="e">
        <f aca="false">IF(BQ179,IF(OCallPut,IF(BW179&gt;(CQ179+CY179),BW179-(CQ179+CY179),0),IF((CQ179+CY179)&gt;BW179,(CQ179+CY179)-BW179,0))*BB179,0)</f>
        <v>#VALUE!</v>
      </c>
      <c r="EH179" s="1596" t="e">
        <f aca="false">IF(BQ179,IF(OCallPut,IF(BX179&gt;(CR179+CZ179),BX179-(CR179+CZ179),0),IF((CR179+CZ179)&gt;BX179,(CR179+CZ179)-BX179,0))*BC179,0)</f>
        <v>#VALUE!</v>
      </c>
      <c r="EI179" s="1597" t="e">
        <f aca="false">IF(BQ179,IF(OVolType,IF(OCallPut,IF(BZ179&gt;(CS179+DA179),BZ179-(CS179+DA179),0),IF((CS179+DA179)&gt;BZ179,(CS179+DA179)-BZ179,0))*BQ179,SUM(EE179:EH179)),0)</f>
        <v>#VALUE!</v>
      </c>
      <c r="EJ179" s="1595" t="e">
        <f aca="false">DZ179-EE179</f>
        <v>#VALUE!</v>
      </c>
      <c r="EK179" s="1596" t="e">
        <f aca="false">EA179-EF179</f>
        <v>#VALUE!</v>
      </c>
      <c r="EL179" s="1596" t="e">
        <f aca="false">EB179-EG179</f>
        <v>#VALUE!</v>
      </c>
      <c r="EM179" s="1596" t="e">
        <f aca="false">EC179-EH179</f>
        <v>#VALUE!</v>
      </c>
      <c r="EN179" s="1597" t="e">
        <f aca="false">ED179-EI179</f>
        <v>#VALUE!</v>
      </c>
      <c r="EO179" s="1551" t="e">
        <f aca="false">DH179*BH179</f>
        <v>#VALUE!</v>
      </c>
      <c r="EP179" s="1551" t="e">
        <f aca="false">DI179*BI179</f>
        <v>#VALUE!</v>
      </c>
      <c r="EQ179" s="1551" t="e">
        <f aca="false">DW179*BJ179</f>
        <v>#VALUE!</v>
      </c>
      <c r="ER179" s="1551" t="e">
        <f aca="false">DX179*BK179</f>
        <v>#VALUE!</v>
      </c>
      <c r="ES179" s="1551" t="e">
        <f aca="false">DY179*BS179</f>
        <v>#VALUE!</v>
      </c>
      <c r="ET179" s="1566" t="e">
        <f aca="false">IF(EI179,IF(OCallPut,IF(CA179&gt;(CT179+CW179),CA179-(CT179+CW179),0),IF((CT179+CW179)&gt;CA179,(CT179+CW179)-CA179,0))*BH179,0)</f>
        <v>#VALUE!</v>
      </c>
      <c r="EU179" s="1551" t="e">
        <f aca="false">IF(EI179,IF(OCallPut,IF(CB179&gt;(CT179+CX179),CB179-(CT179+CX179),0),IF((CT179+CX179)&gt;CB179,(CT179+CX179)-CB179,0))*BI179,0)</f>
        <v>#VALUE!</v>
      </c>
      <c r="EV179" s="1551" t="e">
        <f aca="false">IF(EI179,IF(OCallPut,IF(CC179&gt;(CT179+CY179),CC179-(CT179+CY179),0),IF((CT179+CY179)&gt;CC179,(CT179+CY179)-CC179,0))*BJ179,0)</f>
        <v>#VALUE!</v>
      </c>
      <c r="EW179" s="1551" t="e">
        <f aca="false">IF(EI179,IF(OCallPut,IF(CD179&gt;(CT179+CZ179),CD179-(CT179+CZ179),0),IF((CT179+CZ179)&gt;CD179,(CT179+CZ179)-CD179,0))*BK179,0)</f>
        <v>#VALUE!</v>
      </c>
      <c r="EX179" s="1558" t="e">
        <f aca="false">IF(EI179,SUM(ET179:EW179),0)</f>
        <v>#VALUE!</v>
      </c>
      <c r="EY179" s="1551" t="e">
        <f aca="false">EO179-ET179</f>
        <v>#VALUE!</v>
      </c>
      <c r="EZ179" s="1551" t="e">
        <f aca="false">EP179-EU179</f>
        <v>#VALUE!</v>
      </c>
      <c r="FA179" s="1551" t="e">
        <f aca="false">EQ179-EV179</f>
        <v>#VALUE!</v>
      </c>
      <c r="FB179" s="1551" t="e">
        <f aca="false">ER179-EW179</f>
        <v>#VALUE!</v>
      </c>
      <c r="FC179" s="1551" t="e">
        <f aca="false">ES179-EX179</f>
        <v>#VALUE!</v>
      </c>
      <c r="FD179" s="1525" t="n">
        <f aca="false">IF(AX179,IF(VLOOKUP(C179,MAIN!$L$17:$M$28,2)="Yes",VLOOKUP(CALC!B179,MAIN!$H$17:$I$20,2),0),0)</f>
        <v>0</v>
      </c>
      <c r="FE179" s="1552" t="e">
        <f aca="false">$FD179*16*AT179*(1-$AY179)</f>
        <v>#VALUE!</v>
      </c>
      <c r="FF179" s="1553" t="e">
        <f aca="false">$FD179*16*AU179*(1-$AY179)</f>
        <v>#VALUE!</v>
      </c>
      <c r="FG179" s="1553" t="e">
        <f aca="false">$FD179*16*(AV179+AW179)*(1-$AY179)</f>
        <v>#VALUE!</v>
      </c>
      <c r="FH179" s="1554" t="n">
        <f aca="false">$FD179*8*AX179*(1-$AY179)</f>
        <v>0</v>
      </c>
      <c r="FI179" s="1555" t="n">
        <f aca="false">IF(AX179,VLOOKUP(CALC!B179,MAIN!$H$17:$K$20,4),0)</f>
        <v>0</v>
      </c>
      <c r="FJ179" s="1553" t="e">
        <f aca="false">SUM(FE179:FH179)</f>
        <v>#VALUE!</v>
      </c>
      <c r="FK179" s="1556" t="e">
        <f aca="false">FI179*FJ179</f>
        <v>#VALUE!</v>
      </c>
      <c r="FL179" s="1551" t="e">
        <f aca="false">IF($EI179&gt;0,MIN(FE179,AZ179*(1+VLOOKUP($C179,WeatherCapacityAdjustment,2))),0)</f>
        <v>#VALUE!</v>
      </c>
      <c r="FM179" s="1551" t="e">
        <f aca="false">IF($EI179&gt;0,MIN(FF179,BA179*(1+VLOOKUP($C179,WeatherCapacityAdjustment,2))),0)</f>
        <v>#VALUE!</v>
      </c>
      <c r="FN179" s="1551" t="e">
        <f aca="false">IF($EI179&gt;0,MIN(FG179,BB179*(1+VLOOKUP($C179,WeatherCapacityAdjustment,2))),0)</f>
        <v>#VALUE!</v>
      </c>
      <c r="FO179" s="1564" t="e">
        <f aca="false">IF($EI179&gt;0,MIN(FH179,BC179*(1+VLOOKUP($C179,WeatherCapacityAdjustment,3))),0)</f>
        <v>#VALUE!</v>
      </c>
      <c r="FP179" s="1551" t="e">
        <f aca="false">IF(ET179&gt;0,MIN(FE179-FL179,BH179*(1+VLOOKUP($C179,WeatherCapacityAdjustment,2))),0)</f>
        <v>#VALUE!</v>
      </c>
      <c r="FQ179" s="1551" t="e">
        <f aca="false">IF(EU179&gt;0,MIN(FF179-FM179,BI179*(1+VLOOKUP($C179,WeatherCapacityAdjustment,2))),0)</f>
        <v>#VALUE!</v>
      </c>
      <c r="FR179" s="1551" t="e">
        <f aca="false">IF(EV179&gt;0,MIN(FG179-FN179,BJ179*(1+VLOOKUP($C179,WeatherCapacityAdjustment,2))),0)</f>
        <v>#VALUE!</v>
      </c>
      <c r="FS179" s="1558" t="e">
        <f aca="false">IF(EW179&gt;0,MIN(FH179-FO179,BK179*(1+VLOOKUP($C179,WeatherCapacityAdjustment,3))),0)</f>
        <v>#VALUE!</v>
      </c>
      <c r="FT179" s="1566" t="e">
        <f aca="false">IF(AND(Assumptions!$H$71="Yes",A179&gt;=Assumptions!$H$72,A179&lt;=Assumptions!$H$73),0,IF(AND($A179&gt;=Assumptions!$C$17,$A179&lt;=Assumptions!$C$18),MAX(AZ179*(1+VLOOKUP($C179,WeatherCapacityAdjustment,2))-FL179,0),0))</f>
        <v>#VALUE!</v>
      </c>
      <c r="FU179" s="1551" t="e">
        <f aca="false">IF(AND(Assumptions!$H$71="Yes",A179&gt;=Assumptions!$H$72,A179&lt;=Assumptions!$H$73),0,IF(AND($A179&gt;=Assumptions!$C$17,$A179&lt;=Assumptions!$C$18),MAX(BA179*(1+VLOOKUP($C179,WeatherCapacityAdjustment,2))-FM179,0),0))</f>
        <v>#VALUE!</v>
      </c>
      <c r="FV179" s="1551" t="e">
        <f aca="false">IF(AND(Assumptions!$H$71="Yes",A179&gt;=Assumptions!$H$72,A179&lt;=Assumptions!$H$73),0,IF(AND($A179&gt;=Assumptions!$C$17,$A179&lt;=Assumptions!$C$18),MAX(BB179*(1+VLOOKUP($C179,WeatherCapacityAdjustment,2))-FN179,0),0))</f>
        <v>#VALUE!</v>
      </c>
      <c r="FW179" s="1564" t="e">
        <f aca="false">IF(AND(Assumptions!$H$71="Yes",A179&gt;=Assumptions!$H$72,A179&lt;=Assumptions!$H$73),0,IF(AND($A179&gt;=Assumptions!$C$17,$A179&lt;=Assumptions!$C$18),MAX(BC179*(1+VLOOKUP($C179,WeatherCapacityAdjustment,3))-FO179,0),0))</f>
        <v>#VALUE!</v>
      </c>
      <c r="FX179" s="1569" t="e">
        <f aca="false">IF(AND(Assumptions!$H$71="Yes",A179&gt;=Assumptions!$H$72,A179&lt;=Assumptions!$H$73),0,IF(ET179&gt;0,MAX(BH179*(1+VLOOKUP($C179,WeatherCapacityAdjustment,2))-FP179,0),0))</f>
        <v>#VALUE!</v>
      </c>
      <c r="FY179" s="1551" t="e">
        <f aca="false">IF(AND(Assumptions!$H$71="Yes",A179&gt;=Assumptions!$H$72,A179&lt;=Assumptions!$H$73),0,IF(EU179&gt;0,MAX(BI179*(1+VLOOKUP($C179,WeatherCapacityAdjustment,3))-FQ179,0),0))</f>
        <v>#VALUE!</v>
      </c>
      <c r="FZ179" s="1551" t="e">
        <f aca="false">IF(AND(Assumptions!$H$71="Yes",A179&gt;=Assumptions!$H$72,A179&lt;=Assumptions!$H$73),0,IF(EV179&gt;0,MAX(BJ179*(1+VLOOKUP($C179,WeatherCapacityAdjustment,2))-FR179,0),0))</f>
        <v>#VALUE!</v>
      </c>
      <c r="GA179" s="1564" t="e">
        <f aca="false">IF(AND(Assumptions!$H$71="Yes",A179&gt;=Assumptions!$H$72,A179&lt;=Assumptions!$H$73),0,IF(EW179&gt;0,MAX(BK179*(1+VLOOKUP($C179,WeatherCapacityAdjustment,2))-FS179,0),0))</f>
        <v>#VALUE!</v>
      </c>
      <c r="GB179" s="1551" t="e">
        <f aca="false">SUM(FT179:GA179)</f>
        <v>#VALUE!</v>
      </c>
      <c r="GC179" s="1563" t="e">
        <f aca="false">+IF(SUM(FT179:GA179)=0,0,(SUMPRODUCT(BU179:BX179,FT179:FW179)+SUMPRODUCT(CA179:CD179,FX179:GA179))/SUM(FT179:GA179))</f>
        <v>#VALUE!</v>
      </c>
      <c r="GD179" s="1551" t="e">
        <f aca="false">(FT179*BU179+FX179*CA179+FU179*BV179+FY179*CB179+FV179*BW179+FZ179*CC179+FW179*BX179+GA179*CD179)</f>
        <v>#VALUE!</v>
      </c>
      <c r="GE179" s="1561" t="e">
        <f aca="false">+IF(BQ179,((FL179+FM179+FT179+FU179)*HeatRatePeak/1000*(1+VLOOKUP($C179,WeatherHeatRateAdjustment,2))+(FN179+FV179)*IF(EV179&gt;0,HeatRatePeak,HeatRateOffPeak)/1000*(1+VLOOKUP($C179,WeatherHeatRateAdjustment,2))+(FO179+FW179)*IF(EW179&gt;0,HeatRatePeak,HeatRateOffPeak)/1000*(1+VLOOKUP($C179,WeatherHeatRateAdjustment,3)))*(1+VLOOKUP($B179,HeatRateDegradation,$C179+1)),0)</f>
        <v>#VALUE!</v>
      </c>
      <c r="GF179" s="1562" t="e">
        <f aca="false">IF(BQ179,((FP179+FQ179+FR179+FX179+FY179+FZ179)*HeatRatePeak/1000*(1+VLOOKUP($C179,WeatherHeatRateAdjustment,2))+(FS179+GA179)*HeatRatePeak/1000*(1+VLOOKUP($C179,WeatherHeatRateAdjustment,3)))*(1+VLOOKUP($B179,HeatRateDegradation,$C179+1)),0)</f>
        <v>#VALUE!</v>
      </c>
      <c r="GG179" s="1563" t="e">
        <f aca="false">IF(BQ179,VLOOKUP(A179,GasTable,13),0)</f>
        <v>#VALUE!</v>
      </c>
      <c r="GH179" s="1564" t="e">
        <f aca="false">(GE179+GF179)*GG179</f>
        <v>#VALUE!</v>
      </c>
      <c r="GI179" s="1569" t="e">
        <f aca="false">GB179</f>
        <v>#VALUE!</v>
      </c>
      <c r="GJ179" s="1598" t="e">
        <f aca="false">+DA179</f>
        <v>#VALUE!</v>
      </c>
      <c r="GK179" s="1558" t="e">
        <f aca="false">+GI179*GJ179</f>
        <v>#VALUE!</v>
      </c>
      <c r="GL179" s="1566" t="e">
        <f aca="false">MAX(FE179-FL179-FP179,0)</f>
        <v>#VALUE!</v>
      </c>
      <c r="GM179" s="1551" t="e">
        <f aca="false">MAX(FF179-FM179-FQ179,0)</f>
        <v>#VALUE!</v>
      </c>
      <c r="GN179" s="1551" t="e">
        <f aca="false">MAX(FG179-FN179-FR179,0)</f>
        <v>#VALUE!</v>
      </c>
      <c r="GO179" s="1564" t="e">
        <f aca="false">MAX(FH179-FO179-FS179,0)</f>
        <v>#VALUE!</v>
      </c>
      <c r="GP179" s="1551" t="e">
        <f aca="false">SUM(GL179:GO179)</f>
        <v>#VALUE!</v>
      </c>
      <c r="GQ179" s="1563" t="e">
        <f aca="false">IF(SUM(GL179:GO179)=0,0,((GL179*BU179+GM179*BV179+GN179*BW179+GO179*BX179)/SUM(GL179:GO179)))</f>
        <v>#VALUE!</v>
      </c>
      <c r="GR179" s="1558" t="e">
        <f aca="false">(GL179*BU179+GM179*BV179+GN179*BW179+GO179*BX179)</f>
        <v>#VALUE!</v>
      </c>
      <c r="GS179" s="1566" t="n">
        <f aca="false">IF($A179&gt;=BegDate,Assumptions!$C$56*24*($A180-$A179)*(1-VLOOKUP($B179,MAIN!$AA$7:$AM$28,$C179+1))*(1-VLOOKUP($B179,MAIN!$AA$33:$AM$54,$C179+1)),0)*80/168</f>
        <v>249428.571428571</v>
      </c>
      <c r="GT179" s="286" t="n">
        <f aca="false">J179</f>
        <v>56.6836434152136</v>
      </c>
      <c r="GU179" s="286" t="n">
        <f aca="false">IF($A179&gt;=BegDate,VLOOKUP($A179,GasTable,13)+Assumptions!$C$58,0)</f>
        <v>3.5485021694744</v>
      </c>
      <c r="GV179" s="286" t="n">
        <f aca="false">GU179*Assumptions!$C$57/1000</f>
        <v>25.7266407286894</v>
      </c>
      <c r="GW179" s="1558" t="n">
        <f aca="false">IF(Assumptions!$C$60="Hourly",MAX(0,GS179*(GT179-GV179)),GS179*(GT179-GV179))</f>
        <v>7721560.95581017</v>
      </c>
      <c r="GX179" s="1566" t="n">
        <f aca="false">IF($A179&gt;=BegDate,Assumptions!$C$56*24*($A180-$A179)*(1-VLOOKUP($B179,MAIN!$AA$7:$AM$28,$C179+1))*(1-VLOOKUP($B179,MAIN!$AA$33:$AM$54,$C179+1)),0)*16/168</f>
        <v>49885.7142857143</v>
      </c>
      <c r="GY179" s="286" t="n">
        <f aca="false">M179</f>
        <v>56.6836434152136</v>
      </c>
      <c r="GZ179" s="286" t="n">
        <f aca="false">IF($A179&gt;=BegDate,VLOOKUP($A179,GasTable,13)+Assumptions!$C$58,0)</f>
        <v>3.5485021694744</v>
      </c>
      <c r="HA179" s="286" t="n">
        <f aca="false">GZ179*Assumptions!$C$57/1000</f>
        <v>25.7266407286894</v>
      </c>
      <c r="HB179" s="1558" t="n">
        <f aca="false">IF(Assumptions!$C$60="Hourly",MAX(0,GX179*(GY179-HA179)),GX179*(GY179-HA179))</f>
        <v>1544312.19116203</v>
      </c>
      <c r="HC179" s="1566" t="n">
        <f aca="false">IF($A179&gt;=BegDate,Assumptions!$C$56*24*($A180-$A179)*(1-VLOOKUP($B179,MAIN!$AA$7:$AM$28,$C179+1))*(1-VLOOKUP($B179,MAIN!$AA$33:$AM$54,$C179+1)),0)*16/168</f>
        <v>49885.7142857143</v>
      </c>
      <c r="HD179" s="286" t="n">
        <f aca="false">P179</f>
        <v>31.1640186129363</v>
      </c>
      <c r="HE179" s="286" t="n">
        <f aca="false">IF($A179&gt;=BegDate,VLOOKUP($A179,GasTable,13)+Assumptions!$C$58,0)</f>
        <v>3.5485021694744</v>
      </c>
      <c r="HF179" s="286" t="n">
        <f aca="false">HE179*Assumptions!$C$57/1000</f>
        <v>25.7266407286894</v>
      </c>
      <c r="HG179" s="1558" t="n">
        <f aca="false">IF(Assumptions!$C$60="Hourly",MAX(0,HC179*(HD179-HF179)),HC179*(HD179-HF179))</f>
        <v>271247.479597003</v>
      </c>
      <c r="HH179" s="1566" t="n">
        <f aca="false">IF($A179&gt;=BegDate,Assumptions!$C$56*24*($A180-$A179)*(1-VLOOKUP($B179,MAIN!$AA$7:$AM$28,$C179+1))*(1-VLOOKUP($B179,MAIN!$AA$33:$AM$54,$C179+1)),0)*56/168</f>
        <v>174600</v>
      </c>
      <c r="HI179" s="286" t="n">
        <f aca="false">S179</f>
        <v>31.1640186129363</v>
      </c>
      <c r="HJ179" s="286" t="n">
        <f aca="false">IF($A179&gt;=BegDate,VLOOKUP($A179,GasTable,13)+Assumptions!$C$58,0)</f>
        <v>3.5485021694744</v>
      </c>
      <c r="HK179" s="286" t="n">
        <f aca="false">HJ179*Assumptions!$C$57/1000</f>
        <v>25.7266407286894</v>
      </c>
      <c r="HL179" s="1558" t="n">
        <f aca="false">IF(Assumptions!$C$60="Hourly",MAX(0,HH179*(HI179-HK179)),HH179*(HI179-HK179))</f>
        <v>949366.178589511</v>
      </c>
      <c r="HM179" s="1566" t="n">
        <f aca="false">IF(AND(Assumptions!$H$71="Yes",A179&gt;=Assumptions!$H$72,A179&lt;=Assumptions!$H$73),Assumptions!$H$74*Assumptions!$C$9*1000,0)</f>
        <v>0</v>
      </c>
      <c r="HN179" s="1551"/>
      <c r="HO179" s="1563"/>
      <c r="HP179" s="1563"/>
      <c r="HQ179" s="1563"/>
      <c r="HR179" s="1563"/>
      <c r="HS179" s="1563"/>
      <c r="HT179" s="1563"/>
      <c r="HU179" s="1563"/>
      <c r="HV179" s="1563"/>
      <c r="HW179" s="1563"/>
      <c r="HX179" s="1563"/>
      <c r="HY179" s="1563"/>
      <c r="HZ179" s="1563"/>
      <c r="IA179" s="1563"/>
      <c r="IB179" s="1563"/>
      <c r="IC179" s="1563"/>
      <c r="ID179" s="1563"/>
      <c r="IE179" s="1563"/>
      <c r="IF179" s="1563"/>
      <c r="IG179" s="1563"/>
      <c r="IH179" s="1563"/>
      <c r="II179" s="1610"/>
      <c r="IJ179" s="1309"/>
      <c r="IK179" s="1309"/>
    </row>
    <row r="180" customFormat="false" ht="12.75" hidden="false" customHeight="false" outlineLevel="0" collapsed="false">
      <c r="A180" s="1571" t="n">
        <f aca="false">EOMONTH(A179,0)+1</f>
        <v>41609</v>
      </c>
      <c r="B180" s="594" t="n">
        <f aca="false">+YEAR(A180)</f>
        <v>2013</v>
      </c>
      <c r="C180" s="238" t="n">
        <f aca="false">MONTH(A180)</f>
        <v>12</v>
      </c>
      <c r="D180" s="1572" t="e">
        <f aca="false">IF(E180="","",Holiday(B180,C180))</f>
        <v>#VALUE!</v>
      </c>
      <c r="E180" s="1573" t="n">
        <f aca="false">IF(OR(BegDate&gt;=A181,EndDate&lt;A180,AND(VolumeMonthlyOverFlag,INDEX(VolumeMonthlyOver,C180)=0),NOT(INDEX(MonthKnockOutTable,C180))),"",MAX(A180,BegDate))</f>
        <v>41609</v>
      </c>
      <c r="F180" s="1574" t="n">
        <f aca="false">IF(E180="","",MIN(A181-1,EndDate))</f>
        <v>41639</v>
      </c>
      <c r="G180" s="1575" t="n">
        <v>0</v>
      </c>
      <c r="H180" s="1576" t="n">
        <f aca="false">(1+G180/2)^(-2*(DATE(B181,C181,20)-DateToday)/365.25)</f>
        <v>1</v>
      </c>
      <c r="I180" s="1568" t="n">
        <f aca="false">IF(Assumptions!$L$25=4,VLOOKUP($A180,'Henwood Reference'!$E$9:$R$320,10),(VLOOKUP($A180,PriceTable,2,0)+IF(BasisNumber&lt;&gt;1,VLOOKUP($A180,BasisTable,2,0),0)+I$1)/(1-I$2))</f>
        <v>53.7778148412252</v>
      </c>
      <c r="J180" s="1568" t="n">
        <f aca="false">IF(Assumptions!$L$25=4,VLOOKUP($A180,'Henwood Reference'!$E$9:$R$320,10),(VLOOKUP($A180,PriceTable,3,0)+IF(BasisNumber&lt;&gt;1,VLOOKUP($A180,BasisTable,2,0),0)+J$1)/(1-J$2))</f>
        <v>53.7778148412252</v>
      </c>
      <c r="K180" s="1568" t="n">
        <f aca="false">IF(Assumptions!$L$25=4,VLOOKUP($A180,'Henwood Reference'!$E$9:$R$320,10),(VLOOKUP($A180,PriceTable,4,0)+IF(BasisNumber&lt;&gt;1,VLOOKUP($A180,BasisTable,2,0),0)+K$1)/(1-K$2))</f>
        <v>53.7778148412252</v>
      </c>
      <c r="L180" s="1523" t="n">
        <f aca="false">IF(Assumptions!$L$25=4,VLOOKUP($A180,'Henwood Reference'!$E$9:$R$320,10),(VLOOKUP($A180,PriceTableWeekend,2,0)+IF(BasisNumber&lt;&gt;1,VLOOKUP($A180,BasisTable,2,0),0)+L$1)/(1-L$2))</f>
        <v>53.7778148412252</v>
      </c>
      <c r="M180" s="1568" t="n">
        <f aca="false">IF(Assumptions!$L$25=4,VLOOKUP($A180,'Henwood Reference'!$E$9:$R$320,10),(VLOOKUP($A180,PriceTableWeekend,3,0)+IF(BasisNumber&lt;&gt;1,VLOOKUP($A180,BasisTable,2,0),0)+M$1)/(1-M$2))</f>
        <v>53.7778148412252</v>
      </c>
      <c r="N180" s="1599" t="n">
        <f aca="false">IF(Assumptions!$L$25=4,VLOOKUP($A180,'Henwood Reference'!$E$9:$R$320,10),(VLOOKUP($A180,PriceTableWeekend,4,0)+IF(BasisNumber&lt;&gt;1,VLOOKUP($A180,BasisTable,2,0),0)+N$1)/(1-N$2))</f>
        <v>53.7778148412252</v>
      </c>
      <c r="O180" s="1568" t="n">
        <f aca="false">IF(Assumptions!$L$25=4,VLOOKUP($A180,'Henwood Reference'!$E$9:$R$320,11),(VLOOKUP($A180,PriceTableWeekend,6,0)+IF(BasisNumber&lt;&gt;1,VLOOKUP($A180,BasisTable,3,0),0)+O$1)/(1-O$2))</f>
        <v>31.9814486427201</v>
      </c>
      <c r="P180" s="1568" t="n">
        <f aca="false">IF(Assumptions!$L$25=4,VLOOKUP($A180,'Henwood Reference'!$E$9:$R$320,11),(VLOOKUP($A180,PriceTableWeekend,7,0)+IF(BasisNumber&lt;&gt;1,VLOOKUP($A180,BasisTable,3,0),0)+P$1)/(1-P$2))</f>
        <v>31.9814486427201</v>
      </c>
      <c r="Q180" s="1599" t="n">
        <f aca="false">IF(Assumptions!$L$25=4,VLOOKUP($A180,'Henwood Reference'!$E$9:$R$320,11),(VLOOKUP($A180,PriceTableWeekend,8,0)+IF(BasisNumber&lt;&gt;1,VLOOKUP($A180,BasisTable,3,0),0)+Q$1)/(1-Q$2))</f>
        <v>31.9814486427201</v>
      </c>
      <c r="R180" s="1568" t="n">
        <f aca="false">IF(Assumptions!$L$25=4,VLOOKUP($A180,'Henwood Reference'!$E$9:$R$320,11),(VLOOKUP($A180,PriceTable,6,0)+IF(BasisNumber&lt;&gt;1,VLOOKUP($A180,BasisTable,3,0),0)+R$1)/(1-R$2))</f>
        <v>31.9814486427201</v>
      </c>
      <c r="S180" s="1568" t="n">
        <f aca="false">IF(Assumptions!$L$25=4,VLOOKUP($A180,'Henwood Reference'!$E$9:$R$320,11),(VLOOKUP($A180,PriceTable,7,0)+IF(BasisNumber&lt;&gt;1,VLOOKUP($A180,BasisTable,3,0),0)+S$1)/(1-S$2))</f>
        <v>31.9814486427201</v>
      </c>
      <c r="T180" s="1600" t="n">
        <f aca="false">IF(Assumptions!$L$25=4,VLOOKUP($A180,'Henwood Reference'!$E$9:$R$320,11),(VLOOKUP($A180,PriceTable,8,0)+IF(BasisNumber&lt;&gt;1,VLOOKUP($A180,BasisTable,3,0),0)+T$1)/(1-T$2))</f>
        <v>31.9814486427201</v>
      </c>
      <c r="U180" s="1513" t="n">
        <f aca="false">VLOOKUP($A180,VolatilityTable,14)</f>
        <v>0.105</v>
      </c>
      <c r="V180" s="1513" t="n">
        <f aca="false">VLOOKUP($A180,VolatilityTable,15)</f>
        <v>0.115</v>
      </c>
      <c r="W180" s="1514" t="n">
        <f aca="false">VLOOKUP($A180,VolatilityTable,16)</f>
        <v>0.125</v>
      </c>
      <c r="X180" s="1513" t="n">
        <f aca="false">VLOOKUP($A180,VolatilityTable,14)</f>
        <v>0.105</v>
      </c>
      <c r="Y180" s="1513" t="n">
        <f aca="false">VLOOKUP($A180,VolatilityTable,15)</f>
        <v>0.115</v>
      </c>
      <c r="Z180" s="1514" t="n">
        <f aca="false">VLOOKUP($A180,VolatilityTable,16)</f>
        <v>0.125</v>
      </c>
      <c r="AA180" s="1513" t="n">
        <f aca="false">VLOOKUP($A180,VolatilityTable,18)</f>
        <v>0.09</v>
      </c>
      <c r="AB180" s="1513" t="n">
        <f aca="false">VLOOKUP($A180,VolatilityTable,19)</f>
        <v>0.11</v>
      </c>
      <c r="AC180" s="1514" t="n">
        <f aca="false">VLOOKUP($A180,VolatilityTable,20)</f>
        <v>0.13</v>
      </c>
      <c r="AD180" s="1513" t="n">
        <f aca="false">VLOOKUP($A180,VolatilityTable,18)</f>
        <v>0.09</v>
      </c>
      <c r="AE180" s="1513" t="n">
        <f aca="false">VLOOKUP($A180,VolatilityTable,19)</f>
        <v>0.11</v>
      </c>
      <c r="AF180" s="1514" t="n">
        <f aca="false">VLOOKUP($A180,VolatilityTable,20)</f>
        <v>0.13</v>
      </c>
      <c r="AG180" s="1513" t="n">
        <f aca="false">VLOOKUP($A180,VolatilityTable,22)</f>
        <v>-0.25</v>
      </c>
      <c r="AH180" s="1513" t="n">
        <f aca="false">VLOOKUP($A180,VolatilityTable,23)</f>
        <v>0.6</v>
      </c>
      <c r="AI180" s="1514" t="n">
        <f aca="false">VLOOKUP($A180,VolatilityTable,24)</f>
        <v>0.25</v>
      </c>
      <c r="AJ180" s="1513" t="n">
        <f aca="false">VLOOKUP($A180,VolatilityTable,22)</f>
        <v>-0.25</v>
      </c>
      <c r="AK180" s="1513" t="n">
        <f aca="false">VLOOKUP($A180,VolatilityTable,23)</f>
        <v>0.6</v>
      </c>
      <c r="AL180" s="1514" t="n">
        <f aca="false">VLOOKUP($A180,VolatilityTable,24)</f>
        <v>0.25</v>
      </c>
      <c r="AM180" s="1513" t="n">
        <f aca="false">VLOOKUP($A180,VolatilityTable,26)</f>
        <v>-0.01</v>
      </c>
      <c r="AN180" s="1513" t="n">
        <f aca="false">VLOOKUP($A180,VolatilityTable,27)</f>
        <v>0.16</v>
      </c>
      <c r="AO180" s="1514" t="n">
        <f aca="false">VLOOKUP($A180,VolatilityTable,28)</f>
        <v>0.01</v>
      </c>
      <c r="AP180" s="1513" t="n">
        <f aca="false">VLOOKUP($A180,VolatilityTable,26)</f>
        <v>-0.01</v>
      </c>
      <c r="AQ180" s="1513" t="n">
        <f aca="false">VLOOKUP($A180,VolatilityTable,27)</f>
        <v>0.16</v>
      </c>
      <c r="AR180" s="1515" t="n">
        <f aca="false">VLOOKUP($A180,VolatilityTable,28)</f>
        <v>0.01</v>
      </c>
      <c r="AS180" s="1581" t="n">
        <f aca="false">IF(CorrPeakOffPeakOverFlag,INDEX(CorrPeakOffPeakOver,C180),CorrPeakOffPeak)</f>
        <v>0.5</v>
      </c>
      <c r="AT180" s="594" t="e">
        <f aca="false">AX180-SUM(AU180:AW180)</f>
        <v>#VALUE!</v>
      </c>
      <c r="AU180" s="238" t="e">
        <f aca="false">IF(E180="",0,INT((F180-MOD(F180,7)-E180)/7)+1-IF(AW180,IF(WEEKDAY(D180)=7,1,0),0))</f>
        <v>#VALUE!</v>
      </c>
      <c r="AV180" s="238" t="e">
        <f aca="false">IF(E180="",0,INT((F180-MOD(F180-1,7)-E180)/7)+1-IF(AW180,IF(WEEKDAY(D180)=1,1,0),0))</f>
        <v>#VALUE!</v>
      </c>
      <c r="AW180" s="238" t="e">
        <f aca="false">IF(OR(E180="",D180="",D180&lt;BegDate,D180&gt;EndDate),0,1)</f>
        <v>#VALUE!</v>
      </c>
      <c r="AX180" s="238" t="n">
        <f aca="false">IF(E180="",0,F180-E180+1)</f>
        <v>31</v>
      </c>
      <c r="AY180" s="1582" t="n">
        <f aca="false">IF(E180="",0,MIN((1-(1-VLOOKUP(B180,MAIN!$AA$7:$AM$28,C180+1))*(1-VLOOKUP(B180,MAIN!$AA$33:$AM$54,C180+1))),1))</f>
        <v>0.03</v>
      </c>
      <c r="AZ180" s="1519" t="e">
        <v>#VALUE!</v>
      </c>
      <c r="BA180" s="1520" t="e">
        <v>#VALUE!</v>
      </c>
      <c r="BB180" s="1520" t="e">
        <v>#VALUE!</v>
      </c>
      <c r="BC180" s="1583" t="e">
        <v>#VALUE!</v>
      </c>
      <c r="BD180" s="1522" t="e">
        <v>#VALUE!</v>
      </c>
      <c r="BE180" s="1523" t="e">
        <v>#VALUE!</v>
      </c>
      <c r="BF180" s="1523" t="e">
        <v>#VALUE!</v>
      </c>
      <c r="BG180" s="1584" t="e">
        <v>#VALUE!</v>
      </c>
      <c r="BH180" s="1525" t="e">
        <v>#VALUE!</v>
      </c>
      <c r="BI180" s="1520" t="e">
        <v>#VALUE!</v>
      </c>
      <c r="BJ180" s="1520" t="e">
        <v>#VALUE!</v>
      </c>
      <c r="BK180" s="1583" t="e">
        <v>#VALUE!</v>
      </c>
      <c r="BL180" s="1522" t="e">
        <v>#VALUE!</v>
      </c>
      <c r="BM180" s="1523" t="e">
        <v>#VALUE!</v>
      </c>
      <c r="BN180" s="1523" t="e">
        <v>#VALUE!</v>
      </c>
      <c r="BO180" s="1523" t="e">
        <v>#VALUE!</v>
      </c>
      <c r="BP180" s="1525" t="e">
        <f aca="false">SUM(AZ180:BB180)</f>
        <v>#VALUE!</v>
      </c>
      <c r="BQ180" s="1529" t="e">
        <f aca="false">SUM(AZ180:BC180)</f>
        <v>#VALUE!</v>
      </c>
      <c r="BR180" s="1519" t="e">
        <f aca="false">SUM(BH180:BJ180)</f>
        <v>#VALUE!</v>
      </c>
      <c r="BS180" s="1529" t="e">
        <f aca="false">SUM(BH180:BK180)</f>
        <v>#VALUE!</v>
      </c>
      <c r="BT180" s="1316" t="n">
        <f aca="false">(IF(OVolType&lt;&gt;2,A180+14,IF(OptExpDateShift,ShiftBack(A180,OptExpDateShift,D179),A180))-DateToday)/365.25</f>
        <v>13.6317590691307</v>
      </c>
      <c r="BU180" s="1585" t="e">
        <f aca="false">IF(BQ180,IF(OPriceCurve,IF(OBuySell=OCallPut,I180/(1-AY180),K180/(1-AY180)),J180/(1-AY180))*BD180,0)</f>
        <v>#VALUE!</v>
      </c>
      <c r="BV180" s="1316" t="e">
        <f aca="false">IF(BQ180,IF(OPriceCurve,IF(OBuySell=OCallPut,L180/(1-AY180),N180/(1-AY180)),M180/(1-AY180))*BE180,0)</f>
        <v>#VALUE!</v>
      </c>
      <c r="BW180" s="1316" t="e">
        <f aca="false">IF(BQ180,IF(OPriceCurve,IF(OBuySell=OCallPut,O180/(1-AY180),Q180/(1-AY180)),P180/(1-AY180))*BF180,0)</f>
        <v>#VALUE!</v>
      </c>
      <c r="BX180" s="1316" t="e">
        <f aca="false">IF(BQ180,IF(OPriceCurve,IF(OBuySell=OCallPut,R180/(1-AY180),T180/(1-AY180)),S180/(1-AY180))*BG180,0)</f>
        <v>#VALUE!</v>
      </c>
      <c r="BY180" s="1316" t="e">
        <f aca="false">IF(BP180,(BU180*AZ180+BV180*BA180+BW180*BB180)/BP180,0)</f>
        <v>#VALUE!</v>
      </c>
      <c r="BZ180" s="1316" t="e">
        <f aca="false">IF(BQ180,(BY180*BP180+BX180*BC180)/BQ180,0)</f>
        <v>#VALUE!</v>
      </c>
      <c r="CA180" s="1531" t="e">
        <f aca="false">IF(BS180,IF(OPriceCurve,IF(OBuySell=OCallPut,I180/(1-AY180),K180/(1-AY180)),J180/(1-AY180))*BL180,0)</f>
        <v>#VALUE!</v>
      </c>
      <c r="CB180" s="1316" t="e">
        <f aca="false">IF(BS180,IF(OPriceCurve,IF(OBuySell=OCallPut,L180/(1-AY180),N180/(1-AY180)),M180/(1-AY180))*BM180,0)</f>
        <v>#VALUE!</v>
      </c>
      <c r="CC180" s="1316" t="e">
        <f aca="false">IF(BS180,IF(OPriceCurve,IF(OBuySell=OCallPut,O180/(1-AY180),Q180/(1-AY180)),P180/(1-AY180))*BN180,0)</f>
        <v>#VALUE!</v>
      </c>
      <c r="CD180" s="1316" t="e">
        <f aca="false">IF(BS180,IF(OPriceCurve,IF(OBuySell=OCallPut,R180/(1-AY180),T180/(1-AY180)),S180/(1-AY180))*BO180,0)</f>
        <v>#VALUE!</v>
      </c>
      <c r="CE180" s="1316" t="e">
        <f aca="false">IF(BR180,(BU180*BH180+BV180*BI180+BW180*BJ180)/BR180,0)</f>
        <v>#VALUE!</v>
      </c>
      <c r="CF180" s="1532" t="e">
        <f aca="false">IF(BS180,(CE180*BR180+CD180*BK180)/BS180,0)</f>
        <v>#VALUE!</v>
      </c>
      <c r="CG180" s="1586" t="e">
        <f aca="false">IF(OR(BQ180,BS180),IF(OVolType&lt;&gt;2,SQRT(IF(OVolOverMonthlyPeak,OVolOverMonthlyPeak,IF(OVolCurve,IF(OBuySell,U180,W180),V180))^2*(1-15/365.25/BT180)+IF(OVolOverDailyPeak,OVolOverDailyPeak,IF(OVolCurve,IF(OBuySell,AG180,AI180),AH180))^2*15/365.25/BT180),IF(OVolOverMonthlyPeak,OVolOverMonthlyPeak,IF(OVolCurve,IF(OBuySell,U180,W180),V180))),"")</f>
        <v>#VALUE!</v>
      </c>
      <c r="CH180" s="1587" t="e">
        <f aca="false">IF(OR(BQ180,BS180),IF(OVolType&lt;&gt;2,SQRT(IF(OVolOverMonthlyPeak,OVolOverMonthlyPeak,IF(OVolCurve,IF(OBuySell,X180,Z180),Y180))^2*(1-15/365.25/BT180)+IF(OVolOverDailyPeak,OVolOverDailyPeak,IF(OVolCurve,IF(OBuySell,AJ180,AL180),AK180))^2*15/365.25/BT180),IF(OVolOverMonthlyPeak,OVolOverMonthlyPeak,IF(OVolCurve,IF(OBuySell,X180,Z180),Y180))),"")</f>
        <v>#VALUE!</v>
      </c>
      <c r="CI180" s="1587" t="e">
        <f aca="false">IF(OR(BQ180,BS180),IF(OVolType&lt;&gt;2,SQRT(IF(OVolOverMonthlyPeak,OVolOverMonthlyPeak,IF(OVolCurve,IF(OBuySell,AA180,AC180),AB180))^2*(1-15/365.25/BT180)+IF(OVolOverDailyPeak,OVolOverDailyPeak,IF(OVolCurve,IF(OBuySell,AM180,AO180),AN180))^2*15/365.25/BT180),IF(OVolOverMonthlyPeak,OVolOverMonthlyPeak,IF(OVolCurve,IF(OBuySell,AA180,AC180),AB180))),"")</f>
        <v>#VALUE!</v>
      </c>
      <c r="CJ180" s="1587" t="e">
        <f aca="false">IF(BQ180,IF(BP180,SQRT(LN(1+((BU180*AZ180)^2*(EXP(CG180^2*BT180)-1)+(BV180*BA180)^2*(EXP(CH180^2*BT180)-1)+(BW180*BB180)^2*(EXP(CI180^2*BT180)-1)+2*BU180*AZ180*BV180*BA180*(EXP(CG180*CH180*BT180)-1)+2*BV180*BA180*BW180*BB180*(EXP(CH180*CI180*BT180)-1)+2*BW180*BB180*BU180*AZ180*(EXP(CI180*CG180*BT180)-1))/(BY180*BP180)^2)/BT180),0),"")</f>
        <v>#VALUE!</v>
      </c>
      <c r="CK180" s="1587" t="e">
        <f aca="false">IF(BS180,IF(BR180,SQRT(LN(1+((CA180*BH180)^2*(EXP(CG180^2*BT180)-1)+(CB180*BI180)^2*(EXP(CH180^2*BT180)-1)+(CC180*BJ180)^2*(EXP(CI180^2*BT180)-1)+2*CA180*BH180*CB180*BI180*(EXP(CG180*CH180*BT180)-1)+2*CB180*BI180*CC180*BJ180*(EXP(CH180*CI180*BT180)-1)+2*CC180*BJ180*CA180*BH180*(EXP(CI180*CG180*BT180)-1))/(CE180*BR180)^2)/BT180),0),"")</f>
        <v>#VALUE!</v>
      </c>
      <c r="CL180" s="1587" t="e">
        <f aca="false">IF(OR(BQ180,BS180),IF(OVolType&lt;&gt;2,SQRT(IF(OVolOverMonthlyOffPeak,OVolOverMonthlyOffPeak,IF(OVolCurve,IF(OBuySell,AD180,AF180),AE180))^2*(1-15/365.25/BT180)+IF(OVolOverDailyOffPeak,OVolOverDailyOffPeak,IF(OVolCurve,IF(OBuySell,AP180,AR180),AQ180))^2*15/365.25/BT180),IF(OVolOverMonthlyOffPeak,OVolOverMonthlyOffPeak,IF(OVolCurve,IF(OBuySell,AD180,AF180),AE180))),"")</f>
        <v>#VALUE!</v>
      </c>
      <c r="CM180" s="1587" t="e">
        <f aca="false">IF(BQ180,SQRT(LN(1+((BY180*BP180)^2*(EXP(CJ180^2*BT180)-1)+(BX180*BC180)^2*(EXP(CL180^2*BT180)-1)+2*BY180*BP180*BX180*BC180*(EXP(AS180*CJ180*CL180*BT180)-1))/(BY180*BP180+BX180*BC180)^2)/BT180),"")</f>
        <v>#VALUE!</v>
      </c>
      <c r="CN180" s="1588" t="e">
        <f aca="false">IF(BS180,SQRT(LN(1+((CE180*BR180)^2*(EXP(CK180^2*BT180)-1)+(CD180*BK180)^2*(EXP(CL180^2*BT180)-1)+2*CE180*BR180*CD180*BK180*(EXP(AS180*CK180*CL180*BT180)-1))/(CE180*BR180+CD180*BK180)^2)/BT180),"")</f>
        <v>#VALUE!</v>
      </c>
      <c r="CO180" s="1531" t="e">
        <f aca="false">IF(OR(BQ180,BS180),VLOOKUP(A180,GasTable,13)*HeatRatePeak*(1+VLOOKUP($B180,HeatRateDegradation,$C180+1))/1000,0)</f>
        <v>#VALUE!</v>
      </c>
      <c r="CP180" s="1316" t="e">
        <f aca="false">IF(OR(BQ180,BS180),VLOOKUP(A180,GasTable,13)*HeatRatePeak*(1+VLOOKUP($B180,HeatRateDegradation,$C180+1))/1000,0)</f>
        <v>#VALUE!</v>
      </c>
      <c r="CQ180" s="1316" t="e">
        <f aca="false">IF(OR(BQ180,BS180),VLOOKUP(A180,GasTable,13)*IF(EV180,HeatRatePeak,HeatRateOffPeak)*(1+VLOOKUP($B180,HeatRateDegradation,$C180+1))/1000,0)</f>
        <v>#VALUE!</v>
      </c>
      <c r="CR180" s="1316" t="e">
        <f aca="false">IF(OR(BQ180,BS180),VLOOKUP(A180,GasTable,13)*IF(EW180,HeatRatePeak,HeatRateOffPeak)*(1+VLOOKUP($B180,HeatRateDegradation,$C180+1))/1000,0)</f>
        <v>#VALUE!</v>
      </c>
      <c r="CS180" s="1589" t="e">
        <f aca="false">IF(BQ180,(CO180*AZ180+CP180*BA180+CQ180*BB180+CR180*BC180)/BQ180,0)</f>
        <v>#VALUE!</v>
      </c>
      <c r="CT180" s="1316" t="e">
        <f aca="false">IF(BS180,CO180,0)</f>
        <v>#VALUE!</v>
      </c>
      <c r="CU180" s="1590" t="e">
        <f aca="false">IF(OR(BQ180,BS180),VLOOKUP(A180,GasTable,14),"")</f>
        <v>#VALUE!</v>
      </c>
      <c r="CV180" s="1568" t="e">
        <f aca="false">IF(OR(BQ180,BS180),IF(CorrPowerGasOverFlag,INDEX(CorrPowerGasOver,C180),CorrPowerGas),"")</f>
        <v>#VALUE!</v>
      </c>
      <c r="CW180" s="1316" t="e">
        <f aca="false">IF(OR($BQ180,$BS180),SpreadOptPowerMargin,0)*((1+Assumptions!$C$26)^($B180-YEAR(Assumptions!$C$17)))</f>
        <v>#VALUE!</v>
      </c>
      <c r="CX180" s="1316" t="e">
        <f aca="false">IF(OR($BQ180,$BS180),SpreadOptPowerMargin,0)*((1+Assumptions!$C$26)^($B180-YEAR(Assumptions!$C$17)))</f>
        <v>#VALUE!</v>
      </c>
      <c r="CY180" s="1316" t="e">
        <f aca="false">IF(OR($BQ180,$BS180),SpreadOptPowerMargin,0)*((1+Assumptions!$C$26)^($B180-YEAR(Assumptions!$C$17)))</f>
        <v>#VALUE!</v>
      </c>
      <c r="CZ180" s="1316" t="e">
        <f aca="false">IF(OR($BQ180,$BS180),SpreadOptPowerMargin,0)*((1+Assumptions!$C$26)^($B180-YEAR(Assumptions!$C$17)))</f>
        <v>#VALUE!</v>
      </c>
      <c r="DA180" s="1591" t="e">
        <f aca="false">IF(OR(BQ180,BS180),(CW180*(AZ180+BH180)+CX180*(BA180+BI180)+CY180*(BB180+BJ180)+CZ180*(BC180+BK180))/(BQ180+BS180),0)</f>
        <v>#VALUE!</v>
      </c>
      <c r="DB180" s="1592" t="e">
        <f aca="false">IF(OR(BQ180,BS180),CG180+IF(OVolSmile,VLOOKUP(MAX(-5,CO180+CW180-BU180),IF(OVolSmile=1,VolSmileBook,VolSmileModel),2),0),"")</f>
        <v>#VALUE!</v>
      </c>
      <c r="DC180" s="1592" t="e">
        <f aca="false">IF(OR(BQ180,BS180),CH180+IF(OVolSmile,VLOOKUP(MAX(-5,CP180+CW180-BV180),IF(OVolSmile=1,VolSmileBook,VolSmileModel),2),0),"")</f>
        <v>#VALUE!</v>
      </c>
      <c r="DD180" s="1592" t="e">
        <f aca="false">IF(OR(BQ180,BS180),CI180+IF(OVolSmile,VLOOKUP(MAX(-5,CQ180+CW180-BW180),IF(OVolSmile=1,VolSmileBook,VolSmileModel),2),0),"")</f>
        <v>#VALUE!</v>
      </c>
      <c r="DE180" s="1592" t="e">
        <f aca="false">IF(OR(BQ180,BS180),CL180+IF(OVolSmile,VLOOKUP(MAX(-5,CR180+CZ180-BX180),IF(OVolSmile=1,VolSmileBook,VolSmileModel),2),0),"")</f>
        <v>#VALUE!</v>
      </c>
      <c r="DF180" s="1592" t="e">
        <f aca="false">IF(BQ180,CM180+IF(OVolSmile,VLOOKUP(MAX(-5,CS180+DA180-BZ180),IF(OVolSmile=1,VolSmileBook,VolSmileModel),2),0),"")</f>
        <v>#VALUE!</v>
      </c>
      <c r="DG180" s="1593" t="e">
        <f aca="false">IF(BS180,CN180+IF(OVolSmile,VLOOKUP(MAX(-5,CT180+DA180-CF180),IF(OVolSmile=1,VolSmileBook,VolSmileModel),2),0),"")</f>
        <v>#VALUE!</v>
      </c>
      <c r="DH180" s="1316" t="e">
        <f aca="false">IF(AND(BU180&gt;0,CO180&gt;0,DB180&gt;0,CU180&gt;0),newSPRDOPT(BU180,CO180,CW180,0,DB180,CU180,CV180,BT180*365.25,OCallPut,0),0)</f>
        <v>#VALUE!</v>
      </c>
      <c r="DI180" s="1316" t="e">
        <f aca="false">IF(AND(BV180&gt;0,CP180&gt;0,DC180&gt;0,CU180&gt;0),newSPRDOPT(BV180,CP180,CX180,0,DC180,CU180,CV180,BT180*365.25,OCallPut,0),0)</f>
        <v>#VALUE!</v>
      </c>
      <c r="DJ180" s="1316" t="e">
        <f aca="false">IF(AND(BW180&gt;0,CQ180&gt;0,DD180&gt;0,CU180&gt;0),newSPRDOPT(BW180,CQ180,CY180,0,DD180,CU180,CV180,BT180*365.25,OCallPut,0),0)</f>
        <v>#VALUE!</v>
      </c>
      <c r="DK180" s="1316" t="e">
        <f aca="false">IF(AND(BX180&gt;0,CR180&gt;0,DE180&gt;0,CU180&gt;0),newSPRDOPT(BX180,CR180,CZ180,0,DE180,CU180,CV180,BT180*365.25,OCallPut,0),0)</f>
        <v>#VALUE!</v>
      </c>
      <c r="DL180" s="1316" t="e">
        <f aca="false">IF(OVolType,IF(AND(BZ180&gt;0,CS180&gt;0,DF180&gt;0,CU180&gt;0),newSPRDOPT(BZ180,CS180,DA180,0,DF180,CU180,CV180,BT180*365.25,OCallPut,0),0),IF(BQ180,(DH180*AZ180+DI180*BA180+DJ180*BB180+DK180*BC180)/BQ180,0))</f>
        <v>#VALUE!</v>
      </c>
      <c r="DM180" s="1316"/>
      <c r="DN180" s="1316"/>
      <c r="DO180" s="1316"/>
      <c r="DP180" s="1316"/>
      <c r="DQ180" s="1316"/>
      <c r="DR180" s="1316"/>
      <c r="DS180" s="1316"/>
      <c r="DT180" s="1316"/>
      <c r="DU180" s="1316"/>
      <c r="DV180" s="1316"/>
      <c r="DW180" s="1594" t="e">
        <f aca="false">IF(AND(BW180&gt;0,CT180&gt;0,DD180&gt;0,CU180&gt;0),newSPRDOPT(BW180,CT180,CY180,0,DD180,CU180,CV180,BT180*365.25,OCallPut,0),0)</f>
        <v>#VALUE!</v>
      </c>
      <c r="DX180" s="1316" t="e">
        <f aca="false">IF(AND(BX180&gt;0,CT180&gt;0,DE180&gt;0,CU180&gt;0),newSPRDOPT(BX180,CT180,CZ180,0,DE180,CU180,CV180,BT180*365.25,OCallPut,0),0)</f>
        <v>#VALUE!</v>
      </c>
      <c r="DY180" s="1591" t="e">
        <f aca="false">IF(BS180,(DH180*BH180+DI180*BI180+DW180*BJ180+DX180*BK180)/BS180,0)</f>
        <v>#VALUE!</v>
      </c>
      <c r="DZ180" s="1551" t="e">
        <f aca="false">DH180*AZ180</f>
        <v>#VALUE!</v>
      </c>
      <c r="EA180" s="1551" t="e">
        <f aca="false">DI180*BA180</f>
        <v>#VALUE!</v>
      </c>
      <c r="EB180" s="1551" t="e">
        <f aca="false">DJ180*BB180</f>
        <v>#VALUE!</v>
      </c>
      <c r="EC180" s="1551" t="e">
        <f aca="false">DK180*BC180</f>
        <v>#VALUE!</v>
      </c>
      <c r="ED180" s="1551" t="e">
        <f aca="false">DL180*BQ180</f>
        <v>#VALUE!</v>
      </c>
      <c r="EE180" s="1595" t="e">
        <f aca="false">IF(BQ180,IF(OCallPut,IF(BU180&gt;(CO180+CW180),BU180-(CO180+CW180),0),IF((CO180+CW180)&gt;BU180,(CO180+CW180)-BU180,0))*AZ180,0)</f>
        <v>#VALUE!</v>
      </c>
      <c r="EF180" s="1596" t="e">
        <f aca="false">IF(BQ180,IF(OCallPut,IF(BV180&gt;(CP180+CX180),BV180-(CP180+CX180),0),IF((CP180+CX180)&gt;BV180,(CP180+CX180)-BV180,0))*BA180,0)</f>
        <v>#VALUE!</v>
      </c>
      <c r="EG180" s="1596" t="e">
        <f aca="false">IF(BQ180,IF(OCallPut,IF(BW180&gt;(CQ180+CY180),BW180-(CQ180+CY180),0),IF((CQ180+CY180)&gt;BW180,(CQ180+CY180)-BW180,0))*BB180,0)</f>
        <v>#VALUE!</v>
      </c>
      <c r="EH180" s="1596" t="e">
        <f aca="false">IF(BQ180,IF(OCallPut,IF(BX180&gt;(CR180+CZ180),BX180-(CR180+CZ180),0),IF((CR180+CZ180)&gt;BX180,(CR180+CZ180)-BX180,0))*BC180,0)</f>
        <v>#VALUE!</v>
      </c>
      <c r="EI180" s="1597" t="e">
        <f aca="false">IF(BQ180,IF(OVolType,IF(OCallPut,IF(BZ180&gt;(CS180+DA180),BZ180-(CS180+DA180),0),IF((CS180+DA180)&gt;BZ180,(CS180+DA180)-BZ180,0))*BQ180,SUM(EE180:EH180)),0)</f>
        <v>#VALUE!</v>
      </c>
      <c r="EJ180" s="1595" t="e">
        <f aca="false">DZ180-EE180</f>
        <v>#VALUE!</v>
      </c>
      <c r="EK180" s="1596" t="e">
        <f aca="false">EA180-EF180</f>
        <v>#VALUE!</v>
      </c>
      <c r="EL180" s="1596" t="e">
        <f aca="false">EB180-EG180</f>
        <v>#VALUE!</v>
      </c>
      <c r="EM180" s="1596" t="e">
        <f aca="false">EC180-EH180</f>
        <v>#VALUE!</v>
      </c>
      <c r="EN180" s="1597" t="e">
        <f aca="false">ED180-EI180</f>
        <v>#VALUE!</v>
      </c>
      <c r="EO180" s="1551" t="e">
        <f aca="false">DH180*BH180</f>
        <v>#VALUE!</v>
      </c>
      <c r="EP180" s="1551" t="e">
        <f aca="false">DI180*BI180</f>
        <v>#VALUE!</v>
      </c>
      <c r="EQ180" s="1551" t="e">
        <f aca="false">DW180*BJ180</f>
        <v>#VALUE!</v>
      </c>
      <c r="ER180" s="1551" t="e">
        <f aca="false">DX180*BK180</f>
        <v>#VALUE!</v>
      </c>
      <c r="ES180" s="1551" t="e">
        <f aca="false">DY180*BS180</f>
        <v>#VALUE!</v>
      </c>
      <c r="ET180" s="1566" t="e">
        <f aca="false">IF(EI180,IF(OCallPut,IF(CA180&gt;(CT180+CW180),CA180-(CT180+CW180),0),IF((CT180+CW180)&gt;CA180,(CT180+CW180)-CA180,0))*BH180,0)</f>
        <v>#VALUE!</v>
      </c>
      <c r="EU180" s="1551" t="e">
        <f aca="false">IF(EI180,IF(OCallPut,IF(CB180&gt;(CT180+CX180),CB180-(CT180+CX180),0),IF((CT180+CX180)&gt;CB180,(CT180+CX180)-CB180,0))*BI180,0)</f>
        <v>#VALUE!</v>
      </c>
      <c r="EV180" s="1551" t="e">
        <f aca="false">IF(EI180,IF(OCallPut,IF(CC180&gt;(CT180+CY180),CC180-(CT180+CY180),0),IF((CT180+CY180)&gt;CC180,(CT180+CY180)-CC180,0))*BJ180,0)</f>
        <v>#VALUE!</v>
      </c>
      <c r="EW180" s="1551" t="e">
        <f aca="false">IF(EI180,IF(OCallPut,IF(CD180&gt;(CT180+CZ180),CD180-(CT180+CZ180),0),IF((CT180+CZ180)&gt;CD180,(CT180+CZ180)-CD180,0))*BK180,0)</f>
        <v>#VALUE!</v>
      </c>
      <c r="EX180" s="1558" t="e">
        <f aca="false">IF(EI180,SUM(ET180:EW180),0)</f>
        <v>#VALUE!</v>
      </c>
      <c r="EY180" s="1551" t="e">
        <f aca="false">EO180-ET180</f>
        <v>#VALUE!</v>
      </c>
      <c r="EZ180" s="1551" t="e">
        <f aca="false">EP180-EU180</f>
        <v>#VALUE!</v>
      </c>
      <c r="FA180" s="1551" t="e">
        <f aca="false">EQ180-EV180</f>
        <v>#VALUE!</v>
      </c>
      <c r="FB180" s="1551" t="e">
        <f aca="false">ER180-EW180</f>
        <v>#VALUE!</v>
      </c>
      <c r="FC180" s="1551" t="e">
        <f aca="false">ES180-EX180</f>
        <v>#VALUE!</v>
      </c>
      <c r="FD180" s="1525" t="n">
        <f aca="false">IF(AX180,IF(VLOOKUP(C180,MAIN!$L$17:$M$28,2)="Yes",VLOOKUP(CALC!B180,MAIN!$H$17:$I$20,2),0),0)</f>
        <v>0</v>
      </c>
      <c r="FE180" s="1552" t="e">
        <f aca="false">$FD180*16*AT180*(1-$AY180)</f>
        <v>#VALUE!</v>
      </c>
      <c r="FF180" s="1553" t="e">
        <f aca="false">$FD180*16*AU180*(1-$AY180)</f>
        <v>#VALUE!</v>
      </c>
      <c r="FG180" s="1553" t="e">
        <f aca="false">$FD180*16*(AV180+AW180)*(1-$AY180)</f>
        <v>#VALUE!</v>
      </c>
      <c r="FH180" s="1554" t="n">
        <f aca="false">$FD180*8*AX180*(1-$AY180)</f>
        <v>0</v>
      </c>
      <c r="FI180" s="1555" t="n">
        <f aca="false">IF(AX180,VLOOKUP(CALC!B180,MAIN!$H$17:$K$20,4),0)</f>
        <v>0</v>
      </c>
      <c r="FJ180" s="1553" t="e">
        <f aca="false">SUM(FE180:FH180)</f>
        <v>#VALUE!</v>
      </c>
      <c r="FK180" s="1556" t="e">
        <f aca="false">FI180*FJ180</f>
        <v>#VALUE!</v>
      </c>
      <c r="FL180" s="1551" t="e">
        <f aca="false">IF($EI180&gt;0,MIN(FE180,AZ180*(1+VLOOKUP($C180,WeatherCapacityAdjustment,2))),0)</f>
        <v>#VALUE!</v>
      </c>
      <c r="FM180" s="1551" t="e">
        <f aca="false">IF($EI180&gt;0,MIN(FF180,BA180*(1+VLOOKUP($C180,WeatherCapacityAdjustment,2))),0)</f>
        <v>#VALUE!</v>
      </c>
      <c r="FN180" s="1551" t="e">
        <f aca="false">IF($EI180&gt;0,MIN(FG180,BB180*(1+VLOOKUP($C180,WeatherCapacityAdjustment,2))),0)</f>
        <v>#VALUE!</v>
      </c>
      <c r="FO180" s="1564" t="e">
        <f aca="false">IF($EI180&gt;0,MIN(FH180,BC180*(1+VLOOKUP($C180,WeatherCapacityAdjustment,3))),0)</f>
        <v>#VALUE!</v>
      </c>
      <c r="FP180" s="1551" t="e">
        <f aca="false">IF(ET180&gt;0,MIN(FE180-FL180,BH180*(1+VLOOKUP($C180,WeatherCapacityAdjustment,2))),0)</f>
        <v>#VALUE!</v>
      </c>
      <c r="FQ180" s="1551" t="e">
        <f aca="false">IF(EU180&gt;0,MIN(FF180-FM180,BI180*(1+VLOOKUP($C180,WeatherCapacityAdjustment,2))),0)</f>
        <v>#VALUE!</v>
      </c>
      <c r="FR180" s="1551" t="e">
        <f aca="false">IF(EV180&gt;0,MIN(FG180-FN180,BJ180*(1+VLOOKUP($C180,WeatherCapacityAdjustment,2))),0)</f>
        <v>#VALUE!</v>
      </c>
      <c r="FS180" s="1558" t="e">
        <f aca="false">IF(EW180&gt;0,MIN(FH180-FO180,BK180*(1+VLOOKUP($C180,WeatherCapacityAdjustment,3))),0)</f>
        <v>#VALUE!</v>
      </c>
      <c r="FT180" s="1566" t="e">
        <f aca="false">IF(AND(Assumptions!$H$71="Yes",A180&gt;=Assumptions!$H$72,A180&lt;=Assumptions!$H$73),0,IF(AND($A180&gt;=Assumptions!$C$17,$A180&lt;=Assumptions!$C$18),MAX(AZ180*(1+VLOOKUP($C180,WeatherCapacityAdjustment,2))-FL180,0),0))</f>
        <v>#VALUE!</v>
      </c>
      <c r="FU180" s="1551" t="e">
        <f aca="false">IF(AND(Assumptions!$H$71="Yes",A180&gt;=Assumptions!$H$72,A180&lt;=Assumptions!$H$73),0,IF(AND($A180&gt;=Assumptions!$C$17,$A180&lt;=Assumptions!$C$18),MAX(BA180*(1+VLOOKUP($C180,WeatherCapacityAdjustment,2))-FM180,0),0))</f>
        <v>#VALUE!</v>
      </c>
      <c r="FV180" s="1551" t="e">
        <f aca="false">IF(AND(Assumptions!$H$71="Yes",A180&gt;=Assumptions!$H$72,A180&lt;=Assumptions!$H$73),0,IF(AND($A180&gt;=Assumptions!$C$17,$A180&lt;=Assumptions!$C$18),MAX(BB180*(1+VLOOKUP($C180,WeatherCapacityAdjustment,2))-FN180,0),0))</f>
        <v>#VALUE!</v>
      </c>
      <c r="FW180" s="1564" t="e">
        <f aca="false">IF(AND(Assumptions!$H$71="Yes",A180&gt;=Assumptions!$H$72,A180&lt;=Assumptions!$H$73),0,IF(AND($A180&gt;=Assumptions!$C$17,$A180&lt;=Assumptions!$C$18),MAX(BC180*(1+VLOOKUP($C180,WeatherCapacityAdjustment,3))-FO180,0),0))</f>
        <v>#VALUE!</v>
      </c>
      <c r="FX180" s="1569" t="e">
        <f aca="false">IF(AND(Assumptions!$H$71="Yes",A180&gt;=Assumptions!$H$72,A180&lt;=Assumptions!$H$73),0,IF(ET180&gt;0,MAX(BH180*(1+VLOOKUP($C180,WeatherCapacityAdjustment,2))-FP180,0),0))</f>
        <v>#VALUE!</v>
      </c>
      <c r="FY180" s="1551" t="e">
        <f aca="false">IF(AND(Assumptions!$H$71="Yes",A180&gt;=Assumptions!$H$72,A180&lt;=Assumptions!$H$73),0,IF(EU180&gt;0,MAX(BI180*(1+VLOOKUP($C180,WeatherCapacityAdjustment,3))-FQ180,0),0))</f>
        <v>#VALUE!</v>
      </c>
      <c r="FZ180" s="1551" t="e">
        <f aca="false">IF(AND(Assumptions!$H$71="Yes",A180&gt;=Assumptions!$H$72,A180&lt;=Assumptions!$H$73),0,IF(EV180&gt;0,MAX(BJ180*(1+VLOOKUP($C180,WeatherCapacityAdjustment,2))-FR180,0),0))</f>
        <v>#VALUE!</v>
      </c>
      <c r="GA180" s="1564" t="e">
        <f aca="false">IF(AND(Assumptions!$H$71="Yes",A180&gt;=Assumptions!$H$72,A180&lt;=Assumptions!$H$73),0,IF(EW180&gt;0,MAX(BK180*(1+VLOOKUP($C180,WeatherCapacityAdjustment,2))-FS180,0),0))</f>
        <v>#VALUE!</v>
      </c>
      <c r="GB180" s="1551" t="e">
        <f aca="false">SUM(FT180:GA180)</f>
        <v>#VALUE!</v>
      </c>
      <c r="GC180" s="1563" t="e">
        <f aca="false">+IF(SUM(FT180:GA180)=0,0,(SUMPRODUCT(BU180:BX180,FT180:FW180)+SUMPRODUCT(CA180:CD180,FX180:GA180))/SUM(FT180:GA180))</f>
        <v>#VALUE!</v>
      </c>
      <c r="GD180" s="1551" t="e">
        <f aca="false">(FT180*BU180+FX180*CA180+FU180*BV180+FY180*CB180+FV180*BW180+FZ180*CC180+FW180*BX180+GA180*CD180)</f>
        <v>#VALUE!</v>
      </c>
      <c r="GE180" s="1561" t="e">
        <f aca="false">+IF(BQ180,((FL180+FM180+FT180+FU180)*HeatRatePeak/1000*(1+VLOOKUP($C180,WeatherHeatRateAdjustment,2))+(FN180+FV180)*IF(EV180&gt;0,HeatRatePeak,HeatRateOffPeak)/1000*(1+VLOOKUP($C180,WeatherHeatRateAdjustment,2))+(FO180+FW180)*IF(EW180&gt;0,HeatRatePeak,HeatRateOffPeak)/1000*(1+VLOOKUP($C180,WeatherHeatRateAdjustment,3)))*(1+VLOOKUP($B180,HeatRateDegradation,$C180+1)),0)</f>
        <v>#VALUE!</v>
      </c>
      <c r="GF180" s="1562" t="e">
        <f aca="false">IF(BQ180,((FP180+FQ180+FR180+FX180+FY180+FZ180)*HeatRatePeak/1000*(1+VLOOKUP($C180,WeatherHeatRateAdjustment,2))+(FS180+GA180)*HeatRatePeak/1000*(1+VLOOKUP($C180,WeatherHeatRateAdjustment,3)))*(1+VLOOKUP($B180,HeatRateDegradation,$C180+1)),0)</f>
        <v>#VALUE!</v>
      </c>
      <c r="GG180" s="1563" t="e">
        <f aca="false">IF(BQ180,VLOOKUP(A180,GasTable,13),0)</f>
        <v>#VALUE!</v>
      </c>
      <c r="GH180" s="1564" t="e">
        <f aca="false">(GE180+GF180)*GG180</f>
        <v>#VALUE!</v>
      </c>
      <c r="GI180" s="1569" t="e">
        <f aca="false">GB180</f>
        <v>#VALUE!</v>
      </c>
      <c r="GJ180" s="1598" t="e">
        <f aca="false">+DA180</f>
        <v>#VALUE!</v>
      </c>
      <c r="GK180" s="1558" t="e">
        <f aca="false">+GI180*GJ180</f>
        <v>#VALUE!</v>
      </c>
      <c r="GL180" s="1566" t="e">
        <f aca="false">MAX(FE180-FL180-FP180,0)</f>
        <v>#VALUE!</v>
      </c>
      <c r="GM180" s="1551" t="e">
        <f aca="false">MAX(FF180-FM180-FQ180,0)</f>
        <v>#VALUE!</v>
      </c>
      <c r="GN180" s="1551" t="e">
        <f aca="false">MAX(FG180-FN180-FR180,0)</f>
        <v>#VALUE!</v>
      </c>
      <c r="GO180" s="1564" t="e">
        <f aca="false">MAX(FH180-FO180-FS180,0)</f>
        <v>#VALUE!</v>
      </c>
      <c r="GP180" s="1551" t="e">
        <f aca="false">SUM(GL180:GO180)</f>
        <v>#VALUE!</v>
      </c>
      <c r="GQ180" s="1563" t="e">
        <f aca="false">IF(SUM(GL180:GO180)=0,0,((GL180*BU180+GM180*BV180+GN180*BW180+GO180*BX180)/SUM(GL180:GO180)))</f>
        <v>#VALUE!</v>
      </c>
      <c r="GR180" s="1558" t="e">
        <f aca="false">(GL180*BU180+GM180*BV180+GN180*BW180+GO180*BX180)</f>
        <v>#VALUE!</v>
      </c>
      <c r="GS180" s="1566" t="n">
        <f aca="false">IF($A180&gt;=BegDate,Assumptions!$C$56*24*($A181-$A180)*(1-VLOOKUP($B180,MAIN!$AA$7:$AM$28,$C180+1))*(1-VLOOKUP($B180,MAIN!$AA$33:$AM$54,$C180+1)),0)*80/168</f>
        <v>257742.857142857</v>
      </c>
      <c r="GT180" s="286" t="n">
        <f aca="false">J180</f>
        <v>53.7778148412252</v>
      </c>
      <c r="GU180" s="286" t="n">
        <f aca="false">IF($A180&gt;=BegDate,VLOOKUP($A180,GasTable,13)+Assumptions!$C$58,0)</f>
        <v>3.69342582652726</v>
      </c>
      <c r="GV180" s="286" t="n">
        <f aca="false">GU180*Assumptions!$C$57/1000</f>
        <v>26.7773372423227</v>
      </c>
      <c r="GW180" s="1558" t="n">
        <f aca="false">IF(Assumptions!$C$60="Hourly",MAX(0,GS180*(GT180-GV180)),GS180*(GT180-GV180))</f>
        <v>6959180.24056286</v>
      </c>
      <c r="GX180" s="1566" t="n">
        <f aca="false">IF($A180&gt;=BegDate,Assumptions!$C$56*24*($A181-$A180)*(1-VLOOKUP($B180,MAIN!$AA$7:$AM$28,$C180+1))*(1-VLOOKUP($B180,MAIN!$AA$33:$AM$54,$C180+1)),0)*16/168</f>
        <v>51548.5714285714</v>
      </c>
      <c r="GY180" s="286" t="n">
        <f aca="false">M180</f>
        <v>53.7778148412252</v>
      </c>
      <c r="GZ180" s="286" t="n">
        <f aca="false">IF($A180&gt;=BegDate,VLOOKUP($A180,GasTable,13)+Assumptions!$C$58,0)</f>
        <v>3.69342582652726</v>
      </c>
      <c r="HA180" s="286" t="n">
        <f aca="false">GZ180*Assumptions!$C$57/1000</f>
        <v>26.7773372423227</v>
      </c>
      <c r="HB180" s="1558" t="n">
        <f aca="false">IF(Assumptions!$C$60="Hourly",MAX(0,GX180*(GY180-HA180)),GX180*(GY180-HA180))</f>
        <v>1391836.04811257</v>
      </c>
      <c r="HC180" s="1566" t="n">
        <f aca="false">IF($A180&gt;=BegDate,Assumptions!$C$56*24*($A181-$A180)*(1-VLOOKUP($B180,MAIN!$AA$7:$AM$28,$C180+1))*(1-VLOOKUP($B180,MAIN!$AA$33:$AM$54,$C180+1)),0)*16/168</f>
        <v>51548.5714285714</v>
      </c>
      <c r="HD180" s="286" t="n">
        <f aca="false">P180</f>
        <v>31.9814486427201</v>
      </c>
      <c r="HE180" s="286" t="n">
        <f aca="false">IF($A180&gt;=BegDate,VLOOKUP($A180,GasTable,13)+Assumptions!$C$58,0)</f>
        <v>3.69342582652726</v>
      </c>
      <c r="HF180" s="286" t="n">
        <f aca="false">HE180*Assumptions!$C$57/1000</f>
        <v>26.7773372423227</v>
      </c>
      <c r="HG180" s="1558" t="n">
        <f aca="false">IF(Assumptions!$C$60="Hourly",MAX(0,HC180*(HD180-HF180)),HC180*(HD180-HF180))</f>
        <v>268264.508245629</v>
      </c>
      <c r="HH180" s="1566" t="n">
        <f aca="false">IF($A180&gt;=BegDate,Assumptions!$C$56*24*($A181-$A180)*(1-VLOOKUP($B180,MAIN!$AA$7:$AM$28,$C180+1))*(1-VLOOKUP($B180,MAIN!$AA$33:$AM$54,$C180+1)),0)*56/168</f>
        <v>180420</v>
      </c>
      <c r="HI180" s="286" t="n">
        <f aca="false">S180</f>
        <v>31.9814486427201</v>
      </c>
      <c r="HJ180" s="286" t="n">
        <f aca="false">IF($A180&gt;=BegDate,VLOOKUP($A180,GasTable,13)+Assumptions!$C$58,0)</f>
        <v>3.69342582652726</v>
      </c>
      <c r="HK180" s="286" t="n">
        <f aca="false">HJ180*Assumptions!$C$57/1000</f>
        <v>26.7773372423227</v>
      </c>
      <c r="HL180" s="1558" t="n">
        <f aca="false">IF(Assumptions!$C$60="Hourly",MAX(0,HH180*(HI180-HK180)),HH180*(HI180-HK180))</f>
        <v>938925.778859701</v>
      </c>
      <c r="HM180" s="1566" t="n">
        <f aca="false">IF(AND(Assumptions!$H$71="Yes",A180&gt;=Assumptions!$H$72,A180&lt;=Assumptions!$H$73),Assumptions!$H$74*Assumptions!$C$9*1000,0)</f>
        <v>0</v>
      </c>
      <c r="HN180" s="1551"/>
      <c r="HO180" s="1563"/>
      <c r="HP180" s="1563"/>
      <c r="HQ180" s="1563"/>
      <c r="HR180" s="1563"/>
      <c r="HS180" s="1563"/>
      <c r="HT180" s="1563"/>
      <c r="HU180" s="1563"/>
      <c r="HV180" s="1563"/>
      <c r="HW180" s="1563"/>
      <c r="HX180" s="1563"/>
      <c r="HY180" s="1563"/>
      <c r="HZ180" s="1563"/>
      <c r="IA180" s="1563"/>
      <c r="IB180" s="1563"/>
      <c r="IC180" s="1563"/>
      <c r="ID180" s="1563"/>
      <c r="IE180" s="1563"/>
      <c r="IF180" s="1563"/>
      <c r="IG180" s="1563"/>
      <c r="IH180" s="1563"/>
      <c r="II180" s="1610"/>
      <c r="IJ180" s="1309"/>
      <c r="IK180" s="1309"/>
    </row>
    <row r="181" customFormat="false" ht="12.75" hidden="false" customHeight="false" outlineLevel="0" collapsed="false">
      <c r="A181" s="1571" t="n">
        <f aca="false">EOMONTH(A180,0)+1</f>
        <v>41640</v>
      </c>
      <c r="B181" s="594" t="n">
        <f aca="false">+YEAR(A181)</f>
        <v>2014</v>
      </c>
      <c r="C181" s="238" t="n">
        <f aca="false">MONTH(A181)</f>
        <v>1</v>
      </c>
      <c r="D181" s="1572" t="e">
        <f aca="false">IF(E181="","",Holiday(B181,C181))</f>
        <v>#VALUE!</v>
      </c>
      <c r="E181" s="1573" t="n">
        <f aca="false">IF(OR(BegDate&gt;=A182,EndDate&lt;A181,AND(VolumeMonthlyOverFlag,INDEX(VolumeMonthlyOver,C181)=0),NOT(INDEX(MonthKnockOutTable,C181))),"",MAX(A181,BegDate))</f>
        <v>41640</v>
      </c>
      <c r="F181" s="1574" t="n">
        <f aca="false">IF(E181="","",MIN(A182-1,EndDate))</f>
        <v>41670</v>
      </c>
      <c r="G181" s="1575" t="n">
        <v>0</v>
      </c>
      <c r="H181" s="1576" t="n">
        <f aca="false">(1+G181/2)^(-2*(DATE(B182,C182,20)-DateToday)/365.25)</f>
        <v>1</v>
      </c>
      <c r="I181" s="1568" t="n">
        <f aca="false">IF(Assumptions!$L$25=4,VLOOKUP($A181,'Henwood Reference'!$E$9:$R$320,10),(VLOOKUP($A181,PriceTable,2,0)+IF(BasisNumber&lt;&gt;1,VLOOKUP($A181,BasisTable,2,0),0)+I$1)/(1-I$2))</f>
        <v>55.1786226531447</v>
      </c>
      <c r="J181" s="1568" t="n">
        <f aca="false">IF(Assumptions!$L$25=4,VLOOKUP($A181,'Henwood Reference'!$E$9:$R$320,10),(VLOOKUP($A181,PriceTable,3,0)+IF(BasisNumber&lt;&gt;1,VLOOKUP($A181,BasisTable,2,0),0)+J$1)/(1-J$2))</f>
        <v>55.1786226531447</v>
      </c>
      <c r="K181" s="1568" t="n">
        <f aca="false">IF(Assumptions!$L$25=4,VLOOKUP($A181,'Henwood Reference'!$E$9:$R$320,10),(VLOOKUP($A181,PriceTable,4,0)+IF(BasisNumber&lt;&gt;1,VLOOKUP($A181,BasisTable,2,0),0)+K$1)/(1-K$2))</f>
        <v>55.1786226531447</v>
      </c>
      <c r="L181" s="1523" t="n">
        <f aca="false">IF(Assumptions!$L$25=4,VLOOKUP($A181,'Henwood Reference'!$E$9:$R$320,10),(VLOOKUP($A181,PriceTableWeekend,2,0)+IF(BasisNumber&lt;&gt;1,VLOOKUP($A181,BasisTable,2,0),0)+L$1)/(1-L$2))</f>
        <v>55.1786226531447</v>
      </c>
      <c r="M181" s="1568" t="n">
        <f aca="false">IF(Assumptions!$L$25=4,VLOOKUP($A181,'Henwood Reference'!$E$9:$R$320,10),(VLOOKUP($A181,PriceTableWeekend,3,0)+IF(BasisNumber&lt;&gt;1,VLOOKUP($A181,BasisTable,2,0),0)+M$1)/(1-M$2))</f>
        <v>55.1786226531447</v>
      </c>
      <c r="N181" s="1599" t="n">
        <f aca="false">IF(Assumptions!$L$25=4,VLOOKUP($A181,'Henwood Reference'!$E$9:$R$320,10),(VLOOKUP($A181,PriceTableWeekend,4,0)+IF(BasisNumber&lt;&gt;1,VLOOKUP($A181,BasisTable,2,0),0)+N$1)/(1-N$2))</f>
        <v>55.1786226531447</v>
      </c>
      <c r="O181" s="1568" t="n">
        <f aca="false">IF(Assumptions!$L$25=4,VLOOKUP($A181,'Henwood Reference'!$E$9:$R$320,11),(VLOOKUP($A181,PriceTableWeekend,6,0)+IF(BasisNumber&lt;&gt;1,VLOOKUP($A181,BasisTable,3,0),0)+O$1)/(1-O$2))</f>
        <v>31.2617505938671</v>
      </c>
      <c r="P181" s="1568" t="n">
        <f aca="false">IF(Assumptions!$L$25=4,VLOOKUP($A181,'Henwood Reference'!$E$9:$R$320,11),(VLOOKUP($A181,PriceTableWeekend,7,0)+IF(BasisNumber&lt;&gt;1,VLOOKUP($A181,BasisTable,3,0),0)+P$1)/(1-P$2))</f>
        <v>31.2617505938671</v>
      </c>
      <c r="Q181" s="1599" t="n">
        <f aca="false">IF(Assumptions!$L$25=4,VLOOKUP($A181,'Henwood Reference'!$E$9:$R$320,11),(VLOOKUP($A181,PriceTableWeekend,8,0)+IF(BasisNumber&lt;&gt;1,VLOOKUP($A181,BasisTable,3,0),0)+Q$1)/(1-Q$2))</f>
        <v>31.2617505938671</v>
      </c>
      <c r="R181" s="1568" t="n">
        <f aca="false">IF(Assumptions!$L$25=4,VLOOKUP($A181,'Henwood Reference'!$E$9:$R$320,11),(VLOOKUP($A181,PriceTable,6,0)+IF(BasisNumber&lt;&gt;1,VLOOKUP($A181,BasisTable,3,0),0)+R$1)/(1-R$2))</f>
        <v>31.2617505938671</v>
      </c>
      <c r="S181" s="1568" t="n">
        <f aca="false">IF(Assumptions!$L$25=4,VLOOKUP($A181,'Henwood Reference'!$E$9:$R$320,11),(VLOOKUP($A181,PriceTable,7,0)+IF(BasisNumber&lt;&gt;1,VLOOKUP($A181,BasisTable,3,0),0)+S$1)/(1-S$2))</f>
        <v>31.2617505938671</v>
      </c>
      <c r="T181" s="1600" t="n">
        <f aca="false">IF(Assumptions!$L$25=4,VLOOKUP($A181,'Henwood Reference'!$E$9:$R$320,11),(VLOOKUP($A181,PriceTable,8,0)+IF(BasisNumber&lt;&gt;1,VLOOKUP($A181,BasisTable,3,0),0)+T$1)/(1-T$2))</f>
        <v>31.2617505938671</v>
      </c>
      <c r="U181" s="1513" t="n">
        <f aca="false">VLOOKUP($A181,VolatilityTable,14)</f>
        <v>0.0999999999999999</v>
      </c>
      <c r="V181" s="1513" t="n">
        <f aca="false">VLOOKUP($A181,VolatilityTable,15)</f>
        <v>0.11</v>
      </c>
      <c r="W181" s="1514" t="n">
        <f aca="false">VLOOKUP($A181,VolatilityTable,16)</f>
        <v>0.12</v>
      </c>
      <c r="X181" s="1513" t="n">
        <f aca="false">VLOOKUP($A181,VolatilityTable,14)</f>
        <v>0.0999999999999999</v>
      </c>
      <c r="Y181" s="1513" t="n">
        <f aca="false">VLOOKUP($A181,VolatilityTable,15)</f>
        <v>0.11</v>
      </c>
      <c r="Z181" s="1514" t="n">
        <f aca="false">VLOOKUP($A181,VolatilityTable,16)</f>
        <v>0.12</v>
      </c>
      <c r="AA181" s="1513" t="n">
        <f aca="false">VLOOKUP($A181,VolatilityTable,18)</f>
        <v>0.09</v>
      </c>
      <c r="AB181" s="1513" t="n">
        <f aca="false">VLOOKUP($A181,VolatilityTable,19)</f>
        <v>0.11</v>
      </c>
      <c r="AC181" s="1514" t="n">
        <f aca="false">VLOOKUP($A181,VolatilityTable,20)</f>
        <v>0.13</v>
      </c>
      <c r="AD181" s="1513" t="n">
        <f aca="false">VLOOKUP($A181,VolatilityTable,18)</f>
        <v>0.09</v>
      </c>
      <c r="AE181" s="1513" t="n">
        <f aca="false">VLOOKUP($A181,VolatilityTable,19)</f>
        <v>0.11</v>
      </c>
      <c r="AF181" s="1514" t="n">
        <f aca="false">VLOOKUP($A181,VolatilityTable,20)</f>
        <v>0.13</v>
      </c>
      <c r="AG181" s="1513" t="n">
        <f aca="false">VLOOKUP($A181,VolatilityTable,22)</f>
        <v>-0.25</v>
      </c>
      <c r="AH181" s="1513" t="n">
        <f aca="false">VLOOKUP($A181,VolatilityTable,23)</f>
        <v>0.65</v>
      </c>
      <c r="AI181" s="1514" t="n">
        <f aca="false">VLOOKUP($A181,VolatilityTable,24)</f>
        <v>0.25</v>
      </c>
      <c r="AJ181" s="1513" t="n">
        <f aca="false">VLOOKUP($A181,VolatilityTable,22)</f>
        <v>-0.25</v>
      </c>
      <c r="AK181" s="1513" t="n">
        <f aca="false">VLOOKUP($A181,VolatilityTable,23)</f>
        <v>0.65</v>
      </c>
      <c r="AL181" s="1514" t="n">
        <f aca="false">VLOOKUP($A181,VolatilityTable,24)</f>
        <v>0.25</v>
      </c>
      <c r="AM181" s="1513" t="n">
        <f aca="false">VLOOKUP($A181,VolatilityTable,26)</f>
        <v>-0.01</v>
      </c>
      <c r="AN181" s="1513" t="n">
        <f aca="false">VLOOKUP($A181,VolatilityTable,27)</f>
        <v>0.16</v>
      </c>
      <c r="AO181" s="1514" t="n">
        <f aca="false">VLOOKUP($A181,VolatilityTable,28)</f>
        <v>0.01</v>
      </c>
      <c r="AP181" s="1513" t="n">
        <f aca="false">VLOOKUP($A181,VolatilityTable,26)</f>
        <v>-0.01</v>
      </c>
      <c r="AQ181" s="1513" t="n">
        <f aca="false">VLOOKUP($A181,VolatilityTable,27)</f>
        <v>0.16</v>
      </c>
      <c r="AR181" s="1515" t="n">
        <f aca="false">VLOOKUP($A181,VolatilityTable,28)</f>
        <v>0.01</v>
      </c>
      <c r="AS181" s="1581" t="n">
        <f aca="false">IF(CorrPeakOffPeakOverFlag,INDEX(CorrPeakOffPeakOver,C181),CorrPeakOffPeak)</f>
        <v>0.5</v>
      </c>
      <c r="AT181" s="594" t="e">
        <f aca="false">AX181-SUM(AU181:AW181)</f>
        <v>#VALUE!</v>
      </c>
      <c r="AU181" s="238" t="e">
        <f aca="false">IF(E181="",0,INT((F181-MOD(F181,7)-E181)/7)+1-IF(AW181,IF(WEEKDAY(D181)=7,1,0),0))</f>
        <v>#VALUE!</v>
      </c>
      <c r="AV181" s="238" t="e">
        <f aca="false">IF(E181="",0,INT((F181-MOD(F181-1,7)-E181)/7)+1-IF(AW181,IF(WEEKDAY(D181)=1,1,0),0))</f>
        <v>#VALUE!</v>
      </c>
      <c r="AW181" s="238" t="e">
        <f aca="false">IF(OR(E181="",D181="",D181&lt;BegDate,D181&gt;EndDate),0,1)</f>
        <v>#VALUE!</v>
      </c>
      <c r="AX181" s="238" t="n">
        <f aca="false">IF(E181="",0,F181-E181+1)</f>
        <v>31</v>
      </c>
      <c r="AY181" s="1582" t="n">
        <f aca="false">IF(E181="",0,MIN((1-(1-VLOOKUP(B181,MAIN!$AA$7:$AM$28,C181+1))*(1-VLOOKUP(B181,MAIN!$AA$33:$AM$54,C181+1))),1))</f>
        <v>0.03</v>
      </c>
      <c r="AZ181" s="1519" t="e">
        <v>#VALUE!</v>
      </c>
      <c r="BA181" s="1520" t="e">
        <v>#VALUE!</v>
      </c>
      <c r="BB181" s="1520" t="e">
        <v>#VALUE!</v>
      </c>
      <c r="BC181" s="1583" t="e">
        <v>#VALUE!</v>
      </c>
      <c r="BD181" s="1522" t="e">
        <v>#VALUE!</v>
      </c>
      <c r="BE181" s="1523" t="e">
        <v>#VALUE!</v>
      </c>
      <c r="BF181" s="1523" t="e">
        <v>#VALUE!</v>
      </c>
      <c r="BG181" s="1584" t="e">
        <v>#VALUE!</v>
      </c>
      <c r="BH181" s="1525" t="e">
        <v>#VALUE!</v>
      </c>
      <c r="BI181" s="1520" t="e">
        <v>#VALUE!</v>
      </c>
      <c r="BJ181" s="1520" t="e">
        <v>#VALUE!</v>
      </c>
      <c r="BK181" s="1583" t="e">
        <v>#VALUE!</v>
      </c>
      <c r="BL181" s="1522" t="e">
        <v>#VALUE!</v>
      </c>
      <c r="BM181" s="1523" t="e">
        <v>#VALUE!</v>
      </c>
      <c r="BN181" s="1523" t="e">
        <v>#VALUE!</v>
      </c>
      <c r="BO181" s="1523" t="e">
        <v>#VALUE!</v>
      </c>
      <c r="BP181" s="1525" t="e">
        <f aca="false">SUM(AZ181:BB181)</f>
        <v>#VALUE!</v>
      </c>
      <c r="BQ181" s="1529" t="e">
        <f aca="false">SUM(AZ181:BC181)</f>
        <v>#VALUE!</v>
      </c>
      <c r="BR181" s="1519" t="e">
        <f aca="false">SUM(BH181:BJ181)</f>
        <v>#VALUE!</v>
      </c>
      <c r="BS181" s="1529" t="e">
        <f aca="false">SUM(BH181:BK181)</f>
        <v>#VALUE!</v>
      </c>
      <c r="BT181" s="1316" t="n">
        <f aca="false">(IF(OVolType&lt;&gt;2,A181+14,IF(OptExpDateShift,ShiftBack(A181,OptExpDateShift,D180),A181))-DateToday)/365.25</f>
        <v>13.7166324435318</v>
      </c>
      <c r="BU181" s="1585" t="e">
        <f aca="false">IF(BQ181,IF(OPriceCurve,IF(OBuySell=OCallPut,I181/(1-AY181),K181/(1-AY181)),J181/(1-AY181))*BD181,0)</f>
        <v>#VALUE!</v>
      </c>
      <c r="BV181" s="1316" t="e">
        <f aca="false">IF(BQ181,IF(OPriceCurve,IF(OBuySell=OCallPut,L181/(1-AY181),N181/(1-AY181)),M181/(1-AY181))*BE181,0)</f>
        <v>#VALUE!</v>
      </c>
      <c r="BW181" s="1316" t="e">
        <f aca="false">IF(BQ181,IF(OPriceCurve,IF(OBuySell=OCallPut,O181/(1-AY181),Q181/(1-AY181)),P181/(1-AY181))*BF181,0)</f>
        <v>#VALUE!</v>
      </c>
      <c r="BX181" s="1316" t="e">
        <f aca="false">IF(BQ181,IF(OPriceCurve,IF(OBuySell=OCallPut,R181/(1-AY181),T181/(1-AY181)),S181/(1-AY181))*BG181,0)</f>
        <v>#VALUE!</v>
      </c>
      <c r="BY181" s="1316" t="e">
        <f aca="false">IF(BP181,(BU181*AZ181+BV181*BA181+BW181*BB181)/BP181,0)</f>
        <v>#VALUE!</v>
      </c>
      <c r="BZ181" s="1316" t="e">
        <f aca="false">IF(BQ181,(BY181*BP181+BX181*BC181)/BQ181,0)</f>
        <v>#VALUE!</v>
      </c>
      <c r="CA181" s="1531" t="e">
        <f aca="false">IF(BS181,IF(OPriceCurve,IF(OBuySell=OCallPut,I181/(1-AY181),K181/(1-AY181)),J181/(1-AY181))*BL181,0)</f>
        <v>#VALUE!</v>
      </c>
      <c r="CB181" s="1316" t="e">
        <f aca="false">IF(BS181,IF(OPriceCurve,IF(OBuySell=OCallPut,L181/(1-AY181),N181/(1-AY181)),M181/(1-AY181))*BM181,0)</f>
        <v>#VALUE!</v>
      </c>
      <c r="CC181" s="1316" t="e">
        <f aca="false">IF(BS181,IF(OPriceCurve,IF(OBuySell=OCallPut,O181/(1-AY181),Q181/(1-AY181)),P181/(1-AY181))*BN181,0)</f>
        <v>#VALUE!</v>
      </c>
      <c r="CD181" s="1316" t="e">
        <f aca="false">IF(BS181,IF(OPriceCurve,IF(OBuySell=OCallPut,R181/(1-AY181),T181/(1-AY181)),S181/(1-AY181))*BO181,0)</f>
        <v>#VALUE!</v>
      </c>
      <c r="CE181" s="1316" t="e">
        <f aca="false">IF(BR181,(BU181*BH181+BV181*BI181+BW181*BJ181)/BR181,0)</f>
        <v>#VALUE!</v>
      </c>
      <c r="CF181" s="1532" t="e">
        <f aca="false">IF(BS181,(CE181*BR181+CD181*BK181)/BS181,0)</f>
        <v>#VALUE!</v>
      </c>
      <c r="CG181" s="1586" t="e">
        <f aca="false">IF(OR(BQ181,BS181),IF(OVolType&lt;&gt;2,SQRT(IF(OVolOverMonthlyPeak,OVolOverMonthlyPeak,IF(OVolCurve,IF(OBuySell,U181,W181),V181))^2*(1-15/365.25/BT181)+IF(OVolOverDailyPeak,OVolOverDailyPeak,IF(OVolCurve,IF(OBuySell,AG181,AI181),AH181))^2*15/365.25/BT181),IF(OVolOverMonthlyPeak,OVolOverMonthlyPeak,IF(OVolCurve,IF(OBuySell,U181,W181),V181))),"")</f>
        <v>#VALUE!</v>
      </c>
      <c r="CH181" s="1587" t="e">
        <f aca="false">IF(OR(BQ181,BS181),IF(OVolType&lt;&gt;2,SQRT(IF(OVolOverMonthlyPeak,OVolOverMonthlyPeak,IF(OVolCurve,IF(OBuySell,X181,Z181),Y181))^2*(1-15/365.25/BT181)+IF(OVolOverDailyPeak,OVolOverDailyPeak,IF(OVolCurve,IF(OBuySell,AJ181,AL181),AK181))^2*15/365.25/BT181),IF(OVolOverMonthlyPeak,OVolOverMonthlyPeak,IF(OVolCurve,IF(OBuySell,X181,Z181),Y181))),"")</f>
        <v>#VALUE!</v>
      </c>
      <c r="CI181" s="1587" t="e">
        <f aca="false">IF(OR(BQ181,BS181),IF(OVolType&lt;&gt;2,SQRT(IF(OVolOverMonthlyPeak,OVolOverMonthlyPeak,IF(OVolCurve,IF(OBuySell,AA181,AC181),AB181))^2*(1-15/365.25/BT181)+IF(OVolOverDailyPeak,OVolOverDailyPeak,IF(OVolCurve,IF(OBuySell,AM181,AO181),AN181))^2*15/365.25/BT181),IF(OVolOverMonthlyPeak,OVolOverMonthlyPeak,IF(OVolCurve,IF(OBuySell,AA181,AC181),AB181))),"")</f>
        <v>#VALUE!</v>
      </c>
      <c r="CJ181" s="1587" t="e">
        <f aca="false">IF(BQ181,IF(BP181,SQRT(LN(1+((BU181*AZ181)^2*(EXP(CG181^2*BT181)-1)+(BV181*BA181)^2*(EXP(CH181^2*BT181)-1)+(BW181*BB181)^2*(EXP(CI181^2*BT181)-1)+2*BU181*AZ181*BV181*BA181*(EXP(CG181*CH181*BT181)-1)+2*BV181*BA181*BW181*BB181*(EXP(CH181*CI181*BT181)-1)+2*BW181*BB181*BU181*AZ181*(EXP(CI181*CG181*BT181)-1))/(BY181*BP181)^2)/BT181),0),"")</f>
        <v>#VALUE!</v>
      </c>
      <c r="CK181" s="1587" t="e">
        <f aca="false">IF(BS181,IF(BR181,SQRT(LN(1+((CA181*BH181)^2*(EXP(CG181^2*BT181)-1)+(CB181*BI181)^2*(EXP(CH181^2*BT181)-1)+(CC181*BJ181)^2*(EXP(CI181^2*BT181)-1)+2*CA181*BH181*CB181*BI181*(EXP(CG181*CH181*BT181)-1)+2*CB181*BI181*CC181*BJ181*(EXP(CH181*CI181*BT181)-1)+2*CC181*BJ181*CA181*BH181*(EXP(CI181*CG181*BT181)-1))/(CE181*BR181)^2)/BT181),0),"")</f>
        <v>#VALUE!</v>
      </c>
      <c r="CL181" s="1587" t="e">
        <f aca="false">IF(OR(BQ181,BS181),IF(OVolType&lt;&gt;2,SQRT(IF(OVolOverMonthlyOffPeak,OVolOverMonthlyOffPeak,IF(OVolCurve,IF(OBuySell,AD181,AF181),AE181))^2*(1-15/365.25/BT181)+IF(OVolOverDailyOffPeak,OVolOverDailyOffPeak,IF(OVolCurve,IF(OBuySell,AP181,AR181),AQ181))^2*15/365.25/BT181),IF(OVolOverMonthlyOffPeak,OVolOverMonthlyOffPeak,IF(OVolCurve,IF(OBuySell,AD181,AF181),AE181))),"")</f>
        <v>#VALUE!</v>
      </c>
      <c r="CM181" s="1587" t="e">
        <f aca="false">IF(BQ181,SQRT(LN(1+((BY181*BP181)^2*(EXP(CJ181^2*BT181)-1)+(BX181*BC181)^2*(EXP(CL181^2*BT181)-1)+2*BY181*BP181*BX181*BC181*(EXP(AS181*CJ181*CL181*BT181)-1))/(BY181*BP181+BX181*BC181)^2)/BT181),"")</f>
        <v>#VALUE!</v>
      </c>
      <c r="CN181" s="1588" t="e">
        <f aca="false">IF(BS181,SQRT(LN(1+((CE181*BR181)^2*(EXP(CK181^2*BT181)-1)+(CD181*BK181)^2*(EXP(CL181^2*BT181)-1)+2*CE181*BR181*CD181*BK181*(EXP(AS181*CK181*CL181*BT181)-1))/(CE181*BR181+CD181*BK181)^2)/BT181),"")</f>
        <v>#VALUE!</v>
      </c>
      <c r="CO181" s="1531" t="e">
        <f aca="false">IF(OR(BQ181,BS181),VLOOKUP(A181,GasTable,13)*HeatRatePeak*(1+VLOOKUP($B181,HeatRateDegradation,$C181+1))/1000,0)</f>
        <v>#VALUE!</v>
      </c>
      <c r="CP181" s="1316" t="e">
        <f aca="false">IF(OR(BQ181,BS181),VLOOKUP(A181,GasTable,13)*HeatRatePeak*(1+VLOOKUP($B181,HeatRateDegradation,$C181+1))/1000,0)</f>
        <v>#VALUE!</v>
      </c>
      <c r="CQ181" s="1316" t="e">
        <f aca="false">IF(OR(BQ181,BS181),VLOOKUP(A181,GasTable,13)*IF(EV181,HeatRatePeak,HeatRateOffPeak)*(1+VLOOKUP($B181,HeatRateDegradation,$C181+1))/1000,0)</f>
        <v>#VALUE!</v>
      </c>
      <c r="CR181" s="1316" t="e">
        <f aca="false">IF(OR(BQ181,BS181),VLOOKUP(A181,GasTable,13)*IF(EW181,HeatRatePeak,HeatRateOffPeak)*(1+VLOOKUP($B181,HeatRateDegradation,$C181+1))/1000,0)</f>
        <v>#VALUE!</v>
      </c>
      <c r="CS181" s="1589" t="e">
        <f aca="false">IF(BQ181,(CO181*AZ181+CP181*BA181+CQ181*BB181+CR181*BC181)/BQ181,0)</f>
        <v>#VALUE!</v>
      </c>
      <c r="CT181" s="1316" t="e">
        <f aca="false">IF(BS181,CO181,0)</f>
        <v>#VALUE!</v>
      </c>
      <c r="CU181" s="1590" t="e">
        <f aca="false">IF(OR(BQ181,BS181),VLOOKUP(A181,GasTable,14),"")</f>
        <v>#VALUE!</v>
      </c>
      <c r="CV181" s="1568" t="e">
        <f aca="false">IF(OR(BQ181,BS181),IF(CorrPowerGasOverFlag,INDEX(CorrPowerGasOver,C181),CorrPowerGas),"")</f>
        <v>#VALUE!</v>
      </c>
      <c r="CW181" s="1316" t="e">
        <f aca="false">IF(OR($BQ181,$BS181),SpreadOptPowerMargin,0)*((1+Assumptions!$C$26)^($B181-YEAR(Assumptions!$C$17)))</f>
        <v>#VALUE!</v>
      </c>
      <c r="CX181" s="1316" t="e">
        <f aca="false">IF(OR($BQ181,$BS181),SpreadOptPowerMargin,0)*((1+Assumptions!$C$26)^($B181-YEAR(Assumptions!$C$17)))</f>
        <v>#VALUE!</v>
      </c>
      <c r="CY181" s="1316" t="e">
        <f aca="false">IF(OR($BQ181,$BS181),SpreadOptPowerMargin,0)*((1+Assumptions!$C$26)^($B181-YEAR(Assumptions!$C$17)))</f>
        <v>#VALUE!</v>
      </c>
      <c r="CZ181" s="1316" t="e">
        <f aca="false">IF(OR($BQ181,$BS181),SpreadOptPowerMargin,0)*((1+Assumptions!$C$26)^($B181-YEAR(Assumptions!$C$17)))</f>
        <v>#VALUE!</v>
      </c>
      <c r="DA181" s="1591" t="e">
        <f aca="false">IF(OR(BQ181,BS181),(CW181*(AZ181+BH181)+CX181*(BA181+BI181)+CY181*(BB181+BJ181)+CZ181*(BC181+BK181))/(BQ181+BS181),0)</f>
        <v>#VALUE!</v>
      </c>
      <c r="DB181" s="1592" t="e">
        <f aca="false">IF(OR(BQ181,BS181),CG181+IF(OVolSmile,VLOOKUP(MAX(-5,CO181+CW181-BU181),IF(OVolSmile=1,VolSmileBook,VolSmileModel),2),0),"")</f>
        <v>#VALUE!</v>
      </c>
      <c r="DC181" s="1592" t="e">
        <f aca="false">IF(OR(BQ181,BS181),CH181+IF(OVolSmile,VLOOKUP(MAX(-5,CP181+CW181-BV181),IF(OVolSmile=1,VolSmileBook,VolSmileModel),2),0),"")</f>
        <v>#VALUE!</v>
      </c>
      <c r="DD181" s="1592" t="e">
        <f aca="false">IF(OR(BQ181,BS181),CI181+IF(OVolSmile,VLOOKUP(MAX(-5,CQ181+CW181-BW181),IF(OVolSmile=1,VolSmileBook,VolSmileModel),2),0),"")</f>
        <v>#VALUE!</v>
      </c>
      <c r="DE181" s="1592" t="e">
        <f aca="false">IF(OR(BQ181,BS181),CL181+IF(OVolSmile,VLOOKUP(MAX(-5,CR181+CZ181-BX181),IF(OVolSmile=1,VolSmileBook,VolSmileModel),2),0),"")</f>
        <v>#VALUE!</v>
      </c>
      <c r="DF181" s="1592" t="e">
        <f aca="false">IF(BQ181,CM181+IF(OVolSmile,VLOOKUP(MAX(-5,CS181+DA181-BZ181),IF(OVolSmile=1,VolSmileBook,VolSmileModel),2),0),"")</f>
        <v>#VALUE!</v>
      </c>
      <c r="DG181" s="1593" t="e">
        <f aca="false">IF(BS181,CN181+IF(OVolSmile,VLOOKUP(MAX(-5,CT181+DA181-CF181),IF(OVolSmile=1,VolSmileBook,VolSmileModel),2),0),"")</f>
        <v>#VALUE!</v>
      </c>
      <c r="DH181" s="1316" t="e">
        <f aca="false">IF(AND(BU181&gt;0,CO181&gt;0,DB181&gt;0,CU181&gt;0),newSPRDOPT(BU181,CO181,CW181,0,DB181,CU181,CV181,BT181*365.25,OCallPut,0),0)</f>
        <v>#VALUE!</v>
      </c>
      <c r="DI181" s="1316" t="e">
        <f aca="false">IF(AND(BV181&gt;0,CP181&gt;0,DC181&gt;0,CU181&gt;0),newSPRDOPT(BV181,CP181,CX181,0,DC181,CU181,CV181,BT181*365.25,OCallPut,0),0)</f>
        <v>#VALUE!</v>
      </c>
      <c r="DJ181" s="1316" t="e">
        <f aca="false">IF(AND(BW181&gt;0,CQ181&gt;0,DD181&gt;0,CU181&gt;0),newSPRDOPT(BW181,CQ181,CY181,0,DD181,CU181,CV181,BT181*365.25,OCallPut,0),0)</f>
        <v>#VALUE!</v>
      </c>
      <c r="DK181" s="1316" t="e">
        <f aca="false">IF(AND(BX181&gt;0,CR181&gt;0,DE181&gt;0,CU181&gt;0),newSPRDOPT(BX181,CR181,CZ181,0,DE181,CU181,CV181,BT181*365.25,OCallPut,0),0)</f>
        <v>#VALUE!</v>
      </c>
      <c r="DL181" s="1316" t="e">
        <f aca="false">IF(OVolType,IF(AND(BZ181&gt;0,CS181&gt;0,DF181&gt;0,CU181&gt;0),newSPRDOPT(BZ181,CS181,DA181,0,DF181,CU181,CV181,BT181*365.25,OCallPut,0),0),IF(BQ181,(DH181*AZ181+DI181*BA181+DJ181*BB181+DK181*BC181)/BQ181,0))</f>
        <v>#VALUE!</v>
      </c>
      <c r="DM181" s="1316"/>
      <c r="DN181" s="1316"/>
      <c r="DO181" s="1316"/>
      <c r="DP181" s="1316"/>
      <c r="DQ181" s="1316"/>
      <c r="DR181" s="1316"/>
      <c r="DS181" s="1316"/>
      <c r="DT181" s="1316"/>
      <c r="DU181" s="1316"/>
      <c r="DV181" s="1316"/>
      <c r="DW181" s="1594" t="e">
        <f aca="false">IF(AND(BW181&gt;0,CT181&gt;0,DD181&gt;0,CU181&gt;0),newSPRDOPT(BW181,CT181,CY181,0,DD181,CU181,CV181,BT181*365.25,OCallPut,0),0)</f>
        <v>#VALUE!</v>
      </c>
      <c r="DX181" s="1316" t="e">
        <f aca="false">IF(AND(BX181&gt;0,CT181&gt;0,DE181&gt;0,CU181&gt;0),newSPRDOPT(BX181,CT181,CZ181,0,DE181,CU181,CV181,BT181*365.25,OCallPut,0),0)</f>
        <v>#VALUE!</v>
      </c>
      <c r="DY181" s="1591" t="e">
        <f aca="false">IF(BS181,(DH181*BH181+DI181*BI181+DW181*BJ181+DX181*BK181)/BS181,0)</f>
        <v>#VALUE!</v>
      </c>
      <c r="DZ181" s="1551" t="e">
        <f aca="false">DH181*AZ181</f>
        <v>#VALUE!</v>
      </c>
      <c r="EA181" s="1551" t="e">
        <f aca="false">DI181*BA181</f>
        <v>#VALUE!</v>
      </c>
      <c r="EB181" s="1551" t="e">
        <f aca="false">DJ181*BB181</f>
        <v>#VALUE!</v>
      </c>
      <c r="EC181" s="1551" t="e">
        <f aca="false">DK181*BC181</f>
        <v>#VALUE!</v>
      </c>
      <c r="ED181" s="1551" t="e">
        <f aca="false">DL181*BQ181</f>
        <v>#VALUE!</v>
      </c>
      <c r="EE181" s="1595" t="e">
        <f aca="false">IF(BQ181,IF(OCallPut,IF(BU181&gt;(CO181+CW181),BU181-(CO181+CW181),0),IF((CO181+CW181)&gt;BU181,(CO181+CW181)-BU181,0))*AZ181,0)</f>
        <v>#VALUE!</v>
      </c>
      <c r="EF181" s="1596" t="e">
        <f aca="false">IF(BQ181,IF(OCallPut,IF(BV181&gt;(CP181+CX181),BV181-(CP181+CX181),0),IF((CP181+CX181)&gt;BV181,(CP181+CX181)-BV181,0))*BA181,0)</f>
        <v>#VALUE!</v>
      </c>
      <c r="EG181" s="1596" t="e">
        <f aca="false">IF(BQ181,IF(OCallPut,IF(BW181&gt;(CQ181+CY181),BW181-(CQ181+CY181),0),IF((CQ181+CY181)&gt;BW181,(CQ181+CY181)-BW181,0))*BB181,0)</f>
        <v>#VALUE!</v>
      </c>
      <c r="EH181" s="1596" t="e">
        <f aca="false">IF(BQ181,IF(OCallPut,IF(BX181&gt;(CR181+CZ181),BX181-(CR181+CZ181),0),IF((CR181+CZ181)&gt;BX181,(CR181+CZ181)-BX181,0))*BC181,0)</f>
        <v>#VALUE!</v>
      </c>
      <c r="EI181" s="1597" t="e">
        <f aca="false">IF(BQ181,IF(OVolType,IF(OCallPut,IF(BZ181&gt;(CS181+DA181),BZ181-(CS181+DA181),0),IF((CS181+DA181)&gt;BZ181,(CS181+DA181)-BZ181,0))*BQ181,SUM(EE181:EH181)),0)</f>
        <v>#VALUE!</v>
      </c>
      <c r="EJ181" s="1595" t="e">
        <f aca="false">DZ181-EE181</f>
        <v>#VALUE!</v>
      </c>
      <c r="EK181" s="1596" t="e">
        <f aca="false">EA181-EF181</f>
        <v>#VALUE!</v>
      </c>
      <c r="EL181" s="1596" t="e">
        <f aca="false">EB181-EG181</f>
        <v>#VALUE!</v>
      </c>
      <c r="EM181" s="1596" t="e">
        <f aca="false">EC181-EH181</f>
        <v>#VALUE!</v>
      </c>
      <c r="EN181" s="1597" t="e">
        <f aca="false">ED181-EI181</f>
        <v>#VALUE!</v>
      </c>
      <c r="EO181" s="1551" t="e">
        <f aca="false">DH181*BH181</f>
        <v>#VALUE!</v>
      </c>
      <c r="EP181" s="1551" t="e">
        <f aca="false">DI181*BI181</f>
        <v>#VALUE!</v>
      </c>
      <c r="EQ181" s="1551" t="e">
        <f aca="false">DW181*BJ181</f>
        <v>#VALUE!</v>
      </c>
      <c r="ER181" s="1551" t="e">
        <f aca="false">DX181*BK181</f>
        <v>#VALUE!</v>
      </c>
      <c r="ES181" s="1551" t="e">
        <f aca="false">DY181*BS181</f>
        <v>#VALUE!</v>
      </c>
      <c r="ET181" s="1566" t="e">
        <f aca="false">IF(EI181,IF(OCallPut,IF(CA181&gt;(CT181+CW181),CA181-(CT181+CW181),0),IF((CT181+CW181)&gt;CA181,(CT181+CW181)-CA181,0))*BH181,0)</f>
        <v>#VALUE!</v>
      </c>
      <c r="EU181" s="1551" t="e">
        <f aca="false">IF(EI181,IF(OCallPut,IF(CB181&gt;(CT181+CX181),CB181-(CT181+CX181),0),IF((CT181+CX181)&gt;CB181,(CT181+CX181)-CB181,0))*BI181,0)</f>
        <v>#VALUE!</v>
      </c>
      <c r="EV181" s="1551" t="e">
        <f aca="false">IF(EI181,IF(OCallPut,IF(CC181&gt;(CT181+CY181),CC181-(CT181+CY181),0),IF((CT181+CY181)&gt;CC181,(CT181+CY181)-CC181,0))*BJ181,0)</f>
        <v>#VALUE!</v>
      </c>
      <c r="EW181" s="1551" t="e">
        <f aca="false">IF(EI181,IF(OCallPut,IF(CD181&gt;(CT181+CZ181),CD181-(CT181+CZ181),0),IF((CT181+CZ181)&gt;CD181,(CT181+CZ181)-CD181,0))*BK181,0)</f>
        <v>#VALUE!</v>
      </c>
      <c r="EX181" s="1558" t="e">
        <f aca="false">IF(EI181,SUM(ET181:EW181),0)</f>
        <v>#VALUE!</v>
      </c>
      <c r="EY181" s="1551" t="e">
        <f aca="false">EO181-ET181</f>
        <v>#VALUE!</v>
      </c>
      <c r="EZ181" s="1551" t="e">
        <f aca="false">EP181-EU181</f>
        <v>#VALUE!</v>
      </c>
      <c r="FA181" s="1551" t="e">
        <f aca="false">EQ181-EV181</f>
        <v>#VALUE!</v>
      </c>
      <c r="FB181" s="1551" t="e">
        <f aca="false">ER181-EW181</f>
        <v>#VALUE!</v>
      </c>
      <c r="FC181" s="1551" t="e">
        <f aca="false">ES181-EX181</f>
        <v>#VALUE!</v>
      </c>
      <c r="FD181" s="1525" t="n">
        <f aca="false">IF(AX181,IF(VLOOKUP(C181,MAIN!$L$17:$M$28,2)="Yes",VLOOKUP(CALC!B181,MAIN!$H$17:$I$20,2),0),0)</f>
        <v>0</v>
      </c>
      <c r="FE181" s="1552" t="e">
        <f aca="false">$FD181*16*AT181*(1-$AY181)</f>
        <v>#VALUE!</v>
      </c>
      <c r="FF181" s="1553" t="e">
        <f aca="false">$FD181*16*AU181*(1-$AY181)</f>
        <v>#VALUE!</v>
      </c>
      <c r="FG181" s="1553" t="e">
        <f aca="false">$FD181*16*(AV181+AW181)*(1-$AY181)</f>
        <v>#VALUE!</v>
      </c>
      <c r="FH181" s="1554" t="n">
        <f aca="false">$FD181*8*AX181*(1-$AY181)</f>
        <v>0</v>
      </c>
      <c r="FI181" s="1555" t="n">
        <f aca="false">IF(AX181,VLOOKUP(CALC!B181,MAIN!$H$17:$K$20,4),0)</f>
        <v>0</v>
      </c>
      <c r="FJ181" s="1553" t="e">
        <f aca="false">SUM(FE181:FH181)</f>
        <v>#VALUE!</v>
      </c>
      <c r="FK181" s="1556" t="e">
        <f aca="false">FI181*FJ181</f>
        <v>#VALUE!</v>
      </c>
      <c r="FL181" s="1551" t="e">
        <f aca="false">IF($EI181&gt;0,MIN(FE181,AZ181*(1+VLOOKUP($C181,WeatherCapacityAdjustment,2))),0)</f>
        <v>#VALUE!</v>
      </c>
      <c r="FM181" s="1551" t="e">
        <f aca="false">IF($EI181&gt;0,MIN(FF181,BA181*(1+VLOOKUP($C181,WeatherCapacityAdjustment,2))),0)</f>
        <v>#VALUE!</v>
      </c>
      <c r="FN181" s="1551" t="e">
        <f aca="false">IF($EI181&gt;0,MIN(FG181,BB181*(1+VLOOKUP($C181,WeatherCapacityAdjustment,2))),0)</f>
        <v>#VALUE!</v>
      </c>
      <c r="FO181" s="1564" t="e">
        <f aca="false">IF($EI181&gt;0,MIN(FH181,BC181*(1+VLOOKUP($C181,WeatherCapacityAdjustment,3))),0)</f>
        <v>#VALUE!</v>
      </c>
      <c r="FP181" s="1551" t="e">
        <f aca="false">IF(ET181&gt;0,MIN(FE181-FL181,BH181*(1+VLOOKUP($C181,WeatherCapacityAdjustment,2))),0)</f>
        <v>#VALUE!</v>
      </c>
      <c r="FQ181" s="1551" t="e">
        <f aca="false">IF(EU181&gt;0,MIN(FF181-FM181,BI181*(1+VLOOKUP($C181,WeatherCapacityAdjustment,2))),0)</f>
        <v>#VALUE!</v>
      </c>
      <c r="FR181" s="1551" t="e">
        <f aca="false">IF(EV181&gt;0,MIN(FG181-FN181,BJ181*(1+VLOOKUP($C181,WeatherCapacityAdjustment,2))),0)</f>
        <v>#VALUE!</v>
      </c>
      <c r="FS181" s="1558" t="e">
        <f aca="false">IF(EW181&gt;0,MIN(FH181-FO181,BK181*(1+VLOOKUP($C181,WeatherCapacityAdjustment,3))),0)</f>
        <v>#VALUE!</v>
      </c>
      <c r="FT181" s="1566" t="e">
        <f aca="false">IF(AND(Assumptions!$H$71="Yes",A181&gt;=Assumptions!$H$72,A181&lt;=Assumptions!$H$73),0,IF(AND($A181&gt;=Assumptions!$C$17,$A181&lt;=Assumptions!$C$18),MAX(AZ181*(1+VLOOKUP($C181,WeatherCapacityAdjustment,2))-FL181,0),0))</f>
        <v>#VALUE!</v>
      </c>
      <c r="FU181" s="1551" t="e">
        <f aca="false">IF(AND(Assumptions!$H$71="Yes",A181&gt;=Assumptions!$H$72,A181&lt;=Assumptions!$H$73),0,IF(AND($A181&gt;=Assumptions!$C$17,$A181&lt;=Assumptions!$C$18),MAX(BA181*(1+VLOOKUP($C181,WeatherCapacityAdjustment,2))-FM181,0),0))</f>
        <v>#VALUE!</v>
      </c>
      <c r="FV181" s="1551" t="e">
        <f aca="false">IF(AND(Assumptions!$H$71="Yes",A181&gt;=Assumptions!$H$72,A181&lt;=Assumptions!$H$73),0,IF(AND($A181&gt;=Assumptions!$C$17,$A181&lt;=Assumptions!$C$18),MAX(BB181*(1+VLOOKUP($C181,WeatherCapacityAdjustment,2))-FN181,0),0))</f>
        <v>#VALUE!</v>
      </c>
      <c r="FW181" s="1564" t="e">
        <f aca="false">IF(AND(Assumptions!$H$71="Yes",A181&gt;=Assumptions!$H$72,A181&lt;=Assumptions!$H$73),0,IF(AND($A181&gt;=Assumptions!$C$17,$A181&lt;=Assumptions!$C$18),MAX(BC181*(1+VLOOKUP($C181,WeatherCapacityAdjustment,3))-FO181,0),0))</f>
        <v>#VALUE!</v>
      </c>
      <c r="FX181" s="1569" t="e">
        <f aca="false">IF(AND(Assumptions!$H$71="Yes",A181&gt;=Assumptions!$H$72,A181&lt;=Assumptions!$H$73),0,IF(ET181&gt;0,MAX(BH181*(1+VLOOKUP($C181,WeatherCapacityAdjustment,2))-FP181,0),0))</f>
        <v>#VALUE!</v>
      </c>
      <c r="FY181" s="1551" t="e">
        <f aca="false">IF(AND(Assumptions!$H$71="Yes",A181&gt;=Assumptions!$H$72,A181&lt;=Assumptions!$H$73),0,IF(EU181&gt;0,MAX(BI181*(1+VLOOKUP($C181,WeatherCapacityAdjustment,3))-FQ181,0),0))</f>
        <v>#VALUE!</v>
      </c>
      <c r="FZ181" s="1551" t="e">
        <f aca="false">IF(AND(Assumptions!$H$71="Yes",A181&gt;=Assumptions!$H$72,A181&lt;=Assumptions!$H$73),0,IF(EV181&gt;0,MAX(BJ181*(1+VLOOKUP($C181,WeatherCapacityAdjustment,2))-FR181,0),0))</f>
        <v>#VALUE!</v>
      </c>
      <c r="GA181" s="1564" t="e">
        <f aca="false">IF(AND(Assumptions!$H$71="Yes",A181&gt;=Assumptions!$H$72,A181&lt;=Assumptions!$H$73),0,IF(EW181&gt;0,MAX(BK181*(1+VLOOKUP($C181,WeatherCapacityAdjustment,2))-FS181,0),0))</f>
        <v>#VALUE!</v>
      </c>
      <c r="GB181" s="1551" t="e">
        <f aca="false">SUM(FT181:GA181)</f>
        <v>#VALUE!</v>
      </c>
      <c r="GC181" s="1563" t="e">
        <f aca="false">+IF(SUM(FT181:GA181)=0,0,(SUMPRODUCT(BU181:BX181,FT181:FW181)+SUMPRODUCT(CA181:CD181,FX181:GA181))/SUM(FT181:GA181))</f>
        <v>#VALUE!</v>
      </c>
      <c r="GD181" s="1551" t="e">
        <f aca="false">(FT181*BU181+FX181*CA181+FU181*BV181+FY181*CB181+FV181*BW181+FZ181*CC181+FW181*BX181+GA181*CD181)</f>
        <v>#VALUE!</v>
      </c>
      <c r="GE181" s="1561" t="e">
        <f aca="false">+IF(BQ181,((FL181+FM181+FT181+FU181)*HeatRatePeak/1000*(1+VLOOKUP($C181,WeatherHeatRateAdjustment,2))+(FN181+FV181)*IF(EV181&gt;0,HeatRatePeak,HeatRateOffPeak)/1000*(1+VLOOKUP($C181,WeatherHeatRateAdjustment,2))+(FO181+FW181)*IF(EW181&gt;0,HeatRatePeak,HeatRateOffPeak)/1000*(1+VLOOKUP($C181,WeatherHeatRateAdjustment,3)))*(1+VLOOKUP($B181,HeatRateDegradation,$C181+1)),0)</f>
        <v>#VALUE!</v>
      </c>
      <c r="GF181" s="1562" t="e">
        <f aca="false">IF(BQ181,((FP181+FQ181+FR181+FX181+FY181+FZ181)*HeatRatePeak/1000*(1+VLOOKUP($C181,WeatherHeatRateAdjustment,2))+(FS181+GA181)*HeatRatePeak/1000*(1+VLOOKUP($C181,WeatherHeatRateAdjustment,3)))*(1+VLOOKUP($B181,HeatRateDegradation,$C181+1)),0)</f>
        <v>#VALUE!</v>
      </c>
      <c r="GG181" s="1563" t="e">
        <f aca="false">IF(BQ181,VLOOKUP(A181,GasTable,13),0)</f>
        <v>#VALUE!</v>
      </c>
      <c r="GH181" s="1564" t="e">
        <f aca="false">(GE181+GF181)*GG181</f>
        <v>#VALUE!</v>
      </c>
      <c r="GI181" s="1569" t="e">
        <f aca="false">GB181</f>
        <v>#VALUE!</v>
      </c>
      <c r="GJ181" s="1598" t="e">
        <f aca="false">+DA181</f>
        <v>#VALUE!</v>
      </c>
      <c r="GK181" s="1558" t="e">
        <f aca="false">+GI181*GJ181</f>
        <v>#VALUE!</v>
      </c>
      <c r="GL181" s="1566" t="e">
        <f aca="false">MAX(FE181-FL181-FP181,0)</f>
        <v>#VALUE!</v>
      </c>
      <c r="GM181" s="1551" t="e">
        <f aca="false">MAX(FF181-FM181-FQ181,0)</f>
        <v>#VALUE!</v>
      </c>
      <c r="GN181" s="1551" t="e">
        <f aca="false">MAX(FG181-FN181-FR181,0)</f>
        <v>#VALUE!</v>
      </c>
      <c r="GO181" s="1564" t="e">
        <f aca="false">MAX(FH181-FO181-FS181,0)</f>
        <v>#VALUE!</v>
      </c>
      <c r="GP181" s="1551" t="e">
        <f aca="false">SUM(GL181:GO181)</f>
        <v>#VALUE!</v>
      </c>
      <c r="GQ181" s="1563" t="e">
        <f aca="false">IF(SUM(GL181:GO181)=0,0,((GL181*BU181+GM181*BV181+GN181*BW181+GO181*BX181)/SUM(GL181:GO181)))</f>
        <v>#VALUE!</v>
      </c>
      <c r="GR181" s="1558" t="e">
        <f aca="false">(GL181*BU181+GM181*BV181+GN181*BW181+GO181*BX181)</f>
        <v>#VALUE!</v>
      </c>
      <c r="GS181" s="1566" t="n">
        <f aca="false">IF($A181&gt;=BegDate,Assumptions!$C$56*24*($A182-$A181)*(1-VLOOKUP($B181,MAIN!$AA$7:$AM$28,$C181+1))*(1-VLOOKUP($B181,MAIN!$AA$33:$AM$54,$C181+1)),0)*80/168</f>
        <v>257742.857142857</v>
      </c>
      <c r="GT181" s="286" t="n">
        <f aca="false">J181</f>
        <v>55.1786226531447</v>
      </c>
      <c r="GU181" s="286" t="n">
        <f aca="false">IF($A181&gt;=BegDate,VLOOKUP($A181,GasTable,13)+Assumptions!$C$58,0)</f>
        <v>3.58168805329776</v>
      </c>
      <c r="GV181" s="286" t="n">
        <f aca="false">GU181*Assumptions!$C$57/1000</f>
        <v>25.9672383864088</v>
      </c>
      <c r="GW181" s="1558" t="n">
        <f aca="false">IF(Assumptions!$C$60="Hourly",MAX(0,GS181*(GT181-GV181)),GS181*(GT181-GV181))</f>
        <v>7529025.64200643</v>
      </c>
      <c r="GX181" s="1566" t="n">
        <f aca="false">IF($A181&gt;=BegDate,Assumptions!$C$56*24*($A182-$A181)*(1-VLOOKUP($B181,MAIN!$AA$7:$AM$28,$C181+1))*(1-VLOOKUP($B181,MAIN!$AA$33:$AM$54,$C181+1)),0)*16/168</f>
        <v>51548.5714285714</v>
      </c>
      <c r="GY181" s="286" t="n">
        <f aca="false">M181</f>
        <v>55.1786226531447</v>
      </c>
      <c r="GZ181" s="286" t="n">
        <f aca="false">IF($A181&gt;=BegDate,VLOOKUP($A181,GasTable,13)+Assumptions!$C$58,0)</f>
        <v>3.58168805329776</v>
      </c>
      <c r="HA181" s="286" t="n">
        <f aca="false">GZ181*Assumptions!$C$57/1000</f>
        <v>25.9672383864088</v>
      </c>
      <c r="HB181" s="1558" t="n">
        <f aca="false">IF(Assumptions!$C$60="Hourly",MAX(0,GX181*(GY181-HA181)),GX181*(GY181-HA181))</f>
        <v>1505805.12840129</v>
      </c>
      <c r="HC181" s="1566" t="n">
        <f aca="false">IF($A181&gt;=BegDate,Assumptions!$C$56*24*($A182-$A181)*(1-VLOOKUP($B181,MAIN!$AA$7:$AM$28,$C181+1))*(1-VLOOKUP($B181,MAIN!$AA$33:$AM$54,$C181+1)),0)*16/168</f>
        <v>51548.5714285714</v>
      </c>
      <c r="HD181" s="286" t="n">
        <f aca="false">P181</f>
        <v>31.2617505938671</v>
      </c>
      <c r="HE181" s="286" t="n">
        <f aca="false">IF($A181&gt;=BegDate,VLOOKUP($A181,GasTable,13)+Assumptions!$C$58,0)</f>
        <v>3.58168805329776</v>
      </c>
      <c r="HF181" s="286" t="n">
        <f aca="false">HE181*Assumptions!$C$57/1000</f>
        <v>25.9672383864088</v>
      </c>
      <c r="HG181" s="1558" t="n">
        <f aca="false">IF(Assumptions!$C$60="Hourly",MAX(0,HC181*(HD181-HF181)),HC181*(HD181-HF181))</f>
        <v>272924.540705609</v>
      </c>
      <c r="HH181" s="1566" t="n">
        <f aca="false">IF($A181&gt;=BegDate,Assumptions!$C$56*24*($A182-$A181)*(1-VLOOKUP($B181,MAIN!$AA$7:$AM$28,$C181+1))*(1-VLOOKUP($B181,MAIN!$AA$33:$AM$54,$C181+1)),0)*56/168</f>
        <v>180420</v>
      </c>
      <c r="HI181" s="286" t="n">
        <f aca="false">S181</f>
        <v>31.2617505938671</v>
      </c>
      <c r="HJ181" s="286" t="n">
        <f aca="false">IF($A181&gt;=BegDate,VLOOKUP($A181,GasTable,13)+Assumptions!$C$58,0)</f>
        <v>3.58168805329776</v>
      </c>
      <c r="HK181" s="286" t="n">
        <f aca="false">HJ181*Assumptions!$C$57/1000</f>
        <v>25.9672383864088</v>
      </c>
      <c r="HL181" s="1558" t="n">
        <f aca="false">IF(Assumptions!$C$60="Hourly",MAX(0,HH181*(HI181-HK181)),HH181*(HI181-HK181))</f>
        <v>955235.892469632</v>
      </c>
      <c r="HM181" s="1566" t="n">
        <f aca="false">IF(AND(Assumptions!$H$71="Yes",A181&gt;=Assumptions!$H$72,A181&lt;=Assumptions!$H$73),Assumptions!$H$74*Assumptions!$C$9*1000,0)</f>
        <v>0</v>
      </c>
      <c r="HN181" s="1551"/>
      <c r="HO181" s="1563"/>
      <c r="HP181" s="1563"/>
      <c r="HQ181" s="1563"/>
      <c r="HR181" s="1563"/>
      <c r="HS181" s="1563"/>
      <c r="HT181" s="1563"/>
      <c r="HU181" s="1563"/>
      <c r="HV181" s="1563"/>
      <c r="HW181" s="1563"/>
      <c r="HX181" s="1563"/>
      <c r="HY181" s="1563"/>
      <c r="HZ181" s="1563"/>
      <c r="IA181" s="1563"/>
      <c r="IB181" s="1563"/>
      <c r="IC181" s="1563"/>
      <c r="ID181" s="1563"/>
      <c r="IE181" s="1563"/>
      <c r="IF181" s="1563"/>
      <c r="IG181" s="1563"/>
      <c r="IH181" s="1563"/>
      <c r="II181" s="1610"/>
      <c r="IJ181" s="1309"/>
      <c r="IK181" s="1309"/>
    </row>
    <row r="182" customFormat="false" ht="12.75" hidden="false" customHeight="false" outlineLevel="0" collapsed="false">
      <c r="A182" s="1571" t="n">
        <f aca="false">EOMONTH(A181,0)+1</f>
        <v>41671</v>
      </c>
      <c r="B182" s="594" t="n">
        <f aca="false">+YEAR(A182)</f>
        <v>2014</v>
      </c>
      <c r="C182" s="238" t="n">
        <f aca="false">MONTH(A182)</f>
        <v>2</v>
      </c>
      <c r="D182" s="1572" t="e">
        <f aca="false">IF(E182="","",Holiday(B182,C182))</f>
        <v>#VALUE!</v>
      </c>
      <c r="E182" s="1573" t="n">
        <f aca="false">IF(OR(BegDate&gt;=A183,EndDate&lt;A182,AND(VolumeMonthlyOverFlag,INDEX(VolumeMonthlyOver,C182)=0),NOT(INDEX(MonthKnockOutTable,C182))),"",MAX(A182,BegDate))</f>
        <v>41671</v>
      </c>
      <c r="F182" s="1574" t="n">
        <f aca="false">IF(E182="","",MIN(A183-1,EndDate))</f>
        <v>41698</v>
      </c>
      <c r="G182" s="1575" t="n">
        <v>0</v>
      </c>
      <c r="H182" s="1576" t="n">
        <f aca="false">(1+G182/2)^(-2*(DATE(B183,C183,20)-DateToday)/365.25)</f>
        <v>1</v>
      </c>
      <c r="I182" s="1568" t="n">
        <f aca="false">IF(Assumptions!$L$25=4,VLOOKUP($A182,'Henwood Reference'!$E$9:$R$320,10),(VLOOKUP($A182,PriceTable,2,0)+IF(BasisNumber&lt;&gt;1,VLOOKUP($A182,BasisTable,2,0),0)+I$1)/(1-I$2))</f>
        <v>50.7583687968841</v>
      </c>
      <c r="J182" s="1568" t="n">
        <f aca="false">IF(Assumptions!$L$25=4,VLOOKUP($A182,'Henwood Reference'!$E$9:$R$320,10),(VLOOKUP($A182,PriceTable,3,0)+IF(BasisNumber&lt;&gt;1,VLOOKUP($A182,BasisTable,2,0),0)+J$1)/(1-J$2))</f>
        <v>50.7583687968841</v>
      </c>
      <c r="K182" s="1568" t="n">
        <f aca="false">IF(Assumptions!$L$25=4,VLOOKUP($A182,'Henwood Reference'!$E$9:$R$320,10),(VLOOKUP($A182,PriceTable,4,0)+IF(BasisNumber&lt;&gt;1,VLOOKUP($A182,BasisTable,2,0),0)+K$1)/(1-K$2))</f>
        <v>50.7583687968841</v>
      </c>
      <c r="L182" s="1523" t="n">
        <f aca="false">IF(Assumptions!$L$25=4,VLOOKUP($A182,'Henwood Reference'!$E$9:$R$320,10),(VLOOKUP($A182,PriceTableWeekend,2,0)+IF(BasisNumber&lt;&gt;1,VLOOKUP($A182,BasisTable,2,0),0)+L$1)/(1-L$2))</f>
        <v>50.7583687968841</v>
      </c>
      <c r="M182" s="1568" t="n">
        <f aca="false">IF(Assumptions!$L$25=4,VLOOKUP($A182,'Henwood Reference'!$E$9:$R$320,10),(VLOOKUP($A182,PriceTableWeekend,3,0)+IF(BasisNumber&lt;&gt;1,VLOOKUP($A182,BasisTable,2,0),0)+M$1)/(1-M$2))</f>
        <v>50.7583687968841</v>
      </c>
      <c r="N182" s="1599" t="n">
        <f aca="false">IF(Assumptions!$L$25=4,VLOOKUP($A182,'Henwood Reference'!$E$9:$R$320,10),(VLOOKUP($A182,PriceTableWeekend,4,0)+IF(BasisNumber&lt;&gt;1,VLOOKUP($A182,BasisTable,2,0),0)+N$1)/(1-N$2))</f>
        <v>50.7583687968841</v>
      </c>
      <c r="O182" s="1568" t="n">
        <f aca="false">IF(Assumptions!$L$25=4,VLOOKUP($A182,'Henwood Reference'!$E$9:$R$320,11),(VLOOKUP($A182,PriceTableWeekend,6,0)+IF(BasisNumber&lt;&gt;1,VLOOKUP($A182,BasisTable,3,0),0)+O$1)/(1-O$2))</f>
        <v>28.7997351698681</v>
      </c>
      <c r="P182" s="1568" t="n">
        <f aca="false">IF(Assumptions!$L$25=4,VLOOKUP($A182,'Henwood Reference'!$E$9:$R$320,11),(VLOOKUP($A182,PriceTableWeekend,7,0)+IF(BasisNumber&lt;&gt;1,VLOOKUP($A182,BasisTable,3,0),0)+P$1)/(1-P$2))</f>
        <v>28.7997351698681</v>
      </c>
      <c r="Q182" s="1599" t="n">
        <f aca="false">IF(Assumptions!$L$25=4,VLOOKUP($A182,'Henwood Reference'!$E$9:$R$320,11),(VLOOKUP($A182,PriceTableWeekend,8,0)+IF(BasisNumber&lt;&gt;1,VLOOKUP($A182,BasisTable,3,0),0)+Q$1)/(1-Q$2))</f>
        <v>28.7997351698681</v>
      </c>
      <c r="R182" s="1568" t="n">
        <f aca="false">IF(Assumptions!$L$25=4,VLOOKUP($A182,'Henwood Reference'!$E$9:$R$320,11),(VLOOKUP($A182,PriceTable,6,0)+IF(BasisNumber&lt;&gt;1,VLOOKUP($A182,BasisTable,3,0),0)+R$1)/(1-R$2))</f>
        <v>28.7997351698681</v>
      </c>
      <c r="S182" s="1568" t="n">
        <f aca="false">IF(Assumptions!$L$25=4,VLOOKUP($A182,'Henwood Reference'!$E$9:$R$320,11),(VLOOKUP($A182,PriceTable,7,0)+IF(BasisNumber&lt;&gt;1,VLOOKUP($A182,BasisTable,3,0),0)+S$1)/(1-S$2))</f>
        <v>28.7997351698681</v>
      </c>
      <c r="T182" s="1600" t="n">
        <f aca="false">IF(Assumptions!$L$25=4,VLOOKUP($A182,'Henwood Reference'!$E$9:$R$320,11),(VLOOKUP($A182,PriceTable,8,0)+IF(BasisNumber&lt;&gt;1,VLOOKUP($A182,BasisTable,3,0),0)+T$1)/(1-T$2))</f>
        <v>28.7997351698681</v>
      </c>
      <c r="U182" s="1513" t="n">
        <f aca="false">VLOOKUP($A182,VolatilityTable,14)</f>
        <v>0.0999999999999999</v>
      </c>
      <c r="V182" s="1513" t="n">
        <f aca="false">VLOOKUP($A182,VolatilityTable,15)</f>
        <v>0.11</v>
      </c>
      <c r="W182" s="1514" t="n">
        <f aca="false">VLOOKUP($A182,VolatilityTable,16)</f>
        <v>0.12</v>
      </c>
      <c r="X182" s="1513" t="n">
        <f aca="false">VLOOKUP($A182,VolatilityTable,14)</f>
        <v>0.0999999999999999</v>
      </c>
      <c r="Y182" s="1513" t="n">
        <f aca="false">VLOOKUP($A182,VolatilityTable,15)</f>
        <v>0.11</v>
      </c>
      <c r="Z182" s="1514" t="n">
        <f aca="false">VLOOKUP($A182,VolatilityTable,16)</f>
        <v>0.12</v>
      </c>
      <c r="AA182" s="1513" t="n">
        <f aca="false">VLOOKUP($A182,VolatilityTable,18)</f>
        <v>0.09</v>
      </c>
      <c r="AB182" s="1513" t="n">
        <f aca="false">VLOOKUP($A182,VolatilityTable,19)</f>
        <v>0.11</v>
      </c>
      <c r="AC182" s="1514" t="n">
        <f aca="false">VLOOKUP($A182,VolatilityTable,20)</f>
        <v>0.13</v>
      </c>
      <c r="AD182" s="1513" t="n">
        <f aca="false">VLOOKUP($A182,VolatilityTable,18)</f>
        <v>0.09</v>
      </c>
      <c r="AE182" s="1513" t="n">
        <f aca="false">VLOOKUP($A182,VolatilityTable,19)</f>
        <v>0.11</v>
      </c>
      <c r="AF182" s="1514" t="n">
        <f aca="false">VLOOKUP($A182,VolatilityTable,20)</f>
        <v>0.13</v>
      </c>
      <c r="AG182" s="1513" t="n">
        <f aca="false">VLOOKUP($A182,VolatilityTable,22)</f>
        <v>-0.25</v>
      </c>
      <c r="AH182" s="1513" t="n">
        <f aca="false">VLOOKUP($A182,VolatilityTable,23)</f>
        <v>0.65</v>
      </c>
      <c r="AI182" s="1514" t="n">
        <f aca="false">VLOOKUP($A182,VolatilityTable,24)</f>
        <v>0.25</v>
      </c>
      <c r="AJ182" s="1513" t="n">
        <f aca="false">VLOOKUP($A182,VolatilityTable,22)</f>
        <v>-0.25</v>
      </c>
      <c r="AK182" s="1513" t="n">
        <f aca="false">VLOOKUP($A182,VolatilityTable,23)</f>
        <v>0.65</v>
      </c>
      <c r="AL182" s="1514" t="n">
        <f aca="false">VLOOKUP($A182,VolatilityTable,24)</f>
        <v>0.25</v>
      </c>
      <c r="AM182" s="1513" t="n">
        <f aca="false">VLOOKUP($A182,VolatilityTable,26)</f>
        <v>-0.01</v>
      </c>
      <c r="AN182" s="1513" t="n">
        <f aca="false">VLOOKUP($A182,VolatilityTable,27)</f>
        <v>0.16</v>
      </c>
      <c r="AO182" s="1514" t="n">
        <f aca="false">VLOOKUP($A182,VolatilityTable,28)</f>
        <v>0.01</v>
      </c>
      <c r="AP182" s="1513" t="n">
        <f aca="false">VLOOKUP($A182,VolatilityTable,26)</f>
        <v>-0.01</v>
      </c>
      <c r="AQ182" s="1513" t="n">
        <f aca="false">VLOOKUP($A182,VolatilityTable,27)</f>
        <v>0.16</v>
      </c>
      <c r="AR182" s="1515" t="n">
        <f aca="false">VLOOKUP($A182,VolatilityTable,28)</f>
        <v>0.01</v>
      </c>
      <c r="AS182" s="1581" t="n">
        <f aca="false">IF(CorrPeakOffPeakOverFlag,INDEX(CorrPeakOffPeakOver,C182),CorrPeakOffPeak)</f>
        <v>0.5</v>
      </c>
      <c r="AT182" s="594" t="e">
        <f aca="false">AX182-SUM(AU182:AW182)</f>
        <v>#VALUE!</v>
      </c>
      <c r="AU182" s="238" t="e">
        <f aca="false">IF(E182="",0,INT((F182-MOD(F182,7)-E182)/7)+1-IF(AW182,IF(WEEKDAY(D182)=7,1,0),0))</f>
        <v>#VALUE!</v>
      </c>
      <c r="AV182" s="238" t="e">
        <f aca="false">IF(E182="",0,INT((F182-MOD(F182-1,7)-E182)/7)+1-IF(AW182,IF(WEEKDAY(D182)=1,1,0),0))</f>
        <v>#VALUE!</v>
      </c>
      <c r="AW182" s="238" t="e">
        <f aca="false">IF(OR(E182="",D182="",D182&lt;BegDate,D182&gt;EndDate),0,1)</f>
        <v>#VALUE!</v>
      </c>
      <c r="AX182" s="238" t="n">
        <f aca="false">IF(E182="",0,F182-E182+1)</f>
        <v>28</v>
      </c>
      <c r="AY182" s="1582" t="n">
        <f aca="false">IF(E182="",0,MIN((1-(1-VLOOKUP(B182,MAIN!$AA$7:$AM$28,C182+1))*(1-VLOOKUP(B182,MAIN!$AA$33:$AM$54,C182+1))),1))</f>
        <v>0.03</v>
      </c>
      <c r="AZ182" s="1519" t="e">
        <v>#VALUE!</v>
      </c>
      <c r="BA182" s="1520" t="e">
        <v>#VALUE!</v>
      </c>
      <c r="BB182" s="1520" t="e">
        <v>#VALUE!</v>
      </c>
      <c r="BC182" s="1583" t="e">
        <v>#VALUE!</v>
      </c>
      <c r="BD182" s="1522" t="e">
        <v>#VALUE!</v>
      </c>
      <c r="BE182" s="1523" t="e">
        <v>#VALUE!</v>
      </c>
      <c r="BF182" s="1523" t="e">
        <v>#VALUE!</v>
      </c>
      <c r="BG182" s="1584" t="e">
        <v>#VALUE!</v>
      </c>
      <c r="BH182" s="1525" t="e">
        <v>#VALUE!</v>
      </c>
      <c r="BI182" s="1520" t="e">
        <v>#VALUE!</v>
      </c>
      <c r="BJ182" s="1520" t="e">
        <v>#VALUE!</v>
      </c>
      <c r="BK182" s="1583" t="e">
        <v>#VALUE!</v>
      </c>
      <c r="BL182" s="1522" t="e">
        <v>#VALUE!</v>
      </c>
      <c r="BM182" s="1523" t="e">
        <v>#VALUE!</v>
      </c>
      <c r="BN182" s="1523" t="e">
        <v>#VALUE!</v>
      </c>
      <c r="BO182" s="1523" t="e">
        <v>#VALUE!</v>
      </c>
      <c r="BP182" s="1525" t="e">
        <f aca="false">SUM(AZ182:BB182)</f>
        <v>#VALUE!</v>
      </c>
      <c r="BQ182" s="1529" t="e">
        <f aca="false">SUM(AZ182:BC182)</f>
        <v>#VALUE!</v>
      </c>
      <c r="BR182" s="1519" t="e">
        <f aca="false">SUM(BH182:BJ182)</f>
        <v>#VALUE!</v>
      </c>
      <c r="BS182" s="1529" t="e">
        <f aca="false">SUM(BH182:BK182)</f>
        <v>#VALUE!</v>
      </c>
      <c r="BT182" s="1316" t="n">
        <f aca="false">(IF(OVolType&lt;&gt;2,A182+14,IF(OptExpDateShift,ShiftBack(A182,OptExpDateShift,D181),A182))-DateToday)/365.25</f>
        <v>13.8015058179329</v>
      </c>
      <c r="BU182" s="1585" t="e">
        <f aca="false">IF(BQ182,IF(OPriceCurve,IF(OBuySell=OCallPut,I182/(1-AY182),K182/(1-AY182)),J182/(1-AY182))*BD182,0)</f>
        <v>#VALUE!</v>
      </c>
      <c r="BV182" s="1316" t="e">
        <f aca="false">IF(BQ182,IF(OPriceCurve,IF(OBuySell=OCallPut,L182/(1-AY182),N182/(1-AY182)),M182/(1-AY182))*BE182,0)</f>
        <v>#VALUE!</v>
      </c>
      <c r="BW182" s="1316" t="e">
        <f aca="false">IF(BQ182,IF(OPriceCurve,IF(OBuySell=OCallPut,O182/(1-AY182),Q182/(1-AY182)),P182/(1-AY182))*BF182,0)</f>
        <v>#VALUE!</v>
      </c>
      <c r="BX182" s="1316" t="e">
        <f aca="false">IF(BQ182,IF(OPriceCurve,IF(OBuySell=OCallPut,R182/(1-AY182),T182/(1-AY182)),S182/(1-AY182))*BG182,0)</f>
        <v>#VALUE!</v>
      </c>
      <c r="BY182" s="1316" t="e">
        <f aca="false">IF(BP182,(BU182*AZ182+BV182*BA182+BW182*BB182)/BP182,0)</f>
        <v>#VALUE!</v>
      </c>
      <c r="BZ182" s="1316" t="e">
        <f aca="false">IF(BQ182,(BY182*BP182+BX182*BC182)/BQ182,0)</f>
        <v>#VALUE!</v>
      </c>
      <c r="CA182" s="1531" t="e">
        <f aca="false">IF(BS182,IF(OPriceCurve,IF(OBuySell=OCallPut,I182/(1-AY182),K182/(1-AY182)),J182/(1-AY182))*BL182,0)</f>
        <v>#VALUE!</v>
      </c>
      <c r="CB182" s="1316" t="e">
        <f aca="false">IF(BS182,IF(OPriceCurve,IF(OBuySell=OCallPut,L182/(1-AY182),N182/(1-AY182)),M182/(1-AY182))*BM182,0)</f>
        <v>#VALUE!</v>
      </c>
      <c r="CC182" s="1316" t="e">
        <f aca="false">IF(BS182,IF(OPriceCurve,IF(OBuySell=OCallPut,O182/(1-AY182),Q182/(1-AY182)),P182/(1-AY182))*BN182,0)</f>
        <v>#VALUE!</v>
      </c>
      <c r="CD182" s="1316" t="e">
        <f aca="false">IF(BS182,IF(OPriceCurve,IF(OBuySell=OCallPut,R182/(1-AY182),T182/(1-AY182)),S182/(1-AY182))*BO182,0)</f>
        <v>#VALUE!</v>
      </c>
      <c r="CE182" s="1316" t="e">
        <f aca="false">IF(BR182,(BU182*BH182+BV182*BI182+BW182*BJ182)/BR182,0)</f>
        <v>#VALUE!</v>
      </c>
      <c r="CF182" s="1532" t="e">
        <f aca="false">IF(BS182,(CE182*BR182+CD182*BK182)/BS182,0)</f>
        <v>#VALUE!</v>
      </c>
      <c r="CG182" s="1586" t="e">
        <f aca="false">IF(OR(BQ182,BS182),IF(OVolType&lt;&gt;2,SQRT(IF(OVolOverMonthlyPeak,OVolOverMonthlyPeak,IF(OVolCurve,IF(OBuySell,U182,W182),V182))^2*(1-15/365.25/BT182)+IF(OVolOverDailyPeak,OVolOverDailyPeak,IF(OVolCurve,IF(OBuySell,AG182,AI182),AH182))^2*15/365.25/BT182),IF(OVolOverMonthlyPeak,OVolOverMonthlyPeak,IF(OVolCurve,IF(OBuySell,U182,W182),V182))),"")</f>
        <v>#VALUE!</v>
      </c>
      <c r="CH182" s="1587" t="e">
        <f aca="false">IF(OR(BQ182,BS182),IF(OVolType&lt;&gt;2,SQRT(IF(OVolOverMonthlyPeak,OVolOverMonthlyPeak,IF(OVolCurve,IF(OBuySell,X182,Z182),Y182))^2*(1-15/365.25/BT182)+IF(OVolOverDailyPeak,OVolOverDailyPeak,IF(OVolCurve,IF(OBuySell,AJ182,AL182),AK182))^2*15/365.25/BT182),IF(OVolOverMonthlyPeak,OVolOverMonthlyPeak,IF(OVolCurve,IF(OBuySell,X182,Z182),Y182))),"")</f>
        <v>#VALUE!</v>
      </c>
      <c r="CI182" s="1587" t="e">
        <f aca="false">IF(OR(BQ182,BS182),IF(OVolType&lt;&gt;2,SQRT(IF(OVolOverMonthlyPeak,OVolOverMonthlyPeak,IF(OVolCurve,IF(OBuySell,AA182,AC182),AB182))^2*(1-15/365.25/BT182)+IF(OVolOverDailyPeak,OVolOverDailyPeak,IF(OVolCurve,IF(OBuySell,AM182,AO182),AN182))^2*15/365.25/BT182),IF(OVolOverMonthlyPeak,OVolOverMonthlyPeak,IF(OVolCurve,IF(OBuySell,AA182,AC182),AB182))),"")</f>
        <v>#VALUE!</v>
      </c>
      <c r="CJ182" s="1587" t="e">
        <f aca="false">IF(BQ182,IF(BP182,SQRT(LN(1+((BU182*AZ182)^2*(EXP(CG182^2*BT182)-1)+(BV182*BA182)^2*(EXP(CH182^2*BT182)-1)+(BW182*BB182)^2*(EXP(CI182^2*BT182)-1)+2*BU182*AZ182*BV182*BA182*(EXP(CG182*CH182*BT182)-1)+2*BV182*BA182*BW182*BB182*(EXP(CH182*CI182*BT182)-1)+2*BW182*BB182*BU182*AZ182*(EXP(CI182*CG182*BT182)-1))/(BY182*BP182)^2)/BT182),0),"")</f>
        <v>#VALUE!</v>
      </c>
      <c r="CK182" s="1587" t="e">
        <f aca="false">IF(BS182,IF(BR182,SQRT(LN(1+((CA182*BH182)^2*(EXP(CG182^2*BT182)-1)+(CB182*BI182)^2*(EXP(CH182^2*BT182)-1)+(CC182*BJ182)^2*(EXP(CI182^2*BT182)-1)+2*CA182*BH182*CB182*BI182*(EXP(CG182*CH182*BT182)-1)+2*CB182*BI182*CC182*BJ182*(EXP(CH182*CI182*BT182)-1)+2*CC182*BJ182*CA182*BH182*(EXP(CI182*CG182*BT182)-1))/(CE182*BR182)^2)/BT182),0),"")</f>
        <v>#VALUE!</v>
      </c>
      <c r="CL182" s="1587" t="e">
        <f aca="false">IF(OR(BQ182,BS182),IF(OVolType&lt;&gt;2,SQRT(IF(OVolOverMonthlyOffPeak,OVolOverMonthlyOffPeak,IF(OVolCurve,IF(OBuySell,AD182,AF182),AE182))^2*(1-15/365.25/BT182)+IF(OVolOverDailyOffPeak,OVolOverDailyOffPeak,IF(OVolCurve,IF(OBuySell,AP182,AR182),AQ182))^2*15/365.25/BT182),IF(OVolOverMonthlyOffPeak,OVolOverMonthlyOffPeak,IF(OVolCurve,IF(OBuySell,AD182,AF182),AE182))),"")</f>
        <v>#VALUE!</v>
      </c>
      <c r="CM182" s="1587" t="e">
        <f aca="false">IF(BQ182,SQRT(LN(1+((BY182*BP182)^2*(EXP(CJ182^2*BT182)-1)+(BX182*BC182)^2*(EXP(CL182^2*BT182)-1)+2*BY182*BP182*BX182*BC182*(EXP(AS182*CJ182*CL182*BT182)-1))/(BY182*BP182+BX182*BC182)^2)/BT182),"")</f>
        <v>#VALUE!</v>
      </c>
      <c r="CN182" s="1588" t="e">
        <f aca="false">IF(BS182,SQRT(LN(1+((CE182*BR182)^2*(EXP(CK182^2*BT182)-1)+(CD182*BK182)^2*(EXP(CL182^2*BT182)-1)+2*CE182*BR182*CD182*BK182*(EXP(AS182*CK182*CL182*BT182)-1))/(CE182*BR182+CD182*BK182)^2)/BT182),"")</f>
        <v>#VALUE!</v>
      </c>
      <c r="CO182" s="1531" t="e">
        <f aca="false">IF(OR(BQ182,BS182),VLOOKUP(A182,GasTable,13)*HeatRatePeak*(1+VLOOKUP($B182,HeatRateDegradation,$C182+1))/1000,0)</f>
        <v>#VALUE!</v>
      </c>
      <c r="CP182" s="1316" t="e">
        <f aca="false">IF(OR(BQ182,BS182),VLOOKUP(A182,GasTable,13)*HeatRatePeak*(1+VLOOKUP($B182,HeatRateDegradation,$C182+1))/1000,0)</f>
        <v>#VALUE!</v>
      </c>
      <c r="CQ182" s="1316" t="e">
        <f aca="false">IF(OR(BQ182,BS182),VLOOKUP(A182,GasTable,13)*IF(EV182,HeatRatePeak,HeatRateOffPeak)*(1+VLOOKUP($B182,HeatRateDegradation,$C182+1))/1000,0)</f>
        <v>#VALUE!</v>
      </c>
      <c r="CR182" s="1316" t="e">
        <f aca="false">IF(OR(BQ182,BS182),VLOOKUP(A182,GasTable,13)*IF(EW182,HeatRatePeak,HeatRateOffPeak)*(1+VLOOKUP($B182,HeatRateDegradation,$C182+1))/1000,0)</f>
        <v>#VALUE!</v>
      </c>
      <c r="CS182" s="1589" t="e">
        <f aca="false">IF(BQ182,(CO182*AZ182+CP182*BA182+CQ182*BB182+CR182*BC182)/BQ182,0)</f>
        <v>#VALUE!</v>
      </c>
      <c r="CT182" s="1316" t="e">
        <f aca="false">IF(BS182,CO182,0)</f>
        <v>#VALUE!</v>
      </c>
      <c r="CU182" s="1590" t="e">
        <f aca="false">IF(OR(BQ182,BS182),VLOOKUP(A182,GasTable,14),"")</f>
        <v>#VALUE!</v>
      </c>
      <c r="CV182" s="1568" t="e">
        <f aca="false">IF(OR(BQ182,BS182),IF(CorrPowerGasOverFlag,INDEX(CorrPowerGasOver,C182),CorrPowerGas),"")</f>
        <v>#VALUE!</v>
      </c>
      <c r="CW182" s="1316" t="e">
        <f aca="false">IF(OR($BQ182,$BS182),SpreadOptPowerMargin,0)*((1+Assumptions!$C$26)^($B182-YEAR(Assumptions!$C$17)))</f>
        <v>#VALUE!</v>
      </c>
      <c r="CX182" s="1316" t="e">
        <f aca="false">IF(OR($BQ182,$BS182),SpreadOptPowerMargin,0)*((1+Assumptions!$C$26)^($B182-YEAR(Assumptions!$C$17)))</f>
        <v>#VALUE!</v>
      </c>
      <c r="CY182" s="1316" t="e">
        <f aca="false">IF(OR($BQ182,$BS182),SpreadOptPowerMargin,0)*((1+Assumptions!$C$26)^($B182-YEAR(Assumptions!$C$17)))</f>
        <v>#VALUE!</v>
      </c>
      <c r="CZ182" s="1316" t="e">
        <f aca="false">IF(OR($BQ182,$BS182),SpreadOptPowerMargin,0)*((1+Assumptions!$C$26)^($B182-YEAR(Assumptions!$C$17)))</f>
        <v>#VALUE!</v>
      </c>
      <c r="DA182" s="1591" t="e">
        <f aca="false">IF(OR(BQ182,BS182),(CW182*(AZ182+BH182)+CX182*(BA182+BI182)+CY182*(BB182+BJ182)+CZ182*(BC182+BK182))/(BQ182+BS182),0)</f>
        <v>#VALUE!</v>
      </c>
      <c r="DB182" s="1592" t="e">
        <f aca="false">IF(OR(BQ182,BS182),CG182+IF(OVolSmile,VLOOKUP(MAX(-5,CO182+CW182-BU182),IF(OVolSmile=1,VolSmileBook,VolSmileModel),2),0),"")</f>
        <v>#VALUE!</v>
      </c>
      <c r="DC182" s="1592" t="e">
        <f aca="false">IF(OR(BQ182,BS182),CH182+IF(OVolSmile,VLOOKUP(MAX(-5,CP182+CW182-BV182),IF(OVolSmile=1,VolSmileBook,VolSmileModel),2),0),"")</f>
        <v>#VALUE!</v>
      </c>
      <c r="DD182" s="1592" t="e">
        <f aca="false">IF(OR(BQ182,BS182),CI182+IF(OVolSmile,VLOOKUP(MAX(-5,CQ182+CW182-BW182),IF(OVolSmile=1,VolSmileBook,VolSmileModel),2),0),"")</f>
        <v>#VALUE!</v>
      </c>
      <c r="DE182" s="1592" t="e">
        <f aca="false">IF(OR(BQ182,BS182),CL182+IF(OVolSmile,VLOOKUP(MAX(-5,CR182+CZ182-BX182),IF(OVolSmile=1,VolSmileBook,VolSmileModel),2),0),"")</f>
        <v>#VALUE!</v>
      </c>
      <c r="DF182" s="1592" t="e">
        <f aca="false">IF(BQ182,CM182+IF(OVolSmile,VLOOKUP(MAX(-5,CS182+DA182-BZ182),IF(OVolSmile=1,VolSmileBook,VolSmileModel),2),0),"")</f>
        <v>#VALUE!</v>
      </c>
      <c r="DG182" s="1593" t="e">
        <f aca="false">IF(BS182,CN182+IF(OVolSmile,VLOOKUP(MAX(-5,CT182+DA182-CF182),IF(OVolSmile=1,VolSmileBook,VolSmileModel),2),0),"")</f>
        <v>#VALUE!</v>
      </c>
      <c r="DH182" s="1316" t="e">
        <f aca="false">IF(AND(BU182&gt;0,CO182&gt;0,DB182&gt;0,CU182&gt;0),newSPRDOPT(BU182,CO182,CW182,0,DB182,CU182,CV182,BT182*365.25,OCallPut,0),0)</f>
        <v>#VALUE!</v>
      </c>
      <c r="DI182" s="1316" t="e">
        <f aca="false">IF(AND(BV182&gt;0,CP182&gt;0,DC182&gt;0,CU182&gt;0),newSPRDOPT(BV182,CP182,CX182,0,DC182,CU182,CV182,BT182*365.25,OCallPut,0),0)</f>
        <v>#VALUE!</v>
      </c>
      <c r="DJ182" s="1316" t="e">
        <f aca="false">IF(AND(BW182&gt;0,CQ182&gt;0,DD182&gt;0,CU182&gt;0),newSPRDOPT(BW182,CQ182,CY182,0,DD182,CU182,CV182,BT182*365.25,OCallPut,0),0)</f>
        <v>#VALUE!</v>
      </c>
      <c r="DK182" s="1316" t="e">
        <f aca="false">IF(AND(BX182&gt;0,CR182&gt;0,DE182&gt;0,CU182&gt;0),newSPRDOPT(BX182,CR182,CZ182,0,DE182,CU182,CV182,BT182*365.25,OCallPut,0),0)</f>
        <v>#VALUE!</v>
      </c>
      <c r="DL182" s="1316" t="e">
        <f aca="false">IF(OVolType,IF(AND(BZ182&gt;0,CS182&gt;0,DF182&gt;0,CU182&gt;0),newSPRDOPT(BZ182,CS182,DA182,0,DF182,CU182,CV182,BT182*365.25,OCallPut,0),0),IF(BQ182,(DH182*AZ182+DI182*BA182+DJ182*BB182+DK182*BC182)/BQ182,0))</f>
        <v>#VALUE!</v>
      </c>
      <c r="DM182" s="1316"/>
      <c r="DN182" s="1316"/>
      <c r="DO182" s="1316"/>
      <c r="DP182" s="1316"/>
      <c r="DQ182" s="1316"/>
      <c r="DR182" s="1316"/>
      <c r="DS182" s="1316"/>
      <c r="DT182" s="1316"/>
      <c r="DU182" s="1316"/>
      <c r="DV182" s="1316"/>
      <c r="DW182" s="1594" t="e">
        <f aca="false">IF(AND(BW182&gt;0,CT182&gt;0,DD182&gt;0,CU182&gt;0),newSPRDOPT(BW182,CT182,CY182,0,DD182,CU182,CV182,BT182*365.25,OCallPut,0),0)</f>
        <v>#VALUE!</v>
      </c>
      <c r="DX182" s="1316" t="e">
        <f aca="false">IF(AND(BX182&gt;0,CT182&gt;0,DE182&gt;0,CU182&gt;0),newSPRDOPT(BX182,CT182,CZ182,0,DE182,CU182,CV182,BT182*365.25,OCallPut,0),0)</f>
        <v>#VALUE!</v>
      </c>
      <c r="DY182" s="1591" t="e">
        <f aca="false">IF(BS182,(DH182*BH182+DI182*BI182+DW182*BJ182+DX182*BK182)/BS182,0)</f>
        <v>#VALUE!</v>
      </c>
      <c r="DZ182" s="1551" t="e">
        <f aca="false">DH182*AZ182</f>
        <v>#VALUE!</v>
      </c>
      <c r="EA182" s="1551" t="e">
        <f aca="false">DI182*BA182</f>
        <v>#VALUE!</v>
      </c>
      <c r="EB182" s="1551" t="e">
        <f aca="false">DJ182*BB182</f>
        <v>#VALUE!</v>
      </c>
      <c r="EC182" s="1551" t="e">
        <f aca="false">DK182*BC182</f>
        <v>#VALUE!</v>
      </c>
      <c r="ED182" s="1551" t="e">
        <f aca="false">DL182*BQ182</f>
        <v>#VALUE!</v>
      </c>
      <c r="EE182" s="1595" t="e">
        <f aca="false">IF(BQ182,IF(OCallPut,IF(BU182&gt;(CO182+CW182),BU182-(CO182+CW182),0),IF((CO182+CW182)&gt;BU182,(CO182+CW182)-BU182,0))*AZ182,0)</f>
        <v>#VALUE!</v>
      </c>
      <c r="EF182" s="1596" t="e">
        <f aca="false">IF(BQ182,IF(OCallPut,IF(BV182&gt;(CP182+CX182),BV182-(CP182+CX182),0),IF((CP182+CX182)&gt;BV182,(CP182+CX182)-BV182,0))*BA182,0)</f>
        <v>#VALUE!</v>
      </c>
      <c r="EG182" s="1596" t="e">
        <f aca="false">IF(BQ182,IF(OCallPut,IF(BW182&gt;(CQ182+CY182),BW182-(CQ182+CY182),0),IF((CQ182+CY182)&gt;BW182,(CQ182+CY182)-BW182,0))*BB182,0)</f>
        <v>#VALUE!</v>
      </c>
      <c r="EH182" s="1596" t="e">
        <f aca="false">IF(BQ182,IF(OCallPut,IF(BX182&gt;(CR182+CZ182),BX182-(CR182+CZ182),0),IF((CR182+CZ182)&gt;BX182,(CR182+CZ182)-BX182,0))*BC182,0)</f>
        <v>#VALUE!</v>
      </c>
      <c r="EI182" s="1597" t="e">
        <f aca="false">IF(BQ182,IF(OVolType,IF(OCallPut,IF(BZ182&gt;(CS182+DA182),BZ182-(CS182+DA182),0),IF((CS182+DA182)&gt;BZ182,(CS182+DA182)-BZ182,0))*BQ182,SUM(EE182:EH182)),0)</f>
        <v>#VALUE!</v>
      </c>
      <c r="EJ182" s="1595" t="e">
        <f aca="false">DZ182-EE182</f>
        <v>#VALUE!</v>
      </c>
      <c r="EK182" s="1596" t="e">
        <f aca="false">EA182-EF182</f>
        <v>#VALUE!</v>
      </c>
      <c r="EL182" s="1596" t="e">
        <f aca="false">EB182-EG182</f>
        <v>#VALUE!</v>
      </c>
      <c r="EM182" s="1596" t="e">
        <f aca="false">EC182-EH182</f>
        <v>#VALUE!</v>
      </c>
      <c r="EN182" s="1597" t="e">
        <f aca="false">ED182-EI182</f>
        <v>#VALUE!</v>
      </c>
      <c r="EO182" s="1551" t="e">
        <f aca="false">DH182*BH182</f>
        <v>#VALUE!</v>
      </c>
      <c r="EP182" s="1551" t="e">
        <f aca="false">DI182*BI182</f>
        <v>#VALUE!</v>
      </c>
      <c r="EQ182" s="1551" t="e">
        <f aca="false">DW182*BJ182</f>
        <v>#VALUE!</v>
      </c>
      <c r="ER182" s="1551" t="e">
        <f aca="false">DX182*BK182</f>
        <v>#VALUE!</v>
      </c>
      <c r="ES182" s="1551" t="e">
        <f aca="false">DY182*BS182</f>
        <v>#VALUE!</v>
      </c>
      <c r="ET182" s="1566" t="e">
        <f aca="false">IF(EI182,IF(OCallPut,IF(CA182&gt;(CT182+CW182),CA182-(CT182+CW182),0),IF((CT182+CW182)&gt;CA182,(CT182+CW182)-CA182,0))*BH182,0)</f>
        <v>#VALUE!</v>
      </c>
      <c r="EU182" s="1551" t="e">
        <f aca="false">IF(EI182,IF(OCallPut,IF(CB182&gt;(CT182+CX182),CB182-(CT182+CX182),0),IF((CT182+CX182)&gt;CB182,(CT182+CX182)-CB182,0))*BI182,0)</f>
        <v>#VALUE!</v>
      </c>
      <c r="EV182" s="1551" t="e">
        <f aca="false">IF(EI182,IF(OCallPut,IF(CC182&gt;(CT182+CY182),CC182-(CT182+CY182),0),IF((CT182+CY182)&gt;CC182,(CT182+CY182)-CC182,0))*BJ182,0)</f>
        <v>#VALUE!</v>
      </c>
      <c r="EW182" s="1551" t="e">
        <f aca="false">IF(EI182,IF(OCallPut,IF(CD182&gt;(CT182+CZ182),CD182-(CT182+CZ182),0),IF((CT182+CZ182)&gt;CD182,(CT182+CZ182)-CD182,0))*BK182,0)</f>
        <v>#VALUE!</v>
      </c>
      <c r="EX182" s="1558" t="e">
        <f aca="false">IF(EI182,SUM(ET182:EW182),0)</f>
        <v>#VALUE!</v>
      </c>
      <c r="EY182" s="1551" t="e">
        <f aca="false">EO182-ET182</f>
        <v>#VALUE!</v>
      </c>
      <c r="EZ182" s="1551" t="e">
        <f aca="false">EP182-EU182</f>
        <v>#VALUE!</v>
      </c>
      <c r="FA182" s="1551" t="e">
        <f aca="false">EQ182-EV182</f>
        <v>#VALUE!</v>
      </c>
      <c r="FB182" s="1551" t="e">
        <f aca="false">ER182-EW182</f>
        <v>#VALUE!</v>
      </c>
      <c r="FC182" s="1551" t="e">
        <f aca="false">ES182-EX182</f>
        <v>#VALUE!</v>
      </c>
      <c r="FD182" s="1525" t="n">
        <f aca="false">IF(AX182,IF(VLOOKUP(C182,MAIN!$L$17:$M$28,2)="Yes",VLOOKUP(CALC!B182,MAIN!$H$17:$I$20,2),0),0)</f>
        <v>0</v>
      </c>
      <c r="FE182" s="1552" t="e">
        <f aca="false">$FD182*16*AT182*(1-$AY182)</f>
        <v>#VALUE!</v>
      </c>
      <c r="FF182" s="1553" t="e">
        <f aca="false">$FD182*16*AU182*(1-$AY182)</f>
        <v>#VALUE!</v>
      </c>
      <c r="FG182" s="1553" t="e">
        <f aca="false">$FD182*16*(AV182+AW182)*(1-$AY182)</f>
        <v>#VALUE!</v>
      </c>
      <c r="FH182" s="1554" t="n">
        <f aca="false">$FD182*8*AX182*(1-$AY182)</f>
        <v>0</v>
      </c>
      <c r="FI182" s="1555" t="n">
        <f aca="false">IF(AX182,VLOOKUP(CALC!B182,MAIN!$H$17:$K$20,4),0)</f>
        <v>0</v>
      </c>
      <c r="FJ182" s="1553" t="e">
        <f aca="false">SUM(FE182:FH182)</f>
        <v>#VALUE!</v>
      </c>
      <c r="FK182" s="1556" t="e">
        <f aca="false">FI182*FJ182</f>
        <v>#VALUE!</v>
      </c>
      <c r="FL182" s="1551" t="e">
        <f aca="false">IF($EI182&gt;0,MIN(FE182,AZ182*(1+VLOOKUP($C182,WeatherCapacityAdjustment,2))),0)</f>
        <v>#VALUE!</v>
      </c>
      <c r="FM182" s="1551" t="e">
        <f aca="false">IF($EI182&gt;0,MIN(FF182,BA182*(1+VLOOKUP($C182,WeatherCapacityAdjustment,2))),0)</f>
        <v>#VALUE!</v>
      </c>
      <c r="FN182" s="1551" t="e">
        <f aca="false">IF($EI182&gt;0,MIN(FG182,BB182*(1+VLOOKUP($C182,WeatherCapacityAdjustment,2))),0)</f>
        <v>#VALUE!</v>
      </c>
      <c r="FO182" s="1564" t="e">
        <f aca="false">IF($EI182&gt;0,MIN(FH182,BC182*(1+VLOOKUP($C182,WeatherCapacityAdjustment,3))),0)</f>
        <v>#VALUE!</v>
      </c>
      <c r="FP182" s="1551" t="e">
        <f aca="false">IF(ET182&gt;0,MIN(FE182-FL182,BH182*(1+VLOOKUP($C182,WeatherCapacityAdjustment,2))),0)</f>
        <v>#VALUE!</v>
      </c>
      <c r="FQ182" s="1551" t="e">
        <f aca="false">IF(EU182&gt;0,MIN(FF182-FM182,BI182*(1+VLOOKUP($C182,WeatherCapacityAdjustment,2))),0)</f>
        <v>#VALUE!</v>
      </c>
      <c r="FR182" s="1551" t="e">
        <f aca="false">IF(EV182&gt;0,MIN(FG182-FN182,BJ182*(1+VLOOKUP($C182,WeatherCapacityAdjustment,2))),0)</f>
        <v>#VALUE!</v>
      </c>
      <c r="FS182" s="1558" t="e">
        <f aca="false">IF(EW182&gt;0,MIN(FH182-FO182,BK182*(1+VLOOKUP($C182,WeatherCapacityAdjustment,3))),0)</f>
        <v>#VALUE!</v>
      </c>
      <c r="FT182" s="1566" t="e">
        <f aca="false">IF(AND(Assumptions!$H$71="Yes",A182&gt;=Assumptions!$H$72,A182&lt;=Assumptions!$H$73),0,IF(AND($A182&gt;=Assumptions!$C$17,$A182&lt;=Assumptions!$C$18),MAX(AZ182*(1+VLOOKUP($C182,WeatherCapacityAdjustment,2))-FL182,0),0))</f>
        <v>#VALUE!</v>
      </c>
      <c r="FU182" s="1551" t="e">
        <f aca="false">IF(AND(Assumptions!$H$71="Yes",A182&gt;=Assumptions!$H$72,A182&lt;=Assumptions!$H$73),0,IF(AND($A182&gt;=Assumptions!$C$17,$A182&lt;=Assumptions!$C$18),MAX(BA182*(1+VLOOKUP($C182,WeatherCapacityAdjustment,2))-FM182,0),0))</f>
        <v>#VALUE!</v>
      </c>
      <c r="FV182" s="1551" t="e">
        <f aca="false">IF(AND(Assumptions!$H$71="Yes",A182&gt;=Assumptions!$H$72,A182&lt;=Assumptions!$H$73),0,IF(AND($A182&gt;=Assumptions!$C$17,$A182&lt;=Assumptions!$C$18),MAX(BB182*(1+VLOOKUP($C182,WeatherCapacityAdjustment,2))-FN182,0),0))</f>
        <v>#VALUE!</v>
      </c>
      <c r="FW182" s="1564" t="e">
        <f aca="false">IF(AND(Assumptions!$H$71="Yes",A182&gt;=Assumptions!$H$72,A182&lt;=Assumptions!$H$73),0,IF(AND($A182&gt;=Assumptions!$C$17,$A182&lt;=Assumptions!$C$18),MAX(BC182*(1+VLOOKUP($C182,WeatherCapacityAdjustment,3))-FO182,0),0))</f>
        <v>#VALUE!</v>
      </c>
      <c r="FX182" s="1569" t="e">
        <f aca="false">IF(AND(Assumptions!$H$71="Yes",A182&gt;=Assumptions!$H$72,A182&lt;=Assumptions!$H$73),0,IF(ET182&gt;0,MAX(BH182*(1+VLOOKUP($C182,WeatherCapacityAdjustment,2))-FP182,0),0))</f>
        <v>#VALUE!</v>
      </c>
      <c r="FY182" s="1551" t="e">
        <f aca="false">IF(AND(Assumptions!$H$71="Yes",A182&gt;=Assumptions!$H$72,A182&lt;=Assumptions!$H$73),0,IF(EU182&gt;0,MAX(BI182*(1+VLOOKUP($C182,WeatherCapacityAdjustment,3))-FQ182,0),0))</f>
        <v>#VALUE!</v>
      </c>
      <c r="FZ182" s="1551" t="e">
        <f aca="false">IF(AND(Assumptions!$H$71="Yes",A182&gt;=Assumptions!$H$72,A182&lt;=Assumptions!$H$73),0,IF(EV182&gt;0,MAX(BJ182*(1+VLOOKUP($C182,WeatherCapacityAdjustment,2))-FR182,0),0))</f>
        <v>#VALUE!</v>
      </c>
      <c r="GA182" s="1564" t="e">
        <f aca="false">IF(AND(Assumptions!$H$71="Yes",A182&gt;=Assumptions!$H$72,A182&lt;=Assumptions!$H$73),0,IF(EW182&gt;0,MAX(BK182*(1+VLOOKUP($C182,WeatherCapacityAdjustment,2))-FS182,0),0))</f>
        <v>#VALUE!</v>
      </c>
      <c r="GB182" s="1551" t="e">
        <f aca="false">SUM(FT182:GA182)</f>
        <v>#VALUE!</v>
      </c>
      <c r="GC182" s="1563" t="e">
        <f aca="false">+IF(SUM(FT182:GA182)=0,0,(SUMPRODUCT(BU182:BX182,FT182:FW182)+SUMPRODUCT(CA182:CD182,FX182:GA182))/SUM(FT182:GA182))</f>
        <v>#VALUE!</v>
      </c>
      <c r="GD182" s="1551" t="e">
        <f aca="false">(FT182*BU182+FX182*CA182+FU182*BV182+FY182*CB182+FV182*BW182+FZ182*CC182+FW182*BX182+GA182*CD182)</f>
        <v>#VALUE!</v>
      </c>
      <c r="GE182" s="1561" t="e">
        <f aca="false">+IF(BQ182,((FL182+FM182+FT182+FU182)*HeatRatePeak/1000*(1+VLOOKUP($C182,WeatherHeatRateAdjustment,2))+(FN182+FV182)*IF(EV182&gt;0,HeatRatePeak,HeatRateOffPeak)/1000*(1+VLOOKUP($C182,WeatherHeatRateAdjustment,2))+(FO182+FW182)*IF(EW182&gt;0,HeatRatePeak,HeatRateOffPeak)/1000*(1+VLOOKUP($C182,WeatherHeatRateAdjustment,3)))*(1+VLOOKUP($B182,HeatRateDegradation,$C182+1)),0)</f>
        <v>#VALUE!</v>
      </c>
      <c r="GF182" s="1562" t="e">
        <f aca="false">IF(BQ182,((FP182+FQ182+FR182+FX182+FY182+FZ182)*HeatRatePeak/1000*(1+VLOOKUP($C182,WeatherHeatRateAdjustment,2))+(FS182+GA182)*HeatRatePeak/1000*(1+VLOOKUP($C182,WeatherHeatRateAdjustment,3)))*(1+VLOOKUP($B182,HeatRateDegradation,$C182+1)),0)</f>
        <v>#VALUE!</v>
      </c>
      <c r="GG182" s="1563" t="e">
        <f aca="false">IF(BQ182,VLOOKUP(A182,GasTable,13),0)</f>
        <v>#VALUE!</v>
      </c>
      <c r="GH182" s="1564" t="e">
        <f aca="false">(GE182+GF182)*GG182</f>
        <v>#VALUE!</v>
      </c>
      <c r="GI182" s="1569" t="e">
        <f aca="false">GB182</f>
        <v>#VALUE!</v>
      </c>
      <c r="GJ182" s="1598" t="e">
        <f aca="false">+DA182</f>
        <v>#VALUE!</v>
      </c>
      <c r="GK182" s="1558" t="e">
        <f aca="false">+GI182*GJ182</f>
        <v>#VALUE!</v>
      </c>
      <c r="GL182" s="1566" t="e">
        <f aca="false">MAX(FE182-FL182-FP182,0)</f>
        <v>#VALUE!</v>
      </c>
      <c r="GM182" s="1551" t="e">
        <f aca="false">MAX(FF182-FM182-FQ182,0)</f>
        <v>#VALUE!</v>
      </c>
      <c r="GN182" s="1551" t="e">
        <f aca="false">MAX(FG182-FN182-FR182,0)</f>
        <v>#VALUE!</v>
      </c>
      <c r="GO182" s="1564" t="e">
        <f aca="false">MAX(FH182-FO182-FS182,0)</f>
        <v>#VALUE!</v>
      </c>
      <c r="GP182" s="1551" t="e">
        <f aca="false">SUM(GL182:GO182)</f>
        <v>#VALUE!</v>
      </c>
      <c r="GQ182" s="1563" t="e">
        <f aca="false">IF(SUM(GL182:GO182)=0,0,((GL182*BU182+GM182*BV182+GN182*BW182+GO182*BX182)/SUM(GL182:GO182)))</f>
        <v>#VALUE!</v>
      </c>
      <c r="GR182" s="1558" t="e">
        <f aca="false">(GL182*BU182+GM182*BV182+GN182*BW182+GO182*BX182)</f>
        <v>#VALUE!</v>
      </c>
      <c r="GS182" s="1566" t="n">
        <f aca="false">IF($A182&gt;=BegDate,Assumptions!$C$56*24*($A183-$A182)*(1-VLOOKUP($B182,MAIN!$AA$7:$AM$28,$C182+1))*(1-VLOOKUP($B182,MAIN!$AA$33:$AM$54,$C182+1)),0)*80/168</f>
        <v>232800</v>
      </c>
      <c r="GT182" s="286" t="n">
        <f aca="false">J182</f>
        <v>50.7583687968841</v>
      </c>
      <c r="GU182" s="286" t="n">
        <f aca="false">IF($A182&gt;=BegDate,VLOOKUP($A182,GasTable,13)+Assumptions!$C$58,0)</f>
        <v>3.30255348997963</v>
      </c>
      <c r="GV182" s="286" t="n">
        <f aca="false">GU182*Assumptions!$C$57/1000</f>
        <v>23.9435128023523</v>
      </c>
      <c r="GW182" s="1558" t="n">
        <f aca="false">IF(Assumptions!$C$60="Hourly",MAX(0,GS182*(GT182-GV182)),GS182*(GT182-GV182))</f>
        <v>6242498.47552701</v>
      </c>
      <c r="GX182" s="1566" t="n">
        <f aca="false">IF($A182&gt;=BegDate,Assumptions!$C$56*24*($A183-$A182)*(1-VLOOKUP($B182,MAIN!$AA$7:$AM$28,$C182+1))*(1-VLOOKUP($B182,MAIN!$AA$33:$AM$54,$C182+1)),0)*16/168</f>
        <v>46560</v>
      </c>
      <c r="GY182" s="286" t="n">
        <f aca="false">M182</f>
        <v>50.7583687968841</v>
      </c>
      <c r="GZ182" s="286" t="n">
        <f aca="false">IF($A182&gt;=BegDate,VLOOKUP($A182,GasTable,13)+Assumptions!$C$58,0)</f>
        <v>3.30255348997963</v>
      </c>
      <c r="HA182" s="286" t="n">
        <f aca="false">GZ182*Assumptions!$C$57/1000</f>
        <v>23.9435128023523</v>
      </c>
      <c r="HB182" s="1558" t="n">
        <f aca="false">IF(Assumptions!$C$60="Hourly",MAX(0,GX182*(GY182-HA182)),GX182*(GY182-HA182))</f>
        <v>1248499.6951054</v>
      </c>
      <c r="HC182" s="1566" t="n">
        <f aca="false">IF($A182&gt;=BegDate,Assumptions!$C$56*24*($A183-$A182)*(1-VLOOKUP($B182,MAIN!$AA$7:$AM$28,$C182+1))*(1-VLOOKUP($B182,MAIN!$AA$33:$AM$54,$C182+1)),0)*16/168</f>
        <v>46560</v>
      </c>
      <c r="HD182" s="286" t="n">
        <f aca="false">P182</f>
        <v>28.7997351698681</v>
      </c>
      <c r="HE182" s="286" t="n">
        <f aca="false">IF($A182&gt;=BegDate,VLOOKUP($A182,GasTable,13)+Assumptions!$C$58,0)</f>
        <v>3.30255348997963</v>
      </c>
      <c r="HF182" s="286" t="n">
        <f aca="false">HE182*Assumptions!$C$57/1000</f>
        <v>23.9435128023523</v>
      </c>
      <c r="HG182" s="1558" t="n">
        <f aca="false">IF(Assumptions!$C$60="Hourly",MAX(0,HC182*(HD182-HF182)),HC182*(HD182-HF182))</f>
        <v>226105.713431535</v>
      </c>
      <c r="HH182" s="1566" t="n">
        <f aca="false">IF($A182&gt;=BegDate,Assumptions!$C$56*24*($A183-$A182)*(1-VLOOKUP($B182,MAIN!$AA$7:$AM$28,$C182+1))*(1-VLOOKUP($B182,MAIN!$AA$33:$AM$54,$C182+1)),0)*56/168</f>
        <v>162960</v>
      </c>
      <c r="HI182" s="286" t="n">
        <f aca="false">S182</f>
        <v>28.7997351698681</v>
      </c>
      <c r="HJ182" s="286" t="n">
        <f aca="false">IF($A182&gt;=BegDate,VLOOKUP($A182,GasTable,13)+Assumptions!$C$58,0)</f>
        <v>3.30255348997963</v>
      </c>
      <c r="HK182" s="286" t="n">
        <f aca="false">HJ182*Assumptions!$C$57/1000</f>
        <v>23.9435128023523</v>
      </c>
      <c r="HL182" s="1558" t="n">
        <f aca="false">IF(Assumptions!$C$60="Hourly",MAX(0,HH182*(HI182-HK182)),HH182*(HI182-HK182))</f>
        <v>791369.997010373</v>
      </c>
      <c r="HM182" s="1566" t="n">
        <f aca="false">IF(AND(Assumptions!$H$71="Yes",A182&gt;=Assumptions!$H$72,A182&lt;=Assumptions!$H$73),Assumptions!$H$74*Assumptions!$C$9*1000,0)</f>
        <v>0</v>
      </c>
      <c r="HN182" s="1551"/>
      <c r="HO182" s="1563"/>
      <c r="HP182" s="1563"/>
      <c r="HQ182" s="1563"/>
      <c r="HR182" s="1563"/>
      <c r="HS182" s="1563"/>
      <c r="HT182" s="1563"/>
      <c r="HU182" s="1563"/>
      <c r="HV182" s="1563"/>
      <c r="HW182" s="1563"/>
      <c r="HX182" s="1563"/>
      <c r="HY182" s="1563"/>
      <c r="HZ182" s="1563"/>
      <c r="IA182" s="1563"/>
      <c r="IB182" s="1563"/>
      <c r="IC182" s="1563"/>
      <c r="ID182" s="1563"/>
      <c r="IE182" s="1563"/>
      <c r="IF182" s="1563"/>
      <c r="IG182" s="1563"/>
      <c r="IH182" s="1563"/>
      <c r="II182" s="1610"/>
      <c r="IJ182" s="1309"/>
      <c r="IK182" s="1309"/>
    </row>
    <row r="183" customFormat="false" ht="12.75" hidden="false" customHeight="false" outlineLevel="0" collapsed="false">
      <c r="A183" s="1571" t="n">
        <f aca="false">EOMONTH(A182,0)+1</f>
        <v>41699</v>
      </c>
      <c r="B183" s="594" t="n">
        <f aca="false">+YEAR(A183)</f>
        <v>2014</v>
      </c>
      <c r="C183" s="238" t="n">
        <f aca="false">MONTH(A183)</f>
        <v>3</v>
      </c>
      <c r="D183" s="1572" t="e">
        <f aca="false">IF(E183="","",Holiday(B183,C183))</f>
        <v>#VALUE!</v>
      </c>
      <c r="E183" s="1573" t="n">
        <f aca="false">IF(OR(BegDate&gt;=A184,EndDate&lt;A183,AND(VolumeMonthlyOverFlag,INDEX(VolumeMonthlyOver,C183)=0),NOT(INDEX(MonthKnockOutTable,C183))),"",MAX(A183,BegDate))</f>
        <v>41699</v>
      </c>
      <c r="F183" s="1574" t="n">
        <f aca="false">IF(E183="","",MIN(A184-1,EndDate))</f>
        <v>41729</v>
      </c>
      <c r="G183" s="1575" t="n">
        <v>0</v>
      </c>
      <c r="H183" s="1576" t="n">
        <f aca="false">(1+G183/2)^(-2*(DATE(B184,C184,20)-DateToday)/365.25)</f>
        <v>1</v>
      </c>
      <c r="I183" s="1568" t="n">
        <f aca="false">IF(Assumptions!$L$25=4,VLOOKUP($A183,'Henwood Reference'!$E$9:$R$320,10),(VLOOKUP($A183,PriceTable,2,0)+IF(BasisNumber&lt;&gt;1,VLOOKUP($A183,BasisTable,2,0),0)+I$1)/(1-I$2))</f>
        <v>41.4784746562629</v>
      </c>
      <c r="J183" s="1568" t="n">
        <f aca="false">IF(Assumptions!$L$25=4,VLOOKUP($A183,'Henwood Reference'!$E$9:$R$320,10),(VLOOKUP($A183,PriceTable,3,0)+IF(BasisNumber&lt;&gt;1,VLOOKUP($A183,BasisTable,2,0),0)+J$1)/(1-J$2))</f>
        <v>41.4784746562629</v>
      </c>
      <c r="K183" s="1568" t="n">
        <f aca="false">IF(Assumptions!$L$25=4,VLOOKUP($A183,'Henwood Reference'!$E$9:$R$320,10),(VLOOKUP($A183,PriceTable,4,0)+IF(BasisNumber&lt;&gt;1,VLOOKUP($A183,BasisTable,2,0),0)+K$1)/(1-K$2))</f>
        <v>41.4784746562629</v>
      </c>
      <c r="L183" s="1523" t="n">
        <f aca="false">IF(Assumptions!$L$25=4,VLOOKUP($A183,'Henwood Reference'!$E$9:$R$320,10),(VLOOKUP($A183,PriceTableWeekend,2,0)+IF(BasisNumber&lt;&gt;1,VLOOKUP($A183,BasisTable,2,0),0)+L$1)/(1-L$2))</f>
        <v>41.4784746562629</v>
      </c>
      <c r="M183" s="1568" t="n">
        <f aca="false">IF(Assumptions!$L$25=4,VLOOKUP($A183,'Henwood Reference'!$E$9:$R$320,10),(VLOOKUP($A183,PriceTableWeekend,3,0)+IF(BasisNumber&lt;&gt;1,VLOOKUP($A183,BasisTable,2,0),0)+M$1)/(1-M$2))</f>
        <v>41.4784746562629</v>
      </c>
      <c r="N183" s="1599" t="n">
        <f aca="false">IF(Assumptions!$L$25=4,VLOOKUP($A183,'Henwood Reference'!$E$9:$R$320,10),(VLOOKUP($A183,PriceTableWeekend,4,0)+IF(BasisNumber&lt;&gt;1,VLOOKUP($A183,BasisTable,2,0),0)+N$1)/(1-N$2))</f>
        <v>41.4784746562629</v>
      </c>
      <c r="O183" s="1568" t="n">
        <f aca="false">IF(Assumptions!$L$25=4,VLOOKUP($A183,'Henwood Reference'!$E$9:$R$320,11),(VLOOKUP($A183,PriceTableWeekend,6,0)+IF(BasisNumber&lt;&gt;1,VLOOKUP($A183,BasisTable,3,0),0)+O$1)/(1-O$2))</f>
        <v>24.8279721451725</v>
      </c>
      <c r="P183" s="1568" t="n">
        <f aca="false">IF(Assumptions!$L$25=4,VLOOKUP($A183,'Henwood Reference'!$E$9:$R$320,11),(VLOOKUP($A183,PriceTableWeekend,7,0)+IF(BasisNumber&lt;&gt;1,VLOOKUP($A183,BasisTable,3,0),0)+P$1)/(1-P$2))</f>
        <v>24.8279721451725</v>
      </c>
      <c r="Q183" s="1599" t="n">
        <f aca="false">IF(Assumptions!$L$25=4,VLOOKUP($A183,'Henwood Reference'!$E$9:$R$320,11),(VLOOKUP($A183,PriceTableWeekend,8,0)+IF(BasisNumber&lt;&gt;1,VLOOKUP($A183,BasisTable,3,0),0)+Q$1)/(1-Q$2))</f>
        <v>24.8279721451725</v>
      </c>
      <c r="R183" s="1568" t="n">
        <f aca="false">IF(Assumptions!$L$25=4,VLOOKUP($A183,'Henwood Reference'!$E$9:$R$320,11),(VLOOKUP($A183,PriceTable,6,0)+IF(BasisNumber&lt;&gt;1,VLOOKUP($A183,BasisTable,3,0),0)+R$1)/(1-R$2))</f>
        <v>24.8279721451725</v>
      </c>
      <c r="S183" s="1568" t="n">
        <f aca="false">IF(Assumptions!$L$25=4,VLOOKUP($A183,'Henwood Reference'!$E$9:$R$320,11),(VLOOKUP($A183,PriceTable,7,0)+IF(BasisNumber&lt;&gt;1,VLOOKUP($A183,BasisTable,3,0),0)+S$1)/(1-S$2))</f>
        <v>24.8279721451725</v>
      </c>
      <c r="T183" s="1600" t="n">
        <f aca="false">IF(Assumptions!$L$25=4,VLOOKUP($A183,'Henwood Reference'!$E$9:$R$320,11),(VLOOKUP($A183,PriceTable,8,0)+IF(BasisNumber&lt;&gt;1,VLOOKUP($A183,BasisTable,3,0),0)+T$1)/(1-T$2))</f>
        <v>24.8279721451725</v>
      </c>
      <c r="U183" s="1513" t="n">
        <f aca="false">VLOOKUP($A183,VolatilityTable,14)</f>
        <v>0.0999999999999999</v>
      </c>
      <c r="V183" s="1513" t="n">
        <f aca="false">VLOOKUP($A183,VolatilityTable,15)</f>
        <v>0.11</v>
      </c>
      <c r="W183" s="1514" t="n">
        <f aca="false">VLOOKUP($A183,VolatilityTable,16)</f>
        <v>0.12</v>
      </c>
      <c r="X183" s="1513" t="n">
        <f aca="false">VLOOKUP($A183,VolatilityTable,14)</f>
        <v>0.0999999999999999</v>
      </c>
      <c r="Y183" s="1513" t="n">
        <f aca="false">VLOOKUP($A183,VolatilityTable,15)</f>
        <v>0.11</v>
      </c>
      <c r="Z183" s="1514" t="n">
        <f aca="false">VLOOKUP($A183,VolatilityTable,16)</f>
        <v>0.12</v>
      </c>
      <c r="AA183" s="1513" t="n">
        <f aca="false">VLOOKUP($A183,VolatilityTable,18)</f>
        <v>0.09</v>
      </c>
      <c r="AB183" s="1513" t="n">
        <f aca="false">VLOOKUP($A183,VolatilityTable,19)</f>
        <v>0.11</v>
      </c>
      <c r="AC183" s="1514" t="n">
        <f aca="false">VLOOKUP($A183,VolatilityTable,20)</f>
        <v>0.13</v>
      </c>
      <c r="AD183" s="1513" t="n">
        <f aca="false">VLOOKUP($A183,VolatilityTable,18)</f>
        <v>0.09</v>
      </c>
      <c r="AE183" s="1513" t="n">
        <f aca="false">VLOOKUP($A183,VolatilityTable,19)</f>
        <v>0.11</v>
      </c>
      <c r="AF183" s="1514" t="n">
        <f aca="false">VLOOKUP($A183,VolatilityTable,20)</f>
        <v>0.13</v>
      </c>
      <c r="AG183" s="1513" t="n">
        <f aca="false">VLOOKUP($A183,VolatilityTable,22)</f>
        <v>-0.1</v>
      </c>
      <c r="AH183" s="1513" t="n">
        <f aca="false">VLOOKUP($A183,VolatilityTable,23)</f>
        <v>0.65</v>
      </c>
      <c r="AI183" s="1514" t="n">
        <f aca="false">VLOOKUP($A183,VolatilityTable,24)</f>
        <v>0.1</v>
      </c>
      <c r="AJ183" s="1513" t="n">
        <f aca="false">VLOOKUP($A183,VolatilityTable,22)</f>
        <v>-0.1</v>
      </c>
      <c r="AK183" s="1513" t="n">
        <f aca="false">VLOOKUP($A183,VolatilityTable,23)</f>
        <v>0.65</v>
      </c>
      <c r="AL183" s="1514" t="n">
        <f aca="false">VLOOKUP($A183,VolatilityTable,24)</f>
        <v>0.1</v>
      </c>
      <c r="AM183" s="1513" t="n">
        <f aca="false">VLOOKUP($A183,VolatilityTable,26)</f>
        <v>-0.01</v>
      </c>
      <c r="AN183" s="1513" t="n">
        <f aca="false">VLOOKUP($A183,VolatilityTable,27)</f>
        <v>0.16</v>
      </c>
      <c r="AO183" s="1514" t="n">
        <f aca="false">VLOOKUP($A183,VolatilityTable,28)</f>
        <v>0.01</v>
      </c>
      <c r="AP183" s="1513" t="n">
        <f aca="false">VLOOKUP($A183,VolatilityTable,26)</f>
        <v>-0.01</v>
      </c>
      <c r="AQ183" s="1513" t="n">
        <f aca="false">VLOOKUP($A183,VolatilityTable,27)</f>
        <v>0.16</v>
      </c>
      <c r="AR183" s="1515" t="n">
        <f aca="false">VLOOKUP($A183,VolatilityTable,28)</f>
        <v>0.01</v>
      </c>
      <c r="AS183" s="1581" t="n">
        <f aca="false">IF(CorrPeakOffPeakOverFlag,INDEX(CorrPeakOffPeakOver,C183),CorrPeakOffPeak)</f>
        <v>0.5</v>
      </c>
      <c r="AT183" s="594" t="e">
        <f aca="false">AX183-SUM(AU183:AW183)</f>
        <v>#VALUE!</v>
      </c>
      <c r="AU183" s="238" t="e">
        <f aca="false">IF(E183="",0,INT((F183-MOD(F183,7)-E183)/7)+1-IF(AW183,IF(WEEKDAY(D183)=7,1,0),0))</f>
        <v>#VALUE!</v>
      </c>
      <c r="AV183" s="238" t="e">
        <f aca="false">IF(E183="",0,INT((F183-MOD(F183-1,7)-E183)/7)+1-IF(AW183,IF(WEEKDAY(D183)=1,1,0),0))</f>
        <v>#VALUE!</v>
      </c>
      <c r="AW183" s="238" t="e">
        <f aca="false">IF(OR(E183="",D183="",D183&lt;BegDate,D183&gt;EndDate),0,1)</f>
        <v>#VALUE!</v>
      </c>
      <c r="AX183" s="238" t="n">
        <f aca="false">IF(E183="",0,F183-E183+1)</f>
        <v>31</v>
      </c>
      <c r="AY183" s="1582" t="n">
        <f aca="false">IF(E183="",0,MIN((1-(1-VLOOKUP(B183,MAIN!$AA$7:$AM$28,C183+1))*(1-VLOOKUP(B183,MAIN!$AA$33:$AM$54,C183+1))),1))</f>
        <v>0.03</v>
      </c>
      <c r="AZ183" s="1519" t="e">
        <v>#VALUE!</v>
      </c>
      <c r="BA183" s="1520" t="e">
        <v>#VALUE!</v>
      </c>
      <c r="BB183" s="1520" t="e">
        <v>#VALUE!</v>
      </c>
      <c r="BC183" s="1583" t="e">
        <v>#VALUE!</v>
      </c>
      <c r="BD183" s="1522" t="e">
        <v>#VALUE!</v>
      </c>
      <c r="BE183" s="1523" t="e">
        <v>#VALUE!</v>
      </c>
      <c r="BF183" s="1523" t="e">
        <v>#VALUE!</v>
      </c>
      <c r="BG183" s="1584" t="e">
        <v>#VALUE!</v>
      </c>
      <c r="BH183" s="1525" t="e">
        <v>#VALUE!</v>
      </c>
      <c r="BI183" s="1520" t="e">
        <v>#VALUE!</v>
      </c>
      <c r="BJ183" s="1520" t="e">
        <v>#VALUE!</v>
      </c>
      <c r="BK183" s="1583" t="e">
        <v>#VALUE!</v>
      </c>
      <c r="BL183" s="1522" t="e">
        <v>#VALUE!</v>
      </c>
      <c r="BM183" s="1523" t="e">
        <v>#VALUE!</v>
      </c>
      <c r="BN183" s="1523" t="e">
        <v>#VALUE!</v>
      </c>
      <c r="BO183" s="1523" t="e">
        <v>#VALUE!</v>
      </c>
      <c r="BP183" s="1525" t="e">
        <f aca="false">SUM(AZ183:BB183)</f>
        <v>#VALUE!</v>
      </c>
      <c r="BQ183" s="1529" t="e">
        <f aca="false">SUM(AZ183:BC183)</f>
        <v>#VALUE!</v>
      </c>
      <c r="BR183" s="1519" t="e">
        <f aca="false">SUM(BH183:BJ183)</f>
        <v>#VALUE!</v>
      </c>
      <c r="BS183" s="1529" t="e">
        <f aca="false">SUM(BH183:BK183)</f>
        <v>#VALUE!</v>
      </c>
      <c r="BT183" s="1316" t="n">
        <f aca="false">(IF(OVolType&lt;&gt;2,A183+14,IF(OptExpDateShift,ShiftBack(A183,OptExpDateShift,D182),A183))-DateToday)/365.25</f>
        <v>13.8781656399726</v>
      </c>
      <c r="BU183" s="1585" t="e">
        <f aca="false">IF(BQ183,IF(OPriceCurve,IF(OBuySell=OCallPut,I183/(1-AY183),K183/(1-AY183)),J183/(1-AY183))*BD183,0)</f>
        <v>#VALUE!</v>
      </c>
      <c r="BV183" s="1316" t="e">
        <f aca="false">IF(BQ183,IF(OPriceCurve,IF(OBuySell=OCallPut,L183/(1-AY183),N183/(1-AY183)),M183/(1-AY183))*BE183,0)</f>
        <v>#VALUE!</v>
      </c>
      <c r="BW183" s="1316" t="e">
        <f aca="false">IF(BQ183,IF(OPriceCurve,IF(OBuySell=OCallPut,O183/(1-AY183),Q183/(1-AY183)),P183/(1-AY183))*BF183,0)</f>
        <v>#VALUE!</v>
      </c>
      <c r="BX183" s="1316" t="e">
        <f aca="false">IF(BQ183,IF(OPriceCurve,IF(OBuySell=OCallPut,R183/(1-AY183),T183/(1-AY183)),S183/(1-AY183))*BG183,0)</f>
        <v>#VALUE!</v>
      </c>
      <c r="BY183" s="1316" t="e">
        <f aca="false">IF(BP183,(BU183*AZ183+BV183*BA183+BW183*BB183)/BP183,0)</f>
        <v>#VALUE!</v>
      </c>
      <c r="BZ183" s="1316" t="e">
        <f aca="false">IF(BQ183,(BY183*BP183+BX183*BC183)/BQ183,0)</f>
        <v>#VALUE!</v>
      </c>
      <c r="CA183" s="1531" t="e">
        <f aca="false">IF(BS183,IF(OPriceCurve,IF(OBuySell=OCallPut,I183/(1-AY183),K183/(1-AY183)),J183/(1-AY183))*BL183,0)</f>
        <v>#VALUE!</v>
      </c>
      <c r="CB183" s="1316" t="e">
        <f aca="false">IF(BS183,IF(OPriceCurve,IF(OBuySell=OCallPut,L183/(1-AY183),N183/(1-AY183)),M183/(1-AY183))*BM183,0)</f>
        <v>#VALUE!</v>
      </c>
      <c r="CC183" s="1316" t="e">
        <f aca="false">IF(BS183,IF(OPriceCurve,IF(OBuySell=OCallPut,O183/(1-AY183),Q183/(1-AY183)),P183/(1-AY183))*BN183,0)</f>
        <v>#VALUE!</v>
      </c>
      <c r="CD183" s="1316" t="e">
        <f aca="false">IF(BS183,IF(OPriceCurve,IF(OBuySell=OCallPut,R183/(1-AY183),T183/(1-AY183)),S183/(1-AY183))*BO183,0)</f>
        <v>#VALUE!</v>
      </c>
      <c r="CE183" s="1316" t="e">
        <f aca="false">IF(BR183,(BU183*BH183+BV183*BI183+BW183*BJ183)/BR183,0)</f>
        <v>#VALUE!</v>
      </c>
      <c r="CF183" s="1532" t="e">
        <f aca="false">IF(BS183,(CE183*BR183+CD183*BK183)/BS183,0)</f>
        <v>#VALUE!</v>
      </c>
      <c r="CG183" s="1586" t="e">
        <f aca="false">IF(OR(BQ183,BS183),IF(OVolType&lt;&gt;2,SQRT(IF(OVolOverMonthlyPeak,OVolOverMonthlyPeak,IF(OVolCurve,IF(OBuySell,U183,W183),V183))^2*(1-15/365.25/BT183)+IF(OVolOverDailyPeak,OVolOverDailyPeak,IF(OVolCurve,IF(OBuySell,AG183,AI183),AH183))^2*15/365.25/BT183),IF(OVolOverMonthlyPeak,OVolOverMonthlyPeak,IF(OVolCurve,IF(OBuySell,U183,W183),V183))),"")</f>
        <v>#VALUE!</v>
      </c>
      <c r="CH183" s="1587" t="e">
        <f aca="false">IF(OR(BQ183,BS183),IF(OVolType&lt;&gt;2,SQRT(IF(OVolOverMonthlyPeak,OVolOverMonthlyPeak,IF(OVolCurve,IF(OBuySell,X183,Z183),Y183))^2*(1-15/365.25/BT183)+IF(OVolOverDailyPeak,OVolOverDailyPeak,IF(OVolCurve,IF(OBuySell,AJ183,AL183),AK183))^2*15/365.25/BT183),IF(OVolOverMonthlyPeak,OVolOverMonthlyPeak,IF(OVolCurve,IF(OBuySell,X183,Z183),Y183))),"")</f>
        <v>#VALUE!</v>
      </c>
      <c r="CI183" s="1587" t="e">
        <f aca="false">IF(OR(BQ183,BS183),IF(OVolType&lt;&gt;2,SQRT(IF(OVolOverMonthlyPeak,OVolOverMonthlyPeak,IF(OVolCurve,IF(OBuySell,AA183,AC183),AB183))^2*(1-15/365.25/BT183)+IF(OVolOverDailyPeak,OVolOverDailyPeak,IF(OVolCurve,IF(OBuySell,AM183,AO183),AN183))^2*15/365.25/BT183),IF(OVolOverMonthlyPeak,OVolOverMonthlyPeak,IF(OVolCurve,IF(OBuySell,AA183,AC183),AB183))),"")</f>
        <v>#VALUE!</v>
      </c>
      <c r="CJ183" s="1587" t="e">
        <f aca="false">IF(BQ183,IF(BP183,SQRT(LN(1+((BU183*AZ183)^2*(EXP(CG183^2*BT183)-1)+(BV183*BA183)^2*(EXP(CH183^2*BT183)-1)+(BW183*BB183)^2*(EXP(CI183^2*BT183)-1)+2*BU183*AZ183*BV183*BA183*(EXP(CG183*CH183*BT183)-1)+2*BV183*BA183*BW183*BB183*(EXP(CH183*CI183*BT183)-1)+2*BW183*BB183*BU183*AZ183*(EXP(CI183*CG183*BT183)-1))/(BY183*BP183)^2)/BT183),0),"")</f>
        <v>#VALUE!</v>
      </c>
      <c r="CK183" s="1587" t="e">
        <f aca="false">IF(BS183,IF(BR183,SQRT(LN(1+((CA183*BH183)^2*(EXP(CG183^2*BT183)-1)+(CB183*BI183)^2*(EXP(CH183^2*BT183)-1)+(CC183*BJ183)^2*(EXP(CI183^2*BT183)-1)+2*CA183*BH183*CB183*BI183*(EXP(CG183*CH183*BT183)-1)+2*CB183*BI183*CC183*BJ183*(EXP(CH183*CI183*BT183)-1)+2*CC183*BJ183*CA183*BH183*(EXP(CI183*CG183*BT183)-1))/(CE183*BR183)^2)/BT183),0),"")</f>
        <v>#VALUE!</v>
      </c>
      <c r="CL183" s="1587" t="e">
        <f aca="false">IF(OR(BQ183,BS183),IF(OVolType&lt;&gt;2,SQRT(IF(OVolOverMonthlyOffPeak,OVolOverMonthlyOffPeak,IF(OVolCurve,IF(OBuySell,AD183,AF183),AE183))^2*(1-15/365.25/BT183)+IF(OVolOverDailyOffPeak,OVolOverDailyOffPeak,IF(OVolCurve,IF(OBuySell,AP183,AR183),AQ183))^2*15/365.25/BT183),IF(OVolOverMonthlyOffPeak,OVolOverMonthlyOffPeak,IF(OVolCurve,IF(OBuySell,AD183,AF183),AE183))),"")</f>
        <v>#VALUE!</v>
      </c>
      <c r="CM183" s="1587" t="e">
        <f aca="false">IF(BQ183,SQRT(LN(1+((BY183*BP183)^2*(EXP(CJ183^2*BT183)-1)+(BX183*BC183)^2*(EXP(CL183^2*BT183)-1)+2*BY183*BP183*BX183*BC183*(EXP(AS183*CJ183*CL183*BT183)-1))/(BY183*BP183+BX183*BC183)^2)/BT183),"")</f>
        <v>#VALUE!</v>
      </c>
      <c r="CN183" s="1588" t="e">
        <f aca="false">IF(BS183,SQRT(LN(1+((CE183*BR183)^2*(EXP(CK183^2*BT183)-1)+(CD183*BK183)^2*(EXP(CL183^2*BT183)-1)+2*CE183*BR183*CD183*BK183*(EXP(AS183*CK183*CL183*BT183)-1))/(CE183*BR183+CD183*BK183)^2)/BT183),"")</f>
        <v>#VALUE!</v>
      </c>
      <c r="CO183" s="1531" t="e">
        <f aca="false">IF(OR(BQ183,BS183),VLOOKUP(A183,GasTable,13)*HeatRatePeak*(1+VLOOKUP($B183,HeatRateDegradation,$C183+1))/1000,0)</f>
        <v>#VALUE!</v>
      </c>
      <c r="CP183" s="1316" t="e">
        <f aca="false">IF(OR(BQ183,BS183),VLOOKUP(A183,GasTable,13)*HeatRatePeak*(1+VLOOKUP($B183,HeatRateDegradation,$C183+1))/1000,0)</f>
        <v>#VALUE!</v>
      </c>
      <c r="CQ183" s="1316" t="e">
        <f aca="false">IF(OR(BQ183,BS183),VLOOKUP(A183,GasTable,13)*IF(EV183,HeatRatePeak,HeatRateOffPeak)*(1+VLOOKUP($B183,HeatRateDegradation,$C183+1))/1000,0)</f>
        <v>#VALUE!</v>
      </c>
      <c r="CR183" s="1316" t="e">
        <f aca="false">IF(OR(BQ183,BS183),VLOOKUP(A183,GasTable,13)*IF(EW183,HeatRatePeak,HeatRateOffPeak)*(1+VLOOKUP($B183,HeatRateDegradation,$C183+1))/1000,0)</f>
        <v>#VALUE!</v>
      </c>
      <c r="CS183" s="1589" t="e">
        <f aca="false">IF(BQ183,(CO183*AZ183+CP183*BA183+CQ183*BB183+CR183*BC183)/BQ183,0)</f>
        <v>#VALUE!</v>
      </c>
      <c r="CT183" s="1316" t="e">
        <f aca="false">IF(BS183,CO183,0)</f>
        <v>#VALUE!</v>
      </c>
      <c r="CU183" s="1590" t="e">
        <f aca="false">IF(OR(BQ183,BS183),VLOOKUP(A183,GasTable,14),"")</f>
        <v>#VALUE!</v>
      </c>
      <c r="CV183" s="1568" t="e">
        <f aca="false">IF(OR(BQ183,BS183),IF(CorrPowerGasOverFlag,INDEX(CorrPowerGasOver,C183),CorrPowerGas),"")</f>
        <v>#VALUE!</v>
      </c>
      <c r="CW183" s="1316" t="e">
        <f aca="false">IF(OR($BQ183,$BS183),SpreadOptPowerMargin,0)*((1+Assumptions!$C$26)^($B183-YEAR(Assumptions!$C$17)))</f>
        <v>#VALUE!</v>
      </c>
      <c r="CX183" s="1316" t="e">
        <f aca="false">IF(OR($BQ183,$BS183),SpreadOptPowerMargin,0)*((1+Assumptions!$C$26)^($B183-YEAR(Assumptions!$C$17)))</f>
        <v>#VALUE!</v>
      </c>
      <c r="CY183" s="1316" t="e">
        <f aca="false">IF(OR($BQ183,$BS183),SpreadOptPowerMargin,0)*((1+Assumptions!$C$26)^($B183-YEAR(Assumptions!$C$17)))</f>
        <v>#VALUE!</v>
      </c>
      <c r="CZ183" s="1316" t="e">
        <f aca="false">IF(OR($BQ183,$BS183),SpreadOptPowerMargin,0)*((1+Assumptions!$C$26)^($B183-YEAR(Assumptions!$C$17)))</f>
        <v>#VALUE!</v>
      </c>
      <c r="DA183" s="1591" t="e">
        <f aca="false">IF(OR(BQ183,BS183),(CW183*(AZ183+BH183)+CX183*(BA183+BI183)+CY183*(BB183+BJ183)+CZ183*(BC183+BK183))/(BQ183+BS183),0)</f>
        <v>#VALUE!</v>
      </c>
      <c r="DB183" s="1592" t="e">
        <f aca="false">IF(OR(BQ183,BS183),CG183+IF(OVolSmile,VLOOKUP(MAX(-5,CO183+CW183-BU183),IF(OVolSmile=1,VolSmileBook,VolSmileModel),2),0),"")</f>
        <v>#VALUE!</v>
      </c>
      <c r="DC183" s="1592" t="e">
        <f aca="false">IF(OR(BQ183,BS183),CH183+IF(OVolSmile,VLOOKUP(MAX(-5,CP183+CW183-BV183),IF(OVolSmile=1,VolSmileBook,VolSmileModel),2),0),"")</f>
        <v>#VALUE!</v>
      </c>
      <c r="DD183" s="1592" t="e">
        <f aca="false">IF(OR(BQ183,BS183),CI183+IF(OVolSmile,VLOOKUP(MAX(-5,CQ183+CW183-BW183),IF(OVolSmile=1,VolSmileBook,VolSmileModel),2),0),"")</f>
        <v>#VALUE!</v>
      </c>
      <c r="DE183" s="1592" t="e">
        <f aca="false">IF(OR(BQ183,BS183),CL183+IF(OVolSmile,VLOOKUP(MAX(-5,CR183+CZ183-BX183),IF(OVolSmile=1,VolSmileBook,VolSmileModel),2),0),"")</f>
        <v>#VALUE!</v>
      </c>
      <c r="DF183" s="1592" t="e">
        <f aca="false">IF(BQ183,CM183+IF(OVolSmile,VLOOKUP(MAX(-5,CS183+DA183-BZ183),IF(OVolSmile=1,VolSmileBook,VolSmileModel),2),0),"")</f>
        <v>#VALUE!</v>
      </c>
      <c r="DG183" s="1593" t="e">
        <f aca="false">IF(BS183,CN183+IF(OVolSmile,VLOOKUP(MAX(-5,CT183+DA183-CF183),IF(OVolSmile=1,VolSmileBook,VolSmileModel),2),0),"")</f>
        <v>#VALUE!</v>
      </c>
      <c r="DH183" s="1316" t="e">
        <f aca="false">IF(AND(BU183&gt;0,CO183&gt;0,DB183&gt;0,CU183&gt;0),newSPRDOPT(BU183,CO183,CW183,0,DB183,CU183,CV183,BT183*365.25,OCallPut,0),0)</f>
        <v>#VALUE!</v>
      </c>
      <c r="DI183" s="1316" t="e">
        <f aca="false">IF(AND(BV183&gt;0,CP183&gt;0,DC183&gt;0,CU183&gt;0),newSPRDOPT(BV183,CP183,CX183,0,DC183,CU183,CV183,BT183*365.25,OCallPut,0),0)</f>
        <v>#VALUE!</v>
      </c>
      <c r="DJ183" s="1316" t="e">
        <f aca="false">IF(AND(BW183&gt;0,CQ183&gt;0,DD183&gt;0,CU183&gt;0),newSPRDOPT(BW183,CQ183,CY183,0,DD183,CU183,CV183,BT183*365.25,OCallPut,0),0)</f>
        <v>#VALUE!</v>
      </c>
      <c r="DK183" s="1316" t="e">
        <f aca="false">IF(AND(BX183&gt;0,CR183&gt;0,DE183&gt;0,CU183&gt;0),newSPRDOPT(BX183,CR183,CZ183,0,DE183,CU183,CV183,BT183*365.25,OCallPut,0),0)</f>
        <v>#VALUE!</v>
      </c>
      <c r="DL183" s="1316" t="e">
        <f aca="false">IF(OVolType,IF(AND(BZ183&gt;0,CS183&gt;0,DF183&gt;0,CU183&gt;0),newSPRDOPT(BZ183,CS183,DA183,0,DF183,CU183,CV183,BT183*365.25,OCallPut,0),0),IF(BQ183,(DH183*AZ183+DI183*BA183+DJ183*BB183+DK183*BC183)/BQ183,0))</f>
        <v>#VALUE!</v>
      </c>
      <c r="DM183" s="1316"/>
      <c r="DN183" s="1316"/>
      <c r="DO183" s="1316"/>
      <c r="DP183" s="1316"/>
      <c r="DQ183" s="1316"/>
      <c r="DR183" s="1316"/>
      <c r="DS183" s="1316"/>
      <c r="DT183" s="1316"/>
      <c r="DU183" s="1316"/>
      <c r="DV183" s="1316"/>
      <c r="DW183" s="1594" t="e">
        <f aca="false">IF(AND(BW183&gt;0,CT183&gt;0,DD183&gt;0,CU183&gt;0),newSPRDOPT(BW183,CT183,CY183,0,DD183,CU183,CV183,BT183*365.25,OCallPut,0),0)</f>
        <v>#VALUE!</v>
      </c>
      <c r="DX183" s="1316" t="e">
        <f aca="false">IF(AND(BX183&gt;0,CT183&gt;0,DE183&gt;0,CU183&gt;0),newSPRDOPT(BX183,CT183,CZ183,0,DE183,CU183,CV183,BT183*365.25,OCallPut,0),0)</f>
        <v>#VALUE!</v>
      </c>
      <c r="DY183" s="1591" t="e">
        <f aca="false">IF(BS183,(DH183*BH183+DI183*BI183+DW183*BJ183+DX183*BK183)/BS183,0)</f>
        <v>#VALUE!</v>
      </c>
      <c r="DZ183" s="1551" t="e">
        <f aca="false">DH183*AZ183</f>
        <v>#VALUE!</v>
      </c>
      <c r="EA183" s="1551" t="e">
        <f aca="false">DI183*BA183</f>
        <v>#VALUE!</v>
      </c>
      <c r="EB183" s="1551" t="e">
        <f aca="false">DJ183*BB183</f>
        <v>#VALUE!</v>
      </c>
      <c r="EC183" s="1551" t="e">
        <f aca="false">DK183*BC183</f>
        <v>#VALUE!</v>
      </c>
      <c r="ED183" s="1551" t="e">
        <f aca="false">DL183*BQ183</f>
        <v>#VALUE!</v>
      </c>
      <c r="EE183" s="1595" t="e">
        <f aca="false">IF(BQ183,IF(OCallPut,IF(BU183&gt;(CO183+CW183),BU183-(CO183+CW183),0),IF((CO183+CW183)&gt;BU183,(CO183+CW183)-BU183,0))*AZ183,0)</f>
        <v>#VALUE!</v>
      </c>
      <c r="EF183" s="1596" t="e">
        <f aca="false">IF(BQ183,IF(OCallPut,IF(BV183&gt;(CP183+CX183),BV183-(CP183+CX183),0),IF((CP183+CX183)&gt;BV183,(CP183+CX183)-BV183,0))*BA183,0)</f>
        <v>#VALUE!</v>
      </c>
      <c r="EG183" s="1596" t="e">
        <f aca="false">IF(BQ183,IF(OCallPut,IF(BW183&gt;(CQ183+CY183),BW183-(CQ183+CY183),0),IF((CQ183+CY183)&gt;BW183,(CQ183+CY183)-BW183,0))*BB183,0)</f>
        <v>#VALUE!</v>
      </c>
      <c r="EH183" s="1596" t="e">
        <f aca="false">IF(BQ183,IF(OCallPut,IF(BX183&gt;(CR183+CZ183),BX183-(CR183+CZ183),0),IF((CR183+CZ183)&gt;BX183,(CR183+CZ183)-BX183,0))*BC183,0)</f>
        <v>#VALUE!</v>
      </c>
      <c r="EI183" s="1597" t="e">
        <f aca="false">IF(BQ183,IF(OVolType,IF(OCallPut,IF(BZ183&gt;(CS183+DA183),BZ183-(CS183+DA183),0),IF((CS183+DA183)&gt;BZ183,(CS183+DA183)-BZ183,0))*BQ183,SUM(EE183:EH183)),0)</f>
        <v>#VALUE!</v>
      </c>
      <c r="EJ183" s="1595" t="e">
        <f aca="false">DZ183-EE183</f>
        <v>#VALUE!</v>
      </c>
      <c r="EK183" s="1596" t="e">
        <f aca="false">EA183-EF183</f>
        <v>#VALUE!</v>
      </c>
      <c r="EL183" s="1596" t="e">
        <f aca="false">EB183-EG183</f>
        <v>#VALUE!</v>
      </c>
      <c r="EM183" s="1596" t="e">
        <f aca="false">EC183-EH183</f>
        <v>#VALUE!</v>
      </c>
      <c r="EN183" s="1597" t="e">
        <f aca="false">ED183-EI183</f>
        <v>#VALUE!</v>
      </c>
      <c r="EO183" s="1551" t="e">
        <f aca="false">DH183*BH183</f>
        <v>#VALUE!</v>
      </c>
      <c r="EP183" s="1551" t="e">
        <f aca="false">DI183*BI183</f>
        <v>#VALUE!</v>
      </c>
      <c r="EQ183" s="1551" t="e">
        <f aca="false">DW183*BJ183</f>
        <v>#VALUE!</v>
      </c>
      <c r="ER183" s="1551" t="e">
        <f aca="false">DX183*BK183</f>
        <v>#VALUE!</v>
      </c>
      <c r="ES183" s="1551" t="e">
        <f aca="false">DY183*BS183</f>
        <v>#VALUE!</v>
      </c>
      <c r="ET183" s="1566" t="e">
        <f aca="false">IF(EI183,IF(OCallPut,IF(CA183&gt;(CT183+CW183),CA183-(CT183+CW183),0),IF((CT183+CW183)&gt;CA183,(CT183+CW183)-CA183,0))*BH183,0)</f>
        <v>#VALUE!</v>
      </c>
      <c r="EU183" s="1551" t="e">
        <f aca="false">IF(EI183,IF(OCallPut,IF(CB183&gt;(CT183+CX183),CB183-(CT183+CX183),0),IF((CT183+CX183)&gt;CB183,(CT183+CX183)-CB183,0))*BI183,0)</f>
        <v>#VALUE!</v>
      </c>
      <c r="EV183" s="1551" t="e">
        <f aca="false">IF(EI183,IF(OCallPut,IF(CC183&gt;(CT183+CY183),CC183-(CT183+CY183),0),IF((CT183+CY183)&gt;CC183,(CT183+CY183)-CC183,0))*BJ183,0)</f>
        <v>#VALUE!</v>
      </c>
      <c r="EW183" s="1551" t="e">
        <f aca="false">IF(EI183,IF(OCallPut,IF(CD183&gt;(CT183+CZ183),CD183-(CT183+CZ183),0),IF((CT183+CZ183)&gt;CD183,(CT183+CZ183)-CD183,0))*BK183,0)</f>
        <v>#VALUE!</v>
      </c>
      <c r="EX183" s="1558" t="e">
        <f aca="false">IF(EI183,SUM(ET183:EW183),0)</f>
        <v>#VALUE!</v>
      </c>
      <c r="EY183" s="1551" t="e">
        <f aca="false">EO183-ET183</f>
        <v>#VALUE!</v>
      </c>
      <c r="EZ183" s="1551" t="e">
        <f aca="false">EP183-EU183</f>
        <v>#VALUE!</v>
      </c>
      <c r="FA183" s="1551" t="e">
        <f aca="false">EQ183-EV183</f>
        <v>#VALUE!</v>
      </c>
      <c r="FB183" s="1551" t="e">
        <f aca="false">ER183-EW183</f>
        <v>#VALUE!</v>
      </c>
      <c r="FC183" s="1551" t="e">
        <f aca="false">ES183-EX183</f>
        <v>#VALUE!</v>
      </c>
      <c r="FD183" s="1525" t="n">
        <f aca="false">IF(AX183,IF(VLOOKUP(C183,MAIN!$L$17:$M$28,2)="Yes",VLOOKUP(CALC!B183,MAIN!$H$17:$I$20,2),0),0)</f>
        <v>0</v>
      </c>
      <c r="FE183" s="1552" t="e">
        <f aca="false">$FD183*16*AT183*(1-$AY183)</f>
        <v>#VALUE!</v>
      </c>
      <c r="FF183" s="1553" t="e">
        <f aca="false">$FD183*16*AU183*(1-$AY183)</f>
        <v>#VALUE!</v>
      </c>
      <c r="FG183" s="1553" t="e">
        <f aca="false">$FD183*16*(AV183+AW183)*(1-$AY183)</f>
        <v>#VALUE!</v>
      </c>
      <c r="FH183" s="1554" t="n">
        <f aca="false">$FD183*8*AX183*(1-$AY183)</f>
        <v>0</v>
      </c>
      <c r="FI183" s="1555" t="n">
        <f aca="false">IF(AX183,VLOOKUP(CALC!B183,MAIN!$H$17:$K$20,4),0)</f>
        <v>0</v>
      </c>
      <c r="FJ183" s="1553" t="e">
        <f aca="false">SUM(FE183:FH183)</f>
        <v>#VALUE!</v>
      </c>
      <c r="FK183" s="1556" t="e">
        <f aca="false">FI183*FJ183</f>
        <v>#VALUE!</v>
      </c>
      <c r="FL183" s="1551" t="e">
        <f aca="false">IF($EI183&gt;0,MIN(FE183,AZ183*(1+VLOOKUP($C183,WeatherCapacityAdjustment,2))),0)</f>
        <v>#VALUE!</v>
      </c>
      <c r="FM183" s="1551" t="e">
        <f aca="false">IF($EI183&gt;0,MIN(FF183,BA183*(1+VLOOKUP($C183,WeatherCapacityAdjustment,2))),0)</f>
        <v>#VALUE!</v>
      </c>
      <c r="FN183" s="1551" t="e">
        <f aca="false">IF($EI183&gt;0,MIN(FG183,BB183*(1+VLOOKUP($C183,WeatherCapacityAdjustment,2))),0)</f>
        <v>#VALUE!</v>
      </c>
      <c r="FO183" s="1564" t="e">
        <f aca="false">IF($EI183&gt;0,MIN(FH183,BC183*(1+VLOOKUP($C183,WeatherCapacityAdjustment,3))),0)</f>
        <v>#VALUE!</v>
      </c>
      <c r="FP183" s="1551" t="e">
        <f aca="false">IF(ET183&gt;0,MIN(FE183-FL183,BH183*(1+VLOOKUP($C183,WeatherCapacityAdjustment,2))),0)</f>
        <v>#VALUE!</v>
      </c>
      <c r="FQ183" s="1551" t="e">
        <f aca="false">IF(EU183&gt;0,MIN(FF183-FM183,BI183*(1+VLOOKUP($C183,WeatherCapacityAdjustment,2))),0)</f>
        <v>#VALUE!</v>
      </c>
      <c r="FR183" s="1551" t="e">
        <f aca="false">IF(EV183&gt;0,MIN(FG183-FN183,BJ183*(1+VLOOKUP($C183,WeatherCapacityAdjustment,2))),0)</f>
        <v>#VALUE!</v>
      </c>
      <c r="FS183" s="1558" t="e">
        <f aca="false">IF(EW183&gt;0,MIN(FH183-FO183,BK183*(1+VLOOKUP($C183,WeatherCapacityAdjustment,3))),0)</f>
        <v>#VALUE!</v>
      </c>
      <c r="FT183" s="1566" t="e">
        <f aca="false">IF(AND(Assumptions!$H$71="Yes",A183&gt;=Assumptions!$H$72,A183&lt;=Assumptions!$H$73),0,IF(AND($A183&gt;=Assumptions!$C$17,$A183&lt;=Assumptions!$C$18),MAX(AZ183*(1+VLOOKUP($C183,WeatherCapacityAdjustment,2))-FL183,0),0))</f>
        <v>#VALUE!</v>
      </c>
      <c r="FU183" s="1551" t="e">
        <f aca="false">IF(AND(Assumptions!$H$71="Yes",A183&gt;=Assumptions!$H$72,A183&lt;=Assumptions!$H$73),0,IF(AND($A183&gt;=Assumptions!$C$17,$A183&lt;=Assumptions!$C$18),MAX(BA183*(1+VLOOKUP($C183,WeatherCapacityAdjustment,2))-FM183,0),0))</f>
        <v>#VALUE!</v>
      </c>
      <c r="FV183" s="1551" t="e">
        <f aca="false">IF(AND(Assumptions!$H$71="Yes",A183&gt;=Assumptions!$H$72,A183&lt;=Assumptions!$H$73),0,IF(AND($A183&gt;=Assumptions!$C$17,$A183&lt;=Assumptions!$C$18),MAX(BB183*(1+VLOOKUP($C183,WeatherCapacityAdjustment,2))-FN183,0),0))</f>
        <v>#VALUE!</v>
      </c>
      <c r="FW183" s="1564" t="e">
        <f aca="false">IF(AND(Assumptions!$H$71="Yes",A183&gt;=Assumptions!$H$72,A183&lt;=Assumptions!$H$73),0,IF(AND($A183&gt;=Assumptions!$C$17,$A183&lt;=Assumptions!$C$18),MAX(BC183*(1+VLOOKUP($C183,WeatherCapacityAdjustment,3))-FO183,0),0))</f>
        <v>#VALUE!</v>
      </c>
      <c r="FX183" s="1569" t="e">
        <f aca="false">IF(AND(Assumptions!$H$71="Yes",A183&gt;=Assumptions!$H$72,A183&lt;=Assumptions!$H$73),0,IF(ET183&gt;0,MAX(BH183*(1+VLOOKUP($C183,WeatherCapacityAdjustment,2))-FP183,0),0))</f>
        <v>#VALUE!</v>
      </c>
      <c r="FY183" s="1551" t="e">
        <f aca="false">IF(AND(Assumptions!$H$71="Yes",A183&gt;=Assumptions!$H$72,A183&lt;=Assumptions!$H$73),0,IF(EU183&gt;0,MAX(BI183*(1+VLOOKUP($C183,WeatherCapacityAdjustment,3))-FQ183,0),0))</f>
        <v>#VALUE!</v>
      </c>
      <c r="FZ183" s="1551" t="e">
        <f aca="false">IF(AND(Assumptions!$H$71="Yes",A183&gt;=Assumptions!$H$72,A183&lt;=Assumptions!$H$73),0,IF(EV183&gt;0,MAX(BJ183*(1+VLOOKUP($C183,WeatherCapacityAdjustment,2))-FR183,0),0))</f>
        <v>#VALUE!</v>
      </c>
      <c r="GA183" s="1564" t="e">
        <f aca="false">IF(AND(Assumptions!$H$71="Yes",A183&gt;=Assumptions!$H$72,A183&lt;=Assumptions!$H$73),0,IF(EW183&gt;0,MAX(BK183*(1+VLOOKUP($C183,WeatherCapacityAdjustment,2))-FS183,0),0))</f>
        <v>#VALUE!</v>
      </c>
      <c r="GB183" s="1551" t="e">
        <f aca="false">SUM(FT183:GA183)</f>
        <v>#VALUE!</v>
      </c>
      <c r="GC183" s="1563" t="e">
        <f aca="false">+IF(SUM(FT183:GA183)=0,0,(SUMPRODUCT(BU183:BX183,FT183:FW183)+SUMPRODUCT(CA183:CD183,FX183:GA183))/SUM(FT183:GA183))</f>
        <v>#VALUE!</v>
      </c>
      <c r="GD183" s="1551" t="e">
        <f aca="false">(FT183*BU183+FX183*CA183+FU183*BV183+FY183*CB183+FV183*BW183+FZ183*CC183+FW183*BX183+GA183*CD183)</f>
        <v>#VALUE!</v>
      </c>
      <c r="GE183" s="1561" t="e">
        <f aca="false">+IF(BQ183,((FL183+FM183+FT183+FU183)*HeatRatePeak/1000*(1+VLOOKUP($C183,WeatherHeatRateAdjustment,2))+(FN183+FV183)*IF(EV183&gt;0,HeatRatePeak,HeatRateOffPeak)/1000*(1+VLOOKUP($C183,WeatherHeatRateAdjustment,2))+(FO183+FW183)*IF(EW183&gt;0,HeatRatePeak,HeatRateOffPeak)/1000*(1+VLOOKUP($C183,WeatherHeatRateAdjustment,3)))*(1+VLOOKUP($B183,HeatRateDegradation,$C183+1)),0)</f>
        <v>#VALUE!</v>
      </c>
      <c r="GF183" s="1562" t="e">
        <f aca="false">IF(BQ183,((FP183+FQ183+FR183+FX183+FY183+FZ183)*HeatRatePeak/1000*(1+VLOOKUP($C183,WeatherHeatRateAdjustment,2))+(FS183+GA183)*HeatRatePeak/1000*(1+VLOOKUP($C183,WeatherHeatRateAdjustment,3)))*(1+VLOOKUP($B183,HeatRateDegradation,$C183+1)),0)</f>
        <v>#VALUE!</v>
      </c>
      <c r="GG183" s="1563" t="e">
        <f aca="false">IF(BQ183,VLOOKUP(A183,GasTable,13),0)</f>
        <v>#VALUE!</v>
      </c>
      <c r="GH183" s="1564" t="e">
        <f aca="false">(GE183+GF183)*GG183</f>
        <v>#VALUE!</v>
      </c>
      <c r="GI183" s="1569" t="e">
        <f aca="false">GB183</f>
        <v>#VALUE!</v>
      </c>
      <c r="GJ183" s="1598" t="e">
        <f aca="false">+DA183</f>
        <v>#VALUE!</v>
      </c>
      <c r="GK183" s="1558" t="e">
        <f aca="false">+GI183*GJ183</f>
        <v>#VALUE!</v>
      </c>
      <c r="GL183" s="1566" t="e">
        <f aca="false">MAX(FE183-FL183-FP183,0)</f>
        <v>#VALUE!</v>
      </c>
      <c r="GM183" s="1551" t="e">
        <f aca="false">MAX(FF183-FM183-FQ183,0)</f>
        <v>#VALUE!</v>
      </c>
      <c r="GN183" s="1551" t="e">
        <f aca="false">MAX(FG183-FN183-FR183,0)</f>
        <v>#VALUE!</v>
      </c>
      <c r="GO183" s="1564" t="e">
        <f aca="false">MAX(FH183-FO183-FS183,0)</f>
        <v>#VALUE!</v>
      </c>
      <c r="GP183" s="1551" t="e">
        <f aca="false">SUM(GL183:GO183)</f>
        <v>#VALUE!</v>
      </c>
      <c r="GQ183" s="1563" t="e">
        <f aca="false">IF(SUM(GL183:GO183)=0,0,((GL183*BU183+GM183*BV183+GN183*BW183+GO183*BX183)/SUM(GL183:GO183)))</f>
        <v>#VALUE!</v>
      </c>
      <c r="GR183" s="1558" t="e">
        <f aca="false">(GL183*BU183+GM183*BV183+GN183*BW183+GO183*BX183)</f>
        <v>#VALUE!</v>
      </c>
      <c r="GS183" s="1566" t="n">
        <f aca="false">IF($A183&gt;=BegDate,Assumptions!$C$56*24*($A184-$A183)*(1-VLOOKUP($B183,MAIN!$AA$7:$AM$28,$C183+1))*(1-VLOOKUP($B183,MAIN!$AA$33:$AM$54,$C183+1)),0)*80/168</f>
        <v>257742.857142857</v>
      </c>
      <c r="GT183" s="286" t="n">
        <f aca="false">J183</f>
        <v>41.4784746562629</v>
      </c>
      <c r="GU183" s="286" t="n">
        <f aca="false">IF($A183&gt;=BegDate,VLOOKUP($A183,GasTable,13)+Assumptions!$C$58,0)</f>
        <v>3.1205202934792</v>
      </c>
      <c r="GV183" s="286" t="n">
        <f aca="false">GU183*Assumptions!$C$57/1000</f>
        <v>22.6237721277242</v>
      </c>
      <c r="GW183" s="1558" t="n">
        <f aca="false">IF(Assumptions!$C$60="Hourly",MAX(0,GS183*(GT183-GV183)),GS183*(GT183-GV183))</f>
        <v>4859664.90028422</v>
      </c>
      <c r="GX183" s="1566" t="n">
        <f aca="false">IF($A183&gt;=BegDate,Assumptions!$C$56*24*($A184-$A183)*(1-VLOOKUP($B183,MAIN!$AA$7:$AM$28,$C183+1))*(1-VLOOKUP($B183,MAIN!$AA$33:$AM$54,$C183+1)),0)*16/168</f>
        <v>51548.5714285714</v>
      </c>
      <c r="GY183" s="286" t="n">
        <f aca="false">M183</f>
        <v>41.4784746562629</v>
      </c>
      <c r="GZ183" s="286" t="n">
        <f aca="false">IF($A183&gt;=BegDate,VLOOKUP($A183,GasTable,13)+Assumptions!$C$58,0)</f>
        <v>3.1205202934792</v>
      </c>
      <c r="HA183" s="286" t="n">
        <f aca="false">GZ183*Assumptions!$C$57/1000</f>
        <v>22.6237721277242</v>
      </c>
      <c r="HB183" s="1558" t="n">
        <f aca="false">IF(Assumptions!$C$60="Hourly",MAX(0,GX183*(GY183-HA183)),GX183*(GY183-HA183))</f>
        <v>971932.980056845</v>
      </c>
      <c r="HC183" s="1566" t="n">
        <f aca="false">IF($A183&gt;=BegDate,Assumptions!$C$56*24*($A184-$A183)*(1-VLOOKUP($B183,MAIN!$AA$7:$AM$28,$C183+1))*(1-VLOOKUP($B183,MAIN!$AA$33:$AM$54,$C183+1)),0)*16/168</f>
        <v>51548.5714285714</v>
      </c>
      <c r="HD183" s="286" t="n">
        <f aca="false">P183</f>
        <v>24.8279721451725</v>
      </c>
      <c r="HE183" s="286" t="n">
        <f aca="false">IF($A183&gt;=BegDate,VLOOKUP($A183,GasTable,13)+Assumptions!$C$58,0)</f>
        <v>3.1205202934792</v>
      </c>
      <c r="HF183" s="286" t="n">
        <f aca="false">HE183*Assumptions!$C$57/1000</f>
        <v>22.6237721277242</v>
      </c>
      <c r="HG183" s="1558" t="n">
        <f aca="false">IF(Assumptions!$C$60="Hourly",MAX(0,HC183*(HD183-HF183)),HC183*(HD183-HF183))</f>
        <v>113623.362042294</v>
      </c>
      <c r="HH183" s="1566" t="n">
        <f aca="false">IF($A183&gt;=BegDate,Assumptions!$C$56*24*($A184-$A183)*(1-VLOOKUP($B183,MAIN!$AA$7:$AM$28,$C183+1))*(1-VLOOKUP($B183,MAIN!$AA$33:$AM$54,$C183+1)),0)*56/168</f>
        <v>180420</v>
      </c>
      <c r="HI183" s="286" t="n">
        <f aca="false">S183</f>
        <v>24.8279721451725</v>
      </c>
      <c r="HJ183" s="286" t="n">
        <f aca="false">IF($A183&gt;=BegDate,VLOOKUP($A183,GasTable,13)+Assumptions!$C$58,0)</f>
        <v>3.1205202934792</v>
      </c>
      <c r="HK183" s="286" t="n">
        <f aca="false">HJ183*Assumptions!$C$57/1000</f>
        <v>22.6237721277242</v>
      </c>
      <c r="HL183" s="1558" t="n">
        <f aca="false">IF(Assumptions!$C$60="Hourly",MAX(0,HH183*(HI183-HK183)),HH183*(HI183-HK183))</f>
        <v>397681.767148029</v>
      </c>
      <c r="HM183" s="1566" t="n">
        <f aca="false">IF(AND(Assumptions!$H$71="Yes",A183&gt;=Assumptions!$H$72,A183&lt;=Assumptions!$H$73),Assumptions!$H$74*Assumptions!$C$9*1000,0)</f>
        <v>0</v>
      </c>
      <c r="HN183" s="1551"/>
      <c r="HO183" s="1563"/>
      <c r="HP183" s="1563"/>
      <c r="HQ183" s="1563"/>
      <c r="HR183" s="1563"/>
      <c r="HS183" s="1563"/>
      <c r="HT183" s="1563"/>
      <c r="HU183" s="1563"/>
      <c r="HV183" s="1563"/>
      <c r="HW183" s="1563"/>
      <c r="HX183" s="1563"/>
      <c r="HY183" s="1563"/>
      <c r="HZ183" s="1563"/>
      <c r="IA183" s="1563"/>
      <c r="IB183" s="1563"/>
      <c r="IC183" s="1563"/>
      <c r="ID183" s="1563"/>
      <c r="IE183" s="1563"/>
      <c r="IF183" s="1563"/>
      <c r="IG183" s="1563"/>
      <c r="IH183" s="1563"/>
      <c r="II183" s="1610"/>
      <c r="IJ183" s="1309"/>
      <c r="IK183" s="1309"/>
    </row>
    <row r="184" customFormat="false" ht="12.75" hidden="false" customHeight="false" outlineLevel="0" collapsed="false">
      <c r="A184" s="1571" t="n">
        <f aca="false">EOMONTH(A183,0)+1</f>
        <v>41730</v>
      </c>
      <c r="B184" s="594" t="n">
        <f aca="false">+YEAR(A184)</f>
        <v>2014</v>
      </c>
      <c r="C184" s="238" t="n">
        <f aca="false">MONTH(A184)</f>
        <v>4</v>
      </c>
      <c r="D184" s="1572" t="e">
        <f aca="false">IF(E184="","",Holiday(B184,C184))</f>
        <v>#VALUE!</v>
      </c>
      <c r="E184" s="1573" t="n">
        <f aca="false">IF(OR(BegDate&gt;=A185,EndDate&lt;A184,AND(VolumeMonthlyOverFlag,INDEX(VolumeMonthlyOver,C184)=0),NOT(INDEX(MonthKnockOutTable,C184))),"",MAX(A184,BegDate))</f>
        <v>41730</v>
      </c>
      <c r="F184" s="1574" t="n">
        <f aca="false">IF(E184="","",MIN(A185-1,EndDate))</f>
        <v>41759</v>
      </c>
      <c r="G184" s="1575" t="n">
        <v>0</v>
      </c>
      <c r="H184" s="1576" t="n">
        <f aca="false">(1+G184/2)^(-2*(DATE(B185,C185,20)-DateToday)/365.25)</f>
        <v>1</v>
      </c>
      <c r="I184" s="1568" t="n">
        <f aca="false">IF(Assumptions!$L$25=4,VLOOKUP($A184,'Henwood Reference'!$E$9:$R$320,10),(VLOOKUP($A184,PriceTable,2,0)+IF(BasisNumber&lt;&gt;1,VLOOKUP($A184,BasisTable,2,0),0)+I$1)/(1-I$2))</f>
        <v>40.2569012174193</v>
      </c>
      <c r="J184" s="1568" t="n">
        <f aca="false">IF(Assumptions!$L$25=4,VLOOKUP($A184,'Henwood Reference'!$E$9:$R$320,10),(VLOOKUP($A184,PriceTable,3,0)+IF(BasisNumber&lt;&gt;1,VLOOKUP($A184,BasisTable,2,0),0)+J$1)/(1-J$2))</f>
        <v>40.2569012174193</v>
      </c>
      <c r="K184" s="1568" t="n">
        <f aca="false">IF(Assumptions!$L$25=4,VLOOKUP($A184,'Henwood Reference'!$E$9:$R$320,10),(VLOOKUP($A184,PriceTable,4,0)+IF(BasisNumber&lt;&gt;1,VLOOKUP($A184,BasisTable,2,0),0)+K$1)/(1-K$2))</f>
        <v>40.2569012174193</v>
      </c>
      <c r="L184" s="1523" t="n">
        <f aca="false">IF(Assumptions!$L$25=4,VLOOKUP($A184,'Henwood Reference'!$E$9:$R$320,10),(VLOOKUP($A184,PriceTableWeekend,2,0)+IF(BasisNumber&lt;&gt;1,VLOOKUP($A184,BasisTable,2,0),0)+L$1)/(1-L$2))</f>
        <v>40.2569012174193</v>
      </c>
      <c r="M184" s="1568" t="n">
        <f aca="false">IF(Assumptions!$L$25=4,VLOOKUP($A184,'Henwood Reference'!$E$9:$R$320,10),(VLOOKUP($A184,PriceTableWeekend,3,0)+IF(BasisNumber&lt;&gt;1,VLOOKUP($A184,BasisTable,2,0),0)+M$1)/(1-M$2))</f>
        <v>40.2569012174193</v>
      </c>
      <c r="N184" s="1599" t="n">
        <f aca="false">IF(Assumptions!$L$25=4,VLOOKUP($A184,'Henwood Reference'!$E$9:$R$320,10),(VLOOKUP($A184,PriceTableWeekend,4,0)+IF(BasisNumber&lt;&gt;1,VLOOKUP($A184,BasisTable,2,0),0)+N$1)/(1-N$2))</f>
        <v>40.2569012174193</v>
      </c>
      <c r="O184" s="1568" t="n">
        <f aca="false">IF(Assumptions!$L$25=4,VLOOKUP($A184,'Henwood Reference'!$E$9:$R$320,11),(VLOOKUP($A184,PriceTableWeekend,6,0)+IF(BasisNumber&lt;&gt;1,VLOOKUP($A184,BasisTable,3,0),0)+O$1)/(1-O$2))</f>
        <v>26.7532236083576</v>
      </c>
      <c r="P184" s="1568" t="n">
        <f aca="false">IF(Assumptions!$L$25=4,VLOOKUP($A184,'Henwood Reference'!$E$9:$R$320,11),(VLOOKUP($A184,PriceTableWeekend,7,0)+IF(BasisNumber&lt;&gt;1,VLOOKUP($A184,BasisTable,3,0),0)+P$1)/(1-P$2))</f>
        <v>26.7532236083576</v>
      </c>
      <c r="Q184" s="1599" t="n">
        <f aca="false">IF(Assumptions!$L$25=4,VLOOKUP($A184,'Henwood Reference'!$E$9:$R$320,11),(VLOOKUP($A184,PriceTableWeekend,8,0)+IF(BasisNumber&lt;&gt;1,VLOOKUP($A184,BasisTable,3,0),0)+Q$1)/(1-Q$2))</f>
        <v>26.7532236083576</v>
      </c>
      <c r="R184" s="1568" t="n">
        <f aca="false">IF(Assumptions!$L$25=4,VLOOKUP($A184,'Henwood Reference'!$E$9:$R$320,11),(VLOOKUP($A184,PriceTable,6,0)+IF(BasisNumber&lt;&gt;1,VLOOKUP($A184,BasisTable,3,0),0)+R$1)/(1-R$2))</f>
        <v>26.7532236083576</v>
      </c>
      <c r="S184" s="1568" t="n">
        <f aca="false">IF(Assumptions!$L$25=4,VLOOKUP($A184,'Henwood Reference'!$E$9:$R$320,11),(VLOOKUP($A184,PriceTable,7,0)+IF(BasisNumber&lt;&gt;1,VLOOKUP($A184,BasisTable,3,0),0)+S$1)/(1-S$2))</f>
        <v>26.7532236083576</v>
      </c>
      <c r="T184" s="1600" t="n">
        <f aca="false">IF(Assumptions!$L$25=4,VLOOKUP($A184,'Henwood Reference'!$E$9:$R$320,11),(VLOOKUP($A184,PriceTable,8,0)+IF(BasisNumber&lt;&gt;1,VLOOKUP($A184,BasisTable,3,0),0)+T$1)/(1-T$2))</f>
        <v>26.7532236083576</v>
      </c>
      <c r="U184" s="1513" t="n">
        <f aca="false">VLOOKUP($A184,VolatilityTable,14)</f>
        <v>0.0999999999999999</v>
      </c>
      <c r="V184" s="1513" t="n">
        <f aca="false">VLOOKUP($A184,VolatilityTable,15)</f>
        <v>0.11</v>
      </c>
      <c r="W184" s="1514" t="n">
        <f aca="false">VLOOKUP($A184,VolatilityTable,16)</f>
        <v>0.12</v>
      </c>
      <c r="X184" s="1513" t="n">
        <f aca="false">VLOOKUP($A184,VolatilityTable,14)</f>
        <v>0.0999999999999999</v>
      </c>
      <c r="Y184" s="1513" t="n">
        <f aca="false">VLOOKUP($A184,VolatilityTable,15)</f>
        <v>0.11</v>
      </c>
      <c r="Z184" s="1514" t="n">
        <f aca="false">VLOOKUP($A184,VolatilityTable,16)</f>
        <v>0.12</v>
      </c>
      <c r="AA184" s="1513" t="n">
        <f aca="false">VLOOKUP($A184,VolatilityTable,18)</f>
        <v>0.09</v>
      </c>
      <c r="AB184" s="1513" t="n">
        <f aca="false">VLOOKUP($A184,VolatilityTable,19)</f>
        <v>0.11</v>
      </c>
      <c r="AC184" s="1514" t="n">
        <f aca="false">VLOOKUP($A184,VolatilityTable,20)</f>
        <v>0.13</v>
      </c>
      <c r="AD184" s="1513" t="n">
        <f aca="false">VLOOKUP($A184,VolatilityTable,18)</f>
        <v>0.09</v>
      </c>
      <c r="AE184" s="1513" t="n">
        <f aca="false">VLOOKUP($A184,VolatilityTable,19)</f>
        <v>0.11</v>
      </c>
      <c r="AF184" s="1514" t="n">
        <f aca="false">VLOOKUP($A184,VolatilityTable,20)</f>
        <v>0.13</v>
      </c>
      <c r="AG184" s="1513" t="n">
        <f aca="false">VLOOKUP($A184,VolatilityTable,22)</f>
        <v>-0.1</v>
      </c>
      <c r="AH184" s="1513" t="n">
        <f aca="false">VLOOKUP($A184,VolatilityTable,23)</f>
        <v>0.65</v>
      </c>
      <c r="AI184" s="1514" t="n">
        <f aca="false">VLOOKUP($A184,VolatilityTable,24)</f>
        <v>0.1</v>
      </c>
      <c r="AJ184" s="1513" t="n">
        <f aca="false">VLOOKUP($A184,VolatilityTable,22)</f>
        <v>-0.1</v>
      </c>
      <c r="AK184" s="1513" t="n">
        <f aca="false">VLOOKUP($A184,VolatilityTable,23)</f>
        <v>0.65</v>
      </c>
      <c r="AL184" s="1514" t="n">
        <f aca="false">VLOOKUP($A184,VolatilityTable,24)</f>
        <v>0.1</v>
      </c>
      <c r="AM184" s="1513" t="n">
        <f aca="false">VLOOKUP($A184,VolatilityTable,26)</f>
        <v>-0.01</v>
      </c>
      <c r="AN184" s="1513" t="n">
        <f aca="false">VLOOKUP($A184,VolatilityTable,27)</f>
        <v>0.16</v>
      </c>
      <c r="AO184" s="1514" t="n">
        <f aca="false">VLOOKUP($A184,VolatilityTable,28)</f>
        <v>0.01</v>
      </c>
      <c r="AP184" s="1513" t="n">
        <f aca="false">VLOOKUP($A184,VolatilityTable,26)</f>
        <v>-0.01</v>
      </c>
      <c r="AQ184" s="1513" t="n">
        <f aca="false">VLOOKUP($A184,VolatilityTable,27)</f>
        <v>0.16</v>
      </c>
      <c r="AR184" s="1515" t="n">
        <f aca="false">VLOOKUP($A184,VolatilityTable,28)</f>
        <v>0.01</v>
      </c>
      <c r="AS184" s="1581" t="n">
        <f aca="false">IF(CorrPeakOffPeakOverFlag,INDEX(CorrPeakOffPeakOver,C184),CorrPeakOffPeak)</f>
        <v>0.5</v>
      </c>
      <c r="AT184" s="594" t="e">
        <f aca="false">AX184-SUM(AU184:AW184)</f>
        <v>#VALUE!</v>
      </c>
      <c r="AU184" s="238" t="e">
        <f aca="false">IF(E184="",0,INT((F184-MOD(F184,7)-E184)/7)+1-IF(AW184,IF(WEEKDAY(D184)=7,1,0),0))</f>
        <v>#VALUE!</v>
      </c>
      <c r="AV184" s="238" t="e">
        <f aca="false">IF(E184="",0,INT((F184-MOD(F184-1,7)-E184)/7)+1-IF(AW184,IF(WEEKDAY(D184)=1,1,0),0))</f>
        <v>#VALUE!</v>
      </c>
      <c r="AW184" s="238" t="e">
        <f aca="false">IF(OR(E184="",D184="",D184&lt;BegDate,D184&gt;EndDate),0,1)</f>
        <v>#VALUE!</v>
      </c>
      <c r="AX184" s="238" t="n">
        <f aca="false">IF(E184="",0,F184-E184+1)</f>
        <v>30</v>
      </c>
      <c r="AY184" s="1582" t="n">
        <f aca="false">IF(E184="",0,MIN((1-(1-VLOOKUP(B184,MAIN!$AA$7:$AM$28,C184+1))*(1-VLOOKUP(B184,MAIN!$AA$33:$AM$54,C184+1))),1))</f>
        <v>0.127</v>
      </c>
      <c r="AZ184" s="1519" t="e">
        <v>#VALUE!</v>
      </c>
      <c r="BA184" s="1520" t="e">
        <v>#VALUE!</v>
      </c>
      <c r="BB184" s="1520" t="e">
        <v>#VALUE!</v>
      </c>
      <c r="BC184" s="1583" t="e">
        <v>#VALUE!</v>
      </c>
      <c r="BD184" s="1522" t="e">
        <v>#VALUE!</v>
      </c>
      <c r="BE184" s="1523" t="e">
        <v>#VALUE!</v>
      </c>
      <c r="BF184" s="1523" t="e">
        <v>#VALUE!</v>
      </c>
      <c r="BG184" s="1584" t="e">
        <v>#VALUE!</v>
      </c>
      <c r="BH184" s="1525" t="e">
        <v>#VALUE!</v>
      </c>
      <c r="BI184" s="1520" t="e">
        <v>#VALUE!</v>
      </c>
      <c r="BJ184" s="1520" t="e">
        <v>#VALUE!</v>
      </c>
      <c r="BK184" s="1583" t="e">
        <v>#VALUE!</v>
      </c>
      <c r="BL184" s="1522" t="e">
        <v>#VALUE!</v>
      </c>
      <c r="BM184" s="1523" t="e">
        <v>#VALUE!</v>
      </c>
      <c r="BN184" s="1523" t="e">
        <v>#VALUE!</v>
      </c>
      <c r="BO184" s="1523" t="e">
        <v>#VALUE!</v>
      </c>
      <c r="BP184" s="1525" t="e">
        <f aca="false">SUM(AZ184:BB184)</f>
        <v>#VALUE!</v>
      </c>
      <c r="BQ184" s="1529" t="e">
        <f aca="false">SUM(AZ184:BC184)</f>
        <v>#VALUE!</v>
      </c>
      <c r="BR184" s="1519" t="e">
        <f aca="false">SUM(BH184:BJ184)</f>
        <v>#VALUE!</v>
      </c>
      <c r="BS184" s="1529" t="e">
        <f aca="false">SUM(BH184:BK184)</f>
        <v>#VALUE!</v>
      </c>
      <c r="BT184" s="1316" t="n">
        <f aca="false">(IF(OVolType&lt;&gt;2,A184+14,IF(OptExpDateShift,ShiftBack(A184,OptExpDateShift,D183),A184))-DateToday)/365.25</f>
        <v>13.9630390143737</v>
      </c>
      <c r="BU184" s="1585" t="e">
        <f aca="false">IF(BQ184,IF(OPriceCurve,IF(OBuySell=OCallPut,I184/(1-AY184),K184/(1-AY184)),J184/(1-AY184))*BD184,0)</f>
        <v>#VALUE!</v>
      </c>
      <c r="BV184" s="1316" t="e">
        <f aca="false">IF(BQ184,IF(OPriceCurve,IF(OBuySell=OCallPut,L184/(1-AY184),N184/(1-AY184)),M184/(1-AY184))*BE184,0)</f>
        <v>#VALUE!</v>
      </c>
      <c r="BW184" s="1316" t="e">
        <f aca="false">IF(BQ184,IF(OPriceCurve,IF(OBuySell=OCallPut,O184/(1-AY184),Q184/(1-AY184)),P184/(1-AY184))*BF184,0)</f>
        <v>#VALUE!</v>
      </c>
      <c r="BX184" s="1316" t="e">
        <f aca="false">IF(BQ184,IF(OPriceCurve,IF(OBuySell=OCallPut,R184/(1-AY184),T184/(1-AY184)),S184/(1-AY184))*BG184,0)</f>
        <v>#VALUE!</v>
      </c>
      <c r="BY184" s="1316" t="e">
        <f aca="false">IF(BP184,(BU184*AZ184+BV184*BA184+BW184*BB184)/BP184,0)</f>
        <v>#VALUE!</v>
      </c>
      <c r="BZ184" s="1316" t="e">
        <f aca="false">IF(BQ184,(BY184*BP184+BX184*BC184)/BQ184,0)</f>
        <v>#VALUE!</v>
      </c>
      <c r="CA184" s="1531" t="e">
        <f aca="false">IF(BS184,IF(OPriceCurve,IF(OBuySell=OCallPut,I184/(1-AY184),K184/(1-AY184)),J184/(1-AY184))*BL184,0)</f>
        <v>#VALUE!</v>
      </c>
      <c r="CB184" s="1316" t="e">
        <f aca="false">IF(BS184,IF(OPriceCurve,IF(OBuySell=OCallPut,L184/(1-AY184),N184/(1-AY184)),M184/(1-AY184))*BM184,0)</f>
        <v>#VALUE!</v>
      </c>
      <c r="CC184" s="1316" t="e">
        <f aca="false">IF(BS184,IF(OPriceCurve,IF(OBuySell=OCallPut,O184/(1-AY184),Q184/(1-AY184)),P184/(1-AY184))*BN184,0)</f>
        <v>#VALUE!</v>
      </c>
      <c r="CD184" s="1316" t="e">
        <f aca="false">IF(BS184,IF(OPriceCurve,IF(OBuySell=OCallPut,R184/(1-AY184),T184/(1-AY184)),S184/(1-AY184))*BO184,0)</f>
        <v>#VALUE!</v>
      </c>
      <c r="CE184" s="1316" t="e">
        <f aca="false">IF(BR184,(BU184*BH184+BV184*BI184+BW184*BJ184)/BR184,0)</f>
        <v>#VALUE!</v>
      </c>
      <c r="CF184" s="1532" t="e">
        <f aca="false">IF(BS184,(CE184*BR184+CD184*BK184)/BS184,0)</f>
        <v>#VALUE!</v>
      </c>
      <c r="CG184" s="1586" t="e">
        <f aca="false">IF(OR(BQ184,BS184),IF(OVolType&lt;&gt;2,SQRT(IF(OVolOverMonthlyPeak,OVolOverMonthlyPeak,IF(OVolCurve,IF(OBuySell,U184,W184),V184))^2*(1-15/365.25/BT184)+IF(OVolOverDailyPeak,OVolOverDailyPeak,IF(OVolCurve,IF(OBuySell,AG184,AI184),AH184))^2*15/365.25/BT184),IF(OVolOverMonthlyPeak,OVolOverMonthlyPeak,IF(OVolCurve,IF(OBuySell,U184,W184),V184))),"")</f>
        <v>#VALUE!</v>
      </c>
      <c r="CH184" s="1587" t="e">
        <f aca="false">IF(OR(BQ184,BS184),IF(OVolType&lt;&gt;2,SQRT(IF(OVolOverMonthlyPeak,OVolOverMonthlyPeak,IF(OVolCurve,IF(OBuySell,X184,Z184),Y184))^2*(1-15/365.25/BT184)+IF(OVolOverDailyPeak,OVolOverDailyPeak,IF(OVolCurve,IF(OBuySell,AJ184,AL184),AK184))^2*15/365.25/BT184),IF(OVolOverMonthlyPeak,OVolOverMonthlyPeak,IF(OVolCurve,IF(OBuySell,X184,Z184),Y184))),"")</f>
        <v>#VALUE!</v>
      </c>
      <c r="CI184" s="1587" t="e">
        <f aca="false">IF(OR(BQ184,BS184),IF(OVolType&lt;&gt;2,SQRT(IF(OVolOverMonthlyPeak,OVolOverMonthlyPeak,IF(OVolCurve,IF(OBuySell,AA184,AC184),AB184))^2*(1-15/365.25/BT184)+IF(OVolOverDailyPeak,OVolOverDailyPeak,IF(OVolCurve,IF(OBuySell,AM184,AO184),AN184))^2*15/365.25/BT184),IF(OVolOverMonthlyPeak,OVolOverMonthlyPeak,IF(OVolCurve,IF(OBuySell,AA184,AC184),AB184))),"")</f>
        <v>#VALUE!</v>
      </c>
      <c r="CJ184" s="1587" t="e">
        <f aca="false">IF(BQ184,IF(BP184,SQRT(LN(1+((BU184*AZ184)^2*(EXP(CG184^2*BT184)-1)+(BV184*BA184)^2*(EXP(CH184^2*BT184)-1)+(BW184*BB184)^2*(EXP(CI184^2*BT184)-1)+2*BU184*AZ184*BV184*BA184*(EXP(CG184*CH184*BT184)-1)+2*BV184*BA184*BW184*BB184*(EXP(CH184*CI184*BT184)-1)+2*BW184*BB184*BU184*AZ184*(EXP(CI184*CG184*BT184)-1))/(BY184*BP184)^2)/BT184),0),"")</f>
        <v>#VALUE!</v>
      </c>
      <c r="CK184" s="1587" t="e">
        <f aca="false">IF(BS184,IF(BR184,SQRT(LN(1+((CA184*BH184)^2*(EXP(CG184^2*BT184)-1)+(CB184*BI184)^2*(EXP(CH184^2*BT184)-1)+(CC184*BJ184)^2*(EXP(CI184^2*BT184)-1)+2*CA184*BH184*CB184*BI184*(EXP(CG184*CH184*BT184)-1)+2*CB184*BI184*CC184*BJ184*(EXP(CH184*CI184*BT184)-1)+2*CC184*BJ184*CA184*BH184*(EXP(CI184*CG184*BT184)-1))/(CE184*BR184)^2)/BT184),0),"")</f>
        <v>#VALUE!</v>
      </c>
      <c r="CL184" s="1587" t="e">
        <f aca="false">IF(OR(BQ184,BS184),IF(OVolType&lt;&gt;2,SQRT(IF(OVolOverMonthlyOffPeak,OVolOverMonthlyOffPeak,IF(OVolCurve,IF(OBuySell,AD184,AF184),AE184))^2*(1-15/365.25/BT184)+IF(OVolOverDailyOffPeak,OVolOverDailyOffPeak,IF(OVolCurve,IF(OBuySell,AP184,AR184),AQ184))^2*15/365.25/BT184),IF(OVolOverMonthlyOffPeak,OVolOverMonthlyOffPeak,IF(OVolCurve,IF(OBuySell,AD184,AF184),AE184))),"")</f>
        <v>#VALUE!</v>
      </c>
      <c r="CM184" s="1587" t="e">
        <f aca="false">IF(BQ184,SQRT(LN(1+((BY184*BP184)^2*(EXP(CJ184^2*BT184)-1)+(BX184*BC184)^2*(EXP(CL184^2*BT184)-1)+2*BY184*BP184*BX184*BC184*(EXP(AS184*CJ184*CL184*BT184)-1))/(BY184*BP184+BX184*BC184)^2)/BT184),"")</f>
        <v>#VALUE!</v>
      </c>
      <c r="CN184" s="1588" t="e">
        <f aca="false">IF(BS184,SQRT(LN(1+((CE184*BR184)^2*(EXP(CK184^2*BT184)-1)+(CD184*BK184)^2*(EXP(CL184^2*BT184)-1)+2*CE184*BR184*CD184*BK184*(EXP(AS184*CK184*CL184*BT184)-1))/(CE184*BR184+CD184*BK184)^2)/BT184),"")</f>
        <v>#VALUE!</v>
      </c>
      <c r="CO184" s="1531" t="e">
        <f aca="false">IF(OR(BQ184,BS184),VLOOKUP(A184,GasTable,13)*HeatRatePeak*(1+VLOOKUP($B184,HeatRateDegradation,$C184+1))/1000,0)</f>
        <v>#VALUE!</v>
      </c>
      <c r="CP184" s="1316" t="e">
        <f aca="false">IF(OR(BQ184,BS184),VLOOKUP(A184,GasTable,13)*HeatRatePeak*(1+VLOOKUP($B184,HeatRateDegradation,$C184+1))/1000,0)</f>
        <v>#VALUE!</v>
      </c>
      <c r="CQ184" s="1316" t="e">
        <f aca="false">IF(OR(BQ184,BS184),VLOOKUP(A184,GasTable,13)*IF(EV184,HeatRatePeak,HeatRateOffPeak)*(1+VLOOKUP($B184,HeatRateDegradation,$C184+1))/1000,0)</f>
        <v>#VALUE!</v>
      </c>
      <c r="CR184" s="1316" t="e">
        <f aca="false">IF(OR(BQ184,BS184),VLOOKUP(A184,GasTable,13)*IF(EW184,HeatRatePeak,HeatRateOffPeak)*(1+VLOOKUP($B184,HeatRateDegradation,$C184+1))/1000,0)</f>
        <v>#VALUE!</v>
      </c>
      <c r="CS184" s="1589" t="e">
        <f aca="false">IF(BQ184,(CO184*AZ184+CP184*BA184+CQ184*BB184+CR184*BC184)/BQ184,0)</f>
        <v>#VALUE!</v>
      </c>
      <c r="CT184" s="1316" t="e">
        <f aca="false">IF(BS184,CO184,0)</f>
        <v>#VALUE!</v>
      </c>
      <c r="CU184" s="1590" t="e">
        <f aca="false">IF(OR(BQ184,BS184),VLOOKUP(A184,GasTable,14),"")</f>
        <v>#VALUE!</v>
      </c>
      <c r="CV184" s="1568" t="e">
        <f aca="false">IF(OR(BQ184,BS184),IF(CorrPowerGasOverFlag,INDEX(CorrPowerGasOver,C184),CorrPowerGas),"")</f>
        <v>#VALUE!</v>
      </c>
      <c r="CW184" s="1316" t="e">
        <f aca="false">IF(OR($BQ184,$BS184),SpreadOptPowerMargin,0)*((1+Assumptions!$C$26)^($B184-YEAR(Assumptions!$C$17)))</f>
        <v>#VALUE!</v>
      </c>
      <c r="CX184" s="1316" t="e">
        <f aca="false">IF(OR($BQ184,$BS184),SpreadOptPowerMargin,0)*((1+Assumptions!$C$26)^($B184-YEAR(Assumptions!$C$17)))</f>
        <v>#VALUE!</v>
      </c>
      <c r="CY184" s="1316" t="e">
        <f aca="false">IF(OR($BQ184,$BS184),SpreadOptPowerMargin,0)*((1+Assumptions!$C$26)^($B184-YEAR(Assumptions!$C$17)))</f>
        <v>#VALUE!</v>
      </c>
      <c r="CZ184" s="1316" t="e">
        <f aca="false">IF(OR($BQ184,$BS184),SpreadOptPowerMargin,0)*((1+Assumptions!$C$26)^($B184-YEAR(Assumptions!$C$17)))</f>
        <v>#VALUE!</v>
      </c>
      <c r="DA184" s="1591" t="e">
        <f aca="false">IF(OR(BQ184,BS184),(CW184*(AZ184+BH184)+CX184*(BA184+BI184)+CY184*(BB184+BJ184)+CZ184*(BC184+BK184))/(BQ184+BS184),0)</f>
        <v>#VALUE!</v>
      </c>
      <c r="DB184" s="1592" t="e">
        <f aca="false">IF(OR(BQ184,BS184),CG184+IF(OVolSmile,VLOOKUP(MAX(-5,CO184+CW184-BU184),IF(OVolSmile=1,VolSmileBook,VolSmileModel),2),0),"")</f>
        <v>#VALUE!</v>
      </c>
      <c r="DC184" s="1592" t="e">
        <f aca="false">IF(OR(BQ184,BS184),CH184+IF(OVolSmile,VLOOKUP(MAX(-5,CP184+CW184-BV184),IF(OVolSmile=1,VolSmileBook,VolSmileModel),2),0),"")</f>
        <v>#VALUE!</v>
      </c>
      <c r="DD184" s="1592" t="e">
        <f aca="false">IF(OR(BQ184,BS184),CI184+IF(OVolSmile,VLOOKUP(MAX(-5,CQ184+CW184-BW184),IF(OVolSmile=1,VolSmileBook,VolSmileModel),2),0),"")</f>
        <v>#VALUE!</v>
      </c>
      <c r="DE184" s="1592" t="e">
        <f aca="false">IF(OR(BQ184,BS184),CL184+IF(OVolSmile,VLOOKUP(MAX(-5,CR184+CZ184-BX184),IF(OVolSmile=1,VolSmileBook,VolSmileModel),2),0),"")</f>
        <v>#VALUE!</v>
      </c>
      <c r="DF184" s="1592" t="e">
        <f aca="false">IF(BQ184,CM184+IF(OVolSmile,VLOOKUP(MAX(-5,CS184+DA184-BZ184),IF(OVolSmile=1,VolSmileBook,VolSmileModel),2),0),"")</f>
        <v>#VALUE!</v>
      </c>
      <c r="DG184" s="1593" t="e">
        <f aca="false">IF(BS184,CN184+IF(OVolSmile,VLOOKUP(MAX(-5,CT184+DA184-CF184),IF(OVolSmile=1,VolSmileBook,VolSmileModel),2),0),"")</f>
        <v>#VALUE!</v>
      </c>
      <c r="DH184" s="1316" t="e">
        <f aca="false">IF(AND(BU184&gt;0,CO184&gt;0,DB184&gt;0,CU184&gt;0),newSPRDOPT(BU184,CO184,CW184,0,DB184,CU184,CV184,BT184*365.25,OCallPut,0),0)</f>
        <v>#VALUE!</v>
      </c>
      <c r="DI184" s="1316" t="e">
        <f aca="false">IF(AND(BV184&gt;0,CP184&gt;0,DC184&gt;0,CU184&gt;0),newSPRDOPT(BV184,CP184,CX184,0,DC184,CU184,CV184,BT184*365.25,OCallPut,0),0)</f>
        <v>#VALUE!</v>
      </c>
      <c r="DJ184" s="1316" t="e">
        <f aca="false">IF(AND(BW184&gt;0,CQ184&gt;0,DD184&gt;0,CU184&gt;0),newSPRDOPT(BW184,CQ184,CY184,0,DD184,CU184,CV184,BT184*365.25,OCallPut,0),0)</f>
        <v>#VALUE!</v>
      </c>
      <c r="DK184" s="1316" t="e">
        <f aca="false">IF(AND(BX184&gt;0,CR184&gt;0,DE184&gt;0,CU184&gt;0),newSPRDOPT(BX184,CR184,CZ184,0,DE184,CU184,CV184,BT184*365.25,OCallPut,0),0)</f>
        <v>#VALUE!</v>
      </c>
      <c r="DL184" s="1316" t="e">
        <f aca="false">IF(OVolType,IF(AND(BZ184&gt;0,CS184&gt;0,DF184&gt;0,CU184&gt;0),newSPRDOPT(BZ184,CS184,DA184,0,DF184,CU184,CV184,BT184*365.25,OCallPut,0),0),IF(BQ184,(DH184*AZ184+DI184*BA184+DJ184*BB184+DK184*BC184)/BQ184,0))</f>
        <v>#VALUE!</v>
      </c>
      <c r="DM184" s="1316"/>
      <c r="DN184" s="1316"/>
      <c r="DO184" s="1316"/>
      <c r="DP184" s="1316"/>
      <c r="DQ184" s="1316"/>
      <c r="DR184" s="1316"/>
      <c r="DS184" s="1316"/>
      <c r="DT184" s="1316"/>
      <c r="DU184" s="1316"/>
      <c r="DV184" s="1316"/>
      <c r="DW184" s="1594" t="e">
        <f aca="false">IF(AND(BW184&gt;0,CT184&gt;0,DD184&gt;0,CU184&gt;0),newSPRDOPT(BW184,CT184,CY184,0,DD184,CU184,CV184,BT184*365.25,OCallPut,0),0)</f>
        <v>#VALUE!</v>
      </c>
      <c r="DX184" s="1316" t="e">
        <f aca="false">IF(AND(BX184&gt;0,CT184&gt;0,DE184&gt;0,CU184&gt;0),newSPRDOPT(BX184,CT184,CZ184,0,DE184,CU184,CV184,BT184*365.25,OCallPut,0),0)</f>
        <v>#VALUE!</v>
      </c>
      <c r="DY184" s="1591" t="e">
        <f aca="false">IF(BS184,(DH184*BH184+DI184*BI184+DW184*BJ184+DX184*BK184)/BS184,0)</f>
        <v>#VALUE!</v>
      </c>
      <c r="DZ184" s="1551" t="e">
        <f aca="false">DH184*AZ184</f>
        <v>#VALUE!</v>
      </c>
      <c r="EA184" s="1551" t="e">
        <f aca="false">DI184*BA184</f>
        <v>#VALUE!</v>
      </c>
      <c r="EB184" s="1551" t="e">
        <f aca="false">DJ184*BB184</f>
        <v>#VALUE!</v>
      </c>
      <c r="EC184" s="1551" t="e">
        <f aca="false">DK184*BC184</f>
        <v>#VALUE!</v>
      </c>
      <c r="ED184" s="1551" t="e">
        <f aca="false">DL184*BQ184</f>
        <v>#VALUE!</v>
      </c>
      <c r="EE184" s="1595" t="e">
        <f aca="false">IF(BQ184,IF(OCallPut,IF(BU184&gt;(CO184+CW184),BU184-(CO184+CW184),0),IF((CO184+CW184)&gt;BU184,(CO184+CW184)-BU184,0))*AZ184,0)</f>
        <v>#VALUE!</v>
      </c>
      <c r="EF184" s="1596" t="e">
        <f aca="false">IF(BQ184,IF(OCallPut,IF(BV184&gt;(CP184+CX184),BV184-(CP184+CX184),0),IF((CP184+CX184)&gt;BV184,(CP184+CX184)-BV184,0))*BA184,0)</f>
        <v>#VALUE!</v>
      </c>
      <c r="EG184" s="1596" t="e">
        <f aca="false">IF(BQ184,IF(OCallPut,IF(BW184&gt;(CQ184+CY184),BW184-(CQ184+CY184),0),IF((CQ184+CY184)&gt;BW184,(CQ184+CY184)-BW184,0))*BB184,0)</f>
        <v>#VALUE!</v>
      </c>
      <c r="EH184" s="1596" t="e">
        <f aca="false">IF(BQ184,IF(OCallPut,IF(BX184&gt;(CR184+CZ184),BX184-(CR184+CZ184),0),IF((CR184+CZ184)&gt;BX184,(CR184+CZ184)-BX184,0))*BC184,0)</f>
        <v>#VALUE!</v>
      </c>
      <c r="EI184" s="1597" t="e">
        <f aca="false">IF(BQ184,IF(OVolType,IF(OCallPut,IF(BZ184&gt;(CS184+DA184),BZ184-(CS184+DA184),0),IF((CS184+DA184)&gt;BZ184,(CS184+DA184)-BZ184,0))*BQ184,SUM(EE184:EH184)),0)</f>
        <v>#VALUE!</v>
      </c>
      <c r="EJ184" s="1595" t="e">
        <f aca="false">DZ184-EE184</f>
        <v>#VALUE!</v>
      </c>
      <c r="EK184" s="1596" t="e">
        <f aca="false">EA184-EF184</f>
        <v>#VALUE!</v>
      </c>
      <c r="EL184" s="1596" t="e">
        <f aca="false">EB184-EG184</f>
        <v>#VALUE!</v>
      </c>
      <c r="EM184" s="1596" t="e">
        <f aca="false">EC184-EH184</f>
        <v>#VALUE!</v>
      </c>
      <c r="EN184" s="1597" t="e">
        <f aca="false">ED184-EI184</f>
        <v>#VALUE!</v>
      </c>
      <c r="EO184" s="1551" t="e">
        <f aca="false">DH184*BH184</f>
        <v>#VALUE!</v>
      </c>
      <c r="EP184" s="1551" t="e">
        <f aca="false">DI184*BI184</f>
        <v>#VALUE!</v>
      </c>
      <c r="EQ184" s="1551" t="e">
        <f aca="false">DW184*BJ184</f>
        <v>#VALUE!</v>
      </c>
      <c r="ER184" s="1551" t="e">
        <f aca="false">DX184*BK184</f>
        <v>#VALUE!</v>
      </c>
      <c r="ES184" s="1551" t="e">
        <f aca="false">DY184*BS184</f>
        <v>#VALUE!</v>
      </c>
      <c r="ET184" s="1566" t="e">
        <f aca="false">IF(EI184,IF(OCallPut,IF(CA184&gt;(CT184+CW184),CA184-(CT184+CW184),0),IF((CT184+CW184)&gt;CA184,(CT184+CW184)-CA184,0))*BH184,0)</f>
        <v>#VALUE!</v>
      </c>
      <c r="EU184" s="1551" t="e">
        <f aca="false">IF(EI184,IF(OCallPut,IF(CB184&gt;(CT184+CX184),CB184-(CT184+CX184),0),IF((CT184+CX184)&gt;CB184,(CT184+CX184)-CB184,0))*BI184,0)</f>
        <v>#VALUE!</v>
      </c>
      <c r="EV184" s="1551" t="e">
        <f aca="false">IF(EI184,IF(OCallPut,IF(CC184&gt;(CT184+CY184),CC184-(CT184+CY184),0),IF((CT184+CY184)&gt;CC184,(CT184+CY184)-CC184,0))*BJ184,0)</f>
        <v>#VALUE!</v>
      </c>
      <c r="EW184" s="1551" t="e">
        <f aca="false">IF(EI184,IF(OCallPut,IF(CD184&gt;(CT184+CZ184),CD184-(CT184+CZ184),0),IF((CT184+CZ184)&gt;CD184,(CT184+CZ184)-CD184,0))*BK184,0)</f>
        <v>#VALUE!</v>
      </c>
      <c r="EX184" s="1558" t="e">
        <f aca="false">IF(EI184,SUM(ET184:EW184),0)</f>
        <v>#VALUE!</v>
      </c>
      <c r="EY184" s="1551" t="e">
        <f aca="false">EO184-ET184</f>
        <v>#VALUE!</v>
      </c>
      <c r="EZ184" s="1551" t="e">
        <f aca="false">EP184-EU184</f>
        <v>#VALUE!</v>
      </c>
      <c r="FA184" s="1551" t="e">
        <f aca="false">EQ184-EV184</f>
        <v>#VALUE!</v>
      </c>
      <c r="FB184" s="1551" t="e">
        <f aca="false">ER184-EW184</f>
        <v>#VALUE!</v>
      </c>
      <c r="FC184" s="1551" t="e">
        <f aca="false">ES184-EX184</f>
        <v>#VALUE!</v>
      </c>
      <c r="FD184" s="1525" t="n">
        <f aca="false">IF(AX184,IF(VLOOKUP(C184,MAIN!$L$17:$M$28,2)="Yes",VLOOKUP(CALC!B184,MAIN!$H$17:$I$20,2),0),0)</f>
        <v>0</v>
      </c>
      <c r="FE184" s="1552" t="e">
        <f aca="false">$FD184*16*AT184*(1-$AY184)</f>
        <v>#VALUE!</v>
      </c>
      <c r="FF184" s="1553" t="e">
        <f aca="false">$FD184*16*AU184*(1-$AY184)</f>
        <v>#VALUE!</v>
      </c>
      <c r="FG184" s="1553" t="e">
        <f aca="false">$FD184*16*(AV184+AW184)*(1-$AY184)</f>
        <v>#VALUE!</v>
      </c>
      <c r="FH184" s="1554" t="n">
        <f aca="false">$FD184*8*AX184*(1-$AY184)</f>
        <v>0</v>
      </c>
      <c r="FI184" s="1555" t="n">
        <f aca="false">IF(AX184,VLOOKUP(CALC!B184,MAIN!$H$17:$K$20,4),0)</f>
        <v>0</v>
      </c>
      <c r="FJ184" s="1553" t="e">
        <f aca="false">SUM(FE184:FH184)</f>
        <v>#VALUE!</v>
      </c>
      <c r="FK184" s="1556" t="e">
        <f aca="false">FI184*FJ184</f>
        <v>#VALUE!</v>
      </c>
      <c r="FL184" s="1551" t="e">
        <f aca="false">IF($EI184&gt;0,MIN(FE184,AZ184*(1+VLOOKUP($C184,WeatherCapacityAdjustment,2))),0)</f>
        <v>#VALUE!</v>
      </c>
      <c r="FM184" s="1551" t="e">
        <f aca="false">IF($EI184&gt;0,MIN(FF184,BA184*(1+VLOOKUP($C184,WeatherCapacityAdjustment,2))),0)</f>
        <v>#VALUE!</v>
      </c>
      <c r="FN184" s="1551" t="e">
        <f aca="false">IF($EI184&gt;0,MIN(FG184,BB184*(1+VLOOKUP($C184,WeatherCapacityAdjustment,2))),0)</f>
        <v>#VALUE!</v>
      </c>
      <c r="FO184" s="1564" t="e">
        <f aca="false">IF($EI184&gt;0,MIN(FH184,BC184*(1+VLOOKUP($C184,WeatherCapacityAdjustment,3))),0)</f>
        <v>#VALUE!</v>
      </c>
      <c r="FP184" s="1551" t="e">
        <f aca="false">IF(ET184&gt;0,MIN(FE184-FL184,BH184*(1+VLOOKUP($C184,WeatherCapacityAdjustment,2))),0)</f>
        <v>#VALUE!</v>
      </c>
      <c r="FQ184" s="1551" t="e">
        <f aca="false">IF(EU184&gt;0,MIN(FF184-FM184,BI184*(1+VLOOKUP($C184,WeatherCapacityAdjustment,2))),0)</f>
        <v>#VALUE!</v>
      </c>
      <c r="FR184" s="1551" t="e">
        <f aca="false">IF(EV184&gt;0,MIN(FG184-FN184,BJ184*(1+VLOOKUP($C184,WeatherCapacityAdjustment,2))),0)</f>
        <v>#VALUE!</v>
      </c>
      <c r="FS184" s="1558" t="e">
        <f aca="false">IF(EW184&gt;0,MIN(FH184-FO184,BK184*(1+VLOOKUP($C184,WeatherCapacityAdjustment,3))),0)</f>
        <v>#VALUE!</v>
      </c>
      <c r="FT184" s="1566" t="e">
        <f aca="false">IF(AND(Assumptions!$H$71="Yes",A184&gt;=Assumptions!$H$72,A184&lt;=Assumptions!$H$73),0,IF(AND($A184&gt;=Assumptions!$C$17,$A184&lt;=Assumptions!$C$18),MAX(AZ184*(1+VLOOKUP($C184,WeatherCapacityAdjustment,2))-FL184,0),0))</f>
        <v>#VALUE!</v>
      </c>
      <c r="FU184" s="1551" t="e">
        <f aca="false">IF(AND(Assumptions!$H$71="Yes",A184&gt;=Assumptions!$H$72,A184&lt;=Assumptions!$H$73),0,IF(AND($A184&gt;=Assumptions!$C$17,$A184&lt;=Assumptions!$C$18),MAX(BA184*(1+VLOOKUP($C184,WeatherCapacityAdjustment,2))-FM184,0),0))</f>
        <v>#VALUE!</v>
      </c>
      <c r="FV184" s="1551" t="e">
        <f aca="false">IF(AND(Assumptions!$H$71="Yes",A184&gt;=Assumptions!$H$72,A184&lt;=Assumptions!$H$73),0,IF(AND($A184&gt;=Assumptions!$C$17,$A184&lt;=Assumptions!$C$18),MAX(BB184*(1+VLOOKUP($C184,WeatherCapacityAdjustment,2))-FN184,0),0))</f>
        <v>#VALUE!</v>
      </c>
      <c r="FW184" s="1564" t="e">
        <f aca="false">IF(AND(Assumptions!$H$71="Yes",A184&gt;=Assumptions!$H$72,A184&lt;=Assumptions!$H$73),0,IF(AND($A184&gt;=Assumptions!$C$17,$A184&lt;=Assumptions!$C$18),MAX(BC184*(1+VLOOKUP($C184,WeatherCapacityAdjustment,3))-FO184,0),0))</f>
        <v>#VALUE!</v>
      </c>
      <c r="FX184" s="1569" t="e">
        <f aca="false">IF(AND(Assumptions!$H$71="Yes",A184&gt;=Assumptions!$H$72,A184&lt;=Assumptions!$H$73),0,IF(ET184&gt;0,MAX(BH184*(1+VLOOKUP($C184,WeatherCapacityAdjustment,2))-FP184,0),0))</f>
        <v>#VALUE!</v>
      </c>
      <c r="FY184" s="1551" t="e">
        <f aca="false">IF(AND(Assumptions!$H$71="Yes",A184&gt;=Assumptions!$H$72,A184&lt;=Assumptions!$H$73),0,IF(EU184&gt;0,MAX(BI184*(1+VLOOKUP($C184,WeatherCapacityAdjustment,3))-FQ184,0),0))</f>
        <v>#VALUE!</v>
      </c>
      <c r="FZ184" s="1551" t="e">
        <f aca="false">IF(AND(Assumptions!$H$71="Yes",A184&gt;=Assumptions!$H$72,A184&lt;=Assumptions!$H$73),0,IF(EV184&gt;0,MAX(BJ184*(1+VLOOKUP($C184,WeatherCapacityAdjustment,2))-FR184,0),0))</f>
        <v>#VALUE!</v>
      </c>
      <c r="GA184" s="1564" t="e">
        <f aca="false">IF(AND(Assumptions!$H$71="Yes",A184&gt;=Assumptions!$H$72,A184&lt;=Assumptions!$H$73),0,IF(EW184&gt;0,MAX(BK184*(1+VLOOKUP($C184,WeatherCapacityAdjustment,2))-FS184,0),0))</f>
        <v>#VALUE!</v>
      </c>
      <c r="GB184" s="1551" t="e">
        <f aca="false">SUM(FT184:GA184)</f>
        <v>#VALUE!</v>
      </c>
      <c r="GC184" s="1563" t="e">
        <f aca="false">+IF(SUM(FT184:GA184)=0,0,(SUMPRODUCT(BU184:BX184,FT184:FW184)+SUMPRODUCT(CA184:CD184,FX184:GA184))/SUM(FT184:GA184))</f>
        <v>#VALUE!</v>
      </c>
      <c r="GD184" s="1551" t="e">
        <f aca="false">(FT184*BU184+FX184*CA184+FU184*BV184+FY184*CB184+FV184*BW184+FZ184*CC184+FW184*BX184+GA184*CD184)</f>
        <v>#VALUE!</v>
      </c>
      <c r="GE184" s="1561" t="e">
        <f aca="false">+IF(BQ184,((FL184+FM184+FT184+FU184)*HeatRatePeak/1000*(1+VLOOKUP($C184,WeatherHeatRateAdjustment,2))+(FN184+FV184)*IF(EV184&gt;0,HeatRatePeak,HeatRateOffPeak)/1000*(1+VLOOKUP($C184,WeatherHeatRateAdjustment,2))+(FO184+FW184)*IF(EW184&gt;0,HeatRatePeak,HeatRateOffPeak)/1000*(1+VLOOKUP($C184,WeatherHeatRateAdjustment,3)))*(1+VLOOKUP($B184,HeatRateDegradation,$C184+1)),0)</f>
        <v>#VALUE!</v>
      </c>
      <c r="GF184" s="1562" t="e">
        <f aca="false">IF(BQ184,((FP184+FQ184+FR184+FX184+FY184+FZ184)*HeatRatePeak/1000*(1+VLOOKUP($C184,WeatherHeatRateAdjustment,2))+(FS184+GA184)*HeatRatePeak/1000*(1+VLOOKUP($C184,WeatherHeatRateAdjustment,3)))*(1+VLOOKUP($B184,HeatRateDegradation,$C184+1)),0)</f>
        <v>#VALUE!</v>
      </c>
      <c r="GG184" s="1563" t="e">
        <f aca="false">IF(BQ184,VLOOKUP(A184,GasTable,13),0)</f>
        <v>#VALUE!</v>
      </c>
      <c r="GH184" s="1564" t="e">
        <f aca="false">(GE184+GF184)*GG184</f>
        <v>#VALUE!</v>
      </c>
      <c r="GI184" s="1569" t="e">
        <f aca="false">GB184</f>
        <v>#VALUE!</v>
      </c>
      <c r="GJ184" s="1598" t="e">
        <f aca="false">+DA184</f>
        <v>#VALUE!</v>
      </c>
      <c r="GK184" s="1558" t="e">
        <f aca="false">+GI184*GJ184</f>
        <v>#VALUE!</v>
      </c>
      <c r="GL184" s="1566" t="e">
        <f aca="false">MAX(FE184-FL184-FP184,0)</f>
        <v>#VALUE!</v>
      </c>
      <c r="GM184" s="1551" t="e">
        <f aca="false">MAX(FF184-FM184-FQ184,0)</f>
        <v>#VALUE!</v>
      </c>
      <c r="GN184" s="1551" t="e">
        <f aca="false">MAX(FG184-FN184-FR184,0)</f>
        <v>#VALUE!</v>
      </c>
      <c r="GO184" s="1564" t="e">
        <f aca="false">MAX(FH184-FO184-FS184,0)</f>
        <v>#VALUE!</v>
      </c>
      <c r="GP184" s="1551" t="e">
        <f aca="false">SUM(GL184:GO184)</f>
        <v>#VALUE!</v>
      </c>
      <c r="GQ184" s="1563" t="e">
        <f aca="false">IF(SUM(GL184:GO184)=0,0,((GL184*BU184+GM184*BV184+GN184*BW184+GO184*BX184)/SUM(GL184:GO184)))</f>
        <v>#VALUE!</v>
      </c>
      <c r="GR184" s="1558" t="e">
        <f aca="false">(GL184*BU184+GM184*BV184+GN184*BW184+GO184*BX184)</f>
        <v>#VALUE!</v>
      </c>
      <c r="GS184" s="1566" t="n">
        <f aca="false">IF($A184&gt;=BegDate,Assumptions!$C$56*24*($A185-$A184)*(1-VLOOKUP($B184,MAIN!$AA$7:$AM$28,$C184+1))*(1-VLOOKUP($B184,MAIN!$AA$33:$AM$54,$C184+1)),0)*80/168</f>
        <v>224485.714285714</v>
      </c>
      <c r="GT184" s="286" t="n">
        <f aca="false">J184</f>
        <v>40.2569012174193</v>
      </c>
      <c r="GU184" s="286" t="n">
        <f aca="false">IF($A184&gt;=BegDate,VLOOKUP($A184,GasTable,13)+Assumptions!$C$58,0)</f>
        <v>3.02181936704651</v>
      </c>
      <c r="GV184" s="286" t="n">
        <f aca="false">GU184*Assumptions!$C$57/1000</f>
        <v>21.9081904110872</v>
      </c>
      <c r="GW184" s="1558" t="n">
        <f aca="false">IF(Assumptions!$C$60="Hourly",MAX(0,GS184*(GT184-GV184)),GS184*(GT184-GV184))</f>
        <v>4119023.45158147</v>
      </c>
      <c r="GX184" s="1566" t="n">
        <f aca="false">IF($A184&gt;=BegDate,Assumptions!$C$56*24*($A185-$A184)*(1-VLOOKUP($B184,MAIN!$AA$7:$AM$28,$C184+1))*(1-VLOOKUP($B184,MAIN!$AA$33:$AM$54,$C184+1)),0)*16/168</f>
        <v>44897.1428571429</v>
      </c>
      <c r="GY184" s="286" t="n">
        <f aca="false">M184</f>
        <v>40.2569012174193</v>
      </c>
      <c r="GZ184" s="286" t="n">
        <f aca="false">IF($A184&gt;=BegDate,VLOOKUP($A184,GasTable,13)+Assumptions!$C$58,0)</f>
        <v>3.02181936704651</v>
      </c>
      <c r="HA184" s="286" t="n">
        <f aca="false">GZ184*Assumptions!$C$57/1000</f>
        <v>21.9081904110872</v>
      </c>
      <c r="HB184" s="1558" t="n">
        <f aca="false">IF(Assumptions!$C$60="Hourly",MAX(0,GX184*(GY184-HA184)),GX184*(GY184-HA184))</f>
        <v>823804.690316294</v>
      </c>
      <c r="HC184" s="1566" t="n">
        <f aca="false">IF($A184&gt;=BegDate,Assumptions!$C$56*24*($A185-$A184)*(1-VLOOKUP($B184,MAIN!$AA$7:$AM$28,$C184+1))*(1-VLOOKUP($B184,MAIN!$AA$33:$AM$54,$C184+1)),0)*16/168</f>
        <v>44897.1428571429</v>
      </c>
      <c r="HD184" s="286" t="n">
        <f aca="false">P184</f>
        <v>26.7532236083576</v>
      </c>
      <c r="HE184" s="286" t="n">
        <f aca="false">IF($A184&gt;=BegDate,VLOOKUP($A184,GasTable,13)+Assumptions!$C$58,0)</f>
        <v>3.02181936704651</v>
      </c>
      <c r="HF184" s="286" t="n">
        <f aca="false">HE184*Assumptions!$C$57/1000</f>
        <v>21.9081904110872</v>
      </c>
      <c r="HG184" s="1558" t="n">
        <f aca="false">IF(Assumptions!$C$60="Hourly",MAX(0,HC184*(HD184-HF184)),HC184*(HD184-HF184))</f>
        <v>217528.147605448</v>
      </c>
      <c r="HH184" s="1566" t="n">
        <f aca="false">IF($A184&gt;=BegDate,Assumptions!$C$56*24*($A185-$A184)*(1-VLOOKUP($B184,MAIN!$AA$7:$AM$28,$C184+1))*(1-VLOOKUP($B184,MAIN!$AA$33:$AM$54,$C184+1)),0)*56/168</f>
        <v>157140</v>
      </c>
      <c r="HI184" s="286" t="n">
        <f aca="false">S184</f>
        <v>26.7532236083576</v>
      </c>
      <c r="HJ184" s="286" t="n">
        <f aca="false">IF($A184&gt;=BegDate,VLOOKUP($A184,GasTable,13)+Assumptions!$C$58,0)</f>
        <v>3.02181936704651</v>
      </c>
      <c r="HK184" s="286" t="n">
        <f aca="false">HJ184*Assumptions!$C$57/1000</f>
        <v>21.9081904110872</v>
      </c>
      <c r="HL184" s="1558" t="n">
        <f aca="false">IF(Assumptions!$C$60="Hourly",MAX(0,HH184*(HI184-HK184)),HH184*(HI184-HK184))</f>
        <v>761348.516619067</v>
      </c>
      <c r="HM184" s="1566" t="n">
        <f aca="false">IF(AND(Assumptions!$H$71="Yes",A184&gt;=Assumptions!$H$72,A184&lt;=Assumptions!$H$73),Assumptions!$H$74*Assumptions!$C$9*1000,0)</f>
        <v>0</v>
      </c>
      <c r="HN184" s="1551"/>
      <c r="HO184" s="1563"/>
      <c r="HP184" s="1563"/>
      <c r="HQ184" s="1563"/>
      <c r="HR184" s="1563"/>
      <c r="HS184" s="1563"/>
      <c r="HT184" s="1563"/>
      <c r="HU184" s="1563"/>
      <c r="HV184" s="1563"/>
      <c r="HW184" s="1563"/>
      <c r="HX184" s="1563"/>
      <c r="HY184" s="1563"/>
      <c r="HZ184" s="1563"/>
      <c r="IA184" s="1563"/>
      <c r="IB184" s="1563"/>
      <c r="IC184" s="1563"/>
      <c r="ID184" s="1563"/>
      <c r="IE184" s="1563"/>
      <c r="IF184" s="1563"/>
      <c r="IG184" s="1563"/>
      <c r="IH184" s="1563"/>
      <c r="II184" s="1610"/>
      <c r="IJ184" s="1309"/>
      <c r="IK184" s="1309"/>
    </row>
    <row r="185" customFormat="false" ht="12.75" hidden="false" customHeight="false" outlineLevel="0" collapsed="false">
      <c r="A185" s="1571" t="n">
        <f aca="false">EOMONTH(A184,0)+1</f>
        <v>41760</v>
      </c>
      <c r="B185" s="594" t="n">
        <f aca="false">+YEAR(A185)</f>
        <v>2014</v>
      </c>
      <c r="C185" s="238" t="n">
        <f aca="false">MONTH(A185)</f>
        <v>5</v>
      </c>
      <c r="D185" s="1572" t="e">
        <f aca="false">IF(E185="","",Holiday(B185,C185))</f>
        <v>#VALUE!</v>
      </c>
      <c r="E185" s="1573" t="n">
        <f aca="false">IF(OR(BegDate&gt;=A186,EndDate&lt;A185,AND(VolumeMonthlyOverFlag,INDEX(VolumeMonthlyOver,C185)=0),NOT(INDEX(MonthKnockOutTable,C185))),"",MAX(A185,BegDate))</f>
        <v>41760</v>
      </c>
      <c r="F185" s="1574" t="n">
        <f aca="false">IF(E185="","",MIN(A186-1,EndDate))</f>
        <v>41790</v>
      </c>
      <c r="G185" s="1575" t="n">
        <v>0</v>
      </c>
      <c r="H185" s="1576" t="n">
        <f aca="false">(1+G185/2)^(-2*(DATE(B186,C186,20)-DateToday)/365.25)</f>
        <v>1</v>
      </c>
      <c r="I185" s="1568" t="n">
        <f aca="false">IF(Assumptions!$L$25=4,VLOOKUP($A185,'Henwood Reference'!$E$9:$R$320,10),(VLOOKUP($A185,PriceTable,2,0)+IF(BasisNumber&lt;&gt;1,VLOOKUP($A185,BasisTable,2,0),0)+I$1)/(1-I$2))</f>
        <v>44.1750934043345</v>
      </c>
      <c r="J185" s="1568" t="n">
        <f aca="false">IF(Assumptions!$L$25=4,VLOOKUP($A185,'Henwood Reference'!$E$9:$R$320,10),(VLOOKUP($A185,PriceTable,3,0)+IF(BasisNumber&lt;&gt;1,VLOOKUP($A185,BasisTable,2,0),0)+J$1)/(1-J$2))</f>
        <v>44.1750934043345</v>
      </c>
      <c r="K185" s="1568" t="n">
        <f aca="false">IF(Assumptions!$L$25=4,VLOOKUP($A185,'Henwood Reference'!$E$9:$R$320,10),(VLOOKUP($A185,PriceTable,4,0)+IF(BasisNumber&lt;&gt;1,VLOOKUP($A185,BasisTable,2,0),0)+K$1)/(1-K$2))</f>
        <v>44.1750934043345</v>
      </c>
      <c r="L185" s="1523" t="n">
        <f aca="false">IF(Assumptions!$L$25=4,VLOOKUP($A185,'Henwood Reference'!$E$9:$R$320,10),(VLOOKUP($A185,PriceTableWeekend,2,0)+IF(BasisNumber&lt;&gt;1,VLOOKUP($A185,BasisTable,2,0),0)+L$1)/(1-L$2))</f>
        <v>44.1750934043345</v>
      </c>
      <c r="M185" s="1568" t="n">
        <f aca="false">IF(Assumptions!$L$25=4,VLOOKUP($A185,'Henwood Reference'!$E$9:$R$320,10),(VLOOKUP($A185,PriceTableWeekend,3,0)+IF(BasisNumber&lt;&gt;1,VLOOKUP($A185,BasisTable,2,0),0)+M$1)/(1-M$2))</f>
        <v>44.1750934043345</v>
      </c>
      <c r="N185" s="1599" t="n">
        <f aca="false">IF(Assumptions!$L$25=4,VLOOKUP($A185,'Henwood Reference'!$E$9:$R$320,10),(VLOOKUP($A185,PriceTableWeekend,4,0)+IF(BasisNumber&lt;&gt;1,VLOOKUP($A185,BasisTable,2,0),0)+N$1)/(1-N$2))</f>
        <v>44.1750934043345</v>
      </c>
      <c r="O185" s="1568" t="n">
        <f aca="false">IF(Assumptions!$L$25=4,VLOOKUP($A185,'Henwood Reference'!$E$9:$R$320,11),(VLOOKUP($A185,PriceTableWeekend,6,0)+IF(BasisNumber&lt;&gt;1,VLOOKUP($A185,BasisTable,3,0),0)+O$1)/(1-O$2))</f>
        <v>26.4998836858495</v>
      </c>
      <c r="P185" s="1568" t="n">
        <f aca="false">IF(Assumptions!$L$25=4,VLOOKUP($A185,'Henwood Reference'!$E$9:$R$320,11),(VLOOKUP($A185,PriceTableWeekend,7,0)+IF(BasisNumber&lt;&gt;1,VLOOKUP($A185,BasisTable,3,0),0)+P$1)/(1-P$2))</f>
        <v>26.4998836858495</v>
      </c>
      <c r="Q185" s="1599" t="n">
        <f aca="false">IF(Assumptions!$L$25=4,VLOOKUP($A185,'Henwood Reference'!$E$9:$R$320,11),(VLOOKUP($A185,PriceTableWeekend,8,0)+IF(BasisNumber&lt;&gt;1,VLOOKUP($A185,BasisTable,3,0),0)+Q$1)/(1-Q$2))</f>
        <v>26.4998836858495</v>
      </c>
      <c r="R185" s="1568" t="n">
        <f aca="false">IF(Assumptions!$L$25=4,VLOOKUP($A185,'Henwood Reference'!$E$9:$R$320,11),(VLOOKUP($A185,PriceTable,6,0)+IF(BasisNumber&lt;&gt;1,VLOOKUP($A185,BasisTable,3,0),0)+R$1)/(1-R$2))</f>
        <v>26.4998836858495</v>
      </c>
      <c r="S185" s="1568" t="n">
        <f aca="false">IF(Assumptions!$L$25=4,VLOOKUP($A185,'Henwood Reference'!$E$9:$R$320,11),(VLOOKUP($A185,PriceTable,7,0)+IF(BasisNumber&lt;&gt;1,VLOOKUP($A185,BasisTable,3,0),0)+S$1)/(1-S$2))</f>
        <v>26.4998836858495</v>
      </c>
      <c r="T185" s="1600" t="n">
        <f aca="false">IF(Assumptions!$L$25=4,VLOOKUP($A185,'Henwood Reference'!$E$9:$R$320,11),(VLOOKUP($A185,PriceTable,8,0)+IF(BasisNumber&lt;&gt;1,VLOOKUP($A185,BasisTable,3,0),0)+T$1)/(1-T$2))</f>
        <v>26.4998836858495</v>
      </c>
      <c r="U185" s="1513" t="n">
        <f aca="false">VLOOKUP($A185,VolatilityTable,14)</f>
        <v>0.0999999999999999</v>
      </c>
      <c r="V185" s="1513" t="n">
        <f aca="false">VLOOKUP($A185,VolatilityTable,15)</f>
        <v>0.11</v>
      </c>
      <c r="W185" s="1514" t="n">
        <f aca="false">VLOOKUP($A185,VolatilityTable,16)</f>
        <v>0.12</v>
      </c>
      <c r="X185" s="1513" t="n">
        <f aca="false">VLOOKUP($A185,VolatilityTable,14)</f>
        <v>0.0999999999999999</v>
      </c>
      <c r="Y185" s="1513" t="n">
        <f aca="false">VLOOKUP($A185,VolatilityTable,15)</f>
        <v>0.11</v>
      </c>
      <c r="Z185" s="1514" t="n">
        <f aca="false">VLOOKUP($A185,VolatilityTable,16)</f>
        <v>0.12</v>
      </c>
      <c r="AA185" s="1513" t="n">
        <f aca="false">VLOOKUP($A185,VolatilityTable,18)</f>
        <v>0.09</v>
      </c>
      <c r="AB185" s="1513" t="n">
        <f aca="false">VLOOKUP($A185,VolatilityTable,19)</f>
        <v>0.11</v>
      </c>
      <c r="AC185" s="1514" t="n">
        <f aca="false">VLOOKUP($A185,VolatilityTable,20)</f>
        <v>0.13</v>
      </c>
      <c r="AD185" s="1513" t="n">
        <f aca="false">VLOOKUP($A185,VolatilityTable,18)</f>
        <v>0.09</v>
      </c>
      <c r="AE185" s="1513" t="n">
        <f aca="false">VLOOKUP($A185,VolatilityTable,19)</f>
        <v>0.11</v>
      </c>
      <c r="AF185" s="1514" t="n">
        <f aca="false">VLOOKUP($A185,VolatilityTable,20)</f>
        <v>0.13</v>
      </c>
      <c r="AG185" s="1513" t="n">
        <f aca="false">VLOOKUP($A185,VolatilityTable,22)</f>
        <v>-0.1</v>
      </c>
      <c r="AH185" s="1513" t="n">
        <f aca="false">VLOOKUP($A185,VolatilityTable,23)</f>
        <v>0.65</v>
      </c>
      <c r="AI185" s="1514" t="n">
        <f aca="false">VLOOKUP($A185,VolatilityTable,24)</f>
        <v>0.1</v>
      </c>
      <c r="AJ185" s="1513" t="n">
        <f aca="false">VLOOKUP($A185,VolatilityTable,22)</f>
        <v>-0.1</v>
      </c>
      <c r="AK185" s="1513" t="n">
        <f aca="false">VLOOKUP($A185,VolatilityTable,23)</f>
        <v>0.65</v>
      </c>
      <c r="AL185" s="1514" t="n">
        <f aca="false">VLOOKUP($A185,VolatilityTable,24)</f>
        <v>0.1</v>
      </c>
      <c r="AM185" s="1513" t="n">
        <f aca="false">VLOOKUP($A185,VolatilityTable,26)</f>
        <v>-0.01</v>
      </c>
      <c r="AN185" s="1513" t="n">
        <f aca="false">VLOOKUP($A185,VolatilityTable,27)</f>
        <v>0.16</v>
      </c>
      <c r="AO185" s="1514" t="n">
        <f aca="false">VLOOKUP($A185,VolatilityTable,28)</f>
        <v>0.01</v>
      </c>
      <c r="AP185" s="1513" t="n">
        <f aca="false">VLOOKUP($A185,VolatilityTable,26)</f>
        <v>-0.01</v>
      </c>
      <c r="AQ185" s="1513" t="n">
        <f aca="false">VLOOKUP($A185,VolatilityTable,27)</f>
        <v>0.16</v>
      </c>
      <c r="AR185" s="1515" t="n">
        <f aca="false">VLOOKUP($A185,VolatilityTable,28)</f>
        <v>0.01</v>
      </c>
      <c r="AS185" s="1581" t="n">
        <f aca="false">IF(CorrPeakOffPeakOverFlag,INDEX(CorrPeakOffPeakOver,C185),CorrPeakOffPeak)</f>
        <v>0.5</v>
      </c>
      <c r="AT185" s="594" t="e">
        <f aca="false">AX185-SUM(AU185:AW185)</f>
        <v>#VALUE!</v>
      </c>
      <c r="AU185" s="238" t="e">
        <f aca="false">IF(E185="",0,INT((F185-MOD(F185,7)-E185)/7)+1-IF(AW185,IF(WEEKDAY(D185)=7,1,0),0))</f>
        <v>#VALUE!</v>
      </c>
      <c r="AV185" s="238" t="e">
        <f aca="false">IF(E185="",0,INT((F185-MOD(F185-1,7)-E185)/7)+1-IF(AW185,IF(WEEKDAY(D185)=1,1,0),0))</f>
        <v>#VALUE!</v>
      </c>
      <c r="AW185" s="238" t="e">
        <f aca="false">IF(OR(E185="",D185="",D185&lt;BegDate,D185&gt;EndDate),0,1)</f>
        <v>#VALUE!</v>
      </c>
      <c r="AX185" s="238" t="n">
        <f aca="false">IF(E185="",0,F185-E185+1)</f>
        <v>31</v>
      </c>
      <c r="AY185" s="1582" t="n">
        <f aca="false">IF(E185="",0,MIN((1-(1-VLOOKUP(B185,MAIN!$AA$7:$AM$28,C185+1))*(1-VLOOKUP(B185,MAIN!$AA$33:$AM$54,C185+1))),1))</f>
        <v>0.03</v>
      </c>
      <c r="AZ185" s="1519" t="e">
        <v>#VALUE!</v>
      </c>
      <c r="BA185" s="1520" t="e">
        <v>#VALUE!</v>
      </c>
      <c r="BB185" s="1520" t="e">
        <v>#VALUE!</v>
      </c>
      <c r="BC185" s="1583" t="e">
        <v>#VALUE!</v>
      </c>
      <c r="BD185" s="1522" t="e">
        <v>#VALUE!</v>
      </c>
      <c r="BE185" s="1523" t="e">
        <v>#VALUE!</v>
      </c>
      <c r="BF185" s="1523" t="e">
        <v>#VALUE!</v>
      </c>
      <c r="BG185" s="1584" t="e">
        <v>#VALUE!</v>
      </c>
      <c r="BH185" s="1525" t="e">
        <v>#VALUE!</v>
      </c>
      <c r="BI185" s="1520" t="e">
        <v>#VALUE!</v>
      </c>
      <c r="BJ185" s="1520" t="e">
        <v>#VALUE!</v>
      </c>
      <c r="BK185" s="1583" t="e">
        <v>#VALUE!</v>
      </c>
      <c r="BL185" s="1522" t="e">
        <v>#VALUE!</v>
      </c>
      <c r="BM185" s="1523" t="e">
        <v>#VALUE!</v>
      </c>
      <c r="BN185" s="1523" t="e">
        <v>#VALUE!</v>
      </c>
      <c r="BO185" s="1523" t="e">
        <v>#VALUE!</v>
      </c>
      <c r="BP185" s="1525" t="e">
        <f aca="false">SUM(AZ185:BB185)</f>
        <v>#VALUE!</v>
      </c>
      <c r="BQ185" s="1529" t="e">
        <f aca="false">SUM(AZ185:BC185)</f>
        <v>#VALUE!</v>
      </c>
      <c r="BR185" s="1519" t="e">
        <f aca="false">SUM(BH185:BJ185)</f>
        <v>#VALUE!</v>
      </c>
      <c r="BS185" s="1529" t="e">
        <f aca="false">SUM(BH185:BK185)</f>
        <v>#VALUE!</v>
      </c>
      <c r="BT185" s="1316" t="n">
        <f aca="false">(IF(OVolType&lt;&gt;2,A185+14,IF(OptExpDateShift,ShiftBack(A185,OptExpDateShift,D184),A185))-DateToday)/365.25</f>
        <v>14.0451745379877</v>
      </c>
      <c r="BU185" s="1585" t="e">
        <f aca="false">IF(BQ185,IF(OPriceCurve,IF(OBuySell=OCallPut,I185/(1-AY185),K185/(1-AY185)),J185/(1-AY185))*BD185,0)</f>
        <v>#VALUE!</v>
      </c>
      <c r="BV185" s="1316" t="e">
        <f aca="false">IF(BQ185,IF(OPriceCurve,IF(OBuySell=OCallPut,L185/(1-AY185),N185/(1-AY185)),M185/(1-AY185))*BE185,0)</f>
        <v>#VALUE!</v>
      </c>
      <c r="BW185" s="1316" t="e">
        <f aca="false">IF(BQ185,IF(OPriceCurve,IF(OBuySell=OCallPut,O185/(1-AY185),Q185/(1-AY185)),P185/(1-AY185))*BF185,0)</f>
        <v>#VALUE!</v>
      </c>
      <c r="BX185" s="1316" t="e">
        <f aca="false">IF(BQ185,IF(OPriceCurve,IF(OBuySell=OCallPut,R185/(1-AY185),T185/(1-AY185)),S185/(1-AY185))*BG185,0)</f>
        <v>#VALUE!</v>
      </c>
      <c r="BY185" s="1316" t="e">
        <f aca="false">IF(BP185,(BU185*AZ185+BV185*BA185+BW185*BB185)/BP185,0)</f>
        <v>#VALUE!</v>
      </c>
      <c r="BZ185" s="1316" t="e">
        <f aca="false">IF(BQ185,(BY185*BP185+BX185*BC185)/BQ185,0)</f>
        <v>#VALUE!</v>
      </c>
      <c r="CA185" s="1531" t="e">
        <f aca="false">IF(BS185,IF(OPriceCurve,IF(OBuySell=OCallPut,I185/(1-AY185),K185/(1-AY185)),J185/(1-AY185))*BL185,0)</f>
        <v>#VALUE!</v>
      </c>
      <c r="CB185" s="1316" t="e">
        <f aca="false">IF(BS185,IF(OPriceCurve,IF(OBuySell=OCallPut,L185/(1-AY185),N185/(1-AY185)),M185/(1-AY185))*BM185,0)</f>
        <v>#VALUE!</v>
      </c>
      <c r="CC185" s="1316" t="e">
        <f aca="false">IF(BS185,IF(OPriceCurve,IF(OBuySell=OCallPut,O185/(1-AY185),Q185/(1-AY185)),P185/(1-AY185))*BN185,0)</f>
        <v>#VALUE!</v>
      </c>
      <c r="CD185" s="1316" t="e">
        <f aca="false">IF(BS185,IF(OPriceCurve,IF(OBuySell=OCallPut,R185/(1-AY185),T185/(1-AY185)),S185/(1-AY185))*BO185,0)</f>
        <v>#VALUE!</v>
      </c>
      <c r="CE185" s="1316" t="e">
        <f aca="false">IF(BR185,(BU185*BH185+BV185*BI185+BW185*BJ185)/BR185,0)</f>
        <v>#VALUE!</v>
      </c>
      <c r="CF185" s="1532" t="e">
        <f aca="false">IF(BS185,(CE185*BR185+CD185*BK185)/BS185,0)</f>
        <v>#VALUE!</v>
      </c>
      <c r="CG185" s="1586" t="e">
        <f aca="false">IF(OR(BQ185,BS185),IF(OVolType&lt;&gt;2,SQRT(IF(OVolOverMonthlyPeak,OVolOverMonthlyPeak,IF(OVolCurve,IF(OBuySell,U185,W185),V185))^2*(1-15/365.25/BT185)+IF(OVolOverDailyPeak,OVolOverDailyPeak,IF(OVolCurve,IF(OBuySell,AG185,AI185),AH185))^2*15/365.25/BT185),IF(OVolOverMonthlyPeak,OVolOverMonthlyPeak,IF(OVolCurve,IF(OBuySell,U185,W185),V185))),"")</f>
        <v>#VALUE!</v>
      </c>
      <c r="CH185" s="1587" t="e">
        <f aca="false">IF(OR(BQ185,BS185),IF(OVolType&lt;&gt;2,SQRT(IF(OVolOverMonthlyPeak,OVolOverMonthlyPeak,IF(OVolCurve,IF(OBuySell,X185,Z185),Y185))^2*(1-15/365.25/BT185)+IF(OVolOverDailyPeak,OVolOverDailyPeak,IF(OVolCurve,IF(OBuySell,AJ185,AL185),AK185))^2*15/365.25/BT185),IF(OVolOverMonthlyPeak,OVolOverMonthlyPeak,IF(OVolCurve,IF(OBuySell,X185,Z185),Y185))),"")</f>
        <v>#VALUE!</v>
      </c>
      <c r="CI185" s="1587" t="e">
        <f aca="false">IF(OR(BQ185,BS185),IF(OVolType&lt;&gt;2,SQRT(IF(OVolOverMonthlyPeak,OVolOverMonthlyPeak,IF(OVolCurve,IF(OBuySell,AA185,AC185),AB185))^2*(1-15/365.25/BT185)+IF(OVolOverDailyPeak,OVolOverDailyPeak,IF(OVolCurve,IF(OBuySell,AM185,AO185),AN185))^2*15/365.25/BT185),IF(OVolOverMonthlyPeak,OVolOverMonthlyPeak,IF(OVolCurve,IF(OBuySell,AA185,AC185),AB185))),"")</f>
        <v>#VALUE!</v>
      </c>
      <c r="CJ185" s="1587" t="e">
        <f aca="false">IF(BQ185,IF(BP185,SQRT(LN(1+((BU185*AZ185)^2*(EXP(CG185^2*BT185)-1)+(BV185*BA185)^2*(EXP(CH185^2*BT185)-1)+(BW185*BB185)^2*(EXP(CI185^2*BT185)-1)+2*BU185*AZ185*BV185*BA185*(EXP(CG185*CH185*BT185)-1)+2*BV185*BA185*BW185*BB185*(EXP(CH185*CI185*BT185)-1)+2*BW185*BB185*BU185*AZ185*(EXP(CI185*CG185*BT185)-1))/(BY185*BP185)^2)/BT185),0),"")</f>
        <v>#VALUE!</v>
      </c>
      <c r="CK185" s="1587" t="e">
        <f aca="false">IF(BS185,IF(BR185,SQRT(LN(1+((CA185*BH185)^2*(EXP(CG185^2*BT185)-1)+(CB185*BI185)^2*(EXP(CH185^2*BT185)-1)+(CC185*BJ185)^2*(EXP(CI185^2*BT185)-1)+2*CA185*BH185*CB185*BI185*(EXP(CG185*CH185*BT185)-1)+2*CB185*BI185*CC185*BJ185*(EXP(CH185*CI185*BT185)-1)+2*CC185*BJ185*CA185*BH185*(EXP(CI185*CG185*BT185)-1))/(CE185*BR185)^2)/BT185),0),"")</f>
        <v>#VALUE!</v>
      </c>
      <c r="CL185" s="1587" t="e">
        <f aca="false">IF(OR(BQ185,BS185),IF(OVolType&lt;&gt;2,SQRT(IF(OVolOverMonthlyOffPeak,OVolOverMonthlyOffPeak,IF(OVolCurve,IF(OBuySell,AD185,AF185),AE185))^2*(1-15/365.25/BT185)+IF(OVolOverDailyOffPeak,OVolOverDailyOffPeak,IF(OVolCurve,IF(OBuySell,AP185,AR185),AQ185))^2*15/365.25/BT185),IF(OVolOverMonthlyOffPeak,OVolOverMonthlyOffPeak,IF(OVolCurve,IF(OBuySell,AD185,AF185),AE185))),"")</f>
        <v>#VALUE!</v>
      </c>
      <c r="CM185" s="1587" t="e">
        <f aca="false">IF(BQ185,SQRT(LN(1+((BY185*BP185)^2*(EXP(CJ185^2*BT185)-1)+(BX185*BC185)^2*(EXP(CL185^2*BT185)-1)+2*BY185*BP185*BX185*BC185*(EXP(AS185*CJ185*CL185*BT185)-1))/(BY185*BP185+BX185*BC185)^2)/BT185),"")</f>
        <v>#VALUE!</v>
      </c>
      <c r="CN185" s="1588" t="e">
        <f aca="false">IF(BS185,SQRT(LN(1+((CE185*BR185)^2*(EXP(CK185^2*BT185)-1)+(CD185*BK185)^2*(EXP(CL185^2*BT185)-1)+2*CE185*BR185*CD185*BK185*(EXP(AS185*CK185*CL185*BT185)-1))/(CE185*BR185+CD185*BK185)^2)/BT185),"")</f>
        <v>#VALUE!</v>
      </c>
      <c r="CO185" s="1531" t="e">
        <f aca="false">IF(OR(BQ185,BS185),VLOOKUP(A185,GasTable,13)*HeatRatePeak*(1+VLOOKUP($B185,HeatRateDegradation,$C185+1))/1000,0)</f>
        <v>#VALUE!</v>
      </c>
      <c r="CP185" s="1316" t="e">
        <f aca="false">IF(OR(BQ185,BS185),VLOOKUP(A185,GasTable,13)*HeatRatePeak*(1+VLOOKUP($B185,HeatRateDegradation,$C185+1))/1000,0)</f>
        <v>#VALUE!</v>
      </c>
      <c r="CQ185" s="1316" t="e">
        <f aca="false">IF(OR(BQ185,BS185),VLOOKUP(A185,GasTable,13)*IF(EV185,HeatRatePeak,HeatRateOffPeak)*(1+VLOOKUP($B185,HeatRateDegradation,$C185+1))/1000,0)</f>
        <v>#VALUE!</v>
      </c>
      <c r="CR185" s="1316" t="e">
        <f aca="false">IF(OR(BQ185,BS185),VLOOKUP(A185,GasTable,13)*IF(EW185,HeatRatePeak,HeatRateOffPeak)*(1+VLOOKUP($B185,HeatRateDegradation,$C185+1))/1000,0)</f>
        <v>#VALUE!</v>
      </c>
      <c r="CS185" s="1589" t="e">
        <f aca="false">IF(BQ185,(CO185*AZ185+CP185*BA185+CQ185*BB185+CR185*BC185)/BQ185,0)</f>
        <v>#VALUE!</v>
      </c>
      <c r="CT185" s="1316" t="e">
        <f aca="false">IF(BS185,CO185,0)</f>
        <v>#VALUE!</v>
      </c>
      <c r="CU185" s="1590" t="e">
        <f aca="false">IF(OR(BQ185,BS185),VLOOKUP(A185,GasTable,14),"")</f>
        <v>#VALUE!</v>
      </c>
      <c r="CV185" s="1568" t="e">
        <f aca="false">IF(OR(BQ185,BS185),IF(CorrPowerGasOverFlag,INDEX(CorrPowerGasOver,C185),CorrPowerGas),"")</f>
        <v>#VALUE!</v>
      </c>
      <c r="CW185" s="1316" t="e">
        <f aca="false">IF(OR($BQ185,$BS185),SpreadOptPowerMargin,0)*((1+Assumptions!$C$26)^($B185-YEAR(Assumptions!$C$17)))</f>
        <v>#VALUE!</v>
      </c>
      <c r="CX185" s="1316" t="e">
        <f aca="false">IF(OR($BQ185,$BS185),SpreadOptPowerMargin,0)*((1+Assumptions!$C$26)^($B185-YEAR(Assumptions!$C$17)))</f>
        <v>#VALUE!</v>
      </c>
      <c r="CY185" s="1316" t="e">
        <f aca="false">IF(OR($BQ185,$BS185),SpreadOptPowerMargin,0)*((1+Assumptions!$C$26)^($B185-YEAR(Assumptions!$C$17)))</f>
        <v>#VALUE!</v>
      </c>
      <c r="CZ185" s="1316" t="e">
        <f aca="false">IF(OR($BQ185,$BS185),SpreadOptPowerMargin,0)*((1+Assumptions!$C$26)^($B185-YEAR(Assumptions!$C$17)))</f>
        <v>#VALUE!</v>
      </c>
      <c r="DA185" s="1591" t="e">
        <f aca="false">IF(OR(BQ185,BS185),(CW185*(AZ185+BH185)+CX185*(BA185+BI185)+CY185*(BB185+BJ185)+CZ185*(BC185+BK185))/(BQ185+BS185),0)</f>
        <v>#VALUE!</v>
      </c>
      <c r="DB185" s="1592" t="e">
        <f aca="false">IF(OR(BQ185,BS185),CG185+IF(OVolSmile,VLOOKUP(MAX(-5,CO185+CW185-BU185),IF(OVolSmile=1,VolSmileBook,VolSmileModel),2),0),"")</f>
        <v>#VALUE!</v>
      </c>
      <c r="DC185" s="1592" t="e">
        <f aca="false">IF(OR(BQ185,BS185),CH185+IF(OVolSmile,VLOOKUP(MAX(-5,CP185+CW185-BV185),IF(OVolSmile=1,VolSmileBook,VolSmileModel),2),0),"")</f>
        <v>#VALUE!</v>
      </c>
      <c r="DD185" s="1592" t="e">
        <f aca="false">IF(OR(BQ185,BS185),CI185+IF(OVolSmile,VLOOKUP(MAX(-5,CQ185+CW185-BW185),IF(OVolSmile=1,VolSmileBook,VolSmileModel),2),0),"")</f>
        <v>#VALUE!</v>
      </c>
      <c r="DE185" s="1592" t="e">
        <f aca="false">IF(OR(BQ185,BS185),CL185+IF(OVolSmile,VLOOKUP(MAX(-5,CR185+CZ185-BX185),IF(OVolSmile=1,VolSmileBook,VolSmileModel),2),0),"")</f>
        <v>#VALUE!</v>
      </c>
      <c r="DF185" s="1592" t="e">
        <f aca="false">IF(BQ185,CM185+IF(OVolSmile,VLOOKUP(MAX(-5,CS185+DA185-BZ185),IF(OVolSmile=1,VolSmileBook,VolSmileModel),2),0),"")</f>
        <v>#VALUE!</v>
      </c>
      <c r="DG185" s="1593" t="e">
        <f aca="false">IF(BS185,CN185+IF(OVolSmile,VLOOKUP(MAX(-5,CT185+DA185-CF185),IF(OVolSmile=1,VolSmileBook,VolSmileModel),2),0),"")</f>
        <v>#VALUE!</v>
      </c>
      <c r="DH185" s="1316" t="e">
        <f aca="false">IF(AND(BU185&gt;0,CO185&gt;0,DB185&gt;0,CU185&gt;0),newSPRDOPT(BU185,CO185,CW185,0,DB185,CU185,CV185,BT185*365.25,OCallPut,0),0)</f>
        <v>#VALUE!</v>
      </c>
      <c r="DI185" s="1316" t="e">
        <f aca="false">IF(AND(BV185&gt;0,CP185&gt;0,DC185&gt;0,CU185&gt;0),newSPRDOPT(BV185,CP185,CX185,0,DC185,CU185,CV185,BT185*365.25,OCallPut,0),0)</f>
        <v>#VALUE!</v>
      </c>
      <c r="DJ185" s="1316" t="e">
        <f aca="false">IF(AND(BW185&gt;0,CQ185&gt;0,DD185&gt;0,CU185&gt;0),newSPRDOPT(BW185,CQ185,CY185,0,DD185,CU185,CV185,BT185*365.25,OCallPut,0),0)</f>
        <v>#VALUE!</v>
      </c>
      <c r="DK185" s="1316" t="e">
        <f aca="false">IF(AND(BX185&gt;0,CR185&gt;0,DE185&gt;0,CU185&gt;0),newSPRDOPT(BX185,CR185,CZ185,0,DE185,CU185,CV185,BT185*365.25,OCallPut,0),0)</f>
        <v>#VALUE!</v>
      </c>
      <c r="DL185" s="1316" t="e">
        <f aca="false">IF(OVolType,IF(AND(BZ185&gt;0,CS185&gt;0,DF185&gt;0,CU185&gt;0),newSPRDOPT(BZ185,CS185,DA185,0,DF185,CU185,CV185,BT185*365.25,OCallPut,0),0),IF(BQ185,(DH185*AZ185+DI185*BA185+DJ185*BB185+DK185*BC185)/BQ185,0))</f>
        <v>#VALUE!</v>
      </c>
      <c r="DM185" s="1316"/>
      <c r="DN185" s="1316"/>
      <c r="DO185" s="1316"/>
      <c r="DP185" s="1316"/>
      <c r="DQ185" s="1316"/>
      <c r="DR185" s="1316"/>
      <c r="DS185" s="1316"/>
      <c r="DT185" s="1316"/>
      <c r="DU185" s="1316"/>
      <c r="DV185" s="1316"/>
      <c r="DW185" s="1594" t="e">
        <f aca="false">IF(AND(BW185&gt;0,CT185&gt;0,DD185&gt;0,CU185&gt;0),newSPRDOPT(BW185,CT185,CY185,0,DD185,CU185,CV185,BT185*365.25,OCallPut,0),0)</f>
        <v>#VALUE!</v>
      </c>
      <c r="DX185" s="1316" t="e">
        <f aca="false">IF(AND(BX185&gt;0,CT185&gt;0,DE185&gt;0,CU185&gt;0),newSPRDOPT(BX185,CT185,CZ185,0,DE185,CU185,CV185,BT185*365.25,OCallPut,0),0)</f>
        <v>#VALUE!</v>
      </c>
      <c r="DY185" s="1591" t="e">
        <f aca="false">IF(BS185,(DH185*BH185+DI185*BI185+DW185*BJ185+DX185*BK185)/BS185,0)</f>
        <v>#VALUE!</v>
      </c>
      <c r="DZ185" s="1551" t="e">
        <f aca="false">DH185*AZ185</f>
        <v>#VALUE!</v>
      </c>
      <c r="EA185" s="1551" t="e">
        <f aca="false">DI185*BA185</f>
        <v>#VALUE!</v>
      </c>
      <c r="EB185" s="1551" t="e">
        <f aca="false">DJ185*BB185</f>
        <v>#VALUE!</v>
      </c>
      <c r="EC185" s="1551" t="e">
        <f aca="false">DK185*BC185</f>
        <v>#VALUE!</v>
      </c>
      <c r="ED185" s="1551" t="e">
        <f aca="false">DL185*BQ185</f>
        <v>#VALUE!</v>
      </c>
      <c r="EE185" s="1595" t="e">
        <f aca="false">IF(BQ185,IF(OCallPut,IF(BU185&gt;(CO185+CW185),BU185-(CO185+CW185),0),IF((CO185+CW185)&gt;BU185,(CO185+CW185)-BU185,0))*AZ185,0)</f>
        <v>#VALUE!</v>
      </c>
      <c r="EF185" s="1596" t="e">
        <f aca="false">IF(BQ185,IF(OCallPut,IF(BV185&gt;(CP185+CX185),BV185-(CP185+CX185),0),IF((CP185+CX185)&gt;BV185,(CP185+CX185)-BV185,0))*BA185,0)</f>
        <v>#VALUE!</v>
      </c>
      <c r="EG185" s="1596" t="e">
        <f aca="false">IF(BQ185,IF(OCallPut,IF(BW185&gt;(CQ185+CY185),BW185-(CQ185+CY185),0),IF((CQ185+CY185)&gt;BW185,(CQ185+CY185)-BW185,0))*BB185,0)</f>
        <v>#VALUE!</v>
      </c>
      <c r="EH185" s="1596" t="e">
        <f aca="false">IF(BQ185,IF(OCallPut,IF(BX185&gt;(CR185+CZ185),BX185-(CR185+CZ185),0),IF((CR185+CZ185)&gt;BX185,(CR185+CZ185)-BX185,0))*BC185,0)</f>
        <v>#VALUE!</v>
      </c>
      <c r="EI185" s="1597" t="e">
        <f aca="false">IF(BQ185,IF(OVolType,IF(OCallPut,IF(BZ185&gt;(CS185+DA185),BZ185-(CS185+DA185),0),IF((CS185+DA185)&gt;BZ185,(CS185+DA185)-BZ185,0))*BQ185,SUM(EE185:EH185)),0)</f>
        <v>#VALUE!</v>
      </c>
      <c r="EJ185" s="1595" t="e">
        <f aca="false">DZ185-EE185</f>
        <v>#VALUE!</v>
      </c>
      <c r="EK185" s="1596" t="e">
        <f aca="false">EA185-EF185</f>
        <v>#VALUE!</v>
      </c>
      <c r="EL185" s="1596" t="e">
        <f aca="false">EB185-EG185</f>
        <v>#VALUE!</v>
      </c>
      <c r="EM185" s="1596" t="e">
        <f aca="false">EC185-EH185</f>
        <v>#VALUE!</v>
      </c>
      <c r="EN185" s="1597" t="e">
        <f aca="false">ED185-EI185</f>
        <v>#VALUE!</v>
      </c>
      <c r="EO185" s="1551" t="e">
        <f aca="false">DH185*BH185</f>
        <v>#VALUE!</v>
      </c>
      <c r="EP185" s="1551" t="e">
        <f aca="false">DI185*BI185</f>
        <v>#VALUE!</v>
      </c>
      <c r="EQ185" s="1551" t="e">
        <f aca="false">DW185*BJ185</f>
        <v>#VALUE!</v>
      </c>
      <c r="ER185" s="1551" t="e">
        <f aca="false">DX185*BK185</f>
        <v>#VALUE!</v>
      </c>
      <c r="ES185" s="1551" t="e">
        <f aca="false">DY185*BS185</f>
        <v>#VALUE!</v>
      </c>
      <c r="ET185" s="1566" t="e">
        <f aca="false">IF(EI185,IF(OCallPut,IF(CA185&gt;(CT185+CW185),CA185-(CT185+CW185),0),IF((CT185+CW185)&gt;CA185,(CT185+CW185)-CA185,0))*BH185,0)</f>
        <v>#VALUE!</v>
      </c>
      <c r="EU185" s="1551" t="e">
        <f aca="false">IF(EI185,IF(OCallPut,IF(CB185&gt;(CT185+CX185),CB185-(CT185+CX185),0),IF((CT185+CX185)&gt;CB185,(CT185+CX185)-CB185,0))*BI185,0)</f>
        <v>#VALUE!</v>
      </c>
      <c r="EV185" s="1551" t="e">
        <f aca="false">IF(EI185,IF(OCallPut,IF(CC185&gt;(CT185+CY185),CC185-(CT185+CY185),0),IF((CT185+CY185)&gt;CC185,(CT185+CY185)-CC185,0))*BJ185,0)</f>
        <v>#VALUE!</v>
      </c>
      <c r="EW185" s="1551" t="e">
        <f aca="false">IF(EI185,IF(OCallPut,IF(CD185&gt;(CT185+CZ185),CD185-(CT185+CZ185),0),IF((CT185+CZ185)&gt;CD185,(CT185+CZ185)-CD185,0))*BK185,0)</f>
        <v>#VALUE!</v>
      </c>
      <c r="EX185" s="1558" t="e">
        <f aca="false">IF(EI185,SUM(ET185:EW185),0)</f>
        <v>#VALUE!</v>
      </c>
      <c r="EY185" s="1551" t="e">
        <f aca="false">EO185-ET185</f>
        <v>#VALUE!</v>
      </c>
      <c r="EZ185" s="1551" t="e">
        <f aca="false">EP185-EU185</f>
        <v>#VALUE!</v>
      </c>
      <c r="FA185" s="1551" t="e">
        <f aca="false">EQ185-EV185</f>
        <v>#VALUE!</v>
      </c>
      <c r="FB185" s="1551" t="e">
        <f aca="false">ER185-EW185</f>
        <v>#VALUE!</v>
      </c>
      <c r="FC185" s="1551" t="e">
        <f aca="false">ES185-EX185</f>
        <v>#VALUE!</v>
      </c>
      <c r="FD185" s="1525" t="n">
        <f aca="false">IF(AX185,IF(VLOOKUP(C185,MAIN!$L$17:$M$28,2)="Yes",VLOOKUP(CALC!B185,MAIN!$H$17:$I$20,2),0),0)</f>
        <v>0</v>
      </c>
      <c r="FE185" s="1552" t="e">
        <f aca="false">$FD185*16*AT185*(1-$AY185)</f>
        <v>#VALUE!</v>
      </c>
      <c r="FF185" s="1553" t="e">
        <f aca="false">$FD185*16*AU185*(1-$AY185)</f>
        <v>#VALUE!</v>
      </c>
      <c r="FG185" s="1553" t="e">
        <f aca="false">$FD185*16*(AV185+AW185)*(1-$AY185)</f>
        <v>#VALUE!</v>
      </c>
      <c r="FH185" s="1554" t="n">
        <f aca="false">$FD185*8*AX185*(1-$AY185)</f>
        <v>0</v>
      </c>
      <c r="FI185" s="1555" t="n">
        <f aca="false">IF(AX185,VLOOKUP(CALC!B185,MAIN!$H$17:$K$20,4),0)</f>
        <v>0</v>
      </c>
      <c r="FJ185" s="1553" t="e">
        <f aca="false">SUM(FE185:FH185)</f>
        <v>#VALUE!</v>
      </c>
      <c r="FK185" s="1556" t="e">
        <f aca="false">FI185*FJ185</f>
        <v>#VALUE!</v>
      </c>
      <c r="FL185" s="1551" t="e">
        <f aca="false">IF($EI185&gt;0,MIN(FE185,AZ185*(1+VLOOKUP($C185,WeatherCapacityAdjustment,2))),0)</f>
        <v>#VALUE!</v>
      </c>
      <c r="FM185" s="1551" t="e">
        <f aca="false">IF($EI185&gt;0,MIN(FF185,BA185*(1+VLOOKUP($C185,WeatherCapacityAdjustment,2))),0)</f>
        <v>#VALUE!</v>
      </c>
      <c r="FN185" s="1551" t="e">
        <f aca="false">IF($EI185&gt;0,MIN(FG185,BB185*(1+VLOOKUP($C185,WeatherCapacityAdjustment,2))),0)</f>
        <v>#VALUE!</v>
      </c>
      <c r="FO185" s="1564" t="e">
        <f aca="false">IF($EI185&gt;0,MIN(FH185,BC185*(1+VLOOKUP($C185,WeatherCapacityAdjustment,3))),0)</f>
        <v>#VALUE!</v>
      </c>
      <c r="FP185" s="1551" t="e">
        <f aca="false">IF(ET185&gt;0,MIN(FE185-FL185,BH185*(1+VLOOKUP($C185,WeatherCapacityAdjustment,2))),0)</f>
        <v>#VALUE!</v>
      </c>
      <c r="FQ185" s="1551" t="e">
        <f aca="false">IF(EU185&gt;0,MIN(FF185-FM185,BI185*(1+VLOOKUP($C185,WeatherCapacityAdjustment,2))),0)</f>
        <v>#VALUE!</v>
      </c>
      <c r="FR185" s="1551" t="e">
        <f aca="false">IF(EV185&gt;0,MIN(FG185-FN185,BJ185*(1+VLOOKUP($C185,WeatherCapacityAdjustment,2))),0)</f>
        <v>#VALUE!</v>
      </c>
      <c r="FS185" s="1558" t="e">
        <f aca="false">IF(EW185&gt;0,MIN(FH185-FO185,BK185*(1+VLOOKUP($C185,WeatherCapacityAdjustment,3))),0)</f>
        <v>#VALUE!</v>
      </c>
      <c r="FT185" s="1566" t="e">
        <f aca="false">IF(AND(Assumptions!$H$71="Yes",A185&gt;=Assumptions!$H$72,A185&lt;=Assumptions!$H$73),0,IF(AND($A185&gt;=Assumptions!$C$17,$A185&lt;=Assumptions!$C$18),MAX(AZ185*(1+VLOOKUP($C185,WeatherCapacityAdjustment,2))-FL185,0),0))</f>
        <v>#VALUE!</v>
      </c>
      <c r="FU185" s="1551" t="e">
        <f aca="false">IF(AND(Assumptions!$H$71="Yes",A185&gt;=Assumptions!$H$72,A185&lt;=Assumptions!$H$73),0,IF(AND($A185&gt;=Assumptions!$C$17,$A185&lt;=Assumptions!$C$18),MAX(BA185*(1+VLOOKUP($C185,WeatherCapacityAdjustment,2))-FM185,0),0))</f>
        <v>#VALUE!</v>
      </c>
      <c r="FV185" s="1551" t="e">
        <f aca="false">IF(AND(Assumptions!$H$71="Yes",A185&gt;=Assumptions!$H$72,A185&lt;=Assumptions!$H$73),0,IF(AND($A185&gt;=Assumptions!$C$17,$A185&lt;=Assumptions!$C$18),MAX(BB185*(1+VLOOKUP($C185,WeatherCapacityAdjustment,2))-FN185,0),0))</f>
        <v>#VALUE!</v>
      </c>
      <c r="FW185" s="1564" t="e">
        <f aca="false">IF(AND(Assumptions!$H$71="Yes",A185&gt;=Assumptions!$H$72,A185&lt;=Assumptions!$H$73),0,IF(AND($A185&gt;=Assumptions!$C$17,$A185&lt;=Assumptions!$C$18),MAX(BC185*(1+VLOOKUP($C185,WeatherCapacityAdjustment,3))-FO185,0),0))</f>
        <v>#VALUE!</v>
      </c>
      <c r="FX185" s="1569" t="e">
        <f aca="false">IF(AND(Assumptions!$H$71="Yes",A185&gt;=Assumptions!$H$72,A185&lt;=Assumptions!$H$73),0,IF(ET185&gt;0,MAX(BH185*(1+VLOOKUP($C185,WeatherCapacityAdjustment,2))-FP185,0),0))</f>
        <v>#VALUE!</v>
      </c>
      <c r="FY185" s="1551" t="e">
        <f aca="false">IF(AND(Assumptions!$H$71="Yes",A185&gt;=Assumptions!$H$72,A185&lt;=Assumptions!$H$73),0,IF(EU185&gt;0,MAX(BI185*(1+VLOOKUP($C185,WeatherCapacityAdjustment,3))-FQ185,0),0))</f>
        <v>#VALUE!</v>
      </c>
      <c r="FZ185" s="1551" t="e">
        <f aca="false">IF(AND(Assumptions!$H$71="Yes",A185&gt;=Assumptions!$H$72,A185&lt;=Assumptions!$H$73),0,IF(EV185&gt;0,MAX(BJ185*(1+VLOOKUP($C185,WeatherCapacityAdjustment,2))-FR185,0),0))</f>
        <v>#VALUE!</v>
      </c>
      <c r="GA185" s="1564" t="e">
        <f aca="false">IF(AND(Assumptions!$H$71="Yes",A185&gt;=Assumptions!$H$72,A185&lt;=Assumptions!$H$73),0,IF(EW185&gt;0,MAX(BK185*(1+VLOOKUP($C185,WeatherCapacityAdjustment,2))-FS185,0),0))</f>
        <v>#VALUE!</v>
      </c>
      <c r="GB185" s="1551" t="e">
        <f aca="false">SUM(FT185:GA185)</f>
        <v>#VALUE!</v>
      </c>
      <c r="GC185" s="1563" t="e">
        <f aca="false">+IF(SUM(FT185:GA185)=0,0,(SUMPRODUCT(BU185:BX185,FT185:FW185)+SUMPRODUCT(CA185:CD185,FX185:GA185))/SUM(FT185:GA185))</f>
        <v>#VALUE!</v>
      </c>
      <c r="GD185" s="1551" t="e">
        <f aca="false">(FT185*BU185+FX185*CA185+FU185*BV185+FY185*CB185+FV185*BW185+FZ185*CC185+FW185*BX185+GA185*CD185)</f>
        <v>#VALUE!</v>
      </c>
      <c r="GE185" s="1561" t="e">
        <f aca="false">+IF(BQ185,((FL185+FM185+FT185+FU185)*HeatRatePeak/1000*(1+VLOOKUP($C185,WeatherHeatRateAdjustment,2))+(FN185+FV185)*IF(EV185&gt;0,HeatRatePeak,HeatRateOffPeak)/1000*(1+VLOOKUP($C185,WeatherHeatRateAdjustment,2))+(FO185+FW185)*IF(EW185&gt;0,HeatRatePeak,HeatRateOffPeak)/1000*(1+VLOOKUP($C185,WeatherHeatRateAdjustment,3)))*(1+VLOOKUP($B185,HeatRateDegradation,$C185+1)),0)</f>
        <v>#VALUE!</v>
      </c>
      <c r="GF185" s="1562" t="e">
        <f aca="false">IF(BQ185,((FP185+FQ185+FR185+FX185+FY185+FZ185)*HeatRatePeak/1000*(1+VLOOKUP($C185,WeatherHeatRateAdjustment,2))+(FS185+GA185)*HeatRatePeak/1000*(1+VLOOKUP($C185,WeatherHeatRateAdjustment,3)))*(1+VLOOKUP($B185,HeatRateDegradation,$C185+1)),0)</f>
        <v>#VALUE!</v>
      </c>
      <c r="GG185" s="1563" t="e">
        <f aca="false">IF(BQ185,VLOOKUP(A185,GasTable,13),0)</f>
        <v>#VALUE!</v>
      </c>
      <c r="GH185" s="1564" t="e">
        <f aca="false">(GE185+GF185)*GG185</f>
        <v>#VALUE!</v>
      </c>
      <c r="GI185" s="1569" t="e">
        <f aca="false">GB185</f>
        <v>#VALUE!</v>
      </c>
      <c r="GJ185" s="1598" t="e">
        <f aca="false">+DA185</f>
        <v>#VALUE!</v>
      </c>
      <c r="GK185" s="1558" t="e">
        <f aca="false">+GI185*GJ185</f>
        <v>#VALUE!</v>
      </c>
      <c r="GL185" s="1566" t="e">
        <f aca="false">MAX(FE185-FL185-FP185,0)</f>
        <v>#VALUE!</v>
      </c>
      <c r="GM185" s="1551" t="e">
        <f aca="false">MAX(FF185-FM185-FQ185,0)</f>
        <v>#VALUE!</v>
      </c>
      <c r="GN185" s="1551" t="e">
        <f aca="false">MAX(FG185-FN185-FR185,0)</f>
        <v>#VALUE!</v>
      </c>
      <c r="GO185" s="1564" t="e">
        <f aca="false">MAX(FH185-FO185-FS185,0)</f>
        <v>#VALUE!</v>
      </c>
      <c r="GP185" s="1551" t="e">
        <f aca="false">SUM(GL185:GO185)</f>
        <v>#VALUE!</v>
      </c>
      <c r="GQ185" s="1563" t="e">
        <f aca="false">IF(SUM(GL185:GO185)=0,0,((GL185*BU185+GM185*BV185+GN185*BW185+GO185*BX185)/SUM(GL185:GO185)))</f>
        <v>#VALUE!</v>
      </c>
      <c r="GR185" s="1558" t="e">
        <f aca="false">(GL185*BU185+GM185*BV185+GN185*BW185+GO185*BX185)</f>
        <v>#VALUE!</v>
      </c>
      <c r="GS185" s="1566" t="n">
        <f aca="false">IF($A185&gt;=BegDate,Assumptions!$C$56*24*($A186-$A185)*(1-VLOOKUP($B185,MAIN!$AA$7:$AM$28,$C185+1))*(1-VLOOKUP($B185,MAIN!$AA$33:$AM$54,$C185+1)),0)*80/168</f>
        <v>257742.857142857</v>
      </c>
      <c r="GT185" s="286" t="n">
        <f aca="false">J185</f>
        <v>44.1750934043345</v>
      </c>
      <c r="GU185" s="286" t="n">
        <f aca="false">IF($A185&gt;=BegDate,VLOOKUP($A185,GasTable,13)+Assumptions!$C$58,0)</f>
        <v>2.9941557855896</v>
      </c>
      <c r="GV185" s="286" t="n">
        <f aca="false">GU185*Assumptions!$C$57/1000</f>
        <v>21.7076294455246</v>
      </c>
      <c r="GW185" s="1558" t="n">
        <f aca="false">IF(Assumptions!$C$60="Hourly",MAX(0,GS185*(GT185-GV185)),GS185*(GT185-GV185))</f>
        <v>5790828.35349784</v>
      </c>
      <c r="GX185" s="1566" t="n">
        <f aca="false">IF($A185&gt;=BegDate,Assumptions!$C$56*24*($A186-$A185)*(1-VLOOKUP($B185,MAIN!$AA$7:$AM$28,$C185+1))*(1-VLOOKUP($B185,MAIN!$AA$33:$AM$54,$C185+1)),0)*16/168</f>
        <v>51548.5714285714</v>
      </c>
      <c r="GY185" s="286" t="n">
        <f aca="false">M185</f>
        <v>44.1750934043345</v>
      </c>
      <c r="GZ185" s="286" t="n">
        <f aca="false">IF($A185&gt;=BegDate,VLOOKUP($A185,GasTable,13)+Assumptions!$C$58,0)</f>
        <v>2.9941557855896</v>
      </c>
      <c r="HA185" s="286" t="n">
        <f aca="false">GZ185*Assumptions!$C$57/1000</f>
        <v>21.7076294455246</v>
      </c>
      <c r="HB185" s="1558" t="n">
        <f aca="false">IF(Assumptions!$C$60="Hourly",MAX(0,GX185*(GY185-HA185)),GX185*(GY185-HA185))</f>
        <v>1158165.67069957</v>
      </c>
      <c r="HC185" s="1566" t="n">
        <f aca="false">IF($A185&gt;=BegDate,Assumptions!$C$56*24*($A186-$A185)*(1-VLOOKUP($B185,MAIN!$AA$7:$AM$28,$C185+1))*(1-VLOOKUP($B185,MAIN!$AA$33:$AM$54,$C185+1)),0)*16/168</f>
        <v>51548.5714285714</v>
      </c>
      <c r="HD185" s="286" t="n">
        <f aca="false">P185</f>
        <v>26.4998836858495</v>
      </c>
      <c r="HE185" s="286" t="n">
        <f aca="false">IF($A185&gt;=BegDate,VLOOKUP($A185,GasTable,13)+Assumptions!$C$58,0)</f>
        <v>2.9941557855896</v>
      </c>
      <c r="HF185" s="286" t="n">
        <f aca="false">HE185*Assumptions!$C$57/1000</f>
        <v>21.7076294455246</v>
      </c>
      <c r="HG185" s="1558" t="n">
        <f aca="false">IF(Assumptions!$C$60="Hourly",MAX(0,HC185*(HD185-HF185)),HC185*(HD185-HF185))</f>
        <v>247033.860011264</v>
      </c>
      <c r="HH185" s="1566" t="n">
        <f aca="false">IF($A185&gt;=BegDate,Assumptions!$C$56*24*($A186-$A185)*(1-VLOOKUP($B185,MAIN!$AA$7:$AM$28,$C185+1))*(1-VLOOKUP($B185,MAIN!$AA$33:$AM$54,$C185+1)),0)*56/168</f>
        <v>180420</v>
      </c>
      <c r="HI185" s="286" t="n">
        <f aca="false">S185</f>
        <v>26.4998836858495</v>
      </c>
      <c r="HJ185" s="286" t="n">
        <f aca="false">IF($A185&gt;=BegDate,VLOOKUP($A185,GasTable,13)+Assumptions!$C$58,0)</f>
        <v>2.9941557855896</v>
      </c>
      <c r="HK185" s="286" t="n">
        <f aca="false">HJ185*Assumptions!$C$57/1000</f>
        <v>21.7076294455246</v>
      </c>
      <c r="HL185" s="1558" t="n">
        <f aca="false">IF(Assumptions!$C$60="Hourly",MAX(0,HH185*(HI185-HK185)),HH185*(HI185-HK185))</f>
        <v>864618.510039424</v>
      </c>
      <c r="HM185" s="1566" t="n">
        <f aca="false">IF(AND(Assumptions!$H$71="Yes",A185&gt;=Assumptions!$H$72,A185&lt;=Assumptions!$H$73),Assumptions!$H$74*Assumptions!$C$9*1000,0)</f>
        <v>0</v>
      </c>
      <c r="HN185" s="1551"/>
      <c r="HO185" s="1563"/>
      <c r="HP185" s="1563"/>
      <c r="HQ185" s="1563"/>
      <c r="HR185" s="1563"/>
      <c r="HS185" s="1563"/>
      <c r="HT185" s="1563"/>
      <c r="HU185" s="1563"/>
      <c r="HV185" s="1563"/>
      <c r="HW185" s="1563"/>
      <c r="HX185" s="1563"/>
      <c r="HY185" s="1563"/>
      <c r="HZ185" s="1563"/>
      <c r="IA185" s="1563"/>
      <c r="IB185" s="1563"/>
      <c r="IC185" s="1563"/>
      <c r="ID185" s="1563"/>
      <c r="IE185" s="1563"/>
      <c r="IF185" s="1563"/>
      <c r="IG185" s="1563"/>
      <c r="IH185" s="1563"/>
      <c r="II185" s="1610"/>
      <c r="IJ185" s="1309"/>
      <c r="IK185" s="1309"/>
    </row>
    <row r="186" customFormat="false" ht="12.75" hidden="false" customHeight="false" outlineLevel="0" collapsed="false">
      <c r="A186" s="1571" t="n">
        <f aca="false">EOMONTH(A185,0)+1</f>
        <v>41791</v>
      </c>
      <c r="B186" s="594" t="n">
        <f aca="false">+YEAR(A186)</f>
        <v>2014</v>
      </c>
      <c r="C186" s="238" t="n">
        <f aca="false">MONTH(A186)</f>
        <v>6</v>
      </c>
      <c r="D186" s="1572" t="e">
        <f aca="false">IF(E186="","",Holiday(B186,C186))</f>
        <v>#VALUE!</v>
      </c>
      <c r="E186" s="1573" t="n">
        <f aca="false">IF(OR(BegDate&gt;=A187,EndDate&lt;A186,AND(VolumeMonthlyOverFlag,INDEX(VolumeMonthlyOver,C186)=0),NOT(INDEX(MonthKnockOutTable,C186))),"",MAX(A186,BegDate))</f>
        <v>41791</v>
      </c>
      <c r="F186" s="1574" t="n">
        <f aca="false">IF(E186="","",MIN(A187-1,EndDate))</f>
        <v>41820</v>
      </c>
      <c r="G186" s="1575" t="n">
        <v>0</v>
      </c>
      <c r="H186" s="1576" t="n">
        <f aca="false">(1+G186/2)^(-2*(DATE(B187,C187,20)-DateToday)/365.25)</f>
        <v>1</v>
      </c>
      <c r="I186" s="1568" t="n">
        <f aca="false">IF(Assumptions!$L$25=4,VLOOKUP($A186,'Henwood Reference'!$E$9:$R$320,10),(VLOOKUP($A186,PriceTable,2,0)+IF(BasisNumber&lt;&gt;1,VLOOKUP($A186,BasisTable,2,0),0)+I$1)/(1-I$2))</f>
        <v>42.4877439621297</v>
      </c>
      <c r="J186" s="1568" t="n">
        <f aca="false">IF(Assumptions!$L$25=4,VLOOKUP($A186,'Henwood Reference'!$E$9:$R$320,10),(VLOOKUP($A186,PriceTable,3,0)+IF(BasisNumber&lt;&gt;1,VLOOKUP($A186,BasisTable,2,0),0)+J$1)/(1-J$2))</f>
        <v>42.4877439621297</v>
      </c>
      <c r="K186" s="1568" t="n">
        <f aca="false">IF(Assumptions!$L$25=4,VLOOKUP($A186,'Henwood Reference'!$E$9:$R$320,10),(VLOOKUP($A186,PriceTable,4,0)+IF(BasisNumber&lt;&gt;1,VLOOKUP($A186,BasisTable,2,0),0)+K$1)/(1-K$2))</f>
        <v>42.4877439621297</v>
      </c>
      <c r="L186" s="1523" t="n">
        <f aca="false">IF(Assumptions!$L$25=4,VLOOKUP($A186,'Henwood Reference'!$E$9:$R$320,10),(VLOOKUP($A186,PriceTableWeekend,2,0)+IF(BasisNumber&lt;&gt;1,VLOOKUP($A186,BasisTable,2,0),0)+L$1)/(1-L$2))</f>
        <v>42.4877439621297</v>
      </c>
      <c r="M186" s="1568" t="n">
        <f aca="false">IF(Assumptions!$L$25=4,VLOOKUP($A186,'Henwood Reference'!$E$9:$R$320,10),(VLOOKUP($A186,PriceTableWeekend,3,0)+IF(BasisNumber&lt;&gt;1,VLOOKUP($A186,BasisTable,2,0),0)+M$1)/(1-M$2))</f>
        <v>42.4877439621297</v>
      </c>
      <c r="N186" s="1599" t="n">
        <f aca="false">IF(Assumptions!$L$25=4,VLOOKUP($A186,'Henwood Reference'!$E$9:$R$320,10),(VLOOKUP($A186,PriceTableWeekend,4,0)+IF(BasisNumber&lt;&gt;1,VLOOKUP($A186,BasisTable,2,0),0)+N$1)/(1-N$2))</f>
        <v>42.4877439621297</v>
      </c>
      <c r="O186" s="1568" t="n">
        <f aca="false">IF(Assumptions!$L$25=4,VLOOKUP($A186,'Henwood Reference'!$E$9:$R$320,11),(VLOOKUP($A186,PriceTableWeekend,6,0)+IF(BasisNumber&lt;&gt;1,VLOOKUP($A186,BasisTable,3,0),0)+O$1)/(1-O$2))</f>
        <v>24.6272794253107</v>
      </c>
      <c r="P186" s="1568" t="n">
        <f aca="false">IF(Assumptions!$L$25=4,VLOOKUP($A186,'Henwood Reference'!$E$9:$R$320,11),(VLOOKUP($A186,PriceTableWeekend,7,0)+IF(BasisNumber&lt;&gt;1,VLOOKUP($A186,BasisTable,3,0),0)+P$1)/(1-P$2))</f>
        <v>24.6272794253107</v>
      </c>
      <c r="Q186" s="1599" t="n">
        <f aca="false">IF(Assumptions!$L$25=4,VLOOKUP($A186,'Henwood Reference'!$E$9:$R$320,11),(VLOOKUP($A186,PriceTableWeekend,8,0)+IF(BasisNumber&lt;&gt;1,VLOOKUP($A186,BasisTable,3,0),0)+Q$1)/(1-Q$2))</f>
        <v>24.6272794253107</v>
      </c>
      <c r="R186" s="1568" t="n">
        <f aca="false">IF(Assumptions!$L$25=4,VLOOKUP($A186,'Henwood Reference'!$E$9:$R$320,11),(VLOOKUP($A186,PriceTable,6,0)+IF(BasisNumber&lt;&gt;1,VLOOKUP($A186,BasisTable,3,0),0)+R$1)/(1-R$2))</f>
        <v>24.6272794253107</v>
      </c>
      <c r="S186" s="1568" t="n">
        <f aca="false">IF(Assumptions!$L$25=4,VLOOKUP($A186,'Henwood Reference'!$E$9:$R$320,11),(VLOOKUP($A186,PriceTable,7,0)+IF(BasisNumber&lt;&gt;1,VLOOKUP($A186,BasisTable,3,0),0)+S$1)/(1-S$2))</f>
        <v>24.6272794253107</v>
      </c>
      <c r="T186" s="1600" t="n">
        <f aca="false">IF(Assumptions!$L$25=4,VLOOKUP($A186,'Henwood Reference'!$E$9:$R$320,11),(VLOOKUP($A186,PriceTable,8,0)+IF(BasisNumber&lt;&gt;1,VLOOKUP($A186,BasisTable,3,0),0)+T$1)/(1-T$2))</f>
        <v>24.6272794253107</v>
      </c>
      <c r="U186" s="1513" t="n">
        <f aca="false">VLOOKUP($A186,VolatilityTable,14)</f>
        <v>0.0999999999999999</v>
      </c>
      <c r="V186" s="1513" t="n">
        <f aca="false">VLOOKUP($A186,VolatilityTable,15)</f>
        <v>0.11</v>
      </c>
      <c r="W186" s="1514" t="n">
        <f aca="false">VLOOKUP($A186,VolatilityTable,16)</f>
        <v>0.12</v>
      </c>
      <c r="X186" s="1513" t="n">
        <f aca="false">VLOOKUP($A186,VolatilityTable,14)</f>
        <v>0.0999999999999999</v>
      </c>
      <c r="Y186" s="1513" t="n">
        <f aca="false">VLOOKUP($A186,VolatilityTable,15)</f>
        <v>0.11</v>
      </c>
      <c r="Z186" s="1514" t="n">
        <f aca="false">VLOOKUP($A186,VolatilityTable,16)</f>
        <v>0.12</v>
      </c>
      <c r="AA186" s="1513" t="n">
        <f aca="false">VLOOKUP($A186,VolatilityTable,18)</f>
        <v>0.09</v>
      </c>
      <c r="AB186" s="1513" t="n">
        <f aca="false">VLOOKUP($A186,VolatilityTable,19)</f>
        <v>0.11</v>
      </c>
      <c r="AC186" s="1514" t="n">
        <f aca="false">VLOOKUP($A186,VolatilityTable,20)</f>
        <v>0.13</v>
      </c>
      <c r="AD186" s="1513" t="n">
        <f aca="false">VLOOKUP($A186,VolatilityTable,18)</f>
        <v>0.09</v>
      </c>
      <c r="AE186" s="1513" t="n">
        <f aca="false">VLOOKUP($A186,VolatilityTable,19)</f>
        <v>0.11</v>
      </c>
      <c r="AF186" s="1514" t="n">
        <f aca="false">VLOOKUP($A186,VolatilityTable,20)</f>
        <v>0.13</v>
      </c>
      <c r="AG186" s="1513" t="n">
        <f aca="false">VLOOKUP($A186,VolatilityTable,22)</f>
        <v>-0.35</v>
      </c>
      <c r="AH186" s="1513" t="n">
        <f aca="false">VLOOKUP($A186,VolatilityTable,23)</f>
        <v>0.65</v>
      </c>
      <c r="AI186" s="1514" t="n">
        <f aca="false">VLOOKUP($A186,VolatilityTable,24)</f>
        <v>0.2</v>
      </c>
      <c r="AJ186" s="1513" t="n">
        <f aca="false">VLOOKUP($A186,VolatilityTable,22)</f>
        <v>-0.35</v>
      </c>
      <c r="AK186" s="1513" t="n">
        <f aca="false">VLOOKUP($A186,VolatilityTable,23)</f>
        <v>0.65</v>
      </c>
      <c r="AL186" s="1514" t="n">
        <f aca="false">VLOOKUP($A186,VolatilityTable,24)</f>
        <v>0.2</v>
      </c>
      <c r="AM186" s="1513" t="n">
        <f aca="false">VLOOKUP($A186,VolatilityTable,26)</f>
        <v>-0.01</v>
      </c>
      <c r="AN186" s="1513" t="n">
        <f aca="false">VLOOKUP($A186,VolatilityTable,27)</f>
        <v>0.16</v>
      </c>
      <c r="AO186" s="1514" t="n">
        <f aca="false">VLOOKUP($A186,VolatilityTable,28)</f>
        <v>0.01</v>
      </c>
      <c r="AP186" s="1513" t="n">
        <f aca="false">VLOOKUP($A186,VolatilityTable,26)</f>
        <v>-0.01</v>
      </c>
      <c r="AQ186" s="1513" t="n">
        <f aca="false">VLOOKUP($A186,VolatilityTable,27)</f>
        <v>0.16</v>
      </c>
      <c r="AR186" s="1515" t="n">
        <f aca="false">VLOOKUP($A186,VolatilityTable,28)</f>
        <v>0.01</v>
      </c>
      <c r="AS186" s="1581" t="n">
        <f aca="false">IF(CorrPeakOffPeakOverFlag,INDEX(CorrPeakOffPeakOver,C186),CorrPeakOffPeak)</f>
        <v>0.5</v>
      </c>
      <c r="AT186" s="594" t="e">
        <f aca="false">AX186-SUM(AU186:AW186)</f>
        <v>#VALUE!</v>
      </c>
      <c r="AU186" s="238" t="e">
        <f aca="false">IF(E186="",0,INT((F186-MOD(F186,7)-E186)/7)+1-IF(AW186,IF(WEEKDAY(D186)=7,1,0),0))</f>
        <v>#VALUE!</v>
      </c>
      <c r="AV186" s="238" t="e">
        <f aca="false">IF(E186="",0,INT((F186-MOD(F186-1,7)-E186)/7)+1-IF(AW186,IF(WEEKDAY(D186)=1,1,0),0))</f>
        <v>#VALUE!</v>
      </c>
      <c r="AW186" s="238" t="e">
        <f aca="false">IF(OR(E186="",D186="",D186&lt;BegDate,D186&gt;EndDate),0,1)</f>
        <v>#VALUE!</v>
      </c>
      <c r="AX186" s="238" t="n">
        <f aca="false">IF(E186="",0,F186-E186+1)</f>
        <v>30</v>
      </c>
      <c r="AY186" s="1582" t="n">
        <f aca="false">IF(E186="",0,MIN((1-(1-VLOOKUP(B186,MAIN!$AA$7:$AM$28,C186+1))*(1-VLOOKUP(B186,MAIN!$AA$33:$AM$54,C186+1))),1))</f>
        <v>0.03</v>
      </c>
      <c r="AZ186" s="1519" t="e">
        <v>#VALUE!</v>
      </c>
      <c r="BA186" s="1520" t="e">
        <v>#VALUE!</v>
      </c>
      <c r="BB186" s="1520" t="e">
        <v>#VALUE!</v>
      </c>
      <c r="BC186" s="1583" t="e">
        <v>#VALUE!</v>
      </c>
      <c r="BD186" s="1522" t="e">
        <v>#VALUE!</v>
      </c>
      <c r="BE186" s="1523" t="e">
        <v>#VALUE!</v>
      </c>
      <c r="BF186" s="1523" t="e">
        <v>#VALUE!</v>
      </c>
      <c r="BG186" s="1584" t="e">
        <v>#VALUE!</v>
      </c>
      <c r="BH186" s="1525" t="e">
        <v>#VALUE!</v>
      </c>
      <c r="BI186" s="1520" t="e">
        <v>#VALUE!</v>
      </c>
      <c r="BJ186" s="1520" t="e">
        <v>#VALUE!</v>
      </c>
      <c r="BK186" s="1583" t="e">
        <v>#VALUE!</v>
      </c>
      <c r="BL186" s="1522" t="e">
        <v>#VALUE!</v>
      </c>
      <c r="BM186" s="1523" t="e">
        <v>#VALUE!</v>
      </c>
      <c r="BN186" s="1523" t="e">
        <v>#VALUE!</v>
      </c>
      <c r="BO186" s="1523" t="e">
        <v>#VALUE!</v>
      </c>
      <c r="BP186" s="1525" t="e">
        <f aca="false">SUM(AZ186:BB186)</f>
        <v>#VALUE!</v>
      </c>
      <c r="BQ186" s="1529" t="e">
        <f aca="false">SUM(AZ186:BC186)</f>
        <v>#VALUE!</v>
      </c>
      <c r="BR186" s="1519" t="e">
        <f aca="false">SUM(BH186:BJ186)</f>
        <v>#VALUE!</v>
      </c>
      <c r="BS186" s="1529" t="e">
        <f aca="false">SUM(BH186:BK186)</f>
        <v>#VALUE!</v>
      </c>
      <c r="BT186" s="1316" t="n">
        <f aca="false">(IF(OVolType&lt;&gt;2,A186+14,IF(OptExpDateShift,ShiftBack(A186,OptExpDateShift,D185),A186))-DateToday)/365.25</f>
        <v>14.1300479123888</v>
      </c>
      <c r="BU186" s="1585" t="e">
        <f aca="false">IF(BQ186,IF(OPriceCurve,IF(OBuySell=OCallPut,I186/(1-AY186),K186/(1-AY186)),J186/(1-AY186))*BD186,0)</f>
        <v>#VALUE!</v>
      </c>
      <c r="BV186" s="1316" t="e">
        <f aca="false">IF(BQ186,IF(OPriceCurve,IF(OBuySell=OCallPut,L186/(1-AY186),N186/(1-AY186)),M186/(1-AY186))*BE186,0)</f>
        <v>#VALUE!</v>
      </c>
      <c r="BW186" s="1316" t="e">
        <f aca="false">IF(BQ186,IF(OPriceCurve,IF(OBuySell=OCallPut,O186/(1-AY186),Q186/(1-AY186)),P186/(1-AY186))*BF186,0)</f>
        <v>#VALUE!</v>
      </c>
      <c r="BX186" s="1316" t="e">
        <f aca="false">IF(BQ186,IF(OPriceCurve,IF(OBuySell=OCallPut,R186/(1-AY186),T186/(1-AY186)),S186/(1-AY186))*BG186,0)</f>
        <v>#VALUE!</v>
      </c>
      <c r="BY186" s="1316" t="e">
        <f aca="false">IF(BP186,(BU186*AZ186+BV186*BA186+BW186*BB186)/BP186,0)</f>
        <v>#VALUE!</v>
      </c>
      <c r="BZ186" s="1316" t="e">
        <f aca="false">IF(BQ186,(BY186*BP186+BX186*BC186)/BQ186,0)</f>
        <v>#VALUE!</v>
      </c>
      <c r="CA186" s="1531" t="e">
        <f aca="false">IF(BS186,IF(OPriceCurve,IF(OBuySell=OCallPut,I186/(1-AY186),K186/(1-AY186)),J186/(1-AY186))*BL186,0)</f>
        <v>#VALUE!</v>
      </c>
      <c r="CB186" s="1316" t="e">
        <f aca="false">IF(BS186,IF(OPriceCurve,IF(OBuySell=OCallPut,L186/(1-AY186),N186/(1-AY186)),M186/(1-AY186))*BM186,0)</f>
        <v>#VALUE!</v>
      </c>
      <c r="CC186" s="1316" t="e">
        <f aca="false">IF(BS186,IF(OPriceCurve,IF(OBuySell=OCallPut,O186/(1-AY186),Q186/(1-AY186)),P186/(1-AY186))*BN186,0)</f>
        <v>#VALUE!</v>
      </c>
      <c r="CD186" s="1316" t="e">
        <f aca="false">IF(BS186,IF(OPriceCurve,IF(OBuySell=OCallPut,R186/(1-AY186),T186/(1-AY186)),S186/(1-AY186))*BO186,0)</f>
        <v>#VALUE!</v>
      </c>
      <c r="CE186" s="1316" t="e">
        <f aca="false">IF(BR186,(BU186*BH186+BV186*BI186+BW186*BJ186)/BR186,0)</f>
        <v>#VALUE!</v>
      </c>
      <c r="CF186" s="1532" t="e">
        <f aca="false">IF(BS186,(CE186*BR186+CD186*BK186)/BS186,0)</f>
        <v>#VALUE!</v>
      </c>
      <c r="CG186" s="1586" t="e">
        <f aca="false">IF(OR(BQ186,BS186),IF(OVolType&lt;&gt;2,SQRT(IF(OVolOverMonthlyPeak,OVolOverMonthlyPeak,IF(OVolCurve,IF(OBuySell,U186,W186),V186))^2*(1-15/365.25/BT186)+IF(OVolOverDailyPeak,OVolOverDailyPeak,IF(OVolCurve,IF(OBuySell,AG186,AI186),AH186))^2*15/365.25/BT186),IF(OVolOverMonthlyPeak,OVolOverMonthlyPeak,IF(OVolCurve,IF(OBuySell,U186,W186),V186))),"")</f>
        <v>#VALUE!</v>
      </c>
      <c r="CH186" s="1587" t="e">
        <f aca="false">IF(OR(BQ186,BS186),IF(OVolType&lt;&gt;2,SQRT(IF(OVolOverMonthlyPeak,OVolOverMonthlyPeak,IF(OVolCurve,IF(OBuySell,X186,Z186),Y186))^2*(1-15/365.25/BT186)+IF(OVolOverDailyPeak,OVolOverDailyPeak,IF(OVolCurve,IF(OBuySell,AJ186,AL186),AK186))^2*15/365.25/BT186),IF(OVolOverMonthlyPeak,OVolOverMonthlyPeak,IF(OVolCurve,IF(OBuySell,X186,Z186),Y186))),"")</f>
        <v>#VALUE!</v>
      </c>
      <c r="CI186" s="1587" t="e">
        <f aca="false">IF(OR(BQ186,BS186),IF(OVolType&lt;&gt;2,SQRT(IF(OVolOverMonthlyPeak,OVolOverMonthlyPeak,IF(OVolCurve,IF(OBuySell,AA186,AC186),AB186))^2*(1-15/365.25/BT186)+IF(OVolOverDailyPeak,OVolOverDailyPeak,IF(OVolCurve,IF(OBuySell,AM186,AO186),AN186))^2*15/365.25/BT186),IF(OVolOverMonthlyPeak,OVolOverMonthlyPeak,IF(OVolCurve,IF(OBuySell,AA186,AC186),AB186))),"")</f>
        <v>#VALUE!</v>
      </c>
      <c r="CJ186" s="1587" t="e">
        <f aca="false">IF(BQ186,IF(BP186,SQRT(LN(1+((BU186*AZ186)^2*(EXP(CG186^2*BT186)-1)+(BV186*BA186)^2*(EXP(CH186^2*BT186)-1)+(BW186*BB186)^2*(EXP(CI186^2*BT186)-1)+2*BU186*AZ186*BV186*BA186*(EXP(CG186*CH186*BT186)-1)+2*BV186*BA186*BW186*BB186*(EXP(CH186*CI186*BT186)-1)+2*BW186*BB186*BU186*AZ186*(EXP(CI186*CG186*BT186)-1))/(BY186*BP186)^2)/BT186),0),"")</f>
        <v>#VALUE!</v>
      </c>
      <c r="CK186" s="1587" t="e">
        <f aca="false">IF(BS186,IF(BR186,SQRT(LN(1+((CA186*BH186)^2*(EXP(CG186^2*BT186)-1)+(CB186*BI186)^2*(EXP(CH186^2*BT186)-1)+(CC186*BJ186)^2*(EXP(CI186^2*BT186)-1)+2*CA186*BH186*CB186*BI186*(EXP(CG186*CH186*BT186)-1)+2*CB186*BI186*CC186*BJ186*(EXP(CH186*CI186*BT186)-1)+2*CC186*BJ186*CA186*BH186*(EXP(CI186*CG186*BT186)-1))/(CE186*BR186)^2)/BT186),0),"")</f>
        <v>#VALUE!</v>
      </c>
      <c r="CL186" s="1587" t="e">
        <f aca="false">IF(OR(BQ186,BS186),IF(OVolType&lt;&gt;2,SQRT(IF(OVolOverMonthlyOffPeak,OVolOverMonthlyOffPeak,IF(OVolCurve,IF(OBuySell,AD186,AF186),AE186))^2*(1-15/365.25/BT186)+IF(OVolOverDailyOffPeak,OVolOverDailyOffPeak,IF(OVolCurve,IF(OBuySell,AP186,AR186),AQ186))^2*15/365.25/BT186),IF(OVolOverMonthlyOffPeak,OVolOverMonthlyOffPeak,IF(OVolCurve,IF(OBuySell,AD186,AF186),AE186))),"")</f>
        <v>#VALUE!</v>
      </c>
      <c r="CM186" s="1587" t="e">
        <f aca="false">IF(BQ186,SQRT(LN(1+((BY186*BP186)^2*(EXP(CJ186^2*BT186)-1)+(BX186*BC186)^2*(EXP(CL186^2*BT186)-1)+2*BY186*BP186*BX186*BC186*(EXP(AS186*CJ186*CL186*BT186)-1))/(BY186*BP186+BX186*BC186)^2)/BT186),"")</f>
        <v>#VALUE!</v>
      </c>
      <c r="CN186" s="1588" t="e">
        <f aca="false">IF(BS186,SQRT(LN(1+((CE186*BR186)^2*(EXP(CK186^2*BT186)-1)+(CD186*BK186)^2*(EXP(CL186^2*BT186)-1)+2*CE186*BR186*CD186*BK186*(EXP(AS186*CK186*CL186*BT186)-1))/(CE186*BR186+CD186*BK186)^2)/BT186),"")</f>
        <v>#VALUE!</v>
      </c>
      <c r="CO186" s="1531" t="e">
        <f aca="false">IF(OR(BQ186,BS186),VLOOKUP(A186,GasTable,13)*HeatRatePeak*(1+VLOOKUP($B186,HeatRateDegradation,$C186+1))/1000,0)</f>
        <v>#VALUE!</v>
      </c>
      <c r="CP186" s="1316" t="e">
        <f aca="false">IF(OR(BQ186,BS186),VLOOKUP(A186,GasTable,13)*HeatRatePeak*(1+VLOOKUP($B186,HeatRateDegradation,$C186+1))/1000,0)</f>
        <v>#VALUE!</v>
      </c>
      <c r="CQ186" s="1316" t="e">
        <f aca="false">IF(OR(BQ186,BS186),VLOOKUP(A186,GasTable,13)*IF(EV186,HeatRatePeak,HeatRateOffPeak)*(1+VLOOKUP($B186,HeatRateDegradation,$C186+1))/1000,0)</f>
        <v>#VALUE!</v>
      </c>
      <c r="CR186" s="1316" t="e">
        <f aca="false">IF(OR(BQ186,BS186),VLOOKUP(A186,GasTable,13)*IF(EW186,HeatRatePeak,HeatRateOffPeak)*(1+VLOOKUP($B186,HeatRateDegradation,$C186+1))/1000,0)</f>
        <v>#VALUE!</v>
      </c>
      <c r="CS186" s="1589" t="e">
        <f aca="false">IF(BQ186,(CO186*AZ186+CP186*BA186+CQ186*BB186+CR186*BC186)/BQ186,0)</f>
        <v>#VALUE!</v>
      </c>
      <c r="CT186" s="1316" t="e">
        <f aca="false">IF(BS186,CO186,0)</f>
        <v>#VALUE!</v>
      </c>
      <c r="CU186" s="1590" t="e">
        <f aca="false">IF(OR(BQ186,BS186),VLOOKUP(A186,GasTable,14),"")</f>
        <v>#VALUE!</v>
      </c>
      <c r="CV186" s="1568" t="e">
        <f aca="false">IF(OR(BQ186,BS186),IF(CorrPowerGasOverFlag,INDEX(CorrPowerGasOver,C186),CorrPowerGas),"")</f>
        <v>#VALUE!</v>
      </c>
      <c r="CW186" s="1316" t="e">
        <f aca="false">IF(OR($BQ186,$BS186),SpreadOptPowerMargin,0)*((1+Assumptions!$C$26)^($B186-YEAR(Assumptions!$C$17)))</f>
        <v>#VALUE!</v>
      </c>
      <c r="CX186" s="1316" t="e">
        <f aca="false">IF(OR($BQ186,$BS186),SpreadOptPowerMargin,0)*((1+Assumptions!$C$26)^($B186-YEAR(Assumptions!$C$17)))</f>
        <v>#VALUE!</v>
      </c>
      <c r="CY186" s="1316" t="e">
        <f aca="false">IF(OR($BQ186,$BS186),SpreadOptPowerMargin,0)*((1+Assumptions!$C$26)^($B186-YEAR(Assumptions!$C$17)))</f>
        <v>#VALUE!</v>
      </c>
      <c r="CZ186" s="1316" t="e">
        <f aca="false">IF(OR($BQ186,$BS186),SpreadOptPowerMargin,0)*((1+Assumptions!$C$26)^($B186-YEAR(Assumptions!$C$17)))</f>
        <v>#VALUE!</v>
      </c>
      <c r="DA186" s="1591" t="e">
        <f aca="false">IF(OR(BQ186,BS186),(CW186*(AZ186+BH186)+CX186*(BA186+BI186)+CY186*(BB186+BJ186)+CZ186*(BC186+BK186))/(BQ186+BS186),0)</f>
        <v>#VALUE!</v>
      </c>
      <c r="DB186" s="1592" t="e">
        <f aca="false">IF(OR(BQ186,BS186),CG186+IF(OVolSmile,VLOOKUP(MAX(-5,CO186+CW186-BU186),IF(OVolSmile=1,VolSmileBook,VolSmileModel),2),0),"")</f>
        <v>#VALUE!</v>
      </c>
      <c r="DC186" s="1592" t="e">
        <f aca="false">IF(OR(BQ186,BS186),CH186+IF(OVolSmile,VLOOKUP(MAX(-5,CP186+CW186-BV186),IF(OVolSmile=1,VolSmileBook,VolSmileModel),2),0),"")</f>
        <v>#VALUE!</v>
      </c>
      <c r="DD186" s="1592" t="e">
        <f aca="false">IF(OR(BQ186,BS186),CI186+IF(OVolSmile,VLOOKUP(MAX(-5,CQ186+CW186-BW186),IF(OVolSmile=1,VolSmileBook,VolSmileModel),2),0),"")</f>
        <v>#VALUE!</v>
      </c>
      <c r="DE186" s="1592" t="e">
        <f aca="false">IF(OR(BQ186,BS186),CL186+IF(OVolSmile,VLOOKUP(MAX(-5,CR186+CZ186-BX186),IF(OVolSmile=1,VolSmileBook,VolSmileModel),2),0),"")</f>
        <v>#VALUE!</v>
      </c>
      <c r="DF186" s="1592" t="e">
        <f aca="false">IF(BQ186,CM186+IF(OVolSmile,VLOOKUP(MAX(-5,CS186+DA186-BZ186),IF(OVolSmile=1,VolSmileBook,VolSmileModel),2),0),"")</f>
        <v>#VALUE!</v>
      </c>
      <c r="DG186" s="1593" t="e">
        <f aca="false">IF(BS186,CN186+IF(OVolSmile,VLOOKUP(MAX(-5,CT186+DA186-CF186),IF(OVolSmile=1,VolSmileBook,VolSmileModel),2),0),"")</f>
        <v>#VALUE!</v>
      </c>
      <c r="DH186" s="1316" t="e">
        <f aca="false">IF(AND(BU186&gt;0,CO186&gt;0,DB186&gt;0,CU186&gt;0),newSPRDOPT(BU186,CO186,CW186,0,DB186,CU186,CV186,BT186*365.25,OCallPut,0),0)</f>
        <v>#VALUE!</v>
      </c>
      <c r="DI186" s="1316" t="e">
        <f aca="false">IF(AND(BV186&gt;0,CP186&gt;0,DC186&gt;0,CU186&gt;0),newSPRDOPT(BV186,CP186,CX186,0,DC186,CU186,CV186,BT186*365.25,OCallPut,0),0)</f>
        <v>#VALUE!</v>
      </c>
      <c r="DJ186" s="1316" t="e">
        <f aca="false">IF(AND(BW186&gt;0,CQ186&gt;0,DD186&gt;0,CU186&gt;0),newSPRDOPT(BW186,CQ186,CY186,0,DD186,CU186,CV186,BT186*365.25,OCallPut,0),0)</f>
        <v>#VALUE!</v>
      </c>
      <c r="DK186" s="1316" t="e">
        <f aca="false">IF(AND(BX186&gt;0,CR186&gt;0,DE186&gt;0,CU186&gt;0),newSPRDOPT(BX186,CR186,CZ186,0,DE186,CU186,CV186,BT186*365.25,OCallPut,0),0)</f>
        <v>#VALUE!</v>
      </c>
      <c r="DL186" s="1316" t="e">
        <f aca="false">IF(OVolType,IF(AND(BZ186&gt;0,CS186&gt;0,DF186&gt;0,CU186&gt;0),newSPRDOPT(BZ186,CS186,DA186,0,DF186,CU186,CV186,BT186*365.25,OCallPut,0),0),IF(BQ186,(DH186*AZ186+DI186*BA186+DJ186*BB186+DK186*BC186)/BQ186,0))</f>
        <v>#VALUE!</v>
      </c>
      <c r="DM186" s="1316"/>
      <c r="DN186" s="1316"/>
      <c r="DO186" s="1316"/>
      <c r="DP186" s="1316"/>
      <c r="DQ186" s="1316"/>
      <c r="DR186" s="1316"/>
      <c r="DS186" s="1316"/>
      <c r="DT186" s="1316"/>
      <c r="DU186" s="1316"/>
      <c r="DV186" s="1316"/>
      <c r="DW186" s="1594" t="e">
        <f aca="false">IF(AND(BW186&gt;0,CT186&gt;0,DD186&gt;0,CU186&gt;0),newSPRDOPT(BW186,CT186,CY186,0,DD186,CU186,CV186,BT186*365.25,OCallPut,0),0)</f>
        <v>#VALUE!</v>
      </c>
      <c r="DX186" s="1316" t="e">
        <f aca="false">IF(AND(BX186&gt;0,CT186&gt;0,DE186&gt;0,CU186&gt;0),newSPRDOPT(BX186,CT186,CZ186,0,DE186,CU186,CV186,BT186*365.25,OCallPut,0),0)</f>
        <v>#VALUE!</v>
      </c>
      <c r="DY186" s="1591" t="e">
        <f aca="false">IF(BS186,(DH186*BH186+DI186*BI186+DW186*BJ186+DX186*BK186)/BS186,0)</f>
        <v>#VALUE!</v>
      </c>
      <c r="DZ186" s="1551" t="e">
        <f aca="false">DH186*AZ186</f>
        <v>#VALUE!</v>
      </c>
      <c r="EA186" s="1551" t="e">
        <f aca="false">DI186*BA186</f>
        <v>#VALUE!</v>
      </c>
      <c r="EB186" s="1551" t="e">
        <f aca="false">DJ186*BB186</f>
        <v>#VALUE!</v>
      </c>
      <c r="EC186" s="1551" t="e">
        <f aca="false">DK186*BC186</f>
        <v>#VALUE!</v>
      </c>
      <c r="ED186" s="1551" t="e">
        <f aca="false">DL186*BQ186</f>
        <v>#VALUE!</v>
      </c>
      <c r="EE186" s="1595" t="e">
        <f aca="false">IF(BQ186,IF(OCallPut,IF(BU186&gt;(CO186+CW186),BU186-(CO186+CW186),0),IF((CO186+CW186)&gt;BU186,(CO186+CW186)-BU186,0))*AZ186,0)</f>
        <v>#VALUE!</v>
      </c>
      <c r="EF186" s="1596" t="e">
        <f aca="false">IF(BQ186,IF(OCallPut,IF(BV186&gt;(CP186+CX186),BV186-(CP186+CX186),0),IF((CP186+CX186)&gt;BV186,(CP186+CX186)-BV186,0))*BA186,0)</f>
        <v>#VALUE!</v>
      </c>
      <c r="EG186" s="1596" t="e">
        <f aca="false">IF(BQ186,IF(OCallPut,IF(BW186&gt;(CQ186+CY186),BW186-(CQ186+CY186),0),IF((CQ186+CY186)&gt;BW186,(CQ186+CY186)-BW186,0))*BB186,0)</f>
        <v>#VALUE!</v>
      </c>
      <c r="EH186" s="1596" t="e">
        <f aca="false">IF(BQ186,IF(OCallPut,IF(BX186&gt;(CR186+CZ186),BX186-(CR186+CZ186),0),IF((CR186+CZ186)&gt;BX186,(CR186+CZ186)-BX186,0))*BC186,0)</f>
        <v>#VALUE!</v>
      </c>
      <c r="EI186" s="1597" t="e">
        <f aca="false">IF(BQ186,IF(OVolType,IF(OCallPut,IF(BZ186&gt;(CS186+DA186),BZ186-(CS186+DA186),0),IF((CS186+DA186)&gt;BZ186,(CS186+DA186)-BZ186,0))*BQ186,SUM(EE186:EH186)),0)</f>
        <v>#VALUE!</v>
      </c>
      <c r="EJ186" s="1595" t="e">
        <f aca="false">DZ186-EE186</f>
        <v>#VALUE!</v>
      </c>
      <c r="EK186" s="1596" t="e">
        <f aca="false">EA186-EF186</f>
        <v>#VALUE!</v>
      </c>
      <c r="EL186" s="1596" t="e">
        <f aca="false">EB186-EG186</f>
        <v>#VALUE!</v>
      </c>
      <c r="EM186" s="1596" t="e">
        <f aca="false">EC186-EH186</f>
        <v>#VALUE!</v>
      </c>
      <c r="EN186" s="1597" t="e">
        <f aca="false">ED186-EI186</f>
        <v>#VALUE!</v>
      </c>
      <c r="EO186" s="1551" t="e">
        <f aca="false">DH186*BH186</f>
        <v>#VALUE!</v>
      </c>
      <c r="EP186" s="1551" t="e">
        <f aca="false">DI186*BI186</f>
        <v>#VALUE!</v>
      </c>
      <c r="EQ186" s="1551" t="e">
        <f aca="false">DW186*BJ186</f>
        <v>#VALUE!</v>
      </c>
      <c r="ER186" s="1551" t="e">
        <f aca="false">DX186*BK186</f>
        <v>#VALUE!</v>
      </c>
      <c r="ES186" s="1551" t="e">
        <f aca="false">DY186*BS186</f>
        <v>#VALUE!</v>
      </c>
      <c r="ET186" s="1566" t="e">
        <f aca="false">IF(EI186,IF(OCallPut,IF(CA186&gt;(CT186+CW186),CA186-(CT186+CW186),0),IF((CT186+CW186)&gt;CA186,(CT186+CW186)-CA186,0))*BH186,0)</f>
        <v>#VALUE!</v>
      </c>
      <c r="EU186" s="1551" t="e">
        <f aca="false">IF(EI186,IF(OCallPut,IF(CB186&gt;(CT186+CX186),CB186-(CT186+CX186),0),IF((CT186+CX186)&gt;CB186,(CT186+CX186)-CB186,0))*BI186,0)</f>
        <v>#VALUE!</v>
      </c>
      <c r="EV186" s="1551" t="e">
        <f aca="false">IF(EI186,IF(OCallPut,IF(CC186&gt;(CT186+CY186),CC186-(CT186+CY186),0),IF((CT186+CY186)&gt;CC186,(CT186+CY186)-CC186,0))*BJ186,0)</f>
        <v>#VALUE!</v>
      </c>
      <c r="EW186" s="1551" t="e">
        <f aca="false">IF(EI186,IF(OCallPut,IF(CD186&gt;(CT186+CZ186),CD186-(CT186+CZ186),0),IF((CT186+CZ186)&gt;CD186,(CT186+CZ186)-CD186,0))*BK186,0)</f>
        <v>#VALUE!</v>
      </c>
      <c r="EX186" s="1558" t="e">
        <f aca="false">IF(EI186,SUM(ET186:EW186),0)</f>
        <v>#VALUE!</v>
      </c>
      <c r="EY186" s="1551" t="e">
        <f aca="false">EO186-ET186</f>
        <v>#VALUE!</v>
      </c>
      <c r="EZ186" s="1551" t="e">
        <f aca="false">EP186-EU186</f>
        <v>#VALUE!</v>
      </c>
      <c r="FA186" s="1551" t="e">
        <f aca="false">EQ186-EV186</f>
        <v>#VALUE!</v>
      </c>
      <c r="FB186" s="1551" t="e">
        <f aca="false">ER186-EW186</f>
        <v>#VALUE!</v>
      </c>
      <c r="FC186" s="1551" t="e">
        <f aca="false">ES186-EX186</f>
        <v>#VALUE!</v>
      </c>
      <c r="FD186" s="1525" t="n">
        <f aca="false">IF(AX186,IF(VLOOKUP(C186,MAIN!$L$17:$M$28,2)="Yes",VLOOKUP(CALC!B186,MAIN!$H$17:$I$20,2),0),0)</f>
        <v>0</v>
      </c>
      <c r="FE186" s="1552" t="e">
        <f aca="false">$FD186*16*AT186*(1-$AY186)</f>
        <v>#VALUE!</v>
      </c>
      <c r="FF186" s="1553" t="e">
        <f aca="false">$FD186*16*AU186*(1-$AY186)</f>
        <v>#VALUE!</v>
      </c>
      <c r="FG186" s="1553" t="e">
        <f aca="false">$FD186*16*(AV186+AW186)*(1-$AY186)</f>
        <v>#VALUE!</v>
      </c>
      <c r="FH186" s="1554" t="n">
        <f aca="false">$FD186*8*AX186*(1-$AY186)</f>
        <v>0</v>
      </c>
      <c r="FI186" s="1555" t="n">
        <f aca="false">IF(AX186,VLOOKUP(CALC!B186,MAIN!$H$17:$K$20,4),0)</f>
        <v>0</v>
      </c>
      <c r="FJ186" s="1553" t="e">
        <f aca="false">SUM(FE186:FH186)</f>
        <v>#VALUE!</v>
      </c>
      <c r="FK186" s="1556" t="e">
        <f aca="false">FI186*FJ186</f>
        <v>#VALUE!</v>
      </c>
      <c r="FL186" s="1551" t="e">
        <f aca="false">IF($EI186&gt;0,MIN(FE186,AZ186*(1+VLOOKUP($C186,WeatherCapacityAdjustment,2))),0)</f>
        <v>#VALUE!</v>
      </c>
      <c r="FM186" s="1551" t="e">
        <f aca="false">IF($EI186&gt;0,MIN(FF186,BA186*(1+VLOOKUP($C186,WeatherCapacityAdjustment,2))),0)</f>
        <v>#VALUE!</v>
      </c>
      <c r="FN186" s="1551" t="e">
        <f aca="false">IF($EI186&gt;0,MIN(FG186,BB186*(1+VLOOKUP($C186,WeatherCapacityAdjustment,2))),0)</f>
        <v>#VALUE!</v>
      </c>
      <c r="FO186" s="1564" t="e">
        <f aca="false">IF($EI186&gt;0,MIN(FH186,BC186*(1+VLOOKUP($C186,WeatherCapacityAdjustment,3))),0)</f>
        <v>#VALUE!</v>
      </c>
      <c r="FP186" s="1551" t="e">
        <f aca="false">IF(ET186&gt;0,MIN(FE186-FL186,BH186*(1+VLOOKUP($C186,WeatherCapacityAdjustment,2))),0)</f>
        <v>#VALUE!</v>
      </c>
      <c r="FQ186" s="1551" t="e">
        <f aca="false">IF(EU186&gt;0,MIN(FF186-FM186,BI186*(1+VLOOKUP($C186,WeatherCapacityAdjustment,2))),0)</f>
        <v>#VALUE!</v>
      </c>
      <c r="FR186" s="1551" t="e">
        <f aca="false">IF(EV186&gt;0,MIN(FG186-FN186,BJ186*(1+VLOOKUP($C186,WeatherCapacityAdjustment,2))),0)</f>
        <v>#VALUE!</v>
      </c>
      <c r="FS186" s="1558" t="e">
        <f aca="false">IF(EW186&gt;0,MIN(FH186-FO186,BK186*(1+VLOOKUP($C186,WeatherCapacityAdjustment,3))),0)</f>
        <v>#VALUE!</v>
      </c>
      <c r="FT186" s="1566" t="e">
        <f aca="false">IF(AND(Assumptions!$H$71="Yes",A186&gt;=Assumptions!$H$72,A186&lt;=Assumptions!$H$73),0,IF(AND($A186&gt;=Assumptions!$C$17,$A186&lt;=Assumptions!$C$18),MAX(AZ186*(1+VLOOKUP($C186,WeatherCapacityAdjustment,2))-FL186,0),0))</f>
        <v>#VALUE!</v>
      </c>
      <c r="FU186" s="1551" t="e">
        <f aca="false">IF(AND(Assumptions!$H$71="Yes",A186&gt;=Assumptions!$H$72,A186&lt;=Assumptions!$H$73),0,IF(AND($A186&gt;=Assumptions!$C$17,$A186&lt;=Assumptions!$C$18),MAX(BA186*(1+VLOOKUP($C186,WeatherCapacityAdjustment,2))-FM186,0),0))</f>
        <v>#VALUE!</v>
      </c>
      <c r="FV186" s="1551" t="e">
        <f aca="false">IF(AND(Assumptions!$H$71="Yes",A186&gt;=Assumptions!$H$72,A186&lt;=Assumptions!$H$73),0,IF(AND($A186&gt;=Assumptions!$C$17,$A186&lt;=Assumptions!$C$18),MAX(BB186*(1+VLOOKUP($C186,WeatherCapacityAdjustment,2))-FN186,0),0))</f>
        <v>#VALUE!</v>
      </c>
      <c r="FW186" s="1564" t="e">
        <f aca="false">IF(AND(Assumptions!$H$71="Yes",A186&gt;=Assumptions!$H$72,A186&lt;=Assumptions!$H$73),0,IF(AND($A186&gt;=Assumptions!$C$17,$A186&lt;=Assumptions!$C$18),MAX(BC186*(1+VLOOKUP($C186,WeatherCapacityAdjustment,3))-FO186,0),0))</f>
        <v>#VALUE!</v>
      </c>
      <c r="FX186" s="1569" t="e">
        <f aca="false">IF(AND(Assumptions!$H$71="Yes",A186&gt;=Assumptions!$H$72,A186&lt;=Assumptions!$H$73),0,IF(ET186&gt;0,MAX(BH186*(1+VLOOKUP($C186,WeatherCapacityAdjustment,2))-FP186,0),0))</f>
        <v>#VALUE!</v>
      </c>
      <c r="FY186" s="1551" t="e">
        <f aca="false">IF(AND(Assumptions!$H$71="Yes",A186&gt;=Assumptions!$H$72,A186&lt;=Assumptions!$H$73),0,IF(EU186&gt;0,MAX(BI186*(1+VLOOKUP($C186,WeatherCapacityAdjustment,3))-FQ186,0),0))</f>
        <v>#VALUE!</v>
      </c>
      <c r="FZ186" s="1551" t="e">
        <f aca="false">IF(AND(Assumptions!$H$71="Yes",A186&gt;=Assumptions!$H$72,A186&lt;=Assumptions!$H$73),0,IF(EV186&gt;0,MAX(BJ186*(1+VLOOKUP($C186,WeatherCapacityAdjustment,2))-FR186,0),0))</f>
        <v>#VALUE!</v>
      </c>
      <c r="GA186" s="1564" t="e">
        <f aca="false">IF(AND(Assumptions!$H$71="Yes",A186&gt;=Assumptions!$H$72,A186&lt;=Assumptions!$H$73),0,IF(EW186&gt;0,MAX(BK186*(1+VLOOKUP($C186,WeatherCapacityAdjustment,2))-FS186,0),0))</f>
        <v>#VALUE!</v>
      </c>
      <c r="GB186" s="1551" t="e">
        <f aca="false">SUM(FT186:GA186)</f>
        <v>#VALUE!</v>
      </c>
      <c r="GC186" s="1563" t="e">
        <f aca="false">+IF(SUM(FT186:GA186)=0,0,(SUMPRODUCT(BU186:BX186,FT186:FW186)+SUMPRODUCT(CA186:CD186,FX186:GA186))/SUM(FT186:GA186))</f>
        <v>#VALUE!</v>
      </c>
      <c r="GD186" s="1551" t="e">
        <f aca="false">(FT186*BU186+FX186*CA186+FU186*BV186+FY186*CB186+FV186*BW186+FZ186*CC186+FW186*BX186+GA186*CD186)</f>
        <v>#VALUE!</v>
      </c>
      <c r="GE186" s="1561" t="e">
        <f aca="false">+IF(BQ186,((FL186+FM186+FT186+FU186)*HeatRatePeak/1000*(1+VLOOKUP($C186,WeatherHeatRateAdjustment,2))+(FN186+FV186)*IF(EV186&gt;0,HeatRatePeak,HeatRateOffPeak)/1000*(1+VLOOKUP($C186,WeatherHeatRateAdjustment,2))+(FO186+FW186)*IF(EW186&gt;0,HeatRatePeak,HeatRateOffPeak)/1000*(1+VLOOKUP($C186,WeatherHeatRateAdjustment,3)))*(1+VLOOKUP($B186,HeatRateDegradation,$C186+1)),0)</f>
        <v>#VALUE!</v>
      </c>
      <c r="GF186" s="1562" t="e">
        <f aca="false">IF(BQ186,((FP186+FQ186+FR186+FX186+FY186+FZ186)*HeatRatePeak/1000*(1+VLOOKUP($C186,WeatherHeatRateAdjustment,2))+(FS186+GA186)*HeatRatePeak/1000*(1+VLOOKUP($C186,WeatherHeatRateAdjustment,3)))*(1+VLOOKUP($B186,HeatRateDegradation,$C186+1)),0)</f>
        <v>#VALUE!</v>
      </c>
      <c r="GG186" s="1563" t="e">
        <f aca="false">IF(BQ186,VLOOKUP(A186,GasTable,13),0)</f>
        <v>#VALUE!</v>
      </c>
      <c r="GH186" s="1564" t="e">
        <f aca="false">(GE186+GF186)*GG186</f>
        <v>#VALUE!</v>
      </c>
      <c r="GI186" s="1569" t="e">
        <f aca="false">GB186</f>
        <v>#VALUE!</v>
      </c>
      <c r="GJ186" s="1598" t="e">
        <f aca="false">+DA186</f>
        <v>#VALUE!</v>
      </c>
      <c r="GK186" s="1558" t="e">
        <f aca="false">+GI186*GJ186</f>
        <v>#VALUE!</v>
      </c>
      <c r="GL186" s="1566" t="e">
        <f aca="false">MAX(FE186-FL186-FP186,0)</f>
        <v>#VALUE!</v>
      </c>
      <c r="GM186" s="1551" t="e">
        <f aca="false">MAX(FF186-FM186-FQ186,0)</f>
        <v>#VALUE!</v>
      </c>
      <c r="GN186" s="1551" t="e">
        <f aca="false">MAX(FG186-FN186-FR186,0)</f>
        <v>#VALUE!</v>
      </c>
      <c r="GO186" s="1564" t="e">
        <f aca="false">MAX(FH186-FO186-FS186,0)</f>
        <v>#VALUE!</v>
      </c>
      <c r="GP186" s="1551" t="e">
        <f aca="false">SUM(GL186:GO186)</f>
        <v>#VALUE!</v>
      </c>
      <c r="GQ186" s="1563" t="e">
        <f aca="false">IF(SUM(GL186:GO186)=0,0,((GL186*BU186+GM186*BV186+GN186*BW186+GO186*BX186)/SUM(GL186:GO186)))</f>
        <v>#VALUE!</v>
      </c>
      <c r="GR186" s="1558" t="e">
        <f aca="false">(GL186*BU186+GM186*BV186+GN186*BW186+GO186*BX186)</f>
        <v>#VALUE!</v>
      </c>
      <c r="GS186" s="1566" t="n">
        <f aca="false">IF($A186&gt;=BegDate,Assumptions!$C$56*24*($A187-$A186)*(1-VLOOKUP($B186,MAIN!$AA$7:$AM$28,$C186+1))*(1-VLOOKUP($B186,MAIN!$AA$33:$AM$54,$C186+1)),0)*80/168</f>
        <v>249428.571428571</v>
      </c>
      <c r="GT186" s="286" t="n">
        <f aca="false">J186</f>
        <v>42.4877439621297</v>
      </c>
      <c r="GU186" s="286" t="n">
        <f aca="false">IF($A186&gt;=BegDate,VLOOKUP($A186,GasTable,13)+Assumptions!$C$58,0)</f>
        <v>3.0252346240165</v>
      </c>
      <c r="GV186" s="286" t="n">
        <f aca="false">GU186*Assumptions!$C$57/1000</f>
        <v>21.9329510241196</v>
      </c>
      <c r="GW186" s="1558" t="n">
        <f aca="false">IF(Assumptions!$C$60="Hourly",MAX(0,GS186*(GT186-GV186)),GS186*(GT186-GV186))</f>
        <v>5126952.63853795</v>
      </c>
      <c r="GX186" s="1566" t="n">
        <f aca="false">IF($A186&gt;=BegDate,Assumptions!$C$56*24*($A187-$A186)*(1-VLOOKUP($B186,MAIN!$AA$7:$AM$28,$C186+1))*(1-VLOOKUP($B186,MAIN!$AA$33:$AM$54,$C186+1)),0)*16/168</f>
        <v>49885.7142857143</v>
      </c>
      <c r="GY186" s="286" t="n">
        <f aca="false">M186</f>
        <v>42.4877439621297</v>
      </c>
      <c r="GZ186" s="286" t="n">
        <f aca="false">IF($A186&gt;=BegDate,VLOOKUP($A186,GasTable,13)+Assumptions!$C$58,0)</f>
        <v>3.0252346240165</v>
      </c>
      <c r="HA186" s="286" t="n">
        <f aca="false">GZ186*Assumptions!$C$57/1000</f>
        <v>21.9329510241196</v>
      </c>
      <c r="HB186" s="1558" t="n">
        <f aca="false">IF(Assumptions!$C$60="Hourly",MAX(0,GX186*(GY186-HA186)),GX186*(GY186-HA186))</f>
        <v>1025390.52770759</v>
      </c>
      <c r="HC186" s="1566" t="n">
        <f aca="false">IF($A186&gt;=BegDate,Assumptions!$C$56*24*($A187-$A186)*(1-VLOOKUP($B186,MAIN!$AA$7:$AM$28,$C186+1))*(1-VLOOKUP($B186,MAIN!$AA$33:$AM$54,$C186+1)),0)*16/168</f>
        <v>49885.7142857143</v>
      </c>
      <c r="HD186" s="286" t="n">
        <f aca="false">P186</f>
        <v>24.6272794253107</v>
      </c>
      <c r="HE186" s="286" t="n">
        <f aca="false">IF($A186&gt;=BegDate,VLOOKUP($A186,GasTable,13)+Assumptions!$C$58,0)</f>
        <v>3.0252346240165</v>
      </c>
      <c r="HF186" s="286" t="n">
        <f aca="false">HE186*Assumptions!$C$57/1000</f>
        <v>21.9329510241196</v>
      </c>
      <c r="HG186" s="1558" t="n">
        <f aca="false">IF(Assumptions!$C$60="Hourly",MAX(0,HC186*(HD186-HF186)),HC186*(HD186-HF186))</f>
        <v>134408.496813702</v>
      </c>
      <c r="HH186" s="1566" t="n">
        <f aca="false">IF($A186&gt;=BegDate,Assumptions!$C$56*24*($A187-$A186)*(1-VLOOKUP($B186,MAIN!$AA$7:$AM$28,$C186+1))*(1-VLOOKUP($B186,MAIN!$AA$33:$AM$54,$C186+1)),0)*56/168</f>
        <v>174600</v>
      </c>
      <c r="HI186" s="286" t="n">
        <f aca="false">S186</f>
        <v>24.6272794253107</v>
      </c>
      <c r="HJ186" s="286" t="n">
        <f aca="false">IF($A186&gt;=BegDate,VLOOKUP($A186,GasTable,13)+Assumptions!$C$58,0)</f>
        <v>3.0252346240165</v>
      </c>
      <c r="HK186" s="286" t="n">
        <f aca="false">HJ186*Assumptions!$C$57/1000</f>
        <v>21.9329510241196</v>
      </c>
      <c r="HL186" s="1558" t="n">
        <f aca="false">IF(Assumptions!$C$60="Hourly",MAX(0,HH186*(HI186-HK186)),HH186*(HI186-HK186))</f>
        <v>470429.738847959</v>
      </c>
      <c r="HM186" s="1566" t="n">
        <f aca="false">IF(AND(Assumptions!$H$71="Yes",A186&gt;=Assumptions!$H$72,A186&lt;=Assumptions!$H$73),Assumptions!$H$74*Assumptions!$C$9*1000,0)</f>
        <v>0</v>
      </c>
      <c r="HN186" s="1551"/>
      <c r="HO186" s="1563"/>
      <c r="HP186" s="1563"/>
      <c r="HQ186" s="1563"/>
      <c r="HR186" s="1563"/>
      <c r="HS186" s="1563"/>
      <c r="HT186" s="1563"/>
      <c r="HU186" s="1563"/>
      <c r="HV186" s="1563"/>
      <c r="HW186" s="1563"/>
      <c r="HX186" s="1563"/>
      <c r="HY186" s="1563"/>
      <c r="HZ186" s="1563"/>
      <c r="IA186" s="1563"/>
      <c r="IB186" s="1563"/>
      <c r="IC186" s="1563"/>
      <c r="ID186" s="1563"/>
      <c r="IE186" s="1563"/>
      <c r="IF186" s="1563"/>
      <c r="IG186" s="1563"/>
      <c r="IH186" s="1563"/>
      <c r="II186" s="1610"/>
      <c r="IJ186" s="1309"/>
      <c r="IK186" s="1309"/>
    </row>
    <row r="187" customFormat="false" ht="12.75" hidden="false" customHeight="false" outlineLevel="0" collapsed="false">
      <c r="A187" s="1571" t="n">
        <f aca="false">EOMONTH(A186,0)+1</f>
        <v>41821</v>
      </c>
      <c r="B187" s="594" t="n">
        <f aca="false">+YEAR(A187)</f>
        <v>2014</v>
      </c>
      <c r="C187" s="238" t="n">
        <f aca="false">MONTH(A187)</f>
        <v>7</v>
      </c>
      <c r="D187" s="1572" t="e">
        <f aca="false">IF(E187="","",Holiday(B187,C187))</f>
        <v>#VALUE!</v>
      </c>
      <c r="E187" s="1573" t="n">
        <f aca="false">IF(OR(BegDate&gt;=A188,EndDate&lt;A187,AND(VolumeMonthlyOverFlag,INDEX(VolumeMonthlyOver,C187)=0),NOT(INDEX(MonthKnockOutTable,C187))),"",MAX(A187,BegDate))</f>
        <v>41821</v>
      </c>
      <c r="F187" s="1574" t="n">
        <f aca="false">IF(E187="","",MIN(A188-1,EndDate))</f>
        <v>41851</v>
      </c>
      <c r="G187" s="1575" t="n">
        <v>0</v>
      </c>
      <c r="H187" s="1576" t="n">
        <f aca="false">(1+G187/2)^(-2*(DATE(B188,C188,20)-DateToday)/365.25)</f>
        <v>1</v>
      </c>
      <c r="I187" s="1568" t="n">
        <f aca="false">IF(Assumptions!$L$25=4,VLOOKUP($A187,'Henwood Reference'!$E$9:$R$320,10),(VLOOKUP($A187,PriceTable,2,0)+IF(BasisNumber&lt;&gt;1,VLOOKUP($A187,BasisTable,2,0),0)+I$1)/(1-I$2))</f>
        <v>64.281046900134</v>
      </c>
      <c r="J187" s="1568" t="n">
        <f aca="false">IF(Assumptions!$L$25=4,VLOOKUP($A187,'Henwood Reference'!$E$9:$R$320,10),(VLOOKUP($A187,PriceTable,3,0)+IF(BasisNumber&lt;&gt;1,VLOOKUP($A187,BasisTable,2,0),0)+J$1)/(1-J$2))</f>
        <v>64.281046900134</v>
      </c>
      <c r="K187" s="1568" t="n">
        <f aca="false">IF(Assumptions!$L$25=4,VLOOKUP($A187,'Henwood Reference'!$E$9:$R$320,10),(VLOOKUP($A187,PriceTable,4,0)+IF(BasisNumber&lt;&gt;1,VLOOKUP($A187,BasisTable,2,0),0)+K$1)/(1-K$2))</f>
        <v>64.281046900134</v>
      </c>
      <c r="L187" s="1523" t="n">
        <f aca="false">IF(Assumptions!$L$25=4,VLOOKUP($A187,'Henwood Reference'!$E$9:$R$320,10),(VLOOKUP($A187,PriceTableWeekend,2,0)+IF(BasisNumber&lt;&gt;1,VLOOKUP($A187,BasisTable,2,0),0)+L$1)/(1-L$2))</f>
        <v>64.281046900134</v>
      </c>
      <c r="M187" s="1568" t="n">
        <f aca="false">IF(Assumptions!$L$25=4,VLOOKUP($A187,'Henwood Reference'!$E$9:$R$320,10),(VLOOKUP($A187,PriceTableWeekend,3,0)+IF(BasisNumber&lt;&gt;1,VLOOKUP($A187,BasisTable,2,0),0)+M$1)/(1-M$2))</f>
        <v>64.281046900134</v>
      </c>
      <c r="N187" s="1599" t="n">
        <f aca="false">IF(Assumptions!$L$25=4,VLOOKUP($A187,'Henwood Reference'!$E$9:$R$320,10),(VLOOKUP($A187,PriceTableWeekend,4,0)+IF(BasisNumber&lt;&gt;1,VLOOKUP($A187,BasisTable,2,0),0)+N$1)/(1-N$2))</f>
        <v>64.281046900134</v>
      </c>
      <c r="O187" s="1568" t="n">
        <f aca="false">IF(Assumptions!$L$25=4,VLOOKUP($A187,'Henwood Reference'!$E$9:$R$320,11),(VLOOKUP($A187,PriceTableWeekend,6,0)+IF(BasisNumber&lt;&gt;1,VLOOKUP($A187,BasisTable,3,0),0)+O$1)/(1-O$2))</f>
        <v>30.693055246987</v>
      </c>
      <c r="P187" s="1568" t="n">
        <f aca="false">IF(Assumptions!$L$25=4,VLOOKUP($A187,'Henwood Reference'!$E$9:$R$320,11),(VLOOKUP($A187,PriceTableWeekend,7,0)+IF(BasisNumber&lt;&gt;1,VLOOKUP($A187,BasisTable,3,0),0)+P$1)/(1-P$2))</f>
        <v>30.693055246987</v>
      </c>
      <c r="Q187" s="1599" t="n">
        <f aca="false">IF(Assumptions!$L$25=4,VLOOKUP($A187,'Henwood Reference'!$E$9:$R$320,11),(VLOOKUP($A187,PriceTableWeekend,8,0)+IF(BasisNumber&lt;&gt;1,VLOOKUP($A187,BasisTable,3,0),0)+Q$1)/(1-Q$2))</f>
        <v>30.693055246987</v>
      </c>
      <c r="R187" s="1568" t="n">
        <f aca="false">IF(Assumptions!$L$25=4,VLOOKUP($A187,'Henwood Reference'!$E$9:$R$320,11),(VLOOKUP($A187,PriceTable,6,0)+IF(BasisNumber&lt;&gt;1,VLOOKUP($A187,BasisTable,3,0),0)+R$1)/(1-R$2))</f>
        <v>30.693055246987</v>
      </c>
      <c r="S187" s="1568" t="n">
        <f aca="false">IF(Assumptions!$L$25=4,VLOOKUP($A187,'Henwood Reference'!$E$9:$R$320,11),(VLOOKUP($A187,PriceTable,7,0)+IF(BasisNumber&lt;&gt;1,VLOOKUP($A187,BasisTable,3,0),0)+S$1)/(1-S$2))</f>
        <v>30.693055246987</v>
      </c>
      <c r="T187" s="1600" t="n">
        <f aca="false">IF(Assumptions!$L$25=4,VLOOKUP($A187,'Henwood Reference'!$E$9:$R$320,11),(VLOOKUP($A187,PriceTable,8,0)+IF(BasisNumber&lt;&gt;1,VLOOKUP($A187,BasisTable,3,0),0)+T$1)/(1-T$2))</f>
        <v>30.693055246987</v>
      </c>
      <c r="U187" s="1513" t="n">
        <f aca="false">VLOOKUP($A187,VolatilityTable,14)</f>
        <v>0.0999999999999999</v>
      </c>
      <c r="V187" s="1513" t="n">
        <f aca="false">VLOOKUP($A187,VolatilityTable,15)</f>
        <v>0.11</v>
      </c>
      <c r="W187" s="1514" t="n">
        <f aca="false">VLOOKUP($A187,VolatilityTable,16)</f>
        <v>0.12</v>
      </c>
      <c r="X187" s="1513" t="n">
        <f aca="false">VLOOKUP($A187,VolatilityTable,14)</f>
        <v>0.0999999999999999</v>
      </c>
      <c r="Y187" s="1513" t="n">
        <f aca="false">VLOOKUP($A187,VolatilityTable,15)</f>
        <v>0.11</v>
      </c>
      <c r="Z187" s="1514" t="n">
        <f aca="false">VLOOKUP($A187,VolatilityTable,16)</f>
        <v>0.12</v>
      </c>
      <c r="AA187" s="1513" t="n">
        <f aca="false">VLOOKUP($A187,VolatilityTable,18)</f>
        <v>0.09</v>
      </c>
      <c r="AB187" s="1513" t="n">
        <f aca="false">VLOOKUP($A187,VolatilityTable,19)</f>
        <v>0.11</v>
      </c>
      <c r="AC187" s="1514" t="n">
        <f aca="false">VLOOKUP($A187,VolatilityTable,20)</f>
        <v>0.13</v>
      </c>
      <c r="AD187" s="1513" t="n">
        <f aca="false">VLOOKUP($A187,VolatilityTable,18)</f>
        <v>0.09</v>
      </c>
      <c r="AE187" s="1513" t="n">
        <f aca="false">VLOOKUP($A187,VolatilityTable,19)</f>
        <v>0.11</v>
      </c>
      <c r="AF187" s="1514" t="n">
        <f aca="false">VLOOKUP($A187,VolatilityTable,20)</f>
        <v>0.13</v>
      </c>
      <c r="AG187" s="1513" t="n">
        <f aca="false">VLOOKUP($A187,VolatilityTable,22)</f>
        <v>-0.35</v>
      </c>
      <c r="AH187" s="1513" t="n">
        <f aca="false">VLOOKUP($A187,VolatilityTable,23)</f>
        <v>0.65</v>
      </c>
      <c r="AI187" s="1514" t="n">
        <f aca="false">VLOOKUP($A187,VolatilityTable,24)</f>
        <v>0.35</v>
      </c>
      <c r="AJ187" s="1513" t="n">
        <f aca="false">VLOOKUP($A187,VolatilityTable,22)</f>
        <v>-0.35</v>
      </c>
      <c r="AK187" s="1513" t="n">
        <f aca="false">VLOOKUP($A187,VolatilityTable,23)</f>
        <v>0.65</v>
      </c>
      <c r="AL187" s="1514" t="n">
        <f aca="false">VLOOKUP($A187,VolatilityTable,24)</f>
        <v>0.35</v>
      </c>
      <c r="AM187" s="1513" t="n">
        <f aca="false">VLOOKUP($A187,VolatilityTable,26)</f>
        <v>-0.01</v>
      </c>
      <c r="AN187" s="1513" t="n">
        <f aca="false">VLOOKUP($A187,VolatilityTable,27)</f>
        <v>0.16</v>
      </c>
      <c r="AO187" s="1514" t="n">
        <f aca="false">VLOOKUP($A187,VolatilityTable,28)</f>
        <v>0.01</v>
      </c>
      <c r="AP187" s="1513" t="n">
        <f aca="false">VLOOKUP($A187,VolatilityTable,26)</f>
        <v>-0.01</v>
      </c>
      <c r="AQ187" s="1513" t="n">
        <f aca="false">VLOOKUP($A187,VolatilityTable,27)</f>
        <v>0.16</v>
      </c>
      <c r="AR187" s="1515" t="n">
        <f aca="false">VLOOKUP($A187,VolatilityTable,28)</f>
        <v>0.01</v>
      </c>
      <c r="AS187" s="1581" t="n">
        <f aca="false">IF(CorrPeakOffPeakOverFlag,INDEX(CorrPeakOffPeakOver,C187),CorrPeakOffPeak)</f>
        <v>0.5</v>
      </c>
      <c r="AT187" s="594" t="e">
        <f aca="false">AX187-SUM(AU187:AW187)</f>
        <v>#VALUE!</v>
      </c>
      <c r="AU187" s="238" t="e">
        <f aca="false">IF(E187="",0,INT((F187-MOD(F187,7)-E187)/7)+1-IF(AW187,IF(WEEKDAY(D187)=7,1,0),0))</f>
        <v>#VALUE!</v>
      </c>
      <c r="AV187" s="238" t="e">
        <f aca="false">IF(E187="",0,INT((F187-MOD(F187-1,7)-E187)/7)+1-IF(AW187,IF(WEEKDAY(D187)=1,1,0),0))</f>
        <v>#VALUE!</v>
      </c>
      <c r="AW187" s="238" t="e">
        <f aca="false">IF(OR(E187="",D187="",D187&lt;BegDate,D187&gt;EndDate),0,1)</f>
        <v>#VALUE!</v>
      </c>
      <c r="AX187" s="238" t="n">
        <f aca="false">IF(E187="",0,F187-E187+1)</f>
        <v>31</v>
      </c>
      <c r="AY187" s="1582" t="n">
        <f aca="false">IF(E187="",0,MIN((1-(1-VLOOKUP(B187,MAIN!$AA$7:$AM$28,C187+1))*(1-VLOOKUP(B187,MAIN!$AA$33:$AM$54,C187+1))),1))</f>
        <v>0.03</v>
      </c>
      <c r="AZ187" s="1519" t="e">
        <v>#VALUE!</v>
      </c>
      <c r="BA187" s="1520" t="e">
        <v>#VALUE!</v>
      </c>
      <c r="BB187" s="1520" t="e">
        <v>#VALUE!</v>
      </c>
      <c r="BC187" s="1583" t="e">
        <v>#VALUE!</v>
      </c>
      <c r="BD187" s="1522" t="e">
        <v>#VALUE!</v>
      </c>
      <c r="BE187" s="1523" t="e">
        <v>#VALUE!</v>
      </c>
      <c r="BF187" s="1523" t="e">
        <v>#VALUE!</v>
      </c>
      <c r="BG187" s="1584" t="e">
        <v>#VALUE!</v>
      </c>
      <c r="BH187" s="1525" t="e">
        <v>#VALUE!</v>
      </c>
      <c r="BI187" s="1520" t="e">
        <v>#VALUE!</v>
      </c>
      <c r="BJ187" s="1520" t="e">
        <v>#VALUE!</v>
      </c>
      <c r="BK187" s="1583" t="e">
        <v>#VALUE!</v>
      </c>
      <c r="BL187" s="1522" t="e">
        <v>#VALUE!</v>
      </c>
      <c r="BM187" s="1523" t="e">
        <v>#VALUE!</v>
      </c>
      <c r="BN187" s="1523" t="e">
        <v>#VALUE!</v>
      </c>
      <c r="BO187" s="1523" t="e">
        <v>#VALUE!</v>
      </c>
      <c r="BP187" s="1525" t="e">
        <f aca="false">SUM(AZ187:BB187)</f>
        <v>#VALUE!</v>
      </c>
      <c r="BQ187" s="1529" t="e">
        <f aca="false">SUM(AZ187:BC187)</f>
        <v>#VALUE!</v>
      </c>
      <c r="BR187" s="1519" t="e">
        <f aca="false">SUM(BH187:BJ187)</f>
        <v>#VALUE!</v>
      </c>
      <c r="BS187" s="1529" t="e">
        <f aca="false">SUM(BH187:BK187)</f>
        <v>#VALUE!</v>
      </c>
      <c r="BT187" s="1316" t="n">
        <f aca="false">(IF(OVolType&lt;&gt;2,A187+14,IF(OptExpDateShift,ShiftBack(A187,OptExpDateShift,D186),A187))-DateToday)/365.25</f>
        <v>14.2121834360027</v>
      </c>
      <c r="BU187" s="1585" t="e">
        <f aca="false">IF(BQ187,IF(OPriceCurve,IF(OBuySell=OCallPut,I187/(1-AY187),K187/(1-AY187)),J187/(1-AY187))*BD187,0)</f>
        <v>#VALUE!</v>
      </c>
      <c r="BV187" s="1316" t="e">
        <f aca="false">IF(BQ187,IF(OPriceCurve,IF(OBuySell=OCallPut,L187/(1-AY187),N187/(1-AY187)),M187/(1-AY187))*BE187,0)</f>
        <v>#VALUE!</v>
      </c>
      <c r="BW187" s="1316" t="e">
        <f aca="false">IF(BQ187,IF(OPriceCurve,IF(OBuySell=OCallPut,O187/(1-AY187),Q187/(1-AY187)),P187/(1-AY187))*BF187,0)</f>
        <v>#VALUE!</v>
      </c>
      <c r="BX187" s="1316" t="e">
        <f aca="false">IF(BQ187,IF(OPriceCurve,IF(OBuySell=OCallPut,R187/(1-AY187),T187/(1-AY187)),S187/(1-AY187))*BG187,0)</f>
        <v>#VALUE!</v>
      </c>
      <c r="BY187" s="1316" t="e">
        <f aca="false">IF(BP187,(BU187*AZ187+BV187*BA187+BW187*BB187)/BP187,0)</f>
        <v>#VALUE!</v>
      </c>
      <c r="BZ187" s="1316" t="e">
        <f aca="false">IF(BQ187,(BY187*BP187+BX187*BC187)/BQ187,0)</f>
        <v>#VALUE!</v>
      </c>
      <c r="CA187" s="1531" t="e">
        <f aca="false">IF(BS187,IF(OPriceCurve,IF(OBuySell=OCallPut,I187/(1-AY187),K187/(1-AY187)),J187/(1-AY187))*BL187,0)</f>
        <v>#VALUE!</v>
      </c>
      <c r="CB187" s="1316" t="e">
        <f aca="false">IF(BS187,IF(OPriceCurve,IF(OBuySell=OCallPut,L187/(1-AY187),N187/(1-AY187)),M187/(1-AY187))*BM187,0)</f>
        <v>#VALUE!</v>
      </c>
      <c r="CC187" s="1316" t="e">
        <f aca="false">IF(BS187,IF(OPriceCurve,IF(OBuySell=OCallPut,O187/(1-AY187),Q187/(1-AY187)),P187/(1-AY187))*BN187,0)</f>
        <v>#VALUE!</v>
      </c>
      <c r="CD187" s="1316" t="e">
        <f aca="false">IF(BS187,IF(OPriceCurve,IF(OBuySell=OCallPut,R187/(1-AY187),T187/(1-AY187)),S187/(1-AY187))*BO187,0)</f>
        <v>#VALUE!</v>
      </c>
      <c r="CE187" s="1316" t="e">
        <f aca="false">IF(BR187,(BU187*BH187+BV187*BI187+BW187*BJ187)/BR187,0)</f>
        <v>#VALUE!</v>
      </c>
      <c r="CF187" s="1532" t="e">
        <f aca="false">IF(BS187,(CE187*BR187+CD187*BK187)/BS187,0)</f>
        <v>#VALUE!</v>
      </c>
      <c r="CG187" s="1586" t="e">
        <f aca="false">IF(OR(BQ187,BS187),IF(OVolType&lt;&gt;2,SQRT(IF(OVolOverMonthlyPeak,OVolOverMonthlyPeak,IF(OVolCurve,IF(OBuySell,U187,W187),V187))^2*(1-15/365.25/BT187)+IF(OVolOverDailyPeak,OVolOverDailyPeak,IF(OVolCurve,IF(OBuySell,AG187,AI187),AH187))^2*15/365.25/BT187),IF(OVolOverMonthlyPeak,OVolOverMonthlyPeak,IF(OVolCurve,IF(OBuySell,U187,W187),V187))),"")</f>
        <v>#VALUE!</v>
      </c>
      <c r="CH187" s="1587" t="e">
        <f aca="false">IF(OR(BQ187,BS187),IF(OVolType&lt;&gt;2,SQRT(IF(OVolOverMonthlyPeak,OVolOverMonthlyPeak,IF(OVolCurve,IF(OBuySell,X187,Z187),Y187))^2*(1-15/365.25/BT187)+IF(OVolOverDailyPeak,OVolOverDailyPeak,IF(OVolCurve,IF(OBuySell,AJ187,AL187),AK187))^2*15/365.25/BT187),IF(OVolOverMonthlyPeak,OVolOverMonthlyPeak,IF(OVolCurve,IF(OBuySell,X187,Z187),Y187))),"")</f>
        <v>#VALUE!</v>
      </c>
      <c r="CI187" s="1587" t="e">
        <f aca="false">IF(OR(BQ187,BS187),IF(OVolType&lt;&gt;2,SQRT(IF(OVolOverMonthlyPeak,OVolOverMonthlyPeak,IF(OVolCurve,IF(OBuySell,AA187,AC187),AB187))^2*(1-15/365.25/BT187)+IF(OVolOverDailyPeak,OVolOverDailyPeak,IF(OVolCurve,IF(OBuySell,AM187,AO187),AN187))^2*15/365.25/BT187),IF(OVolOverMonthlyPeak,OVolOverMonthlyPeak,IF(OVolCurve,IF(OBuySell,AA187,AC187),AB187))),"")</f>
        <v>#VALUE!</v>
      </c>
      <c r="CJ187" s="1587" t="e">
        <f aca="false">IF(BQ187,IF(BP187,SQRT(LN(1+((BU187*AZ187)^2*(EXP(CG187^2*BT187)-1)+(BV187*BA187)^2*(EXP(CH187^2*BT187)-1)+(BW187*BB187)^2*(EXP(CI187^2*BT187)-1)+2*BU187*AZ187*BV187*BA187*(EXP(CG187*CH187*BT187)-1)+2*BV187*BA187*BW187*BB187*(EXP(CH187*CI187*BT187)-1)+2*BW187*BB187*BU187*AZ187*(EXP(CI187*CG187*BT187)-1))/(BY187*BP187)^2)/BT187),0),"")</f>
        <v>#VALUE!</v>
      </c>
      <c r="CK187" s="1587" t="e">
        <f aca="false">IF(BS187,IF(BR187,SQRT(LN(1+((CA187*BH187)^2*(EXP(CG187^2*BT187)-1)+(CB187*BI187)^2*(EXP(CH187^2*BT187)-1)+(CC187*BJ187)^2*(EXP(CI187^2*BT187)-1)+2*CA187*BH187*CB187*BI187*(EXP(CG187*CH187*BT187)-1)+2*CB187*BI187*CC187*BJ187*(EXP(CH187*CI187*BT187)-1)+2*CC187*BJ187*CA187*BH187*(EXP(CI187*CG187*BT187)-1))/(CE187*BR187)^2)/BT187),0),"")</f>
        <v>#VALUE!</v>
      </c>
      <c r="CL187" s="1587" t="e">
        <f aca="false">IF(OR(BQ187,BS187),IF(OVolType&lt;&gt;2,SQRT(IF(OVolOverMonthlyOffPeak,OVolOverMonthlyOffPeak,IF(OVolCurve,IF(OBuySell,AD187,AF187),AE187))^2*(1-15/365.25/BT187)+IF(OVolOverDailyOffPeak,OVolOverDailyOffPeak,IF(OVolCurve,IF(OBuySell,AP187,AR187),AQ187))^2*15/365.25/BT187),IF(OVolOverMonthlyOffPeak,OVolOverMonthlyOffPeak,IF(OVolCurve,IF(OBuySell,AD187,AF187),AE187))),"")</f>
        <v>#VALUE!</v>
      </c>
      <c r="CM187" s="1587" t="e">
        <f aca="false">IF(BQ187,SQRT(LN(1+((BY187*BP187)^2*(EXP(CJ187^2*BT187)-1)+(BX187*BC187)^2*(EXP(CL187^2*BT187)-1)+2*BY187*BP187*BX187*BC187*(EXP(AS187*CJ187*CL187*BT187)-1))/(BY187*BP187+BX187*BC187)^2)/BT187),"")</f>
        <v>#VALUE!</v>
      </c>
      <c r="CN187" s="1588" t="e">
        <f aca="false">IF(BS187,SQRT(LN(1+((CE187*BR187)^2*(EXP(CK187^2*BT187)-1)+(CD187*BK187)^2*(EXP(CL187^2*BT187)-1)+2*CE187*BR187*CD187*BK187*(EXP(AS187*CK187*CL187*BT187)-1))/(CE187*BR187+CD187*BK187)^2)/BT187),"")</f>
        <v>#VALUE!</v>
      </c>
      <c r="CO187" s="1531" t="e">
        <f aca="false">IF(OR(BQ187,BS187),VLOOKUP(A187,GasTable,13)*HeatRatePeak*(1+VLOOKUP($B187,HeatRateDegradation,$C187+1))/1000,0)</f>
        <v>#VALUE!</v>
      </c>
      <c r="CP187" s="1316" t="e">
        <f aca="false">IF(OR(BQ187,BS187),VLOOKUP(A187,GasTable,13)*HeatRatePeak*(1+VLOOKUP($B187,HeatRateDegradation,$C187+1))/1000,0)</f>
        <v>#VALUE!</v>
      </c>
      <c r="CQ187" s="1316" t="e">
        <f aca="false">IF(OR(BQ187,BS187),VLOOKUP(A187,GasTable,13)*IF(EV187,HeatRatePeak,HeatRateOffPeak)*(1+VLOOKUP($B187,HeatRateDegradation,$C187+1))/1000,0)</f>
        <v>#VALUE!</v>
      </c>
      <c r="CR187" s="1316" t="e">
        <f aca="false">IF(OR(BQ187,BS187),VLOOKUP(A187,GasTable,13)*IF(EW187,HeatRatePeak,HeatRateOffPeak)*(1+VLOOKUP($B187,HeatRateDegradation,$C187+1))/1000,0)</f>
        <v>#VALUE!</v>
      </c>
      <c r="CS187" s="1589" t="e">
        <f aca="false">IF(BQ187,(CO187*AZ187+CP187*BA187+CQ187*BB187+CR187*BC187)/BQ187,0)</f>
        <v>#VALUE!</v>
      </c>
      <c r="CT187" s="1316" t="e">
        <f aca="false">IF(BS187,CO187,0)</f>
        <v>#VALUE!</v>
      </c>
      <c r="CU187" s="1590" t="e">
        <f aca="false">IF(OR(BQ187,BS187),VLOOKUP(A187,GasTable,14),"")</f>
        <v>#VALUE!</v>
      </c>
      <c r="CV187" s="1568" t="e">
        <f aca="false">IF(OR(BQ187,BS187),IF(CorrPowerGasOverFlag,INDEX(CorrPowerGasOver,C187),CorrPowerGas),"")</f>
        <v>#VALUE!</v>
      </c>
      <c r="CW187" s="1316" t="e">
        <f aca="false">IF(OR($BQ187,$BS187),SpreadOptPowerMargin,0)*((1+Assumptions!$C$26)^($B187-YEAR(Assumptions!$C$17)))</f>
        <v>#VALUE!</v>
      </c>
      <c r="CX187" s="1316" t="e">
        <f aca="false">IF(OR($BQ187,$BS187),SpreadOptPowerMargin,0)*((1+Assumptions!$C$26)^($B187-YEAR(Assumptions!$C$17)))</f>
        <v>#VALUE!</v>
      </c>
      <c r="CY187" s="1316" t="e">
        <f aca="false">IF(OR($BQ187,$BS187),SpreadOptPowerMargin,0)*((1+Assumptions!$C$26)^($B187-YEAR(Assumptions!$C$17)))</f>
        <v>#VALUE!</v>
      </c>
      <c r="CZ187" s="1316" t="e">
        <f aca="false">IF(OR($BQ187,$BS187),SpreadOptPowerMargin,0)*((1+Assumptions!$C$26)^($B187-YEAR(Assumptions!$C$17)))</f>
        <v>#VALUE!</v>
      </c>
      <c r="DA187" s="1591" t="e">
        <f aca="false">IF(OR(BQ187,BS187),(CW187*(AZ187+BH187)+CX187*(BA187+BI187)+CY187*(BB187+BJ187)+CZ187*(BC187+BK187))/(BQ187+BS187),0)</f>
        <v>#VALUE!</v>
      </c>
      <c r="DB187" s="1592" t="e">
        <f aca="false">IF(OR(BQ187,BS187),CG187+IF(OVolSmile,VLOOKUP(MAX(-5,CO187+CW187-BU187),IF(OVolSmile=1,VolSmileBook,VolSmileModel),2),0),"")</f>
        <v>#VALUE!</v>
      </c>
      <c r="DC187" s="1592" t="e">
        <f aca="false">IF(OR(BQ187,BS187),CH187+IF(OVolSmile,VLOOKUP(MAX(-5,CP187+CW187-BV187),IF(OVolSmile=1,VolSmileBook,VolSmileModel),2),0),"")</f>
        <v>#VALUE!</v>
      </c>
      <c r="DD187" s="1592" t="e">
        <f aca="false">IF(OR(BQ187,BS187),CI187+IF(OVolSmile,VLOOKUP(MAX(-5,CQ187+CW187-BW187),IF(OVolSmile=1,VolSmileBook,VolSmileModel),2),0),"")</f>
        <v>#VALUE!</v>
      </c>
      <c r="DE187" s="1592" t="e">
        <f aca="false">IF(OR(BQ187,BS187),CL187+IF(OVolSmile,VLOOKUP(MAX(-5,CR187+CZ187-BX187),IF(OVolSmile=1,VolSmileBook,VolSmileModel),2),0),"")</f>
        <v>#VALUE!</v>
      </c>
      <c r="DF187" s="1592" t="e">
        <f aca="false">IF(BQ187,CM187+IF(OVolSmile,VLOOKUP(MAX(-5,CS187+DA187-BZ187),IF(OVolSmile=1,VolSmileBook,VolSmileModel),2),0),"")</f>
        <v>#VALUE!</v>
      </c>
      <c r="DG187" s="1593" t="e">
        <f aca="false">IF(BS187,CN187+IF(OVolSmile,VLOOKUP(MAX(-5,CT187+DA187-CF187),IF(OVolSmile=1,VolSmileBook,VolSmileModel),2),0),"")</f>
        <v>#VALUE!</v>
      </c>
      <c r="DH187" s="1316" t="e">
        <f aca="false">IF(AND(BU187&gt;0,CO187&gt;0,DB187&gt;0,CU187&gt;0),newSPRDOPT(BU187,CO187,CW187,0,DB187,CU187,CV187,BT187*365.25,OCallPut,0),0)</f>
        <v>#VALUE!</v>
      </c>
      <c r="DI187" s="1316" t="e">
        <f aca="false">IF(AND(BV187&gt;0,CP187&gt;0,DC187&gt;0,CU187&gt;0),newSPRDOPT(BV187,CP187,CX187,0,DC187,CU187,CV187,BT187*365.25,OCallPut,0),0)</f>
        <v>#VALUE!</v>
      </c>
      <c r="DJ187" s="1316" t="e">
        <f aca="false">IF(AND(BW187&gt;0,CQ187&gt;0,DD187&gt;0,CU187&gt;0),newSPRDOPT(BW187,CQ187,CY187,0,DD187,CU187,CV187,BT187*365.25,OCallPut,0),0)</f>
        <v>#VALUE!</v>
      </c>
      <c r="DK187" s="1316" t="e">
        <f aca="false">IF(AND(BX187&gt;0,CR187&gt;0,DE187&gt;0,CU187&gt;0),newSPRDOPT(BX187,CR187,CZ187,0,DE187,CU187,CV187,BT187*365.25,OCallPut,0),0)</f>
        <v>#VALUE!</v>
      </c>
      <c r="DL187" s="1316" t="e">
        <f aca="false">IF(OVolType,IF(AND(BZ187&gt;0,CS187&gt;0,DF187&gt;0,CU187&gt;0),newSPRDOPT(BZ187,CS187,DA187,0,DF187,CU187,CV187,BT187*365.25,OCallPut,0),0),IF(BQ187,(DH187*AZ187+DI187*BA187+DJ187*BB187+DK187*BC187)/BQ187,0))</f>
        <v>#VALUE!</v>
      </c>
      <c r="DM187" s="1316"/>
      <c r="DN187" s="1316"/>
      <c r="DO187" s="1316"/>
      <c r="DP187" s="1316"/>
      <c r="DQ187" s="1316"/>
      <c r="DR187" s="1316"/>
      <c r="DS187" s="1316"/>
      <c r="DT187" s="1316"/>
      <c r="DU187" s="1316"/>
      <c r="DV187" s="1316"/>
      <c r="DW187" s="1594" t="e">
        <f aca="false">IF(AND(BW187&gt;0,CT187&gt;0,DD187&gt;0,CU187&gt;0),newSPRDOPT(BW187,CT187,CY187,0,DD187,CU187,CV187,BT187*365.25,OCallPut,0),0)</f>
        <v>#VALUE!</v>
      </c>
      <c r="DX187" s="1316" t="e">
        <f aca="false">IF(AND(BX187&gt;0,CT187&gt;0,DE187&gt;0,CU187&gt;0),newSPRDOPT(BX187,CT187,CZ187,0,DE187,CU187,CV187,BT187*365.25,OCallPut,0),0)</f>
        <v>#VALUE!</v>
      </c>
      <c r="DY187" s="1591" t="e">
        <f aca="false">IF(BS187,(DH187*BH187+DI187*BI187+DW187*BJ187+DX187*BK187)/BS187,0)</f>
        <v>#VALUE!</v>
      </c>
      <c r="DZ187" s="1551" t="e">
        <f aca="false">DH187*AZ187</f>
        <v>#VALUE!</v>
      </c>
      <c r="EA187" s="1551" t="e">
        <f aca="false">DI187*BA187</f>
        <v>#VALUE!</v>
      </c>
      <c r="EB187" s="1551" t="e">
        <f aca="false">DJ187*BB187</f>
        <v>#VALUE!</v>
      </c>
      <c r="EC187" s="1551" t="e">
        <f aca="false">DK187*BC187</f>
        <v>#VALUE!</v>
      </c>
      <c r="ED187" s="1551" t="e">
        <f aca="false">DL187*BQ187</f>
        <v>#VALUE!</v>
      </c>
      <c r="EE187" s="1595" t="e">
        <f aca="false">IF(BQ187,IF(OCallPut,IF(BU187&gt;(CO187+CW187),BU187-(CO187+CW187),0),IF((CO187+CW187)&gt;BU187,(CO187+CW187)-BU187,0))*AZ187,0)</f>
        <v>#VALUE!</v>
      </c>
      <c r="EF187" s="1596" t="e">
        <f aca="false">IF(BQ187,IF(OCallPut,IF(BV187&gt;(CP187+CX187),BV187-(CP187+CX187),0),IF((CP187+CX187)&gt;BV187,(CP187+CX187)-BV187,0))*BA187,0)</f>
        <v>#VALUE!</v>
      </c>
      <c r="EG187" s="1596" t="e">
        <f aca="false">IF(BQ187,IF(OCallPut,IF(BW187&gt;(CQ187+CY187),BW187-(CQ187+CY187),0),IF((CQ187+CY187)&gt;BW187,(CQ187+CY187)-BW187,0))*BB187,0)</f>
        <v>#VALUE!</v>
      </c>
      <c r="EH187" s="1596" t="e">
        <f aca="false">IF(BQ187,IF(OCallPut,IF(BX187&gt;(CR187+CZ187),BX187-(CR187+CZ187),0),IF((CR187+CZ187)&gt;BX187,(CR187+CZ187)-BX187,0))*BC187,0)</f>
        <v>#VALUE!</v>
      </c>
      <c r="EI187" s="1597" t="e">
        <f aca="false">IF(BQ187,IF(OVolType,IF(OCallPut,IF(BZ187&gt;(CS187+DA187),BZ187-(CS187+DA187),0),IF((CS187+DA187)&gt;BZ187,(CS187+DA187)-BZ187,0))*BQ187,SUM(EE187:EH187)),0)</f>
        <v>#VALUE!</v>
      </c>
      <c r="EJ187" s="1595" t="e">
        <f aca="false">DZ187-EE187</f>
        <v>#VALUE!</v>
      </c>
      <c r="EK187" s="1596" t="e">
        <f aca="false">EA187-EF187</f>
        <v>#VALUE!</v>
      </c>
      <c r="EL187" s="1596" t="e">
        <f aca="false">EB187-EG187</f>
        <v>#VALUE!</v>
      </c>
      <c r="EM187" s="1596" t="e">
        <f aca="false">EC187-EH187</f>
        <v>#VALUE!</v>
      </c>
      <c r="EN187" s="1597" t="e">
        <f aca="false">ED187-EI187</f>
        <v>#VALUE!</v>
      </c>
      <c r="EO187" s="1551" t="e">
        <f aca="false">DH187*BH187</f>
        <v>#VALUE!</v>
      </c>
      <c r="EP187" s="1551" t="e">
        <f aca="false">DI187*BI187</f>
        <v>#VALUE!</v>
      </c>
      <c r="EQ187" s="1551" t="e">
        <f aca="false">DW187*BJ187</f>
        <v>#VALUE!</v>
      </c>
      <c r="ER187" s="1551" t="e">
        <f aca="false">DX187*BK187</f>
        <v>#VALUE!</v>
      </c>
      <c r="ES187" s="1551" t="e">
        <f aca="false">DY187*BS187</f>
        <v>#VALUE!</v>
      </c>
      <c r="ET187" s="1566" t="e">
        <f aca="false">IF(EI187,IF(OCallPut,IF(CA187&gt;(CT187+CW187),CA187-(CT187+CW187),0),IF((CT187+CW187)&gt;CA187,(CT187+CW187)-CA187,0))*BH187,0)</f>
        <v>#VALUE!</v>
      </c>
      <c r="EU187" s="1551" t="e">
        <f aca="false">IF(EI187,IF(OCallPut,IF(CB187&gt;(CT187+CX187),CB187-(CT187+CX187),0),IF((CT187+CX187)&gt;CB187,(CT187+CX187)-CB187,0))*BI187,0)</f>
        <v>#VALUE!</v>
      </c>
      <c r="EV187" s="1551" t="e">
        <f aca="false">IF(EI187,IF(OCallPut,IF(CC187&gt;(CT187+CY187),CC187-(CT187+CY187),0),IF((CT187+CY187)&gt;CC187,(CT187+CY187)-CC187,0))*BJ187,0)</f>
        <v>#VALUE!</v>
      </c>
      <c r="EW187" s="1551" t="e">
        <f aca="false">IF(EI187,IF(OCallPut,IF(CD187&gt;(CT187+CZ187),CD187-(CT187+CZ187),0),IF((CT187+CZ187)&gt;CD187,(CT187+CZ187)-CD187,0))*BK187,0)</f>
        <v>#VALUE!</v>
      </c>
      <c r="EX187" s="1558" t="e">
        <f aca="false">IF(EI187,SUM(ET187:EW187),0)</f>
        <v>#VALUE!</v>
      </c>
      <c r="EY187" s="1551" t="e">
        <f aca="false">EO187-ET187</f>
        <v>#VALUE!</v>
      </c>
      <c r="EZ187" s="1551" t="e">
        <f aca="false">EP187-EU187</f>
        <v>#VALUE!</v>
      </c>
      <c r="FA187" s="1551" t="e">
        <f aca="false">EQ187-EV187</f>
        <v>#VALUE!</v>
      </c>
      <c r="FB187" s="1551" t="e">
        <f aca="false">ER187-EW187</f>
        <v>#VALUE!</v>
      </c>
      <c r="FC187" s="1551" t="e">
        <f aca="false">ES187-EX187</f>
        <v>#VALUE!</v>
      </c>
      <c r="FD187" s="1525" t="n">
        <f aca="false">IF(AX187,IF(VLOOKUP(C187,MAIN!$L$17:$M$28,2)="Yes",VLOOKUP(CALC!B187,MAIN!$H$17:$I$20,2),0),0)</f>
        <v>0</v>
      </c>
      <c r="FE187" s="1552" t="e">
        <f aca="false">$FD187*16*AT187*(1-$AY187)</f>
        <v>#VALUE!</v>
      </c>
      <c r="FF187" s="1553" t="e">
        <f aca="false">$FD187*16*AU187*(1-$AY187)</f>
        <v>#VALUE!</v>
      </c>
      <c r="FG187" s="1553" t="e">
        <f aca="false">$FD187*16*(AV187+AW187)*(1-$AY187)</f>
        <v>#VALUE!</v>
      </c>
      <c r="FH187" s="1554" t="n">
        <f aca="false">$FD187*8*AX187*(1-$AY187)</f>
        <v>0</v>
      </c>
      <c r="FI187" s="1555" t="n">
        <f aca="false">IF(AX187,VLOOKUP(CALC!B187,MAIN!$H$17:$K$20,4),0)</f>
        <v>0</v>
      </c>
      <c r="FJ187" s="1553" t="e">
        <f aca="false">SUM(FE187:FH187)</f>
        <v>#VALUE!</v>
      </c>
      <c r="FK187" s="1556" t="e">
        <f aca="false">FI187*FJ187</f>
        <v>#VALUE!</v>
      </c>
      <c r="FL187" s="1551" t="e">
        <f aca="false">IF($EI187&gt;0,MIN(FE187,AZ187*(1+VLOOKUP($C187,WeatherCapacityAdjustment,2))),0)</f>
        <v>#VALUE!</v>
      </c>
      <c r="FM187" s="1551" t="e">
        <f aca="false">IF($EI187&gt;0,MIN(FF187,BA187*(1+VLOOKUP($C187,WeatherCapacityAdjustment,2))),0)</f>
        <v>#VALUE!</v>
      </c>
      <c r="FN187" s="1551" t="e">
        <f aca="false">IF($EI187&gt;0,MIN(FG187,BB187*(1+VLOOKUP($C187,WeatherCapacityAdjustment,2))),0)</f>
        <v>#VALUE!</v>
      </c>
      <c r="FO187" s="1564" t="e">
        <f aca="false">IF($EI187&gt;0,MIN(FH187,BC187*(1+VLOOKUP($C187,WeatherCapacityAdjustment,3))),0)</f>
        <v>#VALUE!</v>
      </c>
      <c r="FP187" s="1551" t="e">
        <f aca="false">IF(ET187&gt;0,MIN(FE187-FL187,BH187*(1+VLOOKUP($C187,WeatherCapacityAdjustment,2))),0)</f>
        <v>#VALUE!</v>
      </c>
      <c r="FQ187" s="1551" t="e">
        <f aca="false">IF(EU187&gt;0,MIN(FF187-FM187,BI187*(1+VLOOKUP($C187,WeatherCapacityAdjustment,2))),0)</f>
        <v>#VALUE!</v>
      </c>
      <c r="FR187" s="1551" t="e">
        <f aca="false">IF(EV187&gt;0,MIN(FG187-FN187,BJ187*(1+VLOOKUP($C187,WeatherCapacityAdjustment,2))),0)</f>
        <v>#VALUE!</v>
      </c>
      <c r="FS187" s="1558" t="e">
        <f aca="false">IF(EW187&gt;0,MIN(FH187-FO187,BK187*(1+VLOOKUP($C187,WeatherCapacityAdjustment,3))),0)</f>
        <v>#VALUE!</v>
      </c>
      <c r="FT187" s="1566" t="e">
        <f aca="false">IF(AND(Assumptions!$H$71="Yes",A187&gt;=Assumptions!$H$72,A187&lt;=Assumptions!$H$73),0,IF(AND($A187&gt;=Assumptions!$C$17,$A187&lt;=Assumptions!$C$18),MAX(AZ187*(1+VLOOKUP($C187,WeatherCapacityAdjustment,2))-FL187,0),0))</f>
        <v>#VALUE!</v>
      </c>
      <c r="FU187" s="1551" t="e">
        <f aca="false">IF(AND(Assumptions!$H$71="Yes",A187&gt;=Assumptions!$H$72,A187&lt;=Assumptions!$H$73),0,IF(AND($A187&gt;=Assumptions!$C$17,$A187&lt;=Assumptions!$C$18),MAX(BA187*(1+VLOOKUP($C187,WeatherCapacityAdjustment,2))-FM187,0),0))</f>
        <v>#VALUE!</v>
      </c>
      <c r="FV187" s="1551" t="e">
        <f aca="false">IF(AND(Assumptions!$H$71="Yes",A187&gt;=Assumptions!$H$72,A187&lt;=Assumptions!$H$73),0,IF(AND($A187&gt;=Assumptions!$C$17,$A187&lt;=Assumptions!$C$18),MAX(BB187*(1+VLOOKUP($C187,WeatherCapacityAdjustment,2))-FN187,0),0))</f>
        <v>#VALUE!</v>
      </c>
      <c r="FW187" s="1564" t="e">
        <f aca="false">IF(AND(Assumptions!$H$71="Yes",A187&gt;=Assumptions!$H$72,A187&lt;=Assumptions!$H$73),0,IF(AND($A187&gt;=Assumptions!$C$17,$A187&lt;=Assumptions!$C$18),MAX(BC187*(1+VLOOKUP($C187,WeatherCapacityAdjustment,3))-FO187,0),0))</f>
        <v>#VALUE!</v>
      </c>
      <c r="FX187" s="1569" t="e">
        <f aca="false">IF(AND(Assumptions!$H$71="Yes",A187&gt;=Assumptions!$H$72,A187&lt;=Assumptions!$H$73),0,IF(ET187&gt;0,MAX(BH187*(1+VLOOKUP($C187,WeatherCapacityAdjustment,2))-FP187,0),0))</f>
        <v>#VALUE!</v>
      </c>
      <c r="FY187" s="1551" t="e">
        <f aca="false">IF(AND(Assumptions!$H$71="Yes",A187&gt;=Assumptions!$H$72,A187&lt;=Assumptions!$H$73),0,IF(EU187&gt;0,MAX(BI187*(1+VLOOKUP($C187,WeatherCapacityAdjustment,3))-FQ187,0),0))</f>
        <v>#VALUE!</v>
      </c>
      <c r="FZ187" s="1551" t="e">
        <f aca="false">IF(AND(Assumptions!$H$71="Yes",A187&gt;=Assumptions!$H$72,A187&lt;=Assumptions!$H$73),0,IF(EV187&gt;0,MAX(BJ187*(1+VLOOKUP($C187,WeatherCapacityAdjustment,2))-FR187,0),0))</f>
        <v>#VALUE!</v>
      </c>
      <c r="GA187" s="1564" t="e">
        <f aca="false">IF(AND(Assumptions!$H$71="Yes",A187&gt;=Assumptions!$H$72,A187&lt;=Assumptions!$H$73),0,IF(EW187&gt;0,MAX(BK187*(1+VLOOKUP($C187,WeatherCapacityAdjustment,2))-FS187,0),0))</f>
        <v>#VALUE!</v>
      </c>
      <c r="GB187" s="1551" t="e">
        <f aca="false">SUM(FT187:GA187)</f>
        <v>#VALUE!</v>
      </c>
      <c r="GC187" s="1563" t="e">
        <f aca="false">+IF(SUM(FT187:GA187)=0,0,(SUMPRODUCT(BU187:BX187,FT187:FW187)+SUMPRODUCT(CA187:CD187,FX187:GA187))/SUM(FT187:GA187))</f>
        <v>#VALUE!</v>
      </c>
      <c r="GD187" s="1551" t="e">
        <f aca="false">(FT187*BU187+FX187*CA187+FU187*BV187+FY187*CB187+FV187*BW187+FZ187*CC187+FW187*BX187+GA187*CD187)</f>
        <v>#VALUE!</v>
      </c>
      <c r="GE187" s="1561" t="e">
        <f aca="false">+IF(BQ187,((FL187+FM187+FT187+FU187)*HeatRatePeak/1000*(1+VLOOKUP($C187,WeatherHeatRateAdjustment,2))+(FN187+FV187)*IF(EV187&gt;0,HeatRatePeak,HeatRateOffPeak)/1000*(1+VLOOKUP($C187,WeatherHeatRateAdjustment,2))+(FO187+FW187)*IF(EW187&gt;0,HeatRatePeak,HeatRateOffPeak)/1000*(1+VLOOKUP($C187,WeatherHeatRateAdjustment,3)))*(1+VLOOKUP($B187,HeatRateDegradation,$C187+1)),0)</f>
        <v>#VALUE!</v>
      </c>
      <c r="GF187" s="1562" t="e">
        <f aca="false">IF(BQ187,((FP187+FQ187+FR187+FX187+FY187+FZ187)*HeatRatePeak/1000*(1+VLOOKUP($C187,WeatherHeatRateAdjustment,2))+(FS187+GA187)*HeatRatePeak/1000*(1+VLOOKUP($C187,WeatherHeatRateAdjustment,3)))*(1+VLOOKUP($B187,HeatRateDegradation,$C187+1)),0)</f>
        <v>#VALUE!</v>
      </c>
      <c r="GG187" s="1563" t="e">
        <f aca="false">IF(BQ187,VLOOKUP(A187,GasTable,13),0)</f>
        <v>#VALUE!</v>
      </c>
      <c r="GH187" s="1564" t="e">
        <f aca="false">(GE187+GF187)*GG187</f>
        <v>#VALUE!</v>
      </c>
      <c r="GI187" s="1569" t="e">
        <f aca="false">GB187</f>
        <v>#VALUE!</v>
      </c>
      <c r="GJ187" s="1598" t="e">
        <f aca="false">+DA187</f>
        <v>#VALUE!</v>
      </c>
      <c r="GK187" s="1558" t="e">
        <f aca="false">+GI187*GJ187</f>
        <v>#VALUE!</v>
      </c>
      <c r="GL187" s="1566" t="e">
        <f aca="false">MAX(FE187-FL187-FP187,0)</f>
        <v>#VALUE!</v>
      </c>
      <c r="GM187" s="1551" t="e">
        <f aca="false">MAX(FF187-FM187-FQ187,0)</f>
        <v>#VALUE!</v>
      </c>
      <c r="GN187" s="1551" t="e">
        <f aca="false">MAX(FG187-FN187-FR187,0)</f>
        <v>#VALUE!</v>
      </c>
      <c r="GO187" s="1564" t="e">
        <f aca="false">MAX(FH187-FO187-FS187,0)</f>
        <v>#VALUE!</v>
      </c>
      <c r="GP187" s="1551" t="e">
        <f aca="false">SUM(GL187:GO187)</f>
        <v>#VALUE!</v>
      </c>
      <c r="GQ187" s="1563" t="e">
        <f aca="false">IF(SUM(GL187:GO187)=0,0,((GL187*BU187+GM187*BV187+GN187*BW187+GO187*BX187)/SUM(GL187:GO187)))</f>
        <v>#VALUE!</v>
      </c>
      <c r="GR187" s="1558" t="e">
        <f aca="false">(GL187*BU187+GM187*BV187+GN187*BW187+GO187*BX187)</f>
        <v>#VALUE!</v>
      </c>
      <c r="GS187" s="1566" t="n">
        <f aca="false">IF($A187&gt;=BegDate,Assumptions!$C$56*24*($A188-$A187)*(1-VLOOKUP($B187,MAIN!$AA$7:$AM$28,$C187+1))*(1-VLOOKUP($B187,MAIN!$AA$33:$AM$54,$C187+1)),0)*80/168</f>
        <v>257742.857142857</v>
      </c>
      <c r="GT187" s="286" t="n">
        <f aca="false">J187</f>
        <v>64.281046900134</v>
      </c>
      <c r="GU187" s="286" t="n">
        <f aca="false">IF($A187&gt;=BegDate,VLOOKUP($A187,GasTable,13)+Assumptions!$C$58,0)</f>
        <v>3.10276095723526</v>
      </c>
      <c r="GV187" s="286" t="n">
        <f aca="false">GU187*Assumptions!$C$57/1000</f>
        <v>22.4950169399556</v>
      </c>
      <c r="GW187" s="1558" t="n">
        <f aca="false">IF(Assumptions!$C$60="Hourly",MAX(0,GS187*(GT187-GV187)),GS187*(GT187-GV187))</f>
        <v>10770050.7505934</v>
      </c>
      <c r="GX187" s="1566" t="n">
        <f aca="false">IF($A187&gt;=BegDate,Assumptions!$C$56*24*($A188-$A187)*(1-VLOOKUP($B187,MAIN!$AA$7:$AM$28,$C187+1))*(1-VLOOKUP($B187,MAIN!$AA$33:$AM$54,$C187+1)),0)*16/168</f>
        <v>51548.5714285714</v>
      </c>
      <c r="GY187" s="286" t="n">
        <f aca="false">M187</f>
        <v>64.281046900134</v>
      </c>
      <c r="GZ187" s="286" t="n">
        <f aca="false">IF($A187&gt;=BegDate,VLOOKUP($A187,GasTable,13)+Assumptions!$C$58,0)</f>
        <v>3.10276095723526</v>
      </c>
      <c r="HA187" s="286" t="n">
        <f aca="false">GZ187*Assumptions!$C$57/1000</f>
        <v>22.4950169399556</v>
      </c>
      <c r="HB187" s="1558" t="n">
        <f aca="false">IF(Assumptions!$C$60="Hourly",MAX(0,GX187*(GY187-HA187)),GX187*(GY187-HA187))</f>
        <v>2154010.15011868</v>
      </c>
      <c r="HC187" s="1566" t="n">
        <f aca="false">IF($A187&gt;=BegDate,Assumptions!$C$56*24*($A188-$A187)*(1-VLOOKUP($B187,MAIN!$AA$7:$AM$28,$C187+1))*(1-VLOOKUP($B187,MAIN!$AA$33:$AM$54,$C187+1)),0)*16/168</f>
        <v>51548.5714285714</v>
      </c>
      <c r="HD187" s="286" t="n">
        <f aca="false">P187</f>
        <v>30.693055246987</v>
      </c>
      <c r="HE187" s="286" t="n">
        <f aca="false">IF($A187&gt;=BegDate,VLOOKUP($A187,GasTable,13)+Assumptions!$C$58,0)</f>
        <v>3.10276095723526</v>
      </c>
      <c r="HF187" s="286" t="n">
        <f aca="false">HE187*Assumptions!$C$57/1000</f>
        <v>22.4950169399556</v>
      </c>
      <c r="HG187" s="1558" t="n">
        <f aca="false">IF(Assumptions!$C$60="Hourly",MAX(0,HC187*(HD187-HF187)),HC187*(HD187-HF187))</f>
        <v>422597.163244173</v>
      </c>
      <c r="HH187" s="1566" t="n">
        <f aca="false">IF($A187&gt;=BegDate,Assumptions!$C$56*24*($A188-$A187)*(1-VLOOKUP($B187,MAIN!$AA$7:$AM$28,$C187+1))*(1-VLOOKUP($B187,MAIN!$AA$33:$AM$54,$C187+1)),0)*56/168</f>
        <v>180420</v>
      </c>
      <c r="HI187" s="286" t="n">
        <f aca="false">S187</f>
        <v>30.693055246987</v>
      </c>
      <c r="HJ187" s="286" t="n">
        <f aca="false">IF($A187&gt;=BegDate,VLOOKUP($A187,GasTable,13)+Assumptions!$C$58,0)</f>
        <v>3.10276095723526</v>
      </c>
      <c r="HK187" s="286" t="n">
        <f aca="false">HJ187*Assumptions!$C$57/1000</f>
        <v>22.4950169399556</v>
      </c>
      <c r="HL187" s="1558" t="n">
        <f aca="false">IF(Assumptions!$C$60="Hourly",MAX(0,HH187*(HI187-HK187)),HH187*(HI187-HK187))</f>
        <v>1479090.07135461</v>
      </c>
      <c r="HM187" s="1566" t="n">
        <f aca="false">IF(AND(Assumptions!$H$71="Yes",A187&gt;=Assumptions!$H$72,A187&lt;=Assumptions!$H$73),Assumptions!$H$74*Assumptions!$C$9*1000,0)</f>
        <v>0</v>
      </c>
      <c r="HN187" s="1551"/>
      <c r="HO187" s="1563"/>
      <c r="HP187" s="1563"/>
      <c r="HQ187" s="1563"/>
      <c r="HR187" s="1563"/>
      <c r="HS187" s="1563"/>
      <c r="HT187" s="1563"/>
      <c r="HU187" s="1563"/>
      <c r="HV187" s="1563"/>
      <c r="HW187" s="1563"/>
      <c r="HX187" s="1563"/>
      <c r="HY187" s="1563"/>
      <c r="HZ187" s="1563"/>
      <c r="IA187" s="1563"/>
      <c r="IB187" s="1563"/>
      <c r="IC187" s="1563"/>
      <c r="ID187" s="1563"/>
      <c r="IE187" s="1563"/>
      <c r="IF187" s="1563"/>
      <c r="IG187" s="1563"/>
      <c r="IH187" s="1563"/>
      <c r="II187" s="1610"/>
      <c r="IJ187" s="1309"/>
      <c r="IK187" s="1309"/>
    </row>
    <row r="188" customFormat="false" ht="12.75" hidden="false" customHeight="false" outlineLevel="0" collapsed="false">
      <c r="A188" s="1571" t="n">
        <f aca="false">EOMONTH(A187,0)+1</f>
        <v>41852</v>
      </c>
      <c r="B188" s="594" t="n">
        <f aca="false">+YEAR(A188)</f>
        <v>2014</v>
      </c>
      <c r="C188" s="238" t="n">
        <f aca="false">MONTH(A188)</f>
        <v>8</v>
      </c>
      <c r="D188" s="1572" t="e">
        <f aca="false">IF(E188="","",Holiday(B188,C188))</f>
        <v>#VALUE!</v>
      </c>
      <c r="E188" s="1573" t="n">
        <f aca="false">IF(OR(BegDate&gt;=A189,EndDate&lt;A188,AND(VolumeMonthlyOverFlag,INDEX(VolumeMonthlyOver,C188)=0),NOT(INDEX(MonthKnockOutTable,C188))),"",MAX(A188,BegDate))</f>
        <v>41852</v>
      </c>
      <c r="F188" s="1574" t="n">
        <f aca="false">IF(E188="","",MIN(A189-1,EndDate))</f>
        <v>41882</v>
      </c>
      <c r="G188" s="1575" t="n">
        <v>0</v>
      </c>
      <c r="H188" s="1576" t="n">
        <f aca="false">(1+G188/2)^(-2*(DATE(B189,C189,20)-DateToday)/365.25)</f>
        <v>1</v>
      </c>
      <c r="I188" s="1568" t="n">
        <f aca="false">IF(Assumptions!$L$25=4,VLOOKUP($A188,'Henwood Reference'!$E$9:$R$320,10),(VLOOKUP($A188,PriceTable,2,0)+IF(BasisNumber&lt;&gt;1,VLOOKUP($A188,BasisTable,2,0),0)+I$1)/(1-I$2))</f>
        <v>96.680056239885</v>
      </c>
      <c r="J188" s="1568" t="n">
        <f aca="false">IF(Assumptions!$L$25=4,VLOOKUP($A188,'Henwood Reference'!$E$9:$R$320,10),(VLOOKUP($A188,PriceTable,3,0)+IF(BasisNumber&lt;&gt;1,VLOOKUP($A188,BasisTable,2,0),0)+J$1)/(1-J$2))</f>
        <v>96.680056239885</v>
      </c>
      <c r="K188" s="1568" t="n">
        <f aca="false">IF(Assumptions!$L$25=4,VLOOKUP($A188,'Henwood Reference'!$E$9:$R$320,10),(VLOOKUP($A188,PriceTable,4,0)+IF(BasisNumber&lt;&gt;1,VLOOKUP($A188,BasisTable,2,0),0)+K$1)/(1-K$2))</f>
        <v>96.680056239885</v>
      </c>
      <c r="L188" s="1523" t="n">
        <f aca="false">IF(Assumptions!$L$25=4,VLOOKUP($A188,'Henwood Reference'!$E$9:$R$320,10),(VLOOKUP($A188,PriceTableWeekend,2,0)+IF(BasisNumber&lt;&gt;1,VLOOKUP($A188,BasisTable,2,0),0)+L$1)/(1-L$2))</f>
        <v>96.680056239885</v>
      </c>
      <c r="M188" s="1568" t="n">
        <f aca="false">IF(Assumptions!$L$25=4,VLOOKUP($A188,'Henwood Reference'!$E$9:$R$320,10),(VLOOKUP($A188,PriceTableWeekend,3,0)+IF(BasisNumber&lt;&gt;1,VLOOKUP($A188,BasisTable,2,0),0)+M$1)/(1-M$2))</f>
        <v>96.680056239885</v>
      </c>
      <c r="N188" s="1599" t="n">
        <f aca="false">IF(Assumptions!$L$25=4,VLOOKUP($A188,'Henwood Reference'!$E$9:$R$320,10),(VLOOKUP($A188,PriceTableWeekend,4,0)+IF(BasisNumber&lt;&gt;1,VLOOKUP($A188,BasisTable,2,0),0)+N$1)/(1-N$2))</f>
        <v>96.680056239885</v>
      </c>
      <c r="O188" s="1568" t="n">
        <f aca="false">IF(Assumptions!$L$25=4,VLOOKUP($A188,'Henwood Reference'!$E$9:$R$320,11),(VLOOKUP($A188,PriceTableWeekend,6,0)+IF(BasisNumber&lt;&gt;1,VLOOKUP($A188,BasisTable,3,0),0)+O$1)/(1-O$2))</f>
        <v>35.8895584595575</v>
      </c>
      <c r="P188" s="1568" t="n">
        <f aca="false">IF(Assumptions!$L$25=4,VLOOKUP($A188,'Henwood Reference'!$E$9:$R$320,11),(VLOOKUP($A188,PriceTableWeekend,7,0)+IF(BasisNumber&lt;&gt;1,VLOOKUP($A188,BasisTable,3,0),0)+P$1)/(1-P$2))</f>
        <v>35.8895584595575</v>
      </c>
      <c r="Q188" s="1599" t="n">
        <f aca="false">IF(Assumptions!$L$25=4,VLOOKUP($A188,'Henwood Reference'!$E$9:$R$320,11),(VLOOKUP($A188,PriceTableWeekend,8,0)+IF(BasisNumber&lt;&gt;1,VLOOKUP($A188,BasisTable,3,0),0)+Q$1)/(1-Q$2))</f>
        <v>35.8895584595575</v>
      </c>
      <c r="R188" s="1568" t="n">
        <f aca="false">IF(Assumptions!$L$25=4,VLOOKUP($A188,'Henwood Reference'!$E$9:$R$320,11),(VLOOKUP($A188,PriceTable,6,0)+IF(BasisNumber&lt;&gt;1,VLOOKUP($A188,BasisTable,3,0),0)+R$1)/(1-R$2))</f>
        <v>35.8895584595575</v>
      </c>
      <c r="S188" s="1568" t="n">
        <f aca="false">IF(Assumptions!$L$25=4,VLOOKUP($A188,'Henwood Reference'!$E$9:$R$320,11),(VLOOKUP($A188,PriceTable,7,0)+IF(BasisNumber&lt;&gt;1,VLOOKUP($A188,BasisTable,3,0),0)+S$1)/(1-S$2))</f>
        <v>35.8895584595575</v>
      </c>
      <c r="T188" s="1600" t="n">
        <f aca="false">IF(Assumptions!$L$25=4,VLOOKUP($A188,'Henwood Reference'!$E$9:$R$320,11),(VLOOKUP($A188,PriceTable,8,0)+IF(BasisNumber&lt;&gt;1,VLOOKUP($A188,BasisTable,3,0),0)+T$1)/(1-T$2))</f>
        <v>35.8895584595575</v>
      </c>
      <c r="U188" s="1513" t="n">
        <f aca="false">VLOOKUP($A188,VolatilityTable,14)</f>
        <v>0.0999999999999999</v>
      </c>
      <c r="V188" s="1513" t="n">
        <f aca="false">VLOOKUP($A188,VolatilityTable,15)</f>
        <v>0.11</v>
      </c>
      <c r="W188" s="1514" t="n">
        <f aca="false">VLOOKUP($A188,VolatilityTable,16)</f>
        <v>0.12</v>
      </c>
      <c r="X188" s="1513" t="n">
        <f aca="false">VLOOKUP($A188,VolatilityTable,14)</f>
        <v>0.0999999999999999</v>
      </c>
      <c r="Y188" s="1513" t="n">
        <f aca="false">VLOOKUP($A188,VolatilityTable,15)</f>
        <v>0.11</v>
      </c>
      <c r="Z188" s="1514" t="n">
        <f aca="false">VLOOKUP($A188,VolatilityTable,16)</f>
        <v>0.12</v>
      </c>
      <c r="AA188" s="1513" t="n">
        <f aca="false">VLOOKUP($A188,VolatilityTable,18)</f>
        <v>0.09</v>
      </c>
      <c r="AB188" s="1513" t="n">
        <f aca="false">VLOOKUP($A188,VolatilityTable,19)</f>
        <v>0.11</v>
      </c>
      <c r="AC188" s="1514" t="n">
        <f aca="false">VLOOKUP($A188,VolatilityTable,20)</f>
        <v>0.13</v>
      </c>
      <c r="AD188" s="1513" t="n">
        <f aca="false">VLOOKUP($A188,VolatilityTable,18)</f>
        <v>0.09</v>
      </c>
      <c r="AE188" s="1513" t="n">
        <f aca="false">VLOOKUP($A188,VolatilityTable,19)</f>
        <v>0.11</v>
      </c>
      <c r="AF188" s="1514" t="n">
        <f aca="false">VLOOKUP($A188,VolatilityTable,20)</f>
        <v>0.13</v>
      </c>
      <c r="AG188" s="1513" t="n">
        <f aca="false">VLOOKUP($A188,VolatilityTable,22)</f>
        <v>-0.35</v>
      </c>
      <c r="AH188" s="1513" t="n">
        <f aca="false">VLOOKUP($A188,VolatilityTable,23)</f>
        <v>3</v>
      </c>
      <c r="AI188" s="1514" t="n">
        <f aca="false">VLOOKUP($A188,VolatilityTable,24)</f>
        <v>0.35</v>
      </c>
      <c r="AJ188" s="1513" t="n">
        <f aca="false">VLOOKUP($A188,VolatilityTable,22)</f>
        <v>-0.35</v>
      </c>
      <c r="AK188" s="1513" t="n">
        <f aca="false">VLOOKUP($A188,VolatilityTable,23)</f>
        <v>3</v>
      </c>
      <c r="AL188" s="1514" t="n">
        <f aca="false">VLOOKUP($A188,VolatilityTable,24)</f>
        <v>0.35</v>
      </c>
      <c r="AM188" s="1513" t="n">
        <f aca="false">VLOOKUP($A188,VolatilityTable,26)</f>
        <v>-0.01</v>
      </c>
      <c r="AN188" s="1513" t="n">
        <f aca="false">VLOOKUP($A188,VolatilityTable,27)</f>
        <v>0.16</v>
      </c>
      <c r="AO188" s="1514" t="n">
        <f aca="false">VLOOKUP($A188,VolatilityTable,28)</f>
        <v>0.01</v>
      </c>
      <c r="AP188" s="1513" t="n">
        <f aca="false">VLOOKUP($A188,VolatilityTable,26)</f>
        <v>-0.01</v>
      </c>
      <c r="AQ188" s="1513" t="n">
        <f aca="false">VLOOKUP($A188,VolatilityTable,27)</f>
        <v>0.16</v>
      </c>
      <c r="AR188" s="1515" t="n">
        <f aca="false">VLOOKUP($A188,VolatilityTable,28)</f>
        <v>0.01</v>
      </c>
      <c r="AS188" s="1581" t="n">
        <f aca="false">IF(CorrPeakOffPeakOverFlag,INDEX(CorrPeakOffPeakOver,C188),CorrPeakOffPeak)</f>
        <v>0.5</v>
      </c>
      <c r="AT188" s="594" t="e">
        <f aca="false">AX188-SUM(AU188:AW188)</f>
        <v>#VALUE!</v>
      </c>
      <c r="AU188" s="238" t="e">
        <f aca="false">IF(E188="",0,INT((F188-MOD(F188,7)-E188)/7)+1-IF(AW188,IF(WEEKDAY(D188)=7,1,0),0))</f>
        <v>#VALUE!</v>
      </c>
      <c r="AV188" s="238" t="e">
        <f aca="false">IF(E188="",0,INT((F188-MOD(F188-1,7)-E188)/7)+1-IF(AW188,IF(WEEKDAY(D188)=1,1,0),0))</f>
        <v>#VALUE!</v>
      </c>
      <c r="AW188" s="238" t="e">
        <f aca="false">IF(OR(E188="",D188="",D188&lt;BegDate,D188&gt;EndDate),0,1)</f>
        <v>#VALUE!</v>
      </c>
      <c r="AX188" s="238" t="n">
        <f aca="false">IF(E188="",0,F188-E188+1)</f>
        <v>31</v>
      </c>
      <c r="AY188" s="1582" t="n">
        <f aca="false">IF(E188="",0,MIN((1-(1-VLOOKUP(B188,MAIN!$AA$7:$AM$28,C188+1))*(1-VLOOKUP(B188,MAIN!$AA$33:$AM$54,C188+1))),1))</f>
        <v>0.03</v>
      </c>
      <c r="AZ188" s="1519" t="e">
        <v>#VALUE!</v>
      </c>
      <c r="BA188" s="1520" t="e">
        <v>#VALUE!</v>
      </c>
      <c r="BB188" s="1520" t="e">
        <v>#VALUE!</v>
      </c>
      <c r="BC188" s="1583" t="e">
        <v>#VALUE!</v>
      </c>
      <c r="BD188" s="1522" t="e">
        <v>#VALUE!</v>
      </c>
      <c r="BE188" s="1523" t="e">
        <v>#VALUE!</v>
      </c>
      <c r="BF188" s="1523" t="e">
        <v>#VALUE!</v>
      </c>
      <c r="BG188" s="1584" t="e">
        <v>#VALUE!</v>
      </c>
      <c r="BH188" s="1525" t="e">
        <v>#VALUE!</v>
      </c>
      <c r="BI188" s="1520" t="e">
        <v>#VALUE!</v>
      </c>
      <c r="BJ188" s="1520" t="e">
        <v>#VALUE!</v>
      </c>
      <c r="BK188" s="1583" t="e">
        <v>#VALUE!</v>
      </c>
      <c r="BL188" s="1522" t="e">
        <v>#VALUE!</v>
      </c>
      <c r="BM188" s="1523" t="e">
        <v>#VALUE!</v>
      </c>
      <c r="BN188" s="1523" t="e">
        <v>#VALUE!</v>
      </c>
      <c r="BO188" s="1523" t="e">
        <v>#VALUE!</v>
      </c>
      <c r="BP188" s="1525" t="e">
        <f aca="false">SUM(AZ188:BB188)</f>
        <v>#VALUE!</v>
      </c>
      <c r="BQ188" s="1529" t="e">
        <f aca="false">SUM(AZ188:BC188)</f>
        <v>#VALUE!</v>
      </c>
      <c r="BR188" s="1519" t="e">
        <f aca="false">SUM(BH188:BJ188)</f>
        <v>#VALUE!</v>
      </c>
      <c r="BS188" s="1529" t="e">
        <f aca="false">SUM(BH188:BK188)</f>
        <v>#VALUE!</v>
      </c>
      <c r="BT188" s="1316" t="n">
        <f aca="false">(IF(OVolType&lt;&gt;2,A188+14,IF(OptExpDateShift,ShiftBack(A188,OptExpDateShift,D187),A188))-DateToday)/365.25</f>
        <v>14.2970568104038</v>
      </c>
      <c r="BU188" s="1585" t="e">
        <f aca="false">IF(BQ188,IF(OPriceCurve,IF(OBuySell=OCallPut,I188/(1-AY188),K188/(1-AY188)),J188/(1-AY188))*BD188,0)</f>
        <v>#VALUE!</v>
      </c>
      <c r="BV188" s="1316" t="e">
        <f aca="false">IF(BQ188,IF(OPriceCurve,IF(OBuySell=OCallPut,L188/(1-AY188),N188/(1-AY188)),M188/(1-AY188))*BE188,0)</f>
        <v>#VALUE!</v>
      </c>
      <c r="BW188" s="1316" t="e">
        <f aca="false">IF(BQ188,IF(OPriceCurve,IF(OBuySell=OCallPut,O188/(1-AY188),Q188/(1-AY188)),P188/(1-AY188))*BF188,0)</f>
        <v>#VALUE!</v>
      </c>
      <c r="BX188" s="1316" t="e">
        <f aca="false">IF(BQ188,IF(OPriceCurve,IF(OBuySell=OCallPut,R188/(1-AY188),T188/(1-AY188)),S188/(1-AY188))*BG188,0)</f>
        <v>#VALUE!</v>
      </c>
      <c r="BY188" s="1316" t="e">
        <f aca="false">IF(BP188,(BU188*AZ188+BV188*BA188+BW188*BB188)/BP188,0)</f>
        <v>#VALUE!</v>
      </c>
      <c r="BZ188" s="1316" t="e">
        <f aca="false">IF(BQ188,(BY188*BP188+BX188*BC188)/BQ188,0)</f>
        <v>#VALUE!</v>
      </c>
      <c r="CA188" s="1531" t="e">
        <f aca="false">IF(BS188,IF(OPriceCurve,IF(OBuySell=OCallPut,I188/(1-AY188),K188/(1-AY188)),J188/(1-AY188))*BL188,0)</f>
        <v>#VALUE!</v>
      </c>
      <c r="CB188" s="1316" t="e">
        <f aca="false">IF(BS188,IF(OPriceCurve,IF(OBuySell=OCallPut,L188/(1-AY188),N188/(1-AY188)),M188/(1-AY188))*BM188,0)</f>
        <v>#VALUE!</v>
      </c>
      <c r="CC188" s="1316" t="e">
        <f aca="false">IF(BS188,IF(OPriceCurve,IF(OBuySell=OCallPut,O188/(1-AY188),Q188/(1-AY188)),P188/(1-AY188))*BN188,0)</f>
        <v>#VALUE!</v>
      </c>
      <c r="CD188" s="1316" t="e">
        <f aca="false">IF(BS188,IF(OPriceCurve,IF(OBuySell=OCallPut,R188/(1-AY188),T188/(1-AY188)),S188/(1-AY188))*BO188,0)</f>
        <v>#VALUE!</v>
      </c>
      <c r="CE188" s="1316" t="e">
        <f aca="false">IF(BR188,(BU188*BH188+BV188*BI188+BW188*BJ188)/BR188,0)</f>
        <v>#VALUE!</v>
      </c>
      <c r="CF188" s="1532" t="e">
        <f aca="false">IF(BS188,(CE188*BR188+CD188*BK188)/BS188,0)</f>
        <v>#VALUE!</v>
      </c>
      <c r="CG188" s="1586" t="e">
        <f aca="false">IF(OR(BQ188,BS188),IF(OVolType&lt;&gt;2,SQRT(IF(OVolOverMonthlyPeak,OVolOverMonthlyPeak,IF(OVolCurve,IF(OBuySell,U188,W188),V188))^2*(1-15/365.25/BT188)+IF(OVolOverDailyPeak,OVolOverDailyPeak,IF(OVolCurve,IF(OBuySell,AG188,AI188),AH188))^2*15/365.25/BT188),IF(OVolOverMonthlyPeak,OVolOverMonthlyPeak,IF(OVolCurve,IF(OBuySell,U188,W188),V188))),"")</f>
        <v>#VALUE!</v>
      </c>
      <c r="CH188" s="1587" t="e">
        <f aca="false">IF(OR(BQ188,BS188),IF(OVolType&lt;&gt;2,SQRT(IF(OVolOverMonthlyPeak,OVolOverMonthlyPeak,IF(OVolCurve,IF(OBuySell,X188,Z188),Y188))^2*(1-15/365.25/BT188)+IF(OVolOverDailyPeak,OVolOverDailyPeak,IF(OVolCurve,IF(OBuySell,AJ188,AL188),AK188))^2*15/365.25/BT188),IF(OVolOverMonthlyPeak,OVolOverMonthlyPeak,IF(OVolCurve,IF(OBuySell,X188,Z188),Y188))),"")</f>
        <v>#VALUE!</v>
      </c>
      <c r="CI188" s="1587" t="e">
        <f aca="false">IF(OR(BQ188,BS188),IF(OVolType&lt;&gt;2,SQRT(IF(OVolOverMonthlyPeak,OVolOverMonthlyPeak,IF(OVolCurve,IF(OBuySell,AA188,AC188),AB188))^2*(1-15/365.25/BT188)+IF(OVolOverDailyPeak,OVolOverDailyPeak,IF(OVolCurve,IF(OBuySell,AM188,AO188),AN188))^2*15/365.25/BT188),IF(OVolOverMonthlyPeak,OVolOverMonthlyPeak,IF(OVolCurve,IF(OBuySell,AA188,AC188),AB188))),"")</f>
        <v>#VALUE!</v>
      </c>
      <c r="CJ188" s="1587" t="e">
        <f aca="false">IF(BQ188,IF(BP188,SQRT(LN(1+((BU188*AZ188)^2*(EXP(CG188^2*BT188)-1)+(BV188*BA188)^2*(EXP(CH188^2*BT188)-1)+(BW188*BB188)^2*(EXP(CI188^2*BT188)-1)+2*BU188*AZ188*BV188*BA188*(EXP(CG188*CH188*BT188)-1)+2*BV188*BA188*BW188*BB188*(EXP(CH188*CI188*BT188)-1)+2*BW188*BB188*BU188*AZ188*(EXP(CI188*CG188*BT188)-1))/(BY188*BP188)^2)/BT188),0),"")</f>
        <v>#VALUE!</v>
      </c>
      <c r="CK188" s="1587" t="e">
        <f aca="false">IF(BS188,IF(BR188,SQRT(LN(1+((CA188*BH188)^2*(EXP(CG188^2*BT188)-1)+(CB188*BI188)^2*(EXP(CH188^2*BT188)-1)+(CC188*BJ188)^2*(EXP(CI188^2*BT188)-1)+2*CA188*BH188*CB188*BI188*(EXP(CG188*CH188*BT188)-1)+2*CB188*BI188*CC188*BJ188*(EXP(CH188*CI188*BT188)-1)+2*CC188*BJ188*CA188*BH188*(EXP(CI188*CG188*BT188)-1))/(CE188*BR188)^2)/BT188),0),"")</f>
        <v>#VALUE!</v>
      </c>
      <c r="CL188" s="1587" t="e">
        <f aca="false">IF(OR(BQ188,BS188),IF(OVolType&lt;&gt;2,SQRT(IF(OVolOverMonthlyOffPeak,OVolOverMonthlyOffPeak,IF(OVolCurve,IF(OBuySell,AD188,AF188),AE188))^2*(1-15/365.25/BT188)+IF(OVolOverDailyOffPeak,OVolOverDailyOffPeak,IF(OVolCurve,IF(OBuySell,AP188,AR188),AQ188))^2*15/365.25/BT188),IF(OVolOverMonthlyOffPeak,OVolOverMonthlyOffPeak,IF(OVolCurve,IF(OBuySell,AD188,AF188),AE188))),"")</f>
        <v>#VALUE!</v>
      </c>
      <c r="CM188" s="1587" t="e">
        <f aca="false">IF(BQ188,SQRT(LN(1+((BY188*BP188)^2*(EXP(CJ188^2*BT188)-1)+(BX188*BC188)^2*(EXP(CL188^2*BT188)-1)+2*BY188*BP188*BX188*BC188*(EXP(AS188*CJ188*CL188*BT188)-1))/(BY188*BP188+BX188*BC188)^2)/BT188),"")</f>
        <v>#VALUE!</v>
      </c>
      <c r="CN188" s="1588" t="e">
        <f aca="false">IF(BS188,SQRT(LN(1+((CE188*BR188)^2*(EXP(CK188^2*BT188)-1)+(CD188*BK188)^2*(EXP(CL188^2*BT188)-1)+2*CE188*BR188*CD188*BK188*(EXP(AS188*CK188*CL188*BT188)-1))/(CE188*BR188+CD188*BK188)^2)/BT188),"")</f>
        <v>#VALUE!</v>
      </c>
      <c r="CO188" s="1531" t="e">
        <f aca="false">IF(OR(BQ188,BS188),VLOOKUP(A188,GasTable,13)*HeatRatePeak*(1+VLOOKUP($B188,HeatRateDegradation,$C188+1))/1000,0)</f>
        <v>#VALUE!</v>
      </c>
      <c r="CP188" s="1316" t="e">
        <f aca="false">IF(OR(BQ188,BS188),VLOOKUP(A188,GasTable,13)*HeatRatePeak*(1+VLOOKUP($B188,HeatRateDegradation,$C188+1))/1000,0)</f>
        <v>#VALUE!</v>
      </c>
      <c r="CQ188" s="1316" t="e">
        <f aca="false">IF(OR(BQ188,BS188),VLOOKUP(A188,GasTable,13)*IF(EV188,HeatRatePeak,HeatRateOffPeak)*(1+VLOOKUP($B188,HeatRateDegradation,$C188+1))/1000,0)</f>
        <v>#VALUE!</v>
      </c>
      <c r="CR188" s="1316" t="e">
        <f aca="false">IF(OR(BQ188,BS188),VLOOKUP(A188,GasTable,13)*IF(EW188,HeatRatePeak,HeatRateOffPeak)*(1+VLOOKUP($B188,HeatRateDegradation,$C188+1))/1000,0)</f>
        <v>#VALUE!</v>
      </c>
      <c r="CS188" s="1589" t="e">
        <f aca="false">IF(BQ188,(CO188*AZ188+CP188*BA188+CQ188*BB188+CR188*BC188)/BQ188,0)</f>
        <v>#VALUE!</v>
      </c>
      <c r="CT188" s="1316" t="e">
        <f aca="false">IF(BS188,CO188,0)</f>
        <v>#VALUE!</v>
      </c>
      <c r="CU188" s="1590" t="e">
        <f aca="false">IF(OR(BQ188,BS188),VLOOKUP(A188,GasTable,14),"")</f>
        <v>#VALUE!</v>
      </c>
      <c r="CV188" s="1568" t="e">
        <f aca="false">IF(OR(BQ188,BS188),IF(CorrPowerGasOverFlag,INDEX(CorrPowerGasOver,C188),CorrPowerGas),"")</f>
        <v>#VALUE!</v>
      </c>
      <c r="CW188" s="1316" t="e">
        <f aca="false">IF(OR($BQ188,$BS188),SpreadOptPowerMargin,0)*((1+Assumptions!$C$26)^($B188-YEAR(Assumptions!$C$17)))</f>
        <v>#VALUE!</v>
      </c>
      <c r="CX188" s="1316" t="e">
        <f aca="false">IF(OR($BQ188,$BS188),SpreadOptPowerMargin,0)*((1+Assumptions!$C$26)^($B188-YEAR(Assumptions!$C$17)))</f>
        <v>#VALUE!</v>
      </c>
      <c r="CY188" s="1316" t="e">
        <f aca="false">IF(OR($BQ188,$BS188),SpreadOptPowerMargin,0)*((1+Assumptions!$C$26)^($B188-YEAR(Assumptions!$C$17)))</f>
        <v>#VALUE!</v>
      </c>
      <c r="CZ188" s="1316" t="e">
        <f aca="false">IF(OR($BQ188,$BS188),SpreadOptPowerMargin,0)*((1+Assumptions!$C$26)^($B188-YEAR(Assumptions!$C$17)))</f>
        <v>#VALUE!</v>
      </c>
      <c r="DA188" s="1591" t="e">
        <f aca="false">IF(OR(BQ188,BS188),(CW188*(AZ188+BH188)+CX188*(BA188+BI188)+CY188*(BB188+BJ188)+CZ188*(BC188+BK188))/(BQ188+BS188),0)</f>
        <v>#VALUE!</v>
      </c>
      <c r="DB188" s="1592" t="e">
        <f aca="false">IF(OR(BQ188,BS188),CG188+IF(OVolSmile,VLOOKUP(MAX(-5,CO188+CW188-BU188),IF(OVolSmile=1,VolSmileBook,VolSmileModel),2),0),"")</f>
        <v>#VALUE!</v>
      </c>
      <c r="DC188" s="1592" t="e">
        <f aca="false">IF(OR(BQ188,BS188),CH188+IF(OVolSmile,VLOOKUP(MAX(-5,CP188+CW188-BV188),IF(OVolSmile=1,VolSmileBook,VolSmileModel),2),0),"")</f>
        <v>#VALUE!</v>
      </c>
      <c r="DD188" s="1592" t="e">
        <f aca="false">IF(OR(BQ188,BS188),CI188+IF(OVolSmile,VLOOKUP(MAX(-5,CQ188+CW188-BW188),IF(OVolSmile=1,VolSmileBook,VolSmileModel),2),0),"")</f>
        <v>#VALUE!</v>
      </c>
      <c r="DE188" s="1592" t="e">
        <f aca="false">IF(OR(BQ188,BS188),CL188+IF(OVolSmile,VLOOKUP(MAX(-5,CR188+CZ188-BX188),IF(OVolSmile=1,VolSmileBook,VolSmileModel),2),0),"")</f>
        <v>#VALUE!</v>
      </c>
      <c r="DF188" s="1592" t="e">
        <f aca="false">IF(BQ188,CM188+IF(OVolSmile,VLOOKUP(MAX(-5,CS188+DA188-BZ188),IF(OVolSmile=1,VolSmileBook,VolSmileModel),2),0),"")</f>
        <v>#VALUE!</v>
      </c>
      <c r="DG188" s="1593" t="e">
        <f aca="false">IF(BS188,CN188+IF(OVolSmile,VLOOKUP(MAX(-5,CT188+DA188-CF188),IF(OVolSmile=1,VolSmileBook,VolSmileModel),2),0),"")</f>
        <v>#VALUE!</v>
      </c>
      <c r="DH188" s="1316" t="e">
        <f aca="false">IF(AND(BU188&gt;0,CO188&gt;0,DB188&gt;0,CU188&gt;0),newSPRDOPT(BU188,CO188,CW188,0,DB188,CU188,CV188,BT188*365.25,OCallPut,0),0)</f>
        <v>#VALUE!</v>
      </c>
      <c r="DI188" s="1316" t="e">
        <f aca="false">IF(AND(BV188&gt;0,CP188&gt;0,DC188&gt;0,CU188&gt;0),newSPRDOPT(BV188,CP188,CX188,0,DC188,CU188,CV188,BT188*365.25,OCallPut,0),0)</f>
        <v>#VALUE!</v>
      </c>
      <c r="DJ188" s="1316" t="e">
        <f aca="false">IF(AND(BW188&gt;0,CQ188&gt;0,DD188&gt;0,CU188&gt;0),newSPRDOPT(BW188,CQ188,CY188,0,DD188,CU188,CV188,BT188*365.25,OCallPut,0),0)</f>
        <v>#VALUE!</v>
      </c>
      <c r="DK188" s="1316" t="e">
        <f aca="false">IF(AND(BX188&gt;0,CR188&gt;0,DE188&gt;0,CU188&gt;0),newSPRDOPT(BX188,CR188,CZ188,0,DE188,CU188,CV188,BT188*365.25,OCallPut,0),0)</f>
        <v>#VALUE!</v>
      </c>
      <c r="DL188" s="1316" t="e">
        <f aca="false">IF(OVolType,IF(AND(BZ188&gt;0,CS188&gt;0,DF188&gt;0,CU188&gt;0),newSPRDOPT(BZ188,CS188,DA188,0,DF188,CU188,CV188,BT188*365.25,OCallPut,0),0),IF(BQ188,(DH188*AZ188+DI188*BA188+DJ188*BB188+DK188*BC188)/BQ188,0))</f>
        <v>#VALUE!</v>
      </c>
      <c r="DM188" s="1316"/>
      <c r="DN188" s="1316"/>
      <c r="DO188" s="1316"/>
      <c r="DP188" s="1316"/>
      <c r="DQ188" s="1316"/>
      <c r="DR188" s="1316"/>
      <c r="DS188" s="1316"/>
      <c r="DT188" s="1316"/>
      <c r="DU188" s="1316"/>
      <c r="DV188" s="1316"/>
      <c r="DW188" s="1594" t="e">
        <f aca="false">IF(AND(BW188&gt;0,CT188&gt;0,DD188&gt;0,CU188&gt;0),newSPRDOPT(BW188,CT188,CY188,0,DD188,CU188,CV188,BT188*365.25,OCallPut,0),0)</f>
        <v>#VALUE!</v>
      </c>
      <c r="DX188" s="1316" t="e">
        <f aca="false">IF(AND(BX188&gt;0,CT188&gt;0,DE188&gt;0,CU188&gt;0),newSPRDOPT(BX188,CT188,CZ188,0,DE188,CU188,CV188,BT188*365.25,OCallPut,0),0)</f>
        <v>#VALUE!</v>
      </c>
      <c r="DY188" s="1591" t="e">
        <f aca="false">IF(BS188,(DH188*BH188+DI188*BI188+DW188*BJ188+DX188*BK188)/BS188,0)</f>
        <v>#VALUE!</v>
      </c>
      <c r="DZ188" s="1551" t="e">
        <f aca="false">DH188*AZ188</f>
        <v>#VALUE!</v>
      </c>
      <c r="EA188" s="1551" t="e">
        <f aca="false">DI188*BA188</f>
        <v>#VALUE!</v>
      </c>
      <c r="EB188" s="1551" t="e">
        <f aca="false">DJ188*BB188</f>
        <v>#VALUE!</v>
      </c>
      <c r="EC188" s="1551" t="e">
        <f aca="false">DK188*BC188</f>
        <v>#VALUE!</v>
      </c>
      <c r="ED188" s="1551" t="e">
        <f aca="false">DL188*BQ188</f>
        <v>#VALUE!</v>
      </c>
      <c r="EE188" s="1595" t="e">
        <f aca="false">IF(BQ188,IF(OCallPut,IF(BU188&gt;(CO188+CW188),BU188-(CO188+CW188),0),IF((CO188+CW188)&gt;BU188,(CO188+CW188)-BU188,0))*AZ188,0)</f>
        <v>#VALUE!</v>
      </c>
      <c r="EF188" s="1596" t="e">
        <f aca="false">IF(BQ188,IF(OCallPut,IF(BV188&gt;(CP188+CX188),BV188-(CP188+CX188),0),IF((CP188+CX188)&gt;BV188,(CP188+CX188)-BV188,0))*BA188,0)</f>
        <v>#VALUE!</v>
      </c>
      <c r="EG188" s="1596" t="e">
        <f aca="false">IF(BQ188,IF(OCallPut,IF(BW188&gt;(CQ188+CY188),BW188-(CQ188+CY188),0),IF((CQ188+CY188)&gt;BW188,(CQ188+CY188)-BW188,0))*BB188,0)</f>
        <v>#VALUE!</v>
      </c>
      <c r="EH188" s="1596" t="e">
        <f aca="false">IF(BQ188,IF(OCallPut,IF(BX188&gt;(CR188+CZ188),BX188-(CR188+CZ188),0),IF((CR188+CZ188)&gt;BX188,(CR188+CZ188)-BX188,0))*BC188,0)</f>
        <v>#VALUE!</v>
      </c>
      <c r="EI188" s="1597" t="e">
        <f aca="false">IF(BQ188,IF(OVolType,IF(OCallPut,IF(BZ188&gt;(CS188+DA188),BZ188-(CS188+DA188),0),IF((CS188+DA188)&gt;BZ188,(CS188+DA188)-BZ188,0))*BQ188,SUM(EE188:EH188)),0)</f>
        <v>#VALUE!</v>
      </c>
      <c r="EJ188" s="1595" t="e">
        <f aca="false">DZ188-EE188</f>
        <v>#VALUE!</v>
      </c>
      <c r="EK188" s="1596" t="e">
        <f aca="false">EA188-EF188</f>
        <v>#VALUE!</v>
      </c>
      <c r="EL188" s="1596" t="e">
        <f aca="false">EB188-EG188</f>
        <v>#VALUE!</v>
      </c>
      <c r="EM188" s="1596" t="e">
        <f aca="false">EC188-EH188</f>
        <v>#VALUE!</v>
      </c>
      <c r="EN188" s="1597" t="e">
        <f aca="false">ED188-EI188</f>
        <v>#VALUE!</v>
      </c>
      <c r="EO188" s="1551" t="e">
        <f aca="false">DH188*BH188</f>
        <v>#VALUE!</v>
      </c>
      <c r="EP188" s="1551" t="e">
        <f aca="false">DI188*BI188</f>
        <v>#VALUE!</v>
      </c>
      <c r="EQ188" s="1551" t="e">
        <f aca="false">DW188*BJ188</f>
        <v>#VALUE!</v>
      </c>
      <c r="ER188" s="1551" t="e">
        <f aca="false">DX188*BK188</f>
        <v>#VALUE!</v>
      </c>
      <c r="ES188" s="1551" t="e">
        <f aca="false">DY188*BS188</f>
        <v>#VALUE!</v>
      </c>
      <c r="ET188" s="1566" t="e">
        <f aca="false">IF(EI188,IF(OCallPut,IF(CA188&gt;(CT188+CW188),CA188-(CT188+CW188),0),IF((CT188+CW188)&gt;CA188,(CT188+CW188)-CA188,0))*BH188,0)</f>
        <v>#VALUE!</v>
      </c>
      <c r="EU188" s="1551" t="e">
        <f aca="false">IF(EI188,IF(OCallPut,IF(CB188&gt;(CT188+CX188),CB188-(CT188+CX188),0),IF((CT188+CX188)&gt;CB188,(CT188+CX188)-CB188,0))*BI188,0)</f>
        <v>#VALUE!</v>
      </c>
      <c r="EV188" s="1551" t="e">
        <f aca="false">IF(EI188,IF(OCallPut,IF(CC188&gt;(CT188+CY188),CC188-(CT188+CY188),0),IF((CT188+CY188)&gt;CC188,(CT188+CY188)-CC188,0))*BJ188,0)</f>
        <v>#VALUE!</v>
      </c>
      <c r="EW188" s="1551" t="e">
        <f aca="false">IF(EI188,IF(OCallPut,IF(CD188&gt;(CT188+CZ188),CD188-(CT188+CZ188),0),IF((CT188+CZ188)&gt;CD188,(CT188+CZ188)-CD188,0))*BK188,0)</f>
        <v>#VALUE!</v>
      </c>
      <c r="EX188" s="1558" t="e">
        <f aca="false">IF(EI188,SUM(ET188:EW188),0)</f>
        <v>#VALUE!</v>
      </c>
      <c r="EY188" s="1551" t="e">
        <f aca="false">EO188-ET188</f>
        <v>#VALUE!</v>
      </c>
      <c r="EZ188" s="1551" t="e">
        <f aca="false">EP188-EU188</f>
        <v>#VALUE!</v>
      </c>
      <c r="FA188" s="1551" t="e">
        <f aca="false">EQ188-EV188</f>
        <v>#VALUE!</v>
      </c>
      <c r="FB188" s="1551" t="e">
        <f aca="false">ER188-EW188</f>
        <v>#VALUE!</v>
      </c>
      <c r="FC188" s="1551" t="e">
        <f aca="false">ES188-EX188</f>
        <v>#VALUE!</v>
      </c>
      <c r="FD188" s="1525" t="n">
        <f aca="false">IF(AX188,IF(VLOOKUP(C188,MAIN!$L$17:$M$28,2)="Yes",VLOOKUP(CALC!B188,MAIN!$H$17:$I$20,2),0),0)</f>
        <v>0</v>
      </c>
      <c r="FE188" s="1552" t="e">
        <f aca="false">$FD188*16*AT188*(1-$AY188)</f>
        <v>#VALUE!</v>
      </c>
      <c r="FF188" s="1553" t="e">
        <f aca="false">$FD188*16*AU188*(1-$AY188)</f>
        <v>#VALUE!</v>
      </c>
      <c r="FG188" s="1553" t="e">
        <f aca="false">$FD188*16*(AV188+AW188)*(1-$AY188)</f>
        <v>#VALUE!</v>
      </c>
      <c r="FH188" s="1554" t="n">
        <f aca="false">$FD188*8*AX188*(1-$AY188)</f>
        <v>0</v>
      </c>
      <c r="FI188" s="1555" t="n">
        <f aca="false">IF(AX188,VLOOKUP(CALC!B188,MAIN!$H$17:$K$20,4),0)</f>
        <v>0</v>
      </c>
      <c r="FJ188" s="1553" t="e">
        <f aca="false">SUM(FE188:FH188)</f>
        <v>#VALUE!</v>
      </c>
      <c r="FK188" s="1556" t="e">
        <f aca="false">FI188*FJ188</f>
        <v>#VALUE!</v>
      </c>
      <c r="FL188" s="1551" t="e">
        <f aca="false">IF($EI188&gt;0,MIN(FE188,AZ188*(1+VLOOKUP($C188,WeatherCapacityAdjustment,2))),0)</f>
        <v>#VALUE!</v>
      </c>
      <c r="FM188" s="1551" t="e">
        <f aca="false">IF($EI188&gt;0,MIN(FF188,BA188*(1+VLOOKUP($C188,WeatherCapacityAdjustment,2))),0)</f>
        <v>#VALUE!</v>
      </c>
      <c r="FN188" s="1551" t="e">
        <f aca="false">IF($EI188&gt;0,MIN(FG188,BB188*(1+VLOOKUP($C188,WeatherCapacityAdjustment,2))),0)</f>
        <v>#VALUE!</v>
      </c>
      <c r="FO188" s="1564" t="e">
        <f aca="false">IF($EI188&gt;0,MIN(FH188,BC188*(1+VLOOKUP($C188,WeatherCapacityAdjustment,3))),0)</f>
        <v>#VALUE!</v>
      </c>
      <c r="FP188" s="1551" t="e">
        <f aca="false">IF(ET188&gt;0,MIN(FE188-FL188,BH188*(1+VLOOKUP($C188,WeatherCapacityAdjustment,2))),0)</f>
        <v>#VALUE!</v>
      </c>
      <c r="FQ188" s="1551" t="e">
        <f aca="false">IF(EU188&gt;0,MIN(FF188-FM188,BI188*(1+VLOOKUP($C188,WeatherCapacityAdjustment,2))),0)</f>
        <v>#VALUE!</v>
      </c>
      <c r="FR188" s="1551" t="e">
        <f aca="false">IF(EV188&gt;0,MIN(FG188-FN188,BJ188*(1+VLOOKUP($C188,WeatherCapacityAdjustment,2))),0)</f>
        <v>#VALUE!</v>
      </c>
      <c r="FS188" s="1558" t="e">
        <f aca="false">IF(EW188&gt;0,MIN(FH188-FO188,BK188*(1+VLOOKUP($C188,WeatherCapacityAdjustment,3))),0)</f>
        <v>#VALUE!</v>
      </c>
      <c r="FT188" s="1566" t="e">
        <f aca="false">IF(AND(Assumptions!$H$71="Yes",A188&gt;=Assumptions!$H$72,A188&lt;=Assumptions!$H$73),0,IF(AND($A188&gt;=Assumptions!$C$17,$A188&lt;=Assumptions!$C$18),MAX(AZ188*(1+VLOOKUP($C188,WeatherCapacityAdjustment,2))-FL188,0),0))</f>
        <v>#VALUE!</v>
      </c>
      <c r="FU188" s="1551" t="e">
        <f aca="false">IF(AND(Assumptions!$H$71="Yes",A188&gt;=Assumptions!$H$72,A188&lt;=Assumptions!$H$73),0,IF(AND($A188&gt;=Assumptions!$C$17,$A188&lt;=Assumptions!$C$18),MAX(BA188*(1+VLOOKUP($C188,WeatherCapacityAdjustment,2))-FM188,0),0))</f>
        <v>#VALUE!</v>
      </c>
      <c r="FV188" s="1551" t="e">
        <f aca="false">IF(AND(Assumptions!$H$71="Yes",A188&gt;=Assumptions!$H$72,A188&lt;=Assumptions!$H$73),0,IF(AND($A188&gt;=Assumptions!$C$17,$A188&lt;=Assumptions!$C$18),MAX(BB188*(1+VLOOKUP($C188,WeatherCapacityAdjustment,2))-FN188,0),0))</f>
        <v>#VALUE!</v>
      </c>
      <c r="FW188" s="1564" t="e">
        <f aca="false">IF(AND(Assumptions!$H$71="Yes",A188&gt;=Assumptions!$H$72,A188&lt;=Assumptions!$H$73),0,IF(AND($A188&gt;=Assumptions!$C$17,$A188&lt;=Assumptions!$C$18),MAX(BC188*(1+VLOOKUP($C188,WeatherCapacityAdjustment,3))-FO188,0),0))</f>
        <v>#VALUE!</v>
      </c>
      <c r="FX188" s="1569" t="e">
        <f aca="false">IF(AND(Assumptions!$H$71="Yes",A188&gt;=Assumptions!$H$72,A188&lt;=Assumptions!$H$73),0,IF(ET188&gt;0,MAX(BH188*(1+VLOOKUP($C188,WeatherCapacityAdjustment,2))-FP188,0),0))</f>
        <v>#VALUE!</v>
      </c>
      <c r="FY188" s="1551" t="e">
        <f aca="false">IF(AND(Assumptions!$H$71="Yes",A188&gt;=Assumptions!$H$72,A188&lt;=Assumptions!$H$73),0,IF(EU188&gt;0,MAX(BI188*(1+VLOOKUP($C188,WeatherCapacityAdjustment,3))-FQ188,0),0))</f>
        <v>#VALUE!</v>
      </c>
      <c r="FZ188" s="1551" t="e">
        <f aca="false">IF(AND(Assumptions!$H$71="Yes",A188&gt;=Assumptions!$H$72,A188&lt;=Assumptions!$H$73),0,IF(EV188&gt;0,MAX(BJ188*(1+VLOOKUP($C188,WeatherCapacityAdjustment,2))-FR188,0),0))</f>
        <v>#VALUE!</v>
      </c>
      <c r="GA188" s="1564" t="e">
        <f aca="false">IF(AND(Assumptions!$H$71="Yes",A188&gt;=Assumptions!$H$72,A188&lt;=Assumptions!$H$73),0,IF(EW188&gt;0,MAX(BK188*(1+VLOOKUP($C188,WeatherCapacityAdjustment,2))-FS188,0),0))</f>
        <v>#VALUE!</v>
      </c>
      <c r="GB188" s="1551" t="e">
        <f aca="false">SUM(FT188:GA188)</f>
        <v>#VALUE!</v>
      </c>
      <c r="GC188" s="1563" t="e">
        <f aca="false">+IF(SUM(FT188:GA188)=0,0,(SUMPRODUCT(BU188:BX188,FT188:FW188)+SUMPRODUCT(CA188:CD188,FX188:GA188))/SUM(FT188:GA188))</f>
        <v>#VALUE!</v>
      </c>
      <c r="GD188" s="1551" t="e">
        <f aca="false">(FT188*BU188+FX188*CA188+FU188*BV188+FY188*CB188+FV188*BW188+FZ188*CC188+FW188*BX188+GA188*CD188)</f>
        <v>#VALUE!</v>
      </c>
      <c r="GE188" s="1561" t="e">
        <f aca="false">+IF(BQ188,((FL188+FM188+FT188+FU188)*HeatRatePeak/1000*(1+VLOOKUP($C188,WeatherHeatRateAdjustment,2))+(FN188+FV188)*IF(EV188&gt;0,HeatRatePeak,HeatRateOffPeak)/1000*(1+VLOOKUP($C188,WeatherHeatRateAdjustment,2))+(FO188+FW188)*IF(EW188&gt;0,HeatRatePeak,HeatRateOffPeak)/1000*(1+VLOOKUP($C188,WeatherHeatRateAdjustment,3)))*(1+VLOOKUP($B188,HeatRateDegradation,$C188+1)),0)</f>
        <v>#VALUE!</v>
      </c>
      <c r="GF188" s="1562" t="e">
        <f aca="false">IF(BQ188,((FP188+FQ188+FR188+FX188+FY188+FZ188)*HeatRatePeak/1000*(1+VLOOKUP($C188,WeatherHeatRateAdjustment,2))+(FS188+GA188)*HeatRatePeak/1000*(1+VLOOKUP($C188,WeatherHeatRateAdjustment,3)))*(1+VLOOKUP($B188,HeatRateDegradation,$C188+1)),0)</f>
        <v>#VALUE!</v>
      </c>
      <c r="GG188" s="1563" t="e">
        <f aca="false">IF(BQ188,VLOOKUP(A188,GasTable,13),0)</f>
        <v>#VALUE!</v>
      </c>
      <c r="GH188" s="1564" t="e">
        <f aca="false">(GE188+GF188)*GG188</f>
        <v>#VALUE!</v>
      </c>
      <c r="GI188" s="1569" t="e">
        <f aca="false">GB188</f>
        <v>#VALUE!</v>
      </c>
      <c r="GJ188" s="1598" t="e">
        <f aca="false">+DA188</f>
        <v>#VALUE!</v>
      </c>
      <c r="GK188" s="1558" t="e">
        <f aca="false">+GI188*GJ188</f>
        <v>#VALUE!</v>
      </c>
      <c r="GL188" s="1566" t="e">
        <f aca="false">MAX(FE188-FL188-FP188,0)</f>
        <v>#VALUE!</v>
      </c>
      <c r="GM188" s="1551" t="e">
        <f aca="false">MAX(FF188-FM188-FQ188,0)</f>
        <v>#VALUE!</v>
      </c>
      <c r="GN188" s="1551" t="e">
        <f aca="false">MAX(FG188-FN188-FR188,0)</f>
        <v>#VALUE!</v>
      </c>
      <c r="GO188" s="1564" t="e">
        <f aca="false">MAX(FH188-FO188-FS188,0)</f>
        <v>#VALUE!</v>
      </c>
      <c r="GP188" s="1551" t="e">
        <f aca="false">SUM(GL188:GO188)</f>
        <v>#VALUE!</v>
      </c>
      <c r="GQ188" s="1563" t="e">
        <f aca="false">IF(SUM(GL188:GO188)=0,0,((GL188*BU188+GM188*BV188+GN188*BW188+GO188*BX188)/SUM(GL188:GO188)))</f>
        <v>#VALUE!</v>
      </c>
      <c r="GR188" s="1558" t="e">
        <f aca="false">(GL188*BU188+GM188*BV188+GN188*BW188+GO188*BX188)</f>
        <v>#VALUE!</v>
      </c>
      <c r="GS188" s="1566" t="n">
        <f aca="false">IF($A188&gt;=BegDate,Assumptions!$C$56*24*($A189-$A188)*(1-VLOOKUP($B188,MAIN!$AA$7:$AM$28,$C188+1))*(1-VLOOKUP($B188,MAIN!$AA$33:$AM$54,$C188+1)),0)*80/168</f>
        <v>257742.857142857</v>
      </c>
      <c r="GT188" s="286" t="n">
        <f aca="false">J188</f>
        <v>96.680056239885</v>
      </c>
      <c r="GU188" s="286" t="n">
        <f aca="false">IF($A188&gt;=BegDate,VLOOKUP($A188,GasTable,13)+Assumptions!$C$58,0)</f>
        <v>3.21443986015391</v>
      </c>
      <c r="GV188" s="286" t="n">
        <f aca="false">GU188*Assumptions!$C$57/1000</f>
        <v>23.3046889861158</v>
      </c>
      <c r="GW188" s="1558" t="n">
        <f aca="false">IF(Assumptions!$C$60="Hourly",MAX(0,GS188*(GT188-GV188)),GS188*(GT188-GV188))</f>
        <v>18911976.7998929</v>
      </c>
      <c r="GX188" s="1566" t="n">
        <f aca="false">IF($A188&gt;=BegDate,Assumptions!$C$56*24*($A189-$A188)*(1-VLOOKUP($B188,MAIN!$AA$7:$AM$28,$C188+1))*(1-VLOOKUP($B188,MAIN!$AA$33:$AM$54,$C188+1)),0)*16/168</f>
        <v>51548.5714285714</v>
      </c>
      <c r="GY188" s="286" t="n">
        <f aca="false">M188</f>
        <v>96.680056239885</v>
      </c>
      <c r="GZ188" s="286" t="n">
        <f aca="false">IF($A188&gt;=BegDate,VLOOKUP($A188,GasTable,13)+Assumptions!$C$58,0)</f>
        <v>3.21443986015391</v>
      </c>
      <c r="HA188" s="286" t="n">
        <f aca="false">GZ188*Assumptions!$C$57/1000</f>
        <v>23.3046889861158</v>
      </c>
      <c r="HB188" s="1558" t="n">
        <f aca="false">IF(Assumptions!$C$60="Hourly",MAX(0,GX188*(GY188-HA188)),GX188*(GY188-HA188))</f>
        <v>3782395.35997858</v>
      </c>
      <c r="HC188" s="1566" t="n">
        <f aca="false">IF($A188&gt;=BegDate,Assumptions!$C$56*24*($A189-$A188)*(1-VLOOKUP($B188,MAIN!$AA$7:$AM$28,$C188+1))*(1-VLOOKUP($B188,MAIN!$AA$33:$AM$54,$C188+1)),0)*16/168</f>
        <v>51548.5714285714</v>
      </c>
      <c r="HD188" s="286" t="n">
        <f aca="false">P188</f>
        <v>35.8895584595575</v>
      </c>
      <c r="HE188" s="286" t="n">
        <f aca="false">IF($A188&gt;=BegDate,VLOOKUP($A188,GasTable,13)+Assumptions!$C$58,0)</f>
        <v>3.21443986015391</v>
      </c>
      <c r="HF188" s="286" t="n">
        <f aca="false">HE188*Assumptions!$C$57/1000</f>
        <v>23.3046889861158</v>
      </c>
      <c r="HG188" s="1558" t="n">
        <f aca="false">IF(Assumptions!$C$60="Hourly",MAX(0,HC188*(HD188-HF188)),HC188*(HD188-HF188))</f>
        <v>648732.042970957</v>
      </c>
      <c r="HH188" s="1566" t="n">
        <f aca="false">IF($A188&gt;=BegDate,Assumptions!$C$56*24*($A189-$A188)*(1-VLOOKUP($B188,MAIN!$AA$7:$AM$28,$C188+1))*(1-VLOOKUP($B188,MAIN!$AA$33:$AM$54,$C188+1)),0)*56/168</f>
        <v>180420</v>
      </c>
      <c r="HI188" s="286" t="n">
        <f aca="false">S188</f>
        <v>35.8895584595575</v>
      </c>
      <c r="HJ188" s="286" t="n">
        <f aca="false">IF($A188&gt;=BegDate,VLOOKUP($A188,GasTable,13)+Assumptions!$C$58,0)</f>
        <v>3.21443986015391</v>
      </c>
      <c r="HK188" s="286" t="n">
        <f aca="false">HJ188*Assumptions!$C$57/1000</f>
        <v>23.3046889861158</v>
      </c>
      <c r="HL188" s="1558" t="n">
        <f aca="false">IF(Assumptions!$C$60="Hourly",MAX(0,HH188*(HI188-HK188)),HH188*(HI188-HK188))</f>
        <v>2270562.15039835</v>
      </c>
      <c r="HM188" s="1566" t="n">
        <f aca="false">IF(AND(Assumptions!$H$71="Yes",A188&gt;=Assumptions!$H$72,A188&lt;=Assumptions!$H$73),Assumptions!$H$74*Assumptions!$C$9*1000,0)</f>
        <v>0</v>
      </c>
      <c r="HN188" s="1551"/>
      <c r="HO188" s="1563"/>
      <c r="HP188" s="1563"/>
      <c r="HQ188" s="1563"/>
      <c r="HR188" s="1563"/>
      <c r="HS188" s="1563"/>
      <c r="HT188" s="1563"/>
      <c r="HU188" s="1563"/>
      <c r="HV188" s="1563"/>
      <c r="HW188" s="1563"/>
      <c r="HX188" s="1563"/>
      <c r="HY188" s="1563"/>
      <c r="HZ188" s="1563"/>
      <c r="IA188" s="1563"/>
      <c r="IB188" s="1563"/>
      <c r="IC188" s="1563"/>
      <c r="ID188" s="1563"/>
      <c r="IE188" s="1563"/>
      <c r="IF188" s="1563"/>
      <c r="IG188" s="1563"/>
      <c r="IH188" s="1563"/>
      <c r="II188" s="1610"/>
      <c r="IJ188" s="1309"/>
      <c r="IK188" s="1309"/>
    </row>
    <row r="189" customFormat="false" ht="12.75" hidden="false" customHeight="false" outlineLevel="0" collapsed="false">
      <c r="A189" s="1571" t="n">
        <f aca="false">EOMONTH(A188,0)+1</f>
        <v>41883</v>
      </c>
      <c r="B189" s="594" t="n">
        <f aca="false">+YEAR(A189)</f>
        <v>2014</v>
      </c>
      <c r="C189" s="238" t="n">
        <f aca="false">MONTH(A189)</f>
        <v>9</v>
      </c>
      <c r="D189" s="1572" t="e">
        <f aca="false">IF(E189="","",Holiday(B189,C189))</f>
        <v>#VALUE!</v>
      </c>
      <c r="E189" s="1573" t="n">
        <f aca="false">IF(OR(BegDate&gt;=A190,EndDate&lt;A189,AND(VolumeMonthlyOverFlag,INDEX(VolumeMonthlyOver,C189)=0),NOT(INDEX(MonthKnockOutTable,C189))),"",MAX(A189,BegDate))</f>
        <v>41883</v>
      </c>
      <c r="F189" s="1574" t="n">
        <f aca="false">IF(E189="","",MIN(A190-1,EndDate))</f>
        <v>41912</v>
      </c>
      <c r="G189" s="1575" t="n">
        <v>0</v>
      </c>
      <c r="H189" s="1576" t="n">
        <f aca="false">(1+G189/2)^(-2*(DATE(B190,C190,20)-DateToday)/365.25)</f>
        <v>1</v>
      </c>
      <c r="I189" s="1568" t="n">
        <f aca="false">IF(Assumptions!$L$25=4,VLOOKUP($A189,'Henwood Reference'!$E$9:$R$320,10),(VLOOKUP($A189,PriceTable,2,0)+IF(BasisNumber&lt;&gt;1,VLOOKUP($A189,BasisTable,2,0),0)+I$1)/(1-I$2))</f>
        <v>70.7897717425705</v>
      </c>
      <c r="J189" s="1568" t="n">
        <f aca="false">IF(Assumptions!$L$25=4,VLOOKUP($A189,'Henwood Reference'!$E$9:$R$320,10),(VLOOKUP($A189,PriceTable,3,0)+IF(BasisNumber&lt;&gt;1,VLOOKUP($A189,BasisTable,2,0),0)+J$1)/(1-J$2))</f>
        <v>70.7897717425705</v>
      </c>
      <c r="K189" s="1568" t="n">
        <f aca="false">IF(Assumptions!$L$25=4,VLOOKUP($A189,'Henwood Reference'!$E$9:$R$320,10),(VLOOKUP($A189,PriceTable,4,0)+IF(BasisNumber&lt;&gt;1,VLOOKUP($A189,BasisTable,2,0),0)+K$1)/(1-K$2))</f>
        <v>70.7897717425705</v>
      </c>
      <c r="L189" s="1523" t="n">
        <f aca="false">IF(Assumptions!$L$25=4,VLOOKUP($A189,'Henwood Reference'!$E$9:$R$320,10),(VLOOKUP($A189,PriceTableWeekend,2,0)+IF(BasisNumber&lt;&gt;1,VLOOKUP($A189,BasisTable,2,0),0)+L$1)/(1-L$2))</f>
        <v>70.7897717425705</v>
      </c>
      <c r="M189" s="1568" t="n">
        <f aca="false">IF(Assumptions!$L$25=4,VLOOKUP($A189,'Henwood Reference'!$E$9:$R$320,10),(VLOOKUP($A189,PriceTableWeekend,3,0)+IF(BasisNumber&lt;&gt;1,VLOOKUP($A189,BasisTable,2,0),0)+M$1)/(1-M$2))</f>
        <v>70.7897717425705</v>
      </c>
      <c r="N189" s="1599" t="n">
        <f aca="false">IF(Assumptions!$L$25=4,VLOOKUP($A189,'Henwood Reference'!$E$9:$R$320,10),(VLOOKUP($A189,PriceTableWeekend,4,0)+IF(BasisNumber&lt;&gt;1,VLOOKUP($A189,BasisTable,2,0),0)+N$1)/(1-N$2))</f>
        <v>70.7897717425705</v>
      </c>
      <c r="O189" s="1568" t="n">
        <f aca="false">IF(Assumptions!$L$25=4,VLOOKUP($A189,'Henwood Reference'!$E$9:$R$320,11),(VLOOKUP($A189,PriceTableWeekend,6,0)+IF(BasisNumber&lt;&gt;1,VLOOKUP($A189,BasisTable,3,0),0)+O$1)/(1-O$2))</f>
        <v>33.8150739482701</v>
      </c>
      <c r="P189" s="1568" t="n">
        <f aca="false">IF(Assumptions!$L$25=4,VLOOKUP($A189,'Henwood Reference'!$E$9:$R$320,11),(VLOOKUP($A189,PriceTableWeekend,7,0)+IF(BasisNumber&lt;&gt;1,VLOOKUP($A189,BasisTable,3,0),0)+P$1)/(1-P$2))</f>
        <v>33.8150739482701</v>
      </c>
      <c r="Q189" s="1599" t="n">
        <f aca="false">IF(Assumptions!$L$25=4,VLOOKUP($A189,'Henwood Reference'!$E$9:$R$320,11),(VLOOKUP($A189,PriceTableWeekend,8,0)+IF(BasisNumber&lt;&gt;1,VLOOKUP($A189,BasisTable,3,0),0)+Q$1)/(1-Q$2))</f>
        <v>33.8150739482701</v>
      </c>
      <c r="R189" s="1568" t="n">
        <f aca="false">IF(Assumptions!$L$25=4,VLOOKUP($A189,'Henwood Reference'!$E$9:$R$320,11),(VLOOKUP($A189,PriceTable,6,0)+IF(BasisNumber&lt;&gt;1,VLOOKUP($A189,BasisTable,3,0),0)+R$1)/(1-R$2))</f>
        <v>33.8150739482701</v>
      </c>
      <c r="S189" s="1568" t="n">
        <f aca="false">IF(Assumptions!$L$25=4,VLOOKUP($A189,'Henwood Reference'!$E$9:$R$320,11),(VLOOKUP($A189,PriceTable,7,0)+IF(BasisNumber&lt;&gt;1,VLOOKUP($A189,BasisTable,3,0),0)+S$1)/(1-S$2))</f>
        <v>33.8150739482701</v>
      </c>
      <c r="T189" s="1600" t="n">
        <f aca="false">IF(Assumptions!$L$25=4,VLOOKUP($A189,'Henwood Reference'!$E$9:$R$320,11),(VLOOKUP($A189,PriceTable,8,0)+IF(BasisNumber&lt;&gt;1,VLOOKUP($A189,BasisTable,3,0),0)+T$1)/(1-T$2))</f>
        <v>33.8150739482701</v>
      </c>
      <c r="U189" s="1513" t="n">
        <f aca="false">VLOOKUP($A189,VolatilityTable,14)</f>
        <v>0.0999999999999999</v>
      </c>
      <c r="V189" s="1513" t="n">
        <f aca="false">VLOOKUP($A189,VolatilityTable,15)</f>
        <v>0.11</v>
      </c>
      <c r="W189" s="1514" t="n">
        <f aca="false">VLOOKUP($A189,VolatilityTable,16)</f>
        <v>0.12</v>
      </c>
      <c r="X189" s="1513" t="n">
        <f aca="false">VLOOKUP($A189,VolatilityTable,14)</f>
        <v>0.0999999999999999</v>
      </c>
      <c r="Y189" s="1513" t="n">
        <f aca="false">VLOOKUP($A189,VolatilityTable,15)</f>
        <v>0.11</v>
      </c>
      <c r="Z189" s="1514" t="n">
        <f aca="false">VLOOKUP($A189,VolatilityTable,16)</f>
        <v>0.12</v>
      </c>
      <c r="AA189" s="1513" t="n">
        <f aca="false">VLOOKUP($A189,VolatilityTable,18)</f>
        <v>0.09</v>
      </c>
      <c r="AB189" s="1513" t="n">
        <f aca="false">VLOOKUP($A189,VolatilityTable,19)</f>
        <v>0.11</v>
      </c>
      <c r="AC189" s="1514" t="n">
        <f aca="false">VLOOKUP($A189,VolatilityTable,20)</f>
        <v>0.13</v>
      </c>
      <c r="AD189" s="1513" t="n">
        <f aca="false">VLOOKUP($A189,VolatilityTable,18)</f>
        <v>0.09</v>
      </c>
      <c r="AE189" s="1513" t="n">
        <f aca="false">VLOOKUP($A189,VolatilityTable,19)</f>
        <v>0.11</v>
      </c>
      <c r="AF189" s="1514" t="n">
        <f aca="false">VLOOKUP($A189,VolatilityTable,20)</f>
        <v>0.13</v>
      </c>
      <c r="AG189" s="1513" t="n">
        <f aca="false">VLOOKUP($A189,VolatilityTable,22)</f>
        <v>-0.35</v>
      </c>
      <c r="AH189" s="1513" t="n">
        <f aca="false">VLOOKUP($A189,VolatilityTable,23)</f>
        <v>3</v>
      </c>
      <c r="AI189" s="1514" t="n">
        <f aca="false">VLOOKUP($A189,VolatilityTable,24)</f>
        <v>0.2</v>
      </c>
      <c r="AJ189" s="1513" t="n">
        <f aca="false">VLOOKUP($A189,VolatilityTable,22)</f>
        <v>-0.35</v>
      </c>
      <c r="AK189" s="1513" t="n">
        <f aca="false">VLOOKUP($A189,VolatilityTable,23)</f>
        <v>3</v>
      </c>
      <c r="AL189" s="1514" t="n">
        <f aca="false">VLOOKUP($A189,VolatilityTable,24)</f>
        <v>0.2</v>
      </c>
      <c r="AM189" s="1513" t="n">
        <f aca="false">VLOOKUP($A189,VolatilityTable,26)</f>
        <v>-0.01</v>
      </c>
      <c r="AN189" s="1513" t="n">
        <f aca="false">VLOOKUP($A189,VolatilityTable,27)</f>
        <v>0.16</v>
      </c>
      <c r="AO189" s="1514" t="n">
        <f aca="false">VLOOKUP($A189,VolatilityTable,28)</f>
        <v>0.01</v>
      </c>
      <c r="AP189" s="1513" t="n">
        <f aca="false">VLOOKUP($A189,VolatilityTable,26)</f>
        <v>-0.01</v>
      </c>
      <c r="AQ189" s="1513" t="n">
        <f aca="false">VLOOKUP($A189,VolatilityTable,27)</f>
        <v>0.16</v>
      </c>
      <c r="AR189" s="1515" t="n">
        <f aca="false">VLOOKUP($A189,VolatilityTable,28)</f>
        <v>0.01</v>
      </c>
      <c r="AS189" s="1581" t="n">
        <f aca="false">IF(CorrPeakOffPeakOverFlag,INDEX(CorrPeakOffPeakOver,C189),CorrPeakOffPeak)</f>
        <v>0.5</v>
      </c>
      <c r="AT189" s="594" t="e">
        <f aca="false">AX189-SUM(AU189:AW189)</f>
        <v>#VALUE!</v>
      </c>
      <c r="AU189" s="238" t="e">
        <f aca="false">IF(E189="",0,INT((F189-MOD(F189,7)-E189)/7)+1-IF(AW189,IF(WEEKDAY(D189)=7,1,0),0))</f>
        <v>#VALUE!</v>
      </c>
      <c r="AV189" s="238" t="e">
        <f aca="false">IF(E189="",0,INT((F189-MOD(F189-1,7)-E189)/7)+1-IF(AW189,IF(WEEKDAY(D189)=1,1,0),0))</f>
        <v>#VALUE!</v>
      </c>
      <c r="AW189" s="238" t="e">
        <f aca="false">IF(OR(E189="",D189="",D189&lt;BegDate,D189&gt;EndDate),0,1)</f>
        <v>#VALUE!</v>
      </c>
      <c r="AX189" s="238" t="n">
        <f aca="false">IF(E189="",0,F189-E189+1)</f>
        <v>30</v>
      </c>
      <c r="AY189" s="1582" t="n">
        <f aca="false">IF(E189="",0,MIN((1-(1-VLOOKUP(B189,MAIN!$AA$7:$AM$28,C189+1))*(1-VLOOKUP(B189,MAIN!$AA$33:$AM$54,C189+1))),1))</f>
        <v>0.03</v>
      </c>
      <c r="AZ189" s="1519" t="e">
        <v>#VALUE!</v>
      </c>
      <c r="BA189" s="1520" t="e">
        <v>#VALUE!</v>
      </c>
      <c r="BB189" s="1520" t="e">
        <v>#VALUE!</v>
      </c>
      <c r="BC189" s="1583" t="e">
        <v>#VALUE!</v>
      </c>
      <c r="BD189" s="1522" t="e">
        <v>#VALUE!</v>
      </c>
      <c r="BE189" s="1523" t="e">
        <v>#VALUE!</v>
      </c>
      <c r="BF189" s="1523" t="e">
        <v>#VALUE!</v>
      </c>
      <c r="BG189" s="1584" t="e">
        <v>#VALUE!</v>
      </c>
      <c r="BH189" s="1525" t="e">
        <v>#VALUE!</v>
      </c>
      <c r="BI189" s="1520" t="e">
        <v>#VALUE!</v>
      </c>
      <c r="BJ189" s="1520" t="e">
        <v>#VALUE!</v>
      </c>
      <c r="BK189" s="1583" t="e">
        <v>#VALUE!</v>
      </c>
      <c r="BL189" s="1522" t="e">
        <v>#VALUE!</v>
      </c>
      <c r="BM189" s="1523" t="e">
        <v>#VALUE!</v>
      </c>
      <c r="BN189" s="1523" t="e">
        <v>#VALUE!</v>
      </c>
      <c r="BO189" s="1523" t="e">
        <v>#VALUE!</v>
      </c>
      <c r="BP189" s="1525" t="e">
        <f aca="false">SUM(AZ189:BB189)</f>
        <v>#VALUE!</v>
      </c>
      <c r="BQ189" s="1529" t="e">
        <f aca="false">SUM(AZ189:BC189)</f>
        <v>#VALUE!</v>
      </c>
      <c r="BR189" s="1519" t="e">
        <f aca="false">SUM(BH189:BJ189)</f>
        <v>#VALUE!</v>
      </c>
      <c r="BS189" s="1529" t="e">
        <f aca="false">SUM(BH189:BK189)</f>
        <v>#VALUE!</v>
      </c>
      <c r="BT189" s="1316" t="n">
        <f aca="false">(IF(OVolType&lt;&gt;2,A189+14,IF(OptExpDateShift,ShiftBack(A189,OptExpDateShift,D188),A189))-DateToday)/365.25</f>
        <v>14.3819301848049</v>
      </c>
      <c r="BU189" s="1585" t="e">
        <f aca="false">IF(BQ189,IF(OPriceCurve,IF(OBuySell=OCallPut,I189/(1-AY189),K189/(1-AY189)),J189/(1-AY189))*BD189,0)</f>
        <v>#VALUE!</v>
      </c>
      <c r="BV189" s="1316" t="e">
        <f aca="false">IF(BQ189,IF(OPriceCurve,IF(OBuySell=OCallPut,L189/(1-AY189),N189/(1-AY189)),M189/(1-AY189))*BE189,0)</f>
        <v>#VALUE!</v>
      </c>
      <c r="BW189" s="1316" t="e">
        <f aca="false">IF(BQ189,IF(OPriceCurve,IF(OBuySell=OCallPut,O189/(1-AY189),Q189/(1-AY189)),P189/(1-AY189))*BF189,0)</f>
        <v>#VALUE!</v>
      </c>
      <c r="BX189" s="1316" t="e">
        <f aca="false">IF(BQ189,IF(OPriceCurve,IF(OBuySell=OCallPut,R189/(1-AY189),T189/(1-AY189)),S189/(1-AY189))*BG189,0)</f>
        <v>#VALUE!</v>
      </c>
      <c r="BY189" s="1316" t="e">
        <f aca="false">IF(BP189,(BU189*AZ189+BV189*BA189+BW189*BB189)/BP189,0)</f>
        <v>#VALUE!</v>
      </c>
      <c r="BZ189" s="1316" t="e">
        <f aca="false">IF(BQ189,(BY189*BP189+BX189*BC189)/BQ189,0)</f>
        <v>#VALUE!</v>
      </c>
      <c r="CA189" s="1531" t="e">
        <f aca="false">IF(BS189,IF(OPriceCurve,IF(OBuySell=OCallPut,I189/(1-AY189),K189/(1-AY189)),J189/(1-AY189))*BL189,0)</f>
        <v>#VALUE!</v>
      </c>
      <c r="CB189" s="1316" t="e">
        <f aca="false">IF(BS189,IF(OPriceCurve,IF(OBuySell=OCallPut,L189/(1-AY189),N189/(1-AY189)),M189/(1-AY189))*BM189,0)</f>
        <v>#VALUE!</v>
      </c>
      <c r="CC189" s="1316" t="e">
        <f aca="false">IF(BS189,IF(OPriceCurve,IF(OBuySell=OCallPut,O189/(1-AY189),Q189/(1-AY189)),P189/(1-AY189))*BN189,0)</f>
        <v>#VALUE!</v>
      </c>
      <c r="CD189" s="1316" t="e">
        <f aca="false">IF(BS189,IF(OPriceCurve,IF(OBuySell=OCallPut,R189/(1-AY189),T189/(1-AY189)),S189/(1-AY189))*BO189,0)</f>
        <v>#VALUE!</v>
      </c>
      <c r="CE189" s="1316" t="e">
        <f aca="false">IF(BR189,(BU189*BH189+BV189*BI189+BW189*BJ189)/BR189,0)</f>
        <v>#VALUE!</v>
      </c>
      <c r="CF189" s="1532" t="e">
        <f aca="false">IF(BS189,(CE189*BR189+CD189*BK189)/BS189,0)</f>
        <v>#VALUE!</v>
      </c>
      <c r="CG189" s="1586" t="e">
        <f aca="false">IF(OR(BQ189,BS189),IF(OVolType&lt;&gt;2,SQRT(IF(OVolOverMonthlyPeak,OVolOverMonthlyPeak,IF(OVolCurve,IF(OBuySell,U189,W189),V189))^2*(1-15/365.25/BT189)+IF(OVolOverDailyPeak,OVolOverDailyPeak,IF(OVolCurve,IF(OBuySell,AG189,AI189),AH189))^2*15/365.25/BT189),IF(OVolOverMonthlyPeak,OVolOverMonthlyPeak,IF(OVolCurve,IF(OBuySell,U189,W189),V189))),"")</f>
        <v>#VALUE!</v>
      </c>
      <c r="CH189" s="1587" t="e">
        <f aca="false">IF(OR(BQ189,BS189),IF(OVolType&lt;&gt;2,SQRT(IF(OVolOverMonthlyPeak,OVolOverMonthlyPeak,IF(OVolCurve,IF(OBuySell,X189,Z189),Y189))^2*(1-15/365.25/BT189)+IF(OVolOverDailyPeak,OVolOverDailyPeak,IF(OVolCurve,IF(OBuySell,AJ189,AL189),AK189))^2*15/365.25/BT189),IF(OVolOverMonthlyPeak,OVolOverMonthlyPeak,IF(OVolCurve,IF(OBuySell,X189,Z189),Y189))),"")</f>
        <v>#VALUE!</v>
      </c>
      <c r="CI189" s="1587" t="e">
        <f aca="false">IF(OR(BQ189,BS189),IF(OVolType&lt;&gt;2,SQRT(IF(OVolOverMonthlyPeak,OVolOverMonthlyPeak,IF(OVolCurve,IF(OBuySell,AA189,AC189),AB189))^2*(1-15/365.25/BT189)+IF(OVolOverDailyPeak,OVolOverDailyPeak,IF(OVolCurve,IF(OBuySell,AM189,AO189),AN189))^2*15/365.25/BT189),IF(OVolOverMonthlyPeak,OVolOverMonthlyPeak,IF(OVolCurve,IF(OBuySell,AA189,AC189),AB189))),"")</f>
        <v>#VALUE!</v>
      </c>
      <c r="CJ189" s="1587" t="e">
        <f aca="false">IF(BQ189,IF(BP189,SQRT(LN(1+((BU189*AZ189)^2*(EXP(CG189^2*BT189)-1)+(BV189*BA189)^2*(EXP(CH189^2*BT189)-1)+(BW189*BB189)^2*(EXP(CI189^2*BT189)-1)+2*BU189*AZ189*BV189*BA189*(EXP(CG189*CH189*BT189)-1)+2*BV189*BA189*BW189*BB189*(EXP(CH189*CI189*BT189)-1)+2*BW189*BB189*BU189*AZ189*(EXP(CI189*CG189*BT189)-1))/(BY189*BP189)^2)/BT189),0),"")</f>
        <v>#VALUE!</v>
      </c>
      <c r="CK189" s="1587" t="e">
        <f aca="false">IF(BS189,IF(BR189,SQRT(LN(1+((CA189*BH189)^2*(EXP(CG189^2*BT189)-1)+(CB189*BI189)^2*(EXP(CH189^2*BT189)-1)+(CC189*BJ189)^2*(EXP(CI189^2*BT189)-1)+2*CA189*BH189*CB189*BI189*(EXP(CG189*CH189*BT189)-1)+2*CB189*BI189*CC189*BJ189*(EXP(CH189*CI189*BT189)-1)+2*CC189*BJ189*CA189*BH189*(EXP(CI189*CG189*BT189)-1))/(CE189*BR189)^2)/BT189),0),"")</f>
        <v>#VALUE!</v>
      </c>
      <c r="CL189" s="1587" t="e">
        <f aca="false">IF(OR(BQ189,BS189),IF(OVolType&lt;&gt;2,SQRT(IF(OVolOverMonthlyOffPeak,OVolOverMonthlyOffPeak,IF(OVolCurve,IF(OBuySell,AD189,AF189),AE189))^2*(1-15/365.25/BT189)+IF(OVolOverDailyOffPeak,OVolOverDailyOffPeak,IF(OVolCurve,IF(OBuySell,AP189,AR189),AQ189))^2*15/365.25/BT189),IF(OVolOverMonthlyOffPeak,OVolOverMonthlyOffPeak,IF(OVolCurve,IF(OBuySell,AD189,AF189),AE189))),"")</f>
        <v>#VALUE!</v>
      </c>
      <c r="CM189" s="1587" t="e">
        <f aca="false">IF(BQ189,SQRT(LN(1+((BY189*BP189)^2*(EXP(CJ189^2*BT189)-1)+(BX189*BC189)^2*(EXP(CL189^2*BT189)-1)+2*BY189*BP189*BX189*BC189*(EXP(AS189*CJ189*CL189*BT189)-1))/(BY189*BP189+BX189*BC189)^2)/BT189),"")</f>
        <v>#VALUE!</v>
      </c>
      <c r="CN189" s="1588" t="e">
        <f aca="false">IF(BS189,SQRT(LN(1+((CE189*BR189)^2*(EXP(CK189^2*BT189)-1)+(CD189*BK189)^2*(EXP(CL189^2*BT189)-1)+2*CE189*BR189*CD189*BK189*(EXP(AS189*CK189*CL189*BT189)-1))/(CE189*BR189+CD189*BK189)^2)/BT189),"")</f>
        <v>#VALUE!</v>
      </c>
      <c r="CO189" s="1531" t="e">
        <f aca="false">IF(OR(BQ189,BS189),VLOOKUP(A189,GasTable,13)*HeatRatePeak*(1+VLOOKUP($B189,HeatRateDegradation,$C189+1))/1000,0)</f>
        <v>#VALUE!</v>
      </c>
      <c r="CP189" s="1316" t="e">
        <f aca="false">IF(OR(BQ189,BS189),VLOOKUP(A189,GasTable,13)*HeatRatePeak*(1+VLOOKUP($B189,HeatRateDegradation,$C189+1))/1000,0)</f>
        <v>#VALUE!</v>
      </c>
      <c r="CQ189" s="1316" t="e">
        <f aca="false">IF(OR(BQ189,BS189),VLOOKUP(A189,GasTable,13)*IF(EV189,HeatRatePeak,HeatRateOffPeak)*(1+VLOOKUP($B189,HeatRateDegradation,$C189+1))/1000,0)</f>
        <v>#VALUE!</v>
      </c>
      <c r="CR189" s="1316" t="e">
        <f aca="false">IF(OR(BQ189,BS189),VLOOKUP(A189,GasTable,13)*IF(EW189,HeatRatePeak,HeatRateOffPeak)*(1+VLOOKUP($B189,HeatRateDegradation,$C189+1))/1000,0)</f>
        <v>#VALUE!</v>
      </c>
      <c r="CS189" s="1589" t="e">
        <f aca="false">IF(BQ189,(CO189*AZ189+CP189*BA189+CQ189*BB189+CR189*BC189)/BQ189,0)</f>
        <v>#VALUE!</v>
      </c>
      <c r="CT189" s="1316" t="e">
        <f aca="false">IF(BS189,CO189,0)</f>
        <v>#VALUE!</v>
      </c>
      <c r="CU189" s="1590" t="e">
        <f aca="false">IF(OR(BQ189,BS189),VLOOKUP(A189,GasTable,14),"")</f>
        <v>#VALUE!</v>
      </c>
      <c r="CV189" s="1568" t="e">
        <f aca="false">IF(OR(BQ189,BS189),IF(CorrPowerGasOverFlag,INDEX(CorrPowerGasOver,C189),CorrPowerGas),"")</f>
        <v>#VALUE!</v>
      </c>
      <c r="CW189" s="1316" t="e">
        <f aca="false">IF(OR($BQ189,$BS189),SpreadOptPowerMargin,0)*((1+Assumptions!$C$26)^($B189-YEAR(Assumptions!$C$17)))</f>
        <v>#VALUE!</v>
      </c>
      <c r="CX189" s="1316" t="e">
        <f aca="false">IF(OR($BQ189,$BS189),SpreadOptPowerMargin,0)*((1+Assumptions!$C$26)^($B189-YEAR(Assumptions!$C$17)))</f>
        <v>#VALUE!</v>
      </c>
      <c r="CY189" s="1316" t="e">
        <f aca="false">IF(OR($BQ189,$BS189),SpreadOptPowerMargin,0)*((1+Assumptions!$C$26)^($B189-YEAR(Assumptions!$C$17)))</f>
        <v>#VALUE!</v>
      </c>
      <c r="CZ189" s="1316" t="e">
        <f aca="false">IF(OR($BQ189,$BS189),SpreadOptPowerMargin,0)*((1+Assumptions!$C$26)^($B189-YEAR(Assumptions!$C$17)))</f>
        <v>#VALUE!</v>
      </c>
      <c r="DA189" s="1591" t="e">
        <f aca="false">IF(OR(BQ189,BS189),(CW189*(AZ189+BH189)+CX189*(BA189+BI189)+CY189*(BB189+BJ189)+CZ189*(BC189+BK189))/(BQ189+BS189),0)</f>
        <v>#VALUE!</v>
      </c>
      <c r="DB189" s="1592" t="e">
        <f aca="false">IF(OR(BQ189,BS189),CG189+IF(OVolSmile,VLOOKUP(MAX(-5,CO189+CW189-BU189),IF(OVolSmile=1,VolSmileBook,VolSmileModel),2),0),"")</f>
        <v>#VALUE!</v>
      </c>
      <c r="DC189" s="1592" t="e">
        <f aca="false">IF(OR(BQ189,BS189),CH189+IF(OVolSmile,VLOOKUP(MAX(-5,CP189+CW189-BV189),IF(OVolSmile=1,VolSmileBook,VolSmileModel),2),0),"")</f>
        <v>#VALUE!</v>
      </c>
      <c r="DD189" s="1592" t="e">
        <f aca="false">IF(OR(BQ189,BS189),CI189+IF(OVolSmile,VLOOKUP(MAX(-5,CQ189+CW189-BW189),IF(OVolSmile=1,VolSmileBook,VolSmileModel),2),0),"")</f>
        <v>#VALUE!</v>
      </c>
      <c r="DE189" s="1592" t="e">
        <f aca="false">IF(OR(BQ189,BS189),CL189+IF(OVolSmile,VLOOKUP(MAX(-5,CR189+CZ189-BX189),IF(OVolSmile=1,VolSmileBook,VolSmileModel),2),0),"")</f>
        <v>#VALUE!</v>
      </c>
      <c r="DF189" s="1592" t="e">
        <f aca="false">IF(BQ189,CM189+IF(OVolSmile,VLOOKUP(MAX(-5,CS189+DA189-BZ189),IF(OVolSmile=1,VolSmileBook,VolSmileModel),2),0),"")</f>
        <v>#VALUE!</v>
      </c>
      <c r="DG189" s="1593" t="e">
        <f aca="false">IF(BS189,CN189+IF(OVolSmile,VLOOKUP(MAX(-5,CT189+DA189-CF189),IF(OVolSmile=1,VolSmileBook,VolSmileModel),2),0),"")</f>
        <v>#VALUE!</v>
      </c>
      <c r="DH189" s="1316" t="e">
        <f aca="false">IF(AND(BU189&gt;0,CO189&gt;0,DB189&gt;0,CU189&gt;0),newSPRDOPT(BU189,CO189,CW189,0,DB189,CU189,CV189,BT189*365.25,OCallPut,0),0)</f>
        <v>#VALUE!</v>
      </c>
      <c r="DI189" s="1316" t="e">
        <f aca="false">IF(AND(BV189&gt;0,CP189&gt;0,DC189&gt;0,CU189&gt;0),newSPRDOPT(BV189,CP189,CX189,0,DC189,CU189,CV189,BT189*365.25,OCallPut,0),0)</f>
        <v>#VALUE!</v>
      </c>
      <c r="DJ189" s="1316" t="e">
        <f aca="false">IF(AND(BW189&gt;0,CQ189&gt;0,DD189&gt;0,CU189&gt;0),newSPRDOPT(BW189,CQ189,CY189,0,DD189,CU189,CV189,BT189*365.25,OCallPut,0),0)</f>
        <v>#VALUE!</v>
      </c>
      <c r="DK189" s="1316" t="e">
        <f aca="false">IF(AND(BX189&gt;0,CR189&gt;0,DE189&gt;0,CU189&gt;0),newSPRDOPT(BX189,CR189,CZ189,0,DE189,CU189,CV189,BT189*365.25,OCallPut,0),0)</f>
        <v>#VALUE!</v>
      </c>
      <c r="DL189" s="1316" t="e">
        <f aca="false">IF(OVolType,IF(AND(BZ189&gt;0,CS189&gt;0,DF189&gt;0,CU189&gt;0),newSPRDOPT(BZ189,CS189,DA189,0,DF189,CU189,CV189,BT189*365.25,OCallPut,0),0),IF(BQ189,(DH189*AZ189+DI189*BA189+DJ189*BB189+DK189*BC189)/BQ189,0))</f>
        <v>#VALUE!</v>
      </c>
      <c r="DM189" s="1316"/>
      <c r="DN189" s="1316"/>
      <c r="DO189" s="1316"/>
      <c r="DP189" s="1316"/>
      <c r="DQ189" s="1316"/>
      <c r="DR189" s="1316"/>
      <c r="DS189" s="1316"/>
      <c r="DT189" s="1316"/>
      <c r="DU189" s="1316"/>
      <c r="DV189" s="1316"/>
      <c r="DW189" s="1594" t="e">
        <f aca="false">IF(AND(BW189&gt;0,CT189&gt;0,DD189&gt;0,CU189&gt;0),newSPRDOPT(BW189,CT189,CY189,0,DD189,CU189,CV189,BT189*365.25,OCallPut,0),0)</f>
        <v>#VALUE!</v>
      </c>
      <c r="DX189" s="1316" t="e">
        <f aca="false">IF(AND(BX189&gt;0,CT189&gt;0,DE189&gt;0,CU189&gt;0),newSPRDOPT(BX189,CT189,CZ189,0,DE189,CU189,CV189,BT189*365.25,OCallPut,0),0)</f>
        <v>#VALUE!</v>
      </c>
      <c r="DY189" s="1591" t="e">
        <f aca="false">IF(BS189,(DH189*BH189+DI189*BI189+DW189*BJ189+DX189*BK189)/BS189,0)</f>
        <v>#VALUE!</v>
      </c>
      <c r="DZ189" s="1551" t="e">
        <f aca="false">DH189*AZ189</f>
        <v>#VALUE!</v>
      </c>
      <c r="EA189" s="1551" t="e">
        <f aca="false">DI189*BA189</f>
        <v>#VALUE!</v>
      </c>
      <c r="EB189" s="1551" t="e">
        <f aca="false">DJ189*BB189</f>
        <v>#VALUE!</v>
      </c>
      <c r="EC189" s="1551" t="e">
        <f aca="false">DK189*BC189</f>
        <v>#VALUE!</v>
      </c>
      <c r="ED189" s="1551" t="e">
        <f aca="false">DL189*BQ189</f>
        <v>#VALUE!</v>
      </c>
      <c r="EE189" s="1595" t="e">
        <f aca="false">IF(BQ189,IF(OCallPut,IF(BU189&gt;(CO189+CW189),BU189-(CO189+CW189),0),IF((CO189+CW189)&gt;BU189,(CO189+CW189)-BU189,0))*AZ189,0)</f>
        <v>#VALUE!</v>
      </c>
      <c r="EF189" s="1596" t="e">
        <f aca="false">IF(BQ189,IF(OCallPut,IF(BV189&gt;(CP189+CX189),BV189-(CP189+CX189),0),IF((CP189+CX189)&gt;BV189,(CP189+CX189)-BV189,0))*BA189,0)</f>
        <v>#VALUE!</v>
      </c>
      <c r="EG189" s="1596" t="e">
        <f aca="false">IF(BQ189,IF(OCallPut,IF(BW189&gt;(CQ189+CY189),BW189-(CQ189+CY189),0),IF((CQ189+CY189)&gt;BW189,(CQ189+CY189)-BW189,0))*BB189,0)</f>
        <v>#VALUE!</v>
      </c>
      <c r="EH189" s="1596" t="e">
        <f aca="false">IF(BQ189,IF(OCallPut,IF(BX189&gt;(CR189+CZ189),BX189-(CR189+CZ189),0),IF((CR189+CZ189)&gt;BX189,(CR189+CZ189)-BX189,0))*BC189,0)</f>
        <v>#VALUE!</v>
      </c>
      <c r="EI189" s="1597" t="e">
        <f aca="false">IF(BQ189,IF(OVolType,IF(OCallPut,IF(BZ189&gt;(CS189+DA189),BZ189-(CS189+DA189),0),IF((CS189+DA189)&gt;BZ189,(CS189+DA189)-BZ189,0))*BQ189,SUM(EE189:EH189)),0)</f>
        <v>#VALUE!</v>
      </c>
      <c r="EJ189" s="1595" t="e">
        <f aca="false">DZ189-EE189</f>
        <v>#VALUE!</v>
      </c>
      <c r="EK189" s="1596" t="e">
        <f aca="false">EA189-EF189</f>
        <v>#VALUE!</v>
      </c>
      <c r="EL189" s="1596" t="e">
        <f aca="false">EB189-EG189</f>
        <v>#VALUE!</v>
      </c>
      <c r="EM189" s="1596" t="e">
        <f aca="false">EC189-EH189</f>
        <v>#VALUE!</v>
      </c>
      <c r="EN189" s="1597" t="e">
        <f aca="false">ED189-EI189</f>
        <v>#VALUE!</v>
      </c>
      <c r="EO189" s="1551" t="e">
        <f aca="false">DH189*BH189</f>
        <v>#VALUE!</v>
      </c>
      <c r="EP189" s="1551" t="e">
        <f aca="false">DI189*BI189</f>
        <v>#VALUE!</v>
      </c>
      <c r="EQ189" s="1551" t="e">
        <f aca="false">DW189*BJ189</f>
        <v>#VALUE!</v>
      </c>
      <c r="ER189" s="1551" t="e">
        <f aca="false">DX189*BK189</f>
        <v>#VALUE!</v>
      </c>
      <c r="ES189" s="1551" t="e">
        <f aca="false">DY189*BS189</f>
        <v>#VALUE!</v>
      </c>
      <c r="ET189" s="1566" t="e">
        <f aca="false">IF(EI189,IF(OCallPut,IF(CA189&gt;(CT189+CW189),CA189-(CT189+CW189),0),IF((CT189+CW189)&gt;CA189,(CT189+CW189)-CA189,0))*BH189,0)</f>
        <v>#VALUE!</v>
      </c>
      <c r="EU189" s="1551" t="e">
        <f aca="false">IF(EI189,IF(OCallPut,IF(CB189&gt;(CT189+CX189),CB189-(CT189+CX189),0),IF((CT189+CX189)&gt;CB189,(CT189+CX189)-CB189,0))*BI189,0)</f>
        <v>#VALUE!</v>
      </c>
      <c r="EV189" s="1551" t="e">
        <f aca="false">IF(EI189,IF(OCallPut,IF(CC189&gt;(CT189+CY189),CC189-(CT189+CY189),0),IF((CT189+CY189)&gt;CC189,(CT189+CY189)-CC189,0))*BJ189,0)</f>
        <v>#VALUE!</v>
      </c>
      <c r="EW189" s="1551" t="e">
        <f aca="false">IF(EI189,IF(OCallPut,IF(CD189&gt;(CT189+CZ189),CD189-(CT189+CZ189),0),IF((CT189+CZ189)&gt;CD189,(CT189+CZ189)-CD189,0))*BK189,0)</f>
        <v>#VALUE!</v>
      </c>
      <c r="EX189" s="1558" t="e">
        <f aca="false">IF(EI189,SUM(ET189:EW189),0)</f>
        <v>#VALUE!</v>
      </c>
      <c r="EY189" s="1551" t="e">
        <f aca="false">EO189-ET189</f>
        <v>#VALUE!</v>
      </c>
      <c r="EZ189" s="1551" t="e">
        <f aca="false">EP189-EU189</f>
        <v>#VALUE!</v>
      </c>
      <c r="FA189" s="1551" t="e">
        <f aca="false">EQ189-EV189</f>
        <v>#VALUE!</v>
      </c>
      <c r="FB189" s="1551" t="e">
        <f aca="false">ER189-EW189</f>
        <v>#VALUE!</v>
      </c>
      <c r="FC189" s="1551" t="e">
        <f aca="false">ES189-EX189</f>
        <v>#VALUE!</v>
      </c>
      <c r="FD189" s="1525" t="n">
        <f aca="false">IF(AX189,IF(VLOOKUP(C189,MAIN!$L$17:$M$28,2)="Yes",VLOOKUP(CALC!B189,MAIN!$H$17:$I$20,2),0),0)</f>
        <v>0</v>
      </c>
      <c r="FE189" s="1552" t="e">
        <f aca="false">$FD189*16*AT189*(1-$AY189)</f>
        <v>#VALUE!</v>
      </c>
      <c r="FF189" s="1553" t="e">
        <f aca="false">$FD189*16*AU189*(1-$AY189)</f>
        <v>#VALUE!</v>
      </c>
      <c r="FG189" s="1553" t="e">
        <f aca="false">$FD189*16*(AV189+AW189)*(1-$AY189)</f>
        <v>#VALUE!</v>
      </c>
      <c r="FH189" s="1554" t="n">
        <f aca="false">$FD189*8*AX189*(1-$AY189)</f>
        <v>0</v>
      </c>
      <c r="FI189" s="1555" t="n">
        <f aca="false">IF(AX189,VLOOKUP(CALC!B189,MAIN!$H$17:$K$20,4),0)</f>
        <v>0</v>
      </c>
      <c r="FJ189" s="1553" t="e">
        <f aca="false">SUM(FE189:FH189)</f>
        <v>#VALUE!</v>
      </c>
      <c r="FK189" s="1556" t="e">
        <f aca="false">FI189*FJ189</f>
        <v>#VALUE!</v>
      </c>
      <c r="FL189" s="1551" t="e">
        <f aca="false">IF($EI189&gt;0,MIN(FE189,AZ189*(1+VLOOKUP($C189,WeatherCapacityAdjustment,2))),0)</f>
        <v>#VALUE!</v>
      </c>
      <c r="FM189" s="1551" t="e">
        <f aca="false">IF($EI189&gt;0,MIN(FF189,BA189*(1+VLOOKUP($C189,WeatherCapacityAdjustment,2))),0)</f>
        <v>#VALUE!</v>
      </c>
      <c r="FN189" s="1551" t="e">
        <f aca="false">IF($EI189&gt;0,MIN(FG189,BB189*(1+VLOOKUP($C189,WeatherCapacityAdjustment,2))),0)</f>
        <v>#VALUE!</v>
      </c>
      <c r="FO189" s="1564" t="e">
        <f aca="false">IF($EI189&gt;0,MIN(FH189,BC189*(1+VLOOKUP($C189,WeatherCapacityAdjustment,3))),0)</f>
        <v>#VALUE!</v>
      </c>
      <c r="FP189" s="1551" t="e">
        <f aca="false">IF(ET189&gt;0,MIN(FE189-FL189,BH189*(1+VLOOKUP($C189,WeatherCapacityAdjustment,2))),0)</f>
        <v>#VALUE!</v>
      </c>
      <c r="FQ189" s="1551" t="e">
        <f aca="false">IF(EU189&gt;0,MIN(FF189-FM189,BI189*(1+VLOOKUP($C189,WeatherCapacityAdjustment,2))),0)</f>
        <v>#VALUE!</v>
      </c>
      <c r="FR189" s="1551" t="e">
        <f aca="false">IF(EV189&gt;0,MIN(FG189-FN189,BJ189*(1+VLOOKUP($C189,WeatherCapacityAdjustment,2))),0)</f>
        <v>#VALUE!</v>
      </c>
      <c r="FS189" s="1558" t="e">
        <f aca="false">IF(EW189&gt;0,MIN(FH189-FO189,BK189*(1+VLOOKUP($C189,WeatherCapacityAdjustment,3))),0)</f>
        <v>#VALUE!</v>
      </c>
      <c r="FT189" s="1566" t="e">
        <f aca="false">IF(AND(Assumptions!$H$71="Yes",A189&gt;=Assumptions!$H$72,A189&lt;=Assumptions!$H$73),0,IF(AND($A189&gt;=Assumptions!$C$17,$A189&lt;=Assumptions!$C$18),MAX(AZ189*(1+VLOOKUP($C189,WeatherCapacityAdjustment,2))-FL189,0),0))</f>
        <v>#VALUE!</v>
      </c>
      <c r="FU189" s="1551" t="e">
        <f aca="false">IF(AND(Assumptions!$H$71="Yes",A189&gt;=Assumptions!$H$72,A189&lt;=Assumptions!$H$73),0,IF(AND($A189&gt;=Assumptions!$C$17,$A189&lt;=Assumptions!$C$18),MAX(BA189*(1+VLOOKUP($C189,WeatherCapacityAdjustment,2))-FM189,0),0))</f>
        <v>#VALUE!</v>
      </c>
      <c r="FV189" s="1551" t="e">
        <f aca="false">IF(AND(Assumptions!$H$71="Yes",A189&gt;=Assumptions!$H$72,A189&lt;=Assumptions!$H$73),0,IF(AND($A189&gt;=Assumptions!$C$17,$A189&lt;=Assumptions!$C$18),MAX(BB189*(1+VLOOKUP($C189,WeatherCapacityAdjustment,2))-FN189,0),0))</f>
        <v>#VALUE!</v>
      </c>
      <c r="FW189" s="1564" t="e">
        <f aca="false">IF(AND(Assumptions!$H$71="Yes",A189&gt;=Assumptions!$H$72,A189&lt;=Assumptions!$H$73),0,IF(AND($A189&gt;=Assumptions!$C$17,$A189&lt;=Assumptions!$C$18),MAX(BC189*(1+VLOOKUP($C189,WeatherCapacityAdjustment,3))-FO189,0),0))</f>
        <v>#VALUE!</v>
      </c>
      <c r="FX189" s="1569" t="e">
        <f aca="false">IF(AND(Assumptions!$H$71="Yes",A189&gt;=Assumptions!$H$72,A189&lt;=Assumptions!$H$73),0,IF(ET189&gt;0,MAX(BH189*(1+VLOOKUP($C189,WeatherCapacityAdjustment,2))-FP189,0),0))</f>
        <v>#VALUE!</v>
      </c>
      <c r="FY189" s="1551" t="e">
        <f aca="false">IF(AND(Assumptions!$H$71="Yes",A189&gt;=Assumptions!$H$72,A189&lt;=Assumptions!$H$73),0,IF(EU189&gt;0,MAX(BI189*(1+VLOOKUP($C189,WeatherCapacityAdjustment,3))-FQ189,0),0))</f>
        <v>#VALUE!</v>
      </c>
      <c r="FZ189" s="1551" t="e">
        <f aca="false">IF(AND(Assumptions!$H$71="Yes",A189&gt;=Assumptions!$H$72,A189&lt;=Assumptions!$H$73),0,IF(EV189&gt;0,MAX(BJ189*(1+VLOOKUP($C189,WeatherCapacityAdjustment,2))-FR189,0),0))</f>
        <v>#VALUE!</v>
      </c>
      <c r="GA189" s="1564" t="e">
        <f aca="false">IF(AND(Assumptions!$H$71="Yes",A189&gt;=Assumptions!$H$72,A189&lt;=Assumptions!$H$73),0,IF(EW189&gt;0,MAX(BK189*(1+VLOOKUP($C189,WeatherCapacityAdjustment,2))-FS189,0),0))</f>
        <v>#VALUE!</v>
      </c>
      <c r="GB189" s="1551" t="e">
        <f aca="false">SUM(FT189:GA189)</f>
        <v>#VALUE!</v>
      </c>
      <c r="GC189" s="1563" t="e">
        <f aca="false">+IF(SUM(FT189:GA189)=0,0,(SUMPRODUCT(BU189:BX189,FT189:FW189)+SUMPRODUCT(CA189:CD189,FX189:GA189))/SUM(FT189:GA189))</f>
        <v>#VALUE!</v>
      </c>
      <c r="GD189" s="1551" t="e">
        <f aca="false">(FT189*BU189+FX189*CA189+FU189*BV189+FY189*CB189+FV189*BW189+FZ189*CC189+FW189*BX189+GA189*CD189)</f>
        <v>#VALUE!</v>
      </c>
      <c r="GE189" s="1561" t="e">
        <f aca="false">+IF(BQ189,((FL189+FM189+FT189+FU189)*HeatRatePeak/1000*(1+VLOOKUP($C189,WeatherHeatRateAdjustment,2))+(FN189+FV189)*IF(EV189&gt;0,HeatRatePeak,HeatRateOffPeak)/1000*(1+VLOOKUP($C189,WeatherHeatRateAdjustment,2))+(FO189+FW189)*IF(EW189&gt;0,HeatRatePeak,HeatRateOffPeak)/1000*(1+VLOOKUP($C189,WeatherHeatRateAdjustment,3)))*(1+VLOOKUP($B189,HeatRateDegradation,$C189+1)),0)</f>
        <v>#VALUE!</v>
      </c>
      <c r="GF189" s="1562" t="e">
        <f aca="false">IF(BQ189,((FP189+FQ189+FR189+FX189+FY189+FZ189)*HeatRatePeak/1000*(1+VLOOKUP($C189,WeatherHeatRateAdjustment,2))+(FS189+GA189)*HeatRatePeak/1000*(1+VLOOKUP($C189,WeatherHeatRateAdjustment,3)))*(1+VLOOKUP($B189,HeatRateDegradation,$C189+1)),0)</f>
        <v>#VALUE!</v>
      </c>
      <c r="GG189" s="1563" t="e">
        <f aca="false">IF(BQ189,VLOOKUP(A189,GasTable,13),0)</f>
        <v>#VALUE!</v>
      </c>
      <c r="GH189" s="1564" t="e">
        <f aca="false">(GE189+GF189)*GG189</f>
        <v>#VALUE!</v>
      </c>
      <c r="GI189" s="1569" t="e">
        <f aca="false">GB189</f>
        <v>#VALUE!</v>
      </c>
      <c r="GJ189" s="1598" t="e">
        <f aca="false">+DA189</f>
        <v>#VALUE!</v>
      </c>
      <c r="GK189" s="1558" t="e">
        <f aca="false">+GI189*GJ189</f>
        <v>#VALUE!</v>
      </c>
      <c r="GL189" s="1566" t="e">
        <f aca="false">MAX(FE189-FL189-FP189,0)</f>
        <v>#VALUE!</v>
      </c>
      <c r="GM189" s="1551" t="e">
        <f aca="false">MAX(FF189-FM189-FQ189,0)</f>
        <v>#VALUE!</v>
      </c>
      <c r="GN189" s="1551" t="e">
        <f aca="false">MAX(FG189-FN189-FR189,0)</f>
        <v>#VALUE!</v>
      </c>
      <c r="GO189" s="1564" t="e">
        <f aca="false">MAX(FH189-FO189-FS189,0)</f>
        <v>#VALUE!</v>
      </c>
      <c r="GP189" s="1551" t="e">
        <f aca="false">SUM(GL189:GO189)</f>
        <v>#VALUE!</v>
      </c>
      <c r="GQ189" s="1563" t="e">
        <f aca="false">IF(SUM(GL189:GO189)=0,0,((GL189*BU189+GM189*BV189+GN189*BW189+GO189*BX189)/SUM(GL189:GO189)))</f>
        <v>#VALUE!</v>
      </c>
      <c r="GR189" s="1558" t="e">
        <f aca="false">(GL189*BU189+GM189*BV189+GN189*BW189+GO189*BX189)</f>
        <v>#VALUE!</v>
      </c>
      <c r="GS189" s="1566" t="n">
        <f aca="false">IF($A189&gt;=BegDate,Assumptions!$C$56*24*($A190-$A189)*(1-VLOOKUP($B189,MAIN!$AA$7:$AM$28,$C189+1))*(1-VLOOKUP($B189,MAIN!$AA$33:$AM$54,$C189+1)),0)*80/168</f>
        <v>249428.571428571</v>
      </c>
      <c r="GT189" s="286" t="n">
        <f aca="false">J189</f>
        <v>70.7897717425705</v>
      </c>
      <c r="GU189" s="286" t="n">
        <f aca="false">IF($A189&gt;=BegDate,VLOOKUP($A189,GasTable,13)+Assumptions!$C$58,0)</f>
        <v>3.34797640768049</v>
      </c>
      <c r="GV189" s="286" t="n">
        <f aca="false">GU189*Assumptions!$C$57/1000</f>
        <v>24.2728289556835</v>
      </c>
      <c r="GW189" s="1558" t="n">
        <f aca="false">IF(Assumptions!$C$60="Hourly",MAX(0,GS189*(GT189-GV189)),GS189*(GT189-GV189))</f>
        <v>11602654.5865578</v>
      </c>
      <c r="GX189" s="1566" t="n">
        <f aca="false">IF($A189&gt;=BegDate,Assumptions!$C$56*24*($A190-$A189)*(1-VLOOKUP($B189,MAIN!$AA$7:$AM$28,$C189+1))*(1-VLOOKUP($B189,MAIN!$AA$33:$AM$54,$C189+1)),0)*16/168</f>
        <v>49885.7142857143</v>
      </c>
      <c r="GY189" s="286" t="n">
        <f aca="false">M189</f>
        <v>70.7897717425705</v>
      </c>
      <c r="GZ189" s="286" t="n">
        <f aca="false">IF($A189&gt;=BegDate,VLOOKUP($A189,GasTable,13)+Assumptions!$C$58,0)</f>
        <v>3.34797640768049</v>
      </c>
      <c r="HA189" s="286" t="n">
        <f aca="false">GZ189*Assumptions!$C$57/1000</f>
        <v>24.2728289556835</v>
      </c>
      <c r="HB189" s="1558" t="n">
        <f aca="false">IF(Assumptions!$C$60="Hourly",MAX(0,GX189*(GY189-HA189)),GX189*(GY189-HA189))</f>
        <v>2320530.91731156</v>
      </c>
      <c r="HC189" s="1566" t="n">
        <f aca="false">IF($A189&gt;=BegDate,Assumptions!$C$56*24*($A190-$A189)*(1-VLOOKUP($B189,MAIN!$AA$7:$AM$28,$C189+1))*(1-VLOOKUP($B189,MAIN!$AA$33:$AM$54,$C189+1)),0)*16/168</f>
        <v>49885.7142857143</v>
      </c>
      <c r="HD189" s="286" t="n">
        <f aca="false">P189</f>
        <v>33.8150739482701</v>
      </c>
      <c r="HE189" s="286" t="n">
        <f aca="false">IF($A189&gt;=BegDate,VLOOKUP($A189,GasTable,13)+Assumptions!$C$58,0)</f>
        <v>3.34797640768049</v>
      </c>
      <c r="HF189" s="286" t="n">
        <f aca="false">HE189*Assumptions!$C$57/1000</f>
        <v>24.2728289556835</v>
      </c>
      <c r="HG189" s="1558" t="n">
        <f aca="false">IF(Assumptions!$C$60="Hourly",MAX(0,HC189*(HD189-HF189)),HC189*(HD189-HF189))</f>
        <v>476021.70734446</v>
      </c>
      <c r="HH189" s="1566" t="n">
        <f aca="false">IF($A189&gt;=BegDate,Assumptions!$C$56*24*($A190-$A189)*(1-VLOOKUP($B189,MAIN!$AA$7:$AM$28,$C189+1))*(1-VLOOKUP($B189,MAIN!$AA$33:$AM$54,$C189+1)),0)*56/168</f>
        <v>174600</v>
      </c>
      <c r="HI189" s="286" t="n">
        <f aca="false">S189</f>
        <v>33.8150739482701</v>
      </c>
      <c r="HJ189" s="286" t="n">
        <f aca="false">IF($A189&gt;=BegDate,VLOOKUP($A189,GasTable,13)+Assumptions!$C$58,0)</f>
        <v>3.34797640768049</v>
      </c>
      <c r="HK189" s="286" t="n">
        <f aca="false">HJ189*Assumptions!$C$57/1000</f>
        <v>24.2728289556835</v>
      </c>
      <c r="HL189" s="1558" t="n">
        <f aca="false">IF(Assumptions!$C$60="Hourly",MAX(0,HH189*(HI189-HK189)),HH189*(HI189-HK189))</f>
        <v>1666075.97570561</v>
      </c>
      <c r="HM189" s="1566" t="n">
        <f aca="false">IF(AND(Assumptions!$H$71="Yes",A189&gt;=Assumptions!$H$72,A189&lt;=Assumptions!$H$73),Assumptions!$H$74*Assumptions!$C$9*1000,0)</f>
        <v>0</v>
      </c>
      <c r="HN189" s="1551"/>
      <c r="HO189" s="1563"/>
      <c r="HP189" s="1563"/>
      <c r="HQ189" s="1563"/>
      <c r="HR189" s="1563"/>
      <c r="HS189" s="1563"/>
      <c r="HT189" s="1563"/>
      <c r="HU189" s="1563"/>
      <c r="HV189" s="1563"/>
      <c r="HW189" s="1563"/>
      <c r="HX189" s="1563"/>
      <c r="HY189" s="1563"/>
      <c r="HZ189" s="1563"/>
      <c r="IA189" s="1563"/>
      <c r="IB189" s="1563"/>
      <c r="IC189" s="1563"/>
      <c r="ID189" s="1563"/>
      <c r="IE189" s="1563"/>
      <c r="IF189" s="1563"/>
      <c r="IG189" s="1563"/>
      <c r="IH189" s="1563"/>
      <c r="II189" s="1610"/>
      <c r="IJ189" s="1309"/>
      <c r="IK189" s="1309"/>
    </row>
    <row r="190" customFormat="false" ht="12.75" hidden="false" customHeight="false" outlineLevel="0" collapsed="false">
      <c r="A190" s="1571" t="n">
        <f aca="false">EOMONTH(A189,0)+1</f>
        <v>41913</v>
      </c>
      <c r="B190" s="594" t="n">
        <f aca="false">+YEAR(A190)</f>
        <v>2014</v>
      </c>
      <c r="C190" s="238" t="n">
        <f aca="false">MONTH(A190)</f>
        <v>10</v>
      </c>
      <c r="D190" s="1572" t="e">
        <f aca="false">IF(E190="","",Holiday(B190,C190))</f>
        <v>#VALUE!</v>
      </c>
      <c r="E190" s="1573" t="n">
        <f aca="false">IF(OR(BegDate&gt;=A191,EndDate&lt;A190,AND(VolumeMonthlyOverFlag,INDEX(VolumeMonthlyOver,C190)=0),NOT(INDEX(MonthKnockOutTable,C190))),"",MAX(A190,BegDate))</f>
        <v>41913</v>
      </c>
      <c r="F190" s="1574" t="n">
        <f aca="false">IF(E190="","",MIN(A191-1,EndDate))</f>
        <v>41943</v>
      </c>
      <c r="G190" s="1575" t="n">
        <v>0</v>
      </c>
      <c r="H190" s="1576" t="n">
        <f aca="false">(1+G190/2)^(-2*(DATE(B191,C191,20)-DateToday)/365.25)</f>
        <v>1</v>
      </c>
      <c r="I190" s="1568" t="n">
        <f aca="false">IF(Assumptions!$L$25=4,VLOOKUP($A190,'Henwood Reference'!$E$9:$R$320,10),(VLOOKUP($A190,PriceTable,2,0)+IF(BasisNumber&lt;&gt;1,VLOOKUP($A190,BasisTable,2,0),0)+I$1)/(1-I$2))</f>
        <v>52.4966501193431</v>
      </c>
      <c r="J190" s="1568" t="n">
        <f aca="false">IF(Assumptions!$L$25=4,VLOOKUP($A190,'Henwood Reference'!$E$9:$R$320,10),(VLOOKUP($A190,PriceTable,3,0)+IF(BasisNumber&lt;&gt;1,VLOOKUP($A190,BasisTable,2,0),0)+J$1)/(1-J$2))</f>
        <v>52.4966501193431</v>
      </c>
      <c r="K190" s="1568" t="n">
        <f aca="false">IF(Assumptions!$L$25=4,VLOOKUP($A190,'Henwood Reference'!$E$9:$R$320,10),(VLOOKUP($A190,PriceTable,4,0)+IF(BasisNumber&lt;&gt;1,VLOOKUP($A190,BasisTable,2,0),0)+K$1)/(1-K$2))</f>
        <v>52.4966501193431</v>
      </c>
      <c r="L190" s="1523" t="n">
        <f aca="false">IF(Assumptions!$L$25=4,VLOOKUP($A190,'Henwood Reference'!$E$9:$R$320,10),(VLOOKUP($A190,PriceTableWeekend,2,0)+IF(BasisNumber&lt;&gt;1,VLOOKUP($A190,BasisTable,2,0),0)+L$1)/(1-L$2))</f>
        <v>52.4966501193431</v>
      </c>
      <c r="M190" s="1568" t="n">
        <f aca="false">IF(Assumptions!$L$25=4,VLOOKUP($A190,'Henwood Reference'!$E$9:$R$320,10),(VLOOKUP($A190,PriceTableWeekend,3,0)+IF(BasisNumber&lt;&gt;1,VLOOKUP($A190,BasisTable,2,0),0)+M$1)/(1-M$2))</f>
        <v>52.4966501193431</v>
      </c>
      <c r="N190" s="1599" t="n">
        <f aca="false">IF(Assumptions!$L$25=4,VLOOKUP($A190,'Henwood Reference'!$E$9:$R$320,10),(VLOOKUP($A190,PriceTableWeekend,4,0)+IF(BasisNumber&lt;&gt;1,VLOOKUP($A190,BasisTable,2,0),0)+N$1)/(1-N$2))</f>
        <v>52.4966501193431</v>
      </c>
      <c r="O190" s="1568" t="n">
        <f aca="false">IF(Assumptions!$L$25=4,VLOOKUP($A190,'Henwood Reference'!$E$9:$R$320,11),(VLOOKUP($A190,PriceTableWeekend,6,0)+IF(BasisNumber&lt;&gt;1,VLOOKUP($A190,BasisTable,3,0),0)+O$1)/(1-O$2))</f>
        <v>29.2202530516562</v>
      </c>
      <c r="P190" s="1568" t="n">
        <f aca="false">IF(Assumptions!$L$25=4,VLOOKUP($A190,'Henwood Reference'!$E$9:$R$320,11),(VLOOKUP($A190,PriceTableWeekend,7,0)+IF(BasisNumber&lt;&gt;1,VLOOKUP($A190,BasisTable,3,0),0)+P$1)/(1-P$2))</f>
        <v>29.2202530516562</v>
      </c>
      <c r="Q190" s="1599" t="n">
        <f aca="false">IF(Assumptions!$L$25=4,VLOOKUP($A190,'Henwood Reference'!$E$9:$R$320,11),(VLOOKUP($A190,PriceTableWeekend,8,0)+IF(BasisNumber&lt;&gt;1,VLOOKUP($A190,BasisTable,3,0),0)+Q$1)/(1-Q$2))</f>
        <v>29.2202530516562</v>
      </c>
      <c r="R190" s="1568" t="n">
        <f aca="false">IF(Assumptions!$L$25=4,VLOOKUP($A190,'Henwood Reference'!$E$9:$R$320,11),(VLOOKUP($A190,PriceTable,6,0)+IF(BasisNumber&lt;&gt;1,VLOOKUP($A190,BasisTable,3,0),0)+R$1)/(1-R$2))</f>
        <v>29.2202530516562</v>
      </c>
      <c r="S190" s="1568" t="n">
        <f aca="false">IF(Assumptions!$L$25=4,VLOOKUP($A190,'Henwood Reference'!$E$9:$R$320,11),(VLOOKUP($A190,PriceTable,7,0)+IF(BasisNumber&lt;&gt;1,VLOOKUP($A190,BasisTable,3,0),0)+S$1)/(1-S$2))</f>
        <v>29.2202530516562</v>
      </c>
      <c r="T190" s="1600" t="n">
        <f aca="false">IF(Assumptions!$L$25=4,VLOOKUP($A190,'Henwood Reference'!$E$9:$R$320,11),(VLOOKUP($A190,PriceTable,8,0)+IF(BasisNumber&lt;&gt;1,VLOOKUP($A190,BasisTable,3,0),0)+T$1)/(1-T$2))</f>
        <v>29.2202530516562</v>
      </c>
      <c r="U190" s="1513" t="n">
        <f aca="false">VLOOKUP($A190,VolatilityTable,14)</f>
        <v>0.0999999999999999</v>
      </c>
      <c r="V190" s="1513" t="n">
        <f aca="false">VLOOKUP($A190,VolatilityTable,15)</f>
        <v>0.11</v>
      </c>
      <c r="W190" s="1514" t="n">
        <f aca="false">VLOOKUP($A190,VolatilityTable,16)</f>
        <v>0.12</v>
      </c>
      <c r="X190" s="1513" t="n">
        <f aca="false">VLOOKUP($A190,VolatilityTable,14)</f>
        <v>0.0999999999999999</v>
      </c>
      <c r="Y190" s="1513" t="n">
        <f aca="false">VLOOKUP($A190,VolatilityTable,15)</f>
        <v>0.11</v>
      </c>
      <c r="Z190" s="1514" t="n">
        <f aca="false">VLOOKUP($A190,VolatilityTable,16)</f>
        <v>0.12</v>
      </c>
      <c r="AA190" s="1513" t="n">
        <f aca="false">VLOOKUP($A190,VolatilityTable,18)</f>
        <v>0.09</v>
      </c>
      <c r="AB190" s="1513" t="n">
        <f aca="false">VLOOKUP($A190,VolatilityTable,19)</f>
        <v>0.11</v>
      </c>
      <c r="AC190" s="1514" t="n">
        <f aca="false">VLOOKUP($A190,VolatilityTable,20)</f>
        <v>0.13</v>
      </c>
      <c r="AD190" s="1513" t="n">
        <f aca="false">VLOOKUP($A190,VolatilityTable,18)</f>
        <v>0.09</v>
      </c>
      <c r="AE190" s="1513" t="n">
        <f aca="false">VLOOKUP($A190,VolatilityTable,19)</f>
        <v>0.11</v>
      </c>
      <c r="AF190" s="1514" t="n">
        <f aca="false">VLOOKUP($A190,VolatilityTable,20)</f>
        <v>0.13</v>
      </c>
      <c r="AG190" s="1513" t="n">
        <f aca="false">VLOOKUP($A190,VolatilityTable,22)</f>
        <v>-0.1</v>
      </c>
      <c r="AH190" s="1513" t="n">
        <f aca="false">VLOOKUP($A190,VolatilityTable,23)</f>
        <v>3</v>
      </c>
      <c r="AI190" s="1514" t="n">
        <f aca="false">VLOOKUP($A190,VolatilityTable,24)</f>
        <v>0.1</v>
      </c>
      <c r="AJ190" s="1513" t="n">
        <f aca="false">VLOOKUP($A190,VolatilityTable,22)</f>
        <v>-0.1</v>
      </c>
      <c r="AK190" s="1513" t="n">
        <f aca="false">VLOOKUP($A190,VolatilityTable,23)</f>
        <v>3</v>
      </c>
      <c r="AL190" s="1514" t="n">
        <f aca="false">VLOOKUP($A190,VolatilityTable,24)</f>
        <v>0.1</v>
      </c>
      <c r="AM190" s="1513" t="n">
        <f aca="false">VLOOKUP($A190,VolatilityTable,26)</f>
        <v>-0.01</v>
      </c>
      <c r="AN190" s="1513" t="n">
        <f aca="false">VLOOKUP($A190,VolatilityTable,27)</f>
        <v>0.16</v>
      </c>
      <c r="AO190" s="1514" t="n">
        <f aca="false">VLOOKUP($A190,VolatilityTable,28)</f>
        <v>0.01</v>
      </c>
      <c r="AP190" s="1513" t="n">
        <f aca="false">VLOOKUP($A190,VolatilityTable,26)</f>
        <v>-0.01</v>
      </c>
      <c r="AQ190" s="1513" t="n">
        <f aca="false">VLOOKUP($A190,VolatilityTable,27)</f>
        <v>0.16</v>
      </c>
      <c r="AR190" s="1515" t="n">
        <f aca="false">VLOOKUP($A190,VolatilityTable,28)</f>
        <v>0.01</v>
      </c>
      <c r="AS190" s="1581" t="n">
        <f aca="false">IF(CorrPeakOffPeakOverFlag,INDEX(CorrPeakOffPeakOver,C190),CorrPeakOffPeak)</f>
        <v>0.5</v>
      </c>
      <c r="AT190" s="594" t="e">
        <f aca="false">AX190-SUM(AU190:AW190)</f>
        <v>#VALUE!</v>
      </c>
      <c r="AU190" s="238" t="e">
        <f aca="false">IF(E190="",0,INT((F190-MOD(F190,7)-E190)/7)+1-IF(AW190,IF(WEEKDAY(D190)=7,1,0),0))</f>
        <v>#VALUE!</v>
      </c>
      <c r="AV190" s="238" t="e">
        <f aca="false">IF(E190="",0,INT((F190-MOD(F190-1,7)-E190)/7)+1-IF(AW190,IF(WEEKDAY(D190)=1,1,0),0))</f>
        <v>#VALUE!</v>
      </c>
      <c r="AW190" s="238" t="e">
        <f aca="false">IF(OR(E190="",D190="",D190&lt;BegDate,D190&gt;EndDate),0,1)</f>
        <v>#VALUE!</v>
      </c>
      <c r="AX190" s="238" t="n">
        <f aca="false">IF(E190="",0,F190-E190+1)</f>
        <v>31</v>
      </c>
      <c r="AY190" s="1582" t="n">
        <f aca="false">IF(E190="",0,MIN((1-(1-VLOOKUP(B190,MAIN!$AA$7:$AM$28,C190+1))*(1-VLOOKUP(B190,MAIN!$AA$33:$AM$54,C190+1))),1))</f>
        <v>0.03</v>
      </c>
      <c r="AZ190" s="1519" t="e">
        <v>#VALUE!</v>
      </c>
      <c r="BA190" s="1520" t="e">
        <v>#VALUE!</v>
      </c>
      <c r="BB190" s="1520" t="e">
        <v>#VALUE!</v>
      </c>
      <c r="BC190" s="1583" t="e">
        <v>#VALUE!</v>
      </c>
      <c r="BD190" s="1522" t="e">
        <v>#VALUE!</v>
      </c>
      <c r="BE190" s="1523" t="e">
        <v>#VALUE!</v>
      </c>
      <c r="BF190" s="1523" t="e">
        <v>#VALUE!</v>
      </c>
      <c r="BG190" s="1584" t="e">
        <v>#VALUE!</v>
      </c>
      <c r="BH190" s="1525" t="e">
        <v>#VALUE!</v>
      </c>
      <c r="BI190" s="1520" t="e">
        <v>#VALUE!</v>
      </c>
      <c r="BJ190" s="1520" t="e">
        <v>#VALUE!</v>
      </c>
      <c r="BK190" s="1583" t="e">
        <v>#VALUE!</v>
      </c>
      <c r="BL190" s="1522" t="e">
        <v>#VALUE!</v>
      </c>
      <c r="BM190" s="1523" t="e">
        <v>#VALUE!</v>
      </c>
      <c r="BN190" s="1523" t="e">
        <v>#VALUE!</v>
      </c>
      <c r="BO190" s="1523" t="e">
        <v>#VALUE!</v>
      </c>
      <c r="BP190" s="1525" t="e">
        <f aca="false">SUM(AZ190:BB190)</f>
        <v>#VALUE!</v>
      </c>
      <c r="BQ190" s="1529" t="e">
        <f aca="false">SUM(AZ190:BC190)</f>
        <v>#VALUE!</v>
      </c>
      <c r="BR190" s="1519" t="e">
        <f aca="false">SUM(BH190:BJ190)</f>
        <v>#VALUE!</v>
      </c>
      <c r="BS190" s="1529" t="e">
        <f aca="false">SUM(BH190:BK190)</f>
        <v>#VALUE!</v>
      </c>
      <c r="BT190" s="1316" t="n">
        <f aca="false">(IF(OVolType&lt;&gt;2,A190+14,IF(OptExpDateShift,ShiftBack(A190,OptExpDateShift,D189),A190))-DateToday)/365.25</f>
        <v>14.4640657084189</v>
      </c>
      <c r="BU190" s="1585" t="e">
        <f aca="false">IF(BQ190,IF(OPriceCurve,IF(OBuySell=OCallPut,I190/(1-AY190),K190/(1-AY190)),J190/(1-AY190))*BD190,0)</f>
        <v>#VALUE!</v>
      </c>
      <c r="BV190" s="1316" t="e">
        <f aca="false">IF(BQ190,IF(OPriceCurve,IF(OBuySell=OCallPut,L190/(1-AY190),N190/(1-AY190)),M190/(1-AY190))*BE190,0)</f>
        <v>#VALUE!</v>
      </c>
      <c r="BW190" s="1316" t="e">
        <f aca="false">IF(BQ190,IF(OPriceCurve,IF(OBuySell=OCallPut,O190/(1-AY190),Q190/(1-AY190)),P190/(1-AY190))*BF190,0)</f>
        <v>#VALUE!</v>
      </c>
      <c r="BX190" s="1316" t="e">
        <f aca="false">IF(BQ190,IF(OPriceCurve,IF(OBuySell=OCallPut,R190/(1-AY190),T190/(1-AY190)),S190/(1-AY190))*BG190,0)</f>
        <v>#VALUE!</v>
      </c>
      <c r="BY190" s="1316" t="e">
        <f aca="false">IF(BP190,(BU190*AZ190+BV190*BA190+BW190*BB190)/BP190,0)</f>
        <v>#VALUE!</v>
      </c>
      <c r="BZ190" s="1316" t="e">
        <f aca="false">IF(BQ190,(BY190*BP190+BX190*BC190)/BQ190,0)</f>
        <v>#VALUE!</v>
      </c>
      <c r="CA190" s="1531" t="e">
        <f aca="false">IF(BS190,IF(OPriceCurve,IF(OBuySell=OCallPut,I190/(1-AY190),K190/(1-AY190)),J190/(1-AY190))*BL190,0)</f>
        <v>#VALUE!</v>
      </c>
      <c r="CB190" s="1316" t="e">
        <f aca="false">IF(BS190,IF(OPriceCurve,IF(OBuySell=OCallPut,L190/(1-AY190),N190/(1-AY190)),M190/(1-AY190))*BM190,0)</f>
        <v>#VALUE!</v>
      </c>
      <c r="CC190" s="1316" t="e">
        <f aca="false">IF(BS190,IF(OPriceCurve,IF(OBuySell=OCallPut,O190/(1-AY190),Q190/(1-AY190)),P190/(1-AY190))*BN190,0)</f>
        <v>#VALUE!</v>
      </c>
      <c r="CD190" s="1316" t="e">
        <f aca="false">IF(BS190,IF(OPriceCurve,IF(OBuySell=OCallPut,R190/(1-AY190),T190/(1-AY190)),S190/(1-AY190))*BO190,0)</f>
        <v>#VALUE!</v>
      </c>
      <c r="CE190" s="1316" t="e">
        <f aca="false">IF(BR190,(BU190*BH190+BV190*BI190+BW190*BJ190)/BR190,0)</f>
        <v>#VALUE!</v>
      </c>
      <c r="CF190" s="1532" t="e">
        <f aca="false">IF(BS190,(CE190*BR190+CD190*BK190)/BS190,0)</f>
        <v>#VALUE!</v>
      </c>
      <c r="CG190" s="1586" t="e">
        <f aca="false">IF(OR(BQ190,BS190),IF(OVolType&lt;&gt;2,SQRT(IF(OVolOverMonthlyPeak,OVolOverMonthlyPeak,IF(OVolCurve,IF(OBuySell,U190,W190),V190))^2*(1-15/365.25/BT190)+IF(OVolOverDailyPeak,OVolOverDailyPeak,IF(OVolCurve,IF(OBuySell,AG190,AI190),AH190))^2*15/365.25/BT190),IF(OVolOverMonthlyPeak,OVolOverMonthlyPeak,IF(OVolCurve,IF(OBuySell,U190,W190),V190))),"")</f>
        <v>#VALUE!</v>
      </c>
      <c r="CH190" s="1587" t="e">
        <f aca="false">IF(OR(BQ190,BS190),IF(OVolType&lt;&gt;2,SQRT(IF(OVolOverMonthlyPeak,OVolOverMonthlyPeak,IF(OVolCurve,IF(OBuySell,X190,Z190),Y190))^2*(1-15/365.25/BT190)+IF(OVolOverDailyPeak,OVolOverDailyPeak,IF(OVolCurve,IF(OBuySell,AJ190,AL190),AK190))^2*15/365.25/BT190),IF(OVolOverMonthlyPeak,OVolOverMonthlyPeak,IF(OVolCurve,IF(OBuySell,X190,Z190),Y190))),"")</f>
        <v>#VALUE!</v>
      </c>
      <c r="CI190" s="1587" t="e">
        <f aca="false">IF(OR(BQ190,BS190),IF(OVolType&lt;&gt;2,SQRT(IF(OVolOverMonthlyPeak,OVolOverMonthlyPeak,IF(OVolCurve,IF(OBuySell,AA190,AC190),AB190))^2*(1-15/365.25/BT190)+IF(OVolOverDailyPeak,OVolOverDailyPeak,IF(OVolCurve,IF(OBuySell,AM190,AO190),AN190))^2*15/365.25/BT190),IF(OVolOverMonthlyPeak,OVolOverMonthlyPeak,IF(OVolCurve,IF(OBuySell,AA190,AC190),AB190))),"")</f>
        <v>#VALUE!</v>
      </c>
      <c r="CJ190" s="1587" t="e">
        <f aca="false">IF(BQ190,IF(BP190,SQRT(LN(1+((BU190*AZ190)^2*(EXP(CG190^2*BT190)-1)+(BV190*BA190)^2*(EXP(CH190^2*BT190)-1)+(BW190*BB190)^2*(EXP(CI190^2*BT190)-1)+2*BU190*AZ190*BV190*BA190*(EXP(CG190*CH190*BT190)-1)+2*BV190*BA190*BW190*BB190*(EXP(CH190*CI190*BT190)-1)+2*BW190*BB190*BU190*AZ190*(EXP(CI190*CG190*BT190)-1))/(BY190*BP190)^2)/BT190),0),"")</f>
        <v>#VALUE!</v>
      </c>
      <c r="CK190" s="1587" t="e">
        <f aca="false">IF(BS190,IF(BR190,SQRT(LN(1+((CA190*BH190)^2*(EXP(CG190^2*BT190)-1)+(CB190*BI190)^2*(EXP(CH190^2*BT190)-1)+(CC190*BJ190)^2*(EXP(CI190^2*BT190)-1)+2*CA190*BH190*CB190*BI190*(EXP(CG190*CH190*BT190)-1)+2*CB190*BI190*CC190*BJ190*(EXP(CH190*CI190*BT190)-1)+2*CC190*BJ190*CA190*BH190*(EXP(CI190*CG190*BT190)-1))/(CE190*BR190)^2)/BT190),0),"")</f>
        <v>#VALUE!</v>
      </c>
      <c r="CL190" s="1587" t="e">
        <f aca="false">IF(OR(BQ190,BS190),IF(OVolType&lt;&gt;2,SQRT(IF(OVolOverMonthlyOffPeak,OVolOverMonthlyOffPeak,IF(OVolCurve,IF(OBuySell,AD190,AF190),AE190))^2*(1-15/365.25/BT190)+IF(OVolOverDailyOffPeak,OVolOverDailyOffPeak,IF(OVolCurve,IF(OBuySell,AP190,AR190),AQ190))^2*15/365.25/BT190),IF(OVolOverMonthlyOffPeak,OVolOverMonthlyOffPeak,IF(OVolCurve,IF(OBuySell,AD190,AF190),AE190))),"")</f>
        <v>#VALUE!</v>
      </c>
      <c r="CM190" s="1587" t="e">
        <f aca="false">IF(BQ190,SQRT(LN(1+((BY190*BP190)^2*(EXP(CJ190^2*BT190)-1)+(BX190*BC190)^2*(EXP(CL190^2*BT190)-1)+2*BY190*BP190*BX190*BC190*(EXP(AS190*CJ190*CL190*BT190)-1))/(BY190*BP190+BX190*BC190)^2)/BT190),"")</f>
        <v>#VALUE!</v>
      </c>
      <c r="CN190" s="1588" t="e">
        <f aca="false">IF(BS190,SQRT(LN(1+((CE190*BR190)^2*(EXP(CK190^2*BT190)-1)+(CD190*BK190)^2*(EXP(CL190^2*BT190)-1)+2*CE190*BR190*CD190*BK190*(EXP(AS190*CK190*CL190*BT190)-1))/(CE190*BR190+CD190*BK190)^2)/BT190),"")</f>
        <v>#VALUE!</v>
      </c>
      <c r="CO190" s="1531" t="e">
        <f aca="false">IF(OR(BQ190,BS190),VLOOKUP(A190,GasTable,13)*HeatRatePeak*(1+VLOOKUP($B190,HeatRateDegradation,$C190+1))/1000,0)</f>
        <v>#VALUE!</v>
      </c>
      <c r="CP190" s="1316" t="e">
        <f aca="false">IF(OR(BQ190,BS190),VLOOKUP(A190,GasTable,13)*HeatRatePeak*(1+VLOOKUP($B190,HeatRateDegradation,$C190+1))/1000,0)</f>
        <v>#VALUE!</v>
      </c>
      <c r="CQ190" s="1316" t="e">
        <f aca="false">IF(OR(BQ190,BS190),VLOOKUP(A190,GasTable,13)*IF(EV190,HeatRatePeak,HeatRateOffPeak)*(1+VLOOKUP($B190,HeatRateDegradation,$C190+1))/1000,0)</f>
        <v>#VALUE!</v>
      </c>
      <c r="CR190" s="1316" t="e">
        <f aca="false">IF(OR(BQ190,BS190),VLOOKUP(A190,GasTable,13)*IF(EW190,HeatRatePeak,HeatRateOffPeak)*(1+VLOOKUP($B190,HeatRateDegradation,$C190+1))/1000,0)</f>
        <v>#VALUE!</v>
      </c>
      <c r="CS190" s="1589" t="e">
        <f aca="false">IF(BQ190,(CO190*AZ190+CP190*BA190+CQ190*BB190+CR190*BC190)/BQ190,0)</f>
        <v>#VALUE!</v>
      </c>
      <c r="CT190" s="1316" t="e">
        <f aca="false">IF(BS190,CO190,0)</f>
        <v>#VALUE!</v>
      </c>
      <c r="CU190" s="1590" t="e">
        <f aca="false">IF(OR(BQ190,BS190),VLOOKUP(A190,GasTable,14),"")</f>
        <v>#VALUE!</v>
      </c>
      <c r="CV190" s="1568" t="e">
        <f aca="false">IF(OR(BQ190,BS190),IF(CorrPowerGasOverFlag,INDEX(CorrPowerGasOver,C190),CorrPowerGas),"")</f>
        <v>#VALUE!</v>
      </c>
      <c r="CW190" s="1316" t="e">
        <f aca="false">IF(OR($BQ190,$BS190),SpreadOptPowerMargin,0)*((1+Assumptions!$C$26)^($B190-YEAR(Assumptions!$C$17)))</f>
        <v>#VALUE!</v>
      </c>
      <c r="CX190" s="1316" t="e">
        <f aca="false">IF(OR($BQ190,$BS190),SpreadOptPowerMargin,0)*((1+Assumptions!$C$26)^($B190-YEAR(Assumptions!$C$17)))</f>
        <v>#VALUE!</v>
      </c>
      <c r="CY190" s="1316" t="e">
        <f aca="false">IF(OR($BQ190,$BS190),SpreadOptPowerMargin,0)*((1+Assumptions!$C$26)^($B190-YEAR(Assumptions!$C$17)))</f>
        <v>#VALUE!</v>
      </c>
      <c r="CZ190" s="1316" t="e">
        <f aca="false">IF(OR($BQ190,$BS190),SpreadOptPowerMargin,0)*((1+Assumptions!$C$26)^($B190-YEAR(Assumptions!$C$17)))</f>
        <v>#VALUE!</v>
      </c>
      <c r="DA190" s="1591" t="e">
        <f aca="false">IF(OR(BQ190,BS190),(CW190*(AZ190+BH190)+CX190*(BA190+BI190)+CY190*(BB190+BJ190)+CZ190*(BC190+BK190))/(BQ190+BS190),0)</f>
        <v>#VALUE!</v>
      </c>
      <c r="DB190" s="1592" t="e">
        <f aca="false">IF(OR(BQ190,BS190),CG190+IF(OVolSmile,VLOOKUP(MAX(-5,CO190+CW190-BU190),IF(OVolSmile=1,VolSmileBook,VolSmileModel),2),0),"")</f>
        <v>#VALUE!</v>
      </c>
      <c r="DC190" s="1592" t="e">
        <f aca="false">IF(OR(BQ190,BS190),CH190+IF(OVolSmile,VLOOKUP(MAX(-5,CP190+CW190-BV190),IF(OVolSmile=1,VolSmileBook,VolSmileModel),2),0),"")</f>
        <v>#VALUE!</v>
      </c>
      <c r="DD190" s="1592" t="e">
        <f aca="false">IF(OR(BQ190,BS190),CI190+IF(OVolSmile,VLOOKUP(MAX(-5,CQ190+CW190-BW190),IF(OVolSmile=1,VolSmileBook,VolSmileModel),2),0),"")</f>
        <v>#VALUE!</v>
      </c>
      <c r="DE190" s="1592" t="e">
        <f aca="false">IF(OR(BQ190,BS190),CL190+IF(OVolSmile,VLOOKUP(MAX(-5,CR190+CZ190-BX190),IF(OVolSmile=1,VolSmileBook,VolSmileModel),2),0),"")</f>
        <v>#VALUE!</v>
      </c>
      <c r="DF190" s="1592" t="e">
        <f aca="false">IF(BQ190,CM190+IF(OVolSmile,VLOOKUP(MAX(-5,CS190+DA190-BZ190),IF(OVolSmile=1,VolSmileBook,VolSmileModel),2),0),"")</f>
        <v>#VALUE!</v>
      </c>
      <c r="DG190" s="1593" t="e">
        <f aca="false">IF(BS190,CN190+IF(OVolSmile,VLOOKUP(MAX(-5,CT190+DA190-CF190),IF(OVolSmile=1,VolSmileBook,VolSmileModel),2),0),"")</f>
        <v>#VALUE!</v>
      </c>
      <c r="DH190" s="1316" t="e">
        <f aca="false">IF(AND(BU190&gt;0,CO190&gt;0,DB190&gt;0,CU190&gt;0),newSPRDOPT(BU190,CO190,CW190,0,DB190,CU190,CV190,BT190*365.25,OCallPut,0),0)</f>
        <v>#VALUE!</v>
      </c>
      <c r="DI190" s="1316" t="e">
        <f aca="false">IF(AND(BV190&gt;0,CP190&gt;0,DC190&gt;0,CU190&gt;0),newSPRDOPT(BV190,CP190,CX190,0,DC190,CU190,CV190,BT190*365.25,OCallPut,0),0)</f>
        <v>#VALUE!</v>
      </c>
      <c r="DJ190" s="1316" t="e">
        <f aca="false">IF(AND(BW190&gt;0,CQ190&gt;0,DD190&gt;0,CU190&gt;0),newSPRDOPT(BW190,CQ190,CY190,0,DD190,CU190,CV190,BT190*365.25,OCallPut,0),0)</f>
        <v>#VALUE!</v>
      </c>
      <c r="DK190" s="1316" t="e">
        <f aca="false">IF(AND(BX190&gt;0,CR190&gt;0,DE190&gt;0,CU190&gt;0),newSPRDOPT(BX190,CR190,CZ190,0,DE190,CU190,CV190,BT190*365.25,OCallPut,0),0)</f>
        <v>#VALUE!</v>
      </c>
      <c r="DL190" s="1316" t="e">
        <f aca="false">IF(OVolType,IF(AND(BZ190&gt;0,CS190&gt;0,DF190&gt;0,CU190&gt;0),newSPRDOPT(BZ190,CS190,DA190,0,DF190,CU190,CV190,BT190*365.25,OCallPut,0),0),IF(BQ190,(DH190*AZ190+DI190*BA190+DJ190*BB190+DK190*BC190)/BQ190,0))</f>
        <v>#VALUE!</v>
      </c>
      <c r="DM190" s="1316"/>
      <c r="DN190" s="1316"/>
      <c r="DO190" s="1316"/>
      <c r="DP190" s="1316"/>
      <c r="DQ190" s="1316"/>
      <c r="DR190" s="1316"/>
      <c r="DS190" s="1316"/>
      <c r="DT190" s="1316"/>
      <c r="DU190" s="1316"/>
      <c r="DV190" s="1316"/>
      <c r="DW190" s="1594" t="e">
        <f aca="false">IF(AND(BW190&gt;0,CT190&gt;0,DD190&gt;0,CU190&gt;0),newSPRDOPT(BW190,CT190,CY190,0,DD190,CU190,CV190,BT190*365.25,OCallPut,0),0)</f>
        <v>#VALUE!</v>
      </c>
      <c r="DX190" s="1316" t="e">
        <f aca="false">IF(AND(BX190&gt;0,CT190&gt;0,DE190&gt;0,CU190&gt;0),newSPRDOPT(BX190,CT190,CZ190,0,DE190,CU190,CV190,BT190*365.25,OCallPut,0),0)</f>
        <v>#VALUE!</v>
      </c>
      <c r="DY190" s="1591" t="e">
        <f aca="false">IF(BS190,(DH190*BH190+DI190*BI190+DW190*BJ190+DX190*BK190)/BS190,0)</f>
        <v>#VALUE!</v>
      </c>
      <c r="DZ190" s="1551" t="e">
        <f aca="false">DH190*AZ190</f>
        <v>#VALUE!</v>
      </c>
      <c r="EA190" s="1551" t="e">
        <f aca="false">DI190*BA190</f>
        <v>#VALUE!</v>
      </c>
      <c r="EB190" s="1551" t="e">
        <f aca="false">DJ190*BB190</f>
        <v>#VALUE!</v>
      </c>
      <c r="EC190" s="1551" t="e">
        <f aca="false">DK190*BC190</f>
        <v>#VALUE!</v>
      </c>
      <c r="ED190" s="1551" t="e">
        <f aca="false">DL190*BQ190</f>
        <v>#VALUE!</v>
      </c>
      <c r="EE190" s="1595" t="e">
        <f aca="false">IF(BQ190,IF(OCallPut,IF(BU190&gt;(CO190+CW190),BU190-(CO190+CW190),0),IF((CO190+CW190)&gt;BU190,(CO190+CW190)-BU190,0))*AZ190,0)</f>
        <v>#VALUE!</v>
      </c>
      <c r="EF190" s="1596" t="e">
        <f aca="false">IF(BQ190,IF(OCallPut,IF(BV190&gt;(CP190+CX190),BV190-(CP190+CX190),0),IF((CP190+CX190)&gt;BV190,(CP190+CX190)-BV190,0))*BA190,0)</f>
        <v>#VALUE!</v>
      </c>
      <c r="EG190" s="1596" t="e">
        <f aca="false">IF(BQ190,IF(OCallPut,IF(BW190&gt;(CQ190+CY190),BW190-(CQ190+CY190),0),IF((CQ190+CY190)&gt;BW190,(CQ190+CY190)-BW190,0))*BB190,0)</f>
        <v>#VALUE!</v>
      </c>
      <c r="EH190" s="1596" t="e">
        <f aca="false">IF(BQ190,IF(OCallPut,IF(BX190&gt;(CR190+CZ190),BX190-(CR190+CZ190),0),IF((CR190+CZ190)&gt;BX190,(CR190+CZ190)-BX190,0))*BC190,0)</f>
        <v>#VALUE!</v>
      </c>
      <c r="EI190" s="1597" t="e">
        <f aca="false">IF(BQ190,IF(OVolType,IF(OCallPut,IF(BZ190&gt;(CS190+DA190),BZ190-(CS190+DA190),0),IF((CS190+DA190)&gt;BZ190,(CS190+DA190)-BZ190,0))*BQ190,SUM(EE190:EH190)),0)</f>
        <v>#VALUE!</v>
      </c>
      <c r="EJ190" s="1595" t="e">
        <f aca="false">DZ190-EE190</f>
        <v>#VALUE!</v>
      </c>
      <c r="EK190" s="1596" t="e">
        <f aca="false">EA190-EF190</f>
        <v>#VALUE!</v>
      </c>
      <c r="EL190" s="1596" t="e">
        <f aca="false">EB190-EG190</f>
        <v>#VALUE!</v>
      </c>
      <c r="EM190" s="1596" t="e">
        <f aca="false">EC190-EH190</f>
        <v>#VALUE!</v>
      </c>
      <c r="EN190" s="1597" t="e">
        <f aca="false">ED190-EI190</f>
        <v>#VALUE!</v>
      </c>
      <c r="EO190" s="1551" t="e">
        <f aca="false">DH190*BH190</f>
        <v>#VALUE!</v>
      </c>
      <c r="EP190" s="1551" t="e">
        <f aca="false">DI190*BI190</f>
        <v>#VALUE!</v>
      </c>
      <c r="EQ190" s="1551" t="e">
        <f aca="false">DW190*BJ190</f>
        <v>#VALUE!</v>
      </c>
      <c r="ER190" s="1551" t="e">
        <f aca="false">DX190*BK190</f>
        <v>#VALUE!</v>
      </c>
      <c r="ES190" s="1551" t="e">
        <f aca="false">DY190*BS190</f>
        <v>#VALUE!</v>
      </c>
      <c r="ET190" s="1566" t="e">
        <f aca="false">IF(EI190,IF(OCallPut,IF(CA190&gt;(CT190+CW190),CA190-(CT190+CW190),0),IF((CT190+CW190)&gt;CA190,(CT190+CW190)-CA190,0))*BH190,0)</f>
        <v>#VALUE!</v>
      </c>
      <c r="EU190" s="1551" t="e">
        <f aca="false">IF(EI190,IF(OCallPut,IF(CB190&gt;(CT190+CX190),CB190-(CT190+CX190),0),IF((CT190+CX190)&gt;CB190,(CT190+CX190)-CB190,0))*BI190,0)</f>
        <v>#VALUE!</v>
      </c>
      <c r="EV190" s="1551" t="e">
        <f aca="false">IF(EI190,IF(OCallPut,IF(CC190&gt;(CT190+CY190),CC190-(CT190+CY190),0),IF((CT190+CY190)&gt;CC190,(CT190+CY190)-CC190,0))*BJ190,0)</f>
        <v>#VALUE!</v>
      </c>
      <c r="EW190" s="1551" t="e">
        <f aca="false">IF(EI190,IF(OCallPut,IF(CD190&gt;(CT190+CZ190),CD190-(CT190+CZ190),0),IF((CT190+CZ190)&gt;CD190,(CT190+CZ190)-CD190,0))*BK190,0)</f>
        <v>#VALUE!</v>
      </c>
      <c r="EX190" s="1558" t="e">
        <f aca="false">IF(EI190,SUM(ET190:EW190),0)</f>
        <v>#VALUE!</v>
      </c>
      <c r="EY190" s="1551" t="e">
        <f aca="false">EO190-ET190</f>
        <v>#VALUE!</v>
      </c>
      <c r="EZ190" s="1551" t="e">
        <f aca="false">EP190-EU190</f>
        <v>#VALUE!</v>
      </c>
      <c r="FA190" s="1551" t="e">
        <f aca="false">EQ190-EV190</f>
        <v>#VALUE!</v>
      </c>
      <c r="FB190" s="1551" t="e">
        <f aca="false">ER190-EW190</f>
        <v>#VALUE!</v>
      </c>
      <c r="FC190" s="1551" t="e">
        <f aca="false">ES190-EX190</f>
        <v>#VALUE!</v>
      </c>
      <c r="FD190" s="1525" t="n">
        <f aca="false">IF(AX190,IF(VLOOKUP(C190,MAIN!$L$17:$M$28,2)="Yes",VLOOKUP(CALC!B190,MAIN!$H$17:$I$20,2),0),0)</f>
        <v>0</v>
      </c>
      <c r="FE190" s="1552" t="e">
        <f aca="false">$FD190*16*AT190*(1-$AY190)</f>
        <v>#VALUE!</v>
      </c>
      <c r="FF190" s="1553" t="e">
        <f aca="false">$FD190*16*AU190*(1-$AY190)</f>
        <v>#VALUE!</v>
      </c>
      <c r="FG190" s="1553" t="e">
        <f aca="false">$FD190*16*(AV190+AW190)*(1-$AY190)</f>
        <v>#VALUE!</v>
      </c>
      <c r="FH190" s="1554" t="n">
        <f aca="false">$FD190*8*AX190*(1-$AY190)</f>
        <v>0</v>
      </c>
      <c r="FI190" s="1555" t="n">
        <f aca="false">IF(AX190,VLOOKUP(CALC!B190,MAIN!$H$17:$K$20,4),0)</f>
        <v>0</v>
      </c>
      <c r="FJ190" s="1553" t="e">
        <f aca="false">SUM(FE190:FH190)</f>
        <v>#VALUE!</v>
      </c>
      <c r="FK190" s="1556" t="e">
        <f aca="false">FI190*FJ190</f>
        <v>#VALUE!</v>
      </c>
      <c r="FL190" s="1551" t="e">
        <f aca="false">IF($EI190&gt;0,MIN(FE190,AZ190*(1+VLOOKUP($C190,WeatherCapacityAdjustment,2))),0)</f>
        <v>#VALUE!</v>
      </c>
      <c r="FM190" s="1551" t="e">
        <f aca="false">IF($EI190&gt;0,MIN(FF190,BA190*(1+VLOOKUP($C190,WeatherCapacityAdjustment,2))),0)</f>
        <v>#VALUE!</v>
      </c>
      <c r="FN190" s="1551" t="e">
        <f aca="false">IF($EI190&gt;0,MIN(FG190,BB190*(1+VLOOKUP($C190,WeatherCapacityAdjustment,2))),0)</f>
        <v>#VALUE!</v>
      </c>
      <c r="FO190" s="1564" t="e">
        <f aca="false">IF($EI190&gt;0,MIN(FH190,BC190*(1+VLOOKUP($C190,WeatherCapacityAdjustment,3))),0)</f>
        <v>#VALUE!</v>
      </c>
      <c r="FP190" s="1551" t="e">
        <f aca="false">IF(ET190&gt;0,MIN(FE190-FL190,BH190*(1+VLOOKUP($C190,WeatherCapacityAdjustment,2))),0)</f>
        <v>#VALUE!</v>
      </c>
      <c r="FQ190" s="1551" t="e">
        <f aca="false">IF(EU190&gt;0,MIN(FF190-FM190,BI190*(1+VLOOKUP($C190,WeatherCapacityAdjustment,2))),0)</f>
        <v>#VALUE!</v>
      </c>
      <c r="FR190" s="1551" t="e">
        <f aca="false">IF(EV190&gt;0,MIN(FG190-FN190,BJ190*(1+VLOOKUP($C190,WeatherCapacityAdjustment,2))),0)</f>
        <v>#VALUE!</v>
      </c>
      <c r="FS190" s="1558" t="e">
        <f aca="false">IF(EW190&gt;0,MIN(FH190-FO190,BK190*(1+VLOOKUP($C190,WeatherCapacityAdjustment,3))),0)</f>
        <v>#VALUE!</v>
      </c>
      <c r="FT190" s="1566" t="e">
        <f aca="false">IF(AND(Assumptions!$H$71="Yes",A190&gt;=Assumptions!$H$72,A190&lt;=Assumptions!$H$73),0,IF(AND($A190&gt;=Assumptions!$C$17,$A190&lt;=Assumptions!$C$18),MAX(AZ190*(1+VLOOKUP($C190,WeatherCapacityAdjustment,2))-FL190,0),0))</f>
        <v>#VALUE!</v>
      </c>
      <c r="FU190" s="1551" t="e">
        <f aca="false">IF(AND(Assumptions!$H$71="Yes",A190&gt;=Assumptions!$H$72,A190&lt;=Assumptions!$H$73),0,IF(AND($A190&gt;=Assumptions!$C$17,$A190&lt;=Assumptions!$C$18),MAX(BA190*(1+VLOOKUP($C190,WeatherCapacityAdjustment,2))-FM190,0),0))</f>
        <v>#VALUE!</v>
      </c>
      <c r="FV190" s="1551" t="e">
        <f aca="false">IF(AND(Assumptions!$H$71="Yes",A190&gt;=Assumptions!$H$72,A190&lt;=Assumptions!$H$73),0,IF(AND($A190&gt;=Assumptions!$C$17,$A190&lt;=Assumptions!$C$18),MAX(BB190*(1+VLOOKUP($C190,WeatherCapacityAdjustment,2))-FN190,0),0))</f>
        <v>#VALUE!</v>
      </c>
      <c r="FW190" s="1564" t="e">
        <f aca="false">IF(AND(Assumptions!$H$71="Yes",A190&gt;=Assumptions!$H$72,A190&lt;=Assumptions!$H$73),0,IF(AND($A190&gt;=Assumptions!$C$17,$A190&lt;=Assumptions!$C$18),MAX(BC190*(1+VLOOKUP($C190,WeatherCapacityAdjustment,3))-FO190,0),0))</f>
        <v>#VALUE!</v>
      </c>
      <c r="FX190" s="1569" t="e">
        <f aca="false">IF(AND(Assumptions!$H$71="Yes",A190&gt;=Assumptions!$H$72,A190&lt;=Assumptions!$H$73),0,IF(ET190&gt;0,MAX(BH190*(1+VLOOKUP($C190,WeatherCapacityAdjustment,2))-FP190,0),0))</f>
        <v>#VALUE!</v>
      </c>
      <c r="FY190" s="1551" t="e">
        <f aca="false">IF(AND(Assumptions!$H$71="Yes",A190&gt;=Assumptions!$H$72,A190&lt;=Assumptions!$H$73),0,IF(EU190&gt;0,MAX(BI190*(1+VLOOKUP($C190,WeatherCapacityAdjustment,3))-FQ190,0),0))</f>
        <v>#VALUE!</v>
      </c>
      <c r="FZ190" s="1551" t="e">
        <f aca="false">IF(AND(Assumptions!$H$71="Yes",A190&gt;=Assumptions!$H$72,A190&lt;=Assumptions!$H$73),0,IF(EV190&gt;0,MAX(BJ190*(1+VLOOKUP($C190,WeatherCapacityAdjustment,2))-FR190,0),0))</f>
        <v>#VALUE!</v>
      </c>
      <c r="GA190" s="1564" t="e">
        <f aca="false">IF(AND(Assumptions!$H$71="Yes",A190&gt;=Assumptions!$H$72,A190&lt;=Assumptions!$H$73),0,IF(EW190&gt;0,MAX(BK190*(1+VLOOKUP($C190,WeatherCapacityAdjustment,2))-FS190,0),0))</f>
        <v>#VALUE!</v>
      </c>
      <c r="GB190" s="1551" t="e">
        <f aca="false">SUM(FT190:GA190)</f>
        <v>#VALUE!</v>
      </c>
      <c r="GC190" s="1563" t="e">
        <f aca="false">+IF(SUM(FT190:GA190)=0,0,(SUMPRODUCT(BU190:BX190,FT190:FW190)+SUMPRODUCT(CA190:CD190,FX190:GA190))/SUM(FT190:GA190))</f>
        <v>#VALUE!</v>
      </c>
      <c r="GD190" s="1551" t="e">
        <f aca="false">(FT190*BU190+FX190*CA190+FU190*BV190+FY190*CB190+FV190*BW190+FZ190*CC190+FW190*BX190+GA190*CD190)</f>
        <v>#VALUE!</v>
      </c>
      <c r="GE190" s="1561" t="e">
        <f aca="false">+IF(BQ190,((FL190+FM190+FT190+FU190)*HeatRatePeak/1000*(1+VLOOKUP($C190,WeatherHeatRateAdjustment,2))+(FN190+FV190)*IF(EV190&gt;0,HeatRatePeak,HeatRateOffPeak)/1000*(1+VLOOKUP($C190,WeatherHeatRateAdjustment,2))+(FO190+FW190)*IF(EW190&gt;0,HeatRatePeak,HeatRateOffPeak)/1000*(1+VLOOKUP($C190,WeatherHeatRateAdjustment,3)))*(1+VLOOKUP($B190,HeatRateDegradation,$C190+1)),0)</f>
        <v>#VALUE!</v>
      </c>
      <c r="GF190" s="1562" t="e">
        <f aca="false">IF(BQ190,((FP190+FQ190+FR190+FX190+FY190+FZ190)*HeatRatePeak/1000*(1+VLOOKUP($C190,WeatherHeatRateAdjustment,2))+(FS190+GA190)*HeatRatePeak/1000*(1+VLOOKUP($C190,WeatherHeatRateAdjustment,3)))*(1+VLOOKUP($B190,HeatRateDegradation,$C190+1)),0)</f>
        <v>#VALUE!</v>
      </c>
      <c r="GG190" s="1563" t="e">
        <f aca="false">IF(BQ190,VLOOKUP(A190,GasTable,13),0)</f>
        <v>#VALUE!</v>
      </c>
      <c r="GH190" s="1564" t="e">
        <f aca="false">(GE190+GF190)*GG190</f>
        <v>#VALUE!</v>
      </c>
      <c r="GI190" s="1569" t="e">
        <f aca="false">GB190</f>
        <v>#VALUE!</v>
      </c>
      <c r="GJ190" s="1598" t="e">
        <f aca="false">+DA190</f>
        <v>#VALUE!</v>
      </c>
      <c r="GK190" s="1558" t="e">
        <f aca="false">+GI190*GJ190</f>
        <v>#VALUE!</v>
      </c>
      <c r="GL190" s="1566" t="e">
        <f aca="false">MAX(FE190-FL190-FP190,0)</f>
        <v>#VALUE!</v>
      </c>
      <c r="GM190" s="1551" t="e">
        <f aca="false">MAX(FF190-FM190-FQ190,0)</f>
        <v>#VALUE!</v>
      </c>
      <c r="GN190" s="1551" t="e">
        <f aca="false">MAX(FG190-FN190-FR190,0)</f>
        <v>#VALUE!</v>
      </c>
      <c r="GO190" s="1564" t="e">
        <f aca="false">MAX(FH190-FO190-FS190,0)</f>
        <v>#VALUE!</v>
      </c>
      <c r="GP190" s="1551" t="e">
        <f aca="false">SUM(GL190:GO190)</f>
        <v>#VALUE!</v>
      </c>
      <c r="GQ190" s="1563" t="e">
        <f aca="false">IF(SUM(GL190:GO190)=0,0,((GL190*BU190+GM190*BV190+GN190*BW190+GO190*BX190)/SUM(GL190:GO190)))</f>
        <v>#VALUE!</v>
      </c>
      <c r="GR190" s="1558" t="e">
        <f aca="false">(GL190*BU190+GM190*BV190+GN190*BW190+GO190*BX190)</f>
        <v>#VALUE!</v>
      </c>
      <c r="GS190" s="1566" t="n">
        <f aca="false">IF($A190&gt;=BegDate,Assumptions!$C$56*24*($A191-$A190)*(1-VLOOKUP($B190,MAIN!$AA$7:$AM$28,$C190+1))*(1-VLOOKUP($B190,MAIN!$AA$33:$AM$54,$C190+1)),0)*80/168</f>
        <v>257742.857142857</v>
      </c>
      <c r="GT190" s="286" t="n">
        <f aca="false">J190</f>
        <v>52.4966501193431</v>
      </c>
      <c r="GU190" s="286" t="n">
        <f aca="false">IF($A190&gt;=BegDate,VLOOKUP($A190,GasTable,13)+Assumptions!$C$58,0)</f>
        <v>3.49107567472304</v>
      </c>
      <c r="GV190" s="286" t="n">
        <f aca="false">GU190*Assumptions!$C$57/1000</f>
        <v>25.310298641742</v>
      </c>
      <c r="GW190" s="1558" t="n">
        <f aca="false">IF(Assumptions!$C$60="Hourly",MAX(0,GS190*(GT190-GV190)),GS190*(GT190-GV190))</f>
        <v>7007087.90512685</v>
      </c>
      <c r="GX190" s="1566" t="n">
        <f aca="false">IF($A190&gt;=BegDate,Assumptions!$C$56*24*($A191-$A190)*(1-VLOOKUP($B190,MAIN!$AA$7:$AM$28,$C190+1))*(1-VLOOKUP($B190,MAIN!$AA$33:$AM$54,$C190+1)),0)*16/168</f>
        <v>51548.5714285714</v>
      </c>
      <c r="GY190" s="286" t="n">
        <f aca="false">M190</f>
        <v>52.4966501193431</v>
      </c>
      <c r="GZ190" s="286" t="n">
        <f aca="false">IF($A190&gt;=BegDate,VLOOKUP($A190,GasTable,13)+Assumptions!$C$58,0)</f>
        <v>3.49107567472304</v>
      </c>
      <c r="HA190" s="286" t="n">
        <f aca="false">GZ190*Assumptions!$C$57/1000</f>
        <v>25.310298641742</v>
      </c>
      <c r="HB190" s="1558" t="n">
        <f aca="false">IF(Assumptions!$C$60="Hourly",MAX(0,GX190*(GY190-HA190)),GX190*(GY190-HA190))</f>
        <v>1401417.58102537</v>
      </c>
      <c r="HC190" s="1566" t="n">
        <f aca="false">IF($A190&gt;=BegDate,Assumptions!$C$56*24*($A191-$A190)*(1-VLOOKUP($B190,MAIN!$AA$7:$AM$28,$C190+1))*(1-VLOOKUP($B190,MAIN!$AA$33:$AM$54,$C190+1)),0)*16/168</f>
        <v>51548.5714285714</v>
      </c>
      <c r="HD190" s="286" t="n">
        <f aca="false">P190</f>
        <v>29.2202530516562</v>
      </c>
      <c r="HE190" s="286" t="n">
        <f aca="false">IF($A190&gt;=BegDate,VLOOKUP($A190,GasTable,13)+Assumptions!$C$58,0)</f>
        <v>3.49107567472304</v>
      </c>
      <c r="HF190" s="286" t="n">
        <f aca="false">HE190*Assumptions!$C$57/1000</f>
        <v>25.310298641742</v>
      </c>
      <c r="HG190" s="1558" t="n">
        <f aca="false">IF(Assumptions!$C$60="Hourly",MAX(0,HC190*(HD190-HF190)),HC190*(HD190-HF190))</f>
        <v>201552.56418192</v>
      </c>
      <c r="HH190" s="1566" t="n">
        <f aca="false">IF($A190&gt;=BegDate,Assumptions!$C$56*24*($A191-$A190)*(1-VLOOKUP($B190,MAIN!$AA$7:$AM$28,$C190+1))*(1-VLOOKUP($B190,MAIN!$AA$33:$AM$54,$C190+1)),0)*56/168</f>
        <v>180420</v>
      </c>
      <c r="HI190" s="286" t="n">
        <f aca="false">S190</f>
        <v>29.2202530516562</v>
      </c>
      <c r="HJ190" s="286" t="n">
        <f aca="false">IF($A190&gt;=BegDate,VLOOKUP($A190,GasTable,13)+Assumptions!$C$58,0)</f>
        <v>3.49107567472304</v>
      </c>
      <c r="HK190" s="286" t="n">
        <f aca="false">HJ190*Assumptions!$C$57/1000</f>
        <v>25.310298641742</v>
      </c>
      <c r="HL190" s="1558" t="n">
        <f aca="false">IF(Assumptions!$C$60="Hourly",MAX(0,HH190*(HI190-HK190)),HH190*(HI190-HK190))</f>
        <v>705433.974636721</v>
      </c>
      <c r="HM190" s="1566" t="n">
        <f aca="false">IF(AND(Assumptions!$H$71="Yes",A190&gt;=Assumptions!$H$72,A190&lt;=Assumptions!$H$73),Assumptions!$H$74*Assumptions!$C$9*1000,0)</f>
        <v>0</v>
      </c>
      <c r="HN190" s="1551"/>
      <c r="HO190" s="1563"/>
      <c r="HP190" s="1563"/>
      <c r="HQ190" s="1563"/>
      <c r="HR190" s="1563"/>
      <c r="HS190" s="1563"/>
      <c r="HT190" s="1563"/>
      <c r="HU190" s="1563"/>
      <c r="HV190" s="1563"/>
      <c r="HW190" s="1563"/>
      <c r="HX190" s="1563"/>
      <c r="HY190" s="1563"/>
      <c r="HZ190" s="1563"/>
      <c r="IA190" s="1563"/>
      <c r="IB190" s="1563"/>
      <c r="IC190" s="1563"/>
      <c r="ID190" s="1563"/>
      <c r="IE190" s="1563"/>
      <c r="IF190" s="1563"/>
      <c r="IG190" s="1563"/>
      <c r="IH190" s="1563"/>
      <c r="II190" s="1610"/>
      <c r="IJ190" s="1309"/>
      <c r="IK190" s="1309"/>
    </row>
    <row r="191" customFormat="false" ht="12.75" hidden="false" customHeight="false" outlineLevel="0" collapsed="false">
      <c r="A191" s="1571" t="n">
        <f aca="false">EOMONTH(A190,0)+1</f>
        <v>41944</v>
      </c>
      <c r="B191" s="594" t="n">
        <f aca="false">+YEAR(A191)</f>
        <v>2014</v>
      </c>
      <c r="C191" s="238" t="n">
        <f aca="false">MONTH(A191)</f>
        <v>11</v>
      </c>
      <c r="D191" s="1572" t="e">
        <f aca="false">IF(E191="","",Holiday(B191,C191))</f>
        <v>#VALUE!</v>
      </c>
      <c r="E191" s="1573" t="n">
        <f aca="false">IF(OR(BegDate&gt;=A192,EndDate&lt;A191,AND(VolumeMonthlyOverFlag,INDEX(VolumeMonthlyOver,C191)=0),NOT(INDEX(MonthKnockOutTable,C191))),"",MAX(A191,BegDate))</f>
        <v>41944</v>
      </c>
      <c r="F191" s="1574" t="n">
        <f aca="false">IF(E191="","",MIN(A192-1,EndDate))</f>
        <v>41973</v>
      </c>
      <c r="G191" s="1575" t="n">
        <v>0</v>
      </c>
      <c r="H191" s="1576" t="n">
        <f aca="false">(1+G191/2)^(-2*(DATE(B192,C192,20)-DateToday)/365.25)</f>
        <v>1</v>
      </c>
      <c r="I191" s="1568" t="n">
        <f aca="false">IF(Assumptions!$L$25=4,VLOOKUP($A191,'Henwood Reference'!$E$9:$R$320,10),(VLOOKUP($A191,PriceTable,2,0)+IF(BasisNumber&lt;&gt;1,VLOOKUP($A191,BasisTable,2,0),0)+I$1)/(1-I$2))</f>
        <v>54.6996518621529</v>
      </c>
      <c r="J191" s="1568" t="n">
        <f aca="false">IF(Assumptions!$L$25=4,VLOOKUP($A191,'Henwood Reference'!$E$9:$R$320,10),(VLOOKUP($A191,PriceTable,3,0)+IF(BasisNumber&lt;&gt;1,VLOOKUP($A191,BasisTable,2,0),0)+J$1)/(1-J$2))</f>
        <v>54.6996518621529</v>
      </c>
      <c r="K191" s="1568" t="n">
        <f aca="false">IF(Assumptions!$L$25=4,VLOOKUP($A191,'Henwood Reference'!$E$9:$R$320,10),(VLOOKUP($A191,PriceTable,4,0)+IF(BasisNumber&lt;&gt;1,VLOOKUP($A191,BasisTable,2,0),0)+K$1)/(1-K$2))</f>
        <v>54.6996518621529</v>
      </c>
      <c r="L191" s="1523" t="n">
        <f aca="false">IF(Assumptions!$L$25=4,VLOOKUP($A191,'Henwood Reference'!$E$9:$R$320,10),(VLOOKUP($A191,PriceTableWeekend,2,0)+IF(BasisNumber&lt;&gt;1,VLOOKUP($A191,BasisTable,2,0),0)+L$1)/(1-L$2))</f>
        <v>54.6996518621529</v>
      </c>
      <c r="M191" s="1568" t="n">
        <f aca="false">IF(Assumptions!$L$25=4,VLOOKUP($A191,'Henwood Reference'!$E$9:$R$320,10),(VLOOKUP($A191,PriceTableWeekend,3,0)+IF(BasisNumber&lt;&gt;1,VLOOKUP($A191,BasisTable,2,0),0)+M$1)/(1-M$2))</f>
        <v>54.6996518621529</v>
      </c>
      <c r="N191" s="1599" t="n">
        <f aca="false">IF(Assumptions!$L$25=4,VLOOKUP($A191,'Henwood Reference'!$E$9:$R$320,10),(VLOOKUP($A191,PriceTableWeekend,4,0)+IF(BasisNumber&lt;&gt;1,VLOOKUP($A191,BasisTable,2,0),0)+N$1)/(1-N$2))</f>
        <v>54.6996518621529</v>
      </c>
      <c r="O191" s="1568" t="n">
        <f aca="false">IF(Assumptions!$L$25=4,VLOOKUP($A191,'Henwood Reference'!$E$9:$R$320,11),(VLOOKUP($A191,PriceTableWeekend,6,0)+IF(BasisNumber&lt;&gt;1,VLOOKUP($A191,BasisTable,3,0),0)+O$1)/(1-O$2))</f>
        <v>31.5903008058698</v>
      </c>
      <c r="P191" s="1568" t="n">
        <f aca="false">IF(Assumptions!$L$25=4,VLOOKUP($A191,'Henwood Reference'!$E$9:$R$320,11),(VLOOKUP($A191,PriceTableWeekend,7,0)+IF(BasisNumber&lt;&gt;1,VLOOKUP($A191,BasisTable,3,0),0)+P$1)/(1-P$2))</f>
        <v>31.5903008058698</v>
      </c>
      <c r="Q191" s="1599" t="n">
        <f aca="false">IF(Assumptions!$L$25=4,VLOOKUP($A191,'Henwood Reference'!$E$9:$R$320,11),(VLOOKUP($A191,PriceTableWeekend,8,0)+IF(BasisNumber&lt;&gt;1,VLOOKUP($A191,BasisTable,3,0),0)+Q$1)/(1-Q$2))</f>
        <v>31.5903008058698</v>
      </c>
      <c r="R191" s="1568" t="n">
        <f aca="false">IF(Assumptions!$L$25=4,VLOOKUP($A191,'Henwood Reference'!$E$9:$R$320,11),(VLOOKUP($A191,PriceTable,6,0)+IF(BasisNumber&lt;&gt;1,VLOOKUP($A191,BasisTable,3,0),0)+R$1)/(1-R$2))</f>
        <v>31.5903008058698</v>
      </c>
      <c r="S191" s="1568" t="n">
        <f aca="false">IF(Assumptions!$L$25=4,VLOOKUP($A191,'Henwood Reference'!$E$9:$R$320,11),(VLOOKUP($A191,PriceTable,7,0)+IF(BasisNumber&lt;&gt;1,VLOOKUP($A191,BasisTable,3,0),0)+S$1)/(1-S$2))</f>
        <v>31.5903008058698</v>
      </c>
      <c r="T191" s="1600" t="n">
        <f aca="false">IF(Assumptions!$L$25=4,VLOOKUP($A191,'Henwood Reference'!$E$9:$R$320,11),(VLOOKUP($A191,PriceTable,8,0)+IF(BasisNumber&lt;&gt;1,VLOOKUP($A191,BasisTable,3,0),0)+T$1)/(1-T$2))</f>
        <v>31.5903008058698</v>
      </c>
      <c r="U191" s="1513" t="n">
        <f aca="false">VLOOKUP($A191,VolatilityTable,14)</f>
        <v>0.0999999999999999</v>
      </c>
      <c r="V191" s="1513" t="n">
        <f aca="false">VLOOKUP($A191,VolatilityTable,15)</f>
        <v>0.11</v>
      </c>
      <c r="W191" s="1514" t="n">
        <f aca="false">VLOOKUP($A191,VolatilityTable,16)</f>
        <v>0.12</v>
      </c>
      <c r="X191" s="1513" t="n">
        <f aca="false">VLOOKUP($A191,VolatilityTable,14)</f>
        <v>0.0999999999999999</v>
      </c>
      <c r="Y191" s="1513" t="n">
        <f aca="false">VLOOKUP($A191,VolatilityTable,15)</f>
        <v>0.11</v>
      </c>
      <c r="Z191" s="1514" t="n">
        <f aca="false">VLOOKUP($A191,VolatilityTable,16)</f>
        <v>0.12</v>
      </c>
      <c r="AA191" s="1513" t="n">
        <f aca="false">VLOOKUP($A191,VolatilityTable,18)</f>
        <v>0.09</v>
      </c>
      <c r="AB191" s="1513" t="n">
        <f aca="false">VLOOKUP($A191,VolatilityTable,19)</f>
        <v>0.11</v>
      </c>
      <c r="AC191" s="1514" t="n">
        <f aca="false">VLOOKUP($A191,VolatilityTable,20)</f>
        <v>0.13</v>
      </c>
      <c r="AD191" s="1513" t="n">
        <f aca="false">VLOOKUP($A191,VolatilityTable,18)</f>
        <v>0.09</v>
      </c>
      <c r="AE191" s="1513" t="n">
        <f aca="false">VLOOKUP($A191,VolatilityTable,19)</f>
        <v>0.11</v>
      </c>
      <c r="AF191" s="1514" t="n">
        <f aca="false">VLOOKUP($A191,VolatilityTable,20)</f>
        <v>0.13</v>
      </c>
      <c r="AG191" s="1513" t="n">
        <f aca="false">VLOOKUP($A191,VolatilityTable,22)</f>
        <v>-0.1</v>
      </c>
      <c r="AH191" s="1513" t="n">
        <f aca="false">VLOOKUP($A191,VolatilityTable,23)</f>
        <v>0.6</v>
      </c>
      <c r="AI191" s="1514" t="n">
        <f aca="false">VLOOKUP($A191,VolatilityTable,24)</f>
        <v>0.1</v>
      </c>
      <c r="AJ191" s="1513" t="n">
        <f aca="false">VLOOKUP($A191,VolatilityTable,22)</f>
        <v>-0.1</v>
      </c>
      <c r="AK191" s="1513" t="n">
        <f aca="false">VLOOKUP($A191,VolatilityTable,23)</f>
        <v>0.6</v>
      </c>
      <c r="AL191" s="1514" t="n">
        <f aca="false">VLOOKUP($A191,VolatilityTable,24)</f>
        <v>0.1</v>
      </c>
      <c r="AM191" s="1513" t="n">
        <f aca="false">VLOOKUP($A191,VolatilityTable,26)</f>
        <v>-0.01</v>
      </c>
      <c r="AN191" s="1513" t="n">
        <f aca="false">VLOOKUP($A191,VolatilityTable,27)</f>
        <v>0.16</v>
      </c>
      <c r="AO191" s="1514" t="n">
        <f aca="false">VLOOKUP($A191,VolatilityTable,28)</f>
        <v>0.01</v>
      </c>
      <c r="AP191" s="1513" t="n">
        <f aca="false">VLOOKUP($A191,VolatilityTable,26)</f>
        <v>-0.01</v>
      </c>
      <c r="AQ191" s="1513" t="n">
        <f aca="false">VLOOKUP($A191,VolatilityTable,27)</f>
        <v>0.16</v>
      </c>
      <c r="AR191" s="1515" t="n">
        <f aca="false">VLOOKUP($A191,VolatilityTable,28)</f>
        <v>0.01</v>
      </c>
      <c r="AS191" s="1581" t="n">
        <f aca="false">IF(CorrPeakOffPeakOverFlag,INDEX(CorrPeakOffPeakOver,C191),CorrPeakOffPeak)</f>
        <v>0.5</v>
      </c>
      <c r="AT191" s="594" t="e">
        <f aca="false">AX191-SUM(AU191:AW191)</f>
        <v>#VALUE!</v>
      </c>
      <c r="AU191" s="238" t="e">
        <f aca="false">IF(E191="",0,INT((F191-MOD(F191,7)-E191)/7)+1-IF(AW191,IF(WEEKDAY(D191)=7,1,0),0))</f>
        <v>#VALUE!</v>
      </c>
      <c r="AV191" s="238" t="e">
        <f aca="false">IF(E191="",0,INT((F191-MOD(F191-1,7)-E191)/7)+1-IF(AW191,IF(WEEKDAY(D191)=1,1,0),0))</f>
        <v>#VALUE!</v>
      </c>
      <c r="AW191" s="238" t="e">
        <f aca="false">IF(OR(E191="",D191="",D191&lt;BegDate,D191&gt;EndDate),0,1)</f>
        <v>#VALUE!</v>
      </c>
      <c r="AX191" s="238" t="n">
        <f aca="false">IF(E191="",0,F191-E191+1)</f>
        <v>30</v>
      </c>
      <c r="AY191" s="1582" t="n">
        <f aca="false">IF(E191="",0,MIN((1-(1-VLOOKUP(B191,MAIN!$AA$7:$AM$28,C191+1))*(1-VLOOKUP(B191,MAIN!$AA$33:$AM$54,C191+1))),1))</f>
        <v>0.03</v>
      </c>
      <c r="AZ191" s="1519" t="e">
        <v>#VALUE!</v>
      </c>
      <c r="BA191" s="1520" t="e">
        <v>#VALUE!</v>
      </c>
      <c r="BB191" s="1520" t="e">
        <v>#VALUE!</v>
      </c>
      <c r="BC191" s="1583" t="e">
        <v>#VALUE!</v>
      </c>
      <c r="BD191" s="1522" t="e">
        <v>#VALUE!</v>
      </c>
      <c r="BE191" s="1523" t="e">
        <v>#VALUE!</v>
      </c>
      <c r="BF191" s="1523" t="e">
        <v>#VALUE!</v>
      </c>
      <c r="BG191" s="1584" t="e">
        <v>#VALUE!</v>
      </c>
      <c r="BH191" s="1525" t="e">
        <v>#VALUE!</v>
      </c>
      <c r="BI191" s="1520" t="e">
        <v>#VALUE!</v>
      </c>
      <c r="BJ191" s="1520" t="e">
        <v>#VALUE!</v>
      </c>
      <c r="BK191" s="1583" t="e">
        <v>#VALUE!</v>
      </c>
      <c r="BL191" s="1522" t="e">
        <v>#VALUE!</v>
      </c>
      <c r="BM191" s="1523" t="e">
        <v>#VALUE!</v>
      </c>
      <c r="BN191" s="1523" t="e">
        <v>#VALUE!</v>
      </c>
      <c r="BO191" s="1523" t="e">
        <v>#VALUE!</v>
      </c>
      <c r="BP191" s="1525" t="e">
        <f aca="false">SUM(AZ191:BB191)</f>
        <v>#VALUE!</v>
      </c>
      <c r="BQ191" s="1529" t="e">
        <f aca="false">SUM(AZ191:BC191)</f>
        <v>#VALUE!</v>
      </c>
      <c r="BR191" s="1519" t="e">
        <f aca="false">SUM(BH191:BJ191)</f>
        <v>#VALUE!</v>
      </c>
      <c r="BS191" s="1529" t="e">
        <f aca="false">SUM(BH191:BK191)</f>
        <v>#VALUE!</v>
      </c>
      <c r="BT191" s="1316" t="n">
        <f aca="false">(IF(OVolType&lt;&gt;2,A191+14,IF(OptExpDateShift,ShiftBack(A191,OptExpDateShift,D190),A191))-DateToday)/365.25</f>
        <v>14.54893908282</v>
      </c>
      <c r="BU191" s="1585" t="e">
        <f aca="false">IF(BQ191,IF(OPriceCurve,IF(OBuySell=OCallPut,I191/(1-AY191),K191/(1-AY191)),J191/(1-AY191))*BD191,0)</f>
        <v>#VALUE!</v>
      </c>
      <c r="BV191" s="1316" t="e">
        <f aca="false">IF(BQ191,IF(OPriceCurve,IF(OBuySell=OCallPut,L191/(1-AY191),N191/(1-AY191)),M191/(1-AY191))*BE191,0)</f>
        <v>#VALUE!</v>
      </c>
      <c r="BW191" s="1316" t="e">
        <f aca="false">IF(BQ191,IF(OPriceCurve,IF(OBuySell=OCallPut,O191/(1-AY191),Q191/(1-AY191)),P191/(1-AY191))*BF191,0)</f>
        <v>#VALUE!</v>
      </c>
      <c r="BX191" s="1316" t="e">
        <f aca="false">IF(BQ191,IF(OPriceCurve,IF(OBuySell=OCallPut,R191/(1-AY191),T191/(1-AY191)),S191/(1-AY191))*BG191,0)</f>
        <v>#VALUE!</v>
      </c>
      <c r="BY191" s="1316" t="e">
        <f aca="false">IF(BP191,(BU191*AZ191+BV191*BA191+BW191*BB191)/BP191,0)</f>
        <v>#VALUE!</v>
      </c>
      <c r="BZ191" s="1316" t="e">
        <f aca="false">IF(BQ191,(BY191*BP191+BX191*BC191)/BQ191,0)</f>
        <v>#VALUE!</v>
      </c>
      <c r="CA191" s="1531" t="e">
        <f aca="false">IF(BS191,IF(OPriceCurve,IF(OBuySell=OCallPut,I191/(1-AY191),K191/(1-AY191)),J191/(1-AY191))*BL191,0)</f>
        <v>#VALUE!</v>
      </c>
      <c r="CB191" s="1316" t="e">
        <f aca="false">IF(BS191,IF(OPriceCurve,IF(OBuySell=OCallPut,L191/(1-AY191),N191/(1-AY191)),M191/(1-AY191))*BM191,0)</f>
        <v>#VALUE!</v>
      </c>
      <c r="CC191" s="1316" t="e">
        <f aca="false">IF(BS191,IF(OPriceCurve,IF(OBuySell=OCallPut,O191/(1-AY191),Q191/(1-AY191)),P191/(1-AY191))*BN191,0)</f>
        <v>#VALUE!</v>
      </c>
      <c r="CD191" s="1316" t="e">
        <f aca="false">IF(BS191,IF(OPriceCurve,IF(OBuySell=OCallPut,R191/(1-AY191),T191/(1-AY191)),S191/(1-AY191))*BO191,0)</f>
        <v>#VALUE!</v>
      </c>
      <c r="CE191" s="1316" t="e">
        <f aca="false">IF(BR191,(BU191*BH191+BV191*BI191+BW191*BJ191)/BR191,0)</f>
        <v>#VALUE!</v>
      </c>
      <c r="CF191" s="1532" t="e">
        <f aca="false">IF(BS191,(CE191*BR191+CD191*BK191)/BS191,0)</f>
        <v>#VALUE!</v>
      </c>
      <c r="CG191" s="1586" t="e">
        <f aca="false">IF(OR(BQ191,BS191),IF(OVolType&lt;&gt;2,SQRT(IF(OVolOverMonthlyPeak,OVolOverMonthlyPeak,IF(OVolCurve,IF(OBuySell,U191,W191),V191))^2*(1-15/365.25/BT191)+IF(OVolOverDailyPeak,OVolOverDailyPeak,IF(OVolCurve,IF(OBuySell,AG191,AI191),AH191))^2*15/365.25/BT191),IF(OVolOverMonthlyPeak,OVolOverMonthlyPeak,IF(OVolCurve,IF(OBuySell,U191,W191),V191))),"")</f>
        <v>#VALUE!</v>
      </c>
      <c r="CH191" s="1587" t="e">
        <f aca="false">IF(OR(BQ191,BS191),IF(OVolType&lt;&gt;2,SQRT(IF(OVolOverMonthlyPeak,OVolOverMonthlyPeak,IF(OVolCurve,IF(OBuySell,X191,Z191),Y191))^2*(1-15/365.25/BT191)+IF(OVolOverDailyPeak,OVolOverDailyPeak,IF(OVolCurve,IF(OBuySell,AJ191,AL191),AK191))^2*15/365.25/BT191),IF(OVolOverMonthlyPeak,OVolOverMonthlyPeak,IF(OVolCurve,IF(OBuySell,X191,Z191),Y191))),"")</f>
        <v>#VALUE!</v>
      </c>
      <c r="CI191" s="1587" t="e">
        <f aca="false">IF(OR(BQ191,BS191),IF(OVolType&lt;&gt;2,SQRT(IF(OVolOverMonthlyPeak,OVolOverMonthlyPeak,IF(OVolCurve,IF(OBuySell,AA191,AC191),AB191))^2*(1-15/365.25/BT191)+IF(OVolOverDailyPeak,OVolOverDailyPeak,IF(OVolCurve,IF(OBuySell,AM191,AO191),AN191))^2*15/365.25/BT191),IF(OVolOverMonthlyPeak,OVolOverMonthlyPeak,IF(OVolCurve,IF(OBuySell,AA191,AC191),AB191))),"")</f>
        <v>#VALUE!</v>
      </c>
      <c r="CJ191" s="1587" t="e">
        <f aca="false">IF(BQ191,IF(BP191,SQRT(LN(1+((BU191*AZ191)^2*(EXP(CG191^2*BT191)-1)+(BV191*BA191)^2*(EXP(CH191^2*BT191)-1)+(BW191*BB191)^2*(EXP(CI191^2*BT191)-1)+2*BU191*AZ191*BV191*BA191*(EXP(CG191*CH191*BT191)-1)+2*BV191*BA191*BW191*BB191*(EXP(CH191*CI191*BT191)-1)+2*BW191*BB191*BU191*AZ191*(EXP(CI191*CG191*BT191)-1))/(BY191*BP191)^2)/BT191),0),"")</f>
        <v>#VALUE!</v>
      </c>
      <c r="CK191" s="1587" t="e">
        <f aca="false">IF(BS191,IF(BR191,SQRT(LN(1+((CA191*BH191)^2*(EXP(CG191^2*BT191)-1)+(CB191*BI191)^2*(EXP(CH191^2*BT191)-1)+(CC191*BJ191)^2*(EXP(CI191^2*BT191)-1)+2*CA191*BH191*CB191*BI191*(EXP(CG191*CH191*BT191)-1)+2*CB191*BI191*CC191*BJ191*(EXP(CH191*CI191*BT191)-1)+2*CC191*BJ191*CA191*BH191*(EXP(CI191*CG191*BT191)-1))/(CE191*BR191)^2)/BT191),0),"")</f>
        <v>#VALUE!</v>
      </c>
      <c r="CL191" s="1587" t="e">
        <f aca="false">IF(OR(BQ191,BS191),IF(OVolType&lt;&gt;2,SQRT(IF(OVolOverMonthlyOffPeak,OVolOverMonthlyOffPeak,IF(OVolCurve,IF(OBuySell,AD191,AF191),AE191))^2*(1-15/365.25/BT191)+IF(OVolOverDailyOffPeak,OVolOverDailyOffPeak,IF(OVolCurve,IF(OBuySell,AP191,AR191),AQ191))^2*15/365.25/BT191),IF(OVolOverMonthlyOffPeak,OVolOverMonthlyOffPeak,IF(OVolCurve,IF(OBuySell,AD191,AF191),AE191))),"")</f>
        <v>#VALUE!</v>
      </c>
      <c r="CM191" s="1587" t="e">
        <f aca="false">IF(BQ191,SQRT(LN(1+((BY191*BP191)^2*(EXP(CJ191^2*BT191)-1)+(BX191*BC191)^2*(EXP(CL191^2*BT191)-1)+2*BY191*BP191*BX191*BC191*(EXP(AS191*CJ191*CL191*BT191)-1))/(BY191*BP191+BX191*BC191)^2)/BT191),"")</f>
        <v>#VALUE!</v>
      </c>
      <c r="CN191" s="1588" t="e">
        <f aca="false">IF(BS191,SQRT(LN(1+((CE191*BR191)^2*(EXP(CK191^2*BT191)-1)+(CD191*BK191)^2*(EXP(CL191^2*BT191)-1)+2*CE191*BR191*CD191*BK191*(EXP(AS191*CK191*CL191*BT191)-1))/(CE191*BR191+CD191*BK191)^2)/BT191),"")</f>
        <v>#VALUE!</v>
      </c>
      <c r="CO191" s="1531" t="e">
        <f aca="false">IF(OR(BQ191,BS191),VLOOKUP(A191,GasTable,13)*HeatRatePeak*(1+VLOOKUP($B191,HeatRateDegradation,$C191+1))/1000,0)</f>
        <v>#VALUE!</v>
      </c>
      <c r="CP191" s="1316" t="e">
        <f aca="false">IF(OR(BQ191,BS191),VLOOKUP(A191,GasTable,13)*HeatRatePeak*(1+VLOOKUP($B191,HeatRateDegradation,$C191+1))/1000,0)</f>
        <v>#VALUE!</v>
      </c>
      <c r="CQ191" s="1316" t="e">
        <f aca="false">IF(OR(BQ191,BS191),VLOOKUP(A191,GasTable,13)*IF(EV191,HeatRatePeak,HeatRateOffPeak)*(1+VLOOKUP($B191,HeatRateDegradation,$C191+1))/1000,0)</f>
        <v>#VALUE!</v>
      </c>
      <c r="CR191" s="1316" t="e">
        <f aca="false">IF(OR(BQ191,BS191),VLOOKUP(A191,GasTable,13)*IF(EW191,HeatRatePeak,HeatRateOffPeak)*(1+VLOOKUP($B191,HeatRateDegradation,$C191+1))/1000,0)</f>
        <v>#VALUE!</v>
      </c>
      <c r="CS191" s="1589" t="e">
        <f aca="false">IF(BQ191,(CO191*AZ191+CP191*BA191+CQ191*BB191+CR191*BC191)/BQ191,0)</f>
        <v>#VALUE!</v>
      </c>
      <c r="CT191" s="1316" t="e">
        <f aca="false">IF(BS191,CO191,0)</f>
        <v>#VALUE!</v>
      </c>
      <c r="CU191" s="1590" t="e">
        <f aca="false">IF(OR(BQ191,BS191),VLOOKUP(A191,GasTable,14),"")</f>
        <v>#VALUE!</v>
      </c>
      <c r="CV191" s="1568" t="e">
        <f aca="false">IF(OR(BQ191,BS191),IF(CorrPowerGasOverFlag,INDEX(CorrPowerGasOver,C191),CorrPowerGas),"")</f>
        <v>#VALUE!</v>
      </c>
      <c r="CW191" s="1316" t="e">
        <f aca="false">IF(OR($BQ191,$BS191),SpreadOptPowerMargin,0)*((1+Assumptions!$C$26)^($B191-YEAR(Assumptions!$C$17)))</f>
        <v>#VALUE!</v>
      </c>
      <c r="CX191" s="1316" t="e">
        <f aca="false">IF(OR($BQ191,$BS191),SpreadOptPowerMargin,0)*((1+Assumptions!$C$26)^($B191-YEAR(Assumptions!$C$17)))</f>
        <v>#VALUE!</v>
      </c>
      <c r="CY191" s="1316" t="e">
        <f aca="false">IF(OR($BQ191,$BS191),SpreadOptPowerMargin,0)*((1+Assumptions!$C$26)^($B191-YEAR(Assumptions!$C$17)))</f>
        <v>#VALUE!</v>
      </c>
      <c r="CZ191" s="1316" t="e">
        <f aca="false">IF(OR($BQ191,$BS191),SpreadOptPowerMargin,0)*((1+Assumptions!$C$26)^($B191-YEAR(Assumptions!$C$17)))</f>
        <v>#VALUE!</v>
      </c>
      <c r="DA191" s="1591" t="e">
        <f aca="false">IF(OR(BQ191,BS191),(CW191*(AZ191+BH191)+CX191*(BA191+BI191)+CY191*(BB191+BJ191)+CZ191*(BC191+BK191))/(BQ191+BS191),0)</f>
        <v>#VALUE!</v>
      </c>
      <c r="DB191" s="1592" t="e">
        <f aca="false">IF(OR(BQ191,BS191),CG191+IF(OVolSmile,VLOOKUP(MAX(-5,CO191+CW191-BU191),IF(OVolSmile=1,VolSmileBook,VolSmileModel),2),0),"")</f>
        <v>#VALUE!</v>
      </c>
      <c r="DC191" s="1592" t="e">
        <f aca="false">IF(OR(BQ191,BS191),CH191+IF(OVolSmile,VLOOKUP(MAX(-5,CP191+CW191-BV191),IF(OVolSmile=1,VolSmileBook,VolSmileModel),2),0),"")</f>
        <v>#VALUE!</v>
      </c>
      <c r="DD191" s="1592" t="e">
        <f aca="false">IF(OR(BQ191,BS191),CI191+IF(OVolSmile,VLOOKUP(MAX(-5,CQ191+CW191-BW191),IF(OVolSmile=1,VolSmileBook,VolSmileModel),2),0),"")</f>
        <v>#VALUE!</v>
      </c>
      <c r="DE191" s="1592" t="e">
        <f aca="false">IF(OR(BQ191,BS191),CL191+IF(OVolSmile,VLOOKUP(MAX(-5,CR191+CZ191-BX191),IF(OVolSmile=1,VolSmileBook,VolSmileModel),2),0),"")</f>
        <v>#VALUE!</v>
      </c>
      <c r="DF191" s="1592" t="e">
        <f aca="false">IF(BQ191,CM191+IF(OVolSmile,VLOOKUP(MAX(-5,CS191+DA191-BZ191),IF(OVolSmile=1,VolSmileBook,VolSmileModel),2),0),"")</f>
        <v>#VALUE!</v>
      </c>
      <c r="DG191" s="1593" t="e">
        <f aca="false">IF(BS191,CN191+IF(OVolSmile,VLOOKUP(MAX(-5,CT191+DA191-CF191),IF(OVolSmile=1,VolSmileBook,VolSmileModel),2),0),"")</f>
        <v>#VALUE!</v>
      </c>
      <c r="DH191" s="1316" t="e">
        <f aca="false">IF(AND(BU191&gt;0,CO191&gt;0,DB191&gt;0,CU191&gt;0),newSPRDOPT(BU191,CO191,CW191,0,DB191,CU191,CV191,BT191*365.25,OCallPut,0),0)</f>
        <v>#VALUE!</v>
      </c>
      <c r="DI191" s="1316" t="e">
        <f aca="false">IF(AND(BV191&gt;0,CP191&gt;0,DC191&gt;0,CU191&gt;0),newSPRDOPT(BV191,CP191,CX191,0,DC191,CU191,CV191,BT191*365.25,OCallPut,0),0)</f>
        <v>#VALUE!</v>
      </c>
      <c r="DJ191" s="1316" t="e">
        <f aca="false">IF(AND(BW191&gt;0,CQ191&gt;0,DD191&gt;0,CU191&gt;0),newSPRDOPT(BW191,CQ191,CY191,0,DD191,CU191,CV191,BT191*365.25,OCallPut,0),0)</f>
        <v>#VALUE!</v>
      </c>
      <c r="DK191" s="1316" t="e">
        <f aca="false">IF(AND(BX191&gt;0,CR191&gt;0,DE191&gt;0,CU191&gt;0),newSPRDOPT(BX191,CR191,CZ191,0,DE191,CU191,CV191,BT191*365.25,OCallPut,0),0)</f>
        <v>#VALUE!</v>
      </c>
      <c r="DL191" s="1316" t="e">
        <f aca="false">IF(OVolType,IF(AND(BZ191&gt;0,CS191&gt;0,DF191&gt;0,CU191&gt;0),newSPRDOPT(BZ191,CS191,DA191,0,DF191,CU191,CV191,BT191*365.25,OCallPut,0),0),IF(BQ191,(DH191*AZ191+DI191*BA191+DJ191*BB191+DK191*BC191)/BQ191,0))</f>
        <v>#VALUE!</v>
      </c>
      <c r="DM191" s="1316"/>
      <c r="DN191" s="1316"/>
      <c r="DO191" s="1316"/>
      <c r="DP191" s="1316"/>
      <c r="DQ191" s="1316"/>
      <c r="DR191" s="1316"/>
      <c r="DS191" s="1316"/>
      <c r="DT191" s="1316"/>
      <c r="DU191" s="1316"/>
      <c r="DV191" s="1316"/>
      <c r="DW191" s="1594" t="e">
        <f aca="false">IF(AND(BW191&gt;0,CT191&gt;0,DD191&gt;0,CU191&gt;0),newSPRDOPT(BW191,CT191,CY191,0,DD191,CU191,CV191,BT191*365.25,OCallPut,0),0)</f>
        <v>#VALUE!</v>
      </c>
      <c r="DX191" s="1316" t="e">
        <f aca="false">IF(AND(BX191&gt;0,CT191&gt;0,DE191&gt;0,CU191&gt;0),newSPRDOPT(BX191,CT191,CZ191,0,DE191,CU191,CV191,BT191*365.25,OCallPut,0),0)</f>
        <v>#VALUE!</v>
      </c>
      <c r="DY191" s="1591" t="e">
        <f aca="false">IF(BS191,(DH191*BH191+DI191*BI191+DW191*BJ191+DX191*BK191)/BS191,0)</f>
        <v>#VALUE!</v>
      </c>
      <c r="DZ191" s="1551" t="e">
        <f aca="false">DH191*AZ191</f>
        <v>#VALUE!</v>
      </c>
      <c r="EA191" s="1551" t="e">
        <f aca="false">DI191*BA191</f>
        <v>#VALUE!</v>
      </c>
      <c r="EB191" s="1551" t="e">
        <f aca="false">DJ191*BB191</f>
        <v>#VALUE!</v>
      </c>
      <c r="EC191" s="1551" t="e">
        <f aca="false">DK191*BC191</f>
        <v>#VALUE!</v>
      </c>
      <c r="ED191" s="1551" t="e">
        <f aca="false">DL191*BQ191</f>
        <v>#VALUE!</v>
      </c>
      <c r="EE191" s="1595" t="e">
        <f aca="false">IF(BQ191,IF(OCallPut,IF(BU191&gt;(CO191+CW191),BU191-(CO191+CW191),0),IF((CO191+CW191)&gt;BU191,(CO191+CW191)-BU191,0))*AZ191,0)</f>
        <v>#VALUE!</v>
      </c>
      <c r="EF191" s="1596" t="e">
        <f aca="false">IF(BQ191,IF(OCallPut,IF(BV191&gt;(CP191+CX191),BV191-(CP191+CX191),0),IF((CP191+CX191)&gt;BV191,(CP191+CX191)-BV191,0))*BA191,0)</f>
        <v>#VALUE!</v>
      </c>
      <c r="EG191" s="1596" t="e">
        <f aca="false">IF(BQ191,IF(OCallPut,IF(BW191&gt;(CQ191+CY191),BW191-(CQ191+CY191),0),IF((CQ191+CY191)&gt;BW191,(CQ191+CY191)-BW191,0))*BB191,0)</f>
        <v>#VALUE!</v>
      </c>
      <c r="EH191" s="1596" t="e">
        <f aca="false">IF(BQ191,IF(OCallPut,IF(BX191&gt;(CR191+CZ191),BX191-(CR191+CZ191),0),IF((CR191+CZ191)&gt;BX191,(CR191+CZ191)-BX191,0))*BC191,0)</f>
        <v>#VALUE!</v>
      </c>
      <c r="EI191" s="1597" t="e">
        <f aca="false">IF(BQ191,IF(OVolType,IF(OCallPut,IF(BZ191&gt;(CS191+DA191),BZ191-(CS191+DA191),0),IF((CS191+DA191)&gt;BZ191,(CS191+DA191)-BZ191,0))*BQ191,SUM(EE191:EH191)),0)</f>
        <v>#VALUE!</v>
      </c>
      <c r="EJ191" s="1595" t="e">
        <f aca="false">DZ191-EE191</f>
        <v>#VALUE!</v>
      </c>
      <c r="EK191" s="1596" t="e">
        <f aca="false">EA191-EF191</f>
        <v>#VALUE!</v>
      </c>
      <c r="EL191" s="1596" t="e">
        <f aca="false">EB191-EG191</f>
        <v>#VALUE!</v>
      </c>
      <c r="EM191" s="1596" t="e">
        <f aca="false">EC191-EH191</f>
        <v>#VALUE!</v>
      </c>
      <c r="EN191" s="1597" t="e">
        <f aca="false">ED191-EI191</f>
        <v>#VALUE!</v>
      </c>
      <c r="EO191" s="1551" t="e">
        <f aca="false">DH191*BH191</f>
        <v>#VALUE!</v>
      </c>
      <c r="EP191" s="1551" t="e">
        <f aca="false">DI191*BI191</f>
        <v>#VALUE!</v>
      </c>
      <c r="EQ191" s="1551" t="e">
        <f aca="false">DW191*BJ191</f>
        <v>#VALUE!</v>
      </c>
      <c r="ER191" s="1551" t="e">
        <f aca="false">DX191*BK191</f>
        <v>#VALUE!</v>
      </c>
      <c r="ES191" s="1551" t="e">
        <f aca="false">DY191*BS191</f>
        <v>#VALUE!</v>
      </c>
      <c r="ET191" s="1566" t="e">
        <f aca="false">IF(EI191,IF(OCallPut,IF(CA191&gt;(CT191+CW191),CA191-(CT191+CW191),0),IF((CT191+CW191)&gt;CA191,(CT191+CW191)-CA191,0))*BH191,0)</f>
        <v>#VALUE!</v>
      </c>
      <c r="EU191" s="1551" t="e">
        <f aca="false">IF(EI191,IF(OCallPut,IF(CB191&gt;(CT191+CX191),CB191-(CT191+CX191),0),IF((CT191+CX191)&gt;CB191,(CT191+CX191)-CB191,0))*BI191,0)</f>
        <v>#VALUE!</v>
      </c>
      <c r="EV191" s="1551" t="e">
        <f aca="false">IF(EI191,IF(OCallPut,IF(CC191&gt;(CT191+CY191),CC191-(CT191+CY191),0),IF((CT191+CY191)&gt;CC191,(CT191+CY191)-CC191,0))*BJ191,0)</f>
        <v>#VALUE!</v>
      </c>
      <c r="EW191" s="1551" t="e">
        <f aca="false">IF(EI191,IF(OCallPut,IF(CD191&gt;(CT191+CZ191),CD191-(CT191+CZ191),0),IF((CT191+CZ191)&gt;CD191,(CT191+CZ191)-CD191,0))*BK191,0)</f>
        <v>#VALUE!</v>
      </c>
      <c r="EX191" s="1558" t="e">
        <f aca="false">IF(EI191,SUM(ET191:EW191),0)</f>
        <v>#VALUE!</v>
      </c>
      <c r="EY191" s="1551" t="e">
        <f aca="false">EO191-ET191</f>
        <v>#VALUE!</v>
      </c>
      <c r="EZ191" s="1551" t="e">
        <f aca="false">EP191-EU191</f>
        <v>#VALUE!</v>
      </c>
      <c r="FA191" s="1551" t="e">
        <f aca="false">EQ191-EV191</f>
        <v>#VALUE!</v>
      </c>
      <c r="FB191" s="1551" t="e">
        <f aca="false">ER191-EW191</f>
        <v>#VALUE!</v>
      </c>
      <c r="FC191" s="1551" t="e">
        <f aca="false">ES191-EX191</f>
        <v>#VALUE!</v>
      </c>
      <c r="FD191" s="1525" t="n">
        <f aca="false">IF(AX191,IF(VLOOKUP(C191,MAIN!$L$17:$M$28,2)="Yes",VLOOKUP(CALC!B191,MAIN!$H$17:$I$20,2),0),0)</f>
        <v>0</v>
      </c>
      <c r="FE191" s="1552" t="e">
        <f aca="false">$FD191*16*AT191*(1-$AY191)</f>
        <v>#VALUE!</v>
      </c>
      <c r="FF191" s="1553" t="e">
        <f aca="false">$FD191*16*AU191*(1-$AY191)</f>
        <v>#VALUE!</v>
      </c>
      <c r="FG191" s="1553" t="e">
        <f aca="false">$FD191*16*(AV191+AW191)*(1-$AY191)</f>
        <v>#VALUE!</v>
      </c>
      <c r="FH191" s="1554" t="n">
        <f aca="false">$FD191*8*AX191*(1-$AY191)</f>
        <v>0</v>
      </c>
      <c r="FI191" s="1555" t="n">
        <f aca="false">IF(AX191,VLOOKUP(CALC!B191,MAIN!$H$17:$K$20,4),0)</f>
        <v>0</v>
      </c>
      <c r="FJ191" s="1553" t="e">
        <f aca="false">SUM(FE191:FH191)</f>
        <v>#VALUE!</v>
      </c>
      <c r="FK191" s="1556" t="e">
        <f aca="false">FI191*FJ191</f>
        <v>#VALUE!</v>
      </c>
      <c r="FL191" s="1551" t="e">
        <f aca="false">IF($EI191&gt;0,MIN(FE191,AZ191*(1+VLOOKUP($C191,WeatherCapacityAdjustment,2))),0)</f>
        <v>#VALUE!</v>
      </c>
      <c r="FM191" s="1551" t="e">
        <f aca="false">IF($EI191&gt;0,MIN(FF191,BA191*(1+VLOOKUP($C191,WeatherCapacityAdjustment,2))),0)</f>
        <v>#VALUE!</v>
      </c>
      <c r="FN191" s="1551" t="e">
        <f aca="false">IF($EI191&gt;0,MIN(FG191,BB191*(1+VLOOKUP($C191,WeatherCapacityAdjustment,2))),0)</f>
        <v>#VALUE!</v>
      </c>
      <c r="FO191" s="1564" t="e">
        <f aca="false">IF($EI191&gt;0,MIN(FH191,BC191*(1+VLOOKUP($C191,WeatherCapacityAdjustment,3))),0)</f>
        <v>#VALUE!</v>
      </c>
      <c r="FP191" s="1551" t="e">
        <f aca="false">IF(ET191&gt;0,MIN(FE191-FL191,BH191*(1+VLOOKUP($C191,WeatherCapacityAdjustment,2))),0)</f>
        <v>#VALUE!</v>
      </c>
      <c r="FQ191" s="1551" t="e">
        <f aca="false">IF(EU191&gt;0,MIN(FF191-FM191,BI191*(1+VLOOKUP($C191,WeatherCapacityAdjustment,2))),0)</f>
        <v>#VALUE!</v>
      </c>
      <c r="FR191" s="1551" t="e">
        <f aca="false">IF(EV191&gt;0,MIN(FG191-FN191,BJ191*(1+VLOOKUP($C191,WeatherCapacityAdjustment,2))),0)</f>
        <v>#VALUE!</v>
      </c>
      <c r="FS191" s="1558" t="e">
        <f aca="false">IF(EW191&gt;0,MIN(FH191-FO191,BK191*(1+VLOOKUP($C191,WeatherCapacityAdjustment,3))),0)</f>
        <v>#VALUE!</v>
      </c>
      <c r="FT191" s="1566" t="e">
        <f aca="false">IF(AND(Assumptions!$H$71="Yes",A191&gt;=Assumptions!$H$72,A191&lt;=Assumptions!$H$73),0,IF(AND($A191&gt;=Assumptions!$C$17,$A191&lt;=Assumptions!$C$18),MAX(AZ191*(1+VLOOKUP($C191,WeatherCapacityAdjustment,2))-FL191,0),0))</f>
        <v>#VALUE!</v>
      </c>
      <c r="FU191" s="1551" t="e">
        <f aca="false">IF(AND(Assumptions!$H$71="Yes",A191&gt;=Assumptions!$H$72,A191&lt;=Assumptions!$H$73),0,IF(AND($A191&gt;=Assumptions!$C$17,$A191&lt;=Assumptions!$C$18),MAX(BA191*(1+VLOOKUP($C191,WeatherCapacityAdjustment,2))-FM191,0),0))</f>
        <v>#VALUE!</v>
      </c>
      <c r="FV191" s="1551" t="e">
        <f aca="false">IF(AND(Assumptions!$H$71="Yes",A191&gt;=Assumptions!$H$72,A191&lt;=Assumptions!$H$73),0,IF(AND($A191&gt;=Assumptions!$C$17,$A191&lt;=Assumptions!$C$18),MAX(BB191*(1+VLOOKUP($C191,WeatherCapacityAdjustment,2))-FN191,0),0))</f>
        <v>#VALUE!</v>
      </c>
      <c r="FW191" s="1564" t="e">
        <f aca="false">IF(AND(Assumptions!$H$71="Yes",A191&gt;=Assumptions!$H$72,A191&lt;=Assumptions!$H$73),0,IF(AND($A191&gt;=Assumptions!$C$17,$A191&lt;=Assumptions!$C$18),MAX(BC191*(1+VLOOKUP($C191,WeatherCapacityAdjustment,3))-FO191,0),0))</f>
        <v>#VALUE!</v>
      </c>
      <c r="FX191" s="1569" t="e">
        <f aca="false">IF(AND(Assumptions!$H$71="Yes",A191&gt;=Assumptions!$H$72,A191&lt;=Assumptions!$H$73),0,IF(ET191&gt;0,MAX(BH191*(1+VLOOKUP($C191,WeatherCapacityAdjustment,2))-FP191,0),0))</f>
        <v>#VALUE!</v>
      </c>
      <c r="FY191" s="1551" t="e">
        <f aca="false">IF(AND(Assumptions!$H$71="Yes",A191&gt;=Assumptions!$H$72,A191&lt;=Assumptions!$H$73),0,IF(EU191&gt;0,MAX(BI191*(1+VLOOKUP($C191,WeatherCapacityAdjustment,3))-FQ191,0),0))</f>
        <v>#VALUE!</v>
      </c>
      <c r="FZ191" s="1551" t="e">
        <f aca="false">IF(AND(Assumptions!$H$71="Yes",A191&gt;=Assumptions!$H$72,A191&lt;=Assumptions!$H$73),0,IF(EV191&gt;0,MAX(BJ191*(1+VLOOKUP($C191,WeatherCapacityAdjustment,2))-FR191,0),0))</f>
        <v>#VALUE!</v>
      </c>
      <c r="GA191" s="1564" t="e">
        <f aca="false">IF(AND(Assumptions!$H$71="Yes",A191&gt;=Assumptions!$H$72,A191&lt;=Assumptions!$H$73),0,IF(EW191&gt;0,MAX(BK191*(1+VLOOKUP($C191,WeatherCapacityAdjustment,2))-FS191,0),0))</f>
        <v>#VALUE!</v>
      </c>
      <c r="GB191" s="1551" t="e">
        <f aca="false">SUM(FT191:GA191)</f>
        <v>#VALUE!</v>
      </c>
      <c r="GC191" s="1563" t="e">
        <f aca="false">+IF(SUM(FT191:GA191)=0,0,(SUMPRODUCT(BU191:BX191,FT191:FW191)+SUMPRODUCT(CA191:CD191,FX191:GA191))/SUM(FT191:GA191))</f>
        <v>#VALUE!</v>
      </c>
      <c r="GD191" s="1551" t="e">
        <f aca="false">(FT191*BU191+FX191*CA191+FU191*BV191+FY191*CB191+FV191*BW191+FZ191*CC191+FW191*BX191+GA191*CD191)</f>
        <v>#VALUE!</v>
      </c>
      <c r="GE191" s="1561" t="e">
        <f aca="false">+IF(BQ191,((FL191+FM191+FT191+FU191)*HeatRatePeak/1000*(1+VLOOKUP($C191,WeatherHeatRateAdjustment,2))+(FN191+FV191)*IF(EV191&gt;0,HeatRatePeak,HeatRateOffPeak)/1000*(1+VLOOKUP($C191,WeatherHeatRateAdjustment,2))+(FO191+FW191)*IF(EW191&gt;0,HeatRatePeak,HeatRateOffPeak)/1000*(1+VLOOKUP($C191,WeatherHeatRateAdjustment,3)))*(1+VLOOKUP($B191,HeatRateDegradation,$C191+1)),0)</f>
        <v>#VALUE!</v>
      </c>
      <c r="GF191" s="1562" t="e">
        <f aca="false">IF(BQ191,((FP191+FQ191+FR191+FX191+FY191+FZ191)*HeatRatePeak/1000*(1+VLOOKUP($C191,WeatherHeatRateAdjustment,2))+(FS191+GA191)*HeatRatePeak/1000*(1+VLOOKUP($C191,WeatherHeatRateAdjustment,3)))*(1+VLOOKUP($B191,HeatRateDegradation,$C191+1)),0)</f>
        <v>#VALUE!</v>
      </c>
      <c r="GG191" s="1563" t="e">
        <f aca="false">IF(BQ191,VLOOKUP(A191,GasTable,13),0)</f>
        <v>#VALUE!</v>
      </c>
      <c r="GH191" s="1564" t="e">
        <f aca="false">(GE191+GF191)*GG191</f>
        <v>#VALUE!</v>
      </c>
      <c r="GI191" s="1569" t="e">
        <f aca="false">GB191</f>
        <v>#VALUE!</v>
      </c>
      <c r="GJ191" s="1598" t="e">
        <f aca="false">+DA191</f>
        <v>#VALUE!</v>
      </c>
      <c r="GK191" s="1558" t="e">
        <f aca="false">+GI191*GJ191</f>
        <v>#VALUE!</v>
      </c>
      <c r="GL191" s="1566" t="e">
        <f aca="false">MAX(FE191-FL191-FP191,0)</f>
        <v>#VALUE!</v>
      </c>
      <c r="GM191" s="1551" t="e">
        <f aca="false">MAX(FF191-FM191-FQ191,0)</f>
        <v>#VALUE!</v>
      </c>
      <c r="GN191" s="1551" t="e">
        <f aca="false">MAX(FG191-FN191-FR191,0)</f>
        <v>#VALUE!</v>
      </c>
      <c r="GO191" s="1564" t="e">
        <f aca="false">MAX(FH191-FO191-FS191,0)</f>
        <v>#VALUE!</v>
      </c>
      <c r="GP191" s="1551" t="e">
        <f aca="false">SUM(GL191:GO191)</f>
        <v>#VALUE!</v>
      </c>
      <c r="GQ191" s="1563" t="e">
        <f aca="false">IF(SUM(GL191:GO191)=0,0,((GL191*BU191+GM191*BV191+GN191*BW191+GO191*BX191)/SUM(GL191:GO191)))</f>
        <v>#VALUE!</v>
      </c>
      <c r="GR191" s="1558" t="e">
        <f aca="false">(GL191*BU191+GM191*BV191+GN191*BW191+GO191*BX191)</f>
        <v>#VALUE!</v>
      </c>
      <c r="GS191" s="1566" t="n">
        <f aca="false">IF($A191&gt;=BegDate,Assumptions!$C$56*24*($A192-$A191)*(1-VLOOKUP($B191,MAIN!$AA$7:$AM$28,$C191+1))*(1-VLOOKUP($B191,MAIN!$AA$33:$AM$54,$C191+1)),0)*80/168</f>
        <v>249428.571428571</v>
      </c>
      <c r="GT191" s="286" t="n">
        <f aca="false">J191</f>
        <v>54.6996518621529</v>
      </c>
      <c r="GU191" s="286" t="n">
        <f aca="false">IF($A191&gt;=BegDate,VLOOKUP($A191,GasTable,13)+Assumptions!$C$58,0)</f>
        <v>3.6314427361896</v>
      </c>
      <c r="GV191" s="286" t="n">
        <f aca="false">GU191*Assumptions!$C$57/1000</f>
        <v>26.3279598373746</v>
      </c>
      <c r="GW191" s="1558" t="n">
        <f aca="false">IF(Assumptions!$C$60="Hourly",MAX(0,GS191*(GT191-GV191)),GS191*(GT191-GV191))</f>
        <v>7076710.61075185</v>
      </c>
      <c r="GX191" s="1566" t="n">
        <f aca="false">IF($A191&gt;=BegDate,Assumptions!$C$56*24*($A192-$A191)*(1-VLOOKUP($B191,MAIN!$AA$7:$AM$28,$C191+1))*(1-VLOOKUP($B191,MAIN!$AA$33:$AM$54,$C191+1)),0)*16/168</f>
        <v>49885.7142857143</v>
      </c>
      <c r="GY191" s="286" t="n">
        <f aca="false">M191</f>
        <v>54.6996518621529</v>
      </c>
      <c r="GZ191" s="286" t="n">
        <f aca="false">IF($A191&gt;=BegDate,VLOOKUP($A191,GasTable,13)+Assumptions!$C$58,0)</f>
        <v>3.6314427361896</v>
      </c>
      <c r="HA191" s="286" t="n">
        <f aca="false">GZ191*Assumptions!$C$57/1000</f>
        <v>26.3279598373746</v>
      </c>
      <c r="HB191" s="1558" t="n">
        <f aca="false">IF(Assumptions!$C$60="Hourly",MAX(0,GX191*(GY191-HA191)),GX191*(GY191-HA191))</f>
        <v>1415342.12215037</v>
      </c>
      <c r="HC191" s="1566" t="n">
        <f aca="false">IF($A191&gt;=BegDate,Assumptions!$C$56*24*($A192-$A191)*(1-VLOOKUP($B191,MAIN!$AA$7:$AM$28,$C191+1))*(1-VLOOKUP($B191,MAIN!$AA$33:$AM$54,$C191+1)),0)*16/168</f>
        <v>49885.7142857143</v>
      </c>
      <c r="HD191" s="286" t="n">
        <f aca="false">P191</f>
        <v>31.5903008058698</v>
      </c>
      <c r="HE191" s="286" t="n">
        <f aca="false">IF($A191&gt;=BegDate,VLOOKUP($A191,GasTable,13)+Assumptions!$C$58,0)</f>
        <v>3.6314427361896</v>
      </c>
      <c r="HF191" s="286" t="n">
        <f aca="false">HE191*Assumptions!$C$57/1000</f>
        <v>26.3279598373746</v>
      </c>
      <c r="HG191" s="1558" t="n">
        <f aca="false">IF(Assumptions!$C$60="Hourly",MAX(0,HC191*(HD191-HF191)),HC191*(HD191-HF191))</f>
        <v>262515.63802836</v>
      </c>
      <c r="HH191" s="1566" t="n">
        <f aca="false">IF($A191&gt;=BegDate,Assumptions!$C$56*24*($A192-$A191)*(1-VLOOKUP($B191,MAIN!$AA$7:$AM$28,$C191+1))*(1-VLOOKUP($B191,MAIN!$AA$33:$AM$54,$C191+1)),0)*56/168</f>
        <v>174600</v>
      </c>
      <c r="HI191" s="286" t="n">
        <f aca="false">S191</f>
        <v>31.5903008058698</v>
      </c>
      <c r="HJ191" s="286" t="n">
        <f aca="false">IF($A191&gt;=BegDate,VLOOKUP($A191,GasTable,13)+Assumptions!$C$58,0)</f>
        <v>3.6314427361896</v>
      </c>
      <c r="HK191" s="286" t="n">
        <f aca="false">HJ191*Assumptions!$C$57/1000</f>
        <v>26.3279598373746</v>
      </c>
      <c r="HL191" s="1558" t="n">
        <f aca="false">IF(Assumptions!$C$60="Hourly",MAX(0,HH191*(HI191-HK191)),HH191*(HI191-HK191))</f>
        <v>918804.733099261</v>
      </c>
      <c r="HM191" s="1566" t="n">
        <f aca="false">IF(AND(Assumptions!$H$71="Yes",A191&gt;=Assumptions!$H$72,A191&lt;=Assumptions!$H$73),Assumptions!$H$74*Assumptions!$C$9*1000,0)</f>
        <v>0</v>
      </c>
      <c r="HN191" s="1551"/>
      <c r="HO191" s="1563"/>
      <c r="HP191" s="1563"/>
      <c r="HQ191" s="1563"/>
      <c r="HR191" s="1563"/>
      <c r="HS191" s="1563"/>
      <c r="HT191" s="1563"/>
      <c r="HU191" s="1563"/>
      <c r="HV191" s="1563"/>
      <c r="HW191" s="1563"/>
      <c r="HX191" s="1563"/>
      <c r="HY191" s="1563"/>
      <c r="HZ191" s="1563"/>
      <c r="IA191" s="1563"/>
      <c r="IB191" s="1563"/>
      <c r="IC191" s="1563"/>
      <c r="ID191" s="1563"/>
      <c r="IE191" s="1563"/>
      <c r="IF191" s="1563"/>
      <c r="IG191" s="1563"/>
      <c r="IH191" s="1563"/>
      <c r="II191" s="1610"/>
      <c r="IJ191" s="1309"/>
      <c r="IK191" s="1309"/>
    </row>
    <row r="192" customFormat="false" ht="12.75" hidden="false" customHeight="false" outlineLevel="0" collapsed="false">
      <c r="A192" s="1571" t="n">
        <f aca="false">EOMONTH(A191,0)+1</f>
        <v>41974</v>
      </c>
      <c r="B192" s="594" t="n">
        <f aca="false">+YEAR(A192)</f>
        <v>2014</v>
      </c>
      <c r="C192" s="238" t="n">
        <f aca="false">MONTH(A192)</f>
        <v>12</v>
      </c>
      <c r="D192" s="1572" t="e">
        <f aca="false">IF(E192="","",Holiday(B192,C192))</f>
        <v>#VALUE!</v>
      </c>
      <c r="E192" s="1573" t="n">
        <f aca="false">IF(OR(BegDate&gt;=A193,EndDate&lt;A192,AND(VolumeMonthlyOverFlag,INDEX(VolumeMonthlyOver,C192)=0),NOT(INDEX(MonthKnockOutTable,C192))),"",MAX(A192,BegDate))</f>
        <v>41974</v>
      </c>
      <c r="F192" s="1574" t="n">
        <f aca="false">IF(E192="","",MIN(A193-1,EndDate))</f>
        <v>42004</v>
      </c>
      <c r="G192" s="1575" t="n">
        <v>0</v>
      </c>
      <c r="H192" s="1576" t="n">
        <f aca="false">(1+G192/2)^(-2*(DATE(B193,C193,20)-DateToday)/365.25)</f>
        <v>1</v>
      </c>
      <c r="I192" s="1568" t="n">
        <f aca="false">IF(Assumptions!$L$25=4,VLOOKUP($A192,'Henwood Reference'!$E$9:$R$320,10),(VLOOKUP($A192,PriceTable,2,0)+IF(BasisNumber&lt;&gt;1,VLOOKUP($A192,BasisTable,2,0),0)+I$1)/(1-I$2))</f>
        <v>56.47157989307</v>
      </c>
      <c r="J192" s="1568" t="n">
        <f aca="false">IF(Assumptions!$L$25=4,VLOOKUP($A192,'Henwood Reference'!$E$9:$R$320,10),(VLOOKUP($A192,PriceTable,3,0)+IF(BasisNumber&lt;&gt;1,VLOOKUP($A192,BasisTable,2,0),0)+J$1)/(1-J$2))</f>
        <v>56.47157989307</v>
      </c>
      <c r="K192" s="1568" t="n">
        <f aca="false">IF(Assumptions!$L$25=4,VLOOKUP($A192,'Henwood Reference'!$E$9:$R$320,10),(VLOOKUP($A192,PriceTable,4,0)+IF(BasisNumber&lt;&gt;1,VLOOKUP($A192,BasisTable,2,0),0)+K$1)/(1-K$2))</f>
        <v>56.47157989307</v>
      </c>
      <c r="L192" s="1523" t="n">
        <f aca="false">IF(Assumptions!$L$25=4,VLOOKUP($A192,'Henwood Reference'!$E$9:$R$320,10),(VLOOKUP($A192,PriceTableWeekend,2,0)+IF(BasisNumber&lt;&gt;1,VLOOKUP($A192,BasisTable,2,0),0)+L$1)/(1-L$2))</f>
        <v>56.47157989307</v>
      </c>
      <c r="M192" s="1568" t="n">
        <f aca="false">IF(Assumptions!$L$25=4,VLOOKUP($A192,'Henwood Reference'!$E$9:$R$320,10),(VLOOKUP($A192,PriceTableWeekend,3,0)+IF(BasisNumber&lt;&gt;1,VLOOKUP($A192,BasisTable,2,0),0)+M$1)/(1-M$2))</f>
        <v>56.47157989307</v>
      </c>
      <c r="N192" s="1599" t="n">
        <f aca="false">IF(Assumptions!$L$25=4,VLOOKUP($A192,'Henwood Reference'!$E$9:$R$320,10),(VLOOKUP($A192,PriceTableWeekend,4,0)+IF(BasisNumber&lt;&gt;1,VLOOKUP($A192,BasisTable,2,0),0)+N$1)/(1-N$2))</f>
        <v>56.47157989307</v>
      </c>
      <c r="O192" s="1568" t="n">
        <f aca="false">IF(Assumptions!$L$25=4,VLOOKUP($A192,'Henwood Reference'!$E$9:$R$320,11),(VLOOKUP($A192,PriceTableWeekend,6,0)+IF(BasisNumber&lt;&gt;1,VLOOKUP($A192,BasisTable,3,0),0)+O$1)/(1-O$2))</f>
        <v>33.2561427442366</v>
      </c>
      <c r="P192" s="1568" t="n">
        <f aca="false">IF(Assumptions!$L$25=4,VLOOKUP($A192,'Henwood Reference'!$E$9:$R$320,11),(VLOOKUP($A192,PriceTableWeekend,7,0)+IF(BasisNumber&lt;&gt;1,VLOOKUP($A192,BasisTable,3,0),0)+P$1)/(1-P$2))</f>
        <v>33.2561427442366</v>
      </c>
      <c r="Q192" s="1599" t="n">
        <f aca="false">IF(Assumptions!$L$25=4,VLOOKUP($A192,'Henwood Reference'!$E$9:$R$320,11),(VLOOKUP($A192,PriceTableWeekend,8,0)+IF(BasisNumber&lt;&gt;1,VLOOKUP($A192,BasisTable,3,0),0)+Q$1)/(1-Q$2))</f>
        <v>33.2561427442366</v>
      </c>
      <c r="R192" s="1568" t="n">
        <f aca="false">IF(Assumptions!$L$25=4,VLOOKUP($A192,'Henwood Reference'!$E$9:$R$320,11),(VLOOKUP($A192,PriceTable,6,0)+IF(BasisNumber&lt;&gt;1,VLOOKUP($A192,BasisTable,3,0),0)+R$1)/(1-R$2))</f>
        <v>33.2561427442366</v>
      </c>
      <c r="S192" s="1568" t="n">
        <f aca="false">IF(Assumptions!$L$25=4,VLOOKUP($A192,'Henwood Reference'!$E$9:$R$320,11),(VLOOKUP($A192,PriceTable,7,0)+IF(BasisNumber&lt;&gt;1,VLOOKUP($A192,BasisTable,3,0),0)+S$1)/(1-S$2))</f>
        <v>33.2561427442366</v>
      </c>
      <c r="T192" s="1600" t="n">
        <f aca="false">IF(Assumptions!$L$25=4,VLOOKUP($A192,'Henwood Reference'!$E$9:$R$320,11),(VLOOKUP($A192,PriceTable,8,0)+IF(BasisNumber&lt;&gt;1,VLOOKUP($A192,BasisTable,3,0),0)+T$1)/(1-T$2))</f>
        <v>33.2561427442366</v>
      </c>
      <c r="U192" s="1513" t="n">
        <f aca="false">VLOOKUP($A192,VolatilityTable,14)</f>
        <v>0.0999999999999999</v>
      </c>
      <c r="V192" s="1513" t="n">
        <f aca="false">VLOOKUP($A192,VolatilityTable,15)</f>
        <v>0.11</v>
      </c>
      <c r="W192" s="1514" t="n">
        <f aca="false">VLOOKUP($A192,VolatilityTable,16)</f>
        <v>0.12</v>
      </c>
      <c r="X192" s="1513" t="n">
        <f aca="false">VLOOKUP($A192,VolatilityTable,14)</f>
        <v>0.0999999999999999</v>
      </c>
      <c r="Y192" s="1513" t="n">
        <f aca="false">VLOOKUP($A192,VolatilityTable,15)</f>
        <v>0.11</v>
      </c>
      <c r="Z192" s="1514" t="n">
        <f aca="false">VLOOKUP($A192,VolatilityTable,16)</f>
        <v>0.12</v>
      </c>
      <c r="AA192" s="1513" t="n">
        <f aca="false">VLOOKUP($A192,VolatilityTable,18)</f>
        <v>0.09</v>
      </c>
      <c r="AB192" s="1513" t="n">
        <f aca="false">VLOOKUP($A192,VolatilityTable,19)</f>
        <v>0.11</v>
      </c>
      <c r="AC192" s="1514" t="n">
        <f aca="false">VLOOKUP($A192,VolatilityTable,20)</f>
        <v>0.13</v>
      </c>
      <c r="AD192" s="1513" t="n">
        <f aca="false">VLOOKUP($A192,VolatilityTable,18)</f>
        <v>0.09</v>
      </c>
      <c r="AE192" s="1513" t="n">
        <f aca="false">VLOOKUP($A192,VolatilityTable,19)</f>
        <v>0.11</v>
      </c>
      <c r="AF192" s="1514" t="n">
        <f aca="false">VLOOKUP($A192,VolatilityTable,20)</f>
        <v>0.13</v>
      </c>
      <c r="AG192" s="1513" t="n">
        <f aca="false">VLOOKUP($A192,VolatilityTable,22)</f>
        <v>-0.25</v>
      </c>
      <c r="AH192" s="1513" t="n">
        <f aca="false">VLOOKUP($A192,VolatilityTable,23)</f>
        <v>0.6</v>
      </c>
      <c r="AI192" s="1514" t="n">
        <f aca="false">VLOOKUP($A192,VolatilityTable,24)</f>
        <v>0.25</v>
      </c>
      <c r="AJ192" s="1513" t="n">
        <f aca="false">VLOOKUP($A192,VolatilityTable,22)</f>
        <v>-0.25</v>
      </c>
      <c r="AK192" s="1513" t="n">
        <f aca="false">VLOOKUP($A192,VolatilityTable,23)</f>
        <v>0.6</v>
      </c>
      <c r="AL192" s="1514" t="n">
        <f aca="false">VLOOKUP($A192,VolatilityTable,24)</f>
        <v>0.25</v>
      </c>
      <c r="AM192" s="1513" t="n">
        <f aca="false">VLOOKUP($A192,VolatilityTable,26)</f>
        <v>-0.01</v>
      </c>
      <c r="AN192" s="1513" t="n">
        <f aca="false">VLOOKUP($A192,VolatilityTable,27)</f>
        <v>0.16</v>
      </c>
      <c r="AO192" s="1514" t="n">
        <f aca="false">VLOOKUP($A192,VolatilityTable,28)</f>
        <v>0.01</v>
      </c>
      <c r="AP192" s="1513" t="n">
        <f aca="false">VLOOKUP($A192,VolatilityTable,26)</f>
        <v>-0.01</v>
      </c>
      <c r="AQ192" s="1513" t="n">
        <f aca="false">VLOOKUP($A192,VolatilityTable,27)</f>
        <v>0.16</v>
      </c>
      <c r="AR192" s="1515" t="n">
        <f aca="false">VLOOKUP($A192,VolatilityTable,28)</f>
        <v>0.01</v>
      </c>
      <c r="AS192" s="1581" t="n">
        <f aca="false">IF(CorrPeakOffPeakOverFlag,INDEX(CorrPeakOffPeakOver,C192),CorrPeakOffPeak)</f>
        <v>0.5</v>
      </c>
      <c r="AT192" s="594" t="e">
        <f aca="false">AX192-SUM(AU192:AW192)</f>
        <v>#VALUE!</v>
      </c>
      <c r="AU192" s="238" t="e">
        <f aca="false">IF(E192="",0,INT((F192-MOD(F192,7)-E192)/7)+1-IF(AW192,IF(WEEKDAY(D192)=7,1,0),0))</f>
        <v>#VALUE!</v>
      </c>
      <c r="AV192" s="238" t="e">
        <f aca="false">IF(E192="",0,INT((F192-MOD(F192-1,7)-E192)/7)+1-IF(AW192,IF(WEEKDAY(D192)=1,1,0),0))</f>
        <v>#VALUE!</v>
      </c>
      <c r="AW192" s="238" t="e">
        <f aca="false">IF(OR(E192="",D192="",D192&lt;BegDate,D192&gt;EndDate),0,1)</f>
        <v>#VALUE!</v>
      </c>
      <c r="AX192" s="238" t="n">
        <f aca="false">IF(E192="",0,F192-E192+1)</f>
        <v>31</v>
      </c>
      <c r="AY192" s="1582" t="n">
        <f aca="false">IF(E192="",0,MIN((1-(1-VLOOKUP(B192,MAIN!$AA$7:$AM$28,C192+1))*(1-VLOOKUP(B192,MAIN!$AA$33:$AM$54,C192+1))),1))</f>
        <v>0.03</v>
      </c>
      <c r="AZ192" s="1519" t="e">
        <v>#VALUE!</v>
      </c>
      <c r="BA192" s="1520" t="e">
        <v>#VALUE!</v>
      </c>
      <c r="BB192" s="1520" t="e">
        <v>#VALUE!</v>
      </c>
      <c r="BC192" s="1583" t="e">
        <v>#VALUE!</v>
      </c>
      <c r="BD192" s="1522" t="e">
        <v>#VALUE!</v>
      </c>
      <c r="BE192" s="1523" t="e">
        <v>#VALUE!</v>
      </c>
      <c r="BF192" s="1523" t="e">
        <v>#VALUE!</v>
      </c>
      <c r="BG192" s="1584" t="e">
        <v>#VALUE!</v>
      </c>
      <c r="BH192" s="1525" t="e">
        <v>#VALUE!</v>
      </c>
      <c r="BI192" s="1520" t="e">
        <v>#VALUE!</v>
      </c>
      <c r="BJ192" s="1520" t="e">
        <v>#VALUE!</v>
      </c>
      <c r="BK192" s="1583" t="e">
        <v>#VALUE!</v>
      </c>
      <c r="BL192" s="1522" t="e">
        <v>#VALUE!</v>
      </c>
      <c r="BM192" s="1523" t="e">
        <v>#VALUE!</v>
      </c>
      <c r="BN192" s="1523" t="e">
        <v>#VALUE!</v>
      </c>
      <c r="BO192" s="1523" t="e">
        <v>#VALUE!</v>
      </c>
      <c r="BP192" s="1525" t="e">
        <f aca="false">SUM(AZ192:BB192)</f>
        <v>#VALUE!</v>
      </c>
      <c r="BQ192" s="1529" t="e">
        <f aca="false">SUM(AZ192:BC192)</f>
        <v>#VALUE!</v>
      </c>
      <c r="BR192" s="1519" t="e">
        <f aca="false">SUM(BH192:BJ192)</f>
        <v>#VALUE!</v>
      </c>
      <c r="BS192" s="1529" t="e">
        <f aca="false">SUM(BH192:BK192)</f>
        <v>#VALUE!</v>
      </c>
      <c r="BT192" s="1316" t="n">
        <f aca="false">(IF(OVolType&lt;&gt;2,A192+14,IF(OptExpDateShift,ShiftBack(A192,OptExpDateShift,D191),A192))-DateToday)/365.25</f>
        <v>14.631074606434</v>
      </c>
      <c r="BU192" s="1585" t="e">
        <f aca="false">IF(BQ192,IF(OPriceCurve,IF(OBuySell=OCallPut,I192/(1-AY192),K192/(1-AY192)),J192/(1-AY192))*BD192,0)</f>
        <v>#VALUE!</v>
      </c>
      <c r="BV192" s="1316" t="e">
        <f aca="false">IF(BQ192,IF(OPriceCurve,IF(OBuySell=OCallPut,L192/(1-AY192),N192/(1-AY192)),M192/(1-AY192))*BE192,0)</f>
        <v>#VALUE!</v>
      </c>
      <c r="BW192" s="1316" t="e">
        <f aca="false">IF(BQ192,IF(OPriceCurve,IF(OBuySell=OCallPut,O192/(1-AY192),Q192/(1-AY192)),P192/(1-AY192))*BF192,0)</f>
        <v>#VALUE!</v>
      </c>
      <c r="BX192" s="1316" t="e">
        <f aca="false">IF(BQ192,IF(OPriceCurve,IF(OBuySell=OCallPut,R192/(1-AY192),T192/(1-AY192)),S192/(1-AY192))*BG192,0)</f>
        <v>#VALUE!</v>
      </c>
      <c r="BY192" s="1316" t="e">
        <f aca="false">IF(BP192,(BU192*AZ192+BV192*BA192+BW192*BB192)/BP192,0)</f>
        <v>#VALUE!</v>
      </c>
      <c r="BZ192" s="1316" t="e">
        <f aca="false">IF(BQ192,(BY192*BP192+BX192*BC192)/BQ192,0)</f>
        <v>#VALUE!</v>
      </c>
      <c r="CA192" s="1531" t="e">
        <f aca="false">IF(BS192,IF(OPriceCurve,IF(OBuySell=OCallPut,I192/(1-AY192),K192/(1-AY192)),J192/(1-AY192))*BL192,0)</f>
        <v>#VALUE!</v>
      </c>
      <c r="CB192" s="1316" t="e">
        <f aca="false">IF(BS192,IF(OPriceCurve,IF(OBuySell=OCallPut,L192/(1-AY192),N192/(1-AY192)),M192/(1-AY192))*BM192,0)</f>
        <v>#VALUE!</v>
      </c>
      <c r="CC192" s="1316" t="e">
        <f aca="false">IF(BS192,IF(OPriceCurve,IF(OBuySell=OCallPut,O192/(1-AY192),Q192/(1-AY192)),P192/(1-AY192))*BN192,0)</f>
        <v>#VALUE!</v>
      </c>
      <c r="CD192" s="1316" t="e">
        <f aca="false">IF(BS192,IF(OPriceCurve,IF(OBuySell=OCallPut,R192/(1-AY192),T192/(1-AY192)),S192/(1-AY192))*BO192,0)</f>
        <v>#VALUE!</v>
      </c>
      <c r="CE192" s="1316" t="e">
        <f aca="false">IF(BR192,(BU192*BH192+BV192*BI192+BW192*BJ192)/BR192,0)</f>
        <v>#VALUE!</v>
      </c>
      <c r="CF192" s="1532" t="e">
        <f aca="false">IF(BS192,(CE192*BR192+CD192*BK192)/BS192,0)</f>
        <v>#VALUE!</v>
      </c>
      <c r="CG192" s="1586" t="e">
        <f aca="false">IF(OR(BQ192,BS192),IF(OVolType&lt;&gt;2,SQRT(IF(OVolOverMonthlyPeak,OVolOverMonthlyPeak,IF(OVolCurve,IF(OBuySell,U192,W192),V192))^2*(1-15/365.25/BT192)+IF(OVolOverDailyPeak,OVolOverDailyPeak,IF(OVolCurve,IF(OBuySell,AG192,AI192),AH192))^2*15/365.25/BT192),IF(OVolOverMonthlyPeak,OVolOverMonthlyPeak,IF(OVolCurve,IF(OBuySell,U192,W192),V192))),"")</f>
        <v>#VALUE!</v>
      </c>
      <c r="CH192" s="1587" t="e">
        <f aca="false">IF(OR(BQ192,BS192),IF(OVolType&lt;&gt;2,SQRT(IF(OVolOverMonthlyPeak,OVolOverMonthlyPeak,IF(OVolCurve,IF(OBuySell,X192,Z192),Y192))^2*(1-15/365.25/BT192)+IF(OVolOverDailyPeak,OVolOverDailyPeak,IF(OVolCurve,IF(OBuySell,AJ192,AL192),AK192))^2*15/365.25/BT192),IF(OVolOverMonthlyPeak,OVolOverMonthlyPeak,IF(OVolCurve,IF(OBuySell,X192,Z192),Y192))),"")</f>
        <v>#VALUE!</v>
      </c>
      <c r="CI192" s="1587" t="e">
        <f aca="false">IF(OR(BQ192,BS192),IF(OVolType&lt;&gt;2,SQRT(IF(OVolOverMonthlyPeak,OVolOverMonthlyPeak,IF(OVolCurve,IF(OBuySell,AA192,AC192),AB192))^2*(1-15/365.25/BT192)+IF(OVolOverDailyPeak,OVolOverDailyPeak,IF(OVolCurve,IF(OBuySell,AM192,AO192),AN192))^2*15/365.25/BT192),IF(OVolOverMonthlyPeak,OVolOverMonthlyPeak,IF(OVolCurve,IF(OBuySell,AA192,AC192),AB192))),"")</f>
        <v>#VALUE!</v>
      </c>
      <c r="CJ192" s="1587" t="e">
        <f aca="false">IF(BQ192,IF(BP192,SQRT(LN(1+((BU192*AZ192)^2*(EXP(CG192^2*BT192)-1)+(BV192*BA192)^2*(EXP(CH192^2*BT192)-1)+(BW192*BB192)^2*(EXP(CI192^2*BT192)-1)+2*BU192*AZ192*BV192*BA192*(EXP(CG192*CH192*BT192)-1)+2*BV192*BA192*BW192*BB192*(EXP(CH192*CI192*BT192)-1)+2*BW192*BB192*BU192*AZ192*(EXP(CI192*CG192*BT192)-1))/(BY192*BP192)^2)/BT192),0),"")</f>
        <v>#VALUE!</v>
      </c>
      <c r="CK192" s="1587" t="e">
        <f aca="false">IF(BS192,IF(BR192,SQRT(LN(1+((CA192*BH192)^2*(EXP(CG192^2*BT192)-1)+(CB192*BI192)^2*(EXP(CH192^2*BT192)-1)+(CC192*BJ192)^2*(EXP(CI192^2*BT192)-1)+2*CA192*BH192*CB192*BI192*(EXP(CG192*CH192*BT192)-1)+2*CB192*BI192*CC192*BJ192*(EXP(CH192*CI192*BT192)-1)+2*CC192*BJ192*CA192*BH192*(EXP(CI192*CG192*BT192)-1))/(CE192*BR192)^2)/BT192),0),"")</f>
        <v>#VALUE!</v>
      </c>
      <c r="CL192" s="1587" t="e">
        <f aca="false">IF(OR(BQ192,BS192),IF(OVolType&lt;&gt;2,SQRT(IF(OVolOverMonthlyOffPeak,OVolOverMonthlyOffPeak,IF(OVolCurve,IF(OBuySell,AD192,AF192),AE192))^2*(1-15/365.25/BT192)+IF(OVolOverDailyOffPeak,OVolOverDailyOffPeak,IF(OVolCurve,IF(OBuySell,AP192,AR192),AQ192))^2*15/365.25/BT192),IF(OVolOverMonthlyOffPeak,OVolOverMonthlyOffPeak,IF(OVolCurve,IF(OBuySell,AD192,AF192),AE192))),"")</f>
        <v>#VALUE!</v>
      </c>
      <c r="CM192" s="1587" t="e">
        <f aca="false">IF(BQ192,SQRT(LN(1+((BY192*BP192)^2*(EXP(CJ192^2*BT192)-1)+(BX192*BC192)^2*(EXP(CL192^2*BT192)-1)+2*BY192*BP192*BX192*BC192*(EXP(AS192*CJ192*CL192*BT192)-1))/(BY192*BP192+BX192*BC192)^2)/BT192),"")</f>
        <v>#VALUE!</v>
      </c>
      <c r="CN192" s="1588" t="e">
        <f aca="false">IF(BS192,SQRT(LN(1+((CE192*BR192)^2*(EXP(CK192^2*BT192)-1)+(CD192*BK192)^2*(EXP(CL192^2*BT192)-1)+2*CE192*BR192*CD192*BK192*(EXP(AS192*CK192*CL192*BT192)-1))/(CE192*BR192+CD192*BK192)^2)/BT192),"")</f>
        <v>#VALUE!</v>
      </c>
      <c r="CO192" s="1531" t="e">
        <f aca="false">IF(OR(BQ192,BS192),VLOOKUP(A192,GasTable,13)*HeatRatePeak*(1+VLOOKUP($B192,HeatRateDegradation,$C192+1))/1000,0)</f>
        <v>#VALUE!</v>
      </c>
      <c r="CP192" s="1316" t="e">
        <f aca="false">IF(OR(BQ192,BS192),VLOOKUP(A192,GasTable,13)*HeatRatePeak*(1+VLOOKUP($B192,HeatRateDegradation,$C192+1))/1000,0)</f>
        <v>#VALUE!</v>
      </c>
      <c r="CQ192" s="1316" t="e">
        <f aca="false">IF(OR(BQ192,BS192),VLOOKUP(A192,GasTable,13)*IF(EV192,HeatRatePeak,HeatRateOffPeak)*(1+VLOOKUP($B192,HeatRateDegradation,$C192+1))/1000,0)</f>
        <v>#VALUE!</v>
      </c>
      <c r="CR192" s="1316" t="e">
        <f aca="false">IF(OR(BQ192,BS192),VLOOKUP(A192,GasTable,13)*IF(EW192,HeatRatePeak,HeatRateOffPeak)*(1+VLOOKUP($B192,HeatRateDegradation,$C192+1))/1000,0)</f>
        <v>#VALUE!</v>
      </c>
      <c r="CS192" s="1589" t="e">
        <f aca="false">IF(BQ192,(CO192*AZ192+CP192*BA192+CQ192*BB192+CR192*BC192)/BQ192,0)</f>
        <v>#VALUE!</v>
      </c>
      <c r="CT192" s="1316" t="e">
        <f aca="false">IF(BS192,CO192,0)</f>
        <v>#VALUE!</v>
      </c>
      <c r="CU192" s="1590" t="e">
        <f aca="false">IF(OR(BQ192,BS192),VLOOKUP(A192,GasTable,14),"")</f>
        <v>#VALUE!</v>
      </c>
      <c r="CV192" s="1568" t="e">
        <f aca="false">IF(OR(BQ192,BS192),IF(CorrPowerGasOverFlag,INDEX(CorrPowerGasOver,C192),CorrPowerGas),"")</f>
        <v>#VALUE!</v>
      </c>
      <c r="CW192" s="1316" t="e">
        <f aca="false">IF(OR($BQ192,$BS192),SpreadOptPowerMargin,0)*((1+Assumptions!$C$26)^($B192-YEAR(Assumptions!$C$17)))</f>
        <v>#VALUE!</v>
      </c>
      <c r="CX192" s="1316" t="e">
        <f aca="false">IF(OR($BQ192,$BS192),SpreadOptPowerMargin,0)*((1+Assumptions!$C$26)^($B192-YEAR(Assumptions!$C$17)))</f>
        <v>#VALUE!</v>
      </c>
      <c r="CY192" s="1316" t="e">
        <f aca="false">IF(OR($BQ192,$BS192),SpreadOptPowerMargin,0)*((1+Assumptions!$C$26)^($B192-YEAR(Assumptions!$C$17)))</f>
        <v>#VALUE!</v>
      </c>
      <c r="CZ192" s="1316" t="e">
        <f aca="false">IF(OR($BQ192,$BS192),SpreadOptPowerMargin,0)*((1+Assumptions!$C$26)^($B192-YEAR(Assumptions!$C$17)))</f>
        <v>#VALUE!</v>
      </c>
      <c r="DA192" s="1591" t="e">
        <f aca="false">IF(OR(BQ192,BS192),(CW192*(AZ192+BH192)+CX192*(BA192+BI192)+CY192*(BB192+BJ192)+CZ192*(BC192+BK192))/(BQ192+BS192),0)</f>
        <v>#VALUE!</v>
      </c>
      <c r="DB192" s="1592" t="e">
        <f aca="false">IF(OR(BQ192,BS192),CG192+IF(OVolSmile,VLOOKUP(MAX(-5,CO192+CW192-BU192),IF(OVolSmile=1,VolSmileBook,VolSmileModel),2),0),"")</f>
        <v>#VALUE!</v>
      </c>
      <c r="DC192" s="1592" t="e">
        <f aca="false">IF(OR(BQ192,BS192),CH192+IF(OVolSmile,VLOOKUP(MAX(-5,CP192+CW192-BV192),IF(OVolSmile=1,VolSmileBook,VolSmileModel),2),0),"")</f>
        <v>#VALUE!</v>
      </c>
      <c r="DD192" s="1592" t="e">
        <f aca="false">IF(OR(BQ192,BS192),CI192+IF(OVolSmile,VLOOKUP(MAX(-5,CQ192+CW192-BW192),IF(OVolSmile=1,VolSmileBook,VolSmileModel),2),0),"")</f>
        <v>#VALUE!</v>
      </c>
      <c r="DE192" s="1592" t="e">
        <f aca="false">IF(OR(BQ192,BS192),CL192+IF(OVolSmile,VLOOKUP(MAX(-5,CR192+CZ192-BX192),IF(OVolSmile=1,VolSmileBook,VolSmileModel),2),0),"")</f>
        <v>#VALUE!</v>
      </c>
      <c r="DF192" s="1592" t="e">
        <f aca="false">IF(BQ192,CM192+IF(OVolSmile,VLOOKUP(MAX(-5,CS192+DA192-BZ192),IF(OVolSmile=1,VolSmileBook,VolSmileModel),2),0),"")</f>
        <v>#VALUE!</v>
      </c>
      <c r="DG192" s="1593" t="e">
        <f aca="false">IF(BS192,CN192+IF(OVolSmile,VLOOKUP(MAX(-5,CT192+DA192-CF192),IF(OVolSmile=1,VolSmileBook,VolSmileModel),2),0),"")</f>
        <v>#VALUE!</v>
      </c>
      <c r="DH192" s="1316" t="e">
        <f aca="false">IF(AND(BU192&gt;0,CO192&gt;0,DB192&gt;0,CU192&gt;0),newSPRDOPT(BU192,CO192,CW192,0,DB192,CU192,CV192,BT192*365.25,OCallPut,0),0)</f>
        <v>#VALUE!</v>
      </c>
      <c r="DI192" s="1316" t="e">
        <f aca="false">IF(AND(BV192&gt;0,CP192&gt;0,DC192&gt;0,CU192&gt;0),newSPRDOPT(BV192,CP192,CX192,0,DC192,CU192,CV192,BT192*365.25,OCallPut,0),0)</f>
        <v>#VALUE!</v>
      </c>
      <c r="DJ192" s="1316" t="e">
        <f aca="false">IF(AND(BW192&gt;0,CQ192&gt;0,DD192&gt;0,CU192&gt;0),newSPRDOPT(BW192,CQ192,CY192,0,DD192,CU192,CV192,BT192*365.25,OCallPut,0),0)</f>
        <v>#VALUE!</v>
      </c>
      <c r="DK192" s="1316" t="e">
        <f aca="false">IF(AND(BX192&gt;0,CR192&gt;0,DE192&gt;0,CU192&gt;0),newSPRDOPT(BX192,CR192,CZ192,0,DE192,CU192,CV192,BT192*365.25,OCallPut,0),0)</f>
        <v>#VALUE!</v>
      </c>
      <c r="DL192" s="1316" t="e">
        <f aca="false">IF(OVolType,IF(AND(BZ192&gt;0,CS192&gt;0,DF192&gt;0,CU192&gt;0),newSPRDOPT(BZ192,CS192,DA192,0,DF192,CU192,CV192,BT192*365.25,OCallPut,0),0),IF(BQ192,(DH192*AZ192+DI192*BA192+DJ192*BB192+DK192*BC192)/BQ192,0))</f>
        <v>#VALUE!</v>
      </c>
      <c r="DM192" s="1316"/>
      <c r="DN192" s="1316"/>
      <c r="DO192" s="1316"/>
      <c r="DP192" s="1316"/>
      <c r="DQ192" s="1316"/>
      <c r="DR192" s="1316"/>
      <c r="DS192" s="1316"/>
      <c r="DT192" s="1316"/>
      <c r="DU192" s="1316"/>
      <c r="DV192" s="1316"/>
      <c r="DW192" s="1594" t="e">
        <f aca="false">IF(AND(BW192&gt;0,CT192&gt;0,DD192&gt;0,CU192&gt;0),newSPRDOPT(BW192,CT192,CY192,0,DD192,CU192,CV192,BT192*365.25,OCallPut,0),0)</f>
        <v>#VALUE!</v>
      </c>
      <c r="DX192" s="1316" t="e">
        <f aca="false">IF(AND(BX192&gt;0,CT192&gt;0,DE192&gt;0,CU192&gt;0),newSPRDOPT(BX192,CT192,CZ192,0,DE192,CU192,CV192,BT192*365.25,OCallPut,0),0)</f>
        <v>#VALUE!</v>
      </c>
      <c r="DY192" s="1591" t="e">
        <f aca="false">IF(BS192,(DH192*BH192+DI192*BI192+DW192*BJ192+DX192*BK192)/BS192,0)</f>
        <v>#VALUE!</v>
      </c>
      <c r="DZ192" s="1551" t="e">
        <f aca="false">DH192*AZ192</f>
        <v>#VALUE!</v>
      </c>
      <c r="EA192" s="1551" t="e">
        <f aca="false">DI192*BA192</f>
        <v>#VALUE!</v>
      </c>
      <c r="EB192" s="1551" t="e">
        <f aca="false">DJ192*BB192</f>
        <v>#VALUE!</v>
      </c>
      <c r="EC192" s="1551" t="e">
        <f aca="false">DK192*BC192</f>
        <v>#VALUE!</v>
      </c>
      <c r="ED192" s="1551" t="e">
        <f aca="false">DL192*BQ192</f>
        <v>#VALUE!</v>
      </c>
      <c r="EE192" s="1595" t="e">
        <f aca="false">IF(BQ192,IF(OCallPut,IF(BU192&gt;(CO192+CW192),BU192-(CO192+CW192),0),IF((CO192+CW192)&gt;BU192,(CO192+CW192)-BU192,0))*AZ192,0)</f>
        <v>#VALUE!</v>
      </c>
      <c r="EF192" s="1596" t="e">
        <f aca="false">IF(BQ192,IF(OCallPut,IF(BV192&gt;(CP192+CX192),BV192-(CP192+CX192),0),IF((CP192+CX192)&gt;BV192,(CP192+CX192)-BV192,0))*BA192,0)</f>
        <v>#VALUE!</v>
      </c>
      <c r="EG192" s="1596" t="e">
        <f aca="false">IF(BQ192,IF(OCallPut,IF(BW192&gt;(CQ192+CY192),BW192-(CQ192+CY192),0),IF((CQ192+CY192)&gt;BW192,(CQ192+CY192)-BW192,0))*BB192,0)</f>
        <v>#VALUE!</v>
      </c>
      <c r="EH192" s="1596" t="e">
        <f aca="false">IF(BQ192,IF(OCallPut,IF(BX192&gt;(CR192+CZ192),BX192-(CR192+CZ192),0),IF((CR192+CZ192)&gt;BX192,(CR192+CZ192)-BX192,0))*BC192,0)</f>
        <v>#VALUE!</v>
      </c>
      <c r="EI192" s="1597" t="e">
        <f aca="false">IF(BQ192,IF(OVolType,IF(OCallPut,IF(BZ192&gt;(CS192+DA192),BZ192-(CS192+DA192),0),IF((CS192+DA192)&gt;BZ192,(CS192+DA192)-BZ192,0))*BQ192,SUM(EE192:EH192)),0)</f>
        <v>#VALUE!</v>
      </c>
      <c r="EJ192" s="1595" t="e">
        <f aca="false">DZ192-EE192</f>
        <v>#VALUE!</v>
      </c>
      <c r="EK192" s="1596" t="e">
        <f aca="false">EA192-EF192</f>
        <v>#VALUE!</v>
      </c>
      <c r="EL192" s="1596" t="e">
        <f aca="false">EB192-EG192</f>
        <v>#VALUE!</v>
      </c>
      <c r="EM192" s="1596" t="e">
        <f aca="false">EC192-EH192</f>
        <v>#VALUE!</v>
      </c>
      <c r="EN192" s="1597" t="e">
        <f aca="false">ED192-EI192</f>
        <v>#VALUE!</v>
      </c>
      <c r="EO192" s="1551" t="e">
        <f aca="false">DH192*BH192</f>
        <v>#VALUE!</v>
      </c>
      <c r="EP192" s="1551" t="e">
        <f aca="false">DI192*BI192</f>
        <v>#VALUE!</v>
      </c>
      <c r="EQ192" s="1551" t="e">
        <f aca="false">DW192*BJ192</f>
        <v>#VALUE!</v>
      </c>
      <c r="ER192" s="1551" t="e">
        <f aca="false">DX192*BK192</f>
        <v>#VALUE!</v>
      </c>
      <c r="ES192" s="1551" t="e">
        <f aca="false">DY192*BS192</f>
        <v>#VALUE!</v>
      </c>
      <c r="ET192" s="1566" t="e">
        <f aca="false">IF(EI192,IF(OCallPut,IF(CA192&gt;(CT192+CW192),CA192-(CT192+CW192),0),IF((CT192+CW192)&gt;CA192,(CT192+CW192)-CA192,0))*BH192,0)</f>
        <v>#VALUE!</v>
      </c>
      <c r="EU192" s="1551" t="e">
        <f aca="false">IF(EI192,IF(OCallPut,IF(CB192&gt;(CT192+CX192),CB192-(CT192+CX192),0),IF((CT192+CX192)&gt;CB192,(CT192+CX192)-CB192,0))*BI192,0)</f>
        <v>#VALUE!</v>
      </c>
      <c r="EV192" s="1551" t="e">
        <f aca="false">IF(EI192,IF(OCallPut,IF(CC192&gt;(CT192+CY192),CC192-(CT192+CY192),0),IF((CT192+CY192)&gt;CC192,(CT192+CY192)-CC192,0))*BJ192,0)</f>
        <v>#VALUE!</v>
      </c>
      <c r="EW192" s="1551" t="e">
        <f aca="false">IF(EI192,IF(OCallPut,IF(CD192&gt;(CT192+CZ192),CD192-(CT192+CZ192),0),IF((CT192+CZ192)&gt;CD192,(CT192+CZ192)-CD192,0))*BK192,0)</f>
        <v>#VALUE!</v>
      </c>
      <c r="EX192" s="1558" t="e">
        <f aca="false">IF(EI192,SUM(ET192:EW192),0)</f>
        <v>#VALUE!</v>
      </c>
      <c r="EY192" s="1551" t="e">
        <f aca="false">EO192-ET192</f>
        <v>#VALUE!</v>
      </c>
      <c r="EZ192" s="1551" t="e">
        <f aca="false">EP192-EU192</f>
        <v>#VALUE!</v>
      </c>
      <c r="FA192" s="1551" t="e">
        <f aca="false">EQ192-EV192</f>
        <v>#VALUE!</v>
      </c>
      <c r="FB192" s="1551" t="e">
        <f aca="false">ER192-EW192</f>
        <v>#VALUE!</v>
      </c>
      <c r="FC192" s="1551" t="e">
        <f aca="false">ES192-EX192</f>
        <v>#VALUE!</v>
      </c>
      <c r="FD192" s="1525" t="n">
        <f aca="false">IF(AX192,IF(VLOOKUP(C192,MAIN!$L$17:$M$28,2)="Yes",VLOOKUP(CALC!B192,MAIN!$H$17:$I$20,2),0),0)</f>
        <v>0</v>
      </c>
      <c r="FE192" s="1552" t="e">
        <f aca="false">$FD192*16*AT192*(1-$AY192)</f>
        <v>#VALUE!</v>
      </c>
      <c r="FF192" s="1553" t="e">
        <f aca="false">$FD192*16*AU192*(1-$AY192)</f>
        <v>#VALUE!</v>
      </c>
      <c r="FG192" s="1553" t="e">
        <f aca="false">$FD192*16*(AV192+AW192)*(1-$AY192)</f>
        <v>#VALUE!</v>
      </c>
      <c r="FH192" s="1554" t="n">
        <f aca="false">$FD192*8*AX192*(1-$AY192)</f>
        <v>0</v>
      </c>
      <c r="FI192" s="1555" t="n">
        <f aca="false">IF(AX192,VLOOKUP(CALC!B192,MAIN!$H$17:$K$20,4),0)</f>
        <v>0</v>
      </c>
      <c r="FJ192" s="1553" t="e">
        <f aca="false">SUM(FE192:FH192)</f>
        <v>#VALUE!</v>
      </c>
      <c r="FK192" s="1556" t="e">
        <f aca="false">FI192*FJ192</f>
        <v>#VALUE!</v>
      </c>
      <c r="FL192" s="1551" t="e">
        <f aca="false">IF($EI192&gt;0,MIN(FE192,AZ192*(1+VLOOKUP($C192,WeatherCapacityAdjustment,2))),0)</f>
        <v>#VALUE!</v>
      </c>
      <c r="FM192" s="1551" t="e">
        <f aca="false">IF($EI192&gt;0,MIN(FF192,BA192*(1+VLOOKUP($C192,WeatherCapacityAdjustment,2))),0)</f>
        <v>#VALUE!</v>
      </c>
      <c r="FN192" s="1551" t="e">
        <f aca="false">IF($EI192&gt;0,MIN(FG192,BB192*(1+VLOOKUP($C192,WeatherCapacityAdjustment,2))),0)</f>
        <v>#VALUE!</v>
      </c>
      <c r="FO192" s="1564" t="e">
        <f aca="false">IF($EI192&gt;0,MIN(FH192,BC192*(1+VLOOKUP($C192,WeatherCapacityAdjustment,3))),0)</f>
        <v>#VALUE!</v>
      </c>
      <c r="FP192" s="1551" t="e">
        <f aca="false">IF(ET192&gt;0,MIN(FE192-FL192,BH192*(1+VLOOKUP($C192,WeatherCapacityAdjustment,2))),0)</f>
        <v>#VALUE!</v>
      </c>
      <c r="FQ192" s="1551" t="e">
        <f aca="false">IF(EU192&gt;0,MIN(FF192-FM192,BI192*(1+VLOOKUP($C192,WeatherCapacityAdjustment,2))),0)</f>
        <v>#VALUE!</v>
      </c>
      <c r="FR192" s="1551" t="e">
        <f aca="false">IF(EV192&gt;0,MIN(FG192-FN192,BJ192*(1+VLOOKUP($C192,WeatherCapacityAdjustment,2))),0)</f>
        <v>#VALUE!</v>
      </c>
      <c r="FS192" s="1558" t="e">
        <f aca="false">IF(EW192&gt;0,MIN(FH192-FO192,BK192*(1+VLOOKUP($C192,WeatherCapacityAdjustment,3))),0)</f>
        <v>#VALUE!</v>
      </c>
      <c r="FT192" s="1566" t="e">
        <f aca="false">IF(AND(Assumptions!$H$71="Yes",A192&gt;=Assumptions!$H$72,A192&lt;=Assumptions!$H$73),0,IF(AND($A192&gt;=Assumptions!$C$17,$A192&lt;=Assumptions!$C$18),MAX(AZ192*(1+VLOOKUP($C192,WeatherCapacityAdjustment,2))-FL192,0),0))</f>
        <v>#VALUE!</v>
      </c>
      <c r="FU192" s="1551" t="e">
        <f aca="false">IF(AND(Assumptions!$H$71="Yes",A192&gt;=Assumptions!$H$72,A192&lt;=Assumptions!$H$73),0,IF(AND($A192&gt;=Assumptions!$C$17,$A192&lt;=Assumptions!$C$18),MAX(BA192*(1+VLOOKUP($C192,WeatherCapacityAdjustment,2))-FM192,0),0))</f>
        <v>#VALUE!</v>
      </c>
      <c r="FV192" s="1551" t="e">
        <f aca="false">IF(AND(Assumptions!$H$71="Yes",A192&gt;=Assumptions!$H$72,A192&lt;=Assumptions!$H$73),0,IF(AND($A192&gt;=Assumptions!$C$17,$A192&lt;=Assumptions!$C$18),MAX(BB192*(1+VLOOKUP($C192,WeatherCapacityAdjustment,2))-FN192,0),0))</f>
        <v>#VALUE!</v>
      </c>
      <c r="FW192" s="1564" t="e">
        <f aca="false">IF(AND(Assumptions!$H$71="Yes",A192&gt;=Assumptions!$H$72,A192&lt;=Assumptions!$H$73),0,IF(AND($A192&gt;=Assumptions!$C$17,$A192&lt;=Assumptions!$C$18),MAX(BC192*(1+VLOOKUP($C192,WeatherCapacityAdjustment,3))-FO192,0),0))</f>
        <v>#VALUE!</v>
      </c>
      <c r="FX192" s="1569" t="e">
        <f aca="false">IF(AND(Assumptions!$H$71="Yes",A192&gt;=Assumptions!$H$72,A192&lt;=Assumptions!$H$73),0,IF(ET192&gt;0,MAX(BH192*(1+VLOOKUP($C192,WeatherCapacityAdjustment,2))-FP192,0),0))</f>
        <v>#VALUE!</v>
      </c>
      <c r="FY192" s="1551" t="e">
        <f aca="false">IF(AND(Assumptions!$H$71="Yes",A192&gt;=Assumptions!$H$72,A192&lt;=Assumptions!$H$73),0,IF(EU192&gt;0,MAX(BI192*(1+VLOOKUP($C192,WeatherCapacityAdjustment,3))-FQ192,0),0))</f>
        <v>#VALUE!</v>
      </c>
      <c r="FZ192" s="1551" t="e">
        <f aca="false">IF(AND(Assumptions!$H$71="Yes",A192&gt;=Assumptions!$H$72,A192&lt;=Assumptions!$H$73),0,IF(EV192&gt;0,MAX(BJ192*(1+VLOOKUP($C192,WeatherCapacityAdjustment,2))-FR192,0),0))</f>
        <v>#VALUE!</v>
      </c>
      <c r="GA192" s="1564" t="e">
        <f aca="false">IF(AND(Assumptions!$H$71="Yes",A192&gt;=Assumptions!$H$72,A192&lt;=Assumptions!$H$73),0,IF(EW192&gt;0,MAX(BK192*(1+VLOOKUP($C192,WeatherCapacityAdjustment,2))-FS192,0),0))</f>
        <v>#VALUE!</v>
      </c>
      <c r="GB192" s="1551" t="e">
        <f aca="false">SUM(FT192:GA192)</f>
        <v>#VALUE!</v>
      </c>
      <c r="GC192" s="1563" t="e">
        <f aca="false">+IF(SUM(FT192:GA192)=0,0,(SUMPRODUCT(BU192:BX192,FT192:FW192)+SUMPRODUCT(CA192:CD192,FX192:GA192))/SUM(FT192:GA192))</f>
        <v>#VALUE!</v>
      </c>
      <c r="GD192" s="1551" t="e">
        <f aca="false">(FT192*BU192+FX192*CA192+FU192*BV192+FY192*CB192+FV192*BW192+FZ192*CC192+FW192*BX192+GA192*CD192)</f>
        <v>#VALUE!</v>
      </c>
      <c r="GE192" s="1561" t="e">
        <f aca="false">+IF(BQ192,((FL192+FM192+FT192+FU192)*HeatRatePeak/1000*(1+VLOOKUP($C192,WeatherHeatRateAdjustment,2))+(FN192+FV192)*IF(EV192&gt;0,HeatRatePeak,HeatRateOffPeak)/1000*(1+VLOOKUP($C192,WeatherHeatRateAdjustment,2))+(FO192+FW192)*IF(EW192&gt;0,HeatRatePeak,HeatRateOffPeak)/1000*(1+VLOOKUP($C192,WeatherHeatRateAdjustment,3)))*(1+VLOOKUP($B192,HeatRateDegradation,$C192+1)),0)</f>
        <v>#VALUE!</v>
      </c>
      <c r="GF192" s="1562" t="e">
        <f aca="false">IF(BQ192,((FP192+FQ192+FR192+FX192+FY192+FZ192)*HeatRatePeak/1000*(1+VLOOKUP($C192,WeatherHeatRateAdjustment,2))+(FS192+GA192)*HeatRatePeak/1000*(1+VLOOKUP($C192,WeatherHeatRateAdjustment,3)))*(1+VLOOKUP($B192,HeatRateDegradation,$C192+1)),0)</f>
        <v>#VALUE!</v>
      </c>
      <c r="GG192" s="1563" t="e">
        <f aca="false">IF(BQ192,VLOOKUP(A192,GasTable,13),0)</f>
        <v>#VALUE!</v>
      </c>
      <c r="GH192" s="1564" t="e">
        <f aca="false">(GE192+GF192)*GG192</f>
        <v>#VALUE!</v>
      </c>
      <c r="GI192" s="1569" t="e">
        <f aca="false">GB192</f>
        <v>#VALUE!</v>
      </c>
      <c r="GJ192" s="1598" t="e">
        <f aca="false">+DA192</f>
        <v>#VALUE!</v>
      </c>
      <c r="GK192" s="1558" t="e">
        <f aca="false">+GI192*GJ192</f>
        <v>#VALUE!</v>
      </c>
      <c r="GL192" s="1566" t="e">
        <f aca="false">MAX(FE192-FL192-FP192,0)</f>
        <v>#VALUE!</v>
      </c>
      <c r="GM192" s="1551" t="e">
        <f aca="false">MAX(FF192-FM192-FQ192,0)</f>
        <v>#VALUE!</v>
      </c>
      <c r="GN192" s="1551" t="e">
        <f aca="false">MAX(FG192-FN192-FR192,0)</f>
        <v>#VALUE!</v>
      </c>
      <c r="GO192" s="1564" t="e">
        <f aca="false">MAX(FH192-FO192-FS192,0)</f>
        <v>#VALUE!</v>
      </c>
      <c r="GP192" s="1551" t="e">
        <f aca="false">SUM(GL192:GO192)</f>
        <v>#VALUE!</v>
      </c>
      <c r="GQ192" s="1563" t="e">
        <f aca="false">IF(SUM(GL192:GO192)=0,0,((GL192*BU192+GM192*BV192+GN192*BW192+GO192*BX192)/SUM(GL192:GO192)))</f>
        <v>#VALUE!</v>
      </c>
      <c r="GR192" s="1558" t="e">
        <f aca="false">(GL192*BU192+GM192*BV192+GN192*BW192+GO192*BX192)</f>
        <v>#VALUE!</v>
      </c>
      <c r="GS192" s="1566" t="n">
        <f aca="false">IF($A192&gt;=BegDate,Assumptions!$C$56*24*($A193-$A192)*(1-VLOOKUP($B192,MAIN!$AA$7:$AM$28,$C192+1))*(1-VLOOKUP($B192,MAIN!$AA$33:$AM$54,$C192+1)),0)*80/168</f>
        <v>257742.857142857</v>
      </c>
      <c r="GT192" s="286" t="n">
        <f aca="false">J192</f>
        <v>56.47157989307</v>
      </c>
      <c r="GU192" s="286" t="n">
        <f aca="false">IF($A192&gt;=BegDate,VLOOKUP($A192,GasTable,13)+Assumptions!$C$58,0)</f>
        <v>3.77975375209764</v>
      </c>
      <c r="GV192" s="286" t="n">
        <f aca="false">GU192*Assumptions!$C$57/1000</f>
        <v>27.4032147027079</v>
      </c>
      <c r="GW192" s="1558" t="n">
        <f aca="false">IF(Assumptions!$C$60="Hourly",MAX(0,GS192*(GT192-GV192)),GS192*(GT192-GV192))</f>
        <v>7492163.49663591</v>
      </c>
      <c r="GX192" s="1566" t="n">
        <f aca="false">IF($A192&gt;=BegDate,Assumptions!$C$56*24*($A193-$A192)*(1-VLOOKUP($B192,MAIN!$AA$7:$AM$28,$C192+1))*(1-VLOOKUP($B192,MAIN!$AA$33:$AM$54,$C192+1)),0)*16/168</f>
        <v>51548.5714285714</v>
      </c>
      <c r="GY192" s="286" t="n">
        <f aca="false">M192</f>
        <v>56.47157989307</v>
      </c>
      <c r="GZ192" s="286" t="n">
        <f aca="false">IF($A192&gt;=BegDate,VLOOKUP($A192,GasTable,13)+Assumptions!$C$58,0)</f>
        <v>3.77975375209764</v>
      </c>
      <c r="HA192" s="286" t="n">
        <f aca="false">GZ192*Assumptions!$C$57/1000</f>
        <v>27.4032147027079</v>
      </c>
      <c r="HB192" s="1558" t="n">
        <f aca="false">IF(Assumptions!$C$60="Hourly",MAX(0,GX192*(GY192-HA192)),GX192*(GY192-HA192))</f>
        <v>1498432.69932718</v>
      </c>
      <c r="HC192" s="1566" t="n">
        <f aca="false">IF($A192&gt;=BegDate,Assumptions!$C$56*24*($A193-$A192)*(1-VLOOKUP($B192,MAIN!$AA$7:$AM$28,$C192+1))*(1-VLOOKUP($B192,MAIN!$AA$33:$AM$54,$C192+1)),0)*16/168</f>
        <v>51548.5714285714</v>
      </c>
      <c r="HD192" s="286" t="n">
        <f aca="false">P192</f>
        <v>33.2561427442366</v>
      </c>
      <c r="HE192" s="286" t="n">
        <f aca="false">IF($A192&gt;=BegDate,VLOOKUP($A192,GasTable,13)+Assumptions!$C$58,0)</f>
        <v>3.77975375209764</v>
      </c>
      <c r="HF192" s="286" t="n">
        <f aca="false">HE192*Assumptions!$C$57/1000</f>
        <v>27.4032147027079</v>
      </c>
      <c r="HG192" s="1558" t="n">
        <f aca="false">IF(Assumptions!$C$60="Hourly",MAX(0,HC192*(HD192-HF192)),HC192*(HD192-HF192))</f>
        <v>301710.079215034</v>
      </c>
      <c r="HH192" s="1566" t="n">
        <f aca="false">IF($A192&gt;=BegDate,Assumptions!$C$56*24*($A193-$A192)*(1-VLOOKUP($B192,MAIN!$AA$7:$AM$28,$C192+1))*(1-VLOOKUP($B192,MAIN!$AA$33:$AM$54,$C192+1)),0)*56/168</f>
        <v>180420</v>
      </c>
      <c r="HI192" s="286" t="n">
        <f aca="false">S192</f>
        <v>33.2561427442366</v>
      </c>
      <c r="HJ192" s="286" t="n">
        <f aca="false">IF($A192&gt;=BegDate,VLOOKUP($A192,GasTable,13)+Assumptions!$C$58,0)</f>
        <v>3.77975375209764</v>
      </c>
      <c r="HK192" s="286" t="n">
        <f aca="false">HJ192*Assumptions!$C$57/1000</f>
        <v>27.4032147027079</v>
      </c>
      <c r="HL192" s="1558" t="n">
        <f aca="false">IF(Assumptions!$C$60="Hourly",MAX(0,HH192*(HI192-HK192)),HH192*(HI192-HK192))</f>
        <v>1055985.27725262</v>
      </c>
      <c r="HM192" s="1566" t="n">
        <f aca="false">IF(AND(Assumptions!$H$71="Yes",A192&gt;=Assumptions!$H$72,A192&lt;=Assumptions!$H$73),Assumptions!$H$74*Assumptions!$C$9*1000,0)</f>
        <v>0</v>
      </c>
      <c r="HN192" s="1551"/>
      <c r="HO192" s="1563"/>
      <c r="HP192" s="1563"/>
      <c r="HQ192" s="1563"/>
      <c r="HR192" s="1563"/>
      <c r="HS192" s="1563"/>
      <c r="HT192" s="1563"/>
      <c r="HU192" s="1563"/>
      <c r="HV192" s="1563"/>
      <c r="HW192" s="1563"/>
      <c r="HX192" s="1563"/>
      <c r="HY192" s="1563"/>
      <c r="HZ192" s="1563"/>
      <c r="IA192" s="1563"/>
      <c r="IB192" s="1563"/>
      <c r="IC192" s="1563"/>
      <c r="ID192" s="1563"/>
      <c r="IE192" s="1563"/>
      <c r="IF192" s="1563"/>
      <c r="IG192" s="1563"/>
      <c r="IH192" s="1563"/>
      <c r="II192" s="1610"/>
      <c r="IJ192" s="1309"/>
      <c r="IK192" s="1309"/>
    </row>
    <row r="193" customFormat="false" ht="12.75" hidden="false" customHeight="false" outlineLevel="0" collapsed="false">
      <c r="A193" s="1571" t="n">
        <f aca="false">EOMONTH(A192,0)+1</f>
        <v>42005</v>
      </c>
      <c r="B193" s="594" t="n">
        <f aca="false">+YEAR(A193)</f>
        <v>2015</v>
      </c>
      <c r="C193" s="238" t="n">
        <f aca="false">MONTH(A193)</f>
        <v>1</v>
      </c>
      <c r="D193" s="1572" t="e">
        <f aca="false">IF(E193="","",Holiday(B193,C193))</f>
        <v>#VALUE!</v>
      </c>
      <c r="E193" s="1573" t="n">
        <f aca="false">IF(OR(BegDate&gt;=A194,EndDate&lt;A193,AND(VolumeMonthlyOverFlag,INDEX(VolumeMonthlyOver,C193)=0),NOT(INDEX(MonthKnockOutTable,C193))),"",MAX(A193,BegDate))</f>
        <v>42005</v>
      </c>
      <c r="F193" s="1574" t="n">
        <f aca="false">IF(E193="","",MIN(A194-1,EndDate))</f>
        <v>42035</v>
      </c>
      <c r="G193" s="1575" t="n">
        <v>0</v>
      </c>
      <c r="H193" s="1576" t="n">
        <f aca="false">(1+G193/2)^(-2*(DATE(B194,C194,20)-DateToday)/365.25)</f>
        <v>1</v>
      </c>
      <c r="I193" s="1568" t="n">
        <f aca="false">IF(Assumptions!$L$25=4,VLOOKUP($A193,'Henwood Reference'!$E$9:$R$320,10),(VLOOKUP($A193,PriceTable,2,0)+IF(BasisNumber&lt;&gt;1,VLOOKUP($A193,BasisTable,2,0),0)+I$1)/(1-I$2))</f>
        <v>57.8088135623687</v>
      </c>
      <c r="J193" s="1568" t="n">
        <f aca="false">IF(Assumptions!$L$25=4,VLOOKUP($A193,'Henwood Reference'!$E$9:$R$320,10),(VLOOKUP($A193,PriceTable,3,0)+IF(BasisNumber&lt;&gt;1,VLOOKUP($A193,BasisTable,2,0),0)+J$1)/(1-J$2))</f>
        <v>57.8088135623687</v>
      </c>
      <c r="K193" s="1568" t="n">
        <f aca="false">IF(Assumptions!$L$25=4,VLOOKUP($A193,'Henwood Reference'!$E$9:$R$320,10),(VLOOKUP($A193,PriceTable,4,0)+IF(BasisNumber&lt;&gt;1,VLOOKUP($A193,BasisTable,2,0),0)+K$1)/(1-K$2))</f>
        <v>57.8088135623687</v>
      </c>
      <c r="L193" s="1523" t="n">
        <f aca="false">IF(Assumptions!$L$25=4,VLOOKUP($A193,'Henwood Reference'!$E$9:$R$320,10),(VLOOKUP($A193,PriceTableWeekend,2,0)+IF(BasisNumber&lt;&gt;1,VLOOKUP($A193,BasisTable,2,0),0)+L$1)/(1-L$2))</f>
        <v>57.8088135623687</v>
      </c>
      <c r="M193" s="1568" t="n">
        <f aca="false">IF(Assumptions!$L$25=4,VLOOKUP($A193,'Henwood Reference'!$E$9:$R$320,10),(VLOOKUP($A193,PriceTableWeekend,3,0)+IF(BasisNumber&lt;&gt;1,VLOOKUP($A193,BasisTable,2,0),0)+M$1)/(1-M$2))</f>
        <v>57.8088135623687</v>
      </c>
      <c r="N193" s="1599" t="n">
        <f aca="false">IF(Assumptions!$L$25=4,VLOOKUP($A193,'Henwood Reference'!$E$9:$R$320,10),(VLOOKUP($A193,PriceTableWeekend,4,0)+IF(BasisNumber&lt;&gt;1,VLOOKUP($A193,BasisTable,2,0),0)+N$1)/(1-N$2))</f>
        <v>57.8088135623687</v>
      </c>
      <c r="O193" s="1568" t="n">
        <f aca="false">IF(Assumptions!$L$25=4,VLOOKUP($A193,'Henwood Reference'!$E$9:$R$320,11),(VLOOKUP($A193,PriceTableWeekend,6,0)+IF(BasisNumber&lt;&gt;1,VLOOKUP($A193,BasisTable,3,0),0)+O$1)/(1-O$2))</f>
        <v>32.642286917212</v>
      </c>
      <c r="P193" s="1568" t="n">
        <f aca="false">IF(Assumptions!$L$25=4,VLOOKUP($A193,'Henwood Reference'!$E$9:$R$320,11),(VLOOKUP($A193,PriceTableWeekend,7,0)+IF(BasisNumber&lt;&gt;1,VLOOKUP($A193,BasisTable,3,0),0)+P$1)/(1-P$2))</f>
        <v>32.642286917212</v>
      </c>
      <c r="Q193" s="1599" t="n">
        <f aca="false">IF(Assumptions!$L$25=4,VLOOKUP($A193,'Henwood Reference'!$E$9:$R$320,11),(VLOOKUP($A193,PriceTableWeekend,8,0)+IF(BasisNumber&lt;&gt;1,VLOOKUP($A193,BasisTable,3,0),0)+Q$1)/(1-Q$2))</f>
        <v>32.642286917212</v>
      </c>
      <c r="R193" s="1568" t="n">
        <f aca="false">IF(Assumptions!$L$25=4,VLOOKUP($A193,'Henwood Reference'!$E$9:$R$320,11),(VLOOKUP($A193,PriceTable,6,0)+IF(BasisNumber&lt;&gt;1,VLOOKUP($A193,BasisTable,3,0),0)+R$1)/(1-R$2))</f>
        <v>32.642286917212</v>
      </c>
      <c r="S193" s="1568" t="n">
        <f aca="false">IF(Assumptions!$L$25=4,VLOOKUP($A193,'Henwood Reference'!$E$9:$R$320,11),(VLOOKUP($A193,PriceTable,7,0)+IF(BasisNumber&lt;&gt;1,VLOOKUP($A193,BasisTable,3,0),0)+S$1)/(1-S$2))</f>
        <v>32.642286917212</v>
      </c>
      <c r="T193" s="1600" t="n">
        <f aca="false">IF(Assumptions!$L$25=4,VLOOKUP($A193,'Henwood Reference'!$E$9:$R$320,11),(VLOOKUP($A193,PriceTable,8,0)+IF(BasisNumber&lt;&gt;1,VLOOKUP($A193,BasisTable,3,0),0)+T$1)/(1-T$2))</f>
        <v>32.642286917212</v>
      </c>
      <c r="U193" s="1513" t="n">
        <f aca="false">VLOOKUP($A193,VolatilityTable,14)</f>
        <v>0.0949999999999999</v>
      </c>
      <c r="V193" s="1513" t="n">
        <f aca="false">VLOOKUP($A193,VolatilityTable,15)</f>
        <v>0.105</v>
      </c>
      <c r="W193" s="1514" t="n">
        <f aca="false">VLOOKUP($A193,VolatilityTable,16)</f>
        <v>0.115</v>
      </c>
      <c r="X193" s="1513" t="n">
        <f aca="false">VLOOKUP($A193,VolatilityTable,14)</f>
        <v>0.0949999999999999</v>
      </c>
      <c r="Y193" s="1513" t="n">
        <f aca="false">VLOOKUP($A193,VolatilityTable,15)</f>
        <v>0.105</v>
      </c>
      <c r="Z193" s="1514" t="n">
        <f aca="false">VLOOKUP($A193,VolatilityTable,16)</f>
        <v>0.115</v>
      </c>
      <c r="AA193" s="1513" t="n">
        <f aca="false">VLOOKUP($A193,VolatilityTable,18)</f>
        <v>0.09</v>
      </c>
      <c r="AB193" s="1513" t="n">
        <f aca="false">VLOOKUP($A193,VolatilityTable,19)</f>
        <v>0.11</v>
      </c>
      <c r="AC193" s="1514" t="n">
        <f aca="false">VLOOKUP($A193,VolatilityTable,20)</f>
        <v>0.13</v>
      </c>
      <c r="AD193" s="1513" t="n">
        <f aca="false">VLOOKUP($A193,VolatilityTable,18)</f>
        <v>0.09</v>
      </c>
      <c r="AE193" s="1513" t="n">
        <f aca="false">VLOOKUP($A193,VolatilityTable,19)</f>
        <v>0.11</v>
      </c>
      <c r="AF193" s="1514" t="n">
        <f aca="false">VLOOKUP($A193,VolatilityTable,20)</f>
        <v>0.13</v>
      </c>
      <c r="AG193" s="1513" t="n">
        <f aca="false">VLOOKUP($A193,VolatilityTable,22)</f>
        <v>-0.25</v>
      </c>
      <c r="AH193" s="1513" t="n">
        <f aca="false">VLOOKUP($A193,VolatilityTable,23)</f>
        <v>0.6</v>
      </c>
      <c r="AI193" s="1514" t="n">
        <f aca="false">VLOOKUP($A193,VolatilityTable,24)</f>
        <v>0.25</v>
      </c>
      <c r="AJ193" s="1513" t="n">
        <f aca="false">VLOOKUP($A193,VolatilityTable,22)</f>
        <v>-0.25</v>
      </c>
      <c r="AK193" s="1513" t="n">
        <f aca="false">VLOOKUP($A193,VolatilityTable,23)</f>
        <v>0.6</v>
      </c>
      <c r="AL193" s="1514" t="n">
        <f aca="false">VLOOKUP($A193,VolatilityTable,24)</f>
        <v>0.25</v>
      </c>
      <c r="AM193" s="1513" t="n">
        <f aca="false">VLOOKUP($A193,VolatilityTable,26)</f>
        <v>-0.01</v>
      </c>
      <c r="AN193" s="1513" t="n">
        <f aca="false">VLOOKUP($A193,VolatilityTable,27)</f>
        <v>0.16</v>
      </c>
      <c r="AO193" s="1514" t="n">
        <f aca="false">VLOOKUP($A193,VolatilityTable,28)</f>
        <v>0.01</v>
      </c>
      <c r="AP193" s="1513" t="n">
        <f aca="false">VLOOKUP($A193,VolatilityTable,26)</f>
        <v>-0.01</v>
      </c>
      <c r="AQ193" s="1513" t="n">
        <f aca="false">VLOOKUP($A193,VolatilityTable,27)</f>
        <v>0.16</v>
      </c>
      <c r="AR193" s="1515" t="n">
        <f aca="false">VLOOKUP($A193,VolatilityTable,28)</f>
        <v>0.01</v>
      </c>
      <c r="AS193" s="1581" t="n">
        <f aca="false">IF(CorrPeakOffPeakOverFlag,INDEX(CorrPeakOffPeakOver,C193),CorrPeakOffPeak)</f>
        <v>0.5</v>
      </c>
      <c r="AT193" s="594" t="e">
        <f aca="false">AX193-SUM(AU193:AW193)</f>
        <v>#VALUE!</v>
      </c>
      <c r="AU193" s="238" t="e">
        <f aca="false">IF(E193="",0,INT((F193-MOD(F193,7)-E193)/7)+1-IF(AW193,IF(WEEKDAY(D193)=7,1,0),0))</f>
        <v>#VALUE!</v>
      </c>
      <c r="AV193" s="238" t="e">
        <f aca="false">IF(E193="",0,INT((F193-MOD(F193-1,7)-E193)/7)+1-IF(AW193,IF(WEEKDAY(D193)=1,1,0),0))</f>
        <v>#VALUE!</v>
      </c>
      <c r="AW193" s="238" t="e">
        <f aca="false">IF(OR(E193="",D193="",D193&lt;BegDate,D193&gt;EndDate),0,1)</f>
        <v>#VALUE!</v>
      </c>
      <c r="AX193" s="238" t="n">
        <f aca="false">IF(E193="",0,F193-E193+1)</f>
        <v>31</v>
      </c>
      <c r="AY193" s="1582" t="n">
        <f aca="false">IF(E193="",0,MIN((1-(1-VLOOKUP(B193,MAIN!$AA$7:$AM$28,C193+1))*(1-VLOOKUP(B193,MAIN!$AA$33:$AM$54,C193+1))),1))</f>
        <v>0.03</v>
      </c>
      <c r="AZ193" s="1519" t="e">
        <v>#VALUE!</v>
      </c>
      <c r="BA193" s="1520" t="e">
        <v>#VALUE!</v>
      </c>
      <c r="BB193" s="1520" t="e">
        <v>#VALUE!</v>
      </c>
      <c r="BC193" s="1583" t="e">
        <v>#VALUE!</v>
      </c>
      <c r="BD193" s="1522" t="e">
        <v>#VALUE!</v>
      </c>
      <c r="BE193" s="1523" t="e">
        <v>#VALUE!</v>
      </c>
      <c r="BF193" s="1523" t="e">
        <v>#VALUE!</v>
      </c>
      <c r="BG193" s="1584" t="e">
        <v>#VALUE!</v>
      </c>
      <c r="BH193" s="1525" t="e">
        <v>#VALUE!</v>
      </c>
      <c r="BI193" s="1520" t="e">
        <v>#VALUE!</v>
      </c>
      <c r="BJ193" s="1520" t="e">
        <v>#VALUE!</v>
      </c>
      <c r="BK193" s="1583" t="e">
        <v>#VALUE!</v>
      </c>
      <c r="BL193" s="1522" t="e">
        <v>#VALUE!</v>
      </c>
      <c r="BM193" s="1523" t="e">
        <v>#VALUE!</v>
      </c>
      <c r="BN193" s="1523" t="e">
        <v>#VALUE!</v>
      </c>
      <c r="BO193" s="1523" t="e">
        <v>#VALUE!</v>
      </c>
      <c r="BP193" s="1525" t="e">
        <f aca="false">SUM(AZ193:BB193)</f>
        <v>#VALUE!</v>
      </c>
      <c r="BQ193" s="1529" t="e">
        <f aca="false">SUM(AZ193:BC193)</f>
        <v>#VALUE!</v>
      </c>
      <c r="BR193" s="1519" t="e">
        <f aca="false">SUM(BH193:BJ193)</f>
        <v>#VALUE!</v>
      </c>
      <c r="BS193" s="1529" t="e">
        <f aca="false">SUM(BH193:BK193)</f>
        <v>#VALUE!</v>
      </c>
      <c r="BT193" s="1316" t="n">
        <f aca="false">(IF(OVolType&lt;&gt;2,A193+14,IF(OptExpDateShift,ShiftBack(A193,OptExpDateShift,D192),A193))-DateToday)/365.25</f>
        <v>14.715947980835</v>
      </c>
      <c r="BU193" s="1585" t="e">
        <f aca="false">IF(BQ193,IF(OPriceCurve,IF(OBuySell=OCallPut,I193/(1-AY193),K193/(1-AY193)),J193/(1-AY193))*BD193,0)</f>
        <v>#VALUE!</v>
      </c>
      <c r="BV193" s="1316" t="e">
        <f aca="false">IF(BQ193,IF(OPriceCurve,IF(OBuySell=OCallPut,L193/(1-AY193),N193/(1-AY193)),M193/(1-AY193))*BE193,0)</f>
        <v>#VALUE!</v>
      </c>
      <c r="BW193" s="1316" t="e">
        <f aca="false">IF(BQ193,IF(OPriceCurve,IF(OBuySell=OCallPut,O193/(1-AY193),Q193/(1-AY193)),P193/(1-AY193))*BF193,0)</f>
        <v>#VALUE!</v>
      </c>
      <c r="BX193" s="1316" t="e">
        <f aca="false">IF(BQ193,IF(OPriceCurve,IF(OBuySell=OCallPut,R193/(1-AY193),T193/(1-AY193)),S193/(1-AY193))*BG193,0)</f>
        <v>#VALUE!</v>
      </c>
      <c r="BY193" s="1316" t="e">
        <f aca="false">IF(BP193,(BU193*AZ193+BV193*BA193+BW193*BB193)/BP193,0)</f>
        <v>#VALUE!</v>
      </c>
      <c r="BZ193" s="1316" t="e">
        <f aca="false">IF(BQ193,(BY193*BP193+BX193*BC193)/BQ193,0)</f>
        <v>#VALUE!</v>
      </c>
      <c r="CA193" s="1531" t="e">
        <f aca="false">IF(BS193,IF(OPriceCurve,IF(OBuySell=OCallPut,I193/(1-AY193),K193/(1-AY193)),J193/(1-AY193))*BL193,0)</f>
        <v>#VALUE!</v>
      </c>
      <c r="CB193" s="1316" t="e">
        <f aca="false">IF(BS193,IF(OPriceCurve,IF(OBuySell=OCallPut,L193/(1-AY193),N193/(1-AY193)),M193/(1-AY193))*BM193,0)</f>
        <v>#VALUE!</v>
      </c>
      <c r="CC193" s="1316" t="e">
        <f aca="false">IF(BS193,IF(OPriceCurve,IF(OBuySell=OCallPut,O193/(1-AY193),Q193/(1-AY193)),P193/(1-AY193))*BN193,0)</f>
        <v>#VALUE!</v>
      </c>
      <c r="CD193" s="1316" t="e">
        <f aca="false">IF(BS193,IF(OPriceCurve,IF(OBuySell=OCallPut,R193/(1-AY193),T193/(1-AY193)),S193/(1-AY193))*BO193,0)</f>
        <v>#VALUE!</v>
      </c>
      <c r="CE193" s="1316" t="e">
        <f aca="false">IF(BR193,(BU193*BH193+BV193*BI193+BW193*BJ193)/BR193,0)</f>
        <v>#VALUE!</v>
      </c>
      <c r="CF193" s="1532" t="e">
        <f aca="false">IF(BS193,(CE193*BR193+CD193*BK193)/BS193,0)</f>
        <v>#VALUE!</v>
      </c>
      <c r="CG193" s="1586" t="e">
        <f aca="false">IF(OR(BQ193,BS193),IF(OVolType&lt;&gt;2,SQRT(IF(OVolOverMonthlyPeak,OVolOverMonthlyPeak,IF(OVolCurve,IF(OBuySell,U193,W193),V193))^2*(1-15/365.25/BT193)+IF(OVolOverDailyPeak,OVolOverDailyPeak,IF(OVolCurve,IF(OBuySell,AG193,AI193),AH193))^2*15/365.25/BT193),IF(OVolOverMonthlyPeak,OVolOverMonthlyPeak,IF(OVolCurve,IF(OBuySell,U193,W193),V193))),"")</f>
        <v>#VALUE!</v>
      </c>
      <c r="CH193" s="1587" t="e">
        <f aca="false">IF(OR(BQ193,BS193),IF(OVolType&lt;&gt;2,SQRT(IF(OVolOverMonthlyPeak,OVolOverMonthlyPeak,IF(OVolCurve,IF(OBuySell,X193,Z193),Y193))^2*(1-15/365.25/BT193)+IF(OVolOverDailyPeak,OVolOverDailyPeak,IF(OVolCurve,IF(OBuySell,AJ193,AL193),AK193))^2*15/365.25/BT193),IF(OVolOverMonthlyPeak,OVolOverMonthlyPeak,IF(OVolCurve,IF(OBuySell,X193,Z193),Y193))),"")</f>
        <v>#VALUE!</v>
      </c>
      <c r="CI193" s="1587" t="e">
        <f aca="false">IF(OR(BQ193,BS193),IF(OVolType&lt;&gt;2,SQRT(IF(OVolOverMonthlyPeak,OVolOverMonthlyPeak,IF(OVolCurve,IF(OBuySell,AA193,AC193),AB193))^2*(1-15/365.25/BT193)+IF(OVolOverDailyPeak,OVolOverDailyPeak,IF(OVolCurve,IF(OBuySell,AM193,AO193),AN193))^2*15/365.25/BT193),IF(OVolOverMonthlyPeak,OVolOverMonthlyPeak,IF(OVolCurve,IF(OBuySell,AA193,AC193),AB193))),"")</f>
        <v>#VALUE!</v>
      </c>
      <c r="CJ193" s="1587" t="e">
        <f aca="false">IF(BQ193,IF(BP193,SQRT(LN(1+((BU193*AZ193)^2*(EXP(CG193^2*BT193)-1)+(BV193*BA193)^2*(EXP(CH193^2*BT193)-1)+(BW193*BB193)^2*(EXP(CI193^2*BT193)-1)+2*BU193*AZ193*BV193*BA193*(EXP(CG193*CH193*BT193)-1)+2*BV193*BA193*BW193*BB193*(EXP(CH193*CI193*BT193)-1)+2*BW193*BB193*BU193*AZ193*(EXP(CI193*CG193*BT193)-1))/(BY193*BP193)^2)/BT193),0),"")</f>
        <v>#VALUE!</v>
      </c>
      <c r="CK193" s="1587" t="e">
        <f aca="false">IF(BS193,IF(BR193,SQRT(LN(1+((CA193*BH193)^2*(EXP(CG193^2*BT193)-1)+(CB193*BI193)^2*(EXP(CH193^2*BT193)-1)+(CC193*BJ193)^2*(EXP(CI193^2*BT193)-1)+2*CA193*BH193*CB193*BI193*(EXP(CG193*CH193*BT193)-1)+2*CB193*BI193*CC193*BJ193*(EXP(CH193*CI193*BT193)-1)+2*CC193*BJ193*CA193*BH193*(EXP(CI193*CG193*BT193)-1))/(CE193*BR193)^2)/BT193),0),"")</f>
        <v>#VALUE!</v>
      </c>
      <c r="CL193" s="1587" t="e">
        <f aca="false">IF(OR(BQ193,BS193),IF(OVolType&lt;&gt;2,SQRT(IF(OVolOverMonthlyOffPeak,OVolOverMonthlyOffPeak,IF(OVolCurve,IF(OBuySell,AD193,AF193),AE193))^2*(1-15/365.25/BT193)+IF(OVolOverDailyOffPeak,OVolOverDailyOffPeak,IF(OVolCurve,IF(OBuySell,AP193,AR193),AQ193))^2*15/365.25/BT193),IF(OVolOverMonthlyOffPeak,OVolOverMonthlyOffPeak,IF(OVolCurve,IF(OBuySell,AD193,AF193),AE193))),"")</f>
        <v>#VALUE!</v>
      </c>
      <c r="CM193" s="1587" t="e">
        <f aca="false">IF(BQ193,SQRT(LN(1+((BY193*BP193)^2*(EXP(CJ193^2*BT193)-1)+(BX193*BC193)^2*(EXP(CL193^2*BT193)-1)+2*BY193*BP193*BX193*BC193*(EXP(AS193*CJ193*CL193*BT193)-1))/(BY193*BP193+BX193*BC193)^2)/BT193),"")</f>
        <v>#VALUE!</v>
      </c>
      <c r="CN193" s="1588" t="e">
        <f aca="false">IF(BS193,SQRT(LN(1+((CE193*BR193)^2*(EXP(CK193^2*BT193)-1)+(CD193*BK193)^2*(EXP(CL193^2*BT193)-1)+2*CE193*BR193*CD193*BK193*(EXP(AS193*CK193*CL193*BT193)-1))/(CE193*BR193+CD193*BK193)^2)/BT193),"")</f>
        <v>#VALUE!</v>
      </c>
      <c r="CO193" s="1531" t="e">
        <f aca="false">IF(OR(BQ193,BS193),VLOOKUP(A193,GasTable,13)*HeatRatePeak*(1+VLOOKUP($B193,HeatRateDegradation,$C193+1))/1000,0)</f>
        <v>#VALUE!</v>
      </c>
      <c r="CP193" s="1316" t="e">
        <f aca="false">IF(OR(BQ193,BS193),VLOOKUP(A193,GasTable,13)*HeatRatePeak*(1+VLOOKUP($B193,HeatRateDegradation,$C193+1))/1000,0)</f>
        <v>#VALUE!</v>
      </c>
      <c r="CQ193" s="1316" t="e">
        <f aca="false">IF(OR(BQ193,BS193),VLOOKUP(A193,GasTable,13)*IF(EV193,HeatRatePeak,HeatRateOffPeak)*(1+VLOOKUP($B193,HeatRateDegradation,$C193+1))/1000,0)</f>
        <v>#VALUE!</v>
      </c>
      <c r="CR193" s="1316" t="e">
        <f aca="false">IF(OR(BQ193,BS193),VLOOKUP(A193,GasTable,13)*IF(EW193,HeatRatePeak,HeatRateOffPeak)*(1+VLOOKUP($B193,HeatRateDegradation,$C193+1))/1000,0)</f>
        <v>#VALUE!</v>
      </c>
      <c r="CS193" s="1589" t="e">
        <f aca="false">IF(BQ193,(CO193*AZ193+CP193*BA193+CQ193*BB193+CR193*BC193)/BQ193,0)</f>
        <v>#VALUE!</v>
      </c>
      <c r="CT193" s="1316" t="e">
        <f aca="false">IF(BS193,CO193,0)</f>
        <v>#VALUE!</v>
      </c>
      <c r="CU193" s="1590" t="e">
        <f aca="false">IF(OR(BQ193,BS193),VLOOKUP(A193,GasTable,14),"")</f>
        <v>#VALUE!</v>
      </c>
      <c r="CV193" s="1568" t="e">
        <f aca="false">IF(OR(BQ193,BS193),IF(CorrPowerGasOverFlag,INDEX(CorrPowerGasOver,C193),CorrPowerGas),"")</f>
        <v>#VALUE!</v>
      </c>
      <c r="CW193" s="1316" t="e">
        <f aca="false">IF(OR($BQ193,$BS193),SpreadOptPowerMargin,0)*((1+Assumptions!$C$26)^($B193-YEAR(Assumptions!$C$17)))</f>
        <v>#VALUE!</v>
      </c>
      <c r="CX193" s="1316" t="e">
        <f aca="false">IF(OR($BQ193,$BS193),SpreadOptPowerMargin,0)*((1+Assumptions!$C$26)^($B193-YEAR(Assumptions!$C$17)))</f>
        <v>#VALUE!</v>
      </c>
      <c r="CY193" s="1316" t="e">
        <f aca="false">IF(OR($BQ193,$BS193),SpreadOptPowerMargin,0)*((1+Assumptions!$C$26)^($B193-YEAR(Assumptions!$C$17)))</f>
        <v>#VALUE!</v>
      </c>
      <c r="CZ193" s="1316" t="e">
        <f aca="false">IF(OR($BQ193,$BS193),SpreadOptPowerMargin,0)*((1+Assumptions!$C$26)^($B193-YEAR(Assumptions!$C$17)))</f>
        <v>#VALUE!</v>
      </c>
      <c r="DA193" s="1591" t="e">
        <f aca="false">IF(OR(BQ193,BS193),(CW193*(AZ193+BH193)+CX193*(BA193+BI193)+CY193*(BB193+BJ193)+CZ193*(BC193+BK193))/(BQ193+BS193),0)</f>
        <v>#VALUE!</v>
      </c>
      <c r="DB193" s="1592" t="e">
        <f aca="false">IF(OR(BQ193,BS193),CG193+IF(OVolSmile,VLOOKUP(MAX(-5,CO193+CW193-BU193),IF(OVolSmile=1,VolSmileBook,VolSmileModel),2),0),"")</f>
        <v>#VALUE!</v>
      </c>
      <c r="DC193" s="1592" t="e">
        <f aca="false">IF(OR(BQ193,BS193),CH193+IF(OVolSmile,VLOOKUP(MAX(-5,CP193+CW193-BV193),IF(OVolSmile=1,VolSmileBook,VolSmileModel),2),0),"")</f>
        <v>#VALUE!</v>
      </c>
      <c r="DD193" s="1592" t="e">
        <f aca="false">IF(OR(BQ193,BS193),CI193+IF(OVolSmile,VLOOKUP(MAX(-5,CQ193+CW193-BW193),IF(OVolSmile=1,VolSmileBook,VolSmileModel),2),0),"")</f>
        <v>#VALUE!</v>
      </c>
      <c r="DE193" s="1592" t="e">
        <f aca="false">IF(OR(BQ193,BS193),CL193+IF(OVolSmile,VLOOKUP(MAX(-5,CR193+CZ193-BX193),IF(OVolSmile=1,VolSmileBook,VolSmileModel),2),0),"")</f>
        <v>#VALUE!</v>
      </c>
      <c r="DF193" s="1592" t="e">
        <f aca="false">IF(BQ193,CM193+IF(OVolSmile,VLOOKUP(MAX(-5,CS193+DA193-BZ193),IF(OVolSmile=1,VolSmileBook,VolSmileModel),2),0),"")</f>
        <v>#VALUE!</v>
      </c>
      <c r="DG193" s="1593" t="e">
        <f aca="false">IF(BS193,CN193+IF(OVolSmile,VLOOKUP(MAX(-5,CT193+DA193-CF193),IF(OVolSmile=1,VolSmileBook,VolSmileModel),2),0),"")</f>
        <v>#VALUE!</v>
      </c>
      <c r="DH193" s="1316" t="e">
        <f aca="false">IF(AND(BU193&gt;0,CO193&gt;0,DB193&gt;0,CU193&gt;0),newSPRDOPT(BU193,CO193,CW193,0,DB193,CU193,CV193,BT193*365.25,OCallPut,0),0)</f>
        <v>#VALUE!</v>
      </c>
      <c r="DI193" s="1316" t="e">
        <f aca="false">IF(AND(BV193&gt;0,CP193&gt;0,DC193&gt;0,CU193&gt;0),newSPRDOPT(BV193,CP193,CX193,0,DC193,CU193,CV193,BT193*365.25,OCallPut,0),0)</f>
        <v>#VALUE!</v>
      </c>
      <c r="DJ193" s="1316" t="e">
        <f aca="false">IF(AND(BW193&gt;0,CQ193&gt;0,DD193&gt;0,CU193&gt;0),newSPRDOPT(BW193,CQ193,CY193,0,DD193,CU193,CV193,BT193*365.25,OCallPut,0),0)</f>
        <v>#VALUE!</v>
      </c>
      <c r="DK193" s="1316" t="e">
        <f aca="false">IF(AND(BX193&gt;0,CR193&gt;0,DE193&gt;0,CU193&gt;0),newSPRDOPT(BX193,CR193,CZ193,0,DE193,CU193,CV193,BT193*365.25,OCallPut,0),0)</f>
        <v>#VALUE!</v>
      </c>
      <c r="DL193" s="1316" t="e">
        <f aca="false">IF(OVolType,IF(AND(BZ193&gt;0,CS193&gt;0,DF193&gt;0,CU193&gt;0),newSPRDOPT(BZ193,CS193,DA193,0,DF193,CU193,CV193,BT193*365.25,OCallPut,0),0),IF(BQ193,(DH193*AZ193+DI193*BA193+DJ193*BB193+DK193*BC193)/BQ193,0))</f>
        <v>#VALUE!</v>
      </c>
      <c r="DM193" s="1316"/>
      <c r="DN193" s="1316"/>
      <c r="DO193" s="1316"/>
      <c r="DP193" s="1316"/>
      <c r="DQ193" s="1316"/>
      <c r="DR193" s="1316"/>
      <c r="DS193" s="1316"/>
      <c r="DT193" s="1316"/>
      <c r="DU193" s="1316"/>
      <c r="DV193" s="1316"/>
      <c r="DW193" s="1594" t="e">
        <f aca="false">IF(AND(BW193&gt;0,CT193&gt;0,DD193&gt;0,CU193&gt;0),newSPRDOPT(BW193,CT193,CY193,0,DD193,CU193,CV193,BT193*365.25,OCallPut,0),0)</f>
        <v>#VALUE!</v>
      </c>
      <c r="DX193" s="1316" t="e">
        <f aca="false">IF(AND(BX193&gt;0,CT193&gt;0,DE193&gt;0,CU193&gt;0),newSPRDOPT(BX193,CT193,CZ193,0,DE193,CU193,CV193,BT193*365.25,OCallPut,0),0)</f>
        <v>#VALUE!</v>
      </c>
      <c r="DY193" s="1591" t="e">
        <f aca="false">IF(BS193,(DH193*BH193+DI193*BI193+DW193*BJ193+DX193*BK193)/BS193,0)</f>
        <v>#VALUE!</v>
      </c>
      <c r="DZ193" s="1551" t="e">
        <f aca="false">DH193*AZ193</f>
        <v>#VALUE!</v>
      </c>
      <c r="EA193" s="1551" t="e">
        <f aca="false">DI193*BA193</f>
        <v>#VALUE!</v>
      </c>
      <c r="EB193" s="1551" t="e">
        <f aca="false">DJ193*BB193</f>
        <v>#VALUE!</v>
      </c>
      <c r="EC193" s="1551" t="e">
        <f aca="false">DK193*BC193</f>
        <v>#VALUE!</v>
      </c>
      <c r="ED193" s="1551" t="e">
        <f aca="false">DL193*BQ193</f>
        <v>#VALUE!</v>
      </c>
      <c r="EE193" s="1595" t="e">
        <f aca="false">IF(BQ193,IF(OCallPut,IF(BU193&gt;(CO193+CW193),BU193-(CO193+CW193),0),IF((CO193+CW193)&gt;BU193,(CO193+CW193)-BU193,0))*AZ193,0)</f>
        <v>#VALUE!</v>
      </c>
      <c r="EF193" s="1596" t="e">
        <f aca="false">IF(BQ193,IF(OCallPut,IF(BV193&gt;(CP193+CX193),BV193-(CP193+CX193),0),IF((CP193+CX193)&gt;BV193,(CP193+CX193)-BV193,0))*BA193,0)</f>
        <v>#VALUE!</v>
      </c>
      <c r="EG193" s="1596" t="e">
        <f aca="false">IF(BQ193,IF(OCallPut,IF(BW193&gt;(CQ193+CY193),BW193-(CQ193+CY193),0),IF((CQ193+CY193)&gt;BW193,(CQ193+CY193)-BW193,0))*BB193,0)</f>
        <v>#VALUE!</v>
      </c>
      <c r="EH193" s="1596" t="e">
        <f aca="false">IF(BQ193,IF(OCallPut,IF(BX193&gt;(CR193+CZ193),BX193-(CR193+CZ193),0),IF((CR193+CZ193)&gt;BX193,(CR193+CZ193)-BX193,0))*BC193,0)</f>
        <v>#VALUE!</v>
      </c>
      <c r="EI193" s="1597" t="e">
        <f aca="false">IF(BQ193,IF(OVolType,IF(OCallPut,IF(BZ193&gt;(CS193+DA193),BZ193-(CS193+DA193),0),IF((CS193+DA193)&gt;BZ193,(CS193+DA193)-BZ193,0))*BQ193,SUM(EE193:EH193)),0)</f>
        <v>#VALUE!</v>
      </c>
      <c r="EJ193" s="1595" t="e">
        <f aca="false">DZ193-EE193</f>
        <v>#VALUE!</v>
      </c>
      <c r="EK193" s="1596" t="e">
        <f aca="false">EA193-EF193</f>
        <v>#VALUE!</v>
      </c>
      <c r="EL193" s="1596" t="e">
        <f aca="false">EB193-EG193</f>
        <v>#VALUE!</v>
      </c>
      <c r="EM193" s="1596" t="e">
        <f aca="false">EC193-EH193</f>
        <v>#VALUE!</v>
      </c>
      <c r="EN193" s="1597" t="e">
        <f aca="false">ED193-EI193</f>
        <v>#VALUE!</v>
      </c>
      <c r="EO193" s="1551" t="e">
        <f aca="false">DH193*BH193</f>
        <v>#VALUE!</v>
      </c>
      <c r="EP193" s="1551" t="e">
        <f aca="false">DI193*BI193</f>
        <v>#VALUE!</v>
      </c>
      <c r="EQ193" s="1551" t="e">
        <f aca="false">DW193*BJ193</f>
        <v>#VALUE!</v>
      </c>
      <c r="ER193" s="1551" t="e">
        <f aca="false">DX193*BK193</f>
        <v>#VALUE!</v>
      </c>
      <c r="ES193" s="1551" t="e">
        <f aca="false">DY193*BS193</f>
        <v>#VALUE!</v>
      </c>
      <c r="ET193" s="1566" t="e">
        <f aca="false">IF(EI193,IF(OCallPut,IF(CA193&gt;(CT193+CW193),CA193-(CT193+CW193),0),IF((CT193+CW193)&gt;CA193,(CT193+CW193)-CA193,0))*BH193,0)</f>
        <v>#VALUE!</v>
      </c>
      <c r="EU193" s="1551" t="e">
        <f aca="false">IF(EI193,IF(OCallPut,IF(CB193&gt;(CT193+CX193),CB193-(CT193+CX193),0),IF((CT193+CX193)&gt;CB193,(CT193+CX193)-CB193,0))*BI193,0)</f>
        <v>#VALUE!</v>
      </c>
      <c r="EV193" s="1551" t="e">
        <f aca="false">IF(EI193,IF(OCallPut,IF(CC193&gt;(CT193+CY193),CC193-(CT193+CY193),0),IF((CT193+CY193)&gt;CC193,(CT193+CY193)-CC193,0))*BJ193,0)</f>
        <v>#VALUE!</v>
      </c>
      <c r="EW193" s="1551" t="e">
        <f aca="false">IF(EI193,IF(OCallPut,IF(CD193&gt;(CT193+CZ193),CD193-(CT193+CZ193),0),IF((CT193+CZ193)&gt;CD193,(CT193+CZ193)-CD193,0))*BK193,0)</f>
        <v>#VALUE!</v>
      </c>
      <c r="EX193" s="1558" t="e">
        <f aca="false">IF(EI193,SUM(ET193:EW193),0)</f>
        <v>#VALUE!</v>
      </c>
      <c r="EY193" s="1551" t="e">
        <f aca="false">EO193-ET193</f>
        <v>#VALUE!</v>
      </c>
      <c r="EZ193" s="1551" t="e">
        <f aca="false">EP193-EU193</f>
        <v>#VALUE!</v>
      </c>
      <c r="FA193" s="1551" t="e">
        <f aca="false">EQ193-EV193</f>
        <v>#VALUE!</v>
      </c>
      <c r="FB193" s="1551" t="e">
        <f aca="false">ER193-EW193</f>
        <v>#VALUE!</v>
      </c>
      <c r="FC193" s="1551" t="e">
        <f aca="false">ES193-EX193</f>
        <v>#VALUE!</v>
      </c>
      <c r="FD193" s="1525" t="n">
        <f aca="false">IF(AX193,IF(VLOOKUP(C193,MAIN!$L$17:$M$28,2)="Yes",VLOOKUP(CALC!B193,MAIN!$H$17:$I$20,2),0),0)</f>
        <v>0</v>
      </c>
      <c r="FE193" s="1552" t="e">
        <f aca="false">$FD193*16*AT193*(1-$AY193)</f>
        <v>#VALUE!</v>
      </c>
      <c r="FF193" s="1553" t="e">
        <f aca="false">$FD193*16*AU193*(1-$AY193)</f>
        <v>#VALUE!</v>
      </c>
      <c r="FG193" s="1553" t="e">
        <f aca="false">$FD193*16*(AV193+AW193)*(1-$AY193)</f>
        <v>#VALUE!</v>
      </c>
      <c r="FH193" s="1554" t="n">
        <f aca="false">$FD193*8*AX193*(1-$AY193)</f>
        <v>0</v>
      </c>
      <c r="FI193" s="1555" t="n">
        <f aca="false">IF(AX193,VLOOKUP(CALC!B193,MAIN!$H$17:$K$20,4),0)</f>
        <v>0</v>
      </c>
      <c r="FJ193" s="1553" t="e">
        <f aca="false">SUM(FE193:FH193)</f>
        <v>#VALUE!</v>
      </c>
      <c r="FK193" s="1556" t="e">
        <f aca="false">FI193*FJ193</f>
        <v>#VALUE!</v>
      </c>
      <c r="FL193" s="1551" t="e">
        <f aca="false">IF($EI193&gt;0,MIN(FE193,AZ193*(1+VLOOKUP($C193,WeatherCapacityAdjustment,2))),0)</f>
        <v>#VALUE!</v>
      </c>
      <c r="FM193" s="1551" t="e">
        <f aca="false">IF($EI193&gt;0,MIN(FF193,BA193*(1+VLOOKUP($C193,WeatherCapacityAdjustment,2))),0)</f>
        <v>#VALUE!</v>
      </c>
      <c r="FN193" s="1551" t="e">
        <f aca="false">IF($EI193&gt;0,MIN(FG193,BB193*(1+VLOOKUP($C193,WeatherCapacityAdjustment,2))),0)</f>
        <v>#VALUE!</v>
      </c>
      <c r="FO193" s="1564" t="e">
        <f aca="false">IF($EI193&gt;0,MIN(FH193,BC193*(1+VLOOKUP($C193,WeatherCapacityAdjustment,3))),0)</f>
        <v>#VALUE!</v>
      </c>
      <c r="FP193" s="1551" t="e">
        <f aca="false">IF(ET193&gt;0,MIN(FE193-FL193,BH193*(1+VLOOKUP($C193,WeatherCapacityAdjustment,2))),0)</f>
        <v>#VALUE!</v>
      </c>
      <c r="FQ193" s="1551" t="e">
        <f aca="false">IF(EU193&gt;0,MIN(FF193-FM193,BI193*(1+VLOOKUP($C193,WeatherCapacityAdjustment,2))),0)</f>
        <v>#VALUE!</v>
      </c>
      <c r="FR193" s="1551" t="e">
        <f aca="false">IF(EV193&gt;0,MIN(FG193-FN193,BJ193*(1+VLOOKUP($C193,WeatherCapacityAdjustment,2))),0)</f>
        <v>#VALUE!</v>
      </c>
      <c r="FS193" s="1558" t="e">
        <f aca="false">IF(EW193&gt;0,MIN(FH193-FO193,BK193*(1+VLOOKUP($C193,WeatherCapacityAdjustment,3))),0)</f>
        <v>#VALUE!</v>
      </c>
      <c r="FT193" s="1566" t="e">
        <f aca="false">IF(AND(Assumptions!$H$71="Yes",A193&gt;=Assumptions!$H$72,A193&lt;=Assumptions!$H$73),0,IF(AND($A193&gt;=Assumptions!$C$17,$A193&lt;=Assumptions!$C$18),MAX(AZ193*(1+VLOOKUP($C193,WeatherCapacityAdjustment,2))-FL193,0),0))</f>
        <v>#VALUE!</v>
      </c>
      <c r="FU193" s="1551" t="e">
        <f aca="false">IF(AND(Assumptions!$H$71="Yes",A193&gt;=Assumptions!$H$72,A193&lt;=Assumptions!$H$73),0,IF(AND($A193&gt;=Assumptions!$C$17,$A193&lt;=Assumptions!$C$18),MAX(BA193*(1+VLOOKUP($C193,WeatherCapacityAdjustment,2))-FM193,0),0))</f>
        <v>#VALUE!</v>
      </c>
      <c r="FV193" s="1551" t="e">
        <f aca="false">IF(AND(Assumptions!$H$71="Yes",A193&gt;=Assumptions!$H$72,A193&lt;=Assumptions!$H$73),0,IF(AND($A193&gt;=Assumptions!$C$17,$A193&lt;=Assumptions!$C$18),MAX(BB193*(1+VLOOKUP($C193,WeatherCapacityAdjustment,2))-FN193,0),0))</f>
        <v>#VALUE!</v>
      </c>
      <c r="FW193" s="1564" t="e">
        <f aca="false">IF(AND(Assumptions!$H$71="Yes",A193&gt;=Assumptions!$H$72,A193&lt;=Assumptions!$H$73),0,IF(AND($A193&gt;=Assumptions!$C$17,$A193&lt;=Assumptions!$C$18),MAX(BC193*(1+VLOOKUP($C193,WeatherCapacityAdjustment,3))-FO193,0),0))</f>
        <v>#VALUE!</v>
      </c>
      <c r="FX193" s="1569" t="e">
        <f aca="false">IF(AND(Assumptions!$H$71="Yes",A193&gt;=Assumptions!$H$72,A193&lt;=Assumptions!$H$73),0,IF(ET193&gt;0,MAX(BH193*(1+VLOOKUP($C193,WeatherCapacityAdjustment,2))-FP193,0),0))</f>
        <v>#VALUE!</v>
      </c>
      <c r="FY193" s="1551" t="e">
        <f aca="false">IF(AND(Assumptions!$H$71="Yes",A193&gt;=Assumptions!$H$72,A193&lt;=Assumptions!$H$73),0,IF(EU193&gt;0,MAX(BI193*(1+VLOOKUP($C193,WeatherCapacityAdjustment,3))-FQ193,0),0))</f>
        <v>#VALUE!</v>
      </c>
      <c r="FZ193" s="1551" t="e">
        <f aca="false">IF(AND(Assumptions!$H$71="Yes",A193&gt;=Assumptions!$H$72,A193&lt;=Assumptions!$H$73),0,IF(EV193&gt;0,MAX(BJ193*(1+VLOOKUP($C193,WeatherCapacityAdjustment,2))-FR193,0),0))</f>
        <v>#VALUE!</v>
      </c>
      <c r="GA193" s="1564" t="e">
        <f aca="false">IF(AND(Assumptions!$H$71="Yes",A193&gt;=Assumptions!$H$72,A193&lt;=Assumptions!$H$73),0,IF(EW193&gt;0,MAX(BK193*(1+VLOOKUP($C193,WeatherCapacityAdjustment,2))-FS193,0),0))</f>
        <v>#VALUE!</v>
      </c>
      <c r="GB193" s="1551" t="e">
        <f aca="false">SUM(FT193:GA193)</f>
        <v>#VALUE!</v>
      </c>
      <c r="GC193" s="1563" t="e">
        <f aca="false">+IF(SUM(FT193:GA193)=0,0,(SUMPRODUCT(BU193:BX193,FT193:FW193)+SUMPRODUCT(CA193:CD193,FX193:GA193))/SUM(FT193:GA193))</f>
        <v>#VALUE!</v>
      </c>
      <c r="GD193" s="1551" t="e">
        <f aca="false">(FT193*BU193+FX193*CA193+FU193*BV193+FY193*CB193+FV193*BW193+FZ193*CC193+FW193*BX193+GA193*CD193)</f>
        <v>#VALUE!</v>
      </c>
      <c r="GE193" s="1561" t="e">
        <f aca="false">+IF(BQ193,((FL193+FM193+FT193+FU193)*HeatRatePeak/1000*(1+VLOOKUP($C193,WeatherHeatRateAdjustment,2))+(FN193+FV193)*IF(EV193&gt;0,HeatRatePeak,HeatRateOffPeak)/1000*(1+VLOOKUP($C193,WeatherHeatRateAdjustment,2))+(FO193+FW193)*IF(EW193&gt;0,HeatRatePeak,HeatRateOffPeak)/1000*(1+VLOOKUP($C193,WeatherHeatRateAdjustment,3)))*(1+VLOOKUP($B193,HeatRateDegradation,$C193+1)),0)</f>
        <v>#VALUE!</v>
      </c>
      <c r="GF193" s="1562" t="e">
        <f aca="false">IF(BQ193,((FP193+FQ193+FR193+FX193+FY193+FZ193)*HeatRatePeak/1000*(1+VLOOKUP($C193,WeatherHeatRateAdjustment,2))+(FS193+GA193)*HeatRatePeak/1000*(1+VLOOKUP($C193,WeatherHeatRateAdjustment,3)))*(1+VLOOKUP($B193,HeatRateDegradation,$C193+1)),0)</f>
        <v>#VALUE!</v>
      </c>
      <c r="GG193" s="1563" t="e">
        <f aca="false">IF(BQ193,VLOOKUP(A193,GasTable,13),0)</f>
        <v>#VALUE!</v>
      </c>
      <c r="GH193" s="1564" t="e">
        <f aca="false">(GE193+GF193)*GG193</f>
        <v>#VALUE!</v>
      </c>
      <c r="GI193" s="1569" t="e">
        <f aca="false">GB193</f>
        <v>#VALUE!</v>
      </c>
      <c r="GJ193" s="1598" t="e">
        <f aca="false">+DA193</f>
        <v>#VALUE!</v>
      </c>
      <c r="GK193" s="1558" t="e">
        <f aca="false">+GI193*GJ193</f>
        <v>#VALUE!</v>
      </c>
      <c r="GL193" s="1566" t="e">
        <f aca="false">MAX(FE193-FL193-FP193,0)</f>
        <v>#VALUE!</v>
      </c>
      <c r="GM193" s="1551" t="e">
        <f aca="false">MAX(FF193-FM193-FQ193,0)</f>
        <v>#VALUE!</v>
      </c>
      <c r="GN193" s="1551" t="e">
        <f aca="false">MAX(FG193-FN193-FR193,0)</f>
        <v>#VALUE!</v>
      </c>
      <c r="GO193" s="1564" t="e">
        <f aca="false">MAX(FH193-FO193-FS193,0)</f>
        <v>#VALUE!</v>
      </c>
      <c r="GP193" s="1551" t="e">
        <f aca="false">SUM(GL193:GO193)</f>
        <v>#VALUE!</v>
      </c>
      <c r="GQ193" s="1563" t="e">
        <f aca="false">IF(SUM(GL193:GO193)=0,0,((GL193*BU193+GM193*BV193+GN193*BW193+GO193*BX193)/SUM(GL193:GO193)))</f>
        <v>#VALUE!</v>
      </c>
      <c r="GR193" s="1558" t="e">
        <f aca="false">(GL193*BU193+GM193*BV193+GN193*BW193+GO193*BX193)</f>
        <v>#VALUE!</v>
      </c>
      <c r="GS193" s="1566" t="n">
        <f aca="false">IF($A193&gt;=BegDate,Assumptions!$C$56*24*($A194-$A193)*(1-VLOOKUP($B193,MAIN!$AA$7:$AM$28,$C193+1))*(1-VLOOKUP($B193,MAIN!$AA$33:$AM$54,$C193+1)),0)*80/168</f>
        <v>257742.857142857</v>
      </c>
      <c r="GT193" s="286" t="n">
        <f aca="false">J193</f>
        <v>57.8088135623687</v>
      </c>
      <c r="GU193" s="286" t="n">
        <f aca="false">IF($A193&gt;=BegDate,VLOOKUP($A193,GasTable,13)+Assumptions!$C$58,0)</f>
        <v>3.68600855811639</v>
      </c>
      <c r="GV193" s="286" t="n">
        <f aca="false">GU193*Assumptions!$C$57/1000</f>
        <v>26.7235620463438</v>
      </c>
      <c r="GW193" s="1558" t="n">
        <f aca="false">IF(Assumptions!$C$60="Hourly",MAX(0,GS193*(GT193-GV193)),GS193*(GT193-GV193))</f>
        <v>8012001.54074459</v>
      </c>
      <c r="GX193" s="1566" t="n">
        <f aca="false">IF($A193&gt;=BegDate,Assumptions!$C$56*24*($A194-$A193)*(1-VLOOKUP($B193,MAIN!$AA$7:$AM$28,$C193+1))*(1-VLOOKUP($B193,MAIN!$AA$33:$AM$54,$C193+1)),0)*16/168</f>
        <v>51548.5714285714</v>
      </c>
      <c r="GY193" s="286" t="n">
        <f aca="false">M193</f>
        <v>57.8088135623687</v>
      </c>
      <c r="GZ193" s="286" t="n">
        <f aca="false">IF($A193&gt;=BegDate,VLOOKUP($A193,GasTable,13)+Assumptions!$C$58,0)</f>
        <v>3.68600855811639</v>
      </c>
      <c r="HA193" s="286" t="n">
        <f aca="false">GZ193*Assumptions!$C$57/1000</f>
        <v>26.7235620463438</v>
      </c>
      <c r="HB193" s="1558" t="n">
        <f aca="false">IF(Assumptions!$C$60="Hourly",MAX(0,GX193*(GY193-HA193)),GX193*(GY193-HA193))</f>
        <v>1602400.30814892</v>
      </c>
      <c r="HC193" s="1566" t="n">
        <f aca="false">IF($A193&gt;=BegDate,Assumptions!$C$56*24*($A194-$A193)*(1-VLOOKUP($B193,MAIN!$AA$7:$AM$28,$C193+1))*(1-VLOOKUP($B193,MAIN!$AA$33:$AM$54,$C193+1)),0)*16/168</f>
        <v>51548.5714285714</v>
      </c>
      <c r="HD193" s="286" t="n">
        <f aca="false">P193</f>
        <v>32.642286917212</v>
      </c>
      <c r="HE193" s="286" t="n">
        <f aca="false">IF($A193&gt;=BegDate,VLOOKUP($A193,GasTable,13)+Assumptions!$C$58,0)</f>
        <v>3.68600855811639</v>
      </c>
      <c r="HF193" s="286" t="n">
        <f aca="false">HE193*Assumptions!$C$57/1000</f>
        <v>26.7235620463438</v>
      </c>
      <c r="HG193" s="1558" t="n">
        <f aca="false">IF(Assumptions!$C$60="Hourly",MAX(0,HC193*(HD193-HF193)),HC193*(HD193-HF193))</f>
        <v>305101.811772009</v>
      </c>
      <c r="HH193" s="1566" t="n">
        <f aca="false">IF($A193&gt;=BegDate,Assumptions!$C$56*24*($A194-$A193)*(1-VLOOKUP($B193,MAIN!$AA$7:$AM$28,$C193+1))*(1-VLOOKUP($B193,MAIN!$AA$33:$AM$54,$C193+1)),0)*56/168</f>
        <v>180420</v>
      </c>
      <c r="HI193" s="286" t="n">
        <f aca="false">S193</f>
        <v>32.642286917212</v>
      </c>
      <c r="HJ193" s="286" t="n">
        <f aca="false">IF($A193&gt;=BegDate,VLOOKUP($A193,GasTable,13)+Assumptions!$C$58,0)</f>
        <v>3.68600855811639</v>
      </c>
      <c r="HK193" s="286" t="n">
        <f aca="false">HJ193*Assumptions!$C$57/1000</f>
        <v>26.7235620463438</v>
      </c>
      <c r="HL193" s="1558" t="n">
        <f aca="false">IF(Assumptions!$C$60="Hourly",MAX(0,HH193*(HI193-HK193)),HH193*(HI193-HK193))</f>
        <v>1067856.34120203</v>
      </c>
      <c r="HM193" s="1566" t="n">
        <f aca="false">IF(AND(Assumptions!$H$71="Yes",A193&gt;=Assumptions!$H$72,A193&lt;=Assumptions!$H$73),Assumptions!$H$74*Assumptions!$C$9*1000,0)</f>
        <v>0</v>
      </c>
      <c r="HN193" s="1551"/>
      <c r="HO193" s="1563"/>
      <c r="HP193" s="1563"/>
      <c r="HQ193" s="1563"/>
      <c r="HR193" s="1563"/>
      <c r="HS193" s="1563"/>
      <c r="HT193" s="1563"/>
      <c r="HU193" s="1563"/>
      <c r="HV193" s="1563"/>
      <c r="HW193" s="1563"/>
      <c r="HX193" s="1563"/>
      <c r="HY193" s="1563"/>
      <c r="HZ193" s="1563"/>
      <c r="IA193" s="1563"/>
      <c r="IB193" s="1563"/>
      <c r="IC193" s="1563"/>
      <c r="ID193" s="1563"/>
      <c r="IE193" s="1563"/>
      <c r="IF193" s="1563"/>
      <c r="IG193" s="1563"/>
      <c r="IH193" s="1563"/>
      <c r="II193" s="1610"/>
      <c r="IJ193" s="1309"/>
      <c r="IK193" s="1309"/>
    </row>
    <row r="194" customFormat="false" ht="12.75" hidden="false" customHeight="false" outlineLevel="0" collapsed="false">
      <c r="A194" s="1571" t="n">
        <f aca="false">EOMONTH(A193,0)+1</f>
        <v>42036</v>
      </c>
      <c r="B194" s="594" t="n">
        <f aca="false">+YEAR(A194)</f>
        <v>2015</v>
      </c>
      <c r="C194" s="238" t="n">
        <f aca="false">MONTH(A194)</f>
        <v>2</v>
      </c>
      <c r="D194" s="1572" t="e">
        <f aca="false">IF(E194="","",Holiday(B194,C194))</f>
        <v>#VALUE!</v>
      </c>
      <c r="E194" s="1573" t="n">
        <f aca="false">IF(OR(BegDate&gt;=A195,EndDate&lt;A194,AND(VolumeMonthlyOverFlag,INDEX(VolumeMonthlyOver,C194)=0),NOT(INDEX(MonthKnockOutTable,C194))),"",MAX(A194,BegDate))</f>
        <v>42036</v>
      </c>
      <c r="F194" s="1574" t="n">
        <f aca="false">IF(E194="","",MIN(A195-1,EndDate))</f>
        <v>42063</v>
      </c>
      <c r="G194" s="1575" t="n">
        <v>0</v>
      </c>
      <c r="H194" s="1576" t="n">
        <f aca="false">(1+G194/2)^(-2*(DATE(B195,C195,20)-DateToday)/365.25)</f>
        <v>1</v>
      </c>
      <c r="I194" s="1568" t="n">
        <f aca="false">IF(Assumptions!$L$25=4,VLOOKUP($A194,'Henwood Reference'!$E$9:$R$320,10),(VLOOKUP($A194,PriceTable,2,0)+IF(BasisNumber&lt;&gt;1,VLOOKUP($A194,BasisTable,2,0),0)+I$1)/(1-I$2))</f>
        <v>54.0644732583171</v>
      </c>
      <c r="J194" s="1568" t="n">
        <f aca="false">IF(Assumptions!$L$25=4,VLOOKUP($A194,'Henwood Reference'!$E$9:$R$320,10),(VLOOKUP($A194,PriceTable,3,0)+IF(BasisNumber&lt;&gt;1,VLOOKUP($A194,BasisTable,2,0),0)+J$1)/(1-J$2))</f>
        <v>54.0644732583171</v>
      </c>
      <c r="K194" s="1568" t="n">
        <f aca="false">IF(Assumptions!$L$25=4,VLOOKUP($A194,'Henwood Reference'!$E$9:$R$320,10),(VLOOKUP($A194,PriceTable,4,0)+IF(BasisNumber&lt;&gt;1,VLOOKUP($A194,BasisTable,2,0),0)+K$1)/(1-K$2))</f>
        <v>54.0644732583171</v>
      </c>
      <c r="L194" s="1523" t="n">
        <f aca="false">IF(Assumptions!$L$25=4,VLOOKUP($A194,'Henwood Reference'!$E$9:$R$320,10),(VLOOKUP($A194,PriceTableWeekend,2,0)+IF(BasisNumber&lt;&gt;1,VLOOKUP($A194,BasisTable,2,0),0)+L$1)/(1-L$2))</f>
        <v>54.0644732583171</v>
      </c>
      <c r="M194" s="1568" t="n">
        <f aca="false">IF(Assumptions!$L$25=4,VLOOKUP($A194,'Henwood Reference'!$E$9:$R$320,10),(VLOOKUP($A194,PriceTableWeekend,3,0)+IF(BasisNumber&lt;&gt;1,VLOOKUP($A194,BasisTable,2,0),0)+M$1)/(1-M$2))</f>
        <v>54.0644732583171</v>
      </c>
      <c r="N194" s="1599" t="n">
        <f aca="false">IF(Assumptions!$L$25=4,VLOOKUP($A194,'Henwood Reference'!$E$9:$R$320,10),(VLOOKUP($A194,PriceTableWeekend,4,0)+IF(BasisNumber&lt;&gt;1,VLOOKUP($A194,BasisTable,2,0),0)+N$1)/(1-N$2))</f>
        <v>54.0644732583171</v>
      </c>
      <c r="O194" s="1568" t="n">
        <f aca="false">IF(Assumptions!$L$25=4,VLOOKUP($A194,'Henwood Reference'!$E$9:$R$320,11),(VLOOKUP($A194,PriceTableWeekend,6,0)+IF(BasisNumber&lt;&gt;1,VLOOKUP($A194,BasisTable,3,0),0)+O$1)/(1-O$2))</f>
        <v>28.3811331712439</v>
      </c>
      <c r="P194" s="1568" t="n">
        <f aca="false">IF(Assumptions!$L$25=4,VLOOKUP($A194,'Henwood Reference'!$E$9:$R$320,11),(VLOOKUP($A194,PriceTableWeekend,7,0)+IF(BasisNumber&lt;&gt;1,VLOOKUP($A194,BasisTable,3,0),0)+P$1)/(1-P$2))</f>
        <v>28.3811331712439</v>
      </c>
      <c r="Q194" s="1599" t="n">
        <f aca="false">IF(Assumptions!$L$25=4,VLOOKUP($A194,'Henwood Reference'!$E$9:$R$320,11),(VLOOKUP($A194,PriceTableWeekend,8,0)+IF(BasisNumber&lt;&gt;1,VLOOKUP($A194,BasisTable,3,0),0)+Q$1)/(1-Q$2))</f>
        <v>28.3811331712439</v>
      </c>
      <c r="R194" s="1568" t="n">
        <f aca="false">IF(Assumptions!$L$25=4,VLOOKUP($A194,'Henwood Reference'!$E$9:$R$320,11),(VLOOKUP($A194,PriceTable,6,0)+IF(BasisNumber&lt;&gt;1,VLOOKUP($A194,BasisTable,3,0),0)+R$1)/(1-R$2))</f>
        <v>28.3811331712439</v>
      </c>
      <c r="S194" s="1568" t="n">
        <f aca="false">IF(Assumptions!$L$25=4,VLOOKUP($A194,'Henwood Reference'!$E$9:$R$320,11),(VLOOKUP($A194,PriceTable,7,0)+IF(BasisNumber&lt;&gt;1,VLOOKUP($A194,BasisTable,3,0),0)+S$1)/(1-S$2))</f>
        <v>28.3811331712439</v>
      </c>
      <c r="T194" s="1600" t="n">
        <f aca="false">IF(Assumptions!$L$25=4,VLOOKUP($A194,'Henwood Reference'!$E$9:$R$320,11),(VLOOKUP($A194,PriceTable,8,0)+IF(BasisNumber&lt;&gt;1,VLOOKUP($A194,BasisTable,3,0),0)+T$1)/(1-T$2))</f>
        <v>28.3811331712439</v>
      </c>
      <c r="U194" s="1513" t="n">
        <f aca="false">VLOOKUP($A194,VolatilityTable,14)</f>
        <v>0.0949999999999999</v>
      </c>
      <c r="V194" s="1513" t="n">
        <f aca="false">VLOOKUP($A194,VolatilityTable,15)</f>
        <v>0.105</v>
      </c>
      <c r="W194" s="1514" t="n">
        <f aca="false">VLOOKUP($A194,VolatilityTable,16)</f>
        <v>0.115</v>
      </c>
      <c r="X194" s="1513" t="n">
        <f aca="false">VLOOKUP($A194,VolatilityTable,14)</f>
        <v>0.0949999999999999</v>
      </c>
      <c r="Y194" s="1513" t="n">
        <f aca="false">VLOOKUP($A194,VolatilityTable,15)</f>
        <v>0.105</v>
      </c>
      <c r="Z194" s="1514" t="n">
        <f aca="false">VLOOKUP($A194,VolatilityTable,16)</f>
        <v>0.115</v>
      </c>
      <c r="AA194" s="1513" t="n">
        <f aca="false">VLOOKUP($A194,VolatilityTable,18)</f>
        <v>0.09</v>
      </c>
      <c r="AB194" s="1513" t="n">
        <f aca="false">VLOOKUP($A194,VolatilityTable,19)</f>
        <v>0.11</v>
      </c>
      <c r="AC194" s="1514" t="n">
        <f aca="false">VLOOKUP($A194,VolatilityTable,20)</f>
        <v>0.13</v>
      </c>
      <c r="AD194" s="1513" t="n">
        <f aca="false">VLOOKUP($A194,VolatilityTable,18)</f>
        <v>0.09</v>
      </c>
      <c r="AE194" s="1513" t="n">
        <f aca="false">VLOOKUP($A194,VolatilityTable,19)</f>
        <v>0.11</v>
      </c>
      <c r="AF194" s="1514" t="n">
        <f aca="false">VLOOKUP($A194,VolatilityTable,20)</f>
        <v>0.13</v>
      </c>
      <c r="AG194" s="1513" t="n">
        <f aca="false">VLOOKUP($A194,VolatilityTable,22)</f>
        <v>-0.25</v>
      </c>
      <c r="AH194" s="1513" t="n">
        <f aca="false">VLOOKUP($A194,VolatilityTable,23)</f>
        <v>0.65</v>
      </c>
      <c r="AI194" s="1514" t="n">
        <f aca="false">VLOOKUP($A194,VolatilityTable,24)</f>
        <v>0.25</v>
      </c>
      <c r="AJ194" s="1513" t="n">
        <f aca="false">VLOOKUP($A194,VolatilityTable,22)</f>
        <v>-0.25</v>
      </c>
      <c r="AK194" s="1513" t="n">
        <f aca="false">VLOOKUP($A194,VolatilityTable,23)</f>
        <v>0.65</v>
      </c>
      <c r="AL194" s="1514" t="n">
        <f aca="false">VLOOKUP($A194,VolatilityTable,24)</f>
        <v>0.25</v>
      </c>
      <c r="AM194" s="1513" t="n">
        <f aca="false">VLOOKUP($A194,VolatilityTable,26)</f>
        <v>-0.01</v>
      </c>
      <c r="AN194" s="1513" t="n">
        <f aca="false">VLOOKUP($A194,VolatilityTable,27)</f>
        <v>0.16</v>
      </c>
      <c r="AO194" s="1514" t="n">
        <f aca="false">VLOOKUP($A194,VolatilityTable,28)</f>
        <v>0.01</v>
      </c>
      <c r="AP194" s="1513" t="n">
        <f aca="false">VLOOKUP($A194,VolatilityTable,26)</f>
        <v>-0.01</v>
      </c>
      <c r="AQ194" s="1513" t="n">
        <f aca="false">VLOOKUP($A194,VolatilityTable,27)</f>
        <v>0.16</v>
      </c>
      <c r="AR194" s="1515" t="n">
        <f aca="false">VLOOKUP($A194,VolatilityTable,28)</f>
        <v>0.01</v>
      </c>
      <c r="AS194" s="1581" t="n">
        <f aca="false">IF(CorrPeakOffPeakOverFlag,INDEX(CorrPeakOffPeakOver,C194),CorrPeakOffPeak)</f>
        <v>0.5</v>
      </c>
      <c r="AT194" s="594" t="e">
        <f aca="false">AX194-SUM(AU194:AW194)</f>
        <v>#VALUE!</v>
      </c>
      <c r="AU194" s="238" t="e">
        <f aca="false">IF(E194="",0,INT((F194-MOD(F194,7)-E194)/7)+1-IF(AW194,IF(WEEKDAY(D194)=7,1,0),0))</f>
        <v>#VALUE!</v>
      </c>
      <c r="AV194" s="238" t="e">
        <f aca="false">IF(E194="",0,INT((F194-MOD(F194-1,7)-E194)/7)+1-IF(AW194,IF(WEEKDAY(D194)=1,1,0),0))</f>
        <v>#VALUE!</v>
      </c>
      <c r="AW194" s="238" t="e">
        <f aca="false">IF(OR(E194="",D194="",D194&lt;BegDate,D194&gt;EndDate),0,1)</f>
        <v>#VALUE!</v>
      </c>
      <c r="AX194" s="238" t="n">
        <f aca="false">IF(E194="",0,F194-E194+1)</f>
        <v>28</v>
      </c>
      <c r="AY194" s="1582" t="n">
        <f aca="false">IF(E194="",0,MIN((1-(1-VLOOKUP(B194,MAIN!$AA$7:$AM$28,C194+1))*(1-VLOOKUP(B194,MAIN!$AA$33:$AM$54,C194+1))),1))</f>
        <v>0.03</v>
      </c>
      <c r="AZ194" s="1519" t="e">
        <v>#VALUE!</v>
      </c>
      <c r="BA194" s="1520" t="e">
        <v>#VALUE!</v>
      </c>
      <c r="BB194" s="1520" t="e">
        <v>#VALUE!</v>
      </c>
      <c r="BC194" s="1583" t="e">
        <v>#VALUE!</v>
      </c>
      <c r="BD194" s="1522" t="e">
        <v>#VALUE!</v>
      </c>
      <c r="BE194" s="1523" t="e">
        <v>#VALUE!</v>
      </c>
      <c r="BF194" s="1523" t="e">
        <v>#VALUE!</v>
      </c>
      <c r="BG194" s="1584" t="e">
        <v>#VALUE!</v>
      </c>
      <c r="BH194" s="1525" t="e">
        <v>#VALUE!</v>
      </c>
      <c r="BI194" s="1520" t="e">
        <v>#VALUE!</v>
      </c>
      <c r="BJ194" s="1520" t="e">
        <v>#VALUE!</v>
      </c>
      <c r="BK194" s="1583" t="e">
        <v>#VALUE!</v>
      </c>
      <c r="BL194" s="1522" t="e">
        <v>#VALUE!</v>
      </c>
      <c r="BM194" s="1523" t="e">
        <v>#VALUE!</v>
      </c>
      <c r="BN194" s="1523" t="e">
        <v>#VALUE!</v>
      </c>
      <c r="BO194" s="1523" t="e">
        <v>#VALUE!</v>
      </c>
      <c r="BP194" s="1525" t="e">
        <f aca="false">SUM(AZ194:BB194)</f>
        <v>#VALUE!</v>
      </c>
      <c r="BQ194" s="1529" t="e">
        <f aca="false">SUM(AZ194:BC194)</f>
        <v>#VALUE!</v>
      </c>
      <c r="BR194" s="1519" t="e">
        <f aca="false">SUM(BH194:BJ194)</f>
        <v>#VALUE!</v>
      </c>
      <c r="BS194" s="1529" t="e">
        <f aca="false">SUM(BH194:BK194)</f>
        <v>#VALUE!</v>
      </c>
      <c r="BT194" s="1316" t="n">
        <f aca="false">(IF(OVolType&lt;&gt;2,A194+14,IF(OptExpDateShift,ShiftBack(A194,OptExpDateShift,D193),A194))-DateToday)/365.25</f>
        <v>14.8008213552361</v>
      </c>
      <c r="BU194" s="1585" t="e">
        <f aca="false">IF(BQ194,IF(OPriceCurve,IF(OBuySell=OCallPut,I194/(1-AY194),K194/(1-AY194)),J194/(1-AY194))*BD194,0)</f>
        <v>#VALUE!</v>
      </c>
      <c r="BV194" s="1316" t="e">
        <f aca="false">IF(BQ194,IF(OPriceCurve,IF(OBuySell=OCallPut,L194/(1-AY194),N194/(1-AY194)),M194/(1-AY194))*BE194,0)</f>
        <v>#VALUE!</v>
      </c>
      <c r="BW194" s="1316" t="e">
        <f aca="false">IF(BQ194,IF(OPriceCurve,IF(OBuySell=OCallPut,O194/(1-AY194),Q194/(1-AY194)),P194/(1-AY194))*BF194,0)</f>
        <v>#VALUE!</v>
      </c>
      <c r="BX194" s="1316" t="e">
        <f aca="false">IF(BQ194,IF(OPriceCurve,IF(OBuySell=OCallPut,R194/(1-AY194),T194/(1-AY194)),S194/(1-AY194))*BG194,0)</f>
        <v>#VALUE!</v>
      </c>
      <c r="BY194" s="1316" t="e">
        <f aca="false">IF(BP194,(BU194*AZ194+BV194*BA194+BW194*BB194)/BP194,0)</f>
        <v>#VALUE!</v>
      </c>
      <c r="BZ194" s="1316" t="e">
        <f aca="false">IF(BQ194,(BY194*BP194+BX194*BC194)/BQ194,0)</f>
        <v>#VALUE!</v>
      </c>
      <c r="CA194" s="1531" t="e">
        <f aca="false">IF(BS194,IF(OPriceCurve,IF(OBuySell=OCallPut,I194/(1-AY194),K194/(1-AY194)),J194/(1-AY194))*BL194,0)</f>
        <v>#VALUE!</v>
      </c>
      <c r="CB194" s="1316" t="e">
        <f aca="false">IF(BS194,IF(OPriceCurve,IF(OBuySell=OCallPut,L194/(1-AY194),N194/(1-AY194)),M194/(1-AY194))*BM194,0)</f>
        <v>#VALUE!</v>
      </c>
      <c r="CC194" s="1316" t="e">
        <f aca="false">IF(BS194,IF(OPriceCurve,IF(OBuySell=OCallPut,O194/(1-AY194),Q194/(1-AY194)),P194/(1-AY194))*BN194,0)</f>
        <v>#VALUE!</v>
      </c>
      <c r="CD194" s="1316" t="e">
        <f aca="false">IF(BS194,IF(OPriceCurve,IF(OBuySell=OCallPut,R194/(1-AY194),T194/(1-AY194)),S194/(1-AY194))*BO194,0)</f>
        <v>#VALUE!</v>
      </c>
      <c r="CE194" s="1316" t="e">
        <f aca="false">IF(BR194,(BU194*BH194+BV194*BI194+BW194*BJ194)/BR194,0)</f>
        <v>#VALUE!</v>
      </c>
      <c r="CF194" s="1532" t="e">
        <f aca="false">IF(BS194,(CE194*BR194+CD194*BK194)/BS194,0)</f>
        <v>#VALUE!</v>
      </c>
      <c r="CG194" s="1586" t="e">
        <f aca="false">IF(OR(BQ194,BS194),IF(OVolType&lt;&gt;2,SQRT(IF(OVolOverMonthlyPeak,OVolOverMonthlyPeak,IF(OVolCurve,IF(OBuySell,U194,W194),V194))^2*(1-15/365.25/BT194)+IF(OVolOverDailyPeak,OVolOverDailyPeak,IF(OVolCurve,IF(OBuySell,AG194,AI194),AH194))^2*15/365.25/BT194),IF(OVolOverMonthlyPeak,OVolOverMonthlyPeak,IF(OVolCurve,IF(OBuySell,U194,W194),V194))),"")</f>
        <v>#VALUE!</v>
      </c>
      <c r="CH194" s="1587" t="e">
        <f aca="false">IF(OR(BQ194,BS194),IF(OVolType&lt;&gt;2,SQRT(IF(OVolOverMonthlyPeak,OVolOverMonthlyPeak,IF(OVolCurve,IF(OBuySell,X194,Z194),Y194))^2*(1-15/365.25/BT194)+IF(OVolOverDailyPeak,OVolOverDailyPeak,IF(OVolCurve,IF(OBuySell,AJ194,AL194),AK194))^2*15/365.25/BT194),IF(OVolOverMonthlyPeak,OVolOverMonthlyPeak,IF(OVolCurve,IF(OBuySell,X194,Z194),Y194))),"")</f>
        <v>#VALUE!</v>
      </c>
      <c r="CI194" s="1587" t="e">
        <f aca="false">IF(OR(BQ194,BS194),IF(OVolType&lt;&gt;2,SQRT(IF(OVolOverMonthlyPeak,OVolOverMonthlyPeak,IF(OVolCurve,IF(OBuySell,AA194,AC194),AB194))^2*(1-15/365.25/BT194)+IF(OVolOverDailyPeak,OVolOverDailyPeak,IF(OVolCurve,IF(OBuySell,AM194,AO194),AN194))^2*15/365.25/BT194),IF(OVolOverMonthlyPeak,OVolOverMonthlyPeak,IF(OVolCurve,IF(OBuySell,AA194,AC194),AB194))),"")</f>
        <v>#VALUE!</v>
      </c>
      <c r="CJ194" s="1587" t="e">
        <f aca="false">IF(BQ194,IF(BP194,SQRT(LN(1+((BU194*AZ194)^2*(EXP(CG194^2*BT194)-1)+(BV194*BA194)^2*(EXP(CH194^2*BT194)-1)+(BW194*BB194)^2*(EXP(CI194^2*BT194)-1)+2*BU194*AZ194*BV194*BA194*(EXP(CG194*CH194*BT194)-1)+2*BV194*BA194*BW194*BB194*(EXP(CH194*CI194*BT194)-1)+2*BW194*BB194*BU194*AZ194*(EXP(CI194*CG194*BT194)-1))/(BY194*BP194)^2)/BT194),0),"")</f>
        <v>#VALUE!</v>
      </c>
      <c r="CK194" s="1587" t="e">
        <f aca="false">IF(BS194,IF(BR194,SQRT(LN(1+((CA194*BH194)^2*(EXP(CG194^2*BT194)-1)+(CB194*BI194)^2*(EXP(CH194^2*BT194)-1)+(CC194*BJ194)^2*(EXP(CI194^2*BT194)-1)+2*CA194*BH194*CB194*BI194*(EXP(CG194*CH194*BT194)-1)+2*CB194*BI194*CC194*BJ194*(EXP(CH194*CI194*BT194)-1)+2*CC194*BJ194*CA194*BH194*(EXP(CI194*CG194*BT194)-1))/(CE194*BR194)^2)/BT194),0),"")</f>
        <v>#VALUE!</v>
      </c>
      <c r="CL194" s="1587" t="e">
        <f aca="false">IF(OR(BQ194,BS194),IF(OVolType&lt;&gt;2,SQRT(IF(OVolOverMonthlyOffPeak,OVolOverMonthlyOffPeak,IF(OVolCurve,IF(OBuySell,AD194,AF194),AE194))^2*(1-15/365.25/BT194)+IF(OVolOverDailyOffPeak,OVolOverDailyOffPeak,IF(OVolCurve,IF(OBuySell,AP194,AR194),AQ194))^2*15/365.25/BT194),IF(OVolOverMonthlyOffPeak,OVolOverMonthlyOffPeak,IF(OVolCurve,IF(OBuySell,AD194,AF194),AE194))),"")</f>
        <v>#VALUE!</v>
      </c>
      <c r="CM194" s="1587" t="e">
        <f aca="false">IF(BQ194,SQRT(LN(1+((BY194*BP194)^2*(EXP(CJ194^2*BT194)-1)+(BX194*BC194)^2*(EXP(CL194^2*BT194)-1)+2*BY194*BP194*BX194*BC194*(EXP(AS194*CJ194*CL194*BT194)-1))/(BY194*BP194+BX194*BC194)^2)/BT194),"")</f>
        <v>#VALUE!</v>
      </c>
      <c r="CN194" s="1588" t="e">
        <f aca="false">IF(BS194,SQRT(LN(1+((CE194*BR194)^2*(EXP(CK194^2*BT194)-1)+(CD194*BK194)^2*(EXP(CL194^2*BT194)-1)+2*CE194*BR194*CD194*BK194*(EXP(AS194*CK194*CL194*BT194)-1))/(CE194*BR194+CD194*BK194)^2)/BT194),"")</f>
        <v>#VALUE!</v>
      </c>
      <c r="CO194" s="1531" t="e">
        <f aca="false">IF(OR(BQ194,BS194),VLOOKUP(A194,GasTable,13)*HeatRatePeak*(1+VLOOKUP($B194,HeatRateDegradation,$C194+1))/1000,0)</f>
        <v>#VALUE!</v>
      </c>
      <c r="CP194" s="1316" t="e">
        <f aca="false">IF(OR(BQ194,BS194),VLOOKUP(A194,GasTable,13)*HeatRatePeak*(1+VLOOKUP($B194,HeatRateDegradation,$C194+1))/1000,0)</f>
        <v>#VALUE!</v>
      </c>
      <c r="CQ194" s="1316" t="e">
        <f aca="false">IF(OR(BQ194,BS194),VLOOKUP(A194,GasTable,13)*IF(EV194,HeatRatePeak,HeatRateOffPeak)*(1+VLOOKUP($B194,HeatRateDegradation,$C194+1))/1000,0)</f>
        <v>#VALUE!</v>
      </c>
      <c r="CR194" s="1316" t="e">
        <f aca="false">IF(OR(BQ194,BS194),VLOOKUP(A194,GasTable,13)*IF(EW194,HeatRatePeak,HeatRateOffPeak)*(1+VLOOKUP($B194,HeatRateDegradation,$C194+1))/1000,0)</f>
        <v>#VALUE!</v>
      </c>
      <c r="CS194" s="1589" t="e">
        <f aca="false">IF(BQ194,(CO194*AZ194+CP194*BA194+CQ194*BB194+CR194*BC194)/BQ194,0)</f>
        <v>#VALUE!</v>
      </c>
      <c r="CT194" s="1316" t="e">
        <f aca="false">IF(BS194,CO194,0)</f>
        <v>#VALUE!</v>
      </c>
      <c r="CU194" s="1590" t="e">
        <f aca="false">IF(OR(BQ194,BS194),VLOOKUP(A194,GasTable,14),"")</f>
        <v>#VALUE!</v>
      </c>
      <c r="CV194" s="1568" t="e">
        <f aca="false">IF(OR(BQ194,BS194),IF(CorrPowerGasOverFlag,INDEX(CorrPowerGasOver,C194),CorrPowerGas),"")</f>
        <v>#VALUE!</v>
      </c>
      <c r="CW194" s="1316" t="e">
        <f aca="false">IF(OR($BQ194,$BS194),SpreadOptPowerMargin,0)*((1+Assumptions!$C$26)^($B194-YEAR(Assumptions!$C$17)))</f>
        <v>#VALUE!</v>
      </c>
      <c r="CX194" s="1316" t="e">
        <f aca="false">IF(OR($BQ194,$BS194),SpreadOptPowerMargin,0)*((1+Assumptions!$C$26)^($B194-YEAR(Assumptions!$C$17)))</f>
        <v>#VALUE!</v>
      </c>
      <c r="CY194" s="1316" t="e">
        <f aca="false">IF(OR($BQ194,$BS194),SpreadOptPowerMargin,0)*((1+Assumptions!$C$26)^($B194-YEAR(Assumptions!$C$17)))</f>
        <v>#VALUE!</v>
      </c>
      <c r="CZ194" s="1316" t="e">
        <f aca="false">IF(OR($BQ194,$BS194),SpreadOptPowerMargin,0)*((1+Assumptions!$C$26)^($B194-YEAR(Assumptions!$C$17)))</f>
        <v>#VALUE!</v>
      </c>
      <c r="DA194" s="1591" t="e">
        <f aca="false">IF(OR(BQ194,BS194),(CW194*(AZ194+BH194)+CX194*(BA194+BI194)+CY194*(BB194+BJ194)+CZ194*(BC194+BK194))/(BQ194+BS194),0)</f>
        <v>#VALUE!</v>
      </c>
      <c r="DB194" s="1592" t="e">
        <f aca="false">IF(OR(BQ194,BS194),CG194+IF(OVolSmile,VLOOKUP(MAX(-5,CO194+CW194-BU194),IF(OVolSmile=1,VolSmileBook,VolSmileModel),2),0),"")</f>
        <v>#VALUE!</v>
      </c>
      <c r="DC194" s="1592" t="e">
        <f aca="false">IF(OR(BQ194,BS194),CH194+IF(OVolSmile,VLOOKUP(MAX(-5,CP194+CW194-BV194),IF(OVolSmile=1,VolSmileBook,VolSmileModel),2),0),"")</f>
        <v>#VALUE!</v>
      </c>
      <c r="DD194" s="1592" t="e">
        <f aca="false">IF(OR(BQ194,BS194),CI194+IF(OVolSmile,VLOOKUP(MAX(-5,CQ194+CW194-BW194),IF(OVolSmile=1,VolSmileBook,VolSmileModel),2),0),"")</f>
        <v>#VALUE!</v>
      </c>
      <c r="DE194" s="1592" t="e">
        <f aca="false">IF(OR(BQ194,BS194),CL194+IF(OVolSmile,VLOOKUP(MAX(-5,CR194+CZ194-BX194),IF(OVolSmile=1,VolSmileBook,VolSmileModel),2),0),"")</f>
        <v>#VALUE!</v>
      </c>
      <c r="DF194" s="1592" t="e">
        <f aca="false">IF(BQ194,CM194+IF(OVolSmile,VLOOKUP(MAX(-5,CS194+DA194-BZ194),IF(OVolSmile=1,VolSmileBook,VolSmileModel),2),0),"")</f>
        <v>#VALUE!</v>
      </c>
      <c r="DG194" s="1593" t="e">
        <f aca="false">IF(BS194,CN194+IF(OVolSmile,VLOOKUP(MAX(-5,CT194+DA194-CF194),IF(OVolSmile=1,VolSmileBook,VolSmileModel),2),0),"")</f>
        <v>#VALUE!</v>
      </c>
      <c r="DH194" s="1316" t="e">
        <f aca="false">IF(AND(BU194&gt;0,CO194&gt;0,DB194&gt;0,CU194&gt;0),newSPRDOPT(BU194,CO194,CW194,0,DB194,CU194,CV194,BT194*365.25,OCallPut,0),0)</f>
        <v>#VALUE!</v>
      </c>
      <c r="DI194" s="1316" t="e">
        <f aca="false">IF(AND(BV194&gt;0,CP194&gt;0,DC194&gt;0,CU194&gt;0),newSPRDOPT(BV194,CP194,CX194,0,DC194,CU194,CV194,BT194*365.25,OCallPut,0),0)</f>
        <v>#VALUE!</v>
      </c>
      <c r="DJ194" s="1316" t="e">
        <f aca="false">IF(AND(BW194&gt;0,CQ194&gt;0,DD194&gt;0,CU194&gt;0),newSPRDOPT(BW194,CQ194,CY194,0,DD194,CU194,CV194,BT194*365.25,OCallPut,0),0)</f>
        <v>#VALUE!</v>
      </c>
      <c r="DK194" s="1316" t="e">
        <f aca="false">IF(AND(BX194&gt;0,CR194&gt;0,DE194&gt;0,CU194&gt;0),newSPRDOPT(BX194,CR194,CZ194,0,DE194,CU194,CV194,BT194*365.25,OCallPut,0),0)</f>
        <v>#VALUE!</v>
      </c>
      <c r="DL194" s="1316" t="e">
        <f aca="false">IF(OVolType,IF(AND(BZ194&gt;0,CS194&gt;0,DF194&gt;0,CU194&gt;0),newSPRDOPT(BZ194,CS194,DA194,0,DF194,CU194,CV194,BT194*365.25,OCallPut,0),0),IF(BQ194,(DH194*AZ194+DI194*BA194+DJ194*BB194+DK194*BC194)/BQ194,0))</f>
        <v>#VALUE!</v>
      </c>
      <c r="DM194" s="1316"/>
      <c r="DN194" s="1316"/>
      <c r="DO194" s="1316"/>
      <c r="DP194" s="1316"/>
      <c r="DQ194" s="1316"/>
      <c r="DR194" s="1316"/>
      <c r="DS194" s="1316"/>
      <c r="DT194" s="1316"/>
      <c r="DU194" s="1316"/>
      <c r="DV194" s="1316"/>
      <c r="DW194" s="1594" t="e">
        <f aca="false">IF(AND(BW194&gt;0,CT194&gt;0,DD194&gt;0,CU194&gt;0),newSPRDOPT(BW194,CT194,CY194,0,DD194,CU194,CV194,BT194*365.25,OCallPut,0),0)</f>
        <v>#VALUE!</v>
      </c>
      <c r="DX194" s="1316" t="e">
        <f aca="false">IF(AND(BX194&gt;0,CT194&gt;0,DE194&gt;0,CU194&gt;0),newSPRDOPT(BX194,CT194,CZ194,0,DE194,CU194,CV194,BT194*365.25,OCallPut,0),0)</f>
        <v>#VALUE!</v>
      </c>
      <c r="DY194" s="1591" t="e">
        <f aca="false">IF(BS194,(DH194*BH194+DI194*BI194+DW194*BJ194+DX194*BK194)/BS194,0)</f>
        <v>#VALUE!</v>
      </c>
      <c r="DZ194" s="1551" t="e">
        <f aca="false">DH194*AZ194</f>
        <v>#VALUE!</v>
      </c>
      <c r="EA194" s="1551" t="e">
        <f aca="false">DI194*BA194</f>
        <v>#VALUE!</v>
      </c>
      <c r="EB194" s="1551" t="e">
        <f aca="false">DJ194*BB194</f>
        <v>#VALUE!</v>
      </c>
      <c r="EC194" s="1551" t="e">
        <f aca="false">DK194*BC194</f>
        <v>#VALUE!</v>
      </c>
      <c r="ED194" s="1551" t="e">
        <f aca="false">DL194*BQ194</f>
        <v>#VALUE!</v>
      </c>
      <c r="EE194" s="1595" t="e">
        <f aca="false">IF(BQ194,IF(OCallPut,IF(BU194&gt;(CO194+CW194),BU194-(CO194+CW194),0),IF((CO194+CW194)&gt;BU194,(CO194+CW194)-BU194,0))*AZ194,0)</f>
        <v>#VALUE!</v>
      </c>
      <c r="EF194" s="1596" t="e">
        <f aca="false">IF(BQ194,IF(OCallPut,IF(BV194&gt;(CP194+CX194),BV194-(CP194+CX194),0),IF((CP194+CX194)&gt;BV194,(CP194+CX194)-BV194,0))*BA194,0)</f>
        <v>#VALUE!</v>
      </c>
      <c r="EG194" s="1596" t="e">
        <f aca="false">IF(BQ194,IF(OCallPut,IF(BW194&gt;(CQ194+CY194),BW194-(CQ194+CY194),0),IF((CQ194+CY194)&gt;BW194,(CQ194+CY194)-BW194,0))*BB194,0)</f>
        <v>#VALUE!</v>
      </c>
      <c r="EH194" s="1596" t="e">
        <f aca="false">IF(BQ194,IF(OCallPut,IF(BX194&gt;(CR194+CZ194),BX194-(CR194+CZ194),0),IF((CR194+CZ194)&gt;BX194,(CR194+CZ194)-BX194,0))*BC194,0)</f>
        <v>#VALUE!</v>
      </c>
      <c r="EI194" s="1597" t="e">
        <f aca="false">IF(BQ194,IF(OVolType,IF(OCallPut,IF(BZ194&gt;(CS194+DA194),BZ194-(CS194+DA194),0),IF((CS194+DA194)&gt;BZ194,(CS194+DA194)-BZ194,0))*BQ194,SUM(EE194:EH194)),0)</f>
        <v>#VALUE!</v>
      </c>
      <c r="EJ194" s="1595" t="e">
        <f aca="false">DZ194-EE194</f>
        <v>#VALUE!</v>
      </c>
      <c r="EK194" s="1596" t="e">
        <f aca="false">EA194-EF194</f>
        <v>#VALUE!</v>
      </c>
      <c r="EL194" s="1596" t="e">
        <f aca="false">EB194-EG194</f>
        <v>#VALUE!</v>
      </c>
      <c r="EM194" s="1596" t="e">
        <f aca="false">EC194-EH194</f>
        <v>#VALUE!</v>
      </c>
      <c r="EN194" s="1597" t="e">
        <f aca="false">ED194-EI194</f>
        <v>#VALUE!</v>
      </c>
      <c r="EO194" s="1551" t="e">
        <f aca="false">DH194*BH194</f>
        <v>#VALUE!</v>
      </c>
      <c r="EP194" s="1551" t="e">
        <f aca="false">DI194*BI194</f>
        <v>#VALUE!</v>
      </c>
      <c r="EQ194" s="1551" t="e">
        <f aca="false">DW194*BJ194</f>
        <v>#VALUE!</v>
      </c>
      <c r="ER194" s="1551" t="e">
        <f aca="false">DX194*BK194</f>
        <v>#VALUE!</v>
      </c>
      <c r="ES194" s="1551" t="e">
        <f aca="false">DY194*BS194</f>
        <v>#VALUE!</v>
      </c>
      <c r="ET194" s="1566" t="e">
        <f aca="false">IF(EI194,IF(OCallPut,IF(CA194&gt;(CT194+CW194),CA194-(CT194+CW194),0),IF((CT194+CW194)&gt;CA194,(CT194+CW194)-CA194,0))*BH194,0)</f>
        <v>#VALUE!</v>
      </c>
      <c r="EU194" s="1551" t="e">
        <f aca="false">IF(EI194,IF(OCallPut,IF(CB194&gt;(CT194+CX194),CB194-(CT194+CX194),0),IF((CT194+CX194)&gt;CB194,(CT194+CX194)-CB194,0))*BI194,0)</f>
        <v>#VALUE!</v>
      </c>
      <c r="EV194" s="1551" t="e">
        <f aca="false">IF(EI194,IF(OCallPut,IF(CC194&gt;(CT194+CY194),CC194-(CT194+CY194),0),IF((CT194+CY194)&gt;CC194,(CT194+CY194)-CC194,0))*BJ194,0)</f>
        <v>#VALUE!</v>
      </c>
      <c r="EW194" s="1551" t="e">
        <f aca="false">IF(EI194,IF(OCallPut,IF(CD194&gt;(CT194+CZ194),CD194-(CT194+CZ194),0),IF((CT194+CZ194)&gt;CD194,(CT194+CZ194)-CD194,0))*BK194,0)</f>
        <v>#VALUE!</v>
      </c>
      <c r="EX194" s="1558" t="e">
        <f aca="false">IF(EI194,SUM(ET194:EW194),0)</f>
        <v>#VALUE!</v>
      </c>
      <c r="EY194" s="1551" t="e">
        <f aca="false">EO194-ET194</f>
        <v>#VALUE!</v>
      </c>
      <c r="EZ194" s="1551" t="e">
        <f aca="false">EP194-EU194</f>
        <v>#VALUE!</v>
      </c>
      <c r="FA194" s="1551" t="e">
        <f aca="false">EQ194-EV194</f>
        <v>#VALUE!</v>
      </c>
      <c r="FB194" s="1551" t="e">
        <f aca="false">ER194-EW194</f>
        <v>#VALUE!</v>
      </c>
      <c r="FC194" s="1551" t="e">
        <f aca="false">ES194-EX194</f>
        <v>#VALUE!</v>
      </c>
      <c r="FD194" s="1525" t="n">
        <f aca="false">IF(AX194,IF(VLOOKUP(C194,MAIN!$L$17:$M$28,2)="Yes",VLOOKUP(CALC!B194,MAIN!$H$17:$I$20,2),0),0)</f>
        <v>0</v>
      </c>
      <c r="FE194" s="1552" t="e">
        <f aca="false">$FD194*16*AT194*(1-$AY194)</f>
        <v>#VALUE!</v>
      </c>
      <c r="FF194" s="1553" t="e">
        <f aca="false">$FD194*16*AU194*(1-$AY194)</f>
        <v>#VALUE!</v>
      </c>
      <c r="FG194" s="1553" t="e">
        <f aca="false">$FD194*16*(AV194+AW194)*(1-$AY194)</f>
        <v>#VALUE!</v>
      </c>
      <c r="FH194" s="1554" t="n">
        <f aca="false">$FD194*8*AX194*(1-$AY194)</f>
        <v>0</v>
      </c>
      <c r="FI194" s="1555" t="n">
        <f aca="false">IF(AX194,VLOOKUP(CALC!B194,MAIN!$H$17:$K$20,4),0)</f>
        <v>0</v>
      </c>
      <c r="FJ194" s="1553" t="e">
        <f aca="false">SUM(FE194:FH194)</f>
        <v>#VALUE!</v>
      </c>
      <c r="FK194" s="1556" t="e">
        <f aca="false">FI194*FJ194</f>
        <v>#VALUE!</v>
      </c>
      <c r="FL194" s="1551" t="e">
        <f aca="false">IF($EI194&gt;0,MIN(FE194,AZ194*(1+VLOOKUP($C194,WeatherCapacityAdjustment,2))),0)</f>
        <v>#VALUE!</v>
      </c>
      <c r="FM194" s="1551" t="e">
        <f aca="false">IF($EI194&gt;0,MIN(FF194,BA194*(1+VLOOKUP($C194,WeatherCapacityAdjustment,2))),0)</f>
        <v>#VALUE!</v>
      </c>
      <c r="FN194" s="1551" t="e">
        <f aca="false">IF($EI194&gt;0,MIN(FG194,BB194*(1+VLOOKUP($C194,WeatherCapacityAdjustment,2))),0)</f>
        <v>#VALUE!</v>
      </c>
      <c r="FO194" s="1564" t="e">
        <f aca="false">IF($EI194&gt;0,MIN(FH194,BC194*(1+VLOOKUP($C194,WeatherCapacityAdjustment,3))),0)</f>
        <v>#VALUE!</v>
      </c>
      <c r="FP194" s="1551" t="e">
        <f aca="false">IF(ET194&gt;0,MIN(FE194-FL194,BH194*(1+VLOOKUP($C194,WeatherCapacityAdjustment,2))),0)</f>
        <v>#VALUE!</v>
      </c>
      <c r="FQ194" s="1551" t="e">
        <f aca="false">IF(EU194&gt;0,MIN(FF194-FM194,BI194*(1+VLOOKUP($C194,WeatherCapacityAdjustment,2))),0)</f>
        <v>#VALUE!</v>
      </c>
      <c r="FR194" s="1551" t="e">
        <f aca="false">IF(EV194&gt;0,MIN(FG194-FN194,BJ194*(1+VLOOKUP($C194,WeatherCapacityAdjustment,2))),0)</f>
        <v>#VALUE!</v>
      </c>
      <c r="FS194" s="1558" t="e">
        <f aca="false">IF(EW194&gt;0,MIN(FH194-FO194,BK194*(1+VLOOKUP($C194,WeatherCapacityAdjustment,3))),0)</f>
        <v>#VALUE!</v>
      </c>
      <c r="FT194" s="1566" t="e">
        <f aca="false">IF(AND(Assumptions!$H$71="Yes",A194&gt;=Assumptions!$H$72,A194&lt;=Assumptions!$H$73),0,IF(AND($A194&gt;=Assumptions!$C$17,$A194&lt;=Assumptions!$C$18),MAX(AZ194*(1+VLOOKUP($C194,WeatherCapacityAdjustment,2))-FL194,0),0))</f>
        <v>#VALUE!</v>
      </c>
      <c r="FU194" s="1551" t="e">
        <f aca="false">IF(AND(Assumptions!$H$71="Yes",A194&gt;=Assumptions!$H$72,A194&lt;=Assumptions!$H$73),0,IF(AND($A194&gt;=Assumptions!$C$17,$A194&lt;=Assumptions!$C$18),MAX(BA194*(1+VLOOKUP($C194,WeatherCapacityAdjustment,2))-FM194,0),0))</f>
        <v>#VALUE!</v>
      </c>
      <c r="FV194" s="1551" t="e">
        <f aca="false">IF(AND(Assumptions!$H$71="Yes",A194&gt;=Assumptions!$H$72,A194&lt;=Assumptions!$H$73),0,IF(AND($A194&gt;=Assumptions!$C$17,$A194&lt;=Assumptions!$C$18),MAX(BB194*(1+VLOOKUP($C194,WeatherCapacityAdjustment,2))-FN194,0),0))</f>
        <v>#VALUE!</v>
      </c>
      <c r="FW194" s="1564" t="e">
        <f aca="false">IF(AND(Assumptions!$H$71="Yes",A194&gt;=Assumptions!$H$72,A194&lt;=Assumptions!$H$73),0,IF(AND($A194&gt;=Assumptions!$C$17,$A194&lt;=Assumptions!$C$18),MAX(BC194*(1+VLOOKUP($C194,WeatherCapacityAdjustment,3))-FO194,0),0))</f>
        <v>#VALUE!</v>
      </c>
      <c r="FX194" s="1569" t="e">
        <f aca="false">IF(AND(Assumptions!$H$71="Yes",A194&gt;=Assumptions!$H$72,A194&lt;=Assumptions!$H$73),0,IF(ET194&gt;0,MAX(BH194*(1+VLOOKUP($C194,WeatherCapacityAdjustment,2))-FP194,0),0))</f>
        <v>#VALUE!</v>
      </c>
      <c r="FY194" s="1551" t="e">
        <f aca="false">IF(AND(Assumptions!$H$71="Yes",A194&gt;=Assumptions!$H$72,A194&lt;=Assumptions!$H$73),0,IF(EU194&gt;0,MAX(BI194*(1+VLOOKUP($C194,WeatherCapacityAdjustment,3))-FQ194,0),0))</f>
        <v>#VALUE!</v>
      </c>
      <c r="FZ194" s="1551" t="e">
        <f aca="false">IF(AND(Assumptions!$H$71="Yes",A194&gt;=Assumptions!$H$72,A194&lt;=Assumptions!$H$73),0,IF(EV194&gt;0,MAX(BJ194*(1+VLOOKUP($C194,WeatherCapacityAdjustment,2))-FR194,0),0))</f>
        <v>#VALUE!</v>
      </c>
      <c r="GA194" s="1564" t="e">
        <f aca="false">IF(AND(Assumptions!$H$71="Yes",A194&gt;=Assumptions!$H$72,A194&lt;=Assumptions!$H$73),0,IF(EW194&gt;0,MAX(BK194*(1+VLOOKUP($C194,WeatherCapacityAdjustment,2))-FS194,0),0))</f>
        <v>#VALUE!</v>
      </c>
      <c r="GB194" s="1551" t="e">
        <f aca="false">SUM(FT194:GA194)</f>
        <v>#VALUE!</v>
      </c>
      <c r="GC194" s="1563" t="e">
        <f aca="false">+IF(SUM(FT194:GA194)=0,0,(SUMPRODUCT(BU194:BX194,FT194:FW194)+SUMPRODUCT(CA194:CD194,FX194:GA194))/SUM(FT194:GA194))</f>
        <v>#VALUE!</v>
      </c>
      <c r="GD194" s="1551" t="e">
        <f aca="false">(FT194*BU194+FX194*CA194+FU194*BV194+FY194*CB194+FV194*BW194+FZ194*CC194+FW194*BX194+GA194*CD194)</f>
        <v>#VALUE!</v>
      </c>
      <c r="GE194" s="1561" t="e">
        <f aca="false">+IF(BQ194,((FL194+FM194+FT194+FU194)*HeatRatePeak/1000*(1+VLOOKUP($C194,WeatherHeatRateAdjustment,2))+(FN194+FV194)*IF(EV194&gt;0,HeatRatePeak,HeatRateOffPeak)/1000*(1+VLOOKUP($C194,WeatherHeatRateAdjustment,2))+(FO194+FW194)*IF(EW194&gt;0,HeatRatePeak,HeatRateOffPeak)/1000*(1+VLOOKUP($C194,WeatherHeatRateAdjustment,3)))*(1+VLOOKUP($B194,HeatRateDegradation,$C194+1)),0)</f>
        <v>#VALUE!</v>
      </c>
      <c r="GF194" s="1562" t="e">
        <f aca="false">IF(BQ194,((FP194+FQ194+FR194+FX194+FY194+FZ194)*HeatRatePeak/1000*(1+VLOOKUP($C194,WeatherHeatRateAdjustment,2))+(FS194+GA194)*HeatRatePeak/1000*(1+VLOOKUP($C194,WeatherHeatRateAdjustment,3)))*(1+VLOOKUP($B194,HeatRateDegradation,$C194+1)),0)</f>
        <v>#VALUE!</v>
      </c>
      <c r="GG194" s="1563" t="e">
        <f aca="false">IF(BQ194,VLOOKUP(A194,GasTable,13),0)</f>
        <v>#VALUE!</v>
      </c>
      <c r="GH194" s="1564" t="e">
        <f aca="false">(GE194+GF194)*GG194</f>
        <v>#VALUE!</v>
      </c>
      <c r="GI194" s="1569" t="e">
        <f aca="false">GB194</f>
        <v>#VALUE!</v>
      </c>
      <c r="GJ194" s="1598" t="e">
        <f aca="false">+DA194</f>
        <v>#VALUE!</v>
      </c>
      <c r="GK194" s="1558" t="e">
        <f aca="false">+GI194*GJ194</f>
        <v>#VALUE!</v>
      </c>
      <c r="GL194" s="1566" t="e">
        <f aca="false">MAX(FE194-FL194-FP194,0)</f>
        <v>#VALUE!</v>
      </c>
      <c r="GM194" s="1551" t="e">
        <f aca="false">MAX(FF194-FM194-FQ194,0)</f>
        <v>#VALUE!</v>
      </c>
      <c r="GN194" s="1551" t="e">
        <f aca="false">MAX(FG194-FN194-FR194,0)</f>
        <v>#VALUE!</v>
      </c>
      <c r="GO194" s="1564" t="e">
        <f aca="false">MAX(FH194-FO194-FS194,0)</f>
        <v>#VALUE!</v>
      </c>
      <c r="GP194" s="1551" t="e">
        <f aca="false">SUM(GL194:GO194)</f>
        <v>#VALUE!</v>
      </c>
      <c r="GQ194" s="1563" t="e">
        <f aca="false">IF(SUM(GL194:GO194)=0,0,((GL194*BU194+GM194*BV194+GN194*BW194+GO194*BX194)/SUM(GL194:GO194)))</f>
        <v>#VALUE!</v>
      </c>
      <c r="GR194" s="1558" t="e">
        <f aca="false">(GL194*BU194+GM194*BV194+GN194*BW194+GO194*BX194)</f>
        <v>#VALUE!</v>
      </c>
      <c r="GS194" s="1566" t="n">
        <f aca="false">IF($A194&gt;=BegDate,Assumptions!$C$56*24*($A195-$A194)*(1-VLOOKUP($B194,MAIN!$AA$7:$AM$28,$C194+1))*(1-VLOOKUP($B194,MAIN!$AA$33:$AM$54,$C194+1)),0)*80/168</f>
        <v>232800</v>
      </c>
      <c r="GT194" s="286" t="n">
        <f aca="false">J194</f>
        <v>54.0644732583171</v>
      </c>
      <c r="GU194" s="286" t="n">
        <f aca="false">IF($A194&gt;=BegDate,VLOOKUP($A194,GasTable,13)+Assumptions!$C$58,0)</f>
        <v>3.39874390135506</v>
      </c>
      <c r="GV194" s="286" t="n">
        <f aca="false">GU194*Assumptions!$C$57/1000</f>
        <v>24.6408932848242</v>
      </c>
      <c r="GW194" s="1558" t="n">
        <f aca="false">IF(Assumptions!$C$60="Hourly",MAX(0,GS194*(GT194-GV194)),GS194*(GT194-GV194))</f>
        <v>6849809.41782916</v>
      </c>
      <c r="GX194" s="1566" t="n">
        <f aca="false">IF($A194&gt;=BegDate,Assumptions!$C$56*24*($A195-$A194)*(1-VLOOKUP($B194,MAIN!$AA$7:$AM$28,$C194+1))*(1-VLOOKUP($B194,MAIN!$AA$33:$AM$54,$C194+1)),0)*16/168</f>
        <v>46560</v>
      </c>
      <c r="GY194" s="286" t="n">
        <f aca="false">M194</f>
        <v>54.0644732583171</v>
      </c>
      <c r="GZ194" s="286" t="n">
        <f aca="false">IF($A194&gt;=BegDate,VLOOKUP($A194,GasTable,13)+Assumptions!$C$58,0)</f>
        <v>3.39874390135506</v>
      </c>
      <c r="HA194" s="286" t="n">
        <f aca="false">GZ194*Assumptions!$C$57/1000</f>
        <v>24.6408932848242</v>
      </c>
      <c r="HB194" s="1558" t="n">
        <f aca="false">IF(Assumptions!$C$60="Hourly",MAX(0,GX194*(GY194-HA194)),GX194*(GY194-HA194))</f>
        <v>1369961.88356583</v>
      </c>
      <c r="HC194" s="1566" t="n">
        <f aca="false">IF($A194&gt;=BegDate,Assumptions!$C$56*24*($A195-$A194)*(1-VLOOKUP($B194,MAIN!$AA$7:$AM$28,$C194+1))*(1-VLOOKUP($B194,MAIN!$AA$33:$AM$54,$C194+1)),0)*16/168</f>
        <v>46560</v>
      </c>
      <c r="HD194" s="286" t="n">
        <f aca="false">P194</f>
        <v>28.3811331712439</v>
      </c>
      <c r="HE194" s="286" t="n">
        <f aca="false">IF($A194&gt;=BegDate,VLOOKUP($A194,GasTable,13)+Assumptions!$C$58,0)</f>
        <v>3.39874390135506</v>
      </c>
      <c r="HF194" s="286" t="n">
        <f aca="false">HE194*Assumptions!$C$57/1000</f>
        <v>24.6408932848242</v>
      </c>
      <c r="HG194" s="1558" t="n">
        <f aca="false">IF(Assumptions!$C$60="Hourly",MAX(0,HC194*(HD194-HF194)),HC194*(HD194-HF194))</f>
        <v>174145.569111703</v>
      </c>
      <c r="HH194" s="1566" t="n">
        <f aca="false">IF($A194&gt;=BegDate,Assumptions!$C$56*24*($A195-$A194)*(1-VLOOKUP($B194,MAIN!$AA$7:$AM$28,$C194+1))*(1-VLOOKUP($B194,MAIN!$AA$33:$AM$54,$C194+1)),0)*56/168</f>
        <v>162960</v>
      </c>
      <c r="HI194" s="286" t="n">
        <f aca="false">S194</f>
        <v>28.3811331712439</v>
      </c>
      <c r="HJ194" s="286" t="n">
        <f aca="false">IF($A194&gt;=BegDate,VLOOKUP($A194,GasTable,13)+Assumptions!$C$58,0)</f>
        <v>3.39874390135506</v>
      </c>
      <c r="HK194" s="286" t="n">
        <f aca="false">HJ194*Assumptions!$C$57/1000</f>
        <v>24.6408932848242</v>
      </c>
      <c r="HL194" s="1558" t="n">
        <f aca="false">IF(Assumptions!$C$60="Hourly",MAX(0,HH194*(HI194-HK194)),HH194*(HI194-HK194))</f>
        <v>609509.491890961</v>
      </c>
      <c r="HM194" s="1566" t="n">
        <f aca="false">IF(AND(Assumptions!$H$71="Yes",A194&gt;=Assumptions!$H$72,A194&lt;=Assumptions!$H$73),Assumptions!$H$74*Assumptions!$C$9*1000,0)</f>
        <v>0</v>
      </c>
      <c r="HN194" s="1551"/>
      <c r="HO194" s="1563"/>
      <c r="HP194" s="1563"/>
      <c r="HQ194" s="1563"/>
      <c r="HR194" s="1563"/>
      <c r="HS194" s="1563"/>
      <c r="HT194" s="1563"/>
      <c r="HU194" s="1563"/>
      <c r="HV194" s="1563"/>
      <c r="HW194" s="1563"/>
      <c r="HX194" s="1563"/>
      <c r="HY194" s="1563"/>
      <c r="HZ194" s="1563"/>
      <c r="IA194" s="1563"/>
      <c r="IB194" s="1563"/>
      <c r="IC194" s="1563"/>
      <c r="ID194" s="1563"/>
      <c r="IE194" s="1563"/>
      <c r="IF194" s="1563"/>
      <c r="IG194" s="1563"/>
      <c r="IH194" s="1563"/>
      <c r="II194" s="1610"/>
      <c r="IJ194" s="1309"/>
      <c r="IK194" s="1309"/>
    </row>
    <row r="195" customFormat="false" ht="12.75" hidden="false" customHeight="false" outlineLevel="0" collapsed="false">
      <c r="A195" s="1571" t="n">
        <f aca="false">EOMONTH(A194,0)+1</f>
        <v>42064</v>
      </c>
      <c r="B195" s="594" t="n">
        <f aca="false">+YEAR(A195)</f>
        <v>2015</v>
      </c>
      <c r="C195" s="238" t="n">
        <f aca="false">MONTH(A195)</f>
        <v>3</v>
      </c>
      <c r="D195" s="1572" t="e">
        <f aca="false">IF(E195="","",Holiday(B195,C195))</f>
        <v>#VALUE!</v>
      </c>
      <c r="E195" s="1573" t="n">
        <f aca="false">IF(OR(BegDate&gt;=A196,EndDate&lt;A195,AND(VolumeMonthlyOverFlag,INDEX(VolumeMonthlyOver,C195)=0),NOT(INDEX(MonthKnockOutTable,C195))),"",MAX(A195,BegDate))</f>
        <v>42064</v>
      </c>
      <c r="F195" s="1574" t="n">
        <f aca="false">IF(E195="","",MIN(A196-1,EndDate))</f>
        <v>42094</v>
      </c>
      <c r="G195" s="1575" t="n">
        <v>0</v>
      </c>
      <c r="H195" s="1576" t="n">
        <f aca="false">(1+G195/2)^(-2*(DATE(B196,C196,20)-DateToday)/365.25)</f>
        <v>1</v>
      </c>
      <c r="I195" s="1568" t="n">
        <f aca="false">IF(Assumptions!$L$25=4,VLOOKUP($A195,'Henwood Reference'!$E$9:$R$320,10),(VLOOKUP($A195,PriceTable,2,0)+IF(BasisNumber&lt;&gt;1,VLOOKUP($A195,BasisTable,2,0),0)+I$1)/(1-I$2))</f>
        <v>40.6437433622166</v>
      </c>
      <c r="J195" s="1568" t="n">
        <f aca="false">IF(Assumptions!$L$25=4,VLOOKUP($A195,'Henwood Reference'!$E$9:$R$320,10),(VLOOKUP($A195,PriceTable,3,0)+IF(BasisNumber&lt;&gt;1,VLOOKUP($A195,BasisTable,2,0),0)+J$1)/(1-J$2))</f>
        <v>40.6437433622166</v>
      </c>
      <c r="K195" s="1568" t="n">
        <f aca="false">IF(Assumptions!$L$25=4,VLOOKUP($A195,'Henwood Reference'!$E$9:$R$320,10),(VLOOKUP($A195,PriceTable,4,0)+IF(BasisNumber&lt;&gt;1,VLOOKUP($A195,BasisTable,2,0),0)+K$1)/(1-K$2))</f>
        <v>40.6437433622166</v>
      </c>
      <c r="L195" s="1523" t="n">
        <f aca="false">IF(Assumptions!$L$25=4,VLOOKUP($A195,'Henwood Reference'!$E$9:$R$320,10),(VLOOKUP($A195,PriceTableWeekend,2,0)+IF(BasisNumber&lt;&gt;1,VLOOKUP($A195,BasisTable,2,0),0)+L$1)/(1-L$2))</f>
        <v>40.6437433622166</v>
      </c>
      <c r="M195" s="1568" t="n">
        <f aca="false">IF(Assumptions!$L$25=4,VLOOKUP($A195,'Henwood Reference'!$E$9:$R$320,10),(VLOOKUP($A195,PriceTableWeekend,3,0)+IF(BasisNumber&lt;&gt;1,VLOOKUP($A195,BasisTable,2,0),0)+M$1)/(1-M$2))</f>
        <v>40.6437433622166</v>
      </c>
      <c r="N195" s="1599" t="n">
        <f aca="false">IF(Assumptions!$L$25=4,VLOOKUP($A195,'Henwood Reference'!$E$9:$R$320,10),(VLOOKUP($A195,PriceTableWeekend,4,0)+IF(BasisNumber&lt;&gt;1,VLOOKUP($A195,BasisTable,2,0),0)+N$1)/(1-N$2))</f>
        <v>40.6437433622166</v>
      </c>
      <c r="O195" s="1568" t="n">
        <f aca="false">IF(Assumptions!$L$25=4,VLOOKUP($A195,'Henwood Reference'!$E$9:$R$320,11),(VLOOKUP($A195,PriceTableWeekend,6,0)+IF(BasisNumber&lt;&gt;1,VLOOKUP($A195,BasisTable,3,0),0)+O$1)/(1-O$2))</f>
        <v>28.7995636376289</v>
      </c>
      <c r="P195" s="1568" t="n">
        <f aca="false">IF(Assumptions!$L$25=4,VLOOKUP($A195,'Henwood Reference'!$E$9:$R$320,11),(VLOOKUP($A195,PriceTableWeekend,7,0)+IF(BasisNumber&lt;&gt;1,VLOOKUP($A195,BasisTable,3,0),0)+P$1)/(1-P$2))</f>
        <v>28.7995636376289</v>
      </c>
      <c r="Q195" s="1599" t="n">
        <f aca="false">IF(Assumptions!$L$25=4,VLOOKUP($A195,'Henwood Reference'!$E$9:$R$320,11),(VLOOKUP($A195,PriceTableWeekend,8,0)+IF(BasisNumber&lt;&gt;1,VLOOKUP($A195,BasisTable,3,0),0)+Q$1)/(1-Q$2))</f>
        <v>28.7995636376289</v>
      </c>
      <c r="R195" s="1568" t="n">
        <f aca="false">IF(Assumptions!$L$25=4,VLOOKUP($A195,'Henwood Reference'!$E$9:$R$320,11),(VLOOKUP($A195,PriceTable,6,0)+IF(BasisNumber&lt;&gt;1,VLOOKUP($A195,BasisTable,3,0),0)+R$1)/(1-R$2))</f>
        <v>28.7995636376289</v>
      </c>
      <c r="S195" s="1568" t="n">
        <f aca="false">IF(Assumptions!$L$25=4,VLOOKUP($A195,'Henwood Reference'!$E$9:$R$320,11),(VLOOKUP($A195,PriceTable,7,0)+IF(BasisNumber&lt;&gt;1,VLOOKUP($A195,BasisTable,3,0),0)+S$1)/(1-S$2))</f>
        <v>28.7995636376289</v>
      </c>
      <c r="T195" s="1600" t="n">
        <f aca="false">IF(Assumptions!$L$25=4,VLOOKUP($A195,'Henwood Reference'!$E$9:$R$320,11),(VLOOKUP($A195,PriceTable,8,0)+IF(BasisNumber&lt;&gt;1,VLOOKUP($A195,BasisTable,3,0),0)+T$1)/(1-T$2))</f>
        <v>28.7995636376289</v>
      </c>
      <c r="U195" s="1513" t="n">
        <f aca="false">VLOOKUP($A195,VolatilityTable,14)</f>
        <v>0.0949999999999999</v>
      </c>
      <c r="V195" s="1513" t="n">
        <f aca="false">VLOOKUP($A195,VolatilityTable,15)</f>
        <v>0.105</v>
      </c>
      <c r="W195" s="1514" t="n">
        <f aca="false">VLOOKUP($A195,VolatilityTable,16)</f>
        <v>0.115</v>
      </c>
      <c r="X195" s="1513" t="n">
        <f aca="false">VLOOKUP($A195,VolatilityTable,14)</f>
        <v>0.0949999999999999</v>
      </c>
      <c r="Y195" s="1513" t="n">
        <f aca="false">VLOOKUP($A195,VolatilityTable,15)</f>
        <v>0.105</v>
      </c>
      <c r="Z195" s="1514" t="n">
        <f aca="false">VLOOKUP($A195,VolatilityTable,16)</f>
        <v>0.115</v>
      </c>
      <c r="AA195" s="1513" t="n">
        <f aca="false">VLOOKUP($A195,VolatilityTable,18)</f>
        <v>0.09</v>
      </c>
      <c r="AB195" s="1513" t="n">
        <f aca="false">VLOOKUP($A195,VolatilityTable,19)</f>
        <v>0.11</v>
      </c>
      <c r="AC195" s="1514" t="n">
        <f aca="false">VLOOKUP($A195,VolatilityTable,20)</f>
        <v>0.13</v>
      </c>
      <c r="AD195" s="1513" t="n">
        <f aca="false">VLOOKUP($A195,VolatilityTable,18)</f>
        <v>0.09</v>
      </c>
      <c r="AE195" s="1513" t="n">
        <f aca="false">VLOOKUP($A195,VolatilityTable,19)</f>
        <v>0.11</v>
      </c>
      <c r="AF195" s="1514" t="n">
        <f aca="false">VLOOKUP($A195,VolatilityTable,20)</f>
        <v>0.13</v>
      </c>
      <c r="AG195" s="1513" t="n">
        <f aca="false">VLOOKUP($A195,VolatilityTable,22)</f>
        <v>-0.1</v>
      </c>
      <c r="AH195" s="1513" t="n">
        <f aca="false">VLOOKUP($A195,VolatilityTable,23)</f>
        <v>0.65</v>
      </c>
      <c r="AI195" s="1514" t="n">
        <f aca="false">VLOOKUP($A195,VolatilityTable,24)</f>
        <v>0.1</v>
      </c>
      <c r="AJ195" s="1513" t="n">
        <f aca="false">VLOOKUP($A195,VolatilityTable,22)</f>
        <v>-0.1</v>
      </c>
      <c r="AK195" s="1513" t="n">
        <f aca="false">VLOOKUP($A195,VolatilityTable,23)</f>
        <v>0.65</v>
      </c>
      <c r="AL195" s="1514" t="n">
        <f aca="false">VLOOKUP($A195,VolatilityTable,24)</f>
        <v>0.1</v>
      </c>
      <c r="AM195" s="1513" t="n">
        <f aca="false">VLOOKUP($A195,VolatilityTable,26)</f>
        <v>-0.01</v>
      </c>
      <c r="AN195" s="1513" t="n">
        <f aca="false">VLOOKUP($A195,VolatilityTable,27)</f>
        <v>0.16</v>
      </c>
      <c r="AO195" s="1514" t="n">
        <f aca="false">VLOOKUP($A195,VolatilityTable,28)</f>
        <v>0.01</v>
      </c>
      <c r="AP195" s="1513" t="n">
        <f aca="false">VLOOKUP($A195,VolatilityTable,26)</f>
        <v>-0.01</v>
      </c>
      <c r="AQ195" s="1513" t="n">
        <f aca="false">VLOOKUP($A195,VolatilityTable,27)</f>
        <v>0.16</v>
      </c>
      <c r="AR195" s="1515" t="n">
        <f aca="false">VLOOKUP($A195,VolatilityTable,28)</f>
        <v>0.01</v>
      </c>
      <c r="AS195" s="1581" t="n">
        <f aca="false">IF(CorrPeakOffPeakOverFlag,INDEX(CorrPeakOffPeakOver,C195),CorrPeakOffPeak)</f>
        <v>0.5</v>
      </c>
      <c r="AT195" s="594" t="e">
        <f aca="false">AX195-SUM(AU195:AW195)</f>
        <v>#VALUE!</v>
      </c>
      <c r="AU195" s="238" t="e">
        <f aca="false">IF(E195="",0,INT((F195-MOD(F195,7)-E195)/7)+1-IF(AW195,IF(WEEKDAY(D195)=7,1,0),0))</f>
        <v>#VALUE!</v>
      </c>
      <c r="AV195" s="238" t="e">
        <f aca="false">IF(E195="",0,INT((F195-MOD(F195-1,7)-E195)/7)+1-IF(AW195,IF(WEEKDAY(D195)=1,1,0),0))</f>
        <v>#VALUE!</v>
      </c>
      <c r="AW195" s="238" t="e">
        <f aca="false">IF(OR(E195="",D195="",D195&lt;BegDate,D195&gt;EndDate),0,1)</f>
        <v>#VALUE!</v>
      </c>
      <c r="AX195" s="238" t="n">
        <f aca="false">IF(E195="",0,F195-E195+1)</f>
        <v>31</v>
      </c>
      <c r="AY195" s="1582" t="n">
        <f aca="false">IF(E195="",0,MIN((1-(1-VLOOKUP(B195,MAIN!$AA$7:$AM$28,C195+1))*(1-VLOOKUP(B195,MAIN!$AA$33:$AM$54,C195+1))),1))</f>
        <v>0.03</v>
      </c>
      <c r="AZ195" s="1519" t="e">
        <v>#VALUE!</v>
      </c>
      <c r="BA195" s="1520" t="e">
        <v>#VALUE!</v>
      </c>
      <c r="BB195" s="1520" t="e">
        <v>#VALUE!</v>
      </c>
      <c r="BC195" s="1583" t="e">
        <v>#VALUE!</v>
      </c>
      <c r="BD195" s="1522" t="e">
        <v>#VALUE!</v>
      </c>
      <c r="BE195" s="1523" t="e">
        <v>#VALUE!</v>
      </c>
      <c r="BF195" s="1523" t="e">
        <v>#VALUE!</v>
      </c>
      <c r="BG195" s="1584" t="e">
        <v>#VALUE!</v>
      </c>
      <c r="BH195" s="1525" t="e">
        <v>#VALUE!</v>
      </c>
      <c r="BI195" s="1520" t="e">
        <v>#VALUE!</v>
      </c>
      <c r="BJ195" s="1520" t="e">
        <v>#VALUE!</v>
      </c>
      <c r="BK195" s="1583" t="e">
        <v>#VALUE!</v>
      </c>
      <c r="BL195" s="1522" t="e">
        <v>#VALUE!</v>
      </c>
      <c r="BM195" s="1523" t="e">
        <v>#VALUE!</v>
      </c>
      <c r="BN195" s="1523" t="e">
        <v>#VALUE!</v>
      </c>
      <c r="BO195" s="1523" t="e">
        <v>#VALUE!</v>
      </c>
      <c r="BP195" s="1525" t="e">
        <f aca="false">SUM(AZ195:BB195)</f>
        <v>#VALUE!</v>
      </c>
      <c r="BQ195" s="1529" t="e">
        <f aca="false">SUM(AZ195:BC195)</f>
        <v>#VALUE!</v>
      </c>
      <c r="BR195" s="1519" t="e">
        <f aca="false">SUM(BH195:BJ195)</f>
        <v>#VALUE!</v>
      </c>
      <c r="BS195" s="1529" t="e">
        <f aca="false">SUM(BH195:BK195)</f>
        <v>#VALUE!</v>
      </c>
      <c r="BT195" s="1316" t="n">
        <f aca="false">(IF(OVolType&lt;&gt;2,A195+14,IF(OptExpDateShift,ShiftBack(A195,OptExpDateShift,D194),A195))-DateToday)/365.25</f>
        <v>14.8774811772758</v>
      </c>
      <c r="BU195" s="1585" t="e">
        <f aca="false">IF(BQ195,IF(OPriceCurve,IF(OBuySell=OCallPut,I195/(1-AY195),K195/(1-AY195)),J195/(1-AY195))*BD195,0)</f>
        <v>#VALUE!</v>
      </c>
      <c r="BV195" s="1316" t="e">
        <f aca="false">IF(BQ195,IF(OPriceCurve,IF(OBuySell=OCallPut,L195/(1-AY195),N195/(1-AY195)),M195/(1-AY195))*BE195,0)</f>
        <v>#VALUE!</v>
      </c>
      <c r="BW195" s="1316" t="e">
        <f aca="false">IF(BQ195,IF(OPriceCurve,IF(OBuySell=OCallPut,O195/(1-AY195),Q195/(1-AY195)),P195/(1-AY195))*BF195,0)</f>
        <v>#VALUE!</v>
      </c>
      <c r="BX195" s="1316" t="e">
        <f aca="false">IF(BQ195,IF(OPriceCurve,IF(OBuySell=OCallPut,R195/(1-AY195),T195/(1-AY195)),S195/(1-AY195))*BG195,0)</f>
        <v>#VALUE!</v>
      </c>
      <c r="BY195" s="1316" t="e">
        <f aca="false">IF(BP195,(BU195*AZ195+BV195*BA195+BW195*BB195)/BP195,0)</f>
        <v>#VALUE!</v>
      </c>
      <c r="BZ195" s="1316" t="e">
        <f aca="false">IF(BQ195,(BY195*BP195+BX195*BC195)/BQ195,0)</f>
        <v>#VALUE!</v>
      </c>
      <c r="CA195" s="1531" t="e">
        <f aca="false">IF(BS195,IF(OPriceCurve,IF(OBuySell=OCallPut,I195/(1-AY195),K195/(1-AY195)),J195/(1-AY195))*BL195,0)</f>
        <v>#VALUE!</v>
      </c>
      <c r="CB195" s="1316" t="e">
        <f aca="false">IF(BS195,IF(OPriceCurve,IF(OBuySell=OCallPut,L195/(1-AY195),N195/(1-AY195)),M195/(1-AY195))*BM195,0)</f>
        <v>#VALUE!</v>
      </c>
      <c r="CC195" s="1316" t="e">
        <f aca="false">IF(BS195,IF(OPriceCurve,IF(OBuySell=OCallPut,O195/(1-AY195),Q195/(1-AY195)),P195/(1-AY195))*BN195,0)</f>
        <v>#VALUE!</v>
      </c>
      <c r="CD195" s="1316" t="e">
        <f aca="false">IF(BS195,IF(OPriceCurve,IF(OBuySell=OCallPut,R195/(1-AY195),T195/(1-AY195)),S195/(1-AY195))*BO195,0)</f>
        <v>#VALUE!</v>
      </c>
      <c r="CE195" s="1316" t="e">
        <f aca="false">IF(BR195,(BU195*BH195+BV195*BI195+BW195*BJ195)/BR195,0)</f>
        <v>#VALUE!</v>
      </c>
      <c r="CF195" s="1532" t="e">
        <f aca="false">IF(BS195,(CE195*BR195+CD195*BK195)/BS195,0)</f>
        <v>#VALUE!</v>
      </c>
      <c r="CG195" s="1586" t="e">
        <f aca="false">IF(OR(BQ195,BS195),IF(OVolType&lt;&gt;2,SQRT(IF(OVolOverMonthlyPeak,OVolOverMonthlyPeak,IF(OVolCurve,IF(OBuySell,U195,W195),V195))^2*(1-15/365.25/BT195)+IF(OVolOverDailyPeak,OVolOverDailyPeak,IF(OVolCurve,IF(OBuySell,AG195,AI195),AH195))^2*15/365.25/BT195),IF(OVolOverMonthlyPeak,OVolOverMonthlyPeak,IF(OVolCurve,IF(OBuySell,U195,W195),V195))),"")</f>
        <v>#VALUE!</v>
      </c>
      <c r="CH195" s="1587" t="e">
        <f aca="false">IF(OR(BQ195,BS195),IF(OVolType&lt;&gt;2,SQRT(IF(OVolOverMonthlyPeak,OVolOverMonthlyPeak,IF(OVolCurve,IF(OBuySell,X195,Z195),Y195))^2*(1-15/365.25/BT195)+IF(OVolOverDailyPeak,OVolOverDailyPeak,IF(OVolCurve,IF(OBuySell,AJ195,AL195),AK195))^2*15/365.25/BT195),IF(OVolOverMonthlyPeak,OVolOverMonthlyPeak,IF(OVolCurve,IF(OBuySell,X195,Z195),Y195))),"")</f>
        <v>#VALUE!</v>
      </c>
      <c r="CI195" s="1587" t="e">
        <f aca="false">IF(OR(BQ195,BS195),IF(OVolType&lt;&gt;2,SQRT(IF(OVolOverMonthlyPeak,OVolOverMonthlyPeak,IF(OVolCurve,IF(OBuySell,AA195,AC195),AB195))^2*(1-15/365.25/BT195)+IF(OVolOverDailyPeak,OVolOverDailyPeak,IF(OVolCurve,IF(OBuySell,AM195,AO195),AN195))^2*15/365.25/BT195),IF(OVolOverMonthlyPeak,OVolOverMonthlyPeak,IF(OVolCurve,IF(OBuySell,AA195,AC195),AB195))),"")</f>
        <v>#VALUE!</v>
      </c>
      <c r="CJ195" s="1587" t="e">
        <f aca="false">IF(BQ195,IF(BP195,SQRT(LN(1+((BU195*AZ195)^2*(EXP(CG195^2*BT195)-1)+(BV195*BA195)^2*(EXP(CH195^2*BT195)-1)+(BW195*BB195)^2*(EXP(CI195^2*BT195)-1)+2*BU195*AZ195*BV195*BA195*(EXP(CG195*CH195*BT195)-1)+2*BV195*BA195*BW195*BB195*(EXP(CH195*CI195*BT195)-1)+2*BW195*BB195*BU195*AZ195*(EXP(CI195*CG195*BT195)-1))/(BY195*BP195)^2)/BT195),0),"")</f>
        <v>#VALUE!</v>
      </c>
      <c r="CK195" s="1587" t="e">
        <f aca="false">IF(BS195,IF(BR195,SQRT(LN(1+((CA195*BH195)^2*(EXP(CG195^2*BT195)-1)+(CB195*BI195)^2*(EXP(CH195^2*BT195)-1)+(CC195*BJ195)^2*(EXP(CI195^2*BT195)-1)+2*CA195*BH195*CB195*BI195*(EXP(CG195*CH195*BT195)-1)+2*CB195*BI195*CC195*BJ195*(EXP(CH195*CI195*BT195)-1)+2*CC195*BJ195*CA195*BH195*(EXP(CI195*CG195*BT195)-1))/(CE195*BR195)^2)/BT195),0),"")</f>
        <v>#VALUE!</v>
      </c>
      <c r="CL195" s="1587" t="e">
        <f aca="false">IF(OR(BQ195,BS195),IF(OVolType&lt;&gt;2,SQRT(IF(OVolOverMonthlyOffPeak,OVolOverMonthlyOffPeak,IF(OVolCurve,IF(OBuySell,AD195,AF195),AE195))^2*(1-15/365.25/BT195)+IF(OVolOverDailyOffPeak,OVolOverDailyOffPeak,IF(OVolCurve,IF(OBuySell,AP195,AR195),AQ195))^2*15/365.25/BT195),IF(OVolOverMonthlyOffPeak,OVolOverMonthlyOffPeak,IF(OVolCurve,IF(OBuySell,AD195,AF195),AE195))),"")</f>
        <v>#VALUE!</v>
      </c>
      <c r="CM195" s="1587" t="e">
        <f aca="false">IF(BQ195,SQRT(LN(1+((BY195*BP195)^2*(EXP(CJ195^2*BT195)-1)+(BX195*BC195)^2*(EXP(CL195^2*BT195)-1)+2*BY195*BP195*BX195*BC195*(EXP(AS195*CJ195*CL195*BT195)-1))/(BY195*BP195+BX195*BC195)^2)/BT195),"")</f>
        <v>#VALUE!</v>
      </c>
      <c r="CN195" s="1588" t="e">
        <f aca="false">IF(BS195,SQRT(LN(1+((CE195*BR195)^2*(EXP(CK195^2*BT195)-1)+(CD195*BK195)^2*(EXP(CL195^2*BT195)-1)+2*CE195*BR195*CD195*BK195*(EXP(AS195*CK195*CL195*BT195)-1))/(CE195*BR195+CD195*BK195)^2)/BT195),"")</f>
        <v>#VALUE!</v>
      </c>
      <c r="CO195" s="1531" t="e">
        <f aca="false">IF(OR(BQ195,BS195),VLOOKUP(A195,GasTable,13)*HeatRatePeak*(1+VLOOKUP($B195,HeatRateDegradation,$C195+1))/1000,0)</f>
        <v>#VALUE!</v>
      </c>
      <c r="CP195" s="1316" t="e">
        <f aca="false">IF(OR(BQ195,BS195),VLOOKUP(A195,GasTable,13)*HeatRatePeak*(1+VLOOKUP($B195,HeatRateDegradation,$C195+1))/1000,0)</f>
        <v>#VALUE!</v>
      </c>
      <c r="CQ195" s="1316" t="e">
        <f aca="false">IF(OR(BQ195,BS195),VLOOKUP(A195,GasTable,13)*IF(EV195,HeatRatePeak,HeatRateOffPeak)*(1+VLOOKUP($B195,HeatRateDegradation,$C195+1))/1000,0)</f>
        <v>#VALUE!</v>
      </c>
      <c r="CR195" s="1316" t="e">
        <f aca="false">IF(OR(BQ195,BS195),VLOOKUP(A195,GasTable,13)*IF(EW195,HeatRatePeak,HeatRateOffPeak)*(1+VLOOKUP($B195,HeatRateDegradation,$C195+1))/1000,0)</f>
        <v>#VALUE!</v>
      </c>
      <c r="CS195" s="1589" t="e">
        <f aca="false">IF(BQ195,(CO195*AZ195+CP195*BA195+CQ195*BB195+CR195*BC195)/BQ195,0)</f>
        <v>#VALUE!</v>
      </c>
      <c r="CT195" s="1316" t="e">
        <f aca="false">IF(BS195,CO195,0)</f>
        <v>#VALUE!</v>
      </c>
      <c r="CU195" s="1590" t="e">
        <f aca="false">IF(OR(BQ195,BS195),VLOOKUP(A195,GasTable,14),"")</f>
        <v>#VALUE!</v>
      </c>
      <c r="CV195" s="1568" t="e">
        <f aca="false">IF(OR(BQ195,BS195),IF(CorrPowerGasOverFlag,INDEX(CorrPowerGasOver,C195),CorrPowerGas),"")</f>
        <v>#VALUE!</v>
      </c>
      <c r="CW195" s="1316" t="e">
        <f aca="false">IF(OR($BQ195,$BS195),SpreadOptPowerMargin,0)*((1+Assumptions!$C$26)^($B195-YEAR(Assumptions!$C$17)))</f>
        <v>#VALUE!</v>
      </c>
      <c r="CX195" s="1316" t="e">
        <f aca="false">IF(OR($BQ195,$BS195),SpreadOptPowerMargin,0)*((1+Assumptions!$C$26)^($B195-YEAR(Assumptions!$C$17)))</f>
        <v>#VALUE!</v>
      </c>
      <c r="CY195" s="1316" t="e">
        <f aca="false">IF(OR($BQ195,$BS195),SpreadOptPowerMargin,0)*((1+Assumptions!$C$26)^($B195-YEAR(Assumptions!$C$17)))</f>
        <v>#VALUE!</v>
      </c>
      <c r="CZ195" s="1316" t="e">
        <f aca="false">IF(OR($BQ195,$BS195),SpreadOptPowerMargin,0)*((1+Assumptions!$C$26)^($B195-YEAR(Assumptions!$C$17)))</f>
        <v>#VALUE!</v>
      </c>
      <c r="DA195" s="1591" t="e">
        <f aca="false">IF(OR(BQ195,BS195),(CW195*(AZ195+BH195)+CX195*(BA195+BI195)+CY195*(BB195+BJ195)+CZ195*(BC195+BK195))/(BQ195+BS195),0)</f>
        <v>#VALUE!</v>
      </c>
      <c r="DB195" s="1592" t="e">
        <f aca="false">IF(OR(BQ195,BS195),CG195+IF(OVolSmile,VLOOKUP(MAX(-5,CO195+CW195-BU195),IF(OVolSmile=1,VolSmileBook,VolSmileModel),2),0),"")</f>
        <v>#VALUE!</v>
      </c>
      <c r="DC195" s="1592" t="e">
        <f aca="false">IF(OR(BQ195,BS195),CH195+IF(OVolSmile,VLOOKUP(MAX(-5,CP195+CW195-BV195),IF(OVolSmile=1,VolSmileBook,VolSmileModel),2),0),"")</f>
        <v>#VALUE!</v>
      </c>
      <c r="DD195" s="1592" t="e">
        <f aca="false">IF(OR(BQ195,BS195),CI195+IF(OVolSmile,VLOOKUP(MAX(-5,CQ195+CW195-BW195),IF(OVolSmile=1,VolSmileBook,VolSmileModel),2),0),"")</f>
        <v>#VALUE!</v>
      </c>
      <c r="DE195" s="1592" t="e">
        <f aca="false">IF(OR(BQ195,BS195),CL195+IF(OVolSmile,VLOOKUP(MAX(-5,CR195+CZ195-BX195),IF(OVolSmile=1,VolSmileBook,VolSmileModel),2),0),"")</f>
        <v>#VALUE!</v>
      </c>
      <c r="DF195" s="1592" t="e">
        <f aca="false">IF(BQ195,CM195+IF(OVolSmile,VLOOKUP(MAX(-5,CS195+DA195-BZ195),IF(OVolSmile=1,VolSmileBook,VolSmileModel),2),0),"")</f>
        <v>#VALUE!</v>
      </c>
      <c r="DG195" s="1593" t="e">
        <f aca="false">IF(BS195,CN195+IF(OVolSmile,VLOOKUP(MAX(-5,CT195+DA195-CF195),IF(OVolSmile=1,VolSmileBook,VolSmileModel),2),0),"")</f>
        <v>#VALUE!</v>
      </c>
      <c r="DH195" s="1316" t="e">
        <f aca="false">IF(AND(BU195&gt;0,CO195&gt;0,DB195&gt;0,CU195&gt;0),newSPRDOPT(BU195,CO195,CW195,0,DB195,CU195,CV195,BT195*365.25,OCallPut,0),0)</f>
        <v>#VALUE!</v>
      </c>
      <c r="DI195" s="1316" t="e">
        <f aca="false">IF(AND(BV195&gt;0,CP195&gt;0,DC195&gt;0,CU195&gt;0),newSPRDOPT(BV195,CP195,CX195,0,DC195,CU195,CV195,BT195*365.25,OCallPut,0),0)</f>
        <v>#VALUE!</v>
      </c>
      <c r="DJ195" s="1316" t="e">
        <f aca="false">IF(AND(BW195&gt;0,CQ195&gt;0,DD195&gt;0,CU195&gt;0),newSPRDOPT(BW195,CQ195,CY195,0,DD195,CU195,CV195,BT195*365.25,OCallPut,0),0)</f>
        <v>#VALUE!</v>
      </c>
      <c r="DK195" s="1316" t="e">
        <f aca="false">IF(AND(BX195&gt;0,CR195&gt;0,DE195&gt;0,CU195&gt;0),newSPRDOPT(BX195,CR195,CZ195,0,DE195,CU195,CV195,BT195*365.25,OCallPut,0),0)</f>
        <v>#VALUE!</v>
      </c>
      <c r="DL195" s="1316" t="e">
        <f aca="false">IF(OVolType,IF(AND(BZ195&gt;0,CS195&gt;0,DF195&gt;0,CU195&gt;0),newSPRDOPT(BZ195,CS195,DA195,0,DF195,CU195,CV195,BT195*365.25,OCallPut,0),0),IF(BQ195,(DH195*AZ195+DI195*BA195+DJ195*BB195+DK195*BC195)/BQ195,0))</f>
        <v>#VALUE!</v>
      </c>
      <c r="DM195" s="1316"/>
      <c r="DN195" s="1316"/>
      <c r="DO195" s="1316"/>
      <c r="DP195" s="1316"/>
      <c r="DQ195" s="1316"/>
      <c r="DR195" s="1316"/>
      <c r="DS195" s="1316"/>
      <c r="DT195" s="1316"/>
      <c r="DU195" s="1316"/>
      <c r="DV195" s="1316"/>
      <c r="DW195" s="1594" t="e">
        <f aca="false">IF(AND(BW195&gt;0,CT195&gt;0,DD195&gt;0,CU195&gt;0),newSPRDOPT(BW195,CT195,CY195,0,DD195,CU195,CV195,BT195*365.25,OCallPut,0),0)</f>
        <v>#VALUE!</v>
      </c>
      <c r="DX195" s="1316" t="e">
        <f aca="false">IF(AND(BX195&gt;0,CT195&gt;0,DE195&gt;0,CU195&gt;0),newSPRDOPT(BX195,CT195,CZ195,0,DE195,CU195,CV195,BT195*365.25,OCallPut,0),0)</f>
        <v>#VALUE!</v>
      </c>
      <c r="DY195" s="1591" t="e">
        <f aca="false">IF(BS195,(DH195*BH195+DI195*BI195+DW195*BJ195+DX195*BK195)/BS195,0)</f>
        <v>#VALUE!</v>
      </c>
      <c r="DZ195" s="1551" t="e">
        <f aca="false">DH195*AZ195</f>
        <v>#VALUE!</v>
      </c>
      <c r="EA195" s="1551" t="e">
        <f aca="false">DI195*BA195</f>
        <v>#VALUE!</v>
      </c>
      <c r="EB195" s="1551" t="e">
        <f aca="false">DJ195*BB195</f>
        <v>#VALUE!</v>
      </c>
      <c r="EC195" s="1551" t="e">
        <f aca="false">DK195*BC195</f>
        <v>#VALUE!</v>
      </c>
      <c r="ED195" s="1551" t="e">
        <f aca="false">DL195*BQ195</f>
        <v>#VALUE!</v>
      </c>
      <c r="EE195" s="1595" t="e">
        <f aca="false">IF(BQ195,IF(OCallPut,IF(BU195&gt;(CO195+CW195),BU195-(CO195+CW195),0),IF((CO195+CW195)&gt;BU195,(CO195+CW195)-BU195,0))*AZ195,0)</f>
        <v>#VALUE!</v>
      </c>
      <c r="EF195" s="1596" t="e">
        <f aca="false">IF(BQ195,IF(OCallPut,IF(BV195&gt;(CP195+CX195),BV195-(CP195+CX195),0),IF((CP195+CX195)&gt;BV195,(CP195+CX195)-BV195,0))*BA195,0)</f>
        <v>#VALUE!</v>
      </c>
      <c r="EG195" s="1596" t="e">
        <f aca="false">IF(BQ195,IF(OCallPut,IF(BW195&gt;(CQ195+CY195),BW195-(CQ195+CY195),0),IF((CQ195+CY195)&gt;BW195,(CQ195+CY195)-BW195,0))*BB195,0)</f>
        <v>#VALUE!</v>
      </c>
      <c r="EH195" s="1596" t="e">
        <f aca="false">IF(BQ195,IF(OCallPut,IF(BX195&gt;(CR195+CZ195),BX195-(CR195+CZ195),0),IF((CR195+CZ195)&gt;BX195,(CR195+CZ195)-BX195,0))*BC195,0)</f>
        <v>#VALUE!</v>
      </c>
      <c r="EI195" s="1597" t="e">
        <f aca="false">IF(BQ195,IF(OVolType,IF(OCallPut,IF(BZ195&gt;(CS195+DA195),BZ195-(CS195+DA195),0),IF((CS195+DA195)&gt;BZ195,(CS195+DA195)-BZ195,0))*BQ195,SUM(EE195:EH195)),0)</f>
        <v>#VALUE!</v>
      </c>
      <c r="EJ195" s="1595" t="e">
        <f aca="false">DZ195-EE195</f>
        <v>#VALUE!</v>
      </c>
      <c r="EK195" s="1596" t="e">
        <f aca="false">EA195-EF195</f>
        <v>#VALUE!</v>
      </c>
      <c r="EL195" s="1596" t="e">
        <f aca="false">EB195-EG195</f>
        <v>#VALUE!</v>
      </c>
      <c r="EM195" s="1596" t="e">
        <f aca="false">EC195-EH195</f>
        <v>#VALUE!</v>
      </c>
      <c r="EN195" s="1597" t="e">
        <f aca="false">ED195-EI195</f>
        <v>#VALUE!</v>
      </c>
      <c r="EO195" s="1551" t="e">
        <f aca="false">DH195*BH195</f>
        <v>#VALUE!</v>
      </c>
      <c r="EP195" s="1551" t="e">
        <f aca="false">DI195*BI195</f>
        <v>#VALUE!</v>
      </c>
      <c r="EQ195" s="1551" t="e">
        <f aca="false">DW195*BJ195</f>
        <v>#VALUE!</v>
      </c>
      <c r="ER195" s="1551" t="e">
        <f aca="false">DX195*BK195</f>
        <v>#VALUE!</v>
      </c>
      <c r="ES195" s="1551" t="e">
        <f aca="false">DY195*BS195</f>
        <v>#VALUE!</v>
      </c>
      <c r="ET195" s="1566" t="e">
        <f aca="false">IF(EI195,IF(OCallPut,IF(CA195&gt;(CT195+CW195),CA195-(CT195+CW195),0),IF((CT195+CW195)&gt;CA195,(CT195+CW195)-CA195,0))*BH195,0)</f>
        <v>#VALUE!</v>
      </c>
      <c r="EU195" s="1551" t="e">
        <f aca="false">IF(EI195,IF(OCallPut,IF(CB195&gt;(CT195+CX195),CB195-(CT195+CX195),0),IF((CT195+CX195)&gt;CB195,(CT195+CX195)-CB195,0))*BI195,0)</f>
        <v>#VALUE!</v>
      </c>
      <c r="EV195" s="1551" t="e">
        <f aca="false">IF(EI195,IF(OCallPut,IF(CC195&gt;(CT195+CY195),CC195-(CT195+CY195),0),IF((CT195+CY195)&gt;CC195,(CT195+CY195)-CC195,0))*BJ195,0)</f>
        <v>#VALUE!</v>
      </c>
      <c r="EW195" s="1551" t="e">
        <f aca="false">IF(EI195,IF(OCallPut,IF(CD195&gt;(CT195+CZ195),CD195-(CT195+CZ195),0),IF((CT195+CZ195)&gt;CD195,(CT195+CZ195)-CD195,0))*BK195,0)</f>
        <v>#VALUE!</v>
      </c>
      <c r="EX195" s="1558" t="e">
        <f aca="false">IF(EI195,SUM(ET195:EW195),0)</f>
        <v>#VALUE!</v>
      </c>
      <c r="EY195" s="1551" t="e">
        <f aca="false">EO195-ET195</f>
        <v>#VALUE!</v>
      </c>
      <c r="EZ195" s="1551" t="e">
        <f aca="false">EP195-EU195</f>
        <v>#VALUE!</v>
      </c>
      <c r="FA195" s="1551" t="e">
        <f aca="false">EQ195-EV195</f>
        <v>#VALUE!</v>
      </c>
      <c r="FB195" s="1551" t="e">
        <f aca="false">ER195-EW195</f>
        <v>#VALUE!</v>
      </c>
      <c r="FC195" s="1551" t="e">
        <f aca="false">ES195-EX195</f>
        <v>#VALUE!</v>
      </c>
      <c r="FD195" s="1525" t="n">
        <f aca="false">IF(AX195,IF(VLOOKUP(C195,MAIN!$L$17:$M$28,2)="Yes",VLOOKUP(CALC!B195,MAIN!$H$17:$I$20,2),0),0)</f>
        <v>0</v>
      </c>
      <c r="FE195" s="1552" t="e">
        <f aca="false">$FD195*16*AT195*(1-$AY195)</f>
        <v>#VALUE!</v>
      </c>
      <c r="FF195" s="1553" t="e">
        <f aca="false">$FD195*16*AU195*(1-$AY195)</f>
        <v>#VALUE!</v>
      </c>
      <c r="FG195" s="1553" t="e">
        <f aca="false">$FD195*16*(AV195+AW195)*(1-$AY195)</f>
        <v>#VALUE!</v>
      </c>
      <c r="FH195" s="1554" t="n">
        <f aca="false">$FD195*8*AX195*(1-$AY195)</f>
        <v>0</v>
      </c>
      <c r="FI195" s="1555" t="n">
        <f aca="false">IF(AX195,VLOOKUP(CALC!B195,MAIN!$H$17:$K$20,4),0)</f>
        <v>0</v>
      </c>
      <c r="FJ195" s="1553" t="e">
        <f aca="false">SUM(FE195:FH195)</f>
        <v>#VALUE!</v>
      </c>
      <c r="FK195" s="1556" t="e">
        <f aca="false">FI195*FJ195</f>
        <v>#VALUE!</v>
      </c>
      <c r="FL195" s="1551" t="e">
        <f aca="false">IF($EI195&gt;0,MIN(FE195,AZ195*(1+VLOOKUP($C195,WeatherCapacityAdjustment,2))),0)</f>
        <v>#VALUE!</v>
      </c>
      <c r="FM195" s="1551" t="e">
        <f aca="false">IF($EI195&gt;0,MIN(FF195,BA195*(1+VLOOKUP($C195,WeatherCapacityAdjustment,2))),0)</f>
        <v>#VALUE!</v>
      </c>
      <c r="FN195" s="1551" t="e">
        <f aca="false">IF($EI195&gt;0,MIN(FG195,BB195*(1+VLOOKUP($C195,WeatherCapacityAdjustment,2))),0)</f>
        <v>#VALUE!</v>
      </c>
      <c r="FO195" s="1564" t="e">
        <f aca="false">IF($EI195&gt;0,MIN(FH195,BC195*(1+VLOOKUP($C195,WeatherCapacityAdjustment,3))),0)</f>
        <v>#VALUE!</v>
      </c>
      <c r="FP195" s="1551" t="e">
        <f aca="false">IF(ET195&gt;0,MIN(FE195-FL195,BH195*(1+VLOOKUP($C195,WeatherCapacityAdjustment,2))),0)</f>
        <v>#VALUE!</v>
      </c>
      <c r="FQ195" s="1551" t="e">
        <f aca="false">IF(EU195&gt;0,MIN(FF195-FM195,BI195*(1+VLOOKUP($C195,WeatherCapacityAdjustment,2))),0)</f>
        <v>#VALUE!</v>
      </c>
      <c r="FR195" s="1551" t="e">
        <f aca="false">IF(EV195&gt;0,MIN(FG195-FN195,BJ195*(1+VLOOKUP($C195,WeatherCapacityAdjustment,2))),0)</f>
        <v>#VALUE!</v>
      </c>
      <c r="FS195" s="1558" t="e">
        <f aca="false">IF(EW195&gt;0,MIN(FH195-FO195,BK195*(1+VLOOKUP($C195,WeatherCapacityAdjustment,3))),0)</f>
        <v>#VALUE!</v>
      </c>
      <c r="FT195" s="1566" t="e">
        <f aca="false">IF(AND(Assumptions!$H$71="Yes",A195&gt;=Assumptions!$H$72,A195&lt;=Assumptions!$H$73),0,IF(AND($A195&gt;=Assumptions!$C$17,$A195&lt;=Assumptions!$C$18),MAX(AZ195*(1+VLOOKUP($C195,WeatherCapacityAdjustment,2))-FL195,0),0))</f>
        <v>#VALUE!</v>
      </c>
      <c r="FU195" s="1551" t="e">
        <f aca="false">IF(AND(Assumptions!$H$71="Yes",A195&gt;=Assumptions!$H$72,A195&lt;=Assumptions!$H$73),0,IF(AND($A195&gt;=Assumptions!$C$17,$A195&lt;=Assumptions!$C$18),MAX(BA195*(1+VLOOKUP($C195,WeatherCapacityAdjustment,2))-FM195,0),0))</f>
        <v>#VALUE!</v>
      </c>
      <c r="FV195" s="1551" t="e">
        <f aca="false">IF(AND(Assumptions!$H$71="Yes",A195&gt;=Assumptions!$H$72,A195&lt;=Assumptions!$H$73),0,IF(AND($A195&gt;=Assumptions!$C$17,$A195&lt;=Assumptions!$C$18),MAX(BB195*(1+VLOOKUP($C195,WeatherCapacityAdjustment,2))-FN195,0),0))</f>
        <v>#VALUE!</v>
      </c>
      <c r="FW195" s="1564" t="e">
        <f aca="false">IF(AND(Assumptions!$H$71="Yes",A195&gt;=Assumptions!$H$72,A195&lt;=Assumptions!$H$73),0,IF(AND($A195&gt;=Assumptions!$C$17,$A195&lt;=Assumptions!$C$18),MAX(BC195*(1+VLOOKUP($C195,WeatherCapacityAdjustment,3))-FO195,0),0))</f>
        <v>#VALUE!</v>
      </c>
      <c r="FX195" s="1569" t="e">
        <f aca="false">IF(AND(Assumptions!$H$71="Yes",A195&gt;=Assumptions!$H$72,A195&lt;=Assumptions!$H$73),0,IF(ET195&gt;0,MAX(BH195*(1+VLOOKUP($C195,WeatherCapacityAdjustment,2))-FP195,0),0))</f>
        <v>#VALUE!</v>
      </c>
      <c r="FY195" s="1551" t="e">
        <f aca="false">IF(AND(Assumptions!$H$71="Yes",A195&gt;=Assumptions!$H$72,A195&lt;=Assumptions!$H$73),0,IF(EU195&gt;0,MAX(BI195*(1+VLOOKUP($C195,WeatherCapacityAdjustment,3))-FQ195,0),0))</f>
        <v>#VALUE!</v>
      </c>
      <c r="FZ195" s="1551" t="e">
        <f aca="false">IF(AND(Assumptions!$H$71="Yes",A195&gt;=Assumptions!$H$72,A195&lt;=Assumptions!$H$73),0,IF(EV195&gt;0,MAX(BJ195*(1+VLOOKUP($C195,WeatherCapacityAdjustment,2))-FR195,0),0))</f>
        <v>#VALUE!</v>
      </c>
      <c r="GA195" s="1564" t="e">
        <f aca="false">IF(AND(Assumptions!$H$71="Yes",A195&gt;=Assumptions!$H$72,A195&lt;=Assumptions!$H$73),0,IF(EW195&gt;0,MAX(BK195*(1+VLOOKUP($C195,WeatherCapacityAdjustment,2))-FS195,0),0))</f>
        <v>#VALUE!</v>
      </c>
      <c r="GB195" s="1551" t="e">
        <f aca="false">SUM(FT195:GA195)</f>
        <v>#VALUE!</v>
      </c>
      <c r="GC195" s="1563" t="e">
        <f aca="false">+IF(SUM(FT195:GA195)=0,0,(SUMPRODUCT(BU195:BX195,FT195:FW195)+SUMPRODUCT(CA195:CD195,FX195:GA195))/SUM(FT195:GA195))</f>
        <v>#VALUE!</v>
      </c>
      <c r="GD195" s="1551" t="e">
        <f aca="false">(FT195*BU195+FX195*CA195+FU195*BV195+FY195*CB195+FV195*BW195+FZ195*CC195+FW195*BX195+GA195*CD195)</f>
        <v>#VALUE!</v>
      </c>
      <c r="GE195" s="1561" t="e">
        <f aca="false">+IF(BQ195,((FL195+FM195+FT195+FU195)*HeatRatePeak/1000*(1+VLOOKUP($C195,WeatherHeatRateAdjustment,2))+(FN195+FV195)*IF(EV195&gt;0,HeatRatePeak,HeatRateOffPeak)/1000*(1+VLOOKUP($C195,WeatherHeatRateAdjustment,2))+(FO195+FW195)*IF(EW195&gt;0,HeatRatePeak,HeatRateOffPeak)/1000*(1+VLOOKUP($C195,WeatherHeatRateAdjustment,3)))*(1+VLOOKUP($B195,HeatRateDegradation,$C195+1)),0)</f>
        <v>#VALUE!</v>
      </c>
      <c r="GF195" s="1562" t="e">
        <f aca="false">IF(BQ195,((FP195+FQ195+FR195+FX195+FY195+FZ195)*HeatRatePeak/1000*(1+VLOOKUP($C195,WeatherHeatRateAdjustment,2))+(FS195+GA195)*HeatRatePeak/1000*(1+VLOOKUP($C195,WeatherHeatRateAdjustment,3)))*(1+VLOOKUP($B195,HeatRateDegradation,$C195+1)),0)</f>
        <v>#VALUE!</v>
      </c>
      <c r="GG195" s="1563" t="e">
        <f aca="false">IF(BQ195,VLOOKUP(A195,GasTable,13),0)</f>
        <v>#VALUE!</v>
      </c>
      <c r="GH195" s="1564" t="e">
        <f aca="false">(GE195+GF195)*GG195</f>
        <v>#VALUE!</v>
      </c>
      <c r="GI195" s="1569" t="e">
        <f aca="false">GB195</f>
        <v>#VALUE!</v>
      </c>
      <c r="GJ195" s="1598" t="e">
        <f aca="false">+DA195</f>
        <v>#VALUE!</v>
      </c>
      <c r="GK195" s="1558" t="e">
        <f aca="false">+GI195*GJ195</f>
        <v>#VALUE!</v>
      </c>
      <c r="GL195" s="1566" t="e">
        <f aca="false">MAX(FE195-FL195-FP195,0)</f>
        <v>#VALUE!</v>
      </c>
      <c r="GM195" s="1551" t="e">
        <f aca="false">MAX(FF195-FM195-FQ195,0)</f>
        <v>#VALUE!</v>
      </c>
      <c r="GN195" s="1551" t="e">
        <f aca="false">MAX(FG195-FN195-FR195,0)</f>
        <v>#VALUE!</v>
      </c>
      <c r="GO195" s="1564" t="e">
        <f aca="false">MAX(FH195-FO195-FS195,0)</f>
        <v>#VALUE!</v>
      </c>
      <c r="GP195" s="1551" t="e">
        <f aca="false">SUM(GL195:GO195)</f>
        <v>#VALUE!</v>
      </c>
      <c r="GQ195" s="1563" t="e">
        <f aca="false">IF(SUM(GL195:GO195)=0,0,((GL195*BU195+GM195*BV195+GN195*BW195+GO195*BX195)/SUM(GL195:GO195)))</f>
        <v>#VALUE!</v>
      </c>
      <c r="GR195" s="1558" t="e">
        <f aca="false">(GL195*BU195+GM195*BV195+GN195*BW195+GO195*BX195)</f>
        <v>#VALUE!</v>
      </c>
      <c r="GS195" s="1566" t="n">
        <f aca="false">IF($A195&gt;=BegDate,Assumptions!$C$56*24*($A196-$A195)*(1-VLOOKUP($B195,MAIN!$AA$7:$AM$28,$C195+1))*(1-VLOOKUP($B195,MAIN!$AA$33:$AM$54,$C195+1)),0)*80/168</f>
        <v>257742.857142857</v>
      </c>
      <c r="GT195" s="286" t="n">
        <f aca="false">J195</f>
        <v>40.6437433622166</v>
      </c>
      <c r="GU195" s="286" t="n">
        <f aca="false">IF($A195&gt;=BegDate,VLOOKUP($A195,GasTable,13)+Assumptions!$C$58,0)</f>
        <v>3.21140879283156</v>
      </c>
      <c r="GV195" s="286" t="n">
        <f aca="false">GU195*Assumptions!$C$57/1000</f>
        <v>23.2827137480288</v>
      </c>
      <c r="GW195" s="1558" t="n">
        <f aca="false">IF(Assumptions!$C$60="Hourly",MAX(0,GS195*(GT195-GV195)),GS195*(GT195-GV195))</f>
        <v>4474681.37570251</v>
      </c>
      <c r="GX195" s="1566" t="n">
        <f aca="false">IF($A195&gt;=BegDate,Assumptions!$C$56*24*($A196-$A195)*(1-VLOOKUP($B195,MAIN!$AA$7:$AM$28,$C195+1))*(1-VLOOKUP($B195,MAIN!$AA$33:$AM$54,$C195+1)),0)*16/168</f>
        <v>51548.5714285714</v>
      </c>
      <c r="GY195" s="286" t="n">
        <f aca="false">M195</f>
        <v>40.6437433622166</v>
      </c>
      <c r="GZ195" s="286" t="n">
        <f aca="false">IF($A195&gt;=BegDate,VLOOKUP($A195,GasTable,13)+Assumptions!$C$58,0)</f>
        <v>3.21140879283156</v>
      </c>
      <c r="HA195" s="286" t="n">
        <f aca="false">GZ195*Assumptions!$C$57/1000</f>
        <v>23.2827137480288</v>
      </c>
      <c r="HB195" s="1558" t="n">
        <f aca="false">IF(Assumptions!$C$60="Hourly",MAX(0,GX195*(GY195-HA195)),GX195*(GY195-HA195))</f>
        <v>894936.275140501</v>
      </c>
      <c r="HC195" s="1566" t="n">
        <f aca="false">IF($A195&gt;=BegDate,Assumptions!$C$56*24*($A196-$A195)*(1-VLOOKUP($B195,MAIN!$AA$7:$AM$28,$C195+1))*(1-VLOOKUP($B195,MAIN!$AA$33:$AM$54,$C195+1)),0)*16/168</f>
        <v>51548.5714285714</v>
      </c>
      <c r="HD195" s="286" t="n">
        <f aca="false">P195</f>
        <v>28.7995636376289</v>
      </c>
      <c r="HE195" s="286" t="n">
        <f aca="false">IF($A195&gt;=BegDate,VLOOKUP($A195,GasTable,13)+Assumptions!$C$58,0)</f>
        <v>3.21140879283156</v>
      </c>
      <c r="HF195" s="286" t="n">
        <f aca="false">HE195*Assumptions!$C$57/1000</f>
        <v>23.2827137480288</v>
      </c>
      <c r="HG195" s="1558" t="n">
        <f aca="false">IF(Assumptions!$C$60="Hourly",MAX(0,HC195*(HD195-HF195)),HC195*(HD195-HF195))</f>
        <v>284385.730594756</v>
      </c>
      <c r="HH195" s="1566" t="n">
        <f aca="false">IF($A195&gt;=BegDate,Assumptions!$C$56*24*($A196-$A195)*(1-VLOOKUP($B195,MAIN!$AA$7:$AM$28,$C195+1))*(1-VLOOKUP($B195,MAIN!$AA$33:$AM$54,$C195+1)),0)*56/168</f>
        <v>180420</v>
      </c>
      <c r="HI195" s="286" t="n">
        <f aca="false">S195</f>
        <v>28.7995636376289</v>
      </c>
      <c r="HJ195" s="286" t="n">
        <f aca="false">IF($A195&gt;=BegDate,VLOOKUP($A195,GasTable,13)+Assumptions!$C$58,0)</f>
        <v>3.21140879283156</v>
      </c>
      <c r="HK195" s="286" t="n">
        <f aca="false">HJ195*Assumptions!$C$57/1000</f>
        <v>23.2827137480288</v>
      </c>
      <c r="HL195" s="1558" t="n">
        <f aca="false">IF(Assumptions!$C$60="Hourly",MAX(0,HH195*(HI195-HK195)),HH195*(HI195-HK195))</f>
        <v>995350.057081647</v>
      </c>
      <c r="HM195" s="1566" t="n">
        <f aca="false">IF(AND(Assumptions!$H$71="Yes",A195&gt;=Assumptions!$H$72,A195&lt;=Assumptions!$H$73),Assumptions!$H$74*Assumptions!$C$9*1000,0)</f>
        <v>0</v>
      </c>
      <c r="HN195" s="1551"/>
      <c r="HO195" s="1563"/>
      <c r="HP195" s="1563"/>
      <c r="HQ195" s="1563"/>
      <c r="HR195" s="1563"/>
      <c r="HS195" s="1563"/>
      <c r="HT195" s="1563"/>
      <c r="HU195" s="1563"/>
      <c r="HV195" s="1563"/>
      <c r="HW195" s="1563"/>
      <c r="HX195" s="1563"/>
      <c r="HY195" s="1563"/>
      <c r="HZ195" s="1563"/>
      <c r="IA195" s="1563"/>
      <c r="IB195" s="1563"/>
      <c r="IC195" s="1563"/>
      <c r="ID195" s="1563"/>
      <c r="IE195" s="1563"/>
      <c r="IF195" s="1563"/>
      <c r="IG195" s="1563"/>
      <c r="IH195" s="1563"/>
      <c r="II195" s="1610"/>
      <c r="IJ195" s="1309"/>
      <c r="IK195" s="1309"/>
    </row>
    <row r="196" customFormat="false" ht="12.75" hidden="false" customHeight="false" outlineLevel="0" collapsed="false">
      <c r="A196" s="1571" t="n">
        <f aca="false">EOMONTH(A195,0)+1</f>
        <v>42095</v>
      </c>
      <c r="B196" s="594" t="n">
        <f aca="false">+YEAR(A196)</f>
        <v>2015</v>
      </c>
      <c r="C196" s="238" t="n">
        <f aca="false">MONTH(A196)</f>
        <v>4</v>
      </c>
      <c r="D196" s="1572" t="e">
        <f aca="false">IF(E196="","",Holiday(B196,C196))</f>
        <v>#VALUE!</v>
      </c>
      <c r="E196" s="1573" t="n">
        <f aca="false">IF(OR(BegDate&gt;=A197,EndDate&lt;A196,AND(VolumeMonthlyOverFlag,INDEX(VolumeMonthlyOver,C196)=0),NOT(INDEX(MonthKnockOutTable,C196))),"",MAX(A196,BegDate))</f>
        <v>42095</v>
      </c>
      <c r="F196" s="1574" t="n">
        <f aca="false">IF(E196="","",MIN(A197-1,EndDate))</f>
        <v>42124</v>
      </c>
      <c r="G196" s="1575" t="n">
        <v>0</v>
      </c>
      <c r="H196" s="1576" t="n">
        <f aca="false">(1+G196/2)^(-2*(DATE(B197,C197,20)-DateToday)/365.25)</f>
        <v>1</v>
      </c>
      <c r="I196" s="1568" t="n">
        <f aca="false">IF(Assumptions!$L$25=4,VLOOKUP($A196,'Henwood Reference'!$E$9:$R$320,10),(VLOOKUP($A196,PriceTable,2,0)+IF(BasisNumber&lt;&gt;1,VLOOKUP($A196,BasisTable,2,0),0)+I$1)/(1-I$2))</f>
        <v>41.77010057456</v>
      </c>
      <c r="J196" s="1568" t="n">
        <f aca="false">IF(Assumptions!$L$25=4,VLOOKUP($A196,'Henwood Reference'!$E$9:$R$320,10),(VLOOKUP($A196,PriceTable,3,0)+IF(BasisNumber&lt;&gt;1,VLOOKUP($A196,BasisTable,2,0),0)+J$1)/(1-J$2))</f>
        <v>41.77010057456</v>
      </c>
      <c r="K196" s="1568" t="n">
        <f aca="false">IF(Assumptions!$L$25=4,VLOOKUP($A196,'Henwood Reference'!$E$9:$R$320,10),(VLOOKUP($A196,PriceTable,4,0)+IF(BasisNumber&lt;&gt;1,VLOOKUP($A196,BasisTable,2,0),0)+K$1)/(1-K$2))</f>
        <v>41.77010057456</v>
      </c>
      <c r="L196" s="1523" t="n">
        <f aca="false">IF(Assumptions!$L$25=4,VLOOKUP($A196,'Henwood Reference'!$E$9:$R$320,10),(VLOOKUP($A196,PriceTableWeekend,2,0)+IF(BasisNumber&lt;&gt;1,VLOOKUP($A196,BasisTable,2,0),0)+L$1)/(1-L$2))</f>
        <v>41.77010057456</v>
      </c>
      <c r="M196" s="1568" t="n">
        <f aca="false">IF(Assumptions!$L$25=4,VLOOKUP($A196,'Henwood Reference'!$E$9:$R$320,10),(VLOOKUP($A196,PriceTableWeekend,3,0)+IF(BasisNumber&lt;&gt;1,VLOOKUP($A196,BasisTable,2,0),0)+M$1)/(1-M$2))</f>
        <v>41.77010057456</v>
      </c>
      <c r="N196" s="1599" t="n">
        <f aca="false">IF(Assumptions!$L$25=4,VLOOKUP($A196,'Henwood Reference'!$E$9:$R$320,10),(VLOOKUP($A196,PriceTableWeekend,4,0)+IF(BasisNumber&lt;&gt;1,VLOOKUP($A196,BasisTable,2,0),0)+N$1)/(1-N$2))</f>
        <v>41.77010057456</v>
      </c>
      <c r="O196" s="1568" t="n">
        <f aca="false">IF(Assumptions!$L$25=4,VLOOKUP($A196,'Henwood Reference'!$E$9:$R$320,11),(VLOOKUP($A196,PriceTableWeekend,6,0)+IF(BasisNumber&lt;&gt;1,VLOOKUP($A196,BasisTable,3,0),0)+O$1)/(1-O$2))</f>
        <v>27.1938081231744</v>
      </c>
      <c r="P196" s="1568" t="n">
        <f aca="false">IF(Assumptions!$L$25=4,VLOOKUP($A196,'Henwood Reference'!$E$9:$R$320,11),(VLOOKUP($A196,PriceTableWeekend,7,0)+IF(BasisNumber&lt;&gt;1,VLOOKUP($A196,BasisTable,3,0),0)+P$1)/(1-P$2))</f>
        <v>27.1938081231744</v>
      </c>
      <c r="Q196" s="1599" t="n">
        <f aca="false">IF(Assumptions!$L$25=4,VLOOKUP($A196,'Henwood Reference'!$E$9:$R$320,11),(VLOOKUP($A196,PriceTableWeekend,8,0)+IF(BasisNumber&lt;&gt;1,VLOOKUP($A196,BasisTable,3,0),0)+Q$1)/(1-Q$2))</f>
        <v>27.1938081231744</v>
      </c>
      <c r="R196" s="1568" t="n">
        <f aca="false">IF(Assumptions!$L$25=4,VLOOKUP($A196,'Henwood Reference'!$E$9:$R$320,11),(VLOOKUP($A196,PriceTable,6,0)+IF(BasisNumber&lt;&gt;1,VLOOKUP($A196,BasisTable,3,0),0)+R$1)/(1-R$2))</f>
        <v>27.1938081231744</v>
      </c>
      <c r="S196" s="1568" t="n">
        <f aca="false">IF(Assumptions!$L$25=4,VLOOKUP($A196,'Henwood Reference'!$E$9:$R$320,11),(VLOOKUP($A196,PriceTable,7,0)+IF(BasisNumber&lt;&gt;1,VLOOKUP($A196,BasisTable,3,0),0)+S$1)/(1-S$2))</f>
        <v>27.1938081231744</v>
      </c>
      <c r="T196" s="1600" t="n">
        <f aca="false">IF(Assumptions!$L$25=4,VLOOKUP($A196,'Henwood Reference'!$E$9:$R$320,11),(VLOOKUP($A196,PriceTable,8,0)+IF(BasisNumber&lt;&gt;1,VLOOKUP($A196,BasisTable,3,0),0)+T$1)/(1-T$2))</f>
        <v>27.1938081231744</v>
      </c>
      <c r="U196" s="1513" t="n">
        <f aca="false">VLOOKUP($A196,VolatilityTable,14)</f>
        <v>0.0949999999999999</v>
      </c>
      <c r="V196" s="1513" t="n">
        <f aca="false">VLOOKUP($A196,VolatilityTable,15)</f>
        <v>0.105</v>
      </c>
      <c r="W196" s="1514" t="n">
        <f aca="false">VLOOKUP($A196,VolatilityTable,16)</f>
        <v>0.115</v>
      </c>
      <c r="X196" s="1513" t="n">
        <f aca="false">VLOOKUP($A196,VolatilityTable,14)</f>
        <v>0.0949999999999999</v>
      </c>
      <c r="Y196" s="1513" t="n">
        <f aca="false">VLOOKUP($A196,VolatilityTable,15)</f>
        <v>0.105</v>
      </c>
      <c r="Z196" s="1514" t="n">
        <f aca="false">VLOOKUP($A196,VolatilityTable,16)</f>
        <v>0.115</v>
      </c>
      <c r="AA196" s="1513" t="n">
        <f aca="false">VLOOKUP($A196,VolatilityTable,18)</f>
        <v>0.09</v>
      </c>
      <c r="AB196" s="1513" t="n">
        <f aca="false">VLOOKUP($A196,VolatilityTable,19)</f>
        <v>0.11</v>
      </c>
      <c r="AC196" s="1514" t="n">
        <f aca="false">VLOOKUP($A196,VolatilityTable,20)</f>
        <v>0.13</v>
      </c>
      <c r="AD196" s="1513" t="n">
        <f aca="false">VLOOKUP($A196,VolatilityTable,18)</f>
        <v>0.09</v>
      </c>
      <c r="AE196" s="1513" t="n">
        <f aca="false">VLOOKUP($A196,VolatilityTable,19)</f>
        <v>0.11</v>
      </c>
      <c r="AF196" s="1514" t="n">
        <f aca="false">VLOOKUP($A196,VolatilityTable,20)</f>
        <v>0.13</v>
      </c>
      <c r="AG196" s="1513" t="n">
        <f aca="false">VLOOKUP($A196,VolatilityTable,22)</f>
        <v>-0.1</v>
      </c>
      <c r="AH196" s="1513" t="n">
        <f aca="false">VLOOKUP($A196,VolatilityTable,23)</f>
        <v>0.65</v>
      </c>
      <c r="AI196" s="1514" t="n">
        <f aca="false">VLOOKUP($A196,VolatilityTable,24)</f>
        <v>0.1</v>
      </c>
      <c r="AJ196" s="1513" t="n">
        <f aca="false">VLOOKUP($A196,VolatilityTable,22)</f>
        <v>-0.1</v>
      </c>
      <c r="AK196" s="1513" t="n">
        <f aca="false">VLOOKUP($A196,VolatilityTable,23)</f>
        <v>0.65</v>
      </c>
      <c r="AL196" s="1514" t="n">
        <f aca="false">VLOOKUP($A196,VolatilityTable,24)</f>
        <v>0.1</v>
      </c>
      <c r="AM196" s="1513" t="n">
        <f aca="false">VLOOKUP($A196,VolatilityTable,26)</f>
        <v>-0.01</v>
      </c>
      <c r="AN196" s="1513" t="n">
        <f aca="false">VLOOKUP($A196,VolatilityTable,27)</f>
        <v>0.16</v>
      </c>
      <c r="AO196" s="1514" t="n">
        <f aca="false">VLOOKUP($A196,VolatilityTable,28)</f>
        <v>0.01</v>
      </c>
      <c r="AP196" s="1513" t="n">
        <f aca="false">VLOOKUP($A196,VolatilityTable,26)</f>
        <v>-0.01</v>
      </c>
      <c r="AQ196" s="1513" t="n">
        <f aca="false">VLOOKUP($A196,VolatilityTable,27)</f>
        <v>0.16</v>
      </c>
      <c r="AR196" s="1515" t="n">
        <f aca="false">VLOOKUP($A196,VolatilityTable,28)</f>
        <v>0.01</v>
      </c>
      <c r="AS196" s="1581" t="n">
        <f aca="false">IF(CorrPeakOffPeakOverFlag,INDEX(CorrPeakOffPeakOver,C196),CorrPeakOffPeak)</f>
        <v>0.5</v>
      </c>
      <c r="AT196" s="594" t="e">
        <f aca="false">AX196-SUM(AU196:AW196)</f>
        <v>#VALUE!</v>
      </c>
      <c r="AU196" s="238" t="e">
        <f aca="false">IF(E196="",0,INT((F196-MOD(F196,7)-E196)/7)+1-IF(AW196,IF(WEEKDAY(D196)=7,1,0),0))</f>
        <v>#VALUE!</v>
      </c>
      <c r="AV196" s="238" t="e">
        <f aca="false">IF(E196="",0,INT((F196-MOD(F196-1,7)-E196)/7)+1-IF(AW196,IF(WEEKDAY(D196)=1,1,0),0))</f>
        <v>#VALUE!</v>
      </c>
      <c r="AW196" s="238" t="e">
        <f aca="false">IF(OR(E196="",D196="",D196&lt;BegDate,D196&gt;EndDate),0,1)</f>
        <v>#VALUE!</v>
      </c>
      <c r="AX196" s="238" t="n">
        <f aca="false">IF(E196="",0,F196-E196+1)</f>
        <v>30</v>
      </c>
      <c r="AY196" s="1582" t="n">
        <f aca="false">IF(E196="",0,MIN((1-(1-VLOOKUP(B196,MAIN!$AA$7:$AM$28,C196+1))*(1-VLOOKUP(B196,MAIN!$AA$33:$AM$54,C196+1))),1))</f>
        <v>0.709</v>
      </c>
      <c r="AZ196" s="1519" t="e">
        <v>#VALUE!</v>
      </c>
      <c r="BA196" s="1520" t="e">
        <v>#VALUE!</v>
      </c>
      <c r="BB196" s="1520" t="e">
        <v>#VALUE!</v>
      </c>
      <c r="BC196" s="1583" t="e">
        <v>#VALUE!</v>
      </c>
      <c r="BD196" s="1522" t="e">
        <v>#VALUE!</v>
      </c>
      <c r="BE196" s="1523" t="e">
        <v>#VALUE!</v>
      </c>
      <c r="BF196" s="1523" t="e">
        <v>#VALUE!</v>
      </c>
      <c r="BG196" s="1584" t="e">
        <v>#VALUE!</v>
      </c>
      <c r="BH196" s="1525" t="e">
        <v>#VALUE!</v>
      </c>
      <c r="BI196" s="1520" t="e">
        <v>#VALUE!</v>
      </c>
      <c r="BJ196" s="1520" t="e">
        <v>#VALUE!</v>
      </c>
      <c r="BK196" s="1583" t="e">
        <v>#VALUE!</v>
      </c>
      <c r="BL196" s="1522" t="e">
        <v>#VALUE!</v>
      </c>
      <c r="BM196" s="1523" t="e">
        <v>#VALUE!</v>
      </c>
      <c r="BN196" s="1523" t="e">
        <v>#VALUE!</v>
      </c>
      <c r="BO196" s="1523" t="e">
        <v>#VALUE!</v>
      </c>
      <c r="BP196" s="1525" t="e">
        <f aca="false">SUM(AZ196:BB196)</f>
        <v>#VALUE!</v>
      </c>
      <c r="BQ196" s="1529" t="e">
        <f aca="false">SUM(AZ196:BC196)</f>
        <v>#VALUE!</v>
      </c>
      <c r="BR196" s="1519" t="e">
        <f aca="false">SUM(BH196:BJ196)</f>
        <v>#VALUE!</v>
      </c>
      <c r="BS196" s="1529" t="e">
        <f aca="false">SUM(BH196:BK196)</f>
        <v>#VALUE!</v>
      </c>
      <c r="BT196" s="1316" t="n">
        <f aca="false">(IF(OVolType&lt;&gt;2,A196+14,IF(OptExpDateShift,ShiftBack(A196,OptExpDateShift,D195),A196))-DateToday)/365.25</f>
        <v>14.9623545516769</v>
      </c>
      <c r="BU196" s="1585" t="e">
        <f aca="false">IF(BQ196,IF(OPriceCurve,IF(OBuySell=OCallPut,I196/(1-AY196),K196/(1-AY196)),J196/(1-AY196))*BD196,0)</f>
        <v>#VALUE!</v>
      </c>
      <c r="BV196" s="1316" t="e">
        <f aca="false">IF(BQ196,IF(OPriceCurve,IF(OBuySell=OCallPut,L196/(1-AY196),N196/(1-AY196)),M196/(1-AY196))*BE196,0)</f>
        <v>#VALUE!</v>
      </c>
      <c r="BW196" s="1316" t="e">
        <f aca="false">IF(BQ196,IF(OPriceCurve,IF(OBuySell=OCallPut,O196/(1-AY196),Q196/(1-AY196)),P196/(1-AY196))*BF196,0)</f>
        <v>#VALUE!</v>
      </c>
      <c r="BX196" s="1316" t="e">
        <f aca="false">IF(BQ196,IF(OPriceCurve,IF(OBuySell=OCallPut,R196/(1-AY196),T196/(1-AY196)),S196/(1-AY196))*BG196,0)</f>
        <v>#VALUE!</v>
      </c>
      <c r="BY196" s="1316" t="e">
        <f aca="false">IF(BP196,(BU196*AZ196+BV196*BA196+BW196*BB196)/BP196,0)</f>
        <v>#VALUE!</v>
      </c>
      <c r="BZ196" s="1316" t="e">
        <f aca="false">IF(BQ196,(BY196*BP196+BX196*BC196)/BQ196,0)</f>
        <v>#VALUE!</v>
      </c>
      <c r="CA196" s="1531" t="e">
        <f aca="false">IF(BS196,IF(OPriceCurve,IF(OBuySell=OCallPut,I196/(1-AY196),K196/(1-AY196)),J196/(1-AY196))*BL196,0)</f>
        <v>#VALUE!</v>
      </c>
      <c r="CB196" s="1316" t="e">
        <f aca="false">IF(BS196,IF(OPriceCurve,IF(OBuySell=OCallPut,L196/(1-AY196),N196/(1-AY196)),M196/(1-AY196))*BM196,0)</f>
        <v>#VALUE!</v>
      </c>
      <c r="CC196" s="1316" t="e">
        <f aca="false">IF(BS196,IF(OPriceCurve,IF(OBuySell=OCallPut,O196/(1-AY196),Q196/(1-AY196)),P196/(1-AY196))*BN196,0)</f>
        <v>#VALUE!</v>
      </c>
      <c r="CD196" s="1316" t="e">
        <f aca="false">IF(BS196,IF(OPriceCurve,IF(OBuySell=OCallPut,R196/(1-AY196),T196/(1-AY196)),S196/(1-AY196))*BO196,0)</f>
        <v>#VALUE!</v>
      </c>
      <c r="CE196" s="1316" t="e">
        <f aca="false">IF(BR196,(BU196*BH196+BV196*BI196+BW196*BJ196)/BR196,0)</f>
        <v>#VALUE!</v>
      </c>
      <c r="CF196" s="1532" t="e">
        <f aca="false">IF(BS196,(CE196*BR196+CD196*BK196)/BS196,0)</f>
        <v>#VALUE!</v>
      </c>
      <c r="CG196" s="1586" t="e">
        <f aca="false">IF(OR(BQ196,BS196),IF(OVolType&lt;&gt;2,SQRT(IF(OVolOverMonthlyPeak,OVolOverMonthlyPeak,IF(OVolCurve,IF(OBuySell,U196,W196),V196))^2*(1-15/365.25/BT196)+IF(OVolOverDailyPeak,OVolOverDailyPeak,IF(OVolCurve,IF(OBuySell,AG196,AI196),AH196))^2*15/365.25/BT196),IF(OVolOverMonthlyPeak,OVolOverMonthlyPeak,IF(OVolCurve,IF(OBuySell,U196,W196),V196))),"")</f>
        <v>#VALUE!</v>
      </c>
      <c r="CH196" s="1587" t="e">
        <f aca="false">IF(OR(BQ196,BS196),IF(OVolType&lt;&gt;2,SQRT(IF(OVolOverMonthlyPeak,OVolOverMonthlyPeak,IF(OVolCurve,IF(OBuySell,X196,Z196),Y196))^2*(1-15/365.25/BT196)+IF(OVolOverDailyPeak,OVolOverDailyPeak,IF(OVolCurve,IF(OBuySell,AJ196,AL196),AK196))^2*15/365.25/BT196),IF(OVolOverMonthlyPeak,OVolOverMonthlyPeak,IF(OVolCurve,IF(OBuySell,X196,Z196),Y196))),"")</f>
        <v>#VALUE!</v>
      </c>
      <c r="CI196" s="1587" t="e">
        <f aca="false">IF(OR(BQ196,BS196),IF(OVolType&lt;&gt;2,SQRT(IF(OVolOverMonthlyPeak,OVolOverMonthlyPeak,IF(OVolCurve,IF(OBuySell,AA196,AC196),AB196))^2*(1-15/365.25/BT196)+IF(OVolOverDailyPeak,OVolOverDailyPeak,IF(OVolCurve,IF(OBuySell,AM196,AO196),AN196))^2*15/365.25/BT196),IF(OVolOverMonthlyPeak,OVolOverMonthlyPeak,IF(OVolCurve,IF(OBuySell,AA196,AC196),AB196))),"")</f>
        <v>#VALUE!</v>
      </c>
      <c r="CJ196" s="1587" t="e">
        <f aca="false">IF(BQ196,IF(BP196,SQRT(LN(1+((BU196*AZ196)^2*(EXP(CG196^2*BT196)-1)+(BV196*BA196)^2*(EXP(CH196^2*BT196)-1)+(BW196*BB196)^2*(EXP(CI196^2*BT196)-1)+2*BU196*AZ196*BV196*BA196*(EXP(CG196*CH196*BT196)-1)+2*BV196*BA196*BW196*BB196*(EXP(CH196*CI196*BT196)-1)+2*BW196*BB196*BU196*AZ196*(EXP(CI196*CG196*BT196)-1))/(BY196*BP196)^2)/BT196),0),"")</f>
        <v>#VALUE!</v>
      </c>
      <c r="CK196" s="1587" t="e">
        <f aca="false">IF(BS196,IF(BR196,SQRT(LN(1+((CA196*BH196)^2*(EXP(CG196^2*BT196)-1)+(CB196*BI196)^2*(EXP(CH196^2*BT196)-1)+(CC196*BJ196)^2*(EXP(CI196^2*BT196)-1)+2*CA196*BH196*CB196*BI196*(EXP(CG196*CH196*BT196)-1)+2*CB196*BI196*CC196*BJ196*(EXP(CH196*CI196*BT196)-1)+2*CC196*BJ196*CA196*BH196*(EXP(CI196*CG196*BT196)-1))/(CE196*BR196)^2)/BT196),0),"")</f>
        <v>#VALUE!</v>
      </c>
      <c r="CL196" s="1587" t="e">
        <f aca="false">IF(OR(BQ196,BS196),IF(OVolType&lt;&gt;2,SQRT(IF(OVolOverMonthlyOffPeak,OVolOverMonthlyOffPeak,IF(OVolCurve,IF(OBuySell,AD196,AF196),AE196))^2*(1-15/365.25/BT196)+IF(OVolOverDailyOffPeak,OVolOverDailyOffPeak,IF(OVolCurve,IF(OBuySell,AP196,AR196),AQ196))^2*15/365.25/BT196),IF(OVolOverMonthlyOffPeak,OVolOverMonthlyOffPeak,IF(OVolCurve,IF(OBuySell,AD196,AF196),AE196))),"")</f>
        <v>#VALUE!</v>
      </c>
      <c r="CM196" s="1587" t="e">
        <f aca="false">IF(BQ196,SQRT(LN(1+((BY196*BP196)^2*(EXP(CJ196^2*BT196)-1)+(BX196*BC196)^2*(EXP(CL196^2*BT196)-1)+2*BY196*BP196*BX196*BC196*(EXP(AS196*CJ196*CL196*BT196)-1))/(BY196*BP196+BX196*BC196)^2)/BT196),"")</f>
        <v>#VALUE!</v>
      </c>
      <c r="CN196" s="1588" t="e">
        <f aca="false">IF(BS196,SQRT(LN(1+((CE196*BR196)^2*(EXP(CK196^2*BT196)-1)+(CD196*BK196)^2*(EXP(CL196^2*BT196)-1)+2*CE196*BR196*CD196*BK196*(EXP(AS196*CK196*CL196*BT196)-1))/(CE196*BR196+CD196*BK196)^2)/BT196),"")</f>
        <v>#VALUE!</v>
      </c>
      <c r="CO196" s="1531" t="e">
        <f aca="false">IF(OR(BQ196,BS196),VLOOKUP(A196,GasTable,13)*HeatRatePeak*(1+VLOOKUP($B196,HeatRateDegradation,$C196+1))/1000,0)</f>
        <v>#VALUE!</v>
      </c>
      <c r="CP196" s="1316" t="e">
        <f aca="false">IF(OR(BQ196,BS196),VLOOKUP(A196,GasTable,13)*HeatRatePeak*(1+VLOOKUP($B196,HeatRateDegradation,$C196+1))/1000,0)</f>
        <v>#VALUE!</v>
      </c>
      <c r="CQ196" s="1316" t="e">
        <f aca="false">IF(OR(BQ196,BS196),VLOOKUP(A196,GasTable,13)*IF(EV196,HeatRatePeak,HeatRateOffPeak)*(1+VLOOKUP($B196,HeatRateDegradation,$C196+1))/1000,0)</f>
        <v>#VALUE!</v>
      </c>
      <c r="CR196" s="1316" t="e">
        <f aca="false">IF(OR(BQ196,BS196),VLOOKUP(A196,GasTable,13)*IF(EW196,HeatRatePeak,HeatRateOffPeak)*(1+VLOOKUP($B196,HeatRateDegradation,$C196+1))/1000,0)</f>
        <v>#VALUE!</v>
      </c>
      <c r="CS196" s="1589" t="e">
        <f aca="false">IF(BQ196,(CO196*AZ196+CP196*BA196+CQ196*BB196+CR196*BC196)/BQ196,0)</f>
        <v>#VALUE!</v>
      </c>
      <c r="CT196" s="1316" t="e">
        <f aca="false">IF(BS196,CO196,0)</f>
        <v>#VALUE!</v>
      </c>
      <c r="CU196" s="1590" t="e">
        <f aca="false">IF(OR(BQ196,BS196),VLOOKUP(A196,GasTable,14),"")</f>
        <v>#VALUE!</v>
      </c>
      <c r="CV196" s="1568" t="e">
        <f aca="false">IF(OR(BQ196,BS196),IF(CorrPowerGasOverFlag,INDEX(CorrPowerGasOver,C196),CorrPowerGas),"")</f>
        <v>#VALUE!</v>
      </c>
      <c r="CW196" s="1316" t="e">
        <f aca="false">IF(OR($BQ196,$BS196),SpreadOptPowerMargin,0)*((1+Assumptions!$C$26)^($B196-YEAR(Assumptions!$C$17)))</f>
        <v>#VALUE!</v>
      </c>
      <c r="CX196" s="1316" t="e">
        <f aca="false">IF(OR($BQ196,$BS196),SpreadOptPowerMargin,0)*((1+Assumptions!$C$26)^($B196-YEAR(Assumptions!$C$17)))</f>
        <v>#VALUE!</v>
      </c>
      <c r="CY196" s="1316" t="e">
        <f aca="false">IF(OR($BQ196,$BS196),SpreadOptPowerMargin,0)*((1+Assumptions!$C$26)^($B196-YEAR(Assumptions!$C$17)))</f>
        <v>#VALUE!</v>
      </c>
      <c r="CZ196" s="1316" t="e">
        <f aca="false">IF(OR($BQ196,$BS196),SpreadOptPowerMargin,0)*((1+Assumptions!$C$26)^($B196-YEAR(Assumptions!$C$17)))</f>
        <v>#VALUE!</v>
      </c>
      <c r="DA196" s="1591" t="e">
        <f aca="false">IF(OR(BQ196,BS196),(CW196*(AZ196+BH196)+CX196*(BA196+BI196)+CY196*(BB196+BJ196)+CZ196*(BC196+BK196))/(BQ196+BS196),0)</f>
        <v>#VALUE!</v>
      </c>
      <c r="DB196" s="1592" t="e">
        <f aca="false">IF(OR(BQ196,BS196),CG196+IF(OVolSmile,VLOOKUP(MAX(-5,CO196+CW196-BU196),IF(OVolSmile=1,VolSmileBook,VolSmileModel),2),0),"")</f>
        <v>#VALUE!</v>
      </c>
      <c r="DC196" s="1592" t="e">
        <f aca="false">IF(OR(BQ196,BS196),CH196+IF(OVolSmile,VLOOKUP(MAX(-5,CP196+CW196-BV196),IF(OVolSmile=1,VolSmileBook,VolSmileModel),2),0),"")</f>
        <v>#VALUE!</v>
      </c>
      <c r="DD196" s="1592" t="e">
        <f aca="false">IF(OR(BQ196,BS196),CI196+IF(OVolSmile,VLOOKUP(MAX(-5,CQ196+CW196-BW196),IF(OVolSmile=1,VolSmileBook,VolSmileModel),2),0),"")</f>
        <v>#VALUE!</v>
      </c>
      <c r="DE196" s="1592" t="e">
        <f aca="false">IF(OR(BQ196,BS196),CL196+IF(OVolSmile,VLOOKUP(MAX(-5,CR196+CZ196-BX196),IF(OVolSmile=1,VolSmileBook,VolSmileModel),2),0),"")</f>
        <v>#VALUE!</v>
      </c>
      <c r="DF196" s="1592" t="e">
        <f aca="false">IF(BQ196,CM196+IF(OVolSmile,VLOOKUP(MAX(-5,CS196+DA196-BZ196),IF(OVolSmile=1,VolSmileBook,VolSmileModel),2),0),"")</f>
        <v>#VALUE!</v>
      </c>
      <c r="DG196" s="1593" t="e">
        <f aca="false">IF(BS196,CN196+IF(OVolSmile,VLOOKUP(MAX(-5,CT196+DA196-CF196),IF(OVolSmile=1,VolSmileBook,VolSmileModel),2),0),"")</f>
        <v>#VALUE!</v>
      </c>
      <c r="DH196" s="1316" t="e">
        <f aca="false">IF(AND(BU196&gt;0,CO196&gt;0,DB196&gt;0,CU196&gt;0),newSPRDOPT(BU196,CO196,CW196,0,DB196,CU196,CV196,BT196*365.25,OCallPut,0),0)</f>
        <v>#VALUE!</v>
      </c>
      <c r="DI196" s="1316" t="e">
        <f aca="false">IF(AND(BV196&gt;0,CP196&gt;0,DC196&gt;0,CU196&gt;0),newSPRDOPT(BV196,CP196,CX196,0,DC196,CU196,CV196,BT196*365.25,OCallPut,0),0)</f>
        <v>#VALUE!</v>
      </c>
      <c r="DJ196" s="1316" t="e">
        <f aca="false">IF(AND(BW196&gt;0,CQ196&gt;0,DD196&gt;0,CU196&gt;0),newSPRDOPT(BW196,CQ196,CY196,0,DD196,CU196,CV196,BT196*365.25,OCallPut,0),0)</f>
        <v>#VALUE!</v>
      </c>
      <c r="DK196" s="1316" t="e">
        <f aca="false">IF(AND(BX196&gt;0,CR196&gt;0,DE196&gt;0,CU196&gt;0),newSPRDOPT(BX196,CR196,CZ196,0,DE196,CU196,CV196,BT196*365.25,OCallPut,0),0)</f>
        <v>#VALUE!</v>
      </c>
      <c r="DL196" s="1316" t="e">
        <f aca="false">IF(OVolType,IF(AND(BZ196&gt;0,CS196&gt;0,DF196&gt;0,CU196&gt;0),newSPRDOPT(BZ196,CS196,DA196,0,DF196,CU196,CV196,BT196*365.25,OCallPut,0),0),IF(BQ196,(DH196*AZ196+DI196*BA196+DJ196*BB196+DK196*BC196)/BQ196,0))</f>
        <v>#VALUE!</v>
      </c>
      <c r="DM196" s="1316"/>
      <c r="DN196" s="1316"/>
      <c r="DO196" s="1316"/>
      <c r="DP196" s="1316"/>
      <c r="DQ196" s="1316"/>
      <c r="DR196" s="1316"/>
      <c r="DS196" s="1316"/>
      <c r="DT196" s="1316"/>
      <c r="DU196" s="1316"/>
      <c r="DV196" s="1316"/>
      <c r="DW196" s="1594" t="e">
        <f aca="false">IF(AND(BW196&gt;0,CT196&gt;0,DD196&gt;0,CU196&gt;0),newSPRDOPT(BW196,CT196,CY196,0,DD196,CU196,CV196,BT196*365.25,OCallPut,0),0)</f>
        <v>#VALUE!</v>
      </c>
      <c r="DX196" s="1316" t="e">
        <f aca="false">IF(AND(BX196&gt;0,CT196&gt;0,DE196&gt;0,CU196&gt;0),newSPRDOPT(BX196,CT196,CZ196,0,DE196,CU196,CV196,BT196*365.25,OCallPut,0),0)</f>
        <v>#VALUE!</v>
      </c>
      <c r="DY196" s="1591" t="e">
        <f aca="false">IF(BS196,(DH196*BH196+DI196*BI196+DW196*BJ196+DX196*BK196)/BS196,0)</f>
        <v>#VALUE!</v>
      </c>
      <c r="DZ196" s="1551" t="e">
        <f aca="false">DH196*AZ196</f>
        <v>#VALUE!</v>
      </c>
      <c r="EA196" s="1551" t="e">
        <f aca="false">DI196*BA196</f>
        <v>#VALUE!</v>
      </c>
      <c r="EB196" s="1551" t="e">
        <f aca="false">DJ196*BB196</f>
        <v>#VALUE!</v>
      </c>
      <c r="EC196" s="1551" t="e">
        <f aca="false">DK196*BC196</f>
        <v>#VALUE!</v>
      </c>
      <c r="ED196" s="1551" t="e">
        <f aca="false">DL196*BQ196</f>
        <v>#VALUE!</v>
      </c>
      <c r="EE196" s="1595" t="e">
        <f aca="false">IF(BQ196,IF(OCallPut,IF(BU196&gt;(CO196+CW196),BU196-(CO196+CW196),0),IF((CO196+CW196)&gt;BU196,(CO196+CW196)-BU196,0))*AZ196,0)</f>
        <v>#VALUE!</v>
      </c>
      <c r="EF196" s="1596" t="e">
        <f aca="false">IF(BQ196,IF(OCallPut,IF(BV196&gt;(CP196+CX196),BV196-(CP196+CX196),0),IF((CP196+CX196)&gt;BV196,(CP196+CX196)-BV196,0))*BA196,0)</f>
        <v>#VALUE!</v>
      </c>
      <c r="EG196" s="1596" t="e">
        <f aca="false">IF(BQ196,IF(OCallPut,IF(BW196&gt;(CQ196+CY196),BW196-(CQ196+CY196),0),IF((CQ196+CY196)&gt;BW196,(CQ196+CY196)-BW196,0))*BB196,0)</f>
        <v>#VALUE!</v>
      </c>
      <c r="EH196" s="1596" t="e">
        <f aca="false">IF(BQ196,IF(OCallPut,IF(BX196&gt;(CR196+CZ196),BX196-(CR196+CZ196),0),IF((CR196+CZ196)&gt;BX196,(CR196+CZ196)-BX196,0))*BC196,0)</f>
        <v>#VALUE!</v>
      </c>
      <c r="EI196" s="1597" t="e">
        <f aca="false">IF(BQ196,IF(OVolType,IF(OCallPut,IF(BZ196&gt;(CS196+DA196),BZ196-(CS196+DA196),0),IF((CS196+DA196)&gt;BZ196,(CS196+DA196)-BZ196,0))*BQ196,SUM(EE196:EH196)),0)</f>
        <v>#VALUE!</v>
      </c>
      <c r="EJ196" s="1595" t="e">
        <f aca="false">DZ196-EE196</f>
        <v>#VALUE!</v>
      </c>
      <c r="EK196" s="1596" t="e">
        <f aca="false">EA196-EF196</f>
        <v>#VALUE!</v>
      </c>
      <c r="EL196" s="1596" t="e">
        <f aca="false">EB196-EG196</f>
        <v>#VALUE!</v>
      </c>
      <c r="EM196" s="1596" t="e">
        <f aca="false">EC196-EH196</f>
        <v>#VALUE!</v>
      </c>
      <c r="EN196" s="1597" t="e">
        <f aca="false">ED196-EI196</f>
        <v>#VALUE!</v>
      </c>
      <c r="EO196" s="1551" t="e">
        <f aca="false">DH196*BH196</f>
        <v>#VALUE!</v>
      </c>
      <c r="EP196" s="1551" t="e">
        <f aca="false">DI196*BI196</f>
        <v>#VALUE!</v>
      </c>
      <c r="EQ196" s="1551" t="e">
        <f aca="false">DW196*BJ196</f>
        <v>#VALUE!</v>
      </c>
      <c r="ER196" s="1551" t="e">
        <f aca="false">DX196*BK196</f>
        <v>#VALUE!</v>
      </c>
      <c r="ES196" s="1551" t="e">
        <f aca="false">DY196*BS196</f>
        <v>#VALUE!</v>
      </c>
      <c r="ET196" s="1566" t="e">
        <f aca="false">IF(EI196,IF(OCallPut,IF(CA196&gt;(CT196+CW196),CA196-(CT196+CW196),0),IF((CT196+CW196)&gt;CA196,(CT196+CW196)-CA196,0))*BH196,0)</f>
        <v>#VALUE!</v>
      </c>
      <c r="EU196" s="1551" t="e">
        <f aca="false">IF(EI196,IF(OCallPut,IF(CB196&gt;(CT196+CX196),CB196-(CT196+CX196),0),IF((CT196+CX196)&gt;CB196,(CT196+CX196)-CB196,0))*BI196,0)</f>
        <v>#VALUE!</v>
      </c>
      <c r="EV196" s="1551" t="e">
        <f aca="false">IF(EI196,IF(OCallPut,IF(CC196&gt;(CT196+CY196),CC196-(CT196+CY196),0),IF((CT196+CY196)&gt;CC196,(CT196+CY196)-CC196,0))*BJ196,0)</f>
        <v>#VALUE!</v>
      </c>
      <c r="EW196" s="1551" t="e">
        <f aca="false">IF(EI196,IF(OCallPut,IF(CD196&gt;(CT196+CZ196),CD196-(CT196+CZ196),0),IF((CT196+CZ196)&gt;CD196,(CT196+CZ196)-CD196,0))*BK196,0)</f>
        <v>#VALUE!</v>
      </c>
      <c r="EX196" s="1558" t="e">
        <f aca="false">IF(EI196,SUM(ET196:EW196),0)</f>
        <v>#VALUE!</v>
      </c>
      <c r="EY196" s="1551" t="e">
        <f aca="false">EO196-ET196</f>
        <v>#VALUE!</v>
      </c>
      <c r="EZ196" s="1551" t="e">
        <f aca="false">EP196-EU196</f>
        <v>#VALUE!</v>
      </c>
      <c r="FA196" s="1551" t="e">
        <f aca="false">EQ196-EV196</f>
        <v>#VALUE!</v>
      </c>
      <c r="FB196" s="1551" t="e">
        <f aca="false">ER196-EW196</f>
        <v>#VALUE!</v>
      </c>
      <c r="FC196" s="1551" t="e">
        <f aca="false">ES196-EX196</f>
        <v>#VALUE!</v>
      </c>
      <c r="FD196" s="1525" t="n">
        <f aca="false">IF(AX196,IF(VLOOKUP(C196,MAIN!$L$17:$M$28,2)="Yes",VLOOKUP(CALC!B196,MAIN!$H$17:$I$20,2),0),0)</f>
        <v>0</v>
      </c>
      <c r="FE196" s="1552" t="e">
        <f aca="false">$FD196*16*AT196*(1-$AY196)</f>
        <v>#VALUE!</v>
      </c>
      <c r="FF196" s="1553" t="e">
        <f aca="false">$FD196*16*AU196*(1-$AY196)</f>
        <v>#VALUE!</v>
      </c>
      <c r="FG196" s="1553" t="e">
        <f aca="false">$FD196*16*(AV196+AW196)*(1-$AY196)</f>
        <v>#VALUE!</v>
      </c>
      <c r="FH196" s="1554" t="n">
        <f aca="false">$FD196*8*AX196*(1-$AY196)</f>
        <v>0</v>
      </c>
      <c r="FI196" s="1555" t="n">
        <f aca="false">IF(AX196,VLOOKUP(CALC!B196,MAIN!$H$17:$K$20,4),0)</f>
        <v>0</v>
      </c>
      <c r="FJ196" s="1553" t="e">
        <f aca="false">SUM(FE196:FH196)</f>
        <v>#VALUE!</v>
      </c>
      <c r="FK196" s="1556" t="e">
        <f aca="false">FI196*FJ196</f>
        <v>#VALUE!</v>
      </c>
      <c r="FL196" s="1551" t="e">
        <f aca="false">IF($EI196&gt;0,MIN(FE196,AZ196*(1+VLOOKUP($C196,WeatherCapacityAdjustment,2))),0)</f>
        <v>#VALUE!</v>
      </c>
      <c r="FM196" s="1551" t="e">
        <f aca="false">IF($EI196&gt;0,MIN(FF196,BA196*(1+VLOOKUP($C196,WeatherCapacityAdjustment,2))),0)</f>
        <v>#VALUE!</v>
      </c>
      <c r="FN196" s="1551" t="e">
        <f aca="false">IF($EI196&gt;0,MIN(FG196,BB196*(1+VLOOKUP($C196,WeatherCapacityAdjustment,2))),0)</f>
        <v>#VALUE!</v>
      </c>
      <c r="FO196" s="1564" t="e">
        <f aca="false">IF($EI196&gt;0,MIN(FH196,BC196*(1+VLOOKUP($C196,WeatherCapacityAdjustment,3))),0)</f>
        <v>#VALUE!</v>
      </c>
      <c r="FP196" s="1551" t="e">
        <f aca="false">IF(ET196&gt;0,MIN(FE196-FL196,BH196*(1+VLOOKUP($C196,WeatherCapacityAdjustment,2))),0)</f>
        <v>#VALUE!</v>
      </c>
      <c r="FQ196" s="1551" t="e">
        <f aca="false">IF(EU196&gt;0,MIN(FF196-FM196,BI196*(1+VLOOKUP($C196,WeatherCapacityAdjustment,2))),0)</f>
        <v>#VALUE!</v>
      </c>
      <c r="FR196" s="1551" t="e">
        <f aca="false">IF(EV196&gt;0,MIN(FG196-FN196,BJ196*(1+VLOOKUP($C196,WeatherCapacityAdjustment,2))),0)</f>
        <v>#VALUE!</v>
      </c>
      <c r="FS196" s="1558" t="e">
        <f aca="false">IF(EW196&gt;0,MIN(FH196-FO196,BK196*(1+VLOOKUP($C196,WeatherCapacityAdjustment,3))),0)</f>
        <v>#VALUE!</v>
      </c>
      <c r="FT196" s="1566" t="e">
        <f aca="false">IF(AND(Assumptions!$H$71="Yes",A196&gt;=Assumptions!$H$72,A196&lt;=Assumptions!$H$73),0,IF(AND($A196&gt;=Assumptions!$C$17,$A196&lt;=Assumptions!$C$18),MAX(AZ196*(1+VLOOKUP($C196,WeatherCapacityAdjustment,2))-FL196,0),0))</f>
        <v>#VALUE!</v>
      </c>
      <c r="FU196" s="1551" t="e">
        <f aca="false">IF(AND(Assumptions!$H$71="Yes",A196&gt;=Assumptions!$H$72,A196&lt;=Assumptions!$H$73),0,IF(AND($A196&gt;=Assumptions!$C$17,$A196&lt;=Assumptions!$C$18),MAX(BA196*(1+VLOOKUP($C196,WeatherCapacityAdjustment,2))-FM196,0),0))</f>
        <v>#VALUE!</v>
      </c>
      <c r="FV196" s="1551" t="e">
        <f aca="false">IF(AND(Assumptions!$H$71="Yes",A196&gt;=Assumptions!$H$72,A196&lt;=Assumptions!$H$73),0,IF(AND($A196&gt;=Assumptions!$C$17,$A196&lt;=Assumptions!$C$18),MAX(BB196*(1+VLOOKUP($C196,WeatherCapacityAdjustment,2))-FN196,0),0))</f>
        <v>#VALUE!</v>
      </c>
      <c r="FW196" s="1564" t="e">
        <f aca="false">IF(AND(Assumptions!$H$71="Yes",A196&gt;=Assumptions!$H$72,A196&lt;=Assumptions!$H$73),0,IF(AND($A196&gt;=Assumptions!$C$17,$A196&lt;=Assumptions!$C$18),MAX(BC196*(1+VLOOKUP($C196,WeatherCapacityAdjustment,3))-FO196,0),0))</f>
        <v>#VALUE!</v>
      </c>
      <c r="FX196" s="1569" t="e">
        <f aca="false">IF(AND(Assumptions!$H$71="Yes",A196&gt;=Assumptions!$H$72,A196&lt;=Assumptions!$H$73),0,IF(ET196&gt;0,MAX(BH196*(1+VLOOKUP($C196,WeatherCapacityAdjustment,2))-FP196,0),0))</f>
        <v>#VALUE!</v>
      </c>
      <c r="FY196" s="1551" t="e">
        <f aca="false">IF(AND(Assumptions!$H$71="Yes",A196&gt;=Assumptions!$H$72,A196&lt;=Assumptions!$H$73),0,IF(EU196&gt;0,MAX(BI196*(1+VLOOKUP($C196,WeatherCapacityAdjustment,3))-FQ196,0),0))</f>
        <v>#VALUE!</v>
      </c>
      <c r="FZ196" s="1551" t="e">
        <f aca="false">IF(AND(Assumptions!$H$71="Yes",A196&gt;=Assumptions!$H$72,A196&lt;=Assumptions!$H$73),0,IF(EV196&gt;0,MAX(BJ196*(1+VLOOKUP($C196,WeatherCapacityAdjustment,2))-FR196,0),0))</f>
        <v>#VALUE!</v>
      </c>
      <c r="GA196" s="1564" t="e">
        <f aca="false">IF(AND(Assumptions!$H$71="Yes",A196&gt;=Assumptions!$H$72,A196&lt;=Assumptions!$H$73),0,IF(EW196&gt;0,MAX(BK196*(1+VLOOKUP($C196,WeatherCapacityAdjustment,2))-FS196,0),0))</f>
        <v>#VALUE!</v>
      </c>
      <c r="GB196" s="1551" t="e">
        <f aca="false">SUM(FT196:GA196)</f>
        <v>#VALUE!</v>
      </c>
      <c r="GC196" s="1563" t="e">
        <f aca="false">+IF(SUM(FT196:GA196)=0,0,(SUMPRODUCT(BU196:BX196,FT196:FW196)+SUMPRODUCT(CA196:CD196,FX196:GA196))/SUM(FT196:GA196))</f>
        <v>#VALUE!</v>
      </c>
      <c r="GD196" s="1551" t="e">
        <f aca="false">(FT196*BU196+FX196*CA196+FU196*BV196+FY196*CB196+FV196*BW196+FZ196*CC196+FW196*BX196+GA196*CD196)</f>
        <v>#VALUE!</v>
      </c>
      <c r="GE196" s="1561" t="e">
        <f aca="false">+IF(BQ196,((FL196+FM196+FT196+FU196)*HeatRatePeak/1000*(1+VLOOKUP($C196,WeatherHeatRateAdjustment,2))+(FN196+FV196)*IF(EV196&gt;0,HeatRatePeak,HeatRateOffPeak)/1000*(1+VLOOKUP($C196,WeatherHeatRateAdjustment,2))+(FO196+FW196)*IF(EW196&gt;0,HeatRatePeak,HeatRateOffPeak)/1000*(1+VLOOKUP($C196,WeatherHeatRateAdjustment,3)))*(1+VLOOKUP($B196,HeatRateDegradation,$C196+1)),0)</f>
        <v>#VALUE!</v>
      </c>
      <c r="GF196" s="1562" t="e">
        <f aca="false">IF(BQ196,((FP196+FQ196+FR196+FX196+FY196+FZ196)*HeatRatePeak/1000*(1+VLOOKUP($C196,WeatherHeatRateAdjustment,2))+(FS196+GA196)*HeatRatePeak/1000*(1+VLOOKUP($C196,WeatherHeatRateAdjustment,3)))*(1+VLOOKUP($B196,HeatRateDegradation,$C196+1)),0)</f>
        <v>#VALUE!</v>
      </c>
      <c r="GG196" s="1563" t="e">
        <f aca="false">IF(BQ196,VLOOKUP(A196,GasTable,13),0)</f>
        <v>#VALUE!</v>
      </c>
      <c r="GH196" s="1564" t="e">
        <f aca="false">(GE196+GF196)*GG196</f>
        <v>#VALUE!</v>
      </c>
      <c r="GI196" s="1569" t="e">
        <f aca="false">GB196</f>
        <v>#VALUE!</v>
      </c>
      <c r="GJ196" s="1598" t="e">
        <f aca="false">+DA196</f>
        <v>#VALUE!</v>
      </c>
      <c r="GK196" s="1558" t="e">
        <f aca="false">+GI196*GJ196</f>
        <v>#VALUE!</v>
      </c>
      <c r="GL196" s="1566" t="e">
        <f aca="false">MAX(FE196-FL196-FP196,0)</f>
        <v>#VALUE!</v>
      </c>
      <c r="GM196" s="1551" t="e">
        <f aca="false">MAX(FF196-FM196-FQ196,0)</f>
        <v>#VALUE!</v>
      </c>
      <c r="GN196" s="1551" t="e">
        <f aca="false">MAX(FG196-FN196-FR196,0)</f>
        <v>#VALUE!</v>
      </c>
      <c r="GO196" s="1564" t="e">
        <f aca="false">MAX(FH196-FO196-FS196,0)</f>
        <v>#VALUE!</v>
      </c>
      <c r="GP196" s="1551" t="e">
        <f aca="false">SUM(GL196:GO196)</f>
        <v>#VALUE!</v>
      </c>
      <c r="GQ196" s="1563" t="e">
        <f aca="false">IF(SUM(GL196:GO196)=0,0,((GL196*BU196+GM196*BV196+GN196*BW196+GO196*BX196)/SUM(GL196:GO196)))</f>
        <v>#VALUE!</v>
      </c>
      <c r="GR196" s="1558" t="e">
        <f aca="false">(GL196*BU196+GM196*BV196+GN196*BW196+GO196*BX196)</f>
        <v>#VALUE!</v>
      </c>
      <c r="GS196" s="1566" t="n">
        <f aca="false">IF($A196&gt;=BegDate,Assumptions!$C$56*24*($A197-$A196)*(1-VLOOKUP($B196,MAIN!$AA$7:$AM$28,$C196+1))*(1-VLOOKUP($B196,MAIN!$AA$33:$AM$54,$C196+1)),0)*80/168</f>
        <v>74828.5714285714</v>
      </c>
      <c r="GT196" s="286" t="n">
        <f aca="false">J196</f>
        <v>41.77010057456</v>
      </c>
      <c r="GU196" s="286" t="n">
        <f aca="false">IF($A196&gt;=BegDate,VLOOKUP($A196,GasTable,13)+Assumptions!$C$58,0)</f>
        <v>3.10983309608992</v>
      </c>
      <c r="GV196" s="286" t="n">
        <f aca="false">GU196*Assumptions!$C$57/1000</f>
        <v>22.546289946652</v>
      </c>
      <c r="GW196" s="1558" t="n">
        <f aca="false">IF(Assumptions!$C$60="Hourly",MAX(0,GS196*(GT196-GV196)),GS196*(GT196-GV196))</f>
        <v>1438490.28669975</v>
      </c>
      <c r="GX196" s="1566" t="n">
        <f aca="false">IF($A196&gt;=BegDate,Assumptions!$C$56*24*($A197-$A196)*(1-VLOOKUP($B196,MAIN!$AA$7:$AM$28,$C196+1))*(1-VLOOKUP($B196,MAIN!$AA$33:$AM$54,$C196+1)),0)*16/168</f>
        <v>14965.7142857143</v>
      </c>
      <c r="GY196" s="286" t="n">
        <f aca="false">M196</f>
        <v>41.77010057456</v>
      </c>
      <c r="GZ196" s="286" t="n">
        <f aca="false">IF($A196&gt;=BegDate,VLOOKUP($A196,GasTable,13)+Assumptions!$C$58,0)</f>
        <v>3.10983309608992</v>
      </c>
      <c r="HA196" s="286" t="n">
        <f aca="false">GZ196*Assumptions!$C$57/1000</f>
        <v>22.546289946652</v>
      </c>
      <c r="HB196" s="1558" t="n">
        <f aca="false">IF(Assumptions!$C$60="Hourly",MAX(0,GX196*(GY196-HA196)),GX196*(GY196-HA196))</f>
        <v>287698.05733995</v>
      </c>
      <c r="HC196" s="1566" t="n">
        <f aca="false">IF($A196&gt;=BegDate,Assumptions!$C$56*24*($A197-$A196)*(1-VLOOKUP($B196,MAIN!$AA$7:$AM$28,$C196+1))*(1-VLOOKUP($B196,MAIN!$AA$33:$AM$54,$C196+1)),0)*16/168</f>
        <v>14965.7142857143</v>
      </c>
      <c r="HD196" s="286" t="n">
        <f aca="false">P196</f>
        <v>27.1938081231744</v>
      </c>
      <c r="HE196" s="286" t="n">
        <f aca="false">IF($A196&gt;=BegDate,VLOOKUP($A196,GasTable,13)+Assumptions!$C$58,0)</f>
        <v>3.10983309608992</v>
      </c>
      <c r="HF196" s="286" t="n">
        <f aca="false">HE196*Assumptions!$C$57/1000</f>
        <v>22.546289946652</v>
      </c>
      <c r="HG196" s="1558" t="n">
        <f aca="false">IF(Assumptions!$C$60="Hourly",MAX(0,HC196*(HD196-HF196)),HC196*(HD196-HF196))</f>
        <v>69553.4291674984</v>
      </c>
      <c r="HH196" s="1566" t="n">
        <f aca="false">IF($A196&gt;=BegDate,Assumptions!$C$56*24*($A197-$A196)*(1-VLOOKUP($B196,MAIN!$AA$7:$AM$28,$C196+1))*(1-VLOOKUP($B196,MAIN!$AA$33:$AM$54,$C196+1)),0)*56/168</f>
        <v>52380</v>
      </c>
      <c r="HI196" s="286" t="n">
        <f aca="false">S196</f>
        <v>27.1938081231744</v>
      </c>
      <c r="HJ196" s="286" t="n">
        <f aca="false">IF($A196&gt;=BegDate,VLOOKUP($A196,GasTable,13)+Assumptions!$C$58,0)</f>
        <v>3.10983309608992</v>
      </c>
      <c r="HK196" s="286" t="n">
        <f aca="false">HJ196*Assumptions!$C$57/1000</f>
        <v>22.546289946652</v>
      </c>
      <c r="HL196" s="1558" t="n">
        <f aca="false">IF(Assumptions!$C$60="Hourly",MAX(0,HH196*(HI196-HK196)),HH196*(HI196-HK196))</f>
        <v>243437.002086245</v>
      </c>
      <c r="HM196" s="1566" t="n">
        <f aca="false">IF(AND(Assumptions!$H$71="Yes",A196&gt;=Assumptions!$H$72,A196&lt;=Assumptions!$H$73),Assumptions!$H$74*Assumptions!$C$9*1000,0)</f>
        <v>0</v>
      </c>
      <c r="HN196" s="1551"/>
      <c r="HO196" s="1563"/>
      <c r="HP196" s="1563"/>
      <c r="HQ196" s="1563"/>
      <c r="HR196" s="1563"/>
      <c r="HS196" s="1563"/>
      <c r="HT196" s="1563"/>
      <c r="HU196" s="1563"/>
      <c r="HV196" s="1563"/>
      <c r="HW196" s="1563"/>
      <c r="HX196" s="1563"/>
      <c r="HY196" s="1563"/>
      <c r="HZ196" s="1563"/>
      <c r="IA196" s="1563"/>
      <c r="IB196" s="1563"/>
      <c r="IC196" s="1563"/>
      <c r="ID196" s="1563"/>
      <c r="IE196" s="1563"/>
      <c r="IF196" s="1563"/>
      <c r="IG196" s="1563"/>
      <c r="IH196" s="1563"/>
      <c r="II196" s="1610"/>
      <c r="IJ196" s="1309"/>
      <c r="IK196" s="1309"/>
    </row>
    <row r="197" customFormat="false" ht="12.75" hidden="false" customHeight="false" outlineLevel="0" collapsed="false">
      <c r="A197" s="1571" t="n">
        <f aca="false">EOMONTH(A196,0)+1</f>
        <v>42125</v>
      </c>
      <c r="B197" s="594" t="n">
        <f aca="false">+YEAR(A197)</f>
        <v>2015</v>
      </c>
      <c r="C197" s="238" t="n">
        <f aca="false">MONTH(A197)</f>
        <v>5</v>
      </c>
      <c r="D197" s="1572" t="e">
        <f aca="false">IF(E197="","",Holiday(B197,C197))</f>
        <v>#VALUE!</v>
      </c>
      <c r="E197" s="1573" t="n">
        <f aca="false">IF(OR(BegDate&gt;=A198,EndDate&lt;A197,AND(VolumeMonthlyOverFlag,INDEX(VolumeMonthlyOver,C197)=0),NOT(INDEX(MonthKnockOutTable,C197))),"",MAX(A197,BegDate))</f>
        <v>42125</v>
      </c>
      <c r="F197" s="1574" t="n">
        <f aca="false">IF(E197="","",MIN(A198-1,EndDate))</f>
        <v>42155</v>
      </c>
      <c r="G197" s="1575" t="n">
        <v>0</v>
      </c>
      <c r="H197" s="1576" t="n">
        <f aca="false">(1+G197/2)^(-2*(DATE(B198,C198,20)-DateToday)/365.25)</f>
        <v>1</v>
      </c>
      <c r="I197" s="1568" t="n">
        <f aca="false">IF(Assumptions!$L$25=4,VLOOKUP($A197,'Henwood Reference'!$E$9:$R$320,10),(VLOOKUP($A197,PriceTable,2,0)+IF(BasisNumber&lt;&gt;1,VLOOKUP($A197,BasisTable,2,0),0)+I$1)/(1-I$2))</f>
        <v>46.815088040768</v>
      </c>
      <c r="J197" s="1568" t="n">
        <f aca="false">IF(Assumptions!$L$25=4,VLOOKUP($A197,'Henwood Reference'!$E$9:$R$320,10),(VLOOKUP($A197,PriceTable,3,0)+IF(BasisNumber&lt;&gt;1,VLOOKUP($A197,BasisTable,2,0),0)+J$1)/(1-J$2))</f>
        <v>46.815088040768</v>
      </c>
      <c r="K197" s="1568" t="n">
        <f aca="false">IF(Assumptions!$L$25=4,VLOOKUP($A197,'Henwood Reference'!$E$9:$R$320,10),(VLOOKUP($A197,PriceTable,4,0)+IF(BasisNumber&lt;&gt;1,VLOOKUP($A197,BasisTable,2,0),0)+K$1)/(1-K$2))</f>
        <v>46.815088040768</v>
      </c>
      <c r="L197" s="1523" t="n">
        <f aca="false">IF(Assumptions!$L$25=4,VLOOKUP($A197,'Henwood Reference'!$E$9:$R$320,10),(VLOOKUP($A197,PriceTableWeekend,2,0)+IF(BasisNumber&lt;&gt;1,VLOOKUP($A197,BasisTable,2,0),0)+L$1)/(1-L$2))</f>
        <v>46.815088040768</v>
      </c>
      <c r="M197" s="1568" t="n">
        <f aca="false">IF(Assumptions!$L$25=4,VLOOKUP($A197,'Henwood Reference'!$E$9:$R$320,10),(VLOOKUP($A197,PriceTableWeekend,3,0)+IF(BasisNumber&lt;&gt;1,VLOOKUP($A197,BasisTable,2,0),0)+M$1)/(1-M$2))</f>
        <v>46.815088040768</v>
      </c>
      <c r="N197" s="1599" t="n">
        <f aca="false">IF(Assumptions!$L$25=4,VLOOKUP($A197,'Henwood Reference'!$E$9:$R$320,10),(VLOOKUP($A197,PriceTableWeekend,4,0)+IF(BasisNumber&lt;&gt;1,VLOOKUP($A197,BasisTable,2,0),0)+N$1)/(1-N$2))</f>
        <v>46.815088040768</v>
      </c>
      <c r="O197" s="1568" t="n">
        <f aca="false">IF(Assumptions!$L$25=4,VLOOKUP($A197,'Henwood Reference'!$E$9:$R$320,11),(VLOOKUP($A197,PriceTableWeekend,6,0)+IF(BasisNumber&lt;&gt;1,VLOOKUP($A197,BasisTable,3,0),0)+O$1)/(1-O$2))</f>
        <v>26.9693172843419</v>
      </c>
      <c r="P197" s="1568" t="n">
        <f aca="false">IF(Assumptions!$L$25=4,VLOOKUP($A197,'Henwood Reference'!$E$9:$R$320,11),(VLOOKUP($A197,PriceTableWeekend,7,0)+IF(BasisNumber&lt;&gt;1,VLOOKUP($A197,BasisTable,3,0),0)+P$1)/(1-P$2))</f>
        <v>26.9693172843419</v>
      </c>
      <c r="Q197" s="1599" t="n">
        <f aca="false">IF(Assumptions!$L$25=4,VLOOKUP($A197,'Henwood Reference'!$E$9:$R$320,11),(VLOOKUP($A197,PriceTableWeekend,8,0)+IF(BasisNumber&lt;&gt;1,VLOOKUP($A197,BasisTable,3,0),0)+Q$1)/(1-Q$2))</f>
        <v>26.9693172843419</v>
      </c>
      <c r="R197" s="1568" t="n">
        <f aca="false">IF(Assumptions!$L$25=4,VLOOKUP($A197,'Henwood Reference'!$E$9:$R$320,11),(VLOOKUP($A197,PriceTable,6,0)+IF(BasisNumber&lt;&gt;1,VLOOKUP($A197,BasisTable,3,0),0)+R$1)/(1-R$2))</f>
        <v>26.9693172843419</v>
      </c>
      <c r="S197" s="1568" t="n">
        <f aca="false">IF(Assumptions!$L$25=4,VLOOKUP($A197,'Henwood Reference'!$E$9:$R$320,11),(VLOOKUP($A197,PriceTable,7,0)+IF(BasisNumber&lt;&gt;1,VLOOKUP($A197,BasisTable,3,0),0)+S$1)/(1-S$2))</f>
        <v>26.9693172843419</v>
      </c>
      <c r="T197" s="1600" t="n">
        <f aca="false">IF(Assumptions!$L$25=4,VLOOKUP($A197,'Henwood Reference'!$E$9:$R$320,11),(VLOOKUP($A197,PriceTable,8,0)+IF(BasisNumber&lt;&gt;1,VLOOKUP($A197,BasisTable,3,0),0)+T$1)/(1-T$2))</f>
        <v>26.9693172843419</v>
      </c>
      <c r="U197" s="1513" t="n">
        <f aca="false">VLOOKUP($A197,VolatilityTable,14)</f>
        <v>0.0949999999999999</v>
      </c>
      <c r="V197" s="1513" t="n">
        <f aca="false">VLOOKUP($A197,VolatilityTable,15)</f>
        <v>0.105</v>
      </c>
      <c r="W197" s="1514" t="n">
        <f aca="false">VLOOKUP($A197,VolatilityTable,16)</f>
        <v>0.115</v>
      </c>
      <c r="X197" s="1513" t="n">
        <f aca="false">VLOOKUP($A197,VolatilityTable,14)</f>
        <v>0.0949999999999999</v>
      </c>
      <c r="Y197" s="1513" t="n">
        <f aca="false">VLOOKUP($A197,VolatilityTable,15)</f>
        <v>0.105</v>
      </c>
      <c r="Z197" s="1514" t="n">
        <f aca="false">VLOOKUP($A197,VolatilityTable,16)</f>
        <v>0.115</v>
      </c>
      <c r="AA197" s="1513" t="n">
        <f aca="false">VLOOKUP($A197,VolatilityTable,18)</f>
        <v>0.09</v>
      </c>
      <c r="AB197" s="1513" t="n">
        <f aca="false">VLOOKUP($A197,VolatilityTable,19)</f>
        <v>0.11</v>
      </c>
      <c r="AC197" s="1514" t="n">
        <f aca="false">VLOOKUP($A197,VolatilityTable,20)</f>
        <v>0.13</v>
      </c>
      <c r="AD197" s="1513" t="n">
        <f aca="false">VLOOKUP($A197,VolatilityTable,18)</f>
        <v>0.09</v>
      </c>
      <c r="AE197" s="1513" t="n">
        <f aca="false">VLOOKUP($A197,VolatilityTable,19)</f>
        <v>0.11</v>
      </c>
      <c r="AF197" s="1514" t="n">
        <f aca="false">VLOOKUP($A197,VolatilityTable,20)</f>
        <v>0.13</v>
      </c>
      <c r="AG197" s="1513" t="n">
        <f aca="false">VLOOKUP($A197,VolatilityTable,22)</f>
        <v>-0.1</v>
      </c>
      <c r="AH197" s="1513" t="n">
        <f aca="false">VLOOKUP($A197,VolatilityTable,23)</f>
        <v>0.65</v>
      </c>
      <c r="AI197" s="1514" t="n">
        <f aca="false">VLOOKUP($A197,VolatilityTable,24)</f>
        <v>0.1</v>
      </c>
      <c r="AJ197" s="1513" t="n">
        <f aca="false">VLOOKUP($A197,VolatilityTable,22)</f>
        <v>-0.1</v>
      </c>
      <c r="AK197" s="1513" t="n">
        <f aca="false">VLOOKUP($A197,VolatilityTable,23)</f>
        <v>0.65</v>
      </c>
      <c r="AL197" s="1514" t="n">
        <f aca="false">VLOOKUP($A197,VolatilityTable,24)</f>
        <v>0.1</v>
      </c>
      <c r="AM197" s="1513" t="n">
        <f aca="false">VLOOKUP($A197,VolatilityTable,26)</f>
        <v>-0.01</v>
      </c>
      <c r="AN197" s="1513" t="n">
        <f aca="false">VLOOKUP($A197,VolatilityTable,27)</f>
        <v>0.16</v>
      </c>
      <c r="AO197" s="1514" t="n">
        <f aca="false">VLOOKUP($A197,VolatilityTable,28)</f>
        <v>0.01</v>
      </c>
      <c r="AP197" s="1513" t="n">
        <f aca="false">VLOOKUP($A197,VolatilityTable,26)</f>
        <v>-0.01</v>
      </c>
      <c r="AQ197" s="1513" t="n">
        <f aca="false">VLOOKUP($A197,VolatilityTable,27)</f>
        <v>0.16</v>
      </c>
      <c r="AR197" s="1515" t="n">
        <f aca="false">VLOOKUP($A197,VolatilityTable,28)</f>
        <v>0.01</v>
      </c>
      <c r="AS197" s="1581" t="n">
        <f aca="false">IF(CorrPeakOffPeakOverFlag,INDEX(CorrPeakOffPeakOver,C197),CorrPeakOffPeak)</f>
        <v>0.5</v>
      </c>
      <c r="AT197" s="594" t="e">
        <f aca="false">AX197-SUM(AU197:AW197)</f>
        <v>#VALUE!</v>
      </c>
      <c r="AU197" s="238" t="e">
        <f aca="false">IF(E197="",0,INT((F197-MOD(F197,7)-E197)/7)+1-IF(AW197,IF(WEEKDAY(D197)=7,1,0),0))</f>
        <v>#VALUE!</v>
      </c>
      <c r="AV197" s="238" t="e">
        <f aca="false">IF(E197="",0,INT((F197-MOD(F197-1,7)-E197)/7)+1-IF(AW197,IF(WEEKDAY(D197)=1,1,0),0))</f>
        <v>#VALUE!</v>
      </c>
      <c r="AW197" s="238" t="e">
        <f aca="false">IF(OR(E197="",D197="",D197&lt;BegDate,D197&gt;EndDate),0,1)</f>
        <v>#VALUE!</v>
      </c>
      <c r="AX197" s="238" t="n">
        <f aca="false">IF(E197="",0,F197-E197+1)</f>
        <v>31</v>
      </c>
      <c r="AY197" s="1582" t="n">
        <f aca="false">IF(E197="",0,MIN((1-(1-VLOOKUP(B197,MAIN!$AA$7:$AM$28,C197+1))*(1-VLOOKUP(B197,MAIN!$AA$33:$AM$54,C197+1))),1))</f>
        <v>0.03</v>
      </c>
      <c r="AZ197" s="1519" t="e">
        <v>#VALUE!</v>
      </c>
      <c r="BA197" s="1520" t="e">
        <v>#VALUE!</v>
      </c>
      <c r="BB197" s="1520" t="e">
        <v>#VALUE!</v>
      </c>
      <c r="BC197" s="1583" t="e">
        <v>#VALUE!</v>
      </c>
      <c r="BD197" s="1522" t="e">
        <v>#VALUE!</v>
      </c>
      <c r="BE197" s="1523" t="e">
        <v>#VALUE!</v>
      </c>
      <c r="BF197" s="1523" t="e">
        <v>#VALUE!</v>
      </c>
      <c r="BG197" s="1584" t="e">
        <v>#VALUE!</v>
      </c>
      <c r="BH197" s="1525" t="e">
        <v>#VALUE!</v>
      </c>
      <c r="BI197" s="1520" t="e">
        <v>#VALUE!</v>
      </c>
      <c r="BJ197" s="1520" t="e">
        <v>#VALUE!</v>
      </c>
      <c r="BK197" s="1583" t="e">
        <v>#VALUE!</v>
      </c>
      <c r="BL197" s="1522" t="e">
        <v>#VALUE!</v>
      </c>
      <c r="BM197" s="1523" t="e">
        <v>#VALUE!</v>
      </c>
      <c r="BN197" s="1523" t="e">
        <v>#VALUE!</v>
      </c>
      <c r="BO197" s="1523" t="e">
        <v>#VALUE!</v>
      </c>
      <c r="BP197" s="1525" t="e">
        <f aca="false">SUM(AZ197:BB197)</f>
        <v>#VALUE!</v>
      </c>
      <c r="BQ197" s="1529" t="e">
        <f aca="false">SUM(AZ197:BC197)</f>
        <v>#VALUE!</v>
      </c>
      <c r="BR197" s="1519" t="e">
        <f aca="false">SUM(BH197:BJ197)</f>
        <v>#VALUE!</v>
      </c>
      <c r="BS197" s="1529" t="e">
        <f aca="false">SUM(BH197:BK197)</f>
        <v>#VALUE!</v>
      </c>
      <c r="BT197" s="1316" t="n">
        <f aca="false">(IF(OVolType&lt;&gt;2,A197+14,IF(OptExpDateShift,ShiftBack(A197,OptExpDateShift,D196),A197))-DateToday)/365.25</f>
        <v>15.0444900752909</v>
      </c>
      <c r="BU197" s="1585" t="e">
        <f aca="false">IF(BQ197,IF(OPriceCurve,IF(OBuySell=OCallPut,I197/(1-AY197),K197/(1-AY197)),J197/(1-AY197))*BD197,0)</f>
        <v>#VALUE!</v>
      </c>
      <c r="BV197" s="1316" t="e">
        <f aca="false">IF(BQ197,IF(OPriceCurve,IF(OBuySell=OCallPut,L197/(1-AY197),N197/(1-AY197)),M197/(1-AY197))*BE197,0)</f>
        <v>#VALUE!</v>
      </c>
      <c r="BW197" s="1316" t="e">
        <f aca="false">IF(BQ197,IF(OPriceCurve,IF(OBuySell=OCallPut,O197/(1-AY197),Q197/(1-AY197)),P197/(1-AY197))*BF197,0)</f>
        <v>#VALUE!</v>
      </c>
      <c r="BX197" s="1316" t="e">
        <f aca="false">IF(BQ197,IF(OPriceCurve,IF(OBuySell=OCallPut,R197/(1-AY197),T197/(1-AY197)),S197/(1-AY197))*BG197,0)</f>
        <v>#VALUE!</v>
      </c>
      <c r="BY197" s="1316" t="e">
        <f aca="false">IF(BP197,(BU197*AZ197+BV197*BA197+BW197*BB197)/BP197,0)</f>
        <v>#VALUE!</v>
      </c>
      <c r="BZ197" s="1316" t="e">
        <f aca="false">IF(BQ197,(BY197*BP197+BX197*BC197)/BQ197,0)</f>
        <v>#VALUE!</v>
      </c>
      <c r="CA197" s="1531" t="e">
        <f aca="false">IF(BS197,IF(OPriceCurve,IF(OBuySell=OCallPut,I197/(1-AY197),K197/(1-AY197)),J197/(1-AY197))*BL197,0)</f>
        <v>#VALUE!</v>
      </c>
      <c r="CB197" s="1316" t="e">
        <f aca="false">IF(BS197,IF(OPriceCurve,IF(OBuySell=OCallPut,L197/(1-AY197),N197/(1-AY197)),M197/(1-AY197))*BM197,0)</f>
        <v>#VALUE!</v>
      </c>
      <c r="CC197" s="1316" t="e">
        <f aca="false">IF(BS197,IF(OPriceCurve,IF(OBuySell=OCallPut,O197/(1-AY197),Q197/(1-AY197)),P197/(1-AY197))*BN197,0)</f>
        <v>#VALUE!</v>
      </c>
      <c r="CD197" s="1316" t="e">
        <f aca="false">IF(BS197,IF(OPriceCurve,IF(OBuySell=OCallPut,R197/(1-AY197),T197/(1-AY197)),S197/(1-AY197))*BO197,0)</f>
        <v>#VALUE!</v>
      </c>
      <c r="CE197" s="1316" t="e">
        <f aca="false">IF(BR197,(BU197*BH197+BV197*BI197+BW197*BJ197)/BR197,0)</f>
        <v>#VALUE!</v>
      </c>
      <c r="CF197" s="1532" t="e">
        <f aca="false">IF(BS197,(CE197*BR197+CD197*BK197)/BS197,0)</f>
        <v>#VALUE!</v>
      </c>
      <c r="CG197" s="1586" t="e">
        <f aca="false">IF(OR(BQ197,BS197),IF(OVolType&lt;&gt;2,SQRT(IF(OVolOverMonthlyPeak,OVolOverMonthlyPeak,IF(OVolCurve,IF(OBuySell,U197,W197),V197))^2*(1-15/365.25/BT197)+IF(OVolOverDailyPeak,OVolOverDailyPeak,IF(OVolCurve,IF(OBuySell,AG197,AI197),AH197))^2*15/365.25/BT197),IF(OVolOverMonthlyPeak,OVolOverMonthlyPeak,IF(OVolCurve,IF(OBuySell,U197,W197),V197))),"")</f>
        <v>#VALUE!</v>
      </c>
      <c r="CH197" s="1587" t="e">
        <f aca="false">IF(OR(BQ197,BS197),IF(OVolType&lt;&gt;2,SQRT(IF(OVolOverMonthlyPeak,OVolOverMonthlyPeak,IF(OVolCurve,IF(OBuySell,X197,Z197),Y197))^2*(1-15/365.25/BT197)+IF(OVolOverDailyPeak,OVolOverDailyPeak,IF(OVolCurve,IF(OBuySell,AJ197,AL197),AK197))^2*15/365.25/BT197),IF(OVolOverMonthlyPeak,OVolOverMonthlyPeak,IF(OVolCurve,IF(OBuySell,X197,Z197),Y197))),"")</f>
        <v>#VALUE!</v>
      </c>
      <c r="CI197" s="1587" t="e">
        <f aca="false">IF(OR(BQ197,BS197),IF(OVolType&lt;&gt;2,SQRT(IF(OVolOverMonthlyPeak,OVolOverMonthlyPeak,IF(OVolCurve,IF(OBuySell,AA197,AC197),AB197))^2*(1-15/365.25/BT197)+IF(OVolOverDailyPeak,OVolOverDailyPeak,IF(OVolCurve,IF(OBuySell,AM197,AO197),AN197))^2*15/365.25/BT197),IF(OVolOverMonthlyPeak,OVolOverMonthlyPeak,IF(OVolCurve,IF(OBuySell,AA197,AC197),AB197))),"")</f>
        <v>#VALUE!</v>
      </c>
      <c r="CJ197" s="1587" t="e">
        <f aca="false">IF(BQ197,IF(BP197,SQRT(LN(1+((BU197*AZ197)^2*(EXP(CG197^2*BT197)-1)+(BV197*BA197)^2*(EXP(CH197^2*BT197)-1)+(BW197*BB197)^2*(EXP(CI197^2*BT197)-1)+2*BU197*AZ197*BV197*BA197*(EXP(CG197*CH197*BT197)-1)+2*BV197*BA197*BW197*BB197*(EXP(CH197*CI197*BT197)-1)+2*BW197*BB197*BU197*AZ197*(EXP(CI197*CG197*BT197)-1))/(BY197*BP197)^2)/BT197),0),"")</f>
        <v>#VALUE!</v>
      </c>
      <c r="CK197" s="1587" t="e">
        <f aca="false">IF(BS197,IF(BR197,SQRT(LN(1+((CA197*BH197)^2*(EXP(CG197^2*BT197)-1)+(CB197*BI197)^2*(EXP(CH197^2*BT197)-1)+(CC197*BJ197)^2*(EXP(CI197^2*BT197)-1)+2*CA197*BH197*CB197*BI197*(EXP(CG197*CH197*BT197)-1)+2*CB197*BI197*CC197*BJ197*(EXP(CH197*CI197*BT197)-1)+2*CC197*BJ197*CA197*BH197*(EXP(CI197*CG197*BT197)-1))/(CE197*BR197)^2)/BT197),0),"")</f>
        <v>#VALUE!</v>
      </c>
      <c r="CL197" s="1587" t="e">
        <f aca="false">IF(OR(BQ197,BS197),IF(OVolType&lt;&gt;2,SQRT(IF(OVolOverMonthlyOffPeak,OVolOverMonthlyOffPeak,IF(OVolCurve,IF(OBuySell,AD197,AF197),AE197))^2*(1-15/365.25/BT197)+IF(OVolOverDailyOffPeak,OVolOverDailyOffPeak,IF(OVolCurve,IF(OBuySell,AP197,AR197),AQ197))^2*15/365.25/BT197),IF(OVolOverMonthlyOffPeak,OVolOverMonthlyOffPeak,IF(OVolCurve,IF(OBuySell,AD197,AF197),AE197))),"")</f>
        <v>#VALUE!</v>
      </c>
      <c r="CM197" s="1587" t="e">
        <f aca="false">IF(BQ197,SQRT(LN(1+((BY197*BP197)^2*(EXP(CJ197^2*BT197)-1)+(BX197*BC197)^2*(EXP(CL197^2*BT197)-1)+2*BY197*BP197*BX197*BC197*(EXP(AS197*CJ197*CL197*BT197)-1))/(BY197*BP197+BX197*BC197)^2)/BT197),"")</f>
        <v>#VALUE!</v>
      </c>
      <c r="CN197" s="1588" t="e">
        <f aca="false">IF(BS197,SQRT(LN(1+((CE197*BR197)^2*(EXP(CK197^2*BT197)-1)+(CD197*BK197)^2*(EXP(CL197^2*BT197)-1)+2*CE197*BR197*CD197*BK197*(EXP(AS197*CK197*CL197*BT197)-1))/(CE197*BR197+CD197*BK197)^2)/BT197),"")</f>
        <v>#VALUE!</v>
      </c>
      <c r="CO197" s="1531" t="e">
        <f aca="false">IF(OR(BQ197,BS197),VLOOKUP(A197,GasTable,13)*HeatRatePeak*(1+VLOOKUP($B197,HeatRateDegradation,$C197+1))/1000,0)</f>
        <v>#VALUE!</v>
      </c>
      <c r="CP197" s="1316" t="e">
        <f aca="false">IF(OR(BQ197,BS197),VLOOKUP(A197,GasTable,13)*HeatRatePeak*(1+VLOOKUP($B197,HeatRateDegradation,$C197+1))/1000,0)</f>
        <v>#VALUE!</v>
      </c>
      <c r="CQ197" s="1316" t="e">
        <f aca="false">IF(OR(BQ197,BS197),VLOOKUP(A197,GasTable,13)*IF(EV197,HeatRatePeak,HeatRateOffPeak)*(1+VLOOKUP($B197,HeatRateDegradation,$C197+1))/1000,0)</f>
        <v>#VALUE!</v>
      </c>
      <c r="CR197" s="1316" t="e">
        <f aca="false">IF(OR(BQ197,BS197),VLOOKUP(A197,GasTable,13)*IF(EW197,HeatRatePeak,HeatRateOffPeak)*(1+VLOOKUP($B197,HeatRateDegradation,$C197+1))/1000,0)</f>
        <v>#VALUE!</v>
      </c>
      <c r="CS197" s="1589" t="e">
        <f aca="false">IF(BQ197,(CO197*AZ197+CP197*BA197+CQ197*BB197+CR197*BC197)/BQ197,0)</f>
        <v>#VALUE!</v>
      </c>
      <c r="CT197" s="1316" t="e">
        <f aca="false">IF(BS197,CO197,0)</f>
        <v>#VALUE!</v>
      </c>
      <c r="CU197" s="1590" t="e">
        <f aca="false">IF(OR(BQ197,BS197),VLOOKUP(A197,GasTable,14),"")</f>
        <v>#VALUE!</v>
      </c>
      <c r="CV197" s="1568" t="e">
        <f aca="false">IF(OR(BQ197,BS197),IF(CorrPowerGasOverFlag,INDEX(CorrPowerGasOver,C197),CorrPowerGas),"")</f>
        <v>#VALUE!</v>
      </c>
      <c r="CW197" s="1316" t="e">
        <f aca="false">IF(OR($BQ197,$BS197),SpreadOptPowerMargin,0)*((1+Assumptions!$C$26)^($B197-YEAR(Assumptions!$C$17)))</f>
        <v>#VALUE!</v>
      </c>
      <c r="CX197" s="1316" t="e">
        <f aca="false">IF(OR($BQ197,$BS197),SpreadOptPowerMargin,0)*((1+Assumptions!$C$26)^($B197-YEAR(Assumptions!$C$17)))</f>
        <v>#VALUE!</v>
      </c>
      <c r="CY197" s="1316" t="e">
        <f aca="false">IF(OR($BQ197,$BS197),SpreadOptPowerMargin,0)*((1+Assumptions!$C$26)^($B197-YEAR(Assumptions!$C$17)))</f>
        <v>#VALUE!</v>
      </c>
      <c r="CZ197" s="1316" t="e">
        <f aca="false">IF(OR($BQ197,$BS197),SpreadOptPowerMargin,0)*((1+Assumptions!$C$26)^($B197-YEAR(Assumptions!$C$17)))</f>
        <v>#VALUE!</v>
      </c>
      <c r="DA197" s="1591" t="e">
        <f aca="false">IF(OR(BQ197,BS197),(CW197*(AZ197+BH197)+CX197*(BA197+BI197)+CY197*(BB197+BJ197)+CZ197*(BC197+BK197))/(BQ197+BS197),0)</f>
        <v>#VALUE!</v>
      </c>
      <c r="DB197" s="1592" t="e">
        <f aca="false">IF(OR(BQ197,BS197),CG197+IF(OVolSmile,VLOOKUP(MAX(-5,CO197+CW197-BU197),IF(OVolSmile=1,VolSmileBook,VolSmileModel),2),0),"")</f>
        <v>#VALUE!</v>
      </c>
      <c r="DC197" s="1592" t="e">
        <f aca="false">IF(OR(BQ197,BS197),CH197+IF(OVolSmile,VLOOKUP(MAX(-5,CP197+CW197-BV197),IF(OVolSmile=1,VolSmileBook,VolSmileModel),2),0),"")</f>
        <v>#VALUE!</v>
      </c>
      <c r="DD197" s="1592" t="e">
        <f aca="false">IF(OR(BQ197,BS197),CI197+IF(OVolSmile,VLOOKUP(MAX(-5,CQ197+CW197-BW197),IF(OVolSmile=1,VolSmileBook,VolSmileModel),2),0),"")</f>
        <v>#VALUE!</v>
      </c>
      <c r="DE197" s="1592" t="e">
        <f aca="false">IF(OR(BQ197,BS197),CL197+IF(OVolSmile,VLOOKUP(MAX(-5,CR197+CZ197-BX197),IF(OVolSmile=1,VolSmileBook,VolSmileModel),2),0),"")</f>
        <v>#VALUE!</v>
      </c>
      <c r="DF197" s="1592" t="e">
        <f aca="false">IF(BQ197,CM197+IF(OVolSmile,VLOOKUP(MAX(-5,CS197+DA197-BZ197),IF(OVolSmile=1,VolSmileBook,VolSmileModel),2),0),"")</f>
        <v>#VALUE!</v>
      </c>
      <c r="DG197" s="1593" t="e">
        <f aca="false">IF(BS197,CN197+IF(OVolSmile,VLOOKUP(MAX(-5,CT197+DA197-CF197),IF(OVolSmile=1,VolSmileBook,VolSmileModel),2),0),"")</f>
        <v>#VALUE!</v>
      </c>
      <c r="DH197" s="1316" t="e">
        <f aca="false">IF(AND(BU197&gt;0,CO197&gt;0,DB197&gt;0,CU197&gt;0),newSPRDOPT(BU197,CO197,CW197,0,DB197,CU197,CV197,BT197*365.25,OCallPut,0),0)</f>
        <v>#VALUE!</v>
      </c>
      <c r="DI197" s="1316" t="e">
        <f aca="false">IF(AND(BV197&gt;0,CP197&gt;0,DC197&gt;0,CU197&gt;0),newSPRDOPT(BV197,CP197,CX197,0,DC197,CU197,CV197,BT197*365.25,OCallPut,0),0)</f>
        <v>#VALUE!</v>
      </c>
      <c r="DJ197" s="1316" t="e">
        <f aca="false">IF(AND(BW197&gt;0,CQ197&gt;0,DD197&gt;0,CU197&gt;0),newSPRDOPT(BW197,CQ197,CY197,0,DD197,CU197,CV197,BT197*365.25,OCallPut,0),0)</f>
        <v>#VALUE!</v>
      </c>
      <c r="DK197" s="1316" t="e">
        <f aca="false">IF(AND(BX197&gt;0,CR197&gt;0,DE197&gt;0,CU197&gt;0),newSPRDOPT(BX197,CR197,CZ197,0,DE197,CU197,CV197,BT197*365.25,OCallPut,0),0)</f>
        <v>#VALUE!</v>
      </c>
      <c r="DL197" s="1316" t="e">
        <f aca="false">IF(OVolType,IF(AND(BZ197&gt;0,CS197&gt;0,DF197&gt;0,CU197&gt;0),newSPRDOPT(BZ197,CS197,DA197,0,DF197,CU197,CV197,BT197*365.25,OCallPut,0),0),IF(BQ197,(DH197*AZ197+DI197*BA197+DJ197*BB197+DK197*BC197)/BQ197,0))</f>
        <v>#VALUE!</v>
      </c>
      <c r="DM197" s="1316"/>
      <c r="DN197" s="1316"/>
      <c r="DO197" s="1316"/>
      <c r="DP197" s="1316"/>
      <c r="DQ197" s="1316"/>
      <c r="DR197" s="1316"/>
      <c r="DS197" s="1316"/>
      <c r="DT197" s="1316"/>
      <c r="DU197" s="1316"/>
      <c r="DV197" s="1316"/>
      <c r="DW197" s="1594" t="e">
        <f aca="false">IF(AND(BW197&gt;0,CT197&gt;0,DD197&gt;0,CU197&gt;0),newSPRDOPT(BW197,CT197,CY197,0,DD197,CU197,CV197,BT197*365.25,OCallPut,0),0)</f>
        <v>#VALUE!</v>
      </c>
      <c r="DX197" s="1316" t="e">
        <f aca="false">IF(AND(BX197&gt;0,CT197&gt;0,DE197&gt;0,CU197&gt;0),newSPRDOPT(BX197,CT197,CZ197,0,DE197,CU197,CV197,BT197*365.25,OCallPut,0),0)</f>
        <v>#VALUE!</v>
      </c>
      <c r="DY197" s="1591" t="e">
        <f aca="false">IF(BS197,(DH197*BH197+DI197*BI197+DW197*BJ197+DX197*BK197)/BS197,0)</f>
        <v>#VALUE!</v>
      </c>
      <c r="DZ197" s="1551" t="e">
        <f aca="false">DH197*AZ197</f>
        <v>#VALUE!</v>
      </c>
      <c r="EA197" s="1551" t="e">
        <f aca="false">DI197*BA197</f>
        <v>#VALUE!</v>
      </c>
      <c r="EB197" s="1551" t="e">
        <f aca="false">DJ197*BB197</f>
        <v>#VALUE!</v>
      </c>
      <c r="EC197" s="1551" t="e">
        <f aca="false">DK197*BC197</f>
        <v>#VALUE!</v>
      </c>
      <c r="ED197" s="1551" t="e">
        <f aca="false">DL197*BQ197</f>
        <v>#VALUE!</v>
      </c>
      <c r="EE197" s="1595" t="e">
        <f aca="false">IF(BQ197,IF(OCallPut,IF(BU197&gt;(CO197+CW197),BU197-(CO197+CW197),0),IF((CO197+CW197)&gt;BU197,(CO197+CW197)-BU197,0))*AZ197,0)</f>
        <v>#VALUE!</v>
      </c>
      <c r="EF197" s="1596" t="e">
        <f aca="false">IF(BQ197,IF(OCallPut,IF(BV197&gt;(CP197+CX197),BV197-(CP197+CX197),0),IF((CP197+CX197)&gt;BV197,(CP197+CX197)-BV197,0))*BA197,0)</f>
        <v>#VALUE!</v>
      </c>
      <c r="EG197" s="1596" t="e">
        <f aca="false">IF(BQ197,IF(OCallPut,IF(BW197&gt;(CQ197+CY197),BW197-(CQ197+CY197),0),IF((CQ197+CY197)&gt;BW197,(CQ197+CY197)-BW197,0))*BB197,0)</f>
        <v>#VALUE!</v>
      </c>
      <c r="EH197" s="1596" t="e">
        <f aca="false">IF(BQ197,IF(OCallPut,IF(BX197&gt;(CR197+CZ197),BX197-(CR197+CZ197),0),IF((CR197+CZ197)&gt;BX197,(CR197+CZ197)-BX197,0))*BC197,0)</f>
        <v>#VALUE!</v>
      </c>
      <c r="EI197" s="1597" t="e">
        <f aca="false">IF(BQ197,IF(OVolType,IF(OCallPut,IF(BZ197&gt;(CS197+DA197),BZ197-(CS197+DA197),0),IF((CS197+DA197)&gt;BZ197,(CS197+DA197)-BZ197,0))*BQ197,SUM(EE197:EH197)),0)</f>
        <v>#VALUE!</v>
      </c>
      <c r="EJ197" s="1595" t="e">
        <f aca="false">DZ197-EE197</f>
        <v>#VALUE!</v>
      </c>
      <c r="EK197" s="1596" t="e">
        <f aca="false">EA197-EF197</f>
        <v>#VALUE!</v>
      </c>
      <c r="EL197" s="1596" t="e">
        <f aca="false">EB197-EG197</f>
        <v>#VALUE!</v>
      </c>
      <c r="EM197" s="1596" t="e">
        <f aca="false">EC197-EH197</f>
        <v>#VALUE!</v>
      </c>
      <c r="EN197" s="1597" t="e">
        <f aca="false">ED197-EI197</f>
        <v>#VALUE!</v>
      </c>
      <c r="EO197" s="1551" t="e">
        <f aca="false">DH197*BH197</f>
        <v>#VALUE!</v>
      </c>
      <c r="EP197" s="1551" t="e">
        <f aca="false">DI197*BI197</f>
        <v>#VALUE!</v>
      </c>
      <c r="EQ197" s="1551" t="e">
        <f aca="false">DW197*BJ197</f>
        <v>#VALUE!</v>
      </c>
      <c r="ER197" s="1551" t="e">
        <f aca="false">DX197*BK197</f>
        <v>#VALUE!</v>
      </c>
      <c r="ES197" s="1551" t="e">
        <f aca="false">DY197*BS197</f>
        <v>#VALUE!</v>
      </c>
      <c r="ET197" s="1566" t="e">
        <f aca="false">IF(EI197,IF(OCallPut,IF(CA197&gt;(CT197+CW197),CA197-(CT197+CW197),0),IF((CT197+CW197)&gt;CA197,(CT197+CW197)-CA197,0))*BH197,0)</f>
        <v>#VALUE!</v>
      </c>
      <c r="EU197" s="1551" t="e">
        <f aca="false">IF(EI197,IF(OCallPut,IF(CB197&gt;(CT197+CX197),CB197-(CT197+CX197),0),IF((CT197+CX197)&gt;CB197,(CT197+CX197)-CB197,0))*BI197,0)</f>
        <v>#VALUE!</v>
      </c>
      <c r="EV197" s="1551" t="e">
        <f aca="false">IF(EI197,IF(OCallPut,IF(CC197&gt;(CT197+CY197),CC197-(CT197+CY197),0),IF((CT197+CY197)&gt;CC197,(CT197+CY197)-CC197,0))*BJ197,0)</f>
        <v>#VALUE!</v>
      </c>
      <c r="EW197" s="1551" t="e">
        <f aca="false">IF(EI197,IF(OCallPut,IF(CD197&gt;(CT197+CZ197),CD197-(CT197+CZ197),0),IF((CT197+CZ197)&gt;CD197,(CT197+CZ197)-CD197,0))*BK197,0)</f>
        <v>#VALUE!</v>
      </c>
      <c r="EX197" s="1558" t="e">
        <f aca="false">IF(EI197,SUM(ET197:EW197),0)</f>
        <v>#VALUE!</v>
      </c>
      <c r="EY197" s="1551" t="e">
        <f aca="false">EO197-ET197</f>
        <v>#VALUE!</v>
      </c>
      <c r="EZ197" s="1551" t="e">
        <f aca="false">EP197-EU197</f>
        <v>#VALUE!</v>
      </c>
      <c r="FA197" s="1551" t="e">
        <f aca="false">EQ197-EV197</f>
        <v>#VALUE!</v>
      </c>
      <c r="FB197" s="1551" t="e">
        <f aca="false">ER197-EW197</f>
        <v>#VALUE!</v>
      </c>
      <c r="FC197" s="1551" t="e">
        <f aca="false">ES197-EX197</f>
        <v>#VALUE!</v>
      </c>
      <c r="FD197" s="1525" t="n">
        <f aca="false">IF(AX197,IF(VLOOKUP(C197,MAIN!$L$17:$M$28,2)="Yes",VLOOKUP(CALC!B197,MAIN!$H$17:$I$20,2),0),0)</f>
        <v>0</v>
      </c>
      <c r="FE197" s="1552" t="e">
        <f aca="false">$FD197*16*AT197*(1-$AY197)</f>
        <v>#VALUE!</v>
      </c>
      <c r="FF197" s="1553" t="e">
        <f aca="false">$FD197*16*AU197*(1-$AY197)</f>
        <v>#VALUE!</v>
      </c>
      <c r="FG197" s="1553" t="e">
        <f aca="false">$FD197*16*(AV197+AW197)*(1-$AY197)</f>
        <v>#VALUE!</v>
      </c>
      <c r="FH197" s="1554" t="n">
        <f aca="false">$FD197*8*AX197*(1-$AY197)</f>
        <v>0</v>
      </c>
      <c r="FI197" s="1555" t="n">
        <f aca="false">IF(AX197,VLOOKUP(CALC!B197,MAIN!$H$17:$K$20,4),0)</f>
        <v>0</v>
      </c>
      <c r="FJ197" s="1553" t="e">
        <f aca="false">SUM(FE197:FH197)</f>
        <v>#VALUE!</v>
      </c>
      <c r="FK197" s="1556" t="e">
        <f aca="false">FI197*FJ197</f>
        <v>#VALUE!</v>
      </c>
      <c r="FL197" s="1551" t="e">
        <f aca="false">IF($EI197&gt;0,MIN(FE197,AZ197*(1+VLOOKUP($C197,WeatherCapacityAdjustment,2))),0)</f>
        <v>#VALUE!</v>
      </c>
      <c r="FM197" s="1551" t="e">
        <f aca="false">IF($EI197&gt;0,MIN(FF197,BA197*(1+VLOOKUP($C197,WeatherCapacityAdjustment,2))),0)</f>
        <v>#VALUE!</v>
      </c>
      <c r="FN197" s="1551" t="e">
        <f aca="false">IF($EI197&gt;0,MIN(FG197,BB197*(1+VLOOKUP($C197,WeatherCapacityAdjustment,2))),0)</f>
        <v>#VALUE!</v>
      </c>
      <c r="FO197" s="1564" t="e">
        <f aca="false">IF($EI197&gt;0,MIN(FH197,BC197*(1+VLOOKUP($C197,WeatherCapacityAdjustment,3))),0)</f>
        <v>#VALUE!</v>
      </c>
      <c r="FP197" s="1551" t="e">
        <f aca="false">IF(ET197&gt;0,MIN(FE197-FL197,BH197*(1+VLOOKUP($C197,WeatherCapacityAdjustment,2))),0)</f>
        <v>#VALUE!</v>
      </c>
      <c r="FQ197" s="1551" t="e">
        <f aca="false">IF(EU197&gt;0,MIN(FF197-FM197,BI197*(1+VLOOKUP($C197,WeatherCapacityAdjustment,2))),0)</f>
        <v>#VALUE!</v>
      </c>
      <c r="FR197" s="1551" t="e">
        <f aca="false">IF(EV197&gt;0,MIN(FG197-FN197,BJ197*(1+VLOOKUP($C197,WeatherCapacityAdjustment,2))),0)</f>
        <v>#VALUE!</v>
      </c>
      <c r="FS197" s="1558" t="e">
        <f aca="false">IF(EW197&gt;0,MIN(FH197-FO197,BK197*(1+VLOOKUP($C197,WeatherCapacityAdjustment,3))),0)</f>
        <v>#VALUE!</v>
      </c>
      <c r="FT197" s="1566" t="e">
        <f aca="false">IF(AND(Assumptions!$H$71="Yes",A197&gt;=Assumptions!$H$72,A197&lt;=Assumptions!$H$73),0,IF(AND($A197&gt;=Assumptions!$C$17,$A197&lt;=Assumptions!$C$18),MAX(AZ197*(1+VLOOKUP($C197,WeatherCapacityAdjustment,2))-FL197,0),0))</f>
        <v>#VALUE!</v>
      </c>
      <c r="FU197" s="1551" t="e">
        <f aca="false">IF(AND(Assumptions!$H$71="Yes",A197&gt;=Assumptions!$H$72,A197&lt;=Assumptions!$H$73),0,IF(AND($A197&gt;=Assumptions!$C$17,$A197&lt;=Assumptions!$C$18),MAX(BA197*(1+VLOOKUP($C197,WeatherCapacityAdjustment,2))-FM197,0),0))</f>
        <v>#VALUE!</v>
      </c>
      <c r="FV197" s="1551" t="e">
        <f aca="false">IF(AND(Assumptions!$H$71="Yes",A197&gt;=Assumptions!$H$72,A197&lt;=Assumptions!$H$73),0,IF(AND($A197&gt;=Assumptions!$C$17,$A197&lt;=Assumptions!$C$18),MAX(BB197*(1+VLOOKUP($C197,WeatherCapacityAdjustment,2))-FN197,0),0))</f>
        <v>#VALUE!</v>
      </c>
      <c r="FW197" s="1564" t="e">
        <f aca="false">IF(AND(Assumptions!$H$71="Yes",A197&gt;=Assumptions!$H$72,A197&lt;=Assumptions!$H$73),0,IF(AND($A197&gt;=Assumptions!$C$17,$A197&lt;=Assumptions!$C$18),MAX(BC197*(1+VLOOKUP($C197,WeatherCapacityAdjustment,3))-FO197,0),0))</f>
        <v>#VALUE!</v>
      </c>
      <c r="FX197" s="1569" t="e">
        <f aca="false">IF(AND(Assumptions!$H$71="Yes",A197&gt;=Assumptions!$H$72,A197&lt;=Assumptions!$H$73),0,IF(ET197&gt;0,MAX(BH197*(1+VLOOKUP($C197,WeatherCapacityAdjustment,2))-FP197,0),0))</f>
        <v>#VALUE!</v>
      </c>
      <c r="FY197" s="1551" t="e">
        <f aca="false">IF(AND(Assumptions!$H$71="Yes",A197&gt;=Assumptions!$H$72,A197&lt;=Assumptions!$H$73),0,IF(EU197&gt;0,MAX(BI197*(1+VLOOKUP($C197,WeatherCapacityAdjustment,3))-FQ197,0),0))</f>
        <v>#VALUE!</v>
      </c>
      <c r="FZ197" s="1551" t="e">
        <f aca="false">IF(AND(Assumptions!$H$71="Yes",A197&gt;=Assumptions!$H$72,A197&lt;=Assumptions!$H$73),0,IF(EV197&gt;0,MAX(BJ197*(1+VLOOKUP($C197,WeatherCapacityAdjustment,2))-FR197,0),0))</f>
        <v>#VALUE!</v>
      </c>
      <c r="GA197" s="1564" t="e">
        <f aca="false">IF(AND(Assumptions!$H$71="Yes",A197&gt;=Assumptions!$H$72,A197&lt;=Assumptions!$H$73),0,IF(EW197&gt;0,MAX(BK197*(1+VLOOKUP($C197,WeatherCapacityAdjustment,2))-FS197,0),0))</f>
        <v>#VALUE!</v>
      </c>
      <c r="GB197" s="1551" t="e">
        <f aca="false">SUM(FT197:GA197)</f>
        <v>#VALUE!</v>
      </c>
      <c r="GC197" s="1563" t="e">
        <f aca="false">+IF(SUM(FT197:GA197)=0,0,(SUMPRODUCT(BU197:BX197,FT197:FW197)+SUMPRODUCT(CA197:CD197,FX197:GA197))/SUM(FT197:GA197))</f>
        <v>#VALUE!</v>
      </c>
      <c r="GD197" s="1551" t="e">
        <f aca="false">(FT197*BU197+FX197*CA197+FU197*BV197+FY197*CB197+FV197*BW197+FZ197*CC197+FW197*BX197+GA197*CD197)</f>
        <v>#VALUE!</v>
      </c>
      <c r="GE197" s="1561" t="e">
        <f aca="false">+IF(BQ197,((FL197+FM197+FT197+FU197)*HeatRatePeak/1000*(1+VLOOKUP($C197,WeatherHeatRateAdjustment,2))+(FN197+FV197)*IF(EV197&gt;0,HeatRatePeak,HeatRateOffPeak)/1000*(1+VLOOKUP($C197,WeatherHeatRateAdjustment,2))+(FO197+FW197)*IF(EW197&gt;0,HeatRatePeak,HeatRateOffPeak)/1000*(1+VLOOKUP($C197,WeatherHeatRateAdjustment,3)))*(1+VLOOKUP($B197,HeatRateDegradation,$C197+1)),0)</f>
        <v>#VALUE!</v>
      </c>
      <c r="GF197" s="1562" t="e">
        <f aca="false">IF(BQ197,((FP197+FQ197+FR197+FX197+FY197+FZ197)*HeatRatePeak/1000*(1+VLOOKUP($C197,WeatherHeatRateAdjustment,2))+(FS197+GA197)*HeatRatePeak/1000*(1+VLOOKUP($C197,WeatherHeatRateAdjustment,3)))*(1+VLOOKUP($B197,HeatRateDegradation,$C197+1)),0)</f>
        <v>#VALUE!</v>
      </c>
      <c r="GG197" s="1563" t="e">
        <f aca="false">IF(BQ197,VLOOKUP(A197,GasTable,13),0)</f>
        <v>#VALUE!</v>
      </c>
      <c r="GH197" s="1564" t="e">
        <f aca="false">(GE197+GF197)*GG197</f>
        <v>#VALUE!</v>
      </c>
      <c r="GI197" s="1569" t="e">
        <f aca="false">GB197</f>
        <v>#VALUE!</v>
      </c>
      <c r="GJ197" s="1598" t="e">
        <f aca="false">+DA197</f>
        <v>#VALUE!</v>
      </c>
      <c r="GK197" s="1558" t="e">
        <f aca="false">+GI197*GJ197</f>
        <v>#VALUE!</v>
      </c>
      <c r="GL197" s="1566" t="e">
        <f aca="false">MAX(FE197-FL197-FP197,0)</f>
        <v>#VALUE!</v>
      </c>
      <c r="GM197" s="1551" t="e">
        <f aca="false">MAX(FF197-FM197-FQ197,0)</f>
        <v>#VALUE!</v>
      </c>
      <c r="GN197" s="1551" t="e">
        <f aca="false">MAX(FG197-FN197-FR197,0)</f>
        <v>#VALUE!</v>
      </c>
      <c r="GO197" s="1564" t="e">
        <f aca="false">MAX(FH197-FO197-FS197,0)</f>
        <v>#VALUE!</v>
      </c>
      <c r="GP197" s="1551" t="e">
        <f aca="false">SUM(GL197:GO197)</f>
        <v>#VALUE!</v>
      </c>
      <c r="GQ197" s="1563" t="e">
        <f aca="false">IF(SUM(GL197:GO197)=0,0,((GL197*BU197+GM197*BV197+GN197*BW197+GO197*BX197)/SUM(GL197:GO197)))</f>
        <v>#VALUE!</v>
      </c>
      <c r="GR197" s="1558" t="e">
        <f aca="false">(GL197*BU197+GM197*BV197+GN197*BW197+GO197*BX197)</f>
        <v>#VALUE!</v>
      </c>
      <c r="GS197" s="1566" t="n">
        <f aca="false">IF($A197&gt;=BegDate,Assumptions!$C$56*24*($A198-$A197)*(1-VLOOKUP($B197,MAIN!$AA$7:$AM$28,$C197+1))*(1-VLOOKUP($B197,MAIN!$AA$33:$AM$54,$C197+1)),0)*80/168</f>
        <v>257742.857142857</v>
      </c>
      <c r="GT197" s="286" t="n">
        <f aca="false">J197</f>
        <v>46.815088040768</v>
      </c>
      <c r="GU197" s="286" t="n">
        <f aca="false">IF($A197&gt;=BegDate,VLOOKUP($A197,GasTable,13)+Assumptions!$C$58,0)</f>
        <v>3.08136378316234</v>
      </c>
      <c r="GV197" s="286" t="n">
        <f aca="false">GU197*Assumptions!$C$57/1000</f>
        <v>22.339887427927</v>
      </c>
      <c r="GW197" s="1558" t="n">
        <f aca="false">IF(Assumptions!$C$60="Hourly",MAX(0,GS197*(GT197-GV197)),GS197*(GT197-GV197))</f>
        <v>6308308.13509827</v>
      </c>
      <c r="GX197" s="1566" t="n">
        <f aca="false">IF($A197&gt;=BegDate,Assumptions!$C$56*24*($A198-$A197)*(1-VLOOKUP($B197,MAIN!$AA$7:$AM$28,$C197+1))*(1-VLOOKUP($B197,MAIN!$AA$33:$AM$54,$C197+1)),0)*16/168</f>
        <v>51548.5714285714</v>
      </c>
      <c r="GY197" s="286" t="n">
        <f aca="false">M197</f>
        <v>46.815088040768</v>
      </c>
      <c r="GZ197" s="286" t="n">
        <f aca="false">IF($A197&gt;=BegDate,VLOOKUP($A197,GasTable,13)+Assumptions!$C$58,0)</f>
        <v>3.08136378316234</v>
      </c>
      <c r="HA197" s="286" t="n">
        <f aca="false">GZ197*Assumptions!$C$57/1000</f>
        <v>22.339887427927</v>
      </c>
      <c r="HB197" s="1558" t="n">
        <f aca="false">IF(Assumptions!$C$60="Hourly",MAX(0,GX197*(GY197-HA197)),GX197*(GY197-HA197))</f>
        <v>1261661.62701965</v>
      </c>
      <c r="HC197" s="1566" t="n">
        <f aca="false">IF($A197&gt;=BegDate,Assumptions!$C$56*24*($A198-$A197)*(1-VLOOKUP($B197,MAIN!$AA$7:$AM$28,$C197+1))*(1-VLOOKUP($B197,MAIN!$AA$33:$AM$54,$C197+1)),0)*16/168</f>
        <v>51548.5714285714</v>
      </c>
      <c r="HD197" s="286" t="n">
        <f aca="false">P197</f>
        <v>26.9693172843419</v>
      </c>
      <c r="HE197" s="286" t="n">
        <f aca="false">IF($A197&gt;=BegDate,VLOOKUP($A197,GasTable,13)+Assumptions!$C$58,0)</f>
        <v>3.08136378316234</v>
      </c>
      <c r="HF197" s="286" t="n">
        <f aca="false">HE197*Assumptions!$C$57/1000</f>
        <v>22.339887427927</v>
      </c>
      <c r="HG197" s="1558" t="n">
        <f aca="false">IF(Assumptions!$C$60="Hourly",MAX(0,HC197*(HD197-HF197)),HC197*(HD197-HF197))</f>
        <v>238640.495626968</v>
      </c>
      <c r="HH197" s="1566" t="n">
        <f aca="false">IF($A197&gt;=BegDate,Assumptions!$C$56*24*($A198-$A197)*(1-VLOOKUP($B197,MAIN!$AA$7:$AM$28,$C197+1))*(1-VLOOKUP($B197,MAIN!$AA$33:$AM$54,$C197+1)),0)*56/168</f>
        <v>180420</v>
      </c>
      <c r="HI197" s="286" t="n">
        <f aca="false">S197</f>
        <v>26.9693172843419</v>
      </c>
      <c r="HJ197" s="286" t="n">
        <f aca="false">IF($A197&gt;=BegDate,VLOOKUP($A197,GasTable,13)+Assumptions!$C$58,0)</f>
        <v>3.08136378316234</v>
      </c>
      <c r="HK197" s="286" t="n">
        <f aca="false">HJ197*Assumptions!$C$57/1000</f>
        <v>22.339887427927</v>
      </c>
      <c r="HL197" s="1558" t="n">
        <f aca="false">IF(Assumptions!$C$60="Hourly",MAX(0,HH197*(HI197-HK197)),HH197*(HI197-HK197))</f>
        <v>835241.734694387</v>
      </c>
      <c r="HM197" s="1566" t="n">
        <f aca="false">IF(AND(Assumptions!$H$71="Yes",A197&gt;=Assumptions!$H$72,A197&lt;=Assumptions!$H$73),Assumptions!$H$74*Assumptions!$C$9*1000,0)</f>
        <v>0</v>
      </c>
      <c r="HN197" s="1551"/>
      <c r="HO197" s="1563"/>
      <c r="HP197" s="1563"/>
      <c r="HQ197" s="1563"/>
      <c r="HR197" s="1563"/>
      <c r="HS197" s="1563"/>
      <c r="HT197" s="1563"/>
      <c r="HU197" s="1563"/>
      <c r="HV197" s="1563"/>
      <c r="HW197" s="1563"/>
      <c r="HX197" s="1563"/>
      <c r="HY197" s="1563"/>
      <c r="HZ197" s="1563"/>
      <c r="IA197" s="1563"/>
      <c r="IB197" s="1563"/>
      <c r="IC197" s="1563"/>
      <c r="ID197" s="1563"/>
      <c r="IE197" s="1563"/>
      <c r="IF197" s="1563"/>
      <c r="IG197" s="1563"/>
      <c r="IH197" s="1563"/>
      <c r="II197" s="1610"/>
      <c r="IJ197" s="1309"/>
      <c r="IK197" s="1309"/>
    </row>
    <row r="198" customFormat="false" ht="12.75" hidden="false" customHeight="false" outlineLevel="0" collapsed="false">
      <c r="A198" s="1571" t="n">
        <f aca="false">EOMONTH(A197,0)+1</f>
        <v>42156</v>
      </c>
      <c r="B198" s="594" t="n">
        <f aca="false">+YEAR(A198)</f>
        <v>2015</v>
      </c>
      <c r="C198" s="238" t="n">
        <f aca="false">MONTH(A198)</f>
        <v>6</v>
      </c>
      <c r="D198" s="1572" t="e">
        <f aca="false">IF(E198="","",Holiday(B198,C198))</f>
        <v>#VALUE!</v>
      </c>
      <c r="E198" s="1573" t="n">
        <f aca="false">IF(OR(BegDate&gt;=A199,EndDate&lt;A198,AND(VolumeMonthlyOverFlag,INDEX(VolumeMonthlyOver,C198)=0),NOT(INDEX(MonthKnockOutTable,C198))),"",MAX(A198,BegDate))</f>
        <v>42156</v>
      </c>
      <c r="F198" s="1574" t="n">
        <f aca="false">IF(E198="","",MIN(A199-1,EndDate))</f>
        <v>42185</v>
      </c>
      <c r="G198" s="1575" t="n">
        <v>0</v>
      </c>
      <c r="H198" s="1576" t="n">
        <f aca="false">(1+G198/2)^(-2*(DATE(B199,C199,20)-DateToday)/365.25)</f>
        <v>1</v>
      </c>
      <c r="I198" s="1568" t="n">
        <f aca="false">IF(Assumptions!$L$25=4,VLOOKUP($A198,'Henwood Reference'!$E$9:$R$320,10),(VLOOKUP($A198,PriceTable,2,0)+IF(BasisNumber&lt;&gt;1,VLOOKUP($A198,BasisTable,2,0),0)+I$1)/(1-I$2))</f>
        <v>44.2919886669118</v>
      </c>
      <c r="J198" s="1568" t="n">
        <f aca="false">IF(Assumptions!$L$25=4,VLOOKUP($A198,'Henwood Reference'!$E$9:$R$320,10),(VLOOKUP($A198,PriceTable,3,0)+IF(BasisNumber&lt;&gt;1,VLOOKUP($A198,BasisTable,2,0),0)+J$1)/(1-J$2))</f>
        <v>44.2919886669118</v>
      </c>
      <c r="K198" s="1568" t="n">
        <f aca="false">IF(Assumptions!$L$25=4,VLOOKUP($A198,'Henwood Reference'!$E$9:$R$320,10),(VLOOKUP($A198,PriceTable,4,0)+IF(BasisNumber&lt;&gt;1,VLOOKUP($A198,BasisTable,2,0),0)+K$1)/(1-K$2))</f>
        <v>44.2919886669118</v>
      </c>
      <c r="L198" s="1523" t="n">
        <f aca="false">IF(Assumptions!$L$25=4,VLOOKUP($A198,'Henwood Reference'!$E$9:$R$320,10),(VLOOKUP($A198,PriceTableWeekend,2,0)+IF(BasisNumber&lt;&gt;1,VLOOKUP($A198,BasisTable,2,0),0)+L$1)/(1-L$2))</f>
        <v>44.2919886669118</v>
      </c>
      <c r="M198" s="1568" t="n">
        <f aca="false">IF(Assumptions!$L$25=4,VLOOKUP($A198,'Henwood Reference'!$E$9:$R$320,10),(VLOOKUP($A198,PriceTableWeekend,3,0)+IF(BasisNumber&lt;&gt;1,VLOOKUP($A198,BasisTable,2,0),0)+M$1)/(1-M$2))</f>
        <v>44.2919886669118</v>
      </c>
      <c r="N198" s="1599" t="n">
        <f aca="false">IF(Assumptions!$L$25=4,VLOOKUP($A198,'Henwood Reference'!$E$9:$R$320,10),(VLOOKUP($A198,PriceTableWeekend,4,0)+IF(BasisNumber&lt;&gt;1,VLOOKUP($A198,BasisTable,2,0),0)+N$1)/(1-N$2))</f>
        <v>44.2919886669118</v>
      </c>
      <c r="O198" s="1568" t="n">
        <f aca="false">IF(Assumptions!$L$25=4,VLOOKUP($A198,'Henwood Reference'!$E$9:$R$320,11),(VLOOKUP($A198,PriceTableWeekend,6,0)+IF(BasisNumber&lt;&gt;1,VLOOKUP($A198,BasisTable,3,0),0)+O$1)/(1-O$2))</f>
        <v>25.5211629523051</v>
      </c>
      <c r="P198" s="1568" t="n">
        <f aca="false">IF(Assumptions!$L$25=4,VLOOKUP($A198,'Henwood Reference'!$E$9:$R$320,11),(VLOOKUP($A198,PriceTableWeekend,7,0)+IF(BasisNumber&lt;&gt;1,VLOOKUP($A198,BasisTable,3,0),0)+P$1)/(1-P$2))</f>
        <v>25.5211629523051</v>
      </c>
      <c r="Q198" s="1599" t="n">
        <f aca="false">IF(Assumptions!$L$25=4,VLOOKUP($A198,'Henwood Reference'!$E$9:$R$320,11),(VLOOKUP($A198,PriceTableWeekend,8,0)+IF(BasisNumber&lt;&gt;1,VLOOKUP($A198,BasisTable,3,0),0)+Q$1)/(1-Q$2))</f>
        <v>25.5211629523051</v>
      </c>
      <c r="R198" s="1568" t="n">
        <f aca="false">IF(Assumptions!$L$25=4,VLOOKUP($A198,'Henwood Reference'!$E$9:$R$320,11),(VLOOKUP($A198,PriceTable,6,0)+IF(BasisNumber&lt;&gt;1,VLOOKUP($A198,BasisTable,3,0),0)+R$1)/(1-R$2))</f>
        <v>25.5211629523051</v>
      </c>
      <c r="S198" s="1568" t="n">
        <f aca="false">IF(Assumptions!$L$25=4,VLOOKUP($A198,'Henwood Reference'!$E$9:$R$320,11),(VLOOKUP($A198,PriceTable,7,0)+IF(BasisNumber&lt;&gt;1,VLOOKUP($A198,BasisTable,3,0),0)+S$1)/(1-S$2))</f>
        <v>25.5211629523051</v>
      </c>
      <c r="T198" s="1600" t="n">
        <f aca="false">IF(Assumptions!$L$25=4,VLOOKUP($A198,'Henwood Reference'!$E$9:$R$320,11),(VLOOKUP($A198,PriceTable,8,0)+IF(BasisNumber&lt;&gt;1,VLOOKUP($A198,BasisTable,3,0),0)+T$1)/(1-T$2))</f>
        <v>25.5211629523051</v>
      </c>
      <c r="U198" s="1513" t="n">
        <f aca="false">VLOOKUP($A198,VolatilityTable,14)</f>
        <v>0.0949999999999999</v>
      </c>
      <c r="V198" s="1513" t="n">
        <f aca="false">VLOOKUP($A198,VolatilityTable,15)</f>
        <v>0.105</v>
      </c>
      <c r="W198" s="1514" t="n">
        <f aca="false">VLOOKUP($A198,VolatilityTable,16)</f>
        <v>0.115</v>
      </c>
      <c r="X198" s="1513" t="n">
        <f aca="false">VLOOKUP($A198,VolatilityTable,14)</f>
        <v>0.0949999999999999</v>
      </c>
      <c r="Y198" s="1513" t="n">
        <f aca="false">VLOOKUP($A198,VolatilityTable,15)</f>
        <v>0.105</v>
      </c>
      <c r="Z198" s="1514" t="n">
        <f aca="false">VLOOKUP($A198,VolatilityTable,16)</f>
        <v>0.115</v>
      </c>
      <c r="AA198" s="1513" t="n">
        <f aca="false">VLOOKUP($A198,VolatilityTable,18)</f>
        <v>0.09</v>
      </c>
      <c r="AB198" s="1513" t="n">
        <f aca="false">VLOOKUP($A198,VolatilityTable,19)</f>
        <v>0.11</v>
      </c>
      <c r="AC198" s="1514" t="n">
        <f aca="false">VLOOKUP($A198,VolatilityTable,20)</f>
        <v>0.13</v>
      </c>
      <c r="AD198" s="1513" t="n">
        <f aca="false">VLOOKUP($A198,VolatilityTable,18)</f>
        <v>0.09</v>
      </c>
      <c r="AE198" s="1513" t="n">
        <f aca="false">VLOOKUP($A198,VolatilityTable,19)</f>
        <v>0.11</v>
      </c>
      <c r="AF198" s="1514" t="n">
        <f aca="false">VLOOKUP($A198,VolatilityTable,20)</f>
        <v>0.13</v>
      </c>
      <c r="AG198" s="1513" t="n">
        <f aca="false">VLOOKUP($A198,VolatilityTable,22)</f>
        <v>-0.35</v>
      </c>
      <c r="AH198" s="1513" t="n">
        <f aca="false">VLOOKUP($A198,VolatilityTable,23)</f>
        <v>0.65</v>
      </c>
      <c r="AI198" s="1514" t="n">
        <f aca="false">VLOOKUP($A198,VolatilityTable,24)</f>
        <v>0.2</v>
      </c>
      <c r="AJ198" s="1513" t="n">
        <f aca="false">VLOOKUP($A198,VolatilityTable,22)</f>
        <v>-0.35</v>
      </c>
      <c r="AK198" s="1513" t="n">
        <f aca="false">VLOOKUP($A198,VolatilityTable,23)</f>
        <v>0.65</v>
      </c>
      <c r="AL198" s="1514" t="n">
        <f aca="false">VLOOKUP($A198,VolatilityTable,24)</f>
        <v>0.2</v>
      </c>
      <c r="AM198" s="1513" t="n">
        <f aca="false">VLOOKUP($A198,VolatilityTable,26)</f>
        <v>-0.01</v>
      </c>
      <c r="AN198" s="1513" t="n">
        <f aca="false">VLOOKUP($A198,VolatilityTable,27)</f>
        <v>0.16</v>
      </c>
      <c r="AO198" s="1514" t="n">
        <f aca="false">VLOOKUP($A198,VolatilityTable,28)</f>
        <v>0.01</v>
      </c>
      <c r="AP198" s="1513" t="n">
        <f aca="false">VLOOKUP($A198,VolatilityTable,26)</f>
        <v>-0.01</v>
      </c>
      <c r="AQ198" s="1513" t="n">
        <f aca="false">VLOOKUP($A198,VolatilityTable,27)</f>
        <v>0.16</v>
      </c>
      <c r="AR198" s="1515" t="n">
        <f aca="false">VLOOKUP($A198,VolatilityTable,28)</f>
        <v>0.01</v>
      </c>
      <c r="AS198" s="1581" t="n">
        <f aca="false">IF(CorrPeakOffPeakOverFlag,INDEX(CorrPeakOffPeakOver,C198),CorrPeakOffPeak)</f>
        <v>0.5</v>
      </c>
      <c r="AT198" s="594" t="e">
        <f aca="false">AX198-SUM(AU198:AW198)</f>
        <v>#VALUE!</v>
      </c>
      <c r="AU198" s="238" t="e">
        <f aca="false">IF(E198="",0,INT((F198-MOD(F198,7)-E198)/7)+1-IF(AW198,IF(WEEKDAY(D198)=7,1,0),0))</f>
        <v>#VALUE!</v>
      </c>
      <c r="AV198" s="238" t="e">
        <f aca="false">IF(E198="",0,INT((F198-MOD(F198-1,7)-E198)/7)+1-IF(AW198,IF(WEEKDAY(D198)=1,1,0),0))</f>
        <v>#VALUE!</v>
      </c>
      <c r="AW198" s="238" t="e">
        <f aca="false">IF(OR(E198="",D198="",D198&lt;BegDate,D198&gt;EndDate),0,1)</f>
        <v>#VALUE!</v>
      </c>
      <c r="AX198" s="238" t="n">
        <f aca="false">IF(E198="",0,F198-E198+1)</f>
        <v>30</v>
      </c>
      <c r="AY198" s="1582" t="n">
        <f aca="false">IF(E198="",0,MIN((1-(1-VLOOKUP(B198,MAIN!$AA$7:$AM$28,C198+1))*(1-VLOOKUP(B198,MAIN!$AA$33:$AM$54,C198+1))),1))</f>
        <v>0.03</v>
      </c>
      <c r="AZ198" s="1519" t="e">
        <v>#VALUE!</v>
      </c>
      <c r="BA198" s="1520" t="e">
        <v>#VALUE!</v>
      </c>
      <c r="BB198" s="1520" t="e">
        <v>#VALUE!</v>
      </c>
      <c r="BC198" s="1583" t="e">
        <v>#VALUE!</v>
      </c>
      <c r="BD198" s="1522" t="e">
        <v>#VALUE!</v>
      </c>
      <c r="BE198" s="1523" t="e">
        <v>#VALUE!</v>
      </c>
      <c r="BF198" s="1523" t="e">
        <v>#VALUE!</v>
      </c>
      <c r="BG198" s="1584" t="e">
        <v>#VALUE!</v>
      </c>
      <c r="BH198" s="1525" t="e">
        <v>#VALUE!</v>
      </c>
      <c r="BI198" s="1520" t="e">
        <v>#VALUE!</v>
      </c>
      <c r="BJ198" s="1520" t="e">
        <v>#VALUE!</v>
      </c>
      <c r="BK198" s="1583" t="e">
        <v>#VALUE!</v>
      </c>
      <c r="BL198" s="1522" t="e">
        <v>#VALUE!</v>
      </c>
      <c r="BM198" s="1523" t="e">
        <v>#VALUE!</v>
      </c>
      <c r="BN198" s="1523" t="e">
        <v>#VALUE!</v>
      </c>
      <c r="BO198" s="1523" t="e">
        <v>#VALUE!</v>
      </c>
      <c r="BP198" s="1525" t="e">
        <f aca="false">SUM(AZ198:BB198)</f>
        <v>#VALUE!</v>
      </c>
      <c r="BQ198" s="1529" t="e">
        <f aca="false">SUM(AZ198:BC198)</f>
        <v>#VALUE!</v>
      </c>
      <c r="BR198" s="1519" t="e">
        <f aca="false">SUM(BH198:BJ198)</f>
        <v>#VALUE!</v>
      </c>
      <c r="BS198" s="1529" t="e">
        <f aca="false">SUM(BH198:BK198)</f>
        <v>#VALUE!</v>
      </c>
      <c r="BT198" s="1316" t="n">
        <f aca="false">(IF(OVolType&lt;&gt;2,A198+14,IF(OptExpDateShift,ShiftBack(A198,OptExpDateShift,D197),A198))-DateToday)/365.25</f>
        <v>15.129363449692</v>
      </c>
      <c r="BU198" s="1585" t="e">
        <f aca="false">IF(BQ198,IF(OPriceCurve,IF(OBuySell=OCallPut,I198/(1-AY198),K198/(1-AY198)),J198/(1-AY198))*BD198,0)</f>
        <v>#VALUE!</v>
      </c>
      <c r="BV198" s="1316" t="e">
        <f aca="false">IF(BQ198,IF(OPriceCurve,IF(OBuySell=OCallPut,L198/(1-AY198),N198/(1-AY198)),M198/(1-AY198))*BE198,0)</f>
        <v>#VALUE!</v>
      </c>
      <c r="BW198" s="1316" t="e">
        <f aca="false">IF(BQ198,IF(OPriceCurve,IF(OBuySell=OCallPut,O198/(1-AY198),Q198/(1-AY198)),P198/(1-AY198))*BF198,0)</f>
        <v>#VALUE!</v>
      </c>
      <c r="BX198" s="1316" t="e">
        <f aca="false">IF(BQ198,IF(OPriceCurve,IF(OBuySell=OCallPut,R198/(1-AY198),T198/(1-AY198)),S198/(1-AY198))*BG198,0)</f>
        <v>#VALUE!</v>
      </c>
      <c r="BY198" s="1316" t="e">
        <f aca="false">IF(BP198,(BU198*AZ198+BV198*BA198+BW198*BB198)/BP198,0)</f>
        <v>#VALUE!</v>
      </c>
      <c r="BZ198" s="1316" t="e">
        <f aca="false">IF(BQ198,(BY198*BP198+BX198*BC198)/BQ198,0)</f>
        <v>#VALUE!</v>
      </c>
      <c r="CA198" s="1531" t="e">
        <f aca="false">IF(BS198,IF(OPriceCurve,IF(OBuySell=OCallPut,I198/(1-AY198),K198/(1-AY198)),J198/(1-AY198))*BL198,0)</f>
        <v>#VALUE!</v>
      </c>
      <c r="CB198" s="1316" t="e">
        <f aca="false">IF(BS198,IF(OPriceCurve,IF(OBuySell=OCallPut,L198/(1-AY198),N198/(1-AY198)),M198/(1-AY198))*BM198,0)</f>
        <v>#VALUE!</v>
      </c>
      <c r="CC198" s="1316" t="e">
        <f aca="false">IF(BS198,IF(OPriceCurve,IF(OBuySell=OCallPut,O198/(1-AY198),Q198/(1-AY198)),P198/(1-AY198))*BN198,0)</f>
        <v>#VALUE!</v>
      </c>
      <c r="CD198" s="1316" t="e">
        <f aca="false">IF(BS198,IF(OPriceCurve,IF(OBuySell=OCallPut,R198/(1-AY198),T198/(1-AY198)),S198/(1-AY198))*BO198,0)</f>
        <v>#VALUE!</v>
      </c>
      <c r="CE198" s="1316" t="e">
        <f aca="false">IF(BR198,(BU198*BH198+BV198*BI198+BW198*BJ198)/BR198,0)</f>
        <v>#VALUE!</v>
      </c>
      <c r="CF198" s="1532" t="e">
        <f aca="false">IF(BS198,(CE198*BR198+CD198*BK198)/BS198,0)</f>
        <v>#VALUE!</v>
      </c>
      <c r="CG198" s="1586" t="e">
        <f aca="false">IF(OR(BQ198,BS198),IF(OVolType&lt;&gt;2,SQRT(IF(OVolOverMonthlyPeak,OVolOverMonthlyPeak,IF(OVolCurve,IF(OBuySell,U198,W198),V198))^2*(1-15/365.25/BT198)+IF(OVolOverDailyPeak,OVolOverDailyPeak,IF(OVolCurve,IF(OBuySell,AG198,AI198),AH198))^2*15/365.25/BT198),IF(OVolOverMonthlyPeak,OVolOverMonthlyPeak,IF(OVolCurve,IF(OBuySell,U198,W198),V198))),"")</f>
        <v>#VALUE!</v>
      </c>
      <c r="CH198" s="1587" t="e">
        <f aca="false">IF(OR(BQ198,BS198),IF(OVolType&lt;&gt;2,SQRT(IF(OVolOverMonthlyPeak,OVolOverMonthlyPeak,IF(OVolCurve,IF(OBuySell,X198,Z198),Y198))^2*(1-15/365.25/BT198)+IF(OVolOverDailyPeak,OVolOverDailyPeak,IF(OVolCurve,IF(OBuySell,AJ198,AL198),AK198))^2*15/365.25/BT198),IF(OVolOverMonthlyPeak,OVolOverMonthlyPeak,IF(OVolCurve,IF(OBuySell,X198,Z198),Y198))),"")</f>
        <v>#VALUE!</v>
      </c>
      <c r="CI198" s="1587" t="e">
        <f aca="false">IF(OR(BQ198,BS198),IF(OVolType&lt;&gt;2,SQRT(IF(OVolOverMonthlyPeak,OVolOverMonthlyPeak,IF(OVolCurve,IF(OBuySell,AA198,AC198),AB198))^2*(1-15/365.25/BT198)+IF(OVolOverDailyPeak,OVolOverDailyPeak,IF(OVolCurve,IF(OBuySell,AM198,AO198),AN198))^2*15/365.25/BT198),IF(OVolOverMonthlyPeak,OVolOverMonthlyPeak,IF(OVolCurve,IF(OBuySell,AA198,AC198),AB198))),"")</f>
        <v>#VALUE!</v>
      </c>
      <c r="CJ198" s="1587" t="e">
        <f aca="false">IF(BQ198,IF(BP198,SQRT(LN(1+((BU198*AZ198)^2*(EXP(CG198^2*BT198)-1)+(BV198*BA198)^2*(EXP(CH198^2*BT198)-1)+(BW198*BB198)^2*(EXP(CI198^2*BT198)-1)+2*BU198*AZ198*BV198*BA198*(EXP(CG198*CH198*BT198)-1)+2*BV198*BA198*BW198*BB198*(EXP(CH198*CI198*BT198)-1)+2*BW198*BB198*BU198*AZ198*(EXP(CI198*CG198*BT198)-1))/(BY198*BP198)^2)/BT198),0),"")</f>
        <v>#VALUE!</v>
      </c>
      <c r="CK198" s="1587" t="e">
        <f aca="false">IF(BS198,IF(BR198,SQRT(LN(1+((CA198*BH198)^2*(EXP(CG198^2*BT198)-1)+(CB198*BI198)^2*(EXP(CH198^2*BT198)-1)+(CC198*BJ198)^2*(EXP(CI198^2*BT198)-1)+2*CA198*BH198*CB198*BI198*(EXP(CG198*CH198*BT198)-1)+2*CB198*BI198*CC198*BJ198*(EXP(CH198*CI198*BT198)-1)+2*CC198*BJ198*CA198*BH198*(EXP(CI198*CG198*BT198)-1))/(CE198*BR198)^2)/BT198),0),"")</f>
        <v>#VALUE!</v>
      </c>
      <c r="CL198" s="1587" t="e">
        <f aca="false">IF(OR(BQ198,BS198),IF(OVolType&lt;&gt;2,SQRT(IF(OVolOverMonthlyOffPeak,OVolOverMonthlyOffPeak,IF(OVolCurve,IF(OBuySell,AD198,AF198),AE198))^2*(1-15/365.25/BT198)+IF(OVolOverDailyOffPeak,OVolOverDailyOffPeak,IF(OVolCurve,IF(OBuySell,AP198,AR198),AQ198))^2*15/365.25/BT198),IF(OVolOverMonthlyOffPeak,OVolOverMonthlyOffPeak,IF(OVolCurve,IF(OBuySell,AD198,AF198),AE198))),"")</f>
        <v>#VALUE!</v>
      </c>
      <c r="CM198" s="1587" t="e">
        <f aca="false">IF(BQ198,SQRT(LN(1+((BY198*BP198)^2*(EXP(CJ198^2*BT198)-1)+(BX198*BC198)^2*(EXP(CL198^2*BT198)-1)+2*BY198*BP198*BX198*BC198*(EXP(AS198*CJ198*CL198*BT198)-1))/(BY198*BP198+BX198*BC198)^2)/BT198),"")</f>
        <v>#VALUE!</v>
      </c>
      <c r="CN198" s="1588" t="e">
        <f aca="false">IF(BS198,SQRT(LN(1+((CE198*BR198)^2*(EXP(CK198^2*BT198)-1)+(CD198*BK198)^2*(EXP(CL198^2*BT198)-1)+2*CE198*BR198*CD198*BK198*(EXP(AS198*CK198*CL198*BT198)-1))/(CE198*BR198+CD198*BK198)^2)/BT198),"")</f>
        <v>#VALUE!</v>
      </c>
      <c r="CO198" s="1531" t="e">
        <f aca="false">IF(OR(BQ198,BS198),VLOOKUP(A198,GasTable,13)*HeatRatePeak*(1+VLOOKUP($B198,HeatRateDegradation,$C198+1))/1000,0)</f>
        <v>#VALUE!</v>
      </c>
      <c r="CP198" s="1316" t="e">
        <f aca="false">IF(OR(BQ198,BS198),VLOOKUP(A198,GasTable,13)*HeatRatePeak*(1+VLOOKUP($B198,HeatRateDegradation,$C198+1))/1000,0)</f>
        <v>#VALUE!</v>
      </c>
      <c r="CQ198" s="1316" t="e">
        <f aca="false">IF(OR(BQ198,BS198),VLOOKUP(A198,GasTable,13)*IF(EV198,HeatRatePeak,HeatRateOffPeak)*(1+VLOOKUP($B198,HeatRateDegradation,$C198+1))/1000,0)</f>
        <v>#VALUE!</v>
      </c>
      <c r="CR198" s="1316" t="e">
        <f aca="false">IF(OR(BQ198,BS198),VLOOKUP(A198,GasTable,13)*IF(EW198,HeatRatePeak,HeatRateOffPeak)*(1+VLOOKUP($B198,HeatRateDegradation,$C198+1))/1000,0)</f>
        <v>#VALUE!</v>
      </c>
      <c r="CS198" s="1589" t="e">
        <f aca="false">IF(BQ198,(CO198*AZ198+CP198*BA198+CQ198*BB198+CR198*BC198)/BQ198,0)</f>
        <v>#VALUE!</v>
      </c>
      <c r="CT198" s="1316" t="e">
        <f aca="false">IF(BS198,CO198,0)</f>
        <v>#VALUE!</v>
      </c>
      <c r="CU198" s="1590" t="e">
        <f aca="false">IF(OR(BQ198,BS198),VLOOKUP(A198,GasTable,14),"")</f>
        <v>#VALUE!</v>
      </c>
      <c r="CV198" s="1568" t="e">
        <f aca="false">IF(OR(BQ198,BS198),IF(CorrPowerGasOverFlag,INDEX(CorrPowerGasOver,C198),CorrPowerGas),"")</f>
        <v>#VALUE!</v>
      </c>
      <c r="CW198" s="1316" t="e">
        <f aca="false">IF(OR($BQ198,$BS198),SpreadOptPowerMargin,0)*((1+Assumptions!$C$26)^($B198-YEAR(Assumptions!$C$17)))</f>
        <v>#VALUE!</v>
      </c>
      <c r="CX198" s="1316" t="e">
        <f aca="false">IF(OR($BQ198,$BS198),SpreadOptPowerMargin,0)*((1+Assumptions!$C$26)^($B198-YEAR(Assumptions!$C$17)))</f>
        <v>#VALUE!</v>
      </c>
      <c r="CY198" s="1316" t="e">
        <f aca="false">IF(OR($BQ198,$BS198),SpreadOptPowerMargin,0)*((1+Assumptions!$C$26)^($B198-YEAR(Assumptions!$C$17)))</f>
        <v>#VALUE!</v>
      </c>
      <c r="CZ198" s="1316" t="e">
        <f aca="false">IF(OR($BQ198,$BS198),SpreadOptPowerMargin,0)*((1+Assumptions!$C$26)^($B198-YEAR(Assumptions!$C$17)))</f>
        <v>#VALUE!</v>
      </c>
      <c r="DA198" s="1591" t="e">
        <f aca="false">IF(OR(BQ198,BS198),(CW198*(AZ198+BH198)+CX198*(BA198+BI198)+CY198*(BB198+BJ198)+CZ198*(BC198+BK198))/(BQ198+BS198),0)</f>
        <v>#VALUE!</v>
      </c>
      <c r="DB198" s="1592" t="e">
        <f aca="false">IF(OR(BQ198,BS198),CG198+IF(OVolSmile,VLOOKUP(MAX(-5,CO198+CW198-BU198),IF(OVolSmile=1,VolSmileBook,VolSmileModel),2),0),"")</f>
        <v>#VALUE!</v>
      </c>
      <c r="DC198" s="1592" t="e">
        <f aca="false">IF(OR(BQ198,BS198),CH198+IF(OVolSmile,VLOOKUP(MAX(-5,CP198+CW198-BV198),IF(OVolSmile=1,VolSmileBook,VolSmileModel),2),0),"")</f>
        <v>#VALUE!</v>
      </c>
      <c r="DD198" s="1592" t="e">
        <f aca="false">IF(OR(BQ198,BS198),CI198+IF(OVolSmile,VLOOKUP(MAX(-5,CQ198+CW198-BW198),IF(OVolSmile=1,VolSmileBook,VolSmileModel),2),0),"")</f>
        <v>#VALUE!</v>
      </c>
      <c r="DE198" s="1592" t="e">
        <f aca="false">IF(OR(BQ198,BS198),CL198+IF(OVolSmile,VLOOKUP(MAX(-5,CR198+CZ198-BX198),IF(OVolSmile=1,VolSmileBook,VolSmileModel),2),0),"")</f>
        <v>#VALUE!</v>
      </c>
      <c r="DF198" s="1592" t="e">
        <f aca="false">IF(BQ198,CM198+IF(OVolSmile,VLOOKUP(MAX(-5,CS198+DA198-BZ198),IF(OVolSmile=1,VolSmileBook,VolSmileModel),2),0),"")</f>
        <v>#VALUE!</v>
      </c>
      <c r="DG198" s="1593" t="e">
        <f aca="false">IF(BS198,CN198+IF(OVolSmile,VLOOKUP(MAX(-5,CT198+DA198-CF198),IF(OVolSmile=1,VolSmileBook,VolSmileModel),2),0),"")</f>
        <v>#VALUE!</v>
      </c>
      <c r="DH198" s="1316" t="e">
        <f aca="false">IF(AND(BU198&gt;0,CO198&gt;0,DB198&gt;0,CU198&gt;0),newSPRDOPT(BU198,CO198,CW198,0,DB198,CU198,CV198,BT198*365.25,OCallPut,0),0)</f>
        <v>#VALUE!</v>
      </c>
      <c r="DI198" s="1316" t="e">
        <f aca="false">IF(AND(BV198&gt;0,CP198&gt;0,DC198&gt;0,CU198&gt;0),newSPRDOPT(BV198,CP198,CX198,0,DC198,CU198,CV198,BT198*365.25,OCallPut,0),0)</f>
        <v>#VALUE!</v>
      </c>
      <c r="DJ198" s="1316" t="e">
        <f aca="false">IF(AND(BW198&gt;0,CQ198&gt;0,DD198&gt;0,CU198&gt;0),newSPRDOPT(BW198,CQ198,CY198,0,DD198,CU198,CV198,BT198*365.25,OCallPut,0),0)</f>
        <v>#VALUE!</v>
      </c>
      <c r="DK198" s="1316" t="e">
        <f aca="false">IF(AND(BX198&gt;0,CR198&gt;0,DE198&gt;0,CU198&gt;0),newSPRDOPT(BX198,CR198,CZ198,0,DE198,CU198,CV198,BT198*365.25,OCallPut,0),0)</f>
        <v>#VALUE!</v>
      </c>
      <c r="DL198" s="1316" t="e">
        <f aca="false">IF(OVolType,IF(AND(BZ198&gt;0,CS198&gt;0,DF198&gt;0,CU198&gt;0),newSPRDOPT(BZ198,CS198,DA198,0,DF198,CU198,CV198,BT198*365.25,OCallPut,0),0),IF(BQ198,(DH198*AZ198+DI198*BA198+DJ198*BB198+DK198*BC198)/BQ198,0))</f>
        <v>#VALUE!</v>
      </c>
      <c r="DM198" s="1316"/>
      <c r="DN198" s="1316"/>
      <c r="DO198" s="1316"/>
      <c r="DP198" s="1316"/>
      <c r="DQ198" s="1316"/>
      <c r="DR198" s="1316"/>
      <c r="DS198" s="1316"/>
      <c r="DT198" s="1316"/>
      <c r="DU198" s="1316"/>
      <c r="DV198" s="1316"/>
      <c r="DW198" s="1594" t="e">
        <f aca="false">IF(AND(BW198&gt;0,CT198&gt;0,DD198&gt;0,CU198&gt;0),newSPRDOPT(BW198,CT198,CY198,0,DD198,CU198,CV198,BT198*365.25,OCallPut,0),0)</f>
        <v>#VALUE!</v>
      </c>
      <c r="DX198" s="1316" t="e">
        <f aca="false">IF(AND(BX198&gt;0,CT198&gt;0,DE198&gt;0,CU198&gt;0),newSPRDOPT(BX198,CT198,CZ198,0,DE198,CU198,CV198,BT198*365.25,OCallPut,0),0)</f>
        <v>#VALUE!</v>
      </c>
      <c r="DY198" s="1591" t="e">
        <f aca="false">IF(BS198,(DH198*BH198+DI198*BI198+DW198*BJ198+DX198*BK198)/BS198,0)</f>
        <v>#VALUE!</v>
      </c>
      <c r="DZ198" s="1551" t="e">
        <f aca="false">DH198*AZ198</f>
        <v>#VALUE!</v>
      </c>
      <c r="EA198" s="1551" t="e">
        <f aca="false">DI198*BA198</f>
        <v>#VALUE!</v>
      </c>
      <c r="EB198" s="1551" t="e">
        <f aca="false">DJ198*BB198</f>
        <v>#VALUE!</v>
      </c>
      <c r="EC198" s="1551" t="e">
        <f aca="false">DK198*BC198</f>
        <v>#VALUE!</v>
      </c>
      <c r="ED198" s="1551" t="e">
        <f aca="false">DL198*BQ198</f>
        <v>#VALUE!</v>
      </c>
      <c r="EE198" s="1595" t="e">
        <f aca="false">IF(BQ198,IF(OCallPut,IF(BU198&gt;(CO198+CW198),BU198-(CO198+CW198),0),IF((CO198+CW198)&gt;BU198,(CO198+CW198)-BU198,0))*AZ198,0)</f>
        <v>#VALUE!</v>
      </c>
      <c r="EF198" s="1596" t="e">
        <f aca="false">IF(BQ198,IF(OCallPut,IF(BV198&gt;(CP198+CX198),BV198-(CP198+CX198),0),IF((CP198+CX198)&gt;BV198,(CP198+CX198)-BV198,0))*BA198,0)</f>
        <v>#VALUE!</v>
      </c>
      <c r="EG198" s="1596" t="e">
        <f aca="false">IF(BQ198,IF(OCallPut,IF(BW198&gt;(CQ198+CY198),BW198-(CQ198+CY198),0),IF((CQ198+CY198)&gt;BW198,(CQ198+CY198)-BW198,0))*BB198,0)</f>
        <v>#VALUE!</v>
      </c>
      <c r="EH198" s="1596" t="e">
        <f aca="false">IF(BQ198,IF(OCallPut,IF(BX198&gt;(CR198+CZ198),BX198-(CR198+CZ198),0),IF((CR198+CZ198)&gt;BX198,(CR198+CZ198)-BX198,0))*BC198,0)</f>
        <v>#VALUE!</v>
      </c>
      <c r="EI198" s="1597" t="e">
        <f aca="false">IF(BQ198,IF(OVolType,IF(OCallPut,IF(BZ198&gt;(CS198+DA198),BZ198-(CS198+DA198),0),IF((CS198+DA198)&gt;BZ198,(CS198+DA198)-BZ198,0))*BQ198,SUM(EE198:EH198)),0)</f>
        <v>#VALUE!</v>
      </c>
      <c r="EJ198" s="1595" t="e">
        <f aca="false">DZ198-EE198</f>
        <v>#VALUE!</v>
      </c>
      <c r="EK198" s="1596" t="e">
        <f aca="false">EA198-EF198</f>
        <v>#VALUE!</v>
      </c>
      <c r="EL198" s="1596" t="e">
        <f aca="false">EB198-EG198</f>
        <v>#VALUE!</v>
      </c>
      <c r="EM198" s="1596" t="e">
        <f aca="false">EC198-EH198</f>
        <v>#VALUE!</v>
      </c>
      <c r="EN198" s="1597" t="e">
        <f aca="false">ED198-EI198</f>
        <v>#VALUE!</v>
      </c>
      <c r="EO198" s="1551" t="e">
        <f aca="false">DH198*BH198</f>
        <v>#VALUE!</v>
      </c>
      <c r="EP198" s="1551" t="e">
        <f aca="false">DI198*BI198</f>
        <v>#VALUE!</v>
      </c>
      <c r="EQ198" s="1551" t="e">
        <f aca="false">DW198*BJ198</f>
        <v>#VALUE!</v>
      </c>
      <c r="ER198" s="1551" t="e">
        <f aca="false">DX198*BK198</f>
        <v>#VALUE!</v>
      </c>
      <c r="ES198" s="1551" t="e">
        <f aca="false">DY198*BS198</f>
        <v>#VALUE!</v>
      </c>
      <c r="ET198" s="1566" t="e">
        <f aca="false">IF(EI198,IF(OCallPut,IF(CA198&gt;(CT198+CW198),CA198-(CT198+CW198),0),IF((CT198+CW198)&gt;CA198,(CT198+CW198)-CA198,0))*BH198,0)</f>
        <v>#VALUE!</v>
      </c>
      <c r="EU198" s="1551" t="e">
        <f aca="false">IF(EI198,IF(OCallPut,IF(CB198&gt;(CT198+CX198),CB198-(CT198+CX198),0),IF((CT198+CX198)&gt;CB198,(CT198+CX198)-CB198,0))*BI198,0)</f>
        <v>#VALUE!</v>
      </c>
      <c r="EV198" s="1551" t="e">
        <f aca="false">IF(EI198,IF(OCallPut,IF(CC198&gt;(CT198+CY198),CC198-(CT198+CY198),0),IF((CT198+CY198)&gt;CC198,(CT198+CY198)-CC198,0))*BJ198,0)</f>
        <v>#VALUE!</v>
      </c>
      <c r="EW198" s="1551" t="e">
        <f aca="false">IF(EI198,IF(OCallPut,IF(CD198&gt;(CT198+CZ198),CD198-(CT198+CZ198),0),IF((CT198+CZ198)&gt;CD198,(CT198+CZ198)-CD198,0))*BK198,0)</f>
        <v>#VALUE!</v>
      </c>
      <c r="EX198" s="1558" t="e">
        <f aca="false">IF(EI198,SUM(ET198:EW198),0)</f>
        <v>#VALUE!</v>
      </c>
      <c r="EY198" s="1551" t="e">
        <f aca="false">EO198-ET198</f>
        <v>#VALUE!</v>
      </c>
      <c r="EZ198" s="1551" t="e">
        <f aca="false">EP198-EU198</f>
        <v>#VALUE!</v>
      </c>
      <c r="FA198" s="1551" t="e">
        <f aca="false">EQ198-EV198</f>
        <v>#VALUE!</v>
      </c>
      <c r="FB198" s="1551" t="e">
        <f aca="false">ER198-EW198</f>
        <v>#VALUE!</v>
      </c>
      <c r="FC198" s="1551" t="e">
        <f aca="false">ES198-EX198</f>
        <v>#VALUE!</v>
      </c>
      <c r="FD198" s="1525" t="n">
        <f aca="false">IF(AX198,IF(VLOOKUP(C198,MAIN!$L$17:$M$28,2)="Yes",VLOOKUP(CALC!B198,MAIN!$H$17:$I$20,2),0),0)</f>
        <v>0</v>
      </c>
      <c r="FE198" s="1552" t="e">
        <f aca="false">$FD198*16*AT198*(1-$AY198)</f>
        <v>#VALUE!</v>
      </c>
      <c r="FF198" s="1553" t="e">
        <f aca="false">$FD198*16*AU198*(1-$AY198)</f>
        <v>#VALUE!</v>
      </c>
      <c r="FG198" s="1553" t="e">
        <f aca="false">$FD198*16*(AV198+AW198)*(1-$AY198)</f>
        <v>#VALUE!</v>
      </c>
      <c r="FH198" s="1554" t="n">
        <f aca="false">$FD198*8*AX198*(1-$AY198)</f>
        <v>0</v>
      </c>
      <c r="FI198" s="1555" t="n">
        <f aca="false">IF(AX198,VLOOKUP(CALC!B198,MAIN!$H$17:$K$20,4),0)</f>
        <v>0</v>
      </c>
      <c r="FJ198" s="1553" t="e">
        <f aca="false">SUM(FE198:FH198)</f>
        <v>#VALUE!</v>
      </c>
      <c r="FK198" s="1556" t="e">
        <f aca="false">FI198*FJ198</f>
        <v>#VALUE!</v>
      </c>
      <c r="FL198" s="1551" t="e">
        <f aca="false">IF($EI198&gt;0,MIN(FE198,AZ198*(1+VLOOKUP($C198,WeatherCapacityAdjustment,2))),0)</f>
        <v>#VALUE!</v>
      </c>
      <c r="FM198" s="1551" t="e">
        <f aca="false">IF($EI198&gt;0,MIN(FF198,BA198*(1+VLOOKUP($C198,WeatherCapacityAdjustment,2))),0)</f>
        <v>#VALUE!</v>
      </c>
      <c r="FN198" s="1551" t="e">
        <f aca="false">IF($EI198&gt;0,MIN(FG198,BB198*(1+VLOOKUP($C198,WeatherCapacityAdjustment,2))),0)</f>
        <v>#VALUE!</v>
      </c>
      <c r="FO198" s="1564" t="e">
        <f aca="false">IF($EI198&gt;0,MIN(FH198,BC198*(1+VLOOKUP($C198,WeatherCapacityAdjustment,3))),0)</f>
        <v>#VALUE!</v>
      </c>
      <c r="FP198" s="1551" t="e">
        <f aca="false">IF(ET198&gt;0,MIN(FE198-FL198,BH198*(1+VLOOKUP($C198,WeatherCapacityAdjustment,2))),0)</f>
        <v>#VALUE!</v>
      </c>
      <c r="FQ198" s="1551" t="e">
        <f aca="false">IF(EU198&gt;0,MIN(FF198-FM198,BI198*(1+VLOOKUP($C198,WeatherCapacityAdjustment,2))),0)</f>
        <v>#VALUE!</v>
      </c>
      <c r="FR198" s="1551" t="e">
        <f aca="false">IF(EV198&gt;0,MIN(FG198-FN198,BJ198*(1+VLOOKUP($C198,WeatherCapacityAdjustment,2))),0)</f>
        <v>#VALUE!</v>
      </c>
      <c r="FS198" s="1558" t="e">
        <f aca="false">IF(EW198&gt;0,MIN(FH198-FO198,BK198*(1+VLOOKUP($C198,WeatherCapacityAdjustment,3))),0)</f>
        <v>#VALUE!</v>
      </c>
      <c r="FT198" s="1566" t="e">
        <f aca="false">IF(AND(Assumptions!$H$71="Yes",A198&gt;=Assumptions!$H$72,A198&lt;=Assumptions!$H$73),0,IF(AND($A198&gt;=Assumptions!$C$17,$A198&lt;=Assumptions!$C$18),MAX(AZ198*(1+VLOOKUP($C198,WeatherCapacityAdjustment,2))-FL198,0),0))</f>
        <v>#VALUE!</v>
      </c>
      <c r="FU198" s="1551" t="e">
        <f aca="false">IF(AND(Assumptions!$H$71="Yes",A198&gt;=Assumptions!$H$72,A198&lt;=Assumptions!$H$73),0,IF(AND($A198&gt;=Assumptions!$C$17,$A198&lt;=Assumptions!$C$18),MAX(BA198*(1+VLOOKUP($C198,WeatherCapacityAdjustment,2))-FM198,0),0))</f>
        <v>#VALUE!</v>
      </c>
      <c r="FV198" s="1551" t="e">
        <f aca="false">IF(AND(Assumptions!$H$71="Yes",A198&gt;=Assumptions!$H$72,A198&lt;=Assumptions!$H$73),0,IF(AND($A198&gt;=Assumptions!$C$17,$A198&lt;=Assumptions!$C$18),MAX(BB198*(1+VLOOKUP($C198,WeatherCapacityAdjustment,2))-FN198,0),0))</f>
        <v>#VALUE!</v>
      </c>
      <c r="FW198" s="1564" t="e">
        <f aca="false">IF(AND(Assumptions!$H$71="Yes",A198&gt;=Assumptions!$H$72,A198&lt;=Assumptions!$H$73),0,IF(AND($A198&gt;=Assumptions!$C$17,$A198&lt;=Assumptions!$C$18),MAX(BC198*(1+VLOOKUP($C198,WeatherCapacityAdjustment,3))-FO198,0),0))</f>
        <v>#VALUE!</v>
      </c>
      <c r="FX198" s="1569" t="e">
        <f aca="false">IF(AND(Assumptions!$H$71="Yes",A198&gt;=Assumptions!$H$72,A198&lt;=Assumptions!$H$73),0,IF(ET198&gt;0,MAX(BH198*(1+VLOOKUP($C198,WeatherCapacityAdjustment,2))-FP198,0),0))</f>
        <v>#VALUE!</v>
      </c>
      <c r="FY198" s="1551" t="e">
        <f aca="false">IF(AND(Assumptions!$H$71="Yes",A198&gt;=Assumptions!$H$72,A198&lt;=Assumptions!$H$73),0,IF(EU198&gt;0,MAX(BI198*(1+VLOOKUP($C198,WeatherCapacityAdjustment,3))-FQ198,0),0))</f>
        <v>#VALUE!</v>
      </c>
      <c r="FZ198" s="1551" t="e">
        <f aca="false">IF(AND(Assumptions!$H$71="Yes",A198&gt;=Assumptions!$H$72,A198&lt;=Assumptions!$H$73),0,IF(EV198&gt;0,MAX(BJ198*(1+VLOOKUP($C198,WeatherCapacityAdjustment,2))-FR198,0),0))</f>
        <v>#VALUE!</v>
      </c>
      <c r="GA198" s="1564" t="e">
        <f aca="false">IF(AND(Assumptions!$H$71="Yes",A198&gt;=Assumptions!$H$72,A198&lt;=Assumptions!$H$73),0,IF(EW198&gt;0,MAX(BK198*(1+VLOOKUP($C198,WeatherCapacityAdjustment,2))-FS198,0),0))</f>
        <v>#VALUE!</v>
      </c>
      <c r="GB198" s="1551" t="e">
        <f aca="false">SUM(FT198:GA198)</f>
        <v>#VALUE!</v>
      </c>
      <c r="GC198" s="1563" t="e">
        <f aca="false">+IF(SUM(FT198:GA198)=0,0,(SUMPRODUCT(BU198:BX198,FT198:FW198)+SUMPRODUCT(CA198:CD198,FX198:GA198))/SUM(FT198:GA198))</f>
        <v>#VALUE!</v>
      </c>
      <c r="GD198" s="1551" t="e">
        <f aca="false">(FT198*BU198+FX198*CA198+FU198*BV198+FY198*CB198+FV198*BW198+FZ198*CC198+FW198*BX198+GA198*CD198)</f>
        <v>#VALUE!</v>
      </c>
      <c r="GE198" s="1561" t="e">
        <f aca="false">+IF(BQ198,((FL198+FM198+FT198+FU198)*HeatRatePeak/1000*(1+VLOOKUP($C198,WeatherHeatRateAdjustment,2))+(FN198+FV198)*IF(EV198&gt;0,HeatRatePeak,HeatRateOffPeak)/1000*(1+VLOOKUP($C198,WeatherHeatRateAdjustment,2))+(FO198+FW198)*IF(EW198&gt;0,HeatRatePeak,HeatRateOffPeak)/1000*(1+VLOOKUP($C198,WeatherHeatRateAdjustment,3)))*(1+VLOOKUP($B198,HeatRateDegradation,$C198+1)),0)</f>
        <v>#VALUE!</v>
      </c>
      <c r="GF198" s="1562" t="e">
        <f aca="false">IF(BQ198,((FP198+FQ198+FR198+FX198+FY198+FZ198)*HeatRatePeak/1000*(1+VLOOKUP($C198,WeatherHeatRateAdjustment,2))+(FS198+GA198)*HeatRatePeak/1000*(1+VLOOKUP($C198,WeatherHeatRateAdjustment,3)))*(1+VLOOKUP($B198,HeatRateDegradation,$C198+1)),0)</f>
        <v>#VALUE!</v>
      </c>
      <c r="GG198" s="1563" t="e">
        <f aca="false">IF(BQ198,VLOOKUP(A198,GasTable,13),0)</f>
        <v>#VALUE!</v>
      </c>
      <c r="GH198" s="1564" t="e">
        <f aca="false">(GE198+GF198)*GG198</f>
        <v>#VALUE!</v>
      </c>
      <c r="GI198" s="1569" t="e">
        <f aca="false">GB198</f>
        <v>#VALUE!</v>
      </c>
      <c r="GJ198" s="1598" t="e">
        <f aca="false">+DA198</f>
        <v>#VALUE!</v>
      </c>
      <c r="GK198" s="1558" t="e">
        <f aca="false">+GI198*GJ198</f>
        <v>#VALUE!</v>
      </c>
      <c r="GL198" s="1566" t="e">
        <f aca="false">MAX(FE198-FL198-FP198,0)</f>
        <v>#VALUE!</v>
      </c>
      <c r="GM198" s="1551" t="e">
        <f aca="false">MAX(FF198-FM198-FQ198,0)</f>
        <v>#VALUE!</v>
      </c>
      <c r="GN198" s="1551" t="e">
        <f aca="false">MAX(FG198-FN198-FR198,0)</f>
        <v>#VALUE!</v>
      </c>
      <c r="GO198" s="1564" t="e">
        <f aca="false">MAX(FH198-FO198-FS198,0)</f>
        <v>#VALUE!</v>
      </c>
      <c r="GP198" s="1551" t="e">
        <f aca="false">SUM(GL198:GO198)</f>
        <v>#VALUE!</v>
      </c>
      <c r="GQ198" s="1563" t="e">
        <f aca="false">IF(SUM(GL198:GO198)=0,0,((GL198*BU198+GM198*BV198+GN198*BW198+GO198*BX198)/SUM(GL198:GO198)))</f>
        <v>#VALUE!</v>
      </c>
      <c r="GR198" s="1558" t="e">
        <f aca="false">(GL198*BU198+GM198*BV198+GN198*BW198+GO198*BX198)</f>
        <v>#VALUE!</v>
      </c>
      <c r="GS198" s="1566" t="n">
        <f aca="false">IF($A198&gt;=BegDate,Assumptions!$C$56*24*($A199-$A198)*(1-VLOOKUP($B198,MAIN!$AA$7:$AM$28,$C198+1))*(1-VLOOKUP($B198,MAIN!$AA$33:$AM$54,$C198+1)),0)*80/168</f>
        <v>249428.571428571</v>
      </c>
      <c r="GT198" s="286" t="n">
        <f aca="false">J198</f>
        <v>44.2919886669118</v>
      </c>
      <c r="GU198" s="286" t="n">
        <f aca="false">IF($A198&gt;=BegDate,VLOOKUP($A198,GasTable,13)+Assumptions!$C$58,0)</f>
        <v>3.11334782608099</v>
      </c>
      <c r="GV198" s="286" t="n">
        <f aca="false">GU198*Assumptions!$C$57/1000</f>
        <v>22.5717717390871</v>
      </c>
      <c r="GW198" s="1558" t="n">
        <f aca="false">IF(Assumptions!$C$60="Hourly",MAX(0,GS198*(GT198-GV198)),GS198*(GT198-GV198))</f>
        <v>5417642.67942597</v>
      </c>
      <c r="GX198" s="1566" t="n">
        <f aca="false">IF($A198&gt;=BegDate,Assumptions!$C$56*24*($A199-$A198)*(1-VLOOKUP($B198,MAIN!$AA$7:$AM$28,$C198+1))*(1-VLOOKUP($B198,MAIN!$AA$33:$AM$54,$C198+1)),0)*16/168</f>
        <v>49885.7142857143</v>
      </c>
      <c r="GY198" s="286" t="n">
        <f aca="false">M198</f>
        <v>44.2919886669118</v>
      </c>
      <c r="GZ198" s="286" t="n">
        <f aca="false">IF($A198&gt;=BegDate,VLOOKUP($A198,GasTable,13)+Assumptions!$C$58,0)</f>
        <v>3.11334782608099</v>
      </c>
      <c r="HA198" s="286" t="n">
        <f aca="false">GZ198*Assumptions!$C$57/1000</f>
        <v>22.5717717390871</v>
      </c>
      <c r="HB198" s="1558" t="n">
        <f aca="false">IF(Assumptions!$C$60="Hourly",MAX(0,GX198*(GY198-HA198)),GX198*(GY198-HA198))</f>
        <v>1083528.53588519</v>
      </c>
      <c r="HC198" s="1566" t="n">
        <f aca="false">IF($A198&gt;=BegDate,Assumptions!$C$56*24*($A199-$A198)*(1-VLOOKUP($B198,MAIN!$AA$7:$AM$28,$C198+1))*(1-VLOOKUP($B198,MAIN!$AA$33:$AM$54,$C198+1)),0)*16/168</f>
        <v>49885.7142857143</v>
      </c>
      <c r="HD198" s="286" t="n">
        <f aca="false">P198</f>
        <v>25.5211629523051</v>
      </c>
      <c r="HE198" s="286" t="n">
        <f aca="false">IF($A198&gt;=BegDate,VLOOKUP($A198,GasTable,13)+Assumptions!$C$58,0)</f>
        <v>3.11334782608099</v>
      </c>
      <c r="HF198" s="286" t="n">
        <f aca="false">HE198*Assumptions!$C$57/1000</f>
        <v>22.5717717390871</v>
      </c>
      <c r="HG198" s="1558" t="n">
        <f aca="false">IF(Assumptions!$C$60="Hourly",MAX(0,HC198*(HD198-HF198)),HC198*(HD198-HF198))</f>
        <v>147132.487379389</v>
      </c>
      <c r="HH198" s="1566" t="n">
        <f aca="false">IF($A198&gt;=BegDate,Assumptions!$C$56*24*($A199-$A198)*(1-VLOOKUP($B198,MAIN!$AA$7:$AM$28,$C198+1))*(1-VLOOKUP($B198,MAIN!$AA$33:$AM$54,$C198+1)),0)*56/168</f>
        <v>174600</v>
      </c>
      <c r="HI198" s="286" t="n">
        <f aca="false">S198</f>
        <v>25.5211629523051</v>
      </c>
      <c r="HJ198" s="286" t="n">
        <f aca="false">IF($A198&gt;=BegDate,VLOOKUP($A198,GasTable,13)+Assumptions!$C$58,0)</f>
        <v>3.11334782608099</v>
      </c>
      <c r="HK198" s="286" t="n">
        <f aca="false">HJ198*Assumptions!$C$57/1000</f>
        <v>22.5717717390871</v>
      </c>
      <c r="HL198" s="1558" t="n">
        <f aca="false">IF(Assumptions!$C$60="Hourly",MAX(0,HH198*(HI198-HK198)),HH198*(HI198-HK198))</f>
        <v>514963.705827862</v>
      </c>
      <c r="HM198" s="1566" t="n">
        <f aca="false">IF(AND(Assumptions!$H$71="Yes",A198&gt;=Assumptions!$H$72,A198&lt;=Assumptions!$H$73),Assumptions!$H$74*Assumptions!$C$9*1000,0)</f>
        <v>0</v>
      </c>
      <c r="HN198" s="1551"/>
      <c r="HO198" s="1563"/>
      <c r="HP198" s="1563"/>
      <c r="HQ198" s="1563"/>
      <c r="HR198" s="1563"/>
      <c r="HS198" s="1563"/>
      <c r="HT198" s="1563"/>
      <c r="HU198" s="1563"/>
      <c r="HV198" s="1563"/>
      <c r="HW198" s="1563"/>
      <c r="HX198" s="1563"/>
      <c r="HY198" s="1563"/>
      <c r="HZ198" s="1563"/>
      <c r="IA198" s="1563"/>
      <c r="IB198" s="1563"/>
      <c r="IC198" s="1563"/>
      <c r="ID198" s="1563"/>
      <c r="IE198" s="1563"/>
      <c r="IF198" s="1563"/>
      <c r="IG198" s="1563"/>
      <c r="IH198" s="1563"/>
      <c r="II198" s="1610"/>
      <c r="IJ198" s="1309"/>
      <c r="IK198" s="1309"/>
    </row>
    <row r="199" customFormat="false" ht="12.75" hidden="false" customHeight="false" outlineLevel="0" collapsed="false">
      <c r="A199" s="1571" t="n">
        <f aca="false">EOMONTH(A198,0)+1</f>
        <v>42186</v>
      </c>
      <c r="B199" s="594" t="n">
        <f aca="false">+YEAR(A199)</f>
        <v>2015</v>
      </c>
      <c r="C199" s="238" t="n">
        <f aca="false">MONTH(A199)</f>
        <v>7</v>
      </c>
      <c r="D199" s="1572" t="e">
        <f aca="false">IF(E199="","",Holiday(B199,C199))</f>
        <v>#VALUE!</v>
      </c>
      <c r="E199" s="1573" t="n">
        <f aca="false">IF(OR(BegDate&gt;=A200,EndDate&lt;A199,AND(VolumeMonthlyOverFlag,INDEX(VolumeMonthlyOver,C199)=0),NOT(INDEX(MonthKnockOutTable,C199))),"",MAX(A199,BegDate))</f>
        <v>42186</v>
      </c>
      <c r="F199" s="1574" t="n">
        <f aca="false">IF(E199="","",MIN(A200-1,EndDate))</f>
        <v>42216</v>
      </c>
      <c r="G199" s="1575" t="n">
        <v>0</v>
      </c>
      <c r="H199" s="1576" t="n">
        <f aca="false">(1+G199/2)^(-2*(DATE(B200,C200,20)-DateToday)/365.25)</f>
        <v>1</v>
      </c>
      <c r="I199" s="1568" t="n">
        <f aca="false">IF(Assumptions!$L$25=4,VLOOKUP($A199,'Henwood Reference'!$E$9:$R$320,10),(VLOOKUP($A199,PriceTable,2,0)+IF(BasisNumber&lt;&gt;1,VLOOKUP($A199,BasisTable,2,0),0)+I$1)/(1-I$2))</f>
        <v>68.0617731505557</v>
      </c>
      <c r="J199" s="1568" t="n">
        <f aca="false">IF(Assumptions!$L$25=4,VLOOKUP($A199,'Henwood Reference'!$E$9:$R$320,10),(VLOOKUP($A199,PriceTable,3,0)+IF(BasisNumber&lt;&gt;1,VLOOKUP($A199,BasisTable,2,0),0)+J$1)/(1-J$2))</f>
        <v>68.0617731505557</v>
      </c>
      <c r="K199" s="1568" t="n">
        <f aca="false">IF(Assumptions!$L$25=4,VLOOKUP($A199,'Henwood Reference'!$E$9:$R$320,10),(VLOOKUP($A199,PriceTable,4,0)+IF(BasisNumber&lt;&gt;1,VLOOKUP($A199,BasisTable,2,0),0)+K$1)/(1-K$2))</f>
        <v>68.0617731505557</v>
      </c>
      <c r="L199" s="1523" t="n">
        <f aca="false">IF(Assumptions!$L$25=4,VLOOKUP($A199,'Henwood Reference'!$E$9:$R$320,10),(VLOOKUP($A199,PriceTableWeekend,2,0)+IF(BasisNumber&lt;&gt;1,VLOOKUP($A199,BasisTable,2,0),0)+L$1)/(1-L$2))</f>
        <v>68.0617731505557</v>
      </c>
      <c r="M199" s="1568" t="n">
        <f aca="false">IF(Assumptions!$L$25=4,VLOOKUP($A199,'Henwood Reference'!$E$9:$R$320,10),(VLOOKUP($A199,PriceTableWeekend,3,0)+IF(BasisNumber&lt;&gt;1,VLOOKUP($A199,BasisTable,2,0),0)+M$1)/(1-M$2))</f>
        <v>68.0617731505557</v>
      </c>
      <c r="N199" s="1599" t="n">
        <f aca="false">IF(Assumptions!$L$25=4,VLOOKUP($A199,'Henwood Reference'!$E$9:$R$320,10),(VLOOKUP($A199,PriceTableWeekend,4,0)+IF(BasisNumber&lt;&gt;1,VLOOKUP($A199,BasisTable,2,0),0)+N$1)/(1-N$2))</f>
        <v>68.0617731505557</v>
      </c>
      <c r="O199" s="1568" t="n">
        <f aca="false">IF(Assumptions!$L$25=4,VLOOKUP($A199,'Henwood Reference'!$E$9:$R$320,11),(VLOOKUP($A199,PriceTableWeekend,6,0)+IF(BasisNumber&lt;&gt;1,VLOOKUP($A199,BasisTable,3,0),0)+O$1)/(1-O$2))</f>
        <v>32.2841513523839</v>
      </c>
      <c r="P199" s="1568" t="n">
        <f aca="false">IF(Assumptions!$L$25=4,VLOOKUP($A199,'Henwood Reference'!$E$9:$R$320,11),(VLOOKUP($A199,PriceTableWeekend,7,0)+IF(BasisNumber&lt;&gt;1,VLOOKUP($A199,BasisTable,3,0),0)+P$1)/(1-P$2))</f>
        <v>32.2841513523839</v>
      </c>
      <c r="Q199" s="1599" t="n">
        <f aca="false">IF(Assumptions!$L$25=4,VLOOKUP($A199,'Henwood Reference'!$E$9:$R$320,11),(VLOOKUP($A199,PriceTableWeekend,8,0)+IF(BasisNumber&lt;&gt;1,VLOOKUP($A199,BasisTable,3,0),0)+Q$1)/(1-Q$2))</f>
        <v>32.2841513523839</v>
      </c>
      <c r="R199" s="1568" t="n">
        <f aca="false">IF(Assumptions!$L$25=4,VLOOKUP($A199,'Henwood Reference'!$E$9:$R$320,11),(VLOOKUP($A199,PriceTable,6,0)+IF(BasisNumber&lt;&gt;1,VLOOKUP($A199,BasisTable,3,0),0)+R$1)/(1-R$2))</f>
        <v>32.2841513523839</v>
      </c>
      <c r="S199" s="1568" t="n">
        <f aca="false">IF(Assumptions!$L$25=4,VLOOKUP($A199,'Henwood Reference'!$E$9:$R$320,11),(VLOOKUP($A199,PriceTable,7,0)+IF(BasisNumber&lt;&gt;1,VLOOKUP($A199,BasisTable,3,0),0)+S$1)/(1-S$2))</f>
        <v>32.2841513523839</v>
      </c>
      <c r="T199" s="1600" t="n">
        <f aca="false">IF(Assumptions!$L$25=4,VLOOKUP($A199,'Henwood Reference'!$E$9:$R$320,11),(VLOOKUP($A199,PriceTable,8,0)+IF(BasisNumber&lt;&gt;1,VLOOKUP($A199,BasisTable,3,0),0)+T$1)/(1-T$2))</f>
        <v>32.2841513523839</v>
      </c>
      <c r="U199" s="1513" t="n">
        <f aca="false">VLOOKUP($A199,VolatilityTable,14)</f>
        <v>0.0949999999999999</v>
      </c>
      <c r="V199" s="1513" t="n">
        <f aca="false">VLOOKUP($A199,VolatilityTable,15)</f>
        <v>0.105</v>
      </c>
      <c r="W199" s="1514" t="n">
        <f aca="false">VLOOKUP($A199,VolatilityTable,16)</f>
        <v>0.115</v>
      </c>
      <c r="X199" s="1513" t="n">
        <f aca="false">VLOOKUP($A199,VolatilityTable,14)</f>
        <v>0.0949999999999999</v>
      </c>
      <c r="Y199" s="1513" t="n">
        <f aca="false">VLOOKUP($A199,VolatilityTable,15)</f>
        <v>0.105</v>
      </c>
      <c r="Z199" s="1514" t="n">
        <f aca="false">VLOOKUP($A199,VolatilityTable,16)</f>
        <v>0.115</v>
      </c>
      <c r="AA199" s="1513" t="n">
        <f aca="false">VLOOKUP($A199,VolatilityTable,18)</f>
        <v>0.09</v>
      </c>
      <c r="AB199" s="1513" t="n">
        <f aca="false">VLOOKUP($A199,VolatilityTable,19)</f>
        <v>0.11</v>
      </c>
      <c r="AC199" s="1514" t="n">
        <f aca="false">VLOOKUP($A199,VolatilityTable,20)</f>
        <v>0.13</v>
      </c>
      <c r="AD199" s="1513" t="n">
        <f aca="false">VLOOKUP($A199,VolatilityTable,18)</f>
        <v>0.09</v>
      </c>
      <c r="AE199" s="1513" t="n">
        <f aca="false">VLOOKUP($A199,VolatilityTable,19)</f>
        <v>0.11</v>
      </c>
      <c r="AF199" s="1514" t="n">
        <f aca="false">VLOOKUP($A199,VolatilityTable,20)</f>
        <v>0.13</v>
      </c>
      <c r="AG199" s="1513" t="n">
        <f aca="false">VLOOKUP($A199,VolatilityTable,22)</f>
        <v>-0.35</v>
      </c>
      <c r="AH199" s="1513" t="n">
        <f aca="false">VLOOKUP($A199,VolatilityTable,23)</f>
        <v>0.65</v>
      </c>
      <c r="AI199" s="1514" t="n">
        <f aca="false">VLOOKUP($A199,VolatilityTable,24)</f>
        <v>0.35</v>
      </c>
      <c r="AJ199" s="1513" t="n">
        <f aca="false">VLOOKUP($A199,VolatilityTable,22)</f>
        <v>-0.35</v>
      </c>
      <c r="AK199" s="1513" t="n">
        <f aca="false">VLOOKUP($A199,VolatilityTable,23)</f>
        <v>0.65</v>
      </c>
      <c r="AL199" s="1514" t="n">
        <f aca="false">VLOOKUP($A199,VolatilityTable,24)</f>
        <v>0.35</v>
      </c>
      <c r="AM199" s="1513" t="n">
        <f aca="false">VLOOKUP($A199,VolatilityTable,26)</f>
        <v>-0.01</v>
      </c>
      <c r="AN199" s="1513" t="n">
        <f aca="false">VLOOKUP($A199,VolatilityTable,27)</f>
        <v>0.16</v>
      </c>
      <c r="AO199" s="1514" t="n">
        <f aca="false">VLOOKUP($A199,VolatilityTable,28)</f>
        <v>0.01</v>
      </c>
      <c r="AP199" s="1513" t="n">
        <f aca="false">VLOOKUP($A199,VolatilityTable,26)</f>
        <v>-0.01</v>
      </c>
      <c r="AQ199" s="1513" t="n">
        <f aca="false">VLOOKUP($A199,VolatilityTable,27)</f>
        <v>0.16</v>
      </c>
      <c r="AR199" s="1515" t="n">
        <f aca="false">VLOOKUP($A199,VolatilityTable,28)</f>
        <v>0.01</v>
      </c>
      <c r="AS199" s="1581" t="n">
        <f aca="false">IF(CorrPeakOffPeakOverFlag,INDEX(CorrPeakOffPeakOver,C199),CorrPeakOffPeak)</f>
        <v>0.5</v>
      </c>
      <c r="AT199" s="594" t="e">
        <f aca="false">AX199-SUM(AU199:AW199)</f>
        <v>#VALUE!</v>
      </c>
      <c r="AU199" s="238" t="e">
        <f aca="false">IF(E199="",0,INT((F199-MOD(F199,7)-E199)/7)+1-IF(AW199,IF(WEEKDAY(D199)=7,1,0),0))</f>
        <v>#VALUE!</v>
      </c>
      <c r="AV199" s="238" t="e">
        <f aca="false">IF(E199="",0,INT((F199-MOD(F199-1,7)-E199)/7)+1-IF(AW199,IF(WEEKDAY(D199)=1,1,0),0))</f>
        <v>#VALUE!</v>
      </c>
      <c r="AW199" s="238" t="e">
        <f aca="false">IF(OR(E199="",D199="",D199&lt;BegDate,D199&gt;EndDate),0,1)</f>
        <v>#VALUE!</v>
      </c>
      <c r="AX199" s="238" t="n">
        <f aca="false">IF(E199="",0,F199-E199+1)</f>
        <v>31</v>
      </c>
      <c r="AY199" s="1582" t="n">
        <f aca="false">IF(E199="",0,MIN((1-(1-VLOOKUP(B199,MAIN!$AA$7:$AM$28,C199+1))*(1-VLOOKUP(B199,MAIN!$AA$33:$AM$54,C199+1))),1))</f>
        <v>0.03</v>
      </c>
      <c r="AZ199" s="1519" t="e">
        <v>#VALUE!</v>
      </c>
      <c r="BA199" s="1520" t="e">
        <v>#VALUE!</v>
      </c>
      <c r="BB199" s="1520" t="e">
        <v>#VALUE!</v>
      </c>
      <c r="BC199" s="1583" t="e">
        <v>#VALUE!</v>
      </c>
      <c r="BD199" s="1522" t="e">
        <v>#VALUE!</v>
      </c>
      <c r="BE199" s="1523" t="e">
        <v>#VALUE!</v>
      </c>
      <c r="BF199" s="1523" t="e">
        <v>#VALUE!</v>
      </c>
      <c r="BG199" s="1584" t="e">
        <v>#VALUE!</v>
      </c>
      <c r="BH199" s="1525" t="e">
        <v>#VALUE!</v>
      </c>
      <c r="BI199" s="1520" t="e">
        <v>#VALUE!</v>
      </c>
      <c r="BJ199" s="1520" t="e">
        <v>#VALUE!</v>
      </c>
      <c r="BK199" s="1583" t="e">
        <v>#VALUE!</v>
      </c>
      <c r="BL199" s="1522" t="e">
        <v>#VALUE!</v>
      </c>
      <c r="BM199" s="1523" t="e">
        <v>#VALUE!</v>
      </c>
      <c r="BN199" s="1523" t="e">
        <v>#VALUE!</v>
      </c>
      <c r="BO199" s="1523" t="e">
        <v>#VALUE!</v>
      </c>
      <c r="BP199" s="1525" t="e">
        <f aca="false">SUM(AZ199:BB199)</f>
        <v>#VALUE!</v>
      </c>
      <c r="BQ199" s="1529" t="e">
        <f aca="false">SUM(AZ199:BC199)</f>
        <v>#VALUE!</v>
      </c>
      <c r="BR199" s="1519" t="e">
        <f aca="false">SUM(BH199:BJ199)</f>
        <v>#VALUE!</v>
      </c>
      <c r="BS199" s="1529" t="e">
        <f aca="false">SUM(BH199:BK199)</f>
        <v>#VALUE!</v>
      </c>
      <c r="BT199" s="1316" t="n">
        <f aca="false">(IF(OVolType&lt;&gt;2,A199+14,IF(OptExpDateShift,ShiftBack(A199,OptExpDateShift,D198),A199))-DateToday)/365.25</f>
        <v>15.211498973306</v>
      </c>
      <c r="BU199" s="1585" t="e">
        <f aca="false">IF(BQ199,IF(OPriceCurve,IF(OBuySell=OCallPut,I199/(1-AY199),K199/(1-AY199)),J199/(1-AY199))*BD199,0)</f>
        <v>#VALUE!</v>
      </c>
      <c r="BV199" s="1316" t="e">
        <f aca="false">IF(BQ199,IF(OPriceCurve,IF(OBuySell=OCallPut,L199/(1-AY199),N199/(1-AY199)),M199/(1-AY199))*BE199,0)</f>
        <v>#VALUE!</v>
      </c>
      <c r="BW199" s="1316" t="e">
        <f aca="false">IF(BQ199,IF(OPriceCurve,IF(OBuySell=OCallPut,O199/(1-AY199),Q199/(1-AY199)),P199/(1-AY199))*BF199,0)</f>
        <v>#VALUE!</v>
      </c>
      <c r="BX199" s="1316" t="e">
        <f aca="false">IF(BQ199,IF(OPriceCurve,IF(OBuySell=OCallPut,R199/(1-AY199),T199/(1-AY199)),S199/(1-AY199))*BG199,0)</f>
        <v>#VALUE!</v>
      </c>
      <c r="BY199" s="1316" t="e">
        <f aca="false">IF(BP199,(BU199*AZ199+BV199*BA199+BW199*BB199)/BP199,0)</f>
        <v>#VALUE!</v>
      </c>
      <c r="BZ199" s="1316" t="e">
        <f aca="false">IF(BQ199,(BY199*BP199+BX199*BC199)/BQ199,0)</f>
        <v>#VALUE!</v>
      </c>
      <c r="CA199" s="1531" t="e">
        <f aca="false">IF(BS199,IF(OPriceCurve,IF(OBuySell=OCallPut,I199/(1-AY199),K199/(1-AY199)),J199/(1-AY199))*BL199,0)</f>
        <v>#VALUE!</v>
      </c>
      <c r="CB199" s="1316" t="e">
        <f aca="false">IF(BS199,IF(OPriceCurve,IF(OBuySell=OCallPut,L199/(1-AY199),N199/(1-AY199)),M199/(1-AY199))*BM199,0)</f>
        <v>#VALUE!</v>
      </c>
      <c r="CC199" s="1316" t="e">
        <f aca="false">IF(BS199,IF(OPriceCurve,IF(OBuySell=OCallPut,O199/(1-AY199),Q199/(1-AY199)),P199/(1-AY199))*BN199,0)</f>
        <v>#VALUE!</v>
      </c>
      <c r="CD199" s="1316" t="e">
        <f aca="false">IF(BS199,IF(OPriceCurve,IF(OBuySell=OCallPut,R199/(1-AY199),T199/(1-AY199)),S199/(1-AY199))*BO199,0)</f>
        <v>#VALUE!</v>
      </c>
      <c r="CE199" s="1316" t="e">
        <f aca="false">IF(BR199,(BU199*BH199+BV199*BI199+BW199*BJ199)/BR199,0)</f>
        <v>#VALUE!</v>
      </c>
      <c r="CF199" s="1532" t="e">
        <f aca="false">IF(BS199,(CE199*BR199+CD199*BK199)/BS199,0)</f>
        <v>#VALUE!</v>
      </c>
      <c r="CG199" s="1586" t="e">
        <f aca="false">IF(OR(BQ199,BS199),IF(OVolType&lt;&gt;2,SQRT(IF(OVolOverMonthlyPeak,OVolOverMonthlyPeak,IF(OVolCurve,IF(OBuySell,U199,W199),V199))^2*(1-15/365.25/BT199)+IF(OVolOverDailyPeak,OVolOverDailyPeak,IF(OVolCurve,IF(OBuySell,AG199,AI199),AH199))^2*15/365.25/BT199),IF(OVolOverMonthlyPeak,OVolOverMonthlyPeak,IF(OVolCurve,IF(OBuySell,U199,W199),V199))),"")</f>
        <v>#VALUE!</v>
      </c>
      <c r="CH199" s="1587" t="e">
        <f aca="false">IF(OR(BQ199,BS199),IF(OVolType&lt;&gt;2,SQRT(IF(OVolOverMonthlyPeak,OVolOverMonthlyPeak,IF(OVolCurve,IF(OBuySell,X199,Z199),Y199))^2*(1-15/365.25/BT199)+IF(OVolOverDailyPeak,OVolOverDailyPeak,IF(OVolCurve,IF(OBuySell,AJ199,AL199),AK199))^2*15/365.25/BT199),IF(OVolOverMonthlyPeak,OVolOverMonthlyPeak,IF(OVolCurve,IF(OBuySell,X199,Z199),Y199))),"")</f>
        <v>#VALUE!</v>
      </c>
      <c r="CI199" s="1587" t="e">
        <f aca="false">IF(OR(BQ199,BS199),IF(OVolType&lt;&gt;2,SQRT(IF(OVolOverMonthlyPeak,OVolOverMonthlyPeak,IF(OVolCurve,IF(OBuySell,AA199,AC199),AB199))^2*(1-15/365.25/BT199)+IF(OVolOverDailyPeak,OVolOverDailyPeak,IF(OVolCurve,IF(OBuySell,AM199,AO199),AN199))^2*15/365.25/BT199),IF(OVolOverMonthlyPeak,OVolOverMonthlyPeak,IF(OVolCurve,IF(OBuySell,AA199,AC199),AB199))),"")</f>
        <v>#VALUE!</v>
      </c>
      <c r="CJ199" s="1587" t="e">
        <f aca="false">IF(BQ199,IF(BP199,SQRT(LN(1+((BU199*AZ199)^2*(EXP(CG199^2*BT199)-1)+(BV199*BA199)^2*(EXP(CH199^2*BT199)-1)+(BW199*BB199)^2*(EXP(CI199^2*BT199)-1)+2*BU199*AZ199*BV199*BA199*(EXP(CG199*CH199*BT199)-1)+2*BV199*BA199*BW199*BB199*(EXP(CH199*CI199*BT199)-1)+2*BW199*BB199*BU199*AZ199*(EXP(CI199*CG199*BT199)-1))/(BY199*BP199)^2)/BT199),0),"")</f>
        <v>#VALUE!</v>
      </c>
      <c r="CK199" s="1587" t="e">
        <f aca="false">IF(BS199,IF(BR199,SQRT(LN(1+((CA199*BH199)^2*(EXP(CG199^2*BT199)-1)+(CB199*BI199)^2*(EXP(CH199^2*BT199)-1)+(CC199*BJ199)^2*(EXP(CI199^2*BT199)-1)+2*CA199*BH199*CB199*BI199*(EXP(CG199*CH199*BT199)-1)+2*CB199*BI199*CC199*BJ199*(EXP(CH199*CI199*BT199)-1)+2*CC199*BJ199*CA199*BH199*(EXP(CI199*CG199*BT199)-1))/(CE199*BR199)^2)/BT199),0),"")</f>
        <v>#VALUE!</v>
      </c>
      <c r="CL199" s="1587" t="e">
        <f aca="false">IF(OR(BQ199,BS199),IF(OVolType&lt;&gt;2,SQRT(IF(OVolOverMonthlyOffPeak,OVolOverMonthlyOffPeak,IF(OVolCurve,IF(OBuySell,AD199,AF199),AE199))^2*(1-15/365.25/BT199)+IF(OVolOverDailyOffPeak,OVolOverDailyOffPeak,IF(OVolCurve,IF(OBuySell,AP199,AR199),AQ199))^2*15/365.25/BT199),IF(OVolOverMonthlyOffPeak,OVolOverMonthlyOffPeak,IF(OVolCurve,IF(OBuySell,AD199,AF199),AE199))),"")</f>
        <v>#VALUE!</v>
      </c>
      <c r="CM199" s="1587" t="e">
        <f aca="false">IF(BQ199,SQRT(LN(1+((BY199*BP199)^2*(EXP(CJ199^2*BT199)-1)+(BX199*BC199)^2*(EXP(CL199^2*BT199)-1)+2*BY199*BP199*BX199*BC199*(EXP(AS199*CJ199*CL199*BT199)-1))/(BY199*BP199+BX199*BC199)^2)/BT199),"")</f>
        <v>#VALUE!</v>
      </c>
      <c r="CN199" s="1588" t="e">
        <f aca="false">IF(BS199,SQRT(LN(1+((CE199*BR199)^2*(EXP(CK199^2*BT199)-1)+(CD199*BK199)^2*(EXP(CL199^2*BT199)-1)+2*CE199*BR199*CD199*BK199*(EXP(AS199*CK199*CL199*BT199)-1))/(CE199*BR199+CD199*BK199)^2)/BT199),"")</f>
        <v>#VALUE!</v>
      </c>
      <c r="CO199" s="1531" t="e">
        <f aca="false">IF(OR(BQ199,BS199),VLOOKUP(A199,GasTable,13)*HeatRatePeak*(1+VLOOKUP($B199,HeatRateDegradation,$C199+1))/1000,0)</f>
        <v>#VALUE!</v>
      </c>
      <c r="CP199" s="1316" t="e">
        <f aca="false">IF(OR(BQ199,BS199),VLOOKUP(A199,GasTable,13)*HeatRatePeak*(1+VLOOKUP($B199,HeatRateDegradation,$C199+1))/1000,0)</f>
        <v>#VALUE!</v>
      </c>
      <c r="CQ199" s="1316" t="e">
        <f aca="false">IF(OR(BQ199,BS199),VLOOKUP(A199,GasTable,13)*IF(EV199,HeatRatePeak,HeatRateOffPeak)*(1+VLOOKUP($B199,HeatRateDegradation,$C199+1))/1000,0)</f>
        <v>#VALUE!</v>
      </c>
      <c r="CR199" s="1316" t="e">
        <f aca="false">IF(OR(BQ199,BS199),VLOOKUP(A199,GasTable,13)*IF(EW199,HeatRatePeak,HeatRateOffPeak)*(1+VLOOKUP($B199,HeatRateDegradation,$C199+1))/1000,0)</f>
        <v>#VALUE!</v>
      </c>
      <c r="CS199" s="1589" t="e">
        <f aca="false">IF(BQ199,(CO199*AZ199+CP199*BA199+CQ199*BB199+CR199*BC199)/BQ199,0)</f>
        <v>#VALUE!</v>
      </c>
      <c r="CT199" s="1316" t="e">
        <f aca="false">IF(BS199,CO199,0)</f>
        <v>#VALUE!</v>
      </c>
      <c r="CU199" s="1590" t="e">
        <f aca="false">IF(OR(BQ199,BS199),VLOOKUP(A199,GasTable,14),"")</f>
        <v>#VALUE!</v>
      </c>
      <c r="CV199" s="1568" t="e">
        <f aca="false">IF(OR(BQ199,BS199),IF(CorrPowerGasOverFlag,INDEX(CorrPowerGasOver,C199),CorrPowerGas),"")</f>
        <v>#VALUE!</v>
      </c>
      <c r="CW199" s="1316" t="e">
        <f aca="false">IF(OR($BQ199,$BS199),SpreadOptPowerMargin,0)*((1+Assumptions!$C$26)^($B199-YEAR(Assumptions!$C$17)))</f>
        <v>#VALUE!</v>
      </c>
      <c r="CX199" s="1316" t="e">
        <f aca="false">IF(OR($BQ199,$BS199),SpreadOptPowerMargin,0)*((1+Assumptions!$C$26)^($B199-YEAR(Assumptions!$C$17)))</f>
        <v>#VALUE!</v>
      </c>
      <c r="CY199" s="1316" t="e">
        <f aca="false">IF(OR($BQ199,$BS199),SpreadOptPowerMargin,0)*((1+Assumptions!$C$26)^($B199-YEAR(Assumptions!$C$17)))</f>
        <v>#VALUE!</v>
      </c>
      <c r="CZ199" s="1316" t="e">
        <f aca="false">IF(OR($BQ199,$BS199),SpreadOptPowerMargin,0)*((1+Assumptions!$C$26)^($B199-YEAR(Assumptions!$C$17)))</f>
        <v>#VALUE!</v>
      </c>
      <c r="DA199" s="1591" t="e">
        <f aca="false">IF(OR(BQ199,BS199),(CW199*(AZ199+BH199)+CX199*(BA199+BI199)+CY199*(BB199+BJ199)+CZ199*(BC199+BK199))/(BQ199+BS199),0)</f>
        <v>#VALUE!</v>
      </c>
      <c r="DB199" s="1592" t="e">
        <f aca="false">IF(OR(BQ199,BS199),CG199+IF(OVolSmile,VLOOKUP(MAX(-5,CO199+CW199-BU199),IF(OVolSmile=1,VolSmileBook,VolSmileModel),2),0),"")</f>
        <v>#VALUE!</v>
      </c>
      <c r="DC199" s="1592" t="e">
        <f aca="false">IF(OR(BQ199,BS199),CH199+IF(OVolSmile,VLOOKUP(MAX(-5,CP199+CW199-BV199),IF(OVolSmile=1,VolSmileBook,VolSmileModel),2),0),"")</f>
        <v>#VALUE!</v>
      </c>
      <c r="DD199" s="1592" t="e">
        <f aca="false">IF(OR(BQ199,BS199),CI199+IF(OVolSmile,VLOOKUP(MAX(-5,CQ199+CW199-BW199),IF(OVolSmile=1,VolSmileBook,VolSmileModel),2),0),"")</f>
        <v>#VALUE!</v>
      </c>
      <c r="DE199" s="1592" t="e">
        <f aca="false">IF(OR(BQ199,BS199),CL199+IF(OVolSmile,VLOOKUP(MAX(-5,CR199+CZ199-BX199),IF(OVolSmile=1,VolSmileBook,VolSmileModel),2),0),"")</f>
        <v>#VALUE!</v>
      </c>
      <c r="DF199" s="1592" t="e">
        <f aca="false">IF(BQ199,CM199+IF(OVolSmile,VLOOKUP(MAX(-5,CS199+DA199-BZ199),IF(OVolSmile=1,VolSmileBook,VolSmileModel),2),0),"")</f>
        <v>#VALUE!</v>
      </c>
      <c r="DG199" s="1593" t="e">
        <f aca="false">IF(BS199,CN199+IF(OVolSmile,VLOOKUP(MAX(-5,CT199+DA199-CF199),IF(OVolSmile=1,VolSmileBook,VolSmileModel),2),0),"")</f>
        <v>#VALUE!</v>
      </c>
      <c r="DH199" s="1316" t="e">
        <f aca="false">IF(AND(BU199&gt;0,CO199&gt;0,DB199&gt;0,CU199&gt;0),newSPRDOPT(BU199,CO199,CW199,0,DB199,CU199,CV199,BT199*365.25,OCallPut,0),0)</f>
        <v>#VALUE!</v>
      </c>
      <c r="DI199" s="1316" t="e">
        <f aca="false">IF(AND(BV199&gt;0,CP199&gt;0,DC199&gt;0,CU199&gt;0),newSPRDOPT(BV199,CP199,CX199,0,DC199,CU199,CV199,BT199*365.25,OCallPut,0),0)</f>
        <v>#VALUE!</v>
      </c>
      <c r="DJ199" s="1316" t="e">
        <f aca="false">IF(AND(BW199&gt;0,CQ199&gt;0,DD199&gt;0,CU199&gt;0),newSPRDOPT(BW199,CQ199,CY199,0,DD199,CU199,CV199,BT199*365.25,OCallPut,0),0)</f>
        <v>#VALUE!</v>
      </c>
      <c r="DK199" s="1316" t="e">
        <f aca="false">IF(AND(BX199&gt;0,CR199&gt;0,DE199&gt;0,CU199&gt;0),newSPRDOPT(BX199,CR199,CZ199,0,DE199,CU199,CV199,BT199*365.25,OCallPut,0),0)</f>
        <v>#VALUE!</v>
      </c>
      <c r="DL199" s="1316" t="e">
        <f aca="false">IF(OVolType,IF(AND(BZ199&gt;0,CS199&gt;0,DF199&gt;0,CU199&gt;0),newSPRDOPT(BZ199,CS199,DA199,0,DF199,CU199,CV199,BT199*365.25,OCallPut,0),0),IF(BQ199,(DH199*AZ199+DI199*BA199+DJ199*BB199+DK199*BC199)/BQ199,0))</f>
        <v>#VALUE!</v>
      </c>
      <c r="DM199" s="1316"/>
      <c r="DN199" s="1316"/>
      <c r="DO199" s="1316"/>
      <c r="DP199" s="1316"/>
      <c r="DQ199" s="1316"/>
      <c r="DR199" s="1316"/>
      <c r="DS199" s="1316"/>
      <c r="DT199" s="1316"/>
      <c r="DU199" s="1316"/>
      <c r="DV199" s="1316"/>
      <c r="DW199" s="1594" t="e">
        <f aca="false">IF(AND(BW199&gt;0,CT199&gt;0,DD199&gt;0,CU199&gt;0),newSPRDOPT(BW199,CT199,CY199,0,DD199,CU199,CV199,BT199*365.25,OCallPut,0),0)</f>
        <v>#VALUE!</v>
      </c>
      <c r="DX199" s="1316" t="e">
        <f aca="false">IF(AND(BX199&gt;0,CT199&gt;0,DE199&gt;0,CU199&gt;0),newSPRDOPT(BX199,CT199,CZ199,0,DE199,CU199,CV199,BT199*365.25,OCallPut,0),0)</f>
        <v>#VALUE!</v>
      </c>
      <c r="DY199" s="1591" t="e">
        <f aca="false">IF(BS199,(DH199*BH199+DI199*BI199+DW199*BJ199+DX199*BK199)/BS199,0)</f>
        <v>#VALUE!</v>
      </c>
      <c r="DZ199" s="1551" t="e">
        <f aca="false">DH199*AZ199</f>
        <v>#VALUE!</v>
      </c>
      <c r="EA199" s="1551" t="e">
        <f aca="false">DI199*BA199</f>
        <v>#VALUE!</v>
      </c>
      <c r="EB199" s="1551" t="e">
        <f aca="false">DJ199*BB199</f>
        <v>#VALUE!</v>
      </c>
      <c r="EC199" s="1551" t="e">
        <f aca="false">DK199*BC199</f>
        <v>#VALUE!</v>
      </c>
      <c r="ED199" s="1551" t="e">
        <f aca="false">DL199*BQ199</f>
        <v>#VALUE!</v>
      </c>
      <c r="EE199" s="1595" t="e">
        <f aca="false">IF(BQ199,IF(OCallPut,IF(BU199&gt;(CO199+CW199),BU199-(CO199+CW199),0),IF((CO199+CW199)&gt;BU199,(CO199+CW199)-BU199,0))*AZ199,0)</f>
        <v>#VALUE!</v>
      </c>
      <c r="EF199" s="1596" t="e">
        <f aca="false">IF(BQ199,IF(OCallPut,IF(BV199&gt;(CP199+CX199),BV199-(CP199+CX199),0),IF((CP199+CX199)&gt;BV199,(CP199+CX199)-BV199,0))*BA199,0)</f>
        <v>#VALUE!</v>
      </c>
      <c r="EG199" s="1596" t="e">
        <f aca="false">IF(BQ199,IF(OCallPut,IF(BW199&gt;(CQ199+CY199),BW199-(CQ199+CY199),0),IF((CQ199+CY199)&gt;BW199,(CQ199+CY199)-BW199,0))*BB199,0)</f>
        <v>#VALUE!</v>
      </c>
      <c r="EH199" s="1596" t="e">
        <f aca="false">IF(BQ199,IF(OCallPut,IF(BX199&gt;(CR199+CZ199),BX199-(CR199+CZ199),0),IF((CR199+CZ199)&gt;BX199,(CR199+CZ199)-BX199,0))*BC199,0)</f>
        <v>#VALUE!</v>
      </c>
      <c r="EI199" s="1597" t="e">
        <f aca="false">IF(BQ199,IF(OVolType,IF(OCallPut,IF(BZ199&gt;(CS199+DA199),BZ199-(CS199+DA199),0),IF((CS199+DA199)&gt;BZ199,(CS199+DA199)-BZ199,0))*BQ199,SUM(EE199:EH199)),0)</f>
        <v>#VALUE!</v>
      </c>
      <c r="EJ199" s="1595" t="e">
        <f aca="false">DZ199-EE199</f>
        <v>#VALUE!</v>
      </c>
      <c r="EK199" s="1596" t="e">
        <f aca="false">EA199-EF199</f>
        <v>#VALUE!</v>
      </c>
      <c r="EL199" s="1596" t="e">
        <f aca="false">EB199-EG199</f>
        <v>#VALUE!</v>
      </c>
      <c r="EM199" s="1596" t="e">
        <f aca="false">EC199-EH199</f>
        <v>#VALUE!</v>
      </c>
      <c r="EN199" s="1597" t="e">
        <f aca="false">ED199-EI199</f>
        <v>#VALUE!</v>
      </c>
      <c r="EO199" s="1551" t="e">
        <f aca="false">DH199*BH199</f>
        <v>#VALUE!</v>
      </c>
      <c r="EP199" s="1551" t="e">
        <f aca="false">DI199*BI199</f>
        <v>#VALUE!</v>
      </c>
      <c r="EQ199" s="1551" t="e">
        <f aca="false">DW199*BJ199</f>
        <v>#VALUE!</v>
      </c>
      <c r="ER199" s="1551" t="e">
        <f aca="false">DX199*BK199</f>
        <v>#VALUE!</v>
      </c>
      <c r="ES199" s="1551" t="e">
        <f aca="false">DY199*BS199</f>
        <v>#VALUE!</v>
      </c>
      <c r="ET199" s="1566" t="e">
        <f aca="false">IF(EI199,IF(OCallPut,IF(CA199&gt;(CT199+CW199),CA199-(CT199+CW199),0),IF((CT199+CW199)&gt;CA199,(CT199+CW199)-CA199,0))*BH199,0)</f>
        <v>#VALUE!</v>
      </c>
      <c r="EU199" s="1551" t="e">
        <f aca="false">IF(EI199,IF(OCallPut,IF(CB199&gt;(CT199+CX199),CB199-(CT199+CX199),0),IF((CT199+CX199)&gt;CB199,(CT199+CX199)-CB199,0))*BI199,0)</f>
        <v>#VALUE!</v>
      </c>
      <c r="EV199" s="1551" t="e">
        <f aca="false">IF(EI199,IF(OCallPut,IF(CC199&gt;(CT199+CY199),CC199-(CT199+CY199),0),IF((CT199+CY199)&gt;CC199,(CT199+CY199)-CC199,0))*BJ199,0)</f>
        <v>#VALUE!</v>
      </c>
      <c r="EW199" s="1551" t="e">
        <f aca="false">IF(EI199,IF(OCallPut,IF(CD199&gt;(CT199+CZ199),CD199-(CT199+CZ199),0),IF((CT199+CZ199)&gt;CD199,(CT199+CZ199)-CD199,0))*BK199,0)</f>
        <v>#VALUE!</v>
      </c>
      <c r="EX199" s="1558" t="e">
        <f aca="false">IF(EI199,SUM(ET199:EW199),0)</f>
        <v>#VALUE!</v>
      </c>
      <c r="EY199" s="1551" t="e">
        <f aca="false">EO199-ET199</f>
        <v>#VALUE!</v>
      </c>
      <c r="EZ199" s="1551" t="e">
        <f aca="false">EP199-EU199</f>
        <v>#VALUE!</v>
      </c>
      <c r="FA199" s="1551" t="e">
        <f aca="false">EQ199-EV199</f>
        <v>#VALUE!</v>
      </c>
      <c r="FB199" s="1551" t="e">
        <f aca="false">ER199-EW199</f>
        <v>#VALUE!</v>
      </c>
      <c r="FC199" s="1551" t="e">
        <f aca="false">ES199-EX199</f>
        <v>#VALUE!</v>
      </c>
      <c r="FD199" s="1525" t="n">
        <f aca="false">IF(AX199,IF(VLOOKUP(C199,MAIN!$L$17:$M$28,2)="Yes",VLOOKUP(CALC!B199,MAIN!$H$17:$I$20,2),0),0)</f>
        <v>0</v>
      </c>
      <c r="FE199" s="1552" t="e">
        <f aca="false">$FD199*16*AT199*(1-$AY199)</f>
        <v>#VALUE!</v>
      </c>
      <c r="FF199" s="1553" t="e">
        <f aca="false">$FD199*16*AU199*(1-$AY199)</f>
        <v>#VALUE!</v>
      </c>
      <c r="FG199" s="1553" t="e">
        <f aca="false">$FD199*16*(AV199+AW199)*(1-$AY199)</f>
        <v>#VALUE!</v>
      </c>
      <c r="FH199" s="1554" t="n">
        <f aca="false">$FD199*8*AX199*(1-$AY199)</f>
        <v>0</v>
      </c>
      <c r="FI199" s="1555" t="n">
        <f aca="false">IF(AX199,VLOOKUP(CALC!B199,MAIN!$H$17:$K$20,4),0)</f>
        <v>0</v>
      </c>
      <c r="FJ199" s="1553" t="e">
        <f aca="false">SUM(FE199:FH199)</f>
        <v>#VALUE!</v>
      </c>
      <c r="FK199" s="1556" t="e">
        <f aca="false">FI199*FJ199</f>
        <v>#VALUE!</v>
      </c>
      <c r="FL199" s="1551" t="e">
        <f aca="false">IF($EI199&gt;0,MIN(FE199,AZ199*(1+VLOOKUP($C199,WeatherCapacityAdjustment,2))),0)</f>
        <v>#VALUE!</v>
      </c>
      <c r="FM199" s="1551" t="e">
        <f aca="false">IF($EI199&gt;0,MIN(FF199,BA199*(1+VLOOKUP($C199,WeatherCapacityAdjustment,2))),0)</f>
        <v>#VALUE!</v>
      </c>
      <c r="FN199" s="1551" t="e">
        <f aca="false">IF($EI199&gt;0,MIN(FG199,BB199*(1+VLOOKUP($C199,WeatherCapacityAdjustment,2))),0)</f>
        <v>#VALUE!</v>
      </c>
      <c r="FO199" s="1564" t="e">
        <f aca="false">IF($EI199&gt;0,MIN(FH199,BC199*(1+VLOOKUP($C199,WeatherCapacityAdjustment,3))),0)</f>
        <v>#VALUE!</v>
      </c>
      <c r="FP199" s="1551" t="e">
        <f aca="false">IF(ET199&gt;0,MIN(FE199-FL199,BH199*(1+VLOOKUP($C199,WeatherCapacityAdjustment,2))),0)</f>
        <v>#VALUE!</v>
      </c>
      <c r="FQ199" s="1551" t="e">
        <f aca="false">IF(EU199&gt;0,MIN(FF199-FM199,BI199*(1+VLOOKUP($C199,WeatherCapacityAdjustment,2))),0)</f>
        <v>#VALUE!</v>
      </c>
      <c r="FR199" s="1551" t="e">
        <f aca="false">IF(EV199&gt;0,MIN(FG199-FN199,BJ199*(1+VLOOKUP($C199,WeatherCapacityAdjustment,2))),0)</f>
        <v>#VALUE!</v>
      </c>
      <c r="FS199" s="1558" t="e">
        <f aca="false">IF(EW199&gt;0,MIN(FH199-FO199,BK199*(1+VLOOKUP($C199,WeatherCapacityAdjustment,3))),0)</f>
        <v>#VALUE!</v>
      </c>
      <c r="FT199" s="1566" t="e">
        <f aca="false">IF(AND(Assumptions!$H$71="Yes",A199&gt;=Assumptions!$H$72,A199&lt;=Assumptions!$H$73),0,IF(AND($A199&gt;=Assumptions!$C$17,$A199&lt;=Assumptions!$C$18),MAX(AZ199*(1+VLOOKUP($C199,WeatherCapacityAdjustment,2))-FL199,0),0))</f>
        <v>#VALUE!</v>
      </c>
      <c r="FU199" s="1551" t="e">
        <f aca="false">IF(AND(Assumptions!$H$71="Yes",A199&gt;=Assumptions!$H$72,A199&lt;=Assumptions!$H$73),0,IF(AND($A199&gt;=Assumptions!$C$17,$A199&lt;=Assumptions!$C$18),MAX(BA199*(1+VLOOKUP($C199,WeatherCapacityAdjustment,2))-FM199,0),0))</f>
        <v>#VALUE!</v>
      </c>
      <c r="FV199" s="1551" t="e">
        <f aca="false">IF(AND(Assumptions!$H$71="Yes",A199&gt;=Assumptions!$H$72,A199&lt;=Assumptions!$H$73),0,IF(AND($A199&gt;=Assumptions!$C$17,$A199&lt;=Assumptions!$C$18),MAX(BB199*(1+VLOOKUP($C199,WeatherCapacityAdjustment,2))-FN199,0),0))</f>
        <v>#VALUE!</v>
      </c>
      <c r="FW199" s="1564" t="e">
        <f aca="false">IF(AND(Assumptions!$H$71="Yes",A199&gt;=Assumptions!$H$72,A199&lt;=Assumptions!$H$73),0,IF(AND($A199&gt;=Assumptions!$C$17,$A199&lt;=Assumptions!$C$18),MAX(BC199*(1+VLOOKUP($C199,WeatherCapacityAdjustment,3))-FO199,0),0))</f>
        <v>#VALUE!</v>
      </c>
      <c r="FX199" s="1569" t="e">
        <f aca="false">IF(AND(Assumptions!$H$71="Yes",A199&gt;=Assumptions!$H$72,A199&lt;=Assumptions!$H$73),0,IF(ET199&gt;0,MAX(BH199*(1+VLOOKUP($C199,WeatherCapacityAdjustment,2))-FP199,0),0))</f>
        <v>#VALUE!</v>
      </c>
      <c r="FY199" s="1551" t="e">
        <f aca="false">IF(AND(Assumptions!$H$71="Yes",A199&gt;=Assumptions!$H$72,A199&lt;=Assumptions!$H$73),0,IF(EU199&gt;0,MAX(BI199*(1+VLOOKUP($C199,WeatherCapacityAdjustment,3))-FQ199,0),0))</f>
        <v>#VALUE!</v>
      </c>
      <c r="FZ199" s="1551" t="e">
        <f aca="false">IF(AND(Assumptions!$H$71="Yes",A199&gt;=Assumptions!$H$72,A199&lt;=Assumptions!$H$73),0,IF(EV199&gt;0,MAX(BJ199*(1+VLOOKUP($C199,WeatherCapacityAdjustment,2))-FR199,0),0))</f>
        <v>#VALUE!</v>
      </c>
      <c r="GA199" s="1564" t="e">
        <f aca="false">IF(AND(Assumptions!$H$71="Yes",A199&gt;=Assumptions!$H$72,A199&lt;=Assumptions!$H$73),0,IF(EW199&gt;0,MAX(BK199*(1+VLOOKUP($C199,WeatherCapacityAdjustment,2))-FS199,0),0))</f>
        <v>#VALUE!</v>
      </c>
      <c r="GB199" s="1551" t="e">
        <f aca="false">SUM(FT199:GA199)</f>
        <v>#VALUE!</v>
      </c>
      <c r="GC199" s="1563" t="e">
        <f aca="false">+IF(SUM(FT199:GA199)=0,0,(SUMPRODUCT(BU199:BX199,FT199:FW199)+SUMPRODUCT(CA199:CD199,FX199:GA199))/SUM(FT199:GA199))</f>
        <v>#VALUE!</v>
      </c>
      <c r="GD199" s="1551" t="e">
        <f aca="false">(FT199*BU199+FX199*CA199+FU199*BV199+FY199*CB199+FV199*BW199+FZ199*CC199+FW199*BX199+GA199*CD199)</f>
        <v>#VALUE!</v>
      </c>
      <c r="GE199" s="1561" t="e">
        <f aca="false">+IF(BQ199,((FL199+FM199+FT199+FU199)*HeatRatePeak/1000*(1+VLOOKUP($C199,WeatherHeatRateAdjustment,2))+(FN199+FV199)*IF(EV199&gt;0,HeatRatePeak,HeatRateOffPeak)/1000*(1+VLOOKUP($C199,WeatherHeatRateAdjustment,2))+(FO199+FW199)*IF(EW199&gt;0,HeatRatePeak,HeatRateOffPeak)/1000*(1+VLOOKUP($C199,WeatherHeatRateAdjustment,3)))*(1+VLOOKUP($B199,HeatRateDegradation,$C199+1)),0)</f>
        <v>#VALUE!</v>
      </c>
      <c r="GF199" s="1562" t="e">
        <f aca="false">IF(BQ199,((FP199+FQ199+FR199+FX199+FY199+FZ199)*HeatRatePeak/1000*(1+VLOOKUP($C199,WeatherHeatRateAdjustment,2))+(FS199+GA199)*HeatRatePeak/1000*(1+VLOOKUP($C199,WeatherHeatRateAdjustment,3)))*(1+VLOOKUP($B199,HeatRateDegradation,$C199+1)),0)</f>
        <v>#VALUE!</v>
      </c>
      <c r="GG199" s="1563" t="e">
        <f aca="false">IF(BQ199,VLOOKUP(A199,GasTable,13),0)</f>
        <v>#VALUE!</v>
      </c>
      <c r="GH199" s="1564" t="e">
        <f aca="false">(GE199+GF199)*GG199</f>
        <v>#VALUE!</v>
      </c>
      <c r="GI199" s="1569" t="e">
        <f aca="false">GB199</f>
        <v>#VALUE!</v>
      </c>
      <c r="GJ199" s="1598" t="e">
        <f aca="false">+DA199</f>
        <v>#VALUE!</v>
      </c>
      <c r="GK199" s="1558" t="e">
        <f aca="false">+GI199*GJ199</f>
        <v>#VALUE!</v>
      </c>
      <c r="GL199" s="1566" t="e">
        <f aca="false">MAX(FE199-FL199-FP199,0)</f>
        <v>#VALUE!</v>
      </c>
      <c r="GM199" s="1551" t="e">
        <f aca="false">MAX(FF199-FM199-FQ199,0)</f>
        <v>#VALUE!</v>
      </c>
      <c r="GN199" s="1551" t="e">
        <f aca="false">MAX(FG199-FN199-FR199,0)</f>
        <v>#VALUE!</v>
      </c>
      <c r="GO199" s="1564" t="e">
        <f aca="false">MAX(FH199-FO199-FS199,0)</f>
        <v>#VALUE!</v>
      </c>
      <c r="GP199" s="1551" t="e">
        <f aca="false">SUM(GL199:GO199)</f>
        <v>#VALUE!</v>
      </c>
      <c r="GQ199" s="1563" t="e">
        <f aca="false">IF(SUM(GL199:GO199)=0,0,((GL199*BU199+GM199*BV199+GN199*BW199+GO199*BX199)/SUM(GL199:GO199)))</f>
        <v>#VALUE!</v>
      </c>
      <c r="GR199" s="1558" t="e">
        <f aca="false">(GL199*BU199+GM199*BV199+GN199*BW199+GO199*BX199)</f>
        <v>#VALUE!</v>
      </c>
      <c r="GS199" s="1566" t="n">
        <f aca="false">IF($A199&gt;=BegDate,Assumptions!$C$56*24*($A200-$A199)*(1-VLOOKUP($B199,MAIN!$AA$7:$AM$28,$C199+1))*(1-VLOOKUP($B199,MAIN!$AA$33:$AM$54,$C199+1)),0)*80/168</f>
        <v>257742.857142857</v>
      </c>
      <c r="GT199" s="286" t="n">
        <f aca="false">J199</f>
        <v>68.0617731505557</v>
      </c>
      <c r="GU199" s="286" t="n">
        <f aca="false">IF($A199&gt;=BegDate,VLOOKUP($A199,GasTable,13)+Assumptions!$C$58,0)</f>
        <v>3.19313219687805</v>
      </c>
      <c r="GV199" s="286" t="n">
        <f aca="false">GU199*Assumptions!$C$57/1000</f>
        <v>23.1502084273658</v>
      </c>
      <c r="GW199" s="1558" t="n">
        <f aca="false">IF(Assumptions!$C$60="Hourly",MAX(0,GS199*(GT199-GV199)),GS199*(GT199-GV199))</f>
        <v>11575635.0105113</v>
      </c>
      <c r="GX199" s="1566" t="n">
        <f aca="false">IF($A199&gt;=BegDate,Assumptions!$C$56*24*($A200-$A199)*(1-VLOOKUP($B199,MAIN!$AA$7:$AM$28,$C199+1))*(1-VLOOKUP($B199,MAIN!$AA$33:$AM$54,$C199+1)),0)*16/168</f>
        <v>51548.5714285714</v>
      </c>
      <c r="GY199" s="286" t="n">
        <f aca="false">M199</f>
        <v>68.0617731505557</v>
      </c>
      <c r="GZ199" s="286" t="n">
        <f aca="false">IF($A199&gt;=BegDate,VLOOKUP($A199,GasTable,13)+Assumptions!$C$58,0)</f>
        <v>3.19313219687805</v>
      </c>
      <c r="HA199" s="286" t="n">
        <f aca="false">GZ199*Assumptions!$C$57/1000</f>
        <v>23.1502084273658</v>
      </c>
      <c r="HB199" s="1558" t="n">
        <f aca="false">IF(Assumptions!$C$60="Hourly",MAX(0,GX199*(GY199-HA199)),GX199*(GY199-HA199))</f>
        <v>2315127.00210226</v>
      </c>
      <c r="HC199" s="1566" t="n">
        <f aca="false">IF($A199&gt;=BegDate,Assumptions!$C$56*24*($A200-$A199)*(1-VLOOKUP($B199,MAIN!$AA$7:$AM$28,$C199+1))*(1-VLOOKUP($B199,MAIN!$AA$33:$AM$54,$C199+1)),0)*16/168</f>
        <v>51548.5714285714</v>
      </c>
      <c r="HD199" s="286" t="n">
        <f aca="false">P199</f>
        <v>32.2841513523839</v>
      </c>
      <c r="HE199" s="286" t="n">
        <f aca="false">IF($A199&gt;=BegDate,VLOOKUP($A199,GasTable,13)+Assumptions!$C$58,0)</f>
        <v>3.19313219687805</v>
      </c>
      <c r="HF199" s="286" t="n">
        <f aca="false">HE199*Assumptions!$C$57/1000</f>
        <v>23.1502084273658</v>
      </c>
      <c r="HG199" s="1558" t="n">
        <f aca="false">IF(Assumptions!$C$60="Hourly",MAX(0,HC199*(HD199-HF199)),HC199*(HD199-HF199))</f>
        <v>470841.709294788</v>
      </c>
      <c r="HH199" s="1566" t="n">
        <f aca="false">IF($A199&gt;=BegDate,Assumptions!$C$56*24*($A200-$A199)*(1-VLOOKUP($B199,MAIN!$AA$7:$AM$28,$C199+1))*(1-VLOOKUP($B199,MAIN!$AA$33:$AM$54,$C199+1)),0)*56/168</f>
        <v>180420</v>
      </c>
      <c r="HI199" s="286" t="n">
        <f aca="false">S199</f>
        <v>32.2841513523839</v>
      </c>
      <c r="HJ199" s="286" t="n">
        <f aca="false">IF($A199&gt;=BegDate,VLOOKUP($A199,GasTable,13)+Assumptions!$C$58,0)</f>
        <v>3.19313219687805</v>
      </c>
      <c r="HK199" s="286" t="n">
        <f aca="false">HJ199*Assumptions!$C$57/1000</f>
        <v>23.1502084273658</v>
      </c>
      <c r="HL199" s="1558" t="n">
        <f aca="false">IF(Assumptions!$C$60="Hourly",MAX(0,HH199*(HI199-HK199)),HH199*(HI199-HK199))</f>
        <v>1647945.98253176</v>
      </c>
      <c r="HM199" s="1566" t="n">
        <f aca="false">IF(AND(Assumptions!$H$71="Yes",A199&gt;=Assumptions!$H$72,A199&lt;=Assumptions!$H$73),Assumptions!$H$74*Assumptions!$C$9*1000,0)</f>
        <v>0</v>
      </c>
      <c r="HN199" s="1551"/>
      <c r="HO199" s="1563"/>
      <c r="HP199" s="1563"/>
      <c r="HQ199" s="1563"/>
      <c r="HR199" s="1563"/>
      <c r="HS199" s="1563"/>
      <c r="HT199" s="1563"/>
      <c r="HU199" s="1563"/>
      <c r="HV199" s="1563"/>
      <c r="HW199" s="1563"/>
      <c r="HX199" s="1563"/>
      <c r="HY199" s="1563"/>
      <c r="HZ199" s="1563"/>
      <c r="IA199" s="1563"/>
      <c r="IB199" s="1563"/>
      <c r="IC199" s="1563"/>
      <c r="ID199" s="1563"/>
      <c r="IE199" s="1563"/>
      <c r="IF199" s="1563"/>
      <c r="IG199" s="1563"/>
      <c r="IH199" s="1563"/>
      <c r="II199" s="1610"/>
      <c r="IJ199" s="1309"/>
      <c r="IK199" s="1309"/>
    </row>
    <row r="200" customFormat="false" ht="12.75" hidden="false" customHeight="false" outlineLevel="0" collapsed="false">
      <c r="A200" s="1571" t="n">
        <f aca="false">EOMONTH(A199,0)+1</f>
        <v>42217</v>
      </c>
      <c r="B200" s="594" t="n">
        <f aca="false">+YEAR(A200)</f>
        <v>2015</v>
      </c>
      <c r="C200" s="238" t="n">
        <f aca="false">MONTH(A200)</f>
        <v>8</v>
      </c>
      <c r="D200" s="1572" t="e">
        <f aca="false">IF(E200="","",Holiday(B200,C200))</f>
        <v>#VALUE!</v>
      </c>
      <c r="E200" s="1573" t="n">
        <f aca="false">IF(OR(BegDate&gt;=A201,EndDate&lt;A200,AND(VolumeMonthlyOverFlag,INDEX(VolumeMonthlyOver,C200)=0),NOT(INDEX(MonthKnockOutTable,C200))),"",MAX(A200,BegDate))</f>
        <v>42217</v>
      </c>
      <c r="F200" s="1574" t="n">
        <f aca="false">IF(E200="","",MIN(A201-1,EndDate))</f>
        <v>42247</v>
      </c>
      <c r="G200" s="1575" t="n">
        <v>0</v>
      </c>
      <c r="H200" s="1576" t="n">
        <f aca="false">(1+G200/2)^(-2*(DATE(B201,C201,20)-DateToday)/365.25)</f>
        <v>1</v>
      </c>
      <c r="I200" s="1568" t="n">
        <f aca="false">IF(Assumptions!$L$25=4,VLOOKUP($A200,'Henwood Reference'!$E$9:$R$320,10),(VLOOKUP($A200,PriceTable,2,0)+IF(BasisNumber&lt;&gt;1,VLOOKUP($A200,BasisTable,2,0),0)+I$1)/(1-I$2))</f>
        <v>115.664867103413</v>
      </c>
      <c r="J200" s="1568" t="n">
        <f aca="false">IF(Assumptions!$L$25=4,VLOOKUP($A200,'Henwood Reference'!$E$9:$R$320,10),(VLOOKUP($A200,PriceTable,3,0)+IF(BasisNumber&lt;&gt;1,VLOOKUP($A200,BasisTable,2,0),0)+J$1)/(1-J$2))</f>
        <v>115.664867103413</v>
      </c>
      <c r="K200" s="1568" t="n">
        <f aca="false">IF(Assumptions!$L$25=4,VLOOKUP($A200,'Henwood Reference'!$E$9:$R$320,10),(VLOOKUP($A200,PriceTable,4,0)+IF(BasisNumber&lt;&gt;1,VLOOKUP($A200,BasisTable,2,0),0)+K$1)/(1-K$2))</f>
        <v>115.664867103413</v>
      </c>
      <c r="L200" s="1523" t="n">
        <f aca="false">IF(Assumptions!$L$25=4,VLOOKUP($A200,'Henwood Reference'!$E$9:$R$320,10),(VLOOKUP($A200,PriceTableWeekend,2,0)+IF(BasisNumber&lt;&gt;1,VLOOKUP($A200,BasisTable,2,0),0)+L$1)/(1-L$2))</f>
        <v>115.664867103413</v>
      </c>
      <c r="M200" s="1568" t="n">
        <f aca="false">IF(Assumptions!$L$25=4,VLOOKUP($A200,'Henwood Reference'!$E$9:$R$320,10),(VLOOKUP($A200,PriceTableWeekend,3,0)+IF(BasisNumber&lt;&gt;1,VLOOKUP($A200,BasisTable,2,0),0)+M$1)/(1-M$2))</f>
        <v>115.664867103413</v>
      </c>
      <c r="N200" s="1599" t="n">
        <f aca="false">IF(Assumptions!$L$25=4,VLOOKUP($A200,'Henwood Reference'!$E$9:$R$320,10),(VLOOKUP($A200,PriceTableWeekend,4,0)+IF(BasisNumber&lt;&gt;1,VLOOKUP($A200,BasisTable,2,0),0)+N$1)/(1-N$2))</f>
        <v>115.664867103413</v>
      </c>
      <c r="O200" s="1568" t="n">
        <f aca="false">IF(Assumptions!$L$25=4,VLOOKUP($A200,'Henwood Reference'!$E$9:$R$320,11),(VLOOKUP($A200,PriceTableWeekend,6,0)+IF(BasisNumber&lt;&gt;1,VLOOKUP($A200,BasisTable,3,0),0)+O$1)/(1-O$2))</f>
        <v>37.3661501978958</v>
      </c>
      <c r="P200" s="1568" t="n">
        <f aca="false">IF(Assumptions!$L$25=4,VLOOKUP($A200,'Henwood Reference'!$E$9:$R$320,11),(VLOOKUP($A200,PriceTableWeekend,7,0)+IF(BasisNumber&lt;&gt;1,VLOOKUP($A200,BasisTable,3,0),0)+P$1)/(1-P$2))</f>
        <v>37.3661501978958</v>
      </c>
      <c r="Q200" s="1599" t="n">
        <f aca="false">IF(Assumptions!$L$25=4,VLOOKUP($A200,'Henwood Reference'!$E$9:$R$320,11),(VLOOKUP($A200,PriceTableWeekend,8,0)+IF(BasisNumber&lt;&gt;1,VLOOKUP($A200,BasisTable,3,0),0)+Q$1)/(1-Q$2))</f>
        <v>37.3661501978958</v>
      </c>
      <c r="R200" s="1568" t="n">
        <f aca="false">IF(Assumptions!$L$25=4,VLOOKUP($A200,'Henwood Reference'!$E$9:$R$320,11),(VLOOKUP($A200,PriceTable,6,0)+IF(BasisNumber&lt;&gt;1,VLOOKUP($A200,BasisTable,3,0),0)+R$1)/(1-R$2))</f>
        <v>37.3661501978958</v>
      </c>
      <c r="S200" s="1568" t="n">
        <f aca="false">IF(Assumptions!$L$25=4,VLOOKUP($A200,'Henwood Reference'!$E$9:$R$320,11),(VLOOKUP($A200,PriceTable,7,0)+IF(BasisNumber&lt;&gt;1,VLOOKUP($A200,BasisTable,3,0),0)+S$1)/(1-S$2))</f>
        <v>37.3661501978958</v>
      </c>
      <c r="T200" s="1600" t="n">
        <f aca="false">IF(Assumptions!$L$25=4,VLOOKUP($A200,'Henwood Reference'!$E$9:$R$320,11),(VLOOKUP($A200,PriceTable,8,0)+IF(BasisNumber&lt;&gt;1,VLOOKUP($A200,BasisTable,3,0),0)+T$1)/(1-T$2))</f>
        <v>37.3661501978958</v>
      </c>
      <c r="U200" s="1513" t="n">
        <f aca="false">VLOOKUP($A200,VolatilityTable,14)</f>
        <v>0.0949999999999999</v>
      </c>
      <c r="V200" s="1513" t="n">
        <f aca="false">VLOOKUP($A200,VolatilityTable,15)</f>
        <v>0.105</v>
      </c>
      <c r="W200" s="1514" t="n">
        <f aca="false">VLOOKUP($A200,VolatilityTable,16)</f>
        <v>0.115</v>
      </c>
      <c r="X200" s="1513" t="n">
        <f aca="false">VLOOKUP($A200,VolatilityTable,14)</f>
        <v>0.0949999999999999</v>
      </c>
      <c r="Y200" s="1513" t="n">
        <f aca="false">VLOOKUP($A200,VolatilityTable,15)</f>
        <v>0.105</v>
      </c>
      <c r="Z200" s="1514" t="n">
        <f aca="false">VLOOKUP($A200,VolatilityTable,16)</f>
        <v>0.115</v>
      </c>
      <c r="AA200" s="1513" t="n">
        <f aca="false">VLOOKUP($A200,VolatilityTable,18)</f>
        <v>0.09</v>
      </c>
      <c r="AB200" s="1513" t="n">
        <f aca="false">VLOOKUP($A200,VolatilityTable,19)</f>
        <v>0.11</v>
      </c>
      <c r="AC200" s="1514" t="n">
        <f aca="false">VLOOKUP($A200,VolatilityTable,20)</f>
        <v>0.13</v>
      </c>
      <c r="AD200" s="1513" t="n">
        <f aca="false">VLOOKUP($A200,VolatilityTable,18)</f>
        <v>0.09</v>
      </c>
      <c r="AE200" s="1513" t="n">
        <f aca="false">VLOOKUP($A200,VolatilityTable,19)</f>
        <v>0.11</v>
      </c>
      <c r="AF200" s="1514" t="n">
        <f aca="false">VLOOKUP($A200,VolatilityTable,20)</f>
        <v>0.13</v>
      </c>
      <c r="AG200" s="1513" t="n">
        <f aca="false">VLOOKUP($A200,VolatilityTable,22)</f>
        <v>-0.35</v>
      </c>
      <c r="AH200" s="1513" t="n">
        <f aca="false">VLOOKUP($A200,VolatilityTable,23)</f>
        <v>3</v>
      </c>
      <c r="AI200" s="1514" t="n">
        <f aca="false">VLOOKUP($A200,VolatilityTable,24)</f>
        <v>0.35</v>
      </c>
      <c r="AJ200" s="1513" t="n">
        <f aca="false">VLOOKUP($A200,VolatilityTable,22)</f>
        <v>-0.35</v>
      </c>
      <c r="AK200" s="1513" t="n">
        <f aca="false">VLOOKUP($A200,VolatilityTable,23)</f>
        <v>3</v>
      </c>
      <c r="AL200" s="1514" t="n">
        <f aca="false">VLOOKUP($A200,VolatilityTable,24)</f>
        <v>0.35</v>
      </c>
      <c r="AM200" s="1513" t="n">
        <f aca="false">VLOOKUP($A200,VolatilityTable,26)</f>
        <v>-0.01</v>
      </c>
      <c r="AN200" s="1513" t="n">
        <f aca="false">VLOOKUP($A200,VolatilityTable,27)</f>
        <v>0.16</v>
      </c>
      <c r="AO200" s="1514" t="n">
        <f aca="false">VLOOKUP($A200,VolatilityTable,28)</f>
        <v>0.01</v>
      </c>
      <c r="AP200" s="1513" t="n">
        <f aca="false">VLOOKUP($A200,VolatilityTable,26)</f>
        <v>-0.01</v>
      </c>
      <c r="AQ200" s="1513" t="n">
        <f aca="false">VLOOKUP($A200,VolatilityTable,27)</f>
        <v>0.16</v>
      </c>
      <c r="AR200" s="1515" t="n">
        <f aca="false">VLOOKUP($A200,VolatilityTable,28)</f>
        <v>0.01</v>
      </c>
      <c r="AS200" s="1581" t="n">
        <f aca="false">IF(CorrPeakOffPeakOverFlag,INDEX(CorrPeakOffPeakOver,C200),CorrPeakOffPeak)</f>
        <v>0.5</v>
      </c>
      <c r="AT200" s="594" t="e">
        <f aca="false">AX200-SUM(AU200:AW200)</f>
        <v>#VALUE!</v>
      </c>
      <c r="AU200" s="238" t="e">
        <f aca="false">IF(E200="",0,INT((F200-MOD(F200,7)-E200)/7)+1-IF(AW200,IF(WEEKDAY(D200)=7,1,0),0))</f>
        <v>#VALUE!</v>
      </c>
      <c r="AV200" s="238" t="e">
        <f aca="false">IF(E200="",0,INT((F200-MOD(F200-1,7)-E200)/7)+1-IF(AW200,IF(WEEKDAY(D200)=1,1,0),0))</f>
        <v>#VALUE!</v>
      </c>
      <c r="AW200" s="238" t="e">
        <f aca="false">IF(OR(E200="",D200="",D200&lt;BegDate,D200&gt;EndDate),0,1)</f>
        <v>#VALUE!</v>
      </c>
      <c r="AX200" s="238" t="n">
        <f aca="false">IF(E200="",0,F200-E200+1)</f>
        <v>31</v>
      </c>
      <c r="AY200" s="1582" t="n">
        <f aca="false">IF(E200="",0,MIN((1-(1-VLOOKUP(B200,MAIN!$AA$7:$AM$28,C200+1))*(1-VLOOKUP(B200,MAIN!$AA$33:$AM$54,C200+1))),1))</f>
        <v>0.03</v>
      </c>
      <c r="AZ200" s="1519" t="e">
        <v>#VALUE!</v>
      </c>
      <c r="BA200" s="1520" t="e">
        <v>#VALUE!</v>
      </c>
      <c r="BB200" s="1520" t="e">
        <v>#VALUE!</v>
      </c>
      <c r="BC200" s="1583" t="e">
        <v>#VALUE!</v>
      </c>
      <c r="BD200" s="1522" t="e">
        <v>#VALUE!</v>
      </c>
      <c r="BE200" s="1523" t="e">
        <v>#VALUE!</v>
      </c>
      <c r="BF200" s="1523" t="e">
        <v>#VALUE!</v>
      </c>
      <c r="BG200" s="1584" t="e">
        <v>#VALUE!</v>
      </c>
      <c r="BH200" s="1525" t="e">
        <v>#VALUE!</v>
      </c>
      <c r="BI200" s="1520" t="e">
        <v>#VALUE!</v>
      </c>
      <c r="BJ200" s="1520" t="e">
        <v>#VALUE!</v>
      </c>
      <c r="BK200" s="1583" t="e">
        <v>#VALUE!</v>
      </c>
      <c r="BL200" s="1522" t="e">
        <v>#VALUE!</v>
      </c>
      <c r="BM200" s="1523" t="e">
        <v>#VALUE!</v>
      </c>
      <c r="BN200" s="1523" t="e">
        <v>#VALUE!</v>
      </c>
      <c r="BO200" s="1523" t="e">
        <v>#VALUE!</v>
      </c>
      <c r="BP200" s="1525" t="e">
        <f aca="false">SUM(AZ200:BB200)</f>
        <v>#VALUE!</v>
      </c>
      <c r="BQ200" s="1529" t="e">
        <f aca="false">SUM(AZ200:BC200)</f>
        <v>#VALUE!</v>
      </c>
      <c r="BR200" s="1519" t="e">
        <f aca="false">SUM(BH200:BJ200)</f>
        <v>#VALUE!</v>
      </c>
      <c r="BS200" s="1529" t="e">
        <f aca="false">SUM(BH200:BK200)</f>
        <v>#VALUE!</v>
      </c>
      <c r="BT200" s="1316" t="n">
        <f aca="false">(IF(OVolType&lt;&gt;2,A200+14,IF(OptExpDateShift,ShiftBack(A200,OptExpDateShift,D199),A200))-DateToday)/365.25</f>
        <v>15.2963723477071</v>
      </c>
      <c r="BU200" s="1585" t="e">
        <f aca="false">IF(BQ200,IF(OPriceCurve,IF(OBuySell=OCallPut,I200/(1-AY200),K200/(1-AY200)),J200/(1-AY200))*BD200,0)</f>
        <v>#VALUE!</v>
      </c>
      <c r="BV200" s="1316" t="e">
        <f aca="false">IF(BQ200,IF(OPriceCurve,IF(OBuySell=OCallPut,L200/(1-AY200),N200/(1-AY200)),M200/(1-AY200))*BE200,0)</f>
        <v>#VALUE!</v>
      </c>
      <c r="BW200" s="1316" t="e">
        <f aca="false">IF(BQ200,IF(OPriceCurve,IF(OBuySell=OCallPut,O200/(1-AY200),Q200/(1-AY200)),P200/(1-AY200))*BF200,0)</f>
        <v>#VALUE!</v>
      </c>
      <c r="BX200" s="1316" t="e">
        <f aca="false">IF(BQ200,IF(OPriceCurve,IF(OBuySell=OCallPut,R200/(1-AY200),T200/(1-AY200)),S200/(1-AY200))*BG200,0)</f>
        <v>#VALUE!</v>
      </c>
      <c r="BY200" s="1316" t="e">
        <f aca="false">IF(BP200,(BU200*AZ200+BV200*BA200+BW200*BB200)/BP200,0)</f>
        <v>#VALUE!</v>
      </c>
      <c r="BZ200" s="1316" t="e">
        <f aca="false">IF(BQ200,(BY200*BP200+BX200*BC200)/BQ200,0)</f>
        <v>#VALUE!</v>
      </c>
      <c r="CA200" s="1531" t="e">
        <f aca="false">IF(BS200,IF(OPriceCurve,IF(OBuySell=OCallPut,I200/(1-AY200),K200/(1-AY200)),J200/(1-AY200))*BL200,0)</f>
        <v>#VALUE!</v>
      </c>
      <c r="CB200" s="1316" t="e">
        <f aca="false">IF(BS200,IF(OPriceCurve,IF(OBuySell=OCallPut,L200/(1-AY200),N200/(1-AY200)),M200/(1-AY200))*BM200,0)</f>
        <v>#VALUE!</v>
      </c>
      <c r="CC200" s="1316" t="e">
        <f aca="false">IF(BS200,IF(OPriceCurve,IF(OBuySell=OCallPut,O200/(1-AY200),Q200/(1-AY200)),P200/(1-AY200))*BN200,0)</f>
        <v>#VALUE!</v>
      </c>
      <c r="CD200" s="1316" t="e">
        <f aca="false">IF(BS200,IF(OPriceCurve,IF(OBuySell=OCallPut,R200/(1-AY200),T200/(1-AY200)),S200/(1-AY200))*BO200,0)</f>
        <v>#VALUE!</v>
      </c>
      <c r="CE200" s="1316" t="e">
        <f aca="false">IF(BR200,(BU200*BH200+BV200*BI200+BW200*BJ200)/BR200,0)</f>
        <v>#VALUE!</v>
      </c>
      <c r="CF200" s="1532" t="e">
        <f aca="false">IF(BS200,(CE200*BR200+CD200*BK200)/BS200,0)</f>
        <v>#VALUE!</v>
      </c>
      <c r="CG200" s="1586" t="e">
        <f aca="false">IF(OR(BQ200,BS200),IF(OVolType&lt;&gt;2,SQRT(IF(OVolOverMonthlyPeak,OVolOverMonthlyPeak,IF(OVolCurve,IF(OBuySell,U200,W200),V200))^2*(1-15/365.25/BT200)+IF(OVolOverDailyPeak,OVolOverDailyPeak,IF(OVolCurve,IF(OBuySell,AG200,AI200),AH200))^2*15/365.25/BT200),IF(OVolOverMonthlyPeak,OVolOverMonthlyPeak,IF(OVolCurve,IF(OBuySell,U200,W200),V200))),"")</f>
        <v>#VALUE!</v>
      </c>
      <c r="CH200" s="1587" t="e">
        <f aca="false">IF(OR(BQ200,BS200),IF(OVolType&lt;&gt;2,SQRT(IF(OVolOverMonthlyPeak,OVolOverMonthlyPeak,IF(OVolCurve,IF(OBuySell,X200,Z200),Y200))^2*(1-15/365.25/BT200)+IF(OVolOverDailyPeak,OVolOverDailyPeak,IF(OVolCurve,IF(OBuySell,AJ200,AL200),AK200))^2*15/365.25/BT200),IF(OVolOverMonthlyPeak,OVolOverMonthlyPeak,IF(OVolCurve,IF(OBuySell,X200,Z200),Y200))),"")</f>
        <v>#VALUE!</v>
      </c>
      <c r="CI200" s="1587" t="e">
        <f aca="false">IF(OR(BQ200,BS200),IF(OVolType&lt;&gt;2,SQRT(IF(OVolOverMonthlyPeak,OVolOverMonthlyPeak,IF(OVolCurve,IF(OBuySell,AA200,AC200),AB200))^2*(1-15/365.25/BT200)+IF(OVolOverDailyPeak,OVolOverDailyPeak,IF(OVolCurve,IF(OBuySell,AM200,AO200),AN200))^2*15/365.25/BT200),IF(OVolOverMonthlyPeak,OVolOverMonthlyPeak,IF(OVolCurve,IF(OBuySell,AA200,AC200),AB200))),"")</f>
        <v>#VALUE!</v>
      </c>
      <c r="CJ200" s="1587" t="e">
        <f aca="false">IF(BQ200,IF(BP200,SQRT(LN(1+((BU200*AZ200)^2*(EXP(CG200^2*BT200)-1)+(BV200*BA200)^2*(EXP(CH200^2*BT200)-1)+(BW200*BB200)^2*(EXP(CI200^2*BT200)-1)+2*BU200*AZ200*BV200*BA200*(EXP(CG200*CH200*BT200)-1)+2*BV200*BA200*BW200*BB200*(EXP(CH200*CI200*BT200)-1)+2*BW200*BB200*BU200*AZ200*(EXP(CI200*CG200*BT200)-1))/(BY200*BP200)^2)/BT200),0),"")</f>
        <v>#VALUE!</v>
      </c>
      <c r="CK200" s="1587" t="e">
        <f aca="false">IF(BS200,IF(BR200,SQRT(LN(1+((CA200*BH200)^2*(EXP(CG200^2*BT200)-1)+(CB200*BI200)^2*(EXP(CH200^2*BT200)-1)+(CC200*BJ200)^2*(EXP(CI200^2*BT200)-1)+2*CA200*BH200*CB200*BI200*(EXP(CG200*CH200*BT200)-1)+2*CB200*BI200*CC200*BJ200*(EXP(CH200*CI200*BT200)-1)+2*CC200*BJ200*CA200*BH200*(EXP(CI200*CG200*BT200)-1))/(CE200*BR200)^2)/BT200),0),"")</f>
        <v>#VALUE!</v>
      </c>
      <c r="CL200" s="1587" t="e">
        <f aca="false">IF(OR(BQ200,BS200),IF(OVolType&lt;&gt;2,SQRT(IF(OVolOverMonthlyOffPeak,OVolOverMonthlyOffPeak,IF(OVolCurve,IF(OBuySell,AD200,AF200),AE200))^2*(1-15/365.25/BT200)+IF(OVolOverDailyOffPeak,OVolOverDailyOffPeak,IF(OVolCurve,IF(OBuySell,AP200,AR200),AQ200))^2*15/365.25/BT200),IF(OVolOverMonthlyOffPeak,OVolOverMonthlyOffPeak,IF(OVolCurve,IF(OBuySell,AD200,AF200),AE200))),"")</f>
        <v>#VALUE!</v>
      </c>
      <c r="CM200" s="1587" t="e">
        <f aca="false">IF(BQ200,SQRT(LN(1+((BY200*BP200)^2*(EXP(CJ200^2*BT200)-1)+(BX200*BC200)^2*(EXP(CL200^2*BT200)-1)+2*BY200*BP200*BX200*BC200*(EXP(AS200*CJ200*CL200*BT200)-1))/(BY200*BP200+BX200*BC200)^2)/BT200),"")</f>
        <v>#VALUE!</v>
      </c>
      <c r="CN200" s="1588" t="e">
        <f aca="false">IF(BS200,SQRT(LN(1+((CE200*BR200)^2*(EXP(CK200^2*BT200)-1)+(CD200*BK200)^2*(EXP(CL200^2*BT200)-1)+2*CE200*BR200*CD200*BK200*(EXP(AS200*CK200*CL200*BT200)-1))/(CE200*BR200+CD200*BK200)^2)/BT200),"")</f>
        <v>#VALUE!</v>
      </c>
      <c r="CO200" s="1531" t="e">
        <f aca="false">IF(OR(BQ200,BS200),VLOOKUP(A200,GasTable,13)*HeatRatePeak*(1+VLOOKUP($B200,HeatRateDegradation,$C200+1))/1000,0)</f>
        <v>#VALUE!</v>
      </c>
      <c r="CP200" s="1316" t="e">
        <f aca="false">IF(OR(BQ200,BS200),VLOOKUP(A200,GasTable,13)*HeatRatePeak*(1+VLOOKUP($B200,HeatRateDegradation,$C200+1))/1000,0)</f>
        <v>#VALUE!</v>
      </c>
      <c r="CQ200" s="1316" t="e">
        <f aca="false">IF(OR(BQ200,BS200),VLOOKUP(A200,GasTable,13)*IF(EV200,HeatRatePeak,HeatRateOffPeak)*(1+VLOOKUP($B200,HeatRateDegradation,$C200+1))/1000,0)</f>
        <v>#VALUE!</v>
      </c>
      <c r="CR200" s="1316" t="e">
        <f aca="false">IF(OR(BQ200,BS200),VLOOKUP(A200,GasTable,13)*IF(EW200,HeatRatePeak,HeatRateOffPeak)*(1+VLOOKUP($B200,HeatRateDegradation,$C200+1))/1000,0)</f>
        <v>#VALUE!</v>
      </c>
      <c r="CS200" s="1589" t="e">
        <f aca="false">IF(BQ200,(CO200*AZ200+CP200*BA200+CQ200*BB200+CR200*BC200)/BQ200,0)</f>
        <v>#VALUE!</v>
      </c>
      <c r="CT200" s="1316" t="e">
        <f aca="false">IF(BS200,CO200,0)</f>
        <v>#VALUE!</v>
      </c>
      <c r="CU200" s="1590" t="e">
        <f aca="false">IF(OR(BQ200,BS200),VLOOKUP(A200,GasTable,14),"")</f>
        <v>#VALUE!</v>
      </c>
      <c r="CV200" s="1568" t="e">
        <f aca="false">IF(OR(BQ200,BS200),IF(CorrPowerGasOverFlag,INDEX(CorrPowerGasOver,C200),CorrPowerGas),"")</f>
        <v>#VALUE!</v>
      </c>
      <c r="CW200" s="1316" t="e">
        <f aca="false">IF(OR($BQ200,$BS200),SpreadOptPowerMargin,0)*((1+Assumptions!$C$26)^($B200-YEAR(Assumptions!$C$17)))</f>
        <v>#VALUE!</v>
      </c>
      <c r="CX200" s="1316" t="e">
        <f aca="false">IF(OR($BQ200,$BS200),SpreadOptPowerMargin,0)*((1+Assumptions!$C$26)^($B200-YEAR(Assumptions!$C$17)))</f>
        <v>#VALUE!</v>
      </c>
      <c r="CY200" s="1316" t="e">
        <f aca="false">IF(OR($BQ200,$BS200),SpreadOptPowerMargin,0)*((1+Assumptions!$C$26)^($B200-YEAR(Assumptions!$C$17)))</f>
        <v>#VALUE!</v>
      </c>
      <c r="CZ200" s="1316" t="e">
        <f aca="false">IF(OR($BQ200,$BS200),SpreadOptPowerMargin,0)*((1+Assumptions!$C$26)^($B200-YEAR(Assumptions!$C$17)))</f>
        <v>#VALUE!</v>
      </c>
      <c r="DA200" s="1591" t="e">
        <f aca="false">IF(OR(BQ200,BS200),(CW200*(AZ200+BH200)+CX200*(BA200+BI200)+CY200*(BB200+BJ200)+CZ200*(BC200+BK200))/(BQ200+BS200),0)</f>
        <v>#VALUE!</v>
      </c>
      <c r="DB200" s="1592" t="e">
        <f aca="false">IF(OR(BQ200,BS200),CG200+IF(OVolSmile,VLOOKUP(MAX(-5,CO200+CW200-BU200),IF(OVolSmile=1,VolSmileBook,VolSmileModel),2),0),"")</f>
        <v>#VALUE!</v>
      </c>
      <c r="DC200" s="1592" t="e">
        <f aca="false">IF(OR(BQ200,BS200),CH200+IF(OVolSmile,VLOOKUP(MAX(-5,CP200+CW200-BV200),IF(OVolSmile=1,VolSmileBook,VolSmileModel),2),0),"")</f>
        <v>#VALUE!</v>
      </c>
      <c r="DD200" s="1592" t="e">
        <f aca="false">IF(OR(BQ200,BS200),CI200+IF(OVolSmile,VLOOKUP(MAX(-5,CQ200+CW200-BW200),IF(OVolSmile=1,VolSmileBook,VolSmileModel),2),0),"")</f>
        <v>#VALUE!</v>
      </c>
      <c r="DE200" s="1592" t="e">
        <f aca="false">IF(OR(BQ200,BS200),CL200+IF(OVolSmile,VLOOKUP(MAX(-5,CR200+CZ200-BX200),IF(OVolSmile=1,VolSmileBook,VolSmileModel),2),0),"")</f>
        <v>#VALUE!</v>
      </c>
      <c r="DF200" s="1592" t="e">
        <f aca="false">IF(BQ200,CM200+IF(OVolSmile,VLOOKUP(MAX(-5,CS200+DA200-BZ200),IF(OVolSmile=1,VolSmileBook,VolSmileModel),2),0),"")</f>
        <v>#VALUE!</v>
      </c>
      <c r="DG200" s="1593" t="e">
        <f aca="false">IF(BS200,CN200+IF(OVolSmile,VLOOKUP(MAX(-5,CT200+DA200-CF200),IF(OVolSmile=1,VolSmileBook,VolSmileModel),2),0),"")</f>
        <v>#VALUE!</v>
      </c>
      <c r="DH200" s="1316" t="e">
        <f aca="false">IF(AND(BU200&gt;0,CO200&gt;0,DB200&gt;0,CU200&gt;0),newSPRDOPT(BU200,CO200,CW200,0,DB200,CU200,CV200,BT200*365.25,OCallPut,0),0)</f>
        <v>#VALUE!</v>
      </c>
      <c r="DI200" s="1316" t="e">
        <f aca="false">IF(AND(BV200&gt;0,CP200&gt;0,DC200&gt;0,CU200&gt;0),newSPRDOPT(BV200,CP200,CX200,0,DC200,CU200,CV200,BT200*365.25,OCallPut,0),0)</f>
        <v>#VALUE!</v>
      </c>
      <c r="DJ200" s="1316" t="e">
        <f aca="false">IF(AND(BW200&gt;0,CQ200&gt;0,DD200&gt;0,CU200&gt;0),newSPRDOPT(BW200,CQ200,CY200,0,DD200,CU200,CV200,BT200*365.25,OCallPut,0),0)</f>
        <v>#VALUE!</v>
      </c>
      <c r="DK200" s="1316" t="e">
        <f aca="false">IF(AND(BX200&gt;0,CR200&gt;0,DE200&gt;0,CU200&gt;0),newSPRDOPT(BX200,CR200,CZ200,0,DE200,CU200,CV200,BT200*365.25,OCallPut,0),0)</f>
        <v>#VALUE!</v>
      </c>
      <c r="DL200" s="1316" t="e">
        <f aca="false">IF(OVolType,IF(AND(BZ200&gt;0,CS200&gt;0,DF200&gt;0,CU200&gt;0),newSPRDOPT(BZ200,CS200,DA200,0,DF200,CU200,CV200,BT200*365.25,OCallPut,0),0),IF(BQ200,(DH200*AZ200+DI200*BA200+DJ200*BB200+DK200*BC200)/BQ200,0))</f>
        <v>#VALUE!</v>
      </c>
      <c r="DM200" s="1316"/>
      <c r="DN200" s="1316"/>
      <c r="DO200" s="1316"/>
      <c r="DP200" s="1316"/>
      <c r="DQ200" s="1316"/>
      <c r="DR200" s="1316"/>
      <c r="DS200" s="1316"/>
      <c r="DT200" s="1316"/>
      <c r="DU200" s="1316"/>
      <c r="DV200" s="1316"/>
      <c r="DW200" s="1594" t="e">
        <f aca="false">IF(AND(BW200&gt;0,CT200&gt;0,DD200&gt;0,CU200&gt;0),newSPRDOPT(BW200,CT200,CY200,0,DD200,CU200,CV200,BT200*365.25,OCallPut,0),0)</f>
        <v>#VALUE!</v>
      </c>
      <c r="DX200" s="1316" t="e">
        <f aca="false">IF(AND(BX200&gt;0,CT200&gt;0,DE200&gt;0,CU200&gt;0),newSPRDOPT(BX200,CT200,CZ200,0,DE200,CU200,CV200,BT200*365.25,OCallPut,0),0)</f>
        <v>#VALUE!</v>
      </c>
      <c r="DY200" s="1591" t="e">
        <f aca="false">IF(BS200,(DH200*BH200+DI200*BI200+DW200*BJ200+DX200*BK200)/BS200,0)</f>
        <v>#VALUE!</v>
      </c>
      <c r="DZ200" s="1551" t="e">
        <f aca="false">DH200*AZ200</f>
        <v>#VALUE!</v>
      </c>
      <c r="EA200" s="1551" t="e">
        <f aca="false">DI200*BA200</f>
        <v>#VALUE!</v>
      </c>
      <c r="EB200" s="1551" t="e">
        <f aca="false">DJ200*BB200</f>
        <v>#VALUE!</v>
      </c>
      <c r="EC200" s="1551" t="e">
        <f aca="false">DK200*BC200</f>
        <v>#VALUE!</v>
      </c>
      <c r="ED200" s="1551" t="e">
        <f aca="false">DL200*BQ200</f>
        <v>#VALUE!</v>
      </c>
      <c r="EE200" s="1595" t="e">
        <f aca="false">IF(BQ200,IF(OCallPut,IF(BU200&gt;(CO200+CW200),BU200-(CO200+CW200),0),IF((CO200+CW200)&gt;BU200,(CO200+CW200)-BU200,0))*AZ200,0)</f>
        <v>#VALUE!</v>
      </c>
      <c r="EF200" s="1596" t="e">
        <f aca="false">IF(BQ200,IF(OCallPut,IF(BV200&gt;(CP200+CX200),BV200-(CP200+CX200),0),IF((CP200+CX200)&gt;BV200,(CP200+CX200)-BV200,0))*BA200,0)</f>
        <v>#VALUE!</v>
      </c>
      <c r="EG200" s="1596" t="e">
        <f aca="false">IF(BQ200,IF(OCallPut,IF(BW200&gt;(CQ200+CY200),BW200-(CQ200+CY200),0),IF((CQ200+CY200)&gt;BW200,(CQ200+CY200)-BW200,0))*BB200,0)</f>
        <v>#VALUE!</v>
      </c>
      <c r="EH200" s="1596" t="e">
        <f aca="false">IF(BQ200,IF(OCallPut,IF(BX200&gt;(CR200+CZ200),BX200-(CR200+CZ200),0),IF((CR200+CZ200)&gt;BX200,(CR200+CZ200)-BX200,0))*BC200,0)</f>
        <v>#VALUE!</v>
      </c>
      <c r="EI200" s="1597" t="e">
        <f aca="false">IF(BQ200,IF(OVolType,IF(OCallPut,IF(BZ200&gt;(CS200+DA200),BZ200-(CS200+DA200),0),IF((CS200+DA200)&gt;BZ200,(CS200+DA200)-BZ200,0))*BQ200,SUM(EE200:EH200)),0)</f>
        <v>#VALUE!</v>
      </c>
      <c r="EJ200" s="1595" t="e">
        <f aca="false">DZ200-EE200</f>
        <v>#VALUE!</v>
      </c>
      <c r="EK200" s="1596" t="e">
        <f aca="false">EA200-EF200</f>
        <v>#VALUE!</v>
      </c>
      <c r="EL200" s="1596" t="e">
        <f aca="false">EB200-EG200</f>
        <v>#VALUE!</v>
      </c>
      <c r="EM200" s="1596" t="e">
        <f aca="false">EC200-EH200</f>
        <v>#VALUE!</v>
      </c>
      <c r="EN200" s="1597" t="e">
        <f aca="false">ED200-EI200</f>
        <v>#VALUE!</v>
      </c>
      <c r="EO200" s="1551" t="e">
        <f aca="false">DH200*BH200</f>
        <v>#VALUE!</v>
      </c>
      <c r="EP200" s="1551" t="e">
        <f aca="false">DI200*BI200</f>
        <v>#VALUE!</v>
      </c>
      <c r="EQ200" s="1551" t="e">
        <f aca="false">DW200*BJ200</f>
        <v>#VALUE!</v>
      </c>
      <c r="ER200" s="1551" t="e">
        <f aca="false">DX200*BK200</f>
        <v>#VALUE!</v>
      </c>
      <c r="ES200" s="1551" t="e">
        <f aca="false">DY200*BS200</f>
        <v>#VALUE!</v>
      </c>
      <c r="ET200" s="1566" t="e">
        <f aca="false">IF(EI200,IF(OCallPut,IF(CA200&gt;(CT200+CW200),CA200-(CT200+CW200),0),IF((CT200+CW200)&gt;CA200,(CT200+CW200)-CA200,0))*BH200,0)</f>
        <v>#VALUE!</v>
      </c>
      <c r="EU200" s="1551" t="e">
        <f aca="false">IF(EI200,IF(OCallPut,IF(CB200&gt;(CT200+CX200),CB200-(CT200+CX200),0),IF((CT200+CX200)&gt;CB200,(CT200+CX200)-CB200,0))*BI200,0)</f>
        <v>#VALUE!</v>
      </c>
      <c r="EV200" s="1551" t="e">
        <f aca="false">IF(EI200,IF(OCallPut,IF(CC200&gt;(CT200+CY200),CC200-(CT200+CY200),0),IF((CT200+CY200)&gt;CC200,(CT200+CY200)-CC200,0))*BJ200,0)</f>
        <v>#VALUE!</v>
      </c>
      <c r="EW200" s="1551" t="e">
        <f aca="false">IF(EI200,IF(OCallPut,IF(CD200&gt;(CT200+CZ200),CD200-(CT200+CZ200),0),IF((CT200+CZ200)&gt;CD200,(CT200+CZ200)-CD200,0))*BK200,0)</f>
        <v>#VALUE!</v>
      </c>
      <c r="EX200" s="1558" t="e">
        <f aca="false">IF(EI200,SUM(ET200:EW200),0)</f>
        <v>#VALUE!</v>
      </c>
      <c r="EY200" s="1551" t="e">
        <f aca="false">EO200-ET200</f>
        <v>#VALUE!</v>
      </c>
      <c r="EZ200" s="1551" t="e">
        <f aca="false">EP200-EU200</f>
        <v>#VALUE!</v>
      </c>
      <c r="FA200" s="1551" t="e">
        <f aca="false">EQ200-EV200</f>
        <v>#VALUE!</v>
      </c>
      <c r="FB200" s="1551" t="e">
        <f aca="false">ER200-EW200</f>
        <v>#VALUE!</v>
      </c>
      <c r="FC200" s="1551" t="e">
        <f aca="false">ES200-EX200</f>
        <v>#VALUE!</v>
      </c>
      <c r="FD200" s="1525" t="n">
        <f aca="false">IF(AX200,IF(VLOOKUP(C200,MAIN!$L$17:$M$28,2)="Yes",VLOOKUP(CALC!B200,MAIN!$H$17:$I$20,2),0),0)</f>
        <v>0</v>
      </c>
      <c r="FE200" s="1552" t="e">
        <f aca="false">$FD200*16*AT200*(1-$AY200)</f>
        <v>#VALUE!</v>
      </c>
      <c r="FF200" s="1553" t="e">
        <f aca="false">$FD200*16*AU200*(1-$AY200)</f>
        <v>#VALUE!</v>
      </c>
      <c r="FG200" s="1553" t="e">
        <f aca="false">$FD200*16*(AV200+AW200)*(1-$AY200)</f>
        <v>#VALUE!</v>
      </c>
      <c r="FH200" s="1554" t="n">
        <f aca="false">$FD200*8*AX200*(1-$AY200)</f>
        <v>0</v>
      </c>
      <c r="FI200" s="1555" t="n">
        <f aca="false">IF(AX200,VLOOKUP(CALC!B200,MAIN!$H$17:$K$20,4),0)</f>
        <v>0</v>
      </c>
      <c r="FJ200" s="1553" t="e">
        <f aca="false">SUM(FE200:FH200)</f>
        <v>#VALUE!</v>
      </c>
      <c r="FK200" s="1556" t="e">
        <f aca="false">FI200*FJ200</f>
        <v>#VALUE!</v>
      </c>
      <c r="FL200" s="1551" t="e">
        <f aca="false">IF($EI200&gt;0,MIN(FE200,AZ200*(1+VLOOKUP($C200,WeatherCapacityAdjustment,2))),0)</f>
        <v>#VALUE!</v>
      </c>
      <c r="FM200" s="1551" t="e">
        <f aca="false">IF($EI200&gt;0,MIN(FF200,BA200*(1+VLOOKUP($C200,WeatherCapacityAdjustment,2))),0)</f>
        <v>#VALUE!</v>
      </c>
      <c r="FN200" s="1551" t="e">
        <f aca="false">IF($EI200&gt;0,MIN(FG200,BB200*(1+VLOOKUP($C200,WeatherCapacityAdjustment,2))),0)</f>
        <v>#VALUE!</v>
      </c>
      <c r="FO200" s="1564" t="e">
        <f aca="false">IF($EI200&gt;0,MIN(FH200,BC200*(1+VLOOKUP($C200,WeatherCapacityAdjustment,3))),0)</f>
        <v>#VALUE!</v>
      </c>
      <c r="FP200" s="1551" t="e">
        <f aca="false">IF(ET200&gt;0,MIN(FE200-FL200,BH200*(1+VLOOKUP($C200,WeatherCapacityAdjustment,2))),0)</f>
        <v>#VALUE!</v>
      </c>
      <c r="FQ200" s="1551" t="e">
        <f aca="false">IF(EU200&gt;0,MIN(FF200-FM200,BI200*(1+VLOOKUP($C200,WeatherCapacityAdjustment,2))),0)</f>
        <v>#VALUE!</v>
      </c>
      <c r="FR200" s="1551" t="e">
        <f aca="false">IF(EV200&gt;0,MIN(FG200-FN200,BJ200*(1+VLOOKUP($C200,WeatherCapacityAdjustment,2))),0)</f>
        <v>#VALUE!</v>
      </c>
      <c r="FS200" s="1558" t="e">
        <f aca="false">IF(EW200&gt;0,MIN(FH200-FO200,BK200*(1+VLOOKUP($C200,WeatherCapacityAdjustment,3))),0)</f>
        <v>#VALUE!</v>
      </c>
      <c r="FT200" s="1566" t="e">
        <f aca="false">IF(AND(Assumptions!$H$71="Yes",A200&gt;=Assumptions!$H$72,A200&lt;=Assumptions!$H$73),0,IF(AND($A200&gt;=Assumptions!$C$17,$A200&lt;=Assumptions!$C$18),MAX(AZ200*(1+VLOOKUP($C200,WeatherCapacityAdjustment,2))-FL200,0),0))</f>
        <v>#VALUE!</v>
      </c>
      <c r="FU200" s="1551" t="e">
        <f aca="false">IF(AND(Assumptions!$H$71="Yes",A200&gt;=Assumptions!$H$72,A200&lt;=Assumptions!$H$73),0,IF(AND($A200&gt;=Assumptions!$C$17,$A200&lt;=Assumptions!$C$18),MAX(BA200*(1+VLOOKUP($C200,WeatherCapacityAdjustment,2))-FM200,0),0))</f>
        <v>#VALUE!</v>
      </c>
      <c r="FV200" s="1551" t="e">
        <f aca="false">IF(AND(Assumptions!$H$71="Yes",A200&gt;=Assumptions!$H$72,A200&lt;=Assumptions!$H$73),0,IF(AND($A200&gt;=Assumptions!$C$17,$A200&lt;=Assumptions!$C$18),MAX(BB200*(1+VLOOKUP($C200,WeatherCapacityAdjustment,2))-FN200,0),0))</f>
        <v>#VALUE!</v>
      </c>
      <c r="FW200" s="1564" t="e">
        <f aca="false">IF(AND(Assumptions!$H$71="Yes",A200&gt;=Assumptions!$H$72,A200&lt;=Assumptions!$H$73),0,IF(AND($A200&gt;=Assumptions!$C$17,$A200&lt;=Assumptions!$C$18),MAX(BC200*(1+VLOOKUP($C200,WeatherCapacityAdjustment,3))-FO200,0),0))</f>
        <v>#VALUE!</v>
      </c>
      <c r="FX200" s="1569" t="e">
        <f aca="false">IF(AND(Assumptions!$H$71="Yes",A200&gt;=Assumptions!$H$72,A200&lt;=Assumptions!$H$73),0,IF(ET200&gt;0,MAX(BH200*(1+VLOOKUP($C200,WeatherCapacityAdjustment,2))-FP200,0),0))</f>
        <v>#VALUE!</v>
      </c>
      <c r="FY200" s="1551" t="e">
        <f aca="false">IF(AND(Assumptions!$H$71="Yes",A200&gt;=Assumptions!$H$72,A200&lt;=Assumptions!$H$73),0,IF(EU200&gt;0,MAX(BI200*(1+VLOOKUP($C200,WeatherCapacityAdjustment,3))-FQ200,0),0))</f>
        <v>#VALUE!</v>
      </c>
      <c r="FZ200" s="1551" t="e">
        <f aca="false">IF(AND(Assumptions!$H$71="Yes",A200&gt;=Assumptions!$H$72,A200&lt;=Assumptions!$H$73),0,IF(EV200&gt;0,MAX(BJ200*(1+VLOOKUP($C200,WeatherCapacityAdjustment,2))-FR200,0),0))</f>
        <v>#VALUE!</v>
      </c>
      <c r="GA200" s="1564" t="e">
        <f aca="false">IF(AND(Assumptions!$H$71="Yes",A200&gt;=Assumptions!$H$72,A200&lt;=Assumptions!$H$73),0,IF(EW200&gt;0,MAX(BK200*(1+VLOOKUP($C200,WeatherCapacityAdjustment,2))-FS200,0),0))</f>
        <v>#VALUE!</v>
      </c>
      <c r="GB200" s="1551" t="e">
        <f aca="false">SUM(FT200:GA200)</f>
        <v>#VALUE!</v>
      </c>
      <c r="GC200" s="1563" t="e">
        <f aca="false">+IF(SUM(FT200:GA200)=0,0,(SUMPRODUCT(BU200:BX200,FT200:FW200)+SUMPRODUCT(CA200:CD200,FX200:GA200))/SUM(FT200:GA200))</f>
        <v>#VALUE!</v>
      </c>
      <c r="GD200" s="1551" t="e">
        <f aca="false">(FT200*BU200+FX200*CA200+FU200*BV200+FY200*CB200+FV200*BW200+FZ200*CC200+FW200*BX200+GA200*CD200)</f>
        <v>#VALUE!</v>
      </c>
      <c r="GE200" s="1561" t="e">
        <f aca="false">+IF(BQ200,((FL200+FM200+FT200+FU200)*HeatRatePeak/1000*(1+VLOOKUP($C200,WeatherHeatRateAdjustment,2))+(FN200+FV200)*IF(EV200&gt;0,HeatRatePeak,HeatRateOffPeak)/1000*(1+VLOOKUP($C200,WeatherHeatRateAdjustment,2))+(FO200+FW200)*IF(EW200&gt;0,HeatRatePeak,HeatRateOffPeak)/1000*(1+VLOOKUP($C200,WeatherHeatRateAdjustment,3)))*(1+VLOOKUP($B200,HeatRateDegradation,$C200+1)),0)</f>
        <v>#VALUE!</v>
      </c>
      <c r="GF200" s="1562" t="e">
        <f aca="false">IF(BQ200,((FP200+FQ200+FR200+FX200+FY200+FZ200)*HeatRatePeak/1000*(1+VLOOKUP($C200,WeatherHeatRateAdjustment,2))+(FS200+GA200)*HeatRatePeak/1000*(1+VLOOKUP($C200,WeatherHeatRateAdjustment,3)))*(1+VLOOKUP($B200,HeatRateDegradation,$C200+1)),0)</f>
        <v>#VALUE!</v>
      </c>
      <c r="GG200" s="1563" t="e">
        <f aca="false">IF(BQ200,VLOOKUP(A200,GasTable,13),0)</f>
        <v>#VALUE!</v>
      </c>
      <c r="GH200" s="1564" t="e">
        <f aca="false">(GE200+GF200)*GG200</f>
        <v>#VALUE!</v>
      </c>
      <c r="GI200" s="1569" t="e">
        <f aca="false">GB200</f>
        <v>#VALUE!</v>
      </c>
      <c r="GJ200" s="1598" t="e">
        <f aca="false">+DA200</f>
        <v>#VALUE!</v>
      </c>
      <c r="GK200" s="1558" t="e">
        <f aca="false">+GI200*GJ200</f>
        <v>#VALUE!</v>
      </c>
      <c r="GL200" s="1566" t="e">
        <f aca="false">MAX(FE200-FL200-FP200,0)</f>
        <v>#VALUE!</v>
      </c>
      <c r="GM200" s="1551" t="e">
        <f aca="false">MAX(FF200-FM200-FQ200,0)</f>
        <v>#VALUE!</v>
      </c>
      <c r="GN200" s="1551" t="e">
        <f aca="false">MAX(FG200-FN200-FR200,0)</f>
        <v>#VALUE!</v>
      </c>
      <c r="GO200" s="1564" t="e">
        <f aca="false">MAX(FH200-FO200-FS200,0)</f>
        <v>#VALUE!</v>
      </c>
      <c r="GP200" s="1551" t="e">
        <f aca="false">SUM(GL200:GO200)</f>
        <v>#VALUE!</v>
      </c>
      <c r="GQ200" s="1563" t="e">
        <f aca="false">IF(SUM(GL200:GO200)=0,0,((GL200*BU200+GM200*BV200+GN200*BW200+GO200*BX200)/SUM(GL200:GO200)))</f>
        <v>#VALUE!</v>
      </c>
      <c r="GR200" s="1558" t="e">
        <f aca="false">(GL200*BU200+GM200*BV200+GN200*BW200+GO200*BX200)</f>
        <v>#VALUE!</v>
      </c>
      <c r="GS200" s="1566" t="n">
        <f aca="false">IF($A200&gt;=BegDate,Assumptions!$C$56*24*($A201-$A200)*(1-VLOOKUP($B200,MAIN!$AA$7:$AM$28,$C200+1))*(1-VLOOKUP($B200,MAIN!$AA$33:$AM$54,$C200+1)),0)*80/168</f>
        <v>257742.857142857</v>
      </c>
      <c r="GT200" s="286" t="n">
        <f aca="false">J200</f>
        <v>115.664867103413</v>
      </c>
      <c r="GU200" s="286" t="n">
        <f aca="false">IF($A200&gt;=BegDate,VLOOKUP($A200,GasTable,13)+Assumptions!$C$58,0)</f>
        <v>3.30806386758571</v>
      </c>
      <c r="GV200" s="286" t="n">
        <f aca="false">GU200*Assumptions!$C$57/1000</f>
        <v>23.9834630399964</v>
      </c>
      <c r="GW200" s="1558" t="n">
        <f aca="false">IF(Assumptions!$C$60="Hourly",MAX(0,GS200*(GT200-GV200)),GS200*(GT200-GV200))</f>
        <v>23630227.0301736</v>
      </c>
      <c r="GX200" s="1566" t="n">
        <f aca="false">IF($A200&gt;=BegDate,Assumptions!$C$56*24*($A201-$A200)*(1-VLOOKUP($B200,MAIN!$AA$7:$AM$28,$C200+1))*(1-VLOOKUP($B200,MAIN!$AA$33:$AM$54,$C200+1)),0)*16/168</f>
        <v>51548.5714285714</v>
      </c>
      <c r="GY200" s="286" t="n">
        <f aca="false">M200</f>
        <v>115.664867103413</v>
      </c>
      <c r="GZ200" s="286" t="n">
        <f aca="false">IF($A200&gt;=BegDate,VLOOKUP($A200,GasTable,13)+Assumptions!$C$58,0)</f>
        <v>3.30806386758571</v>
      </c>
      <c r="HA200" s="286" t="n">
        <f aca="false">GZ200*Assumptions!$C$57/1000</f>
        <v>23.9834630399964</v>
      </c>
      <c r="HB200" s="1558" t="n">
        <f aca="false">IF(Assumptions!$C$60="Hourly",MAX(0,GX200*(GY200-HA200)),GX200*(GY200-HA200))</f>
        <v>4726045.40603473</v>
      </c>
      <c r="HC200" s="1566" t="n">
        <f aca="false">IF($A200&gt;=BegDate,Assumptions!$C$56*24*($A201-$A200)*(1-VLOOKUP($B200,MAIN!$AA$7:$AM$28,$C200+1))*(1-VLOOKUP($B200,MAIN!$AA$33:$AM$54,$C200+1)),0)*16/168</f>
        <v>51548.5714285714</v>
      </c>
      <c r="HD200" s="286" t="n">
        <f aca="false">P200</f>
        <v>37.3661501978958</v>
      </c>
      <c r="HE200" s="286" t="n">
        <f aca="false">IF($A200&gt;=BegDate,VLOOKUP($A200,GasTable,13)+Assumptions!$C$58,0)</f>
        <v>3.30806386758571</v>
      </c>
      <c r="HF200" s="286" t="n">
        <f aca="false">HE200*Assumptions!$C$57/1000</f>
        <v>23.9834630399964</v>
      </c>
      <c r="HG200" s="1558" t="n">
        <f aca="false">IF(Assumptions!$C$60="Hourly",MAX(0,HC200*(HD200-HF200)),HC200*(HD200-HF200))</f>
        <v>689858.404865203</v>
      </c>
      <c r="HH200" s="1566" t="n">
        <f aca="false">IF($A200&gt;=BegDate,Assumptions!$C$56*24*($A201-$A200)*(1-VLOOKUP($B200,MAIN!$AA$7:$AM$28,$C200+1))*(1-VLOOKUP($B200,MAIN!$AA$33:$AM$54,$C200+1)),0)*56/168</f>
        <v>180420</v>
      </c>
      <c r="HI200" s="286" t="n">
        <f aca="false">S200</f>
        <v>37.3661501978958</v>
      </c>
      <c r="HJ200" s="286" t="n">
        <f aca="false">IF($A200&gt;=BegDate,VLOOKUP($A200,GasTable,13)+Assumptions!$C$58,0)</f>
        <v>3.30806386758571</v>
      </c>
      <c r="HK200" s="286" t="n">
        <f aca="false">HJ200*Assumptions!$C$57/1000</f>
        <v>23.9834630399964</v>
      </c>
      <c r="HL200" s="1558" t="n">
        <f aca="false">IF(Assumptions!$C$60="Hourly",MAX(0,HH200*(HI200-HK200)),HH200*(HI200-HK200))</f>
        <v>2414504.41702821</v>
      </c>
      <c r="HM200" s="1566" t="n">
        <f aca="false">IF(AND(Assumptions!$H$71="Yes",A200&gt;=Assumptions!$H$72,A200&lt;=Assumptions!$H$73),Assumptions!$H$74*Assumptions!$C$9*1000,0)</f>
        <v>0</v>
      </c>
      <c r="HN200" s="1551"/>
      <c r="HO200" s="1563"/>
      <c r="HP200" s="1563"/>
      <c r="HQ200" s="1563"/>
      <c r="HR200" s="1563"/>
      <c r="HS200" s="1563"/>
      <c r="HT200" s="1563"/>
      <c r="HU200" s="1563"/>
      <c r="HV200" s="1563"/>
      <c r="HW200" s="1563"/>
      <c r="HX200" s="1563"/>
      <c r="HY200" s="1563"/>
      <c r="HZ200" s="1563"/>
      <c r="IA200" s="1563"/>
      <c r="IB200" s="1563"/>
      <c r="IC200" s="1563"/>
      <c r="ID200" s="1563"/>
      <c r="IE200" s="1563"/>
      <c r="IF200" s="1563"/>
      <c r="IG200" s="1563"/>
      <c r="IH200" s="1563"/>
      <c r="II200" s="1610"/>
      <c r="IJ200" s="1309"/>
      <c r="IK200" s="1309"/>
    </row>
    <row r="201" customFormat="false" ht="12.75" hidden="false" customHeight="false" outlineLevel="0" collapsed="false">
      <c r="A201" s="1571" t="n">
        <f aca="false">EOMONTH(A200,0)+1</f>
        <v>42248</v>
      </c>
      <c r="B201" s="594" t="n">
        <f aca="false">+YEAR(A201)</f>
        <v>2015</v>
      </c>
      <c r="C201" s="238" t="n">
        <f aca="false">MONTH(A201)</f>
        <v>9</v>
      </c>
      <c r="D201" s="1572" t="e">
        <f aca="false">IF(E201="","",Holiday(B201,C201))</f>
        <v>#VALUE!</v>
      </c>
      <c r="E201" s="1573" t="n">
        <f aca="false">IF(OR(BegDate&gt;=A202,EndDate&lt;A201,AND(VolumeMonthlyOverFlag,INDEX(VolumeMonthlyOver,C201)=0),NOT(INDEX(MonthKnockOutTable,C201))),"",MAX(A201,BegDate))</f>
        <v>42248</v>
      </c>
      <c r="F201" s="1574" t="n">
        <f aca="false">IF(E201="","",MIN(A202-1,EndDate))</f>
        <v>42277</v>
      </c>
      <c r="G201" s="1575" t="n">
        <v>0</v>
      </c>
      <c r="H201" s="1576" t="n">
        <f aca="false">(1+G201/2)^(-2*(DATE(B202,C202,20)-DateToday)/365.25)</f>
        <v>1</v>
      </c>
      <c r="I201" s="1568" t="n">
        <f aca="false">IF(Assumptions!$L$25=4,VLOOKUP($A201,'Henwood Reference'!$E$9:$R$320,10),(VLOOKUP($A201,PriceTable,2,0)+IF(BasisNumber&lt;&gt;1,VLOOKUP($A201,BasisTable,2,0),0)+I$1)/(1-I$2))</f>
        <v>75.1975670803503</v>
      </c>
      <c r="J201" s="1568" t="n">
        <f aca="false">IF(Assumptions!$L$25=4,VLOOKUP($A201,'Henwood Reference'!$E$9:$R$320,10),(VLOOKUP($A201,PriceTable,3,0)+IF(BasisNumber&lt;&gt;1,VLOOKUP($A201,BasisTable,2,0),0)+J$1)/(1-J$2))</f>
        <v>75.1975670803503</v>
      </c>
      <c r="K201" s="1568" t="n">
        <f aca="false">IF(Assumptions!$L$25=4,VLOOKUP($A201,'Henwood Reference'!$E$9:$R$320,10),(VLOOKUP($A201,PriceTable,4,0)+IF(BasisNumber&lt;&gt;1,VLOOKUP($A201,BasisTable,2,0),0)+K$1)/(1-K$2))</f>
        <v>75.1975670803503</v>
      </c>
      <c r="L201" s="1523" t="n">
        <f aca="false">IF(Assumptions!$L$25=4,VLOOKUP($A201,'Henwood Reference'!$E$9:$R$320,10),(VLOOKUP($A201,PriceTableWeekend,2,0)+IF(BasisNumber&lt;&gt;1,VLOOKUP($A201,BasisTable,2,0),0)+L$1)/(1-L$2))</f>
        <v>75.1975670803503</v>
      </c>
      <c r="M201" s="1568" t="n">
        <f aca="false">IF(Assumptions!$L$25=4,VLOOKUP($A201,'Henwood Reference'!$E$9:$R$320,10),(VLOOKUP($A201,PriceTableWeekend,3,0)+IF(BasisNumber&lt;&gt;1,VLOOKUP($A201,BasisTable,2,0),0)+M$1)/(1-M$2))</f>
        <v>75.1975670803503</v>
      </c>
      <c r="N201" s="1599" t="n">
        <f aca="false">IF(Assumptions!$L$25=4,VLOOKUP($A201,'Henwood Reference'!$E$9:$R$320,10),(VLOOKUP($A201,PriceTableWeekend,4,0)+IF(BasisNumber&lt;&gt;1,VLOOKUP($A201,BasisTable,2,0),0)+N$1)/(1-N$2))</f>
        <v>75.1975670803503</v>
      </c>
      <c r="O201" s="1568" t="n">
        <f aca="false">IF(Assumptions!$L$25=4,VLOOKUP($A201,'Henwood Reference'!$E$9:$R$320,11),(VLOOKUP($A201,PriceTableWeekend,6,0)+IF(BasisNumber&lt;&gt;1,VLOOKUP($A201,BasisTable,3,0),0)+O$1)/(1-O$2))</f>
        <v>35.6186747474158</v>
      </c>
      <c r="P201" s="1568" t="n">
        <f aca="false">IF(Assumptions!$L$25=4,VLOOKUP($A201,'Henwood Reference'!$E$9:$R$320,11),(VLOOKUP($A201,PriceTableWeekend,7,0)+IF(BasisNumber&lt;&gt;1,VLOOKUP($A201,BasisTable,3,0),0)+P$1)/(1-P$2))</f>
        <v>35.6186747474158</v>
      </c>
      <c r="Q201" s="1599" t="n">
        <f aca="false">IF(Assumptions!$L$25=4,VLOOKUP($A201,'Henwood Reference'!$E$9:$R$320,11),(VLOOKUP($A201,PriceTableWeekend,8,0)+IF(BasisNumber&lt;&gt;1,VLOOKUP($A201,BasisTable,3,0),0)+Q$1)/(1-Q$2))</f>
        <v>35.6186747474158</v>
      </c>
      <c r="R201" s="1568" t="n">
        <f aca="false">IF(Assumptions!$L$25=4,VLOOKUP($A201,'Henwood Reference'!$E$9:$R$320,11),(VLOOKUP($A201,PriceTable,6,0)+IF(BasisNumber&lt;&gt;1,VLOOKUP($A201,BasisTable,3,0),0)+R$1)/(1-R$2))</f>
        <v>35.6186747474158</v>
      </c>
      <c r="S201" s="1568" t="n">
        <f aca="false">IF(Assumptions!$L$25=4,VLOOKUP($A201,'Henwood Reference'!$E$9:$R$320,11),(VLOOKUP($A201,PriceTable,7,0)+IF(BasisNumber&lt;&gt;1,VLOOKUP($A201,BasisTable,3,0),0)+S$1)/(1-S$2))</f>
        <v>35.6186747474158</v>
      </c>
      <c r="T201" s="1600" t="n">
        <f aca="false">IF(Assumptions!$L$25=4,VLOOKUP($A201,'Henwood Reference'!$E$9:$R$320,11),(VLOOKUP($A201,PriceTable,8,0)+IF(BasisNumber&lt;&gt;1,VLOOKUP($A201,BasisTable,3,0),0)+T$1)/(1-T$2))</f>
        <v>35.6186747474158</v>
      </c>
      <c r="U201" s="1513" t="n">
        <f aca="false">VLOOKUP($A201,VolatilityTable,14)</f>
        <v>0.0949999999999999</v>
      </c>
      <c r="V201" s="1513" t="n">
        <f aca="false">VLOOKUP($A201,VolatilityTable,15)</f>
        <v>0.105</v>
      </c>
      <c r="W201" s="1514" t="n">
        <f aca="false">VLOOKUP($A201,VolatilityTable,16)</f>
        <v>0.115</v>
      </c>
      <c r="X201" s="1513" t="n">
        <f aca="false">VLOOKUP($A201,VolatilityTable,14)</f>
        <v>0.0949999999999999</v>
      </c>
      <c r="Y201" s="1513" t="n">
        <f aca="false">VLOOKUP($A201,VolatilityTable,15)</f>
        <v>0.105</v>
      </c>
      <c r="Z201" s="1514" t="n">
        <f aca="false">VLOOKUP($A201,VolatilityTable,16)</f>
        <v>0.115</v>
      </c>
      <c r="AA201" s="1513" t="n">
        <f aca="false">VLOOKUP($A201,VolatilityTable,18)</f>
        <v>0.09</v>
      </c>
      <c r="AB201" s="1513" t="n">
        <f aca="false">VLOOKUP($A201,VolatilityTable,19)</f>
        <v>0.11</v>
      </c>
      <c r="AC201" s="1514" t="n">
        <f aca="false">VLOOKUP($A201,VolatilityTable,20)</f>
        <v>0.13</v>
      </c>
      <c r="AD201" s="1513" t="n">
        <f aca="false">VLOOKUP($A201,VolatilityTable,18)</f>
        <v>0.09</v>
      </c>
      <c r="AE201" s="1513" t="n">
        <f aca="false">VLOOKUP($A201,VolatilityTable,19)</f>
        <v>0.11</v>
      </c>
      <c r="AF201" s="1514" t="n">
        <f aca="false">VLOOKUP($A201,VolatilityTable,20)</f>
        <v>0.13</v>
      </c>
      <c r="AG201" s="1513" t="n">
        <f aca="false">VLOOKUP($A201,VolatilityTable,22)</f>
        <v>-0.35</v>
      </c>
      <c r="AH201" s="1513" t="n">
        <f aca="false">VLOOKUP($A201,VolatilityTable,23)</f>
        <v>3</v>
      </c>
      <c r="AI201" s="1514" t="n">
        <f aca="false">VLOOKUP($A201,VolatilityTable,24)</f>
        <v>0.2</v>
      </c>
      <c r="AJ201" s="1513" t="n">
        <f aca="false">VLOOKUP($A201,VolatilityTable,22)</f>
        <v>-0.35</v>
      </c>
      <c r="AK201" s="1513" t="n">
        <f aca="false">VLOOKUP($A201,VolatilityTable,23)</f>
        <v>3</v>
      </c>
      <c r="AL201" s="1514" t="n">
        <f aca="false">VLOOKUP($A201,VolatilityTable,24)</f>
        <v>0.2</v>
      </c>
      <c r="AM201" s="1513" t="n">
        <f aca="false">VLOOKUP($A201,VolatilityTable,26)</f>
        <v>-0.01</v>
      </c>
      <c r="AN201" s="1513" t="n">
        <f aca="false">VLOOKUP($A201,VolatilityTable,27)</f>
        <v>0.16</v>
      </c>
      <c r="AO201" s="1514" t="n">
        <f aca="false">VLOOKUP($A201,VolatilityTable,28)</f>
        <v>0.01</v>
      </c>
      <c r="AP201" s="1513" t="n">
        <f aca="false">VLOOKUP($A201,VolatilityTable,26)</f>
        <v>-0.01</v>
      </c>
      <c r="AQ201" s="1513" t="n">
        <f aca="false">VLOOKUP($A201,VolatilityTable,27)</f>
        <v>0.16</v>
      </c>
      <c r="AR201" s="1515" t="n">
        <f aca="false">VLOOKUP($A201,VolatilityTable,28)</f>
        <v>0.01</v>
      </c>
      <c r="AS201" s="1581" t="n">
        <f aca="false">IF(CorrPeakOffPeakOverFlag,INDEX(CorrPeakOffPeakOver,C201),CorrPeakOffPeak)</f>
        <v>0.5</v>
      </c>
      <c r="AT201" s="594" t="e">
        <f aca="false">AX201-SUM(AU201:AW201)</f>
        <v>#VALUE!</v>
      </c>
      <c r="AU201" s="238" t="e">
        <f aca="false">IF(E201="",0,INT((F201-MOD(F201,7)-E201)/7)+1-IF(AW201,IF(WEEKDAY(D201)=7,1,0),0))</f>
        <v>#VALUE!</v>
      </c>
      <c r="AV201" s="238" t="e">
        <f aca="false">IF(E201="",0,INT((F201-MOD(F201-1,7)-E201)/7)+1-IF(AW201,IF(WEEKDAY(D201)=1,1,0),0))</f>
        <v>#VALUE!</v>
      </c>
      <c r="AW201" s="238" t="e">
        <f aca="false">IF(OR(E201="",D201="",D201&lt;BegDate,D201&gt;EndDate),0,1)</f>
        <v>#VALUE!</v>
      </c>
      <c r="AX201" s="238" t="n">
        <f aca="false">IF(E201="",0,F201-E201+1)</f>
        <v>30</v>
      </c>
      <c r="AY201" s="1582" t="n">
        <f aca="false">IF(E201="",0,MIN((1-(1-VLOOKUP(B201,MAIN!$AA$7:$AM$28,C201+1))*(1-VLOOKUP(B201,MAIN!$AA$33:$AM$54,C201+1))),1))</f>
        <v>0.03</v>
      </c>
      <c r="AZ201" s="1519" t="e">
        <v>#VALUE!</v>
      </c>
      <c r="BA201" s="1520" t="e">
        <v>#VALUE!</v>
      </c>
      <c r="BB201" s="1520" t="e">
        <v>#VALUE!</v>
      </c>
      <c r="BC201" s="1583" t="e">
        <v>#VALUE!</v>
      </c>
      <c r="BD201" s="1522" t="e">
        <v>#VALUE!</v>
      </c>
      <c r="BE201" s="1523" t="e">
        <v>#VALUE!</v>
      </c>
      <c r="BF201" s="1523" t="e">
        <v>#VALUE!</v>
      </c>
      <c r="BG201" s="1584" t="e">
        <v>#VALUE!</v>
      </c>
      <c r="BH201" s="1525" t="e">
        <v>#VALUE!</v>
      </c>
      <c r="BI201" s="1520" t="e">
        <v>#VALUE!</v>
      </c>
      <c r="BJ201" s="1520" t="e">
        <v>#VALUE!</v>
      </c>
      <c r="BK201" s="1583" t="e">
        <v>#VALUE!</v>
      </c>
      <c r="BL201" s="1522" t="e">
        <v>#VALUE!</v>
      </c>
      <c r="BM201" s="1523" t="e">
        <v>#VALUE!</v>
      </c>
      <c r="BN201" s="1523" t="e">
        <v>#VALUE!</v>
      </c>
      <c r="BO201" s="1523" t="e">
        <v>#VALUE!</v>
      </c>
      <c r="BP201" s="1525" t="e">
        <f aca="false">SUM(AZ201:BB201)</f>
        <v>#VALUE!</v>
      </c>
      <c r="BQ201" s="1529" t="e">
        <f aca="false">SUM(AZ201:BC201)</f>
        <v>#VALUE!</v>
      </c>
      <c r="BR201" s="1519" t="e">
        <f aca="false">SUM(BH201:BJ201)</f>
        <v>#VALUE!</v>
      </c>
      <c r="BS201" s="1529" t="e">
        <f aca="false">SUM(BH201:BK201)</f>
        <v>#VALUE!</v>
      </c>
      <c r="BT201" s="1316" t="n">
        <f aca="false">(IF(OVolType&lt;&gt;2,A201+14,IF(OptExpDateShift,ShiftBack(A201,OptExpDateShift,D200),A201))-DateToday)/365.25</f>
        <v>15.3812457221081</v>
      </c>
      <c r="BU201" s="1585" t="e">
        <f aca="false">IF(BQ201,IF(OPriceCurve,IF(OBuySell=OCallPut,I201/(1-AY201),K201/(1-AY201)),J201/(1-AY201))*BD201,0)</f>
        <v>#VALUE!</v>
      </c>
      <c r="BV201" s="1316" t="e">
        <f aca="false">IF(BQ201,IF(OPriceCurve,IF(OBuySell=OCallPut,L201/(1-AY201),N201/(1-AY201)),M201/(1-AY201))*BE201,0)</f>
        <v>#VALUE!</v>
      </c>
      <c r="BW201" s="1316" t="e">
        <f aca="false">IF(BQ201,IF(OPriceCurve,IF(OBuySell=OCallPut,O201/(1-AY201),Q201/(1-AY201)),P201/(1-AY201))*BF201,0)</f>
        <v>#VALUE!</v>
      </c>
      <c r="BX201" s="1316" t="e">
        <f aca="false">IF(BQ201,IF(OPriceCurve,IF(OBuySell=OCallPut,R201/(1-AY201),T201/(1-AY201)),S201/(1-AY201))*BG201,0)</f>
        <v>#VALUE!</v>
      </c>
      <c r="BY201" s="1316" t="e">
        <f aca="false">IF(BP201,(BU201*AZ201+BV201*BA201+BW201*BB201)/BP201,0)</f>
        <v>#VALUE!</v>
      </c>
      <c r="BZ201" s="1316" t="e">
        <f aca="false">IF(BQ201,(BY201*BP201+BX201*BC201)/BQ201,0)</f>
        <v>#VALUE!</v>
      </c>
      <c r="CA201" s="1531" t="e">
        <f aca="false">IF(BS201,IF(OPriceCurve,IF(OBuySell=OCallPut,I201/(1-AY201),K201/(1-AY201)),J201/(1-AY201))*BL201,0)</f>
        <v>#VALUE!</v>
      </c>
      <c r="CB201" s="1316" t="e">
        <f aca="false">IF(BS201,IF(OPriceCurve,IF(OBuySell=OCallPut,L201/(1-AY201),N201/(1-AY201)),M201/(1-AY201))*BM201,0)</f>
        <v>#VALUE!</v>
      </c>
      <c r="CC201" s="1316" t="e">
        <f aca="false">IF(BS201,IF(OPriceCurve,IF(OBuySell=OCallPut,O201/(1-AY201),Q201/(1-AY201)),P201/(1-AY201))*BN201,0)</f>
        <v>#VALUE!</v>
      </c>
      <c r="CD201" s="1316" t="e">
        <f aca="false">IF(BS201,IF(OPriceCurve,IF(OBuySell=OCallPut,R201/(1-AY201),T201/(1-AY201)),S201/(1-AY201))*BO201,0)</f>
        <v>#VALUE!</v>
      </c>
      <c r="CE201" s="1316" t="e">
        <f aca="false">IF(BR201,(BU201*BH201+BV201*BI201+BW201*BJ201)/BR201,0)</f>
        <v>#VALUE!</v>
      </c>
      <c r="CF201" s="1532" t="e">
        <f aca="false">IF(BS201,(CE201*BR201+CD201*BK201)/BS201,0)</f>
        <v>#VALUE!</v>
      </c>
      <c r="CG201" s="1586" t="e">
        <f aca="false">IF(OR(BQ201,BS201),IF(OVolType&lt;&gt;2,SQRT(IF(OVolOverMonthlyPeak,OVolOverMonthlyPeak,IF(OVolCurve,IF(OBuySell,U201,W201),V201))^2*(1-15/365.25/BT201)+IF(OVolOverDailyPeak,OVolOverDailyPeak,IF(OVolCurve,IF(OBuySell,AG201,AI201),AH201))^2*15/365.25/BT201),IF(OVolOverMonthlyPeak,OVolOverMonthlyPeak,IF(OVolCurve,IF(OBuySell,U201,W201),V201))),"")</f>
        <v>#VALUE!</v>
      </c>
      <c r="CH201" s="1587" t="e">
        <f aca="false">IF(OR(BQ201,BS201),IF(OVolType&lt;&gt;2,SQRT(IF(OVolOverMonthlyPeak,OVolOverMonthlyPeak,IF(OVolCurve,IF(OBuySell,X201,Z201),Y201))^2*(1-15/365.25/BT201)+IF(OVolOverDailyPeak,OVolOverDailyPeak,IF(OVolCurve,IF(OBuySell,AJ201,AL201),AK201))^2*15/365.25/BT201),IF(OVolOverMonthlyPeak,OVolOverMonthlyPeak,IF(OVolCurve,IF(OBuySell,X201,Z201),Y201))),"")</f>
        <v>#VALUE!</v>
      </c>
      <c r="CI201" s="1587" t="e">
        <f aca="false">IF(OR(BQ201,BS201),IF(OVolType&lt;&gt;2,SQRT(IF(OVolOverMonthlyPeak,OVolOverMonthlyPeak,IF(OVolCurve,IF(OBuySell,AA201,AC201),AB201))^2*(1-15/365.25/BT201)+IF(OVolOverDailyPeak,OVolOverDailyPeak,IF(OVolCurve,IF(OBuySell,AM201,AO201),AN201))^2*15/365.25/BT201),IF(OVolOverMonthlyPeak,OVolOverMonthlyPeak,IF(OVolCurve,IF(OBuySell,AA201,AC201),AB201))),"")</f>
        <v>#VALUE!</v>
      </c>
      <c r="CJ201" s="1587" t="e">
        <f aca="false">IF(BQ201,IF(BP201,SQRT(LN(1+((BU201*AZ201)^2*(EXP(CG201^2*BT201)-1)+(BV201*BA201)^2*(EXP(CH201^2*BT201)-1)+(BW201*BB201)^2*(EXP(CI201^2*BT201)-1)+2*BU201*AZ201*BV201*BA201*(EXP(CG201*CH201*BT201)-1)+2*BV201*BA201*BW201*BB201*(EXP(CH201*CI201*BT201)-1)+2*BW201*BB201*BU201*AZ201*(EXP(CI201*CG201*BT201)-1))/(BY201*BP201)^2)/BT201),0),"")</f>
        <v>#VALUE!</v>
      </c>
      <c r="CK201" s="1587" t="e">
        <f aca="false">IF(BS201,IF(BR201,SQRT(LN(1+((CA201*BH201)^2*(EXP(CG201^2*BT201)-1)+(CB201*BI201)^2*(EXP(CH201^2*BT201)-1)+(CC201*BJ201)^2*(EXP(CI201^2*BT201)-1)+2*CA201*BH201*CB201*BI201*(EXP(CG201*CH201*BT201)-1)+2*CB201*BI201*CC201*BJ201*(EXP(CH201*CI201*BT201)-1)+2*CC201*BJ201*CA201*BH201*(EXP(CI201*CG201*BT201)-1))/(CE201*BR201)^2)/BT201),0),"")</f>
        <v>#VALUE!</v>
      </c>
      <c r="CL201" s="1587" t="e">
        <f aca="false">IF(OR(BQ201,BS201),IF(OVolType&lt;&gt;2,SQRT(IF(OVolOverMonthlyOffPeak,OVolOverMonthlyOffPeak,IF(OVolCurve,IF(OBuySell,AD201,AF201),AE201))^2*(1-15/365.25/BT201)+IF(OVolOverDailyOffPeak,OVolOverDailyOffPeak,IF(OVolCurve,IF(OBuySell,AP201,AR201),AQ201))^2*15/365.25/BT201),IF(OVolOverMonthlyOffPeak,OVolOverMonthlyOffPeak,IF(OVolCurve,IF(OBuySell,AD201,AF201),AE201))),"")</f>
        <v>#VALUE!</v>
      </c>
      <c r="CM201" s="1587" t="e">
        <f aca="false">IF(BQ201,SQRT(LN(1+((BY201*BP201)^2*(EXP(CJ201^2*BT201)-1)+(BX201*BC201)^2*(EXP(CL201^2*BT201)-1)+2*BY201*BP201*BX201*BC201*(EXP(AS201*CJ201*CL201*BT201)-1))/(BY201*BP201+BX201*BC201)^2)/BT201),"")</f>
        <v>#VALUE!</v>
      </c>
      <c r="CN201" s="1588" t="e">
        <f aca="false">IF(BS201,SQRT(LN(1+((CE201*BR201)^2*(EXP(CK201^2*BT201)-1)+(CD201*BK201)^2*(EXP(CL201^2*BT201)-1)+2*CE201*BR201*CD201*BK201*(EXP(AS201*CK201*CL201*BT201)-1))/(CE201*BR201+CD201*BK201)^2)/BT201),"")</f>
        <v>#VALUE!</v>
      </c>
      <c r="CO201" s="1531" t="e">
        <f aca="false">IF(OR(BQ201,BS201),VLOOKUP(A201,GasTable,13)*HeatRatePeak*(1+VLOOKUP($B201,HeatRateDegradation,$C201+1))/1000,0)</f>
        <v>#VALUE!</v>
      </c>
      <c r="CP201" s="1316" t="e">
        <f aca="false">IF(OR(BQ201,BS201),VLOOKUP(A201,GasTable,13)*HeatRatePeak*(1+VLOOKUP($B201,HeatRateDegradation,$C201+1))/1000,0)</f>
        <v>#VALUE!</v>
      </c>
      <c r="CQ201" s="1316" t="e">
        <f aca="false">IF(OR(BQ201,BS201),VLOOKUP(A201,GasTable,13)*IF(EV201,HeatRatePeak,HeatRateOffPeak)*(1+VLOOKUP($B201,HeatRateDegradation,$C201+1))/1000,0)</f>
        <v>#VALUE!</v>
      </c>
      <c r="CR201" s="1316" t="e">
        <f aca="false">IF(OR(BQ201,BS201),VLOOKUP(A201,GasTable,13)*IF(EW201,HeatRatePeak,HeatRateOffPeak)*(1+VLOOKUP($B201,HeatRateDegradation,$C201+1))/1000,0)</f>
        <v>#VALUE!</v>
      </c>
      <c r="CS201" s="1589" t="e">
        <f aca="false">IF(BQ201,(CO201*AZ201+CP201*BA201+CQ201*BB201+CR201*BC201)/BQ201,0)</f>
        <v>#VALUE!</v>
      </c>
      <c r="CT201" s="1316" t="e">
        <f aca="false">IF(BS201,CO201,0)</f>
        <v>#VALUE!</v>
      </c>
      <c r="CU201" s="1590" t="e">
        <f aca="false">IF(OR(BQ201,BS201),VLOOKUP(A201,GasTable,14),"")</f>
        <v>#VALUE!</v>
      </c>
      <c r="CV201" s="1568" t="e">
        <f aca="false">IF(OR(BQ201,BS201),IF(CorrPowerGasOverFlag,INDEX(CorrPowerGasOver,C201),CorrPowerGas),"")</f>
        <v>#VALUE!</v>
      </c>
      <c r="CW201" s="1316" t="e">
        <f aca="false">IF(OR($BQ201,$BS201),SpreadOptPowerMargin,0)*((1+Assumptions!$C$26)^($B201-YEAR(Assumptions!$C$17)))</f>
        <v>#VALUE!</v>
      </c>
      <c r="CX201" s="1316" t="e">
        <f aca="false">IF(OR($BQ201,$BS201),SpreadOptPowerMargin,0)*((1+Assumptions!$C$26)^($B201-YEAR(Assumptions!$C$17)))</f>
        <v>#VALUE!</v>
      </c>
      <c r="CY201" s="1316" t="e">
        <f aca="false">IF(OR($BQ201,$BS201),SpreadOptPowerMargin,0)*((1+Assumptions!$C$26)^($B201-YEAR(Assumptions!$C$17)))</f>
        <v>#VALUE!</v>
      </c>
      <c r="CZ201" s="1316" t="e">
        <f aca="false">IF(OR($BQ201,$BS201),SpreadOptPowerMargin,0)*((1+Assumptions!$C$26)^($B201-YEAR(Assumptions!$C$17)))</f>
        <v>#VALUE!</v>
      </c>
      <c r="DA201" s="1591" t="e">
        <f aca="false">IF(OR(BQ201,BS201),(CW201*(AZ201+BH201)+CX201*(BA201+BI201)+CY201*(BB201+BJ201)+CZ201*(BC201+BK201))/(BQ201+BS201),0)</f>
        <v>#VALUE!</v>
      </c>
      <c r="DB201" s="1592" t="e">
        <f aca="false">IF(OR(BQ201,BS201),CG201+IF(OVolSmile,VLOOKUP(MAX(-5,CO201+CW201-BU201),IF(OVolSmile=1,VolSmileBook,VolSmileModel),2),0),"")</f>
        <v>#VALUE!</v>
      </c>
      <c r="DC201" s="1592" t="e">
        <f aca="false">IF(OR(BQ201,BS201),CH201+IF(OVolSmile,VLOOKUP(MAX(-5,CP201+CW201-BV201),IF(OVolSmile=1,VolSmileBook,VolSmileModel),2),0),"")</f>
        <v>#VALUE!</v>
      </c>
      <c r="DD201" s="1592" t="e">
        <f aca="false">IF(OR(BQ201,BS201),CI201+IF(OVolSmile,VLOOKUP(MAX(-5,CQ201+CW201-BW201),IF(OVolSmile=1,VolSmileBook,VolSmileModel),2),0),"")</f>
        <v>#VALUE!</v>
      </c>
      <c r="DE201" s="1592" t="e">
        <f aca="false">IF(OR(BQ201,BS201),CL201+IF(OVolSmile,VLOOKUP(MAX(-5,CR201+CZ201-BX201),IF(OVolSmile=1,VolSmileBook,VolSmileModel),2),0),"")</f>
        <v>#VALUE!</v>
      </c>
      <c r="DF201" s="1592" t="e">
        <f aca="false">IF(BQ201,CM201+IF(OVolSmile,VLOOKUP(MAX(-5,CS201+DA201-BZ201),IF(OVolSmile=1,VolSmileBook,VolSmileModel),2),0),"")</f>
        <v>#VALUE!</v>
      </c>
      <c r="DG201" s="1593" t="e">
        <f aca="false">IF(BS201,CN201+IF(OVolSmile,VLOOKUP(MAX(-5,CT201+DA201-CF201),IF(OVolSmile=1,VolSmileBook,VolSmileModel),2),0),"")</f>
        <v>#VALUE!</v>
      </c>
      <c r="DH201" s="1316" t="e">
        <f aca="false">IF(AND(BU201&gt;0,CO201&gt;0,DB201&gt;0,CU201&gt;0),newSPRDOPT(BU201,CO201,CW201,0,DB201,CU201,CV201,BT201*365.25,OCallPut,0),0)</f>
        <v>#VALUE!</v>
      </c>
      <c r="DI201" s="1316" t="e">
        <f aca="false">IF(AND(BV201&gt;0,CP201&gt;0,DC201&gt;0,CU201&gt;0),newSPRDOPT(BV201,CP201,CX201,0,DC201,CU201,CV201,BT201*365.25,OCallPut,0),0)</f>
        <v>#VALUE!</v>
      </c>
      <c r="DJ201" s="1316" t="e">
        <f aca="false">IF(AND(BW201&gt;0,CQ201&gt;0,DD201&gt;0,CU201&gt;0),newSPRDOPT(BW201,CQ201,CY201,0,DD201,CU201,CV201,BT201*365.25,OCallPut,0),0)</f>
        <v>#VALUE!</v>
      </c>
      <c r="DK201" s="1316" t="e">
        <f aca="false">IF(AND(BX201&gt;0,CR201&gt;0,DE201&gt;0,CU201&gt;0),newSPRDOPT(BX201,CR201,CZ201,0,DE201,CU201,CV201,BT201*365.25,OCallPut,0),0)</f>
        <v>#VALUE!</v>
      </c>
      <c r="DL201" s="1316" t="e">
        <f aca="false">IF(OVolType,IF(AND(BZ201&gt;0,CS201&gt;0,DF201&gt;0,CU201&gt;0),newSPRDOPT(BZ201,CS201,DA201,0,DF201,CU201,CV201,BT201*365.25,OCallPut,0),0),IF(BQ201,(DH201*AZ201+DI201*BA201+DJ201*BB201+DK201*BC201)/BQ201,0))</f>
        <v>#VALUE!</v>
      </c>
      <c r="DM201" s="1316"/>
      <c r="DN201" s="1316"/>
      <c r="DO201" s="1316"/>
      <c r="DP201" s="1316"/>
      <c r="DQ201" s="1316"/>
      <c r="DR201" s="1316"/>
      <c r="DS201" s="1316"/>
      <c r="DT201" s="1316"/>
      <c r="DU201" s="1316"/>
      <c r="DV201" s="1316"/>
      <c r="DW201" s="1594" t="e">
        <f aca="false">IF(AND(BW201&gt;0,CT201&gt;0,DD201&gt;0,CU201&gt;0),newSPRDOPT(BW201,CT201,CY201,0,DD201,CU201,CV201,BT201*365.25,OCallPut,0),0)</f>
        <v>#VALUE!</v>
      </c>
      <c r="DX201" s="1316" t="e">
        <f aca="false">IF(AND(BX201&gt;0,CT201&gt;0,DE201&gt;0,CU201&gt;0),newSPRDOPT(BX201,CT201,CZ201,0,DE201,CU201,CV201,BT201*365.25,OCallPut,0),0)</f>
        <v>#VALUE!</v>
      </c>
      <c r="DY201" s="1591" t="e">
        <f aca="false">IF(BS201,(DH201*BH201+DI201*BI201+DW201*BJ201+DX201*BK201)/BS201,0)</f>
        <v>#VALUE!</v>
      </c>
      <c r="DZ201" s="1551" t="e">
        <f aca="false">DH201*AZ201</f>
        <v>#VALUE!</v>
      </c>
      <c r="EA201" s="1551" t="e">
        <f aca="false">DI201*BA201</f>
        <v>#VALUE!</v>
      </c>
      <c r="EB201" s="1551" t="e">
        <f aca="false">DJ201*BB201</f>
        <v>#VALUE!</v>
      </c>
      <c r="EC201" s="1551" t="e">
        <f aca="false">DK201*BC201</f>
        <v>#VALUE!</v>
      </c>
      <c r="ED201" s="1551" t="e">
        <f aca="false">DL201*BQ201</f>
        <v>#VALUE!</v>
      </c>
      <c r="EE201" s="1595" t="e">
        <f aca="false">IF(BQ201,IF(OCallPut,IF(BU201&gt;(CO201+CW201),BU201-(CO201+CW201),0),IF((CO201+CW201)&gt;BU201,(CO201+CW201)-BU201,0))*AZ201,0)</f>
        <v>#VALUE!</v>
      </c>
      <c r="EF201" s="1596" t="e">
        <f aca="false">IF(BQ201,IF(OCallPut,IF(BV201&gt;(CP201+CX201),BV201-(CP201+CX201),0),IF((CP201+CX201)&gt;BV201,(CP201+CX201)-BV201,0))*BA201,0)</f>
        <v>#VALUE!</v>
      </c>
      <c r="EG201" s="1596" t="e">
        <f aca="false">IF(BQ201,IF(OCallPut,IF(BW201&gt;(CQ201+CY201),BW201-(CQ201+CY201),0),IF((CQ201+CY201)&gt;BW201,(CQ201+CY201)-BW201,0))*BB201,0)</f>
        <v>#VALUE!</v>
      </c>
      <c r="EH201" s="1596" t="e">
        <f aca="false">IF(BQ201,IF(OCallPut,IF(BX201&gt;(CR201+CZ201),BX201-(CR201+CZ201),0),IF((CR201+CZ201)&gt;BX201,(CR201+CZ201)-BX201,0))*BC201,0)</f>
        <v>#VALUE!</v>
      </c>
      <c r="EI201" s="1597" t="e">
        <f aca="false">IF(BQ201,IF(OVolType,IF(OCallPut,IF(BZ201&gt;(CS201+DA201),BZ201-(CS201+DA201),0),IF((CS201+DA201)&gt;BZ201,(CS201+DA201)-BZ201,0))*BQ201,SUM(EE201:EH201)),0)</f>
        <v>#VALUE!</v>
      </c>
      <c r="EJ201" s="1595" t="e">
        <f aca="false">DZ201-EE201</f>
        <v>#VALUE!</v>
      </c>
      <c r="EK201" s="1596" t="e">
        <f aca="false">EA201-EF201</f>
        <v>#VALUE!</v>
      </c>
      <c r="EL201" s="1596" t="e">
        <f aca="false">EB201-EG201</f>
        <v>#VALUE!</v>
      </c>
      <c r="EM201" s="1596" t="e">
        <f aca="false">EC201-EH201</f>
        <v>#VALUE!</v>
      </c>
      <c r="EN201" s="1597" t="e">
        <f aca="false">ED201-EI201</f>
        <v>#VALUE!</v>
      </c>
      <c r="EO201" s="1551" t="e">
        <f aca="false">DH201*BH201</f>
        <v>#VALUE!</v>
      </c>
      <c r="EP201" s="1551" t="e">
        <f aca="false">DI201*BI201</f>
        <v>#VALUE!</v>
      </c>
      <c r="EQ201" s="1551" t="e">
        <f aca="false">DW201*BJ201</f>
        <v>#VALUE!</v>
      </c>
      <c r="ER201" s="1551" t="e">
        <f aca="false">DX201*BK201</f>
        <v>#VALUE!</v>
      </c>
      <c r="ES201" s="1551" t="e">
        <f aca="false">DY201*BS201</f>
        <v>#VALUE!</v>
      </c>
      <c r="ET201" s="1566" t="e">
        <f aca="false">IF(EI201,IF(OCallPut,IF(CA201&gt;(CT201+CW201),CA201-(CT201+CW201),0),IF((CT201+CW201)&gt;CA201,(CT201+CW201)-CA201,0))*BH201,0)</f>
        <v>#VALUE!</v>
      </c>
      <c r="EU201" s="1551" t="e">
        <f aca="false">IF(EI201,IF(OCallPut,IF(CB201&gt;(CT201+CX201),CB201-(CT201+CX201),0),IF((CT201+CX201)&gt;CB201,(CT201+CX201)-CB201,0))*BI201,0)</f>
        <v>#VALUE!</v>
      </c>
      <c r="EV201" s="1551" t="e">
        <f aca="false">IF(EI201,IF(OCallPut,IF(CC201&gt;(CT201+CY201),CC201-(CT201+CY201),0),IF((CT201+CY201)&gt;CC201,(CT201+CY201)-CC201,0))*BJ201,0)</f>
        <v>#VALUE!</v>
      </c>
      <c r="EW201" s="1551" t="e">
        <f aca="false">IF(EI201,IF(OCallPut,IF(CD201&gt;(CT201+CZ201),CD201-(CT201+CZ201),0),IF((CT201+CZ201)&gt;CD201,(CT201+CZ201)-CD201,0))*BK201,0)</f>
        <v>#VALUE!</v>
      </c>
      <c r="EX201" s="1558" t="e">
        <f aca="false">IF(EI201,SUM(ET201:EW201),0)</f>
        <v>#VALUE!</v>
      </c>
      <c r="EY201" s="1551" t="e">
        <f aca="false">EO201-ET201</f>
        <v>#VALUE!</v>
      </c>
      <c r="EZ201" s="1551" t="e">
        <f aca="false">EP201-EU201</f>
        <v>#VALUE!</v>
      </c>
      <c r="FA201" s="1551" t="e">
        <f aca="false">EQ201-EV201</f>
        <v>#VALUE!</v>
      </c>
      <c r="FB201" s="1551" t="e">
        <f aca="false">ER201-EW201</f>
        <v>#VALUE!</v>
      </c>
      <c r="FC201" s="1551" t="e">
        <f aca="false">ES201-EX201</f>
        <v>#VALUE!</v>
      </c>
      <c r="FD201" s="1525" t="n">
        <f aca="false">IF(AX201,IF(VLOOKUP(C201,MAIN!$L$17:$M$28,2)="Yes",VLOOKUP(CALC!B201,MAIN!$H$17:$I$20,2),0),0)</f>
        <v>0</v>
      </c>
      <c r="FE201" s="1552" t="e">
        <f aca="false">$FD201*16*AT201*(1-$AY201)</f>
        <v>#VALUE!</v>
      </c>
      <c r="FF201" s="1553" t="e">
        <f aca="false">$FD201*16*AU201*(1-$AY201)</f>
        <v>#VALUE!</v>
      </c>
      <c r="FG201" s="1553" t="e">
        <f aca="false">$FD201*16*(AV201+AW201)*(1-$AY201)</f>
        <v>#VALUE!</v>
      </c>
      <c r="FH201" s="1554" t="n">
        <f aca="false">$FD201*8*AX201*(1-$AY201)</f>
        <v>0</v>
      </c>
      <c r="FI201" s="1555" t="n">
        <f aca="false">IF(AX201,VLOOKUP(CALC!B201,MAIN!$H$17:$K$20,4),0)</f>
        <v>0</v>
      </c>
      <c r="FJ201" s="1553" t="e">
        <f aca="false">SUM(FE201:FH201)</f>
        <v>#VALUE!</v>
      </c>
      <c r="FK201" s="1556" t="e">
        <f aca="false">FI201*FJ201</f>
        <v>#VALUE!</v>
      </c>
      <c r="FL201" s="1551" t="e">
        <f aca="false">IF($EI201&gt;0,MIN(FE201,AZ201*(1+VLOOKUP($C201,WeatherCapacityAdjustment,2))),0)</f>
        <v>#VALUE!</v>
      </c>
      <c r="FM201" s="1551" t="e">
        <f aca="false">IF($EI201&gt;0,MIN(FF201,BA201*(1+VLOOKUP($C201,WeatherCapacityAdjustment,2))),0)</f>
        <v>#VALUE!</v>
      </c>
      <c r="FN201" s="1551" t="e">
        <f aca="false">IF($EI201&gt;0,MIN(FG201,BB201*(1+VLOOKUP($C201,WeatherCapacityAdjustment,2))),0)</f>
        <v>#VALUE!</v>
      </c>
      <c r="FO201" s="1564" t="e">
        <f aca="false">IF($EI201&gt;0,MIN(FH201,BC201*(1+VLOOKUP($C201,WeatherCapacityAdjustment,3))),0)</f>
        <v>#VALUE!</v>
      </c>
      <c r="FP201" s="1551" t="e">
        <f aca="false">IF(ET201&gt;0,MIN(FE201-FL201,BH201*(1+VLOOKUP($C201,WeatherCapacityAdjustment,2))),0)</f>
        <v>#VALUE!</v>
      </c>
      <c r="FQ201" s="1551" t="e">
        <f aca="false">IF(EU201&gt;0,MIN(FF201-FM201,BI201*(1+VLOOKUP($C201,WeatherCapacityAdjustment,2))),0)</f>
        <v>#VALUE!</v>
      </c>
      <c r="FR201" s="1551" t="e">
        <f aca="false">IF(EV201&gt;0,MIN(FG201-FN201,BJ201*(1+VLOOKUP($C201,WeatherCapacityAdjustment,2))),0)</f>
        <v>#VALUE!</v>
      </c>
      <c r="FS201" s="1558" t="e">
        <f aca="false">IF(EW201&gt;0,MIN(FH201-FO201,BK201*(1+VLOOKUP($C201,WeatherCapacityAdjustment,3))),0)</f>
        <v>#VALUE!</v>
      </c>
      <c r="FT201" s="1566" t="e">
        <f aca="false">IF(AND(Assumptions!$H$71="Yes",A201&gt;=Assumptions!$H$72,A201&lt;=Assumptions!$H$73),0,IF(AND($A201&gt;=Assumptions!$C$17,$A201&lt;=Assumptions!$C$18),MAX(AZ201*(1+VLOOKUP($C201,WeatherCapacityAdjustment,2))-FL201,0),0))</f>
        <v>#VALUE!</v>
      </c>
      <c r="FU201" s="1551" t="e">
        <f aca="false">IF(AND(Assumptions!$H$71="Yes",A201&gt;=Assumptions!$H$72,A201&lt;=Assumptions!$H$73),0,IF(AND($A201&gt;=Assumptions!$C$17,$A201&lt;=Assumptions!$C$18),MAX(BA201*(1+VLOOKUP($C201,WeatherCapacityAdjustment,2))-FM201,0),0))</f>
        <v>#VALUE!</v>
      </c>
      <c r="FV201" s="1551" t="e">
        <f aca="false">IF(AND(Assumptions!$H$71="Yes",A201&gt;=Assumptions!$H$72,A201&lt;=Assumptions!$H$73),0,IF(AND($A201&gt;=Assumptions!$C$17,$A201&lt;=Assumptions!$C$18),MAX(BB201*(1+VLOOKUP($C201,WeatherCapacityAdjustment,2))-FN201,0),0))</f>
        <v>#VALUE!</v>
      </c>
      <c r="FW201" s="1564" t="e">
        <f aca="false">IF(AND(Assumptions!$H$71="Yes",A201&gt;=Assumptions!$H$72,A201&lt;=Assumptions!$H$73),0,IF(AND($A201&gt;=Assumptions!$C$17,$A201&lt;=Assumptions!$C$18),MAX(BC201*(1+VLOOKUP($C201,WeatherCapacityAdjustment,3))-FO201,0),0))</f>
        <v>#VALUE!</v>
      </c>
      <c r="FX201" s="1569" t="e">
        <f aca="false">IF(AND(Assumptions!$H$71="Yes",A201&gt;=Assumptions!$H$72,A201&lt;=Assumptions!$H$73),0,IF(ET201&gt;0,MAX(BH201*(1+VLOOKUP($C201,WeatherCapacityAdjustment,2))-FP201,0),0))</f>
        <v>#VALUE!</v>
      </c>
      <c r="FY201" s="1551" t="e">
        <f aca="false">IF(AND(Assumptions!$H$71="Yes",A201&gt;=Assumptions!$H$72,A201&lt;=Assumptions!$H$73),0,IF(EU201&gt;0,MAX(BI201*(1+VLOOKUP($C201,WeatherCapacityAdjustment,3))-FQ201,0),0))</f>
        <v>#VALUE!</v>
      </c>
      <c r="FZ201" s="1551" t="e">
        <f aca="false">IF(AND(Assumptions!$H$71="Yes",A201&gt;=Assumptions!$H$72,A201&lt;=Assumptions!$H$73),0,IF(EV201&gt;0,MAX(BJ201*(1+VLOOKUP($C201,WeatherCapacityAdjustment,2))-FR201,0),0))</f>
        <v>#VALUE!</v>
      </c>
      <c r="GA201" s="1564" t="e">
        <f aca="false">IF(AND(Assumptions!$H$71="Yes",A201&gt;=Assumptions!$H$72,A201&lt;=Assumptions!$H$73),0,IF(EW201&gt;0,MAX(BK201*(1+VLOOKUP($C201,WeatherCapacityAdjustment,2))-FS201,0),0))</f>
        <v>#VALUE!</v>
      </c>
      <c r="GB201" s="1551" t="e">
        <f aca="false">SUM(FT201:GA201)</f>
        <v>#VALUE!</v>
      </c>
      <c r="GC201" s="1563" t="e">
        <f aca="false">+IF(SUM(FT201:GA201)=0,0,(SUMPRODUCT(BU201:BX201,FT201:FW201)+SUMPRODUCT(CA201:CD201,FX201:GA201))/SUM(FT201:GA201))</f>
        <v>#VALUE!</v>
      </c>
      <c r="GD201" s="1551" t="e">
        <f aca="false">(FT201*BU201+FX201*CA201+FU201*BV201+FY201*CB201+FV201*BW201+FZ201*CC201+FW201*BX201+GA201*CD201)</f>
        <v>#VALUE!</v>
      </c>
      <c r="GE201" s="1561" t="e">
        <f aca="false">+IF(BQ201,((FL201+FM201+FT201+FU201)*HeatRatePeak/1000*(1+VLOOKUP($C201,WeatherHeatRateAdjustment,2))+(FN201+FV201)*IF(EV201&gt;0,HeatRatePeak,HeatRateOffPeak)/1000*(1+VLOOKUP($C201,WeatherHeatRateAdjustment,2))+(FO201+FW201)*IF(EW201&gt;0,HeatRatePeak,HeatRateOffPeak)/1000*(1+VLOOKUP($C201,WeatherHeatRateAdjustment,3)))*(1+VLOOKUP($B201,HeatRateDegradation,$C201+1)),0)</f>
        <v>#VALUE!</v>
      </c>
      <c r="GF201" s="1562" t="e">
        <f aca="false">IF(BQ201,((FP201+FQ201+FR201+FX201+FY201+FZ201)*HeatRatePeak/1000*(1+VLOOKUP($C201,WeatherHeatRateAdjustment,2))+(FS201+GA201)*HeatRatePeak/1000*(1+VLOOKUP($C201,WeatherHeatRateAdjustment,3)))*(1+VLOOKUP($B201,HeatRateDegradation,$C201+1)),0)</f>
        <v>#VALUE!</v>
      </c>
      <c r="GG201" s="1563" t="e">
        <f aca="false">IF(BQ201,VLOOKUP(A201,GasTable,13),0)</f>
        <v>#VALUE!</v>
      </c>
      <c r="GH201" s="1564" t="e">
        <f aca="false">(GE201+GF201)*GG201</f>
        <v>#VALUE!</v>
      </c>
      <c r="GI201" s="1569" t="e">
        <f aca="false">GB201</f>
        <v>#VALUE!</v>
      </c>
      <c r="GJ201" s="1598" t="e">
        <f aca="false">+DA201</f>
        <v>#VALUE!</v>
      </c>
      <c r="GK201" s="1558" t="e">
        <f aca="false">+GI201*GJ201</f>
        <v>#VALUE!</v>
      </c>
      <c r="GL201" s="1566" t="e">
        <f aca="false">MAX(FE201-FL201-FP201,0)</f>
        <v>#VALUE!</v>
      </c>
      <c r="GM201" s="1551" t="e">
        <f aca="false">MAX(FF201-FM201-FQ201,0)</f>
        <v>#VALUE!</v>
      </c>
      <c r="GN201" s="1551" t="e">
        <f aca="false">MAX(FG201-FN201-FR201,0)</f>
        <v>#VALUE!</v>
      </c>
      <c r="GO201" s="1564" t="e">
        <f aca="false">MAX(FH201-FO201-FS201,0)</f>
        <v>#VALUE!</v>
      </c>
      <c r="GP201" s="1551" t="e">
        <f aca="false">SUM(GL201:GO201)</f>
        <v>#VALUE!</v>
      </c>
      <c r="GQ201" s="1563" t="e">
        <f aca="false">IF(SUM(GL201:GO201)=0,0,((GL201*BU201+GM201*BV201+GN201*BW201+GO201*BX201)/SUM(GL201:GO201)))</f>
        <v>#VALUE!</v>
      </c>
      <c r="GR201" s="1558" t="e">
        <f aca="false">(GL201*BU201+GM201*BV201+GN201*BW201+GO201*BX201)</f>
        <v>#VALUE!</v>
      </c>
      <c r="GS201" s="1566" t="n">
        <f aca="false">IF($A201&gt;=BegDate,Assumptions!$C$56*24*($A202-$A201)*(1-VLOOKUP($B201,MAIN!$AA$7:$AM$28,$C201+1))*(1-VLOOKUP($B201,MAIN!$AA$33:$AM$54,$C201+1)),0)*80/168</f>
        <v>249428.571428571</v>
      </c>
      <c r="GT201" s="286" t="n">
        <f aca="false">J201</f>
        <v>75.1975670803503</v>
      </c>
      <c r="GU201" s="286" t="n">
        <f aca="false">IF($A201&gt;=BegDate,VLOOKUP($A201,GasTable,13)+Assumptions!$C$58,0)</f>
        <v>3.44548981023616</v>
      </c>
      <c r="GV201" s="286" t="n">
        <f aca="false">GU201*Assumptions!$C$57/1000</f>
        <v>24.9798011242122</v>
      </c>
      <c r="GW201" s="1558" t="n">
        <f aca="false">IF(Assumptions!$C$60="Hourly",MAX(0,GS201*(GT201-GV201)),GS201*(GT201-GV201))</f>
        <v>12525745.6227739</v>
      </c>
      <c r="GX201" s="1566" t="n">
        <f aca="false">IF($A201&gt;=BegDate,Assumptions!$C$56*24*($A202-$A201)*(1-VLOOKUP($B201,MAIN!$AA$7:$AM$28,$C201+1))*(1-VLOOKUP($B201,MAIN!$AA$33:$AM$54,$C201+1)),0)*16/168</f>
        <v>49885.7142857143</v>
      </c>
      <c r="GY201" s="286" t="n">
        <f aca="false">M201</f>
        <v>75.1975670803503</v>
      </c>
      <c r="GZ201" s="286" t="n">
        <f aca="false">IF($A201&gt;=BegDate,VLOOKUP($A201,GasTable,13)+Assumptions!$C$58,0)</f>
        <v>3.44548981023616</v>
      </c>
      <c r="HA201" s="286" t="n">
        <f aca="false">GZ201*Assumptions!$C$57/1000</f>
        <v>24.9798011242122</v>
      </c>
      <c r="HB201" s="1558" t="n">
        <f aca="false">IF(Assumptions!$C$60="Hourly",MAX(0,GX201*(GY201-HA201)),GX201*(GY201-HA201))</f>
        <v>2505149.12455478</v>
      </c>
      <c r="HC201" s="1566" t="n">
        <f aca="false">IF($A201&gt;=BegDate,Assumptions!$C$56*24*($A202-$A201)*(1-VLOOKUP($B201,MAIN!$AA$7:$AM$28,$C201+1))*(1-VLOOKUP($B201,MAIN!$AA$33:$AM$54,$C201+1)),0)*16/168</f>
        <v>49885.7142857143</v>
      </c>
      <c r="HD201" s="286" t="n">
        <f aca="false">P201</f>
        <v>35.6186747474158</v>
      </c>
      <c r="HE201" s="286" t="n">
        <f aca="false">IF($A201&gt;=BegDate,VLOOKUP($A201,GasTable,13)+Assumptions!$C$58,0)</f>
        <v>3.44548981023616</v>
      </c>
      <c r="HF201" s="286" t="n">
        <f aca="false">HE201*Assumptions!$C$57/1000</f>
        <v>24.9798011242122</v>
      </c>
      <c r="HG201" s="1558" t="n">
        <f aca="false">IF(Assumptions!$C$60="Hourly",MAX(0,HC201*(HD201-HF201)),HC201*(HD201-HF201))</f>
        <v>530727.809888957</v>
      </c>
      <c r="HH201" s="1566" t="n">
        <f aca="false">IF($A201&gt;=BegDate,Assumptions!$C$56*24*($A202-$A201)*(1-VLOOKUP($B201,MAIN!$AA$7:$AM$28,$C201+1))*(1-VLOOKUP($B201,MAIN!$AA$33:$AM$54,$C201+1)),0)*56/168</f>
        <v>174600</v>
      </c>
      <c r="HI201" s="286" t="n">
        <f aca="false">S201</f>
        <v>35.6186747474158</v>
      </c>
      <c r="HJ201" s="286" t="n">
        <f aca="false">IF($A201&gt;=BegDate,VLOOKUP($A201,GasTable,13)+Assumptions!$C$58,0)</f>
        <v>3.44548981023616</v>
      </c>
      <c r="HK201" s="286" t="n">
        <f aca="false">HJ201*Assumptions!$C$57/1000</f>
        <v>24.9798011242122</v>
      </c>
      <c r="HL201" s="1558" t="n">
        <f aca="false">IF(Assumptions!$C$60="Hourly",MAX(0,HH201*(HI201-HK201)),HH201*(HI201-HK201))</f>
        <v>1857547.33461135</v>
      </c>
      <c r="HM201" s="1566" t="n">
        <f aca="false">IF(AND(Assumptions!$H$71="Yes",A201&gt;=Assumptions!$H$72,A201&lt;=Assumptions!$H$73),Assumptions!$H$74*Assumptions!$C$9*1000,0)</f>
        <v>0</v>
      </c>
      <c r="HN201" s="1551"/>
      <c r="HO201" s="1563"/>
      <c r="HP201" s="1563"/>
      <c r="HQ201" s="1563"/>
      <c r="HR201" s="1563"/>
      <c r="HS201" s="1563"/>
      <c r="HT201" s="1563"/>
      <c r="HU201" s="1563"/>
      <c r="HV201" s="1563"/>
      <c r="HW201" s="1563"/>
      <c r="HX201" s="1563"/>
      <c r="HY201" s="1563"/>
      <c r="HZ201" s="1563"/>
      <c r="IA201" s="1563"/>
      <c r="IB201" s="1563"/>
      <c r="IC201" s="1563"/>
      <c r="ID201" s="1563"/>
      <c r="IE201" s="1563"/>
      <c r="IF201" s="1563"/>
      <c r="IG201" s="1563"/>
      <c r="IH201" s="1563"/>
      <c r="II201" s="1610"/>
      <c r="IJ201" s="1309"/>
      <c r="IK201" s="1309"/>
    </row>
    <row r="202" customFormat="false" ht="12.75" hidden="false" customHeight="false" outlineLevel="0" collapsed="false">
      <c r="A202" s="1571" t="n">
        <f aca="false">EOMONTH(A201,0)+1</f>
        <v>42278</v>
      </c>
      <c r="B202" s="594" t="n">
        <f aca="false">+YEAR(A202)</f>
        <v>2015</v>
      </c>
      <c r="C202" s="238" t="n">
        <f aca="false">MONTH(A202)</f>
        <v>10</v>
      </c>
      <c r="D202" s="1572" t="e">
        <f aca="false">IF(E202="","",Holiday(B202,C202))</f>
        <v>#VALUE!</v>
      </c>
      <c r="E202" s="1573" t="n">
        <f aca="false">IF(OR(BegDate&gt;=A203,EndDate&lt;A202,AND(VolumeMonthlyOverFlag,INDEX(VolumeMonthlyOver,C202)=0),NOT(INDEX(MonthKnockOutTable,C202))),"",MAX(A202,BegDate))</f>
        <v>42278</v>
      </c>
      <c r="F202" s="1574" t="n">
        <f aca="false">IF(E202="","",MIN(A203-1,EndDate))</f>
        <v>42308</v>
      </c>
      <c r="G202" s="1575" t="n">
        <v>0</v>
      </c>
      <c r="H202" s="1576" t="n">
        <f aca="false">(1+G202/2)^(-2*(DATE(B203,C203,20)-DateToday)/365.25)</f>
        <v>1</v>
      </c>
      <c r="I202" s="1568" t="n">
        <f aca="false">IF(Assumptions!$L$25=4,VLOOKUP($A202,'Henwood Reference'!$E$9:$R$320,10),(VLOOKUP($A202,PriceTable,2,0)+IF(BasisNumber&lt;&gt;1,VLOOKUP($A202,BasisTable,2,0),0)+I$1)/(1-I$2))</f>
        <v>54.6699794237292</v>
      </c>
      <c r="J202" s="1568" t="n">
        <f aca="false">IF(Assumptions!$L$25=4,VLOOKUP($A202,'Henwood Reference'!$E$9:$R$320,10),(VLOOKUP($A202,PriceTable,3,0)+IF(BasisNumber&lt;&gt;1,VLOOKUP($A202,BasisTable,2,0),0)+J$1)/(1-J$2))</f>
        <v>54.6699794237292</v>
      </c>
      <c r="K202" s="1568" t="n">
        <f aca="false">IF(Assumptions!$L$25=4,VLOOKUP($A202,'Henwood Reference'!$E$9:$R$320,10),(VLOOKUP($A202,PriceTable,4,0)+IF(BasisNumber&lt;&gt;1,VLOOKUP($A202,BasisTable,2,0),0)+K$1)/(1-K$2))</f>
        <v>54.6699794237292</v>
      </c>
      <c r="L202" s="1523" t="n">
        <f aca="false">IF(Assumptions!$L$25=4,VLOOKUP($A202,'Henwood Reference'!$E$9:$R$320,10),(VLOOKUP($A202,PriceTableWeekend,2,0)+IF(BasisNumber&lt;&gt;1,VLOOKUP($A202,BasisTable,2,0),0)+L$1)/(1-L$2))</f>
        <v>54.6699794237292</v>
      </c>
      <c r="M202" s="1568" t="n">
        <f aca="false">IF(Assumptions!$L$25=4,VLOOKUP($A202,'Henwood Reference'!$E$9:$R$320,10),(VLOOKUP($A202,PriceTableWeekend,3,0)+IF(BasisNumber&lt;&gt;1,VLOOKUP($A202,BasisTable,2,0),0)+M$1)/(1-M$2))</f>
        <v>54.6699794237292</v>
      </c>
      <c r="N202" s="1599" t="n">
        <f aca="false">IF(Assumptions!$L$25=4,VLOOKUP($A202,'Henwood Reference'!$E$9:$R$320,10),(VLOOKUP($A202,PriceTableWeekend,4,0)+IF(BasisNumber&lt;&gt;1,VLOOKUP($A202,BasisTable,2,0),0)+N$1)/(1-N$2))</f>
        <v>54.6699794237292</v>
      </c>
      <c r="O202" s="1568" t="n">
        <f aca="false">IF(Assumptions!$L$25=4,VLOOKUP($A202,'Henwood Reference'!$E$9:$R$320,11),(VLOOKUP($A202,PriceTableWeekend,6,0)+IF(BasisNumber&lt;&gt;1,VLOOKUP($A202,BasisTable,3,0),0)+O$1)/(1-O$2))</f>
        <v>29.4248540676143</v>
      </c>
      <c r="P202" s="1568" t="n">
        <f aca="false">IF(Assumptions!$L$25=4,VLOOKUP($A202,'Henwood Reference'!$E$9:$R$320,11),(VLOOKUP($A202,PriceTableWeekend,7,0)+IF(BasisNumber&lt;&gt;1,VLOOKUP($A202,BasisTable,3,0),0)+P$1)/(1-P$2))</f>
        <v>29.4248540676143</v>
      </c>
      <c r="Q202" s="1599" t="n">
        <f aca="false">IF(Assumptions!$L$25=4,VLOOKUP($A202,'Henwood Reference'!$E$9:$R$320,11),(VLOOKUP($A202,PriceTableWeekend,8,0)+IF(BasisNumber&lt;&gt;1,VLOOKUP($A202,BasisTable,3,0),0)+Q$1)/(1-Q$2))</f>
        <v>29.4248540676143</v>
      </c>
      <c r="R202" s="1568" t="n">
        <f aca="false">IF(Assumptions!$L$25=4,VLOOKUP($A202,'Henwood Reference'!$E$9:$R$320,11),(VLOOKUP($A202,PriceTable,6,0)+IF(BasisNumber&lt;&gt;1,VLOOKUP($A202,BasisTable,3,0),0)+R$1)/(1-R$2))</f>
        <v>29.4248540676143</v>
      </c>
      <c r="S202" s="1568" t="n">
        <f aca="false">IF(Assumptions!$L$25=4,VLOOKUP($A202,'Henwood Reference'!$E$9:$R$320,11),(VLOOKUP($A202,PriceTable,7,0)+IF(BasisNumber&lt;&gt;1,VLOOKUP($A202,BasisTable,3,0),0)+S$1)/(1-S$2))</f>
        <v>29.4248540676143</v>
      </c>
      <c r="T202" s="1600" t="n">
        <f aca="false">IF(Assumptions!$L$25=4,VLOOKUP($A202,'Henwood Reference'!$E$9:$R$320,11),(VLOOKUP($A202,PriceTable,8,0)+IF(BasisNumber&lt;&gt;1,VLOOKUP($A202,BasisTable,3,0),0)+T$1)/(1-T$2))</f>
        <v>29.4248540676143</v>
      </c>
      <c r="U202" s="1513" t="n">
        <f aca="false">VLOOKUP($A202,VolatilityTable,14)</f>
        <v>0.0949999999999999</v>
      </c>
      <c r="V202" s="1513" t="n">
        <f aca="false">VLOOKUP($A202,VolatilityTable,15)</f>
        <v>0.105</v>
      </c>
      <c r="W202" s="1514" t="n">
        <f aca="false">VLOOKUP($A202,VolatilityTable,16)</f>
        <v>0.115</v>
      </c>
      <c r="X202" s="1513" t="n">
        <f aca="false">VLOOKUP($A202,VolatilityTable,14)</f>
        <v>0.0949999999999999</v>
      </c>
      <c r="Y202" s="1513" t="n">
        <f aca="false">VLOOKUP($A202,VolatilityTable,15)</f>
        <v>0.105</v>
      </c>
      <c r="Z202" s="1514" t="n">
        <f aca="false">VLOOKUP($A202,VolatilityTable,16)</f>
        <v>0.115</v>
      </c>
      <c r="AA202" s="1513" t="n">
        <f aca="false">VLOOKUP($A202,VolatilityTable,18)</f>
        <v>0.09</v>
      </c>
      <c r="AB202" s="1513" t="n">
        <f aca="false">VLOOKUP($A202,VolatilityTable,19)</f>
        <v>0.11</v>
      </c>
      <c r="AC202" s="1514" t="n">
        <f aca="false">VLOOKUP($A202,VolatilityTable,20)</f>
        <v>0.13</v>
      </c>
      <c r="AD202" s="1513" t="n">
        <f aca="false">VLOOKUP($A202,VolatilityTable,18)</f>
        <v>0.09</v>
      </c>
      <c r="AE202" s="1513" t="n">
        <f aca="false">VLOOKUP($A202,VolatilityTable,19)</f>
        <v>0.11</v>
      </c>
      <c r="AF202" s="1514" t="n">
        <f aca="false">VLOOKUP($A202,VolatilityTable,20)</f>
        <v>0.13</v>
      </c>
      <c r="AG202" s="1513" t="n">
        <f aca="false">VLOOKUP($A202,VolatilityTable,22)</f>
        <v>-0.1</v>
      </c>
      <c r="AH202" s="1513" t="n">
        <f aca="false">VLOOKUP($A202,VolatilityTable,23)</f>
        <v>3</v>
      </c>
      <c r="AI202" s="1514" t="n">
        <f aca="false">VLOOKUP($A202,VolatilityTable,24)</f>
        <v>0.1</v>
      </c>
      <c r="AJ202" s="1513" t="n">
        <f aca="false">VLOOKUP($A202,VolatilityTable,22)</f>
        <v>-0.1</v>
      </c>
      <c r="AK202" s="1513" t="n">
        <f aca="false">VLOOKUP($A202,VolatilityTable,23)</f>
        <v>3</v>
      </c>
      <c r="AL202" s="1514" t="n">
        <f aca="false">VLOOKUP($A202,VolatilityTable,24)</f>
        <v>0.1</v>
      </c>
      <c r="AM202" s="1513" t="n">
        <f aca="false">VLOOKUP($A202,VolatilityTable,26)</f>
        <v>-0.01</v>
      </c>
      <c r="AN202" s="1513" t="n">
        <f aca="false">VLOOKUP($A202,VolatilityTable,27)</f>
        <v>0.16</v>
      </c>
      <c r="AO202" s="1514" t="n">
        <f aca="false">VLOOKUP($A202,VolatilityTable,28)</f>
        <v>0.01</v>
      </c>
      <c r="AP202" s="1513" t="n">
        <f aca="false">VLOOKUP($A202,VolatilityTable,26)</f>
        <v>-0.01</v>
      </c>
      <c r="AQ202" s="1513" t="n">
        <f aca="false">VLOOKUP($A202,VolatilityTable,27)</f>
        <v>0.16</v>
      </c>
      <c r="AR202" s="1515" t="n">
        <f aca="false">VLOOKUP($A202,VolatilityTable,28)</f>
        <v>0.01</v>
      </c>
      <c r="AS202" s="1581" t="n">
        <f aca="false">IF(CorrPeakOffPeakOverFlag,INDEX(CorrPeakOffPeakOver,C202),CorrPeakOffPeak)</f>
        <v>0.5</v>
      </c>
      <c r="AT202" s="594" t="e">
        <f aca="false">AX202-SUM(AU202:AW202)</f>
        <v>#VALUE!</v>
      </c>
      <c r="AU202" s="238" t="e">
        <f aca="false">IF(E202="",0,INT((F202-MOD(F202,7)-E202)/7)+1-IF(AW202,IF(WEEKDAY(D202)=7,1,0),0))</f>
        <v>#VALUE!</v>
      </c>
      <c r="AV202" s="238" t="e">
        <f aca="false">IF(E202="",0,INT((F202-MOD(F202-1,7)-E202)/7)+1-IF(AW202,IF(WEEKDAY(D202)=1,1,0),0))</f>
        <v>#VALUE!</v>
      </c>
      <c r="AW202" s="238" t="e">
        <f aca="false">IF(OR(E202="",D202="",D202&lt;BegDate,D202&gt;EndDate),0,1)</f>
        <v>#VALUE!</v>
      </c>
      <c r="AX202" s="238" t="n">
        <f aca="false">IF(E202="",0,F202-E202+1)</f>
        <v>31</v>
      </c>
      <c r="AY202" s="1582" t="n">
        <f aca="false">IF(E202="",0,MIN((1-(1-VLOOKUP(B202,MAIN!$AA$7:$AM$28,C202+1))*(1-VLOOKUP(B202,MAIN!$AA$33:$AM$54,C202+1))),1))</f>
        <v>0.03</v>
      </c>
      <c r="AZ202" s="1519" t="e">
        <v>#VALUE!</v>
      </c>
      <c r="BA202" s="1520" t="e">
        <v>#VALUE!</v>
      </c>
      <c r="BB202" s="1520" t="e">
        <v>#VALUE!</v>
      </c>
      <c r="BC202" s="1583" t="e">
        <v>#VALUE!</v>
      </c>
      <c r="BD202" s="1522" t="e">
        <v>#VALUE!</v>
      </c>
      <c r="BE202" s="1523" t="e">
        <v>#VALUE!</v>
      </c>
      <c r="BF202" s="1523" t="e">
        <v>#VALUE!</v>
      </c>
      <c r="BG202" s="1584" t="e">
        <v>#VALUE!</v>
      </c>
      <c r="BH202" s="1525" t="e">
        <v>#VALUE!</v>
      </c>
      <c r="BI202" s="1520" t="e">
        <v>#VALUE!</v>
      </c>
      <c r="BJ202" s="1520" t="e">
        <v>#VALUE!</v>
      </c>
      <c r="BK202" s="1583" t="e">
        <v>#VALUE!</v>
      </c>
      <c r="BL202" s="1522" t="e">
        <v>#VALUE!</v>
      </c>
      <c r="BM202" s="1523" t="e">
        <v>#VALUE!</v>
      </c>
      <c r="BN202" s="1523" t="e">
        <v>#VALUE!</v>
      </c>
      <c r="BO202" s="1523" t="e">
        <v>#VALUE!</v>
      </c>
      <c r="BP202" s="1525" t="e">
        <f aca="false">SUM(AZ202:BB202)</f>
        <v>#VALUE!</v>
      </c>
      <c r="BQ202" s="1529" t="e">
        <f aca="false">SUM(AZ202:BC202)</f>
        <v>#VALUE!</v>
      </c>
      <c r="BR202" s="1519" t="e">
        <f aca="false">SUM(BH202:BJ202)</f>
        <v>#VALUE!</v>
      </c>
      <c r="BS202" s="1529" t="e">
        <f aca="false">SUM(BH202:BK202)</f>
        <v>#VALUE!</v>
      </c>
      <c r="BT202" s="1316" t="n">
        <f aca="false">(IF(OVolType&lt;&gt;2,A202+14,IF(OptExpDateShift,ShiftBack(A202,OptExpDateShift,D201),A202))-DateToday)/365.25</f>
        <v>15.4633812457221</v>
      </c>
      <c r="BU202" s="1585" t="e">
        <f aca="false">IF(BQ202,IF(OPriceCurve,IF(OBuySell=OCallPut,I202/(1-AY202),K202/(1-AY202)),J202/(1-AY202))*BD202,0)</f>
        <v>#VALUE!</v>
      </c>
      <c r="BV202" s="1316" t="e">
        <f aca="false">IF(BQ202,IF(OPriceCurve,IF(OBuySell=OCallPut,L202/(1-AY202),N202/(1-AY202)),M202/(1-AY202))*BE202,0)</f>
        <v>#VALUE!</v>
      </c>
      <c r="BW202" s="1316" t="e">
        <f aca="false">IF(BQ202,IF(OPriceCurve,IF(OBuySell=OCallPut,O202/(1-AY202),Q202/(1-AY202)),P202/(1-AY202))*BF202,0)</f>
        <v>#VALUE!</v>
      </c>
      <c r="BX202" s="1316" t="e">
        <f aca="false">IF(BQ202,IF(OPriceCurve,IF(OBuySell=OCallPut,R202/(1-AY202),T202/(1-AY202)),S202/(1-AY202))*BG202,0)</f>
        <v>#VALUE!</v>
      </c>
      <c r="BY202" s="1316" t="e">
        <f aca="false">IF(BP202,(BU202*AZ202+BV202*BA202+BW202*BB202)/BP202,0)</f>
        <v>#VALUE!</v>
      </c>
      <c r="BZ202" s="1316" t="e">
        <f aca="false">IF(BQ202,(BY202*BP202+BX202*BC202)/BQ202,0)</f>
        <v>#VALUE!</v>
      </c>
      <c r="CA202" s="1531" t="e">
        <f aca="false">IF(BS202,IF(OPriceCurve,IF(OBuySell=OCallPut,I202/(1-AY202),K202/(1-AY202)),J202/(1-AY202))*BL202,0)</f>
        <v>#VALUE!</v>
      </c>
      <c r="CB202" s="1316" t="e">
        <f aca="false">IF(BS202,IF(OPriceCurve,IF(OBuySell=OCallPut,L202/(1-AY202),N202/(1-AY202)),M202/(1-AY202))*BM202,0)</f>
        <v>#VALUE!</v>
      </c>
      <c r="CC202" s="1316" t="e">
        <f aca="false">IF(BS202,IF(OPriceCurve,IF(OBuySell=OCallPut,O202/(1-AY202),Q202/(1-AY202)),P202/(1-AY202))*BN202,0)</f>
        <v>#VALUE!</v>
      </c>
      <c r="CD202" s="1316" t="e">
        <f aca="false">IF(BS202,IF(OPriceCurve,IF(OBuySell=OCallPut,R202/(1-AY202),T202/(1-AY202)),S202/(1-AY202))*BO202,0)</f>
        <v>#VALUE!</v>
      </c>
      <c r="CE202" s="1316" t="e">
        <f aca="false">IF(BR202,(BU202*BH202+BV202*BI202+BW202*BJ202)/BR202,0)</f>
        <v>#VALUE!</v>
      </c>
      <c r="CF202" s="1532" t="e">
        <f aca="false">IF(BS202,(CE202*BR202+CD202*BK202)/BS202,0)</f>
        <v>#VALUE!</v>
      </c>
      <c r="CG202" s="1586" t="e">
        <f aca="false">IF(OR(BQ202,BS202),IF(OVolType&lt;&gt;2,SQRT(IF(OVolOverMonthlyPeak,OVolOverMonthlyPeak,IF(OVolCurve,IF(OBuySell,U202,W202),V202))^2*(1-15/365.25/BT202)+IF(OVolOverDailyPeak,OVolOverDailyPeak,IF(OVolCurve,IF(OBuySell,AG202,AI202),AH202))^2*15/365.25/BT202),IF(OVolOverMonthlyPeak,OVolOverMonthlyPeak,IF(OVolCurve,IF(OBuySell,U202,W202),V202))),"")</f>
        <v>#VALUE!</v>
      </c>
      <c r="CH202" s="1587" t="e">
        <f aca="false">IF(OR(BQ202,BS202),IF(OVolType&lt;&gt;2,SQRT(IF(OVolOverMonthlyPeak,OVolOverMonthlyPeak,IF(OVolCurve,IF(OBuySell,X202,Z202),Y202))^2*(1-15/365.25/BT202)+IF(OVolOverDailyPeak,OVolOverDailyPeak,IF(OVolCurve,IF(OBuySell,AJ202,AL202),AK202))^2*15/365.25/BT202),IF(OVolOverMonthlyPeak,OVolOverMonthlyPeak,IF(OVolCurve,IF(OBuySell,X202,Z202),Y202))),"")</f>
        <v>#VALUE!</v>
      </c>
      <c r="CI202" s="1587" t="e">
        <f aca="false">IF(OR(BQ202,BS202),IF(OVolType&lt;&gt;2,SQRT(IF(OVolOverMonthlyPeak,OVolOverMonthlyPeak,IF(OVolCurve,IF(OBuySell,AA202,AC202),AB202))^2*(1-15/365.25/BT202)+IF(OVolOverDailyPeak,OVolOverDailyPeak,IF(OVolCurve,IF(OBuySell,AM202,AO202),AN202))^2*15/365.25/BT202),IF(OVolOverMonthlyPeak,OVolOverMonthlyPeak,IF(OVolCurve,IF(OBuySell,AA202,AC202),AB202))),"")</f>
        <v>#VALUE!</v>
      </c>
      <c r="CJ202" s="1587" t="e">
        <f aca="false">IF(BQ202,IF(BP202,SQRT(LN(1+((BU202*AZ202)^2*(EXP(CG202^2*BT202)-1)+(BV202*BA202)^2*(EXP(CH202^2*BT202)-1)+(BW202*BB202)^2*(EXP(CI202^2*BT202)-1)+2*BU202*AZ202*BV202*BA202*(EXP(CG202*CH202*BT202)-1)+2*BV202*BA202*BW202*BB202*(EXP(CH202*CI202*BT202)-1)+2*BW202*BB202*BU202*AZ202*(EXP(CI202*CG202*BT202)-1))/(BY202*BP202)^2)/BT202),0),"")</f>
        <v>#VALUE!</v>
      </c>
      <c r="CK202" s="1587" t="e">
        <f aca="false">IF(BS202,IF(BR202,SQRT(LN(1+((CA202*BH202)^2*(EXP(CG202^2*BT202)-1)+(CB202*BI202)^2*(EXP(CH202^2*BT202)-1)+(CC202*BJ202)^2*(EXP(CI202^2*BT202)-1)+2*CA202*BH202*CB202*BI202*(EXP(CG202*CH202*BT202)-1)+2*CB202*BI202*CC202*BJ202*(EXP(CH202*CI202*BT202)-1)+2*CC202*BJ202*CA202*BH202*(EXP(CI202*CG202*BT202)-1))/(CE202*BR202)^2)/BT202),0),"")</f>
        <v>#VALUE!</v>
      </c>
      <c r="CL202" s="1587" t="e">
        <f aca="false">IF(OR(BQ202,BS202),IF(OVolType&lt;&gt;2,SQRT(IF(OVolOverMonthlyOffPeak,OVolOverMonthlyOffPeak,IF(OVolCurve,IF(OBuySell,AD202,AF202),AE202))^2*(1-15/365.25/BT202)+IF(OVolOverDailyOffPeak,OVolOverDailyOffPeak,IF(OVolCurve,IF(OBuySell,AP202,AR202),AQ202))^2*15/365.25/BT202),IF(OVolOverMonthlyOffPeak,OVolOverMonthlyOffPeak,IF(OVolCurve,IF(OBuySell,AD202,AF202),AE202))),"")</f>
        <v>#VALUE!</v>
      </c>
      <c r="CM202" s="1587" t="e">
        <f aca="false">IF(BQ202,SQRT(LN(1+((BY202*BP202)^2*(EXP(CJ202^2*BT202)-1)+(BX202*BC202)^2*(EXP(CL202^2*BT202)-1)+2*BY202*BP202*BX202*BC202*(EXP(AS202*CJ202*CL202*BT202)-1))/(BY202*BP202+BX202*BC202)^2)/BT202),"")</f>
        <v>#VALUE!</v>
      </c>
      <c r="CN202" s="1588" t="e">
        <f aca="false">IF(BS202,SQRT(LN(1+((CE202*BR202)^2*(EXP(CK202^2*BT202)-1)+(CD202*BK202)^2*(EXP(CL202^2*BT202)-1)+2*CE202*BR202*CD202*BK202*(EXP(AS202*CK202*CL202*BT202)-1))/(CE202*BR202+CD202*BK202)^2)/BT202),"")</f>
        <v>#VALUE!</v>
      </c>
      <c r="CO202" s="1531" t="e">
        <f aca="false">IF(OR(BQ202,BS202),VLOOKUP(A202,GasTable,13)*HeatRatePeak*(1+VLOOKUP($B202,HeatRateDegradation,$C202+1))/1000,0)</f>
        <v>#VALUE!</v>
      </c>
      <c r="CP202" s="1316" t="e">
        <f aca="false">IF(OR(BQ202,BS202),VLOOKUP(A202,GasTable,13)*HeatRatePeak*(1+VLOOKUP($B202,HeatRateDegradation,$C202+1))/1000,0)</f>
        <v>#VALUE!</v>
      </c>
      <c r="CQ202" s="1316" t="e">
        <f aca="false">IF(OR(BQ202,BS202),VLOOKUP(A202,GasTable,13)*IF(EV202,HeatRatePeak,HeatRateOffPeak)*(1+VLOOKUP($B202,HeatRateDegradation,$C202+1))/1000,0)</f>
        <v>#VALUE!</v>
      </c>
      <c r="CR202" s="1316" t="e">
        <f aca="false">IF(OR(BQ202,BS202),VLOOKUP(A202,GasTable,13)*IF(EW202,HeatRatePeak,HeatRateOffPeak)*(1+VLOOKUP($B202,HeatRateDegradation,$C202+1))/1000,0)</f>
        <v>#VALUE!</v>
      </c>
      <c r="CS202" s="1589" t="e">
        <f aca="false">IF(BQ202,(CO202*AZ202+CP202*BA202+CQ202*BB202+CR202*BC202)/BQ202,0)</f>
        <v>#VALUE!</v>
      </c>
      <c r="CT202" s="1316" t="e">
        <f aca="false">IF(BS202,CO202,0)</f>
        <v>#VALUE!</v>
      </c>
      <c r="CU202" s="1590" t="e">
        <f aca="false">IF(OR(BQ202,BS202),VLOOKUP(A202,GasTable,14),"")</f>
        <v>#VALUE!</v>
      </c>
      <c r="CV202" s="1568" t="e">
        <f aca="false">IF(OR(BQ202,BS202),IF(CorrPowerGasOverFlag,INDEX(CorrPowerGasOver,C202),CorrPowerGas),"")</f>
        <v>#VALUE!</v>
      </c>
      <c r="CW202" s="1316" t="e">
        <f aca="false">IF(OR($BQ202,$BS202),SpreadOptPowerMargin,0)*((1+Assumptions!$C$26)^($B202-YEAR(Assumptions!$C$17)))</f>
        <v>#VALUE!</v>
      </c>
      <c r="CX202" s="1316" t="e">
        <f aca="false">IF(OR($BQ202,$BS202),SpreadOptPowerMargin,0)*((1+Assumptions!$C$26)^($B202-YEAR(Assumptions!$C$17)))</f>
        <v>#VALUE!</v>
      </c>
      <c r="CY202" s="1316" t="e">
        <f aca="false">IF(OR($BQ202,$BS202),SpreadOptPowerMargin,0)*((1+Assumptions!$C$26)^($B202-YEAR(Assumptions!$C$17)))</f>
        <v>#VALUE!</v>
      </c>
      <c r="CZ202" s="1316" t="e">
        <f aca="false">IF(OR($BQ202,$BS202),SpreadOptPowerMargin,0)*((1+Assumptions!$C$26)^($B202-YEAR(Assumptions!$C$17)))</f>
        <v>#VALUE!</v>
      </c>
      <c r="DA202" s="1591" t="e">
        <f aca="false">IF(OR(BQ202,BS202),(CW202*(AZ202+BH202)+CX202*(BA202+BI202)+CY202*(BB202+BJ202)+CZ202*(BC202+BK202))/(BQ202+BS202),0)</f>
        <v>#VALUE!</v>
      </c>
      <c r="DB202" s="1592" t="e">
        <f aca="false">IF(OR(BQ202,BS202),CG202+IF(OVolSmile,VLOOKUP(MAX(-5,CO202+CW202-BU202),IF(OVolSmile=1,VolSmileBook,VolSmileModel),2),0),"")</f>
        <v>#VALUE!</v>
      </c>
      <c r="DC202" s="1592" t="e">
        <f aca="false">IF(OR(BQ202,BS202),CH202+IF(OVolSmile,VLOOKUP(MAX(-5,CP202+CW202-BV202),IF(OVolSmile=1,VolSmileBook,VolSmileModel),2),0),"")</f>
        <v>#VALUE!</v>
      </c>
      <c r="DD202" s="1592" t="e">
        <f aca="false">IF(OR(BQ202,BS202),CI202+IF(OVolSmile,VLOOKUP(MAX(-5,CQ202+CW202-BW202),IF(OVolSmile=1,VolSmileBook,VolSmileModel),2),0),"")</f>
        <v>#VALUE!</v>
      </c>
      <c r="DE202" s="1592" t="e">
        <f aca="false">IF(OR(BQ202,BS202),CL202+IF(OVolSmile,VLOOKUP(MAX(-5,CR202+CZ202-BX202),IF(OVolSmile=1,VolSmileBook,VolSmileModel),2),0),"")</f>
        <v>#VALUE!</v>
      </c>
      <c r="DF202" s="1592" t="e">
        <f aca="false">IF(BQ202,CM202+IF(OVolSmile,VLOOKUP(MAX(-5,CS202+DA202-BZ202),IF(OVolSmile=1,VolSmileBook,VolSmileModel),2),0),"")</f>
        <v>#VALUE!</v>
      </c>
      <c r="DG202" s="1593" t="e">
        <f aca="false">IF(BS202,CN202+IF(OVolSmile,VLOOKUP(MAX(-5,CT202+DA202-CF202),IF(OVolSmile=1,VolSmileBook,VolSmileModel),2),0),"")</f>
        <v>#VALUE!</v>
      </c>
      <c r="DH202" s="1316" t="e">
        <f aca="false">IF(AND(BU202&gt;0,CO202&gt;0,DB202&gt;0,CU202&gt;0),newSPRDOPT(BU202,CO202,CW202,0,DB202,CU202,CV202,BT202*365.25,OCallPut,0),0)</f>
        <v>#VALUE!</v>
      </c>
      <c r="DI202" s="1316" t="e">
        <f aca="false">IF(AND(BV202&gt;0,CP202&gt;0,DC202&gt;0,CU202&gt;0),newSPRDOPT(BV202,CP202,CX202,0,DC202,CU202,CV202,BT202*365.25,OCallPut,0),0)</f>
        <v>#VALUE!</v>
      </c>
      <c r="DJ202" s="1316" t="e">
        <f aca="false">IF(AND(BW202&gt;0,CQ202&gt;0,DD202&gt;0,CU202&gt;0),newSPRDOPT(BW202,CQ202,CY202,0,DD202,CU202,CV202,BT202*365.25,OCallPut,0),0)</f>
        <v>#VALUE!</v>
      </c>
      <c r="DK202" s="1316" t="e">
        <f aca="false">IF(AND(BX202&gt;0,CR202&gt;0,DE202&gt;0,CU202&gt;0),newSPRDOPT(BX202,CR202,CZ202,0,DE202,CU202,CV202,BT202*365.25,OCallPut,0),0)</f>
        <v>#VALUE!</v>
      </c>
      <c r="DL202" s="1316" t="e">
        <f aca="false">IF(OVolType,IF(AND(BZ202&gt;0,CS202&gt;0,DF202&gt;0,CU202&gt;0),newSPRDOPT(BZ202,CS202,DA202,0,DF202,CU202,CV202,BT202*365.25,OCallPut,0),0),IF(BQ202,(DH202*AZ202+DI202*BA202+DJ202*BB202+DK202*BC202)/BQ202,0))</f>
        <v>#VALUE!</v>
      </c>
      <c r="DM202" s="1316"/>
      <c r="DN202" s="1316"/>
      <c r="DO202" s="1316"/>
      <c r="DP202" s="1316"/>
      <c r="DQ202" s="1316"/>
      <c r="DR202" s="1316"/>
      <c r="DS202" s="1316"/>
      <c r="DT202" s="1316"/>
      <c r="DU202" s="1316"/>
      <c r="DV202" s="1316"/>
      <c r="DW202" s="1594" t="e">
        <f aca="false">IF(AND(BW202&gt;0,CT202&gt;0,DD202&gt;0,CU202&gt;0),newSPRDOPT(BW202,CT202,CY202,0,DD202,CU202,CV202,BT202*365.25,OCallPut,0),0)</f>
        <v>#VALUE!</v>
      </c>
      <c r="DX202" s="1316" t="e">
        <f aca="false">IF(AND(BX202&gt;0,CT202&gt;0,DE202&gt;0,CU202&gt;0),newSPRDOPT(BX202,CT202,CZ202,0,DE202,CU202,CV202,BT202*365.25,OCallPut,0),0)</f>
        <v>#VALUE!</v>
      </c>
      <c r="DY202" s="1591" t="e">
        <f aca="false">IF(BS202,(DH202*BH202+DI202*BI202+DW202*BJ202+DX202*BK202)/BS202,0)</f>
        <v>#VALUE!</v>
      </c>
      <c r="DZ202" s="1551" t="e">
        <f aca="false">DH202*AZ202</f>
        <v>#VALUE!</v>
      </c>
      <c r="EA202" s="1551" t="e">
        <f aca="false">DI202*BA202</f>
        <v>#VALUE!</v>
      </c>
      <c r="EB202" s="1551" t="e">
        <f aca="false">DJ202*BB202</f>
        <v>#VALUE!</v>
      </c>
      <c r="EC202" s="1551" t="e">
        <f aca="false">DK202*BC202</f>
        <v>#VALUE!</v>
      </c>
      <c r="ED202" s="1551" t="e">
        <f aca="false">DL202*BQ202</f>
        <v>#VALUE!</v>
      </c>
      <c r="EE202" s="1595" t="e">
        <f aca="false">IF(BQ202,IF(OCallPut,IF(BU202&gt;(CO202+CW202),BU202-(CO202+CW202),0),IF((CO202+CW202)&gt;BU202,(CO202+CW202)-BU202,0))*AZ202,0)</f>
        <v>#VALUE!</v>
      </c>
      <c r="EF202" s="1596" t="e">
        <f aca="false">IF(BQ202,IF(OCallPut,IF(BV202&gt;(CP202+CX202),BV202-(CP202+CX202),0),IF((CP202+CX202)&gt;BV202,(CP202+CX202)-BV202,0))*BA202,0)</f>
        <v>#VALUE!</v>
      </c>
      <c r="EG202" s="1596" t="e">
        <f aca="false">IF(BQ202,IF(OCallPut,IF(BW202&gt;(CQ202+CY202),BW202-(CQ202+CY202),0),IF((CQ202+CY202)&gt;BW202,(CQ202+CY202)-BW202,0))*BB202,0)</f>
        <v>#VALUE!</v>
      </c>
      <c r="EH202" s="1596" t="e">
        <f aca="false">IF(BQ202,IF(OCallPut,IF(BX202&gt;(CR202+CZ202),BX202-(CR202+CZ202),0),IF((CR202+CZ202)&gt;BX202,(CR202+CZ202)-BX202,0))*BC202,0)</f>
        <v>#VALUE!</v>
      </c>
      <c r="EI202" s="1597" t="e">
        <f aca="false">IF(BQ202,IF(OVolType,IF(OCallPut,IF(BZ202&gt;(CS202+DA202),BZ202-(CS202+DA202),0),IF((CS202+DA202)&gt;BZ202,(CS202+DA202)-BZ202,0))*BQ202,SUM(EE202:EH202)),0)</f>
        <v>#VALUE!</v>
      </c>
      <c r="EJ202" s="1595" t="e">
        <f aca="false">DZ202-EE202</f>
        <v>#VALUE!</v>
      </c>
      <c r="EK202" s="1596" t="e">
        <f aca="false">EA202-EF202</f>
        <v>#VALUE!</v>
      </c>
      <c r="EL202" s="1596" t="e">
        <f aca="false">EB202-EG202</f>
        <v>#VALUE!</v>
      </c>
      <c r="EM202" s="1596" t="e">
        <f aca="false">EC202-EH202</f>
        <v>#VALUE!</v>
      </c>
      <c r="EN202" s="1597" t="e">
        <f aca="false">ED202-EI202</f>
        <v>#VALUE!</v>
      </c>
      <c r="EO202" s="1551" t="e">
        <f aca="false">DH202*BH202</f>
        <v>#VALUE!</v>
      </c>
      <c r="EP202" s="1551" t="e">
        <f aca="false">DI202*BI202</f>
        <v>#VALUE!</v>
      </c>
      <c r="EQ202" s="1551" t="e">
        <f aca="false">DW202*BJ202</f>
        <v>#VALUE!</v>
      </c>
      <c r="ER202" s="1551" t="e">
        <f aca="false">DX202*BK202</f>
        <v>#VALUE!</v>
      </c>
      <c r="ES202" s="1551" t="e">
        <f aca="false">DY202*BS202</f>
        <v>#VALUE!</v>
      </c>
      <c r="ET202" s="1566" t="e">
        <f aca="false">IF(EI202,IF(OCallPut,IF(CA202&gt;(CT202+CW202),CA202-(CT202+CW202),0),IF((CT202+CW202)&gt;CA202,(CT202+CW202)-CA202,0))*BH202,0)</f>
        <v>#VALUE!</v>
      </c>
      <c r="EU202" s="1551" t="e">
        <f aca="false">IF(EI202,IF(OCallPut,IF(CB202&gt;(CT202+CX202),CB202-(CT202+CX202),0),IF((CT202+CX202)&gt;CB202,(CT202+CX202)-CB202,0))*BI202,0)</f>
        <v>#VALUE!</v>
      </c>
      <c r="EV202" s="1551" t="e">
        <f aca="false">IF(EI202,IF(OCallPut,IF(CC202&gt;(CT202+CY202),CC202-(CT202+CY202),0),IF((CT202+CY202)&gt;CC202,(CT202+CY202)-CC202,0))*BJ202,0)</f>
        <v>#VALUE!</v>
      </c>
      <c r="EW202" s="1551" t="e">
        <f aca="false">IF(EI202,IF(OCallPut,IF(CD202&gt;(CT202+CZ202),CD202-(CT202+CZ202),0),IF((CT202+CZ202)&gt;CD202,(CT202+CZ202)-CD202,0))*BK202,0)</f>
        <v>#VALUE!</v>
      </c>
      <c r="EX202" s="1558" t="e">
        <f aca="false">IF(EI202,SUM(ET202:EW202),0)</f>
        <v>#VALUE!</v>
      </c>
      <c r="EY202" s="1551" t="e">
        <f aca="false">EO202-ET202</f>
        <v>#VALUE!</v>
      </c>
      <c r="EZ202" s="1551" t="e">
        <f aca="false">EP202-EU202</f>
        <v>#VALUE!</v>
      </c>
      <c r="FA202" s="1551" t="e">
        <f aca="false">EQ202-EV202</f>
        <v>#VALUE!</v>
      </c>
      <c r="FB202" s="1551" t="e">
        <f aca="false">ER202-EW202</f>
        <v>#VALUE!</v>
      </c>
      <c r="FC202" s="1551" t="e">
        <f aca="false">ES202-EX202</f>
        <v>#VALUE!</v>
      </c>
      <c r="FD202" s="1525" t="n">
        <f aca="false">IF(AX202,IF(VLOOKUP(C202,MAIN!$L$17:$M$28,2)="Yes",VLOOKUP(CALC!B202,MAIN!$H$17:$I$20,2),0),0)</f>
        <v>0</v>
      </c>
      <c r="FE202" s="1552" t="e">
        <f aca="false">$FD202*16*AT202*(1-$AY202)</f>
        <v>#VALUE!</v>
      </c>
      <c r="FF202" s="1553" t="e">
        <f aca="false">$FD202*16*AU202*(1-$AY202)</f>
        <v>#VALUE!</v>
      </c>
      <c r="FG202" s="1553" t="e">
        <f aca="false">$FD202*16*(AV202+AW202)*(1-$AY202)</f>
        <v>#VALUE!</v>
      </c>
      <c r="FH202" s="1554" t="n">
        <f aca="false">$FD202*8*AX202*(1-$AY202)</f>
        <v>0</v>
      </c>
      <c r="FI202" s="1555" t="n">
        <f aca="false">IF(AX202,VLOOKUP(CALC!B202,MAIN!$H$17:$K$20,4),0)</f>
        <v>0</v>
      </c>
      <c r="FJ202" s="1553" t="e">
        <f aca="false">SUM(FE202:FH202)</f>
        <v>#VALUE!</v>
      </c>
      <c r="FK202" s="1556" t="e">
        <f aca="false">FI202*FJ202</f>
        <v>#VALUE!</v>
      </c>
      <c r="FL202" s="1551" t="e">
        <f aca="false">IF($EI202&gt;0,MIN(FE202,AZ202*(1+VLOOKUP($C202,WeatherCapacityAdjustment,2))),0)</f>
        <v>#VALUE!</v>
      </c>
      <c r="FM202" s="1551" t="e">
        <f aca="false">IF($EI202&gt;0,MIN(FF202,BA202*(1+VLOOKUP($C202,WeatherCapacityAdjustment,2))),0)</f>
        <v>#VALUE!</v>
      </c>
      <c r="FN202" s="1551" t="e">
        <f aca="false">IF($EI202&gt;0,MIN(FG202,BB202*(1+VLOOKUP($C202,WeatherCapacityAdjustment,2))),0)</f>
        <v>#VALUE!</v>
      </c>
      <c r="FO202" s="1564" t="e">
        <f aca="false">IF($EI202&gt;0,MIN(FH202,BC202*(1+VLOOKUP($C202,WeatherCapacityAdjustment,3))),0)</f>
        <v>#VALUE!</v>
      </c>
      <c r="FP202" s="1551" t="e">
        <f aca="false">IF(ET202&gt;0,MIN(FE202-FL202,BH202*(1+VLOOKUP($C202,WeatherCapacityAdjustment,2))),0)</f>
        <v>#VALUE!</v>
      </c>
      <c r="FQ202" s="1551" t="e">
        <f aca="false">IF(EU202&gt;0,MIN(FF202-FM202,BI202*(1+VLOOKUP($C202,WeatherCapacityAdjustment,2))),0)</f>
        <v>#VALUE!</v>
      </c>
      <c r="FR202" s="1551" t="e">
        <f aca="false">IF(EV202&gt;0,MIN(FG202-FN202,BJ202*(1+VLOOKUP($C202,WeatherCapacityAdjustment,2))),0)</f>
        <v>#VALUE!</v>
      </c>
      <c r="FS202" s="1558" t="e">
        <f aca="false">IF(EW202&gt;0,MIN(FH202-FO202,BK202*(1+VLOOKUP($C202,WeatherCapacityAdjustment,3))),0)</f>
        <v>#VALUE!</v>
      </c>
      <c r="FT202" s="1566" t="e">
        <f aca="false">IF(AND(Assumptions!$H$71="Yes",A202&gt;=Assumptions!$H$72,A202&lt;=Assumptions!$H$73),0,IF(AND($A202&gt;=Assumptions!$C$17,$A202&lt;=Assumptions!$C$18),MAX(AZ202*(1+VLOOKUP($C202,WeatherCapacityAdjustment,2))-FL202,0),0))</f>
        <v>#VALUE!</v>
      </c>
      <c r="FU202" s="1551" t="e">
        <f aca="false">IF(AND(Assumptions!$H$71="Yes",A202&gt;=Assumptions!$H$72,A202&lt;=Assumptions!$H$73),0,IF(AND($A202&gt;=Assumptions!$C$17,$A202&lt;=Assumptions!$C$18),MAX(BA202*(1+VLOOKUP($C202,WeatherCapacityAdjustment,2))-FM202,0),0))</f>
        <v>#VALUE!</v>
      </c>
      <c r="FV202" s="1551" t="e">
        <f aca="false">IF(AND(Assumptions!$H$71="Yes",A202&gt;=Assumptions!$H$72,A202&lt;=Assumptions!$H$73),0,IF(AND($A202&gt;=Assumptions!$C$17,$A202&lt;=Assumptions!$C$18),MAX(BB202*(1+VLOOKUP($C202,WeatherCapacityAdjustment,2))-FN202,0),0))</f>
        <v>#VALUE!</v>
      </c>
      <c r="FW202" s="1564" t="e">
        <f aca="false">IF(AND(Assumptions!$H$71="Yes",A202&gt;=Assumptions!$H$72,A202&lt;=Assumptions!$H$73),0,IF(AND($A202&gt;=Assumptions!$C$17,$A202&lt;=Assumptions!$C$18),MAX(BC202*(1+VLOOKUP($C202,WeatherCapacityAdjustment,3))-FO202,0),0))</f>
        <v>#VALUE!</v>
      </c>
      <c r="FX202" s="1569" t="e">
        <f aca="false">IF(AND(Assumptions!$H$71="Yes",A202&gt;=Assumptions!$H$72,A202&lt;=Assumptions!$H$73),0,IF(ET202&gt;0,MAX(BH202*(1+VLOOKUP($C202,WeatherCapacityAdjustment,2))-FP202,0),0))</f>
        <v>#VALUE!</v>
      </c>
      <c r="FY202" s="1551" t="e">
        <f aca="false">IF(AND(Assumptions!$H$71="Yes",A202&gt;=Assumptions!$H$72,A202&lt;=Assumptions!$H$73),0,IF(EU202&gt;0,MAX(BI202*(1+VLOOKUP($C202,WeatherCapacityAdjustment,3))-FQ202,0),0))</f>
        <v>#VALUE!</v>
      </c>
      <c r="FZ202" s="1551" t="e">
        <f aca="false">IF(AND(Assumptions!$H$71="Yes",A202&gt;=Assumptions!$H$72,A202&lt;=Assumptions!$H$73),0,IF(EV202&gt;0,MAX(BJ202*(1+VLOOKUP($C202,WeatherCapacityAdjustment,2))-FR202,0),0))</f>
        <v>#VALUE!</v>
      </c>
      <c r="GA202" s="1564" t="e">
        <f aca="false">IF(AND(Assumptions!$H$71="Yes",A202&gt;=Assumptions!$H$72,A202&lt;=Assumptions!$H$73),0,IF(EW202&gt;0,MAX(BK202*(1+VLOOKUP($C202,WeatherCapacityAdjustment,2))-FS202,0),0))</f>
        <v>#VALUE!</v>
      </c>
      <c r="GB202" s="1551" t="e">
        <f aca="false">SUM(FT202:GA202)</f>
        <v>#VALUE!</v>
      </c>
      <c r="GC202" s="1563" t="e">
        <f aca="false">+IF(SUM(FT202:GA202)=0,0,(SUMPRODUCT(BU202:BX202,FT202:FW202)+SUMPRODUCT(CA202:CD202,FX202:GA202))/SUM(FT202:GA202))</f>
        <v>#VALUE!</v>
      </c>
      <c r="GD202" s="1551" t="e">
        <f aca="false">(FT202*BU202+FX202*CA202+FU202*BV202+FY202*CB202+FV202*BW202+FZ202*CC202+FW202*BX202+GA202*CD202)</f>
        <v>#VALUE!</v>
      </c>
      <c r="GE202" s="1561" t="e">
        <f aca="false">+IF(BQ202,((FL202+FM202+FT202+FU202)*HeatRatePeak/1000*(1+VLOOKUP($C202,WeatherHeatRateAdjustment,2))+(FN202+FV202)*IF(EV202&gt;0,HeatRatePeak,HeatRateOffPeak)/1000*(1+VLOOKUP($C202,WeatherHeatRateAdjustment,2))+(FO202+FW202)*IF(EW202&gt;0,HeatRatePeak,HeatRateOffPeak)/1000*(1+VLOOKUP($C202,WeatherHeatRateAdjustment,3)))*(1+VLOOKUP($B202,HeatRateDegradation,$C202+1)),0)</f>
        <v>#VALUE!</v>
      </c>
      <c r="GF202" s="1562" t="e">
        <f aca="false">IF(BQ202,((FP202+FQ202+FR202+FX202+FY202+FZ202)*HeatRatePeak/1000*(1+VLOOKUP($C202,WeatherHeatRateAdjustment,2))+(FS202+GA202)*HeatRatePeak/1000*(1+VLOOKUP($C202,WeatherHeatRateAdjustment,3)))*(1+VLOOKUP($B202,HeatRateDegradation,$C202+1)),0)</f>
        <v>#VALUE!</v>
      </c>
      <c r="GG202" s="1563" t="e">
        <f aca="false">IF(BQ202,VLOOKUP(A202,GasTable,13),0)</f>
        <v>#VALUE!</v>
      </c>
      <c r="GH202" s="1564" t="e">
        <f aca="false">(GE202+GF202)*GG202</f>
        <v>#VALUE!</v>
      </c>
      <c r="GI202" s="1569" t="e">
        <f aca="false">GB202</f>
        <v>#VALUE!</v>
      </c>
      <c r="GJ202" s="1598" t="e">
        <f aca="false">+DA202</f>
        <v>#VALUE!</v>
      </c>
      <c r="GK202" s="1558" t="e">
        <f aca="false">+GI202*GJ202</f>
        <v>#VALUE!</v>
      </c>
      <c r="GL202" s="1566" t="e">
        <f aca="false">MAX(FE202-FL202-FP202,0)</f>
        <v>#VALUE!</v>
      </c>
      <c r="GM202" s="1551" t="e">
        <f aca="false">MAX(FF202-FM202-FQ202,0)</f>
        <v>#VALUE!</v>
      </c>
      <c r="GN202" s="1551" t="e">
        <f aca="false">MAX(FG202-FN202-FR202,0)</f>
        <v>#VALUE!</v>
      </c>
      <c r="GO202" s="1564" t="e">
        <f aca="false">MAX(FH202-FO202-FS202,0)</f>
        <v>#VALUE!</v>
      </c>
      <c r="GP202" s="1551" t="e">
        <f aca="false">SUM(GL202:GO202)</f>
        <v>#VALUE!</v>
      </c>
      <c r="GQ202" s="1563" t="e">
        <f aca="false">IF(SUM(GL202:GO202)=0,0,((GL202*BU202+GM202*BV202+GN202*BW202+GO202*BX202)/SUM(GL202:GO202)))</f>
        <v>#VALUE!</v>
      </c>
      <c r="GR202" s="1558" t="e">
        <f aca="false">(GL202*BU202+GM202*BV202+GN202*BW202+GO202*BX202)</f>
        <v>#VALUE!</v>
      </c>
      <c r="GS202" s="1566" t="n">
        <f aca="false">IF($A202&gt;=BegDate,Assumptions!$C$56*24*($A203-$A202)*(1-VLOOKUP($B202,MAIN!$AA$7:$AM$28,$C202+1))*(1-VLOOKUP($B202,MAIN!$AA$33:$AM$54,$C202+1)),0)*80/168</f>
        <v>257742.857142857</v>
      </c>
      <c r="GT202" s="286" t="n">
        <f aca="false">J202</f>
        <v>54.6699794237292</v>
      </c>
      <c r="GU202" s="286" t="n">
        <f aca="false">IF($A202&gt;=BegDate,VLOOKUP($A202,GasTable,13)+Assumptions!$C$58,0)</f>
        <v>3.59275699686158</v>
      </c>
      <c r="GV202" s="286" t="n">
        <f aca="false">GU202*Assumptions!$C$57/1000</f>
        <v>26.0474882272464</v>
      </c>
      <c r="GW202" s="1558" t="n">
        <f aca="false">IF(Assumptions!$C$60="Hourly",MAX(0,GS202*(GT202-GV202)),GS202*(GT202-GV202))</f>
        <v>7377242.65952774</v>
      </c>
      <c r="GX202" s="1566" t="n">
        <f aca="false">IF($A202&gt;=BegDate,Assumptions!$C$56*24*($A203-$A202)*(1-VLOOKUP($B202,MAIN!$AA$7:$AM$28,$C202+1))*(1-VLOOKUP($B202,MAIN!$AA$33:$AM$54,$C202+1)),0)*16/168</f>
        <v>51548.5714285714</v>
      </c>
      <c r="GY202" s="286" t="n">
        <f aca="false">M202</f>
        <v>54.6699794237292</v>
      </c>
      <c r="GZ202" s="286" t="n">
        <f aca="false">IF($A202&gt;=BegDate,VLOOKUP($A202,GasTable,13)+Assumptions!$C$58,0)</f>
        <v>3.59275699686158</v>
      </c>
      <c r="HA202" s="286" t="n">
        <f aca="false">GZ202*Assumptions!$C$57/1000</f>
        <v>26.0474882272464</v>
      </c>
      <c r="HB202" s="1558" t="n">
        <f aca="false">IF(Assumptions!$C$60="Hourly",MAX(0,GX202*(GY202-HA202)),GX202*(GY202-HA202))</f>
        <v>1475448.53190555</v>
      </c>
      <c r="HC202" s="1566" t="n">
        <f aca="false">IF($A202&gt;=BegDate,Assumptions!$C$56*24*($A203-$A202)*(1-VLOOKUP($B202,MAIN!$AA$7:$AM$28,$C202+1))*(1-VLOOKUP($B202,MAIN!$AA$33:$AM$54,$C202+1)),0)*16/168</f>
        <v>51548.5714285714</v>
      </c>
      <c r="HD202" s="286" t="n">
        <f aca="false">P202</f>
        <v>29.4248540676143</v>
      </c>
      <c r="HE202" s="286" t="n">
        <f aca="false">IF($A202&gt;=BegDate,VLOOKUP($A202,GasTable,13)+Assumptions!$C$58,0)</f>
        <v>3.59275699686158</v>
      </c>
      <c r="HF202" s="286" t="n">
        <f aca="false">HE202*Assumptions!$C$57/1000</f>
        <v>26.0474882272464</v>
      </c>
      <c r="HG202" s="1558" t="n">
        <f aca="false">IF(Assumptions!$C$60="Hourly",MAX(0,HC202*(HD202-HF202)),HC202*(HD202-HF202))</f>
        <v>174098.38426262</v>
      </c>
      <c r="HH202" s="1566" t="n">
        <f aca="false">IF($A202&gt;=BegDate,Assumptions!$C$56*24*($A203-$A202)*(1-VLOOKUP($B202,MAIN!$AA$7:$AM$28,$C202+1))*(1-VLOOKUP($B202,MAIN!$AA$33:$AM$54,$C202+1)),0)*56/168</f>
        <v>180420</v>
      </c>
      <c r="HI202" s="286" t="n">
        <f aca="false">S202</f>
        <v>29.4248540676143</v>
      </c>
      <c r="HJ202" s="286" t="n">
        <f aca="false">IF($A202&gt;=BegDate,VLOOKUP($A202,GasTable,13)+Assumptions!$C$58,0)</f>
        <v>3.59275699686158</v>
      </c>
      <c r="HK202" s="286" t="n">
        <f aca="false">HJ202*Assumptions!$C$57/1000</f>
        <v>26.0474882272464</v>
      </c>
      <c r="HL202" s="1558" t="n">
        <f aca="false">IF(Assumptions!$C$60="Hourly",MAX(0,HH202*(HI202-HK202)),HH202*(HI202-HK202))</f>
        <v>609344.34491917</v>
      </c>
      <c r="HM202" s="1566" t="n">
        <f aca="false">IF(AND(Assumptions!$H$71="Yes",A202&gt;=Assumptions!$H$72,A202&lt;=Assumptions!$H$73),Assumptions!$H$74*Assumptions!$C$9*1000,0)</f>
        <v>0</v>
      </c>
      <c r="HN202" s="1551"/>
      <c r="HO202" s="1563"/>
      <c r="HP202" s="1563"/>
      <c r="HQ202" s="1563"/>
      <c r="HR202" s="1563"/>
      <c r="HS202" s="1563"/>
      <c r="HT202" s="1563"/>
      <c r="HU202" s="1563"/>
      <c r="HV202" s="1563"/>
      <c r="HW202" s="1563"/>
      <c r="HX202" s="1563"/>
      <c r="HY202" s="1563"/>
      <c r="HZ202" s="1563"/>
      <c r="IA202" s="1563"/>
      <c r="IB202" s="1563"/>
      <c r="IC202" s="1563"/>
      <c r="ID202" s="1563"/>
      <c r="IE202" s="1563"/>
      <c r="IF202" s="1563"/>
      <c r="IG202" s="1563"/>
      <c r="IH202" s="1563"/>
      <c r="II202" s="1610"/>
      <c r="IJ202" s="1309"/>
      <c r="IK202" s="1309"/>
    </row>
    <row r="203" customFormat="false" ht="12.75" hidden="false" customHeight="false" outlineLevel="0" collapsed="false">
      <c r="A203" s="1571" t="n">
        <f aca="false">EOMONTH(A202,0)+1</f>
        <v>42309</v>
      </c>
      <c r="B203" s="594" t="n">
        <f aca="false">+YEAR(A203)</f>
        <v>2015</v>
      </c>
      <c r="C203" s="238" t="n">
        <f aca="false">MONTH(A203)</f>
        <v>11</v>
      </c>
      <c r="D203" s="1572" t="e">
        <f aca="false">IF(E203="","",Holiday(B203,C203))</f>
        <v>#VALUE!</v>
      </c>
      <c r="E203" s="1573" t="n">
        <f aca="false">IF(OR(BegDate&gt;=A204,EndDate&lt;A203,AND(VolumeMonthlyOverFlag,INDEX(VolumeMonthlyOver,C203)=0),NOT(INDEX(MonthKnockOutTable,C203))),"",MAX(A203,BegDate))</f>
        <v>42309</v>
      </c>
      <c r="F203" s="1574" t="n">
        <f aca="false">IF(E203="","",MIN(A204-1,EndDate))</f>
        <v>42338</v>
      </c>
      <c r="G203" s="1575" t="n">
        <v>0</v>
      </c>
      <c r="H203" s="1576" t="n">
        <f aca="false">(1+G203/2)^(-2*(DATE(B204,C204,20)-DateToday)/365.25)</f>
        <v>1</v>
      </c>
      <c r="I203" s="1568" t="n">
        <f aca="false">IF(Assumptions!$L$25=4,VLOOKUP($A203,'Henwood Reference'!$E$9:$R$320,10),(VLOOKUP($A203,PriceTable,2,0)+IF(BasisNumber&lt;&gt;1,VLOOKUP($A203,BasisTable,2,0),0)+I$1)/(1-I$2))</f>
        <v>56.2741198961777</v>
      </c>
      <c r="J203" s="1568" t="n">
        <f aca="false">IF(Assumptions!$L$25=4,VLOOKUP($A203,'Henwood Reference'!$E$9:$R$320,10),(VLOOKUP($A203,PriceTable,3,0)+IF(BasisNumber&lt;&gt;1,VLOOKUP($A203,BasisTable,2,0),0)+J$1)/(1-J$2))</f>
        <v>56.2741198961777</v>
      </c>
      <c r="K203" s="1568" t="n">
        <f aca="false">IF(Assumptions!$L$25=4,VLOOKUP($A203,'Henwood Reference'!$E$9:$R$320,10),(VLOOKUP($A203,PriceTable,4,0)+IF(BasisNumber&lt;&gt;1,VLOOKUP($A203,BasisTable,2,0),0)+K$1)/(1-K$2))</f>
        <v>56.2741198961777</v>
      </c>
      <c r="L203" s="1523" t="n">
        <f aca="false">IF(Assumptions!$L$25=4,VLOOKUP($A203,'Henwood Reference'!$E$9:$R$320,10),(VLOOKUP($A203,PriceTableWeekend,2,0)+IF(BasisNumber&lt;&gt;1,VLOOKUP($A203,BasisTable,2,0),0)+L$1)/(1-L$2))</f>
        <v>56.2741198961777</v>
      </c>
      <c r="M203" s="1568" t="n">
        <f aca="false">IF(Assumptions!$L$25=4,VLOOKUP($A203,'Henwood Reference'!$E$9:$R$320,10),(VLOOKUP($A203,PriceTableWeekend,3,0)+IF(BasisNumber&lt;&gt;1,VLOOKUP($A203,BasisTable,2,0),0)+M$1)/(1-M$2))</f>
        <v>56.2741198961777</v>
      </c>
      <c r="N203" s="1599" t="n">
        <f aca="false">IF(Assumptions!$L$25=4,VLOOKUP($A203,'Henwood Reference'!$E$9:$R$320,10),(VLOOKUP($A203,PriceTableWeekend,4,0)+IF(BasisNumber&lt;&gt;1,VLOOKUP($A203,BasisTable,2,0),0)+N$1)/(1-N$2))</f>
        <v>56.2741198961777</v>
      </c>
      <c r="O203" s="1568" t="n">
        <f aca="false">IF(Assumptions!$L$25=4,VLOOKUP($A203,'Henwood Reference'!$E$9:$R$320,11),(VLOOKUP($A203,PriceTableWeekend,6,0)+IF(BasisNumber&lt;&gt;1,VLOOKUP($A203,BasisTable,3,0),0)+O$1)/(1-O$2))</f>
        <v>32.9957119428559</v>
      </c>
      <c r="P203" s="1568" t="n">
        <f aca="false">IF(Assumptions!$L$25=4,VLOOKUP($A203,'Henwood Reference'!$E$9:$R$320,11),(VLOOKUP($A203,PriceTableWeekend,7,0)+IF(BasisNumber&lt;&gt;1,VLOOKUP($A203,BasisTable,3,0),0)+P$1)/(1-P$2))</f>
        <v>32.9957119428559</v>
      </c>
      <c r="Q203" s="1599" t="n">
        <f aca="false">IF(Assumptions!$L$25=4,VLOOKUP($A203,'Henwood Reference'!$E$9:$R$320,11),(VLOOKUP($A203,PriceTableWeekend,8,0)+IF(BasisNumber&lt;&gt;1,VLOOKUP($A203,BasisTable,3,0),0)+Q$1)/(1-Q$2))</f>
        <v>32.9957119428559</v>
      </c>
      <c r="R203" s="1568" t="n">
        <f aca="false">IF(Assumptions!$L$25=4,VLOOKUP($A203,'Henwood Reference'!$E$9:$R$320,11),(VLOOKUP($A203,PriceTable,6,0)+IF(BasisNumber&lt;&gt;1,VLOOKUP($A203,BasisTable,3,0),0)+R$1)/(1-R$2))</f>
        <v>32.9957119428559</v>
      </c>
      <c r="S203" s="1568" t="n">
        <f aca="false">IF(Assumptions!$L$25=4,VLOOKUP($A203,'Henwood Reference'!$E$9:$R$320,11),(VLOOKUP($A203,PriceTable,7,0)+IF(BasisNumber&lt;&gt;1,VLOOKUP($A203,BasisTable,3,0),0)+S$1)/(1-S$2))</f>
        <v>32.9957119428559</v>
      </c>
      <c r="T203" s="1600" t="n">
        <f aca="false">IF(Assumptions!$L$25=4,VLOOKUP($A203,'Henwood Reference'!$E$9:$R$320,11),(VLOOKUP($A203,PriceTable,8,0)+IF(BasisNumber&lt;&gt;1,VLOOKUP($A203,BasisTable,3,0),0)+T$1)/(1-T$2))</f>
        <v>32.9957119428559</v>
      </c>
      <c r="U203" s="1513" t="n">
        <f aca="false">VLOOKUP($A203,VolatilityTable,14)</f>
        <v>0.0949999999999999</v>
      </c>
      <c r="V203" s="1513" t="n">
        <f aca="false">VLOOKUP($A203,VolatilityTable,15)</f>
        <v>0.105</v>
      </c>
      <c r="W203" s="1514" t="n">
        <f aca="false">VLOOKUP($A203,VolatilityTable,16)</f>
        <v>0.115</v>
      </c>
      <c r="X203" s="1513" t="n">
        <f aca="false">VLOOKUP($A203,VolatilityTable,14)</f>
        <v>0.0949999999999999</v>
      </c>
      <c r="Y203" s="1513" t="n">
        <f aca="false">VLOOKUP($A203,VolatilityTable,15)</f>
        <v>0.105</v>
      </c>
      <c r="Z203" s="1514" t="n">
        <f aca="false">VLOOKUP($A203,VolatilityTable,16)</f>
        <v>0.115</v>
      </c>
      <c r="AA203" s="1513" t="n">
        <f aca="false">VLOOKUP($A203,VolatilityTable,18)</f>
        <v>0.09</v>
      </c>
      <c r="AB203" s="1513" t="n">
        <f aca="false">VLOOKUP($A203,VolatilityTable,19)</f>
        <v>0.11</v>
      </c>
      <c r="AC203" s="1514" t="n">
        <f aca="false">VLOOKUP($A203,VolatilityTable,20)</f>
        <v>0.13</v>
      </c>
      <c r="AD203" s="1513" t="n">
        <f aca="false">VLOOKUP($A203,VolatilityTable,18)</f>
        <v>0.09</v>
      </c>
      <c r="AE203" s="1513" t="n">
        <f aca="false">VLOOKUP($A203,VolatilityTable,19)</f>
        <v>0.11</v>
      </c>
      <c r="AF203" s="1514" t="n">
        <f aca="false">VLOOKUP($A203,VolatilityTable,20)</f>
        <v>0.13</v>
      </c>
      <c r="AG203" s="1513" t="n">
        <f aca="false">VLOOKUP($A203,VolatilityTable,22)</f>
        <v>-0.1</v>
      </c>
      <c r="AH203" s="1513" t="n">
        <f aca="false">VLOOKUP($A203,VolatilityTable,23)</f>
        <v>0.6</v>
      </c>
      <c r="AI203" s="1514" t="n">
        <f aca="false">VLOOKUP($A203,VolatilityTable,24)</f>
        <v>0.1</v>
      </c>
      <c r="AJ203" s="1513" t="n">
        <f aca="false">VLOOKUP($A203,VolatilityTable,22)</f>
        <v>-0.1</v>
      </c>
      <c r="AK203" s="1513" t="n">
        <f aca="false">VLOOKUP($A203,VolatilityTable,23)</f>
        <v>0.6</v>
      </c>
      <c r="AL203" s="1514" t="n">
        <f aca="false">VLOOKUP($A203,VolatilityTable,24)</f>
        <v>0.1</v>
      </c>
      <c r="AM203" s="1513" t="n">
        <f aca="false">VLOOKUP($A203,VolatilityTable,26)</f>
        <v>-0.01</v>
      </c>
      <c r="AN203" s="1513" t="n">
        <f aca="false">VLOOKUP($A203,VolatilityTable,27)</f>
        <v>0.16</v>
      </c>
      <c r="AO203" s="1514" t="n">
        <f aca="false">VLOOKUP($A203,VolatilityTable,28)</f>
        <v>0.01</v>
      </c>
      <c r="AP203" s="1513" t="n">
        <f aca="false">VLOOKUP($A203,VolatilityTable,26)</f>
        <v>-0.01</v>
      </c>
      <c r="AQ203" s="1513" t="n">
        <f aca="false">VLOOKUP($A203,VolatilityTable,27)</f>
        <v>0.16</v>
      </c>
      <c r="AR203" s="1515" t="n">
        <f aca="false">VLOOKUP($A203,VolatilityTable,28)</f>
        <v>0.01</v>
      </c>
      <c r="AS203" s="1581" t="n">
        <f aca="false">IF(CorrPeakOffPeakOverFlag,INDEX(CorrPeakOffPeakOver,C203),CorrPeakOffPeak)</f>
        <v>0.5</v>
      </c>
      <c r="AT203" s="594" t="e">
        <f aca="false">AX203-SUM(AU203:AW203)</f>
        <v>#VALUE!</v>
      </c>
      <c r="AU203" s="238" t="e">
        <f aca="false">IF(E203="",0,INT((F203-MOD(F203,7)-E203)/7)+1-IF(AW203,IF(WEEKDAY(D203)=7,1,0),0))</f>
        <v>#VALUE!</v>
      </c>
      <c r="AV203" s="238" t="e">
        <f aca="false">IF(E203="",0,INT((F203-MOD(F203-1,7)-E203)/7)+1-IF(AW203,IF(WEEKDAY(D203)=1,1,0),0))</f>
        <v>#VALUE!</v>
      </c>
      <c r="AW203" s="238" t="e">
        <f aca="false">IF(OR(E203="",D203="",D203&lt;BegDate,D203&gt;EndDate),0,1)</f>
        <v>#VALUE!</v>
      </c>
      <c r="AX203" s="238" t="n">
        <f aca="false">IF(E203="",0,F203-E203+1)</f>
        <v>30</v>
      </c>
      <c r="AY203" s="1582" t="n">
        <f aca="false">IF(E203="",0,MIN((1-(1-VLOOKUP(B203,MAIN!$AA$7:$AM$28,C203+1))*(1-VLOOKUP(B203,MAIN!$AA$33:$AM$54,C203+1))),1))</f>
        <v>0.03</v>
      </c>
      <c r="AZ203" s="1519" t="e">
        <v>#VALUE!</v>
      </c>
      <c r="BA203" s="1520" t="e">
        <v>#VALUE!</v>
      </c>
      <c r="BB203" s="1520" t="e">
        <v>#VALUE!</v>
      </c>
      <c r="BC203" s="1583" t="e">
        <v>#VALUE!</v>
      </c>
      <c r="BD203" s="1522" t="e">
        <v>#VALUE!</v>
      </c>
      <c r="BE203" s="1523" t="e">
        <v>#VALUE!</v>
      </c>
      <c r="BF203" s="1523" t="e">
        <v>#VALUE!</v>
      </c>
      <c r="BG203" s="1584" t="e">
        <v>#VALUE!</v>
      </c>
      <c r="BH203" s="1525" t="e">
        <v>#VALUE!</v>
      </c>
      <c r="BI203" s="1520" t="e">
        <v>#VALUE!</v>
      </c>
      <c r="BJ203" s="1520" t="e">
        <v>#VALUE!</v>
      </c>
      <c r="BK203" s="1583" t="e">
        <v>#VALUE!</v>
      </c>
      <c r="BL203" s="1522" t="e">
        <v>#VALUE!</v>
      </c>
      <c r="BM203" s="1523" t="e">
        <v>#VALUE!</v>
      </c>
      <c r="BN203" s="1523" t="e">
        <v>#VALUE!</v>
      </c>
      <c r="BO203" s="1523" t="e">
        <v>#VALUE!</v>
      </c>
      <c r="BP203" s="1525" t="e">
        <f aca="false">SUM(AZ203:BB203)</f>
        <v>#VALUE!</v>
      </c>
      <c r="BQ203" s="1529" t="e">
        <f aca="false">SUM(AZ203:BC203)</f>
        <v>#VALUE!</v>
      </c>
      <c r="BR203" s="1519" t="e">
        <f aca="false">SUM(BH203:BJ203)</f>
        <v>#VALUE!</v>
      </c>
      <c r="BS203" s="1529" t="e">
        <f aca="false">SUM(BH203:BK203)</f>
        <v>#VALUE!</v>
      </c>
      <c r="BT203" s="1316" t="n">
        <f aca="false">(IF(OVolType&lt;&gt;2,A203+14,IF(OptExpDateShift,ShiftBack(A203,OptExpDateShift,D202),A203))-DateToday)/365.25</f>
        <v>15.5482546201232</v>
      </c>
      <c r="BU203" s="1585" t="e">
        <f aca="false">IF(BQ203,IF(OPriceCurve,IF(OBuySell=OCallPut,I203/(1-AY203),K203/(1-AY203)),J203/(1-AY203))*BD203,0)</f>
        <v>#VALUE!</v>
      </c>
      <c r="BV203" s="1316" t="e">
        <f aca="false">IF(BQ203,IF(OPriceCurve,IF(OBuySell=OCallPut,L203/(1-AY203),N203/(1-AY203)),M203/(1-AY203))*BE203,0)</f>
        <v>#VALUE!</v>
      </c>
      <c r="BW203" s="1316" t="e">
        <f aca="false">IF(BQ203,IF(OPriceCurve,IF(OBuySell=OCallPut,O203/(1-AY203),Q203/(1-AY203)),P203/(1-AY203))*BF203,0)</f>
        <v>#VALUE!</v>
      </c>
      <c r="BX203" s="1316" t="e">
        <f aca="false">IF(BQ203,IF(OPriceCurve,IF(OBuySell=OCallPut,R203/(1-AY203),T203/(1-AY203)),S203/(1-AY203))*BG203,0)</f>
        <v>#VALUE!</v>
      </c>
      <c r="BY203" s="1316" t="e">
        <f aca="false">IF(BP203,(BU203*AZ203+BV203*BA203+BW203*BB203)/BP203,0)</f>
        <v>#VALUE!</v>
      </c>
      <c r="BZ203" s="1316" t="e">
        <f aca="false">IF(BQ203,(BY203*BP203+BX203*BC203)/BQ203,0)</f>
        <v>#VALUE!</v>
      </c>
      <c r="CA203" s="1531" t="e">
        <f aca="false">IF(BS203,IF(OPriceCurve,IF(OBuySell=OCallPut,I203/(1-AY203),K203/(1-AY203)),J203/(1-AY203))*BL203,0)</f>
        <v>#VALUE!</v>
      </c>
      <c r="CB203" s="1316" t="e">
        <f aca="false">IF(BS203,IF(OPriceCurve,IF(OBuySell=OCallPut,L203/(1-AY203),N203/(1-AY203)),M203/(1-AY203))*BM203,0)</f>
        <v>#VALUE!</v>
      </c>
      <c r="CC203" s="1316" t="e">
        <f aca="false">IF(BS203,IF(OPriceCurve,IF(OBuySell=OCallPut,O203/(1-AY203),Q203/(1-AY203)),P203/(1-AY203))*BN203,0)</f>
        <v>#VALUE!</v>
      </c>
      <c r="CD203" s="1316" t="e">
        <f aca="false">IF(BS203,IF(OPriceCurve,IF(OBuySell=OCallPut,R203/(1-AY203),T203/(1-AY203)),S203/(1-AY203))*BO203,0)</f>
        <v>#VALUE!</v>
      </c>
      <c r="CE203" s="1316" t="e">
        <f aca="false">IF(BR203,(BU203*BH203+BV203*BI203+BW203*BJ203)/BR203,0)</f>
        <v>#VALUE!</v>
      </c>
      <c r="CF203" s="1532" t="e">
        <f aca="false">IF(BS203,(CE203*BR203+CD203*BK203)/BS203,0)</f>
        <v>#VALUE!</v>
      </c>
      <c r="CG203" s="1586" t="e">
        <f aca="false">IF(OR(BQ203,BS203),IF(OVolType&lt;&gt;2,SQRT(IF(OVolOverMonthlyPeak,OVolOverMonthlyPeak,IF(OVolCurve,IF(OBuySell,U203,W203),V203))^2*(1-15/365.25/BT203)+IF(OVolOverDailyPeak,OVolOverDailyPeak,IF(OVolCurve,IF(OBuySell,AG203,AI203),AH203))^2*15/365.25/BT203),IF(OVolOverMonthlyPeak,OVolOverMonthlyPeak,IF(OVolCurve,IF(OBuySell,U203,W203),V203))),"")</f>
        <v>#VALUE!</v>
      </c>
      <c r="CH203" s="1587" t="e">
        <f aca="false">IF(OR(BQ203,BS203),IF(OVolType&lt;&gt;2,SQRT(IF(OVolOverMonthlyPeak,OVolOverMonthlyPeak,IF(OVolCurve,IF(OBuySell,X203,Z203),Y203))^2*(1-15/365.25/BT203)+IF(OVolOverDailyPeak,OVolOverDailyPeak,IF(OVolCurve,IF(OBuySell,AJ203,AL203),AK203))^2*15/365.25/BT203),IF(OVolOverMonthlyPeak,OVolOverMonthlyPeak,IF(OVolCurve,IF(OBuySell,X203,Z203),Y203))),"")</f>
        <v>#VALUE!</v>
      </c>
      <c r="CI203" s="1587" t="e">
        <f aca="false">IF(OR(BQ203,BS203),IF(OVolType&lt;&gt;2,SQRT(IF(OVolOverMonthlyPeak,OVolOverMonthlyPeak,IF(OVolCurve,IF(OBuySell,AA203,AC203),AB203))^2*(1-15/365.25/BT203)+IF(OVolOverDailyPeak,OVolOverDailyPeak,IF(OVolCurve,IF(OBuySell,AM203,AO203),AN203))^2*15/365.25/BT203),IF(OVolOverMonthlyPeak,OVolOverMonthlyPeak,IF(OVolCurve,IF(OBuySell,AA203,AC203),AB203))),"")</f>
        <v>#VALUE!</v>
      </c>
      <c r="CJ203" s="1587" t="e">
        <f aca="false">IF(BQ203,IF(BP203,SQRT(LN(1+((BU203*AZ203)^2*(EXP(CG203^2*BT203)-1)+(BV203*BA203)^2*(EXP(CH203^2*BT203)-1)+(BW203*BB203)^2*(EXP(CI203^2*BT203)-1)+2*BU203*AZ203*BV203*BA203*(EXP(CG203*CH203*BT203)-1)+2*BV203*BA203*BW203*BB203*(EXP(CH203*CI203*BT203)-1)+2*BW203*BB203*BU203*AZ203*(EXP(CI203*CG203*BT203)-1))/(BY203*BP203)^2)/BT203),0),"")</f>
        <v>#VALUE!</v>
      </c>
      <c r="CK203" s="1587" t="e">
        <f aca="false">IF(BS203,IF(BR203,SQRT(LN(1+((CA203*BH203)^2*(EXP(CG203^2*BT203)-1)+(CB203*BI203)^2*(EXP(CH203^2*BT203)-1)+(CC203*BJ203)^2*(EXP(CI203^2*BT203)-1)+2*CA203*BH203*CB203*BI203*(EXP(CG203*CH203*BT203)-1)+2*CB203*BI203*CC203*BJ203*(EXP(CH203*CI203*BT203)-1)+2*CC203*BJ203*CA203*BH203*(EXP(CI203*CG203*BT203)-1))/(CE203*BR203)^2)/BT203),0),"")</f>
        <v>#VALUE!</v>
      </c>
      <c r="CL203" s="1587" t="e">
        <f aca="false">IF(OR(BQ203,BS203),IF(OVolType&lt;&gt;2,SQRT(IF(OVolOverMonthlyOffPeak,OVolOverMonthlyOffPeak,IF(OVolCurve,IF(OBuySell,AD203,AF203),AE203))^2*(1-15/365.25/BT203)+IF(OVolOverDailyOffPeak,OVolOverDailyOffPeak,IF(OVolCurve,IF(OBuySell,AP203,AR203),AQ203))^2*15/365.25/BT203),IF(OVolOverMonthlyOffPeak,OVolOverMonthlyOffPeak,IF(OVolCurve,IF(OBuySell,AD203,AF203),AE203))),"")</f>
        <v>#VALUE!</v>
      </c>
      <c r="CM203" s="1587" t="e">
        <f aca="false">IF(BQ203,SQRT(LN(1+((BY203*BP203)^2*(EXP(CJ203^2*BT203)-1)+(BX203*BC203)^2*(EXP(CL203^2*BT203)-1)+2*BY203*BP203*BX203*BC203*(EXP(AS203*CJ203*CL203*BT203)-1))/(BY203*BP203+BX203*BC203)^2)/BT203),"")</f>
        <v>#VALUE!</v>
      </c>
      <c r="CN203" s="1588" t="e">
        <f aca="false">IF(BS203,SQRT(LN(1+((CE203*BR203)^2*(EXP(CK203^2*BT203)-1)+(CD203*BK203)^2*(EXP(CL203^2*BT203)-1)+2*CE203*BR203*CD203*BK203*(EXP(AS203*CK203*CL203*BT203)-1))/(CE203*BR203+CD203*BK203)^2)/BT203),"")</f>
        <v>#VALUE!</v>
      </c>
      <c r="CO203" s="1531" t="e">
        <f aca="false">IF(OR(BQ203,BS203),VLOOKUP(A203,GasTable,13)*HeatRatePeak*(1+VLOOKUP($B203,HeatRateDegradation,$C203+1))/1000,0)</f>
        <v>#VALUE!</v>
      </c>
      <c r="CP203" s="1316" t="e">
        <f aca="false">IF(OR(BQ203,BS203),VLOOKUP(A203,GasTable,13)*HeatRatePeak*(1+VLOOKUP($B203,HeatRateDegradation,$C203+1))/1000,0)</f>
        <v>#VALUE!</v>
      </c>
      <c r="CQ203" s="1316" t="e">
        <f aca="false">IF(OR(BQ203,BS203),VLOOKUP(A203,GasTable,13)*IF(EV203,HeatRatePeak,HeatRateOffPeak)*(1+VLOOKUP($B203,HeatRateDegradation,$C203+1))/1000,0)</f>
        <v>#VALUE!</v>
      </c>
      <c r="CR203" s="1316" t="e">
        <f aca="false">IF(OR(BQ203,BS203),VLOOKUP(A203,GasTable,13)*IF(EW203,HeatRatePeak,HeatRateOffPeak)*(1+VLOOKUP($B203,HeatRateDegradation,$C203+1))/1000,0)</f>
        <v>#VALUE!</v>
      </c>
      <c r="CS203" s="1589" t="e">
        <f aca="false">IF(BQ203,(CO203*AZ203+CP203*BA203+CQ203*BB203+CR203*BC203)/BQ203,0)</f>
        <v>#VALUE!</v>
      </c>
      <c r="CT203" s="1316" t="e">
        <f aca="false">IF(BS203,CO203,0)</f>
        <v>#VALUE!</v>
      </c>
      <c r="CU203" s="1590" t="e">
        <f aca="false">IF(OR(BQ203,BS203),VLOOKUP(A203,GasTable,14),"")</f>
        <v>#VALUE!</v>
      </c>
      <c r="CV203" s="1568" t="e">
        <f aca="false">IF(OR(BQ203,BS203),IF(CorrPowerGasOverFlag,INDEX(CorrPowerGasOver,C203),CorrPowerGas),"")</f>
        <v>#VALUE!</v>
      </c>
      <c r="CW203" s="1316" t="e">
        <f aca="false">IF(OR($BQ203,$BS203),SpreadOptPowerMargin,0)*((1+Assumptions!$C$26)^($B203-YEAR(Assumptions!$C$17)))</f>
        <v>#VALUE!</v>
      </c>
      <c r="CX203" s="1316" t="e">
        <f aca="false">IF(OR($BQ203,$BS203),SpreadOptPowerMargin,0)*((1+Assumptions!$C$26)^($B203-YEAR(Assumptions!$C$17)))</f>
        <v>#VALUE!</v>
      </c>
      <c r="CY203" s="1316" t="e">
        <f aca="false">IF(OR($BQ203,$BS203),SpreadOptPowerMargin,0)*((1+Assumptions!$C$26)^($B203-YEAR(Assumptions!$C$17)))</f>
        <v>#VALUE!</v>
      </c>
      <c r="CZ203" s="1316" t="e">
        <f aca="false">IF(OR($BQ203,$BS203),SpreadOptPowerMargin,0)*((1+Assumptions!$C$26)^($B203-YEAR(Assumptions!$C$17)))</f>
        <v>#VALUE!</v>
      </c>
      <c r="DA203" s="1591" t="e">
        <f aca="false">IF(OR(BQ203,BS203),(CW203*(AZ203+BH203)+CX203*(BA203+BI203)+CY203*(BB203+BJ203)+CZ203*(BC203+BK203))/(BQ203+BS203),0)</f>
        <v>#VALUE!</v>
      </c>
      <c r="DB203" s="1592" t="e">
        <f aca="false">IF(OR(BQ203,BS203),CG203+IF(OVolSmile,VLOOKUP(MAX(-5,CO203+CW203-BU203),IF(OVolSmile=1,VolSmileBook,VolSmileModel),2),0),"")</f>
        <v>#VALUE!</v>
      </c>
      <c r="DC203" s="1592" t="e">
        <f aca="false">IF(OR(BQ203,BS203),CH203+IF(OVolSmile,VLOOKUP(MAX(-5,CP203+CW203-BV203),IF(OVolSmile=1,VolSmileBook,VolSmileModel),2),0),"")</f>
        <v>#VALUE!</v>
      </c>
      <c r="DD203" s="1592" t="e">
        <f aca="false">IF(OR(BQ203,BS203),CI203+IF(OVolSmile,VLOOKUP(MAX(-5,CQ203+CW203-BW203),IF(OVolSmile=1,VolSmileBook,VolSmileModel),2),0),"")</f>
        <v>#VALUE!</v>
      </c>
      <c r="DE203" s="1592" t="e">
        <f aca="false">IF(OR(BQ203,BS203),CL203+IF(OVolSmile,VLOOKUP(MAX(-5,CR203+CZ203-BX203),IF(OVolSmile=1,VolSmileBook,VolSmileModel),2),0),"")</f>
        <v>#VALUE!</v>
      </c>
      <c r="DF203" s="1592" t="e">
        <f aca="false">IF(BQ203,CM203+IF(OVolSmile,VLOOKUP(MAX(-5,CS203+DA203-BZ203),IF(OVolSmile=1,VolSmileBook,VolSmileModel),2),0),"")</f>
        <v>#VALUE!</v>
      </c>
      <c r="DG203" s="1593" t="e">
        <f aca="false">IF(BS203,CN203+IF(OVolSmile,VLOOKUP(MAX(-5,CT203+DA203-CF203),IF(OVolSmile=1,VolSmileBook,VolSmileModel),2),0),"")</f>
        <v>#VALUE!</v>
      </c>
      <c r="DH203" s="1316" t="e">
        <f aca="false">IF(AND(BU203&gt;0,CO203&gt;0,DB203&gt;0,CU203&gt;0),newSPRDOPT(BU203,CO203,CW203,0,DB203,CU203,CV203,BT203*365.25,OCallPut,0),0)</f>
        <v>#VALUE!</v>
      </c>
      <c r="DI203" s="1316" t="e">
        <f aca="false">IF(AND(BV203&gt;0,CP203&gt;0,DC203&gt;0,CU203&gt;0),newSPRDOPT(BV203,CP203,CX203,0,DC203,CU203,CV203,BT203*365.25,OCallPut,0),0)</f>
        <v>#VALUE!</v>
      </c>
      <c r="DJ203" s="1316" t="e">
        <f aca="false">IF(AND(BW203&gt;0,CQ203&gt;0,DD203&gt;0,CU203&gt;0),newSPRDOPT(BW203,CQ203,CY203,0,DD203,CU203,CV203,BT203*365.25,OCallPut,0),0)</f>
        <v>#VALUE!</v>
      </c>
      <c r="DK203" s="1316" t="e">
        <f aca="false">IF(AND(BX203&gt;0,CR203&gt;0,DE203&gt;0,CU203&gt;0),newSPRDOPT(BX203,CR203,CZ203,0,DE203,CU203,CV203,BT203*365.25,OCallPut,0),0)</f>
        <v>#VALUE!</v>
      </c>
      <c r="DL203" s="1316" t="e">
        <f aca="false">IF(OVolType,IF(AND(BZ203&gt;0,CS203&gt;0,DF203&gt;0,CU203&gt;0),newSPRDOPT(BZ203,CS203,DA203,0,DF203,CU203,CV203,BT203*365.25,OCallPut,0),0),IF(BQ203,(DH203*AZ203+DI203*BA203+DJ203*BB203+DK203*BC203)/BQ203,0))</f>
        <v>#VALUE!</v>
      </c>
      <c r="DM203" s="1316"/>
      <c r="DN203" s="1316"/>
      <c r="DO203" s="1316"/>
      <c r="DP203" s="1316"/>
      <c r="DQ203" s="1316"/>
      <c r="DR203" s="1316"/>
      <c r="DS203" s="1316"/>
      <c r="DT203" s="1316"/>
      <c r="DU203" s="1316"/>
      <c r="DV203" s="1316"/>
      <c r="DW203" s="1594" t="e">
        <f aca="false">IF(AND(BW203&gt;0,CT203&gt;0,DD203&gt;0,CU203&gt;0),newSPRDOPT(BW203,CT203,CY203,0,DD203,CU203,CV203,BT203*365.25,OCallPut,0),0)</f>
        <v>#VALUE!</v>
      </c>
      <c r="DX203" s="1316" t="e">
        <f aca="false">IF(AND(BX203&gt;0,CT203&gt;0,DE203&gt;0,CU203&gt;0),newSPRDOPT(BX203,CT203,CZ203,0,DE203,CU203,CV203,BT203*365.25,OCallPut,0),0)</f>
        <v>#VALUE!</v>
      </c>
      <c r="DY203" s="1591" t="e">
        <f aca="false">IF(BS203,(DH203*BH203+DI203*BI203+DW203*BJ203+DX203*BK203)/BS203,0)</f>
        <v>#VALUE!</v>
      </c>
      <c r="DZ203" s="1551" t="e">
        <f aca="false">DH203*AZ203</f>
        <v>#VALUE!</v>
      </c>
      <c r="EA203" s="1551" t="e">
        <f aca="false">DI203*BA203</f>
        <v>#VALUE!</v>
      </c>
      <c r="EB203" s="1551" t="e">
        <f aca="false">DJ203*BB203</f>
        <v>#VALUE!</v>
      </c>
      <c r="EC203" s="1551" t="e">
        <f aca="false">DK203*BC203</f>
        <v>#VALUE!</v>
      </c>
      <c r="ED203" s="1551" t="e">
        <f aca="false">DL203*BQ203</f>
        <v>#VALUE!</v>
      </c>
      <c r="EE203" s="1595" t="e">
        <f aca="false">IF(BQ203,IF(OCallPut,IF(BU203&gt;(CO203+CW203),BU203-(CO203+CW203),0),IF((CO203+CW203)&gt;BU203,(CO203+CW203)-BU203,0))*AZ203,0)</f>
        <v>#VALUE!</v>
      </c>
      <c r="EF203" s="1596" t="e">
        <f aca="false">IF(BQ203,IF(OCallPut,IF(BV203&gt;(CP203+CX203),BV203-(CP203+CX203),0),IF((CP203+CX203)&gt;BV203,(CP203+CX203)-BV203,0))*BA203,0)</f>
        <v>#VALUE!</v>
      </c>
      <c r="EG203" s="1596" t="e">
        <f aca="false">IF(BQ203,IF(OCallPut,IF(BW203&gt;(CQ203+CY203),BW203-(CQ203+CY203),0),IF((CQ203+CY203)&gt;BW203,(CQ203+CY203)-BW203,0))*BB203,0)</f>
        <v>#VALUE!</v>
      </c>
      <c r="EH203" s="1596" t="e">
        <f aca="false">IF(BQ203,IF(OCallPut,IF(BX203&gt;(CR203+CZ203),BX203-(CR203+CZ203),0),IF((CR203+CZ203)&gt;BX203,(CR203+CZ203)-BX203,0))*BC203,0)</f>
        <v>#VALUE!</v>
      </c>
      <c r="EI203" s="1597" t="e">
        <f aca="false">IF(BQ203,IF(OVolType,IF(OCallPut,IF(BZ203&gt;(CS203+DA203),BZ203-(CS203+DA203),0),IF((CS203+DA203)&gt;BZ203,(CS203+DA203)-BZ203,0))*BQ203,SUM(EE203:EH203)),0)</f>
        <v>#VALUE!</v>
      </c>
      <c r="EJ203" s="1595" t="e">
        <f aca="false">DZ203-EE203</f>
        <v>#VALUE!</v>
      </c>
      <c r="EK203" s="1596" t="e">
        <f aca="false">EA203-EF203</f>
        <v>#VALUE!</v>
      </c>
      <c r="EL203" s="1596" t="e">
        <f aca="false">EB203-EG203</f>
        <v>#VALUE!</v>
      </c>
      <c r="EM203" s="1596" t="e">
        <f aca="false">EC203-EH203</f>
        <v>#VALUE!</v>
      </c>
      <c r="EN203" s="1597" t="e">
        <f aca="false">ED203-EI203</f>
        <v>#VALUE!</v>
      </c>
      <c r="EO203" s="1551" t="e">
        <f aca="false">DH203*BH203</f>
        <v>#VALUE!</v>
      </c>
      <c r="EP203" s="1551" t="e">
        <f aca="false">DI203*BI203</f>
        <v>#VALUE!</v>
      </c>
      <c r="EQ203" s="1551" t="e">
        <f aca="false">DW203*BJ203</f>
        <v>#VALUE!</v>
      </c>
      <c r="ER203" s="1551" t="e">
        <f aca="false">DX203*BK203</f>
        <v>#VALUE!</v>
      </c>
      <c r="ES203" s="1551" t="e">
        <f aca="false">DY203*BS203</f>
        <v>#VALUE!</v>
      </c>
      <c r="ET203" s="1566" t="e">
        <f aca="false">IF(EI203,IF(OCallPut,IF(CA203&gt;(CT203+CW203),CA203-(CT203+CW203),0),IF((CT203+CW203)&gt;CA203,(CT203+CW203)-CA203,0))*BH203,0)</f>
        <v>#VALUE!</v>
      </c>
      <c r="EU203" s="1551" t="e">
        <f aca="false">IF(EI203,IF(OCallPut,IF(CB203&gt;(CT203+CX203),CB203-(CT203+CX203),0),IF((CT203+CX203)&gt;CB203,(CT203+CX203)-CB203,0))*BI203,0)</f>
        <v>#VALUE!</v>
      </c>
      <c r="EV203" s="1551" t="e">
        <f aca="false">IF(EI203,IF(OCallPut,IF(CC203&gt;(CT203+CY203),CC203-(CT203+CY203),0),IF((CT203+CY203)&gt;CC203,(CT203+CY203)-CC203,0))*BJ203,0)</f>
        <v>#VALUE!</v>
      </c>
      <c r="EW203" s="1551" t="e">
        <f aca="false">IF(EI203,IF(OCallPut,IF(CD203&gt;(CT203+CZ203),CD203-(CT203+CZ203),0),IF((CT203+CZ203)&gt;CD203,(CT203+CZ203)-CD203,0))*BK203,0)</f>
        <v>#VALUE!</v>
      </c>
      <c r="EX203" s="1558" t="e">
        <f aca="false">IF(EI203,SUM(ET203:EW203),0)</f>
        <v>#VALUE!</v>
      </c>
      <c r="EY203" s="1551" t="e">
        <f aca="false">EO203-ET203</f>
        <v>#VALUE!</v>
      </c>
      <c r="EZ203" s="1551" t="e">
        <f aca="false">EP203-EU203</f>
        <v>#VALUE!</v>
      </c>
      <c r="FA203" s="1551" t="e">
        <f aca="false">EQ203-EV203</f>
        <v>#VALUE!</v>
      </c>
      <c r="FB203" s="1551" t="e">
        <f aca="false">ER203-EW203</f>
        <v>#VALUE!</v>
      </c>
      <c r="FC203" s="1551" t="e">
        <f aca="false">ES203-EX203</f>
        <v>#VALUE!</v>
      </c>
      <c r="FD203" s="1525" t="n">
        <f aca="false">IF(AX203,IF(VLOOKUP(C203,MAIN!$L$17:$M$28,2)="Yes",VLOOKUP(CALC!B203,MAIN!$H$17:$I$20,2),0),0)</f>
        <v>0</v>
      </c>
      <c r="FE203" s="1552" t="e">
        <f aca="false">$FD203*16*AT203*(1-$AY203)</f>
        <v>#VALUE!</v>
      </c>
      <c r="FF203" s="1553" t="e">
        <f aca="false">$FD203*16*AU203*(1-$AY203)</f>
        <v>#VALUE!</v>
      </c>
      <c r="FG203" s="1553" t="e">
        <f aca="false">$FD203*16*(AV203+AW203)*(1-$AY203)</f>
        <v>#VALUE!</v>
      </c>
      <c r="FH203" s="1554" t="n">
        <f aca="false">$FD203*8*AX203*(1-$AY203)</f>
        <v>0</v>
      </c>
      <c r="FI203" s="1555" t="n">
        <f aca="false">IF(AX203,VLOOKUP(CALC!B203,MAIN!$H$17:$K$20,4),0)</f>
        <v>0</v>
      </c>
      <c r="FJ203" s="1553" t="e">
        <f aca="false">SUM(FE203:FH203)</f>
        <v>#VALUE!</v>
      </c>
      <c r="FK203" s="1556" t="e">
        <f aca="false">FI203*FJ203</f>
        <v>#VALUE!</v>
      </c>
      <c r="FL203" s="1551" t="e">
        <f aca="false">IF($EI203&gt;0,MIN(FE203,AZ203*(1+VLOOKUP($C203,WeatherCapacityAdjustment,2))),0)</f>
        <v>#VALUE!</v>
      </c>
      <c r="FM203" s="1551" t="e">
        <f aca="false">IF($EI203&gt;0,MIN(FF203,BA203*(1+VLOOKUP($C203,WeatherCapacityAdjustment,2))),0)</f>
        <v>#VALUE!</v>
      </c>
      <c r="FN203" s="1551" t="e">
        <f aca="false">IF($EI203&gt;0,MIN(FG203,BB203*(1+VLOOKUP($C203,WeatherCapacityAdjustment,2))),0)</f>
        <v>#VALUE!</v>
      </c>
      <c r="FO203" s="1564" t="e">
        <f aca="false">IF($EI203&gt;0,MIN(FH203,BC203*(1+VLOOKUP($C203,WeatherCapacityAdjustment,3))),0)</f>
        <v>#VALUE!</v>
      </c>
      <c r="FP203" s="1551" t="e">
        <f aca="false">IF(ET203&gt;0,MIN(FE203-FL203,BH203*(1+VLOOKUP($C203,WeatherCapacityAdjustment,2))),0)</f>
        <v>#VALUE!</v>
      </c>
      <c r="FQ203" s="1551" t="e">
        <f aca="false">IF(EU203&gt;0,MIN(FF203-FM203,BI203*(1+VLOOKUP($C203,WeatherCapacityAdjustment,2))),0)</f>
        <v>#VALUE!</v>
      </c>
      <c r="FR203" s="1551" t="e">
        <f aca="false">IF(EV203&gt;0,MIN(FG203-FN203,BJ203*(1+VLOOKUP($C203,WeatherCapacityAdjustment,2))),0)</f>
        <v>#VALUE!</v>
      </c>
      <c r="FS203" s="1558" t="e">
        <f aca="false">IF(EW203&gt;0,MIN(FH203-FO203,BK203*(1+VLOOKUP($C203,WeatherCapacityAdjustment,3))),0)</f>
        <v>#VALUE!</v>
      </c>
      <c r="FT203" s="1566" t="e">
        <f aca="false">IF(AND(Assumptions!$H$71="Yes",A203&gt;=Assumptions!$H$72,A203&lt;=Assumptions!$H$73),0,IF(AND($A203&gt;=Assumptions!$C$17,$A203&lt;=Assumptions!$C$18),MAX(AZ203*(1+VLOOKUP($C203,WeatherCapacityAdjustment,2))-FL203,0),0))</f>
        <v>#VALUE!</v>
      </c>
      <c r="FU203" s="1551" t="e">
        <f aca="false">IF(AND(Assumptions!$H$71="Yes",A203&gt;=Assumptions!$H$72,A203&lt;=Assumptions!$H$73),0,IF(AND($A203&gt;=Assumptions!$C$17,$A203&lt;=Assumptions!$C$18),MAX(BA203*(1+VLOOKUP($C203,WeatherCapacityAdjustment,2))-FM203,0),0))</f>
        <v>#VALUE!</v>
      </c>
      <c r="FV203" s="1551" t="e">
        <f aca="false">IF(AND(Assumptions!$H$71="Yes",A203&gt;=Assumptions!$H$72,A203&lt;=Assumptions!$H$73),0,IF(AND($A203&gt;=Assumptions!$C$17,$A203&lt;=Assumptions!$C$18),MAX(BB203*(1+VLOOKUP($C203,WeatherCapacityAdjustment,2))-FN203,0),0))</f>
        <v>#VALUE!</v>
      </c>
      <c r="FW203" s="1564" t="e">
        <f aca="false">IF(AND(Assumptions!$H$71="Yes",A203&gt;=Assumptions!$H$72,A203&lt;=Assumptions!$H$73),0,IF(AND($A203&gt;=Assumptions!$C$17,$A203&lt;=Assumptions!$C$18),MAX(BC203*(1+VLOOKUP($C203,WeatherCapacityAdjustment,3))-FO203,0),0))</f>
        <v>#VALUE!</v>
      </c>
      <c r="FX203" s="1569" t="e">
        <f aca="false">IF(AND(Assumptions!$H$71="Yes",A203&gt;=Assumptions!$H$72,A203&lt;=Assumptions!$H$73),0,IF(ET203&gt;0,MAX(BH203*(1+VLOOKUP($C203,WeatherCapacityAdjustment,2))-FP203,0),0))</f>
        <v>#VALUE!</v>
      </c>
      <c r="FY203" s="1551" t="e">
        <f aca="false">IF(AND(Assumptions!$H$71="Yes",A203&gt;=Assumptions!$H$72,A203&lt;=Assumptions!$H$73),0,IF(EU203&gt;0,MAX(BI203*(1+VLOOKUP($C203,WeatherCapacityAdjustment,3))-FQ203,0),0))</f>
        <v>#VALUE!</v>
      </c>
      <c r="FZ203" s="1551" t="e">
        <f aca="false">IF(AND(Assumptions!$H$71="Yes",A203&gt;=Assumptions!$H$72,A203&lt;=Assumptions!$H$73),0,IF(EV203&gt;0,MAX(BJ203*(1+VLOOKUP($C203,WeatherCapacityAdjustment,2))-FR203,0),0))</f>
        <v>#VALUE!</v>
      </c>
      <c r="GA203" s="1564" t="e">
        <f aca="false">IF(AND(Assumptions!$H$71="Yes",A203&gt;=Assumptions!$H$72,A203&lt;=Assumptions!$H$73),0,IF(EW203&gt;0,MAX(BK203*(1+VLOOKUP($C203,WeatherCapacityAdjustment,2))-FS203,0),0))</f>
        <v>#VALUE!</v>
      </c>
      <c r="GB203" s="1551" t="e">
        <f aca="false">SUM(FT203:GA203)</f>
        <v>#VALUE!</v>
      </c>
      <c r="GC203" s="1563" t="e">
        <f aca="false">+IF(SUM(FT203:GA203)=0,0,(SUMPRODUCT(BU203:BX203,FT203:FW203)+SUMPRODUCT(CA203:CD203,FX203:GA203))/SUM(FT203:GA203))</f>
        <v>#VALUE!</v>
      </c>
      <c r="GD203" s="1551" t="e">
        <f aca="false">(FT203*BU203+FX203*CA203+FU203*BV203+FY203*CB203+FV203*BW203+FZ203*CC203+FW203*BX203+GA203*CD203)</f>
        <v>#VALUE!</v>
      </c>
      <c r="GE203" s="1561" t="e">
        <f aca="false">+IF(BQ203,((FL203+FM203+FT203+FU203)*HeatRatePeak/1000*(1+VLOOKUP($C203,WeatherHeatRateAdjustment,2))+(FN203+FV203)*IF(EV203&gt;0,HeatRatePeak,HeatRateOffPeak)/1000*(1+VLOOKUP($C203,WeatherHeatRateAdjustment,2))+(FO203+FW203)*IF(EW203&gt;0,HeatRatePeak,HeatRateOffPeak)/1000*(1+VLOOKUP($C203,WeatherHeatRateAdjustment,3)))*(1+VLOOKUP($B203,HeatRateDegradation,$C203+1)),0)</f>
        <v>#VALUE!</v>
      </c>
      <c r="GF203" s="1562" t="e">
        <f aca="false">IF(BQ203,((FP203+FQ203+FR203+FX203+FY203+FZ203)*HeatRatePeak/1000*(1+VLOOKUP($C203,WeatherHeatRateAdjustment,2))+(FS203+GA203)*HeatRatePeak/1000*(1+VLOOKUP($C203,WeatherHeatRateAdjustment,3)))*(1+VLOOKUP($B203,HeatRateDegradation,$C203+1)),0)</f>
        <v>#VALUE!</v>
      </c>
      <c r="GG203" s="1563" t="e">
        <f aca="false">IF(BQ203,VLOOKUP(A203,GasTable,13),0)</f>
        <v>#VALUE!</v>
      </c>
      <c r="GH203" s="1564" t="e">
        <f aca="false">(GE203+GF203)*GG203</f>
        <v>#VALUE!</v>
      </c>
      <c r="GI203" s="1569" t="e">
        <f aca="false">GB203</f>
        <v>#VALUE!</v>
      </c>
      <c r="GJ203" s="1598" t="e">
        <f aca="false">+DA203</f>
        <v>#VALUE!</v>
      </c>
      <c r="GK203" s="1558" t="e">
        <f aca="false">+GI203*GJ203</f>
        <v>#VALUE!</v>
      </c>
      <c r="GL203" s="1566" t="e">
        <f aca="false">MAX(FE203-FL203-FP203,0)</f>
        <v>#VALUE!</v>
      </c>
      <c r="GM203" s="1551" t="e">
        <f aca="false">MAX(FF203-FM203-FQ203,0)</f>
        <v>#VALUE!</v>
      </c>
      <c r="GN203" s="1551" t="e">
        <f aca="false">MAX(FG203-FN203-FR203,0)</f>
        <v>#VALUE!</v>
      </c>
      <c r="GO203" s="1564" t="e">
        <f aca="false">MAX(FH203-FO203-FS203,0)</f>
        <v>#VALUE!</v>
      </c>
      <c r="GP203" s="1551" t="e">
        <f aca="false">SUM(GL203:GO203)</f>
        <v>#VALUE!</v>
      </c>
      <c r="GQ203" s="1563" t="e">
        <f aca="false">IF(SUM(GL203:GO203)=0,0,((GL203*BU203+GM203*BV203+GN203*BW203+GO203*BX203)/SUM(GL203:GO203)))</f>
        <v>#VALUE!</v>
      </c>
      <c r="GR203" s="1558" t="e">
        <f aca="false">(GL203*BU203+GM203*BV203+GN203*BW203+GO203*BX203)</f>
        <v>#VALUE!</v>
      </c>
      <c r="GS203" s="1566" t="n">
        <f aca="false">IF($A203&gt;=BegDate,Assumptions!$C$56*24*($A204-$A203)*(1-VLOOKUP($B203,MAIN!$AA$7:$AM$28,$C203+1))*(1-VLOOKUP($B203,MAIN!$AA$33:$AM$54,$C203+1)),0)*80/168</f>
        <v>249428.571428571</v>
      </c>
      <c r="GT203" s="286" t="n">
        <f aca="false">J203</f>
        <v>56.2741198961777</v>
      </c>
      <c r="GU203" s="286" t="n">
        <f aca="false">IF($A203&gt;=BegDate,VLOOKUP($A203,GasTable,13)+Assumptions!$C$58,0)</f>
        <v>3.73721239949414</v>
      </c>
      <c r="GV203" s="286" t="n">
        <f aca="false">GU203*Assumptions!$C$57/1000</f>
        <v>27.0947898963325</v>
      </c>
      <c r="GW203" s="1558" t="n">
        <f aca="false">IF(Assumptions!$C$60="Hourly",MAX(0,GS203*(GT203-GV203)),GS203*(GT203-GV203))</f>
        <v>7278158.59710423</v>
      </c>
      <c r="GX203" s="1566" t="n">
        <f aca="false">IF($A203&gt;=BegDate,Assumptions!$C$56*24*($A204-$A203)*(1-VLOOKUP($B203,MAIN!$AA$7:$AM$28,$C203+1))*(1-VLOOKUP($B203,MAIN!$AA$33:$AM$54,$C203+1)),0)*16/168</f>
        <v>49885.7142857143</v>
      </c>
      <c r="GY203" s="286" t="n">
        <f aca="false">M203</f>
        <v>56.2741198961777</v>
      </c>
      <c r="GZ203" s="286" t="n">
        <f aca="false">IF($A203&gt;=BegDate,VLOOKUP($A203,GasTable,13)+Assumptions!$C$58,0)</f>
        <v>3.73721239949414</v>
      </c>
      <c r="HA203" s="286" t="n">
        <f aca="false">GZ203*Assumptions!$C$57/1000</f>
        <v>27.0947898963325</v>
      </c>
      <c r="HB203" s="1558" t="n">
        <f aca="false">IF(Assumptions!$C$60="Hourly",MAX(0,GX203*(GY203-HA203)),GX203*(GY203-HA203))</f>
        <v>1455631.71942085</v>
      </c>
      <c r="HC203" s="1566" t="n">
        <f aca="false">IF($A203&gt;=BegDate,Assumptions!$C$56*24*($A204-$A203)*(1-VLOOKUP($B203,MAIN!$AA$7:$AM$28,$C203+1))*(1-VLOOKUP($B203,MAIN!$AA$33:$AM$54,$C203+1)),0)*16/168</f>
        <v>49885.7142857143</v>
      </c>
      <c r="HD203" s="286" t="n">
        <f aca="false">P203</f>
        <v>32.9957119428559</v>
      </c>
      <c r="HE203" s="286" t="n">
        <f aca="false">IF($A203&gt;=BegDate,VLOOKUP($A203,GasTable,13)+Assumptions!$C$58,0)</f>
        <v>3.73721239949414</v>
      </c>
      <c r="HF203" s="286" t="n">
        <f aca="false">HE203*Assumptions!$C$57/1000</f>
        <v>27.0947898963325</v>
      </c>
      <c r="HG203" s="1558" t="n">
        <f aca="false">IF(Assumptions!$C$60="Hourly",MAX(0,HC203*(HD203-HF203)),HC203*(HD203-HF203))</f>
        <v>294371.711235136</v>
      </c>
      <c r="HH203" s="1566" t="n">
        <f aca="false">IF($A203&gt;=BegDate,Assumptions!$C$56*24*($A204-$A203)*(1-VLOOKUP($B203,MAIN!$AA$7:$AM$28,$C203+1))*(1-VLOOKUP($B203,MAIN!$AA$33:$AM$54,$C203+1)),0)*56/168</f>
        <v>174600</v>
      </c>
      <c r="HI203" s="286" t="n">
        <f aca="false">S203</f>
        <v>32.9957119428559</v>
      </c>
      <c r="HJ203" s="286" t="n">
        <f aca="false">IF($A203&gt;=BegDate,VLOOKUP($A203,GasTable,13)+Assumptions!$C$58,0)</f>
        <v>3.73721239949414</v>
      </c>
      <c r="HK203" s="286" t="n">
        <f aca="false">HJ203*Assumptions!$C$57/1000</f>
        <v>27.0947898963325</v>
      </c>
      <c r="HL203" s="1558" t="n">
        <f aca="false">IF(Assumptions!$C$60="Hourly",MAX(0,HH203*(HI203-HK203)),HH203*(HI203-HK203))</f>
        <v>1030300.98932297</v>
      </c>
      <c r="HM203" s="1566" t="n">
        <f aca="false">IF(AND(Assumptions!$H$71="Yes",A203&gt;=Assumptions!$H$72,A203&lt;=Assumptions!$H$73),Assumptions!$H$74*Assumptions!$C$9*1000,0)</f>
        <v>0</v>
      </c>
      <c r="HN203" s="1551"/>
      <c r="HO203" s="1563"/>
      <c r="HP203" s="1563"/>
      <c r="HQ203" s="1563"/>
      <c r="HR203" s="1563"/>
      <c r="HS203" s="1563"/>
      <c r="HT203" s="1563"/>
      <c r="HU203" s="1563"/>
      <c r="HV203" s="1563"/>
      <c r="HW203" s="1563"/>
      <c r="HX203" s="1563"/>
      <c r="HY203" s="1563"/>
      <c r="HZ203" s="1563"/>
      <c r="IA203" s="1563"/>
      <c r="IB203" s="1563"/>
      <c r="IC203" s="1563"/>
      <c r="ID203" s="1563"/>
      <c r="IE203" s="1563"/>
      <c r="IF203" s="1563"/>
      <c r="IG203" s="1563"/>
      <c r="IH203" s="1563"/>
      <c r="II203" s="1610"/>
      <c r="IJ203" s="1309"/>
      <c r="IK203" s="1309"/>
    </row>
    <row r="204" customFormat="false" ht="12.75" hidden="false" customHeight="false" outlineLevel="0" collapsed="false">
      <c r="A204" s="1571" t="n">
        <f aca="false">EOMONTH(A203,0)+1</f>
        <v>42339</v>
      </c>
      <c r="B204" s="594" t="n">
        <f aca="false">+YEAR(A204)</f>
        <v>2015</v>
      </c>
      <c r="C204" s="238" t="n">
        <f aca="false">MONTH(A204)</f>
        <v>12</v>
      </c>
      <c r="D204" s="1572" t="e">
        <f aca="false">IF(E204="","",Holiday(B204,C204))</f>
        <v>#VALUE!</v>
      </c>
      <c r="E204" s="1573" t="n">
        <f aca="false">IF(OR(BegDate&gt;=A205,EndDate&lt;A204,AND(VolumeMonthlyOverFlag,INDEX(VolumeMonthlyOver,C204)=0),NOT(INDEX(MonthKnockOutTable,C204))),"",MAX(A204,BegDate))</f>
        <v>42339</v>
      </c>
      <c r="F204" s="1574" t="n">
        <f aca="false">IF(E204="","",MIN(A205-1,EndDate))</f>
        <v>42369</v>
      </c>
      <c r="G204" s="1575" t="n">
        <v>0</v>
      </c>
      <c r="H204" s="1576" t="n">
        <f aca="false">(1+G204/2)^(-2*(DATE(B205,C205,20)-DateToday)/365.25)</f>
        <v>1</v>
      </c>
      <c r="I204" s="1568" t="n">
        <f aca="false">IF(Assumptions!$L$25=4,VLOOKUP($A204,'Henwood Reference'!$E$9:$R$320,10),(VLOOKUP($A204,PriceTable,2,0)+IF(BasisNumber&lt;&gt;1,VLOOKUP($A204,BasisTable,2,0),0)+I$1)/(1-I$2))</f>
        <v>56.1480120328767</v>
      </c>
      <c r="J204" s="1568" t="n">
        <f aca="false">IF(Assumptions!$L$25=4,VLOOKUP($A204,'Henwood Reference'!$E$9:$R$320,10),(VLOOKUP($A204,PriceTable,3,0)+IF(BasisNumber&lt;&gt;1,VLOOKUP($A204,BasisTable,2,0),0)+J$1)/(1-J$2))</f>
        <v>56.1480120328767</v>
      </c>
      <c r="K204" s="1568" t="n">
        <f aca="false">IF(Assumptions!$L$25=4,VLOOKUP($A204,'Henwood Reference'!$E$9:$R$320,10),(VLOOKUP($A204,PriceTable,4,0)+IF(BasisNumber&lt;&gt;1,VLOOKUP($A204,BasisTable,2,0),0)+K$1)/(1-K$2))</f>
        <v>56.1480120328767</v>
      </c>
      <c r="L204" s="1523" t="n">
        <f aca="false">IF(Assumptions!$L$25=4,VLOOKUP($A204,'Henwood Reference'!$E$9:$R$320,10),(VLOOKUP($A204,PriceTableWeekend,2,0)+IF(BasisNumber&lt;&gt;1,VLOOKUP($A204,BasisTable,2,0),0)+L$1)/(1-L$2))</f>
        <v>56.1480120328767</v>
      </c>
      <c r="M204" s="1568" t="n">
        <f aca="false">IF(Assumptions!$L$25=4,VLOOKUP($A204,'Henwood Reference'!$E$9:$R$320,10),(VLOOKUP($A204,PriceTableWeekend,3,0)+IF(BasisNumber&lt;&gt;1,VLOOKUP($A204,BasisTable,2,0),0)+M$1)/(1-M$2))</f>
        <v>56.1480120328767</v>
      </c>
      <c r="N204" s="1599" t="n">
        <f aca="false">IF(Assumptions!$L$25=4,VLOOKUP($A204,'Henwood Reference'!$E$9:$R$320,10),(VLOOKUP($A204,PriceTableWeekend,4,0)+IF(BasisNumber&lt;&gt;1,VLOOKUP($A204,BasisTable,2,0),0)+N$1)/(1-N$2))</f>
        <v>56.1480120328767</v>
      </c>
      <c r="O204" s="1568" t="n">
        <f aca="false">IF(Assumptions!$L$25=4,VLOOKUP($A204,'Henwood Reference'!$E$9:$R$320,11),(VLOOKUP($A204,PriceTableWeekend,6,0)+IF(BasisNumber&lt;&gt;1,VLOOKUP($A204,BasisTable,3,0),0)+O$1)/(1-O$2))</f>
        <v>34.5520740892939</v>
      </c>
      <c r="P204" s="1568" t="n">
        <f aca="false">IF(Assumptions!$L$25=4,VLOOKUP($A204,'Henwood Reference'!$E$9:$R$320,11),(VLOOKUP($A204,PriceTableWeekend,7,0)+IF(BasisNumber&lt;&gt;1,VLOOKUP($A204,BasisTable,3,0),0)+P$1)/(1-P$2))</f>
        <v>34.5520740892939</v>
      </c>
      <c r="Q204" s="1599" t="n">
        <f aca="false">IF(Assumptions!$L$25=4,VLOOKUP($A204,'Henwood Reference'!$E$9:$R$320,11),(VLOOKUP($A204,PriceTableWeekend,8,0)+IF(BasisNumber&lt;&gt;1,VLOOKUP($A204,BasisTable,3,0),0)+Q$1)/(1-Q$2))</f>
        <v>34.5520740892939</v>
      </c>
      <c r="R204" s="1568" t="n">
        <f aca="false">IF(Assumptions!$L$25=4,VLOOKUP($A204,'Henwood Reference'!$E$9:$R$320,11),(VLOOKUP($A204,PriceTable,6,0)+IF(BasisNumber&lt;&gt;1,VLOOKUP($A204,BasisTable,3,0),0)+R$1)/(1-R$2))</f>
        <v>34.5520740892939</v>
      </c>
      <c r="S204" s="1568" t="n">
        <f aca="false">IF(Assumptions!$L$25=4,VLOOKUP($A204,'Henwood Reference'!$E$9:$R$320,11),(VLOOKUP($A204,PriceTable,7,0)+IF(BasisNumber&lt;&gt;1,VLOOKUP($A204,BasisTable,3,0),0)+S$1)/(1-S$2))</f>
        <v>34.5520740892939</v>
      </c>
      <c r="T204" s="1600" t="n">
        <f aca="false">IF(Assumptions!$L$25=4,VLOOKUP($A204,'Henwood Reference'!$E$9:$R$320,11),(VLOOKUP($A204,PriceTable,8,0)+IF(BasisNumber&lt;&gt;1,VLOOKUP($A204,BasisTable,3,0),0)+T$1)/(1-T$2))</f>
        <v>34.5520740892939</v>
      </c>
      <c r="U204" s="1513" t="n">
        <f aca="false">VLOOKUP($A204,VolatilityTable,14)</f>
        <v>0.0949999999999999</v>
      </c>
      <c r="V204" s="1513" t="n">
        <f aca="false">VLOOKUP($A204,VolatilityTable,15)</f>
        <v>0.105</v>
      </c>
      <c r="W204" s="1514" t="n">
        <f aca="false">VLOOKUP($A204,VolatilityTable,16)</f>
        <v>0.115</v>
      </c>
      <c r="X204" s="1513" t="n">
        <f aca="false">VLOOKUP($A204,VolatilityTable,14)</f>
        <v>0.0949999999999999</v>
      </c>
      <c r="Y204" s="1513" t="n">
        <f aca="false">VLOOKUP($A204,VolatilityTable,15)</f>
        <v>0.105</v>
      </c>
      <c r="Z204" s="1514" t="n">
        <f aca="false">VLOOKUP($A204,VolatilityTable,16)</f>
        <v>0.115</v>
      </c>
      <c r="AA204" s="1513" t="n">
        <f aca="false">VLOOKUP($A204,VolatilityTable,18)</f>
        <v>0.09</v>
      </c>
      <c r="AB204" s="1513" t="n">
        <f aca="false">VLOOKUP($A204,VolatilityTable,19)</f>
        <v>0.11</v>
      </c>
      <c r="AC204" s="1514" t="n">
        <f aca="false">VLOOKUP($A204,VolatilityTable,20)</f>
        <v>0.13</v>
      </c>
      <c r="AD204" s="1513" t="n">
        <f aca="false">VLOOKUP($A204,VolatilityTable,18)</f>
        <v>0.09</v>
      </c>
      <c r="AE204" s="1513" t="n">
        <f aca="false">VLOOKUP($A204,VolatilityTable,19)</f>
        <v>0.11</v>
      </c>
      <c r="AF204" s="1514" t="n">
        <f aca="false">VLOOKUP($A204,VolatilityTable,20)</f>
        <v>0.13</v>
      </c>
      <c r="AG204" s="1513" t="n">
        <f aca="false">VLOOKUP($A204,VolatilityTable,22)</f>
        <v>-0.25</v>
      </c>
      <c r="AH204" s="1513" t="n">
        <f aca="false">VLOOKUP($A204,VolatilityTable,23)</f>
        <v>0.6</v>
      </c>
      <c r="AI204" s="1514" t="n">
        <f aca="false">VLOOKUP($A204,VolatilityTable,24)</f>
        <v>0.25</v>
      </c>
      <c r="AJ204" s="1513" t="n">
        <f aca="false">VLOOKUP($A204,VolatilityTable,22)</f>
        <v>-0.25</v>
      </c>
      <c r="AK204" s="1513" t="n">
        <f aca="false">VLOOKUP($A204,VolatilityTable,23)</f>
        <v>0.6</v>
      </c>
      <c r="AL204" s="1514" t="n">
        <f aca="false">VLOOKUP($A204,VolatilityTable,24)</f>
        <v>0.25</v>
      </c>
      <c r="AM204" s="1513" t="n">
        <f aca="false">VLOOKUP($A204,VolatilityTable,26)</f>
        <v>-0.01</v>
      </c>
      <c r="AN204" s="1513" t="n">
        <f aca="false">VLOOKUP($A204,VolatilityTable,27)</f>
        <v>0.16</v>
      </c>
      <c r="AO204" s="1514" t="n">
        <f aca="false">VLOOKUP($A204,VolatilityTable,28)</f>
        <v>0.01</v>
      </c>
      <c r="AP204" s="1513" t="n">
        <f aca="false">VLOOKUP($A204,VolatilityTable,26)</f>
        <v>-0.01</v>
      </c>
      <c r="AQ204" s="1513" t="n">
        <f aca="false">VLOOKUP($A204,VolatilityTable,27)</f>
        <v>0.16</v>
      </c>
      <c r="AR204" s="1515" t="n">
        <f aca="false">VLOOKUP($A204,VolatilityTable,28)</f>
        <v>0.01</v>
      </c>
      <c r="AS204" s="1581" t="n">
        <f aca="false">IF(CorrPeakOffPeakOverFlag,INDEX(CorrPeakOffPeakOver,C204),CorrPeakOffPeak)</f>
        <v>0.5</v>
      </c>
      <c r="AT204" s="594" t="e">
        <f aca="false">AX204-SUM(AU204:AW204)</f>
        <v>#VALUE!</v>
      </c>
      <c r="AU204" s="238" t="e">
        <f aca="false">IF(E204="",0,INT((F204-MOD(F204,7)-E204)/7)+1-IF(AW204,IF(WEEKDAY(D204)=7,1,0),0))</f>
        <v>#VALUE!</v>
      </c>
      <c r="AV204" s="238" t="e">
        <f aca="false">IF(E204="",0,INT((F204-MOD(F204-1,7)-E204)/7)+1-IF(AW204,IF(WEEKDAY(D204)=1,1,0),0))</f>
        <v>#VALUE!</v>
      </c>
      <c r="AW204" s="238" t="e">
        <f aca="false">IF(OR(E204="",D204="",D204&lt;BegDate,D204&gt;EndDate),0,1)</f>
        <v>#VALUE!</v>
      </c>
      <c r="AX204" s="238" t="n">
        <f aca="false">IF(E204="",0,F204-E204+1)</f>
        <v>31</v>
      </c>
      <c r="AY204" s="1582" t="n">
        <f aca="false">IF(E204="",0,MIN((1-(1-VLOOKUP(B204,MAIN!$AA$7:$AM$28,C204+1))*(1-VLOOKUP(B204,MAIN!$AA$33:$AM$54,C204+1))),1))</f>
        <v>0.03</v>
      </c>
      <c r="AZ204" s="1519" t="e">
        <v>#VALUE!</v>
      </c>
      <c r="BA204" s="1520" t="e">
        <v>#VALUE!</v>
      </c>
      <c r="BB204" s="1520" t="e">
        <v>#VALUE!</v>
      </c>
      <c r="BC204" s="1583" t="e">
        <v>#VALUE!</v>
      </c>
      <c r="BD204" s="1522" t="e">
        <v>#VALUE!</v>
      </c>
      <c r="BE204" s="1523" t="e">
        <v>#VALUE!</v>
      </c>
      <c r="BF204" s="1523" t="e">
        <v>#VALUE!</v>
      </c>
      <c r="BG204" s="1584" t="e">
        <v>#VALUE!</v>
      </c>
      <c r="BH204" s="1525" t="e">
        <v>#VALUE!</v>
      </c>
      <c r="BI204" s="1520" t="e">
        <v>#VALUE!</v>
      </c>
      <c r="BJ204" s="1520" t="e">
        <v>#VALUE!</v>
      </c>
      <c r="BK204" s="1583" t="e">
        <v>#VALUE!</v>
      </c>
      <c r="BL204" s="1522" t="e">
        <v>#VALUE!</v>
      </c>
      <c r="BM204" s="1523" t="e">
        <v>#VALUE!</v>
      </c>
      <c r="BN204" s="1523" t="e">
        <v>#VALUE!</v>
      </c>
      <c r="BO204" s="1523" t="e">
        <v>#VALUE!</v>
      </c>
      <c r="BP204" s="1525" t="e">
        <f aca="false">SUM(AZ204:BB204)</f>
        <v>#VALUE!</v>
      </c>
      <c r="BQ204" s="1529" t="e">
        <f aca="false">SUM(AZ204:BC204)</f>
        <v>#VALUE!</v>
      </c>
      <c r="BR204" s="1519" t="e">
        <f aca="false">SUM(BH204:BJ204)</f>
        <v>#VALUE!</v>
      </c>
      <c r="BS204" s="1529" t="e">
        <f aca="false">SUM(BH204:BK204)</f>
        <v>#VALUE!</v>
      </c>
      <c r="BT204" s="1316" t="n">
        <f aca="false">(IF(OVolType&lt;&gt;2,A204+14,IF(OptExpDateShift,ShiftBack(A204,OptExpDateShift,D203),A204))-DateToday)/365.25</f>
        <v>15.6303901437372</v>
      </c>
      <c r="BU204" s="1585" t="e">
        <f aca="false">IF(BQ204,IF(OPriceCurve,IF(OBuySell=OCallPut,I204/(1-AY204),K204/(1-AY204)),J204/(1-AY204))*BD204,0)</f>
        <v>#VALUE!</v>
      </c>
      <c r="BV204" s="1316" t="e">
        <f aca="false">IF(BQ204,IF(OPriceCurve,IF(OBuySell=OCallPut,L204/(1-AY204),N204/(1-AY204)),M204/(1-AY204))*BE204,0)</f>
        <v>#VALUE!</v>
      </c>
      <c r="BW204" s="1316" t="e">
        <f aca="false">IF(BQ204,IF(OPriceCurve,IF(OBuySell=OCallPut,O204/(1-AY204),Q204/(1-AY204)),P204/(1-AY204))*BF204,0)</f>
        <v>#VALUE!</v>
      </c>
      <c r="BX204" s="1316" t="e">
        <f aca="false">IF(BQ204,IF(OPriceCurve,IF(OBuySell=OCallPut,R204/(1-AY204),T204/(1-AY204)),S204/(1-AY204))*BG204,0)</f>
        <v>#VALUE!</v>
      </c>
      <c r="BY204" s="1316" t="e">
        <f aca="false">IF(BP204,(BU204*AZ204+BV204*BA204+BW204*BB204)/BP204,0)</f>
        <v>#VALUE!</v>
      </c>
      <c r="BZ204" s="1316" t="e">
        <f aca="false">IF(BQ204,(BY204*BP204+BX204*BC204)/BQ204,0)</f>
        <v>#VALUE!</v>
      </c>
      <c r="CA204" s="1531" t="e">
        <f aca="false">IF(BS204,IF(OPriceCurve,IF(OBuySell=OCallPut,I204/(1-AY204),K204/(1-AY204)),J204/(1-AY204))*BL204,0)</f>
        <v>#VALUE!</v>
      </c>
      <c r="CB204" s="1316" t="e">
        <f aca="false">IF(BS204,IF(OPriceCurve,IF(OBuySell=OCallPut,L204/(1-AY204),N204/(1-AY204)),M204/(1-AY204))*BM204,0)</f>
        <v>#VALUE!</v>
      </c>
      <c r="CC204" s="1316" t="e">
        <f aca="false">IF(BS204,IF(OPriceCurve,IF(OBuySell=OCallPut,O204/(1-AY204),Q204/(1-AY204)),P204/(1-AY204))*BN204,0)</f>
        <v>#VALUE!</v>
      </c>
      <c r="CD204" s="1316" t="e">
        <f aca="false">IF(BS204,IF(OPriceCurve,IF(OBuySell=OCallPut,R204/(1-AY204),T204/(1-AY204)),S204/(1-AY204))*BO204,0)</f>
        <v>#VALUE!</v>
      </c>
      <c r="CE204" s="1316" t="e">
        <f aca="false">IF(BR204,(BU204*BH204+BV204*BI204+BW204*BJ204)/BR204,0)</f>
        <v>#VALUE!</v>
      </c>
      <c r="CF204" s="1532" t="e">
        <f aca="false">IF(BS204,(CE204*BR204+CD204*BK204)/BS204,0)</f>
        <v>#VALUE!</v>
      </c>
      <c r="CG204" s="1586" t="e">
        <f aca="false">IF(OR(BQ204,BS204),IF(OVolType&lt;&gt;2,SQRT(IF(OVolOverMonthlyPeak,OVolOverMonthlyPeak,IF(OVolCurve,IF(OBuySell,U204,W204),V204))^2*(1-15/365.25/BT204)+IF(OVolOverDailyPeak,OVolOverDailyPeak,IF(OVolCurve,IF(OBuySell,AG204,AI204),AH204))^2*15/365.25/BT204),IF(OVolOverMonthlyPeak,OVolOverMonthlyPeak,IF(OVolCurve,IF(OBuySell,U204,W204),V204))),"")</f>
        <v>#VALUE!</v>
      </c>
      <c r="CH204" s="1587" t="e">
        <f aca="false">IF(OR(BQ204,BS204),IF(OVolType&lt;&gt;2,SQRT(IF(OVolOverMonthlyPeak,OVolOverMonthlyPeak,IF(OVolCurve,IF(OBuySell,X204,Z204),Y204))^2*(1-15/365.25/BT204)+IF(OVolOverDailyPeak,OVolOverDailyPeak,IF(OVolCurve,IF(OBuySell,AJ204,AL204),AK204))^2*15/365.25/BT204),IF(OVolOverMonthlyPeak,OVolOverMonthlyPeak,IF(OVolCurve,IF(OBuySell,X204,Z204),Y204))),"")</f>
        <v>#VALUE!</v>
      </c>
      <c r="CI204" s="1587" t="e">
        <f aca="false">IF(OR(BQ204,BS204),IF(OVolType&lt;&gt;2,SQRT(IF(OVolOverMonthlyPeak,OVolOverMonthlyPeak,IF(OVolCurve,IF(OBuySell,AA204,AC204),AB204))^2*(1-15/365.25/BT204)+IF(OVolOverDailyPeak,OVolOverDailyPeak,IF(OVolCurve,IF(OBuySell,AM204,AO204),AN204))^2*15/365.25/BT204),IF(OVolOverMonthlyPeak,OVolOverMonthlyPeak,IF(OVolCurve,IF(OBuySell,AA204,AC204),AB204))),"")</f>
        <v>#VALUE!</v>
      </c>
      <c r="CJ204" s="1587" t="e">
        <f aca="false">IF(BQ204,IF(BP204,SQRT(LN(1+((BU204*AZ204)^2*(EXP(CG204^2*BT204)-1)+(BV204*BA204)^2*(EXP(CH204^2*BT204)-1)+(BW204*BB204)^2*(EXP(CI204^2*BT204)-1)+2*BU204*AZ204*BV204*BA204*(EXP(CG204*CH204*BT204)-1)+2*BV204*BA204*BW204*BB204*(EXP(CH204*CI204*BT204)-1)+2*BW204*BB204*BU204*AZ204*(EXP(CI204*CG204*BT204)-1))/(BY204*BP204)^2)/BT204),0),"")</f>
        <v>#VALUE!</v>
      </c>
      <c r="CK204" s="1587" t="e">
        <f aca="false">IF(BS204,IF(BR204,SQRT(LN(1+((CA204*BH204)^2*(EXP(CG204^2*BT204)-1)+(CB204*BI204)^2*(EXP(CH204^2*BT204)-1)+(CC204*BJ204)^2*(EXP(CI204^2*BT204)-1)+2*CA204*BH204*CB204*BI204*(EXP(CG204*CH204*BT204)-1)+2*CB204*BI204*CC204*BJ204*(EXP(CH204*CI204*BT204)-1)+2*CC204*BJ204*CA204*BH204*(EXP(CI204*CG204*BT204)-1))/(CE204*BR204)^2)/BT204),0),"")</f>
        <v>#VALUE!</v>
      </c>
      <c r="CL204" s="1587" t="e">
        <f aca="false">IF(OR(BQ204,BS204),IF(OVolType&lt;&gt;2,SQRT(IF(OVolOverMonthlyOffPeak,OVolOverMonthlyOffPeak,IF(OVolCurve,IF(OBuySell,AD204,AF204),AE204))^2*(1-15/365.25/BT204)+IF(OVolOverDailyOffPeak,OVolOverDailyOffPeak,IF(OVolCurve,IF(OBuySell,AP204,AR204),AQ204))^2*15/365.25/BT204),IF(OVolOverMonthlyOffPeak,OVolOverMonthlyOffPeak,IF(OVolCurve,IF(OBuySell,AD204,AF204),AE204))),"")</f>
        <v>#VALUE!</v>
      </c>
      <c r="CM204" s="1587" t="e">
        <f aca="false">IF(BQ204,SQRT(LN(1+((BY204*BP204)^2*(EXP(CJ204^2*BT204)-1)+(BX204*BC204)^2*(EXP(CL204^2*BT204)-1)+2*BY204*BP204*BX204*BC204*(EXP(AS204*CJ204*CL204*BT204)-1))/(BY204*BP204+BX204*BC204)^2)/BT204),"")</f>
        <v>#VALUE!</v>
      </c>
      <c r="CN204" s="1588" t="e">
        <f aca="false">IF(BS204,SQRT(LN(1+((CE204*BR204)^2*(EXP(CK204^2*BT204)-1)+(CD204*BK204)^2*(EXP(CL204^2*BT204)-1)+2*CE204*BR204*CD204*BK204*(EXP(AS204*CK204*CL204*BT204)-1))/(CE204*BR204+CD204*BK204)^2)/BT204),"")</f>
        <v>#VALUE!</v>
      </c>
      <c r="CO204" s="1531" t="e">
        <f aca="false">IF(OR(BQ204,BS204),VLOOKUP(A204,GasTable,13)*HeatRatePeak*(1+VLOOKUP($B204,HeatRateDegradation,$C204+1))/1000,0)</f>
        <v>#VALUE!</v>
      </c>
      <c r="CP204" s="1316" t="e">
        <f aca="false">IF(OR(BQ204,BS204),VLOOKUP(A204,GasTable,13)*HeatRatePeak*(1+VLOOKUP($B204,HeatRateDegradation,$C204+1))/1000,0)</f>
        <v>#VALUE!</v>
      </c>
      <c r="CQ204" s="1316" t="e">
        <f aca="false">IF(OR(BQ204,BS204),VLOOKUP(A204,GasTable,13)*IF(EV204,HeatRatePeak,HeatRateOffPeak)*(1+VLOOKUP($B204,HeatRateDegradation,$C204+1))/1000,0)</f>
        <v>#VALUE!</v>
      </c>
      <c r="CR204" s="1316" t="e">
        <f aca="false">IF(OR(BQ204,BS204),VLOOKUP(A204,GasTable,13)*IF(EW204,HeatRatePeak,HeatRateOffPeak)*(1+VLOOKUP($B204,HeatRateDegradation,$C204+1))/1000,0)</f>
        <v>#VALUE!</v>
      </c>
      <c r="CS204" s="1589" t="e">
        <f aca="false">IF(BQ204,(CO204*AZ204+CP204*BA204+CQ204*BB204+CR204*BC204)/BQ204,0)</f>
        <v>#VALUE!</v>
      </c>
      <c r="CT204" s="1316" t="e">
        <f aca="false">IF(BS204,CO204,0)</f>
        <v>#VALUE!</v>
      </c>
      <c r="CU204" s="1590" t="e">
        <f aca="false">IF(OR(BQ204,BS204),VLOOKUP(A204,GasTable,14),"")</f>
        <v>#VALUE!</v>
      </c>
      <c r="CV204" s="1568" t="e">
        <f aca="false">IF(OR(BQ204,BS204),IF(CorrPowerGasOverFlag,INDEX(CorrPowerGasOver,C204),CorrPowerGas),"")</f>
        <v>#VALUE!</v>
      </c>
      <c r="CW204" s="1316" t="e">
        <f aca="false">IF(OR($BQ204,$BS204),SpreadOptPowerMargin,0)*((1+Assumptions!$C$26)^($B204-YEAR(Assumptions!$C$17)))</f>
        <v>#VALUE!</v>
      </c>
      <c r="CX204" s="1316" t="e">
        <f aca="false">IF(OR($BQ204,$BS204),SpreadOptPowerMargin,0)*((1+Assumptions!$C$26)^($B204-YEAR(Assumptions!$C$17)))</f>
        <v>#VALUE!</v>
      </c>
      <c r="CY204" s="1316" t="e">
        <f aca="false">IF(OR($BQ204,$BS204),SpreadOptPowerMargin,0)*((1+Assumptions!$C$26)^($B204-YEAR(Assumptions!$C$17)))</f>
        <v>#VALUE!</v>
      </c>
      <c r="CZ204" s="1316" t="e">
        <f aca="false">IF(OR($BQ204,$BS204),SpreadOptPowerMargin,0)*((1+Assumptions!$C$26)^($B204-YEAR(Assumptions!$C$17)))</f>
        <v>#VALUE!</v>
      </c>
      <c r="DA204" s="1591" t="e">
        <f aca="false">IF(OR(BQ204,BS204),(CW204*(AZ204+BH204)+CX204*(BA204+BI204)+CY204*(BB204+BJ204)+CZ204*(BC204+BK204))/(BQ204+BS204),0)</f>
        <v>#VALUE!</v>
      </c>
      <c r="DB204" s="1592" t="e">
        <f aca="false">IF(OR(BQ204,BS204),CG204+IF(OVolSmile,VLOOKUP(MAX(-5,CO204+CW204-BU204),IF(OVolSmile=1,VolSmileBook,VolSmileModel),2),0),"")</f>
        <v>#VALUE!</v>
      </c>
      <c r="DC204" s="1592" t="e">
        <f aca="false">IF(OR(BQ204,BS204),CH204+IF(OVolSmile,VLOOKUP(MAX(-5,CP204+CW204-BV204),IF(OVolSmile=1,VolSmileBook,VolSmileModel),2),0),"")</f>
        <v>#VALUE!</v>
      </c>
      <c r="DD204" s="1592" t="e">
        <f aca="false">IF(OR(BQ204,BS204),CI204+IF(OVolSmile,VLOOKUP(MAX(-5,CQ204+CW204-BW204),IF(OVolSmile=1,VolSmileBook,VolSmileModel),2),0),"")</f>
        <v>#VALUE!</v>
      </c>
      <c r="DE204" s="1592" t="e">
        <f aca="false">IF(OR(BQ204,BS204),CL204+IF(OVolSmile,VLOOKUP(MAX(-5,CR204+CZ204-BX204),IF(OVolSmile=1,VolSmileBook,VolSmileModel),2),0),"")</f>
        <v>#VALUE!</v>
      </c>
      <c r="DF204" s="1592" t="e">
        <f aca="false">IF(BQ204,CM204+IF(OVolSmile,VLOOKUP(MAX(-5,CS204+DA204-BZ204),IF(OVolSmile=1,VolSmileBook,VolSmileModel),2),0),"")</f>
        <v>#VALUE!</v>
      </c>
      <c r="DG204" s="1593" t="e">
        <f aca="false">IF(BS204,CN204+IF(OVolSmile,VLOOKUP(MAX(-5,CT204+DA204-CF204),IF(OVolSmile=1,VolSmileBook,VolSmileModel),2),0),"")</f>
        <v>#VALUE!</v>
      </c>
      <c r="DH204" s="1316" t="e">
        <f aca="false">IF(AND(BU204&gt;0,CO204&gt;0,DB204&gt;0,CU204&gt;0),newSPRDOPT(BU204,CO204,CW204,0,DB204,CU204,CV204,BT204*365.25,OCallPut,0),0)</f>
        <v>#VALUE!</v>
      </c>
      <c r="DI204" s="1316" t="e">
        <f aca="false">IF(AND(BV204&gt;0,CP204&gt;0,DC204&gt;0,CU204&gt;0),newSPRDOPT(BV204,CP204,CX204,0,DC204,CU204,CV204,BT204*365.25,OCallPut,0),0)</f>
        <v>#VALUE!</v>
      </c>
      <c r="DJ204" s="1316" t="e">
        <f aca="false">IF(AND(BW204&gt;0,CQ204&gt;0,DD204&gt;0,CU204&gt;0),newSPRDOPT(BW204,CQ204,CY204,0,DD204,CU204,CV204,BT204*365.25,OCallPut,0),0)</f>
        <v>#VALUE!</v>
      </c>
      <c r="DK204" s="1316" t="e">
        <f aca="false">IF(AND(BX204&gt;0,CR204&gt;0,DE204&gt;0,CU204&gt;0),newSPRDOPT(BX204,CR204,CZ204,0,DE204,CU204,CV204,BT204*365.25,OCallPut,0),0)</f>
        <v>#VALUE!</v>
      </c>
      <c r="DL204" s="1316" t="e">
        <f aca="false">IF(OVolType,IF(AND(BZ204&gt;0,CS204&gt;0,DF204&gt;0,CU204&gt;0),newSPRDOPT(BZ204,CS204,DA204,0,DF204,CU204,CV204,BT204*365.25,OCallPut,0),0),IF(BQ204,(DH204*AZ204+DI204*BA204+DJ204*BB204+DK204*BC204)/BQ204,0))</f>
        <v>#VALUE!</v>
      </c>
      <c r="DM204" s="1316"/>
      <c r="DN204" s="1316"/>
      <c r="DO204" s="1316"/>
      <c r="DP204" s="1316"/>
      <c r="DQ204" s="1316"/>
      <c r="DR204" s="1316"/>
      <c r="DS204" s="1316"/>
      <c r="DT204" s="1316"/>
      <c r="DU204" s="1316"/>
      <c r="DV204" s="1316"/>
      <c r="DW204" s="1594" t="e">
        <f aca="false">IF(AND(BW204&gt;0,CT204&gt;0,DD204&gt;0,CU204&gt;0),newSPRDOPT(BW204,CT204,CY204,0,DD204,CU204,CV204,BT204*365.25,OCallPut,0),0)</f>
        <v>#VALUE!</v>
      </c>
      <c r="DX204" s="1316" t="e">
        <f aca="false">IF(AND(BX204&gt;0,CT204&gt;0,DE204&gt;0,CU204&gt;0),newSPRDOPT(BX204,CT204,CZ204,0,DE204,CU204,CV204,BT204*365.25,OCallPut,0),0)</f>
        <v>#VALUE!</v>
      </c>
      <c r="DY204" s="1591" t="e">
        <f aca="false">IF(BS204,(DH204*BH204+DI204*BI204+DW204*BJ204+DX204*BK204)/BS204,0)</f>
        <v>#VALUE!</v>
      </c>
      <c r="DZ204" s="1551" t="e">
        <f aca="false">DH204*AZ204</f>
        <v>#VALUE!</v>
      </c>
      <c r="EA204" s="1551" t="e">
        <f aca="false">DI204*BA204</f>
        <v>#VALUE!</v>
      </c>
      <c r="EB204" s="1551" t="e">
        <f aca="false">DJ204*BB204</f>
        <v>#VALUE!</v>
      </c>
      <c r="EC204" s="1551" t="e">
        <f aca="false">DK204*BC204</f>
        <v>#VALUE!</v>
      </c>
      <c r="ED204" s="1551" t="e">
        <f aca="false">DL204*BQ204</f>
        <v>#VALUE!</v>
      </c>
      <c r="EE204" s="1595" t="e">
        <f aca="false">IF(BQ204,IF(OCallPut,IF(BU204&gt;(CO204+CW204),BU204-(CO204+CW204),0),IF((CO204+CW204)&gt;BU204,(CO204+CW204)-BU204,0))*AZ204,0)</f>
        <v>#VALUE!</v>
      </c>
      <c r="EF204" s="1596" t="e">
        <f aca="false">IF(BQ204,IF(OCallPut,IF(BV204&gt;(CP204+CX204),BV204-(CP204+CX204),0),IF((CP204+CX204)&gt;BV204,(CP204+CX204)-BV204,0))*BA204,0)</f>
        <v>#VALUE!</v>
      </c>
      <c r="EG204" s="1596" t="e">
        <f aca="false">IF(BQ204,IF(OCallPut,IF(BW204&gt;(CQ204+CY204),BW204-(CQ204+CY204),0),IF((CQ204+CY204)&gt;BW204,(CQ204+CY204)-BW204,0))*BB204,0)</f>
        <v>#VALUE!</v>
      </c>
      <c r="EH204" s="1596" t="e">
        <f aca="false">IF(BQ204,IF(OCallPut,IF(BX204&gt;(CR204+CZ204),BX204-(CR204+CZ204),0),IF((CR204+CZ204)&gt;BX204,(CR204+CZ204)-BX204,0))*BC204,0)</f>
        <v>#VALUE!</v>
      </c>
      <c r="EI204" s="1597" t="e">
        <f aca="false">IF(BQ204,IF(OVolType,IF(OCallPut,IF(BZ204&gt;(CS204+DA204),BZ204-(CS204+DA204),0),IF((CS204+DA204)&gt;BZ204,(CS204+DA204)-BZ204,0))*BQ204,SUM(EE204:EH204)),0)</f>
        <v>#VALUE!</v>
      </c>
      <c r="EJ204" s="1595" t="e">
        <f aca="false">DZ204-EE204</f>
        <v>#VALUE!</v>
      </c>
      <c r="EK204" s="1596" t="e">
        <f aca="false">EA204-EF204</f>
        <v>#VALUE!</v>
      </c>
      <c r="EL204" s="1596" t="e">
        <f aca="false">EB204-EG204</f>
        <v>#VALUE!</v>
      </c>
      <c r="EM204" s="1596" t="e">
        <f aca="false">EC204-EH204</f>
        <v>#VALUE!</v>
      </c>
      <c r="EN204" s="1597" t="e">
        <f aca="false">ED204-EI204</f>
        <v>#VALUE!</v>
      </c>
      <c r="EO204" s="1551" t="e">
        <f aca="false">DH204*BH204</f>
        <v>#VALUE!</v>
      </c>
      <c r="EP204" s="1551" t="e">
        <f aca="false">DI204*BI204</f>
        <v>#VALUE!</v>
      </c>
      <c r="EQ204" s="1551" t="e">
        <f aca="false">DW204*BJ204</f>
        <v>#VALUE!</v>
      </c>
      <c r="ER204" s="1551" t="e">
        <f aca="false">DX204*BK204</f>
        <v>#VALUE!</v>
      </c>
      <c r="ES204" s="1551" t="e">
        <f aca="false">DY204*BS204</f>
        <v>#VALUE!</v>
      </c>
      <c r="ET204" s="1566" t="e">
        <f aca="false">IF(EI204,IF(OCallPut,IF(CA204&gt;(CT204+CW204),CA204-(CT204+CW204),0),IF((CT204+CW204)&gt;CA204,(CT204+CW204)-CA204,0))*BH204,0)</f>
        <v>#VALUE!</v>
      </c>
      <c r="EU204" s="1551" t="e">
        <f aca="false">IF(EI204,IF(OCallPut,IF(CB204&gt;(CT204+CX204),CB204-(CT204+CX204),0),IF((CT204+CX204)&gt;CB204,(CT204+CX204)-CB204,0))*BI204,0)</f>
        <v>#VALUE!</v>
      </c>
      <c r="EV204" s="1551" t="e">
        <f aca="false">IF(EI204,IF(OCallPut,IF(CC204&gt;(CT204+CY204),CC204-(CT204+CY204),0),IF((CT204+CY204)&gt;CC204,(CT204+CY204)-CC204,0))*BJ204,0)</f>
        <v>#VALUE!</v>
      </c>
      <c r="EW204" s="1551" t="e">
        <f aca="false">IF(EI204,IF(OCallPut,IF(CD204&gt;(CT204+CZ204),CD204-(CT204+CZ204),0),IF((CT204+CZ204)&gt;CD204,(CT204+CZ204)-CD204,0))*BK204,0)</f>
        <v>#VALUE!</v>
      </c>
      <c r="EX204" s="1558" t="e">
        <f aca="false">IF(EI204,SUM(ET204:EW204),0)</f>
        <v>#VALUE!</v>
      </c>
      <c r="EY204" s="1551" t="e">
        <f aca="false">EO204-ET204</f>
        <v>#VALUE!</v>
      </c>
      <c r="EZ204" s="1551" t="e">
        <f aca="false">EP204-EU204</f>
        <v>#VALUE!</v>
      </c>
      <c r="FA204" s="1551" t="e">
        <f aca="false">EQ204-EV204</f>
        <v>#VALUE!</v>
      </c>
      <c r="FB204" s="1551" t="e">
        <f aca="false">ER204-EW204</f>
        <v>#VALUE!</v>
      </c>
      <c r="FC204" s="1551" t="e">
        <f aca="false">ES204-EX204</f>
        <v>#VALUE!</v>
      </c>
      <c r="FD204" s="1525" t="n">
        <f aca="false">IF(AX204,IF(VLOOKUP(C204,MAIN!$L$17:$M$28,2)="Yes",VLOOKUP(CALC!B204,MAIN!$H$17:$I$20,2),0),0)</f>
        <v>0</v>
      </c>
      <c r="FE204" s="1552" t="e">
        <f aca="false">$FD204*16*AT204*(1-$AY204)</f>
        <v>#VALUE!</v>
      </c>
      <c r="FF204" s="1553" t="e">
        <f aca="false">$FD204*16*AU204*(1-$AY204)</f>
        <v>#VALUE!</v>
      </c>
      <c r="FG204" s="1553" t="e">
        <f aca="false">$FD204*16*(AV204+AW204)*(1-$AY204)</f>
        <v>#VALUE!</v>
      </c>
      <c r="FH204" s="1554" t="n">
        <f aca="false">$FD204*8*AX204*(1-$AY204)</f>
        <v>0</v>
      </c>
      <c r="FI204" s="1555" t="n">
        <f aca="false">IF(AX204,VLOOKUP(CALC!B204,MAIN!$H$17:$K$20,4),0)</f>
        <v>0</v>
      </c>
      <c r="FJ204" s="1553" t="e">
        <f aca="false">SUM(FE204:FH204)</f>
        <v>#VALUE!</v>
      </c>
      <c r="FK204" s="1556" t="e">
        <f aca="false">FI204*FJ204</f>
        <v>#VALUE!</v>
      </c>
      <c r="FL204" s="1551" t="e">
        <f aca="false">IF($EI204&gt;0,MIN(FE204,AZ204*(1+VLOOKUP($C204,WeatherCapacityAdjustment,2))),0)</f>
        <v>#VALUE!</v>
      </c>
      <c r="FM204" s="1551" t="e">
        <f aca="false">IF($EI204&gt;0,MIN(FF204,BA204*(1+VLOOKUP($C204,WeatherCapacityAdjustment,2))),0)</f>
        <v>#VALUE!</v>
      </c>
      <c r="FN204" s="1551" t="e">
        <f aca="false">IF($EI204&gt;0,MIN(FG204,BB204*(1+VLOOKUP($C204,WeatherCapacityAdjustment,2))),0)</f>
        <v>#VALUE!</v>
      </c>
      <c r="FO204" s="1564" t="e">
        <f aca="false">IF($EI204&gt;0,MIN(FH204,BC204*(1+VLOOKUP($C204,WeatherCapacityAdjustment,3))),0)</f>
        <v>#VALUE!</v>
      </c>
      <c r="FP204" s="1551" t="e">
        <f aca="false">IF(ET204&gt;0,MIN(FE204-FL204,BH204*(1+VLOOKUP($C204,WeatherCapacityAdjustment,2))),0)</f>
        <v>#VALUE!</v>
      </c>
      <c r="FQ204" s="1551" t="e">
        <f aca="false">IF(EU204&gt;0,MIN(FF204-FM204,BI204*(1+VLOOKUP($C204,WeatherCapacityAdjustment,2))),0)</f>
        <v>#VALUE!</v>
      </c>
      <c r="FR204" s="1551" t="e">
        <f aca="false">IF(EV204&gt;0,MIN(FG204-FN204,BJ204*(1+VLOOKUP($C204,WeatherCapacityAdjustment,2))),0)</f>
        <v>#VALUE!</v>
      </c>
      <c r="FS204" s="1558" t="e">
        <f aca="false">IF(EW204&gt;0,MIN(FH204-FO204,BK204*(1+VLOOKUP($C204,WeatherCapacityAdjustment,3))),0)</f>
        <v>#VALUE!</v>
      </c>
      <c r="FT204" s="1566" t="e">
        <f aca="false">IF(AND(Assumptions!$H$71="Yes",A204&gt;=Assumptions!$H$72,A204&lt;=Assumptions!$H$73),0,IF(AND($A204&gt;=Assumptions!$C$17,$A204&lt;=Assumptions!$C$18),MAX(AZ204*(1+VLOOKUP($C204,WeatherCapacityAdjustment,2))-FL204,0),0))</f>
        <v>#VALUE!</v>
      </c>
      <c r="FU204" s="1551" t="e">
        <f aca="false">IF(AND(Assumptions!$H$71="Yes",A204&gt;=Assumptions!$H$72,A204&lt;=Assumptions!$H$73),0,IF(AND($A204&gt;=Assumptions!$C$17,$A204&lt;=Assumptions!$C$18),MAX(BA204*(1+VLOOKUP($C204,WeatherCapacityAdjustment,2))-FM204,0),0))</f>
        <v>#VALUE!</v>
      </c>
      <c r="FV204" s="1551" t="e">
        <f aca="false">IF(AND(Assumptions!$H$71="Yes",A204&gt;=Assumptions!$H$72,A204&lt;=Assumptions!$H$73),0,IF(AND($A204&gt;=Assumptions!$C$17,$A204&lt;=Assumptions!$C$18),MAX(BB204*(1+VLOOKUP($C204,WeatherCapacityAdjustment,2))-FN204,0),0))</f>
        <v>#VALUE!</v>
      </c>
      <c r="FW204" s="1564" t="e">
        <f aca="false">IF(AND(Assumptions!$H$71="Yes",A204&gt;=Assumptions!$H$72,A204&lt;=Assumptions!$H$73),0,IF(AND($A204&gt;=Assumptions!$C$17,$A204&lt;=Assumptions!$C$18),MAX(BC204*(1+VLOOKUP($C204,WeatherCapacityAdjustment,3))-FO204,0),0))</f>
        <v>#VALUE!</v>
      </c>
      <c r="FX204" s="1569" t="e">
        <f aca="false">IF(AND(Assumptions!$H$71="Yes",A204&gt;=Assumptions!$H$72,A204&lt;=Assumptions!$H$73),0,IF(ET204&gt;0,MAX(BH204*(1+VLOOKUP($C204,WeatherCapacityAdjustment,2))-FP204,0),0))</f>
        <v>#VALUE!</v>
      </c>
      <c r="FY204" s="1551" t="e">
        <f aca="false">IF(AND(Assumptions!$H$71="Yes",A204&gt;=Assumptions!$H$72,A204&lt;=Assumptions!$H$73),0,IF(EU204&gt;0,MAX(BI204*(1+VLOOKUP($C204,WeatherCapacityAdjustment,3))-FQ204,0),0))</f>
        <v>#VALUE!</v>
      </c>
      <c r="FZ204" s="1551" t="e">
        <f aca="false">IF(AND(Assumptions!$H$71="Yes",A204&gt;=Assumptions!$H$72,A204&lt;=Assumptions!$H$73),0,IF(EV204&gt;0,MAX(BJ204*(1+VLOOKUP($C204,WeatherCapacityAdjustment,2))-FR204,0),0))</f>
        <v>#VALUE!</v>
      </c>
      <c r="GA204" s="1564" t="e">
        <f aca="false">IF(AND(Assumptions!$H$71="Yes",A204&gt;=Assumptions!$H$72,A204&lt;=Assumptions!$H$73),0,IF(EW204&gt;0,MAX(BK204*(1+VLOOKUP($C204,WeatherCapacityAdjustment,2))-FS204,0),0))</f>
        <v>#VALUE!</v>
      </c>
      <c r="GB204" s="1551" t="e">
        <f aca="false">SUM(FT204:GA204)</f>
        <v>#VALUE!</v>
      </c>
      <c r="GC204" s="1563" t="e">
        <f aca="false">+IF(SUM(FT204:GA204)=0,0,(SUMPRODUCT(BU204:BX204,FT204:FW204)+SUMPRODUCT(CA204:CD204,FX204:GA204))/SUM(FT204:GA204))</f>
        <v>#VALUE!</v>
      </c>
      <c r="GD204" s="1551" t="e">
        <f aca="false">(FT204*BU204+FX204*CA204+FU204*BV204+FY204*CB204+FV204*BW204+FZ204*CC204+FW204*BX204+GA204*CD204)</f>
        <v>#VALUE!</v>
      </c>
      <c r="GE204" s="1561" t="e">
        <f aca="false">+IF(BQ204,((FL204+FM204+FT204+FU204)*HeatRatePeak/1000*(1+VLOOKUP($C204,WeatherHeatRateAdjustment,2))+(FN204+FV204)*IF(EV204&gt;0,HeatRatePeak,HeatRateOffPeak)/1000*(1+VLOOKUP($C204,WeatherHeatRateAdjustment,2))+(FO204+FW204)*IF(EW204&gt;0,HeatRatePeak,HeatRateOffPeak)/1000*(1+VLOOKUP($C204,WeatherHeatRateAdjustment,3)))*(1+VLOOKUP($B204,HeatRateDegradation,$C204+1)),0)</f>
        <v>#VALUE!</v>
      </c>
      <c r="GF204" s="1562" t="e">
        <f aca="false">IF(BQ204,((FP204+FQ204+FR204+FX204+FY204+FZ204)*HeatRatePeak/1000*(1+VLOOKUP($C204,WeatherHeatRateAdjustment,2))+(FS204+GA204)*HeatRatePeak/1000*(1+VLOOKUP($C204,WeatherHeatRateAdjustment,3)))*(1+VLOOKUP($B204,HeatRateDegradation,$C204+1)),0)</f>
        <v>#VALUE!</v>
      </c>
      <c r="GG204" s="1563" t="e">
        <f aca="false">IF(BQ204,VLOOKUP(A204,GasTable,13),0)</f>
        <v>#VALUE!</v>
      </c>
      <c r="GH204" s="1564" t="e">
        <f aca="false">(GE204+GF204)*GG204</f>
        <v>#VALUE!</v>
      </c>
      <c r="GI204" s="1569" t="e">
        <f aca="false">GB204</f>
        <v>#VALUE!</v>
      </c>
      <c r="GJ204" s="1598" t="e">
        <f aca="false">+DA204</f>
        <v>#VALUE!</v>
      </c>
      <c r="GK204" s="1558" t="e">
        <f aca="false">+GI204*GJ204</f>
        <v>#VALUE!</v>
      </c>
      <c r="GL204" s="1566" t="e">
        <f aca="false">MAX(FE204-FL204-FP204,0)</f>
        <v>#VALUE!</v>
      </c>
      <c r="GM204" s="1551" t="e">
        <f aca="false">MAX(FF204-FM204-FQ204,0)</f>
        <v>#VALUE!</v>
      </c>
      <c r="GN204" s="1551" t="e">
        <f aca="false">MAX(FG204-FN204-FR204,0)</f>
        <v>#VALUE!</v>
      </c>
      <c r="GO204" s="1564" t="e">
        <f aca="false">MAX(FH204-FO204-FS204,0)</f>
        <v>#VALUE!</v>
      </c>
      <c r="GP204" s="1551" t="e">
        <f aca="false">SUM(GL204:GO204)</f>
        <v>#VALUE!</v>
      </c>
      <c r="GQ204" s="1563" t="e">
        <f aca="false">IF(SUM(GL204:GO204)=0,0,((GL204*BU204+GM204*BV204+GN204*BW204+GO204*BX204)/SUM(GL204:GO204)))</f>
        <v>#VALUE!</v>
      </c>
      <c r="GR204" s="1558" t="e">
        <f aca="false">(GL204*BU204+GM204*BV204+GN204*BW204+GO204*BX204)</f>
        <v>#VALUE!</v>
      </c>
      <c r="GS204" s="1566" t="n">
        <f aca="false">IF($A204&gt;=BegDate,Assumptions!$C$56*24*($A205-$A204)*(1-VLOOKUP($B204,MAIN!$AA$7:$AM$28,$C204+1))*(1-VLOOKUP($B204,MAIN!$AA$33:$AM$54,$C204+1)),0)*80/168</f>
        <v>257742.857142857</v>
      </c>
      <c r="GT204" s="286" t="n">
        <f aca="false">J204</f>
        <v>56.1480120328767</v>
      </c>
      <c r="GU204" s="286" t="n">
        <f aca="false">IF($A204&gt;=BegDate,VLOOKUP($A204,GasTable,13)+Assumptions!$C$58,0)</f>
        <v>3.88984313275877</v>
      </c>
      <c r="GV204" s="286" t="n">
        <f aca="false">GU204*Assumptions!$C$57/1000</f>
        <v>28.2013627125011</v>
      </c>
      <c r="GW204" s="1558" t="n">
        <f aca="false">IF(Assumptions!$C$60="Hourly",MAX(0,GS204*(GT204-GV204)),GS204*(GT204-GV204))</f>
        <v>7203049.24340311</v>
      </c>
      <c r="GX204" s="1566" t="n">
        <f aca="false">IF($A204&gt;=BegDate,Assumptions!$C$56*24*($A205-$A204)*(1-VLOOKUP($B204,MAIN!$AA$7:$AM$28,$C204+1))*(1-VLOOKUP($B204,MAIN!$AA$33:$AM$54,$C204+1)),0)*16/168</f>
        <v>51548.5714285714</v>
      </c>
      <c r="GY204" s="286" t="n">
        <f aca="false">M204</f>
        <v>56.1480120328767</v>
      </c>
      <c r="GZ204" s="286" t="n">
        <f aca="false">IF($A204&gt;=BegDate,VLOOKUP($A204,GasTable,13)+Assumptions!$C$58,0)</f>
        <v>3.88984313275877</v>
      </c>
      <c r="HA204" s="286" t="n">
        <f aca="false">GZ204*Assumptions!$C$57/1000</f>
        <v>28.2013627125011</v>
      </c>
      <c r="HB204" s="1558" t="n">
        <f aca="false">IF(Assumptions!$C$60="Hourly",MAX(0,GX204*(GY204-HA204)),GX204*(GY204-HA204))</f>
        <v>1440609.84868062</v>
      </c>
      <c r="HC204" s="1566" t="n">
        <f aca="false">IF($A204&gt;=BegDate,Assumptions!$C$56*24*($A205-$A204)*(1-VLOOKUP($B204,MAIN!$AA$7:$AM$28,$C204+1))*(1-VLOOKUP($B204,MAIN!$AA$33:$AM$54,$C204+1)),0)*16/168</f>
        <v>51548.5714285714</v>
      </c>
      <c r="HD204" s="286" t="n">
        <f aca="false">P204</f>
        <v>34.5520740892939</v>
      </c>
      <c r="HE204" s="286" t="n">
        <f aca="false">IF($A204&gt;=BegDate,VLOOKUP($A204,GasTable,13)+Assumptions!$C$58,0)</f>
        <v>3.88984313275877</v>
      </c>
      <c r="HF204" s="286" t="n">
        <f aca="false">HE204*Assumptions!$C$57/1000</f>
        <v>28.2013627125011</v>
      </c>
      <c r="HG204" s="1558" t="n">
        <f aca="false">IF(Assumptions!$C$60="Hourly",MAX(0,HC204*(HD204-HF204)),HC204*(HD204-HF204))</f>
        <v>327370.099028847</v>
      </c>
      <c r="HH204" s="1566" t="n">
        <f aca="false">IF($A204&gt;=BegDate,Assumptions!$C$56*24*($A205-$A204)*(1-VLOOKUP($B204,MAIN!$AA$7:$AM$28,$C204+1))*(1-VLOOKUP($B204,MAIN!$AA$33:$AM$54,$C204+1)),0)*56/168</f>
        <v>180420</v>
      </c>
      <c r="HI204" s="286" t="n">
        <f aca="false">S204</f>
        <v>34.5520740892939</v>
      </c>
      <c r="HJ204" s="286" t="n">
        <f aca="false">IF($A204&gt;=BegDate,VLOOKUP($A204,GasTable,13)+Assumptions!$C$58,0)</f>
        <v>3.88984313275877</v>
      </c>
      <c r="HK204" s="286" t="n">
        <f aca="false">HJ204*Assumptions!$C$57/1000</f>
        <v>28.2013627125011</v>
      </c>
      <c r="HL204" s="1558" t="n">
        <f aca="false">IF(Assumptions!$C$60="Hourly",MAX(0,HH204*(HI204-HK204)),HH204*(HI204-HK204))</f>
        <v>1145795.34660096</v>
      </c>
      <c r="HM204" s="1566" t="n">
        <f aca="false">IF(AND(Assumptions!$H$71="Yes",A204&gt;=Assumptions!$H$72,A204&lt;=Assumptions!$H$73),Assumptions!$H$74*Assumptions!$C$9*1000,0)</f>
        <v>0</v>
      </c>
      <c r="HN204" s="1551"/>
      <c r="HO204" s="1563"/>
      <c r="HP204" s="1563"/>
      <c r="HQ204" s="1563"/>
      <c r="HR204" s="1563"/>
      <c r="HS204" s="1563"/>
      <c r="HT204" s="1563"/>
      <c r="HU204" s="1563"/>
      <c r="HV204" s="1563"/>
      <c r="HW204" s="1563"/>
      <c r="HX204" s="1563"/>
      <c r="HY204" s="1563"/>
      <c r="HZ204" s="1563"/>
      <c r="IA204" s="1563"/>
      <c r="IB204" s="1563"/>
      <c r="IC204" s="1563"/>
      <c r="ID204" s="1563"/>
      <c r="IE204" s="1563"/>
      <c r="IF204" s="1563"/>
      <c r="IG204" s="1563"/>
      <c r="IH204" s="1563"/>
      <c r="II204" s="1610"/>
      <c r="IJ204" s="1309"/>
      <c r="IK204" s="1309"/>
    </row>
    <row r="205" customFormat="false" ht="12.75" hidden="false" customHeight="false" outlineLevel="0" collapsed="false">
      <c r="A205" s="1571" t="n">
        <f aca="false">EOMONTH(A204,0)+1</f>
        <v>42370</v>
      </c>
      <c r="B205" s="594" t="n">
        <f aca="false">+YEAR(A205)</f>
        <v>2016</v>
      </c>
      <c r="C205" s="238" t="n">
        <f aca="false">MONTH(A205)</f>
        <v>1</v>
      </c>
      <c r="D205" s="1572" t="e">
        <f aca="false">IF(E205="","",Holiday(B205,C205))</f>
        <v>#VALUE!</v>
      </c>
      <c r="E205" s="1573" t="n">
        <f aca="false">IF(OR(BegDate&gt;=A206,EndDate&lt;A205,AND(VolumeMonthlyOverFlag,INDEX(VolumeMonthlyOver,C205)=0),NOT(INDEX(MonthKnockOutTable,C205))),"",MAX(A205,BegDate))</f>
        <v>42370</v>
      </c>
      <c r="F205" s="1574" t="n">
        <f aca="false">IF(E205="","",MIN(A206-1,EndDate))</f>
        <v>42400</v>
      </c>
      <c r="G205" s="1575" t="n">
        <v>0</v>
      </c>
      <c r="H205" s="1576" t="n">
        <f aca="false">(1+G205/2)^(-2*(DATE(B206,C206,20)-DateToday)/365.25)</f>
        <v>1</v>
      </c>
      <c r="I205" s="1568" t="n">
        <f aca="false">IF(Assumptions!$L$25=4,VLOOKUP($A205,'Henwood Reference'!$E$9:$R$320,10),(VLOOKUP($A205,PriceTable,2,0)+IF(BasisNumber&lt;&gt;1,VLOOKUP($A205,BasisTable,2,0),0)+I$1)/(1-I$2))</f>
        <v>57.6063438212879</v>
      </c>
      <c r="J205" s="1568" t="n">
        <f aca="false">IF(Assumptions!$L$25=4,VLOOKUP($A205,'Henwood Reference'!$E$9:$R$320,10),(VLOOKUP($A205,PriceTable,3,0)+IF(BasisNumber&lt;&gt;1,VLOOKUP($A205,BasisTable,2,0),0)+J$1)/(1-J$2))</f>
        <v>57.6063438212879</v>
      </c>
      <c r="K205" s="1568" t="n">
        <f aca="false">IF(Assumptions!$L$25=4,VLOOKUP($A205,'Henwood Reference'!$E$9:$R$320,10),(VLOOKUP($A205,PriceTable,4,0)+IF(BasisNumber&lt;&gt;1,VLOOKUP($A205,BasisTable,2,0),0)+K$1)/(1-K$2))</f>
        <v>57.6063438212879</v>
      </c>
      <c r="L205" s="1523" t="n">
        <f aca="false">IF(Assumptions!$L$25=4,VLOOKUP($A205,'Henwood Reference'!$E$9:$R$320,10),(VLOOKUP($A205,PriceTableWeekend,2,0)+IF(BasisNumber&lt;&gt;1,VLOOKUP($A205,BasisTable,2,0),0)+L$1)/(1-L$2))</f>
        <v>57.6063438212879</v>
      </c>
      <c r="M205" s="1568" t="n">
        <f aca="false">IF(Assumptions!$L$25=4,VLOOKUP($A205,'Henwood Reference'!$E$9:$R$320,10),(VLOOKUP($A205,PriceTableWeekend,3,0)+IF(BasisNumber&lt;&gt;1,VLOOKUP($A205,BasisTable,2,0),0)+M$1)/(1-M$2))</f>
        <v>57.6063438212879</v>
      </c>
      <c r="N205" s="1599" t="n">
        <f aca="false">IF(Assumptions!$L$25=4,VLOOKUP($A205,'Henwood Reference'!$E$9:$R$320,10),(VLOOKUP($A205,PriceTableWeekend,4,0)+IF(BasisNumber&lt;&gt;1,VLOOKUP($A205,BasisTable,2,0),0)+N$1)/(1-N$2))</f>
        <v>57.6063438212879</v>
      </c>
      <c r="O205" s="1568" t="n">
        <f aca="false">IF(Assumptions!$L$25=4,VLOOKUP($A205,'Henwood Reference'!$E$9:$R$320,11),(VLOOKUP($A205,PriceTableWeekend,6,0)+IF(BasisNumber&lt;&gt;1,VLOOKUP($A205,BasisTable,3,0),0)+O$1)/(1-O$2))</f>
        <v>32.5262353821349</v>
      </c>
      <c r="P205" s="1568" t="n">
        <f aca="false">IF(Assumptions!$L$25=4,VLOOKUP($A205,'Henwood Reference'!$E$9:$R$320,11),(VLOOKUP($A205,PriceTableWeekend,7,0)+IF(BasisNumber&lt;&gt;1,VLOOKUP($A205,BasisTable,3,0),0)+P$1)/(1-P$2))</f>
        <v>32.5262353821349</v>
      </c>
      <c r="Q205" s="1599" t="n">
        <f aca="false">IF(Assumptions!$L$25=4,VLOOKUP($A205,'Henwood Reference'!$E$9:$R$320,11),(VLOOKUP($A205,PriceTableWeekend,8,0)+IF(BasisNumber&lt;&gt;1,VLOOKUP($A205,BasisTable,3,0),0)+Q$1)/(1-Q$2))</f>
        <v>32.5262353821349</v>
      </c>
      <c r="R205" s="1568" t="n">
        <f aca="false">IF(Assumptions!$L$25=4,VLOOKUP($A205,'Henwood Reference'!$E$9:$R$320,11),(VLOOKUP($A205,PriceTable,6,0)+IF(BasisNumber&lt;&gt;1,VLOOKUP($A205,BasisTable,3,0),0)+R$1)/(1-R$2))</f>
        <v>32.5262353821349</v>
      </c>
      <c r="S205" s="1568" t="n">
        <f aca="false">IF(Assumptions!$L$25=4,VLOOKUP($A205,'Henwood Reference'!$E$9:$R$320,11),(VLOOKUP($A205,PriceTable,7,0)+IF(BasisNumber&lt;&gt;1,VLOOKUP($A205,BasisTable,3,0),0)+S$1)/(1-S$2))</f>
        <v>32.5262353821349</v>
      </c>
      <c r="T205" s="1600" t="n">
        <f aca="false">IF(Assumptions!$L$25=4,VLOOKUP($A205,'Henwood Reference'!$E$9:$R$320,11),(VLOOKUP($A205,PriceTable,8,0)+IF(BasisNumber&lt;&gt;1,VLOOKUP($A205,BasisTable,3,0),0)+T$1)/(1-T$2))</f>
        <v>32.5262353821349</v>
      </c>
      <c r="U205" s="1513" t="n">
        <f aca="false">VLOOKUP($A205,VolatilityTable,14)</f>
        <v>0.09</v>
      </c>
      <c r="V205" s="1513" t="n">
        <f aca="false">VLOOKUP($A205,VolatilityTable,15)</f>
        <v>0.1</v>
      </c>
      <c r="W205" s="1514" t="n">
        <f aca="false">VLOOKUP($A205,VolatilityTable,16)</f>
        <v>0.11</v>
      </c>
      <c r="X205" s="1513" t="n">
        <f aca="false">VLOOKUP($A205,VolatilityTable,14)</f>
        <v>0.09</v>
      </c>
      <c r="Y205" s="1513" t="n">
        <f aca="false">VLOOKUP($A205,VolatilityTable,15)</f>
        <v>0.1</v>
      </c>
      <c r="Z205" s="1514" t="n">
        <f aca="false">VLOOKUP($A205,VolatilityTable,16)</f>
        <v>0.11</v>
      </c>
      <c r="AA205" s="1513" t="n">
        <f aca="false">VLOOKUP($A205,VolatilityTable,18)</f>
        <v>0.09</v>
      </c>
      <c r="AB205" s="1513" t="n">
        <f aca="false">VLOOKUP($A205,VolatilityTable,19)</f>
        <v>0.11</v>
      </c>
      <c r="AC205" s="1514" t="n">
        <f aca="false">VLOOKUP($A205,VolatilityTable,20)</f>
        <v>0.13</v>
      </c>
      <c r="AD205" s="1513" t="n">
        <f aca="false">VLOOKUP($A205,VolatilityTable,18)</f>
        <v>0.09</v>
      </c>
      <c r="AE205" s="1513" t="n">
        <f aca="false">VLOOKUP($A205,VolatilityTable,19)</f>
        <v>0.11</v>
      </c>
      <c r="AF205" s="1514" t="n">
        <f aca="false">VLOOKUP($A205,VolatilityTable,20)</f>
        <v>0.13</v>
      </c>
      <c r="AG205" s="1513" t="n">
        <f aca="false">VLOOKUP($A205,VolatilityTable,22)</f>
        <v>-0.25</v>
      </c>
      <c r="AH205" s="1513" t="n">
        <f aca="false">VLOOKUP($A205,VolatilityTable,23)</f>
        <v>0.6</v>
      </c>
      <c r="AI205" s="1514" t="n">
        <f aca="false">VLOOKUP($A205,VolatilityTable,24)</f>
        <v>0.25</v>
      </c>
      <c r="AJ205" s="1513" t="n">
        <f aca="false">VLOOKUP($A205,VolatilityTable,22)</f>
        <v>-0.25</v>
      </c>
      <c r="AK205" s="1513" t="n">
        <f aca="false">VLOOKUP($A205,VolatilityTable,23)</f>
        <v>0.6</v>
      </c>
      <c r="AL205" s="1514" t="n">
        <f aca="false">VLOOKUP($A205,VolatilityTable,24)</f>
        <v>0.25</v>
      </c>
      <c r="AM205" s="1513" t="n">
        <f aca="false">VLOOKUP($A205,VolatilityTable,26)</f>
        <v>-0.01</v>
      </c>
      <c r="AN205" s="1513" t="n">
        <f aca="false">VLOOKUP($A205,VolatilityTable,27)</f>
        <v>0.16</v>
      </c>
      <c r="AO205" s="1514" t="n">
        <f aca="false">VLOOKUP($A205,VolatilityTable,28)</f>
        <v>0.01</v>
      </c>
      <c r="AP205" s="1513" t="n">
        <f aca="false">VLOOKUP($A205,VolatilityTable,26)</f>
        <v>-0.01</v>
      </c>
      <c r="AQ205" s="1513" t="n">
        <f aca="false">VLOOKUP($A205,VolatilityTable,27)</f>
        <v>0.16</v>
      </c>
      <c r="AR205" s="1515" t="n">
        <f aca="false">VLOOKUP($A205,VolatilityTable,28)</f>
        <v>0.01</v>
      </c>
      <c r="AS205" s="1581" t="n">
        <f aca="false">IF(CorrPeakOffPeakOverFlag,INDEX(CorrPeakOffPeakOver,C205),CorrPeakOffPeak)</f>
        <v>0.5</v>
      </c>
      <c r="AT205" s="594" t="e">
        <f aca="false">AX205-SUM(AU205:AW205)</f>
        <v>#VALUE!</v>
      </c>
      <c r="AU205" s="238" t="e">
        <f aca="false">IF(E205="",0,INT((F205-MOD(F205,7)-E205)/7)+1-IF(AW205,IF(WEEKDAY(D205)=7,1,0),0))</f>
        <v>#VALUE!</v>
      </c>
      <c r="AV205" s="238" t="e">
        <f aca="false">IF(E205="",0,INT((F205-MOD(F205-1,7)-E205)/7)+1-IF(AW205,IF(WEEKDAY(D205)=1,1,0),0))</f>
        <v>#VALUE!</v>
      </c>
      <c r="AW205" s="238" t="e">
        <f aca="false">IF(OR(E205="",D205="",D205&lt;BegDate,D205&gt;EndDate),0,1)</f>
        <v>#VALUE!</v>
      </c>
      <c r="AX205" s="238" t="n">
        <f aca="false">IF(E205="",0,F205-E205+1)</f>
        <v>31</v>
      </c>
      <c r="AY205" s="1582" t="n">
        <f aca="false">IF(E205="",0,MIN((1-(1-VLOOKUP(B205,MAIN!$AA$7:$AM$28,C205+1))*(1-VLOOKUP(B205,MAIN!$AA$33:$AM$54,C205+1))),1))</f>
        <v>0.03</v>
      </c>
      <c r="AZ205" s="1519" t="e">
        <v>#VALUE!</v>
      </c>
      <c r="BA205" s="1520" t="e">
        <v>#VALUE!</v>
      </c>
      <c r="BB205" s="1520" t="e">
        <v>#VALUE!</v>
      </c>
      <c r="BC205" s="1583" t="e">
        <v>#VALUE!</v>
      </c>
      <c r="BD205" s="1522" t="e">
        <v>#VALUE!</v>
      </c>
      <c r="BE205" s="1523" t="e">
        <v>#VALUE!</v>
      </c>
      <c r="BF205" s="1523" t="e">
        <v>#VALUE!</v>
      </c>
      <c r="BG205" s="1584" t="e">
        <v>#VALUE!</v>
      </c>
      <c r="BH205" s="1525" t="e">
        <v>#VALUE!</v>
      </c>
      <c r="BI205" s="1520" t="e">
        <v>#VALUE!</v>
      </c>
      <c r="BJ205" s="1520" t="e">
        <v>#VALUE!</v>
      </c>
      <c r="BK205" s="1583" t="e">
        <v>#VALUE!</v>
      </c>
      <c r="BL205" s="1522" t="e">
        <v>#VALUE!</v>
      </c>
      <c r="BM205" s="1523" t="e">
        <v>#VALUE!</v>
      </c>
      <c r="BN205" s="1523" t="e">
        <v>#VALUE!</v>
      </c>
      <c r="BO205" s="1523" t="e">
        <v>#VALUE!</v>
      </c>
      <c r="BP205" s="1525" t="e">
        <f aca="false">SUM(AZ205:BB205)</f>
        <v>#VALUE!</v>
      </c>
      <c r="BQ205" s="1529" t="e">
        <f aca="false">SUM(AZ205:BC205)</f>
        <v>#VALUE!</v>
      </c>
      <c r="BR205" s="1519" t="e">
        <f aca="false">SUM(BH205:BJ205)</f>
        <v>#VALUE!</v>
      </c>
      <c r="BS205" s="1529" t="e">
        <f aca="false">SUM(BH205:BK205)</f>
        <v>#VALUE!</v>
      </c>
      <c r="BT205" s="1316" t="n">
        <f aca="false">(IF(OVolType&lt;&gt;2,A205+14,IF(OptExpDateShift,ShiftBack(A205,OptExpDateShift,D204),A205))-DateToday)/365.25</f>
        <v>15.7152635181383</v>
      </c>
      <c r="BU205" s="1585" t="e">
        <f aca="false">IF(BQ205,IF(OPriceCurve,IF(OBuySell=OCallPut,I205/(1-AY205),K205/(1-AY205)),J205/(1-AY205))*BD205,0)</f>
        <v>#VALUE!</v>
      </c>
      <c r="BV205" s="1316" t="e">
        <f aca="false">IF(BQ205,IF(OPriceCurve,IF(OBuySell=OCallPut,L205/(1-AY205),N205/(1-AY205)),M205/(1-AY205))*BE205,0)</f>
        <v>#VALUE!</v>
      </c>
      <c r="BW205" s="1316" t="e">
        <f aca="false">IF(BQ205,IF(OPriceCurve,IF(OBuySell=OCallPut,O205/(1-AY205),Q205/(1-AY205)),P205/(1-AY205))*BF205,0)</f>
        <v>#VALUE!</v>
      </c>
      <c r="BX205" s="1316" t="e">
        <f aca="false">IF(BQ205,IF(OPriceCurve,IF(OBuySell=OCallPut,R205/(1-AY205),T205/(1-AY205)),S205/(1-AY205))*BG205,0)</f>
        <v>#VALUE!</v>
      </c>
      <c r="BY205" s="1316" t="e">
        <f aca="false">IF(BP205,(BU205*AZ205+BV205*BA205+BW205*BB205)/BP205,0)</f>
        <v>#VALUE!</v>
      </c>
      <c r="BZ205" s="1316" t="e">
        <f aca="false">IF(BQ205,(BY205*BP205+BX205*BC205)/BQ205,0)</f>
        <v>#VALUE!</v>
      </c>
      <c r="CA205" s="1531" t="e">
        <f aca="false">IF(BS205,IF(OPriceCurve,IF(OBuySell=OCallPut,I205/(1-AY205),K205/(1-AY205)),J205/(1-AY205))*BL205,0)</f>
        <v>#VALUE!</v>
      </c>
      <c r="CB205" s="1316" t="e">
        <f aca="false">IF(BS205,IF(OPriceCurve,IF(OBuySell=OCallPut,L205/(1-AY205),N205/(1-AY205)),M205/(1-AY205))*BM205,0)</f>
        <v>#VALUE!</v>
      </c>
      <c r="CC205" s="1316" t="e">
        <f aca="false">IF(BS205,IF(OPriceCurve,IF(OBuySell=OCallPut,O205/(1-AY205),Q205/(1-AY205)),P205/(1-AY205))*BN205,0)</f>
        <v>#VALUE!</v>
      </c>
      <c r="CD205" s="1316" t="e">
        <f aca="false">IF(BS205,IF(OPriceCurve,IF(OBuySell=OCallPut,R205/(1-AY205),T205/(1-AY205)),S205/(1-AY205))*BO205,0)</f>
        <v>#VALUE!</v>
      </c>
      <c r="CE205" s="1316" t="e">
        <f aca="false">IF(BR205,(BU205*BH205+BV205*BI205+BW205*BJ205)/BR205,0)</f>
        <v>#VALUE!</v>
      </c>
      <c r="CF205" s="1532" t="e">
        <f aca="false">IF(BS205,(CE205*BR205+CD205*BK205)/BS205,0)</f>
        <v>#VALUE!</v>
      </c>
      <c r="CG205" s="1586" t="e">
        <f aca="false">IF(OR(BQ205,BS205),IF(OVolType&lt;&gt;2,SQRT(IF(OVolOverMonthlyPeak,OVolOverMonthlyPeak,IF(OVolCurve,IF(OBuySell,U205,W205),V205))^2*(1-15/365.25/BT205)+IF(OVolOverDailyPeak,OVolOverDailyPeak,IF(OVolCurve,IF(OBuySell,AG205,AI205),AH205))^2*15/365.25/BT205),IF(OVolOverMonthlyPeak,OVolOverMonthlyPeak,IF(OVolCurve,IF(OBuySell,U205,W205),V205))),"")</f>
        <v>#VALUE!</v>
      </c>
      <c r="CH205" s="1587" t="e">
        <f aca="false">IF(OR(BQ205,BS205),IF(OVolType&lt;&gt;2,SQRT(IF(OVolOverMonthlyPeak,OVolOverMonthlyPeak,IF(OVolCurve,IF(OBuySell,X205,Z205),Y205))^2*(1-15/365.25/BT205)+IF(OVolOverDailyPeak,OVolOverDailyPeak,IF(OVolCurve,IF(OBuySell,AJ205,AL205),AK205))^2*15/365.25/BT205),IF(OVolOverMonthlyPeak,OVolOverMonthlyPeak,IF(OVolCurve,IF(OBuySell,X205,Z205),Y205))),"")</f>
        <v>#VALUE!</v>
      </c>
      <c r="CI205" s="1587" t="e">
        <f aca="false">IF(OR(BQ205,BS205),IF(OVolType&lt;&gt;2,SQRT(IF(OVolOverMonthlyPeak,OVolOverMonthlyPeak,IF(OVolCurve,IF(OBuySell,AA205,AC205),AB205))^2*(1-15/365.25/BT205)+IF(OVolOverDailyPeak,OVolOverDailyPeak,IF(OVolCurve,IF(OBuySell,AM205,AO205),AN205))^2*15/365.25/BT205),IF(OVolOverMonthlyPeak,OVolOverMonthlyPeak,IF(OVolCurve,IF(OBuySell,AA205,AC205),AB205))),"")</f>
        <v>#VALUE!</v>
      </c>
      <c r="CJ205" s="1587" t="e">
        <f aca="false">IF(BQ205,IF(BP205,SQRT(LN(1+((BU205*AZ205)^2*(EXP(CG205^2*BT205)-1)+(BV205*BA205)^2*(EXP(CH205^2*BT205)-1)+(BW205*BB205)^2*(EXP(CI205^2*BT205)-1)+2*BU205*AZ205*BV205*BA205*(EXP(CG205*CH205*BT205)-1)+2*BV205*BA205*BW205*BB205*(EXP(CH205*CI205*BT205)-1)+2*BW205*BB205*BU205*AZ205*(EXP(CI205*CG205*BT205)-1))/(BY205*BP205)^2)/BT205),0),"")</f>
        <v>#VALUE!</v>
      </c>
      <c r="CK205" s="1587" t="e">
        <f aca="false">IF(BS205,IF(BR205,SQRT(LN(1+((CA205*BH205)^2*(EXP(CG205^2*BT205)-1)+(CB205*BI205)^2*(EXP(CH205^2*BT205)-1)+(CC205*BJ205)^2*(EXP(CI205^2*BT205)-1)+2*CA205*BH205*CB205*BI205*(EXP(CG205*CH205*BT205)-1)+2*CB205*BI205*CC205*BJ205*(EXP(CH205*CI205*BT205)-1)+2*CC205*BJ205*CA205*BH205*(EXP(CI205*CG205*BT205)-1))/(CE205*BR205)^2)/BT205),0),"")</f>
        <v>#VALUE!</v>
      </c>
      <c r="CL205" s="1587" t="e">
        <f aca="false">IF(OR(BQ205,BS205),IF(OVolType&lt;&gt;2,SQRT(IF(OVolOverMonthlyOffPeak,OVolOverMonthlyOffPeak,IF(OVolCurve,IF(OBuySell,AD205,AF205),AE205))^2*(1-15/365.25/BT205)+IF(OVolOverDailyOffPeak,OVolOverDailyOffPeak,IF(OVolCurve,IF(OBuySell,AP205,AR205),AQ205))^2*15/365.25/BT205),IF(OVolOverMonthlyOffPeak,OVolOverMonthlyOffPeak,IF(OVolCurve,IF(OBuySell,AD205,AF205),AE205))),"")</f>
        <v>#VALUE!</v>
      </c>
      <c r="CM205" s="1587" t="e">
        <f aca="false">IF(BQ205,SQRT(LN(1+((BY205*BP205)^2*(EXP(CJ205^2*BT205)-1)+(BX205*BC205)^2*(EXP(CL205^2*BT205)-1)+2*BY205*BP205*BX205*BC205*(EXP(AS205*CJ205*CL205*BT205)-1))/(BY205*BP205+BX205*BC205)^2)/BT205),"")</f>
        <v>#VALUE!</v>
      </c>
      <c r="CN205" s="1588" t="e">
        <f aca="false">IF(BS205,SQRT(LN(1+((CE205*BR205)^2*(EXP(CK205^2*BT205)-1)+(CD205*BK205)^2*(EXP(CL205^2*BT205)-1)+2*CE205*BR205*CD205*BK205*(EXP(AS205*CK205*CL205*BT205)-1))/(CE205*BR205+CD205*BK205)^2)/BT205),"")</f>
        <v>#VALUE!</v>
      </c>
      <c r="CO205" s="1531" t="e">
        <f aca="false">IF(OR(BQ205,BS205),VLOOKUP(A205,GasTable,13)*HeatRatePeak*(1+VLOOKUP($B205,HeatRateDegradation,$C205+1))/1000,0)</f>
        <v>#VALUE!</v>
      </c>
      <c r="CP205" s="1316" t="e">
        <f aca="false">IF(OR(BQ205,BS205),VLOOKUP(A205,GasTable,13)*HeatRatePeak*(1+VLOOKUP($B205,HeatRateDegradation,$C205+1))/1000,0)</f>
        <v>#VALUE!</v>
      </c>
      <c r="CQ205" s="1316" t="e">
        <f aca="false">IF(OR(BQ205,BS205),VLOOKUP(A205,GasTable,13)*IF(EV205,HeatRatePeak,HeatRateOffPeak)*(1+VLOOKUP($B205,HeatRateDegradation,$C205+1))/1000,0)</f>
        <v>#VALUE!</v>
      </c>
      <c r="CR205" s="1316" t="e">
        <f aca="false">IF(OR(BQ205,BS205),VLOOKUP(A205,GasTable,13)*IF(EW205,HeatRatePeak,HeatRateOffPeak)*(1+VLOOKUP($B205,HeatRateDegradation,$C205+1))/1000,0)</f>
        <v>#VALUE!</v>
      </c>
      <c r="CS205" s="1589" t="e">
        <f aca="false">IF(BQ205,(CO205*AZ205+CP205*BA205+CQ205*BB205+CR205*BC205)/BQ205,0)</f>
        <v>#VALUE!</v>
      </c>
      <c r="CT205" s="1316" t="e">
        <f aca="false">IF(BS205,CO205,0)</f>
        <v>#VALUE!</v>
      </c>
      <c r="CU205" s="1590" t="e">
        <f aca="false">IF(OR(BQ205,BS205),VLOOKUP(A205,GasTable,14),"")</f>
        <v>#VALUE!</v>
      </c>
      <c r="CV205" s="1568" t="e">
        <f aca="false">IF(OR(BQ205,BS205),IF(CorrPowerGasOverFlag,INDEX(CorrPowerGasOver,C205),CorrPowerGas),"")</f>
        <v>#VALUE!</v>
      </c>
      <c r="CW205" s="1316" t="e">
        <f aca="false">IF(OR($BQ205,$BS205),SpreadOptPowerMargin,0)*((1+Assumptions!$C$26)^($B205-YEAR(Assumptions!$C$17)))</f>
        <v>#VALUE!</v>
      </c>
      <c r="CX205" s="1316" t="e">
        <f aca="false">IF(OR($BQ205,$BS205),SpreadOptPowerMargin,0)*((1+Assumptions!$C$26)^($B205-YEAR(Assumptions!$C$17)))</f>
        <v>#VALUE!</v>
      </c>
      <c r="CY205" s="1316" t="e">
        <f aca="false">IF(OR($BQ205,$BS205),SpreadOptPowerMargin,0)*((1+Assumptions!$C$26)^($B205-YEAR(Assumptions!$C$17)))</f>
        <v>#VALUE!</v>
      </c>
      <c r="CZ205" s="1316" t="e">
        <f aca="false">IF(OR($BQ205,$BS205),SpreadOptPowerMargin,0)*((1+Assumptions!$C$26)^($B205-YEAR(Assumptions!$C$17)))</f>
        <v>#VALUE!</v>
      </c>
      <c r="DA205" s="1591" t="e">
        <f aca="false">IF(OR(BQ205,BS205),(CW205*(AZ205+BH205)+CX205*(BA205+BI205)+CY205*(BB205+BJ205)+CZ205*(BC205+BK205))/(BQ205+BS205),0)</f>
        <v>#VALUE!</v>
      </c>
      <c r="DB205" s="1592" t="e">
        <f aca="false">IF(OR(BQ205,BS205),CG205+IF(OVolSmile,VLOOKUP(MAX(-5,CO205+CW205-BU205),IF(OVolSmile=1,VolSmileBook,VolSmileModel),2),0),"")</f>
        <v>#VALUE!</v>
      </c>
      <c r="DC205" s="1592" t="e">
        <f aca="false">IF(OR(BQ205,BS205),CH205+IF(OVolSmile,VLOOKUP(MAX(-5,CP205+CW205-BV205),IF(OVolSmile=1,VolSmileBook,VolSmileModel),2),0),"")</f>
        <v>#VALUE!</v>
      </c>
      <c r="DD205" s="1592" t="e">
        <f aca="false">IF(OR(BQ205,BS205),CI205+IF(OVolSmile,VLOOKUP(MAX(-5,CQ205+CW205-BW205),IF(OVolSmile=1,VolSmileBook,VolSmileModel),2),0),"")</f>
        <v>#VALUE!</v>
      </c>
      <c r="DE205" s="1592" t="e">
        <f aca="false">IF(OR(BQ205,BS205),CL205+IF(OVolSmile,VLOOKUP(MAX(-5,CR205+CZ205-BX205),IF(OVolSmile=1,VolSmileBook,VolSmileModel),2),0),"")</f>
        <v>#VALUE!</v>
      </c>
      <c r="DF205" s="1592" t="e">
        <f aca="false">IF(BQ205,CM205+IF(OVolSmile,VLOOKUP(MAX(-5,CS205+DA205-BZ205),IF(OVolSmile=1,VolSmileBook,VolSmileModel),2),0),"")</f>
        <v>#VALUE!</v>
      </c>
      <c r="DG205" s="1593" t="e">
        <f aca="false">IF(BS205,CN205+IF(OVolSmile,VLOOKUP(MAX(-5,CT205+DA205-CF205),IF(OVolSmile=1,VolSmileBook,VolSmileModel),2),0),"")</f>
        <v>#VALUE!</v>
      </c>
      <c r="DH205" s="1316" t="e">
        <f aca="false">IF(AND(BU205&gt;0,CO205&gt;0,DB205&gt;0,CU205&gt;0),newSPRDOPT(BU205,CO205,CW205,0,DB205,CU205,CV205,BT205*365.25,OCallPut,0),0)</f>
        <v>#VALUE!</v>
      </c>
      <c r="DI205" s="1316" t="e">
        <f aca="false">IF(AND(BV205&gt;0,CP205&gt;0,DC205&gt;0,CU205&gt;0),newSPRDOPT(BV205,CP205,CX205,0,DC205,CU205,CV205,BT205*365.25,OCallPut,0),0)</f>
        <v>#VALUE!</v>
      </c>
      <c r="DJ205" s="1316" t="e">
        <f aca="false">IF(AND(BW205&gt;0,CQ205&gt;0,DD205&gt;0,CU205&gt;0),newSPRDOPT(BW205,CQ205,CY205,0,DD205,CU205,CV205,BT205*365.25,OCallPut,0),0)</f>
        <v>#VALUE!</v>
      </c>
      <c r="DK205" s="1316" t="e">
        <f aca="false">IF(AND(BX205&gt;0,CR205&gt;0,DE205&gt;0,CU205&gt;0),newSPRDOPT(BX205,CR205,CZ205,0,DE205,CU205,CV205,BT205*365.25,OCallPut,0),0)</f>
        <v>#VALUE!</v>
      </c>
      <c r="DL205" s="1316" t="e">
        <f aca="false">IF(OVolType,IF(AND(BZ205&gt;0,CS205&gt;0,DF205&gt;0,CU205&gt;0),newSPRDOPT(BZ205,CS205,DA205,0,DF205,CU205,CV205,BT205*365.25,OCallPut,0),0),IF(BQ205,(DH205*AZ205+DI205*BA205+DJ205*BB205+DK205*BC205)/BQ205,0))</f>
        <v>#VALUE!</v>
      </c>
      <c r="DM205" s="1316"/>
      <c r="DN205" s="1316"/>
      <c r="DO205" s="1316"/>
      <c r="DP205" s="1316"/>
      <c r="DQ205" s="1316"/>
      <c r="DR205" s="1316"/>
      <c r="DS205" s="1316"/>
      <c r="DT205" s="1316"/>
      <c r="DU205" s="1316"/>
      <c r="DV205" s="1316"/>
      <c r="DW205" s="1594" t="e">
        <f aca="false">IF(AND(BW205&gt;0,CT205&gt;0,DD205&gt;0,CU205&gt;0),newSPRDOPT(BW205,CT205,CY205,0,DD205,CU205,CV205,BT205*365.25,OCallPut,0),0)</f>
        <v>#VALUE!</v>
      </c>
      <c r="DX205" s="1316" t="e">
        <f aca="false">IF(AND(BX205&gt;0,CT205&gt;0,DE205&gt;0,CU205&gt;0),newSPRDOPT(BX205,CT205,CZ205,0,DE205,CU205,CV205,BT205*365.25,OCallPut,0),0)</f>
        <v>#VALUE!</v>
      </c>
      <c r="DY205" s="1591" t="e">
        <f aca="false">IF(BS205,(DH205*BH205+DI205*BI205+DW205*BJ205+DX205*BK205)/BS205,0)</f>
        <v>#VALUE!</v>
      </c>
      <c r="DZ205" s="1551" t="e">
        <f aca="false">DH205*AZ205</f>
        <v>#VALUE!</v>
      </c>
      <c r="EA205" s="1551" t="e">
        <f aca="false">DI205*BA205</f>
        <v>#VALUE!</v>
      </c>
      <c r="EB205" s="1551" t="e">
        <f aca="false">DJ205*BB205</f>
        <v>#VALUE!</v>
      </c>
      <c r="EC205" s="1551" t="e">
        <f aca="false">DK205*BC205</f>
        <v>#VALUE!</v>
      </c>
      <c r="ED205" s="1551" t="e">
        <f aca="false">DL205*BQ205</f>
        <v>#VALUE!</v>
      </c>
      <c r="EE205" s="1595" t="e">
        <f aca="false">IF(BQ205,IF(OCallPut,IF(BU205&gt;(CO205+CW205),BU205-(CO205+CW205),0),IF((CO205+CW205)&gt;BU205,(CO205+CW205)-BU205,0))*AZ205,0)</f>
        <v>#VALUE!</v>
      </c>
      <c r="EF205" s="1596" t="e">
        <f aca="false">IF(BQ205,IF(OCallPut,IF(BV205&gt;(CP205+CX205),BV205-(CP205+CX205),0),IF((CP205+CX205)&gt;BV205,(CP205+CX205)-BV205,0))*BA205,0)</f>
        <v>#VALUE!</v>
      </c>
      <c r="EG205" s="1596" t="e">
        <f aca="false">IF(BQ205,IF(OCallPut,IF(BW205&gt;(CQ205+CY205),BW205-(CQ205+CY205),0),IF((CQ205+CY205)&gt;BW205,(CQ205+CY205)-BW205,0))*BB205,0)</f>
        <v>#VALUE!</v>
      </c>
      <c r="EH205" s="1596" t="e">
        <f aca="false">IF(BQ205,IF(OCallPut,IF(BX205&gt;(CR205+CZ205),BX205-(CR205+CZ205),0),IF((CR205+CZ205)&gt;BX205,(CR205+CZ205)-BX205,0))*BC205,0)</f>
        <v>#VALUE!</v>
      </c>
      <c r="EI205" s="1597" t="e">
        <f aca="false">IF(BQ205,IF(OVolType,IF(OCallPut,IF(BZ205&gt;(CS205+DA205),BZ205-(CS205+DA205),0),IF((CS205+DA205)&gt;BZ205,(CS205+DA205)-BZ205,0))*BQ205,SUM(EE205:EH205)),0)</f>
        <v>#VALUE!</v>
      </c>
      <c r="EJ205" s="1595" t="e">
        <f aca="false">DZ205-EE205</f>
        <v>#VALUE!</v>
      </c>
      <c r="EK205" s="1596" t="e">
        <f aca="false">EA205-EF205</f>
        <v>#VALUE!</v>
      </c>
      <c r="EL205" s="1596" t="e">
        <f aca="false">EB205-EG205</f>
        <v>#VALUE!</v>
      </c>
      <c r="EM205" s="1596" t="e">
        <f aca="false">EC205-EH205</f>
        <v>#VALUE!</v>
      </c>
      <c r="EN205" s="1597" t="e">
        <f aca="false">ED205-EI205</f>
        <v>#VALUE!</v>
      </c>
      <c r="EO205" s="1551" t="e">
        <f aca="false">DH205*BH205</f>
        <v>#VALUE!</v>
      </c>
      <c r="EP205" s="1551" t="e">
        <f aca="false">DI205*BI205</f>
        <v>#VALUE!</v>
      </c>
      <c r="EQ205" s="1551" t="e">
        <f aca="false">DW205*BJ205</f>
        <v>#VALUE!</v>
      </c>
      <c r="ER205" s="1551" t="e">
        <f aca="false">DX205*BK205</f>
        <v>#VALUE!</v>
      </c>
      <c r="ES205" s="1551" t="e">
        <f aca="false">DY205*BS205</f>
        <v>#VALUE!</v>
      </c>
      <c r="ET205" s="1566" t="e">
        <f aca="false">IF(EI205,IF(OCallPut,IF(CA205&gt;(CT205+CW205),CA205-(CT205+CW205),0),IF((CT205+CW205)&gt;CA205,(CT205+CW205)-CA205,0))*BH205,0)</f>
        <v>#VALUE!</v>
      </c>
      <c r="EU205" s="1551" t="e">
        <f aca="false">IF(EI205,IF(OCallPut,IF(CB205&gt;(CT205+CX205),CB205-(CT205+CX205),0),IF((CT205+CX205)&gt;CB205,(CT205+CX205)-CB205,0))*BI205,0)</f>
        <v>#VALUE!</v>
      </c>
      <c r="EV205" s="1551" t="e">
        <f aca="false">IF(EI205,IF(OCallPut,IF(CC205&gt;(CT205+CY205),CC205-(CT205+CY205),0),IF((CT205+CY205)&gt;CC205,(CT205+CY205)-CC205,0))*BJ205,0)</f>
        <v>#VALUE!</v>
      </c>
      <c r="EW205" s="1551" t="e">
        <f aca="false">IF(EI205,IF(OCallPut,IF(CD205&gt;(CT205+CZ205),CD205-(CT205+CZ205),0),IF((CT205+CZ205)&gt;CD205,(CT205+CZ205)-CD205,0))*BK205,0)</f>
        <v>#VALUE!</v>
      </c>
      <c r="EX205" s="1558" t="e">
        <f aca="false">IF(EI205,SUM(ET205:EW205),0)</f>
        <v>#VALUE!</v>
      </c>
      <c r="EY205" s="1551" t="e">
        <f aca="false">EO205-ET205</f>
        <v>#VALUE!</v>
      </c>
      <c r="EZ205" s="1551" t="e">
        <f aca="false">EP205-EU205</f>
        <v>#VALUE!</v>
      </c>
      <c r="FA205" s="1551" t="e">
        <f aca="false">EQ205-EV205</f>
        <v>#VALUE!</v>
      </c>
      <c r="FB205" s="1551" t="e">
        <f aca="false">ER205-EW205</f>
        <v>#VALUE!</v>
      </c>
      <c r="FC205" s="1551" t="e">
        <f aca="false">ES205-EX205</f>
        <v>#VALUE!</v>
      </c>
      <c r="FD205" s="1525" t="n">
        <f aca="false">IF(AX205,IF(VLOOKUP(C205,MAIN!$L$17:$M$28,2)="Yes",VLOOKUP(CALC!B205,MAIN!$H$17:$I$20,2),0),0)</f>
        <v>0</v>
      </c>
      <c r="FE205" s="1552" t="e">
        <f aca="false">$FD205*16*AT205*(1-$AY205)</f>
        <v>#VALUE!</v>
      </c>
      <c r="FF205" s="1553" t="e">
        <f aca="false">$FD205*16*AU205*(1-$AY205)</f>
        <v>#VALUE!</v>
      </c>
      <c r="FG205" s="1553" t="e">
        <f aca="false">$FD205*16*(AV205+AW205)*(1-$AY205)</f>
        <v>#VALUE!</v>
      </c>
      <c r="FH205" s="1554" t="n">
        <f aca="false">$FD205*8*AX205*(1-$AY205)</f>
        <v>0</v>
      </c>
      <c r="FI205" s="1555" t="n">
        <f aca="false">IF(AX205,VLOOKUP(CALC!B205,MAIN!$H$17:$K$20,4),0)</f>
        <v>0</v>
      </c>
      <c r="FJ205" s="1553" t="e">
        <f aca="false">SUM(FE205:FH205)</f>
        <v>#VALUE!</v>
      </c>
      <c r="FK205" s="1556" t="e">
        <f aca="false">FI205*FJ205</f>
        <v>#VALUE!</v>
      </c>
      <c r="FL205" s="1551" t="e">
        <f aca="false">IF($EI205&gt;0,MIN(FE205,AZ205*(1+VLOOKUP($C205,WeatherCapacityAdjustment,2))),0)</f>
        <v>#VALUE!</v>
      </c>
      <c r="FM205" s="1551" t="e">
        <f aca="false">IF($EI205&gt;0,MIN(FF205,BA205*(1+VLOOKUP($C205,WeatherCapacityAdjustment,2))),0)</f>
        <v>#VALUE!</v>
      </c>
      <c r="FN205" s="1551" t="e">
        <f aca="false">IF($EI205&gt;0,MIN(FG205,BB205*(1+VLOOKUP($C205,WeatherCapacityAdjustment,2))),0)</f>
        <v>#VALUE!</v>
      </c>
      <c r="FO205" s="1564" t="e">
        <f aca="false">IF($EI205&gt;0,MIN(FH205,BC205*(1+VLOOKUP($C205,WeatherCapacityAdjustment,3))),0)</f>
        <v>#VALUE!</v>
      </c>
      <c r="FP205" s="1551" t="e">
        <f aca="false">IF(ET205&gt;0,MIN(FE205-FL205,BH205*(1+VLOOKUP($C205,WeatherCapacityAdjustment,2))),0)</f>
        <v>#VALUE!</v>
      </c>
      <c r="FQ205" s="1551" t="e">
        <f aca="false">IF(EU205&gt;0,MIN(FF205-FM205,BI205*(1+VLOOKUP($C205,WeatherCapacityAdjustment,2))),0)</f>
        <v>#VALUE!</v>
      </c>
      <c r="FR205" s="1551" t="e">
        <f aca="false">IF(EV205&gt;0,MIN(FG205-FN205,BJ205*(1+VLOOKUP($C205,WeatherCapacityAdjustment,2))),0)</f>
        <v>#VALUE!</v>
      </c>
      <c r="FS205" s="1558" t="e">
        <f aca="false">IF(EW205&gt;0,MIN(FH205-FO205,BK205*(1+VLOOKUP($C205,WeatherCapacityAdjustment,3))),0)</f>
        <v>#VALUE!</v>
      </c>
      <c r="FT205" s="1566" t="e">
        <f aca="false">IF(AND(Assumptions!$H$71="Yes",A205&gt;=Assumptions!$H$72,A205&lt;=Assumptions!$H$73),0,IF(AND($A205&gt;=Assumptions!$C$17,$A205&lt;=Assumptions!$C$18),MAX(AZ205*(1+VLOOKUP($C205,WeatherCapacityAdjustment,2))-FL205,0),0))</f>
        <v>#VALUE!</v>
      </c>
      <c r="FU205" s="1551" t="e">
        <f aca="false">IF(AND(Assumptions!$H$71="Yes",A205&gt;=Assumptions!$H$72,A205&lt;=Assumptions!$H$73),0,IF(AND($A205&gt;=Assumptions!$C$17,$A205&lt;=Assumptions!$C$18),MAX(BA205*(1+VLOOKUP($C205,WeatherCapacityAdjustment,2))-FM205,0),0))</f>
        <v>#VALUE!</v>
      </c>
      <c r="FV205" s="1551" t="e">
        <f aca="false">IF(AND(Assumptions!$H$71="Yes",A205&gt;=Assumptions!$H$72,A205&lt;=Assumptions!$H$73),0,IF(AND($A205&gt;=Assumptions!$C$17,$A205&lt;=Assumptions!$C$18),MAX(BB205*(1+VLOOKUP($C205,WeatherCapacityAdjustment,2))-FN205,0),0))</f>
        <v>#VALUE!</v>
      </c>
      <c r="FW205" s="1564" t="e">
        <f aca="false">IF(AND(Assumptions!$H$71="Yes",A205&gt;=Assumptions!$H$72,A205&lt;=Assumptions!$H$73),0,IF(AND($A205&gt;=Assumptions!$C$17,$A205&lt;=Assumptions!$C$18),MAX(BC205*(1+VLOOKUP($C205,WeatherCapacityAdjustment,3))-FO205,0),0))</f>
        <v>#VALUE!</v>
      </c>
      <c r="FX205" s="1569" t="e">
        <f aca="false">IF(AND(Assumptions!$H$71="Yes",A205&gt;=Assumptions!$H$72,A205&lt;=Assumptions!$H$73),0,IF(ET205&gt;0,MAX(BH205*(1+VLOOKUP($C205,WeatherCapacityAdjustment,2))-FP205,0),0))</f>
        <v>#VALUE!</v>
      </c>
      <c r="FY205" s="1551" t="e">
        <f aca="false">IF(AND(Assumptions!$H$71="Yes",A205&gt;=Assumptions!$H$72,A205&lt;=Assumptions!$H$73),0,IF(EU205&gt;0,MAX(BI205*(1+VLOOKUP($C205,WeatherCapacityAdjustment,3))-FQ205,0),0))</f>
        <v>#VALUE!</v>
      </c>
      <c r="FZ205" s="1551" t="e">
        <f aca="false">IF(AND(Assumptions!$H$71="Yes",A205&gt;=Assumptions!$H$72,A205&lt;=Assumptions!$H$73),0,IF(EV205&gt;0,MAX(BJ205*(1+VLOOKUP($C205,WeatherCapacityAdjustment,2))-FR205,0),0))</f>
        <v>#VALUE!</v>
      </c>
      <c r="GA205" s="1564" t="e">
        <f aca="false">IF(AND(Assumptions!$H$71="Yes",A205&gt;=Assumptions!$H$72,A205&lt;=Assumptions!$H$73),0,IF(EW205&gt;0,MAX(BK205*(1+VLOOKUP($C205,WeatherCapacityAdjustment,2))-FS205,0),0))</f>
        <v>#VALUE!</v>
      </c>
      <c r="GB205" s="1551" t="e">
        <f aca="false">SUM(FT205:GA205)</f>
        <v>#VALUE!</v>
      </c>
      <c r="GC205" s="1563" t="e">
        <f aca="false">+IF(SUM(FT205:GA205)=0,0,(SUMPRODUCT(BU205:BX205,FT205:FW205)+SUMPRODUCT(CA205:CD205,FX205:GA205))/SUM(FT205:GA205))</f>
        <v>#VALUE!</v>
      </c>
      <c r="GD205" s="1551" t="e">
        <f aca="false">(FT205*BU205+FX205*CA205+FU205*BV205+FY205*CB205+FV205*BW205+FZ205*CC205+FW205*BX205+GA205*CD205)</f>
        <v>#VALUE!</v>
      </c>
      <c r="GE205" s="1561" t="e">
        <f aca="false">+IF(BQ205,((FL205+FM205+FT205+FU205)*HeatRatePeak/1000*(1+VLOOKUP($C205,WeatherHeatRateAdjustment,2))+(FN205+FV205)*IF(EV205&gt;0,HeatRatePeak,HeatRateOffPeak)/1000*(1+VLOOKUP($C205,WeatherHeatRateAdjustment,2))+(FO205+FW205)*IF(EW205&gt;0,HeatRatePeak,HeatRateOffPeak)/1000*(1+VLOOKUP($C205,WeatherHeatRateAdjustment,3)))*(1+VLOOKUP($B205,HeatRateDegradation,$C205+1)),0)</f>
        <v>#VALUE!</v>
      </c>
      <c r="GF205" s="1562" t="e">
        <f aca="false">IF(BQ205,((FP205+FQ205+FR205+FX205+FY205+FZ205)*HeatRatePeak/1000*(1+VLOOKUP($C205,WeatherHeatRateAdjustment,2))+(FS205+GA205)*HeatRatePeak/1000*(1+VLOOKUP($C205,WeatherHeatRateAdjustment,3)))*(1+VLOOKUP($B205,HeatRateDegradation,$C205+1)),0)</f>
        <v>#VALUE!</v>
      </c>
      <c r="GG205" s="1563" t="e">
        <f aca="false">IF(BQ205,VLOOKUP(A205,GasTable,13),0)</f>
        <v>#VALUE!</v>
      </c>
      <c r="GH205" s="1564" t="e">
        <f aca="false">(GE205+GF205)*GG205</f>
        <v>#VALUE!</v>
      </c>
      <c r="GI205" s="1569" t="e">
        <f aca="false">GB205</f>
        <v>#VALUE!</v>
      </c>
      <c r="GJ205" s="1598" t="e">
        <f aca="false">+DA205</f>
        <v>#VALUE!</v>
      </c>
      <c r="GK205" s="1558" t="e">
        <f aca="false">+GI205*GJ205</f>
        <v>#VALUE!</v>
      </c>
      <c r="GL205" s="1566" t="e">
        <f aca="false">MAX(FE205-FL205-FP205,0)</f>
        <v>#VALUE!</v>
      </c>
      <c r="GM205" s="1551" t="e">
        <f aca="false">MAX(FF205-FM205-FQ205,0)</f>
        <v>#VALUE!</v>
      </c>
      <c r="GN205" s="1551" t="e">
        <f aca="false">MAX(FG205-FN205-FR205,0)</f>
        <v>#VALUE!</v>
      </c>
      <c r="GO205" s="1564" t="e">
        <f aca="false">MAX(FH205-FO205-FS205,0)</f>
        <v>#VALUE!</v>
      </c>
      <c r="GP205" s="1551" t="e">
        <f aca="false">SUM(GL205:GO205)</f>
        <v>#VALUE!</v>
      </c>
      <c r="GQ205" s="1563" t="e">
        <f aca="false">IF(SUM(GL205:GO205)=0,0,((GL205*BU205+GM205*BV205+GN205*BW205+GO205*BX205)/SUM(GL205:GO205)))</f>
        <v>#VALUE!</v>
      </c>
      <c r="GR205" s="1558" t="e">
        <f aca="false">(GL205*BU205+GM205*BV205+GN205*BW205+GO205*BX205)</f>
        <v>#VALUE!</v>
      </c>
      <c r="GS205" s="1566" t="n">
        <f aca="false">IF($A205&gt;=BegDate,Assumptions!$C$56*24*($A206-$A205)*(1-VLOOKUP($B205,MAIN!$AA$7:$AM$28,$C205+1))*(1-VLOOKUP($B205,MAIN!$AA$33:$AM$54,$C205+1)),0)*80/168</f>
        <v>257742.857142857</v>
      </c>
      <c r="GT205" s="286" t="n">
        <f aca="false">J205</f>
        <v>57.6063438212879</v>
      </c>
      <c r="GU205" s="286" t="n">
        <f aca="false">IF($A205&gt;=BegDate,VLOOKUP($A205,GasTable,13)+Assumptions!$C$58,0)</f>
        <v>3.78277004965559</v>
      </c>
      <c r="GV205" s="286" t="n">
        <f aca="false">GU205*Assumptions!$C$57/1000</f>
        <v>27.4250828600031</v>
      </c>
      <c r="GW205" s="1558" t="n">
        <f aca="false">IF(Assumptions!$C$60="Hourly",MAX(0,GS205*(GT205-GV205)),GS205*(GT205-GV205))</f>
        <v>7779004.43233573</v>
      </c>
      <c r="GX205" s="1566" t="n">
        <f aca="false">IF($A205&gt;=BegDate,Assumptions!$C$56*24*($A206-$A205)*(1-VLOOKUP($B205,MAIN!$AA$7:$AM$28,$C205+1))*(1-VLOOKUP($B205,MAIN!$AA$33:$AM$54,$C205+1)),0)*16/168</f>
        <v>51548.5714285714</v>
      </c>
      <c r="GY205" s="286" t="n">
        <f aca="false">M205</f>
        <v>57.6063438212879</v>
      </c>
      <c r="GZ205" s="286" t="n">
        <f aca="false">IF($A205&gt;=BegDate,VLOOKUP($A205,GasTable,13)+Assumptions!$C$58,0)</f>
        <v>3.78277004965559</v>
      </c>
      <c r="HA205" s="286" t="n">
        <f aca="false">GZ205*Assumptions!$C$57/1000</f>
        <v>27.4250828600031</v>
      </c>
      <c r="HB205" s="1558" t="n">
        <f aca="false">IF(Assumptions!$C$60="Hourly",MAX(0,GX205*(GY205-HA205)),GX205*(GY205-HA205))</f>
        <v>1555800.88646715</v>
      </c>
      <c r="HC205" s="1566" t="n">
        <f aca="false">IF($A205&gt;=BegDate,Assumptions!$C$56*24*($A206-$A205)*(1-VLOOKUP($B205,MAIN!$AA$7:$AM$28,$C205+1))*(1-VLOOKUP($B205,MAIN!$AA$33:$AM$54,$C205+1)),0)*16/168</f>
        <v>51548.5714285714</v>
      </c>
      <c r="HD205" s="286" t="n">
        <f aca="false">P205</f>
        <v>32.5262353821349</v>
      </c>
      <c r="HE205" s="286" t="n">
        <f aca="false">IF($A205&gt;=BegDate,VLOOKUP($A205,GasTable,13)+Assumptions!$C$58,0)</f>
        <v>3.78277004965559</v>
      </c>
      <c r="HF205" s="286" t="n">
        <f aca="false">HE205*Assumptions!$C$57/1000</f>
        <v>27.4250828600031</v>
      </c>
      <c r="HG205" s="1558" t="n">
        <f aca="false">IF(Assumptions!$C$60="Hourly",MAX(0,HC205*(HD205-HF205)),HC205*(HD205-HF205))</f>
        <v>262957.125155153</v>
      </c>
      <c r="HH205" s="1566" t="n">
        <f aca="false">IF($A205&gt;=BegDate,Assumptions!$C$56*24*($A206-$A205)*(1-VLOOKUP($B205,MAIN!$AA$7:$AM$28,$C205+1))*(1-VLOOKUP($B205,MAIN!$AA$33:$AM$54,$C205+1)),0)*56/168</f>
        <v>180420</v>
      </c>
      <c r="HI205" s="286" t="n">
        <f aca="false">S205</f>
        <v>32.5262353821349</v>
      </c>
      <c r="HJ205" s="286" t="n">
        <f aca="false">IF($A205&gt;=BegDate,VLOOKUP($A205,GasTable,13)+Assumptions!$C$58,0)</f>
        <v>3.78277004965559</v>
      </c>
      <c r="HK205" s="286" t="n">
        <f aca="false">HJ205*Assumptions!$C$57/1000</f>
        <v>27.4250828600031</v>
      </c>
      <c r="HL205" s="1558" t="n">
        <f aca="false">IF(Assumptions!$C$60="Hourly",MAX(0,HH205*(HI205-HK205)),HH205*(HI205-HK205))</f>
        <v>920349.938043034</v>
      </c>
      <c r="HM205" s="1566" t="n">
        <f aca="false">IF(AND(Assumptions!$H$71="Yes",A205&gt;=Assumptions!$H$72,A205&lt;=Assumptions!$H$73),Assumptions!$H$74*Assumptions!$C$9*1000,0)</f>
        <v>0</v>
      </c>
      <c r="HN205" s="1551"/>
      <c r="HO205" s="1563"/>
      <c r="HP205" s="1563"/>
      <c r="HQ205" s="1563"/>
      <c r="HR205" s="1563"/>
      <c r="HS205" s="1563"/>
      <c r="HT205" s="1563"/>
      <c r="HU205" s="1563"/>
      <c r="HV205" s="1563"/>
      <c r="HW205" s="1563"/>
      <c r="HX205" s="1563"/>
      <c r="HY205" s="1563"/>
      <c r="HZ205" s="1563"/>
      <c r="IA205" s="1563"/>
      <c r="IB205" s="1563"/>
      <c r="IC205" s="1563"/>
      <c r="ID205" s="1563"/>
      <c r="IE205" s="1563"/>
      <c r="IF205" s="1563"/>
      <c r="IG205" s="1563"/>
      <c r="IH205" s="1563"/>
      <c r="II205" s="1610"/>
      <c r="IJ205" s="1309"/>
      <c r="IK205" s="1309"/>
    </row>
    <row r="206" customFormat="false" ht="12.75" hidden="false" customHeight="false" outlineLevel="0" collapsed="false">
      <c r="A206" s="1571" t="n">
        <f aca="false">EOMONTH(A205,0)+1</f>
        <v>42401</v>
      </c>
      <c r="B206" s="594" t="n">
        <f aca="false">+YEAR(A206)</f>
        <v>2016</v>
      </c>
      <c r="C206" s="238" t="n">
        <f aca="false">MONTH(A206)</f>
        <v>2</v>
      </c>
      <c r="D206" s="1572" t="e">
        <f aca="false">IF(E206="","",Holiday(B206,C206))</f>
        <v>#VALUE!</v>
      </c>
      <c r="E206" s="1573" t="n">
        <f aca="false">IF(OR(BegDate&gt;=A207,EndDate&lt;A206,AND(VolumeMonthlyOverFlag,INDEX(VolumeMonthlyOver,C206)=0),NOT(INDEX(MonthKnockOutTable,C206))),"",MAX(A206,BegDate))</f>
        <v>42401</v>
      </c>
      <c r="F206" s="1574" t="n">
        <f aca="false">IF(E206="","",MIN(A207-1,EndDate))</f>
        <v>42429</v>
      </c>
      <c r="G206" s="1575" t="n">
        <v>0</v>
      </c>
      <c r="H206" s="1576" t="n">
        <f aca="false">(1+G206/2)^(-2*(DATE(B207,C207,20)-DateToday)/365.25)</f>
        <v>1</v>
      </c>
      <c r="I206" s="1568" t="n">
        <f aca="false">IF(Assumptions!$L$25=4,VLOOKUP($A206,'Henwood Reference'!$E$9:$R$320,10),(VLOOKUP($A206,PriceTable,2,0)+IF(BasisNumber&lt;&gt;1,VLOOKUP($A206,BasisTable,2,0),0)+I$1)/(1-I$2))</f>
        <v>43.6976908930213</v>
      </c>
      <c r="J206" s="1568" t="n">
        <f aca="false">IF(Assumptions!$L$25=4,VLOOKUP($A206,'Henwood Reference'!$E$9:$R$320,10),(VLOOKUP($A206,PriceTable,3,0)+IF(BasisNumber&lt;&gt;1,VLOOKUP($A206,BasisTable,2,0),0)+J$1)/(1-J$2))</f>
        <v>43.6976908930213</v>
      </c>
      <c r="K206" s="1568" t="n">
        <f aca="false">IF(Assumptions!$L$25=4,VLOOKUP($A206,'Henwood Reference'!$E$9:$R$320,10),(VLOOKUP($A206,PriceTable,4,0)+IF(BasisNumber&lt;&gt;1,VLOOKUP($A206,BasisTable,2,0),0)+K$1)/(1-K$2))</f>
        <v>43.6976908930213</v>
      </c>
      <c r="L206" s="1523" t="n">
        <f aca="false">IF(Assumptions!$L$25=4,VLOOKUP($A206,'Henwood Reference'!$E$9:$R$320,10),(VLOOKUP($A206,PriceTableWeekend,2,0)+IF(BasisNumber&lt;&gt;1,VLOOKUP($A206,BasisTable,2,0),0)+L$1)/(1-L$2))</f>
        <v>43.6976908930213</v>
      </c>
      <c r="M206" s="1568" t="n">
        <f aca="false">IF(Assumptions!$L$25=4,VLOOKUP($A206,'Henwood Reference'!$E$9:$R$320,10),(VLOOKUP($A206,PriceTableWeekend,3,0)+IF(BasisNumber&lt;&gt;1,VLOOKUP($A206,BasisTable,2,0),0)+M$1)/(1-M$2))</f>
        <v>43.6976908930213</v>
      </c>
      <c r="N206" s="1599" t="n">
        <f aca="false">IF(Assumptions!$L$25=4,VLOOKUP($A206,'Henwood Reference'!$E$9:$R$320,10),(VLOOKUP($A206,PriceTableWeekend,4,0)+IF(BasisNumber&lt;&gt;1,VLOOKUP($A206,BasisTable,2,0),0)+N$1)/(1-N$2))</f>
        <v>43.6976908930213</v>
      </c>
      <c r="O206" s="1568" t="n">
        <f aca="false">IF(Assumptions!$L$25=4,VLOOKUP($A206,'Henwood Reference'!$E$9:$R$320,11),(VLOOKUP($A206,PriceTableWeekend,6,0)+IF(BasisNumber&lt;&gt;1,VLOOKUP($A206,BasisTable,3,0),0)+O$1)/(1-O$2))</f>
        <v>27.5465925154892</v>
      </c>
      <c r="P206" s="1568" t="n">
        <f aca="false">IF(Assumptions!$L$25=4,VLOOKUP($A206,'Henwood Reference'!$E$9:$R$320,11),(VLOOKUP($A206,PriceTableWeekend,7,0)+IF(BasisNumber&lt;&gt;1,VLOOKUP($A206,BasisTable,3,0),0)+P$1)/(1-P$2))</f>
        <v>27.5465925154892</v>
      </c>
      <c r="Q206" s="1599" t="n">
        <f aca="false">IF(Assumptions!$L$25=4,VLOOKUP($A206,'Henwood Reference'!$E$9:$R$320,11),(VLOOKUP($A206,PriceTableWeekend,8,0)+IF(BasisNumber&lt;&gt;1,VLOOKUP($A206,BasisTable,3,0),0)+Q$1)/(1-Q$2))</f>
        <v>27.5465925154892</v>
      </c>
      <c r="R206" s="1568" t="n">
        <f aca="false">IF(Assumptions!$L$25=4,VLOOKUP($A206,'Henwood Reference'!$E$9:$R$320,11),(VLOOKUP($A206,PriceTable,6,0)+IF(BasisNumber&lt;&gt;1,VLOOKUP($A206,BasisTable,3,0),0)+R$1)/(1-R$2))</f>
        <v>27.5465925154892</v>
      </c>
      <c r="S206" s="1568" t="n">
        <f aca="false">IF(Assumptions!$L$25=4,VLOOKUP($A206,'Henwood Reference'!$E$9:$R$320,11),(VLOOKUP($A206,PriceTable,7,0)+IF(BasisNumber&lt;&gt;1,VLOOKUP($A206,BasisTable,3,0),0)+S$1)/(1-S$2))</f>
        <v>27.5465925154892</v>
      </c>
      <c r="T206" s="1600" t="n">
        <f aca="false">IF(Assumptions!$L$25=4,VLOOKUP($A206,'Henwood Reference'!$E$9:$R$320,11),(VLOOKUP($A206,PriceTable,8,0)+IF(BasisNumber&lt;&gt;1,VLOOKUP($A206,BasisTable,3,0),0)+T$1)/(1-T$2))</f>
        <v>27.5465925154892</v>
      </c>
      <c r="U206" s="1513" t="n">
        <f aca="false">VLOOKUP($A206,VolatilityTable,14)</f>
        <v>0.09</v>
      </c>
      <c r="V206" s="1513" t="n">
        <f aca="false">VLOOKUP($A206,VolatilityTable,15)</f>
        <v>0.1</v>
      </c>
      <c r="W206" s="1514" t="n">
        <f aca="false">VLOOKUP($A206,VolatilityTable,16)</f>
        <v>0.11</v>
      </c>
      <c r="X206" s="1513" t="n">
        <f aca="false">VLOOKUP($A206,VolatilityTable,14)</f>
        <v>0.09</v>
      </c>
      <c r="Y206" s="1513" t="n">
        <f aca="false">VLOOKUP($A206,VolatilityTable,15)</f>
        <v>0.1</v>
      </c>
      <c r="Z206" s="1514" t="n">
        <f aca="false">VLOOKUP($A206,VolatilityTable,16)</f>
        <v>0.11</v>
      </c>
      <c r="AA206" s="1513" t="n">
        <f aca="false">VLOOKUP($A206,VolatilityTable,18)</f>
        <v>0.09</v>
      </c>
      <c r="AB206" s="1513" t="n">
        <f aca="false">VLOOKUP($A206,VolatilityTable,19)</f>
        <v>0.11</v>
      </c>
      <c r="AC206" s="1514" t="n">
        <f aca="false">VLOOKUP($A206,VolatilityTable,20)</f>
        <v>0.13</v>
      </c>
      <c r="AD206" s="1513" t="n">
        <f aca="false">VLOOKUP($A206,VolatilityTable,18)</f>
        <v>0.09</v>
      </c>
      <c r="AE206" s="1513" t="n">
        <f aca="false">VLOOKUP($A206,VolatilityTable,19)</f>
        <v>0.11</v>
      </c>
      <c r="AF206" s="1514" t="n">
        <f aca="false">VLOOKUP($A206,VolatilityTable,20)</f>
        <v>0.13</v>
      </c>
      <c r="AG206" s="1513" t="n">
        <f aca="false">VLOOKUP($A206,VolatilityTable,22)</f>
        <v>-0.25</v>
      </c>
      <c r="AH206" s="1513" t="n">
        <f aca="false">VLOOKUP($A206,VolatilityTable,23)</f>
        <v>0.65</v>
      </c>
      <c r="AI206" s="1514" t="n">
        <f aca="false">VLOOKUP($A206,VolatilityTable,24)</f>
        <v>0.25</v>
      </c>
      <c r="AJ206" s="1513" t="n">
        <f aca="false">VLOOKUP($A206,VolatilityTable,22)</f>
        <v>-0.25</v>
      </c>
      <c r="AK206" s="1513" t="n">
        <f aca="false">VLOOKUP($A206,VolatilityTable,23)</f>
        <v>0.65</v>
      </c>
      <c r="AL206" s="1514" t="n">
        <f aca="false">VLOOKUP($A206,VolatilityTable,24)</f>
        <v>0.25</v>
      </c>
      <c r="AM206" s="1513" t="n">
        <f aca="false">VLOOKUP($A206,VolatilityTable,26)</f>
        <v>-0.01</v>
      </c>
      <c r="AN206" s="1513" t="n">
        <f aca="false">VLOOKUP($A206,VolatilityTable,27)</f>
        <v>0.16</v>
      </c>
      <c r="AO206" s="1514" t="n">
        <f aca="false">VLOOKUP($A206,VolatilityTable,28)</f>
        <v>0.01</v>
      </c>
      <c r="AP206" s="1513" t="n">
        <f aca="false">VLOOKUP($A206,VolatilityTable,26)</f>
        <v>-0.01</v>
      </c>
      <c r="AQ206" s="1513" t="n">
        <f aca="false">VLOOKUP($A206,VolatilityTable,27)</f>
        <v>0.16</v>
      </c>
      <c r="AR206" s="1515" t="n">
        <f aca="false">VLOOKUP($A206,VolatilityTable,28)</f>
        <v>0.01</v>
      </c>
      <c r="AS206" s="1581" t="n">
        <f aca="false">IF(CorrPeakOffPeakOverFlag,INDEX(CorrPeakOffPeakOver,C206),CorrPeakOffPeak)</f>
        <v>0.5</v>
      </c>
      <c r="AT206" s="594" t="e">
        <f aca="false">AX206-SUM(AU206:AW206)</f>
        <v>#VALUE!</v>
      </c>
      <c r="AU206" s="238" t="e">
        <f aca="false">IF(E206="",0,INT((F206-MOD(F206,7)-E206)/7)+1-IF(AW206,IF(WEEKDAY(D206)=7,1,0),0))</f>
        <v>#VALUE!</v>
      </c>
      <c r="AV206" s="238" t="e">
        <f aca="false">IF(E206="",0,INT((F206-MOD(F206-1,7)-E206)/7)+1-IF(AW206,IF(WEEKDAY(D206)=1,1,0),0))</f>
        <v>#VALUE!</v>
      </c>
      <c r="AW206" s="238" t="e">
        <f aca="false">IF(OR(E206="",D206="",D206&lt;BegDate,D206&gt;EndDate),0,1)</f>
        <v>#VALUE!</v>
      </c>
      <c r="AX206" s="238" t="n">
        <f aca="false">IF(E206="",0,F206-E206+1)</f>
        <v>29</v>
      </c>
      <c r="AY206" s="1582" t="n">
        <f aca="false">IF(E206="",0,MIN((1-(1-VLOOKUP(B206,MAIN!$AA$7:$AM$28,C206+1))*(1-VLOOKUP(B206,MAIN!$AA$33:$AM$54,C206+1))),1))</f>
        <v>0.03</v>
      </c>
      <c r="AZ206" s="1519" t="e">
        <v>#VALUE!</v>
      </c>
      <c r="BA206" s="1520" t="e">
        <v>#VALUE!</v>
      </c>
      <c r="BB206" s="1520" t="e">
        <v>#VALUE!</v>
      </c>
      <c r="BC206" s="1583" t="e">
        <v>#VALUE!</v>
      </c>
      <c r="BD206" s="1522" t="e">
        <v>#VALUE!</v>
      </c>
      <c r="BE206" s="1523" t="e">
        <v>#VALUE!</v>
      </c>
      <c r="BF206" s="1523" t="e">
        <v>#VALUE!</v>
      </c>
      <c r="BG206" s="1584" t="e">
        <v>#VALUE!</v>
      </c>
      <c r="BH206" s="1525" t="e">
        <v>#VALUE!</v>
      </c>
      <c r="BI206" s="1520" t="e">
        <v>#VALUE!</v>
      </c>
      <c r="BJ206" s="1520" t="e">
        <v>#VALUE!</v>
      </c>
      <c r="BK206" s="1583" t="e">
        <v>#VALUE!</v>
      </c>
      <c r="BL206" s="1522" t="e">
        <v>#VALUE!</v>
      </c>
      <c r="BM206" s="1523" t="e">
        <v>#VALUE!</v>
      </c>
      <c r="BN206" s="1523" t="e">
        <v>#VALUE!</v>
      </c>
      <c r="BO206" s="1523" t="e">
        <v>#VALUE!</v>
      </c>
      <c r="BP206" s="1525" t="e">
        <f aca="false">SUM(AZ206:BB206)</f>
        <v>#VALUE!</v>
      </c>
      <c r="BQ206" s="1529" t="e">
        <f aca="false">SUM(AZ206:BC206)</f>
        <v>#VALUE!</v>
      </c>
      <c r="BR206" s="1519" t="e">
        <f aca="false">SUM(BH206:BJ206)</f>
        <v>#VALUE!</v>
      </c>
      <c r="BS206" s="1529" t="e">
        <f aca="false">SUM(BH206:BK206)</f>
        <v>#VALUE!</v>
      </c>
      <c r="BT206" s="1316" t="n">
        <f aca="false">(IF(OVolType&lt;&gt;2,A206+14,IF(OptExpDateShift,ShiftBack(A206,OptExpDateShift,D205),A206))-DateToday)/365.25</f>
        <v>15.8001368925394</v>
      </c>
      <c r="BU206" s="1585" t="e">
        <f aca="false">IF(BQ206,IF(OPriceCurve,IF(OBuySell=OCallPut,I206/(1-AY206),K206/(1-AY206)),J206/(1-AY206))*BD206,0)</f>
        <v>#VALUE!</v>
      </c>
      <c r="BV206" s="1316" t="e">
        <f aca="false">IF(BQ206,IF(OPriceCurve,IF(OBuySell=OCallPut,L206/(1-AY206),N206/(1-AY206)),M206/(1-AY206))*BE206,0)</f>
        <v>#VALUE!</v>
      </c>
      <c r="BW206" s="1316" t="e">
        <f aca="false">IF(BQ206,IF(OPriceCurve,IF(OBuySell=OCallPut,O206/(1-AY206),Q206/(1-AY206)),P206/(1-AY206))*BF206,0)</f>
        <v>#VALUE!</v>
      </c>
      <c r="BX206" s="1316" t="e">
        <f aca="false">IF(BQ206,IF(OPriceCurve,IF(OBuySell=OCallPut,R206/(1-AY206),T206/(1-AY206)),S206/(1-AY206))*BG206,0)</f>
        <v>#VALUE!</v>
      </c>
      <c r="BY206" s="1316" t="e">
        <f aca="false">IF(BP206,(BU206*AZ206+BV206*BA206+BW206*BB206)/BP206,0)</f>
        <v>#VALUE!</v>
      </c>
      <c r="BZ206" s="1316" t="e">
        <f aca="false">IF(BQ206,(BY206*BP206+BX206*BC206)/BQ206,0)</f>
        <v>#VALUE!</v>
      </c>
      <c r="CA206" s="1531" t="e">
        <f aca="false">IF(BS206,IF(OPriceCurve,IF(OBuySell=OCallPut,I206/(1-AY206),K206/(1-AY206)),J206/(1-AY206))*BL206,0)</f>
        <v>#VALUE!</v>
      </c>
      <c r="CB206" s="1316" t="e">
        <f aca="false">IF(BS206,IF(OPriceCurve,IF(OBuySell=OCallPut,L206/(1-AY206),N206/(1-AY206)),M206/(1-AY206))*BM206,0)</f>
        <v>#VALUE!</v>
      </c>
      <c r="CC206" s="1316" t="e">
        <f aca="false">IF(BS206,IF(OPriceCurve,IF(OBuySell=OCallPut,O206/(1-AY206),Q206/(1-AY206)),P206/(1-AY206))*BN206,0)</f>
        <v>#VALUE!</v>
      </c>
      <c r="CD206" s="1316" t="e">
        <f aca="false">IF(BS206,IF(OPriceCurve,IF(OBuySell=OCallPut,R206/(1-AY206),T206/(1-AY206)),S206/(1-AY206))*BO206,0)</f>
        <v>#VALUE!</v>
      </c>
      <c r="CE206" s="1316" t="e">
        <f aca="false">IF(BR206,(BU206*BH206+BV206*BI206+BW206*BJ206)/BR206,0)</f>
        <v>#VALUE!</v>
      </c>
      <c r="CF206" s="1532" t="e">
        <f aca="false">IF(BS206,(CE206*BR206+CD206*BK206)/BS206,0)</f>
        <v>#VALUE!</v>
      </c>
      <c r="CG206" s="1586" t="e">
        <f aca="false">IF(OR(BQ206,BS206),IF(OVolType&lt;&gt;2,SQRT(IF(OVolOverMonthlyPeak,OVolOverMonthlyPeak,IF(OVolCurve,IF(OBuySell,U206,W206),V206))^2*(1-15/365.25/BT206)+IF(OVolOverDailyPeak,OVolOverDailyPeak,IF(OVolCurve,IF(OBuySell,AG206,AI206),AH206))^2*15/365.25/BT206),IF(OVolOverMonthlyPeak,OVolOverMonthlyPeak,IF(OVolCurve,IF(OBuySell,U206,W206),V206))),"")</f>
        <v>#VALUE!</v>
      </c>
      <c r="CH206" s="1587" t="e">
        <f aca="false">IF(OR(BQ206,BS206),IF(OVolType&lt;&gt;2,SQRT(IF(OVolOverMonthlyPeak,OVolOverMonthlyPeak,IF(OVolCurve,IF(OBuySell,X206,Z206),Y206))^2*(1-15/365.25/BT206)+IF(OVolOverDailyPeak,OVolOverDailyPeak,IF(OVolCurve,IF(OBuySell,AJ206,AL206),AK206))^2*15/365.25/BT206),IF(OVolOverMonthlyPeak,OVolOverMonthlyPeak,IF(OVolCurve,IF(OBuySell,X206,Z206),Y206))),"")</f>
        <v>#VALUE!</v>
      </c>
      <c r="CI206" s="1587" t="e">
        <f aca="false">IF(OR(BQ206,BS206),IF(OVolType&lt;&gt;2,SQRT(IF(OVolOverMonthlyPeak,OVolOverMonthlyPeak,IF(OVolCurve,IF(OBuySell,AA206,AC206),AB206))^2*(1-15/365.25/BT206)+IF(OVolOverDailyPeak,OVolOverDailyPeak,IF(OVolCurve,IF(OBuySell,AM206,AO206),AN206))^2*15/365.25/BT206),IF(OVolOverMonthlyPeak,OVolOverMonthlyPeak,IF(OVolCurve,IF(OBuySell,AA206,AC206),AB206))),"")</f>
        <v>#VALUE!</v>
      </c>
      <c r="CJ206" s="1587" t="e">
        <f aca="false">IF(BQ206,IF(BP206,SQRT(LN(1+((BU206*AZ206)^2*(EXP(CG206^2*BT206)-1)+(BV206*BA206)^2*(EXP(CH206^2*BT206)-1)+(BW206*BB206)^2*(EXP(CI206^2*BT206)-1)+2*BU206*AZ206*BV206*BA206*(EXP(CG206*CH206*BT206)-1)+2*BV206*BA206*BW206*BB206*(EXP(CH206*CI206*BT206)-1)+2*BW206*BB206*BU206*AZ206*(EXP(CI206*CG206*BT206)-1))/(BY206*BP206)^2)/BT206),0),"")</f>
        <v>#VALUE!</v>
      </c>
      <c r="CK206" s="1587" t="e">
        <f aca="false">IF(BS206,IF(BR206,SQRT(LN(1+((CA206*BH206)^2*(EXP(CG206^2*BT206)-1)+(CB206*BI206)^2*(EXP(CH206^2*BT206)-1)+(CC206*BJ206)^2*(EXP(CI206^2*BT206)-1)+2*CA206*BH206*CB206*BI206*(EXP(CG206*CH206*BT206)-1)+2*CB206*BI206*CC206*BJ206*(EXP(CH206*CI206*BT206)-1)+2*CC206*BJ206*CA206*BH206*(EXP(CI206*CG206*BT206)-1))/(CE206*BR206)^2)/BT206),0),"")</f>
        <v>#VALUE!</v>
      </c>
      <c r="CL206" s="1587" t="e">
        <f aca="false">IF(OR(BQ206,BS206),IF(OVolType&lt;&gt;2,SQRT(IF(OVolOverMonthlyOffPeak,OVolOverMonthlyOffPeak,IF(OVolCurve,IF(OBuySell,AD206,AF206),AE206))^2*(1-15/365.25/BT206)+IF(OVolOverDailyOffPeak,OVolOverDailyOffPeak,IF(OVolCurve,IF(OBuySell,AP206,AR206),AQ206))^2*15/365.25/BT206),IF(OVolOverMonthlyOffPeak,OVolOverMonthlyOffPeak,IF(OVolCurve,IF(OBuySell,AD206,AF206),AE206))),"")</f>
        <v>#VALUE!</v>
      </c>
      <c r="CM206" s="1587" t="e">
        <f aca="false">IF(BQ206,SQRT(LN(1+((BY206*BP206)^2*(EXP(CJ206^2*BT206)-1)+(BX206*BC206)^2*(EXP(CL206^2*BT206)-1)+2*BY206*BP206*BX206*BC206*(EXP(AS206*CJ206*CL206*BT206)-1))/(BY206*BP206+BX206*BC206)^2)/BT206),"")</f>
        <v>#VALUE!</v>
      </c>
      <c r="CN206" s="1588" t="e">
        <f aca="false">IF(BS206,SQRT(LN(1+((CE206*BR206)^2*(EXP(CK206^2*BT206)-1)+(CD206*BK206)^2*(EXP(CL206^2*BT206)-1)+2*CE206*BR206*CD206*BK206*(EXP(AS206*CK206*CL206*BT206)-1))/(CE206*BR206+CD206*BK206)^2)/BT206),"")</f>
        <v>#VALUE!</v>
      </c>
      <c r="CO206" s="1531" t="e">
        <f aca="false">IF(OR(BQ206,BS206),VLOOKUP(A206,GasTable,13)*HeatRatePeak*(1+VLOOKUP($B206,HeatRateDegradation,$C206+1))/1000,0)</f>
        <v>#VALUE!</v>
      </c>
      <c r="CP206" s="1316" t="e">
        <f aca="false">IF(OR(BQ206,BS206),VLOOKUP(A206,GasTable,13)*HeatRatePeak*(1+VLOOKUP($B206,HeatRateDegradation,$C206+1))/1000,0)</f>
        <v>#VALUE!</v>
      </c>
      <c r="CQ206" s="1316" t="e">
        <f aca="false">IF(OR(BQ206,BS206),VLOOKUP(A206,GasTable,13)*IF(EV206,HeatRatePeak,HeatRateOffPeak)*(1+VLOOKUP($B206,HeatRateDegradation,$C206+1))/1000,0)</f>
        <v>#VALUE!</v>
      </c>
      <c r="CR206" s="1316" t="e">
        <f aca="false">IF(OR(BQ206,BS206),VLOOKUP(A206,GasTable,13)*IF(EW206,HeatRatePeak,HeatRateOffPeak)*(1+VLOOKUP($B206,HeatRateDegradation,$C206+1))/1000,0)</f>
        <v>#VALUE!</v>
      </c>
      <c r="CS206" s="1589" t="e">
        <f aca="false">IF(BQ206,(CO206*AZ206+CP206*BA206+CQ206*BB206+CR206*BC206)/BQ206,0)</f>
        <v>#VALUE!</v>
      </c>
      <c r="CT206" s="1316" t="e">
        <f aca="false">IF(BS206,CO206,0)</f>
        <v>#VALUE!</v>
      </c>
      <c r="CU206" s="1590" t="e">
        <f aca="false">IF(OR(BQ206,BS206),VLOOKUP(A206,GasTable,14),"")</f>
        <v>#VALUE!</v>
      </c>
      <c r="CV206" s="1568" t="e">
        <f aca="false">IF(OR(BQ206,BS206),IF(CorrPowerGasOverFlag,INDEX(CorrPowerGasOver,C206),CorrPowerGas),"")</f>
        <v>#VALUE!</v>
      </c>
      <c r="CW206" s="1316" t="e">
        <f aca="false">IF(OR($BQ206,$BS206),SpreadOptPowerMargin,0)*((1+Assumptions!$C$26)^($B206-YEAR(Assumptions!$C$17)))</f>
        <v>#VALUE!</v>
      </c>
      <c r="CX206" s="1316" t="e">
        <f aca="false">IF(OR($BQ206,$BS206),SpreadOptPowerMargin,0)*((1+Assumptions!$C$26)^($B206-YEAR(Assumptions!$C$17)))</f>
        <v>#VALUE!</v>
      </c>
      <c r="CY206" s="1316" t="e">
        <f aca="false">IF(OR($BQ206,$BS206),SpreadOptPowerMargin,0)*((1+Assumptions!$C$26)^($B206-YEAR(Assumptions!$C$17)))</f>
        <v>#VALUE!</v>
      </c>
      <c r="CZ206" s="1316" t="e">
        <f aca="false">IF(OR($BQ206,$BS206),SpreadOptPowerMargin,0)*((1+Assumptions!$C$26)^($B206-YEAR(Assumptions!$C$17)))</f>
        <v>#VALUE!</v>
      </c>
      <c r="DA206" s="1591" t="e">
        <f aca="false">IF(OR(BQ206,BS206),(CW206*(AZ206+BH206)+CX206*(BA206+BI206)+CY206*(BB206+BJ206)+CZ206*(BC206+BK206))/(BQ206+BS206),0)</f>
        <v>#VALUE!</v>
      </c>
      <c r="DB206" s="1592" t="e">
        <f aca="false">IF(OR(BQ206,BS206),CG206+IF(OVolSmile,VLOOKUP(MAX(-5,CO206+CW206-BU206),IF(OVolSmile=1,VolSmileBook,VolSmileModel),2),0),"")</f>
        <v>#VALUE!</v>
      </c>
      <c r="DC206" s="1592" t="e">
        <f aca="false">IF(OR(BQ206,BS206),CH206+IF(OVolSmile,VLOOKUP(MAX(-5,CP206+CW206-BV206),IF(OVolSmile=1,VolSmileBook,VolSmileModel),2),0),"")</f>
        <v>#VALUE!</v>
      </c>
      <c r="DD206" s="1592" t="e">
        <f aca="false">IF(OR(BQ206,BS206),CI206+IF(OVolSmile,VLOOKUP(MAX(-5,CQ206+CW206-BW206),IF(OVolSmile=1,VolSmileBook,VolSmileModel),2),0),"")</f>
        <v>#VALUE!</v>
      </c>
      <c r="DE206" s="1592" t="e">
        <f aca="false">IF(OR(BQ206,BS206),CL206+IF(OVolSmile,VLOOKUP(MAX(-5,CR206+CZ206-BX206),IF(OVolSmile=1,VolSmileBook,VolSmileModel),2),0),"")</f>
        <v>#VALUE!</v>
      </c>
      <c r="DF206" s="1592" t="e">
        <f aca="false">IF(BQ206,CM206+IF(OVolSmile,VLOOKUP(MAX(-5,CS206+DA206-BZ206),IF(OVolSmile=1,VolSmileBook,VolSmileModel),2),0),"")</f>
        <v>#VALUE!</v>
      </c>
      <c r="DG206" s="1593" t="e">
        <f aca="false">IF(BS206,CN206+IF(OVolSmile,VLOOKUP(MAX(-5,CT206+DA206-CF206),IF(OVolSmile=1,VolSmileBook,VolSmileModel),2),0),"")</f>
        <v>#VALUE!</v>
      </c>
      <c r="DH206" s="1316" t="e">
        <f aca="false">IF(AND(BU206&gt;0,CO206&gt;0,DB206&gt;0,CU206&gt;0),newSPRDOPT(BU206,CO206,CW206,0,DB206,CU206,CV206,BT206*365.25,OCallPut,0),0)</f>
        <v>#VALUE!</v>
      </c>
      <c r="DI206" s="1316" t="e">
        <f aca="false">IF(AND(BV206&gt;0,CP206&gt;0,DC206&gt;0,CU206&gt;0),newSPRDOPT(BV206,CP206,CX206,0,DC206,CU206,CV206,BT206*365.25,OCallPut,0),0)</f>
        <v>#VALUE!</v>
      </c>
      <c r="DJ206" s="1316" t="e">
        <f aca="false">IF(AND(BW206&gt;0,CQ206&gt;0,DD206&gt;0,CU206&gt;0),newSPRDOPT(BW206,CQ206,CY206,0,DD206,CU206,CV206,BT206*365.25,OCallPut,0),0)</f>
        <v>#VALUE!</v>
      </c>
      <c r="DK206" s="1316" t="e">
        <f aca="false">IF(AND(BX206&gt;0,CR206&gt;0,DE206&gt;0,CU206&gt;0),newSPRDOPT(BX206,CR206,CZ206,0,DE206,CU206,CV206,BT206*365.25,OCallPut,0),0)</f>
        <v>#VALUE!</v>
      </c>
      <c r="DL206" s="1316" t="e">
        <f aca="false">IF(OVolType,IF(AND(BZ206&gt;0,CS206&gt;0,DF206&gt;0,CU206&gt;0),newSPRDOPT(BZ206,CS206,DA206,0,DF206,CU206,CV206,BT206*365.25,OCallPut,0),0),IF(BQ206,(DH206*AZ206+DI206*BA206+DJ206*BB206+DK206*BC206)/BQ206,0))</f>
        <v>#VALUE!</v>
      </c>
      <c r="DM206" s="1316"/>
      <c r="DN206" s="1316"/>
      <c r="DO206" s="1316"/>
      <c r="DP206" s="1316"/>
      <c r="DQ206" s="1316"/>
      <c r="DR206" s="1316"/>
      <c r="DS206" s="1316"/>
      <c r="DT206" s="1316"/>
      <c r="DU206" s="1316"/>
      <c r="DV206" s="1316"/>
      <c r="DW206" s="1594" t="e">
        <f aca="false">IF(AND(BW206&gt;0,CT206&gt;0,DD206&gt;0,CU206&gt;0),newSPRDOPT(BW206,CT206,CY206,0,DD206,CU206,CV206,BT206*365.25,OCallPut,0),0)</f>
        <v>#VALUE!</v>
      </c>
      <c r="DX206" s="1316" t="e">
        <f aca="false">IF(AND(BX206&gt;0,CT206&gt;0,DE206&gt;0,CU206&gt;0),newSPRDOPT(BX206,CT206,CZ206,0,DE206,CU206,CV206,BT206*365.25,OCallPut,0),0)</f>
        <v>#VALUE!</v>
      </c>
      <c r="DY206" s="1591" t="e">
        <f aca="false">IF(BS206,(DH206*BH206+DI206*BI206+DW206*BJ206+DX206*BK206)/BS206,0)</f>
        <v>#VALUE!</v>
      </c>
      <c r="DZ206" s="1551" t="e">
        <f aca="false">DH206*AZ206</f>
        <v>#VALUE!</v>
      </c>
      <c r="EA206" s="1551" t="e">
        <f aca="false">DI206*BA206</f>
        <v>#VALUE!</v>
      </c>
      <c r="EB206" s="1551" t="e">
        <f aca="false">DJ206*BB206</f>
        <v>#VALUE!</v>
      </c>
      <c r="EC206" s="1551" t="e">
        <f aca="false">DK206*BC206</f>
        <v>#VALUE!</v>
      </c>
      <c r="ED206" s="1551" t="e">
        <f aca="false">DL206*BQ206</f>
        <v>#VALUE!</v>
      </c>
      <c r="EE206" s="1595" t="e">
        <f aca="false">IF(BQ206,IF(OCallPut,IF(BU206&gt;(CO206+CW206),BU206-(CO206+CW206),0),IF((CO206+CW206)&gt;BU206,(CO206+CW206)-BU206,0))*AZ206,0)</f>
        <v>#VALUE!</v>
      </c>
      <c r="EF206" s="1596" t="e">
        <f aca="false">IF(BQ206,IF(OCallPut,IF(BV206&gt;(CP206+CX206),BV206-(CP206+CX206),0),IF((CP206+CX206)&gt;BV206,(CP206+CX206)-BV206,0))*BA206,0)</f>
        <v>#VALUE!</v>
      </c>
      <c r="EG206" s="1596" t="e">
        <f aca="false">IF(BQ206,IF(OCallPut,IF(BW206&gt;(CQ206+CY206),BW206-(CQ206+CY206),0),IF((CQ206+CY206)&gt;BW206,(CQ206+CY206)-BW206,0))*BB206,0)</f>
        <v>#VALUE!</v>
      </c>
      <c r="EH206" s="1596" t="e">
        <f aca="false">IF(BQ206,IF(OCallPut,IF(BX206&gt;(CR206+CZ206),BX206-(CR206+CZ206),0),IF((CR206+CZ206)&gt;BX206,(CR206+CZ206)-BX206,0))*BC206,0)</f>
        <v>#VALUE!</v>
      </c>
      <c r="EI206" s="1597" t="e">
        <f aca="false">IF(BQ206,IF(OVolType,IF(OCallPut,IF(BZ206&gt;(CS206+DA206),BZ206-(CS206+DA206),0),IF((CS206+DA206)&gt;BZ206,(CS206+DA206)-BZ206,0))*BQ206,SUM(EE206:EH206)),0)</f>
        <v>#VALUE!</v>
      </c>
      <c r="EJ206" s="1595" t="e">
        <f aca="false">DZ206-EE206</f>
        <v>#VALUE!</v>
      </c>
      <c r="EK206" s="1596" t="e">
        <f aca="false">EA206-EF206</f>
        <v>#VALUE!</v>
      </c>
      <c r="EL206" s="1596" t="e">
        <f aca="false">EB206-EG206</f>
        <v>#VALUE!</v>
      </c>
      <c r="EM206" s="1596" t="e">
        <f aca="false">EC206-EH206</f>
        <v>#VALUE!</v>
      </c>
      <c r="EN206" s="1597" t="e">
        <f aca="false">ED206-EI206</f>
        <v>#VALUE!</v>
      </c>
      <c r="EO206" s="1551" t="e">
        <f aca="false">DH206*BH206</f>
        <v>#VALUE!</v>
      </c>
      <c r="EP206" s="1551" t="e">
        <f aca="false">DI206*BI206</f>
        <v>#VALUE!</v>
      </c>
      <c r="EQ206" s="1551" t="e">
        <f aca="false">DW206*BJ206</f>
        <v>#VALUE!</v>
      </c>
      <c r="ER206" s="1551" t="e">
        <f aca="false">DX206*BK206</f>
        <v>#VALUE!</v>
      </c>
      <c r="ES206" s="1551" t="e">
        <f aca="false">DY206*BS206</f>
        <v>#VALUE!</v>
      </c>
      <c r="ET206" s="1566" t="e">
        <f aca="false">IF(EI206,IF(OCallPut,IF(CA206&gt;(CT206+CW206),CA206-(CT206+CW206),0),IF((CT206+CW206)&gt;CA206,(CT206+CW206)-CA206,0))*BH206,0)</f>
        <v>#VALUE!</v>
      </c>
      <c r="EU206" s="1551" t="e">
        <f aca="false">IF(EI206,IF(OCallPut,IF(CB206&gt;(CT206+CX206),CB206-(CT206+CX206),0),IF((CT206+CX206)&gt;CB206,(CT206+CX206)-CB206,0))*BI206,0)</f>
        <v>#VALUE!</v>
      </c>
      <c r="EV206" s="1551" t="e">
        <f aca="false">IF(EI206,IF(OCallPut,IF(CC206&gt;(CT206+CY206),CC206-(CT206+CY206),0),IF((CT206+CY206)&gt;CC206,(CT206+CY206)-CC206,0))*BJ206,0)</f>
        <v>#VALUE!</v>
      </c>
      <c r="EW206" s="1551" t="e">
        <f aca="false">IF(EI206,IF(OCallPut,IF(CD206&gt;(CT206+CZ206),CD206-(CT206+CZ206),0),IF((CT206+CZ206)&gt;CD206,(CT206+CZ206)-CD206,0))*BK206,0)</f>
        <v>#VALUE!</v>
      </c>
      <c r="EX206" s="1558" t="e">
        <f aca="false">IF(EI206,SUM(ET206:EW206),0)</f>
        <v>#VALUE!</v>
      </c>
      <c r="EY206" s="1551" t="e">
        <f aca="false">EO206-ET206</f>
        <v>#VALUE!</v>
      </c>
      <c r="EZ206" s="1551" t="e">
        <f aca="false">EP206-EU206</f>
        <v>#VALUE!</v>
      </c>
      <c r="FA206" s="1551" t="e">
        <f aca="false">EQ206-EV206</f>
        <v>#VALUE!</v>
      </c>
      <c r="FB206" s="1551" t="e">
        <f aca="false">ER206-EW206</f>
        <v>#VALUE!</v>
      </c>
      <c r="FC206" s="1551" t="e">
        <f aca="false">ES206-EX206</f>
        <v>#VALUE!</v>
      </c>
      <c r="FD206" s="1525" t="n">
        <f aca="false">IF(AX206,IF(VLOOKUP(C206,MAIN!$L$17:$M$28,2)="Yes",VLOOKUP(CALC!B206,MAIN!$H$17:$I$20,2),0),0)</f>
        <v>0</v>
      </c>
      <c r="FE206" s="1552" t="e">
        <f aca="false">$FD206*16*AT206*(1-$AY206)</f>
        <v>#VALUE!</v>
      </c>
      <c r="FF206" s="1553" t="e">
        <f aca="false">$FD206*16*AU206*(1-$AY206)</f>
        <v>#VALUE!</v>
      </c>
      <c r="FG206" s="1553" t="e">
        <f aca="false">$FD206*16*(AV206+AW206)*(1-$AY206)</f>
        <v>#VALUE!</v>
      </c>
      <c r="FH206" s="1554" t="n">
        <f aca="false">$FD206*8*AX206*(1-$AY206)</f>
        <v>0</v>
      </c>
      <c r="FI206" s="1555" t="n">
        <f aca="false">IF(AX206,VLOOKUP(CALC!B206,MAIN!$H$17:$K$20,4),0)</f>
        <v>0</v>
      </c>
      <c r="FJ206" s="1553" t="e">
        <f aca="false">SUM(FE206:FH206)</f>
        <v>#VALUE!</v>
      </c>
      <c r="FK206" s="1556" t="e">
        <f aca="false">FI206*FJ206</f>
        <v>#VALUE!</v>
      </c>
      <c r="FL206" s="1551" t="e">
        <f aca="false">IF($EI206&gt;0,MIN(FE206,AZ206*(1+VLOOKUP($C206,WeatherCapacityAdjustment,2))),0)</f>
        <v>#VALUE!</v>
      </c>
      <c r="FM206" s="1551" t="e">
        <f aca="false">IF($EI206&gt;0,MIN(FF206,BA206*(1+VLOOKUP($C206,WeatherCapacityAdjustment,2))),0)</f>
        <v>#VALUE!</v>
      </c>
      <c r="FN206" s="1551" t="e">
        <f aca="false">IF($EI206&gt;0,MIN(FG206,BB206*(1+VLOOKUP($C206,WeatherCapacityAdjustment,2))),0)</f>
        <v>#VALUE!</v>
      </c>
      <c r="FO206" s="1564" t="e">
        <f aca="false">IF($EI206&gt;0,MIN(FH206,BC206*(1+VLOOKUP($C206,WeatherCapacityAdjustment,3))),0)</f>
        <v>#VALUE!</v>
      </c>
      <c r="FP206" s="1551" t="e">
        <f aca="false">IF(ET206&gt;0,MIN(FE206-FL206,BH206*(1+VLOOKUP($C206,WeatherCapacityAdjustment,2))),0)</f>
        <v>#VALUE!</v>
      </c>
      <c r="FQ206" s="1551" t="e">
        <f aca="false">IF(EU206&gt;0,MIN(FF206-FM206,BI206*(1+VLOOKUP($C206,WeatherCapacityAdjustment,2))),0)</f>
        <v>#VALUE!</v>
      </c>
      <c r="FR206" s="1551" t="e">
        <f aca="false">IF(EV206&gt;0,MIN(FG206-FN206,BJ206*(1+VLOOKUP($C206,WeatherCapacityAdjustment,2))),0)</f>
        <v>#VALUE!</v>
      </c>
      <c r="FS206" s="1558" t="e">
        <f aca="false">IF(EW206&gt;0,MIN(FH206-FO206,BK206*(1+VLOOKUP($C206,WeatherCapacityAdjustment,3))),0)</f>
        <v>#VALUE!</v>
      </c>
      <c r="FT206" s="1566" t="e">
        <f aca="false">IF(AND(Assumptions!$H$71="Yes",A206&gt;=Assumptions!$H$72,A206&lt;=Assumptions!$H$73),0,IF(AND($A206&gt;=Assumptions!$C$17,$A206&lt;=Assumptions!$C$18),MAX(AZ206*(1+VLOOKUP($C206,WeatherCapacityAdjustment,2))-FL206,0),0))</f>
        <v>#VALUE!</v>
      </c>
      <c r="FU206" s="1551" t="e">
        <f aca="false">IF(AND(Assumptions!$H$71="Yes",A206&gt;=Assumptions!$H$72,A206&lt;=Assumptions!$H$73),0,IF(AND($A206&gt;=Assumptions!$C$17,$A206&lt;=Assumptions!$C$18),MAX(BA206*(1+VLOOKUP($C206,WeatherCapacityAdjustment,2))-FM206,0),0))</f>
        <v>#VALUE!</v>
      </c>
      <c r="FV206" s="1551" t="e">
        <f aca="false">IF(AND(Assumptions!$H$71="Yes",A206&gt;=Assumptions!$H$72,A206&lt;=Assumptions!$H$73),0,IF(AND($A206&gt;=Assumptions!$C$17,$A206&lt;=Assumptions!$C$18),MAX(BB206*(1+VLOOKUP($C206,WeatherCapacityAdjustment,2))-FN206,0),0))</f>
        <v>#VALUE!</v>
      </c>
      <c r="FW206" s="1564" t="e">
        <f aca="false">IF(AND(Assumptions!$H$71="Yes",A206&gt;=Assumptions!$H$72,A206&lt;=Assumptions!$H$73),0,IF(AND($A206&gt;=Assumptions!$C$17,$A206&lt;=Assumptions!$C$18),MAX(BC206*(1+VLOOKUP($C206,WeatherCapacityAdjustment,3))-FO206,0),0))</f>
        <v>#VALUE!</v>
      </c>
      <c r="FX206" s="1569" t="e">
        <f aca="false">IF(AND(Assumptions!$H$71="Yes",A206&gt;=Assumptions!$H$72,A206&lt;=Assumptions!$H$73),0,IF(ET206&gt;0,MAX(BH206*(1+VLOOKUP($C206,WeatherCapacityAdjustment,2))-FP206,0),0))</f>
        <v>#VALUE!</v>
      </c>
      <c r="FY206" s="1551" t="e">
        <f aca="false">IF(AND(Assumptions!$H$71="Yes",A206&gt;=Assumptions!$H$72,A206&lt;=Assumptions!$H$73),0,IF(EU206&gt;0,MAX(BI206*(1+VLOOKUP($C206,WeatherCapacityAdjustment,3))-FQ206,0),0))</f>
        <v>#VALUE!</v>
      </c>
      <c r="FZ206" s="1551" t="e">
        <f aca="false">IF(AND(Assumptions!$H$71="Yes",A206&gt;=Assumptions!$H$72,A206&lt;=Assumptions!$H$73),0,IF(EV206&gt;0,MAX(BJ206*(1+VLOOKUP($C206,WeatherCapacityAdjustment,2))-FR206,0),0))</f>
        <v>#VALUE!</v>
      </c>
      <c r="GA206" s="1564" t="e">
        <f aca="false">IF(AND(Assumptions!$H$71="Yes",A206&gt;=Assumptions!$H$72,A206&lt;=Assumptions!$H$73),0,IF(EW206&gt;0,MAX(BK206*(1+VLOOKUP($C206,WeatherCapacityAdjustment,2))-FS206,0),0))</f>
        <v>#VALUE!</v>
      </c>
      <c r="GB206" s="1551" t="e">
        <f aca="false">SUM(FT206:GA206)</f>
        <v>#VALUE!</v>
      </c>
      <c r="GC206" s="1563" t="e">
        <f aca="false">+IF(SUM(FT206:GA206)=0,0,(SUMPRODUCT(BU206:BX206,FT206:FW206)+SUMPRODUCT(CA206:CD206,FX206:GA206))/SUM(FT206:GA206))</f>
        <v>#VALUE!</v>
      </c>
      <c r="GD206" s="1551" t="e">
        <f aca="false">(FT206*BU206+FX206*CA206+FU206*BV206+FY206*CB206+FV206*BW206+FZ206*CC206+FW206*BX206+GA206*CD206)</f>
        <v>#VALUE!</v>
      </c>
      <c r="GE206" s="1561" t="e">
        <f aca="false">+IF(BQ206,((FL206+FM206+FT206+FU206)*HeatRatePeak/1000*(1+VLOOKUP($C206,WeatherHeatRateAdjustment,2))+(FN206+FV206)*IF(EV206&gt;0,HeatRatePeak,HeatRateOffPeak)/1000*(1+VLOOKUP($C206,WeatherHeatRateAdjustment,2))+(FO206+FW206)*IF(EW206&gt;0,HeatRatePeak,HeatRateOffPeak)/1000*(1+VLOOKUP($C206,WeatherHeatRateAdjustment,3)))*(1+VLOOKUP($B206,HeatRateDegradation,$C206+1)),0)</f>
        <v>#VALUE!</v>
      </c>
      <c r="GF206" s="1562" t="e">
        <f aca="false">IF(BQ206,((FP206+FQ206+FR206+FX206+FY206+FZ206)*HeatRatePeak/1000*(1+VLOOKUP($C206,WeatherHeatRateAdjustment,2))+(FS206+GA206)*HeatRatePeak/1000*(1+VLOOKUP($C206,WeatherHeatRateAdjustment,3)))*(1+VLOOKUP($B206,HeatRateDegradation,$C206+1)),0)</f>
        <v>#VALUE!</v>
      </c>
      <c r="GG206" s="1563" t="e">
        <f aca="false">IF(BQ206,VLOOKUP(A206,GasTable,13),0)</f>
        <v>#VALUE!</v>
      </c>
      <c r="GH206" s="1564" t="e">
        <f aca="false">(GE206+GF206)*GG206</f>
        <v>#VALUE!</v>
      </c>
      <c r="GI206" s="1569" t="e">
        <f aca="false">GB206</f>
        <v>#VALUE!</v>
      </c>
      <c r="GJ206" s="1598" t="e">
        <f aca="false">+DA206</f>
        <v>#VALUE!</v>
      </c>
      <c r="GK206" s="1558" t="e">
        <f aca="false">+GI206*GJ206</f>
        <v>#VALUE!</v>
      </c>
      <c r="GL206" s="1566" t="e">
        <f aca="false">MAX(FE206-FL206-FP206,0)</f>
        <v>#VALUE!</v>
      </c>
      <c r="GM206" s="1551" t="e">
        <f aca="false">MAX(FF206-FM206-FQ206,0)</f>
        <v>#VALUE!</v>
      </c>
      <c r="GN206" s="1551" t="e">
        <f aca="false">MAX(FG206-FN206-FR206,0)</f>
        <v>#VALUE!</v>
      </c>
      <c r="GO206" s="1564" t="e">
        <f aca="false">MAX(FH206-FO206-FS206,0)</f>
        <v>#VALUE!</v>
      </c>
      <c r="GP206" s="1551" t="e">
        <f aca="false">SUM(GL206:GO206)</f>
        <v>#VALUE!</v>
      </c>
      <c r="GQ206" s="1563" t="e">
        <f aca="false">IF(SUM(GL206:GO206)=0,0,((GL206*BU206+GM206*BV206+GN206*BW206+GO206*BX206)/SUM(GL206:GO206)))</f>
        <v>#VALUE!</v>
      </c>
      <c r="GR206" s="1558" t="e">
        <f aca="false">(GL206*BU206+GM206*BV206+GN206*BW206+GO206*BX206)</f>
        <v>#VALUE!</v>
      </c>
      <c r="GS206" s="1566" t="n">
        <f aca="false">IF($A206&gt;=BegDate,Assumptions!$C$56*24*($A207-$A206)*(1-VLOOKUP($B206,MAIN!$AA$7:$AM$28,$C206+1))*(1-VLOOKUP($B206,MAIN!$AA$33:$AM$54,$C206+1)),0)*80/168</f>
        <v>241114.285714286</v>
      </c>
      <c r="GT206" s="286" t="n">
        <f aca="false">J206</f>
        <v>43.6976908930213</v>
      </c>
      <c r="GU206" s="286" t="n">
        <f aca="false">IF($A206&gt;=BegDate,VLOOKUP($A206,GasTable,13)+Assumptions!$C$58,0)</f>
        <v>3.48796440208633</v>
      </c>
      <c r="GV206" s="286" t="n">
        <f aca="false">GU206*Assumptions!$C$57/1000</f>
        <v>25.2877419151259</v>
      </c>
      <c r="GW206" s="1558" t="n">
        <f aca="false">IF(Assumptions!$C$60="Hourly",MAX(0,GS206*(GT206-GV206)),GS206*(GT206-GV206))</f>
        <v>4438901.6978417</v>
      </c>
      <c r="GX206" s="1566" t="n">
        <f aca="false">IF($A206&gt;=BegDate,Assumptions!$C$56*24*($A207-$A206)*(1-VLOOKUP($B206,MAIN!$AA$7:$AM$28,$C206+1))*(1-VLOOKUP($B206,MAIN!$AA$33:$AM$54,$C206+1)),0)*16/168</f>
        <v>48222.8571428571</v>
      </c>
      <c r="GY206" s="286" t="n">
        <f aca="false">M206</f>
        <v>43.6976908930213</v>
      </c>
      <c r="GZ206" s="286" t="n">
        <f aca="false">IF($A206&gt;=BegDate,VLOOKUP($A206,GasTable,13)+Assumptions!$C$58,0)</f>
        <v>3.48796440208633</v>
      </c>
      <c r="HA206" s="286" t="n">
        <f aca="false">GZ206*Assumptions!$C$57/1000</f>
        <v>25.2877419151259</v>
      </c>
      <c r="HB206" s="1558" t="n">
        <f aca="false">IF(Assumptions!$C$60="Hourly",MAX(0,GX206*(GY206-HA206)),GX206*(GY206-HA206))</f>
        <v>887780.339568339</v>
      </c>
      <c r="HC206" s="1566" t="n">
        <f aca="false">IF($A206&gt;=BegDate,Assumptions!$C$56*24*($A207-$A206)*(1-VLOOKUP($B206,MAIN!$AA$7:$AM$28,$C206+1))*(1-VLOOKUP($B206,MAIN!$AA$33:$AM$54,$C206+1)),0)*16/168</f>
        <v>48222.8571428571</v>
      </c>
      <c r="HD206" s="286" t="n">
        <f aca="false">P206</f>
        <v>27.5465925154892</v>
      </c>
      <c r="HE206" s="286" t="n">
        <f aca="false">IF($A206&gt;=BegDate,VLOOKUP($A206,GasTable,13)+Assumptions!$C$58,0)</f>
        <v>3.48796440208633</v>
      </c>
      <c r="HF206" s="286" t="n">
        <f aca="false">HE206*Assumptions!$C$57/1000</f>
        <v>25.2877419151259</v>
      </c>
      <c r="HG206" s="1558" t="n">
        <f aca="false">IF(Assumptions!$C$60="Hourly",MAX(0,HC206*(HD206-HF206)),HC206*(HD206-HF206))</f>
        <v>108928.229808378</v>
      </c>
      <c r="HH206" s="1566" t="n">
        <f aca="false">IF($A206&gt;=BegDate,Assumptions!$C$56*24*($A207-$A206)*(1-VLOOKUP($B206,MAIN!$AA$7:$AM$28,$C206+1))*(1-VLOOKUP($B206,MAIN!$AA$33:$AM$54,$C206+1)),0)*56/168</f>
        <v>168780</v>
      </c>
      <c r="HI206" s="286" t="n">
        <f aca="false">S206</f>
        <v>27.5465925154892</v>
      </c>
      <c r="HJ206" s="286" t="n">
        <f aca="false">IF($A206&gt;=BegDate,VLOOKUP($A206,GasTable,13)+Assumptions!$C$58,0)</f>
        <v>3.48796440208633</v>
      </c>
      <c r="HK206" s="286" t="n">
        <f aca="false">HJ206*Assumptions!$C$57/1000</f>
        <v>25.2877419151259</v>
      </c>
      <c r="HL206" s="1558" t="n">
        <f aca="false">IF(Assumptions!$C$60="Hourly",MAX(0,HH206*(HI206-HK206)),HH206*(HI206-HK206))</f>
        <v>381248.804329324</v>
      </c>
      <c r="HM206" s="1566" t="n">
        <f aca="false">IF(AND(Assumptions!$H$71="Yes",A206&gt;=Assumptions!$H$72,A206&lt;=Assumptions!$H$73),Assumptions!$H$74*Assumptions!$C$9*1000,0)</f>
        <v>0</v>
      </c>
      <c r="HN206" s="1551"/>
      <c r="HO206" s="1563"/>
      <c r="HP206" s="1563"/>
      <c r="HQ206" s="1563"/>
      <c r="HR206" s="1563"/>
      <c r="HS206" s="1563"/>
      <c r="HT206" s="1563"/>
      <c r="HU206" s="1563"/>
      <c r="HV206" s="1563"/>
      <c r="HW206" s="1563"/>
      <c r="HX206" s="1563"/>
      <c r="HY206" s="1563"/>
      <c r="HZ206" s="1563"/>
      <c r="IA206" s="1563"/>
      <c r="IB206" s="1563"/>
      <c r="IC206" s="1563"/>
      <c r="ID206" s="1563"/>
      <c r="IE206" s="1563"/>
      <c r="IF206" s="1563"/>
      <c r="IG206" s="1563"/>
      <c r="IH206" s="1563"/>
      <c r="II206" s="1610"/>
      <c r="IJ206" s="1309"/>
      <c r="IK206" s="1309"/>
    </row>
    <row r="207" customFormat="false" ht="12.75" hidden="false" customHeight="false" outlineLevel="0" collapsed="false">
      <c r="A207" s="1571" t="n">
        <f aca="false">EOMONTH(A206,0)+1</f>
        <v>42430</v>
      </c>
      <c r="B207" s="594" t="n">
        <f aca="false">+YEAR(A207)</f>
        <v>2016</v>
      </c>
      <c r="C207" s="238" t="n">
        <f aca="false">MONTH(A207)</f>
        <v>3</v>
      </c>
      <c r="D207" s="1572" t="e">
        <f aca="false">IF(E207="","",Holiday(B207,C207))</f>
        <v>#VALUE!</v>
      </c>
      <c r="E207" s="1573" t="n">
        <f aca="false">IF(OR(BegDate&gt;=A208,EndDate&lt;A207,AND(VolumeMonthlyOverFlag,INDEX(VolumeMonthlyOver,C207)=0),NOT(INDEX(MonthKnockOutTable,C207))),"",MAX(A207,BegDate))</f>
        <v>42430</v>
      </c>
      <c r="F207" s="1574" t="n">
        <f aca="false">IF(E207="","",MIN(A208-1,EndDate))</f>
        <v>42460</v>
      </c>
      <c r="G207" s="1575" t="n">
        <v>0</v>
      </c>
      <c r="H207" s="1576" t="n">
        <f aca="false">(1+G207/2)^(-2*(DATE(B208,C208,20)-DateToday)/365.25)</f>
        <v>1</v>
      </c>
      <c r="I207" s="1568" t="n">
        <f aca="false">IF(Assumptions!$L$25=4,VLOOKUP($A207,'Henwood Reference'!$E$9:$R$320,10),(VLOOKUP($A207,PriceTable,2,0)+IF(BasisNumber&lt;&gt;1,VLOOKUP($A207,BasisTable,2,0),0)+I$1)/(1-I$2))</f>
        <v>41.4873686292549</v>
      </c>
      <c r="J207" s="1568" t="n">
        <f aca="false">IF(Assumptions!$L$25=4,VLOOKUP($A207,'Henwood Reference'!$E$9:$R$320,10),(VLOOKUP($A207,PriceTable,3,0)+IF(BasisNumber&lt;&gt;1,VLOOKUP($A207,BasisTable,2,0),0)+J$1)/(1-J$2))</f>
        <v>41.4873686292549</v>
      </c>
      <c r="K207" s="1568" t="n">
        <f aca="false">IF(Assumptions!$L$25=4,VLOOKUP($A207,'Henwood Reference'!$E$9:$R$320,10),(VLOOKUP($A207,PriceTable,4,0)+IF(BasisNumber&lt;&gt;1,VLOOKUP($A207,BasisTable,2,0),0)+K$1)/(1-K$2))</f>
        <v>41.4873686292549</v>
      </c>
      <c r="L207" s="1523" t="n">
        <f aca="false">IF(Assumptions!$L$25=4,VLOOKUP($A207,'Henwood Reference'!$E$9:$R$320,10),(VLOOKUP($A207,PriceTableWeekend,2,0)+IF(BasisNumber&lt;&gt;1,VLOOKUP($A207,BasisTable,2,0),0)+L$1)/(1-L$2))</f>
        <v>41.4873686292549</v>
      </c>
      <c r="M207" s="1568" t="n">
        <f aca="false">IF(Assumptions!$L$25=4,VLOOKUP($A207,'Henwood Reference'!$E$9:$R$320,10),(VLOOKUP($A207,PriceTableWeekend,3,0)+IF(BasisNumber&lt;&gt;1,VLOOKUP($A207,BasisTable,2,0),0)+M$1)/(1-M$2))</f>
        <v>41.4873686292549</v>
      </c>
      <c r="N207" s="1599" t="n">
        <f aca="false">IF(Assumptions!$L$25=4,VLOOKUP($A207,'Henwood Reference'!$E$9:$R$320,10),(VLOOKUP($A207,PriceTableWeekend,4,0)+IF(BasisNumber&lt;&gt;1,VLOOKUP($A207,BasisTable,2,0),0)+N$1)/(1-N$2))</f>
        <v>41.4873686292549</v>
      </c>
      <c r="O207" s="1568" t="n">
        <f aca="false">IF(Assumptions!$L$25=4,VLOOKUP($A207,'Henwood Reference'!$E$9:$R$320,11),(VLOOKUP($A207,PriceTableWeekend,6,0)+IF(BasisNumber&lt;&gt;1,VLOOKUP($A207,BasisTable,3,0),0)+O$1)/(1-O$2))</f>
        <v>26.5513228792986</v>
      </c>
      <c r="P207" s="1568" t="n">
        <f aca="false">IF(Assumptions!$L$25=4,VLOOKUP($A207,'Henwood Reference'!$E$9:$R$320,11),(VLOOKUP($A207,PriceTableWeekend,7,0)+IF(BasisNumber&lt;&gt;1,VLOOKUP($A207,BasisTable,3,0),0)+P$1)/(1-P$2))</f>
        <v>26.5513228792986</v>
      </c>
      <c r="Q207" s="1599" t="n">
        <f aca="false">IF(Assumptions!$L$25=4,VLOOKUP($A207,'Henwood Reference'!$E$9:$R$320,11),(VLOOKUP($A207,PriceTableWeekend,8,0)+IF(BasisNumber&lt;&gt;1,VLOOKUP($A207,BasisTable,3,0),0)+Q$1)/(1-Q$2))</f>
        <v>26.5513228792986</v>
      </c>
      <c r="R207" s="1568" t="n">
        <f aca="false">IF(Assumptions!$L$25=4,VLOOKUP($A207,'Henwood Reference'!$E$9:$R$320,11),(VLOOKUP($A207,PriceTable,6,0)+IF(BasisNumber&lt;&gt;1,VLOOKUP($A207,BasisTable,3,0),0)+R$1)/(1-R$2))</f>
        <v>26.5513228792986</v>
      </c>
      <c r="S207" s="1568" t="n">
        <f aca="false">IF(Assumptions!$L$25=4,VLOOKUP($A207,'Henwood Reference'!$E$9:$R$320,11),(VLOOKUP($A207,PriceTable,7,0)+IF(BasisNumber&lt;&gt;1,VLOOKUP($A207,BasisTable,3,0),0)+S$1)/(1-S$2))</f>
        <v>26.5513228792986</v>
      </c>
      <c r="T207" s="1600" t="n">
        <f aca="false">IF(Assumptions!$L$25=4,VLOOKUP($A207,'Henwood Reference'!$E$9:$R$320,11),(VLOOKUP($A207,PriceTable,8,0)+IF(BasisNumber&lt;&gt;1,VLOOKUP($A207,BasisTable,3,0),0)+T$1)/(1-T$2))</f>
        <v>26.5513228792986</v>
      </c>
      <c r="U207" s="1513" t="n">
        <f aca="false">VLOOKUP($A207,VolatilityTable,14)</f>
        <v>0.09</v>
      </c>
      <c r="V207" s="1513" t="n">
        <f aca="false">VLOOKUP($A207,VolatilityTable,15)</f>
        <v>0.1</v>
      </c>
      <c r="W207" s="1514" t="n">
        <f aca="false">VLOOKUP($A207,VolatilityTable,16)</f>
        <v>0.11</v>
      </c>
      <c r="X207" s="1513" t="n">
        <f aca="false">VLOOKUP($A207,VolatilityTable,14)</f>
        <v>0.09</v>
      </c>
      <c r="Y207" s="1513" t="n">
        <f aca="false">VLOOKUP($A207,VolatilityTable,15)</f>
        <v>0.1</v>
      </c>
      <c r="Z207" s="1514" t="n">
        <f aca="false">VLOOKUP($A207,VolatilityTable,16)</f>
        <v>0.11</v>
      </c>
      <c r="AA207" s="1513" t="n">
        <f aca="false">VLOOKUP($A207,VolatilityTable,18)</f>
        <v>0.09</v>
      </c>
      <c r="AB207" s="1513" t="n">
        <f aca="false">VLOOKUP($A207,VolatilityTable,19)</f>
        <v>0.11</v>
      </c>
      <c r="AC207" s="1514" t="n">
        <f aca="false">VLOOKUP($A207,VolatilityTable,20)</f>
        <v>0.13</v>
      </c>
      <c r="AD207" s="1513" t="n">
        <f aca="false">VLOOKUP($A207,VolatilityTable,18)</f>
        <v>0.09</v>
      </c>
      <c r="AE207" s="1513" t="n">
        <f aca="false">VLOOKUP($A207,VolatilityTable,19)</f>
        <v>0.11</v>
      </c>
      <c r="AF207" s="1514" t="n">
        <f aca="false">VLOOKUP($A207,VolatilityTable,20)</f>
        <v>0.13</v>
      </c>
      <c r="AG207" s="1513" t="n">
        <f aca="false">VLOOKUP($A207,VolatilityTable,22)</f>
        <v>-0.1</v>
      </c>
      <c r="AH207" s="1513" t="n">
        <f aca="false">VLOOKUP($A207,VolatilityTable,23)</f>
        <v>0.65</v>
      </c>
      <c r="AI207" s="1514" t="n">
        <f aca="false">VLOOKUP($A207,VolatilityTable,24)</f>
        <v>0.1</v>
      </c>
      <c r="AJ207" s="1513" t="n">
        <f aca="false">VLOOKUP($A207,VolatilityTable,22)</f>
        <v>-0.1</v>
      </c>
      <c r="AK207" s="1513" t="n">
        <f aca="false">VLOOKUP($A207,VolatilityTable,23)</f>
        <v>0.65</v>
      </c>
      <c r="AL207" s="1514" t="n">
        <f aca="false">VLOOKUP($A207,VolatilityTable,24)</f>
        <v>0.1</v>
      </c>
      <c r="AM207" s="1513" t="n">
        <f aca="false">VLOOKUP($A207,VolatilityTable,26)</f>
        <v>-0.01</v>
      </c>
      <c r="AN207" s="1513" t="n">
        <f aca="false">VLOOKUP($A207,VolatilityTable,27)</f>
        <v>0.16</v>
      </c>
      <c r="AO207" s="1514" t="n">
        <f aca="false">VLOOKUP($A207,VolatilityTable,28)</f>
        <v>0.01</v>
      </c>
      <c r="AP207" s="1513" t="n">
        <f aca="false">VLOOKUP($A207,VolatilityTable,26)</f>
        <v>-0.01</v>
      </c>
      <c r="AQ207" s="1513" t="n">
        <f aca="false">VLOOKUP($A207,VolatilityTable,27)</f>
        <v>0.16</v>
      </c>
      <c r="AR207" s="1515" t="n">
        <f aca="false">VLOOKUP($A207,VolatilityTable,28)</f>
        <v>0.01</v>
      </c>
      <c r="AS207" s="1581" t="n">
        <f aca="false">IF(CorrPeakOffPeakOverFlag,INDEX(CorrPeakOffPeakOver,C207),CorrPeakOffPeak)</f>
        <v>0.5</v>
      </c>
      <c r="AT207" s="594" t="e">
        <f aca="false">AX207-SUM(AU207:AW207)</f>
        <v>#VALUE!</v>
      </c>
      <c r="AU207" s="238" t="e">
        <f aca="false">IF(E207="",0,INT((F207-MOD(F207,7)-E207)/7)+1-IF(AW207,IF(WEEKDAY(D207)=7,1,0),0))</f>
        <v>#VALUE!</v>
      </c>
      <c r="AV207" s="238" t="e">
        <f aca="false">IF(E207="",0,INT((F207-MOD(F207-1,7)-E207)/7)+1-IF(AW207,IF(WEEKDAY(D207)=1,1,0),0))</f>
        <v>#VALUE!</v>
      </c>
      <c r="AW207" s="238" t="e">
        <f aca="false">IF(OR(E207="",D207="",D207&lt;BegDate,D207&gt;EndDate),0,1)</f>
        <v>#VALUE!</v>
      </c>
      <c r="AX207" s="238" t="n">
        <f aca="false">IF(E207="",0,F207-E207+1)</f>
        <v>31</v>
      </c>
      <c r="AY207" s="1582" t="n">
        <f aca="false">IF(E207="",0,MIN((1-(1-VLOOKUP(B207,MAIN!$AA$7:$AM$28,C207+1))*(1-VLOOKUP(B207,MAIN!$AA$33:$AM$54,C207+1))),1))</f>
        <v>0.03</v>
      </c>
      <c r="AZ207" s="1519" t="e">
        <v>#VALUE!</v>
      </c>
      <c r="BA207" s="1520" t="e">
        <v>#VALUE!</v>
      </c>
      <c r="BB207" s="1520" t="e">
        <v>#VALUE!</v>
      </c>
      <c r="BC207" s="1583" t="e">
        <v>#VALUE!</v>
      </c>
      <c r="BD207" s="1522" t="e">
        <v>#VALUE!</v>
      </c>
      <c r="BE207" s="1523" t="e">
        <v>#VALUE!</v>
      </c>
      <c r="BF207" s="1523" t="e">
        <v>#VALUE!</v>
      </c>
      <c r="BG207" s="1584" t="e">
        <v>#VALUE!</v>
      </c>
      <c r="BH207" s="1525" t="e">
        <v>#VALUE!</v>
      </c>
      <c r="BI207" s="1520" t="e">
        <v>#VALUE!</v>
      </c>
      <c r="BJ207" s="1520" t="e">
        <v>#VALUE!</v>
      </c>
      <c r="BK207" s="1583" t="e">
        <v>#VALUE!</v>
      </c>
      <c r="BL207" s="1522" t="e">
        <v>#VALUE!</v>
      </c>
      <c r="BM207" s="1523" t="e">
        <v>#VALUE!</v>
      </c>
      <c r="BN207" s="1523" t="e">
        <v>#VALUE!</v>
      </c>
      <c r="BO207" s="1523" t="e">
        <v>#VALUE!</v>
      </c>
      <c r="BP207" s="1525" t="e">
        <f aca="false">SUM(AZ207:BB207)</f>
        <v>#VALUE!</v>
      </c>
      <c r="BQ207" s="1529" t="e">
        <f aca="false">SUM(AZ207:BC207)</f>
        <v>#VALUE!</v>
      </c>
      <c r="BR207" s="1519" t="e">
        <f aca="false">SUM(BH207:BJ207)</f>
        <v>#VALUE!</v>
      </c>
      <c r="BS207" s="1529" t="e">
        <f aca="false">SUM(BH207:BK207)</f>
        <v>#VALUE!</v>
      </c>
      <c r="BT207" s="1316" t="n">
        <f aca="false">(IF(OVolType&lt;&gt;2,A207+14,IF(OptExpDateShift,ShiftBack(A207,OptExpDateShift,D206),A207))-DateToday)/365.25</f>
        <v>15.8795345653662</v>
      </c>
      <c r="BU207" s="1585" t="e">
        <f aca="false">IF(BQ207,IF(OPriceCurve,IF(OBuySell=OCallPut,I207/(1-AY207),K207/(1-AY207)),J207/(1-AY207))*BD207,0)</f>
        <v>#VALUE!</v>
      </c>
      <c r="BV207" s="1316" t="e">
        <f aca="false">IF(BQ207,IF(OPriceCurve,IF(OBuySell=OCallPut,L207/(1-AY207),N207/(1-AY207)),M207/(1-AY207))*BE207,0)</f>
        <v>#VALUE!</v>
      </c>
      <c r="BW207" s="1316" t="e">
        <f aca="false">IF(BQ207,IF(OPriceCurve,IF(OBuySell=OCallPut,O207/(1-AY207),Q207/(1-AY207)),P207/(1-AY207))*BF207,0)</f>
        <v>#VALUE!</v>
      </c>
      <c r="BX207" s="1316" t="e">
        <f aca="false">IF(BQ207,IF(OPriceCurve,IF(OBuySell=OCallPut,R207/(1-AY207),T207/(1-AY207)),S207/(1-AY207))*BG207,0)</f>
        <v>#VALUE!</v>
      </c>
      <c r="BY207" s="1316" t="e">
        <f aca="false">IF(BP207,(BU207*AZ207+BV207*BA207+BW207*BB207)/BP207,0)</f>
        <v>#VALUE!</v>
      </c>
      <c r="BZ207" s="1316" t="e">
        <f aca="false">IF(BQ207,(BY207*BP207+BX207*BC207)/BQ207,0)</f>
        <v>#VALUE!</v>
      </c>
      <c r="CA207" s="1531" t="e">
        <f aca="false">IF(BS207,IF(OPriceCurve,IF(OBuySell=OCallPut,I207/(1-AY207),K207/(1-AY207)),J207/(1-AY207))*BL207,0)</f>
        <v>#VALUE!</v>
      </c>
      <c r="CB207" s="1316" t="e">
        <f aca="false">IF(BS207,IF(OPriceCurve,IF(OBuySell=OCallPut,L207/(1-AY207),N207/(1-AY207)),M207/(1-AY207))*BM207,0)</f>
        <v>#VALUE!</v>
      </c>
      <c r="CC207" s="1316" t="e">
        <f aca="false">IF(BS207,IF(OPriceCurve,IF(OBuySell=OCallPut,O207/(1-AY207),Q207/(1-AY207)),P207/(1-AY207))*BN207,0)</f>
        <v>#VALUE!</v>
      </c>
      <c r="CD207" s="1316" t="e">
        <f aca="false">IF(BS207,IF(OPriceCurve,IF(OBuySell=OCallPut,R207/(1-AY207),T207/(1-AY207)),S207/(1-AY207))*BO207,0)</f>
        <v>#VALUE!</v>
      </c>
      <c r="CE207" s="1316" t="e">
        <f aca="false">IF(BR207,(BU207*BH207+BV207*BI207+BW207*BJ207)/BR207,0)</f>
        <v>#VALUE!</v>
      </c>
      <c r="CF207" s="1532" t="e">
        <f aca="false">IF(BS207,(CE207*BR207+CD207*BK207)/BS207,0)</f>
        <v>#VALUE!</v>
      </c>
      <c r="CG207" s="1586" t="e">
        <f aca="false">IF(OR(BQ207,BS207),IF(OVolType&lt;&gt;2,SQRT(IF(OVolOverMonthlyPeak,OVolOverMonthlyPeak,IF(OVolCurve,IF(OBuySell,U207,W207),V207))^2*(1-15/365.25/BT207)+IF(OVolOverDailyPeak,OVolOverDailyPeak,IF(OVolCurve,IF(OBuySell,AG207,AI207),AH207))^2*15/365.25/BT207),IF(OVolOverMonthlyPeak,OVolOverMonthlyPeak,IF(OVolCurve,IF(OBuySell,U207,W207),V207))),"")</f>
        <v>#VALUE!</v>
      </c>
      <c r="CH207" s="1587" t="e">
        <f aca="false">IF(OR(BQ207,BS207),IF(OVolType&lt;&gt;2,SQRT(IF(OVolOverMonthlyPeak,OVolOverMonthlyPeak,IF(OVolCurve,IF(OBuySell,X207,Z207),Y207))^2*(1-15/365.25/BT207)+IF(OVolOverDailyPeak,OVolOverDailyPeak,IF(OVolCurve,IF(OBuySell,AJ207,AL207),AK207))^2*15/365.25/BT207),IF(OVolOverMonthlyPeak,OVolOverMonthlyPeak,IF(OVolCurve,IF(OBuySell,X207,Z207),Y207))),"")</f>
        <v>#VALUE!</v>
      </c>
      <c r="CI207" s="1587" t="e">
        <f aca="false">IF(OR(BQ207,BS207),IF(OVolType&lt;&gt;2,SQRT(IF(OVolOverMonthlyPeak,OVolOverMonthlyPeak,IF(OVolCurve,IF(OBuySell,AA207,AC207),AB207))^2*(1-15/365.25/BT207)+IF(OVolOverDailyPeak,OVolOverDailyPeak,IF(OVolCurve,IF(OBuySell,AM207,AO207),AN207))^2*15/365.25/BT207),IF(OVolOverMonthlyPeak,OVolOverMonthlyPeak,IF(OVolCurve,IF(OBuySell,AA207,AC207),AB207))),"")</f>
        <v>#VALUE!</v>
      </c>
      <c r="CJ207" s="1587" t="e">
        <f aca="false">IF(BQ207,IF(BP207,SQRT(LN(1+((BU207*AZ207)^2*(EXP(CG207^2*BT207)-1)+(BV207*BA207)^2*(EXP(CH207^2*BT207)-1)+(BW207*BB207)^2*(EXP(CI207^2*BT207)-1)+2*BU207*AZ207*BV207*BA207*(EXP(CG207*CH207*BT207)-1)+2*BV207*BA207*BW207*BB207*(EXP(CH207*CI207*BT207)-1)+2*BW207*BB207*BU207*AZ207*(EXP(CI207*CG207*BT207)-1))/(BY207*BP207)^2)/BT207),0),"")</f>
        <v>#VALUE!</v>
      </c>
      <c r="CK207" s="1587" t="e">
        <f aca="false">IF(BS207,IF(BR207,SQRT(LN(1+((CA207*BH207)^2*(EXP(CG207^2*BT207)-1)+(CB207*BI207)^2*(EXP(CH207^2*BT207)-1)+(CC207*BJ207)^2*(EXP(CI207^2*BT207)-1)+2*CA207*BH207*CB207*BI207*(EXP(CG207*CH207*BT207)-1)+2*CB207*BI207*CC207*BJ207*(EXP(CH207*CI207*BT207)-1)+2*CC207*BJ207*CA207*BH207*(EXP(CI207*CG207*BT207)-1))/(CE207*BR207)^2)/BT207),0),"")</f>
        <v>#VALUE!</v>
      </c>
      <c r="CL207" s="1587" t="e">
        <f aca="false">IF(OR(BQ207,BS207),IF(OVolType&lt;&gt;2,SQRT(IF(OVolOverMonthlyOffPeak,OVolOverMonthlyOffPeak,IF(OVolCurve,IF(OBuySell,AD207,AF207),AE207))^2*(1-15/365.25/BT207)+IF(OVolOverDailyOffPeak,OVolOverDailyOffPeak,IF(OVolCurve,IF(OBuySell,AP207,AR207),AQ207))^2*15/365.25/BT207),IF(OVolOverMonthlyOffPeak,OVolOverMonthlyOffPeak,IF(OVolCurve,IF(OBuySell,AD207,AF207),AE207))),"")</f>
        <v>#VALUE!</v>
      </c>
      <c r="CM207" s="1587" t="e">
        <f aca="false">IF(BQ207,SQRT(LN(1+((BY207*BP207)^2*(EXP(CJ207^2*BT207)-1)+(BX207*BC207)^2*(EXP(CL207^2*BT207)-1)+2*BY207*BP207*BX207*BC207*(EXP(AS207*CJ207*CL207*BT207)-1))/(BY207*BP207+BX207*BC207)^2)/BT207),"")</f>
        <v>#VALUE!</v>
      </c>
      <c r="CN207" s="1588" t="e">
        <f aca="false">IF(BS207,SQRT(LN(1+((CE207*BR207)^2*(EXP(CK207^2*BT207)-1)+(CD207*BK207)^2*(EXP(CL207^2*BT207)-1)+2*CE207*BR207*CD207*BK207*(EXP(AS207*CK207*CL207*BT207)-1))/(CE207*BR207+CD207*BK207)^2)/BT207),"")</f>
        <v>#VALUE!</v>
      </c>
      <c r="CO207" s="1531" t="e">
        <f aca="false">IF(OR(BQ207,BS207),VLOOKUP(A207,GasTable,13)*HeatRatePeak*(1+VLOOKUP($B207,HeatRateDegradation,$C207+1))/1000,0)</f>
        <v>#VALUE!</v>
      </c>
      <c r="CP207" s="1316" t="e">
        <f aca="false">IF(OR(BQ207,BS207),VLOOKUP(A207,GasTable,13)*HeatRatePeak*(1+VLOOKUP($B207,HeatRateDegradation,$C207+1))/1000,0)</f>
        <v>#VALUE!</v>
      </c>
      <c r="CQ207" s="1316" t="e">
        <f aca="false">IF(OR(BQ207,BS207),VLOOKUP(A207,GasTable,13)*IF(EV207,HeatRatePeak,HeatRateOffPeak)*(1+VLOOKUP($B207,HeatRateDegradation,$C207+1))/1000,0)</f>
        <v>#VALUE!</v>
      </c>
      <c r="CR207" s="1316" t="e">
        <f aca="false">IF(OR(BQ207,BS207),VLOOKUP(A207,GasTable,13)*IF(EW207,HeatRatePeak,HeatRateOffPeak)*(1+VLOOKUP($B207,HeatRateDegradation,$C207+1))/1000,0)</f>
        <v>#VALUE!</v>
      </c>
      <c r="CS207" s="1589" t="e">
        <f aca="false">IF(BQ207,(CO207*AZ207+CP207*BA207+CQ207*BB207+CR207*BC207)/BQ207,0)</f>
        <v>#VALUE!</v>
      </c>
      <c r="CT207" s="1316" t="e">
        <f aca="false">IF(BS207,CO207,0)</f>
        <v>#VALUE!</v>
      </c>
      <c r="CU207" s="1590" t="e">
        <f aca="false">IF(OR(BQ207,BS207),VLOOKUP(A207,GasTable,14),"")</f>
        <v>#VALUE!</v>
      </c>
      <c r="CV207" s="1568" t="e">
        <f aca="false">IF(OR(BQ207,BS207),IF(CorrPowerGasOverFlag,INDEX(CorrPowerGasOver,C207),CorrPowerGas),"")</f>
        <v>#VALUE!</v>
      </c>
      <c r="CW207" s="1316" t="e">
        <f aca="false">IF(OR($BQ207,$BS207),SpreadOptPowerMargin,0)*((1+Assumptions!$C$26)^($B207-YEAR(Assumptions!$C$17)))</f>
        <v>#VALUE!</v>
      </c>
      <c r="CX207" s="1316" t="e">
        <f aca="false">IF(OR($BQ207,$BS207),SpreadOptPowerMargin,0)*((1+Assumptions!$C$26)^($B207-YEAR(Assumptions!$C$17)))</f>
        <v>#VALUE!</v>
      </c>
      <c r="CY207" s="1316" t="e">
        <f aca="false">IF(OR($BQ207,$BS207),SpreadOptPowerMargin,0)*((1+Assumptions!$C$26)^($B207-YEAR(Assumptions!$C$17)))</f>
        <v>#VALUE!</v>
      </c>
      <c r="CZ207" s="1316" t="e">
        <f aca="false">IF(OR($BQ207,$BS207),SpreadOptPowerMargin,0)*((1+Assumptions!$C$26)^($B207-YEAR(Assumptions!$C$17)))</f>
        <v>#VALUE!</v>
      </c>
      <c r="DA207" s="1591" t="e">
        <f aca="false">IF(OR(BQ207,BS207),(CW207*(AZ207+BH207)+CX207*(BA207+BI207)+CY207*(BB207+BJ207)+CZ207*(BC207+BK207))/(BQ207+BS207),0)</f>
        <v>#VALUE!</v>
      </c>
      <c r="DB207" s="1592" t="e">
        <f aca="false">IF(OR(BQ207,BS207),CG207+IF(OVolSmile,VLOOKUP(MAX(-5,CO207+CW207-BU207),IF(OVolSmile=1,VolSmileBook,VolSmileModel),2),0),"")</f>
        <v>#VALUE!</v>
      </c>
      <c r="DC207" s="1592" t="e">
        <f aca="false">IF(OR(BQ207,BS207),CH207+IF(OVolSmile,VLOOKUP(MAX(-5,CP207+CW207-BV207),IF(OVolSmile=1,VolSmileBook,VolSmileModel),2),0),"")</f>
        <v>#VALUE!</v>
      </c>
      <c r="DD207" s="1592" t="e">
        <f aca="false">IF(OR(BQ207,BS207),CI207+IF(OVolSmile,VLOOKUP(MAX(-5,CQ207+CW207-BW207),IF(OVolSmile=1,VolSmileBook,VolSmileModel),2),0),"")</f>
        <v>#VALUE!</v>
      </c>
      <c r="DE207" s="1592" t="e">
        <f aca="false">IF(OR(BQ207,BS207),CL207+IF(OVolSmile,VLOOKUP(MAX(-5,CR207+CZ207-BX207),IF(OVolSmile=1,VolSmileBook,VolSmileModel),2),0),"")</f>
        <v>#VALUE!</v>
      </c>
      <c r="DF207" s="1592" t="e">
        <f aca="false">IF(BQ207,CM207+IF(OVolSmile,VLOOKUP(MAX(-5,CS207+DA207-BZ207),IF(OVolSmile=1,VolSmileBook,VolSmileModel),2),0),"")</f>
        <v>#VALUE!</v>
      </c>
      <c r="DG207" s="1593" t="e">
        <f aca="false">IF(BS207,CN207+IF(OVolSmile,VLOOKUP(MAX(-5,CT207+DA207-CF207),IF(OVolSmile=1,VolSmileBook,VolSmileModel),2),0),"")</f>
        <v>#VALUE!</v>
      </c>
      <c r="DH207" s="1316" t="e">
        <f aca="false">IF(AND(BU207&gt;0,CO207&gt;0,DB207&gt;0,CU207&gt;0),newSPRDOPT(BU207,CO207,CW207,0,DB207,CU207,CV207,BT207*365.25,OCallPut,0),0)</f>
        <v>#VALUE!</v>
      </c>
      <c r="DI207" s="1316" t="e">
        <f aca="false">IF(AND(BV207&gt;0,CP207&gt;0,DC207&gt;0,CU207&gt;0),newSPRDOPT(BV207,CP207,CX207,0,DC207,CU207,CV207,BT207*365.25,OCallPut,0),0)</f>
        <v>#VALUE!</v>
      </c>
      <c r="DJ207" s="1316" t="e">
        <f aca="false">IF(AND(BW207&gt;0,CQ207&gt;0,DD207&gt;0,CU207&gt;0),newSPRDOPT(BW207,CQ207,CY207,0,DD207,CU207,CV207,BT207*365.25,OCallPut,0),0)</f>
        <v>#VALUE!</v>
      </c>
      <c r="DK207" s="1316" t="e">
        <f aca="false">IF(AND(BX207&gt;0,CR207&gt;0,DE207&gt;0,CU207&gt;0),newSPRDOPT(BX207,CR207,CZ207,0,DE207,CU207,CV207,BT207*365.25,OCallPut,0),0)</f>
        <v>#VALUE!</v>
      </c>
      <c r="DL207" s="1316" t="e">
        <f aca="false">IF(OVolType,IF(AND(BZ207&gt;0,CS207&gt;0,DF207&gt;0,CU207&gt;0),newSPRDOPT(BZ207,CS207,DA207,0,DF207,CU207,CV207,BT207*365.25,OCallPut,0),0),IF(BQ207,(DH207*AZ207+DI207*BA207+DJ207*BB207+DK207*BC207)/BQ207,0))</f>
        <v>#VALUE!</v>
      </c>
      <c r="DM207" s="1316"/>
      <c r="DN207" s="1316"/>
      <c r="DO207" s="1316"/>
      <c r="DP207" s="1316"/>
      <c r="DQ207" s="1316"/>
      <c r="DR207" s="1316"/>
      <c r="DS207" s="1316"/>
      <c r="DT207" s="1316"/>
      <c r="DU207" s="1316"/>
      <c r="DV207" s="1316"/>
      <c r="DW207" s="1594" t="e">
        <f aca="false">IF(AND(BW207&gt;0,CT207&gt;0,DD207&gt;0,CU207&gt;0),newSPRDOPT(BW207,CT207,CY207,0,DD207,CU207,CV207,BT207*365.25,OCallPut,0),0)</f>
        <v>#VALUE!</v>
      </c>
      <c r="DX207" s="1316" t="e">
        <f aca="false">IF(AND(BX207&gt;0,CT207&gt;0,DE207&gt;0,CU207&gt;0),newSPRDOPT(BX207,CT207,CZ207,0,DE207,CU207,CV207,BT207*365.25,OCallPut,0),0)</f>
        <v>#VALUE!</v>
      </c>
      <c r="DY207" s="1591" t="e">
        <f aca="false">IF(BS207,(DH207*BH207+DI207*BI207+DW207*BJ207+DX207*BK207)/BS207,0)</f>
        <v>#VALUE!</v>
      </c>
      <c r="DZ207" s="1551" t="e">
        <f aca="false">DH207*AZ207</f>
        <v>#VALUE!</v>
      </c>
      <c r="EA207" s="1551" t="e">
        <f aca="false">DI207*BA207</f>
        <v>#VALUE!</v>
      </c>
      <c r="EB207" s="1551" t="e">
        <f aca="false">DJ207*BB207</f>
        <v>#VALUE!</v>
      </c>
      <c r="EC207" s="1551" t="e">
        <f aca="false">DK207*BC207</f>
        <v>#VALUE!</v>
      </c>
      <c r="ED207" s="1551" t="e">
        <f aca="false">DL207*BQ207</f>
        <v>#VALUE!</v>
      </c>
      <c r="EE207" s="1595" t="e">
        <f aca="false">IF(BQ207,IF(OCallPut,IF(BU207&gt;(CO207+CW207),BU207-(CO207+CW207),0),IF((CO207+CW207)&gt;BU207,(CO207+CW207)-BU207,0))*AZ207,0)</f>
        <v>#VALUE!</v>
      </c>
      <c r="EF207" s="1596" t="e">
        <f aca="false">IF(BQ207,IF(OCallPut,IF(BV207&gt;(CP207+CX207),BV207-(CP207+CX207),0),IF((CP207+CX207)&gt;BV207,(CP207+CX207)-BV207,0))*BA207,0)</f>
        <v>#VALUE!</v>
      </c>
      <c r="EG207" s="1596" t="e">
        <f aca="false">IF(BQ207,IF(OCallPut,IF(BW207&gt;(CQ207+CY207),BW207-(CQ207+CY207),0),IF((CQ207+CY207)&gt;BW207,(CQ207+CY207)-BW207,0))*BB207,0)</f>
        <v>#VALUE!</v>
      </c>
      <c r="EH207" s="1596" t="e">
        <f aca="false">IF(BQ207,IF(OCallPut,IF(BX207&gt;(CR207+CZ207),BX207-(CR207+CZ207),0),IF((CR207+CZ207)&gt;BX207,(CR207+CZ207)-BX207,0))*BC207,0)</f>
        <v>#VALUE!</v>
      </c>
      <c r="EI207" s="1597" t="e">
        <f aca="false">IF(BQ207,IF(OVolType,IF(OCallPut,IF(BZ207&gt;(CS207+DA207),BZ207-(CS207+DA207),0),IF((CS207+DA207)&gt;BZ207,(CS207+DA207)-BZ207,0))*BQ207,SUM(EE207:EH207)),0)</f>
        <v>#VALUE!</v>
      </c>
      <c r="EJ207" s="1595" t="e">
        <f aca="false">DZ207-EE207</f>
        <v>#VALUE!</v>
      </c>
      <c r="EK207" s="1596" t="e">
        <f aca="false">EA207-EF207</f>
        <v>#VALUE!</v>
      </c>
      <c r="EL207" s="1596" t="e">
        <f aca="false">EB207-EG207</f>
        <v>#VALUE!</v>
      </c>
      <c r="EM207" s="1596" t="e">
        <f aca="false">EC207-EH207</f>
        <v>#VALUE!</v>
      </c>
      <c r="EN207" s="1597" t="e">
        <f aca="false">ED207-EI207</f>
        <v>#VALUE!</v>
      </c>
      <c r="EO207" s="1551" t="e">
        <f aca="false">DH207*BH207</f>
        <v>#VALUE!</v>
      </c>
      <c r="EP207" s="1551" t="e">
        <f aca="false">DI207*BI207</f>
        <v>#VALUE!</v>
      </c>
      <c r="EQ207" s="1551" t="e">
        <f aca="false">DW207*BJ207</f>
        <v>#VALUE!</v>
      </c>
      <c r="ER207" s="1551" t="e">
        <f aca="false">DX207*BK207</f>
        <v>#VALUE!</v>
      </c>
      <c r="ES207" s="1551" t="e">
        <f aca="false">DY207*BS207</f>
        <v>#VALUE!</v>
      </c>
      <c r="ET207" s="1566" t="e">
        <f aca="false">IF(EI207,IF(OCallPut,IF(CA207&gt;(CT207+CW207),CA207-(CT207+CW207),0),IF((CT207+CW207)&gt;CA207,(CT207+CW207)-CA207,0))*BH207,0)</f>
        <v>#VALUE!</v>
      </c>
      <c r="EU207" s="1551" t="e">
        <f aca="false">IF(EI207,IF(OCallPut,IF(CB207&gt;(CT207+CX207),CB207-(CT207+CX207),0),IF((CT207+CX207)&gt;CB207,(CT207+CX207)-CB207,0))*BI207,0)</f>
        <v>#VALUE!</v>
      </c>
      <c r="EV207" s="1551" t="e">
        <f aca="false">IF(EI207,IF(OCallPut,IF(CC207&gt;(CT207+CY207),CC207-(CT207+CY207),0),IF((CT207+CY207)&gt;CC207,(CT207+CY207)-CC207,0))*BJ207,0)</f>
        <v>#VALUE!</v>
      </c>
      <c r="EW207" s="1551" t="e">
        <f aca="false">IF(EI207,IF(OCallPut,IF(CD207&gt;(CT207+CZ207),CD207-(CT207+CZ207),0),IF((CT207+CZ207)&gt;CD207,(CT207+CZ207)-CD207,0))*BK207,0)</f>
        <v>#VALUE!</v>
      </c>
      <c r="EX207" s="1558" t="e">
        <f aca="false">IF(EI207,SUM(ET207:EW207),0)</f>
        <v>#VALUE!</v>
      </c>
      <c r="EY207" s="1551" t="e">
        <f aca="false">EO207-ET207</f>
        <v>#VALUE!</v>
      </c>
      <c r="EZ207" s="1551" t="e">
        <f aca="false">EP207-EU207</f>
        <v>#VALUE!</v>
      </c>
      <c r="FA207" s="1551" t="e">
        <f aca="false">EQ207-EV207</f>
        <v>#VALUE!</v>
      </c>
      <c r="FB207" s="1551" t="e">
        <f aca="false">ER207-EW207</f>
        <v>#VALUE!</v>
      </c>
      <c r="FC207" s="1551" t="e">
        <f aca="false">ES207-EX207</f>
        <v>#VALUE!</v>
      </c>
      <c r="FD207" s="1525" t="n">
        <f aca="false">IF(AX207,IF(VLOOKUP(C207,MAIN!$L$17:$M$28,2)="Yes",VLOOKUP(CALC!B207,MAIN!$H$17:$I$20,2),0),0)</f>
        <v>0</v>
      </c>
      <c r="FE207" s="1552" t="e">
        <f aca="false">$FD207*16*AT207*(1-$AY207)</f>
        <v>#VALUE!</v>
      </c>
      <c r="FF207" s="1553" t="e">
        <f aca="false">$FD207*16*AU207*(1-$AY207)</f>
        <v>#VALUE!</v>
      </c>
      <c r="FG207" s="1553" t="e">
        <f aca="false">$FD207*16*(AV207+AW207)*(1-$AY207)</f>
        <v>#VALUE!</v>
      </c>
      <c r="FH207" s="1554" t="n">
        <f aca="false">$FD207*8*AX207*(1-$AY207)</f>
        <v>0</v>
      </c>
      <c r="FI207" s="1555" t="n">
        <f aca="false">IF(AX207,VLOOKUP(CALC!B207,MAIN!$H$17:$K$20,4),0)</f>
        <v>0</v>
      </c>
      <c r="FJ207" s="1553" t="e">
        <f aca="false">SUM(FE207:FH207)</f>
        <v>#VALUE!</v>
      </c>
      <c r="FK207" s="1556" t="e">
        <f aca="false">FI207*FJ207</f>
        <v>#VALUE!</v>
      </c>
      <c r="FL207" s="1551" t="e">
        <f aca="false">IF($EI207&gt;0,MIN(FE207,AZ207*(1+VLOOKUP($C207,WeatherCapacityAdjustment,2))),0)</f>
        <v>#VALUE!</v>
      </c>
      <c r="FM207" s="1551" t="e">
        <f aca="false">IF($EI207&gt;0,MIN(FF207,BA207*(1+VLOOKUP($C207,WeatherCapacityAdjustment,2))),0)</f>
        <v>#VALUE!</v>
      </c>
      <c r="FN207" s="1551" t="e">
        <f aca="false">IF($EI207&gt;0,MIN(FG207,BB207*(1+VLOOKUP($C207,WeatherCapacityAdjustment,2))),0)</f>
        <v>#VALUE!</v>
      </c>
      <c r="FO207" s="1564" t="e">
        <f aca="false">IF($EI207&gt;0,MIN(FH207,BC207*(1+VLOOKUP($C207,WeatherCapacityAdjustment,3))),0)</f>
        <v>#VALUE!</v>
      </c>
      <c r="FP207" s="1551" t="e">
        <f aca="false">IF(ET207&gt;0,MIN(FE207-FL207,BH207*(1+VLOOKUP($C207,WeatherCapacityAdjustment,2))),0)</f>
        <v>#VALUE!</v>
      </c>
      <c r="FQ207" s="1551" t="e">
        <f aca="false">IF(EU207&gt;0,MIN(FF207-FM207,BI207*(1+VLOOKUP($C207,WeatherCapacityAdjustment,2))),0)</f>
        <v>#VALUE!</v>
      </c>
      <c r="FR207" s="1551" t="e">
        <f aca="false">IF(EV207&gt;0,MIN(FG207-FN207,BJ207*(1+VLOOKUP($C207,WeatherCapacityAdjustment,2))),0)</f>
        <v>#VALUE!</v>
      </c>
      <c r="FS207" s="1558" t="e">
        <f aca="false">IF(EW207&gt;0,MIN(FH207-FO207,BK207*(1+VLOOKUP($C207,WeatherCapacityAdjustment,3))),0)</f>
        <v>#VALUE!</v>
      </c>
      <c r="FT207" s="1566" t="e">
        <f aca="false">IF(AND(Assumptions!$H$71="Yes",A207&gt;=Assumptions!$H$72,A207&lt;=Assumptions!$H$73),0,IF(AND($A207&gt;=Assumptions!$C$17,$A207&lt;=Assumptions!$C$18),MAX(AZ207*(1+VLOOKUP($C207,WeatherCapacityAdjustment,2))-FL207,0),0))</f>
        <v>#VALUE!</v>
      </c>
      <c r="FU207" s="1551" t="e">
        <f aca="false">IF(AND(Assumptions!$H$71="Yes",A207&gt;=Assumptions!$H$72,A207&lt;=Assumptions!$H$73),0,IF(AND($A207&gt;=Assumptions!$C$17,$A207&lt;=Assumptions!$C$18),MAX(BA207*(1+VLOOKUP($C207,WeatherCapacityAdjustment,2))-FM207,0),0))</f>
        <v>#VALUE!</v>
      </c>
      <c r="FV207" s="1551" t="e">
        <f aca="false">IF(AND(Assumptions!$H$71="Yes",A207&gt;=Assumptions!$H$72,A207&lt;=Assumptions!$H$73),0,IF(AND($A207&gt;=Assumptions!$C$17,$A207&lt;=Assumptions!$C$18),MAX(BB207*(1+VLOOKUP($C207,WeatherCapacityAdjustment,2))-FN207,0),0))</f>
        <v>#VALUE!</v>
      </c>
      <c r="FW207" s="1564" t="e">
        <f aca="false">IF(AND(Assumptions!$H$71="Yes",A207&gt;=Assumptions!$H$72,A207&lt;=Assumptions!$H$73),0,IF(AND($A207&gt;=Assumptions!$C$17,$A207&lt;=Assumptions!$C$18),MAX(BC207*(1+VLOOKUP($C207,WeatherCapacityAdjustment,3))-FO207,0),0))</f>
        <v>#VALUE!</v>
      </c>
      <c r="FX207" s="1569" t="e">
        <f aca="false">IF(AND(Assumptions!$H$71="Yes",A207&gt;=Assumptions!$H$72,A207&lt;=Assumptions!$H$73),0,IF(ET207&gt;0,MAX(BH207*(1+VLOOKUP($C207,WeatherCapacityAdjustment,2))-FP207,0),0))</f>
        <v>#VALUE!</v>
      </c>
      <c r="FY207" s="1551" t="e">
        <f aca="false">IF(AND(Assumptions!$H$71="Yes",A207&gt;=Assumptions!$H$72,A207&lt;=Assumptions!$H$73),0,IF(EU207&gt;0,MAX(BI207*(1+VLOOKUP($C207,WeatherCapacityAdjustment,3))-FQ207,0),0))</f>
        <v>#VALUE!</v>
      </c>
      <c r="FZ207" s="1551" t="e">
        <f aca="false">IF(AND(Assumptions!$H$71="Yes",A207&gt;=Assumptions!$H$72,A207&lt;=Assumptions!$H$73),0,IF(EV207&gt;0,MAX(BJ207*(1+VLOOKUP($C207,WeatherCapacityAdjustment,2))-FR207,0),0))</f>
        <v>#VALUE!</v>
      </c>
      <c r="GA207" s="1564" t="e">
        <f aca="false">IF(AND(Assumptions!$H$71="Yes",A207&gt;=Assumptions!$H$72,A207&lt;=Assumptions!$H$73),0,IF(EW207&gt;0,MAX(BK207*(1+VLOOKUP($C207,WeatherCapacityAdjustment,2))-FS207,0),0))</f>
        <v>#VALUE!</v>
      </c>
      <c r="GB207" s="1551" t="e">
        <f aca="false">SUM(FT207:GA207)</f>
        <v>#VALUE!</v>
      </c>
      <c r="GC207" s="1563" t="e">
        <f aca="false">+IF(SUM(FT207:GA207)=0,0,(SUMPRODUCT(BU207:BX207,FT207:FW207)+SUMPRODUCT(CA207:CD207,FX207:GA207))/SUM(FT207:GA207))</f>
        <v>#VALUE!</v>
      </c>
      <c r="GD207" s="1551" t="e">
        <f aca="false">(FT207*BU207+FX207*CA207+FU207*BV207+FY207*CB207+FV207*BW207+FZ207*CC207+FW207*BX207+GA207*CD207)</f>
        <v>#VALUE!</v>
      </c>
      <c r="GE207" s="1561" t="e">
        <f aca="false">+IF(BQ207,((FL207+FM207+FT207+FU207)*HeatRatePeak/1000*(1+VLOOKUP($C207,WeatherHeatRateAdjustment,2))+(FN207+FV207)*IF(EV207&gt;0,HeatRatePeak,HeatRateOffPeak)/1000*(1+VLOOKUP($C207,WeatherHeatRateAdjustment,2))+(FO207+FW207)*IF(EW207&gt;0,HeatRatePeak,HeatRateOffPeak)/1000*(1+VLOOKUP($C207,WeatherHeatRateAdjustment,3)))*(1+VLOOKUP($B207,HeatRateDegradation,$C207+1)),0)</f>
        <v>#VALUE!</v>
      </c>
      <c r="GF207" s="1562" t="e">
        <f aca="false">IF(BQ207,((FP207+FQ207+FR207+FX207+FY207+FZ207)*HeatRatePeak/1000*(1+VLOOKUP($C207,WeatherHeatRateAdjustment,2))+(FS207+GA207)*HeatRatePeak/1000*(1+VLOOKUP($C207,WeatherHeatRateAdjustment,3)))*(1+VLOOKUP($B207,HeatRateDegradation,$C207+1)),0)</f>
        <v>#VALUE!</v>
      </c>
      <c r="GG207" s="1563" t="e">
        <f aca="false">IF(BQ207,VLOOKUP(A207,GasTable,13),0)</f>
        <v>#VALUE!</v>
      </c>
      <c r="GH207" s="1564" t="e">
        <f aca="false">(GE207+GF207)*GG207</f>
        <v>#VALUE!</v>
      </c>
      <c r="GI207" s="1569" t="e">
        <f aca="false">GB207</f>
        <v>#VALUE!</v>
      </c>
      <c r="GJ207" s="1598" t="e">
        <f aca="false">+DA207</f>
        <v>#VALUE!</v>
      </c>
      <c r="GK207" s="1558" t="e">
        <f aca="false">+GI207*GJ207</f>
        <v>#VALUE!</v>
      </c>
      <c r="GL207" s="1566" t="e">
        <f aca="false">MAX(FE207-FL207-FP207,0)</f>
        <v>#VALUE!</v>
      </c>
      <c r="GM207" s="1551" t="e">
        <f aca="false">MAX(FF207-FM207-FQ207,0)</f>
        <v>#VALUE!</v>
      </c>
      <c r="GN207" s="1551" t="e">
        <f aca="false">MAX(FG207-FN207-FR207,0)</f>
        <v>#VALUE!</v>
      </c>
      <c r="GO207" s="1564" t="e">
        <f aca="false">MAX(FH207-FO207-FS207,0)</f>
        <v>#VALUE!</v>
      </c>
      <c r="GP207" s="1551" t="e">
        <f aca="false">SUM(GL207:GO207)</f>
        <v>#VALUE!</v>
      </c>
      <c r="GQ207" s="1563" t="e">
        <f aca="false">IF(SUM(GL207:GO207)=0,0,((GL207*BU207+GM207*BV207+GN207*BW207+GO207*BX207)/SUM(GL207:GO207)))</f>
        <v>#VALUE!</v>
      </c>
      <c r="GR207" s="1558" t="e">
        <f aca="false">(GL207*BU207+GM207*BV207+GN207*BW207+GO207*BX207)</f>
        <v>#VALUE!</v>
      </c>
      <c r="GS207" s="1566" t="n">
        <f aca="false">IF($A207&gt;=BegDate,Assumptions!$C$56*24*($A208-$A207)*(1-VLOOKUP($B207,MAIN!$AA$7:$AM$28,$C207+1))*(1-VLOOKUP($B207,MAIN!$AA$33:$AM$54,$C207+1)),0)*80/168</f>
        <v>257742.857142857</v>
      </c>
      <c r="GT207" s="286" t="n">
        <f aca="false">J207</f>
        <v>41.4873686292549</v>
      </c>
      <c r="GU207" s="286" t="n">
        <f aca="false">IF($A207&gt;=BegDate,VLOOKUP($A207,GasTable,13)+Assumptions!$C$58,0)</f>
        <v>3.29571155551839</v>
      </c>
      <c r="GV207" s="286" t="n">
        <f aca="false">GU207*Assumptions!$C$57/1000</f>
        <v>23.8939087775083</v>
      </c>
      <c r="GW207" s="1558" t="n">
        <f aca="false">IF(Assumptions!$C$60="Hourly",MAX(0,GS207*(GT207-GV207)),GS207*(GT207-GV207))</f>
        <v>4534588.60921732</v>
      </c>
      <c r="GX207" s="1566" t="n">
        <f aca="false">IF($A207&gt;=BegDate,Assumptions!$C$56*24*($A208-$A207)*(1-VLOOKUP($B207,MAIN!$AA$7:$AM$28,$C207+1))*(1-VLOOKUP($B207,MAIN!$AA$33:$AM$54,$C207+1)),0)*16/168</f>
        <v>51548.5714285714</v>
      </c>
      <c r="GY207" s="286" t="n">
        <f aca="false">M207</f>
        <v>41.4873686292549</v>
      </c>
      <c r="GZ207" s="286" t="n">
        <f aca="false">IF($A207&gt;=BegDate,VLOOKUP($A207,GasTable,13)+Assumptions!$C$58,0)</f>
        <v>3.29571155551839</v>
      </c>
      <c r="HA207" s="286" t="n">
        <f aca="false">GZ207*Assumptions!$C$57/1000</f>
        <v>23.8939087775083</v>
      </c>
      <c r="HB207" s="1558" t="n">
        <f aca="false">IF(Assumptions!$C$60="Hourly",MAX(0,GX207*(GY207-HA207)),GX207*(GY207-HA207))</f>
        <v>906917.721843463</v>
      </c>
      <c r="HC207" s="1566" t="n">
        <f aca="false">IF($A207&gt;=BegDate,Assumptions!$C$56*24*($A208-$A207)*(1-VLOOKUP($B207,MAIN!$AA$7:$AM$28,$C207+1))*(1-VLOOKUP($B207,MAIN!$AA$33:$AM$54,$C207+1)),0)*16/168</f>
        <v>51548.5714285714</v>
      </c>
      <c r="HD207" s="286" t="n">
        <f aca="false">P207</f>
        <v>26.5513228792986</v>
      </c>
      <c r="HE207" s="286" t="n">
        <f aca="false">IF($A207&gt;=BegDate,VLOOKUP($A207,GasTable,13)+Assumptions!$C$58,0)</f>
        <v>3.29571155551839</v>
      </c>
      <c r="HF207" s="286" t="n">
        <f aca="false">HE207*Assumptions!$C$57/1000</f>
        <v>23.8939087775083</v>
      </c>
      <c r="HG207" s="1558" t="n">
        <f aca="false">IF(Assumptions!$C$60="Hourly",MAX(0,HC207*(HD207-HF207)),HC207*(HD207-HF207))</f>
        <v>136985.900641427</v>
      </c>
      <c r="HH207" s="1566" t="n">
        <f aca="false">IF($A207&gt;=BegDate,Assumptions!$C$56*24*($A208-$A207)*(1-VLOOKUP($B207,MAIN!$AA$7:$AM$28,$C207+1))*(1-VLOOKUP($B207,MAIN!$AA$33:$AM$54,$C207+1)),0)*56/168</f>
        <v>180420</v>
      </c>
      <c r="HI207" s="286" t="n">
        <f aca="false">S207</f>
        <v>26.5513228792986</v>
      </c>
      <c r="HJ207" s="286" t="n">
        <f aca="false">IF($A207&gt;=BegDate,VLOOKUP($A207,GasTable,13)+Assumptions!$C$58,0)</f>
        <v>3.29571155551839</v>
      </c>
      <c r="HK207" s="286" t="n">
        <f aca="false">HJ207*Assumptions!$C$57/1000</f>
        <v>23.8939087775083</v>
      </c>
      <c r="HL207" s="1558" t="n">
        <f aca="false">IF(Assumptions!$C$60="Hourly",MAX(0,HH207*(HI207-HK207)),HH207*(HI207-HK207))</f>
        <v>479450.652244993</v>
      </c>
      <c r="HM207" s="1566" t="n">
        <f aca="false">IF(AND(Assumptions!$H$71="Yes",A207&gt;=Assumptions!$H$72,A207&lt;=Assumptions!$H$73),Assumptions!$H$74*Assumptions!$C$9*1000,0)</f>
        <v>0</v>
      </c>
      <c r="HN207" s="1551"/>
      <c r="HO207" s="1563"/>
      <c r="HP207" s="1563"/>
      <c r="HQ207" s="1563"/>
      <c r="HR207" s="1563"/>
      <c r="HS207" s="1563"/>
      <c r="HT207" s="1563"/>
      <c r="HU207" s="1563"/>
      <c r="HV207" s="1563"/>
      <c r="HW207" s="1563"/>
      <c r="HX207" s="1563"/>
      <c r="HY207" s="1563"/>
      <c r="HZ207" s="1563"/>
      <c r="IA207" s="1563"/>
      <c r="IB207" s="1563"/>
      <c r="IC207" s="1563"/>
      <c r="ID207" s="1563"/>
      <c r="IE207" s="1563"/>
      <c r="IF207" s="1563"/>
      <c r="IG207" s="1563"/>
      <c r="IH207" s="1563"/>
      <c r="II207" s="1610"/>
      <c r="IJ207" s="1309"/>
      <c r="IK207" s="1309"/>
    </row>
    <row r="208" customFormat="false" ht="12.75" hidden="false" customHeight="false" outlineLevel="0" collapsed="false">
      <c r="A208" s="1571" t="n">
        <f aca="false">EOMONTH(A207,0)+1</f>
        <v>42461</v>
      </c>
      <c r="B208" s="594" t="n">
        <f aca="false">+YEAR(A208)</f>
        <v>2016</v>
      </c>
      <c r="C208" s="238" t="n">
        <f aca="false">MONTH(A208)</f>
        <v>4</v>
      </c>
      <c r="D208" s="1572" t="e">
        <f aca="false">IF(E208="","",Holiday(B208,C208))</f>
        <v>#VALUE!</v>
      </c>
      <c r="E208" s="1573" t="n">
        <f aca="false">IF(OR(BegDate&gt;=A209,EndDate&lt;A208,AND(VolumeMonthlyOverFlag,INDEX(VolumeMonthlyOver,C208)=0),NOT(INDEX(MonthKnockOutTable,C208))),"",MAX(A208,BegDate))</f>
        <v>42461</v>
      </c>
      <c r="F208" s="1574" t="n">
        <f aca="false">IF(E208="","",MIN(A209-1,EndDate))</f>
        <v>42490</v>
      </c>
      <c r="G208" s="1575" t="n">
        <v>0</v>
      </c>
      <c r="H208" s="1576" t="n">
        <f aca="false">(1+G208/2)^(-2*(DATE(B209,C209,20)-DateToday)/365.25)</f>
        <v>1</v>
      </c>
      <c r="I208" s="1568" t="n">
        <f aca="false">IF(Assumptions!$L$25=4,VLOOKUP($A208,'Henwood Reference'!$E$9:$R$320,10),(VLOOKUP($A208,PriceTable,2,0)+IF(BasisNumber&lt;&gt;1,VLOOKUP($A208,BasisTable,2,0),0)+I$1)/(1-I$2))</f>
        <v>40.4159093864317</v>
      </c>
      <c r="J208" s="1568" t="n">
        <f aca="false">IF(Assumptions!$L$25=4,VLOOKUP($A208,'Henwood Reference'!$E$9:$R$320,10),(VLOOKUP($A208,PriceTable,3,0)+IF(BasisNumber&lt;&gt;1,VLOOKUP($A208,BasisTable,2,0),0)+J$1)/(1-J$2))</f>
        <v>40.4159093864317</v>
      </c>
      <c r="K208" s="1568" t="n">
        <f aca="false">IF(Assumptions!$L$25=4,VLOOKUP($A208,'Henwood Reference'!$E$9:$R$320,10),(VLOOKUP($A208,PriceTable,4,0)+IF(BasisNumber&lt;&gt;1,VLOOKUP($A208,BasisTable,2,0),0)+K$1)/(1-K$2))</f>
        <v>40.4159093864317</v>
      </c>
      <c r="L208" s="1523" t="n">
        <f aca="false">IF(Assumptions!$L$25=4,VLOOKUP($A208,'Henwood Reference'!$E$9:$R$320,10),(VLOOKUP($A208,PriceTableWeekend,2,0)+IF(BasisNumber&lt;&gt;1,VLOOKUP($A208,BasisTable,2,0),0)+L$1)/(1-L$2))</f>
        <v>40.4159093864317</v>
      </c>
      <c r="M208" s="1568" t="n">
        <f aca="false">IF(Assumptions!$L$25=4,VLOOKUP($A208,'Henwood Reference'!$E$9:$R$320,10),(VLOOKUP($A208,PriceTableWeekend,3,0)+IF(BasisNumber&lt;&gt;1,VLOOKUP($A208,BasisTable,2,0),0)+M$1)/(1-M$2))</f>
        <v>40.4159093864317</v>
      </c>
      <c r="N208" s="1599" t="n">
        <f aca="false">IF(Assumptions!$L$25=4,VLOOKUP($A208,'Henwood Reference'!$E$9:$R$320,10),(VLOOKUP($A208,PriceTableWeekend,4,0)+IF(BasisNumber&lt;&gt;1,VLOOKUP($A208,BasisTable,2,0),0)+N$1)/(1-N$2))</f>
        <v>40.4159093864317</v>
      </c>
      <c r="O208" s="1568" t="n">
        <f aca="false">IF(Assumptions!$L$25=4,VLOOKUP($A208,'Henwood Reference'!$E$9:$R$320,11),(VLOOKUP($A208,PriceTableWeekend,6,0)+IF(BasisNumber&lt;&gt;1,VLOOKUP($A208,BasisTable,3,0),0)+O$1)/(1-O$2))</f>
        <v>27.0403091474518</v>
      </c>
      <c r="P208" s="1568" t="n">
        <f aca="false">IF(Assumptions!$L$25=4,VLOOKUP($A208,'Henwood Reference'!$E$9:$R$320,11),(VLOOKUP($A208,PriceTableWeekend,7,0)+IF(BasisNumber&lt;&gt;1,VLOOKUP($A208,BasisTable,3,0),0)+P$1)/(1-P$2))</f>
        <v>27.0403091474518</v>
      </c>
      <c r="Q208" s="1599" t="n">
        <f aca="false">IF(Assumptions!$L$25=4,VLOOKUP($A208,'Henwood Reference'!$E$9:$R$320,11),(VLOOKUP($A208,PriceTableWeekend,8,0)+IF(BasisNumber&lt;&gt;1,VLOOKUP($A208,BasisTable,3,0),0)+Q$1)/(1-Q$2))</f>
        <v>27.0403091474518</v>
      </c>
      <c r="R208" s="1568" t="n">
        <f aca="false">IF(Assumptions!$L$25=4,VLOOKUP($A208,'Henwood Reference'!$E$9:$R$320,11),(VLOOKUP($A208,PriceTable,6,0)+IF(BasisNumber&lt;&gt;1,VLOOKUP($A208,BasisTable,3,0),0)+R$1)/(1-R$2))</f>
        <v>27.0403091474518</v>
      </c>
      <c r="S208" s="1568" t="n">
        <f aca="false">IF(Assumptions!$L$25=4,VLOOKUP($A208,'Henwood Reference'!$E$9:$R$320,11),(VLOOKUP($A208,PriceTable,7,0)+IF(BasisNumber&lt;&gt;1,VLOOKUP($A208,BasisTable,3,0),0)+S$1)/(1-S$2))</f>
        <v>27.0403091474518</v>
      </c>
      <c r="T208" s="1600" t="n">
        <f aca="false">IF(Assumptions!$L$25=4,VLOOKUP($A208,'Henwood Reference'!$E$9:$R$320,11),(VLOOKUP($A208,PriceTable,8,0)+IF(BasisNumber&lt;&gt;1,VLOOKUP($A208,BasisTable,3,0),0)+T$1)/(1-T$2))</f>
        <v>27.0403091474518</v>
      </c>
      <c r="U208" s="1513" t="n">
        <f aca="false">VLOOKUP($A208,VolatilityTable,14)</f>
        <v>0.09</v>
      </c>
      <c r="V208" s="1513" t="n">
        <f aca="false">VLOOKUP($A208,VolatilityTable,15)</f>
        <v>0.1</v>
      </c>
      <c r="W208" s="1514" t="n">
        <f aca="false">VLOOKUP($A208,VolatilityTable,16)</f>
        <v>0.11</v>
      </c>
      <c r="X208" s="1513" t="n">
        <f aca="false">VLOOKUP($A208,VolatilityTable,14)</f>
        <v>0.09</v>
      </c>
      <c r="Y208" s="1513" t="n">
        <f aca="false">VLOOKUP($A208,VolatilityTable,15)</f>
        <v>0.1</v>
      </c>
      <c r="Z208" s="1514" t="n">
        <f aca="false">VLOOKUP($A208,VolatilityTable,16)</f>
        <v>0.11</v>
      </c>
      <c r="AA208" s="1513" t="n">
        <f aca="false">VLOOKUP($A208,VolatilityTable,18)</f>
        <v>0.09</v>
      </c>
      <c r="AB208" s="1513" t="n">
        <f aca="false">VLOOKUP($A208,VolatilityTable,19)</f>
        <v>0.11</v>
      </c>
      <c r="AC208" s="1514" t="n">
        <f aca="false">VLOOKUP($A208,VolatilityTable,20)</f>
        <v>0.13</v>
      </c>
      <c r="AD208" s="1513" t="n">
        <f aca="false">VLOOKUP($A208,VolatilityTable,18)</f>
        <v>0.09</v>
      </c>
      <c r="AE208" s="1513" t="n">
        <f aca="false">VLOOKUP($A208,VolatilityTable,19)</f>
        <v>0.11</v>
      </c>
      <c r="AF208" s="1514" t="n">
        <f aca="false">VLOOKUP($A208,VolatilityTable,20)</f>
        <v>0.13</v>
      </c>
      <c r="AG208" s="1513" t="n">
        <f aca="false">VLOOKUP($A208,VolatilityTable,22)</f>
        <v>-0.1</v>
      </c>
      <c r="AH208" s="1513" t="n">
        <f aca="false">VLOOKUP($A208,VolatilityTable,23)</f>
        <v>0.65</v>
      </c>
      <c r="AI208" s="1514" t="n">
        <f aca="false">VLOOKUP($A208,VolatilityTable,24)</f>
        <v>0.1</v>
      </c>
      <c r="AJ208" s="1513" t="n">
        <f aca="false">VLOOKUP($A208,VolatilityTable,22)</f>
        <v>-0.1</v>
      </c>
      <c r="AK208" s="1513" t="n">
        <f aca="false">VLOOKUP($A208,VolatilityTable,23)</f>
        <v>0.65</v>
      </c>
      <c r="AL208" s="1514" t="n">
        <f aca="false">VLOOKUP($A208,VolatilityTable,24)</f>
        <v>0.1</v>
      </c>
      <c r="AM208" s="1513" t="n">
        <f aca="false">VLOOKUP($A208,VolatilityTable,26)</f>
        <v>-0.01</v>
      </c>
      <c r="AN208" s="1513" t="n">
        <f aca="false">VLOOKUP($A208,VolatilityTable,27)</f>
        <v>0.16</v>
      </c>
      <c r="AO208" s="1514" t="n">
        <f aca="false">VLOOKUP($A208,VolatilityTable,28)</f>
        <v>0.01</v>
      </c>
      <c r="AP208" s="1513" t="n">
        <f aca="false">VLOOKUP($A208,VolatilityTable,26)</f>
        <v>-0.01</v>
      </c>
      <c r="AQ208" s="1513" t="n">
        <f aca="false">VLOOKUP($A208,VolatilityTable,27)</f>
        <v>0.16</v>
      </c>
      <c r="AR208" s="1515" t="n">
        <f aca="false">VLOOKUP($A208,VolatilityTable,28)</f>
        <v>0.01</v>
      </c>
      <c r="AS208" s="1581" t="n">
        <f aca="false">IF(CorrPeakOffPeakOverFlag,INDEX(CorrPeakOffPeakOver,C208),CorrPeakOffPeak)</f>
        <v>0.5</v>
      </c>
      <c r="AT208" s="594" t="e">
        <f aca="false">AX208-SUM(AU208:AW208)</f>
        <v>#VALUE!</v>
      </c>
      <c r="AU208" s="238" t="e">
        <f aca="false">IF(E208="",0,INT((F208-MOD(F208,7)-E208)/7)+1-IF(AW208,IF(WEEKDAY(D208)=7,1,0),0))</f>
        <v>#VALUE!</v>
      </c>
      <c r="AV208" s="238" t="e">
        <f aca="false">IF(E208="",0,INT((F208-MOD(F208-1,7)-E208)/7)+1-IF(AW208,IF(WEEKDAY(D208)=1,1,0),0))</f>
        <v>#VALUE!</v>
      </c>
      <c r="AW208" s="238" t="e">
        <f aca="false">IF(OR(E208="",D208="",D208&lt;BegDate,D208&gt;EndDate),0,1)</f>
        <v>#VALUE!</v>
      </c>
      <c r="AX208" s="238" t="n">
        <f aca="false">IF(E208="",0,F208-E208+1)</f>
        <v>30</v>
      </c>
      <c r="AY208" s="1582" t="n">
        <f aca="false">IF(E208="",0,MIN((1-(1-VLOOKUP(B208,MAIN!$AA$7:$AM$28,C208+1))*(1-VLOOKUP(B208,MAIN!$AA$33:$AM$54,C208+1))),1))</f>
        <v>0.127</v>
      </c>
      <c r="AZ208" s="1519" t="e">
        <v>#VALUE!</v>
      </c>
      <c r="BA208" s="1520" t="e">
        <v>#VALUE!</v>
      </c>
      <c r="BB208" s="1520" t="e">
        <v>#VALUE!</v>
      </c>
      <c r="BC208" s="1583" t="e">
        <v>#VALUE!</v>
      </c>
      <c r="BD208" s="1522" t="e">
        <v>#VALUE!</v>
      </c>
      <c r="BE208" s="1523" t="e">
        <v>#VALUE!</v>
      </c>
      <c r="BF208" s="1523" t="e">
        <v>#VALUE!</v>
      </c>
      <c r="BG208" s="1584" t="e">
        <v>#VALUE!</v>
      </c>
      <c r="BH208" s="1525" t="e">
        <v>#VALUE!</v>
      </c>
      <c r="BI208" s="1520" t="e">
        <v>#VALUE!</v>
      </c>
      <c r="BJ208" s="1520" t="e">
        <v>#VALUE!</v>
      </c>
      <c r="BK208" s="1583" t="e">
        <v>#VALUE!</v>
      </c>
      <c r="BL208" s="1522" t="e">
        <v>#VALUE!</v>
      </c>
      <c r="BM208" s="1523" t="e">
        <v>#VALUE!</v>
      </c>
      <c r="BN208" s="1523" t="e">
        <v>#VALUE!</v>
      </c>
      <c r="BO208" s="1523" t="e">
        <v>#VALUE!</v>
      </c>
      <c r="BP208" s="1525" t="e">
        <f aca="false">SUM(AZ208:BB208)</f>
        <v>#VALUE!</v>
      </c>
      <c r="BQ208" s="1529" t="e">
        <f aca="false">SUM(AZ208:BC208)</f>
        <v>#VALUE!</v>
      </c>
      <c r="BR208" s="1519" t="e">
        <f aca="false">SUM(BH208:BJ208)</f>
        <v>#VALUE!</v>
      </c>
      <c r="BS208" s="1529" t="e">
        <f aca="false">SUM(BH208:BK208)</f>
        <v>#VALUE!</v>
      </c>
      <c r="BT208" s="1316" t="n">
        <f aca="false">(IF(OVolType&lt;&gt;2,A208+14,IF(OptExpDateShift,ShiftBack(A208,OptExpDateShift,D207),A208))-DateToday)/365.25</f>
        <v>15.9644079397673</v>
      </c>
      <c r="BU208" s="1585" t="e">
        <f aca="false">IF(BQ208,IF(OPriceCurve,IF(OBuySell=OCallPut,I208/(1-AY208),K208/(1-AY208)),J208/(1-AY208))*BD208,0)</f>
        <v>#VALUE!</v>
      </c>
      <c r="BV208" s="1316" t="e">
        <f aca="false">IF(BQ208,IF(OPriceCurve,IF(OBuySell=OCallPut,L208/(1-AY208),N208/(1-AY208)),M208/(1-AY208))*BE208,0)</f>
        <v>#VALUE!</v>
      </c>
      <c r="BW208" s="1316" t="e">
        <f aca="false">IF(BQ208,IF(OPriceCurve,IF(OBuySell=OCallPut,O208/(1-AY208),Q208/(1-AY208)),P208/(1-AY208))*BF208,0)</f>
        <v>#VALUE!</v>
      </c>
      <c r="BX208" s="1316" t="e">
        <f aca="false">IF(BQ208,IF(OPriceCurve,IF(OBuySell=OCallPut,R208/(1-AY208),T208/(1-AY208)),S208/(1-AY208))*BG208,0)</f>
        <v>#VALUE!</v>
      </c>
      <c r="BY208" s="1316" t="e">
        <f aca="false">IF(BP208,(BU208*AZ208+BV208*BA208+BW208*BB208)/BP208,0)</f>
        <v>#VALUE!</v>
      </c>
      <c r="BZ208" s="1316" t="e">
        <f aca="false">IF(BQ208,(BY208*BP208+BX208*BC208)/BQ208,0)</f>
        <v>#VALUE!</v>
      </c>
      <c r="CA208" s="1531" t="e">
        <f aca="false">IF(BS208,IF(OPriceCurve,IF(OBuySell=OCallPut,I208/(1-AY208),K208/(1-AY208)),J208/(1-AY208))*BL208,0)</f>
        <v>#VALUE!</v>
      </c>
      <c r="CB208" s="1316" t="e">
        <f aca="false">IF(BS208,IF(OPriceCurve,IF(OBuySell=OCallPut,L208/(1-AY208),N208/(1-AY208)),M208/(1-AY208))*BM208,0)</f>
        <v>#VALUE!</v>
      </c>
      <c r="CC208" s="1316" t="e">
        <f aca="false">IF(BS208,IF(OPriceCurve,IF(OBuySell=OCallPut,O208/(1-AY208),Q208/(1-AY208)),P208/(1-AY208))*BN208,0)</f>
        <v>#VALUE!</v>
      </c>
      <c r="CD208" s="1316" t="e">
        <f aca="false">IF(BS208,IF(OPriceCurve,IF(OBuySell=OCallPut,R208/(1-AY208),T208/(1-AY208)),S208/(1-AY208))*BO208,0)</f>
        <v>#VALUE!</v>
      </c>
      <c r="CE208" s="1316" t="e">
        <f aca="false">IF(BR208,(BU208*BH208+BV208*BI208+BW208*BJ208)/BR208,0)</f>
        <v>#VALUE!</v>
      </c>
      <c r="CF208" s="1532" t="e">
        <f aca="false">IF(BS208,(CE208*BR208+CD208*BK208)/BS208,0)</f>
        <v>#VALUE!</v>
      </c>
      <c r="CG208" s="1586" t="e">
        <f aca="false">IF(OR(BQ208,BS208),IF(OVolType&lt;&gt;2,SQRT(IF(OVolOverMonthlyPeak,OVolOverMonthlyPeak,IF(OVolCurve,IF(OBuySell,U208,W208),V208))^2*(1-15/365.25/BT208)+IF(OVolOverDailyPeak,OVolOverDailyPeak,IF(OVolCurve,IF(OBuySell,AG208,AI208),AH208))^2*15/365.25/BT208),IF(OVolOverMonthlyPeak,OVolOverMonthlyPeak,IF(OVolCurve,IF(OBuySell,U208,W208),V208))),"")</f>
        <v>#VALUE!</v>
      </c>
      <c r="CH208" s="1587" t="e">
        <f aca="false">IF(OR(BQ208,BS208),IF(OVolType&lt;&gt;2,SQRT(IF(OVolOverMonthlyPeak,OVolOverMonthlyPeak,IF(OVolCurve,IF(OBuySell,X208,Z208),Y208))^2*(1-15/365.25/BT208)+IF(OVolOverDailyPeak,OVolOverDailyPeak,IF(OVolCurve,IF(OBuySell,AJ208,AL208),AK208))^2*15/365.25/BT208),IF(OVolOverMonthlyPeak,OVolOverMonthlyPeak,IF(OVolCurve,IF(OBuySell,X208,Z208),Y208))),"")</f>
        <v>#VALUE!</v>
      </c>
      <c r="CI208" s="1587" t="e">
        <f aca="false">IF(OR(BQ208,BS208),IF(OVolType&lt;&gt;2,SQRT(IF(OVolOverMonthlyPeak,OVolOverMonthlyPeak,IF(OVolCurve,IF(OBuySell,AA208,AC208),AB208))^2*(1-15/365.25/BT208)+IF(OVolOverDailyPeak,OVolOverDailyPeak,IF(OVolCurve,IF(OBuySell,AM208,AO208),AN208))^2*15/365.25/BT208),IF(OVolOverMonthlyPeak,OVolOverMonthlyPeak,IF(OVolCurve,IF(OBuySell,AA208,AC208),AB208))),"")</f>
        <v>#VALUE!</v>
      </c>
      <c r="CJ208" s="1587" t="e">
        <f aca="false">IF(BQ208,IF(BP208,SQRT(LN(1+((BU208*AZ208)^2*(EXP(CG208^2*BT208)-1)+(BV208*BA208)^2*(EXP(CH208^2*BT208)-1)+(BW208*BB208)^2*(EXP(CI208^2*BT208)-1)+2*BU208*AZ208*BV208*BA208*(EXP(CG208*CH208*BT208)-1)+2*BV208*BA208*BW208*BB208*(EXP(CH208*CI208*BT208)-1)+2*BW208*BB208*BU208*AZ208*(EXP(CI208*CG208*BT208)-1))/(BY208*BP208)^2)/BT208),0),"")</f>
        <v>#VALUE!</v>
      </c>
      <c r="CK208" s="1587" t="e">
        <f aca="false">IF(BS208,IF(BR208,SQRT(LN(1+((CA208*BH208)^2*(EXP(CG208^2*BT208)-1)+(CB208*BI208)^2*(EXP(CH208^2*BT208)-1)+(CC208*BJ208)^2*(EXP(CI208^2*BT208)-1)+2*CA208*BH208*CB208*BI208*(EXP(CG208*CH208*BT208)-1)+2*CB208*BI208*CC208*BJ208*(EXP(CH208*CI208*BT208)-1)+2*CC208*BJ208*CA208*BH208*(EXP(CI208*CG208*BT208)-1))/(CE208*BR208)^2)/BT208),0),"")</f>
        <v>#VALUE!</v>
      </c>
      <c r="CL208" s="1587" t="e">
        <f aca="false">IF(OR(BQ208,BS208),IF(OVolType&lt;&gt;2,SQRT(IF(OVolOverMonthlyOffPeak,OVolOverMonthlyOffPeak,IF(OVolCurve,IF(OBuySell,AD208,AF208),AE208))^2*(1-15/365.25/BT208)+IF(OVolOverDailyOffPeak,OVolOverDailyOffPeak,IF(OVolCurve,IF(OBuySell,AP208,AR208),AQ208))^2*15/365.25/BT208),IF(OVolOverMonthlyOffPeak,OVolOverMonthlyOffPeak,IF(OVolCurve,IF(OBuySell,AD208,AF208),AE208))),"")</f>
        <v>#VALUE!</v>
      </c>
      <c r="CM208" s="1587" t="e">
        <f aca="false">IF(BQ208,SQRT(LN(1+((BY208*BP208)^2*(EXP(CJ208^2*BT208)-1)+(BX208*BC208)^2*(EXP(CL208^2*BT208)-1)+2*BY208*BP208*BX208*BC208*(EXP(AS208*CJ208*CL208*BT208)-1))/(BY208*BP208+BX208*BC208)^2)/BT208),"")</f>
        <v>#VALUE!</v>
      </c>
      <c r="CN208" s="1588" t="e">
        <f aca="false">IF(BS208,SQRT(LN(1+((CE208*BR208)^2*(EXP(CK208^2*BT208)-1)+(CD208*BK208)^2*(EXP(CL208^2*BT208)-1)+2*CE208*BR208*CD208*BK208*(EXP(AS208*CK208*CL208*BT208)-1))/(CE208*BR208+CD208*BK208)^2)/BT208),"")</f>
        <v>#VALUE!</v>
      </c>
      <c r="CO208" s="1531" t="e">
        <f aca="false">IF(OR(BQ208,BS208),VLOOKUP(A208,GasTable,13)*HeatRatePeak*(1+VLOOKUP($B208,HeatRateDegradation,$C208+1))/1000,0)</f>
        <v>#VALUE!</v>
      </c>
      <c r="CP208" s="1316" t="e">
        <f aca="false">IF(OR(BQ208,BS208),VLOOKUP(A208,GasTable,13)*HeatRatePeak*(1+VLOOKUP($B208,HeatRateDegradation,$C208+1))/1000,0)</f>
        <v>#VALUE!</v>
      </c>
      <c r="CQ208" s="1316" t="e">
        <f aca="false">IF(OR(BQ208,BS208),VLOOKUP(A208,GasTable,13)*IF(EV208,HeatRatePeak,HeatRateOffPeak)*(1+VLOOKUP($B208,HeatRateDegradation,$C208+1))/1000,0)</f>
        <v>#VALUE!</v>
      </c>
      <c r="CR208" s="1316" t="e">
        <f aca="false">IF(OR(BQ208,BS208),VLOOKUP(A208,GasTable,13)*IF(EW208,HeatRatePeak,HeatRateOffPeak)*(1+VLOOKUP($B208,HeatRateDegradation,$C208+1))/1000,0)</f>
        <v>#VALUE!</v>
      </c>
      <c r="CS208" s="1589" t="e">
        <f aca="false">IF(BQ208,(CO208*AZ208+CP208*BA208+CQ208*BB208+CR208*BC208)/BQ208,0)</f>
        <v>#VALUE!</v>
      </c>
      <c r="CT208" s="1316" t="e">
        <f aca="false">IF(BS208,CO208,0)</f>
        <v>#VALUE!</v>
      </c>
      <c r="CU208" s="1590" t="e">
        <f aca="false">IF(OR(BQ208,BS208),VLOOKUP(A208,GasTable,14),"")</f>
        <v>#VALUE!</v>
      </c>
      <c r="CV208" s="1568" t="e">
        <f aca="false">IF(OR(BQ208,BS208),IF(CorrPowerGasOverFlag,INDEX(CorrPowerGasOver,C208),CorrPowerGas),"")</f>
        <v>#VALUE!</v>
      </c>
      <c r="CW208" s="1316" t="e">
        <f aca="false">IF(OR($BQ208,$BS208),SpreadOptPowerMargin,0)*((1+Assumptions!$C$26)^($B208-YEAR(Assumptions!$C$17)))</f>
        <v>#VALUE!</v>
      </c>
      <c r="CX208" s="1316" t="e">
        <f aca="false">IF(OR($BQ208,$BS208),SpreadOptPowerMargin,0)*((1+Assumptions!$C$26)^($B208-YEAR(Assumptions!$C$17)))</f>
        <v>#VALUE!</v>
      </c>
      <c r="CY208" s="1316" t="e">
        <f aca="false">IF(OR($BQ208,$BS208),SpreadOptPowerMargin,0)*((1+Assumptions!$C$26)^($B208-YEAR(Assumptions!$C$17)))</f>
        <v>#VALUE!</v>
      </c>
      <c r="CZ208" s="1316" t="e">
        <f aca="false">IF(OR($BQ208,$BS208),SpreadOptPowerMargin,0)*((1+Assumptions!$C$26)^($B208-YEAR(Assumptions!$C$17)))</f>
        <v>#VALUE!</v>
      </c>
      <c r="DA208" s="1591" t="e">
        <f aca="false">IF(OR(BQ208,BS208),(CW208*(AZ208+BH208)+CX208*(BA208+BI208)+CY208*(BB208+BJ208)+CZ208*(BC208+BK208))/(BQ208+BS208),0)</f>
        <v>#VALUE!</v>
      </c>
      <c r="DB208" s="1592" t="e">
        <f aca="false">IF(OR(BQ208,BS208),CG208+IF(OVolSmile,VLOOKUP(MAX(-5,CO208+CW208-BU208),IF(OVolSmile=1,VolSmileBook,VolSmileModel),2),0),"")</f>
        <v>#VALUE!</v>
      </c>
      <c r="DC208" s="1592" t="e">
        <f aca="false">IF(OR(BQ208,BS208),CH208+IF(OVolSmile,VLOOKUP(MAX(-5,CP208+CW208-BV208),IF(OVolSmile=1,VolSmileBook,VolSmileModel),2),0),"")</f>
        <v>#VALUE!</v>
      </c>
      <c r="DD208" s="1592" t="e">
        <f aca="false">IF(OR(BQ208,BS208),CI208+IF(OVolSmile,VLOOKUP(MAX(-5,CQ208+CW208-BW208),IF(OVolSmile=1,VolSmileBook,VolSmileModel),2),0),"")</f>
        <v>#VALUE!</v>
      </c>
      <c r="DE208" s="1592" t="e">
        <f aca="false">IF(OR(BQ208,BS208),CL208+IF(OVolSmile,VLOOKUP(MAX(-5,CR208+CZ208-BX208),IF(OVolSmile=1,VolSmileBook,VolSmileModel),2),0),"")</f>
        <v>#VALUE!</v>
      </c>
      <c r="DF208" s="1592" t="e">
        <f aca="false">IF(BQ208,CM208+IF(OVolSmile,VLOOKUP(MAX(-5,CS208+DA208-BZ208),IF(OVolSmile=1,VolSmileBook,VolSmileModel),2),0),"")</f>
        <v>#VALUE!</v>
      </c>
      <c r="DG208" s="1593" t="e">
        <f aca="false">IF(BS208,CN208+IF(OVolSmile,VLOOKUP(MAX(-5,CT208+DA208-CF208),IF(OVolSmile=1,VolSmileBook,VolSmileModel),2),0),"")</f>
        <v>#VALUE!</v>
      </c>
      <c r="DH208" s="1316" t="e">
        <f aca="false">IF(AND(BU208&gt;0,CO208&gt;0,DB208&gt;0,CU208&gt;0),newSPRDOPT(BU208,CO208,CW208,0,DB208,CU208,CV208,BT208*365.25,OCallPut,0),0)</f>
        <v>#VALUE!</v>
      </c>
      <c r="DI208" s="1316" t="e">
        <f aca="false">IF(AND(BV208&gt;0,CP208&gt;0,DC208&gt;0,CU208&gt;0),newSPRDOPT(BV208,CP208,CX208,0,DC208,CU208,CV208,BT208*365.25,OCallPut,0),0)</f>
        <v>#VALUE!</v>
      </c>
      <c r="DJ208" s="1316" t="e">
        <f aca="false">IF(AND(BW208&gt;0,CQ208&gt;0,DD208&gt;0,CU208&gt;0),newSPRDOPT(BW208,CQ208,CY208,0,DD208,CU208,CV208,BT208*365.25,OCallPut,0),0)</f>
        <v>#VALUE!</v>
      </c>
      <c r="DK208" s="1316" t="e">
        <f aca="false">IF(AND(BX208&gt;0,CR208&gt;0,DE208&gt;0,CU208&gt;0),newSPRDOPT(BX208,CR208,CZ208,0,DE208,CU208,CV208,BT208*365.25,OCallPut,0),0)</f>
        <v>#VALUE!</v>
      </c>
      <c r="DL208" s="1316" t="e">
        <f aca="false">IF(OVolType,IF(AND(BZ208&gt;0,CS208&gt;0,DF208&gt;0,CU208&gt;0),newSPRDOPT(BZ208,CS208,DA208,0,DF208,CU208,CV208,BT208*365.25,OCallPut,0),0),IF(BQ208,(DH208*AZ208+DI208*BA208+DJ208*BB208+DK208*BC208)/BQ208,0))</f>
        <v>#VALUE!</v>
      </c>
      <c r="DM208" s="1316"/>
      <c r="DN208" s="1316"/>
      <c r="DO208" s="1316"/>
      <c r="DP208" s="1316"/>
      <c r="DQ208" s="1316"/>
      <c r="DR208" s="1316"/>
      <c r="DS208" s="1316"/>
      <c r="DT208" s="1316"/>
      <c r="DU208" s="1316"/>
      <c r="DV208" s="1316"/>
      <c r="DW208" s="1594" t="e">
        <f aca="false">IF(AND(BW208&gt;0,CT208&gt;0,DD208&gt;0,CU208&gt;0),newSPRDOPT(BW208,CT208,CY208,0,DD208,CU208,CV208,BT208*365.25,OCallPut,0),0)</f>
        <v>#VALUE!</v>
      </c>
      <c r="DX208" s="1316" t="e">
        <f aca="false">IF(AND(BX208&gt;0,CT208&gt;0,DE208&gt;0,CU208&gt;0),newSPRDOPT(BX208,CT208,CZ208,0,DE208,CU208,CV208,BT208*365.25,OCallPut,0),0)</f>
        <v>#VALUE!</v>
      </c>
      <c r="DY208" s="1591" t="e">
        <f aca="false">IF(BS208,(DH208*BH208+DI208*BI208+DW208*BJ208+DX208*BK208)/BS208,0)</f>
        <v>#VALUE!</v>
      </c>
      <c r="DZ208" s="1551" t="e">
        <f aca="false">DH208*AZ208</f>
        <v>#VALUE!</v>
      </c>
      <c r="EA208" s="1551" t="e">
        <f aca="false">DI208*BA208</f>
        <v>#VALUE!</v>
      </c>
      <c r="EB208" s="1551" t="e">
        <f aca="false">DJ208*BB208</f>
        <v>#VALUE!</v>
      </c>
      <c r="EC208" s="1551" t="e">
        <f aca="false">DK208*BC208</f>
        <v>#VALUE!</v>
      </c>
      <c r="ED208" s="1551" t="e">
        <f aca="false">DL208*BQ208</f>
        <v>#VALUE!</v>
      </c>
      <c r="EE208" s="1595" t="e">
        <f aca="false">IF(BQ208,IF(OCallPut,IF(BU208&gt;(CO208+CW208),BU208-(CO208+CW208),0),IF((CO208+CW208)&gt;BU208,(CO208+CW208)-BU208,0))*AZ208,0)</f>
        <v>#VALUE!</v>
      </c>
      <c r="EF208" s="1596" t="e">
        <f aca="false">IF(BQ208,IF(OCallPut,IF(BV208&gt;(CP208+CX208),BV208-(CP208+CX208),0),IF((CP208+CX208)&gt;BV208,(CP208+CX208)-BV208,0))*BA208,0)</f>
        <v>#VALUE!</v>
      </c>
      <c r="EG208" s="1596" t="e">
        <f aca="false">IF(BQ208,IF(OCallPut,IF(BW208&gt;(CQ208+CY208),BW208-(CQ208+CY208),0),IF((CQ208+CY208)&gt;BW208,(CQ208+CY208)-BW208,0))*BB208,0)</f>
        <v>#VALUE!</v>
      </c>
      <c r="EH208" s="1596" t="e">
        <f aca="false">IF(BQ208,IF(OCallPut,IF(BX208&gt;(CR208+CZ208),BX208-(CR208+CZ208),0),IF((CR208+CZ208)&gt;BX208,(CR208+CZ208)-BX208,0))*BC208,0)</f>
        <v>#VALUE!</v>
      </c>
      <c r="EI208" s="1597" t="e">
        <f aca="false">IF(BQ208,IF(OVolType,IF(OCallPut,IF(BZ208&gt;(CS208+DA208),BZ208-(CS208+DA208),0),IF((CS208+DA208)&gt;BZ208,(CS208+DA208)-BZ208,0))*BQ208,SUM(EE208:EH208)),0)</f>
        <v>#VALUE!</v>
      </c>
      <c r="EJ208" s="1595" t="e">
        <f aca="false">DZ208-EE208</f>
        <v>#VALUE!</v>
      </c>
      <c r="EK208" s="1596" t="e">
        <f aca="false">EA208-EF208</f>
        <v>#VALUE!</v>
      </c>
      <c r="EL208" s="1596" t="e">
        <f aca="false">EB208-EG208</f>
        <v>#VALUE!</v>
      </c>
      <c r="EM208" s="1596" t="e">
        <f aca="false">EC208-EH208</f>
        <v>#VALUE!</v>
      </c>
      <c r="EN208" s="1597" t="e">
        <f aca="false">ED208-EI208</f>
        <v>#VALUE!</v>
      </c>
      <c r="EO208" s="1551" t="e">
        <f aca="false">DH208*BH208</f>
        <v>#VALUE!</v>
      </c>
      <c r="EP208" s="1551" t="e">
        <f aca="false">DI208*BI208</f>
        <v>#VALUE!</v>
      </c>
      <c r="EQ208" s="1551" t="e">
        <f aca="false">DW208*BJ208</f>
        <v>#VALUE!</v>
      </c>
      <c r="ER208" s="1551" t="e">
        <f aca="false">DX208*BK208</f>
        <v>#VALUE!</v>
      </c>
      <c r="ES208" s="1551" t="e">
        <f aca="false">DY208*BS208</f>
        <v>#VALUE!</v>
      </c>
      <c r="ET208" s="1566" t="e">
        <f aca="false">IF(EI208,IF(OCallPut,IF(CA208&gt;(CT208+CW208),CA208-(CT208+CW208),0),IF((CT208+CW208)&gt;CA208,(CT208+CW208)-CA208,0))*BH208,0)</f>
        <v>#VALUE!</v>
      </c>
      <c r="EU208" s="1551" t="e">
        <f aca="false">IF(EI208,IF(OCallPut,IF(CB208&gt;(CT208+CX208),CB208-(CT208+CX208),0),IF((CT208+CX208)&gt;CB208,(CT208+CX208)-CB208,0))*BI208,0)</f>
        <v>#VALUE!</v>
      </c>
      <c r="EV208" s="1551" t="e">
        <f aca="false">IF(EI208,IF(OCallPut,IF(CC208&gt;(CT208+CY208),CC208-(CT208+CY208),0),IF((CT208+CY208)&gt;CC208,(CT208+CY208)-CC208,0))*BJ208,0)</f>
        <v>#VALUE!</v>
      </c>
      <c r="EW208" s="1551" t="e">
        <f aca="false">IF(EI208,IF(OCallPut,IF(CD208&gt;(CT208+CZ208),CD208-(CT208+CZ208),0),IF((CT208+CZ208)&gt;CD208,(CT208+CZ208)-CD208,0))*BK208,0)</f>
        <v>#VALUE!</v>
      </c>
      <c r="EX208" s="1558" t="e">
        <f aca="false">IF(EI208,SUM(ET208:EW208),0)</f>
        <v>#VALUE!</v>
      </c>
      <c r="EY208" s="1551" t="e">
        <f aca="false">EO208-ET208</f>
        <v>#VALUE!</v>
      </c>
      <c r="EZ208" s="1551" t="e">
        <f aca="false">EP208-EU208</f>
        <v>#VALUE!</v>
      </c>
      <c r="FA208" s="1551" t="e">
        <f aca="false">EQ208-EV208</f>
        <v>#VALUE!</v>
      </c>
      <c r="FB208" s="1551" t="e">
        <f aca="false">ER208-EW208</f>
        <v>#VALUE!</v>
      </c>
      <c r="FC208" s="1551" t="e">
        <f aca="false">ES208-EX208</f>
        <v>#VALUE!</v>
      </c>
      <c r="FD208" s="1525" t="n">
        <f aca="false">IF(AX208,IF(VLOOKUP(C208,MAIN!$L$17:$M$28,2)="Yes",VLOOKUP(CALC!B208,MAIN!$H$17:$I$20,2),0),0)</f>
        <v>0</v>
      </c>
      <c r="FE208" s="1552" t="e">
        <f aca="false">$FD208*16*AT208*(1-$AY208)</f>
        <v>#VALUE!</v>
      </c>
      <c r="FF208" s="1553" t="e">
        <f aca="false">$FD208*16*AU208*(1-$AY208)</f>
        <v>#VALUE!</v>
      </c>
      <c r="FG208" s="1553" t="e">
        <f aca="false">$FD208*16*(AV208+AW208)*(1-$AY208)</f>
        <v>#VALUE!</v>
      </c>
      <c r="FH208" s="1554" t="n">
        <f aca="false">$FD208*8*AX208*(1-$AY208)</f>
        <v>0</v>
      </c>
      <c r="FI208" s="1555" t="n">
        <f aca="false">IF(AX208,VLOOKUP(CALC!B208,MAIN!$H$17:$K$20,4),0)</f>
        <v>0</v>
      </c>
      <c r="FJ208" s="1553" t="e">
        <f aca="false">SUM(FE208:FH208)</f>
        <v>#VALUE!</v>
      </c>
      <c r="FK208" s="1556" t="e">
        <f aca="false">FI208*FJ208</f>
        <v>#VALUE!</v>
      </c>
      <c r="FL208" s="1551" t="e">
        <f aca="false">IF($EI208&gt;0,MIN(FE208,AZ208*(1+VLOOKUP($C208,WeatherCapacityAdjustment,2))),0)</f>
        <v>#VALUE!</v>
      </c>
      <c r="FM208" s="1551" t="e">
        <f aca="false">IF($EI208&gt;0,MIN(FF208,BA208*(1+VLOOKUP($C208,WeatherCapacityAdjustment,2))),0)</f>
        <v>#VALUE!</v>
      </c>
      <c r="FN208" s="1551" t="e">
        <f aca="false">IF($EI208&gt;0,MIN(FG208,BB208*(1+VLOOKUP($C208,WeatherCapacityAdjustment,2))),0)</f>
        <v>#VALUE!</v>
      </c>
      <c r="FO208" s="1564" t="e">
        <f aca="false">IF($EI208&gt;0,MIN(FH208,BC208*(1+VLOOKUP($C208,WeatherCapacityAdjustment,3))),0)</f>
        <v>#VALUE!</v>
      </c>
      <c r="FP208" s="1551" t="e">
        <f aca="false">IF(ET208&gt;0,MIN(FE208-FL208,BH208*(1+VLOOKUP($C208,WeatherCapacityAdjustment,2))),0)</f>
        <v>#VALUE!</v>
      </c>
      <c r="FQ208" s="1551" t="e">
        <f aca="false">IF(EU208&gt;0,MIN(FF208-FM208,BI208*(1+VLOOKUP($C208,WeatherCapacityAdjustment,2))),0)</f>
        <v>#VALUE!</v>
      </c>
      <c r="FR208" s="1551" t="e">
        <f aca="false">IF(EV208&gt;0,MIN(FG208-FN208,BJ208*(1+VLOOKUP($C208,WeatherCapacityAdjustment,2))),0)</f>
        <v>#VALUE!</v>
      </c>
      <c r="FS208" s="1558" t="e">
        <f aca="false">IF(EW208&gt;0,MIN(FH208-FO208,BK208*(1+VLOOKUP($C208,WeatherCapacityAdjustment,3))),0)</f>
        <v>#VALUE!</v>
      </c>
      <c r="FT208" s="1566" t="e">
        <f aca="false">IF(AND(Assumptions!$H$71="Yes",A208&gt;=Assumptions!$H$72,A208&lt;=Assumptions!$H$73),0,IF(AND($A208&gt;=Assumptions!$C$17,$A208&lt;=Assumptions!$C$18),MAX(AZ208*(1+VLOOKUP($C208,WeatherCapacityAdjustment,2))-FL208,0),0))</f>
        <v>#VALUE!</v>
      </c>
      <c r="FU208" s="1551" t="e">
        <f aca="false">IF(AND(Assumptions!$H$71="Yes",A208&gt;=Assumptions!$H$72,A208&lt;=Assumptions!$H$73),0,IF(AND($A208&gt;=Assumptions!$C$17,$A208&lt;=Assumptions!$C$18),MAX(BA208*(1+VLOOKUP($C208,WeatherCapacityAdjustment,2))-FM208,0),0))</f>
        <v>#VALUE!</v>
      </c>
      <c r="FV208" s="1551" t="e">
        <f aca="false">IF(AND(Assumptions!$H$71="Yes",A208&gt;=Assumptions!$H$72,A208&lt;=Assumptions!$H$73),0,IF(AND($A208&gt;=Assumptions!$C$17,$A208&lt;=Assumptions!$C$18),MAX(BB208*(1+VLOOKUP($C208,WeatherCapacityAdjustment,2))-FN208,0),0))</f>
        <v>#VALUE!</v>
      </c>
      <c r="FW208" s="1564" t="e">
        <f aca="false">IF(AND(Assumptions!$H$71="Yes",A208&gt;=Assumptions!$H$72,A208&lt;=Assumptions!$H$73),0,IF(AND($A208&gt;=Assumptions!$C$17,$A208&lt;=Assumptions!$C$18),MAX(BC208*(1+VLOOKUP($C208,WeatherCapacityAdjustment,3))-FO208,0),0))</f>
        <v>#VALUE!</v>
      </c>
      <c r="FX208" s="1569" t="e">
        <f aca="false">IF(AND(Assumptions!$H$71="Yes",A208&gt;=Assumptions!$H$72,A208&lt;=Assumptions!$H$73),0,IF(ET208&gt;0,MAX(BH208*(1+VLOOKUP($C208,WeatherCapacityAdjustment,2))-FP208,0),0))</f>
        <v>#VALUE!</v>
      </c>
      <c r="FY208" s="1551" t="e">
        <f aca="false">IF(AND(Assumptions!$H$71="Yes",A208&gt;=Assumptions!$H$72,A208&lt;=Assumptions!$H$73),0,IF(EU208&gt;0,MAX(BI208*(1+VLOOKUP($C208,WeatherCapacityAdjustment,3))-FQ208,0),0))</f>
        <v>#VALUE!</v>
      </c>
      <c r="FZ208" s="1551" t="e">
        <f aca="false">IF(AND(Assumptions!$H$71="Yes",A208&gt;=Assumptions!$H$72,A208&lt;=Assumptions!$H$73),0,IF(EV208&gt;0,MAX(BJ208*(1+VLOOKUP($C208,WeatherCapacityAdjustment,2))-FR208,0),0))</f>
        <v>#VALUE!</v>
      </c>
      <c r="GA208" s="1564" t="e">
        <f aca="false">IF(AND(Assumptions!$H$71="Yes",A208&gt;=Assumptions!$H$72,A208&lt;=Assumptions!$H$73),0,IF(EW208&gt;0,MAX(BK208*(1+VLOOKUP($C208,WeatherCapacityAdjustment,2))-FS208,0),0))</f>
        <v>#VALUE!</v>
      </c>
      <c r="GB208" s="1551" t="e">
        <f aca="false">SUM(FT208:GA208)</f>
        <v>#VALUE!</v>
      </c>
      <c r="GC208" s="1563" t="e">
        <f aca="false">+IF(SUM(FT208:GA208)=0,0,(SUMPRODUCT(BU208:BX208,FT208:FW208)+SUMPRODUCT(CA208:CD208,FX208:GA208))/SUM(FT208:GA208))</f>
        <v>#VALUE!</v>
      </c>
      <c r="GD208" s="1551" t="e">
        <f aca="false">(FT208*BU208+FX208*CA208+FU208*BV208+FY208*CB208+FV208*BW208+FZ208*CC208+FW208*BX208+GA208*CD208)</f>
        <v>#VALUE!</v>
      </c>
      <c r="GE208" s="1561" t="e">
        <f aca="false">+IF(BQ208,((FL208+FM208+FT208+FU208)*HeatRatePeak/1000*(1+VLOOKUP($C208,WeatherHeatRateAdjustment,2))+(FN208+FV208)*IF(EV208&gt;0,HeatRatePeak,HeatRateOffPeak)/1000*(1+VLOOKUP($C208,WeatherHeatRateAdjustment,2))+(FO208+FW208)*IF(EW208&gt;0,HeatRatePeak,HeatRateOffPeak)/1000*(1+VLOOKUP($C208,WeatherHeatRateAdjustment,3)))*(1+VLOOKUP($B208,HeatRateDegradation,$C208+1)),0)</f>
        <v>#VALUE!</v>
      </c>
      <c r="GF208" s="1562" t="e">
        <f aca="false">IF(BQ208,((FP208+FQ208+FR208+FX208+FY208+FZ208)*HeatRatePeak/1000*(1+VLOOKUP($C208,WeatherHeatRateAdjustment,2))+(FS208+GA208)*HeatRatePeak/1000*(1+VLOOKUP($C208,WeatherHeatRateAdjustment,3)))*(1+VLOOKUP($B208,HeatRateDegradation,$C208+1)),0)</f>
        <v>#VALUE!</v>
      </c>
      <c r="GG208" s="1563" t="e">
        <f aca="false">IF(BQ208,VLOOKUP(A208,GasTable,13),0)</f>
        <v>#VALUE!</v>
      </c>
      <c r="GH208" s="1564" t="e">
        <f aca="false">(GE208+GF208)*GG208</f>
        <v>#VALUE!</v>
      </c>
      <c r="GI208" s="1569" t="e">
        <f aca="false">GB208</f>
        <v>#VALUE!</v>
      </c>
      <c r="GJ208" s="1598" t="e">
        <f aca="false">+DA208</f>
        <v>#VALUE!</v>
      </c>
      <c r="GK208" s="1558" t="e">
        <f aca="false">+GI208*GJ208</f>
        <v>#VALUE!</v>
      </c>
      <c r="GL208" s="1566" t="e">
        <f aca="false">MAX(FE208-FL208-FP208,0)</f>
        <v>#VALUE!</v>
      </c>
      <c r="GM208" s="1551" t="e">
        <f aca="false">MAX(FF208-FM208-FQ208,0)</f>
        <v>#VALUE!</v>
      </c>
      <c r="GN208" s="1551" t="e">
        <f aca="false">MAX(FG208-FN208-FR208,0)</f>
        <v>#VALUE!</v>
      </c>
      <c r="GO208" s="1564" t="e">
        <f aca="false">MAX(FH208-FO208-FS208,0)</f>
        <v>#VALUE!</v>
      </c>
      <c r="GP208" s="1551" t="e">
        <f aca="false">SUM(GL208:GO208)</f>
        <v>#VALUE!</v>
      </c>
      <c r="GQ208" s="1563" t="e">
        <f aca="false">IF(SUM(GL208:GO208)=0,0,((GL208*BU208+GM208*BV208+GN208*BW208+GO208*BX208)/SUM(GL208:GO208)))</f>
        <v>#VALUE!</v>
      </c>
      <c r="GR208" s="1558" t="e">
        <f aca="false">(GL208*BU208+GM208*BV208+GN208*BW208+GO208*BX208)</f>
        <v>#VALUE!</v>
      </c>
      <c r="GS208" s="1566" t="n">
        <f aca="false">IF($A208&gt;=BegDate,Assumptions!$C$56*24*($A209-$A208)*(1-VLOOKUP($B208,MAIN!$AA$7:$AM$28,$C208+1))*(1-VLOOKUP($B208,MAIN!$AA$33:$AM$54,$C208+1)),0)*80/168</f>
        <v>224485.714285714</v>
      </c>
      <c r="GT208" s="286" t="n">
        <f aca="false">J208</f>
        <v>40.4159093864317</v>
      </c>
      <c r="GU208" s="286" t="n">
        <f aca="false">IF($A208&gt;=BegDate,VLOOKUP($A208,GasTable,13)+Assumptions!$C$58,0)</f>
        <v>3.19146939293277</v>
      </c>
      <c r="GV208" s="286" t="n">
        <f aca="false">GU208*Assumptions!$C$57/1000</f>
        <v>23.1381530987626</v>
      </c>
      <c r="GW208" s="1558" t="n">
        <f aca="false">IF(Assumptions!$C$60="Hourly",MAX(0,GS208*(GT208-GV208)),GS208*(GT208-GV208))</f>
        <v>3878609.4614919</v>
      </c>
      <c r="GX208" s="1566" t="n">
        <f aca="false">IF($A208&gt;=BegDate,Assumptions!$C$56*24*($A209-$A208)*(1-VLOOKUP($B208,MAIN!$AA$7:$AM$28,$C208+1))*(1-VLOOKUP($B208,MAIN!$AA$33:$AM$54,$C208+1)),0)*16/168</f>
        <v>44897.1428571429</v>
      </c>
      <c r="GY208" s="286" t="n">
        <f aca="false">M208</f>
        <v>40.4159093864317</v>
      </c>
      <c r="GZ208" s="286" t="n">
        <f aca="false">IF($A208&gt;=BegDate,VLOOKUP($A208,GasTable,13)+Assumptions!$C$58,0)</f>
        <v>3.19146939293277</v>
      </c>
      <c r="HA208" s="286" t="n">
        <f aca="false">GZ208*Assumptions!$C$57/1000</f>
        <v>23.1381530987626</v>
      </c>
      <c r="HB208" s="1558" t="n">
        <f aca="false">IF(Assumptions!$C$60="Hourly",MAX(0,GX208*(GY208-HA208)),GX208*(GY208-HA208))</f>
        <v>775721.892298379</v>
      </c>
      <c r="HC208" s="1566" t="n">
        <f aca="false">IF($A208&gt;=BegDate,Assumptions!$C$56*24*($A209-$A208)*(1-VLOOKUP($B208,MAIN!$AA$7:$AM$28,$C208+1))*(1-VLOOKUP($B208,MAIN!$AA$33:$AM$54,$C208+1)),0)*16/168</f>
        <v>44897.1428571429</v>
      </c>
      <c r="HD208" s="286" t="n">
        <f aca="false">P208</f>
        <v>27.0403091474518</v>
      </c>
      <c r="HE208" s="286" t="n">
        <f aca="false">IF($A208&gt;=BegDate,VLOOKUP($A208,GasTable,13)+Assumptions!$C$58,0)</f>
        <v>3.19146939293277</v>
      </c>
      <c r="HF208" s="286" t="n">
        <f aca="false">HE208*Assumptions!$C$57/1000</f>
        <v>23.1381530987626</v>
      </c>
      <c r="HG208" s="1558" t="n">
        <f aca="false">IF(Assumptions!$C$60="Hourly",MAX(0,HC208*(HD208-HF208)),HC208*(HD208-HF208))</f>
        <v>175195.657568866</v>
      </c>
      <c r="HH208" s="1566" t="n">
        <f aca="false">IF($A208&gt;=BegDate,Assumptions!$C$56*24*($A209-$A208)*(1-VLOOKUP($B208,MAIN!$AA$7:$AM$28,$C208+1))*(1-VLOOKUP($B208,MAIN!$AA$33:$AM$54,$C208+1)),0)*56/168</f>
        <v>157140</v>
      </c>
      <c r="HI208" s="286" t="n">
        <f aca="false">S208</f>
        <v>27.0403091474518</v>
      </c>
      <c r="HJ208" s="286" t="n">
        <f aca="false">IF($A208&gt;=BegDate,VLOOKUP($A208,GasTable,13)+Assumptions!$C$58,0)</f>
        <v>3.19146939293277</v>
      </c>
      <c r="HK208" s="286" t="n">
        <f aca="false">HJ208*Assumptions!$C$57/1000</f>
        <v>23.1381530987626</v>
      </c>
      <c r="HL208" s="1558" t="n">
        <f aca="false">IF(Assumptions!$C$60="Hourly",MAX(0,HH208*(HI208-HK208)),HH208*(HI208-HK208))</f>
        <v>613184.80149103</v>
      </c>
      <c r="HM208" s="1566" t="n">
        <f aca="false">IF(AND(Assumptions!$H$71="Yes",A208&gt;=Assumptions!$H$72,A208&lt;=Assumptions!$H$73),Assumptions!$H$74*Assumptions!$C$9*1000,0)</f>
        <v>0</v>
      </c>
      <c r="HN208" s="1551"/>
      <c r="HO208" s="1563"/>
      <c r="HP208" s="1563"/>
      <c r="HQ208" s="1563"/>
      <c r="HR208" s="1563"/>
      <c r="HS208" s="1563"/>
      <c r="HT208" s="1563"/>
      <c r="HU208" s="1563"/>
      <c r="HV208" s="1563"/>
      <c r="HW208" s="1563"/>
      <c r="HX208" s="1563"/>
      <c r="HY208" s="1563"/>
      <c r="HZ208" s="1563"/>
      <c r="IA208" s="1563"/>
      <c r="IB208" s="1563"/>
      <c r="IC208" s="1563"/>
      <c r="ID208" s="1563"/>
      <c r="IE208" s="1563"/>
      <c r="IF208" s="1563"/>
      <c r="IG208" s="1563"/>
      <c r="IH208" s="1563"/>
      <c r="II208" s="1610"/>
      <c r="IJ208" s="1309"/>
      <c r="IK208" s="1309"/>
    </row>
    <row r="209" customFormat="false" ht="12.75" hidden="false" customHeight="false" outlineLevel="0" collapsed="false">
      <c r="A209" s="1571" t="n">
        <f aca="false">EOMONTH(A208,0)+1</f>
        <v>42491</v>
      </c>
      <c r="B209" s="594" t="n">
        <f aca="false">+YEAR(A209)</f>
        <v>2016</v>
      </c>
      <c r="C209" s="238" t="n">
        <f aca="false">MONTH(A209)</f>
        <v>5</v>
      </c>
      <c r="D209" s="1572" t="e">
        <f aca="false">IF(E209="","",Holiday(B209,C209))</f>
        <v>#VALUE!</v>
      </c>
      <c r="E209" s="1573" t="n">
        <f aca="false">IF(OR(BegDate&gt;=A210,EndDate&lt;A209,AND(VolumeMonthlyOverFlag,INDEX(VolumeMonthlyOver,C209)=0),NOT(INDEX(MonthKnockOutTable,C209))),"",MAX(A209,BegDate))</f>
        <v>42491</v>
      </c>
      <c r="F209" s="1574" t="n">
        <f aca="false">IF(E209="","",MIN(A210-1,EndDate))</f>
        <v>42521</v>
      </c>
      <c r="G209" s="1575" t="n">
        <v>0</v>
      </c>
      <c r="H209" s="1576" t="n">
        <f aca="false">(1+G209/2)^(-2*(DATE(B210,C210,20)-DateToday)/365.25)</f>
        <v>1</v>
      </c>
      <c r="I209" s="1568" t="n">
        <f aca="false">IF(Assumptions!$L$25=4,VLOOKUP($A209,'Henwood Reference'!$E$9:$R$320,10),(VLOOKUP($A209,PriceTable,2,0)+IF(BasisNumber&lt;&gt;1,VLOOKUP($A209,BasisTable,2,0),0)+I$1)/(1-I$2))</f>
        <v>46.3116121540844</v>
      </c>
      <c r="J209" s="1568" t="n">
        <f aca="false">IF(Assumptions!$L$25=4,VLOOKUP($A209,'Henwood Reference'!$E$9:$R$320,10),(VLOOKUP($A209,PriceTable,3,0)+IF(BasisNumber&lt;&gt;1,VLOOKUP($A209,BasisTable,2,0),0)+J$1)/(1-J$2))</f>
        <v>46.3116121540844</v>
      </c>
      <c r="K209" s="1568" t="n">
        <f aca="false">IF(Assumptions!$L$25=4,VLOOKUP($A209,'Henwood Reference'!$E$9:$R$320,10),(VLOOKUP($A209,PriceTable,4,0)+IF(BasisNumber&lt;&gt;1,VLOOKUP($A209,BasisTable,2,0),0)+K$1)/(1-K$2))</f>
        <v>46.3116121540844</v>
      </c>
      <c r="L209" s="1523" t="n">
        <f aca="false">IF(Assumptions!$L$25=4,VLOOKUP($A209,'Henwood Reference'!$E$9:$R$320,10),(VLOOKUP($A209,PriceTableWeekend,2,0)+IF(BasisNumber&lt;&gt;1,VLOOKUP($A209,BasisTable,2,0),0)+L$1)/(1-L$2))</f>
        <v>46.3116121540844</v>
      </c>
      <c r="M209" s="1568" t="n">
        <f aca="false">IF(Assumptions!$L$25=4,VLOOKUP($A209,'Henwood Reference'!$E$9:$R$320,10),(VLOOKUP($A209,PriceTableWeekend,3,0)+IF(BasisNumber&lt;&gt;1,VLOOKUP($A209,BasisTable,2,0),0)+M$1)/(1-M$2))</f>
        <v>46.3116121540844</v>
      </c>
      <c r="N209" s="1599" t="n">
        <f aca="false">IF(Assumptions!$L$25=4,VLOOKUP($A209,'Henwood Reference'!$E$9:$R$320,10),(VLOOKUP($A209,PriceTableWeekend,4,0)+IF(BasisNumber&lt;&gt;1,VLOOKUP($A209,BasisTable,2,0),0)+N$1)/(1-N$2))</f>
        <v>46.3116121540844</v>
      </c>
      <c r="O209" s="1568" t="n">
        <f aca="false">IF(Assumptions!$L$25=4,VLOOKUP($A209,'Henwood Reference'!$E$9:$R$320,11),(VLOOKUP($A209,PriceTableWeekend,6,0)+IF(BasisNumber&lt;&gt;1,VLOOKUP($A209,BasisTable,3,0),0)+O$1)/(1-O$2))</f>
        <v>27.4767177231001</v>
      </c>
      <c r="P209" s="1568" t="n">
        <f aca="false">IF(Assumptions!$L$25=4,VLOOKUP($A209,'Henwood Reference'!$E$9:$R$320,11),(VLOOKUP($A209,PriceTableWeekend,7,0)+IF(BasisNumber&lt;&gt;1,VLOOKUP($A209,BasisTable,3,0),0)+P$1)/(1-P$2))</f>
        <v>27.4767177231001</v>
      </c>
      <c r="Q209" s="1599" t="n">
        <f aca="false">IF(Assumptions!$L$25=4,VLOOKUP($A209,'Henwood Reference'!$E$9:$R$320,11),(VLOOKUP($A209,PriceTableWeekend,8,0)+IF(BasisNumber&lt;&gt;1,VLOOKUP($A209,BasisTable,3,0),0)+Q$1)/(1-Q$2))</f>
        <v>27.4767177231001</v>
      </c>
      <c r="R209" s="1568" t="n">
        <f aca="false">IF(Assumptions!$L$25=4,VLOOKUP($A209,'Henwood Reference'!$E$9:$R$320,11),(VLOOKUP($A209,PriceTable,6,0)+IF(BasisNumber&lt;&gt;1,VLOOKUP($A209,BasisTable,3,0),0)+R$1)/(1-R$2))</f>
        <v>27.4767177231001</v>
      </c>
      <c r="S209" s="1568" t="n">
        <f aca="false">IF(Assumptions!$L$25=4,VLOOKUP($A209,'Henwood Reference'!$E$9:$R$320,11),(VLOOKUP($A209,PriceTable,7,0)+IF(BasisNumber&lt;&gt;1,VLOOKUP($A209,BasisTable,3,0),0)+S$1)/(1-S$2))</f>
        <v>27.4767177231001</v>
      </c>
      <c r="T209" s="1600" t="n">
        <f aca="false">IF(Assumptions!$L$25=4,VLOOKUP($A209,'Henwood Reference'!$E$9:$R$320,11),(VLOOKUP($A209,PriceTable,8,0)+IF(BasisNumber&lt;&gt;1,VLOOKUP($A209,BasisTable,3,0),0)+T$1)/(1-T$2))</f>
        <v>27.4767177231001</v>
      </c>
      <c r="U209" s="1513" t="n">
        <f aca="false">VLOOKUP($A209,VolatilityTable,14)</f>
        <v>0.09</v>
      </c>
      <c r="V209" s="1513" t="n">
        <f aca="false">VLOOKUP($A209,VolatilityTable,15)</f>
        <v>0.1</v>
      </c>
      <c r="W209" s="1514" t="n">
        <f aca="false">VLOOKUP($A209,VolatilityTable,16)</f>
        <v>0.11</v>
      </c>
      <c r="X209" s="1513" t="n">
        <f aca="false">VLOOKUP($A209,VolatilityTable,14)</f>
        <v>0.09</v>
      </c>
      <c r="Y209" s="1513" t="n">
        <f aca="false">VLOOKUP($A209,VolatilityTable,15)</f>
        <v>0.1</v>
      </c>
      <c r="Z209" s="1514" t="n">
        <f aca="false">VLOOKUP($A209,VolatilityTable,16)</f>
        <v>0.11</v>
      </c>
      <c r="AA209" s="1513" t="n">
        <f aca="false">VLOOKUP($A209,VolatilityTable,18)</f>
        <v>0.09</v>
      </c>
      <c r="AB209" s="1513" t="n">
        <f aca="false">VLOOKUP($A209,VolatilityTable,19)</f>
        <v>0.11</v>
      </c>
      <c r="AC209" s="1514" t="n">
        <f aca="false">VLOOKUP($A209,VolatilityTable,20)</f>
        <v>0.13</v>
      </c>
      <c r="AD209" s="1513" t="n">
        <f aca="false">VLOOKUP($A209,VolatilityTable,18)</f>
        <v>0.09</v>
      </c>
      <c r="AE209" s="1513" t="n">
        <f aca="false">VLOOKUP($A209,VolatilityTable,19)</f>
        <v>0.11</v>
      </c>
      <c r="AF209" s="1514" t="n">
        <f aca="false">VLOOKUP($A209,VolatilityTable,20)</f>
        <v>0.13</v>
      </c>
      <c r="AG209" s="1513" t="n">
        <f aca="false">VLOOKUP($A209,VolatilityTable,22)</f>
        <v>-0.1</v>
      </c>
      <c r="AH209" s="1513" t="n">
        <f aca="false">VLOOKUP($A209,VolatilityTable,23)</f>
        <v>0.65</v>
      </c>
      <c r="AI209" s="1514" t="n">
        <f aca="false">VLOOKUP($A209,VolatilityTable,24)</f>
        <v>0.1</v>
      </c>
      <c r="AJ209" s="1513" t="n">
        <f aca="false">VLOOKUP($A209,VolatilityTable,22)</f>
        <v>-0.1</v>
      </c>
      <c r="AK209" s="1513" t="n">
        <f aca="false">VLOOKUP($A209,VolatilityTable,23)</f>
        <v>0.65</v>
      </c>
      <c r="AL209" s="1514" t="n">
        <f aca="false">VLOOKUP($A209,VolatilityTable,24)</f>
        <v>0.1</v>
      </c>
      <c r="AM209" s="1513" t="n">
        <f aca="false">VLOOKUP($A209,VolatilityTable,26)</f>
        <v>-0.01</v>
      </c>
      <c r="AN209" s="1513" t="n">
        <f aca="false">VLOOKUP($A209,VolatilityTable,27)</f>
        <v>0.16</v>
      </c>
      <c r="AO209" s="1514" t="n">
        <f aca="false">VLOOKUP($A209,VolatilityTable,28)</f>
        <v>0.01</v>
      </c>
      <c r="AP209" s="1513" t="n">
        <f aca="false">VLOOKUP($A209,VolatilityTable,26)</f>
        <v>-0.01</v>
      </c>
      <c r="AQ209" s="1513" t="n">
        <f aca="false">VLOOKUP($A209,VolatilityTable,27)</f>
        <v>0.16</v>
      </c>
      <c r="AR209" s="1515" t="n">
        <f aca="false">VLOOKUP($A209,VolatilityTable,28)</f>
        <v>0.01</v>
      </c>
      <c r="AS209" s="1581" t="n">
        <f aca="false">IF(CorrPeakOffPeakOverFlag,INDEX(CorrPeakOffPeakOver,C209),CorrPeakOffPeak)</f>
        <v>0.5</v>
      </c>
      <c r="AT209" s="594" t="e">
        <f aca="false">AX209-SUM(AU209:AW209)</f>
        <v>#VALUE!</v>
      </c>
      <c r="AU209" s="238" t="e">
        <f aca="false">IF(E209="",0,INT((F209-MOD(F209,7)-E209)/7)+1-IF(AW209,IF(WEEKDAY(D209)=7,1,0),0))</f>
        <v>#VALUE!</v>
      </c>
      <c r="AV209" s="238" t="e">
        <f aca="false">IF(E209="",0,INT((F209-MOD(F209-1,7)-E209)/7)+1-IF(AW209,IF(WEEKDAY(D209)=1,1,0),0))</f>
        <v>#VALUE!</v>
      </c>
      <c r="AW209" s="238" t="e">
        <f aca="false">IF(OR(E209="",D209="",D209&lt;BegDate,D209&gt;EndDate),0,1)</f>
        <v>#VALUE!</v>
      </c>
      <c r="AX209" s="238" t="n">
        <f aca="false">IF(E209="",0,F209-E209+1)</f>
        <v>31</v>
      </c>
      <c r="AY209" s="1582" t="n">
        <f aca="false">IF(E209="",0,MIN((1-(1-VLOOKUP(B209,MAIN!$AA$7:$AM$28,C209+1))*(1-VLOOKUP(B209,MAIN!$AA$33:$AM$54,C209+1))),1))</f>
        <v>0.03</v>
      </c>
      <c r="AZ209" s="1519" t="e">
        <v>#VALUE!</v>
      </c>
      <c r="BA209" s="1520" t="e">
        <v>#VALUE!</v>
      </c>
      <c r="BB209" s="1520" t="e">
        <v>#VALUE!</v>
      </c>
      <c r="BC209" s="1583" t="e">
        <v>#VALUE!</v>
      </c>
      <c r="BD209" s="1522" t="e">
        <v>#VALUE!</v>
      </c>
      <c r="BE209" s="1523" t="e">
        <v>#VALUE!</v>
      </c>
      <c r="BF209" s="1523" t="e">
        <v>#VALUE!</v>
      </c>
      <c r="BG209" s="1584" t="e">
        <v>#VALUE!</v>
      </c>
      <c r="BH209" s="1525" t="e">
        <v>#VALUE!</v>
      </c>
      <c r="BI209" s="1520" t="e">
        <v>#VALUE!</v>
      </c>
      <c r="BJ209" s="1520" t="e">
        <v>#VALUE!</v>
      </c>
      <c r="BK209" s="1583" t="e">
        <v>#VALUE!</v>
      </c>
      <c r="BL209" s="1522" t="e">
        <v>#VALUE!</v>
      </c>
      <c r="BM209" s="1523" t="e">
        <v>#VALUE!</v>
      </c>
      <c r="BN209" s="1523" t="e">
        <v>#VALUE!</v>
      </c>
      <c r="BO209" s="1523" t="e">
        <v>#VALUE!</v>
      </c>
      <c r="BP209" s="1525" t="e">
        <f aca="false">SUM(AZ209:BB209)</f>
        <v>#VALUE!</v>
      </c>
      <c r="BQ209" s="1529" t="e">
        <f aca="false">SUM(AZ209:BC209)</f>
        <v>#VALUE!</v>
      </c>
      <c r="BR209" s="1519" t="e">
        <f aca="false">SUM(BH209:BJ209)</f>
        <v>#VALUE!</v>
      </c>
      <c r="BS209" s="1529" t="e">
        <f aca="false">SUM(BH209:BK209)</f>
        <v>#VALUE!</v>
      </c>
      <c r="BT209" s="1316" t="n">
        <f aca="false">(IF(OVolType&lt;&gt;2,A209+14,IF(OptExpDateShift,ShiftBack(A209,OptExpDateShift,D208),A209))-DateToday)/365.25</f>
        <v>16.0465434633812</v>
      </c>
      <c r="BU209" s="1585" t="e">
        <f aca="false">IF(BQ209,IF(OPriceCurve,IF(OBuySell=OCallPut,I209/(1-AY209),K209/(1-AY209)),J209/(1-AY209))*BD209,0)</f>
        <v>#VALUE!</v>
      </c>
      <c r="BV209" s="1316" t="e">
        <f aca="false">IF(BQ209,IF(OPriceCurve,IF(OBuySell=OCallPut,L209/(1-AY209),N209/(1-AY209)),M209/(1-AY209))*BE209,0)</f>
        <v>#VALUE!</v>
      </c>
      <c r="BW209" s="1316" t="e">
        <f aca="false">IF(BQ209,IF(OPriceCurve,IF(OBuySell=OCallPut,O209/(1-AY209),Q209/(1-AY209)),P209/(1-AY209))*BF209,0)</f>
        <v>#VALUE!</v>
      </c>
      <c r="BX209" s="1316" t="e">
        <f aca="false">IF(BQ209,IF(OPriceCurve,IF(OBuySell=OCallPut,R209/(1-AY209),T209/(1-AY209)),S209/(1-AY209))*BG209,0)</f>
        <v>#VALUE!</v>
      </c>
      <c r="BY209" s="1316" t="e">
        <f aca="false">IF(BP209,(BU209*AZ209+BV209*BA209+BW209*BB209)/BP209,0)</f>
        <v>#VALUE!</v>
      </c>
      <c r="BZ209" s="1316" t="e">
        <f aca="false">IF(BQ209,(BY209*BP209+BX209*BC209)/BQ209,0)</f>
        <v>#VALUE!</v>
      </c>
      <c r="CA209" s="1531" t="e">
        <f aca="false">IF(BS209,IF(OPriceCurve,IF(OBuySell=OCallPut,I209/(1-AY209),K209/(1-AY209)),J209/(1-AY209))*BL209,0)</f>
        <v>#VALUE!</v>
      </c>
      <c r="CB209" s="1316" t="e">
        <f aca="false">IF(BS209,IF(OPriceCurve,IF(OBuySell=OCallPut,L209/(1-AY209),N209/(1-AY209)),M209/(1-AY209))*BM209,0)</f>
        <v>#VALUE!</v>
      </c>
      <c r="CC209" s="1316" t="e">
        <f aca="false">IF(BS209,IF(OPriceCurve,IF(OBuySell=OCallPut,O209/(1-AY209),Q209/(1-AY209)),P209/(1-AY209))*BN209,0)</f>
        <v>#VALUE!</v>
      </c>
      <c r="CD209" s="1316" t="e">
        <f aca="false">IF(BS209,IF(OPriceCurve,IF(OBuySell=OCallPut,R209/(1-AY209),T209/(1-AY209)),S209/(1-AY209))*BO209,0)</f>
        <v>#VALUE!</v>
      </c>
      <c r="CE209" s="1316" t="e">
        <f aca="false">IF(BR209,(BU209*BH209+BV209*BI209+BW209*BJ209)/BR209,0)</f>
        <v>#VALUE!</v>
      </c>
      <c r="CF209" s="1532" t="e">
        <f aca="false">IF(BS209,(CE209*BR209+CD209*BK209)/BS209,0)</f>
        <v>#VALUE!</v>
      </c>
      <c r="CG209" s="1586" t="e">
        <f aca="false">IF(OR(BQ209,BS209),IF(OVolType&lt;&gt;2,SQRT(IF(OVolOverMonthlyPeak,OVolOverMonthlyPeak,IF(OVolCurve,IF(OBuySell,U209,W209),V209))^2*(1-15/365.25/BT209)+IF(OVolOverDailyPeak,OVolOverDailyPeak,IF(OVolCurve,IF(OBuySell,AG209,AI209),AH209))^2*15/365.25/BT209),IF(OVolOverMonthlyPeak,OVolOverMonthlyPeak,IF(OVolCurve,IF(OBuySell,U209,W209),V209))),"")</f>
        <v>#VALUE!</v>
      </c>
      <c r="CH209" s="1587" t="e">
        <f aca="false">IF(OR(BQ209,BS209),IF(OVolType&lt;&gt;2,SQRT(IF(OVolOverMonthlyPeak,OVolOverMonthlyPeak,IF(OVolCurve,IF(OBuySell,X209,Z209),Y209))^2*(1-15/365.25/BT209)+IF(OVolOverDailyPeak,OVolOverDailyPeak,IF(OVolCurve,IF(OBuySell,AJ209,AL209),AK209))^2*15/365.25/BT209),IF(OVolOverMonthlyPeak,OVolOverMonthlyPeak,IF(OVolCurve,IF(OBuySell,X209,Z209),Y209))),"")</f>
        <v>#VALUE!</v>
      </c>
      <c r="CI209" s="1587" t="e">
        <f aca="false">IF(OR(BQ209,BS209),IF(OVolType&lt;&gt;2,SQRT(IF(OVolOverMonthlyPeak,OVolOverMonthlyPeak,IF(OVolCurve,IF(OBuySell,AA209,AC209),AB209))^2*(1-15/365.25/BT209)+IF(OVolOverDailyPeak,OVolOverDailyPeak,IF(OVolCurve,IF(OBuySell,AM209,AO209),AN209))^2*15/365.25/BT209),IF(OVolOverMonthlyPeak,OVolOverMonthlyPeak,IF(OVolCurve,IF(OBuySell,AA209,AC209),AB209))),"")</f>
        <v>#VALUE!</v>
      </c>
      <c r="CJ209" s="1587" t="e">
        <f aca="false">IF(BQ209,IF(BP209,SQRT(LN(1+((BU209*AZ209)^2*(EXP(CG209^2*BT209)-1)+(BV209*BA209)^2*(EXP(CH209^2*BT209)-1)+(BW209*BB209)^2*(EXP(CI209^2*BT209)-1)+2*BU209*AZ209*BV209*BA209*(EXP(CG209*CH209*BT209)-1)+2*BV209*BA209*BW209*BB209*(EXP(CH209*CI209*BT209)-1)+2*BW209*BB209*BU209*AZ209*(EXP(CI209*CG209*BT209)-1))/(BY209*BP209)^2)/BT209),0),"")</f>
        <v>#VALUE!</v>
      </c>
      <c r="CK209" s="1587" t="e">
        <f aca="false">IF(BS209,IF(BR209,SQRT(LN(1+((CA209*BH209)^2*(EXP(CG209^2*BT209)-1)+(CB209*BI209)^2*(EXP(CH209^2*BT209)-1)+(CC209*BJ209)^2*(EXP(CI209^2*BT209)-1)+2*CA209*BH209*CB209*BI209*(EXP(CG209*CH209*BT209)-1)+2*CB209*BI209*CC209*BJ209*(EXP(CH209*CI209*BT209)-1)+2*CC209*BJ209*CA209*BH209*(EXP(CI209*CG209*BT209)-1))/(CE209*BR209)^2)/BT209),0),"")</f>
        <v>#VALUE!</v>
      </c>
      <c r="CL209" s="1587" t="e">
        <f aca="false">IF(OR(BQ209,BS209),IF(OVolType&lt;&gt;2,SQRT(IF(OVolOverMonthlyOffPeak,OVolOverMonthlyOffPeak,IF(OVolCurve,IF(OBuySell,AD209,AF209),AE209))^2*(1-15/365.25/BT209)+IF(OVolOverDailyOffPeak,OVolOverDailyOffPeak,IF(OVolCurve,IF(OBuySell,AP209,AR209),AQ209))^2*15/365.25/BT209),IF(OVolOverMonthlyOffPeak,OVolOverMonthlyOffPeak,IF(OVolCurve,IF(OBuySell,AD209,AF209),AE209))),"")</f>
        <v>#VALUE!</v>
      </c>
      <c r="CM209" s="1587" t="e">
        <f aca="false">IF(BQ209,SQRT(LN(1+((BY209*BP209)^2*(EXP(CJ209^2*BT209)-1)+(BX209*BC209)^2*(EXP(CL209^2*BT209)-1)+2*BY209*BP209*BX209*BC209*(EXP(AS209*CJ209*CL209*BT209)-1))/(BY209*BP209+BX209*BC209)^2)/BT209),"")</f>
        <v>#VALUE!</v>
      </c>
      <c r="CN209" s="1588" t="e">
        <f aca="false">IF(BS209,SQRT(LN(1+((CE209*BR209)^2*(EXP(CK209^2*BT209)-1)+(CD209*BK209)^2*(EXP(CL209^2*BT209)-1)+2*CE209*BR209*CD209*BK209*(EXP(AS209*CK209*CL209*BT209)-1))/(CE209*BR209+CD209*BK209)^2)/BT209),"")</f>
        <v>#VALUE!</v>
      </c>
      <c r="CO209" s="1531" t="e">
        <f aca="false">IF(OR(BQ209,BS209),VLOOKUP(A209,GasTable,13)*HeatRatePeak*(1+VLOOKUP($B209,HeatRateDegradation,$C209+1))/1000,0)</f>
        <v>#VALUE!</v>
      </c>
      <c r="CP209" s="1316" t="e">
        <f aca="false">IF(OR(BQ209,BS209),VLOOKUP(A209,GasTable,13)*HeatRatePeak*(1+VLOOKUP($B209,HeatRateDegradation,$C209+1))/1000,0)</f>
        <v>#VALUE!</v>
      </c>
      <c r="CQ209" s="1316" t="e">
        <f aca="false">IF(OR(BQ209,BS209),VLOOKUP(A209,GasTable,13)*IF(EV209,HeatRatePeak,HeatRateOffPeak)*(1+VLOOKUP($B209,HeatRateDegradation,$C209+1))/1000,0)</f>
        <v>#VALUE!</v>
      </c>
      <c r="CR209" s="1316" t="e">
        <f aca="false">IF(OR(BQ209,BS209),VLOOKUP(A209,GasTable,13)*IF(EW209,HeatRatePeak,HeatRateOffPeak)*(1+VLOOKUP($B209,HeatRateDegradation,$C209+1))/1000,0)</f>
        <v>#VALUE!</v>
      </c>
      <c r="CS209" s="1589" t="e">
        <f aca="false">IF(BQ209,(CO209*AZ209+CP209*BA209+CQ209*BB209+CR209*BC209)/BQ209,0)</f>
        <v>#VALUE!</v>
      </c>
      <c r="CT209" s="1316" t="e">
        <f aca="false">IF(BS209,CO209,0)</f>
        <v>#VALUE!</v>
      </c>
      <c r="CU209" s="1590" t="e">
        <f aca="false">IF(OR(BQ209,BS209),VLOOKUP(A209,GasTable,14),"")</f>
        <v>#VALUE!</v>
      </c>
      <c r="CV209" s="1568" t="e">
        <f aca="false">IF(OR(BQ209,BS209),IF(CorrPowerGasOverFlag,INDEX(CorrPowerGasOver,C209),CorrPowerGas),"")</f>
        <v>#VALUE!</v>
      </c>
      <c r="CW209" s="1316" t="e">
        <f aca="false">IF(OR($BQ209,$BS209),SpreadOptPowerMargin,0)*((1+Assumptions!$C$26)^($B209-YEAR(Assumptions!$C$17)))</f>
        <v>#VALUE!</v>
      </c>
      <c r="CX209" s="1316" t="e">
        <f aca="false">IF(OR($BQ209,$BS209),SpreadOptPowerMargin,0)*((1+Assumptions!$C$26)^($B209-YEAR(Assumptions!$C$17)))</f>
        <v>#VALUE!</v>
      </c>
      <c r="CY209" s="1316" t="e">
        <f aca="false">IF(OR($BQ209,$BS209),SpreadOptPowerMargin,0)*((1+Assumptions!$C$26)^($B209-YEAR(Assumptions!$C$17)))</f>
        <v>#VALUE!</v>
      </c>
      <c r="CZ209" s="1316" t="e">
        <f aca="false">IF(OR($BQ209,$BS209),SpreadOptPowerMargin,0)*((1+Assumptions!$C$26)^($B209-YEAR(Assumptions!$C$17)))</f>
        <v>#VALUE!</v>
      </c>
      <c r="DA209" s="1591" t="e">
        <f aca="false">IF(OR(BQ209,BS209),(CW209*(AZ209+BH209)+CX209*(BA209+BI209)+CY209*(BB209+BJ209)+CZ209*(BC209+BK209))/(BQ209+BS209),0)</f>
        <v>#VALUE!</v>
      </c>
      <c r="DB209" s="1592" t="e">
        <f aca="false">IF(OR(BQ209,BS209),CG209+IF(OVolSmile,VLOOKUP(MAX(-5,CO209+CW209-BU209),IF(OVolSmile=1,VolSmileBook,VolSmileModel),2),0),"")</f>
        <v>#VALUE!</v>
      </c>
      <c r="DC209" s="1592" t="e">
        <f aca="false">IF(OR(BQ209,BS209),CH209+IF(OVolSmile,VLOOKUP(MAX(-5,CP209+CW209-BV209),IF(OVolSmile=1,VolSmileBook,VolSmileModel),2),0),"")</f>
        <v>#VALUE!</v>
      </c>
      <c r="DD209" s="1592" t="e">
        <f aca="false">IF(OR(BQ209,BS209),CI209+IF(OVolSmile,VLOOKUP(MAX(-5,CQ209+CW209-BW209),IF(OVolSmile=1,VolSmileBook,VolSmileModel),2),0),"")</f>
        <v>#VALUE!</v>
      </c>
      <c r="DE209" s="1592" t="e">
        <f aca="false">IF(OR(BQ209,BS209),CL209+IF(OVolSmile,VLOOKUP(MAX(-5,CR209+CZ209-BX209),IF(OVolSmile=1,VolSmileBook,VolSmileModel),2),0),"")</f>
        <v>#VALUE!</v>
      </c>
      <c r="DF209" s="1592" t="e">
        <f aca="false">IF(BQ209,CM209+IF(OVolSmile,VLOOKUP(MAX(-5,CS209+DA209-BZ209),IF(OVolSmile=1,VolSmileBook,VolSmileModel),2),0),"")</f>
        <v>#VALUE!</v>
      </c>
      <c r="DG209" s="1593" t="e">
        <f aca="false">IF(BS209,CN209+IF(OVolSmile,VLOOKUP(MAX(-5,CT209+DA209-CF209),IF(OVolSmile=1,VolSmileBook,VolSmileModel),2),0),"")</f>
        <v>#VALUE!</v>
      </c>
      <c r="DH209" s="1316" t="e">
        <f aca="false">IF(AND(BU209&gt;0,CO209&gt;0,DB209&gt;0,CU209&gt;0),newSPRDOPT(BU209,CO209,CW209,0,DB209,CU209,CV209,BT209*365.25,OCallPut,0),0)</f>
        <v>#VALUE!</v>
      </c>
      <c r="DI209" s="1316" t="e">
        <f aca="false">IF(AND(BV209&gt;0,CP209&gt;0,DC209&gt;0,CU209&gt;0),newSPRDOPT(BV209,CP209,CX209,0,DC209,CU209,CV209,BT209*365.25,OCallPut,0),0)</f>
        <v>#VALUE!</v>
      </c>
      <c r="DJ209" s="1316" t="e">
        <f aca="false">IF(AND(BW209&gt;0,CQ209&gt;0,DD209&gt;0,CU209&gt;0),newSPRDOPT(BW209,CQ209,CY209,0,DD209,CU209,CV209,BT209*365.25,OCallPut,0),0)</f>
        <v>#VALUE!</v>
      </c>
      <c r="DK209" s="1316" t="e">
        <f aca="false">IF(AND(BX209&gt;0,CR209&gt;0,DE209&gt;0,CU209&gt;0),newSPRDOPT(BX209,CR209,CZ209,0,DE209,CU209,CV209,BT209*365.25,OCallPut,0),0)</f>
        <v>#VALUE!</v>
      </c>
      <c r="DL209" s="1316" t="e">
        <f aca="false">IF(OVolType,IF(AND(BZ209&gt;0,CS209&gt;0,DF209&gt;0,CU209&gt;0),newSPRDOPT(BZ209,CS209,DA209,0,DF209,CU209,CV209,BT209*365.25,OCallPut,0),0),IF(BQ209,(DH209*AZ209+DI209*BA209+DJ209*BB209+DK209*BC209)/BQ209,0))</f>
        <v>#VALUE!</v>
      </c>
      <c r="DM209" s="1316"/>
      <c r="DN209" s="1316"/>
      <c r="DO209" s="1316"/>
      <c r="DP209" s="1316"/>
      <c r="DQ209" s="1316"/>
      <c r="DR209" s="1316"/>
      <c r="DS209" s="1316"/>
      <c r="DT209" s="1316"/>
      <c r="DU209" s="1316"/>
      <c r="DV209" s="1316"/>
      <c r="DW209" s="1594" t="e">
        <f aca="false">IF(AND(BW209&gt;0,CT209&gt;0,DD209&gt;0,CU209&gt;0),newSPRDOPT(BW209,CT209,CY209,0,DD209,CU209,CV209,BT209*365.25,OCallPut,0),0)</f>
        <v>#VALUE!</v>
      </c>
      <c r="DX209" s="1316" t="e">
        <f aca="false">IF(AND(BX209&gt;0,CT209&gt;0,DE209&gt;0,CU209&gt;0),newSPRDOPT(BX209,CT209,CZ209,0,DE209,CU209,CV209,BT209*365.25,OCallPut,0),0)</f>
        <v>#VALUE!</v>
      </c>
      <c r="DY209" s="1591" t="e">
        <f aca="false">IF(BS209,(DH209*BH209+DI209*BI209+DW209*BJ209+DX209*BK209)/BS209,0)</f>
        <v>#VALUE!</v>
      </c>
      <c r="DZ209" s="1551" t="e">
        <f aca="false">DH209*AZ209</f>
        <v>#VALUE!</v>
      </c>
      <c r="EA209" s="1551" t="e">
        <f aca="false">DI209*BA209</f>
        <v>#VALUE!</v>
      </c>
      <c r="EB209" s="1551" t="e">
        <f aca="false">DJ209*BB209</f>
        <v>#VALUE!</v>
      </c>
      <c r="EC209" s="1551" t="e">
        <f aca="false">DK209*BC209</f>
        <v>#VALUE!</v>
      </c>
      <c r="ED209" s="1551" t="e">
        <f aca="false">DL209*BQ209</f>
        <v>#VALUE!</v>
      </c>
      <c r="EE209" s="1595" t="e">
        <f aca="false">IF(BQ209,IF(OCallPut,IF(BU209&gt;(CO209+CW209),BU209-(CO209+CW209),0),IF((CO209+CW209)&gt;BU209,(CO209+CW209)-BU209,0))*AZ209,0)</f>
        <v>#VALUE!</v>
      </c>
      <c r="EF209" s="1596" t="e">
        <f aca="false">IF(BQ209,IF(OCallPut,IF(BV209&gt;(CP209+CX209),BV209-(CP209+CX209),0),IF((CP209+CX209)&gt;BV209,(CP209+CX209)-BV209,0))*BA209,0)</f>
        <v>#VALUE!</v>
      </c>
      <c r="EG209" s="1596" t="e">
        <f aca="false">IF(BQ209,IF(OCallPut,IF(BW209&gt;(CQ209+CY209),BW209-(CQ209+CY209),0),IF((CQ209+CY209)&gt;BW209,(CQ209+CY209)-BW209,0))*BB209,0)</f>
        <v>#VALUE!</v>
      </c>
      <c r="EH209" s="1596" t="e">
        <f aca="false">IF(BQ209,IF(OCallPut,IF(BX209&gt;(CR209+CZ209),BX209-(CR209+CZ209),0),IF((CR209+CZ209)&gt;BX209,(CR209+CZ209)-BX209,0))*BC209,0)</f>
        <v>#VALUE!</v>
      </c>
      <c r="EI209" s="1597" t="e">
        <f aca="false">IF(BQ209,IF(OVolType,IF(OCallPut,IF(BZ209&gt;(CS209+DA209),BZ209-(CS209+DA209),0),IF((CS209+DA209)&gt;BZ209,(CS209+DA209)-BZ209,0))*BQ209,SUM(EE209:EH209)),0)</f>
        <v>#VALUE!</v>
      </c>
      <c r="EJ209" s="1595" t="e">
        <f aca="false">DZ209-EE209</f>
        <v>#VALUE!</v>
      </c>
      <c r="EK209" s="1596" t="e">
        <f aca="false">EA209-EF209</f>
        <v>#VALUE!</v>
      </c>
      <c r="EL209" s="1596" t="e">
        <f aca="false">EB209-EG209</f>
        <v>#VALUE!</v>
      </c>
      <c r="EM209" s="1596" t="e">
        <f aca="false">EC209-EH209</f>
        <v>#VALUE!</v>
      </c>
      <c r="EN209" s="1597" t="e">
        <f aca="false">ED209-EI209</f>
        <v>#VALUE!</v>
      </c>
      <c r="EO209" s="1551" t="e">
        <f aca="false">DH209*BH209</f>
        <v>#VALUE!</v>
      </c>
      <c r="EP209" s="1551" t="e">
        <f aca="false">DI209*BI209</f>
        <v>#VALUE!</v>
      </c>
      <c r="EQ209" s="1551" t="e">
        <f aca="false">DW209*BJ209</f>
        <v>#VALUE!</v>
      </c>
      <c r="ER209" s="1551" t="e">
        <f aca="false">DX209*BK209</f>
        <v>#VALUE!</v>
      </c>
      <c r="ES209" s="1551" t="e">
        <f aca="false">DY209*BS209</f>
        <v>#VALUE!</v>
      </c>
      <c r="ET209" s="1566" t="e">
        <f aca="false">IF(EI209,IF(OCallPut,IF(CA209&gt;(CT209+CW209),CA209-(CT209+CW209),0),IF((CT209+CW209)&gt;CA209,(CT209+CW209)-CA209,0))*BH209,0)</f>
        <v>#VALUE!</v>
      </c>
      <c r="EU209" s="1551" t="e">
        <f aca="false">IF(EI209,IF(OCallPut,IF(CB209&gt;(CT209+CX209),CB209-(CT209+CX209),0),IF((CT209+CX209)&gt;CB209,(CT209+CX209)-CB209,0))*BI209,0)</f>
        <v>#VALUE!</v>
      </c>
      <c r="EV209" s="1551" t="e">
        <f aca="false">IF(EI209,IF(OCallPut,IF(CC209&gt;(CT209+CY209),CC209-(CT209+CY209),0),IF((CT209+CY209)&gt;CC209,(CT209+CY209)-CC209,0))*BJ209,0)</f>
        <v>#VALUE!</v>
      </c>
      <c r="EW209" s="1551" t="e">
        <f aca="false">IF(EI209,IF(OCallPut,IF(CD209&gt;(CT209+CZ209),CD209-(CT209+CZ209),0),IF((CT209+CZ209)&gt;CD209,(CT209+CZ209)-CD209,0))*BK209,0)</f>
        <v>#VALUE!</v>
      </c>
      <c r="EX209" s="1558" t="e">
        <f aca="false">IF(EI209,SUM(ET209:EW209),0)</f>
        <v>#VALUE!</v>
      </c>
      <c r="EY209" s="1551" t="e">
        <f aca="false">EO209-ET209</f>
        <v>#VALUE!</v>
      </c>
      <c r="EZ209" s="1551" t="e">
        <f aca="false">EP209-EU209</f>
        <v>#VALUE!</v>
      </c>
      <c r="FA209" s="1551" t="e">
        <f aca="false">EQ209-EV209</f>
        <v>#VALUE!</v>
      </c>
      <c r="FB209" s="1551" t="e">
        <f aca="false">ER209-EW209</f>
        <v>#VALUE!</v>
      </c>
      <c r="FC209" s="1551" t="e">
        <f aca="false">ES209-EX209</f>
        <v>#VALUE!</v>
      </c>
      <c r="FD209" s="1525" t="n">
        <f aca="false">IF(AX209,IF(VLOOKUP(C209,MAIN!$L$17:$M$28,2)="Yes",VLOOKUP(CALC!B209,MAIN!$H$17:$I$20,2),0),0)</f>
        <v>0</v>
      </c>
      <c r="FE209" s="1552" t="e">
        <f aca="false">$FD209*16*AT209*(1-$AY209)</f>
        <v>#VALUE!</v>
      </c>
      <c r="FF209" s="1553" t="e">
        <f aca="false">$FD209*16*AU209*(1-$AY209)</f>
        <v>#VALUE!</v>
      </c>
      <c r="FG209" s="1553" t="e">
        <f aca="false">$FD209*16*(AV209+AW209)*(1-$AY209)</f>
        <v>#VALUE!</v>
      </c>
      <c r="FH209" s="1554" t="n">
        <f aca="false">$FD209*8*AX209*(1-$AY209)</f>
        <v>0</v>
      </c>
      <c r="FI209" s="1555" t="n">
        <f aca="false">IF(AX209,VLOOKUP(CALC!B209,MAIN!$H$17:$K$20,4),0)</f>
        <v>0</v>
      </c>
      <c r="FJ209" s="1553" t="e">
        <f aca="false">SUM(FE209:FH209)</f>
        <v>#VALUE!</v>
      </c>
      <c r="FK209" s="1556" t="e">
        <f aca="false">FI209*FJ209</f>
        <v>#VALUE!</v>
      </c>
      <c r="FL209" s="1551" t="e">
        <f aca="false">IF($EI209&gt;0,MIN(FE209,AZ209*(1+VLOOKUP($C209,WeatherCapacityAdjustment,2))),0)</f>
        <v>#VALUE!</v>
      </c>
      <c r="FM209" s="1551" t="e">
        <f aca="false">IF($EI209&gt;0,MIN(FF209,BA209*(1+VLOOKUP($C209,WeatherCapacityAdjustment,2))),0)</f>
        <v>#VALUE!</v>
      </c>
      <c r="FN209" s="1551" t="e">
        <f aca="false">IF($EI209&gt;0,MIN(FG209,BB209*(1+VLOOKUP($C209,WeatherCapacityAdjustment,2))),0)</f>
        <v>#VALUE!</v>
      </c>
      <c r="FO209" s="1564" t="e">
        <f aca="false">IF($EI209&gt;0,MIN(FH209,BC209*(1+VLOOKUP($C209,WeatherCapacityAdjustment,3))),0)</f>
        <v>#VALUE!</v>
      </c>
      <c r="FP209" s="1551" t="e">
        <f aca="false">IF(ET209&gt;0,MIN(FE209-FL209,BH209*(1+VLOOKUP($C209,WeatherCapacityAdjustment,2))),0)</f>
        <v>#VALUE!</v>
      </c>
      <c r="FQ209" s="1551" t="e">
        <f aca="false">IF(EU209&gt;0,MIN(FF209-FM209,BI209*(1+VLOOKUP($C209,WeatherCapacityAdjustment,2))),0)</f>
        <v>#VALUE!</v>
      </c>
      <c r="FR209" s="1551" t="e">
        <f aca="false">IF(EV209&gt;0,MIN(FG209-FN209,BJ209*(1+VLOOKUP($C209,WeatherCapacityAdjustment,2))),0)</f>
        <v>#VALUE!</v>
      </c>
      <c r="FS209" s="1558" t="e">
        <f aca="false">IF(EW209&gt;0,MIN(FH209-FO209,BK209*(1+VLOOKUP($C209,WeatherCapacityAdjustment,3))),0)</f>
        <v>#VALUE!</v>
      </c>
      <c r="FT209" s="1566" t="e">
        <f aca="false">IF(AND(Assumptions!$H$71="Yes",A209&gt;=Assumptions!$H$72,A209&lt;=Assumptions!$H$73),0,IF(AND($A209&gt;=Assumptions!$C$17,$A209&lt;=Assumptions!$C$18),MAX(AZ209*(1+VLOOKUP($C209,WeatherCapacityAdjustment,2))-FL209,0),0))</f>
        <v>#VALUE!</v>
      </c>
      <c r="FU209" s="1551" t="e">
        <f aca="false">IF(AND(Assumptions!$H$71="Yes",A209&gt;=Assumptions!$H$72,A209&lt;=Assumptions!$H$73),0,IF(AND($A209&gt;=Assumptions!$C$17,$A209&lt;=Assumptions!$C$18),MAX(BA209*(1+VLOOKUP($C209,WeatherCapacityAdjustment,2))-FM209,0),0))</f>
        <v>#VALUE!</v>
      </c>
      <c r="FV209" s="1551" t="e">
        <f aca="false">IF(AND(Assumptions!$H$71="Yes",A209&gt;=Assumptions!$H$72,A209&lt;=Assumptions!$H$73),0,IF(AND($A209&gt;=Assumptions!$C$17,$A209&lt;=Assumptions!$C$18),MAX(BB209*(1+VLOOKUP($C209,WeatherCapacityAdjustment,2))-FN209,0),0))</f>
        <v>#VALUE!</v>
      </c>
      <c r="FW209" s="1564" t="e">
        <f aca="false">IF(AND(Assumptions!$H$71="Yes",A209&gt;=Assumptions!$H$72,A209&lt;=Assumptions!$H$73),0,IF(AND($A209&gt;=Assumptions!$C$17,$A209&lt;=Assumptions!$C$18),MAX(BC209*(1+VLOOKUP($C209,WeatherCapacityAdjustment,3))-FO209,0),0))</f>
        <v>#VALUE!</v>
      </c>
      <c r="FX209" s="1569" t="e">
        <f aca="false">IF(AND(Assumptions!$H$71="Yes",A209&gt;=Assumptions!$H$72,A209&lt;=Assumptions!$H$73),0,IF(ET209&gt;0,MAX(BH209*(1+VLOOKUP($C209,WeatherCapacityAdjustment,2))-FP209,0),0))</f>
        <v>#VALUE!</v>
      </c>
      <c r="FY209" s="1551" t="e">
        <f aca="false">IF(AND(Assumptions!$H$71="Yes",A209&gt;=Assumptions!$H$72,A209&lt;=Assumptions!$H$73),0,IF(EU209&gt;0,MAX(BI209*(1+VLOOKUP($C209,WeatherCapacityAdjustment,3))-FQ209,0),0))</f>
        <v>#VALUE!</v>
      </c>
      <c r="FZ209" s="1551" t="e">
        <f aca="false">IF(AND(Assumptions!$H$71="Yes",A209&gt;=Assumptions!$H$72,A209&lt;=Assumptions!$H$73),0,IF(EV209&gt;0,MAX(BJ209*(1+VLOOKUP($C209,WeatherCapacityAdjustment,2))-FR209,0),0))</f>
        <v>#VALUE!</v>
      </c>
      <c r="GA209" s="1564" t="e">
        <f aca="false">IF(AND(Assumptions!$H$71="Yes",A209&gt;=Assumptions!$H$72,A209&lt;=Assumptions!$H$73),0,IF(EW209&gt;0,MAX(BK209*(1+VLOOKUP($C209,WeatherCapacityAdjustment,2))-FS209,0),0))</f>
        <v>#VALUE!</v>
      </c>
      <c r="GB209" s="1551" t="e">
        <f aca="false">SUM(FT209:GA209)</f>
        <v>#VALUE!</v>
      </c>
      <c r="GC209" s="1563" t="e">
        <f aca="false">+IF(SUM(FT209:GA209)=0,0,(SUMPRODUCT(BU209:BX209,FT209:FW209)+SUMPRODUCT(CA209:CD209,FX209:GA209))/SUM(FT209:GA209))</f>
        <v>#VALUE!</v>
      </c>
      <c r="GD209" s="1551" t="e">
        <f aca="false">(FT209*BU209+FX209*CA209+FU209*BV209+FY209*CB209+FV209*BW209+FZ209*CC209+FW209*BX209+GA209*CD209)</f>
        <v>#VALUE!</v>
      </c>
      <c r="GE209" s="1561" t="e">
        <f aca="false">+IF(BQ209,((FL209+FM209+FT209+FU209)*HeatRatePeak/1000*(1+VLOOKUP($C209,WeatherHeatRateAdjustment,2))+(FN209+FV209)*IF(EV209&gt;0,HeatRatePeak,HeatRateOffPeak)/1000*(1+VLOOKUP($C209,WeatherHeatRateAdjustment,2))+(FO209+FW209)*IF(EW209&gt;0,HeatRatePeak,HeatRateOffPeak)/1000*(1+VLOOKUP($C209,WeatherHeatRateAdjustment,3)))*(1+VLOOKUP($B209,HeatRateDegradation,$C209+1)),0)</f>
        <v>#VALUE!</v>
      </c>
      <c r="GF209" s="1562" t="e">
        <f aca="false">IF(BQ209,((FP209+FQ209+FR209+FX209+FY209+FZ209)*HeatRatePeak/1000*(1+VLOOKUP($C209,WeatherHeatRateAdjustment,2))+(FS209+GA209)*HeatRatePeak/1000*(1+VLOOKUP($C209,WeatherHeatRateAdjustment,3)))*(1+VLOOKUP($B209,HeatRateDegradation,$C209+1)),0)</f>
        <v>#VALUE!</v>
      </c>
      <c r="GG209" s="1563" t="e">
        <f aca="false">IF(BQ209,VLOOKUP(A209,GasTable,13),0)</f>
        <v>#VALUE!</v>
      </c>
      <c r="GH209" s="1564" t="e">
        <f aca="false">(GE209+GF209)*GG209</f>
        <v>#VALUE!</v>
      </c>
      <c r="GI209" s="1569" t="e">
        <f aca="false">GB209</f>
        <v>#VALUE!</v>
      </c>
      <c r="GJ209" s="1598" t="e">
        <f aca="false">+DA209</f>
        <v>#VALUE!</v>
      </c>
      <c r="GK209" s="1558" t="e">
        <f aca="false">+GI209*GJ209</f>
        <v>#VALUE!</v>
      </c>
      <c r="GL209" s="1566" t="e">
        <f aca="false">MAX(FE209-FL209-FP209,0)</f>
        <v>#VALUE!</v>
      </c>
      <c r="GM209" s="1551" t="e">
        <f aca="false">MAX(FF209-FM209-FQ209,0)</f>
        <v>#VALUE!</v>
      </c>
      <c r="GN209" s="1551" t="e">
        <f aca="false">MAX(FG209-FN209-FR209,0)</f>
        <v>#VALUE!</v>
      </c>
      <c r="GO209" s="1564" t="e">
        <f aca="false">MAX(FH209-FO209-FS209,0)</f>
        <v>#VALUE!</v>
      </c>
      <c r="GP209" s="1551" t="e">
        <f aca="false">SUM(GL209:GO209)</f>
        <v>#VALUE!</v>
      </c>
      <c r="GQ209" s="1563" t="e">
        <f aca="false">IF(SUM(GL209:GO209)=0,0,((GL209*BU209+GM209*BV209+GN209*BW209+GO209*BX209)/SUM(GL209:GO209)))</f>
        <v>#VALUE!</v>
      </c>
      <c r="GR209" s="1558" t="e">
        <f aca="false">(GL209*BU209+GM209*BV209+GN209*BW209+GO209*BX209)</f>
        <v>#VALUE!</v>
      </c>
      <c r="GS209" s="1566" t="n">
        <f aca="false">IF($A209&gt;=BegDate,Assumptions!$C$56*24*($A210-$A209)*(1-VLOOKUP($B209,MAIN!$AA$7:$AM$28,$C209+1))*(1-VLOOKUP($B209,MAIN!$AA$33:$AM$54,$C209+1)),0)*80/168</f>
        <v>257742.857142857</v>
      </c>
      <c r="GT209" s="286" t="n">
        <f aca="false">J209</f>
        <v>46.3116121540844</v>
      </c>
      <c r="GU209" s="286" t="n">
        <f aca="false">IF($A209&gt;=BegDate,VLOOKUP($A209,GasTable,13)+Assumptions!$C$58,0)</f>
        <v>3.16225273144683</v>
      </c>
      <c r="GV209" s="286" t="n">
        <f aca="false">GU209*Assumptions!$C$57/1000</f>
        <v>22.9263323029895</v>
      </c>
      <c r="GW209" s="1558" t="n">
        <f aca="false">IF(Assumptions!$C$60="Hourly",MAX(0,GS209*(GT209-GV209)),GS209*(GT209-GV209))</f>
        <v>6027388.84390647</v>
      </c>
      <c r="GX209" s="1566" t="n">
        <f aca="false">IF($A209&gt;=BegDate,Assumptions!$C$56*24*($A210-$A209)*(1-VLOOKUP($B209,MAIN!$AA$7:$AM$28,$C209+1))*(1-VLOOKUP($B209,MAIN!$AA$33:$AM$54,$C209+1)),0)*16/168</f>
        <v>51548.5714285714</v>
      </c>
      <c r="GY209" s="286" t="n">
        <f aca="false">M209</f>
        <v>46.3116121540844</v>
      </c>
      <c r="GZ209" s="286" t="n">
        <f aca="false">IF($A209&gt;=BegDate,VLOOKUP($A209,GasTable,13)+Assumptions!$C$58,0)</f>
        <v>3.16225273144683</v>
      </c>
      <c r="HA209" s="286" t="n">
        <f aca="false">GZ209*Assumptions!$C$57/1000</f>
        <v>22.9263323029895</v>
      </c>
      <c r="HB209" s="1558" t="n">
        <f aca="false">IF(Assumptions!$C$60="Hourly",MAX(0,GX209*(GY209-HA209)),GX209*(GY209-HA209))</f>
        <v>1205477.76878129</v>
      </c>
      <c r="HC209" s="1566" t="n">
        <f aca="false">IF($A209&gt;=BegDate,Assumptions!$C$56*24*($A210-$A209)*(1-VLOOKUP($B209,MAIN!$AA$7:$AM$28,$C209+1))*(1-VLOOKUP($B209,MAIN!$AA$33:$AM$54,$C209+1)),0)*16/168</f>
        <v>51548.5714285714</v>
      </c>
      <c r="HD209" s="286" t="n">
        <f aca="false">P209</f>
        <v>27.4767177231001</v>
      </c>
      <c r="HE209" s="286" t="n">
        <f aca="false">IF($A209&gt;=BegDate,VLOOKUP($A209,GasTable,13)+Assumptions!$C$58,0)</f>
        <v>3.16225273144683</v>
      </c>
      <c r="HF209" s="286" t="n">
        <f aca="false">HE209*Assumptions!$C$57/1000</f>
        <v>22.9263323029895</v>
      </c>
      <c r="HG209" s="1558" t="n">
        <f aca="false">IF(Assumptions!$C$60="Hourly",MAX(0,HC209*(HD209-HF209)),HC209*(HD209-HF209))</f>
        <v>234565.867856101</v>
      </c>
      <c r="HH209" s="1566" t="n">
        <f aca="false">IF($A209&gt;=BegDate,Assumptions!$C$56*24*($A210-$A209)*(1-VLOOKUP($B209,MAIN!$AA$7:$AM$28,$C209+1))*(1-VLOOKUP($B209,MAIN!$AA$33:$AM$54,$C209+1)),0)*56/168</f>
        <v>180420</v>
      </c>
      <c r="HI209" s="286" t="n">
        <f aca="false">S209</f>
        <v>27.4767177231001</v>
      </c>
      <c r="HJ209" s="286" t="n">
        <f aca="false">IF($A209&gt;=BegDate,VLOOKUP($A209,GasTable,13)+Assumptions!$C$58,0)</f>
        <v>3.16225273144683</v>
      </c>
      <c r="HK209" s="286" t="n">
        <f aca="false">HJ209*Assumptions!$C$57/1000</f>
        <v>22.9263323029895</v>
      </c>
      <c r="HL209" s="1558" t="n">
        <f aca="false">IF(Assumptions!$C$60="Hourly",MAX(0,HH209*(HI209-HK209)),HH209*(HI209-HK209))</f>
        <v>820980.537496353</v>
      </c>
      <c r="HM209" s="1566" t="n">
        <f aca="false">IF(AND(Assumptions!$H$71="Yes",A209&gt;=Assumptions!$H$72,A209&lt;=Assumptions!$H$73),Assumptions!$H$74*Assumptions!$C$9*1000,0)</f>
        <v>0</v>
      </c>
      <c r="HN209" s="1551"/>
      <c r="HO209" s="1563"/>
      <c r="HP209" s="1563"/>
      <c r="HQ209" s="1563"/>
      <c r="HR209" s="1563"/>
      <c r="HS209" s="1563"/>
      <c r="HT209" s="1563"/>
      <c r="HU209" s="1563"/>
      <c r="HV209" s="1563"/>
      <c r="HW209" s="1563"/>
      <c r="HX209" s="1563"/>
      <c r="HY209" s="1563"/>
      <c r="HZ209" s="1563"/>
      <c r="IA209" s="1563"/>
      <c r="IB209" s="1563"/>
      <c r="IC209" s="1563"/>
      <c r="ID209" s="1563"/>
      <c r="IE209" s="1563"/>
      <c r="IF209" s="1563"/>
      <c r="IG209" s="1563"/>
      <c r="IH209" s="1563"/>
      <c r="II209" s="1610"/>
      <c r="IJ209" s="1309"/>
      <c r="IK209" s="1309"/>
    </row>
    <row r="210" customFormat="false" ht="12.75" hidden="false" customHeight="false" outlineLevel="0" collapsed="false">
      <c r="A210" s="1571" t="n">
        <f aca="false">EOMONTH(A209,0)+1</f>
        <v>42522</v>
      </c>
      <c r="B210" s="594" t="n">
        <f aca="false">+YEAR(A210)</f>
        <v>2016</v>
      </c>
      <c r="C210" s="238" t="n">
        <f aca="false">MONTH(A210)</f>
        <v>6</v>
      </c>
      <c r="D210" s="1572" t="e">
        <f aca="false">IF(E210="","",Holiday(B210,C210))</f>
        <v>#VALUE!</v>
      </c>
      <c r="E210" s="1573" t="n">
        <f aca="false">IF(OR(BegDate&gt;=A211,EndDate&lt;A210,AND(VolumeMonthlyOverFlag,INDEX(VolumeMonthlyOver,C210)=0),NOT(INDEX(MonthKnockOutTable,C210))),"",MAX(A210,BegDate))</f>
        <v>42522</v>
      </c>
      <c r="F210" s="1574" t="n">
        <f aca="false">IF(E210="","",MIN(A211-1,EndDate))</f>
        <v>42551</v>
      </c>
      <c r="G210" s="1575" t="n">
        <v>0</v>
      </c>
      <c r="H210" s="1576" t="n">
        <f aca="false">(1+G210/2)^(-2*(DATE(B211,C211,20)-DateToday)/365.25)</f>
        <v>1</v>
      </c>
      <c r="I210" s="1568" t="n">
        <f aca="false">IF(Assumptions!$L$25=4,VLOOKUP($A210,'Henwood Reference'!$E$9:$R$320,10),(VLOOKUP($A210,PriceTable,2,0)+IF(BasisNumber&lt;&gt;1,VLOOKUP($A210,BasisTable,2,0),0)+I$1)/(1-I$2))</f>
        <v>44.3106397103443</v>
      </c>
      <c r="J210" s="1568" t="n">
        <f aca="false">IF(Assumptions!$L$25=4,VLOOKUP($A210,'Henwood Reference'!$E$9:$R$320,10),(VLOOKUP($A210,PriceTable,3,0)+IF(BasisNumber&lt;&gt;1,VLOOKUP($A210,BasisTable,2,0),0)+J$1)/(1-J$2))</f>
        <v>44.3106397103443</v>
      </c>
      <c r="K210" s="1568" t="n">
        <f aca="false">IF(Assumptions!$L$25=4,VLOOKUP($A210,'Henwood Reference'!$E$9:$R$320,10),(VLOOKUP($A210,PriceTable,4,0)+IF(BasisNumber&lt;&gt;1,VLOOKUP($A210,BasisTable,2,0),0)+K$1)/(1-K$2))</f>
        <v>44.3106397103443</v>
      </c>
      <c r="L210" s="1523" t="n">
        <f aca="false">IF(Assumptions!$L$25=4,VLOOKUP($A210,'Henwood Reference'!$E$9:$R$320,10),(VLOOKUP($A210,PriceTableWeekend,2,0)+IF(BasisNumber&lt;&gt;1,VLOOKUP($A210,BasisTable,2,0),0)+L$1)/(1-L$2))</f>
        <v>44.3106397103443</v>
      </c>
      <c r="M210" s="1568" t="n">
        <f aca="false">IF(Assumptions!$L$25=4,VLOOKUP($A210,'Henwood Reference'!$E$9:$R$320,10),(VLOOKUP($A210,PriceTableWeekend,3,0)+IF(BasisNumber&lt;&gt;1,VLOOKUP($A210,BasisTable,2,0),0)+M$1)/(1-M$2))</f>
        <v>44.3106397103443</v>
      </c>
      <c r="N210" s="1599" t="n">
        <f aca="false">IF(Assumptions!$L$25=4,VLOOKUP($A210,'Henwood Reference'!$E$9:$R$320,10),(VLOOKUP($A210,PriceTableWeekend,4,0)+IF(BasisNumber&lt;&gt;1,VLOOKUP($A210,BasisTable,2,0),0)+N$1)/(1-N$2))</f>
        <v>44.3106397103443</v>
      </c>
      <c r="O210" s="1568" t="n">
        <f aca="false">IF(Assumptions!$L$25=4,VLOOKUP($A210,'Henwood Reference'!$E$9:$R$320,11),(VLOOKUP($A210,PriceTableWeekend,6,0)+IF(BasisNumber&lt;&gt;1,VLOOKUP($A210,BasisTable,3,0),0)+O$1)/(1-O$2))</f>
        <v>25.8885419408808</v>
      </c>
      <c r="P210" s="1568" t="n">
        <f aca="false">IF(Assumptions!$L$25=4,VLOOKUP($A210,'Henwood Reference'!$E$9:$R$320,11),(VLOOKUP($A210,PriceTableWeekend,7,0)+IF(BasisNumber&lt;&gt;1,VLOOKUP($A210,BasisTable,3,0),0)+P$1)/(1-P$2))</f>
        <v>25.8885419408808</v>
      </c>
      <c r="Q210" s="1599" t="n">
        <f aca="false">IF(Assumptions!$L$25=4,VLOOKUP($A210,'Henwood Reference'!$E$9:$R$320,11),(VLOOKUP($A210,PriceTableWeekend,8,0)+IF(BasisNumber&lt;&gt;1,VLOOKUP($A210,BasisTable,3,0),0)+Q$1)/(1-Q$2))</f>
        <v>25.8885419408808</v>
      </c>
      <c r="R210" s="1568" t="n">
        <f aca="false">IF(Assumptions!$L$25=4,VLOOKUP($A210,'Henwood Reference'!$E$9:$R$320,11),(VLOOKUP($A210,PriceTable,6,0)+IF(BasisNumber&lt;&gt;1,VLOOKUP($A210,BasisTable,3,0),0)+R$1)/(1-R$2))</f>
        <v>25.8885419408808</v>
      </c>
      <c r="S210" s="1568" t="n">
        <f aca="false">IF(Assumptions!$L$25=4,VLOOKUP($A210,'Henwood Reference'!$E$9:$R$320,11),(VLOOKUP($A210,PriceTable,7,0)+IF(BasisNumber&lt;&gt;1,VLOOKUP($A210,BasisTable,3,0),0)+S$1)/(1-S$2))</f>
        <v>25.8885419408808</v>
      </c>
      <c r="T210" s="1600" t="n">
        <f aca="false">IF(Assumptions!$L$25=4,VLOOKUP($A210,'Henwood Reference'!$E$9:$R$320,11),(VLOOKUP($A210,PriceTable,8,0)+IF(BasisNumber&lt;&gt;1,VLOOKUP($A210,BasisTable,3,0),0)+T$1)/(1-T$2))</f>
        <v>25.8885419408808</v>
      </c>
      <c r="U210" s="1513" t="n">
        <f aca="false">VLOOKUP($A210,VolatilityTable,14)</f>
        <v>0.09</v>
      </c>
      <c r="V210" s="1513" t="n">
        <f aca="false">VLOOKUP($A210,VolatilityTable,15)</f>
        <v>0.1</v>
      </c>
      <c r="W210" s="1514" t="n">
        <f aca="false">VLOOKUP($A210,VolatilityTable,16)</f>
        <v>0.11</v>
      </c>
      <c r="X210" s="1513" t="n">
        <f aca="false">VLOOKUP($A210,VolatilityTable,14)</f>
        <v>0.09</v>
      </c>
      <c r="Y210" s="1513" t="n">
        <f aca="false">VLOOKUP($A210,VolatilityTable,15)</f>
        <v>0.1</v>
      </c>
      <c r="Z210" s="1514" t="n">
        <f aca="false">VLOOKUP($A210,VolatilityTable,16)</f>
        <v>0.11</v>
      </c>
      <c r="AA210" s="1513" t="n">
        <f aca="false">VLOOKUP($A210,VolatilityTable,18)</f>
        <v>0.09</v>
      </c>
      <c r="AB210" s="1513" t="n">
        <f aca="false">VLOOKUP($A210,VolatilityTable,19)</f>
        <v>0.11</v>
      </c>
      <c r="AC210" s="1514" t="n">
        <f aca="false">VLOOKUP($A210,VolatilityTable,20)</f>
        <v>0.13</v>
      </c>
      <c r="AD210" s="1513" t="n">
        <f aca="false">VLOOKUP($A210,VolatilityTable,18)</f>
        <v>0.09</v>
      </c>
      <c r="AE210" s="1513" t="n">
        <f aca="false">VLOOKUP($A210,VolatilityTable,19)</f>
        <v>0.11</v>
      </c>
      <c r="AF210" s="1514" t="n">
        <f aca="false">VLOOKUP($A210,VolatilityTable,20)</f>
        <v>0.13</v>
      </c>
      <c r="AG210" s="1513" t="n">
        <f aca="false">VLOOKUP($A210,VolatilityTable,22)</f>
        <v>-0.35</v>
      </c>
      <c r="AH210" s="1513" t="n">
        <f aca="false">VLOOKUP($A210,VolatilityTable,23)</f>
        <v>0.65</v>
      </c>
      <c r="AI210" s="1514" t="n">
        <f aca="false">VLOOKUP($A210,VolatilityTable,24)</f>
        <v>0.2</v>
      </c>
      <c r="AJ210" s="1513" t="n">
        <f aca="false">VLOOKUP($A210,VolatilityTable,22)</f>
        <v>-0.35</v>
      </c>
      <c r="AK210" s="1513" t="n">
        <f aca="false">VLOOKUP($A210,VolatilityTable,23)</f>
        <v>0.65</v>
      </c>
      <c r="AL210" s="1514" t="n">
        <f aca="false">VLOOKUP($A210,VolatilityTable,24)</f>
        <v>0.2</v>
      </c>
      <c r="AM210" s="1513" t="n">
        <f aca="false">VLOOKUP($A210,VolatilityTable,26)</f>
        <v>-0.01</v>
      </c>
      <c r="AN210" s="1513" t="n">
        <f aca="false">VLOOKUP($A210,VolatilityTable,27)</f>
        <v>0.16</v>
      </c>
      <c r="AO210" s="1514" t="n">
        <f aca="false">VLOOKUP($A210,VolatilityTable,28)</f>
        <v>0.01</v>
      </c>
      <c r="AP210" s="1513" t="n">
        <f aca="false">VLOOKUP($A210,VolatilityTable,26)</f>
        <v>-0.01</v>
      </c>
      <c r="AQ210" s="1513" t="n">
        <f aca="false">VLOOKUP($A210,VolatilityTable,27)</f>
        <v>0.16</v>
      </c>
      <c r="AR210" s="1515" t="n">
        <f aca="false">VLOOKUP($A210,VolatilityTable,28)</f>
        <v>0.01</v>
      </c>
      <c r="AS210" s="1581" t="n">
        <f aca="false">IF(CorrPeakOffPeakOverFlag,INDEX(CorrPeakOffPeakOver,C210),CorrPeakOffPeak)</f>
        <v>0.5</v>
      </c>
      <c r="AT210" s="594" t="e">
        <f aca="false">AX210-SUM(AU210:AW210)</f>
        <v>#VALUE!</v>
      </c>
      <c r="AU210" s="238" t="e">
        <f aca="false">IF(E210="",0,INT((F210-MOD(F210,7)-E210)/7)+1-IF(AW210,IF(WEEKDAY(D210)=7,1,0),0))</f>
        <v>#VALUE!</v>
      </c>
      <c r="AV210" s="238" t="e">
        <f aca="false">IF(E210="",0,INT((F210-MOD(F210-1,7)-E210)/7)+1-IF(AW210,IF(WEEKDAY(D210)=1,1,0),0))</f>
        <v>#VALUE!</v>
      </c>
      <c r="AW210" s="238" t="e">
        <f aca="false">IF(OR(E210="",D210="",D210&lt;BegDate,D210&gt;EndDate),0,1)</f>
        <v>#VALUE!</v>
      </c>
      <c r="AX210" s="238" t="n">
        <f aca="false">IF(E210="",0,F210-E210+1)</f>
        <v>30</v>
      </c>
      <c r="AY210" s="1582" t="n">
        <f aca="false">IF(E210="",0,MIN((1-(1-VLOOKUP(B210,MAIN!$AA$7:$AM$28,C210+1))*(1-VLOOKUP(B210,MAIN!$AA$33:$AM$54,C210+1))),1))</f>
        <v>0.03</v>
      </c>
      <c r="AZ210" s="1519" t="e">
        <v>#VALUE!</v>
      </c>
      <c r="BA210" s="1520" t="e">
        <v>#VALUE!</v>
      </c>
      <c r="BB210" s="1520" t="e">
        <v>#VALUE!</v>
      </c>
      <c r="BC210" s="1583" t="e">
        <v>#VALUE!</v>
      </c>
      <c r="BD210" s="1522" t="e">
        <v>#VALUE!</v>
      </c>
      <c r="BE210" s="1523" t="e">
        <v>#VALUE!</v>
      </c>
      <c r="BF210" s="1523" t="e">
        <v>#VALUE!</v>
      </c>
      <c r="BG210" s="1584" t="e">
        <v>#VALUE!</v>
      </c>
      <c r="BH210" s="1525" t="e">
        <v>#VALUE!</v>
      </c>
      <c r="BI210" s="1520" t="e">
        <v>#VALUE!</v>
      </c>
      <c r="BJ210" s="1520" t="e">
        <v>#VALUE!</v>
      </c>
      <c r="BK210" s="1583" t="e">
        <v>#VALUE!</v>
      </c>
      <c r="BL210" s="1522" t="e">
        <v>#VALUE!</v>
      </c>
      <c r="BM210" s="1523" t="e">
        <v>#VALUE!</v>
      </c>
      <c r="BN210" s="1523" t="e">
        <v>#VALUE!</v>
      </c>
      <c r="BO210" s="1523" t="e">
        <v>#VALUE!</v>
      </c>
      <c r="BP210" s="1525" t="e">
        <f aca="false">SUM(AZ210:BB210)</f>
        <v>#VALUE!</v>
      </c>
      <c r="BQ210" s="1529" t="e">
        <f aca="false">SUM(AZ210:BC210)</f>
        <v>#VALUE!</v>
      </c>
      <c r="BR210" s="1519" t="e">
        <f aca="false">SUM(BH210:BJ210)</f>
        <v>#VALUE!</v>
      </c>
      <c r="BS210" s="1529" t="e">
        <f aca="false">SUM(BH210:BK210)</f>
        <v>#VALUE!</v>
      </c>
      <c r="BT210" s="1316" t="n">
        <f aca="false">(IF(OVolType&lt;&gt;2,A210+14,IF(OptExpDateShift,ShiftBack(A210,OptExpDateShift,D209),A210))-DateToday)/365.25</f>
        <v>16.1314168377823</v>
      </c>
      <c r="BU210" s="1585" t="e">
        <f aca="false">IF(BQ210,IF(OPriceCurve,IF(OBuySell=OCallPut,I210/(1-AY210),K210/(1-AY210)),J210/(1-AY210))*BD210,0)</f>
        <v>#VALUE!</v>
      </c>
      <c r="BV210" s="1316" t="e">
        <f aca="false">IF(BQ210,IF(OPriceCurve,IF(OBuySell=OCallPut,L210/(1-AY210),N210/(1-AY210)),M210/(1-AY210))*BE210,0)</f>
        <v>#VALUE!</v>
      </c>
      <c r="BW210" s="1316" t="e">
        <f aca="false">IF(BQ210,IF(OPriceCurve,IF(OBuySell=OCallPut,O210/(1-AY210),Q210/(1-AY210)),P210/(1-AY210))*BF210,0)</f>
        <v>#VALUE!</v>
      </c>
      <c r="BX210" s="1316" t="e">
        <f aca="false">IF(BQ210,IF(OPriceCurve,IF(OBuySell=OCallPut,R210/(1-AY210),T210/(1-AY210)),S210/(1-AY210))*BG210,0)</f>
        <v>#VALUE!</v>
      </c>
      <c r="BY210" s="1316" t="e">
        <f aca="false">IF(BP210,(BU210*AZ210+BV210*BA210+BW210*BB210)/BP210,0)</f>
        <v>#VALUE!</v>
      </c>
      <c r="BZ210" s="1316" t="e">
        <f aca="false">IF(BQ210,(BY210*BP210+BX210*BC210)/BQ210,0)</f>
        <v>#VALUE!</v>
      </c>
      <c r="CA210" s="1531" t="e">
        <f aca="false">IF(BS210,IF(OPriceCurve,IF(OBuySell=OCallPut,I210/(1-AY210),K210/(1-AY210)),J210/(1-AY210))*BL210,0)</f>
        <v>#VALUE!</v>
      </c>
      <c r="CB210" s="1316" t="e">
        <f aca="false">IF(BS210,IF(OPriceCurve,IF(OBuySell=OCallPut,L210/(1-AY210),N210/(1-AY210)),M210/(1-AY210))*BM210,0)</f>
        <v>#VALUE!</v>
      </c>
      <c r="CC210" s="1316" t="e">
        <f aca="false">IF(BS210,IF(OPriceCurve,IF(OBuySell=OCallPut,O210/(1-AY210),Q210/(1-AY210)),P210/(1-AY210))*BN210,0)</f>
        <v>#VALUE!</v>
      </c>
      <c r="CD210" s="1316" t="e">
        <f aca="false">IF(BS210,IF(OPriceCurve,IF(OBuySell=OCallPut,R210/(1-AY210),T210/(1-AY210)),S210/(1-AY210))*BO210,0)</f>
        <v>#VALUE!</v>
      </c>
      <c r="CE210" s="1316" t="e">
        <f aca="false">IF(BR210,(BU210*BH210+BV210*BI210+BW210*BJ210)/BR210,0)</f>
        <v>#VALUE!</v>
      </c>
      <c r="CF210" s="1532" t="e">
        <f aca="false">IF(BS210,(CE210*BR210+CD210*BK210)/BS210,0)</f>
        <v>#VALUE!</v>
      </c>
      <c r="CG210" s="1586" t="e">
        <f aca="false">IF(OR(BQ210,BS210),IF(OVolType&lt;&gt;2,SQRT(IF(OVolOverMonthlyPeak,OVolOverMonthlyPeak,IF(OVolCurve,IF(OBuySell,U210,W210),V210))^2*(1-15/365.25/BT210)+IF(OVolOverDailyPeak,OVolOverDailyPeak,IF(OVolCurve,IF(OBuySell,AG210,AI210),AH210))^2*15/365.25/BT210),IF(OVolOverMonthlyPeak,OVolOverMonthlyPeak,IF(OVolCurve,IF(OBuySell,U210,W210),V210))),"")</f>
        <v>#VALUE!</v>
      </c>
      <c r="CH210" s="1587" t="e">
        <f aca="false">IF(OR(BQ210,BS210),IF(OVolType&lt;&gt;2,SQRT(IF(OVolOverMonthlyPeak,OVolOverMonthlyPeak,IF(OVolCurve,IF(OBuySell,X210,Z210),Y210))^2*(1-15/365.25/BT210)+IF(OVolOverDailyPeak,OVolOverDailyPeak,IF(OVolCurve,IF(OBuySell,AJ210,AL210),AK210))^2*15/365.25/BT210),IF(OVolOverMonthlyPeak,OVolOverMonthlyPeak,IF(OVolCurve,IF(OBuySell,X210,Z210),Y210))),"")</f>
        <v>#VALUE!</v>
      </c>
      <c r="CI210" s="1587" t="e">
        <f aca="false">IF(OR(BQ210,BS210),IF(OVolType&lt;&gt;2,SQRT(IF(OVolOverMonthlyPeak,OVolOverMonthlyPeak,IF(OVolCurve,IF(OBuySell,AA210,AC210),AB210))^2*(1-15/365.25/BT210)+IF(OVolOverDailyPeak,OVolOverDailyPeak,IF(OVolCurve,IF(OBuySell,AM210,AO210),AN210))^2*15/365.25/BT210),IF(OVolOverMonthlyPeak,OVolOverMonthlyPeak,IF(OVolCurve,IF(OBuySell,AA210,AC210),AB210))),"")</f>
        <v>#VALUE!</v>
      </c>
      <c r="CJ210" s="1587" t="e">
        <f aca="false">IF(BQ210,IF(BP210,SQRT(LN(1+((BU210*AZ210)^2*(EXP(CG210^2*BT210)-1)+(BV210*BA210)^2*(EXP(CH210^2*BT210)-1)+(BW210*BB210)^2*(EXP(CI210^2*BT210)-1)+2*BU210*AZ210*BV210*BA210*(EXP(CG210*CH210*BT210)-1)+2*BV210*BA210*BW210*BB210*(EXP(CH210*CI210*BT210)-1)+2*BW210*BB210*BU210*AZ210*(EXP(CI210*CG210*BT210)-1))/(BY210*BP210)^2)/BT210),0),"")</f>
        <v>#VALUE!</v>
      </c>
      <c r="CK210" s="1587" t="e">
        <f aca="false">IF(BS210,IF(BR210,SQRT(LN(1+((CA210*BH210)^2*(EXP(CG210^2*BT210)-1)+(CB210*BI210)^2*(EXP(CH210^2*BT210)-1)+(CC210*BJ210)^2*(EXP(CI210^2*BT210)-1)+2*CA210*BH210*CB210*BI210*(EXP(CG210*CH210*BT210)-1)+2*CB210*BI210*CC210*BJ210*(EXP(CH210*CI210*BT210)-1)+2*CC210*BJ210*CA210*BH210*(EXP(CI210*CG210*BT210)-1))/(CE210*BR210)^2)/BT210),0),"")</f>
        <v>#VALUE!</v>
      </c>
      <c r="CL210" s="1587" t="e">
        <f aca="false">IF(OR(BQ210,BS210),IF(OVolType&lt;&gt;2,SQRT(IF(OVolOverMonthlyOffPeak,OVolOverMonthlyOffPeak,IF(OVolCurve,IF(OBuySell,AD210,AF210),AE210))^2*(1-15/365.25/BT210)+IF(OVolOverDailyOffPeak,OVolOverDailyOffPeak,IF(OVolCurve,IF(OBuySell,AP210,AR210),AQ210))^2*15/365.25/BT210),IF(OVolOverMonthlyOffPeak,OVolOverMonthlyOffPeak,IF(OVolCurve,IF(OBuySell,AD210,AF210),AE210))),"")</f>
        <v>#VALUE!</v>
      </c>
      <c r="CM210" s="1587" t="e">
        <f aca="false">IF(BQ210,SQRT(LN(1+((BY210*BP210)^2*(EXP(CJ210^2*BT210)-1)+(BX210*BC210)^2*(EXP(CL210^2*BT210)-1)+2*BY210*BP210*BX210*BC210*(EXP(AS210*CJ210*CL210*BT210)-1))/(BY210*BP210+BX210*BC210)^2)/BT210),"")</f>
        <v>#VALUE!</v>
      </c>
      <c r="CN210" s="1588" t="e">
        <f aca="false">IF(BS210,SQRT(LN(1+((CE210*BR210)^2*(EXP(CK210^2*BT210)-1)+(CD210*BK210)^2*(EXP(CL210^2*BT210)-1)+2*CE210*BR210*CD210*BK210*(EXP(AS210*CK210*CL210*BT210)-1))/(CE210*BR210+CD210*BK210)^2)/BT210),"")</f>
        <v>#VALUE!</v>
      </c>
      <c r="CO210" s="1531" t="e">
        <f aca="false">IF(OR(BQ210,BS210),VLOOKUP(A210,GasTable,13)*HeatRatePeak*(1+VLOOKUP($B210,HeatRateDegradation,$C210+1))/1000,0)</f>
        <v>#VALUE!</v>
      </c>
      <c r="CP210" s="1316" t="e">
        <f aca="false">IF(OR(BQ210,BS210),VLOOKUP(A210,GasTable,13)*HeatRatePeak*(1+VLOOKUP($B210,HeatRateDegradation,$C210+1))/1000,0)</f>
        <v>#VALUE!</v>
      </c>
      <c r="CQ210" s="1316" t="e">
        <f aca="false">IF(OR(BQ210,BS210),VLOOKUP(A210,GasTable,13)*IF(EV210,HeatRatePeak,HeatRateOffPeak)*(1+VLOOKUP($B210,HeatRateDegradation,$C210+1))/1000,0)</f>
        <v>#VALUE!</v>
      </c>
      <c r="CR210" s="1316" t="e">
        <f aca="false">IF(OR(BQ210,BS210),VLOOKUP(A210,GasTable,13)*IF(EW210,HeatRatePeak,HeatRateOffPeak)*(1+VLOOKUP($B210,HeatRateDegradation,$C210+1))/1000,0)</f>
        <v>#VALUE!</v>
      </c>
      <c r="CS210" s="1589" t="e">
        <f aca="false">IF(BQ210,(CO210*AZ210+CP210*BA210+CQ210*BB210+CR210*BC210)/BQ210,0)</f>
        <v>#VALUE!</v>
      </c>
      <c r="CT210" s="1316" t="e">
        <f aca="false">IF(BS210,CO210,0)</f>
        <v>#VALUE!</v>
      </c>
      <c r="CU210" s="1590" t="e">
        <f aca="false">IF(OR(BQ210,BS210),VLOOKUP(A210,GasTable,14),"")</f>
        <v>#VALUE!</v>
      </c>
      <c r="CV210" s="1568" t="e">
        <f aca="false">IF(OR(BQ210,BS210),IF(CorrPowerGasOverFlag,INDEX(CorrPowerGasOver,C210),CorrPowerGas),"")</f>
        <v>#VALUE!</v>
      </c>
      <c r="CW210" s="1316" t="e">
        <f aca="false">IF(OR($BQ210,$BS210),SpreadOptPowerMargin,0)*((1+Assumptions!$C$26)^($B210-YEAR(Assumptions!$C$17)))</f>
        <v>#VALUE!</v>
      </c>
      <c r="CX210" s="1316" t="e">
        <f aca="false">IF(OR($BQ210,$BS210),SpreadOptPowerMargin,0)*((1+Assumptions!$C$26)^($B210-YEAR(Assumptions!$C$17)))</f>
        <v>#VALUE!</v>
      </c>
      <c r="CY210" s="1316" t="e">
        <f aca="false">IF(OR($BQ210,$BS210),SpreadOptPowerMargin,0)*((1+Assumptions!$C$26)^($B210-YEAR(Assumptions!$C$17)))</f>
        <v>#VALUE!</v>
      </c>
      <c r="CZ210" s="1316" t="e">
        <f aca="false">IF(OR($BQ210,$BS210),SpreadOptPowerMargin,0)*((1+Assumptions!$C$26)^($B210-YEAR(Assumptions!$C$17)))</f>
        <v>#VALUE!</v>
      </c>
      <c r="DA210" s="1591" t="e">
        <f aca="false">IF(OR(BQ210,BS210),(CW210*(AZ210+BH210)+CX210*(BA210+BI210)+CY210*(BB210+BJ210)+CZ210*(BC210+BK210))/(BQ210+BS210),0)</f>
        <v>#VALUE!</v>
      </c>
      <c r="DB210" s="1592" t="e">
        <f aca="false">IF(OR(BQ210,BS210),CG210+IF(OVolSmile,VLOOKUP(MAX(-5,CO210+CW210-BU210),IF(OVolSmile=1,VolSmileBook,VolSmileModel),2),0),"")</f>
        <v>#VALUE!</v>
      </c>
      <c r="DC210" s="1592" t="e">
        <f aca="false">IF(OR(BQ210,BS210),CH210+IF(OVolSmile,VLOOKUP(MAX(-5,CP210+CW210-BV210),IF(OVolSmile=1,VolSmileBook,VolSmileModel),2),0),"")</f>
        <v>#VALUE!</v>
      </c>
      <c r="DD210" s="1592" t="e">
        <f aca="false">IF(OR(BQ210,BS210),CI210+IF(OVolSmile,VLOOKUP(MAX(-5,CQ210+CW210-BW210),IF(OVolSmile=1,VolSmileBook,VolSmileModel),2),0),"")</f>
        <v>#VALUE!</v>
      </c>
      <c r="DE210" s="1592" t="e">
        <f aca="false">IF(OR(BQ210,BS210),CL210+IF(OVolSmile,VLOOKUP(MAX(-5,CR210+CZ210-BX210),IF(OVolSmile=1,VolSmileBook,VolSmileModel),2),0),"")</f>
        <v>#VALUE!</v>
      </c>
      <c r="DF210" s="1592" t="e">
        <f aca="false">IF(BQ210,CM210+IF(OVolSmile,VLOOKUP(MAX(-5,CS210+DA210-BZ210),IF(OVolSmile=1,VolSmileBook,VolSmileModel),2),0),"")</f>
        <v>#VALUE!</v>
      </c>
      <c r="DG210" s="1593" t="e">
        <f aca="false">IF(BS210,CN210+IF(OVolSmile,VLOOKUP(MAX(-5,CT210+DA210-CF210),IF(OVolSmile=1,VolSmileBook,VolSmileModel),2),0),"")</f>
        <v>#VALUE!</v>
      </c>
      <c r="DH210" s="1316" t="e">
        <f aca="false">IF(AND(BU210&gt;0,CO210&gt;0,DB210&gt;0,CU210&gt;0),newSPRDOPT(BU210,CO210,CW210,0,DB210,CU210,CV210,BT210*365.25,OCallPut,0),0)</f>
        <v>#VALUE!</v>
      </c>
      <c r="DI210" s="1316" t="e">
        <f aca="false">IF(AND(BV210&gt;0,CP210&gt;0,DC210&gt;0,CU210&gt;0),newSPRDOPT(BV210,CP210,CX210,0,DC210,CU210,CV210,BT210*365.25,OCallPut,0),0)</f>
        <v>#VALUE!</v>
      </c>
      <c r="DJ210" s="1316" t="e">
        <f aca="false">IF(AND(BW210&gt;0,CQ210&gt;0,DD210&gt;0,CU210&gt;0),newSPRDOPT(BW210,CQ210,CY210,0,DD210,CU210,CV210,BT210*365.25,OCallPut,0),0)</f>
        <v>#VALUE!</v>
      </c>
      <c r="DK210" s="1316" t="e">
        <f aca="false">IF(AND(BX210&gt;0,CR210&gt;0,DE210&gt;0,CU210&gt;0),newSPRDOPT(BX210,CR210,CZ210,0,DE210,CU210,CV210,BT210*365.25,OCallPut,0),0)</f>
        <v>#VALUE!</v>
      </c>
      <c r="DL210" s="1316" t="e">
        <f aca="false">IF(OVolType,IF(AND(BZ210&gt;0,CS210&gt;0,DF210&gt;0,CU210&gt;0),newSPRDOPT(BZ210,CS210,DA210,0,DF210,CU210,CV210,BT210*365.25,OCallPut,0),0),IF(BQ210,(DH210*AZ210+DI210*BA210+DJ210*BB210+DK210*BC210)/BQ210,0))</f>
        <v>#VALUE!</v>
      </c>
      <c r="DM210" s="1316"/>
      <c r="DN210" s="1316"/>
      <c r="DO210" s="1316"/>
      <c r="DP210" s="1316"/>
      <c r="DQ210" s="1316"/>
      <c r="DR210" s="1316"/>
      <c r="DS210" s="1316"/>
      <c r="DT210" s="1316"/>
      <c r="DU210" s="1316"/>
      <c r="DV210" s="1316"/>
      <c r="DW210" s="1594" t="e">
        <f aca="false">IF(AND(BW210&gt;0,CT210&gt;0,DD210&gt;0,CU210&gt;0),newSPRDOPT(BW210,CT210,CY210,0,DD210,CU210,CV210,BT210*365.25,OCallPut,0),0)</f>
        <v>#VALUE!</v>
      </c>
      <c r="DX210" s="1316" t="e">
        <f aca="false">IF(AND(BX210&gt;0,CT210&gt;0,DE210&gt;0,CU210&gt;0),newSPRDOPT(BX210,CT210,CZ210,0,DE210,CU210,CV210,BT210*365.25,OCallPut,0),0)</f>
        <v>#VALUE!</v>
      </c>
      <c r="DY210" s="1591" t="e">
        <f aca="false">IF(BS210,(DH210*BH210+DI210*BI210+DW210*BJ210+DX210*BK210)/BS210,0)</f>
        <v>#VALUE!</v>
      </c>
      <c r="DZ210" s="1551" t="e">
        <f aca="false">DH210*AZ210</f>
        <v>#VALUE!</v>
      </c>
      <c r="EA210" s="1551" t="e">
        <f aca="false">DI210*BA210</f>
        <v>#VALUE!</v>
      </c>
      <c r="EB210" s="1551" t="e">
        <f aca="false">DJ210*BB210</f>
        <v>#VALUE!</v>
      </c>
      <c r="EC210" s="1551" t="e">
        <f aca="false">DK210*BC210</f>
        <v>#VALUE!</v>
      </c>
      <c r="ED210" s="1551" t="e">
        <f aca="false">DL210*BQ210</f>
        <v>#VALUE!</v>
      </c>
      <c r="EE210" s="1595" t="e">
        <f aca="false">IF(BQ210,IF(OCallPut,IF(BU210&gt;(CO210+CW210),BU210-(CO210+CW210),0),IF((CO210+CW210)&gt;BU210,(CO210+CW210)-BU210,0))*AZ210,0)</f>
        <v>#VALUE!</v>
      </c>
      <c r="EF210" s="1596" t="e">
        <f aca="false">IF(BQ210,IF(OCallPut,IF(BV210&gt;(CP210+CX210),BV210-(CP210+CX210),0),IF((CP210+CX210)&gt;BV210,(CP210+CX210)-BV210,0))*BA210,0)</f>
        <v>#VALUE!</v>
      </c>
      <c r="EG210" s="1596" t="e">
        <f aca="false">IF(BQ210,IF(OCallPut,IF(BW210&gt;(CQ210+CY210),BW210-(CQ210+CY210),0),IF((CQ210+CY210)&gt;BW210,(CQ210+CY210)-BW210,0))*BB210,0)</f>
        <v>#VALUE!</v>
      </c>
      <c r="EH210" s="1596" t="e">
        <f aca="false">IF(BQ210,IF(OCallPut,IF(BX210&gt;(CR210+CZ210),BX210-(CR210+CZ210),0),IF((CR210+CZ210)&gt;BX210,(CR210+CZ210)-BX210,0))*BC210,0)</f>
        <v>#VALUE!</v>
      </c>
      <c r="EI210" s="1597" t="e">
        <f aca="false">IF(BQ210,IF(OVolType,IF(OCallPut,IF(BZ210&gt;(CS210+DA210),BZ210-(CS210+DA210),0),IF((CS210+DA210)&gt;BZ210,(CS210+DA210)-BZ210,0))*BQ210,SUM(EE210:EH210)),0)</f>
        <v>#VALUE!</v>
      </c>
      <c r="EJ210" s="1595" t="e">
        <f aca="false">DZ210-EE210</f>
        <v>#VALUE!</v>
      </c>
      <c r="EK210" s="1596" t="e">
        <f aca="false">EA210-EF210</f>
        <v>#VALUE!</v>
      </c>
      <c r="EL210" s="1596" t="e">
        <f aca="false">EB210-EG210</f>
        <v>#VALUE!</v>
      </c>
      <c r="EM210" s="1596" t="e">
        <f aca="false">EC210-EH210</f>
        <v>#VALUE!</v>
      </c>
      <c r="EN210" s="1597" t="e">
        <f aca="false">ED210-EI210</f>
        <v>#VALUE!</v>
      </c>
      <c r="EO210" s="1551" t="e">
        <f aca="false">DH210*BH210</f>
        <v>#VALUE!</v>
      </c>
      <c r="EP210" s="1551" t="e">
        <f aca="false">DI210*BI210</f>
        <v>#VALUE!</v>
      </c>
      <c r="EQ210" s="1551" t="e">
        <f aca="false">DW210*BJ210</f>
        <v>#VALUE!</v>
      </c>
      <c r="ER210" s="1551" t="e">
        <f aca="false">DX210*BK210</f>
        <v>#VALUE!</v>
      </c>
      <c r="ES210" s="1551" t="e">
        <f aca="false">DY210*BS210</f>
        <v>#VALUE!</v>
      </c>
      <c r="ET210" s="1566" t="e">
        <f aca="false">IF(EI210,IF(OCallPut,IF(CA210&gt;(CT210+CW210),CA210-(CT210+CW210),0),IF((CT210+CW210)&gt;CA210,(CT210+CW210)-CA210,0))*BH210,0)</f>
        <v>#VALUE!</v>
      </c>
      <c r="EU210" s="1551" t="e">
        <f aca="false">IF(EI210,IF(OCallPut,IF(CB210&gt;(CT210+CX210),CB210-(CT210+CX210),0),IF((CT210+CX210)&gt;CB210,(CT210+CX210)-CB210,0))*BI210,0)</f>
        <v>#VALUE!</v>
      </c>
      <c r="EV210" s="1551" t="e">
        <f aca="false">IF(EI210,IF(OCallPut,IF(CC210&gt;(CT210+CY210),CC210-(CT210+CY210),0),IF((CT210+CY210)&gt;CC210,(CT210+CY210)-CC210,0))*BJ210,0)</f>
        <v>#VALUE!</v>
      </c>
      <c r="EW210" s="1551" t="e">
        <f aca="false">IF(EI210,IF(OCallPut,IF(CD210&gt;(CT210+CZ210),CD210-(CT210+CZ210),0),IF((CT210+CZ210)&gt;CD210,(CT210+CZ210)-CD210,0))*BK210,0)</f>
        <v>#VALUE!</v>
      </c>
      <c r="EX210" s="1558" t="e">
        <f aca="false">IF(EI210,SUM(ET210:EW210),0)</f>
        <v>#VALUE!</v>
      </c>
      <c r="EY210" s="1551" t="e">
        <f aca="false">EO210-ET210</f>
        <v>#VALUE!</v>
      </c>
      <c r="EZ210" s="1551" t="e">
        <f aca="false">EP210-EU210</f>
        <v>#VALUE!</v>
      </c>
      <c r="FA210" s="1551" t="e">
        <f aca="false">EQ210-EV210</f>
        <v>#VALUE!</v>
      </c>
      <c r="FB210" s="1551" t="e">
        <f aca="false">ER210-EW210</f>
        <v>#VALUE!</v>
      </c>
      <c r="FC210" s="1551" t="e">
        <f aca="false">ES210-EX210</f>
        <v>#VALUE!</v>
      </c>
      <c r="FD210" s="1525" t="n">
        <f aca="false">IF(AX210,IF(VLOOKUP(C210,MAIN!$L$17:$M$28,2)="Yes",VLOOKUP(CALC!B210,MAIN!$H$17:$I$20,2),0),0)</f>
        <v>0</v>
      </c>
      <c r="FE210" s="1552" t="e">
        <f aca="false">$FD210*16*AT210*(1-$AY210)</f>
        <v>#VALUE!</v>
      </c>
      <c r="FF210" s="1553" t="e">
        <f aca="false">$FD210*16*AU210*(1-$AY210)</f>
        <v>#VALUE!</v>
      </c>
      <c r="FG210" s="1553" t="e">
        <f aca="false">$FD210*16*(AV210+AW210)*(1-$AY210)</f>
        <v>#VALUE!</v>
      </c>
      <c r="FH210" s="1554" t="n">
        <f aca="false">$FD210*8*AX210*(1-$AY210)</f>
        <v>0</v>
      </c>
      <c r="FI210" s="1555" t="n">
        <f aca="false">IF(AX210,VLOOKUP(CALC!B210,MAIN!$H$17:$K$20,4),0)</f>
        <v>0</v>
      </c>
      <c r="FJ210" s="1553" t="e">
        <f aca="false">SUM(FE210:FH210)</f>
        <v>#VALUE!</v>
      </c>
      <c r="FK210" s="1556" t="e">
        <f aca="false">FI210*FJ210</f>
        <v>#VALUE!</v>
      </c>
      <c r="FL210" s="1551" t="e">
        <f aca="false">IF($EI210&gt;0,MIN(FE210,AZ210*(1+VLOOKUP($C210,WeatherCapacityAdjustment,2))),0)</f>
        <v>#VALUE!</v>
      </c>
      <c r="FM210" s="1551" t="e">
        <f aca="false">IF($EI210&gt;0,MIN(FF210,BA210*(1+VLOOKUP($C210,WeatherCapacityAdjustment,2))),0)</f>
        <v>#VALUE!</v>
      </c>
      <c r="FN210" s="1551" t="e">
        <f aca="false">IF($EI210&gt;0,MIN(FG210,BB210*(1+VLOOKUP($C210,WeatherCapacityAdjustment,2))),0)</f>
        <v>#VALUE!</v>
      </c>
      <c r="FO210" s="1564" t="e">
        <f aca="false">IF($EI210&gt;0,MIN(FH210,BC210*(1+VLOOKUP($C210,WeatherCapacityAdjustment,3))),0)</f>
        <v>#VALUE!</v>
      </c>
      <c r="FP210" s="1551" t="e">
        <f aca="false">IF(ET210&gt;0,MIN(FE210-FL210,BH210*(1+VLOOKUP($C210,WeatherCapacityAdjustment,2))),0)</f>
        <v>#VALUE!</v>
      </c>
      <c r="FQ210" s="1551" t="e">
        <f aca="false">IF(EU210&gt;0,MIN(FF210-FM210,BI210*(1+VLOOKUP($C210,WeatherCapacityAdjustment,2))),0)</f>
        <v>#VALUE!</v>
      </c>
      <c r="FR210" s="1551" t="e">
        <f aca="false">IF(EV210&gt;0,MIN(FG210-FN210,BJ210*(1+VLOOKUP($C210,WeatherCapacityAdjustment,2))),0)</f>
        <v>#VALUE!</v>
      </c>
      <c r="FS210" s="1558" t="e">
        <f aca="false">IF(EW210&gt;0,MIN(FH210-FO210,BK210*(1+VLOOKUP($C210,WeatherCapacityAdjustment,3))),0)</f>
        <v>#VALUE!</v>
      </c>
      <c r="FT210" s="1566" t="e">
        <f aca="false">IF(AND(Assumptions!$H$71="Yes",A210&gt;=Assumptions!$H$72,A210&lt;=Assumptions!$H$73),0,IF(AND($A210&gt;=Assumptions!$C$17,$A210&lt;=Assumptions!$C$18),MAX(AZ210*(1+VLOOKUP($C210,WeatherCapacityAdjustment,2))-FL210,0),0))</f>
        <v>#VALUE!</v>
      </c>
      <c r="FU210" s="1551" t="e">
        <f aca="false">IF(AND(Assumptions!$H$71="Yes",A210&gt;=Assumptions!$H$72,A210&lt;=Assumptions!$H$73),0,IF(AND($A210&gt;=Assumptions!$C$17,$A210&lt;=Assumptions!$C$18),MAX(BA210*(1+VLOOKUP($C210,WeatherCapacityAdjustment,2))-FM210,0),0))</f>
        <v>#VALUE!</v>
      </c>
      <c r="FV210" s="1551" t="e">
        <f aca="false">IF(AND(Assumptions!$H$71="Yes",A210&gt;=Assumptions!$H$72,A210&lt;=Assumptions!$H$73),0,IF(AND($A210&gt;=Assumptions!$C$17,$A210&lt;=Assumptions!$C$18),MAX(BB210*(1+VLOOKUP($C210,WeatherCapacityAdjustment,2))-FN210,0),0))</f>
        <v>#VALUE!</v>
      </c>
      <c r="FW210" s="1564" t="e">
        <f aca="false">IF(AND(Assumptions!$H$71="Yes",A210&gt;=Assumptions!$H$72,A210&lt;=Assumptions!$H$73),0,IF(AND($A210&gt;=Assumptions!$C$17,$A210&lt;=Assumptions!$C$18),MAX(BC210*(1+VLOOKUP($C210,WeatherCapacityAdjustment,3))-FO210,0),0))</f>
        <v>#VALUE!</v>
      </c>
      <c r="FX210" s="1569" t="e">
        <f aca="false">IF(AND(Assumptions!$H$71="Yes",A210&gt;=Assumptions!$H$72,A210&lt;=Assumptions!$H$73),0,IF(ET210&gt;0,MAX(BH210*(1+VLOOKUP($C210,WeatherCapacityAdjustment,2))-FP210,0),0))</f>
        <v>#VALUE!</v>
      </c>
      <c r="FY210" s="1551" t="e">
        <f aca="false">IF(AND(Assumptions!$H$71="Yes",A210&gt;=Assumptions!$H$72,A210&lt;=Assumptions!$H$73),0,IF(EU210&gt;0,MAX(BI210*(1+VLOOKUP($C210,WeatherCapacityAdjustment,3))-FQ210,0),0))</f>
        <v>#VALUE!</v>
      </c>
      <c r="FZ210" s="1551" t="e">
        <f aca="false">IF(AND(Assumptions!$H$71="Yes",A210&gt;=Assumptions!$H$72,A210&lt;=Assumptions!$H$73),0,IF(EV210&gt;0,MAX(BJ210*(1+VLOOKUP($C210,WeatherCapacityAdjustment,2))-FR210,0),0))</f>
        <v>#VALUE!</v>
      </c>
      <c r="GA210" s="1564" t="e">
        <f aca="false">IF(AND(Assumptions!$H$71="Yes",A210&gt;=Assumptions!$H$72,A210&lt;=Assumptions!$H$73),0,IF(EW210&gt;0,MAX(BK210*(1+VLOOKUP($C210,WeatherCapacityAdjustment,2))-FS210,0),0))</f>
        <v>#VALUE!</v>
      </c>
      <c r="GB210" s="1551" t="e">
        <f aca="false">SUM(FT210:GA210)</f>
        <v>#VALUE!</v>
      </c>
      <c r="GC210" s="1563" t="e">
        <f aca="false">+IF(SUM(FT210:GA210)=0,0,(SUMPRODUCT(BU210:BX210,FT210:FW210)+SUMPRODUCT(CA210:CD210,FX210:GA210))/SUM(FT210:GA210))</f>
        <v>#VALUE!</v>
      </c>
      <c r="GD210" s="1551" t="e">
        <f aca="false">(FT210*BU210+FX210*CA210+FU210*BV210+FY210*CB210+FV210*BW210+FZ210*CC210+FW210*BX210+GA210*CD210)</f>
        <v>#VALUE!</v>
      </c>
      <c r="GE210" s="1561" t="e">
        <f aca="false">+IF(BQ210,((FL210+FM210+FT210+FU210)*HeatRatePeak/1000*(1+VLOOKUP($C210,WeatherHeatRateAdjustment,2))+(FN210+FV210)*IF(EV210&gt;0,HeatRatePeak,HeatRateOffPeak)/1000*(1+VLOOKUP($C210,WeatherHeatRateAdjustment,2))+(FO210+FW210)*IF(EW210&gt;0,HeatRatePeak,HeatRateOffPeak)/1000*(1+VLOOKUP($C210,WeatherHeatRateAdjustment,3)))*(1+VLOOKUP($B210,HeatRateDegradation,$C210+1)),0)</f>
        <v>#VALUE!</v>
      </c>
      <c r="GF210" s="1562" t="e">
        <f aca="false">IF(BQ210,((FP210+FQ210+FR210+FX210+FY210+FZ210)*HeatRatePeak/1000*(1+VLOOKUP($C210,WeatherHeatRateAdjustment,2))+(FS210+GA210)*HeatRatePeak/1000*(1+VLOOKUP($C210,WeatherHeatRateAdjustment,3)))*(1+VLOOKUP($B210,HeatRateDegradation,$C210+1)),0)</f>
        <v>#VALUE!</v>
      </c>
      <c r="GG210" s="1563" t="e">
        <f aca="false">IF(BQ210,VLOOKUP(A210,GasTable,13),0)</f>
        <v>#VALUE!</v>
      </c>
      <c r="GH210" s="1564" t="e">
        <f aca="false">(GE210+GF210)*GG210</f>
        <v>#VALUE!</v>
      </c>
      <c r="GI210" s="1569" t="e">
        <f aca="false">GB210</f>
        <v>#VALUE!</v>
      </c>
      <c r="GJ210" s="1598" t="e">
        <f aca="false">+DA210</f>
        <v>#VALUE!</v>
      </c>
      <c r="GK210" s="1558" t="e">
        <f aca="false">+GI210*GJ210</f>
        <v>#VALUE!</v>
      </c>
      <c r="GL210" s="1566" t="e">
        <f aca="false">MAX(FE210-FL210-FP210,0)</f>
        <v>#VALUE!</v>
      </c>
      <c r="GM210" s="1551" t="e">
        <f aca="false">MAX(FF210-FM210-FQ210,0)</f>
        <v>#VALUE!</v>
      </c>
      <c r="GN210" s="1551" t="e">
        <f aca="false">MAX(FG210-FN210-FR210,0)</f>
        <v>#VALUE!</v>
      </c>
      <c r="GO210" s="1564" t="e">
        <f aca="false">MAX(FH210-FO210-FS210,0)</f>
        <v>#VALUE!</v>
      </c>
      <c r="GP210" s="1551" t="e">
        <f aca="false">SUM(GL210:GO210)</f>
        <v>#VALUE!</v>
      </c>
      <c r="GQ210" s="1563" t="e">
        <f aca="false">IF(SUM(GL210:GO210)=0,0,((GL210*BU210+GM210*BV210+GN210*BW210+GO210*BX210)/SUM(GL210:GO210)))</f>
        <v>#VALUE!</v>
      </c>
      <c r="GR210" s="1558" t="e">
        <f aca="false">(GL210*BU210+GM210*BV210+GN210*BW210+GO210*BX210)</f>
        <v>#VALUE!</v>
      </c>
      <c r="GS210" s="1566" t="n">
        <f aca="false">IF($A210&gt;=BegDate,Assumptions!$C$56*24*($A211-$A210)*(1-VLOOKUP($B210,MAIN!$AA$7:$AM$28,$C210+1))*(1-VLOOKUP($B210,MAIN!$AA$33:$AM$54,$C210+1)),0)*80/168</f>
        <v>249428.571428571</v>
      </c>
      <c r="GT210" s="286" t="n">
        <f aca="false">J210</f>
        <v>44.3106397103443</v>
      </c>
      <c r="GU210" s="286" t="n">
        <f aca="false">IF($A210&gt;=BegDate,VLOOKUP($A210,GasTable,13)+Assumptions!$C$58,0)</f>
        <v>3.19507638817795</v>
      </c>
      <c r="GV210" s="286" t="n">
        <f aca="false">GU210*Assumptions!$C$57/1000</f>
        <v>23.1643038142901</v>
      </c>
      <c r="GW210" s="1558" t="n">
        <f aca="false">IF(Assumptions!$C$60="Hourly",MAX(0,GS210*(GT210-GV210)),GS210*(GT210-GV210))</f>
        <v>5274500.35350151</v>
      </c>
      <c r="GX210" s="1566" t="n">
        <f aca="false">IF($A210&gt;=BegDate,Assumptions!$C$56*24*($A211-$A210)*(1-VLOOKUP($B210,MAIN!$AA$7:$AM$28,$C210+1))*(1-VLOOKUP($B210,MAIN!$AA$33:$AM$54,$C210+1)),0)*16/168</f>
        <v>49885.7142857143</v>
      </c>
      <c r="GY210" s="286" t="n">
        <f aca="false">M210</f>
        <v>44.3106397103443</v>
      </c>
      <c r="GZ210" s="286" t="n">
        <f aca="false">IF($A210&gt;=BegDate,VLOOKUP($A210,GasTable,13)+Assumptions!$C$58,0)</f>
        <v>3.19507638817795</v>
      </c>
      <c r="HA210" s="286" t="n">
        <f aca="false">GZ210*Assumptions!$C$57/1000</f>
        <v>23.1643038142901</v>
      </c>
      <c r="HB210" s="1558" t="n">
        <f aca="false">IF(Assumptions!$C$60="Hourly",MAX(0,GX210*(GY210-HA210)),GX210*(GY210-HA210))</f>
        <v>1054900.0707003</v>
      </c>
      <c r="HC210" s="1566" t="n">
        <f aca="false">IF($A210&gt;=BegDate,Assumptions!$C$56*24*($A211-$A210)*(1-VLOOKUP($B210,MAIN!$AA$7:$AM$28,$C210+1))*(1-VLOOKUP($B210,MAIN!$AA$33:$AM$54,$C210+1)),0)*16/168</f>
        <v>49885.7142857143</v>
      </c>
      <c r="HD210" s="286" t="n">
        <f aca="false">P210</f>
        <v>25.8885419408808</v>
      </c>
      <c r="HE210" s="286" t="n">
        <f aca="false">IF($A210&gt;=BegDate,VLOOKUP($A210,GasTable,13)+Assumptions!$C$58,0)</f>
        <v>3.19507638817795</v>
      </c>
      <c r="HF210" s="286" t="n">
        <f aca="false">HE210*Assumptions!$C$57/1000</f>
        <v>23.1643038142901</v>
      </c>
      <c r="HG210" s="1558" t="n">
        <f aca="false">IF(Assumptions!$C$60="Hourly",MAX(0,HC210*(HD210-HF210)),HC210*(HD210-HF210))</f>
        <v>135900.564829353</v>
      </c>
      <c r="HH210" s="1566" t="n">
        <f aca="false">IF($A210&gt;=BegDate,Assumptions!$C$56*24*($A211-$A210)*(1-VLOOKUP($B210,MAIN!$AA$7:$AM$28,$C210+1))*(1-VLOOKUP($B210,MAIN!$AA$33:$AM$54,$C210+1)),0)*56/168</f>
        <v>174600</v>
      </c>
      <c r="HI210" s="286" t="n">
        <f aca="false">S210</f>
        <v>25.8885419408808</v>
      </c>
      <c r="HJ210" s="286" t="n">
        <f aca="false">IF($A210&gt;=BegDate,VLOOKUP($A210,GasTable,13)+Assumptions!$C$58,0)</f>
        <v>3.19507638817795</v>
      </c>
      <c r="HK210" s="286" t="n">
        <f aca="false">HJ210*Assumptions!$C$57/1000</f>
        <v>23.1643038142901</v>
      </c>
      <c r="HL210" s="1558" t="n">
        <f aca="false">IF(Assumptions!$C$60="Hourly",MAX(0,HH210*(HI210-HK210)),HH210*(HI210-HK210))</f>
        <v>475651.976902734</v>
      </c>
      <c r="HM210" s="1566" t="n">
        <f aca="false">IF(AND(Assumptions!$H$71="Yes",A210&gt;=Assumptions!$H$72,A210&lt;=Assumptions!$H$73),Assumptions!$H$74*Assumptions!$C$9*1000,0)</f>
        <v>0</v>
      </c>
      <c r="HN210" s="1551"/>
      <c r="HO210" s="1563"/>
      <c r="HP210" s="1563"/>
      <c r="HQ210" s="1563"/>
      <c r="HR210" s="1563"/>
      <c r="HS210" s="1563"/>
      <c r="HT210" s="1563"/>
      <c r="HU210" s="1563"/>
      <c r="HV210" s="1563"/>
      <c r="HW210" s="1563"/>
      <c r="HX210" s="1563"/>
      <c r="HY210" s="1563"/>
      <c r="HZ210" s="1563"/>
      <c r="IA210" s="1563"/>
      <c r="IB210" s="1563"/>
      <c r="IC210" s="1563"/>
      <c r="ID210" s="1563"/>
      <c r="IE210" s="1563"/>
      <c r="IF210" s="1563"/>
      <c r="IG210" s="1563"/>
      <c r="IH210" s="1563"/>
      <c r="II210" s="1610"/>
      <c r="IJ210" s="1309"/>
      <c r="IK210" s="1309"/>
    </row>
    <row r="211" customFormat="false" ht="12.75" hidden="false" customHeight="false" outlineLevel="0" collapsed="false">
      <c r="A211" s="1571" t="n">
        <f aca="false">EOMONTH(A210,0)+1</f>
        <v>42552</v>
      </c>
      <c r="B211" s="594" t="n">
        <f aca="false">+YEAR(A211)</f>
        <v>2016</v>
      </c>
      <c r="C211" s="238" t="n">
        <f aca="false">MONTH(A211)</f>
        <v>7</v>
      </c>
      <c r="D211" s="1572" t="e">
        <f aca="false">IF(E211="","",Holiday(B211,C211))</f>
        <v>#VALUE!</v>
      </c>
      <c r="E211" s="1573" t="n">
        <f aca="false">IF(OR(BegDate&gt;=A212,EndDate&lt;A211,AND(VolumeMonthlyOverFlag,INDEX(VolumeMonthlyOver,C211)=0),NOT(INDEX(MonthKnockOutTable,C211))),"",MAX(A211,BegDate))</f>
        <v>42552</v>
      </c>
      <c r="F211" s="1574" t="n">
        <f aca="false">IF(E211="","",MIN(A212-1,EndDate))</f>
        <v>42582</v>
      </c>
      <c r="G211" s="1575" t="n">
        <v>0</v>
      </c>
      <c r="H211" s="1576" t="n">
        <f aca="false">(1+G211/2)^(-2*(DATE(B212,C212,20)-DateToday)/365.25)</f>
        <v>1</v>
      </c>
      <c r="I211" s="1568" t="n">
        <f aca="false">IF(Assumptions!$L$25=4,VLOOKUP($A211,'Henwood Reference'!$E$9:$R$320,10),(VLOOKUP($A211,PriceTable,2,0)+IF(BasisNumber&lt;&gt;1,VLOOKUP($A211,BasisTable,2,0),0)+I$1)/(1-I$2))</f>
        <v>64.9039353509791</v>
      </c>
      <c r="J211" s="1568" t="n">
        <f aca="false">IF(Assumptions!$L$25=4,VLOOKUP($A211,'Henwood Reference'!$E$9:$R$320,10),(VLOOKUP($A211,PriceTable,3,0)+IF(BasisNumber&lt;&gt;1,VLOOKUP($A211,BasisTable,2,0),0)+J$1)/(1-J$2))</f>
        <v>64.9039353509791</v>
      </c>
      <c r="K211" s="1568" t="n">
        <f aca="false">IF(Assumptions!$L$25=4,VLOOKUP($A211,'Henwood Reference'!$E$9:$R$320,10),(VLOOKUP($A211,PriceTable,4,0)+IF(BasisNumber&lt;&gt;1,VLOOKUP($A211,BasisTable,2,0),0)+K$1)/(1-K$2))</f>
        <v>64.9039353509791</v>
      </c>
      <c r="L211" s="1523" t="n">
        <f aca="false">IF(Assumptions!$L$25=4,VLOOKUP($A211,'Henwood Reference'!$E$9:$R$320,10),(VLOOKUP($A211,PriceTableWeekend,2,0)+IF(BasisNumber&lt;&gt;1,VLOOKUP($A211,BasisTable,2,0),0)+L$1)/(1-L$2))</f>
        <v>64.9039353509791</v>
      </c>
      <c r="M211" s="1568" t="n">
        <f aca="false">IF(Assumptions!$L$25=4,VLOOKUP($A211,'Henwood Reference'!$E$9:$R$320,10),(VLOOKUP($A211,PriceTableWeekend,3,0)+IF(BasisNumber&lt;&gt;1,VLOOKUP($A211,BasisTable,2,0),0)+M$1)/(1-M$2))</f>
        <v>64.9039353509791</v>
      </c>
      <c r="N211" s="1599" t="n">
        <f aca="false">IF(Assumptions!$L$25=4,VLOOKUP($A211,'Henwood Reference'!$E$9:$R$320,10),(VLOOKUP($A211,PriceTableWeekend,4,0)+IF(BasisNumber&lt;&gt;1,VLOOKUP($A211,BasisTable,2,0),0)+N$1)/(1-N$2))</f>
        <v>64.9039353509791</v>
      </c>
      <c r="O211" s="1568" t="n">
        <f aca="false">IF(Assumptions!$L$25=4,VLOOKUP($A211,'Henwood Reference'!$E$9:$R$320,11),(VLOOKUP($A211,PriceTableWeekend,6,0)+IF(BasisNumber&lt;&gt;1,VLOOKUP($A211,BasisTable,3,0),0)+O$1)/(1-O$2))</f>
        <v>32.5407869106089</v>
      </c>
      <c r="P211" s="1568" t="n">
        <f aca="false">IF(Assumptions!$L$25=4,VLOOKUP($A211,'Henwood Reference'!$E$9:$R$320,11),(VLOOKUP($A211,PriceTableWeekend,7,0)+IF(BasisNumber&lt;&gt;1,VLOOKUP($A211,BasisTable,3,0),0)+P$1)/(1-P$2))</f>
        <v>32.5407869106089</v>
      </c>
      <c r="Q211" s="1599" t="n">
        <f aca="false">IF(Assumptions!$L$25=4,VLOOKUP($A211,'Henwood Reference'!$E$9:$R$320,11),(VLOOKUP($A211,PriceTableWeekend,8,0)+IF(BasisNumber&lt;&gt;1,VLOOKUP($A211,BasisTable,3,0),0)+Q$1)/(1-Q$2))</f>
        <v>32.5407869106089</v>
      </c>
      <c r="R211" s="1568" t="n">
        <f aca="false">IF(Assumptions!$L$25=4,VLOOKUP($A211,'Henwood Reference'!$E$9:$R$320,11),(VLOOKUP($A211,PriceTable,6,0)+IF(BasisNumber&lt;&gt;1,VLOOKUP($A211,BasisTable,3,0),0)+R$1)/(1-R$2))</f>
        <v>32.5407869106089</v>
      </c>
      <c r="S211" s="1568" t="n">
        <f aca="false">IF(Assumptions!$L$25=4,VLOOKUP($A211,'Henwood Reference'!$E$9:$R$320,11),(VLOOKUP($A211,PriceTable,7,0)+IF(BasisNumber&lt;&gt;1,VLOOKUP($A211,BasisTable,3,0),0)+S$1)/(1-S$2))</f>
        <v>32.5407869106089</v>
      </c>
      <c r="T211" s="1600" t="n">
        <f aca="false">IF(Assumptions!$L$25=4,VLOOKUP($A211,'Henwood Reference'!$E$9:$R$320,11),(VLOOKUP($A211,PriceTable,8,0)+IF(BasisNumber&lt;&gt;1,VLOOKUP($A211,BasisTable,3,0),0)+T$1)/(1-T$2))</f>
        <v>32.5407869106089</v>
      </c>
      <c r="U211" s="1513" t="n">
        <f aca="false">VLOOKUP($A211,VolatilityTable,14)</f>
        <v>0.09</v>
      </c>
      <c r="V211" s="1513" t="n">
        <f aca="false">VLOOKUP($A211,VolatilityTable,15)</f>
        <v>0.1</v>
      </c>
      <c r="W211" s="1514" t="n">
        <f aca="false">VLOOKUP($A211,VolatilityTable,16)</f>
        <v>0.11</v>
      </c>
      <c r="X211" s="1513" t="n">
        <f aca="false">VLOOKUP($A211,VolatilityTable,14)</f>
        <v>0.09</v>
      </c>
      <c r="Y211" s="1513" t="n">
        <f aca="false">VLOOKUP($A211,VolatilityTable,15)</f>
        <v>0.1</v>
      </c>
      <c r="Z211" s="1514" t="n">
        <f aca="false">VLOOKUP($A211,VolatilityTable,16)</f>
        <v>0.11</v>
      </c>
      <c r="AA211" s="1513" t="n">
        <f aca="false">VLOOKUP($A211,VolatilityTable,18)</f>
        <v>0.09</v>
      </c>
      <c r="AB211" s="1513" t="n">
        <f aca="false">VLOOKUP($A211,VolatilityTable,19)</f>
        <v>0.11</v>
      </c>
      <c r="AC211" s="1514" t="n">
        <f aca="false">VLOOKUP($A211,VolatilityTable,20)</f>
        <v>0.13</v>
      </c>
      <c r="AD211" s="1513" t="n">
        <f aca="false">VLOOKUP($A211,VolatilityTable,18)</f>
        <v>0.09</v>
      </c>
      <c r="AE211" s="1513" t="n">
        <f aca="false">VLOOKUP($A211,VolatilityTable,19)</f>
        <v>0.11</v>
      </c>
      <c r="AF211" s="1514" t="n">
        <f aca="false">VLOOKUP($A211,VolatilityTable,20)</f>
        <v>0.13</v>
      </c>
      <c r="AG211" s="1513" t="n">
        <f aca="false">VLOOKUP($A211,VolatilityTable,22)</f>
        <v>-0.35</v>
      </c>
      <c r="AH211" s="1513" t="n">
        <f aca="false">VLOOKUP($A211,VolatilityTable,23)</f>
        <v>0.65</v>
      </c>
      <c r="AI211" s="1514" t="n">
        <f aca="false">VLOOKUP($A211,VolatilityTable,24)</f>
        <v>0.35</v>
      </c>
      <c r="AJ211" s="1513" t="n">
        <f aca="false">VLOOKUP($A211,VolatilityTable,22)</f>
        <v>-0.35</v>
      </c>
      <c r="AK211" s="1513" t="n">
        <f aca="false">VLOOKUP($A211,VolatilityTable,23)</f>
        <v>0.65</v>
      </c>
      <c r="AL211" s="1514" t="n">
        <f aca="false">VLOOKUP($A211,VolatilityTable,24)</f>
        <v>0.35</v>
      </c>
      <c r="AM211" s="1513" t="n">
        <f aca="false">VLOOKUP($A211,VolatilityTable,26)</f>
        <v>-0.01</v>
      </c>
      <c r="AN211" s="1513" t="n">
        <f aca="false">VLOOKUP($A211,VolatilityTable,27)</f>
        <v>0.16</v>
      </c>
      <c r="AO211" s="1514" t="n">
        <f aca="false">VLOOKUP($A211,VolatilityTable,28)</f>
        <v>0.01</v>
      </c>
      <c r="AP211" s="1513" t="n">
        <f aca="false">VLOOKUP($A211,VolatilityTable,26)</f>
        <v>-0.01</v>
      </c>
      <c r="AQ211" s="1513" t="n">
        <f aca="false">VLOOKUP($A211,VolatilityTable,27)</f>
        <v>0.16</v>
      </c>
      <c r="AR211" s="1515" t="n">
        <f aca="false">VLOOKUP($A211,VolatilityTable,28)</f>
        <v>0.01</v>
      </c>
      <c r="AS211" s="1581" t="n">
        <f aca="false">IF(CorrPeakOffPeakOverFlag,INDEX(CorrPeakOffPeakOver,C211),CorrPeakOffPeak)</f>
        <v>0.5</v>
      </c>
      <c r="AT211" s="594" t="e">
        <f aca="false">AX211-SUM(AU211:AW211)</f>
        <v>#VALUE!</v>
      </c>
      <c r="AU211" s="238" t="e">
        <f aca="false">IF(E211="",0,INT((F211-MOD(F211,7)-E211)/7)+1-IF(AW211,IF(WEEKDAY(D211)=7,1,0),0))</f>
        <v>#VALUE!</v>
      </c>
      <c r="AV211" s="238" t="e">
        <f aca="false">IF(E211="",0,INT((F211-MOD(F211-1,7)-E211)/7)+1-IF(AW211,IF(WEEKDAY(D211)=1,1,0),0))</f>
        <v>#VALUE!</v>
      </c>
      <c r="AW211" s="238" t="e">
        <f aca="false">IF(OR(E211="",D211="",D211&lt;BegDate,D211&gt;EndDate),0,1)</f>
        <v>#VALUE!</v>
      </c>
      <c r="AX211" s="238" t="n">
        <f aca="false">IF(E211="",0,F211-E211+1)</f>
        <v>31</v>
      </c>
      <c r="AY211" s="1582" t="n">
        <f aca="false">IF(E211="",0,MIN((1-(1-VLOOKUP(B211,MAIN!$AA$7:$AM$28,C211+1))*(1-VLOOKUP(B211,MAIN!$AA$33:$AM$54,C211+1))),1))</f>
        <v>0.03</v>
      </c>
      <c r="AZ211" s="1519" t="e">
        <v>#VALUE!</v>
      </c>
      <c r="BA211" s="1520" t="e">
        <v>#VALUE!</v>
      </c>
      <c r="BB211" s="1520" t="e">
        <v>#VALUE!</v>
      </c>
      <c r="BC211" s="1583" t="e">
        <v>#VALUE!</v>
      </c>
      <c r="BD211" s="1522" t="e">
        <v>#VALUE!</v>
      </c>
      <c r="BE211" s="1523" t="e">
        <v>#VALUE!</v>
      </c>
      <c r="BF211" s="1523" t="e">
        <v>#VALUE!</v>
      </c>
      <c r="BG211" s="1584" t="e">
        <v>#VALUE!</v>
      </c>
      <c r="BH211" s="1525" t="e">
        <v>#VALUE!</v>
      </c>
      <c r="BI211" s="1520" t="e">
        <v>#VALUE!</v>
      </c>
      <c r="BJ211" s="1520" t="e">
        <v>#VALUE!</v>
      </c>
      <c r="BK211" s="1583" t="e">
        <v>#VALUE!</v>
      </c>
      <c r="BL211" s="1522" t="e">
        <v>#VALUE!</v>
      </c>
      <c r="BM211" s="1523" t="e">
        <v>#VALUE!</v>
      </c>
      <c r="BN211" s="1523" t="e">
        <v>#VALUE!</v>
      </c>
      <c r="BO211" s="1523" t="e">
        <v>#VALUE!</v>
      </c>
      <c r="BP211" s="1525" t="e">
        <f aca="false">SUM(AZ211:BB211)</f>
        <v>#VALUE!</v>
      </c>
      <c r="BQ211" s="1529" t="e">
        <f aca="false">SUM(AZ211:BC211)</f>
        <v>#VALUE!</v>
      </c>
      <c r="BR211" s="1519" t="e">
        <f aca="false">SUM(BH211:BJ211)</f>
        <v>#VALUE!</v>
      </c>
      <c r="BS211" s="1529" t="e">
        <f aca="false">SUM(BH211:BK211)</f>
        <v>#VALUE!</v>
      </c>
      <c r="BT211" s="1316" t="n">
        <f aca="false">(IF(OVolType&lt;&gt;2,A211+14,IF(OptExpDateShift,ShiftBack(A211,OptExpDateShift,D210),A211))-DateToday)/365.25</f>
        <v>16.2135523613963</v>
      </c>
      <c r="BU211" s="1585" t="e">
        <f aca="false">IF(BQ211,IF(OPriceCurve,IF(OBuySell=OCallPut,I211/(1-AY211),K211/(1-AY211)),J211/(1-AY211))*BD211,0)</f>
        <v>#VALUE!</v>
      </c>
      <c r="BV211" s="1316" t="e">
        <f aca="false">IF(BQ211,IF(OPriceCurve,IF(OBuySell=OCallPut,L211/(1-AY211),N211/(1-AY211)),M211/(1-AY211))*BE211,0)</f>
        <v>#VALUE!</v>
      </c>
      <c r="BW211" s="1316" t="e">
        <f aca="false">IF(BQ211,IF(OPriceCurve,IF(OBuySell=OCallPut,O211/(1-AY211),Q211/(1-AY211)),P211/(1-AY211))*BF211,0)</f>
        <v>#VALUE!</v>
      </c>
      <c r="BX211" s="1316" t="e">
        <f aca="false">IF(BQ211,IF(OPriceCurve,IF(OBuySell=OCallPut,R211/(1-AY211),T211/(1-AY211)),S211/(1-AY211))*BG211,0)</f>
        <v>#VALUE!</v>
      </c>
      <c r="BY211" s="1316" t="e">
        <f aca="false">IF(BP211,(BU211*AZ211+BV211*BA211+BW211*BB211)/BP211,0)</f>
        <v>#VALUE!</v>
      </c>
      <c r="BZ211" s="1316" t="e">
        <f aca="false">IF(BQ211,(BY211*BP211+BX211*BC211)/BQ211,0)</f>
        <v>#VALUE!</v>
      </c>
      <c r="CA211" s="1531" t="e">
        <f aca="false">IF(BS211,IF(OPriceCurve,IF(OBuySell=OCallPut,I211/(1-AY211),K211/(1-AY211)),J211/(1-AY211))*BL211,0)</f>
        <v>#VALUE!</v>
      </c>
      <c r="CB211" s="1316" t="e">
        <f aca="false">IF(BS211,IF(OPriceCurve,IF(OBuySell=OCallPut,L211/(1-AY211),N211/(1-AY211)),M211/(1-AY211))*BM211,0)</f>
        <v>#VALUE!</v>
      </c>
      <c r="CC211" s="1316" t="e">
        <f aca="false">IF(BS211,IF(OPriceCurve,IF(OBuySell=OCallPut,O211/(1-AY211),Q211/(1-AY211)),P211/(1-AY211))*BN211,0)</f>
        <v>#VALUE!</v>
      </c>
      <c r="CD211" s="1316" t="e">
        <f aca="false">IF(BS211,IF(OPriceCurve,IF(OBuySell=OCallPut,R211/(1-AY211),T211/(1-AY211)),S211/(1-AY211))*BO211,0)</f>
        <v>#VALUE!</v>
      </c>
      <c r="CE211" s="1316" t="e">
        <f aca="false">IF(BR211,(BU211*BH211+BV211*BI211+BW211*BJ211)/BR211,0)</f>
        <v>#VALUE!</v>
      </c>
      <c r="CF211" s="1532" t="e">
        <f aca="false">IF(BS211,(CE211*BR211+CD211*BK211)/BS211,0)</f>
        <v>#VALUE!</v>
      </c>
      <c r="CG211" s="1586" t="e">
        <f aca="false">IF(OR(BQ211,BS211),IF(OVolType&lt;&gt;2,SQRT(IF(OVolOverMonthlyPeak,OVolOverMonthlyPeak,IF(OVolCurve,IF(OBuySell,U211,W211),V211))^2*(1-15/365.25/BT211)+IF(OVolOverDailyPeak,OVolOverDailyPeak,IF(OVolCurve,IF(OBuySell,AG211,AI211),AH211))^2*15/365.25/BT211),IF(OVolOverMonthlyPeak,OVolOverMonthlyPeak,IF(OVolCurve,IF(OBuySell,U211,W211),V211))),"")</f>
        <v>#VALUE!</v>
      </c>
      <c r="CH211" s="1587" t="e">
        <f aca="false">IF(OR(BQ211,BS211),IF(OVolType&lt;&gt;2,SQRT(IF(OVolOverMonthlyPeak,OVolOverMonthlyPeak,IF(OVolCurve,IF(OBuySell,X211,Z211),Y211))^2*(1-15/365.25/BT211)+IF(OVolOverDailyPeak,OVolOverDailyPeak,IF(OVolCurve,IF(OBuySell,AJ211,AL211),AK211))^2*15/365.25/BT211),IF(OVolOverMonthlyPeak,OVolOverMonthlyPeak,IF(OVolCurve,IF(OBuySell,X211,Z211),Y211))),"")</f>
        <v>#VALUE!</v>
      </c>
      <c r="CI211" s="1587" t="e">
        <f aca="false">IF(OR(BQ211,BS211),IF(OVolType&lt;&gt;2,SQRT(IF(OVolOverMonthlyPeak,OVolOverMonthlyPeak,IF(OVolCurve,IF(OBuySell,AA211,AC211),AB211))^2*(1-15/365.25/BT211)+IF(OVolOverDailyPeak,OVolOverDailyPeak,IF(OVolCurve,IF(OBuySell,AM211,AO211),AN211))^2*15/365.25/BT211),IF(OVolOverMonthlyPeak,OVolOverMonthlyPeak,IF(OVolCurve,IF(OBuySell,AA211,AC211),AB211))),"")</f>
        <v>#VALUE!</v>
      </c>
      <c r="CJ211" s="1587" t="e">
        <f aca="false">IF(BQ211,IF(BP211,SQRT(LN(1+((BU211*AZ211)^2*(EXP(CG211^2*BT211)-1)+(BV211*BA211)^2*(EXP(CH211^2*BT211)-1)+(BW211*BB211)^2*(EXP(CI211^2*BT211)-1)+2*BU211*AZ211*BV211*BA211*(EXP(CG211*CH211*BT211)-1)+2*BV211*BA211*BW211*BB211*(EXP(CH211*CI211*BT211)-1)+2*BW211*BB211*BU211*AZ211*(EXP(CI211*CG211*BT211)-1))/(BY211*BP211)^2)/BT211),0),"")</f>
        <v>#VALUE!</v>
      </c>
      <c r="CK211" s="1587" t="e">
        <f aca="false">IF(BS211,IF(BR211,SQRT(LN(1+((CA211*BH211)^2*(EXP(CG211^2*BT211)-1)+(CB211*BI211)^2*(EXP(CH211^2*BT211)-1)+(CC211*BJ211)^2*(EXP(CI211^2*BT211)-1)+2*CA211*BH211*CB211*BI211*(EXP(CG211*CH211*BT211)-1)+2*CB211*BI211*CC211*BJ211*(EXP(CH211*CI211*BT211)-1)+2*CC211*BJ211*CA211*BH211*(EXP(CI211*CG211*BT211)-1))/(CE211*BR211)^2)/BT211),0),"")</f>
        <v>#VALUE!</v>
      </c>
      <c r="CL211" s="1587" t="e">
        <f aca="false">IF(OR(BQ211,BS211),IF(OVolType&lt;&gt;2,SQRT(IF(OVolOverMonthlyOffPeak,OVolOverMonthlyOffPeak,IF(OVolCurve,IF(OBuySell,AD211,AF211),AE211))^2*(1-15/365.25/BT211)+IF(OVolOverDailyOffPeak,OVolOverDailyOffPeak,IF(OVolCurve,IF(OBuySell,AP211,AR211),AQ211))^2*15/365.25/BT211),IF(OVolOverMonthlyOffPeak,OVolOverMonthlyOffPeak,IF(OVolCurve,IF(OBuySell,AD211,AF211),AE211))),"")</f>
        <v>#VALUE!</v>
      </c>
      <c r="CM211" s="1587" t="e">
        <f aca="false">IF(BQ211,SQRT(LN(1+((BY211*BP211)^2*(EXP(CJ211^2*BT211)-1)+(BX211*BC211)^2*(EXP(CL211^2*BT211)-1)+2*BY211*BP211*BX211*BC211*(EXP(AS211*CJ211*CL211*BT211)-1))/(BY211*BP211+BX211*BC211)^2)/BT211),"")</f>
        <v>#VALUE!</v>
      </c>
      <c r="CN211" s="1588" t="e">
        <f aca="false">IF(BS211,SQRT(LN(1+((CE211*BR211)^2*(EXP(CK211^2*BT211)-1)+(CD211*BK211)^2*(EXP(CL211^2*BT211)-1)+2*CE211*BR211*CD211*BK211*(EXP(AS211*CK211*CL211*BT211)-1))/(CE211*BR211+CD211*BK211)^2)/BT211),"")</f>
        <v>#VALUE!</v>
      </c>
      <c r="CO211" s="1531" t="e">
        <f aca="false">IF(OR(BQ211,BS211),VLOOKUP(A211,GasTable,13)*HeatRatePeak*(1+VLOOKUP($B211,HeatRateDegradation,$C211+1))/1000,0)</f>
        <v>#VALUE!</v>
      </c>
      <c r="CP211" s="1316" t="e">
        <f aca="false">IF(OR(BQ211,BS211),VLOOKUP(A211,GasTable,13)*HeatRatePeak*(1+VLOOKUP($B211,HeatRateDegradation,$C211+1))/1000,0)</f>
        <v>#VALUE!</v>
      </c>
      <c r="CQ211" s="1316" t="e">
        <f aca="false">IF(OR(BQ211,BS211),VLOOKUP(A211,GasTable,13)*IF(EV211,HeatRatePeak,HeatRateOffPeak)*(1+VLOOKUP($B211,HeatRateDegradation,$C211+1))/1000,0)</f>
        <v>#VALUE!</v>
      </c>
      <c r="CR211" s="1316" t="e">
        <f aca="false">IF(OR(BQ211,BS211),VLOOKUP(A211,GasTable,13)*IF(EW211,HeatRatePeak,HeatRateOffPeak)*(1+VLOOKUP($B211,HeatRateDegradation,$C211+1))/1000,0)</f>
        <v>#VALUE!</v>
      </c>
      <c r="CS211" s="1589" t="e">
        <f aca="false">IF(BQ211,(CO211*AZ211+CP211*BA211+CQ211*BB211+CR211*BC211)/BQ211,0)</f>
        <v>#VALUE!</v>
      </c>
      <c r="CT211" s="1316" t="e">
        <f aca="false">IF(BS211,CO211,0)</f>
        <v>#VALUE!</v>
      </c>
      <c r="CU211" s="1590" t="e">
        <f aca="false">IF(OR(BQ211,BS211),VLOOKUP(A211,GasTable,14),"")</f>
        <v>#VALUE!</v>
      </c>
      <c r="CV211" s="1568" t="e">
        <f aca="false">IF(OR(BQ211,BS211),IF(CorrPowerGasOverFlag,INDEX(CorrPowerGasOver,C211),CorrPowerGas),"")</f>
        <v>#VALUE!</v>
      </c>
      <c r="CW211" s="1316" t="e">
        <f aca="false">IF(OR($BQ211,$BS211),SpreadOptPowerMargin,0)*((1+Assumptions!$C$26)^($B211-YEAR(Assumptions!$C$17)))</f>
        <v>#VALUE!</v>
      </c>
      <c r="CX211" s="1316" t="e">
        <f aca="false">IF(OR($BQ211,$BS211),SpreadOptPowerMargin,0)*((1+Assumptions!$C$26)^($B211-YEAR(Assumptions!$C$17)))</f>
        <v>#VALUE!</v>
      </c>
      <c r="CY211" s="1316" t="e">
        <f aca="false">IF(OR($BQ211,$BS211),SpreadOptPowerMargin,0)*((1+Assumptions!$C$26)^($B211-YEAR(Assumptions!$C$17)))</f>
        <v>#VALUE!</v>
      </c>
      <c r="CZ211" s="1316" t="e">
        <f aca="false">IF(OR($BQ211,$BS211),SpreadOptPowerMargin,0)*((1+Assumptions!$C$26)^($B211-YEAR(Assumptions!$C$17)))</f>
        <v>#VALUE!</v>
      </c>
      <c r="DA211" s="1591" t="e">
        <f aca="false">IF(OR(BQ211,BS211),(CW211*(AZ211+BH211)+CX211*(BA211+BI211)+CY211*(BB211+BJ211)+CZ211*(BC211+BK211))/(BQ211+BS211),0)</f>
        <v>#VALUE!</v>
      </c>
      <c r="DB211" s="1592" t="e">
        <f aca="false">IF(OR(BQ211,BS211),CG211+IF(OVolSmile,VLOOKUP(MAX(-5,CO211+CW211-BU211),IF(OVolSmile=1,VolSmileBook,VolSmileModel),2),0),"")</f>
        <v>#VALUE!</v>
      </c>
      <c r="DC211" s="1592" t="e">
        <f aca="false">IF(OR(BQ211,BS211),CH211+IF(OVolSmile,VLOOKUP(MAX(-5,CP211+CW211-BV211),IF(OVolSmile=1,VolSmileBook,VolSmileModel),2),0),"")</f>
        <v>#VALUE!</v>
      </c>
      <c r="DD211" s="1592" t="e">
        <f aca="false">IF(OR(BQ211,BS211),CI211+IF(OVolSmile,VLOOKUP(MAX(-5,CQ211+CW211-BW211),IF(OVolSmile=1,VolSmileBook,VolSmileModel),2),0),"")</f>
        <v>#VALUE!</v>
      </c>
      <c r="DE211" s="1592" t="e">
        <f aca="false">IF(OR(BQ211,BS211),CL211+IF(OVolSmile,VLOOKUP(MAX(-5,CR211+CZ211-BX211),IF(OVolSmile=1,VolSmileBook,VolSmileModel),2),0),"")</f>
        <v>#VALUE!</v>
      </c>
      <c r="DF211" s="1592" t="e">
        <f aca="false">IF(BQ211,CM211+IF(OVolSmile,VLOOKUP(MAX(-5,CS211+DA211-BZ211),IF(OVolSmile=1,VolSmileBook,VolSmileModel),2),0),"")</f>
        <v>#VALUE!</v>
      </c>
      <c r="DG211" s="1593" t="e">
        <f aca="false">IF(BS211,CN211+IF(OVolSmile,VLOOKUP(MAX(-5,CT211+DA211-CF211),IF(OVolSmile=1,VolSmileBook,VolSmileModel),2),0),"")</f>
        <v>#VALUE!</v>
      </c>
      <c r="DH211" s="1316" t="e">
        <f aca="false">IF(AND(BU211&gt;0,CO211&gt;0,DB211&gt;0,CU211&gt;0),newSPRDOPT(BU211,CO211,CW211,0,DB211,CU211,CV211,BT211*365.25,OCallPut,0),0)</f>
        <v>#VALUE!</v>
      </c>
      <c r="DI211" s="1316" t="e">
        <f aca="false">IF(AND(BV211&gt;0,CP211&gt;0,DC211&gt;0,CU211&gt;0),newSPRDOPT(BV211,CP211,CX211,0,DC211,CU211,CV211,BT211*365.25,OCallPut,0),0)</f>
        <v>#VALUE!</v>
      </c>
      <c r="DJ211" s="1316" t="e">
        <f aca="false">IF(AND(BW211&gt;0,CQ211&gt;0,DD211&gt;0,CU211&gt;0),newSPRDOPT(BW211,CQ211,CY211,0,DD211,CU211,CV211,BT211*365.25,OCallPut,0),0)</f>
        <v>#VALUE!</v>
      </c>
      <c r="DK211" s="1316" t="e">
        <f aca="false">IF(AND(BX211&gt;0,CR211&gt;0,DE211&gt;0,CU211&gt;0),newSPRDOPT(BX211,CR211,CZ211,0,DE211,CU211,CV211,BT211*365.25,OCallPut,0),0)</f>
        <v>#VALUE!</v>
      </c>
      <c r="DL211" s="1316" t="e">
        <f aca="false">IF(OVolType,IF(AND(BZ211&gt;0,CS211&gt;0,DF211&gt;0,CU211&gt;0),newSPRDOPT(BZ211,CS211,DA211,0,DF211,CU211,CV211,BT211*365.25,OCallPut,0),0),IF(BQ211,(DH211*AZ211+DI211*BA211+DJ211*BB211+DK211*BC211)/BQ211,0))</f>
        <v>#VALUE!</v>
      </c>
      <c r="DM211" s="1316"/>
      <c r="DN211" s="1316"/>
      <c r="DO211" s="1316"/>
      <c r="DP211" s="1316"/>
      <c r="DQ211" s="1316"/>
      <c r="DR211" s="1316"/>
      <c r="DS211" s="1316"/>
      <c r="DT211" s="1316"/>
      <c r="DU211" s="1316"/>
      <c r="DV211" s="1316"/>
      <c r="DW211" s="1594" t="e">
        <f aca="false">IF(AND(BW211&gt;0,CT211&gt;0,DD211&gt;0,CU211&gt;0),newSPRDOPT(BW211,CT211,CY211,0,DD211,CU211,CV211,BT211*365.25,OCallPut,0),0)</f>
        <v>#VALUE!</v>
      </c>
      <c r="DX211" s="1316" t="e">
        <f aca="false">IF(AND(BX211&gt;0,CT211&gt;0,DE211&gt;0,CU211&gt;0),newSPRDOPT(BX211,CT211,CZ211,0,DE211,CU211,CV211,BT211*365.25,OCallPut,0),0)</f>
        <v>#VALUE!</v>
      </c>
      <c r="DY211" s="1591" t="e">
        <f aca="false">IF(BS211,(DH211*BH211+DI211*BI211+DW211*BJ211+DX211*BK211)/BS211,0)</f>
        <v>#VALUE!</v>
      </c>
      <c r="DZ211" s="1551" t="e">
        <f aca="false">DH211*AZ211</f>
        <v>#VALUE!</v>
      </c>
      <c r="EA211" s="1551" t="e">
        <f aca="false">DI211*BA211</f>
        <v>#VALUE!</v>
      </c>
      <c r="EB211" s="1551" t="e">
        <f aca="false">DJ211*BB211</f>
        <v>#VALUE!</v>
      </c>
      <c r="EC211" s="1551" t="e">
        <f aca="false">DK211*BC211</f>
        <v>#VALUE!</v>
      </c>
      <c r="ED211" s="1551" t="e">
        <f aca="false">DL211*BQ211</f>
        <v>#VALUE!</v>
      </c>
      <c r="EE211" s="1595" t="e">
        <f aca="false">IF(BQ211,IF(OCallPut,IF(BU211&gt;(CO211+CW211),BU211-(CO211+CW211),0),IF((CO211+CW211)&gt;BU211,(CO211+CW211)-BU211,0))*AZ211,0)</f>
        <v>#VALUE!</v>
      </c>
      <c r="EF211" s="1596" t="e">
        <f aca="false">IF(BQ211,IF(OCallPut,IF(BV211&gt;(CP211+CX211),BV211-(CP211+CX211),0),IF((CP211+CX211)&gt;BV211,(CP211+CX211)-BV211,0))*BA211,0)</f>
        <v>#VALUE!</v>
      </c>
      <c r="EG211" s="1596" t="e">
        <f aca="false">IF(BQ211,IF(OCallPut,IF(BW211&gt;(CQ211+CY211),BW211-(CQ211+CY211),0),IF((CQ211+CY211)&gt;BW211,(CQ211+CY211)-BW211,0))*BB211,0)</f>
        <v>#VALUE!</v>
      </c>
      <c r="EH211" s="1596" t="e">
        <f aca="false">IF(BQ211,IF(OCallPut,IF(BX211&gt;(CR211+CZ211),BX211-(CR211+CZ211),0),IF((CR211+CZ211)&gt;BX211,(CR211+CZ211)-BX211,0))*BC211,0)</f>
        <v>#VALUE!</v>
      </c>
      <c r="EI211" s="1597" t="e">
        <f aca="false">IF(BQ211,IF(OVolType,IF(OCallPut,IF(BZ211&gt;(CS211+DA211),BZ211-(CS211+DA211),0),IF((CS211+DA211)&gt;BZ211,(CS211+DA211)-BZ211,0))*BQ211,SUM(EE211:EH211)),0)</f>
        <v>#VALUE!</v>
      </c>
      <c r="EJ211" s="1595" t="e">
        <f aca="false">DZ211-EE211</f>
        <v>#VALUE!</v>
      </c>
      <c r="EK211" s="1596" t="e">
        <f aca="false">EA211-EF211</f>
        <v>#VALUE!</v>
      </c>
      <c r="EL211" s="1596" t="e">
        <f aca="false">EB211-EG211</f>
        <v>#VALUE!</v>
      </c>
      <c r="EM211" s="1596" t="e">
        <f aca="false">EC211-EH211</f>
        <v>#VALUE!</v>
      </c>
      <c r="EN211" s="1597" t="e">
        <f aca="false">ED211-EI211</f>
        <v>#VALUE!</v>
      </c>
      <c r="EO211" s="1551" t="e">
        <f aca="false">DH211*BH211</f>
        <v>#VALUE!</v>
      </c>
      <c r="EP211" s="1551" t="e">
        <f aca="false">DI211*BI211</f>
        <v>#VALUE!</v>
      </c>
      <c r="EQ211" s="1551" t="e">
        <f aca="false">DW211*BJ211</f>
        <v>#VALUE!</v>
      </c>
      <c r="ER211" s="1551" t="e">
        <f aca="false">DX211*BK211</f>
        <v>#VALUE!</v>
      </c>
      <c r="ES211" s="1551" t="e">
        <f aca="false">DY211*BS211</f>
        <v>#VALUE!</v>
      </c>
      <c r="ET211" s="1566" t="e">
        <f aca="false">IF(EI211,IF(OCallPut,IF(CA211&gt;(CT211+CW211),CA211-(CT211+CW211),0),IF((CT211+CW211)&gt;CA211,(CT211+CW211)-CA211,0))*BH211,0)</f>
        <v>#VALUE!</v>
      </c>
      <c r="EU211" s="1551" t="e">
        <f aca="false">IF(EI211,IF(OCallPut,IF(CB211&gt;(CT211+CX211),CB211-(CT211+CX211),0),IF((CT211+CX211)&gt;CB211,(CT211+CX211)-CB211,0))*BI211,0)</f>
        <v>#VALUE!</v>
      </c>
      <c r="EV211" s="1551" t="e">
        <f aca="false">IF(EI211,IF(OCallPut,IF(CC211&gt;(CT211+CY211),CC211-(CT211+CY211),0),IF((CT211+CY211)&gt;CC211,(CT211+CY211)-CC211,0))*BJ211,0)</f>
        <v>#VALUE!</v>
      </c>
      <c r="EW211" s="1551" t="e">
        <f aca="false">IF(EI211,IF(OCallPut,IF(CD211&gt;(CT211+CZ211),CD211-(CT211+CZ211),0),IF((CT211+CZ211)&gt;CD211,(CT211+CZ211)-CD211,0))*BK211,0)</f>
        <v>#VALUE!</v>
      </c>
      <c r="EX211" s="1558" t="e">
        <f aca="false">IF(EI211,SUM(ET211:EW211),0)</f>
        <v>#VALUE!</v>
      </c>
      <c r="EY211" s="1551" t="e">
        <f aca="false">EO211-ET211</f>
        <v>#VALUE!</v>
      </c>
      <c r="EZ211" s="1551" t="e">
        <f aca="false">EP211-EU211</f>
        <v>#VALUE!</v>
      </c>
      <c r="FA211" s="1551" t="e">
        <f aca="false">EQ211-EV211</f>
        <v>#VALUE!</v>
      </c>
      <c r="FB211" s="1551" t="e">
        <f aca="false">ER211-EW211</f>
        <v>#VALUE!</v>
      </c>
      <c r="FC211" s="1551" t="e">
        <f aca="false">ES211-EX211</f>
        <v>#VALUE!</v>
      </c>
      <c r="FD211" s="1525" t="n">
        <f aca="false">IF(AX211,IF(VLOOKUP(C211,MAIN!$L$17:$M$28,2)="Yes",VLOOKUP(CALC!B211,MAIN!$H$17:$I$20,2),0),0)</f>
        <v>0</v>
      </c>
      <c r="FE211" s="1552" t="e">
        <f aca="false">$FD211*16*AT211*(1-$AY211)</f>
        <v>#VALUE!</v>
      </c>
      <c r="FF211" s="1553" t="e">
        <f aca="false">$FD211*16*AU211*(1-$AY211)</f>
        <v>#VALUE!</v>
      </c>
      <c r="FG211" s="1553" t="e">
        <f aca="false">$FD211*16*(AV211+AW211)*(1-$AY211)</f>
        <v>#VALUE!</v>
      </c>
      <c r="FH211" s="1554" t="n">
        <f aca="false">$FD211*8*AX211*(1-$AY211)</f>
        <v>0</v>
      </c>
      <c r="FI211" s="1555" t="n">
        <f aca="false">IF(AX211,VLOOKUP(CALC!B211,MAIN!$H$17:$K$20,4),0)</f>
        <v>0</v>
      </c>
      <c r="FJ211" s="1553" t="e">
        <f aca="false">SUM(FE211:FH211)</f>
        <v>#VALUE!</v>
      </c>
      <c r="FK211" s="1556" t="e">
        <f aca="false">FI211*FJ211</f>
        <v>#VALUE!</v>
      </c>
      <c r="FL211" s="1551" t="e">
        <f aca="false">IF($EI211&gt;0,MIN(FE211,AZ211*(1+VLOOKUP($C211,WeatherCapacityAdjustment,2))),0)</f>
        <v>#VALUE!</v>
      </c>
      <c r="FM211" s="1551" t="e">
        <f aca="false">IF($EI211&gt;0,MIN(FF211,BA211*(1+VLOOKUP($C211,WeatherCapacityAdjustment,2))),0)</f>
        <v>#VALUE!</v>
      </c>
      <c r="FN211" s="1551" t="e">
        <f aca="false">IF($EI211&gt;0,MIN(FG211,BB211*(1+VLOOKUP($C211,WeatherCapacityAdjustment,2))),0)</f>
        <v>#VALUE!</v>
      </c>
      <c r="FO211" s="1564" t="e">
        <f aca="false">IF($EI211&gt;0,MIN(FH211,BC211*(1+VLOOKUP($C211,WeatherCapacityAdjustment,3))),0)</f>
        <v>#VALUE!</v>
      </c>
      <c r="FP211" s="1551" t="e">
        <f aca="false">IF(ET211&gt;0,MIN(FE211-FL211,BH211*(1+VLOOKUP($C211,WeatherCapacityAdjustment,2))),0)</f>
        <v>#VALUE!</v>
      </c>
      <c r="FQ211" s="1551" t="e">
        <f aca="false">IF(EU211&gt;0,MIN(FF211-FM211,BI211*(1+VLOOKUP($C211,WeatherCapacityAdjustment,2))),0)</f>
        <v>#VALUE!</v>
      </c>
      <c r="FR211" s="1551" t="e">
        <f aca="false">IF(EV211&gt;0,MIN(FG211-FN211,BJ211*(1+VLOOKUP($C211,WeatherCapacityAdjustment,2))),0)</f>
        <v>#VALUE!</v>
      </c>
      <c r="FS211" s="1558" t="e">
        <f aca="false">IF(EW211&gt;0,MIN(FH211-FO211,BK211*(1+VLOOKUP($C211,WeatherCapacityAdjustment,3))),0)</f>
        <v>#VALUE!</v>
      </c>
      <c r="FT211" s="1566" t="e">
        <f aca="false">IF(AND(Assumptions!$H$71="Yes",A211&gt;=Assumptions!$H$72,A211&lt;=Assumptions!$H$73),0,IF(AND($A211&gt;=Assumptions!$C$17,$A211&lt;=Assumptions!$C$18),MAX(AZ211*(1+VLOOKUP($C211,WeatherCapacityAdjustment,2))-FL211,0),0))</f>
        <v>#VALUE!</v>
      </c>
      <c r="FU211" s="1551" t="e">
        <f aca="false">IF(AND(Assumptions!$H$71="Yes",A211&gt;=Assumptions!$H$72,A211&lt;=Assumptions!$H$73),0,IF(AND($A211&gt;=Assumptions!$C$17,$A211&lt;=Assumptions!$C$18),MAX(BA211*(1+VLOOKUP($C211,WeatherCapacityAdjustment,2))-FM211,0),0))</f>
        <v>#VALUE!</v>
      </c>
      <c r="FV211" s="1551" t="e">
        <f aca="false">IF(AND(Assumptions!$H$71="Yes",A211&gt;=Assumptions!$H$72,A211&lt;=Assumptions!$H$73),0,IF(AND($A211&gt;=Assumptions!$C$17,$A211&lt;=Assumptions!$C$18),MAX(BB211*(1+VLOOKUP($C211,WeatherCapacityAdjustment,2))-FN211,0),0))</f>
        <v>#VALUE!</v>
      </c>
      <c r="FW211" s="1564" t="e">
        <f aca="false">IF(AND(Assumptions!$H$71="Yes",A211&gt;=Assumptions!$H$72,A211&lt;=Assumptions!$H$73),0,IF(AND($A211&gt;=Assumptions!$C$17,$A211&lt;=Assumptions!$C$18),MAX(BC211*(1+VLOOKUP($C211,WeatherCapacityAdjustment,3))-FO211,0),0))</f>
        <v>#VALUE!</v>
      </c>
      <c r="FX211" s="1569" t="e">
        <f aca="false">IF(AND(Assumptions!$H$71="Yes",A211&gt;=Assumptions!$H$72,A211&lt;=Assumptions!$H$73),0,IF(ET211&gt;0,MAX(BH211*(1+VLOOKUP($C211,WeatherCapacityAdjustment,2))-FP211,0),0))</f>
        <v>#VALUE!</v>
      </c>
      <c r="FY211" s="1551" t="e">
        <f aca="false">IF(AND(Assumptions!$H$71="Yes",A211&gt;=Assumptions!$H$72,A211&lt;=Assumptions!$H$73),0,IF(EU211&gt;0,MAX(BI211*(1+VLOOKUP($C211,WeatherCapacityAdjustment,3))-FQ211,0),0))</f>
        <v>#VALUE!</v>
      </c>
      <c r="FZ211" s="1551" t="e">
        <f aca="false">IF(AND(Assumptions!$H$71="Yes",A211&gt;=Assumptions!$H$72,A211&lt;=Assumptions!$H$73),0,IF(EV211&gt;0,MAX(BJ211*(1+VLOOKUP($C211,WeatherCapacityAdjustment,2))-FR211,0),0))</f>
        <v>#VALUE!</v>
      </c>
      <c r="GA211" s="1564" t="e">
        <f aca="false">IF(AND(Assumptions!$H$71="Yes",A211&gt;=Assumptions!$H$72,A211&lt;=Assumptions!$H$73),0,IF(EW211&gt;0,MAX(BK211*(1+VLOOKUP($C211,WeatherCapacityAdjustment,2))-FS211,0),0))</f>
        <v>#VALUE!</v>
      </c>
      <c r="GB211" s="1551" t="e">
        <f aca="false">SUM(FT211:GA211)</f>
        <v>#VALUE!</v>
      </c>
      <c r="GC211" s="1563" t="e">
        <f aca="false">+IF(SUM(FT211:GA211)=0,0,(SUMPRODUCT(BU211:BX211,FT211:FW211)+SUMPRODUCT(CA211:CD211,FX211:GA211))/SUM(FT211:GA211))</f>
        <v>#VALUE!</v>
      </c>
      <c r="GD211" s="1551" t="e">
        <f aca="false">(FT211*BU211+FX211*CA211+FU211*BV211+FY211*CB211+FV211*BW211+FZ211*CC211+FW211*BX211+GA211*CD211)</f>
        <v>#VALUE!</v>
      </c>
      <c r="GE211" s="1561" t="e">
        <f aca="false">+IF(BQ211,((FL211+FM211+FT211+FU211)*HeatRatePeak/1000*(1+VLOOKUP($C211,WeatherHeatRateAdjustment,2))+(FN211+FV211)*IF(EV211&gt;0,HeatRatePeak,HeatRateOffPeak)/1000*(1+VLOOKUP($C211,WeatherHeatRateAdjustment,2))+(FO211+FW211)*IF(EW211&gt;0,HeatRatePeak,HeatRateOffPeak)/1000*(1+VLOOKUP($C211,WeatherHeatRateAdjustment,3)))*(1+VLOOKUP($B211,HeatRateDegradation,$C211+1)),0)</f>
        <v>#VALUE!</v>
      </c>
      <c r="GF211" s="1562" t="e">
        <f aca="false">IF(BQ211,((FP211+FQ211+FR211+FX211+FY211+FZ211)*HeatRatePeak/1000*(1+VLOOKUP($C211,WeatherHeatRateAdjustment,2))+(FS211+GA211)*HeatRatePeak/1000*(1+VLOOKUP($C211,WeatherHeatRateAdjustment,3)))*(1+VLOOKUP($B211,HeatRateDegradation,$C211+1)),0)</f>
        <v>#VALUE!</v>
      </c>
      <c r="GG211" s="1563" t="e">
        <f aca="false">IF(BQ211,VLOOKUP(A211,GasTable,13),0)</f>
        <v>#VALUE!</v>
      </c>
      <c r="GH211" s="1564" t="e">
        <f aca="false">(GE211+GF211)*GG211</f>
        <v>#VALUE!</v>
      </c>
      <c r="GI211" s="1569" t="e">
        <f aca="false">GB211</f>
        <v>#VALUE!</v>
      </c>
      <c r="GJ211" s="1598" t="e">
        <f aca="false">+DA211</f>
        <v>#VALUE!</v>
      </c>
      <c r="GK211" s="1558" t="e">
        <f aca="false">+GI211*GJ211</f>
        <v>#VALUE!</v>
      </c>
      <c r="GL211" s="1566" t="e">
        <f aca="false">MAX(FE211-FL211-FP211,0)</f>
        <v>#VALUE!</v>
      </c>
      <c r="GM211" s="1551" t="e">
        <f aca="false">MAX(FF211-FM211-FQ211,0)</f>
        <v>#VALUE!</v>
      </c>
      <c r="GN211" s="1551" t="e">
        <f aca="false">MAX(FG211-FN211-FR211,0)</f>
        <v>#VALUE!</v>
      </c>
      <c r="GO211" s="1564" t="e">
        <f aca="false">MAX(FH211-FO211-FS211,0)</f>
        <v>#VALUE!</v>
      </c>
      <c r="GP211" s="1551" t="e">
        <f aca="false">SUM(GL211:GO211)</f>
        <v>#VALUE!</v>
      </c>
      <c r="GQ211" s="1563" t="e">
        <f aca="false">IF(SUM(GL211:GO211)=0,0,((GL211*BU211+GM211*BV211+GN211*BW211+GO211*BX211)/SUM(GL211:GO211)))</f>
        <v>#VALUE!</v>
      </c>
      <c r="GR211" s="1558" t="e">
        <f aca="false">(GL211*BU211+GM211*BV211+GN211*BW211+GO211*BX211)</f>
        <v>#VALUE!</v>
      </c>
      <c r="GS211" s="1566" t="n">
        <f aca="false">IF($A211&gt;=BegDate,Assumptions!$C$56*24*($A212-$A211)*(1-VLOOKUP($B211,MAIN!$AA$7:$AM$28,$C211+1))*(1-VLOOKUP($B211,MAIN!$AA$33:$AM$54,$C211+1)),0)*80/168</f>
        <v>257742.857142857</v>
      </c>
      <c r="GT211" s="286" t="n">
        <f aca="false">J211</f>
        <v>64.9039353509791</v>
      </c>
      <c r="GU211" s="286" t="n">
        <f aca="false">IF($A211&gt;=BegDate,VLOOKUP($A211,GasTable,13)+Assumptions!$C$58,0)</f>
        <v>3.27695518024347</v>
      </c>
      <c r="GV211" s="286" t="n">
        <f aca="false">GU211*Assumptions!$C$57/1000</f>
        <v>23.7579250567651</v>
      </c>
      <c r="GW211" s="1558" t="n">
        <f aca="false">IF(Assumptions!$C$60="Hourly",MAX(0,GS211*(GT211-GV211)),GS211*(GT211-GV211))</f>
        <v>10605090.2532601</v>
      </c>
      <c r="GX211" s="1566" t="n">
        <f aca="false">IF($A211&gt;=BegDate,Assumptions!$C$56*24*($A212-$A211)*(1-VLOOKUP($B211,MAIN!$AA$7:$AM$28,$C211+1))*(1-VLOOKUP($B211,MAIN!$AA$33:$AM$54,$C211+1)),0)*16/168</f>
        <v>51548.5714285714</v>
      </c>
      <c r="GY211" s="286" t="n">
        <f aca="false">M211</f>
        <v>64.9039353509791</v>
      </c>
      <c r="GZ211" s="286" t="n">
        <f aca="false">IF($A211&gt;=BegDate,VLOOKUP($A211,GasTable,13)+Assumptions!$C$58,0)</f>
        <v>3.27695518024347</v>
      </c>
      <c r="HA211" s="286" t="n">
        <f aca="false">GZ211*Assumptions!$C$57/1000</f>
        <v>23.7579250567651</v>
      </c>
      <c r="HB211" s="1558" t="n">
        <f aca="false">IF(Assumptions!$C$60="Hourly",MAX(0,GX211*(GY211-HA211)),GX211*(GY211-HA211))</f>
        <v>2121018.05065202</v>
      </c>
      <c r="HC211" s="1566" t="n">
        <f aca="false">IF($A211&gt;=BegDate,Assumptions!$C$56*24*($A212-$A211)*(1-VLOOKUP($B211,MAIN!$AA$7:$AM$28,$C211+1))*(1-VLOOKUP($B211,MAIN!$AA$33:$AM$54,$C211+1)),0)*16/168</f>
        <v>51548.5714285714</v>
      </c>
      <c r="HD211" s="286" t="n">
        <f aca="false">P211</f>
        <v>32.5407869106089</v>
      </c>
      <c r="HE211" s="286" t="n">
        <f aca="false">IF($A211&gt;=BegDate,VLOOKUP($A211,GasTable,13)+Assumptions!$C$58,0)</f>
        <v>3.27695518024347</v>
      </c>
      <c r="HF211" s="286" t="n">
        <f aca="false">HE211*Assumptions!$C$57/1000</f>
        <v>23.7579250567651</v>
      </c>
      <c r="HG211" s="1558" t="n">
        <f aca="false">IF(Assumptions!$C$60="Hourly",MAX(0,HC211*(HD211-HF211)),HC211*(HD211-HF211))</f>
        <v>452743.98162014</v>
      </c>
      <c r="HH211" s="1566" t="n">
        <f aca="false">IF($A211&gt;=BegDate,Assumptions!$C$56*24*($A212-$A211)*(1-VLOOKUP($B211,MAIN!$AA$7:$AM$28,$C211+1))*(1-VLOOKUP($B211,MAIN!$AA$33:$AM$54,$C211+1)),0)*56/168</f>
        <v>180420</v>
      </c>
      <c r="HI211" s="286" t="n">
        <f aca="false">S211</f>
        <v>32.5407869106089</v>
      </c>
      <c r="HJ211" s="286" t="n">
        <f aca="false">IF($A211&gt;=BegDate,VLOOKUP($A211,GasTable,13)+Assumptions!$C$58,0)</f>
        <v>3.27695518024347</v>
      </c>
      <c r="HK211" s="286" t="n">
        <f aca="false">HJ211*Assumptions!$C$57/1000</f>
        <v>23.7579250567651</v>
      </c>
      <c r="HL211" s="1558" t="n">
        <f aca="false">IF(Assumptions!$C$60="Hourly",MAX(0,HH211*(HI211-HK211)),HH211*(HI211-HK211))</f>
        <v>1584603.93567049</v>
      </c>
      <c r="HM211" s="1566" t="n">
        <f aca="false">IF(AND(Assumptions!$H$71="Yes",A211&gt;=Assumptions!$H$72,A211&lt;=Assumptions!$H$73),Assumptions!$H$74*Assumptions!$C$9*1000,0)</f>
        <v>0</v>
      </c>
      <c r="HN211" s="1551"/>
      <c r="HO211" s="1563"/>
      <c r="HP211" s="1563"/>
      <c r="HQ211" s="1563"/>
      <c r="HR211" s="1563"/>
      <c r="HS211" s="1563"/>
      <c r="HT211" s="1563"/>
      <c r="HU211" s="1563"/>
      <c r="HV211" s="1563"/>
      <c r="HW211" s="1563"/>
      <c r="HX211" s="1563"/>
      <c r="HY211" s="1563"/>
      <c r="HZ211" s="1563"/>
      <c r="IA211" s="1563"/>
      <c r="IB211" s="1563"/>
      <c r="IC211" s="1563"/>
      <c r="ID211" s="1563"/>
      <c r="IE211" s="1563"/>
      <c r="IF211" s="1563"/>
      <c r="IG211" s="1563"/>
      <c r="IH211" s="1563"/>
      <c r="II211" s="1610"/>
      <c r="IJ211" s="1309"/>
      <c r="IK211" s="1309"/>
    </row>
    <row r="212" customFormat="false" ht="12.75" hidden="false" customHeight="false" outlineLevel="0" collapsed="false">
      <c r="A212" s="1571" t="n">
        <f aca="false">EOMONTH(A211,0)+1</f>
        <v>42583</v>
      </c>
      <c r="B212" s="594" t="n">
        <f aca="false">+YEAR(A212)</f>
        <v>2016</v>
      </c>
      <c r="C212" s="238" t="n">
        <f aca="false">MONTH(A212)</f>
        <v>8</v>
      </c>
      <c r="D212" s="1572" t="e">
        <f aca="false">IF(E212="","",Holiday(B212,C212))</f>
        <v>#VALUE!</v>
      </c>
      <c r="E212" s="1573" t="n">
        <f aca="false">IF(OR(BegDate&gt;=A213,EndDate&lt;A212,AND(VolumeMonthlyOverFlag,INDEX(VolumeMonthlyOver,C212)=0),NOT(INDEX(MonthKnockOutTable,C212))),"",MAX(A212,BegDate))</f>
        <v>42583</v>
      </c>
      <c r="F212" s="1574" t="n">
        <f aca="false">IF(E212="","",MIN(A213-1,EndDate))</f>
        <v>42613</v>
      </c>
      <c r="G212" s="1575" t="n">
        <v>0</v>
      </c>
      <c r="H212" s="1576" t="n">
        <f aca="false">(1+G212/2)^(-2*(DATE(B213,C213,20)-DateToday)/365.25)</f>
        <v>1</v>
      </c>
      <c r="I212" s="1568" t="n">
        <f aca="false">IF(Assumptions!$L$25=4,VLOOKUP($A212,'Henwood Reference'!$E$9:$R$320,10),(VLOOKUP($A212,PriceTable,2,0)+IF(BasisNumber&lt;&gt;1,VLOOKUP($A212,BasisTable,2,0),0)+I$1)/(1-I$2))</f>
        <v>106.037948939744</v>
      </c>
      <c r="J212" s="1568" t="n">
        <f aca="false">IF(Assumptions!$L$25=4,VLOOKUP($A212,'Henwood Reference'!$E$9:$R$320,10),(VLOOKUP($A212,PriceTable,3,0)+IF(BasisNumber&lt;&gt;1,VLOOKUP($A212,BasisTable,2,0),0)+J$1)/(1-J$2))</f>
        <v>106.037948939744</v>
      </c>
      <c r="K212" s="1568" t="n">
        <f aca="false">IF(Assumptions!$L$25=4,VLOOKUP($A212,'Henwood Reference'!$E$9:$R$320,10),(VLOOKUP($A212,PriceTable,4,0)+IF(BasisNumber&lt;&gt;1,VLOOKUP($A212,BasisTable,2,0),0)+K$1)/(1-K$2))</f>
        <v>106.037948939744</v>
      </c>
      <c r="L212" s="1523" t="n">
        <f aca="false">IF(Assumptions!$L$25=4,VLOOKUP($A212,'Henwood Reference'!$E$9:$R$320,10),(VLOOKUP($A212,PriceTableWeekend,2,0)+IF(BasisNumber&lt;&gt;1,VLOOKUP($A212,BasisTable,2,0),0)+L$1)/(1-L$2))</f>
        <v>106.037948939744</v>
      </c>
      <c r="M212" s="1568" t="n">
        <f aca="false">IF(Assumptions!$L$25=4,VLOOKUP($A212,'Henwood Reference'!$E$9:$R$320,10),(VLOOKUP($A212,PriceTableWeekend,3,0)+IF(BasisNumber&lt;&gt;1,VLOOKUP($A212,BasisTable,2,0),0)+M$1)/(1-M$2))</f>
        <v>106.037948939744</v>
      </c>
      <c r="N212" s="1599" t="n">
        <f aca="false">IF(Assumptions!$L$25=4,VLOOKUP($A212,'Henwood Reference'!$E$9:$R$320,10),(VLOOKUP($A212,PriceTableWeekend,4,0)+IF(BasisNumber&lt;&gt;1,VLOOKUP($A212,BasisTable,2,0),0)+N$1)/(1-N$2))</f>
        <v>106.037948939744</v>
      </c>
      <c r="O212" s="1568" t="n">
        <f aca="false">IF(Assumptions!$L$25=4,VLOOKUP($A212,'Henwood Reference'!$E$9:$R$320,11),(VLOOKUP($A212,PriceTableWeekend,6,0)+IF(BasisNumber&lt;&gt;1,VLOOKUP($A212,BasisTable,3,0),0)+O$1)/(1-O$2))</f>
        <v>36.8461174389141</v>
      </c>
      <c r="P212" s="1568" t="n">
        <f aca="false">IF(Assumptions!$L$25=4,VLOOKUP($A212,'Henwood Reference'!$E$9:$R$320,11),(VLOOKUP($A212,PriceTableWeekend,7,0)+IF(BasisNumber&lt;&gt;1,VLOOKUP($A212,BasisTable,3,0),0)+P$1)/(1-P$2))</f>
        <v>36.8461174389141</v>
      </c>
      <c r="Q212" s="1599" t="n">
        <f aca="false">IF(Assumptions!$L$25=4,VLOOKUP($A212,'Henwood Reference'!$E$9:$R$320,11),(VLOOKUP($A212,PriceTableWeekend,8,0)+IF(BasisNumber&lt;&gt;1,VLOOKUP($A212,BasisTable,3,0),0)+Q$1)/(1-Q$2))</f>
        <v>36.8461174389141</v>
      </c>
      <c r="R212" s="1568" t="n">
        <f aca="false">IF(Assumptions!$L$25=4,VLOOKUP($A212,'Henwood Reference'!$E$9:$R$320,11),(VLOOKUP($A212,PriceTable,6,0)+IF(BasisNumber&lt;&gt;1,VLOOKUP($A212,BasisTable,3,0),0)+R$1)/(1-R$2))</f>
        <v>36.8461174389141</v>
      </c>
      <c r="S212" s="1568" t="n">
        <f aca="false">IF(Assumptions!$L$25=4,VLOOKUP($A212,'Henwood Reference'!$E$9:$R$320,11),(VLOOKUP($A212,PriceTable,7,0)+IF(BasisNumber&lt;&gt;1,VLOOKUP($A212,BasisTable,3,0),0)+S$1)/(1-S$2))</f>
        <v>36.8461174389141</v>
      </c>
      <c r="T212" s="1600" t="n">
        <f aca="false">IF(Assumptions!$L$25=4,VLOOKUP($A212,'Henwood Reference'!$E$9:$R$320,11),(VLOOKUP($A212,PriceTable,8,0)+IF(BasisNumber&lt;&gt;1,VLOOKUP($A212,BasisTable,3,0),0)+T$1)/(1-T$2))</f>
        <v>36.8461174389141</v>
      </c>
      <c r="U212" s="1513" t="n">
        <f aca="false">VLOOKUP($A212,VolatilityTable,14)</f>
        <v>0.09</v>
      </c>
      <c r="V212" s="1513" t="n">
        <f aca="false">VLOOKUP($A212,VolatilityTable,15)</f>
        <v>0.1</v>
      </c>
      <c r="W212" s="1514" t="n">
        <f aca="false">VLOOKUP($A212,VolatilityTable,16)</f>
        <v>0.11</v>
      </c>
      <c r="X212" s="1513" t="n">
        <f aca="false">VLOOKUP($A212,VolatilityTable,14)</f>
        <v>0.09</v>
      </c>
      <c r="Y212" s="1513" t="n">
        <f aca="false">VLOOKUP($A212,VolatilityTable,15)</f>
        <v>0.1</v>
      </c>
      <c r="Z212" s="1514" t="n">
        <f aca="false">VLOOKUP($A212,VolatilityTable,16)</f>
        <v>0.11</v>
      </c>
      <c r="AA212" s="1513" t="n">
        <f aca="false">VLOOKUP($A212,VolatilityTable,18)</f>
        <v>0.09</v>
      </c>
      <c r="AB212" s="1513" t="n">
        <f aca="false">VLOOKUP($A212,VolatilityTable,19)</f>
        <v>0.11</v>
      </c>
      <c r="AC212" s="1514" t="n">
        <f aca="false">VLOOKUP($A212,VolatilityTable,20)</f>
        <v>0.13</v>
      </c>
      <c r="AD212" s="1513" t="n">
        <f aca="false">VLOOKUP($A212,VolatilityTable,18)</f>
        <v>0.09</v>
      </c>
      <c r="AE212" s="1513" t="n">
        <f aca="false">VLOOKUP($A212,VolatilityTable,19)</f>
        <v>0.11</v>
      </c>
      <c r="AF212" s="1514" t="n">
        <f aca="false">VLOOKUP($A212,VolatilityTable,20)</f>
        <v>0.13</v>
      </c>
      <c r="AG212" s="1513" t="n">
        <f aca="false">VLOOKUP($A212,VolatilityTable,22)</f>
        <v>-0.35</v>
      </c>
      <c r="AH212" s="1513" t="n">
        <f aca="false">VLOOKUP($A212,VolatilityTable,23)</f>
        <v>3</v>
      </c>
      <c r="AI212" s="1514" t="n">
        <f aca="false">VLOOKUP($A212,VolatilityTable,24)</f>
        <v>0.35</v>
      </c>
      <c r="AJ212" s="1513" t="n">
        <f aca="false">VLOOKUP($A212,VolatilityTable,22)</f>
        <v>-0.35</v>
      </c>
      <c r="AK212" s="1513" t="n">
        <f aca="false">VLOOKUP($A212,VolatilityTable,23)</f>
        <v>3</v>
      </c>
      <c r="AL212" s="1514" t="n">
        <f aca="false">VLOOKUP($A212,VolatilityTable,24)</f>
        <v>0.35</v>
      </c>
      <c r="AM212" s="1513" t="n">
        <f aca="false">VLOOKUP($A212,VolatilityTable,26)</f>
        <v>-0.01</v>
      </c>
      <c r="AN212" s="1513" t="n">
        <f aca="false">VLOOKUP($A212,VolatilityTable,27)</f>
        <v>0.16</v>
      </c>
      <c r="AO212" s="1514" t="n">
        <f aca="false">VLOOKUP($A212,VolatilityTable,28)</f>
        <v>0.01</v>
      </c>
      <c r="AP212" s="1513" t="n">
        <f aca="false">VLOOKUP($A212,VolatilityTable,26)</f>
        <v>-0.01</v>
      </c>
      <c r="AQ212" s="1513" t="n">
        <f aca="false">VLOOKUP($A212,VolatilityTable,27)</f>
        <v>0.16</v>
      </c>
      <c r="AR212" s="1515" t="n">
        <f aca="false">VLOOKUP($A212,VolatilityTable,28)</f>
        <v>0.01</v>
      </c>
      <c r="AS212" s="1581" t="n">
        <f aca="false">IF(CorrPeakOffPeakOverFlag,INDEX(CorrPeakOffPeakOver,C212),CorrPeakOffPeak)</f>
        <v>0.5</v>
      </c>
      <c r="AT212" s="594" t="e">
        <f aca="false">AX212-SUM(AU212:AW212)</f>
        <v>#VALUE!</v>
      </c>
      <c r="AU212" s="238" t="e">
        <f aca="false">IF(E212="",0,INT((F212-MOD(F212,7)-E212)/7)+1-IF(AW212,IF(WEEKDAY(D212)=7,1,0),0))</f>
        <v>#VALUE!</v>
      </c>
      <c r="AV212" s="238" t="e">
        <f aca="false">IF(E212="",0,INT((F212-MOD(F212-1,7)-E212)/7)+1-IF(AW212,IF(WEEKDAY(D212)=1,1,0),0))</f>
        <v>#VALUE!</v>
      </c>
      <c r="AW212" s="238" t="e">
        <f aca="false">IF(OR(E212="",D212="",D212&lt;BegDate,D212&gt;EndDate),0,1)</f>
        <v>#VALUE!</v>
      </c>
      <c r="AX212" s="238" t="n">
        <f aca="false">IF(E212="",0,F212-E212+1)</f>
        <v>31</v>
      </c>
      <c r="AY212" s="1582" t="n">
        <f aca="false">IF(E212="",0,MIN((1-(1-VLOOKUP(B212,MAIN!$AA$7:$AM$28,C212+1))*(1-VLOOKUP(B212,MAIN!$AA$33:$AM$54,C212+1))),1))</f>
        <v>0.03</v>
      </c>
      <c r="AZ212" s="1519" t="e">
        <v>#VALUE!</v>
      </c>
      <c r="BA212" s="1520" t="e">
        <v>#VALUE!</v>
      </c>
      <c r="BB212" s="1520" t="e">
        <v>#VALUE!</v>
      </c>
      <c r="BC212" s="1583" t="e">
        <v>#VALUE!</v>
      </c>
      <c r="BD212" s="1522" t="e">
        <v>#VALUE!</v>
      </c>
      <c r="BE212" s="1523" t="e">
        <v>#VALUE!</v>
      </c>
      <c r="BF212" s="1523" t="e">
        <v>#VALUE!</v>
      </c>
      <c r="BG212" s="1584" t="e">
        <v>#VALUE!</v>
      </c>
      <c r="BH212" s="1525" t="e">
        <v>#VALUE!</v>
      </c>
      <c r="BI212" s="1520" t="e">
        <v>#VALUE!</v>
      </c>
      <c r="BJ212" s="1520" t="e">
        <v>#VALUE!</v>
      </c>
      <c r="BK212" s="1583" t="e">
        <v>#VALUE!</v>
      </c>
      <c r="BL212" s="1522" t="e">
        <v>#VALUE!</v>
      </c>
      <c r="BM212" s="1523" t="e">
        <v>#VALUE!</v>
      </c>
      <c r="BN212" s="1523" t="e">
        <v>#VALUE!</v>
      </c>
      <c r="BO212" s="1523" t="e">
        <v>#VALUE!</v>
      </c>
      <c r="BP212" s="1525" t="e">
        <f aca="false">SUM(AZ212:BB212)</f>
        <v>#VALUE!</v>
      </c>
      <c r="BQ212" s="1529" t="e">
        <f aca="false">SUM(AZ212:BC212)</f>
        <v>#VALUE!</v>
      </c>
      <c r="BR212" s="1519" t="e">
        <f aca="false">SUM(BH212:BJ212)</f>
        <v>#VALUE!</v>
      </c>
      <c r="BS212" s="1529" t="e">
        <f aca="false">SUM(BH212:BK212)</f>
        <v>#VALUE!</v>
      </c>
      <c r="BT212" s="1316" t="n">
        <f aca="false">(IF(OVolType&lt;&gt;2,A212+14,IF(OptExpDateShift,ShiftBack(A212,OptExpDateShift,D211),A212))-DateToday)/365.25</f>
        <v>16.2984257357974</v>
      </c>
      <c r="BU212" s="1585" t="e">
        <f aca="false">IF(BQ212,IF(OPriceCurve,IF(OBuySell=OCallPut,I212/(1-AY212),K212/(1-AY212)),J212/(1-AY212))*BD212,0)</f>
        <v>#VALUE!</v>
      </c>
      <c r="BV212" s="1316" t="e">
        <f aca="false">IF(BQ212,IF(OPriceCurve,IF(OBuySell=OCallPut,L212/(1-AY212),N212/(1-AY212)),M212/(1-AY212))*BE212,0)</f>
        <v>#VALUE!</v>
      </c>
      <c r="BW212" s="1316" t="e">
        <f aca="false">IF(BQ212,IF(OPriceCurve,IF(OBuySell=OCallPut,O212/(1-AY212),Q212/(1-AY212)),P212/(1-AY212))*BF212,0)</f>
        <v>#VALUE!</v>
      </c>
      <c r="BX212" s="1316" t="e">
        <f aca="false">IF(BQ212,IF(OPriceCurve,IF(OBuySell=OCallPut,R212/(1-AY212),T212/(1-AY212)),S212/(1-AY212))*BG212,0)</f>
        <v>#VALUE!</v>
      </c>
      <c r="BY212" s="1316" t="e">
        <f aca="false">IF(BP212,(BU212*AZ212+BV212*BA212+BW212*BB212)/BP212,0)</f>
        <v>#VALUE!</v>
      </c>
      <c r="BZ212" s="1316" t="e">
        <f aca="false">IF(BQ212,(BY212*BP212+BX212*BC212)/BQ212,0)</f>
        <v>#VALUE!</v>
      </c>
      <c r="CA212" s="1531" t="e">
        <f aca="false">IF(BS212,IF(OPriceCurve,IF(OBuySell=OCallPut,I212/(1-AY212),K212/(1-AY212)),J212/(1-AY212))*BL212,0)</f>
        <v>#VALUE!</v>
      </c>
      <c r="CB212" s="1316" t="e">
        <f aca="false">IF(BS212,IF(OPriceCurve,IF(OBuySell=OCallPut,L212/(1-AY212),N212/(1-AY212)),M212/(1-AY212))*BM212,0)</f>
        <v>#VALUE!</v>
      </c>
      <c r="CC212" s="1316" t="e">
        <f aca="false">IF(BS212,IF(OPriceCurve,IF(OBuySell=OCallPut,O212/(1-AY212),Q212/(1-AY212)),P212/(1-AY212))*BN212,0)</f>
        <v>#VALUE!</v>
      </c>
      <c r="CD212" s="1316" t="e">
        <f aca="false">IF(BS212,IF(OPriceCurve,IF(OBuySell=OCallPut,R212/(1-AY212),T212/(1-AY212)),S212/(1-AY212))*BO212,0)</f>
        <v>#VALUE!</v>
      </c>
      <c r="CE212" s="1316" t="e">
        <f aca="false">IF(BR212,(BU212*BH212+BV212*BI212+BW212*BJ212)/BR212,0)</f>
        <v>#VALUE!</v>
      </c>
      <c r="CF212" s="1532" t="e">
        <f aca="false">IF(BS212,(CE212*BR212+CD212*BK212)/BS212,0)</f>
        <v>#VALUE!</v>
      </c>
      <c r="CG212" s="1586" t="e">
        <f aca="false">IF(OR(BQ212,BS212),IF(OVolType&lt;&gt;2,SQRT(IF(OVolOverMonthlyPeak,OVolOverMonthlyPeak,IF(OVolCurve,IF(OBuySell,U212,W212),V212))^2*(1-15/365.25/BT212)+IF(OVolOverDailyPeak,OVolOverDailyPeak,IF(OVolCurve,IF(OBuySell,AG212,AI212),AH212))^2*15/365.25/BT212),IF(OVolOverMonthlyPeak,OVolOverMonthlyPeak,IF(OVolCurve,IF(OBuySell,U212,W212),V212))),"")</f>
        <v>#VALUE!</v>
      </c>
      <c r="CH212" s="1587" t="e">
        <f aca="false">IF(OR(BQ212,BS212),IF(OVolType&lt;&gt;2,SQRT(IF(OVolOverMonthlyPeak,OVolOverMonthlyPeak,IF(OVolCurve,IF(OBuySell,X212,Z212),Y212))^2*(1-15/365.25/BT212)+IF(OVolOverDailyPeak,OVolOverDailyPeak,IF(OVolCurve,IF(OBuySell,AJ212,AL212),AK212))^2*15/365.25/BT212),IF(OVolOverMonthlyPeak,OVolOverMonthlyPeak,IF(OVolCurve,IF(OBuySell,X212,Z212),Y212))),"")</f>
        <v>#VALUE!</v>
      </c>
      <c r="CI212" s="1587" t="e">
        <f aca="false">IF(OR(BQ212,BS212),IF(OVolType&lt;&gt;2,SQRT(IF(OVolOverMonthlyPeak,OVolOverMonthlyPeak,IF(OVolCurve,IF(OBuySell,AA212,AC212),AB212))^2*(1-15/365.25/BT212)+IF(OVolOverDailyPeak,OVolOverDailyPeak,IF(OVolCurve,IF(OBuySell,AM212,AO212),AN212))^2*15/365.25/BT212),IF(OVolOverMonthlyPeak,OVolOverMonthlyPeak,IF(OVolCurve,IF(OBuySell,AA212,AC212),AB212))),"")</f>
        <v>#VALUE!</v>
      </c>
      <c r="CJ212" s="1587" t="e">
        <f aca="false">IF(BQ212,IF(BP212,SQRT(LN(1+((BU212*AZ212)^2*(EXP(CG212^2*BT212)-1)+(BV212*BA212)^2*(EXP(CH212^2*BT212)-1)+(BW212*BB212)^2*(EXP(CI212^2*BT212)-1)+2*BU212*AZ212*BV212*BA212*(EXP(CG212*CH212*BT212)-1)+2*BV212*BA212*BW212*BB212*(EXP(CH212*CI212*BT212)-1)+2*BW212*BB212*BU212*AZ212*(EXP(CI212*CG212*BT212)-1))/(BY212*BP212)^2)/BT212),0),"")</f>
        <v>#VALUE!</v>
      </c>
      <c r="CK212" s="1587" t="e">
        <f aca="false">IF(BS212,IF(BR212,SQRT(LN(1+((CA212*BH212)^2*(EXP(CG212^2*BT212)-1)+(CB212*BI212)^2*(EXP(CH212^2*BT212)-1)+(CC212*BJ212)^2*(EXP(CI212^2*BT212)-1)+2*CA212*BH212*CB212*BI212*(EXP(CG212*CH212*BT212)-1)+2*CB212*BI212*CC212*BJ212*(EXP(CH212*CI212*BT212)-1)+2*CC212*BJ212*CA212*BH212*(EXP(CI212*CG212*BT212)-1))/(CE212*BR212)^2)/BT212),0),"")</f>
        <v>#VALUE!</v>
      </c>
      <c r="CL212" s="1587" t="e">
        <f aca="false">IF(OR(BQ212,BS212),IF(OVolType&lt;&gt;2,SQRT(IF(OVolOverMonthlyOffPeak,OVolOverMonthlyOffPeak,IF(OVolCurve,IF(OBuySell,AD212,AF212),AE212))^2*(1-15/365.25/BT212)+IF(OVolOverDailyOffPeak,OVolOverDailyOffPeak,IF(OVolCurve,IF(OBuySell,AP212,AR212),AQ212))^2*15/365.25/BT212),IF(OVolOverMonthlyOffPeak,OVolOverMonthlyOffPeak,IF(OVolCurve,IF(OBuySell,AD212,AF212),AE212))),"")</f>
        <v>#VALUE!</v>
      </c>
      <c r="CM212" s="1587" t="e">
        <f aca="false">IF(BQ212,SQRT(LN(1+((BY212*BP212)^2*(EXP(CJ212^2*BT212)-1)+(BX212*BC212)^2*(EXP(CL212^2*BT212)-1)+2*BY212*BP212*BX212*BC212*(EXP(AS212*CJ212*CL212*BT212)-1))/(BY212*BP212+BX212*BC212)^2)/BT212),"")</f>
        <v>#VALUE!</v>
      </c>
      <c r="CN212" s="1588" t="e">
        <f aca="false">IF(BS212,SQRT(LN(1+((CE212*BR212)^2*(EXP(CK212^2*BT212)-1)+(CD212*BK212)^2*(EXP(CL212^2*BT212)-1)+2*CE212*BR212*CD212*BK212*(EXP(AS212*CK212*CL212*BT212)-1))/(CE212*BR212+CD212*BK212)^2)/BT212),"")</f>
        <v>#VALUE!</v>
      </c>
      <c r="CO212" s="1531" t="e">
        <f aca="false">IF(OR(BQ212,BS212),VLOOKUP(A212,GasTable,13)*HeatRatePeak*(1+VLOOKUP($B212,HeatRateDegradation,$C212+1))/1000,0)</f>
        <v>#VALUE!</v>
      </c>
      <c r="CP212" s="1316" t="e">
        <f aca="false">IF(OR(BQ212,BS212),VLOOKUP(A212,GasTable,13)*HeatRatePeak*(1+VLOOKUP($B212,HeatRateDegradation,$C212+1))/1000,0)</f>
        <v>#VALUE!</v>
      </c>
      <c r="CQ212" s="1316" t="e">
        <f aca="false">IF(OR(BQ212,BS212),VLOOKUP(A212,GasTable,13)*IF(EV212,HeatRatePeak,HeatRateOffPeak)*(1+VLOOKUP($B212,HeatRateDegradation,$C212+1))/1000,0)</f>
        <v>#VALUE!</v>
      </c>
      <c r="CR212" s="1316" t="e">
        <f aca="false">IF(OR(BQ212,BS212),VLOOKUP(A212,GasTable,13)*IF(EW212,HeatRatePeak,HeatRateOffPeak)*(1+VLOOKUP($B212,HeatRateDegradation,$C212+1))/1000,0)</f>
        <v>#VALUE!</v>
      </c>
      <c r="CS212" s="1589" t="e">
        <f aca="false">IF(BQ212,(CO212*AZ212+CP212*BA212+CQ212*BB212+CR212*BC212)/BQ212,0)</f>
        <v>#VALUE!</v>
      </c>
      <c r="CT212" s="1316" t="e">
        <f aca="false">IF(BS212,CO212,0)</f>
        <v>#VALUE!</v>
      </c>
      <c r="CU212" s="1590" t="e">
        <f aca="false">IF(OR(BQ212,BS212),VLOOKUP(A212,GasTable,14),"")</f>
        <v>#VALUE!</v>
      </c>
      <c r="CV212" s="1568" t="e">
        <f aca="false">IF(OR(BQ212,BS212),IF(CorrPowerGasOverFlag,INDEX(CorrPowerGasOver,C212),CorrPowerGas),"")</f>
        <v>#VALUE!</v>
      </c>
      <c r="CW212" s="1316" t="e">
        <f aca="false">IF(OR($BQ212,$BS212),SpreadOptPowerMargin,0)*((1+Assumptions!$C$26)^($B212-YEAR(Assumptions!$C$17)))</f>
        <v>#VALUE!</v>
      </c>
      <c r="CX212" s="1316" t="e">
        <f aca="false">IF(OR($BQ212,$BS212),SpreadOptPowerMargin,0)*((1+Assumptions!$C$26)^($B212-YEAR(Assumptions!$C$17)))</f>
        <v>#VALUE!</v>
      </c>
      <c r="CY212" s="1316" t="e">
        <f aca="false">IF(OR($BQ212,$BS212),SpreadOptPowerMargin,0)*((1+Assumptions!$C$26)^($B212-YEAR(Assumptions!$C$17)))</f>
        <v>#VALUE!</v>
      </c>
      <c r="CZ212" s="1316" t="e">
        <f aca="false">IF(OR($BQ212,$BS212),SpreadOptPowerMargin,0)*((1+Assumptions!$C$26)^($B212-YEAR(Assumptions!$C$17)))</f>
        <v>#VALUE!</v>
      </c>
      <c r="DA212" s="1591" t="e">
        <f aca="false">IF(OR(BQ212,BS212),(CW212*(AZ212+BH212)+CX212*(BA212+BI212)+CY212*(BB212+BJ212)+CZ212*(BC212+BK212))/(BQ212+BS212),0)</f>
        <v>#VALUE!</v>
      </c>
      <c r="DB212" s="1592" t="e">
        <f aca="false">IF(OR(BQ212,BS212),CG212+IF(OVolSmile,VLOOKUP(MAX(-5,CO212+CW212-BU212),IF(OVolSmile=1,VolSmileBook,VolSmileModel),2),0),"")</f>
        <v>#VALUE!</v>
      </c>
      <c r="DC212" s="1592" t="e">
        <f aca="false">IF(OR(BQ212,BS212),CH212+IF(OVolSmile,VLOOKUP(MAX(-5,CP212+CW212-BV212),IF(OVolSmile=1,VolSmileBook,VolSmileModel),2),0),"")</f>
        <v>#VALUE!</v>
      </c>
      <c r="DD212" s="1592" t="e">
        <f aca="false">IF(OR(BQ212,BS212),CI212+IF(OVolSmile,VLOOKUP(MAX(-5,CQ212+CW212-BW212),IF(OVolSmile=1,VolSmileBook,VolSmileModel),2),0),"")</f>
        <v>#VALUE!</v>
      </c>
      <c r="DE212" s="1592" t="e">
        <f aca="false">IF(OR(BQ212,BS212),CL212+IF(OVolSmile,VLOOKUP(MAX(-5,CR212+CZ212-BX212),IF(OVolSmile=1,VolSmileBook,VolSmileModel),2),0),"")</f>
        <v>#VALUE!</v>
      </c>
      <c r="DF212" s="1592" t="e">
        <f aca="false">IF(BQ212,CM212+IF(OVolSmile,VLOOKUP(MAX(-5,CS212+DA212-BZ212),IF(OVolSmile=1,VolSmileBook,VolSmileModel),2),0),"")</f>
        <v>#VALUE!</v>
      </c>
      <c r="DG212" s="1593" t="e">
        <f aca="false">IF(BS212,CN212+IF(OVolSmile,VLOOKUP(MAX(-5,CT212+DA212-CF212),IF(OVolSmile=1,VolSmileBook,VolSmileModel),2),0),"")</f>
        <v>#VALUE!</v>
      </c>
      <c r="DH212" s="1316" t="e">
        <f aca="false">IF(AND(BU212&gt;0,CO212&gt;0,DB212&gt;0,CU212&gt;0),newSPRDOPT(BU212,CO212,CW212,0,DB212,CU212,CV212,BT212*365.25,OCallPut,0),0)</f>
        <v>#VALUE!</v>
      </c>
      <c r="DI212" s="1316" t="e">
        <f aca="false">IF(AND(BV212&gt;0,CP212&gt;0,DC212&gt;0,CU212&gt;0),newSPRDOPT(BV212,CP212,CX212,0,DC212,CU212,CV212,BT212*365.25,OCallPut,0),0)</f>
        <v>#VALUE!</v>
      </c>
      <c r="DJ212" s="1316" t="e">
        <f aca="false">IF(AND(BW212&gt;0,CQ212&gt;0,DD212&gt;0,CU212&gt;0),newSPRDOPT(BW212,CQ212,CY212,0,DD212,CU212,CV212,BT212*365.25,OCallPut,0),0)</f>
        <v>#VALUE!</v>
      </c>
      <c r="DK212" s="1316" t="e">
        <f aca="false">IF(AND(BX212&gt;0,CR212&gt;0,DE212&gt;0,CU212&gt;0),newSPRDOPT(BX212,CR212,CZ212,0,DE212,CU212,CV212,BT212*365.25,OCallPut,0),0)</f>
        <v>#VALUE!</v>
      </c>
      <c r="DL212" s="1316" t="e">
        <f aca="false">IF(OVolType,IF(AND(BZ212&gt;0,CS212&gt;0,DF212&gt;0,CU212&gt;0),newSPRDOPT(BZ212,CS212,DA212,0,DF212,CU212,CV212,BT212*365.25,OCallPut,0),0),IF(BQ212,(DH212*AZ212+DI212*BA212+DJ212*BB212+DK212*BC212)/BQ212,0))</f>
        <v>#VALUE!</v>
      </c>
      <c r="DM212" s="1316"/>
      <c r="DN212" s="1316"/>
      <c r="DO212" s="1316"/>
      <c r="DP212" s="1316"/>
      <c r="DQ212" s="1316"/>
      <c r="DR212" s="1316"/>
      <c r="DS212" s="1316"/>
      <c r="DT212" s="1316"/>
      <c r="DU212" s="1316"/>
      <c r="DV212" s="1316"/>
      <c r="DW212" s="1594" t="e">
        <f aca="false">IF(AND(BW212&gt;0,CT212&gt;0,DD212&gt;0,CU212&gt;0),newSPRDOPT(BW212,CT212,CY212,0,DD212,CU212,CV212,BT212*365.25,OCallPut,0),0)</f>
        <v>#VALUE!</v>
      </c>
      <c r="DX212" s="1316" t="e">
        <f aca="false">IF(AND(BX212&gt;0,CT212&gt;0,DE212&gt;0,CU212&gt;0),newSPRDOPT(BX212,CT212,CZ212,0,DE212,CU212,CV212,BT212*365.25,OCallPut,0),0)</f>
        <v>#VALUE!</v>
      </c>
      <c r="DY212" s="1591" t="e">
        <f aca="false">IF(BS212,(DH212*BH212+DI212*BI212+DW212*BJ212+DX212*BK212)/BS212,0)</f>
        <v>#VALUE!</v>
      </c>
      <c r="DZ212" s="1551" t="e">
        <f aca="false">DH212*AZ212</f>
        <v>#VALUE!</v>
      </c>
      <c r="EA212" s="1551" t="e">
        <f aca="false">DI212*BA212</f>
        <v>#VALUE!</v>
      </c>
      <c r="EB212" s="1551" t="e">
        <f aca="false">DJ212*BB212</f>
        <v>#VALUE!</v>
      </c>
      <c r="EC212" s="1551" t="e">
        <f aca="false">DK212*BC212</f>
        <v>#VALUE!</v>
      </c>
      <c r="ED212" s="1551" t="e">
        <f aca="false">DL212*BQ212</f>
        <v>#VALUE!</v>
      </c>
      <c r="EE212" s="1595" t="e">
        <f aca="false">IF(BQ212,IF(OCallPut,IF(BU212&gt;(CO212+CW212),BU212-(CO212+CW212),0),IF((CO212+CW212)&gt;BU212,(CO212+CW212)-BU212,0))*AZ212,0)</f>
        <v>#VALUE!</v>
      </c>
      <c r="EF212" s="1596" t="e">
        <f aca="false">IF(BQ212,IF(OCallPut,IF(BV212&gt;(CP212+CX212),BV212-(CP212+CX212),0),IF((CP212+CX212)&gt;BV212,(CP212+CX212)-BV212,0))*BA212,0)</f>
        <v>#VALUE!</v>
      </c>
      <c r="EG212" s="1596" t="e">
        <f aca="false">IF(BQ212,IF(OCallPut,IF(BW212&gt;(CQ212+CY212),BW212-(CQ212+CY212),0),IF((CQ212+CY212)&gt;BW212,(CQ212+CY212)-BW212,0))*BB212,0)</f>
        <v>#VALUE!</v>
      </c>
      <c r="EH212" s="1596" t="e">
        <f aca="false">IF(BQ212,IF(OCallPut,IF(BX212&gt;(CR212+CZ212),BX212-(CR212+CZ212),0),IF((CR212+CZ212)&gt;BX212,(CR212+CZ212)-BX212,0))*BC212,0)</f>
        <v>#VALUE!</v>
      </c>
      <c r="EI212" s="1597" t="e">
        <f aca="false">IF(BQ212,IF(OVolType,IF(OCallPut,IF(BZ212&gt;(CS212+DA212),BZ212-(CS212+DA212),0),IF((CS212+DA212)&gt;BZ212,(CS212+DA212)-BZ212,0))*BQ212,SUM(EE212:EH212)),0)</f>
        <v>#VALUE!</v>
      </c>
      <c r="EJ212" s="1595" t="e">
        <f aca="false">DZ212-EE212</f>
        <v>#VALUE!</v>
      </c>
      <c r="EK212" s="1596" t="e">
        <f aca="false">EA212-EF212</f>
        <v>#VALUE!</v>
      </c>
      <c r="EL212" s="1596" t="e">
        <f aca="false">EB212-EG212</f>
        <v>#VALUE!</v>
      </c>
      <c r="EM212" s="1596" t="e">
        <f aca="false">EC212-EH212</f>
        <v>#VALUE!</v>
      </c>
      <c r="EN212" s="1597" t="e">
        <f aca="false">ED212-EI212</f>
        <v>#VALUE!</v>
      </c>
      <c r="EO212" s="1551" t="e">
        <f aca="false">DH212*BH212</f>
        <v>#VALUE!</v>
      </c>
      <c r="EP212" s="1551" t="e">
        <f aca="false">DI212*BI212</f>
        <v>#VALUE!</v>
      </c>
      <c r="EQ212" s="1551" t="e">
        <f aca="false">DW212*BJ212</f>
        <v>#VALUE!</v>
      </c>
      <c r="ER212" s="1551" t="e">
        <f aca="false">DX212*BK212</f>
        <v>#VALUE!</v>
      </c>
      <c r="ES212" s="1551" t="e">
        <f aca="false">DY212*BS212</f>
        <v>#VALUE!</v>
      </c>
      <c r="ET212" s="1566" t="e">
        <f aca="false">IF(EI212,IF(OCallPut,IF(CA212&gt;(CT212+CW212),CA212-(CT212+CW212),0),IF((CT212+CW212)&gt;CA212,(CT212+CW212)-CA212,0))*BH212,0)</f>
        <v>#VALUE!</v>
      </c>
      <c r="EU212" s="1551" t="e">
        <f aca="false">IF(EI212,IF(OCallPut,IF(CB212&gt;(CT212+CX212),CB212-(CT212+CX212),0),IF((CT212+CX212)&gt;CB212,(CT212+CX212)-CB212,0))*BI212,0)</f>
        <v>#VALUE!</v>
      </c>
      <c r="EV212" s="1551" t="e">
        <f aca="false">IF(EI212,IF(OCallPut,IF(CC212&gt;(CT212+CY212),CC212-(CT212+CY212),0),IF((CT212+CY212)&gt;CC212,(CT212+CY212)-CC212,0))*BJ212,0)</f>
        <v>#VALUE!</v>
      </c>
      <c r="EW212" s="1551" t="e">
        <f aca="false">IF(EI212,IF(OCallPut,IF(CD212&gt;(CT212+CZ212),CD212-(CT212+CZ212),0),IF((CT212+CZ212)&gt;CD212,(CT212+CZ212)-CD212,0))*BK212,0)</f>
        <v>#VALUE!</v>
      </c>
      <c r="EX212" s="1558" t="e">
        <f aca="false">IF(EI212,SUM(ET212:EW212),0)</f>
        <v>#VALUE!</v>
      </c>
      <c r="EY212" s="1551" t="e">
        <f aca="false">EO212-ET212</f>
        <v>#VALUE!</v>
      </c>
      <c r="EZ212" s="1551" t="e">
        <f aca="false">EP212-EU212</f>
        <v>#VALUE!</v>
      </c>
      <c r="FA212" s="1551" t="e">
        <f aca="false">EQ212-EV212</f>
        <v>#VALUE!</v>
      </c>
      <c r="FB212" s="1551" t="e">
        <f aca="false">ER212-EW212</f>
        <v>#VALUE!</v>
      </c>
      <c r="FC212" s="1551" t="e">
        <f aca="false">ES212-EX212</f>
        <v>#VALUE!</v>
      </c>
      <c r="FD212" s="1525" t="n">
        <f aca="false">IF(AX212,IF(VLOOKUP(C212,MAIN!$L$17:$M$28,2)="Yes",VLOOKUP(CALC!B212,MAIN!$H$17:$I$20,2),0),0)</f>
        <v>0</v>
      </c>
      <c r="FE212" s="1552" t="e">
        <f aca="false">$FD212*16*AT212*(1-$AY212)</f>
        <v>#VALUE!</v>
      </c>
      <c r="FF212" s="1553" t="e">
        <f aca="false">$FD212*16*AU212*(1-$AY212)</f>
        <v>#VALUE!</v>
      </c>
      <c r="FG212" s="1553" t="e">
        <f aca="false">$FD212*16*(AV212+AW212)*(1-$AY212)</f>
        <v>#VALUE!</v>
      </c>
      <c r="FH212" s="1554" t="n">
        <f aca="false">$FD212*8*AX212*(1-$AY212)</f>
        <v>0</v>
      </c>
      <c r="FI212" s="1555" t="n">
        <f aca="false">IF(AX212,VLOOKUP(CALC!B212,MAIN!$H$17:$K$20,4),0)</f>
        <v>0</v>
      </c>
      <c r="FJ212" s="1553" t="e">
        <f aca="false">SUM(FE212:FH212)</f>
        <v>#VALUE!</v>
      </c>
      <c r="FK212" s="1556" t="e">
        <f aca="false">FI212*FJ212</f>
        <v>#VALUE!</v>
      </c>
      <c r="FL212" s="1551" t="e">
        <f aca="false">IF($EI212&gt;0,MIN(FE212,AZ212*(1+VLOOKUP($C212,WeatherCapacityAdjustment,2))),0)</f>
        <v>#VALUE!</v>
      </c>
      <c r="FM212" s="1551" t="e">
        <f aca="false">IF($EI212&gt;0,MIN(FF212,BA212*(1+VLOOKUP($C212,WeatherCapacityAdjustment,2))),0)</f>
        <v>#VALUE!</v>
      </c>
      <c r="FN212" s="1551" t="e">
        <f aca="false">IF($EI212&gt;0,MIN(FG212,BB212*(1+VLOOKUP($C212,WeatherCapacityAdjustment,2))),0)</f>
        <v>#VALUE!</v>
      </c>
      <c r="FO212" s="1564" t="e">
        <f aca="false">IF($EI212&gt;0,MIN(FH212,BC212*(1+VLOOKUP($C212,WeatherCapacityAdjustment,3))),0)</f>
        <v>#VALUE!</v>
      </c>
      <c r="FP212" s="1551" t="e">
        <f aca="false">IF(ET212&gt;0,MIN(FE212-FL212,BH212*(1+VLOOKUP($C212,WeatherCapacityAdjustment,2))),0)</f>
        <v>#VALUE!</v>
      </c>
      <c r="FQ212" s="1551" t="e">
        <f aca="false">IF(EU212&gt;0,MIN(FF212-FM212,BI212*(1+VLOOKUP($C212,WeatherCapacityAdjustment,2))),0)</f>
        <v>#VALUE!</v>
      </c>
      <c r="FR212" s="1551" t="e">
        <f aca="false">IF(EV212&gt;0,MIN(FG212-FN212,BJ212*(1+VLOOKUP($C212,WeatherCapacityAdjustment,2))),0)</f>
        <v>#VALUE!</v>
      </c>
      <c r="FS212" s="1558" t="e">
        <f aca="false">IF(EW212&gt;0,MIN(FH212-FO212,BK212*(1+VLOOKUP($C212,WeatherCapacityAdjustment,3))),0)</f>
        <v>#VALUE!</v>
      </c>
      <c r="FT212" s="1566" t="e">
        <f aca="false">IF(AND(Assumptions!$H$71="Yes",A212&gt;=Assumptions!$H$72,A212&lt;=Assumptions!$H$73),0,IF(AND($A212&gt;=Assumptions!$C$17,$A212&lt;=Assumptions!$C$18),MAX(AZ212*(1+VLOOKUP($C212,WeatherCapacityAdjustment,2))-FL212,0),0))</f>
        <v>#VALUE!</v>
      </c>
      <c r="FU212" s="1551" t="e">
        <f aca="false">IF(AND(Assumptions!$H$71="Yes",A212&gt;=Assumptions!$H$72,A212&lt;=Assumptions!$H$73),0,IF(AND($A212&gt;=Assumptions!$C$17,$A212&lt;=Assumptions!$C$18),MAX(BA212*(1+VLOOKUP($C212,WeatherCapacityAdjustment,2))-FM212,0),0))</f>
        <v>#VALUE!</v>
      </c>
      <c r="FV212" s="1551" t="e">
        <f aca="false">IF(AND(Assumptions!$H$71="Yes",A212&gt;=Assumptions!$H$72,A212&lt;=Assumptions!$H$73),0,IF(AND($A212&gt;=Assumptions!$C$17,$A212&lt;=Assumptions!$C$18),MAX(BB212*(1+VLOOKUP($C212,WeatherCapacityAdjustment,2))-FN212,0),0))</f>
        <v>#VALUE!</v>
      </c>
      <c r="FW212" s="1564" t="e">
        <f aca="false">IF(AND(Assumptions!$H$71="Yes",A212&gt;=Assumptions!$H$72,A212&lt;=Assumptions!$H$73),0,IF(AND($A212&gt;=Assumptions!$C$17,$A212&lt;=Assumptions!$C$18),MAX(BC212*(1+VLOOKUP($C212,WeatherCapacityAdjustment,3))-FO212,0),0))</f>
        <v>#VALUE!</v>
      </c>
      <c r="FX212" s="1569" t="e">
        <f aca="false">IF(AND(Assumptions!$H$71="Yes",A212&gt;=Assumptions!$H$72,A212&lt;=Assumptions!$H$73),0,IF(ET212&gt;0,MAX(BH212*(1+VLOOKUP($C212,WeatherCapacityAdjustment,2))-FP212,0),0))</f>
        <v>#VALUE!</v>
      </c>
      <c r="FY212" s="1551" t="e">
        <f aca="false">IF(AND(Assumptions!$H$71="Yes",A212&gt;=Assumptions!$H$72,A212&lt;=Assumptions!$H$73),0,IF(EU212&gt;0,MAX(BI212*(1+VLOOKUP($C212,WeatherCapacityAdjustment,3))-FQ212,0),0))</f>
        <v>#VALUE!</v>
      </c>
      <c r="FZ212" s="1551" t="e">
        <f aca="false">IF(AND(Assumptions!$H$71="Yes",A212&gt;=Assumptions!$H$72,A212&lt;=Assumptions!$H$73),0,IF(EV212&gt;0,MAX(BJ212*(1+VLOOKUP($C212,WeatherCapacityAdjustment,2))-FR212,0),0))</f>
        <v>#VALUE!</v>
      </c>
      <c r="GA212" s="1564" t="e">
        <f aca="false">IF(AND(Assumptions!$H$71="Yes",A212&gt;=Assumptions!$H$72,A212&lt;=Assumptions!$H$73),0,IF(EW212&gt;0,MAX(BK212*(1+VLOOKUP($C212,WeatherCapacityAdjustment,2))-FS212,0),0))</f>
        <v>#VALUE!</v>
      </c>
      <c r="GB212" s="1551" t="e">
        <f aca="false">SUM(FT212:GA212)</f>
        <v>#VALUE!</v>
      </c>
      <c r="GC212" s="1563" t="e">
        <f aca="false">+IF(SUM(FT212:GA212)=0,0,(SUMPRODUCT(BU212:BX212,FT212:FW212)+SUMPRODUCT(CA212:CD212,FX212:GA212))/SUM(FT212:GA212))</f>
        <v>#VALUE!</v>
      </c>
      <c r="GD212" s="1551" t="e">
        <f aca="false">(FT212*BU212+FX212*CA212+FU212*BV212+FY212*CB212+FV212*BW212+FZ212*CC212+FW212*BX212+GA212*CD212)</f>
        <v>#VALUE!</v>
      </c>
      <c r="GE212" s="1561" t="e">
        <f aca="false">+IF(BQ212,((FL212+FM212+FT212+FU212)*HeatRatePeak/1000*(1+VLOOKUP($C212,WeatherHeatRateAdjustment,2))+(FN212+FV212)*IF(EV212&gt;0,HeatRatePeak,HeatRateOffPeak)/1000*(1+VLOOKUP($C212,WeatherHeatRateAdjustment,2))+(FO212+FW212)*IF(EW212&gt;0,HeatRatePeak,HeatRateOffPeak)/1000*(1+VLOOKUP($C212,WeatherHeatRateAdjustment,3)))*(1+VLOOKUP($B212,HeatRateDegradation,$C212+1)),0)</f>
        <v>#VALUE!</v>
      </c>
      <c r="GF212" s="1562" t="e">
        <f aca="false">IF(BQ212,((FP212+FQ212+FR212+FX212+FY212+FZ212)*HeatRatePeak/1000*(1+VLOOKUP($C212,WeatherHeatRateAdjustment,2))+(FS212+GA212)*HeatRatePeak/1000*(1+VLOOKUP($C212,WeatherHeatRateAdjustment,3)))*(1+VLOOKUP($B212,HeatRateDegradation,$C212+1)),0)</f>
        <v>#VALUE!</v>
      </c>
      <c r="GG212" s="1563" t="e">
        <f aca="false">IF(BQ212,VLOOKUP(A212,GasTable,13),0)</f>
        <v>#VALUE!</v>
      </c>
      <c r="GH212" s="1564" t="e">
        <f aca="false">(GE212+GF212)*GG212</f>
        <v>#VALUE!</v>
      </c>
      <c r="GI212" s="1569" t="e">
        <f aca="false">GB212</f>
        <v>#VALUE!</v>
      </c>
      <c r="GJ212" s="1598" t="e">
        <f aca="false">+DA212</f>
        <v>#VALUE!</v>
      </c>
      <c r="GK212" s="1558" t="e">
        <f aca="false">+GI212*GJ212</f>
        <v>#VALUE!</v>
      </c>
      <c r="GL212" s="1566" t="e">
        <f aca="false">MAX(FE212-FL212-FP212,0)</f>
        <v>#VALUE!</v>
      </c>
      <c r="GM212" s="1551" t="e">
        <f aca="false">MAX(FF212-FM212-FQ212,0)</f>
        <v>#VALUE!</v>
      </c>
      <c r="GN212" s="1551" t="e">
        <f aca="false">MAX(FG212-FN212-FR212,0)</f>
        <v>#VALUE!</v>
      </c>
      <c r="GO212" s="1564" t="e">
        <f aca="false">MAX(FH212-FO212-FS212,0)</f>
        <v>#VALUE!</v>
      </c>
      <c r="GP212" s="1551" t="e">
        <f aca="false">SUM(GL212:GO212)</f>
        <v>#VALUE!</v>
      </c>
      <c r="GQ212" s="1563" t="e">
        <f aca="false">IF(SUM(GL212:GO212)=0,0,((GL212*BU212+GM212*BV212+GN212*BW212+GO212*BX212)/SUM(GL212:GO212)))</f>
        <v>#VALUE!</v>
      </c>
      <c r="GR212" s="1558" t="e">
        <f aca="false">(GL212*BU212+GM212*BV212+GN212*BW212+GO212*BX212)</f>
        <v>#VALUE!</v>
      </c>
      <c r="GS212" s="1566" t="n">
        <f aca="false">IF($A212&gt;=BegDate,Assumptions!$C$56*24*($A213-$A212)*(1-VLOOKUP($B212,MAIN!$AA$7:$AM$28,$C212+1))*(1-VLOOKUP($B212,MAIN!$AA$33:$AM$54,$C212+1)),0)*80/168</f>
        <v>257742.857142857</v>
      </c>
      <c r="GT212" s="286" t="n">
        <f aca="false">J212</f>
        <v>106.037948939744</v>
      </c>
      <c r="GU212" s="286" t="n">
        <f aca="false">IF($A212&gt;=BegDate,VLOOKUP($A212,GasTable,13)+Assumptions!$C$58,0)</f>
        <v>3.39490392476076</v>
      </c>
      <c r="GV212" s="286" t="n">
        <f aca="false">GU212*Assumptions!$C$57/1000</f>
        <v>24.6130534545155</v>
      </c>
      <c r="GW212" s="1558" t="n">
        <f aca="false">IF(Assumptions!$C$60="Hourly",MAX(0,GS212*(GT212-GV212)),GS212*(GT212-GV212))</f>
        <v>20986685.2049212</v>
      </c>
      <c r="GX212" s="1566" t="n">
        <f aca="false">IF($A212&gt;=BegDate,Assumptions!$C$56*24*($A213-$A212)*(1-VLOOKUP($B212,MAIN!$AA$7:$AM$28,$C212+1))*(1-VLOOKUP($B212,MAIN!$AA$33:$AM$54,$C212+1)),0)*16/168</f>
        <v>51548.5714285714</v>
      </c>
      <c r="GY212" s="286" t="n">
        <f aca="false">M212</f>
        <v>106.037948939744</v>
      </c>
      <c r="GZ212" s="286" t="n">
        <f aca="false">IF($A212&gt;=BegDate,VLOOKUP($A212,GasTable,13)+Assumptions!$C$58,0)</f>
        <v>3.39490392476076</v>
      </c>
      <c r="HA212" s="286" t="n">
        <f aca="false">GZ212*Assumptions!$C$57/1000</f>
        <v>24.6130534545155</v>
      </c>
      <c r="HB212" s="1558" t="n">
        <f aca="false">IF(Assumptions!$C$60="Hourly",MAX(0,GX212*(GY212-HA212)),GX212*(GY212-HA212))</f>
        <v>4197337.04098425</v>
      </c>
      <c r="HC212" s="1566" t="n">
        <f aca="false">IF($A212&gt;=BegDate,Assumptions!$C$56*24*($A213-$A212)*(1-VLOOKUP($B212,MAIN!$AA$7:$AM$28,$C212+1))*(1-VLOOKUP($B212,MAIN!$AA$33:$AM$54,$C212+1)),0)*16/168</f>
        <v>51548.5714285714</v>
      </c>
      <c r="HD212" s="286" t="n">
        <f aca="false">P212</f>
        <v>36.8461174389141</v>
      </c>
      <c r="HE212" s="286" t="n">
        <f aca="false">IF($A212&gt;=BegDate,VLOOKUP($A212,GasTable,13)+Assumptions!$C$58,0)</f>
        <v>3.39490392476076</v>
      </c>
      <c r="HF212" s="286" t="n">
        <f aca="false">HE212*Assumptions!$C$57/1000</f>
        <v>24.6130534545155</v>
      </c>
      <c r="HG212" s="1558" t="n">
        <f aca="false">IF(Assumptions!$C$60="Hourly",MAX(0,HC212*(HD212-HF212)),HC212*(HD212-HF212))</f>
        <v>630596.972590053</v>
      </c>
      <c r="HH212" s="1566" t="n">
        <f aca="false">IF($A212&gt;=BegDate,Assumptions!$C$56*24*($A213-$A212)*(1-VLOOKUP($B212,MAIN!$AA$7:$AM$28,$C212+1))*(1-VLOOKUP($B212,MAIN!$AA$33:$AM$54,$C212+1)),0)*56/168</f>
        <v>180420</v>
      </c>
      <c r="HI212" s="286" t="n">
        <f aca="false">S212</f>
        <v>36.8461174389141</v>
      </c>
      <c r="HJ212" s="286" t="n">
        <f aca="false">IF($A212&gt;=BegDate,VLOOKUP($A212,GasTable,13)+Assumptions!$C$58,0)</f>
        <v>3.39490392476076</v>
      </c>
      <c r="HK212" s="286" t="n">
        <f aca="false">HJ212*Assumptions!$C$57/1000</f>
        <v>24.6130534545155</v>
      </c>
      <c r="HL212" s="1558" t="n">
        <f aca="false">IF(Assumptions!$C$60="Hourly",MAX(0,HH212*(HI212-HK212)),HH212*(HI212-HK212))</f>
        <v>2207089.40406519</v>
      </c>
      <c r="HM212" s="1566" t="n">
        <f aca="false">IF(AND(Assumptions!$H$71="Yes",A212&gt;=Assumptions!$H$72,A212&lt;=Assumptions!$H$73),Assumptions!$H$74*Assumptions!$C$9*1000,0)</f>
        <v>0</v>
      </c>
      <c r="HN212" s="1551"/>
      <c r="HO212" s="1563"/>
      <c r="HP212" s="1563"/>
      <c r="HQ212" s="1563"/>
      <c r="HR212" s="1563"/>
      <c r="HS212" s="1563"/>
      <c r="HT212" s="1563"/>
      <c r="HU212" s="1563"/>
      <c r="HV212" s="1563"/>
      <c r="HW212" s="1563"/>
      <c r="HX212" s="1563"/>
      <c r="HY212" s="1563"/>
      <c r="HZ212" s="1563"/>
      <c r="IA212" s="1563"/>
      <c r="IB212" s="1563"/>
      <c r="IC212" s="1563"/>
      <c r="ID212" s="1563"/>
      <c r="IE212" s="1563"/>
      <c r="IF212" s="1563"/>
      <c r="IG212" s="1563"/>
      <c r="IH212" s="1563"/>
      <c r="II212" s="1610"/>
      <c r="IJ212" s="1309"/>
      <c r="IK212" s="1309"/>
    </row>
    <row r="213" customFormat="false" ht="12.75" hidden="false" customHeight="false" outlineLevel="0" collapsed="false">
      <c r="A213" s="1571" t="n">
        <f aca="false">EOMONTH(A212,0)+1</f>
        <v>42614</v>
      </c>
      <c r="B213" s="594" t="n">
        <f aca="false">+YEAR(A213)</f>
        <v>2016</v>
      </c>
      <c r="C213" s="238" t="n">
        <f aca="false">MONTH(A213)</f>
        <v>9</v>
      </c>
      <c r="D213" s="1572" t="e">
        <f aca="false">IF(E213="","",Holiday(B213,C213))</f>
        <v>#VALUE!</v>
      </c>
      <c r="E213" s="1573" t="n">
        <f aca="false">IF(OR(BegDate&gt;=A214,EndDate&lt;A213,AND(VolumeMonthlyOverFlag,INDEX(VolumeMonthlyOver,C213)=0),NOT(INDEX(MonthKnockOutTable,C213))),"",MAX(A213,BegDate))</f>
        <v>42614</v>
      </c>
      <c r="F213" s="1574" t="n">
        <f aca="false">IF(E213="","",MIN(A214-1,EndDate))</f>
        <v>42643</v>
      </c>
      <c r="G213" s="1575" t="n">
        <v>0</v>
      </c>
      <c r="H213" s="1576" t="n">
        <f aca="false">(1+G213/2)^(-2*(DATE(B214,C214,20)-DateToday)/365.25)</f>
        <v>1</v>
      </c>
      <c r="I213" s="1568" t="n">
        <f aca="false">IF(Assumptions!$L$25=4,VLOOKUP($A213,'Henwood Reference'!$E$9:$R$320,10),(VLOOKUP($A213,PriceTable,2,0)+IF(BasisNumber&lt;&gt;1,VLOOKUP($A213,BasisTable,2,0),0)+I$1)/(1-I$2))</f>
        <v>70.5547331488436</v>
      </c>
      <c r="J213" s="1568" t="n">
        <f aca="false">IF(Assumptions!$L$25=4,VLOOKUP($A213,'Henwood Reference'!$E$9:$R$320,10),(VLOOKUP($A213,PriceTable,3,0)+IF(BasisNumber&lt;&gt;1,VLOOKUP($A213,BasisTable,2,0),0)+J$1)/(1-J$2))</f>
        <v>70.5547331488436</v>
      </c>
      <c r="K213" s="1568" t="n">
        <f aca="false">IF(Assumptions!$L$25=4,VLOOKUP($A213,'Henwood Reference'!$E$9:$R$320,10),(VLOOKUP($A213,PriceTable,4,0)+IF(BasisNumber&lt;&gt;1,VLOOKUP($A213,BasisTable,2,0),0)+K$1)/(1-K$2))</f>
        <v>70.5547331488436</v>
      </c>
      <c r="L213" s="1523" t="n">
        <f aca="false">IF(Assumptions!$L$25=4,VLOOKUP($A213,'Henwood Reference'!$E$9:$R$320,10),(VLOOKUP($A213,PriceTableWeekend,2,0)+IF(BasisNumber&lt;&gt;1,VLOOKUP($A213,BasisTable,2,0),0)+L$1)/(1-L$2))</f>
        <v>70.5547331488436</v>
      </c>
      <c r="M213" s="1568" t="n">
        <f aca="false">IF(Assumptions!$L$25=4,VLOOKUP($A213,'Henwood Reference'!$E$9:$R$320,10),(VLOOKUP($A213,PriceTableWeekend,3,0)+IF(BasisNumber&lt;&gt;1,VLOOKUP($A213,BasisTable,2,0),0)+M$1)/(1-M$2))</f>
        <v>70.5547331488436</v>
      </c>
      <c r="N213" s="1599" t="n">
        <f aca="false">IF(Assumptions!$L$25=4,VLOOKUP($A213,'Henwood Reference'!$E$9:$R$320,10),(VLOOKUP($A213,PriceTableWeekend,4,0)+IF(BasisNumber&lt;&gt;1,VLOOKUP($A213,BasisTable,2,0),0)+N$1)/(1-N$2))</f>
        <v>70.5547331488436</v>
      </c>
      <c r="O213" s="1568" t="n">
        <f aca="false">IF(Assumptions!$L$25=4,VLOOKUP($A213,'Henwood Reference'!$E$9:$R$320,11),(VLOOKUP($A213,PriceTableWeekend,6,0)+IF(BasisNumber&lt;&gt;1,VLOOKUP($A213,BasisTable,3,0),0)+O$1)/(1-O$2))</f>
        <v>33.3831282192525</v>
      </c>
      <c r="P213" s="1568" t="n">
        <f aca="false">IF(Assumptions!$L$25=4,VLOOKUP($A213,'Henwood Reference'!$E$9:$R$320,11),(VLOOKUP($A213,PriceTableWeekend,7,0)+IF(BasisNumber&lt;&gt;1,VLOOKUP($A213,BasisTable,3,0),0)+P$1)/(1-P$2))</f>
        <v>33.3831282192525</v>
      </c>
      <c r="Q213" s="1599" t="n">
        <f aca="false">IF(Assumptions!$L$25=4,VLOOKUP($A213,'Henwood Reference'!$E$9:$R$320,11),(VLOOKUP($A213,PriceTableWeekend,8,0)+IF(BasisNumber&lt;&gt;1,VLOOKUP($A213,BasisTable,3,0),0)+Q$1)/(1-Q$2))</f>
        <v>33.3831282192525</v>
      </c>
      <c r="R213" s="1568" t="n">
        <f aca="false">IF(Assumptions!$L$25=4,VLOOKUP($A213,'Henwood Reference'!$E$9:$R$320,11),(VLOOKUP($A213,PriceTable,6,0)+IF(BasisNumber&lt;&gt;1,VLOOKUP($A213,BasisTable,3,0),0)+R$1)/(1-R$2))</f>
        <v>33.3831282192525</v>
      </c>
      <c r="S213" s="1568" t="n">
        <f aca="false">IF(Assumptions!$L$25=4,VLOOKUP($A213,'Henwood Reference'!$E$9:$R$320,11),(VLOOKUP($A213,PriceTable,7,0)+IF(BasisNumber&lt;&gt;1,VLOOKUP($A213,BasisTable,3,0),0)+S$1)/(1-S$2))</f>
        <v>33.3831282192525</v>
      </c>
      <c r="T213" s="1600" t="n">
        <f aca="false">IF(Assumptions!$L$25=4,VLOOKUP($A213,'Henwood Reference'!$E$9:$R$320,11),(VLOOKUP($A213,PriceTable,8,0)+IF(BasisNumber&lt;&gt;1,VLOOKUP($A213,BasisTable,3,0),0)+T$1)/(1-T$2))</f>
        <v>33.3831282192525</v>
      </c>
      <c r="U213" s="1513" t="n">
        <f aca="false">VLOOKUP($A213,VolatilityTable,14)</f>
        <v>0.09</v>
      </c>
      <c r="V213" s="1513" t="n">
        <f aca="false">VLOOKUP($A213,VolatilityTable,15)</f>
        <v>0.1</v>
      </c>
      <c r="W213" s="1514" t="n">
        <f aca="false">VLOOKUP($A213,VolatilityTable,16)</f>
        <v>0.11</v>
      </c>
      <c r="X213" s="1513" t="n">
        <f aca="false">VLOOKUP($A213,VolatilityTable,14)</f>
        <v>0.09</v>
      </c>
      <c r="Y213" s="1513" t="n">
        <f aca="false">VLOOKUP($A213,VolatilityTable,15)</f>
        <v>0.1</v>
      </c>
      <c r="Z213" s="1514" t="n">
        <f aca="false">VLOOKUP($A213,VolatilityTable,16)</f>
        <v>0.11</v>
      </c>
      <c r="AA213" s="1513" t="n">
        <f aca="false">VLOOKUP($A213,VolatilityTable,18)</f>
        <v>0.09</v>
      </c>
      <c r="AB213" s="1513" t="n">
        <f aca="false">VLOOKUP($A213,VolatilityTable,19)</f>
        <v>0.11</v>
      </c>
      <c r="AC213" s="1514" t="n">
        <f aca="false">VLOOKUP($A213,VolatilityTable,20)</f>
        <v>0.13</v>
      </c>
      <c r="AD213" s="1513" t="n">
        <f aca="false">VLOOKUP($A213,VolatilityTable,18)</f>
        <v>0.09</v>
      </c>
      <c r="AE213" s="1513" t="n">
        <f aca="false">VLOOKUP($A213,VolatilityTable,19)</f>
        <v>0.11</v>
      </c>
      <c r="AF213" s="1514" t="n">
        <f aca="false">VLOOKUP($A213,VolatilityTable,20)</f>
        <v>0.13</v>
      </c>
      <c r="AG213" s="1513" t="n">
        <f aca="false">VLOOKUP($A213,VolatilityTable,22)</f>
        <v>-0.35</v>
      </c>
      <c r="AH213" s="1513" t="n">
        <f aca="false">VLOOKUP($A213,VolatilityTable,23)</f>
        <v>3</v>
      </c>
      <c r="AI213" s="1514" t="n">
        <f aca="false">VLOOKUP($A213,VolatilityTable,24)</f>
        <v>0.2</v>
      </c>
      <c r="AJ213" s="1513" t="n">
        <f aca="false">VLOOKUP($A213,VolatilityTable,22)</f>
        <v>-0.35</v>
      </c>
      <c r="AK213" s="1513" t="n">
        <f aca="false">VLOOKUP($A213,VolatilityTable,23)</f>
        <v>3</v>
      </c>
      <c r="AL213" s="1514" t="n">
        <f aca="false">VLOOKUP($A213,VolatilityTable,24)</f>
        <v>0.2</v>
      </c>
      <c r="AM213" s="1513" t="n">
        <f aca="false">VLOOKUP($A213,VolatilityTable,26)</f>
        <v>-0.01</v>
      </c>
      <c r="AN213" s="1513" t="n">
        <f aca="false">VLOOKUP($A213,VolatilityTable,27)</f>
        <v>0.16</v>
      </c>
      <c r="AO213" s="1514" t="n">
        <f aca="false">VLOOKUP($A213,VolatilityTable,28)</f>
        <v>0.01</v>
      </c>
      <c r="AP213" s="1513" t="n">
        <f aca="false">VLOOKUP($A213,VolatilityTable,26)</f>
        <v>-0.01</v>
      </c>
      <c r="AQ213" s="1513" t="n">
        <f aca="false">VLOOKUP($A213,VolatilityTable,27)</f>
        <v>0.16</v>
      </c>
      <c r="AR213" s="1515" t="n">
        <f aca="false">VLOOKUP($A213,VolatilityTable,28)</f>
        <v>0.01</v>
      </c>
      <c r="AS213" s="1581" t="n">
        <f aca="false">IF(CorrPeakOffPeakOverFlag,INDEX(CorrPeakOffPeakOver,C213),CorrPeakOffPeak)</f>
        <v>0.5</v>
      </c>
      <c r="AT213" s="594" t="e">
        <f aca="false">AX213-SUM(AU213:AW213)</f>
        <v>#VALUE!</v>
      </c>
      <c r="AU213" s="238" t="e">
        <f aca="false">IF(E213="",0,INT((F213-MOD(F213,7)-E213)/7)+1-IF(AW213,IF(WEEKDAY(D213)=7,1,0),0))</f>
        <v>#VALUE!</v>
      </c>
      <c r="AV213" s="238" t="e">
        <f aca="false">IF(E213="",0,INT((F213-MOD(F213-1,7)-E213)/7)+1-IF(AW213,IF(WEEKDAY(D213)=1,1,0),0))</f>
        <v>#VALUE!</v>
      </c>
      <c r="AW213" s="238" t="e">
        <f aca="false">IF(OR(E213="",D213="",D213&lt;BegDate,D213&gt;EndDate),0,1)</f>
        <v>#VALUE!</v>
      </c>
      <c r="AX213" s="238" t="n">
        <f aca="false">IF(E213="",0,F213-E213+1)</f>
        <v>30</v>
      </c>
      <c r="AY213" s="1582" t="n">
        <f aca="false">IF(E213="",0,MIN((1-(1-VLOOKUP(B213,MAIN!$AA$7:$AM$28,C213+1))*(1-VLOOKUP(B213,MAIN!$AA$33:$AM$54,C213+1))),1))</f>
        <v>0.03</v>
      </c>
      <c r="AZ213" s="1519" t="e">
        <v>#VALUE!</v>
      </c>
      <c r="BA213" s="1520" t="e">
        <v>#VALUE!</v>
      </c>
      <c r="BB213" s="1520" t="e">
        <v>#VALUE!</v>
      </c>
      <c r="BC213" s="1583" t="e">
        <v>#VALUE!</v>
      </c>
      <c r="BD213" s="1522" t="e">
        <v>#VALUE!</v>
      </c>
      <c r="BE213" s="1523" t="e">
        <v>#VALUE!</v>
      </c>
      <c r="BF213" s="1523" t="e">
        <v>#VALUE!</v>
      </c>
      <c r="BG213" s="1584" t="e">
        <v>#VALUE!</v>
      </c>
      <c r="BH213" s="1525" t="e">
        <v>#VALUE!</v>
      </c>
      <c r="BI213" s="1520" t="e">
        <v>#VALUE!</v>
      </c>
      <c r="BJ213" s="1520" t="e">
        <v>#VALUE!</v>
      </c>
      <c r="BK213" s="1583" t="e">
        <v>#VALUE!</v>
      </c>
      <c r="BL213" s="1522" t="e">
        <v>#VALUE!</v>
      </c>
      <c r="BM213" s="1523" t="e">
        <v>#VALUE!</v>
      </c>
      <c r="BN213" s="1523" t="e">
        <v>#VALUE!</v>
      </c>
      <c r="BO213" s="1523" t="e">
        <v>#VALUE!</v>
      </c>
      <c r="BP213" s="1525" t="e">
        <f aca="false">SUM(AZ213:BB213)</f>
        <v>#VALUE!</v>
      </c>
      <c r="BQ213" s="1529" t="e">
        <f aca="false">SUM(AZ213:BC213)</f>
        <v>#VALUE!</v>
      </c>
      <c r="BR213" s="1519" t="e">
        <f aca="false">SUM(BH213:BJ213)</f>
        <v>#VALUE!</v>
      </c>
      <c r="BS213" s="1529" t="e">
        <f aca="false">SUM(BH213:BK213)</f>
        <v>#VALUE!</v>
      </c>
      <c r="BT213" s="1316" t="n">
        <f aca="false">(IF(OVolType&lt;&gt;2,A213+14,IF(OptExpDateShift,ShiftBack(A213,OptExpDateShift,D212),A213))-DateToday)/365.25</f>
        <v>16.3832991101985</v>
      </c>
      <c r="BU213" s="1585" t="e">
        <f aca="false">IF(BQ213,IF(OPriceCurve,IF(OBuySell=OCallPut,I213/(1-AY213),K213/(1-AY213)),J213/(1-AY213))*BD213,0)</f>
        <v>#VALUE!</v>
      </c>
      <c r="BV213" s="1316" t="e">
        <f aca="false">IF(BQ213,IF(OPriceCurve,IF(OBuySell=OCallPut,L213/(1-AY213),N213/(1-AY213)),M213/(1-AY213))*BE213,0)</f>
        <v>#VALUE!</v>
      </c>
      <c r="BW213" s="1316" t="e">
        <f aca="false">IF(BQ213,IF(OPriceCurve,IF(OBuySell=OCallPut,O213/(1-AY213),Q213/(1-AY213)),P213/(1-AY213))*BF213,0)</f>
        <v>#VALUE!</v>
      </c>
      <c r="BX213" s="1316" t="e">
        <f aca="false">IF(BQ213,IF(OPriceCurve,IF(OBuySell=OCallPut,R213/(1-AY213),T213/(1-AY213)),S213/(1-AY213))*BG213,0)</f>
        <v>#VALUE!</v>
      </c>
      <c r="BY213" s="1316" t="e">
        <f aca="false">IF(BP213,(BU213*AZ213+BV213*BA213+BW213*BB213)/BP213,0)</f>
        <v>#VALUE!</v>
      </c>
      <c r="BZ213" s="1316" t="e">
        <f aca="false">IF(BQ213,(BY213*BP213+BX213*BC213)/BQ213,0)</f>
        <v>#VALUE!</v>
      </c>
      <c r="CA213" s="1531" t="e">
        <f aca="false">IF(BS213,IF(OPriceCurve,IF(OBuySell=OCallPut,I213/(1-AY213),K213/(1-AY213)),J213/(1-AY213))*BL213,0)</f>
        <v>#VALUE!</v>
      </c>
      <c r="CB213" s="1316" t="e">
        <f aca="false">IF(BS213,IF(OPriceCurve,IF(OBuySell=OCallPut,L213/(1-AY213),N213/(1-AY213)),M213/(1-AY213))*BM213,0)</f>
        <v>#VALUE!</v>
      </c>
      <c r="CC213" s="1316" t="e">
        <f aca="false">IF(BS213,IF(OPriceCurve,IF(OBuySell=OCallPut,O213/(1-AY213),Q213/(1-AY213)),P213/(1-AY213))*BN213,0)</f>
        <v>#VALUE!</v>
      </c>
      <c r="CD213" s="1316" t="e">
        <f aca="false">IF(BS213,IF(OPriceCurve,IF(OBuySell=OCallPut,R213/(1-AY213),T213/(1-AY213)),S213/(1-AY213))*BO213,0)</f>
        <v>#VALUE!</v>
      </c>
      <c r="CE213" s="1316" t="e">
        <f aca="false">IF(BR213,(BU213*BH213+BV213*BI213+BW213*BJ213)/BR213,0)</f>
        <v>#VALUE!</v>
      </c>
      <c r="CF213" s="1532" t="e">
        <f aca="false">IF(BS213,(CE213*BR213+CD213*BK213)/BS213,0)</f>
        <v>#VALUE!</v>
      </c>
      <c r="CG213" s="1586" t="e">
        <f aca="false">IF(OR(BQ213,BS213),IF(OVolType&lt;&gt;2,SQRT(IF(OVolOverMonthlyPeak,OVolOverMonthlyPeak,IF(OVolCurve,IF(OBuySell,U213,W213),V213))^2*(1-15/365.25/BT213)+IF(OVolOverDailyPeak,OVolOverDailyPeak,IF(OVolCurve,IF(OBuySell,AG213,AI213),AH213))^2*15/365.25/BT213),IF(OVolOverMonthlyPeak,OVolOverMonthlyPeak,IF(OVolCurve,IF(OBuySell,U213,W213),V213))),"")</f>
        <v>#VALUE!</v>
      </c>
      <c r="CH213" s="1587" t="e">
        <f aca="false">IF(OR(BQ213,BS213),IF(OVolType&lt;&gt;2,SQRT(IF(OVolOverMonthlyPeak,OVolOverMonthlyPeak,IF(OVolCurve,IF(OBuySell,X213,Z213),Y213))^2*(1-15/365.25/BT213)+IF(OVolOverDailyPeak,OVolOverDailyPeak,IF(OVolCurve,IF(OBuySell,AJ213,AL213),AK213))^2*15/365.25/BT213),IF(OVolOverMonthlyPeak,OVolOverMonthlyPeak,IF(OVolCurve,IF(OBuySell,X213,Z213),Y213))),"")</f>
        <v>#VALUE!</v>
      </c>
      <c r="CI213" s="1587" t="e">
        <f aca="false">IF(OR(BQ213,BS213),IF(OVolType&lt;&gt;2,SQRT(IF(OVolOverMonthlyPeak,OVolOverMonthlyPeak,IF(OVolCurve,IF(OBuySell,AA213,AC213),AB213))^2*(1-15/365.25/BT213)+IF(OVolOverDailyPeak,OVolOverDailyPeak,IF(OVolCurve,IF(OBuySell,AM213,AO213),AN213))^2*15/365.25/BT213),IF(OVolOverMonthlyPeak,OVolOverMonthlyPeak,IF(OVolCurve,IF(OBuySell,AA213,AC213),AB213))),"")</f>
        <v>#VALUE!</v>
      </c>
      <c r="CJ213" s="1587" t="e">
        <f aca="false">IF(BQ213,IF(BP213,SQRT(LN(1+((BU213*AZ213)^2*(EXP(CG213^2*BT213)-1)+(BV213*BA213)^2*(EXP(CH213^2*BT213)-1)+(BW213*BB213)^2*(EXP(CI213^2*BT213)-1)+2*BU213*AZ213*BV213*BA213*(EXP(CG213*CH213*BT213)-1)+2*BV213*BA213*BW213*BB213*(EXP(CH213*CI213*BT213)-1)+2*BW213*BB213*BU213*AZ213*(EXP(CI213*CG213*BT213)-1))/(BY213*BP213)^2)/BT213),0),"")</f>
        <v>#VALUE!</v>
      </c>
      <c r="CK213" s="1587" t="e">
        <f aca="false">IF(BS213,IF(BR213,SQRT(LN(1+((CA213*BH213)^2*(EXP(CG213^2*BT213)-1)+(CB213*BI213)^2*(EXP(CH213^2*BT213)-1)+(CC213*BJ213)^2*(EXP(CI213^2*BT213)-1)+2*CA213*BH213*CB213*BI213*(EXP(CG213*CH213*BT213)-1)+2*CB213*BI213*CC213*BJ213*(EXP(CH213*CI213*BT213)-1)+2*CC213*BJ213*CA213*BH213*(EXP(CI213*CG213*BT213)-1))/(CE213*BR213)^2)/BT213),0),"")</f>
        <v>#VALUE!</v>
      </c>
      <c r="CL213" s="1587" t="e">
        <f aca="false">IF(OR(BQ213,BS213),IF(OVolType&lt;&gt;2,SQRT(IF(OVolOverMonthlyOffPeak,OVolOverMonthlyOffPeak,IF(OVolCurve,IF(OBuySell,AD213,AF213),AE213))^2*(1-15/365.25/BT213)+IF(OVolOverDailyOffPeak,OVolOverDailyOffPeak,IF(OVolCurve,IF(OBuySell,AP213,AR213),AQ213))^2*15/365.25/BT213),IF(OVolOverMonthlyOffPeak,OVolOverMonthlyOffPeak,IF(OVolCurve,IF(OBuySell,AD213,AF213),AE213))),"")</f>
        <v>#VALUE!</v>
      </c>
      <c r="CM213" s="1587" t="e">
        <f aca="false">IF(BQ213,SQRT(LN(1+((BY213*BP213)^2*(EXP(CJ213^2*BT213)-1)+(BX213*BC213)^2*(EXP(CL213^2*BT213)-1)+2*BY213*BP213*BX213*BC213*(EXP(AS213*CJ213*CL213*BT213)-1))/(BY213*BP213+BX213*BC213)^2)/BT213),"")</f>
        <v>#VALUE!</v>
      </c>
      <c r="CN213" s="1588" t="e">
        <f aca="false">IF(BS213,SQRT(LN(1+((CE213*BR213)^2*(EXP(CK213^2*BT213)-1)+(CD213*BK213)^2*(EXP(CL213^2*BT213)-1)+2*CE213*BR213*CD213*BK213*(EXP(AS213*CK213*CL213*BT213)-1))/(CE213*BR213+CD213*BK213)^2)/BT213),"")</f>
        <v>#VALUE!</v>
      </c>
      <c r="CO213" s="1531" t="e">
        <f aca="false">IF(OR(BQ213,BS213),VLOOKUP(A213,GasTable,13)*HeatRatePeak*(1+VLOOKUP($B213,HeatRateDegradation,$C213+1))/1000,0)</f>
        <v>#VALUE!</v>
      </c>
      <c r="CP213" s="1316" t="e">
        <f aca="false">IF(OR(BQ213,BS213),VLOOKUP(A213,GasTable,13)*HeatRatePeak*(1+VLOOKUP($B213,HeatRateDegradation,$C213+1))/1000,0)</f>
        <v>#VALUE!</v>
      </c>
      <c r="CQ213" s="1316" t="e">
        <f aca="false">IF(OR(BQ213,BS213),VLOOKUP(A213,GasTable,13)*IF(EV213,HeatRatePeak,HeatRateOffPeak)*(1+VLOOKUP($B213,HeatRateDegradation,$C213+1))/1000,0)</f>
        <v>#VALUE!</v>
      </c>
      <c r="CR213" s="1316" t="e">
        <f aca="false">IF(OR(BQ213,BS213),VLOOKUP(A213,GasTable,13)*IF(EW213,HeatRatePeak,HeatRateOffPeak)*(1+VLOOKUP($B213,HeatRateDegradation,$C213+1))/1000,0)</f>
        <v>#VALUE!</v>
      </c>
      <c r="CS213" s="1589" t="e">
        <f aca="false">IF(BQ213,(CO213*AZ213+CP213*BA213+CQ213*BB213+CR213*BC213)/BQ213,0)</f>
        <v>#VALUE!</v>
      </c>
      <c r="CT213" s="1316" t="e">
        <f aca="false">IF(BS213,CO213,0)</f>
        <v>#VALUE!</v>
      </c>
      <c r="CU213" s="1590" t="e">
        <f aca="false">IF(OR(BQ213,BS213),VLOOKUP(A213,GasTable,14),"")</f>
        <v>#VALUE!</v>
      </c>
      <c r="CV213" s="1568" t="e">
        <f aca="false">IF(OR(BQ213,BS213),IF(CorrPowerGasOverFlag,INDEX(CorrPowerGasOver,C213),CorrPowerGas),"")</f>
        <v>#VALUE!</v>
      </c>
      <c r="CW213" s="1316" t="e">
        <f aca="false">IF(OR($BQ213,$BS213),SpreadOptPowerMargin,0)*((1+Assumptions!$C$26)^($B213-YEAR(Assumptions!$C$17)))</f>
        <v>#VALUE!</v>
      </c>
      <c r="CX213" s="1316" t="e">
        <f aca="false">IF(OR($BQ213,$BS213),SpreadOptPowerMargin,0)*((1+Assumptions!$C$26)^($B213-YEAR(Assumptions!$C$17)))</f>
        <v>#VALUE!</v>
      </c>
      <c r="CY213" s="1316" t="e">
        <f aca="false">IF(OR($BQ213,$BS213),SpreadOptPowerMargin,0)*((1+Assumptions!$C$26)^($B213-YEAR(Assumptions!$C$17)))</f>
        <v>#VALUE!</v>
      </c>
      <c r="CZ213" s="1316" t="e">
        <f aca="false">IF(OR($BQ213,$BS213),SpreadOptPowerMargin,0)*((1+Assumptions!$C$26)^($B213-YEAR(Assumptions!$C$17)))</f>
        <v>#VALUE!</v>
      </c>
      <c r="DA213" s="1591" t="e">
        <f aca="false">IF(OR(BQ213,BS213),(CW213*(AZ213+BH213)+CX213*(BA213+BI213)+CY213*(BB213+BJ213)+CZ213*(BC213+BK213))/(BQ213+BS213),0)</f>
        <v>#VALUE!</v>
      </c>
      <c r="DB213" s="1592" t="e">
        <f aca="false">IF(OR(BQ213,BS213),CG213+IF(OVolSmile,VLOOKUP(MAX(-5,CO213+CW213-BU213),IF(OVolSmile=1,VolSmileBook,VolSmileModel),2),0),"")</f>
        <v>#VALUE!</v>
      </c>
      <c r="DC213" s="1592" t="e">
        <f aca="false">IF(OR(BQ213,BS213),CH213+IF(OVolSmile,VLOOKUP(MAX(-5,CP213+CW213-BV213),IF(OVolSmile=1,VolSmileBook,VolSmileModel),2),0),"")</f>
        <v>#VALUE!</v>
      </c>
      <c r="DD213" s="1592" t="e">
        <f aca="false">IF(OR(BQ213,BS213),CI213+IF(OVolSmile,VLOOKUP(MAX(-5,CQ213+CW213-BW213),IF(OVolSmile=1,VolSmileBook,VolSmileModel),2),0),"")</f>
        <v>#VALUE!</v>
      </c>
      <c r="DE213" s="1592" t="e">
        <f aca="false">IF(OR(BQ213,BS213),CL213+IF(OVolSmile,VLOOKUP(MAX(-5,CR213+CZ213-BX213),IF(OVolSmile=1,VolSmileBook,VolSmileModel),2),0),"")</f>
        <v>#VALUE!</v>
      </c>
      <c r="DF213" s="1592" t="e">
        <f aca="false">IF(BQ213,CM213+IF(OVolSmile,VLOOKUP(MAX(-5,CS213+DA213-BZ213),IF(OVolSmile=1,VolSmileBook,VolSmileModel),2),0),"")</f>
        <v>#VALUE!</v>
      </c>
      <c r="DG213" s="1593" t="e">
        <f aca="false">IF(BS213,CN213+IF(OVolSmile,VLOOKUP(MAX(-5,CT213+DA213-CF213),IF(OVolSmile=1,VolSmileBook,VolSmileModel),2),0),"")</f>
        <v>#VALUE!</v>
      </c>
      <c r="DH213" s="1316" t="e">
        <f aca="false">IF(AND(BU213&gt;0,CO213&gt;0,DB213&gt;0,CU213&gt;0),newSPRDOPT(BU213,CO213,CW213,0,DB213,CU213,CV213,BT213*365.25,OCallPut,0),0)</f>
        <v>#VALUE!</v>
      </c>
      <c r="DI213" s="1316" t="e">
        <f aca="false">IF(AND(BV213&gt;0,CP213&gt;0,DC213&gt;0,CU213&gt;0),newSPRDOPT(BV213,CP213,CX213,0,DC213,CU213,CV213,BT213*365.25,OCallPut,0),0)</f>
        <v>#VALUE!</v>
      </c>
      <c r="DJ213" s="1316" t="e">
        <f aca="false">IF(AND(BW213&gt;0,CQ213&gt;0,DD213&gt;0,CU213&gt;0),newSPRDOPT(BW213,CQ213,CY213,0,DD213,CU213,CV213,BT213*365.25,OCallPut,0),0)</f>
        <v>#VALUE!</v>
      </c>
      <c r="DK213" s="1316" t="e">
        <f aca="false">IF(AND(BX213&gt;0,CR213&gt;0,DE213&gt;0,CU213&gt;0),newSPRDOPT(BX213,CR213,CZ213,0,DE213,CU213,CV213,BT213*365.25,OCallPut,0),0)</f>
        <v>#VALUE!</v>
      </c>
      <c r="DL213" s="1316" t="e">
        <f aca="false">IF(OVolType,IF(AND(BZ213&gt;0,CS213&gt;0,DF213&gt;0,CU213&gt;0),newSPRDOPT(BZ213,CS213,DA213,0,DF213,CU213,CV213,BT213*365.25,OCallPut,0),0),IF(BQ213,(DH213*AZ213+DI213*BA213+DJ213*BB213+DK213*BC213)/BQ213,0))</f>
        <v>#VALUE!</v>
      </c>
      <c r="DM213" s="1316"/>
      <c r="DN213" s="1316"/>
      <c r="DO213" s="1316"/>
      <c r="DP213" s="1316"/>
      <c r="DQ213" s="1316"/>
      <c r="DR213" s="1316"/>
      <c r="DS213" s="1316"/>
      <c r="DT213" s="1316"/>
      <c r="DU213" s="1316"/>
      <c r="DV213" s="1316"/>
      <c r="DW213" s="1594" t="e">
        <f aca="false">IF(AND(BW213&gt;0,CT213&gt;0,DD213&gt;0,CU213&gt;0),newSPRDOPT(BW213,CT213,CY213,0,DD213,CU213,CV213,BT213*365.25,OCallPut,0),0)</f>
        <v>#VALUE!</v>
      </c>
      <c r="DX213" s="1316" t="e">
        <f aca="false">IF(AND(BX213&gt;0,CT213&gt;0,DE213&gt;0,CU213&gt;0),newSPRDOPT(BX213,CT213,CZ213,0,DE213,CU213,CV213,BT213*365.25,OCallPut,0),0)</f>
        <v>#VALUE!</v>
      </c>
      <c r="DY213" s="1591" t="e">
        <f aca="false">IF(BS213,(DH213*BH213+DI213*BI213+DW213*BJ213+DX213*BK213)/BS213,0)</f>
        <v>#VALUE!</v>
      </c>
      <c r="DZ213" s="1551" t="e">
        <f aca="false">DH213*AZ213</f>
        <v>#VALUE!</v>
      </c>
      <c r="EA213" s="1551" t="e">
        <f aca="false">DI213*BA213</f>
        <v>#VALUE!</v>
      </c>
      <c r="EB213" s="1551" t="e">
        <f aca="false">DJ213*BB213</f>
        <v>#VALUE!</v>
      </c>
      <c r="EC213" s="1551" t="e">
        <f aca="false">DK213*BC213</f>
        <v>#VALUE!</v>
      </c>
      <c r="ED213" s="1551" t="e">
        <f aca="false">DL213*BQ213</f>
        <v>#VALUE!</v>
      </c>
      <c r="EE213" s="1595" t="e">
        <f aca="false">IF(BQ213,IF(OCallPut,IF(BU213&gt;(CO213+CW213),BU213-(CO213+CW213),0),IF((CO213+CW213)&gt;BU213,(CO213+CW213)-BU213,0))*AZ213,0)</f>
        <v>#VALUE!</v>
      </c>
      <c r="EF213" s="1596" t="e">
        <f aca="false">IF(BQ213,IF(OCallPut,IF(BV213&gt;(CP213+CX213),BV213-(CP213+CX213),0),IF((CP213+CX213)&gt;BV213,(CP213+CX213)-BV213,0))*BA213,0)</f>
        <v>#VALUE!</v>
      </c>
      <c r="EG213" s="1596" t="e">
        <f aca="false">IF(BQ213,IF(OCallPut,IF(BW213&gt;(CQ213+CY213),BW213-(CQ213+CY213),0),IF((CQ213+CY213)&gt;BW213,(CQ213+CY213)-BW213,0))*BB213,0)</f>
        <v>#VALUE!</v>
      </c>
      <c r="EH213" s="1596" t="e">
        <f aca="false">IF(BQ213,IF(OCallPut,IF(BX213&gt;(CR213+CZ213),BX213-(CR213+CZ213),0),IF((CR213+CZ213)&gt;BX213,(CR213+CZ213)-BX213,0))*BC213,0)</f>
        <v>#VALUE!</v>
      </c>
      <c r="EI213" s="1597" t="e">
        <f aca="false">IF(BQ213,IF(OVolType,IF(OCallPut,IF(BZ213&gt;(CS213+DA213),BZ213-(CS213+DA213),0),IF((CS213+DA213)&gt;BZ213,(CS213+DA213)-BZ213,0))*BQ213,SUM(EE213:EH213)),0)</f>
        <v>#VALUE!</v>
      </c>
      <c r="EJ213" s="1595" t="e">
        <f aca="false">DZ213-EE213</f>
        <v>#VALUE!</v>
      </c>
      <c r="EK213" s="1596" t="e">
        <f aca="false">EA213-EF213</f>
        <v>#VALUE!</v>
      </c>
      <c r="EL213" s="1596" t="e">
        <f aca="false">EB213-EG213</f>
        <v>#VALUE!</v>
      </c>
      <c r="EM213" s="1596" t="e">
        <f aca="false">EC213-EH213</f>
        <v>#VALUE!</v>
      </c>
      <c r="EN213" s="1597" t="e">
        <f aca="false">ED213-EI213</f>
        <v>#VALUE!</v>
      </c>
      <c r="EO213" s="1551" t="e">
        <f aca="false">DH213*BH213</f>
        <v>#VALUE!</v>
      </c>
      <c r="EP213" s="1551" t="e">
        <f aca="false">DI213*BI213</f>
        <v>#VALUE!</v>
      </c>
      <c r="EQ213" s="1551" t="e">
        <f aca="false">DW213*BJ213</f>
        <v>#VALUE!</v>
      </c>
      <c r="ER213" s="1551" t="e">
        <f aca="false">DX213*BK213</f>
        <v>#VALUE!</v>
      </c>
      <c r="ES213" s="1551" t="e">
        <f aca="false">DY213*BS213</f>
        <v>#VALUE!</v>
      </c>
      <c r="ET213" s="1566" t="e">
        <f aca="false">IF(EI213,IF(OCallPut,IF(CA213&gt;(CT213+CW213),CA213-(CT213+CW213),0),IF((CT213+CW213)&gt;CA213,(CT213+CW213)-CA213,0))*BH213,0)</f>
        <v>#VALUE!</v>
      </c>
      <c r="EU213" s="1551" t="e">
        <f aca="false">IF(EI213,IF(OCallPut,IF(CB213&gt;(CT213+CX213),CB213-(CT213+CX213),0),IF((CT213+CX213)&gt;CB213,(CT213+CX213)-CB213,0))*BI213,0)</f>
        <v>#VALUE!</v>
      </c>
      <c r="EV213" s="1551" t="e">
        <f aca="false">IF(EI213,IF(OCallPut,IF(CC213&gt;(CT213+CY213),CC213-(CT213+CY213),0),IF((CT213+CY213)&gt;CC213,(CT213+CY213)-CC213,0))*BJ213,0)</f>
        <v>#VALUE!</v>
      </c>
      <c r="EW213" s="1551" t="e">
        <f aca="false">IF(EI213,IF(OCallPut,IF(CD213&gt;(CT213+CZ213),CD213-(CT213+CZ213),0),IF((CT213+CZ213)&gt;CD213,(CT213+CZ213)-CD213,0))*BK213,0)</f>
        <v>#VALUE!</v>
      </c>
      <c r="EX213" s="1558" t="e">
        <f aca="false">IF(EI213,SUM(ET213:EW213),0)</f>
        <v>#VALUE!</v>
      </c>
      <c r="EY213" s="1551" t="e">
        <f aca="false">EO213-ET213</f>
        <v>#VALUE!</v>
      </c>
      <c r="EZ213" s="1551" t="e">
        <f aca="false">EP213-EU213</f>
        <v>#VALUE!</v>
      </c>
      <c r="FA213" s="1551" t="e">
        <f aca="false">EQ213-EV213</f>
        <v>#VALUE!</v>
      </c>
      <c r="FB213" s="1551" t="e">
        <f aca="false">ER213-EW213</f>
        <v>#VALUE!</v>
      </c>
      <c r="FC213" s="1551" t="e">
        <f aca="false">ES213-EX213</f>
        <v>#VALUE!</v>
      </c>
      <c r="FD213" s="1525" t="n">
        <f aca="false">IF(AX213,IF(VLOOKUP(C213,MAIN!$L$17:$M$28,2)="Yes",VLOOKUP(CALC!B213,MAIN!$H$17:$I$20,2),0),0)</f>
        <v>0</v>
      </c>
      <c r="FE213" s="1552" t="e">
        <f aca="false">$FD213*16*AT213*(1-$AY213)</f>
        <v>#VALUE!</v>
      </c>
      <c r="FF213" s="1553" t="e">
        <f aca="false">$FD213*16*AU213*(1-$AY213)</f>
        <v>#VALUE!</v>
      </c>
      <c r="FG213" s="1553" t="e">
        <f aca="false">$FD213*16*(AV213+AW213)*(1-$AY213)</f>
        <v>#VALUE!</v>
      </c>
      <c r="FH213" s="1554" t="n">
        <f aca="false">$FD213*8*AX213*(1-$AY213)</f>
        <v>0</v>
      </c>
      <c r="FI213" s="1555" t="n">
        <f aca="false">IF(AX213,VLOOKUP(CALC!B213,MAIN!$H$17:$K$20,4),0)</f>
        <v>0</v>
      </c>
      <c r="FJ213" s="1553" t="e">
        <f aca="false">SUM(FE213:FH213)</f>
        <v>#VALUE!</v>
      </c>
      <c r="FK213" s="1556" t="e">
        <f aca="false">FI213*FJ213</f>
        <v>#VALUE!</v>
      </c>
      <c r="FL213" s="1551" t="e">
        <f aca="false">IF($EI213&gt;0,MIN(FE213,AZ213*(1+VLOOKUP($C213,WeatherCapacityAdjustment,2))),0)</f>
        <v>#VALUE!</v>
      </c>
      <c r="FM213" s="1551" t="e">
        <f aca="false">IF($EI213&gt;0,MIN(FF213,BA213*(1+VLOOKUP($C213,WeatherCapacityAdjustment,2))),0)</f>
        <v>#VALUE!</v>
      </c>
      <c r="FN213" s="1551" t="e">
        <f aca="false">IF($EI213&gt;0,MIN(FG213,BB213*(1+VLOOKUP($C213,WeatherCapacityAdjustment,2))),0)</f>
        <v>#VALUE!</v>
      </c>
      <c r="FO213" s="1564" t="e">
        <f aca="false">IF($EI213&gt;0,MIN(FH213,BC213*(1+VLOOKUP($C213,WeatherCapacityAdjustment,3))),0)</f>
        <v>#VALUE!</v>
      </c>
      <c r="FP213" s="1551" t="e">
        <f aca="false">IF(ET213&gt;0,MIN(FE213-FL213,BH213*(1+VLOOKUP($C213,WeatherCapacityAdjustment,2))),0)</f>
        <v>#VALUE!</v>
      </c>
      <c r="FQ213" s="1551" t="e">
        <f aca="false">IF(EU213&gt;0,MIN(FF213-FM213,BI213*(1+VLOOKUP($C213,WeatherCapacityAdjustment,2))),0)</f>
        <v>#VALUE!</v>
      </c>
      <c r="FR213" s="1551" t="e">
        <f aca="false">IF(EV213&gt;0,MIN(FG213-FN213,BJ213*(1+VLOOKUP($C213,WeatherCapacityAdjustment,2))),0)</f>
        <v>#VALUE!</v>
      </c>
      <c r="FS213" s="1558" t="e">
        <f aca="false">IF(EW213&gt;0,MIN(FH213-FO213,BK213*(1+VLOOKUP($C213,WeatherCapacityAdjustment,3))),0)</f>
        <v>#VALUE!</v>
      </c>
      <c r="FT213" s="1566" t="e">
        <f aca="false">IF(AND(Assumptions!$H$71="Yes",A213&gt;=Assumptions!$H$72,A213&lt;=Assumptions!$H$73),0,IF(AND($A213&gt;=Assumptions!$C$17,$A213&lt;=Assumptions!$C$18),MAX(AZ213*(1+VLOOKUP($C213,WeatherCapacityAdjustment,2))-FL213,0),0))</f>
        <v>#VALUE!</v>
      </c>
      <c r="FU213" s="1551" t="e">
        <f aca="false">IF(AND(Assumptions!$H$71="Yes",A213&gt;=Assumptions!$H$72,A213&lt;=Assumptions!$H$73),0,IF(AND($A213&gt;=Assumptions!$C$17,$A213&lt;=Assumptions!$C$18),MAX(BA213*(1+VLOOKUP($C213,WeatherCapacityAdjustment,2))-FM213,0),0))</f>
        <v>#VALUE!</v>
      </c>
      <c r="FV213" s="1551" t="e">
        <f aca="false">IF(AND(Assumptions!$H$71="Yes",A213&gt;=Assumptions!$H$72,A213&lt;=Assumptions!$H$73),0,IF(AND($A213&gt;=Assumptions!$C$17,$A213&lt;=Assumptions!$C$18),MAX(BB213*(1+VLOOKUP($C213,WeatherCapacityAdjustment,2))-FN213,0),0))</f>
        <v>#VALUE!</v>
      </c>
      <c r="FW213" s="1564" t="e">
        <f aca="false">IF(AND(Assumptions!$H$71="Yes",A213&gt;=Assumptions!$H$72,A213&lt;=Assumptions!$H$73),0,IF(AND($A213&gt;=Assumptions!$C$17,$A213&lt;=Assumptions!$C$18),MAX(BC213*(1+VLOOKUP($C213,WeatherCapacityAdjustment,3))-FO213,0),0))</f>
        <v>#VALUE!</v>
      </c>
      <c r="FX213" s="1569" t="e">
        <f aca="false">IF(AND(Assumptions!$H$71="Yes",A213&gt;=Assumptions!$H$72,A213&lt;=Assumptions!$H$73),0,IF(ET213&gt;0,MAX(BH213*(1+VLOOKUP($C213,WeatherCapacityAdjustment,2))-FP213,0),0))</f>
        <v>#VALUE!</v>
      </c>
      <c r="FY213" s="1551" t="e">
        <f aca="false">IF(AND(Assumptions!$H$71="Yes",A213&gt;=Assumptions!$H$72,A213&lt;=Assumptions!$H$73),0,IF(EU213&gt;0,MAX(BI213*(1+VLOOKUP($C213,WeatherCapacityAdjustment,3))-FQ213,0),0))</f>
        <v>#VALUE!</v>
      </c>
      <c r="FZ213" s="1551" t="e">
        <f aca="false">IF(AND(Assumptions!$H$71="Yes",A213&gt;=Assumptions!$H$72,A213&lt;=Assumptions!$H$73),0,IF(EV213&gt;0,MAX(BJ213*(1+VLOOKUP($C213,WeatherCapacityAdjustment,2))-FR213,0),0))</f>
        <v>#VALUE!</v>
      </c>
      <c r="GA213" s="1564" t="e">
        <f aca="false">IF(AND(Assumptions!$H$71="Yes",A213&gt;=Assumptions!$H$72,A213&lt;=Assumptions!$H$73),0,IF(EW213&gt;0,MAX(BK213*(1+VLOOKUP($C213,WeatherCapacityAdjustment,2))-FS213,0),0))</f>
        <v>#VALUE!</v>
      </c>
      <c r="GB213" s="1551" t="e">
        <f aca="false">SUM(FT213:GA213)</f>
        <v>#VALUE!</v>
      </c>
      <c r="GC213" s="1563" t="e">
        <f aca="false">+IF(SUM(FT213:GA213)=0,0,(SUMPRODUCT(BU213:BX213,FT213:FW213)+SUMPRODUCT(CA213:CD213,FX213:GA213))/SUM(FT213:GA213))</f>
        <v>#VALUE!</v>
      </c>
      <c r="GD213" s="1551" t="e">
        <f aca="false">(FT213*BU213+FX213*CA213+FU213*BV213+FY213*CB213+FV213*BW213+FZ213*CC213+FW213*BX213+GA213*CD213)</f>
        <v>#VALUE!</v>
      </c>
      <c r="GE213" s="1561" t="e">
        <f aca="false">+IF(BQ213,((FL213+FM213+FT213+FU213)*HeatRatePeak/1000*(1+VLOOKUP($C213,WeatherHeatRateAdjustment,2))+(FN213+FV213)*IF(EV213&gt;0,HeatRatePeak,HeatRateOffPeak)/1000*(1+VLOOKUP($C213,WeatherHeatRateAdjustment,2))+(FO213+FW213)*IF(EW213&gt;0,HeatRatePeak,HeatRateOffPeak)/1000*(1+VLOOKUP($C213,WeatherHeatRateAdjustment,3)))*(1+VLOOKUP($B213,HeatRateDegradation,$C213+1)),0)</f>
        <v>#VALUE!</v>
      </c>
      <c r="GF213" s="1562" t="e">
        <f aca="false">IF(BQ213,((FP213+FQ213+FR213+FX213+FY213+FZ213)*HeatRatePeak/1000*(1+VLOOKUP($C213,WeatherHeatRateAdjustment,2))+(FS213+GA213)*HeatRatePeak/1000*(1+VLOOKUP($C213,WeatherHeatRateAdjustment,3)))*(1+VLOOKUP($B213,HeatRateDegradation,$C213+1)),0)</f>
        <v>#VALUE!</v>
      </c>
      <c r="GG213" s="1563" t="e">
        <f aca="false">IF(BQ213,VLOOKUP(A213,GasTable,13),0)</f>
        <v>#VALUE!</v>
      </c>
      <c r="GH213" s="1564" t="e">
        <f aca="false">(GE213+GF213)*GG213</f>
        <v>#VALUE!</v>
      </c>
      <c r="GI213" s="1569" t="e">
        <f aca="false">GB213</f>
        <v>#VALUE!</v>
      </c>
      <c r="GJ213" s="1598" t="e">
        <f aca="false">+DA213</f>
        <v>#VALUE!</v>
      </c>
      <c r="GK213" s="1558" t="e">
        <f aca="false">+GI213*GJ213</f>
        <v>#VALUE!</v>
      </c>
      <c r="GL213" s="1566" t="e">
        <f aca="false">MAX(FE213-FL213-FP213,0)</f>
        <v>#VALUE!</v>
      </c>
      <c r="GM213" s="1551" t="e">
        <f aca="false">MAX(FF213-FM213-FQ213,0)</f>
        <v>#VALUE!</v>
      </c>
      <c r="GN213" s="1551" t="e">
        <f aca="false">MAX(FG213-FN213-FR213,0)</f>
        <v>#VALUE!</v>
      </c>
      <c r="GO213" s="1564" t="e">
        <f aca="false">MAX(FH213-FO213-FS213,0)</f>
        <v>#VALUE!</v>
      </c>
      <c r="GP213" s="1551" t="e">
        <f aca="false">SUM(GL213:GO213)</f>
        <v>#VALUE!</v>
      </c>
      <c r="GQ213" s="1563" t="e">
        <f aca="false">IF(SUM(GL213:GO213)=0,0,((GL213*BU213+GM213*BV213+GN213*BW213+GO213*BX213)/SUM(GL213:GO213)))</f>
        <v>#VALUE!</v>
      </c>
      <c r="GR213" s="1558" t="e">
        <f aca="false">(GL213*BU213+GM213*BV213+GN213*BW213+GO213*BX213)</f>
        <v>#VALUE!</v>
      </c>
      <c r="GS213" s="1566" t="n">
        <f aca="false">IF($A213&gt;=BegDate,Assumptions!$C$56*24*($A214-$A213)*(1-VLOOKUP($B213,MAIN!$AA$7:$AM$28,$C213+1))*(1-VLOOKUP($B213,MAIN!$AA$33:$AM$54,$C213+1)),0)*80/168</f>
        <v>249428.571428571</v>
      </c>
      <c r="GT213" s="286" t="n">
        <f aca="false">J213</f>
        <v>70.5547331488436</v>
      </c>
      <c r="GU213" s="286" t="n">
        <f aca="false">IF($A213&gt;=BegDate,VLOOKUP($A213,GasTable,13)+Assumptions!$C$58,0)</f>
        <v>3.53593743884719</v>
      </c>
      <c r="GV213" s="286" t="n">
        <f aca="false">GU213*Assumptions!$C$57/1000</f>
        <v>25.6355464316421</v>
      </c>
      <c r="GW213" s="1558" t="n">
        <f aca="false">IF(Assumptions!$C$60="Hourly",MAX(0,GS213*(GT213-GV213)),GS213*(GT213-GV213))</f>
        <v>11204128.5726048</v>
      </c>
      <c r="GX213" s="1566" t="n">
        <f aca="false">IF($A213&gt;=BegDate,Assumptions!$C$56*24*($A214-$A213)*(1-VLOOKUP($B213,MAIN!$AA$7:$AM$28,$C213+1))*(1-VLOOKUP($B213,MAIN!$AA$33:$AM$54,$C213+1)),0)*16/168</f>
        <v>49885.7142857143</v>
      </c>
      <c r="GY213" s="286" t="n">
        <f aca="false">M213</f>
        <v>70.5547331488436</v>
      </c>
      <c r="GZ213" s="286" t="n">
        <f aca="false">IF($A213&gt;=BegDate,VLOOKUP($A213,GasTable,13)+Assumptions!$C$58,0)</f>
        <v>3.53593743884719</v>
      </c>
      <c r="HA213" s="286" t="n">
        <f aca="false">GZ213*Assumptions!$C$57/1000</f>
        <v>25.6355464316421</v>
      </c>
      <c r="HB213" s="1558" t="n">
        <f aca="false">IF(Assumptions!$C$60="Hourly",MAX(0,GX213*(GY213-HA213)),GX213*(GY213-HA213))</f>
        <v>2240825.71452096</v>
      </c>
      <c r="HC213" s="1566" t="n">
        <f aca="false">IF($A213&gt;=BegDate,Assumptions!$C$56*24*($A214-$A213)*(1-VLOOKUP($B213,MAIN!$AA$7:$AM$28,$C213+1))*(1-VLOOKUP($B213,MAIN!$AA$33:$AM$54,$C213+1)),0)*16/168</f>
        <v>49885.7142857143</v>
      </c>
      <c r="HD213" s="286" t="n">
        <f aca="false">P213</f>
        <v>33.3831282192525</v>
      </c>
      <c r="HE213" s="286" t="n">
        <f aca="false">IF($A213&gt;=BegDate,VLOOKUP($A213,GasTable,13)+Assumptions!$C$58,0)</f>
        <v>3.53593743884719</v>
      </c>
      <c r="HF213" s="286" t="n">
        <f aca="false">HE213*Assumptions!$C$57/1000</f>
        <v>25.6355464316421</v>
      </c>
      <c r="HG213" s="1558" t="n">
        <f aca="false">IF(Assumptions!$C$60="Hourly",MAX(0,HC213*(HD213-HF213)),HC213*(HD213-HF213))</f>
        <v>386493.651461934</v>
      </c>
      <c r="HH213" s="1566" t="n">
        <f aca="false">IF($A213&gt;=BegDate,Assumptions!$C$56*24*($A214-$A213)*(1-VLOOKUP($B213,MAIN!$AA$7:$AM$28,$C213+1))*(1-VLOOKUP($B213,MAIN!$AA$33:$AM$54,$C213+1)),0)*56/168</f>
        <v>174600</v>
      </c>
      <c r="HI213" s="286" t="n">
        <f aca="false">S213</f>
        <v>33.3831282192525</v>
      </c>
      <c r="HJ213" s="286" t="n">
        <f aca="false">IF($A213&gt;=BegDate,VLOOKUP($A213,GasTable,13)+Assumptions!$C$58,0)</f>
        <v>3.53593743884719</v>
      </c>
      <c r="HK213" s="286" t="n">
        <f aca="false">HJ213*Assumptions!$C$57/1000</f>
        <v>25.6355464316421</v>
      </c>
      <c r="HL213" s="1558" t="n">
        <f aca="false">IF(Assumptions!$C$60="Hourly",MAX(0,HH213*(HI213-HK213)),HH213*(HI213-HK213))</f>
        <v>1352727.78011677</v>
      </c>
      <c r="HM213" s="1566" t="n">
        <f aca="false">IF(AND(Assumptions!$H$71="Yes",A213&gt;=Assumptions!$H$72,A213&lt;=Assumptions!$H$73),Assumptions!$H$74*Assumptions!$C$9*1000,0)</f>
        <v>0</v>
      </c>
      <c r="HN213" s="1551"/>
      <c r="HO213" s="1563"/>
      <c r="HP213" s="1563"/>
      <c r="HQ213" s="1563"/>
      <c r="HR213" s="1563"/>
      <c r="HS213" s="1563"/>
      <c r="HT213" s="1563"/>
      <c r="HU213" s="1563"/>
      <c r="HV213" s="1563"/>
      <c r="HW213" s="1563"/>
      <c r="HX213" s="1563"/>
      <c r="HY213" s="1563"/>
      <c r="HZ213" s="1563"/>
      <c r="IA213" s="1563"/>
      <c r="IB213" s="1563"/>
      <c r="IC213" s="1563"/>
      <c r="ID213" s="1563"/>
      <c r="IE213" s="1563"/>
      <c r="IF213" s="1563"/>
      <c r="IG213" s="1563"/>
      <c r="IH213" s="1563"/>
      <c r="II213" s="1610"/>
      <c r="IJ213" s="1309"/>
      <c r="IK213" s="1309"/>
    </row>
    <row r="214" customFormat="false" ht="12.75" hidden="false" customHeight="false" outlineLevel="0" collapsed="false">
      <c r="A214" s="1571" t="n">
        <f aca="false">EOMONTH(A213,0)+1</f>
        <v>42644</v>
      </c>
      <c r="B214" s="594" t="n">
        <f aca="false">+YEAR(A214)</f>
        <v>2016</v>
      </c>
      <c r="C214" s="238" t="n">
        <f aca="false">MONTH(A214)</f>
        <v>10</v>
      </c>
      <c r="D214" s="1572" t="e">
        <f aca="false">IF(E214="","",Holiday(B214,C214))</f>
        <v>#VALUE!</v>
      </c>
      <c r="E214" s="1573" t="n">
        <f aca="false">IF(OR(BegDate&gt;=A215,EndDate&lt;A214,AND(VolumeMonthlyOverFlag,INDEX(VolumeMonthlyOver,C214)=0),NOT(INDEX(MonthKnockOutTable,C214))),"",MAX(A214,BegDate))</f>
        <v>42644</v>
      </c>
      <c r="F214" s="1574" t="n">
        <f aca="false">IF(E214="","",MIN(A215-1,EndDate))</f>
        <v>42674</v>
      </c>
      <c r="G214" s="1575" t="n">
        <v>0</v>
      </c>
      <c r="H214" s="1576" t="n">
        <f aca="false">(1+G214/2)^(-2*(DATE(B215,C215,20)-DateToday)/365.25)</f>
        <v>1</v>
      </c>
      <c r="I214" s="1568" t="n">
        <f aca="false">IF(Assumptions!$L$25=4,VLOOKUP($A214,'Henwood Reference'!$E$9:$R$320,10),(VLOOKUP($A214,PriceTable,2,0)+IF(BasisNumber&lt;&gt;1,VLOOKUP($A214,BasisTable,2,0),0)+I$1)/(1-I$2))</f>
        <v>56.1500927453278</v>
      </c>
      <c r="J214" s="1568" t="n">
        <f aca="false">IF(Assumptions!$L$25=4,VLOOKUP($A214,'Henwood Reference'!$E$9:$R$320,10),(VLOOKUP($A214,PriceTable,3,0)+IF(BasisNumber&lt;&gt;1,VLOOKUP($A214,BasisTable,2,0),0)+J$1)/(1-J$2))</f>
        <v>56.1500927453278</v>
      </c>
      <c r="K214" s="1568" t="n">
        <f aca="false">IF(Assumptions!$L$25=4,VLOOKUP($A214,'Henwood Reference'!$E$9:$R$320,10),(VLOOKUP($A214,PriceTable,4,0)+IF(BasisNumber&lt;&gt;1,VLOOKUP($A214,BasisTable,2,0),0)+K$1)/(1-K$2))</f>
        <v>56.1500927453278</v>
      </c>
      <c r="L214" s="1523" t="n">
        <f aca="false">IF(Assumptions!$L$25=4,VLOOKUP($A214,'Henwood Reference'!$E$9:$R$320,10),(VLOOKUP($A214,PriceTableWeekend,2,0)+IF(BasisNumber&lt;&gt;1,VLOOKUP($A214,BasisTable,2,0),0)+L$1)/(1-L$2))</f>
        <v>56.1500927453278</v>
      </c>
      <c r="M214" s="1568" t="n">
        <f aca="false">IF(Assumptions!$L$25=4,VLOOKUP($A214,'Henwood Reference'!$E$9:$R$320,10),(VLOOKUP($A214,PriceTableWeekend,3,0)+IF(BasisNumber&lt;&gt;1,VLOOKUP($A214,BasisTable,2,0),0)+M$1)/(1-M$2))</f>
        <v>56.1500927453278</v>
      </c>
      <c r="N214" s="1599" t="n">
        <f aca="false">IF(Assumptions!$L$25=4,VLOOKUP($A214,'Henwood Reference'!$E$9:$R$320,10),(VLOOKUP($A214,PriceTableWeekend,4,0)+IF(BasisNumber&lt;&gt;1,VLOOKUP($A214,BasisTable,2,0),0)+N$1)/(1-N$2))</f>
        <v>56.1500927453278</v>
      </c>
      <c r="O214" s="1568" t="n">
        <f aca="false">IF(Assumptions!$L$25=4,VLOOKUP($A214,'Henwood Reference'!$E$9:$R$320,11),(VLOOKUP($A214,PriceTableWeekend,6,0)+IF(BasisNumber&lt;&gt;1,VLOOKUP($A214,BasisTable,3,0),0)+O$1)/(1-O$2))</f>
        <v>29.6862163154435</v>
      </c>
      <c r="P214" s="1568" t="n">
        <f aca="false">IF(Assumptions!$L$25=4,VLOOKUP($A214,'Henwood Reference'!$E$9:$R$320,11),(VLOOKUP($A214,PriceTableWeekend,7,0)+IF(BasisNumber&lt;&gt;1,VLOOKUP($A214,BasisTable,3,0),0)+P$1)/(1-P$2))</f>
        <v>29.6862163154435</v>
      </c>
      <c r="Q214" s="1599" t="n">
        <f aca="false">IF(Assumptions!$L$25=4,VLOOKUP($A214,'Henwood Reference'!$E$9:$R$320,11),(VLOOKUP($A214,PriceTableWeekend,8,0)+IF(BasisNumber&lt;&gt;1,VLOOKUP($A214,BasisTable,3,0),0)+Q$1)/(1-Q$2))</f>
        <v>29.6862163154435</v>
      </c>
      <c r="R214" s="1568" t="n">
        <f aca="false">IF(Assumptions!$L$25=4,VLOOKUP($A214,'Henwood Reference'!$E$9:$R$320,11),(VLOOKUP($A214,PriceTable,6,0)+IF(BasisNumber&lt;&gt;1,VLOOKUP($A214,BasisTable,3,0),0)+R$1)/(1-R$2))</f>
        <v>29.6862163154435</v>
      </c>
      <c r="S214" s="1568" t="n">
        <f aca="false">IF(Assumptions!$L$25=4,VLOOKUP($A214,'Henwood Reference'!$E$9:$R$320,11),(VLOOKUP($A214,PriceTable,7,0)+IF(BasisNumber&lt;&gt;1,VLOOKUP($A214,BasisTable,3,0),0)+S$1)/(1-S$2))</f>
        <v>29.6862163154435</v>
      </c>
      <c r="T214" s="1600" t="n">
        <f aca="false">IF(Assumptions!$L$25=4,VLOOKUP($A214,'Henwood Reference'!$E$9:$R$320,11),(VLOOKUP($A214,PriceTable,8,0)+IF(BasisNumber&lt;&gt;1,VLOOKUP($A214,BasisTable,3,0),0)+T$1)/(1-T$2))</f>
        <v>29.6862163154435</v>
      </c>
      <c r="U214" s="1513" t="n">
        <f aca="false">VLOOKUP($A214,VolatilityTable,14)</f>
        <v>0.09</v>
      </c>
      <c r="V214" s="1513" t="n">
        <f aca="false">VLOOKUP($A214,VolatilityTable,15)</f>
        <v>0.1</v>
      </c>
      <c r="W214" s="1514" t="n">
        <f aca="false">VLOOKUP($A214,VolatilityTable,16)</f>
        <v>0.11</v>
      </c>
      <c r="X214" s="1513" t="n">
        <f aca="false">VLOOKUP($A214,VolatilityTable,14)</f>
        <v>0.09</v>
      </c>
      <c r="Y214" s="1513" t="n">
        <f aca="false">VLOOKUP($A214,VolatilityTable,15)</f>
        <v>0.1</v>
      </c>
      <c r="Z214" s="1514" t="n">
        <f aca="false">VLOOKUP($A214,VolatilityTable,16)</f>
        <v>0.11</v>
      </c>
      <c r="AA214" s="1513" t="n">
        <f aca="false">VLOOKUP($A214,VolatilityTable,18)</f>
        <v>0.09</v>
      </c>
      <c r="AB214" s="1513" t="n">
        <f aca="false">VLOOKUP($A214,VolatilityTable,19)</f>
        <v>0.11</v>
      </c>
      <c r="AC214" s="1514" t="n">
        <f aca="false">VLOOKUP($A214,VolatilityTable,20)</f>
        <v>0.13</v>
      </c>
      <c r="AD214" s="1513" t="n">
        <f aca="false">VLOOKUP($A214,VolatilityTable,18)</f>
        <v>0.09</v>
      </c>
      <c r="AE214" s="1513" t="n">
        <f aca="false">VLOOKUP($A214,VolatilityTable,19)</f>
        <v>0.11</v>
      </c>
      <c r="AF214" s="1514" t="n">
        <f aca="false">VLOOKUP($A214,VolatilityTable,20)</f>
        <v>0.13</v>
      </c>
      <c r="AG214" s="1513" t="n">
        <f aca="false">VLOOKUP($A214,VolatilityTable,22)</f>
        <v>-0.1</v>
      </c>
      <c r="AH214" s="1513" t="n">
        <f aca="false">VLOOKUP($A214,VolatilityTable,23)</f>
        <v>3</v>
      </c>
      <c r="AI214" s="1514" t="n">
        <f aca="false">VLOOKUP($A214,VolatilityTable,24)</f>
        <v>0.1</v>
      </c>
      <c r="AJ214" s="1513" t="n">
        <f aca="false">VLOOKUP($A214,VolatilityTable,22)</f>
        <v>-0.1</v>
      </c>
      <c r="AK214" s="1513" t="n">
        <f aca="false">VLOOKUP($A214,VolatilityTable,23)</f>
        <v>3</v>
      </c>
      <c r="AL214" s="1514" t="n">
        <f aca="false">VLOOKUP($A214,VolatilityTable,24)</f>
        <v>0.1</v>
      </c>
      <c r="AM214" s="1513" t="n">
        <f aca="false">VLOOKUP($A214,VolatilityTable,26)</f>
        <v>-0.01</v>
      </c>
      <c r="AN214" s="1513" t="n">
        <f aca="false">VLOOKUP($A214,VolatilityTable,27)</f>
        <v>0.16</v>
      </c>
      <c r="AO214" s="1514" t="n">
        <f aca="false">VLOOKUP($A214,VolatilityTable,28)</f>
        <v>0.01</v>
      </c>
      <c r="AP214" s="1513" t="n">
        <f aca="false">VLOOKUP($A214,VolatilityTable,26)</f>
        <v>-0.01</v>
      </c>
      <c r="AQ214" s="1513" t="n">
        <f aca="false">VLOOKUP($A214,VolatilityTable,27)</f>
        <v>0.16</v>
      </c>
      <c r="AR214" s="1515" t="n">
        <f aca="false">VLOOKUP($A214,VolatilityTable,28)</f>
        <v>0.01</v>
      </c>
      <c r="AS214" s="1581" t="n">
        <f aca="false">IF(CorrPeakOffPeakOverFlag,INDEX(CorrPeakOffPeakOver,C214),CorrPeakOffPeak)</f>
        <v>0.5</v>
      </c>
      <c r="AT214" s="594" t="e">
        <f aca="false">AX214-SUM(AU214:AW214)</f>
        <v>#VALUE!</v>
      </c>
      <c r="AU214" s="238" t="e">
        <f aca="false">IF(E214="",0,INT((F214-MOD(F214,7)-E214)/7)+1-IF(AW214,IF(WEEKDAY(D214)=7,1,0),0))</f>
        <v>#VALUE!</v>
      </c>
      <c r="AV214" s="238" t="e">
        <f aca="false">IF(E214="",0,INT((F214-MOD(F214-1,7)-E214)/7)+1-IF(AW214,IF(WEEKDAY(D214)=1,1,0),0))</f>
        <v>#VALUE!</v>
      </c>
      <c r="AW214" s="238" t="e">
        <f aca="false">IF(OR(E214="",D214="",D214&lt;BegDate,D214&gt;EndDate),0,1)</f>
        <v>#VALUE!</v>
      </c>
      <c r="AX214" s="238" t="n">
        <f aca="false">IF(E214="",0,F214-E214+1)</f>
        <v>31</v>
      </c>
      <c r="AY214" s="1582" t="n">
        <f aca="false">IF(E214="",0,MIN((1-(1-VLOOKUP(B214,MAIN!$AA$7:$AM$28,C214+1))*(1-VLOOKUP(B214,MAIN!$AA$33:$AM$54,C214+1))),1))</f>
        <v>0.03</v>
      </c>
      <c r="AZ214" s="1519" t="e">
        <v>#VALUE!</v>
      </c>
      <c r="BA214" s="1520" t="e">
        <v>#VALUE!</v>
      </c>
      <c r="BB214" s="1520" t="e">
        <v>#VALUE!</v>
      </c>
      <c r="BC214" s="1583" t="e">
        <v>#VALUE!</v>
      </c>
      <c r="BD214" s="1522" t="e">
        <v>#VALUE!</v>
      </c>
      <c r="BE214" s="1523" t="e">
        <v>#VALUE!</v>
      </c>
      <c r="BF214" s="1523" t="e">
        <v>#VALUE!</v>
      </c>
      <c r="BG214" s="1584" t="e">
        <v>#VALUE!</v>
      </c>
      <c r="BH214" s="1525" t="e">
        <v>#VALUE!</v>
      </c>
      <c r="BI214" s="1520" t="e">
        <v>#VALUE!</v>
      </c>
      <c r="BJ214" s="1520" t="e">
        <v>#VALUE!</v>
      </c>
      <c r="BK214" s="1583" t="e">
        <v>#VALUE!</v>
      </c>
      <c r="BL214" s="1522" t="e">
        <v>#VALUE!</v>
      </c>
      <c r="BM214" s="1523" t="e">
        <v>#VALUE!</v>
      </c>
      <c r="BN214" s="1523" t="e">
        <v>#VALUE!</v>
      </c>
      <c r="BO214" s="1523" t="e">
        <v>#VALUE!</v>
      </c>
      <c r="BP214" s="1525" t="e">
        <f aca="false">SUM(AZ214:BB214)</f>
        <v>#VALUE!</v>
      </c>
      <c r="BQ214" s="1529" t="e">
        <f aca="false">SUM(AZ214:BC214)</f>
        <v>#VALUE!</v>
      </c>
      <c r="BR214" s="1519" t="e">
        <f aca="false">SUM(BH214:BJ214)</f>
        <v>#VALUE!</v>
      </c>
      <c r="BS214" s="1529" t="e">
        <f aca="false">SUM(BH214:BK214)</f>
        <v>#VALUE!</v>
      </c>
      <c r="BT214" s="1316" t="n">
        <f aca="false">(IF(OVolType&lt;&gt;2,A214+14,IF(OptExpDateShift,ShiftBack(A214,OptExpDateShift,D213),A214))-DateToday)/365.25</f>
        <v>16.4654346338125</v>
      </c>
      <c r="BU214" s="1585" t="e">
        <f aca="false">IF(BQ214,IF(OPriceCurve,IF(OBuySell=OCallPut,I214/(1-AY214),K214/(1-AY214)),J214/(1-AY214))*BD214,0)</f>
        <v>#VALUE!</v>
      </c>
      <c r="BV214" s="1316" t="e">
        <f aca="false">IF(BQ214,IF(OPriceCurve,IF(OBuySell=OCallPut,L214/(1-AY214),N214/(1-AY214)),M214/(1-AY214))*BE214,0)</f>
        <v>#VALUE!</v>
      </c>
      <c r="BW214" s="1316" t="e">
        <f aca="false">IF(BQ214,IF(OPriceCurve,IF(OBuySell=OCallPut,O214/(1-AY214),Q214/(1-AY214)),P214/(1-AY214))*BF214,0)</f>
        <v>#VALUE!</v>
      </c>
      <c r="BX214" s="1316" t="e">
        <f aca="false">IF(BQ214,IF(OPriceCurve,IF(OBuySell=OCallPut,R214/(1-AY214),T214/(1-AY214)),S214/(1-AY214))*BG214,0)</f>
        <v>#VALUE!</v>
      </c>
      <c r="BY214" s="1316" t="e">
        <f aca="false">IF(BP214,(BU214*AZ214+BV214*BA214+BW214*BB214)/BP214,0)</f>
        <v>#VALUE!</v>
      </c>
      <c r="BZ214" s="1316" t="e">
        <f aca="false">IF(BQ214,(BY214*BP214+BX214*BC214)/BQ214,0)</f>
        <v>#VALUE!</v>
      </c>
      <c r="CA214" s="1531" t="e">
        <f aca="false">IF(BS214,IF(OPriceCurve,IF(OBuySell=OCallPut,I214/(1-AY214),K214/(1-AY214)),J214/(1-AY214))*BL214,0)</f>
        <v>#VALUE!</v>
      </c>
      <c r="CB214" s="1316" t="e">
        <f aca="false">IF(BS214,IF(OPriceCurve,IF(OBuySell=OCallPut,L214/(1-AY214),N214/(1-AY214)),M214/(1-AY214))*BM214,0)</f>
        <v>#VALUE!</v>
      </c>
      <c r="CC214" s="1316" t="e">
        <f aca="false">IF(BS214,IF(OPriceCurve,IF(OBuySell=OCallPut,O214/(1-AY214),Q214/(1-AY214)),P214/(1-AY214))*BN214,0)</f>
        <v>#VALUE!</v>
      </c>
      <c r="CD214" s="1316" t="e">
        <f aca="false">IF(BS214,IF(OPriceCurve,IF(OBuySell=OCallPut,R214/(1-AY214),T214/(1-AY214)),S214/(1-AY214))*BO214,0)</f>
        <v>#VALUE!</v>
      </c>
      <c r="CE214" s="1316" t="e">
        <f aca="false">IF(BR214,(BU214*BH214+BV214*BI214+BW214*BJ214)/BR214,0)</f>
        <v>#VALUE!</v>
      </c>
      <c r="CF214" s="1532" t="e">
        <f aca="false">IF(BS214,(CE214*BR214+CD214*BK214)/BS214,0)</f>
        <v>#VALUE!</v>
      </c>
      <c r="CG214" s="1586" t="e">
        <f aca="false">IF(OR(BQ214,BS214),IF(OVolType&lt;&gt;2,SQRT(IF(OVolOverMonthlyPeak,OVolOverMonthlyPeak,IF(OVolCurve,IF(OBuySell,U214,W214),V214))^2*(1-15/365.25/BT214)+IF(OVolOverDailyPeak,OVolOverDailyPeak,IF(OVolCurve,IF(OBuySell,AG214,AI214),AH214))^2*15/365.25/BT214),IF(OVolOverMonthlyPeak,OVolOverMonthlyPeak,IF(OVolCurve,IF(OBuySell,U214,W214),V214))),"")</f>
        <v>#VALUE!</v>
      </c>
      <c r="CH214" s="1587" t="e">
        <f aca="false">IF(OR(BQ214,BS214),IF(OVolType&lt;&gt;2,SQRT(IF(OVolOverMonthlyPeak,OVolOverMonthlyPeak,IF(OVolCurve,IF(OBuySell,X214,Z214),Y214))^2*(1-15/365.25/BT214)+IF(OVolOverDailyPeak,OVolOverDailyPeak,IF(OVolCurve,IF(OBuySell,AJ214,AL214),AK214))^2*15/365.25/BT214),IF(OVolOverMonthlyPeak,OVolOverMonthlyPeak,IF(OVolCurve,IF(OBuySell,X214,Z214),Y214))),"")</f>
        <v>#VALUE!</v>
      </c>
      <c r="CI214" s="1587" t="e">
        <f aca="false">IF(OR(BQ214,BS214),IF(OVolType&lt;&gt;2,SQRT(IF(OVolOverMonthlyPeak,OVolOverMonthlyPeak,IF(OVolCurve,IF(OBuySell,AA214,AC214),AB214))^2*(1-15/365.25/BT214)+IF(OVolOverDailyPeak,OVolOverDailyPeak,IF(OVolCurve,IF(OBuySell,AM214,AO214),AN214))^2*15/365.25/BT214),IF(OVolOverMonthlyPeak,OVolOverMonthlyPeak,IF(OVolCurve,IF(OBuySell,AA214,AC214),AB214))),"")</f>
        <v>#VALUE!</v>
      </c>
      <c r="CJ214" s="1587" t="e">
        <f aca="false">IF(BQ214,IF(BP214,SQRT(LN(1+((BU214*AZ214)^2*(EXP(CG214^2*BT214)-1)+(BV214*BA214)^2*(EXP(CH214^2*BT214)-1)+(BW214*BB214)^2*(EXP(CI214^2*BT214)-1)+2*BU214*AZ214*BV214*BA214*(EXP(CG214*CH214*BT214)-1)+2*BV214*BA214*BW214*BB214*(EXP(CH214*CI214*BT214)-1)+2*BW214*BB214*BU214*AZ214*(EXP(CI214*CG214*BT214)-1))/(BY214*BP214)^2)/BT214),0),"")</f>
        <v>#VALUE!</v>
      </c>
      <c r="CK214" s="1587" t="e">
        <f aca="false">IF(BS214,IF(BR214,SQRT(LN(1+((CA214*BH214)^2*(EXP(CG214^2*BT214)-1)+(CB214*BI214)^2*(EXP(CH214^2*BT214)-1)+(CC214*BJ214)^2*(EXP(CI214^2*BT214)-1)+2*CA214*BH214*CB214*BI214*(EXP(CG214*CH214*BT214)-1)+2*CB214*BI214*CC214*BJ214*(EXP(CH214*CI214*BT214)-1)+2*CC214*BJ214*CA214*BH214*(EXP(CI214*CG214*BT214)-1))/(CE214*BR214)^2)/BT214),0),"")</f>
        <v>#VALUE!</v>
      </c>
      <c r="CL214" s="1587" t="e">
        <f aca="false">IF(OR(BQ214,BS214),IF(OVolType&lt;&gt;2,SQRT(IF(OVolOverMonthlyOffPeak,OVolOverMonthlyOffPeak,IF(OVolCurve,IF(OBuySell,AD214,AF214),AE214))^2*(1-15/365.25/BT214)+IF(OVolOverDailyOffPeak,OVolOverDailyOffPeak,IF(OVolCurve,IF(OBuySell,AP214,AR214),AQ214))^2*15/365.25/BT214),IF(OVolOverMonthlyOffPeak,OVolOverMonthlyOffPeak,IF(OVolCurve,IF(OBuySell,AD214,AF214),AE214))),"")</f>
        <v>#VALUE!</v>
      </c>
      <c r="CM214" s="1587" t="e">
        <f aca="false">IF(BQ214,SQRT(LN(1+((BY214*BP214)^2*(EXP(CJ214^2*BT214)-1)+(BX214*BC214)^2*(EXP(CL214^2*BT214)-1)+2*BY214*BP214*BX214*BC214*(EXP(AS214*CJ214*CL214*BT214)-1))/(BY214*BP214+BX214*BC214)^2)/BT214),"")</f>
        <v>#VALUE!</v>
      </c>
      <c r="CN214" s="1588" t="e">
        <f aca="false">IF(BS214,SQRT(LN(1+((CE214*BR214)^2*(EXP(CK214^2*BT214)-1)+(CD214*BK214)^2*(EXP(CL214^2*BT214)-1)+2*CE214*BR214*CD214*BK214*(EXP(AS214*CK214*CL214*BT214)-1))/(CE214*BR214+CD214*BK214)^2)/BT214),"")</f>
        <v>#VALUE!</v>
      </c>
      <c r="CO214" s="1531" t="e">
        <f aca="false">IF(OR(BQ214,BS214),VLOOKUP(A214,GasTable,13)*HeatRatePeak*(1+VLOOKUP($B214,HeatRateDegradation,$C214+1))/1000,0)</f>
        <v>#VALUE!</v>
      </c>
      <c r="CP214" s="1316" t="e">
        <f aca="false">IF(OR(BQ214,BS214),VLOOKUP(A214,GasTable,13)*HeatRatePeak*(1+VLOOKUP($B214,HeatRateDegradation,$C214+1))/1000,0)</f>
        <v>#VALUE!</v>
      </c>
      <c r="CQ214" s="1316" t="e">
        <f aca="false">IF(OR(BQ214,BS214),VLOOKUP(A214,GasTable,13)*IF(EV214,HeatRatePeak,HeatRateOffPeak)*(1+VLOOKUP($B214,HeatRateDegradation,$C214+1))/1000,0)</f>
        <v>#VALUE!</v>
      </c>
      <c r="CR214" s="1316" t="e">
        <f aca="false">IF(OR(BQ214,BS214),VLOOKUP(A214,GasTable,13)*IF(EW214,HeatRatePeak,HeatRateOffPeak)*(1+VLOOKUP($B214,HeatRateDegradation,$C214+1))/1000,0)</f>
        <v>#VALUE!</v>
      </c>
      <c r="CS214" s="1589" t="e">
        <f aca="false">IF(BQ214,(CO214*AZ214+CP214*BA214+CQ214*BB214+CR214*BC214)/BQ214,0)</f>
        <v>#VALUE!</v>
      </c>
      <c r="CT214" s="1316" t="e">
        <f aca="false">IF(BS214,CO214,0)</f>
        <v>#VALUE!</v>
      </c>
      <c r="CU214" s="1590" t="e">
        <f aca="false">IF(OR(BQ214,BS214),VLOOKUP(A214,GasTable,14),"")</f>
        <v>#VALUE!</v>
      </c>
      <c r="CV214" s="1568" t="e">
        <f aca="false">IF(OR(BQ214,BS214),IF(CorrPowerGasOverFlag,INDEX(CorrPowerGasOver,C214),CorrPowerGas),"")</f>
        <v>#VALUE!</v>
      </c>
      <c r="CW214" s="1316" t="e">
        <f aca="false">IF(OR($BQ214,$BS214),SpreadOptPowerMargin,0)*((1+Assumptions!$C$26)^($B214-YEAR(Assumptions!$C$17)))</f>
        <v>#VALUE!</v>
      </c>
      <c r="CX214" s="1316" t="e">
        <f aca="false">IF(OR($BQ214,$BS214),SpreadOptPowerMargin,0)*((1+Assumptions!$C$26)^($B214-YEAR(Assumptions!$C$17)))</f>
        <v>#VALUE!</v>
      </c>
      <c r="CY214" s="1316" t="e">
        <f aca="false">IF(OR($BQ214,$BS214),SpreadOptPowerMargin,0)*((1+Assumptions!$C$26)^($B214-YEAR(Assumptions!$C$17)))</f>
        <v>#VALUE!</v>
      </c>
      <c r="CZ214" s="1316" t="e">
        <f aca="false">IF(OR($BQ214,$BS214),SpreadOptPowerMargin,0)*((1+Assumptions!$C$26)^($B214-YEAR(Assumptions!$C$17)))</f>
        <v>#VALUE!</v>
      </c>
      <c r="DA214" s="1591" t="e">
        <f aca="false">IF(OR(BQ214,BS214),(CW214*(AZ214+BH214)+CX214*(BA214+BI214)+CY214*(BB214+BJ214)+CZ214*(BC214+BK214))/(BQ214+BS214),0)</f>
        <v>#VALUE!</v>
      </c>
      <c r="DB214" s="1592" t="e">
        <f aca="false">IF(OR(BQ214,BS214),CG214+IF(OVolSmile,VLOOKUP(MAX(-5,CO214+CW214-BU214),IF(OVolSmile=1,VolSmileBook,VolSmileModel),2),0),"")</f>
        <v>#VALUE!</v>
      </c>
      <c r="DC214" s="1592" t="e">
        <f aca="false">IF(OR(BQ214,BS214),CH214+IF(OVolSmile,VLOOKUP(MAX(-5,CP214+CW214-BV214),IF(OVolSmile=1,VolSmileBook,VolSmileModel),2),0),"")</f>
        <v>#VALUE!</v>
      </c>
      <c r="DD214" s="1592" t="e">
        <f aca="false">IF(OR(BQ214,BS214),CI214+IF(OVolSmile,VLOOKUP(MAX(-5,CQ214+CW214-BW214),IF(OVolSmile=1,VolSmileBook,VolSmileModel),2),0),"")</f>
        <v>#VALUE!</v>
      </c>
      <c r="DE214" s="1592" t="e">
        <f aca="false">IF(OR(BQ214,BS214),CL214+IF(OVolSmile,VLOOKUP(MAX(-5,CR214+CZ214-BX214),IF(OVolSmile=1,VolSmileBook,VolSmileModel),2),0),"")</f>
        <v>#VALUE!</v>
      </c>
      <c r="DF214" s="1592" t="e">
        <f aca="false">IF(BQ214,CM214+IF(OVolSmile,VLOOKUP(MAX(-5,CS214+DA214-BZ214),IF(OVolSmile=1,VolSmileBook,VolSmileModel),2),0),"")</f>
        <v>#VALUE!</v>
      </c>
      <c r="DG214" s="1593" t="e">
        <f aca="false">IF(BS214,CN214+IF(OVolSmile,VLOOKUP(MAX(-5,CT214+DA214-CF214),IF(OVolSmile=1,VolSmileBook,VolSmileModel),2),0),"")</f>
        <v>#VALUE!</v>
      </c>
      <c r="DH214" s="1316" t="e">
        <f aca="false">IF(AND(BU214&gt;0,CO214&gt;0,DB214&gt;0,CU214&gt;0),newSPRDOPT(BU214,CO214,CW214,0,DB214,CU214,CV214,BT214*365.25,OCallPut,0),0)</f>
        <v>#VALUE!</v>
      </c>
      <c r="DI214" s="1316" t="e">
        <f aca="false">IF(AND(BV214&gt;0,CP214&gt;0,DC214&gt;0,CU214&gt;0),newSPRDOPT(BV214,CP214,CX214,0,DC214,CU214,CV214,BT214*365.25,OCallPut,0),0)</f>
        <v>#VALUE!</v>
      </c>
      <c r="DJ214" s="1316" t="e">
        <f aca="false">IF(AND(BW214&gt;0,CQ214&gt;0,DD214&gt;0,CU214&gt;0),newSPRDOPT(BW214,CQ214,CY214,0,DD214,CU214,CV214,BT214*365.25,OCallPut,0),0)</f>
        <v>#VALUE!</v>
      </c>
      <c r="DK214" s="1316" t="e">
        <f aca="false">IF(AND(BX214&gt;0,CR214&gt;0,DE214&gt;0,CU214&gt;0),newSPRDOPT(BX214,CR214,CZ214,0,DE214,CU214,CV214,BT214*365.25,OCallPut,0),0)</f>
        <v>#VALUE!</v>
      </c>
      <c r="DL214" s="1316" t="e">
        <f aca="false">IF(OVolType,IF(AND(BZ214&gt;0,CS214&gt;0,DF214&gt;0,CU214&gt;0),newSPRDOPT(BZ214,CS214,DA214,0,DF214,CU214,CV214,BT214*365.25,OCallPut,0),0),IF(BQ214,(DH214*AZ214+DI214*BA214+DJ214*BB214+DK214*BC214)/BQ214,0))</f>
        <v>#VALUE!</v>
      </c>
      <c r="DM214" s="1316"/>
      <c r="DN214" s="1316"/>
      <c r="DO214" s="1316"/>
      <c r="DP214" s="1316"/>
      <c r="DQ214" s="1316"/>
      <c r="DR214" s="1316"/>
      <c r="DS214" s="1316"/>
      <c r="DT214" s="1316"/>
      <c r="DU214" s="1316"/>
      <c r="DV214" s="1316"/>
      <c r="DW214" s="1594" t="e">
        <f aca="false">IF(AND(BW214&gt;0,CT214&gt;0,DD214&gt;0,CU214&gt;0),newSPRDOPT(BW214,CT214,CY214,0,DD214,CU214,CV214,BT214*365.25,OCallPut,0),0)</f>
        <v>#VALUE!</v>
      </c>
      <c r="DX214" s="1316" t="e">
        <f aca="false">IF(AND(BX214&gt;0,CT214&gt;0,DE214&gt;0,CU214&gt;0),newSPRDOPT(BX214,CT214,CZ214,0,DE214,CU214,CV214,BT214*365.25,OCallPut,0),0)</f>
        <v>#VALUE!</v>
      </c>
      <c r="DY214" s="1591" t="e">
        <f aca="false">IF(BS214,(DH214*BH214+DI214*BI214+DW214*BJ214+DX214*BK214)/BS214,0)</f>
        <v>#VALUE!</v>
      </c>
      <c r="DZ214" s="1551" t="e">
        <f aca="false">DH214*AZ214</f>
        <v>#VALUE!</v>
      </c>
      <c r="EA214" s="1551" t="e">
        <f aca="false">DI214*BA214</f>
        <v>#VALUE!</v>
      </c>
      <c r="EB214" s="1551" t="e">
        <f aca="false">DJ214*BB214</f>
        <v>#VALUE!</v>
      </c>
      <c r="EC214" s="1551" t="e">
        <f aca="false">DK214*BC214</f>
        <v>#VALUE!</v>
      </c>
      <c r="ED214" s="1551" t="e">
        <f aca="false">DL214*BQ214</f>
        <v>#VALUE!</v>
      </c>
      <c r="EE214" s="1595" t="e">
        <f aca="false">IF(BQ214,IF(OCallPut,IF(BU214&gt;(CO214+CW214),BU214-(CO214+CW214),0),IF((CO214+CW214)&gt;BU214,(CO214+CW214)-BU214,0))*AZ214,0)</f>
        <v>#VALUE!</v>
      </c>
      <c r="EF214" s="1596" t="e">
        <f aca="false">IF(BQ214,IF(OCallPut,IF(BV214&gt;(CP214+CX214),BV214-(CP214+CX214),0),IF((CP214+CX214)&gt;BV214,(CP214+CX214)-BV214,0))*BA214,0)</f>
        <v>#VALUE!</v>
      </c>
      <c r="EG214" s="1596" t="e">
        <f aca="false">IF(BQ214,IF(OCallPut,IF(BW214&gt;(CQ214+CY214),BW214-(CQ214+CY214),0),IF((CQ214+CY214)&gt;BW214,(CQ214+CY214)-BW214,0))*BB214,0)</f>
        <v>#VALUE!</v>
      </c>
      <c r="EH214" s="1596" t="e">
        <f aca="false">IF(BQ214,IF(OCallPut,IF(BX214&gt;(CR214+CZ214),BX214-(CR214+CZ214),0),IF((CR214+CZ214)&gt;BX214,(CR214+CZ214)-BX214,0))*BC214,0)</f>
        <v>#VALUE!</v>
      </c>
      <c r="EI214" s="1597" t="e">
        <f aca="false">IF(BQ214,IF(OVolType,IF(OCallPut,IF(BZ214&gt;(CS214+DA214),BZ214-(CS214+DA214),0),IF((CS214+DA214)&gt;BZ214,(CS214+DA214)-BZ214,0))*BQ214,SUM(EE214:EH214)),0)</f>
        <v>#VALUE!</v>
      </c>
      <c r="EJ214" s="1595" t="e">
        <f aca="false">DZ214-EE214</f>
        <v>#VALUE!</v>
      </c>
      <c r="EK214" s="1596" t="e">
        <f aca="false">EA214-EF214</f>
        <v>#VALUE!</v>
      </c>
      <c r="EL214" s="1596" t="e">
        <f aca="false">EB214-EG214</f>
        <v>#VALUE!</v>
      </c>
      <c r="EM214" s="1596" t="e">
        <f aca="false">EC214-EH214</f>
        <v>#VALUE!</v>
      </c>
      <c r="EN214" s="1597" t="e">
        <f aca="false">ED214-EI214</f>
        <v>#VALUE!</v>
      </c>
      <c r="EO214" s="1551" t="e">
        <f aca="false">DH214*BH214</f>
        <v>#VALUE!</v>
      </c>
      <c r="EP214" s="1551" t="e">
        <f aca="false">DI214*BI214</f>
        <v>#VALUE!</v>
      </c>
      <c r="EQ214" s="1551" t="e">
        <f aca="false">DW214*BJ214</f>
        <v>#VALUE!</v>
      </c>
      <c r="ER214" s="1551" t="e">
        <f aca="false">DX214*BK214</f>
        <v>#VALUE!</v>
      </c>
      <c r="ES214" s="1551" t="e">
        <f aca="false">DY214*BS214</f>
        <v>#VALUE!</v>
      </c>
      <c r="ET214" s="1566" t="e">
        <f aca="false">IF(EI214,IF(OCallPut,IF(CA214&gt;(CT214+CW214),CA214-(CT214+CW214),0),IF((CT214+CW214)&gt;CA214,(CT214+CW214)-CA214,0))*BH214,0)</f>
        <v>#VALUE!</v>
      </c>
      <c r="EU214" s="1551" t="e">
        <f aca="false">IF(EI214,IF(OCallPut,IF(CB214&gt;(CT214+CX214),CB214-(CT214+CX214),0),IF((CT214+CX214)&gt;CB214,(CT214+CX214)-CB214,0))*BI214,0)</f>
        <v>#VALUE!</v>
      </c>
      <c r="EV214" s="1551" t="e">
        <f aca="false">IF(EI214,IF(OCallPut,IF(CC214&gt;(CT214+CY214),CC214-(CT214+CY214),0),IF((CT214+CY214)&gt;CC214,(CT214+CY214)-CC214,0))*BJ214,0)</f>
        <v>#VALUE!</v>
      </c>
      <c r="EW214" s="1551" t="e">
        <f aca="false">IF(EI214,IF(OCallPut,IF(CD214&gt;(CT214+CZ214),CD214-(CT214+CZ214),0),IF((CT214+CZ214)&gt;CD214,(CT214+CZ214)-CD214,0))*BK214,0)</f>
        <v>#VALUE!</v>
      </c>
      <c r="EX214" s="1558" t="e">
        <f aca="false">IF(EI214,SUM(ET214:EW214),0)</f>
        <v>#VALUE!</v>
      </c>
      <c r="EY214" s="1551" t="e">
        <f aca="false">EO214-ET214</f>
        <v>#VALUE!</v>
      </c>
      <c r="EZ214" s="1551" t="e">
        <f aca="false">EP214-EU214</f>
        <v>#VALUE!</v>
      </c>
      <c r="FA214" s="1551" t="e">
        <f aca="false">EQ214-EV214</f>
        <v>#VALUE!</v>
      </c>
      <c r="FB214" s="1551" t="e">
        <f aca="false">ER214-EW214</f>
        <v>#VALUE!</v>
      </c>
      <c r="FC214" s="1551" t="e">
        <f aca="false">ES214-EX214</f>
        <v>#VALUE!</v>
      </c>
      <c r="FD214" s="1525" t="n">
        <f aca="false">IF(AX214,IF(VLOOKUP(C214,MAIN!$L$17:$M$28,2)="Yes",VLOOKUP(CALC!B214,MAIN!$H$17:$I$20,2),0),0)</f>
        <v>0</v>
      </c>
      <c r="FE214" s="1552" t="e">
        <f aca="false">$FD214*16*AT214*(1-$AY214)</f>
        <v>#VALUE!</v>
      </c>
      <c r="FF214" s="1553" t="e">
        <f aca="false">$FD214*16*AU214*(1-$AY214)</f>
        <v>#VALUE!</v>
      </c>
      <c r="FG214" s="1553" t="e">
        <f aca="false">$FD214*16*(AV214+AW214)*(1-$AY214)</f>
        <v>#VALUE!</v>
      </c>
      <c r="FH214" s="1554" t="n">
        <f aca="false">$FD214*8*AX214*(1-$AY214)</f>
        <v>0</v>
      </c>
      <c r="FI214" s="1555" t="n">
        <f aca="false">IF(AX214,VLOOKUP(CALC!B214,MAIN!$H$17:$K$20,4),0)</f>
        <v>0</v>
      </c>
      <c r="FJ214" s="1553" t="e">
        <f aca="false">SUM(FE214:FH214)</f>
        <v>#VALUE!</v>
      </c>
      <c r="FK214" s="1556" t="e">
        <f aca="false">FI214*FJ214</f>
        <v>#VALUE!</v>
      </c>
      <c r="FL214" s="1551" t="e">
        <f aca="false">IF($EI214&gt;0,MIN(FE214,AZ214*(1+VLOOKUP($C214,WeatherCapacityAdjustment,2))),0)</f>
        <v>#VALUE!</v>
      </c>
      <c r="FM214" s="1551" t="e">
        <f aca="false">IF($EI214&gt;0,MIN(FF214,BA214*(1+VLOOKUP($C214,WeatherCapacityAdjustment,2))),0)</f>
        <v>#VALUE!</v>
      </c>
      <c r="FN214" s="1551" t="e">
        <f aca="false">IF($EI214&gt;0,MIN(FG214,BB214*(1+VLOOKUP($C214,WeatherCapacityAdjustment,2))),0)</f>
        <v>#VALUE!</v>
      </c>
      <c r="FO214" s="1564" t="e">
        <f aca="false">IF($EI214&gt;0,MIN(FH214,BC214*(1+VLOOKUP($C214,WeatherCapacityAdjustment,3))),0)</f>
        <v>#VALUE!</v>
      </c>
      <c r="FP214" s="1551" t="e">
        <f aca="false">IF(ET214&gt;0,MIN(FE214-FL214,BH214*(1+VLOOKUP($C214,WeatherCapacityAdjustment,2))),0)</f>
        <v>#VALUE!</v>
      </c>
      <c r="FQ214" s="1551" t="e">
        <f aca="false">IF(EU214&gt;0,MIN(FF214-FM214,BI214*(1+VLOOKUP($C214,WeatherCapacityAdjustment,2))),0)</f>
        <v>#VALUE!</v>
      </c>
      <c r="FR214" s="1551" t="e">
        <f aca="false">IF(EV214&gt;0,MIN(FG214-FN214,BJ214*(1+VLOOKUP($C214,WeatherCapacityAdjustment,2))),0)</f>
        <v>#VALUE!</v>
      </c>
      <c r="FS214" s="1558" t="e">
        <f aca="false">IF(EW214&gt;0,MIN(FH214-FO214,BK214*(1+VLOOKUP($C214,WeatherCapacityAdjustment,3))),0)</f>
        <v>#VALUE!</v>
      </c>
      <c r="FT214" s="1566" t="e">
        <f aca="false">IF(AND(Assumptions!$H$71="Yes",A214&gt;=Assumptions!$H$72,A214&lt;=Assumptions!$H$73),0,IF(AND($A214&gt;=Assumptions!$C$17,$A214&lt;=Assumptions!$C$18),MAX(AZ214*(1+VLOOKUP($C214,WeatherCapacityAdjustment,2))-FL214,0),0))</f>
        <v>#VALUE!</v>
      </c>
      <c r="FU214" s="1551" t="e">
        <f aca="false">IF(AND(Assumptions!$H$71="Yes",A214&gt;=Assumptions!$H$72,A214&lt;=Assumptions!$H$73),0,IF(AND($A214&gt;=Assumptions!$C$17,$A214&lt;=Assumptions!$C$18),MAX(BA214*(1+VLOOKUP($C214,WeatherCapacityAdjustment,2))-FM214,0),0))</f>
        <v>#VALUE!</v>
      </c>
      <c r="FV214" s="1551" t="e">
        <f aca="false">IF(AND(Assumptions!$H$71="Yes",A214&gt;=Assumptions!$H$72,A214&lt;=Assumptions!$H$73),0,IF(AND($A214&gt;=Assumptions!$C$17,$A214&lt;=Assumptions!$C$18),MAX(BB214*(1+VLOOKUP($C214,WeatherCapacityAdjustment,2))-FN214,0),0))</f>
        <v>#VALUE!</v>
      </c>
      <c r="FW214" s="1564" t="e">
        <f aca="false">IF(AND(Assumptions!$H$71="Yes",A214&gt;=Assumptions!$H$72,A214&lt;=Assumptions!$H$73),0,IF(AND($A214&gt;=Assumptions!$C$17,$A214&lt;=Assumptions!$C$18),MAX(BC214*(1+VLOOKUP($C214,WeatherCapacityAdjustment,3))-FO214,0),0))</f>
        <v>#VALUE!</v>
      </c>
      <c r="FX214" s="1569" t="e">
        <f aca="false">IF(AND(Assumptions!$H$71="Yes",A214&gt;=Assumptions!$H$72,A214&lt;=Assumptions!$H$73),0,IF(ET214&gt;0,MAX(BH214*(1+VLOOKUP($C214,WeatherCapacityAdjustment,2))-FP214,0),0))</f>
        <v>#VALUE!</v>
      </c>
      <c r="FY214" s="1551" t="e">
        <f aca="false">IF(AND(Assumptions!$H$71="Yes",A214&gt;=Assumptions!$H$72,A214&lt;=Assumptions!$H$73),0,IF(EU214&gt;0,MAX(BI214*(1+VLOOKUP($C214,WeatherCapacityAdjustment,3))-FQ214,0),0))</f>
        <v>#VALUE!</v>
      </c>
      <c r="FZ214" s="1551" t="e">
        <f aca="false">IF(AND(Assumptions!$H$71="Yes",A214&gt;=Assumptions!$H$72,A214&lt;=Assumptions!$H$73),0,IF(EV214&gt;0,MAX(BJ214*(1+VLOOKUP($C214,WeatherCapacityAdjustment,2))-FR214,0),0))</f>
        <v>#VALUE!</v>
      </c>
      <c r="GA214" s="1564" t="e">
        <f aca="false">IF(AND(Assumptions!$H$71="Yes",A214&gt;=Assumptions!$H$72,A214&lt;=Assumptions!$H$73),0,IF(EW214&gt;0,MAX(BK214*(1+VLOOKUP($C214,WeatherCapacityAdjustment,2))-FS214,0),0))</f>
        <v>#VALUE!</v>
      </c>
      <c r="GB214" s="1551" t="e">
        <f aca="false">SUM(FT214:GA214)</f>
        <v>#VALUE!</v>
      </c>
      <c r="GC214" s="1563" t="e">
        <f aca="false">+IF(SUM(FT214:GA214)=0,0,(SUMPRODUCT(BU214:BX214,FT214:FW214)+SUMPRODUCT(CA214:CD214,FX214:GA214))/SUM(FT214:GA214))</f>
        <v>#VALUE!</v>
      </c>
      <c r="GD214" s="1551" t="e">
        <f aca="false">(FT214*BU214+FX214*CA214+FU214*BV214+FY214*CB214+FV214*BW214+FZ214*CC214+FW214*BX214+GA214*CD214)</f>
        <v>#VALUE!</v>
      </c>
      <c r="GE214" s="1561" t="e">
        <f aca="false">+IF(BQ214,((FL214+FM214+FT214+FU214)*HeatRatePeak/1000*(1+VLOOKUP($C214,WeatherHeatRateAdjustment,2))+(FN214+FV214)*IF(EV214&gt;0,HeatRatePeak,HeatRateOffPeak)/1000*(1+VLOOKUP($C214,WeatherHeatRateAdjustment,2))+(FO214+FW214)*IF(EW214&gt;0,HeatRatePeak,HeatRateOffPeak)/1000*(1+VLOOKUP($C214,WeatherHeatRateAdjustment,3)))*(1+VLOOKUP($B214,HeatRateDegradation,$C214+1)),0)</f>
        <v>#VALUE!</v>
      </c>
      <c r="GF214" s="1562" t="e">
        <f aca="false">IF(BQ214,((FP214+FQ214+FR214+FX214+FY214+FZ214)*HeatRatePeak/1000*(1+VLOOKUP($C214,WeatherHeatRateAdjustment,2))+(FS214+GA214)*HeatRatePeak/1000*(1+VLOOKUP($C214,WeatherHeatRateAdjustment,3)))*(1+VLOOKUP($B214,HeatRateDegradation,$C214+1)),0)</f>
        <v>#VALUE!</v>
      </c>
      <c r="GG214" s="1563" t="e">
        <f aca="false">IF(BQ214,VLOOKUP(A214,GasTable,13),0)</f>
        <v>#VALUE!</v>
      </c>
      <c r="GH214" s="1564" t="e">
        <f aca="false">(GE214+GF214)*GG214</f>
        <v>#VALUE!</v>
      </c>
      <c r="GI214" s="1569" t="e">
        <f aca="false">GB214</f>
        <v>#VALUE!</v>
      </c>
      <c r="GJ214" s="1598" t="e">
        <f aca="false">+DA214</f>
        <v>#VALUE!</v>
      </c>
      <c r="GK214" s="1558" t="e">
        <f aca="false">+GI214*GJ214</f>
        <v>#VALUE!</v>
      </c>
      <c r="GL214" s="1566" t="e">
        <f aca="false">MAX(FE214-FL214-FP214,0)</f>
        <v>#VALUE!</v>
      </c>
      <c r="GM214" s="1551" t="e">
        <f aca="false">MAX(FF214-FM214-FQ214,0)</f>
        <v>#VALUE!</v>
      </c>
      <c r="GN214" s="1551" t="e">
        <f aca="false">MAX(FG214-FN214-FR214,0)</f>
        <v>#VALUE!</v>
      </c>
      <c r="GO214" s="1564" t="e">
        <f aca="false">MAX(FH214-FO214-FS214,0)</f>
        <v>#VALUE!</v>
      </c>
      <c r="GP214" s="1551" t="e">
        <f aca="false">SUM(GL214:GO214)</f>
        <v>#VALUE!</v>
      </c>
      <c r="GQ214" s="1563" t="e">
        <f aca="false">IF(SUM(GL214:GO214)=0,0,((GL214*BU214+GM214*BV214+GN214*BW214+GO214*BX214)/SUM(GL214:GO214)))</f>
        <v>#VALUE!</v>
      </c>
      <c r="GR214" s="1558" t="e">
        <f aca="false">(GL214*BU214+GM214*BV214+GN214*BW214+GO214*BX214)</f>
        <v>#VALUE!</v>
      </c>
      <c r="GS214" s="1566" t="n">
        <f aca="false">IF($A214&gt;=BegDate,Assumptions!$C$56*24*($A215-$A214)*(1-VLOOKUP($B214,MAIN!$AA$7:$AM$28,$C214+1))*(1-VLOOKUP($B214,MAIN!$AA$33:$AM$54,$C214+1)),0)*80/168</f>
        <v>257742.857142857</v>
      </c>
      <c r="GT214" s="286" t="n">
        <f aca="false">J214</f>
        <v>56.1500927453278</v>
      </c>
      <c r="GU214" s="286" t="n">
        <f aca="false">IF($A214&gt;=BegDate,VLOOKUP($A214,GasTable,13)+Assumptions!$C$58,0)</f>
        <v>3.68707053962011</v>
      </c>
      <c r="GV214" s="286" t="n">
        <f aca="false">GU214*Assumptions!$C$57/1000</f>
        <v>26.7312614122458</v>
      </c>
      <c r="GW214" s="1558" t="n">
        <f aca="false">IF(Assumptions!$C$60="Hourly",MAX(0,GS214*(GT214-GV214)),GS214*(GT214-GV214))</f>
        <v>7582493.64159234</v>
      </c>
      <c r="GX214" s="1566" t="n">
        <f aca="false">IF($A214&gt;=BegDate,Assumptions!$C$56*24*($A215-$A214)*(1-VLOOKUP($B214,MAIN!$AA$7:$AM$28,$C214+1))*(1-VLOOKUP($B214,MAIN!$AA$33:$AM$54,$C214+1)),0)*16/168</f>
        <v>51548.5714285714</v>
      </c>
      <c r="GY214" s="286" t="n">
        <f aca="false">M214</f>
        <v>56.1500927453278</v>
      </c>
      <c r="GZ214" s="286" t="n">
        <f aca="false">IF($A214&gt;=BegDate,VLOOKUP($A214,GasTable,13)+Assumptions!$C$58,0)</f>
        <v>3.68707053962011</v>
      </c>
      <c r="HA214" s="286" t="n">
        <f aca="false">GZ214*Assumptions!$C$57/1000</f>
        <v>26.7312614122458</v>
      </c>
      <c r="HB214" s="1558" t="n">
        <f aca="false">IF(Assumptions!$C$60="Hourly",MAX(0,GX214*(GY214-HA214)),GX214*(GY214-HA214))</f>
        <v>1516498.72831847</v>
      </c>
      <c r="HC214" s="1566" t="n">
        <f aca="false">IF($A214&gt;=BegDate,Assumptions!$C$56*24*($A215-$A214)*(1-VLOOKUP($B214,MAIN!$AA$7:$AM$28,$C214+1))*(1-VLOOKUP($B214,MAIN!$AA$33:$AM$54,$C214+1)),0)*16/168</f>
        <v>51548.5714285714</v>
      </c>
      <c r="HD214" s="286" t="n">
        <f aca="false">P214</f>
        <v>29.6862163154435</v>
      </c>
      <c r="HE214" s="286" t="n">
        <f aca="false">IF($A214&gt;=BegDate,VLOOKUP($A214,GasTable,13)+Assumptions!$C$58,0)</f>
        <v>3.68707053962011</v>
      </c>
      <c r="HF214" s="286" t="n">
        <f aca="false">HE214*Assumptions!$C$57/1000</f>
        <v>26.7312614122458</v>
      </c>
      <c r="HG214" s="1558" t="n">
        <f aca="false">IF(Assumptions!$C$60="Hourly",MAX(0,HC214*(HD214-HF214)),HC214*(HD214-HF214))</f>
        <v>152323.703895691</v>
      </c>
      <c r="HH214" s="1566" t="n">
        <f aca="false">IF($A214&gt;=BegDate,Assumptions!$C$56*24*($A215-$A214)*(1-VLOOKUP($B214,MAIN!$AA$7:$AM$28,$C214+1))*(1-VLOOKUP($B214,MAIN!$AA$33:$AM$54,$C214+1)),0)*56/168</f>
        <v>180420</v>
      </c>
      <c r="HI214" s="286" t="n">
        <f aca="false">S214</f>
        <v>29.6862163154435</v>
      </c>
      <c r="HJ214" s="286" t="n">
        <f aca="false">IF($A214&gt;=BegDate,VLOOKUP($A214,GasTable,13)+Assumptions!$C$58,0)</f>
        <v>3.68707053962011</v>
      </c>
      <c r="HK214" s="286" t="n">
        <f aca="false">HJ214*Assumptions!$C$57/1000</f>
        <v>26.7312614122458</v>
      </c>
      <c r="HL214" s="1558" t="n">
        <f aca="false">IF(Assumptions!$C$60="Hourly",MAX(0,HH214*(HI214-HK214)),HH214*(HI214-HK214))</f>
        <v>533132.963634919</v>
      </c>
      <c r="HM214" s="1566" t="n">
        <f aca="false">IF(AND(Assumptions!$H$71="Yes",A214&gt;=Assumptions!$H$72,A214&lt;=Assumptions!$H$73),Assumptions!$H$74*Assumptions!$C$9*1000,0)</f>
        <v>0</v>
      </c>
      <c r="HN214" s="1551"/>
      <c r="HO214" s="1563"/>
      <c r="HP214" s="1563"/>
      <c r="HQ214" s="1563"/>
      <c r="HR214" s="1563"/>
      <c r="HS214" s="1563"/>
      <c r="HT214" s="1563"/>
      <c r="HU214" s="1563"/>
      <c r="HV214" s="1563"/>
      <c r="HW214" s="1563"/>
      <c r="HX214" s="1563"/>
      <c r="HY214" s="1563"/>
      <c r="HZ214" s="1563"/>
      <c r="IA214" s="1563"/>
      <c r="IB214" s="1563"/>
      <c r="IC214" s="1563"/>
      <c r="ID214" s="1563"/>
      <c r="IE214" s="1563"/>
      <c r="IF214" s="1563"/>
      <c r="IG214" s="1563"/>
      <c r="IH214" s="1563"/>
      <c r="II214" s="1610"/>
      <c r="IJ214" s="1309"/>
      <c r="IK214" s="1309"/>
    </row>
    <row r="215" customFormat="false" ht="12.75" hidden="false" customHeight="false" outlineLevel="0" collapsed="false">
      <c r="A215" s="1571" t="n">
        <f aca="false">EOMONTH(A214,0)+1</f>
        <v>42675</v>
      </c>
      <c r="B215" s="594" t="n">
        <f aca="false">+YEAR(A215)</f>
        <v>2016</v>
      </c>
      <c r="C215" s="238" t="n">
        <f aca="false">MONTH(A215)</f>
        <v>11</v>
      </c>
      <c r="D215" s="1572" t="e">
        <f aca="false">IF(E215="","",Holiday(B215,C215))</f>
        <v>#VALUE!</v>
      </c>
      <c r="E215" s="1573" t="n">
        <f aca="false">IF(OR(BegDate&gt;=A216,EndDate&lt;A215,AND(VolumeMonthlyOverFlag,INDEX(VolumeMonthlyOver,C215)=0),NOT(INDEX(MonthKnockOutTable,C215))),"",MAX(A215,BegDate))</f>
        <v>42675</v>
      </c>
      <c r="F215" s="1574" t="n">
        <f aca="false">IF(E215="","",MIN(A216-1,EndDate))</f>
        <v>42704</v>
      </c>
      <c r="G215" s="1575" t="n">
        <v>0</v>
      </c>
      <c r="H215" s="1576" t="n">
        <f aca="false">(1+G215/2)^(-2*(DATE(B216,C216,20)-DateToday)/365.25)</f>
        <v>1</v>
      </c>
      <c r="I215" s="1568" t="n">
        <f aca="false">IF(Assumptions!$L$25=4,VLOOKUP($A215,'Henwood Reference'!$E$9:$R$320,10),(VLOOKUP($A215,PriceTable,2,0)+IF(BasisNumber&lt;&gt;1,VLOOKUP($A215,BasisTable,2,0),0)+I$1)/(1-I$2))</f>
        <v>53.7143590687855</v>
      </c>
      <c r="J215" s="1568" t="n">
        <f aca="false">IF(Assumptions!$L$25=4,VLOOKUP($A215,'Henwood Reference'!$E$9:$R$320,10),(VLOOKUP($A215,PriceTable,3,0)+IF(BasisNumber&lt;&gt;1,VLOOKUP($A215,BasisTable,2,0),0)+J$1)/(1-J$2))</f>
        <v>53.7143590687855</v>
      </c>
      <c r="K215" s="1568" t="n">
        <f aca="false">IF(Assumptions!$L$25=4,VLOOKUP($A215,'Henwood Reference'!$E$9:$R$320,10),(VLOOKUP($A215,PriceTable,4,0)+IF(BasisNumber&lt;&gt;1,VLOOKUP($A215,BasisTable,2,0),0)+K$1)/(1-K$2))</f>
        <v>53.7143590687855</v>
      </c>
      <c r="L215" s="1523" t="n">
        <f aca="false">IF(Assumptions!$L$25=4,VLOOKUP($A215,'Henwood Reference'!$E$9:$R$320,10),(VLOOKUP($A215,PriceTableWeekend,2,0)+IF(BasisNumber&lt;&gt;1,VLOOKUP($A215,BasisTable,2,0),0)+L$1)/(1-L$2))</f>
        <v>53.7143590687855</v>
      </c>
      <c r="M215" s="1568" t="n">
        <f aca="false">IF(Assumptions!$L$25=4,VLOOKUP($A215,'Henwood Reference'!$E$9:$R$320,10),(VLOOKUP($A215,PriceTableWeekend,3,0)+IF(BasisNumber&lt;&gt;1,VLOOKUP($A215,BasisTable,2,0),0)+M$1)/(1-M$2))</f>
        <v>53.7143590687855</v>
      </c>
      <c r="N215" s="1599" t="n">
        <f aca="false">IF(Assumptions!$L$25=4,VLOOKUP($A215,'Henwood Reference'!$E$9:$R$320,10),(VLOOKUP($A215,PriceTableWeekend,4,0)+IF(BasisNumber&lt;&gt;1,VLOOKUP($A215,BasisTable,2,0),0)+N$1)/(1-N$2))</f>
        <v>53.7143590687855</v>
      </c>
      <c r="O215" s="1568" t="n">
        <f aca="false">IF(Assumptions!$L$25=4,VLOOKUP($A215,'Henwood Reference'!$E$9:$R$320,11),(VLOOKUP($A215,PriceTableWeekend,6,0)+IF(BasisNumber&lt;&gt;1,VLOOKUP($A215,BasisTable,3,0),0)+O$1)/(1-O$2))</f>
        <v>31.9713554001373</v>
      </c>
      <c r="P215" s="1568" t="n">
        <f aca="false">IF(Assumptions!$L$25=4,VLOOKUP($A215,'Henwood Reference'!$E$9:$R$320,11),(VLOOKUP($A215,PriceTableWeekend,7,0)+IF(BasisNumber&lt;&gt;1,VLOOKUP($A215,BasisTable,3,0),0)+P$1)/(1-P$2))</f>
        <v>31.9713554001373</v>
      </c>
      <c r="Q215" s="1599" t="n">
        <f aca="false">IF(Assumptions!$L$25=4,VLOOKUP($A215,'Henwood Reference'!$E$9:$R$320,11),(VLOOKUP($A215,PriceTableWeekend,8,0)+IF(BasisNumber&lt;&gt;1,VLOOKUP($A215,BasisTable,3,0),0)+Q$1)/(1-Q$2))</f>
        <v>31.9713554001373</v>
      </c>
      <c r="R215" s="1568" t="n">
        <f aca="false">IF(Assumptions!$L$25=4,VLOOKUP($A215,'Henwood Reference'!$E$9:$R$320,11),(VLOOKUP($A215,PriceTable,6,0)+IF(BasisNumber&lt;&gt;1,VLOOKUP($A215,BasisTable,3,0),0)+R$1)/(1-R$2))</f>
        <v>31.9713554001373</v>
      </c>
      <c r="S215" s="1568" t="n">
        <f aca="false">IF(Assumptions!$L$25=4,VLOOKUP($A215,'Henwood Reference'!$E$9:$R$320,11),(VLOOKUP($A215,PriceTable,7,0)+IF(BasisNumber&lt;&gt;1,VLOOKUP($A215,BasisTable,3,0),0)+S$1)/(1-S$2))</f>
        <v>31.9713554001373</v>
      </c>
      <c r="T215" s="1600" t="n">
        <f aca="false">IF(Assumptions!$L$25=4,VLOOKUP($A215,'Henwood Reference'!$E$9:$R$320,11),(VLOOKUP($A215,PriceTable,8,0)+IF(BasisNumber&lt;&gt;1,VLOOKUP($A215,BasisTable,3,0),0)+T$1)/(1-T$2))</f>
        <v>31.9713554001373</v>
      </c>
      <c r="U215" s="1513" t="n">
        <f aca="false">VLOOKUP($A215,VolatilityTable,14)</f>
        <v>0.09</v>
      </c>
      <c r="V215" s="1513" t="n">
        <f aca="false">VLOOKUP($A215,VolatilityTable,15)</f>
        <v>0.1</v>
      </c>
      <c r="W215" s="1514" t="n">
        <f aca="false">VLOOKUP($A215,VolatilityTable,16)</f>
        <v>0.11</v>
      </c>
      <c r="X215" s="1513" t="n">
        <f aca="false">VLOOKUP($A215,VolatilityTable,14)</f>
        <v>0.09</v>
      </c>
      <c r="Y215" s="1513" t="n">
        <f aca="false">VLOOKUP($A215,VolatilityTable,15)</f>
        <v>0.1</v>
      </c>
      <c r="Z215" s="1514" t="n">
        <f aca="false">VLOOKUP($A215,VolatilityTable,16)</f>
        <v>0.11</v>
      </c>
      <c r="AA215" s="1513" t="n">
        <f aca="false">VLOOKUP($A215,VolatilityTable,18)</f>
        <v>0.09</v>
      </c>
      <c r="AB215" s="1513" t="n">
        <f aca="false">VLOOKUP($A215,VolatilityTable,19)</f>
        <v>0.11</v>
      </c>
      <c r="AC215" s="1514" t="n">
        <f aca="false">VLOOKUP($A215,VolatilityTable,20)</f>
        <v>0.13</v>
      </c>
      <c r="AD215" s="1513" t="n">
        <f aca="false">VLOOKUP($A215,VolatilityTable,18)</f>
        <v>0.09</v>
      </c>
      <c r="AE215" s="1513" t="n">
        <f aca="false">VLOOKUP($A215,VolatilityTable,19)</f>
        <v>0.11</v>
      </c>
      <c r="AF215" s="1514" t="n">
        <f aca="false">VLOOKUP($A215,VolatilityTable,20)</f>
        <v>0.13</v>
      </c>
      <c r="AG215" s="1513" t="n">
        <f aca="false">VLOOKUP($A215,VolatilityTable,22)</f>
        <v>-0.1</v>
      </c>
      <c r="AH215" s="1513" t="n">
        <f aca="false">VLOOKUP($A215,VolatilityTable,23)</f>
        <v>0.6</v>
      </c>
      <c r="AI215" s="1514" t="n">
        <f aca="false">VLOOKUP($A215,VolatilityTable,24)</f>
        <v>0.1</v>
      </c>
      <c r="AJ215" s="1513" t="n">
        <f aca="false">VLOOKUP($A215,VolatilityTable,22)</f>
        <v>-0.1</v>
      </c>
      <c r="AK215" s="1513" t="n">
        <f aca="false">VLOOKUP($A215,VolatilityTable,23)</f>
        <v>0.6</v>
      </c>
      <c r="AL215" s="1514" t="n">
        <f aca="false">VLOOKUP($A215,VolatilityTable,24)</f>
        <v>0.1</v>
      </c>
      <c r="AM215" s="1513" t="n">
        <f aca="false">VLOOKUP($A215,VolatilityTable,26)</f>
        <v>-0.01</v>
      </c>
      <c r="AN215" s="1513" t="n">
        <f aca="false">VLOOKUP($A215,VolatilityTable,27)</f>
        <v>0.16</v>
      </c>
      <c r="AO215" s="1514" t="n">
        <f aca="false">VLOOKUP($A215,VolatilityTable,28)</f>
        <v>0.01</v>
      </c>
      <c r="AP215" s="1513" t="n">
        <f aca="false">VLOOKUP($A215,VolatilityTable,26)</f>
        <v>-0.01</v>
      </c>
      <c r="AQ215" s="1513" t="n">
        <f aca="false">VLOOKUP($A215,VolatilityTable,27)</f>
        <v>0.16</v>
      </c>
      <c r="AR215" s="1515" t="n">
        <f aca="false">VLOOKUP($A215,VolatilityTable,28)</f>
        <v>0.01</v>
      </c>
      <c r="AS215" s="1581" t="n">
        <f aca="false">IF(CorrPeakOffPeakOverFlag,INDEX(CorrPeakOffPeakOver,C215),CorrPeakOffPeak)</f>
        <v>0.5</v>
      </c>
      <c r="AT215" s="594" t="e">
        <f aca="false">AX215-SUM(AU215:AW215)</f>
        <v>#VALUE!</v>
      </c>
      <c r="AU215" s="238" t="e">
        <f aca="false">IF(E215="",0,INT((F215-MOD(F215,7)-E215)/7)+1-IF(AW215,IF(WEEKDAY(D215)=7,1,0),0))</f>
        <v>#VALUE!</v>
      </c>
      <c r="AV215" s="238" t="e">
        <f aca="false">IF(E215="",0,INT((F215-MOD(F215-1,7)-E215)/7)+1-IF(AW215,IF(WEEKDAY(D215)=1,1,0),0))</f>
        <v>#VALUE!</v>
      </c>
      <c r="AW215" s="238" t="e">
        <f aca="false">IF(OR(E215="",D215="",D215&lt;BegDate,D215&gt;EndDate),0,1)</f>
        <v>#VALUE!</v>
      </c>
      <c r="AX215" s="238" t="n">
        <f aca="false">IF(E215="",0,F215-E215+1)</f>
        <v>30</v>
      </c>
      <c r="AY215" s="1582" t="n">
        <f aca="false">IF(E215="",0,MIN((1-(1-VLOOKUP(B215,MAIN!$AA$7:$AM$28,C215+1))*(1-VLOOKUP(B215,MAIN!$AA$33:$AM$54,C215+1))),1))</f>
        <v>0.03</v>
      </c>
      <c r="AZ215" s="1519" t="e">
        <v>#VALUE!</v>
      </c>
      <c r="BA215" s="1520" t="e">
        <v>#VALUE!</v>
      </c>
      <c r="BB215" s="1520" t="e">
        <v>#VALUE!</v>
      </c>
      <c r="BC215" s="1583" t="e">
        <v>#VALUE!</v>
      </c>
      <c r="BD215" s="1522" t="e">
        <v>#VALUE!</v>
      </c>
      <c r="BE215" s="1523" t="e">
        <v>#VALUE!</v>
      </c>
      <c r="BF215" s="1523" t="e">
        <v>#VALUE!</v>
      </c>
      <c r="BG215" s="1584" t="e">
        <v>#VALUE!</v>
      </c>
      <c r="BH215" s="1525" t="e">
        <v>#VALUE!</v>
      </c>
      <c r="BI215" s="1520" t="e">
        <v>#VALUE!</v>
      </c>
      <c r="BJ215" s="1520" t="e">
        <v>#VALUE!</v>
      </c>
      <c r="BK215" s="1583" t="e">
        <v>#VALUE!</v>
      </c>
      <c r="BL215" s="1522" t="e">
        <v>#VALUE!</v>
      </c>
      <c r="BM215" s="1523" t="e">
        <v>#VALUE!</v>
      </c>
      <c r="BN215" s="1523" t="e">
        <v>#VALUE!</v>
      </c>
      <c r="BO215" s="1523" t="e">
        <v>#VALUE!</v>
      </c>
      <c r="BP215" s="1525" t="e">
        <f aca="false">SUM(AZ215:BB215)</f>
        <v>#VALUE!</v>
      </c>
      <c r="BQ215" s="1529" t="e">
        <f aca="false">SUM(AZ215:BC215)</f>
        <v>#VALUE!</v>
      </c>
      <c r="BR215" s="1519" t="e">
        <f aca="false">SUM(BH215:BJ215)</f>
        <v>#VALUE!</v>
      </c>
      <c r="BS215" s="1529" t="e">
        <f aca="false">SUM(BH215:BK215)</f>
        <v>#VALUE!</v>
      </c>
      <c r="BT215" s="1316" t="n">
        <f aca="false">(IF(OVolType&lt;&gt;2,A215+14,IF(OptExpDateShift,ShiftBack(A215,OptExpDateShift,D214),A215))-DateToday)/365.25</f>
        <v>16.5503080082136</v>
      </c>
      <c r="BU215" s="1585" t="e">
        <f aca="false">IF(BQ215,IF(OPriceCurve,IF(OBuySell=OCallPut,I215/(1-AY215),K215/(1-AY215)),J215/(1-AY215))*BD215,0)</f>
        <v>#VALUE!</v>
      </c>
      <c r="BV215" s="1316" t="e">
        <f aca="false">IF(BQ215,IF(OPriceCurve,IF(OBuySell=OCallPut,L215/(1-AY215),N215/(1-AY215)),M215/(1-AY215))*BE215,0)</f>
        <v>#VALUE!</v>
      </c>
      <c r="BW215" s="1316" t="e">
        <f aca="false">IF(BQ215,IF(OPriceCurve,IF(OBuySell=OCallPut,O215/(1-AY215),Q215/(1-AY215)),P215/(1-AY215))*BF215,0)</f>
        <v>#VALUE!</v>
      </c>
      <c r="BX215" s="1316" t="e">
        <f aca="false">IF(BQ215,IF(OPriceCurve,IF(OBuySell=OCallPut,R215/(1-AY215),T215/(1-AY215)),S215/(1-AY215))*BG215,0)</f>
        <v>#VALUE!</v>
      </c>
      <c r="BY215" s="1316" t="e">
        <f aca="false">IF(BP215,(BU215*AZ215+BV215*BA215+BW215*BB215)/BP215,0)</f>
        <v>#VALUE!</v>
      </c>
      <c r="BZ215" s="1316" t="e">
        <f aca="false">IF(BQ215,(BY215*BP215+BX215*BC215)/BQ215,0)</f>
        <v>#VALUE!</v>
      </c>
      <c r="CA215" s="1531" t="e">
        <f aca="false">IF(BS215,IF(OPriceCurve,IF(OBuySell=OCallPut,I215/(1-AY215),K215/(1-AY215)),J215/(1-AY215))*BL215,0)</f>
        <v>#VALUE!</v>
      </c>
      <c r="CB215" s="1316" t="e">
        <f aca="false">IF(BS215,IF(OPriceCurve,IF(OBuySell=OCallPut,L215/(1-AY215),N215/(1-AY215)),M215/(1-AY215))*BM215,0)</f>
        <v>#VALUE!</v>
      </c>
      <c r="CC215" s="1316" t="e">
        <f aca="false">IF(BS215,IF(OPriceCurve,IF(OBuySell=OCallPut,O215/(1-AY215),Q215/(1-AY215)),P215/(1-AY215))*BN215,0)</f>
        <v>#VALUE!</v>
      </c>
      <c r="CD215" s="1316" t="e">
        <f aca="false">IF(BS215,IF(OPriceCurve,IF(OBuySell=OCallPut,R215/(1-AY215),T215/(1-AY215)),S215/(1-AY215))*BO215,0)</f>
        <v>#VALUE!</v>
      </c>
      <c r="CE215" s="1316" t="e">
        <f aca="false">IF(BR215,(BU215*BH215+BV215*BI215+BW215*BJ215)/BR215,0)</f>
        <v>#VALUE!</v>
      </c>
      <c r="CF215" s="1532" t="e">
        <f aca="false">IF(BS215,(CE215*BR215+CD215*BK215)/BS215,0)</f>
        <v>#VALUE!</v>
      </c>
      <c r="CG215" s="1586" t="e">
        <f aca="false">IF(OR(BQ215,BS215),IF(OVolType&lt;&gt;2,SQRT(IF(OVolOverMonthlyPeak,OVolOverMonthlyPeak,IF(OVolCurve,IF(OBuySell,U215,W215),V215))^2*(1-15/365.25/BT215)+IF(OVolOverDailyPeak,OVolOverDailyPeak,IF(OVolCurve,IF(OBuySell,AG215,AI215),AH215))^2*15/365.25/BT215),IF(OVolOverMonthlyPeak,OVolOverMonthlyPeak,IF(OVolCurve,IF(OBuySell,U215,W215),V215))),"")</f>
        <v>#VALUE!</v>
      </c>
      <c r="CH215" s="1587" t="e">
        <f aca="false">IF(OR(BQ215,BS215),IF(OVolType&lt;&gt;2,SQRT(IF(OVolOverMonthlyPeak,OVolOverMonthlyPeak,IF(OVolCurve,IF(OBuySell,X215,Z215),Y215))^2*(1-15/365.25/BT215)+IF(OVolOverDailyPeak,OVolOverDailyPeak,IF(OVolCurve,IF(OBuySell,AJ215,AL215),AK215))^2*15/365.25/BT215),IF(OVolOverMonthlyPeak,OVolOverMonthlyPeak,IF(OVolCurve,IF(OBuySell,X215,Z215),Y215))),"")</f>
        <v>#VALUE!</v>
      </c>
      <c r="CI215" s="1587" t="e">
        <f aca="false">IF(OR(BQ215,BS215),IF(OVolType&lt;&gt;2,SQRT(IF(OVolOverMonthlyPeak,OVolOverMonthlyPeak,IF(OVolCurve,IF(OBuySell,AA215,AC215),AB215))^2*(1-15/365.25/BT215)+IF(OVolOverDailyPeak,OVolOverDailyPeak,IF(OVolCurve,IF(OBuySell,AM215,AO215),AN215))^2*15/365.25/BT215),IF(OVolOverMonthlyPeak,OVolOverMonthlyPeak,IF(OVolCurve,IF(OBuySell,AA215,AC215),AB215))),"")</f>
        <v>#VALUE!</v>
      </c>
      <c r="CJ215" s="1587" t="e">
        <f aca="false">IF(BQ215,IF(BP215,SQRT(LN(1+((BU215*AZ215)^2*(EXP(CG215^2*BT215)-1)+(BV215*BA215)^2*(EXP(CH215^2*BT215)-1)+(BW215*BB215)^2*(EXP(CI215^2*BT215)-1)+2*BU215*AZ215*BV215*BA215*(EXP(CG215*CH215*BT215)-1)+2*BV215*BA215*BW215*BB215*(EXP(CH215*CI215*BT215)-1)+2*BW215*BB215*BU215*AZ215*(EXP(CI215*CG215*BT215)-1))/(BY215*BP215)^2)/BT215),0),"")</f>
        <v>#VALUE!</v>
      </c>
      <c r="CK215" s="1587" t="e">
        <f aca="false">IF(BS215,IF(BR215,SQRT(LN(1+((CA215*BH215)^2*(EXP(CG215^2*BT215)-1)+(CB215*BI215)^2*(EXP(CH215^2*BT215)-1)+(CC215*BJ215)^2*(EXP(CI215^2*BT215)-1)+2*CA215*BH215*CB215*BI215*(EXP(CG215*CH215*BT215)-1)+2*CB215*BI215*CC215*BJ215*(EXP(CH215*CI215*BT215)-1)+2*CC215*BJ215*CA215*BH215*(EXP(CI215*CG215*BT215)-1))/(CE215*BR215)^2)/BT215),0),"")</f>
        <v>#VALUE!</v>
      </c>
      <c r="CL215" s="1587" t="e">
        <f aca="false">IF(OR(BQ215,BS215),IF(OVolType&lt;&gt;2,SQRT(IF(OVolOverMonthlyOffPeak,OVolOverMonthlyOffPeak,IF(OVolCurve,IF(OBuySell,AD215,AF215),AE215))^2*(1-15/365.25/BT215)+IF(OVolOverDailyOffPeak,OVolOverDailyOffPeak,IF(OVolCurve,IF(OBuySell,AP215,AR215),AQ215))^2*15/365.25/BT215),IF(OVolOverMonthlyOffPeak,OVolOverMonthlyOffPeak,IF(OVolCurve,IF(OBuySell,AD215,AF215),AE215))),"")</f>
        <v>#VALUE!</v>
      </c>
      <c r="CM215" s="1587" t="e">
        <f aca="false">IF(BQ215,SQRT(LN(1+((BY215*BP215)^2*(EXP(CJ215^2*BT215)-1)+(BX215*BC215)^2*(EXP(CL215^2*BT215)-1)+2*BY215*BP215*BX215*BC215*(EXP(AS215*CJ215*CL215*BT215)-1))/(BY215*BP215+BX215*BC215)^2)/BT215),"")</f>
        <v>#VALUE!</v>
      </c>
      <c r="CN215" s="1588" t="e">
        <f aca="false">IF(BS215,SQRT(LN(1+((CE215*BR215)^2*(EXP(CK215^2*BT215)-1)+(CD215*BK215)^2*(EXP(CL215^2*BT215)-1)+2*CE215*BR215*CD215*BK215*(EXP(AS215*CK215*CL215*BT215)-1))/(CE215*BR215+CD215*BK215)^2)/BT215),"")</f>
        <v>#VALUE!</v>
      </c>
      <c r="CO215" s="1531" t="e">
        <f aca="false">IF(OR(BQ215,BS215),VLOOKUP(A215,GasTable,13)*HeatRatePeak*(1+VLOOKUP($B215,HeatRateDegradation,$C215+1))/1000,0)</f>
        <v>#VALUE!</v>
      </c>
      <c r="CP215" s="1316" t="e">
        <f aca="false">IF(OR(BQ215,BS215),VLOOKUP(A215,GasTable,13)*HeatRatePeak*(1+VLOOKUP($B215,HeatRateDegradation,$C215+1))/1000,0)</f>
        <v>#VALUE!</v>
      </c>
      <c r="CQ215" s="1316" t="e">
        <f aca="false">IF(OR(BQ215,BS215),VLOOKUP(A215,GasTable,13)*IF(EV215,HeatRatePeak,HeatRateOffPeak)*(1+VLOOKUP($B215,HeatRateDegradation,$C215+1))/1000,0)</f>
        <v>#VALUE!</v>
      </c>
      <c r="CR215" s="1316" t="e">
        <f aca="false">IF(OR(BQ215,BS215),VLOOKUP(A215,GasTable,13)*IF(EW215,HeatRatePeak,HeatRateOffPeak)*(1+VLOOKUP($B215,HeatRateDegradation,$C215+1))/1000,0)</f>
        <v>#VALUE!</v>
      </c>
      <c r="CS215" s="1589" t="e">
        <f aca="false">IF(BQ215,(CO215*AZ215+CP215*BA215+CQ215*BB215+CR215*BC215)/BQ215,0)</f>
        <v>#VALUE!</v>
      </c>
      <c r="CT215" s="1316" t="e">
        <f aca="false">IF(BS215,CO215,0)</f>
        <v>#VALUE!</v>
      </c>
      <c r="CU215" s="1590" t="e">
        <f aca="false">IF(OR(BQ215,BS215),VLOOKUP(A215,GasTable,14),"")</f>
        <v>#VALUE!</v>
      </c>
      <c r="CV215" s="1568" t="e">
        <f aca="false">IF(OR(BQ215,BS215),IF(CorrPowerGasOverFlag,INDEX(CorrPowerGasOver,C215),CorrPowerGas),"")</f>
        <v>#VALUE!</v>
      </c>
      <c r="CW215" s="1316" t="e">
        <f aca="false">IF(OR($BQ215,$BS215),SpreadOptPowerMargin,0)*((1+Assumptions!$C$26)^($B215-YEAR(Assumptions!$C$17)))</f>
        <v>#VALUE!</v>
      </c>
      <c r="CX215" s="1316" t="e">
        <f aca="false">IF(OR($BQ215,$BS215),SpreadOptPowerMargin,0)*((1+Assumptions!$C$26)^($B215-YEAR(Assumptions!$C$17)))</f>
        <v>#VALUE!</v>
      </c>
      <c r="CY215" s="1316" t="e">
        <f aca="false">IF(OR($BQ215,$BS215),SpreadOptPowerMargin,0)*((1+Assumptions!$C$26)^($B215-YEAR(Assumptions!$C$17)))</f>
        <v>#VALUE!</v>
      </c>
      <c r="CZ215" s="1316" t="e">
        <f aca="false">IF(OR($BQ215,$BS215),SpreadOptPowerMargin,0)*((1+Assumptions!$C$26)^($B215-YEAR(Assumptions!$C$17)))</f>
        <v>#VALUE!</v>
      </c>
      <c r="DA215" s="1591" t="e">
        <f aca="false">IF(OR(BQ215,BS215),(CW215*(AZ215+BH215)+CX215*(BA215+BI215)+CY215*(BB215+BJ215)+CZ215*(BC215+BK215))/(BQ215+BS215),0)</f>
        <v>#VALUE!</v>
      </c>
      <c r="DB215" s="1592" t="e">
        <f aca="false">IF(OR(BQ215,BS215),CG215+IF(OVolSmile,VLOOKUP(MAX(-5,CO215+CW215-BU215),IF(OVolSmile=1,VolSmileBook,VolSmileModel),2),0),"")</f>
        <v>#VALUE!</v>
      </c>
      <c r="DC215" s="1592" t="e">
        <f aca="false">IF(OR(BQ215,BS215),CH215+IF(OVolSmile,VLOOKUP(MAX(-5,CP215+CW215-BV215),IF(OVolSmile=1,VolSmileBook,VolSmileModel),2),0),"")</f>
        <v>#VALUE!</v>
      </c>
      <c r="DD215" s="1592" t="e">
        <f aca="false">IF(OR(BQ215,BS215),CI215+IF(OVolSmile,VLOOKUP(MAX(-5,CQ215+CW215-BW215),IF(OVolSmile=1,VolSmileBook,VolSmileModel),2),0),"")</f>
        <v>#VALUE!</v>
      </c>
      <c r="DE215" s="1592" t="e">
        <f aca="false">IF(OR(BQ215,BS215),CL215+IF(OVolSmile,VLOOKUP(MAX(-5,CR215+CZ215-BX215),IF(OVolSmile=1,VolSmileBook,VolSmileModel),2),0),"")</f>
        <v>#VALUE!</v>
      </c>
      <c r="DF215" s="1592" t="e">
        <f aca="false">IF(BQ215,CM215+IF(OVolSmile,VLOOKUP(MAX(-5,CS215+DA215-BZ215),IF(OVolSmile=1,VolSmileBook,VolSmileModel),2),0),"")</f>
        <v>#VALUE!</v>
      </c>
      <c r="DG215" s="1593" t="e">
        <f aca="false">IF(BS215,CN215+IF(OVolSmile,VLOOKUP(MAX(-5,CT215+DA215-CF215),IF(OVolSmile=1,VolSmileBook,VolSmileModel),2),0),"")</f>
        <v>#VALUE!</v>
      </c>
      <c r="DH215" s="1316" t="e">
        <f aca="false">IF(AND(BU215&gt;0,CO215&gt;0,DB215&gt;0,CU215&gt;0),newSPRDOPT(BU215,CO215,CW215,0,DB215,CU215,CV215,BT215*365.25,OCallPut,0),0)</f>
        <v>#VALUE!</v>
      </c>
      <c r="DI215" s="1316" t="e">
        <f aca="false">IF(AND(BV215&gt;0,CP215&gt;0,DC215&gt;0,CU215&gt;0),newSPRDOPT(BV215,CP215,CX215,0,DC215,CU215,CV215,BT215*365.25,OCallPut,0),0)</f>
        <v>#VALUE!</v>
      </c>
      <c r="DJ215" s="1316" t="e">
        <f aca="false">IF(AND(BW215&gt;0,CQ215&gt;0,DD215&gt;0,CU215&gt;0),newSPRDOPT(BW215,CQ215,CY215,0,DD215,CU215,CV215,BT215*365.25,OCallPut,0),0)</f>
        <v>#VALUE!</v>
      </c>
      <c r="DK215" s="1316" t="e">
        <f aca="false">IF(AND(BX215&gt;0,CR215&gt;0,DE215&gt;0,CU215&gt;0),newSPRDOPT(BX215,CR215,CZ215,0,DE215,CU215,CV215,BT215*365.25,OCallPut,0),0)</f>
        <v>#VALUE!</v>
      </c>
      <c r="DL215" s="1316" t="e">
        <f aca="false">IF(OVolType,IF(AND(BZ215&gt;0,CS215&gt;0,DF215&gt;0,CU215&gt;0),newSPRDOPT(BZ215,CS215,DA215,0,DF215,CU215,CV215,BT215*365.25,OCallPut,0),0),IF(BQ215,(DH215*AZ215+DI215*BA215+DJ215*BB215+DK215*BC215)/BQ215,0))</f>
        <v>#VALUE!</v>
      </c>
      <c r="DM215" s="1316"/>
      <c r="DN215" s="1316"/>
      <c r="DO215" s="1316"/>
      <c r="DP215" s="1316"/>
      <c r="DQ215" s="1316"/>
      <c r="DR215" s="1316"/>
      <c r="DS215" s="1316"/>
      <c r="DT215" s="1316"/>
      <c r="DU215" s="1316"/>
      <c r="DV215" s="1316"/>
      <c r="DW215" s="1594" t="e">
        <f aca="false">IF(AND(BW215&gt;0,CT215&gt;0,DD215&gt;0,CU215&gt;0),newSPRDOPT(BW215,CT215,CY215,0,DD215,CU215,CV215,BT215*365.25,OCallPut,0),0)</f>
        <v>#VALUE!</v>
      </c>
      <c r="DX215" s="1316" t="e">
        <f aca="false">IF(AND(BX215&gt;0,CT215&gt;0,DE215&gt;0,CU215&gt;0),newSPRDOPT(BX215,CT215,CZ215,0,DE215,CU215,CV215,BT215*365.25,OCallPut,0),0)</f>
        <v>#VALUE!</v>
      </c>
      <c r="DY215" s="1591" t="e">
        <f aca="false">IF(BS215,(DH215*BH215+DI215*BI215+DW215*BJ215+DX215*BK215)/BS215,0)</f>
        <v>#VALUE!</v>
      </c>
      <c r="DZ215" s="1551" t="e">
        <f aca="false">DH215*AZ215</f>
        <v>#VALUE!</v>
      </c>
      <c r="EA215" s="1551" t="e">
        <f aca="false">DI215*BA215</f>
        <v>#VALUE!</v>
      </c>
      <c r="EB215" s="1551" t="e">
        <f aca="false">DJ215*BB215</f>
        <v>#VALUE!</v>
      </c>
      <c r="EC215" s="1551" t="e">
        <f aca="false">DK215*BC215</f>
        <v>#VALUE!</v>
      </c>
      <c r="ED215" s="1551" t="e">
        <f aca="false">DL215*BQ215</f>
        <v>#VALUE!</v>
      </c>
      <c r="EE215" s="1595" t="e">
        <f aca="false">IF(BQ215,IF(OCallPut,IF(BU215&gt;(CO215+CW215),BU215-(CO215+CW215),0),IF((CO215+CW215)&gt;BU215,(CO215+CW215)-BU215,0))*AZ215,0)</f>
        <v>#VALUE!</v>
      </c>
      <c r="EF215" s="1596" t="e">
        <f aca="false">IF(BQ215,IF(OCallPut,IF(BV215&gt;(CP215+CX215),BV215-(CP215+CX215),0),IF((CP215+CX215)&gt;BV215,(CP215+CX215)-BV215,0))*BA215,0)</f>
        <v>#VALUE!</v>
      </c>
      <c r="EG215" s="1596" t="e">
        <f aca="false">IF(BQ215,IF(OCallPut,IF(BW215&gt;(CQ215+CY215),BW215-(CQ215+CY215),0),IF((CQ215+CY215)&gt;BW215,(CQ215+CY215)-BW215,0))*BB215,0)</f>
        <v>#VALUE!</v>
      </c>
      <c r="EH215" s="1596" t="e">
        <f aca="false">IF(BQ215,IF(OCallPut,IF(BX215&gt;(CR215+CZ215),BX215-(CR215+CZ215),0),IF((CR215+CZ215)&gt;BX215,(CR215+CZ215)-BX215,0))*BC215,0)</f>
        <v>#VALUE!</v>
      </c>
      <c r="EI215" s="1597" t="e">
        <f aca="false">IF(BQ215,IF(OVolType,IF(OCallPut,IF(BZ215&gt;(CS215+DA215),BZ215-(CS215+DA215),0),IF((CS215+DA215)&gt;BZ215,(CS215+DA215)-BZ215,0))*BQ215,SUM(EE215:EH215)),0)</f>
        <v>#VALUE!</v>
      </c>
      <c r="EJ215" s="1595" t="e">
        <f aca="false">DZ215-EE215</f>
        <v>#VALUE!</v>
      </c>
      <c r="EK215" s="1596" t="e">
        <f aca="false">EA215-EF215</f>
        <v>#VALUE!</v>
      </c>
      <c r="EL215" s="1596" t="e">
        <f aca="false">EB215-EG215</f>
        <v>#VALUE!</v>
      </c>
      <c r="EM215" s="1596" t="e">
        <f aca="false">EC215-EH215</f>
        <v>#VALUE!</v>
      </c>
      <c r="EN215" s="1597" t="e">
        <f aca="false">ED215-EI215</f>
        <v>#VALUE!</v>
      </c>
      <c r="EO215" s="1551" t="e">
        <f aca="false">DH215*BH215</f>
        <v>#VALUE!</v>
      </c>
      <c r="EP215" s="1551" t="e">
        <f aca="false">DI215*BI215</f>
        <v>#VALUE!</v>
      </c>
      <c r="EQ215" s="1551" t="e">
        <f aca="false">DW215*BJ215</f>
        <v>#VALUE!</v>
      </c>
      <c r="ER215" s="1551" t="e">
        <f aca="false">DX215*BK215</f>
        <v>#VALUE!</v>
      </c>
      <c r="ES215" s="1551" t="e">
        <f aca="false">DY215*BS215</f>
        <v>#VALUE!</v>
      </c>
      <c r="ET215" s="1566" t="e">
        <f aca="false">IF(EI215,IF(OCallPut,IF(CA215&gt;(CT215+CW215),CA215-(CT215+CW215),0),IF((CT215+CW215)&gt;CA215,(CT215+CW215)-CA215,0))*BH215,0)</f>
        <v>#VALUE!</v>
      </c>
      <c r="EU215" s="1551" t="e">
        <f aca="false">IF(EI215,IF(OCallPut,IF(CB215&gt;(CT215+CX215),CB215-(CT215+CX215),0),IF((CT215+CX215)&gt;CB215,(CT215+CX215)-CB215,0))*BI215,0)</f>
        <v>#VALUE!</v>
      </c>
      <c r="EV215" s="1551" t="e">
        <f aca="false">IF(EI215,IF(OCallPut,IF(CC215&gt;(CT215+CY215),CC215-(CT215+CY215),0),IF((CT215+CY215)&gt;CC215,(CT215+CY215)-CC215,0))*BJ215,0)</f>
        <v>#VALUE!</v>
      </c>
      <c r="EW215" s="1551" t="e">
        <f aca="false">IF(EI215,IF(OCallPut,IF(CD215&gt;(CT215+CZ215),CD215-(CT215+CZ215),0),IF((CT215+CZ215)&gt;CD215,(CT215+CZ215)-CD215,0))*BK215,0)</f>
        <v>#VALUE!</v>
      </c>
      <c r="EX215" s="1558" t="e">
        <f aca="false">IF(EI215,SUM(ET215:EW215),0)</f>
        <v>#VALUE!</v>
      </c>
      <c r="EY215" s="1551" t="e">
        <f aca="false">EO215-ET215</f>
        <v>#VALUE!</v>
      </c>
      <c r="EZ215" s="1551" t="e">
        <f aca="false">EP215-EU215</f>
        <v>#VALUE!</v>
      </c>
      <c r="FA215" s="1551" t="e">
        <f aca="false">EQ215-EV215</f>
        <v>#VALUE!</v>
      </c>
      <c r="FB215" s="1551" t="e">
        <f aca="false">ER215-EW215</f>
        <v>#VALUE!</v>
      </c>
      <c r="FC215" s="1551" t="e">
        <f aca="false">ES215-EX215</f>
        <v>#VALUE!</v>
      </c>
      <c r="FD215" s="1525" t="n">
        <f aca="false">IF(AX215,IF(VLOOKUP(C215,MAIN!$L$17:$M$28,2)="Yes",VLOOKUP(CALC!B215,MAIN!$H$17:$I$20,2),0),0)</f>
        <v>0</v>
      </c>
      <c r="FE215" s="1552" t="e">
        <f aca="false">$FD215*16*AT215*(1-$AY215)</f>
        <v>#VALUE!</v>
      </c>
      <c r="FF215" s="1553" t="e">
        <f aca="false">$FD215*16*AU215*(1-$AY215)</f>
        <v>#VALUE!</v>
      </c>
      <c r="FG215" s="1553" t="e">
        <f aca="false">$FD215*16*(AV215+AW215)*(1-$AY215)</f>
        <v>#VALUE!</v>
      </c>
      <c r="FH215" s="1554" t="n">
        <f aca="false">$FD215*8*AX215*(1-$AY215)</f>
        <v>0</v>
      </c>
      <c r="FI215" s="1555" t="n">
        <f aca="false">IF(AX215,VLOOKUP(CALC!B215,MAIN!$H$17:$K$20,4),0)</f>
        <v>0</v>
      </c>
      <c r="FJ215" s="1553" t="e">
        <f aca="false">SUM(FE215:FH215)</f>
        <v>#VALUE!</v>
      </c>
      <c r="FK215" s="1556" t="e">
        <f aca="false">FI215*FJ215</f>
        <v>#VALUE!</v>
      </c>
      <c r="FL215" s="1551" t="e">
        <f aca="false">IF($EI215&gt;0,MIN(FE215,AZ215*(1+VLOOKUP($C215,WeatherCapacityAdjustment,2))),0)</f>
        <v>#VALUE!</v>
      </c>
      <c r="FM215" s="1551" t="e">
        <f aca="false">IF($EI215&gt;0,MIN(FF215,BA215*(1+VLOOKUP($C215,WeatherCapacityAdjustment,2))),0)</f>
        <v>#VALUE!</v>
      </c>
      <c r="FN215" s="1551" t="e">
        <f aca="false">IF($EI215&gt;0,MIN(FG215,BB215*(1+VLOOKUP($C215,WeatherCapacityAdjustment,2))),0)</f>
        <v>#VALUE!</v>
      </c>
      <c r="FO215" s="1564" t="e">
        <f aca="false">IF($EI215&gt;0,MIN(FH215,BC215*(1+VLOOKUP($C215,WeatherCapacityAdjustment,3))),0)</f>
        <v>#VALUE!</v>
      </c>
      <c r="FP215" s="1551" t="e">
        <f aca="false">IF(ET215&gt;0,MIN(FE215-FL215,BH215*(1+VLOOKUP($C215,WeatherCapacityAdjustment,2))),0)</f>
        <v>#VALUE!</v>
      </c>
      <c r="FQ215" s="1551" t="e">
        <f aca="false">IF(EU215&gt;0,MIN(FF215-FM215,BI215*(1+VLOOKUP($C215,WeatherCapacityAdjustment,2))),0)</f>
        <v>#VALUE!</v>
      </c>
      <c r="FR215" s="1551" t="e">
        <f aca="false">IF(EV215&gt;0,MIN(FG215-FN215,BJ215*(1+VLOOKUP($C215,WeatherCapacityAdjustment,2))),0)</f>
        <v>#VALUE!</v>
      </c>
      <c r="FS215" s="1558" t="e">
        <f aca="false">IF(EW215&gt;0,MIN(FH215-FO215,BK215*(1+VLOOKUP($C215,WeatherCapacityAdjustment,3))),0)</f>
        <v>#VALUE!</v>
      </c>
      <c r="FT215" s="1566" t="e">
        <f aca="false">IF(AND(Assumptions!$H$71="Yes",A215&gt;=Assumptions!$H$72,A215&lt;=Assumptions!$H$73),0,IF(AND($A215&gt;=Assumptions!$C$17,$A215&lt;=Assumptions!$C$18),MAX(AZ215*(1+VLOOKUP($C215,WeatherCapacityAdjustment,2))-FL215,0),0))</f>
        <v>#VALUE!</v>
      </c>
      <c r="FU215" s="1551" t="e">
        <f aca="false">IF(AND(Assumptions!$H$71="Yes",A215&gt;=Assumptions!$H$72,A215&lt;=Assumptions!$H$73),0,IF(AND($A215&gt;=Assumptions!$C$17,$A215&lt;=Assumptions!$C$18),MAX(BA215*(1+VLOOKUP($C215,WeatherCapacityAdjustment,2))-FM215,0),0))</f>
        <v>#VALUE!</v>
      </c>
      <c r="FV215" s="1551" t="e">
        <f aca="false">IF(AND(Assumptions!$H$71="Yes",A215&gt;=Assumptions!$H$72,A215&lt;=Assumptions!$H$73),0,IF(AND($A215&gt;=Assumptions!$C$17,$A215&lt;=Assumptions!$C$18),MAX(BB215*(1+VLOOKUP($C215,WeatherCapacityAdjustment,2))-FN215,0),0))</f>
        <v>#VALUE!</v>
      </c>
      <c r="FW215" s="1564" t="e">
        <f aca="false">IF(AND(Assumptions!$H$71="Yes",A215&gt;=Assumptions!$H$72,A215&lt;=Assumptions!$H$73),0,IF(AND($A215&gt;=Assumptions!$C$17,$A215&lt;=Assumptions!$C$18),MAX(BC215*(1+VLOOKUP($C215,WeatherCapacityAdjustment,3))-FO215,0),0))</f>
        <v>#VALUE!</v>
      </c>
      <c r="FX215" s="1569" t="e">
        <f aca="false">IF(AND(Assumptions!$H$71="Yes",A215&gt;=Assumptions!$H$72,A215&lt;=Assumptions!$H$73),0,IF(ET215&gt;0,MAX(BH215*(1+VLOOKUP($C215,WeatherCapacityAdjustment,2))-FP215,0),0))</f>
        <v>#VALUE!</v>
      </c>
      <c r="FY215" s="1551" t="e">
        <f aca="false">IF(AND(Assumptions!$H$71="Yes",A215&gt;=Assumptions!$H$72,A215&lt;=Assumptions!$H$73),0,IF(EU215&gt;0,MAX(BI215*(1+VLOOKUP($C215,WeatherCapacityAdjustment,3))-FQ215,0),0))</f>
        <v>#VALUE!</v>
      </c>
      <c r="FZ215" s="1551" t="e">
        <f aca="false">IF(AND(Assumptions!$H$71="Yes",A215&gt;=Assumptions!$H$72,A215&lt;=Assumptions!$H$73),0,IF(EV215&gt;0,MAX(BJ215*(1+VLOOKUP($C215,WeatherCapacityAdjustment,2))-FR215,0),0))</f>
        <v>#VALUE!</v>
      </c>
      <c r="GA215" s="1564" t="e">
        <f aca="false">IF(AND(Assumptions!$H$71="Yes",A215&gt;=Assumptions!$H$72,A215&lt;=Assumptions!$H$73),0,IF(EW215&gt;0,MAX(BK215*(1+VLOOKUP($C215,WeatherCapacityAdjustment,2))-FS215,0),0))</f>
        <v>#VALUE!</v>
      </c>
      <c r="GB215" s="1551" t="e">
        <f aca="false">SUM(FT215:GA215)</f>
        <v>#VALUE!</v>
      </c>
      <c r="GC215" s="1563" t="e">
        <f aca="false">+IF(SUM(FT215:GA215)=0,0,(SUMPRODUCT(BU215:BX215,FT215:FW215)+SUMPRODUCT(CA215:CD215,FX215:GA215))/SUM(FT215:GA215))</f>
        <v>#VALUE!</v>
      </c>
      <c r="GD215" s="1551" t="e">
        <f aca="false">(FT215*BU215+FX215*CA215+FU215*BV215+FY215*CB215+FV215*BW215+FZ215*CC215+FW215*BX215+GA215*CD215)</f>
        <v>#VALUE!</v>
      </c>
      <c r="GE215" s="1561" t="e">
        <f aca="false">+IF(BQ215,((FL215+FM215+FT215+FU215)*HeatRatePeak/1000*(1+VLOOKUP($C215,WeatherHeatRateAdjustment,2))+(FN215+FV215)*IF(EV215&gt;0,HeatRatePeak,HeatRateOffPeak)/1000*(1+VLOOKUP($C215,WeatherHeatRateAdjustment,2))+(FO215+FW215)*IF(EW215&gt;0,HeatRatePeak,HeatRateOffPeak)/1000*(1+VLOOKUP($C215,WeatherHeatRateAdjustment,3)))*(1+VLOOKUP($B215,HeatRateDegradation,$C215+1)),0)</f>
        <v>#VALUE!</v>
      </c>
      <c r="GF215" s="1562" t="e">
        <f aca="false">IF(BQ215,((FP215+FQ215+FR215+FX215+FY215+FZ215)*HeatRatePeak/1000*(1+VLOOKUP($C215,WeatherHeatRateAdjustment,2))+(FS215+GA215)*HeatRatePeak/1000*(1+VLOOKUP($C215,WeatherHeatRateAdjustment,3)))*(1+VLOOKUP($B215,HeatRateDegradation,$C215+1)),0)</f>
        <v>#VALUE!</v>
      </c>
      <c r="GG215" s="1563" t="e">
        <f aca="false">IF(BQ215,VLOOKUP(A215,GasTable,13),0)</f>
        <v>#VALUE!</v>
      </c>
      <c r="GH215" s="1564" t="e">
        <f aca="false">(GE215+GF215)*GG215</f>
        <v>#VALUE!</v>
      </c>
      <c r="GI215" s="1569" t="e">
        <f aca="false">GB215</f>
        <v>#VALUE!</v>
      </c>
      <c r="GJ215" s="1598" t="e">
        <f aca="false">+DA215</f>
        <v>#VALUE!</v>
      </c>
      <c r="GK215" s="1558" t="e">
        <f aca="false">+GI215*GJ215</f>
        <v>#VALUE!</v>
      </c>
      <c r="GL215" s="1566" t="e">
        <f aca="false">MAX(FE215-FL215-FP215,0)</f>
        <v>#VALUE!</v>
      </c>
      <c r="GM215" s="1551" t="e">
        <f aca="false">MAX(FF215-FM215-FQ215,0)</f>
        <v>#VALUE!</v>
      </c>
      <c r="GN215" s="1551" t="e">
        <f aca="false">MAX(FG215-FN215-FR215,0)</f>
        <v>#VALUE!</v>
      </c>
      <c r="GO215" s="1564" t="e">
        <f aca="false">MAX(FH215-FO215-FS215,0)</f>
        <v>#VALUE!</v>
      </c>
      <c r="GP215" s="1551" t="e">
        <f aca="false">SUM(GL215:GO215)</f>
        <v>#VALUE!</v>
      </c>
      <c r="GQ215" s="1563" t="e">
        <f aca="false">IF(SUM(GL215:GO215)=0,0,((GL215*BU215+GM215*BV215+GN215*BW215+GO215*BX215)/SUM(GL215:GO215)))</f>
        <v>#VALUE!</v>
      </c>
      <c r="GR215" s="1558" t="e">
        <f aca="false">(GL215*BU215+GM215*BV215+GN215*BW215+GO215*BX215)</f>
        <v>#VALUE!</v>
      </c>
      <c r="GS215" s="1566" t="n">
        <f aca="false">IF($A215&gt;=BegDate,Assumptions!$C$56*24*($A216-$A215)*(1-VLOOKUP($B215,MAIN!$AA$7:$AM$28,$C215+1))*(1-VLOOKUP($B215,MAIN!$AA$33:$AM$54,$C215+1)),0)*80/168</f>
        <v>249428.571428571</v>
      </c>
      <c r="GT215" s="286" t="n">
        <f aca="false">J215</f>
        <v>53.7143590687855</v>
      </c>
      <c r="GU215" s="286" t="n">
        <f aca="false">IF($A215&gt;=BegDate,VLOOKUP($A215,GasTable,13)+Assumptions!$C$58,0)</f>
        <v>3.8353180441969</v>
      </c>
      <c r="GV215" s="286" t="n">
        <f aca="false">GU215*Assumptions!$C$57/1000</f>
        <v>27.8060558204275</v>
      </c>
      <c r="GW215" s="1558" t="n">
        <f aca="false">IF(Assumptions!$C$60="Hourly",MAX(0,GS215*(GT215-GV215)),GS215*(GT215-GV215))</f>
        <v>6462271.06737615</v>
      </c>
      <c r="GX215" s="1566" t="n">
        <f aca="false">IF($A215&gt;=BegDate,Assumptions!$C$56*24*($A216-$A215)*(1-VLOOKUP($B215,MAIN!$AA$7:$AM$28,$C215+1))*(1-VLOOKUP($B215,MAIN!$AA$33:$AM$54,$C215+1)),0)*16/168</f>
        <v>49885.7142857143</v>
      </c>
      <c r="GY215" s="286" t="n">
        <f aca="false">M215</f>
        <v>53.7143590687855</v>
      </c>
      <c r="GZ215" s="286" t="n">
        <f aca="false">IF($A215&gt;=BegDate,VLOOKUP($A215,GasTable,13)+Assumptions!$C$58,0)</f>
        <v>3.8353180441969</v>
      </c>
      <c r="HA215" s="286" t="n">
        <f aca="false">GZ215*Assumptions!$C$57/1000</f>
        <v>27.8060558204275</v>
      </c>
      <c r="HB215" s="1558" t="n">
        <f aca="false">IF(Assumptions!$C$60="Hourly",MAX(0,GX215*(GY215-HA215)),GX215*(GY215-HA215))</f>
        <v>1292454.21347523</v>
      </c>
      <c r="HC215" s="1566" t="n">
        <f aca="false">IF($A215&gt;=BegDate,Assumptions!$C$56*24*($A216-$A215)*(1-VLOOKUP($B215,MAIN!$AA$7:$AM$28,$C215+1))*(1-VLOOKUP($B215,MAIN!$AA$33:$AM$54,$C215+1)),0)*16/168</f>
        <v>49885.7142857143</v>
      </c>
      <c r="HD215" s="286" t="n">
        <f aca="false">P215</f>
        <v>31.9713554001373</v>
      </c>
      <c r="HE215" s="286" t="n">
        <f aca="false">IF($A215&gt;=BegDate,VLOOKUP($A215,GasTable,13)+Assumptions!$C$58,0)</f>
        <v>3.8353180441969</v>
      </c>
      <c r="HF215" s="286" t="n">
        <f aca="false">HE215*Assumptions!$C$57/1000</f>
        <v>27.8060558204275</v>
      </c>
      <c r="HG215" s="1558" t="n">
        <f aca="false">IF(Assumptions!$C$60="Hourly",MAX(0,HC215*(HD215-HF215)),HC215*(HD215-HF215))</f>
        <v>207788.94474781</v>
      </c>
      <c r="HH215" s="1566" t="n">
        <f aca="false">IF($A215&gt;=BegDate,Assumptions!$C$56*24*($A216-$A215)*(1-VLOOKUP($B215,MAIN!$AA$7:$AM$28,$C215+1))*(1-VLOOKUP($B215,MAIN!$AA$33:$AM$54,$C215+1)),0)*56/168</f>
        <v>174600</v>
      </c>
      <c r="HI215" s="286" t="n">
        <f aca="false">S215</f>
        <v>31.9713554001373</v>
      </c>
      <c r="HJ215" s="286" t="n">
        <f aca="false">IF($A215&gt;=BegDate,VLOOKUP($A215,GasTable,13)+Assumptions!$C$58,0)</f>
        <v>3.8353180441969</v>
      </c>
      <c r="HK215" s="286" t="n">
        <f aca="false">HJ215*Assumptions!$C$57/1000</f>
        <v>27.8060558204275</v>
      </c>
      <c r="HL215" s="1558" t="n">
        <f aca="false">IF(Assumptions!$C$60="Hourly",MAX(0,HH215*(HI215-HK215)),HH215*(HI215-HK215))</f>
        <v>727261.306617335</v>
      </c>
      <c r="HM215" s="1566" t="n">
        <f aca="false">IF(AND(Assumptions!$H$71="Yes",A215&gt;=Assumptions!$H$72,A215&lt;=Assumptions!$H$73),Assumptions!$H$74*Assumptions!$C$9*1000,0)</f>
        <v>0</v>
      </c>
      <c r="HN215" s="1551"/>
      <c r="HO215" s="1563"/>
      <c r="HP215" s="1563"/>
      <c r="HQ215" s="1563"/>
      <c r="HR215" s="1563"/>
      <c r="HS215" s="1563"/>
      <c r="HT215" s="1563"/>
      <c r="HU215" s="1563"/>
      <c r="HV215" s="1563"/>
      <c r="HW215" s="1563"/>
      <c r="HX215" s="1563"/>
      <c r="HY215" s="1563"/>
      <c r="HZ215" s="1563"/>
      <c r="IA215" s="1563"/>
      <c r="IB215" s="1563"/>
      <c r="IC215" s="1563"/>
      <c r="ID215" s="1563"/>
      <c r="IE215" s="1563"/>
      <c r="IF215" s="1563"/>
      <c r="IG215" s="1563"/>
      <c r="IH215" s="1563"/>
      <c r="II215" s="1610"/>
      <c r="IJ215" s="1309"/>
      <c r="IK215" s="1309"/>
    </row>
    <row r="216" customFormat="false" ht="12.75" hidden="false" customHeight="false" outlineLevel="0" collapsed="false">
      <c r="A216" s="1571" t="n">
        <f aca="false">EOMONTH(A215,0)+1</f>
        <v>42705</v>
      </c>
      <c r="B216" s="594" t="n">
        <f aca="false">+YEAR(A216)</f>
        <v>2016</v>
      </c>
      <c r="C216" s="238" t="n">
        <f aca="false">MONTH(A216)</f>
        <v>12</v>
      </c>
      <c r="D216" s="1572" t="e">
        <f aca="false">IF(E216="","",Holiday(B216,C216))</f>
        <v>#VALUE!</v>
      </c>
      <c r="E216" s="1573" t="n">
        <f aca="false">IF(OR(BegDate&gt;=A217,EndDate&lt;A216,AND(VolumeMonthlyOverFlag,INDEX(VolumeMonthlyOver,C216)=0),NOT(INDEX(MonthKnockOutTable,C216))),"",MAX(A216,BegDate))</f>
        <v>42705</v>
      </c>
      <c r="F216" s="1574" t="n">
        <f aca="false">IF(E216="","",MIN(A217-1,EndDate))</f>
        <v>42735</v>
      </c>
      <c r="G216" s="1575" t="n">
        <v>0</v>
      </c>
      <c r="H216" s="1576" t="n">
        <f aca="false">(1+G216/2)^(-2*(DATE(B217,C217,20)-DateToday)/365.25)</f>
        <v>1</v>
      </c>
      <c r="I216" s="1568" t="n">
        <f aca="false">IF(Assumptions!$L$25=4,VLOOKUP($A216,'Henwood Reference'!$E$9:$R$320,10),(VLOOKUP($A216,PriceTable,2,0)+IF(BasisNumber&lt;&gt;1,VLOOKUP($A216,BasisTable,2,0),0)+I$1)/(1-I$2))</f>
        <v>56.8971627260381</v>
      </c>
      <c r="J216" s="1568" t="n">
        <f aca="false">IF(Assumptions!$L$25=4,VLOOKUP($A216,'Henwood Reference'!$E$9:$R$320,10),(VLOOKUP($A216,PriceTable,3,0)+IF(BasisNumber&lt;&gt;1,VLOOKUP($A216,BasisTable,2,0),0)+J$1)/(1-J$2))</f>
        <v>56.8971627260381</v>
      </c>
      <c r="K216" s="1568" t="n">
        <f aca="false">IF(Assumptions!$L$25=4,VLOOKUP($A216,'Henwood Reference'!$E$9:$R$320,10),(VLOOKUP($A216,PriceTable,4,0)+IF(BasisNumber&lt;&gt;1,VLOOKUP($A216,BasisTable,2,0),0)+K$1)/(1-K$2))</f>
        <v>56.8971627260381</v>
      </c>
      <c r="L216" s="1523" t="n">
        <f aca="false">IF(Assumptions!$L$25=4,VLOOKUP($A216,'Henwood Reference'!$E$9:$R$320,10),(VLOOKUP($A216,PriceTableWeekend,2,0)+IF(BasisNumber&lt;&gt;1,VLOOKUP($A216,BasisTable,2,0),0)+L$1)/(1-L$2))</f>
        <v>56.8971627260381</v>
      </c>
      <c r="M216" s="1568" t="n">
        <f aca="false">IF(Assumptions!$L$25=4,VLOOKUP($A216,'Henwood Reference'!$E$9:$R$320,10),(VLOOKUP($A216,PriceTableWeekend,3,0)+IF(BasisNumber&lt;&gt;1,VLOOKUP($A216,BasisTable,2,0),0)+M$1)/(1-M$2))</f>
        <v>56.8971627260381</v>
      </c>
      <c r="N216" s="1599" t="n">
        <f aca="false">IF(Assumptions!$L$25=4,VLOOKUP($A216,'Henwood Reference'!$E$9:$R$320,10),(VLOOKUP($A216,PriceTableWeekend,4,0)+IF(BasisNumber&lt;&gt;1,VLOOKUP($A216,BasisTable,2,0),0)+N$1)/(1-N$2))</f>
        <v>56.8971627260381</v>
      </c>
      <c r="O216" s="1568" t="n">
        <f aca="false">IF(Assumptions!$L$25=4,VLOOKUP($A216,'Henwood Reference'!$E$9:$R$320,11),(VLOOKUP($A216,PriceTableWeekend,6,0)+IF(BasisNumber&lt;&gt;1,VLOOKUP($A216,BasisTable,3,0),0)+O$1)/(1-O$2))</f>
        <v>33.9036885586229</v>
      </c>
      <c r="P216" s="1568" t="n">
        <f aca="false">IF(Assumptions!$L$25=4,VLOOKUP($A216,'Henwood Reference'!$E$9:$R$320,11),(VLOOKUP($A216,PriceTableWeekend,7,0)+IF(BasisNumber&lt;&gt;1,VLOOKUP($A216,BasisTable,3,0),0)+P$1)/(1-P$2))</f>
        <v>33.9036885586229</v>
      </c>
      <c r="Q216" s="1599" t="n">
        <f aca="false">IF(Assumptions!$L$25=4,VLOOKUP($A216,'Henwood Reference'!$E$9:$R$320,11),(VLOOKUP($A216,PriceTableWeekend,8,0)+IF(BasisNumber&lt;&gt;1,VLOOKUP($A216,BasisTable,3,0),0)+Q$1)/(1-Q$2))</f>
        <v>33.9036885586229</v>
      </c>
      <c r="R216" s="1568" t="n">
        <f aca="false">IF(Assumptions!$L$25=4,VLOOKUP($A216,'Henwood Reference'!$E$9:$R$320,11),(VLOOKUP($A216,PriceTable,6,0)+IF(BasisNumber&lt;&gt;1,VLOOKUP($A216,BasisTable,3,0),0)+R$1)/(1-R$2))</f>
        <v>33.9036885586229</v>
      </c>
      <c r="S216" s="1568" t="n">
        <f aca="false">IF(Assumptions!$L$25=4,VLOOKUP($A216,'Henwood Reference'!$E$9:$R$320,11),(VLOOKUP($A216,PriceTable,7,0)+IF(BasisNumber&lt;&gt;1,VLOOKUP($A216,BasisTable,3,0),0)+S$1)/(1-S$2))</f>
        <v>33.9036885586229</v>
      </c>
      <c r="T216" s="1600" t="n">
        <f aca="false">IF(Assumptions!$L$25=4,VLOOKUP($A216,'Henwood Reference'!$E$9:$R$320,11),(VLOOKUP($A216,PriceTable,8,0)+IF(BasisNumber&lt;&gt;1,VLOOKUP($A216,BasisTable,3,0),0)+T$1)/(1-T$2))</f>
        <v>33.9036885586229</v>
      </c>
      <c r="U216" s="1513" t="n">
        <f aca="false">VLOOKUP($A216,VolatilityTable,14)</f>
        <v>0.09</v>
      </c>
      <c r="V216" s="1513" t="n">
        <f aca="false">VLOOKUP($A216,VolatilityTable,15)</f>
        <v>0.1</v>
      </c>
      <c r="W216" s="1514" t="n">
        <f aca="false">VLOOKUP($A216,VolatilityTable,16)</f>
        <v>0.11</v>
      </c>
      <c r="X216" s="1513" t="n">
        <f aca="false">VLOOKUP($A216,VolatilityTable,14)</f>
        <v>0.09</v>
      </c>
      <c r="Y216" s="1513" t="n">
        <f aca="false">VLOOKUP($A216,VolatilityTable,15)</f>
        <v>0.1</v>
      </c>
      <c r="Z216" s="1514" t="n">
        <f aca="false">VLOOKUP($A216,VolatilityTable,16)</f>
        <v>0.11</v>
      </c>
      <c r="AA216" s="1513" t="n">
        <f aca="false">VLOOKUP($A216,VolatilityTable,18)</f>
        <v>0.09</v>
      </c>
      <c r="AB216" s="1513" t="n">
        <f aca="false">VLOOKUP($A216,VolatilityTable,19)</f>
        <v>0.11</v>
      </c>
      <c r="AC216" s="1514" t="n">
        <f aca="false">VLOOKUP($A216,VolatilityTable,20)</f>
        <v>0.13</v>
      </c>
      <c r="AD216" s="1513" t="n">
        <f aca="false">VLOOKUP($A216,VolatilityTable,18)</f>
        <v>0.09</v>
      </c>
      <c r="AE216" s="1513" t="n">
        <f aca="false">VLOOKUP($A216,VolatilityTable,19)</f>
        <v>0.11</v>
      </c>
      <c r="AF216" s="1514" t="n">
        <f aca="false">VLOOKUP($A216,VolatilityTable,20)</f>
        <v>0.13</v>
      </c>
      <c r="AG216" s="1513" t="n">
        <f aca="false">VLOOKUP($A216,VolatilityTable,22)</f>
        <v>-0.25</v>
      </c>
      <c r="AH216" s="1513" t="n">
        <f aca="false">VLOOKUP($A216,VolatilityTable,23)</f>
        <v>0.6</v>
      </c>
      <c r="AI216" s="1514" t="n">
        <f aca="false">VLOOKUP($A216,VolatilityTable,24)</f>
        <v>0.25</v>
      </c>
      <c r="AJ216" s="1513" t="n">
        <f aca="false">VLOOKUP($A216,VolatilityTable,22)</f>
        <v>-0.25</v>
      </c>
      <c r="AK216" s="1513" t="n">
        <f aca="false">VLOOKUP($A216,VolatilityTable,23)</f>
        <v>0.6</v>
      </c>
      <c r="AL216" s="1514" t="n">
        <f aca="false">VLOOKUP($A216,VolatilityTable,24)</f>
        <v>0.25</v>
      </c>
      <c r="AM216" s="1513" t="n">
        <f aca="false">VLOOKUP($A216,VolatilityTable,26)</f>
        <v>-0.01</v>
      </c>
      <c r="AN216" s="1513" t="n">
        <f aca="false">VLOOKUP($A216,VolatilityTable,27)</f>
        <v>0.16</v>
      </c>
      <c r="AO216" s="1514" t="n">
        <f aca="false">VLOOKUP($A216,VolatilityTable,28)</f>
        <v>0.01</v>
      </c>
      <c r="AP216" s="1513" t="n">
        <f aca="false">VLOOKUP($A216,VolatilityTable,26)</f>
        <v>-0.01</v>
      </c>
      <c r="AQ216" s="1513" t="n">
        <f aca="false">VLOOKUP($A216,VolatilityTable,27)</f>
        <v>0.16</v>
      </c>
      <c r="AR216" s="1515" t="n">
        <f aca="false">VLOOKUP($A216,VolatilityTable,28)</f>
        <v>0.01</v>
      </c>
      <c r="AS216" s="1581" t="n">
        <f aca="false">IF(CorrPeakOffPeakOverFlag,INDEX(CorrPeakOffPeakOver,C216),CorrPeakOffPeak)</f>
        <v>0.5</v>
      </c>
      <c r="AT216" s="594" t="e">
        <f aca="false">AX216-SUM(AU216:AW216)</f>
        <v>#VALUE!</v>
      </c>
      <c r="AU216" s="238" t="e">
        <f aca="false">IF(E216="",0,INT((F216-MOD(F216,7)-E216)/7)+1-IF(AW216,IF(WEEKDAY(D216)=7,1,0),0))</f>
        <v>#VALUE!</v>
      </c>
      <c r="AV216" s="238" t="e">
        <f aca="false">IF(E216="",0,INT((F216-MOD(F216-1,7)-E216)/7)+1-IF(AW216,IF(WEEKDAY(D216)=1,1,0),0))</f>
        <v>#VALUE!</v>
      </c>
      <c r="AW216" s="238" t="e">
        <f aca="false">IF(OR(E216="",D216="",D216&lt;BegDate,D216&gt;EndDate),0,1)</f>
        <v>#VALUE!</v>
      </c>
      <c r="AX216" s="238" t="n">
        <f aca="false">IF(E216="",0,F216-E216+1)</f>
        <v>31</v>
      </c>
      <c r="AY216" s="1582" t="n">
        <f aca="false">IF(E216="",0,MIN((1-(1-VLOOKUP(B216,MAIN!$AA$7:$AM$28,C216+1))*(1-VLOOKUP(B216,MAIN!$AA$33:$AM$54,C216+1))),1))</f>
        <v>0.03</v>
      </c>
      <c r="AZ216" s="1519" t="e">
        <v>#VALUE!</v>
      </c>
      <c r="BA216" s="1520" t="e">
        <v>#VALUE!</v>
      </c>
      <c r="BB216" s="1520" t="e">
        <v>#VALUE!</v>
      </c>
      <c r="BC216" s="1583" t="e">
        <v>#VALUE!</v>
      </c>
      <c r="BD216" s="1522" t="e">
        <v>#VALUE!</v>
      </c>
      <c r="BE216" s="1523" t="e">
        <v>#VALUE!</v>
      </c>
      <c r="BF216" s="1523" t="e">
        <v>#VALUE!</v>
      </c>
      <c r="BG216" s="1584" t="e">
        <v>#VALUE!</v>
      </c>
      <c r="BH216" s="1525" t="e">
        <v>#VALUE!</v>
      </c>
      <c r="BI216" s="1520" t="e">
        <v>#VALUE!</v>
      </c>
      <c r="BJ216" s="1520" t="e">
        <v>#VALUE!</v>
      </c>
      <c r="BK216" s="1583" t="e">
        <v>#VALUE!</v>
      </c>
      <c r="BL216" s="1522" t="e">
        <v>#VALUE!</v>
      </c>
      <c r="BM216" s="1523" t="e">
        <v>#VALUE!</v>
      </c>
      <c r="BN216" s="1523" t="e">
        <v>#VALUE!</v>
      </c>
      <c r="BO216" s="1523" t="e">
        <v>#VALUE!</v>
      </c>
      <c r="BP216" s="1525" t="e">
        <f aca="false">SUM(AZ216:BB216)</f>
        <v>#VALUE!</v>
      </c>
      <c r="BQ216" s="1529" t="e">
        <f aca="false">SUM(AZ216:BC216)</f>
        <v>#VALUE!</v>
      </c>
      <c r="BR216" s="1519" t="e">
        <f aca="false">SUM(BH216:BJ216)</f>
        <v>#VALUE!</v>
      </c>
      <c r="BS216" s="1529" t="e">
        <f aca="false">SUM(BH216:BK216)</f>
        <v>#VALUE!</v>
      </c>
      <c r="BT216" s="1316" t="n">
        <f aca="false">(IF(OVolType&lt;&gt;2,A216+14,IF(OptExpDateShift,ShiftBack(A216,OptExpDateShift,D215),A216))-DateToday)/365.25</f>
        <v>16.6324435318275</v>
      </c>
      <c r="BU216" s="1585" t="e">
        <f aca="false">IF(BQ216,IF(OPriceCurve,IF(OBuySell=OCallPut,I216/(1-AY216),K216/(1-AY216)),J216/(1-AY216))*BD216,0)</f>
        <v>#VALUE!</v>
      </c>
      <c r="BV216" s="1316" t="e">
        <f aca="false">IF(BQ216,IF(OPriceCurve,IF(OBuySell=OCallPut,L216/(1-AY216),N216/(1-AY216)),M216/(1-AY216))*BE216,0)</f>
        <v>#VALUE!</v>
      </c>
      <c r="BW216" s="1316" t="e">
        <f aca="false">IF(BQ216,IF(OPriceCurve,IF(OBuySell=OCallPut,O216/(1-AY216),Q216/(1-AY216)),P216/(1-AY216))*BF216,0)</f>
        <v>#VALUE!</v>
      </c>
      <c r="BX216" s="1316" t="e">
        <f aca="false">IF(BQ216,IF(OPriceCurve,IF(OBuySell=OCallPut,R216/(1-AY216),T216/(1-AY216)),S216/(1-AY216))*BG216,0)</f>
        <v>#VALUE!</v>
      </c>
      <c r="BY216" s="1316" t="e">
        <f aca="false">IF(BP216,(BU216*AZ216+BV216*BA216+BW216*BB216)/BP216,0)</f>
        <v>#VALUE!</v>
      </c>
      <c r="BZ216" s="1316" t="e">
        <f aca="false">IF(BQ216,(BY216*BP216+BX216*BC216)/BQ216,0)</f>
        <v>#VALUE!</v>
      </c>
      <c r="CA216" s="1531" t="e">
        <f aca="false">IF(BS216,IF(OPriceCurve,IF(OBuySell=OCallPut,I216/(1-AY216),K216/(1-AY216)),J216/(1-AY216))*BL216,0)</f>
        <v>#VALUE!</v>
      </c>
      <c r="CB216" s="1316" t="e">
        <f aca="false">IF(BS216,IF(OPriceCurve,IF(OBuySell=OCallPut,L216/(1-AY216),N216/(1-AY216)),M216/(1-AY216))*BM216,0)</f>
        <v>#VALUE!</v>
      </c>
      <c r="CC216" s="1316" t="e">
        <f aca="false">IF(BS216,IF(OPriceCurve,IF(OBuySell=OCallPut,O216/(1-AY216),Q216/(1-AY216)),P216/(1-AY216))*BN216,0)</f>
        <v>#VALUE!</v>
      </c>
      <c r="CD216" s="1316" t="e">
        <f aca="false">IF(BS216,IF(OPriceCurve,IF(OBuySell=OCallPut,R216/(1-AY216),T216/(1-AY216)),S216/(1-AY216))*BO216,0)</f>
        <v>#VALUE!</v>
      </c>
      <c r="CE216" s="1316" t="e">
        <f aca="false">IF(BR216,(BU216*BH216+BV216*BI216+BW216*BJ216)/BR216,0)</f>
        <v>#VALUE!</v>
      </c>
      <c r="CF216" s="1532" t="e">
        <f aca="false">IF(BS216,(CE216*BR216+CD216*BK216)/BS216,0)</f>
        <v>#VALUE!</v>
      </c>
      <c r="CG216" s="1586" t="e">
        <f aca="false">IF(OR(BQ216,BS216),IF(OVolType&lt;&gt;2,SQRT(IF(OVolOverMonthlyPeak,OVolOverMonthlyPeak,IF(OVolCurve,IF(OBuySell,U216,W216),V216))^2*(1-15/365.25/BT216)+IF(OVolOverDailyPeak,OVolOverDailyPeak,IF(OVolCurve,IF(OBuySell,AG216,AI216),AH216))^2*15/365.25/BT216),IF(OVolOverMonthlyPeak,OVolOverMonthlyPeak,IF(OVolCurve,IF(OBuySell,U216,W216),V216))),"")</f>
        <v>#VALUE!</v>
      </c>
      <c r="CH216" s="1587" t="e">
        <f aca="false">IF(OR(BQ216,BS216),IF(OVolType&lt;&gt;2,SQRT(IF(OVolOverMonthlyPeak,OVolOverMonthlyPeak,IF(OVolCurve,IF(OBuySell,X216,Z216),Y216))^2*(1-15/365.25/BT216)+IF(OVolOverDailyPeak,OVolOverDailyPeak,IF(OVolCurve,IF(OBuySell,AJ216,AL216),AK216))^2*15/365.25/BT216),IF(OVolOverMonthlyPeak,OVolOverMonthlyPeak,IF(OVolCurve,IF(OBuySell,X216,Z216),Y216))),"")</f>
        <v>#VALUE!</v>
      </c>
      <c r="CI216" s="1587" t="e">
        <f aca="false">IF(OR(BQ216,BS216),IF(OVolType&lt;&gt;2,SQRT(IF(OVolOverMonthlyPeak,OVolOverMonthlyPeak,IF(OVolCurve,IF(OBuySell,AA216,AC216),AB216))^2*(1-15/365.25/BT216)+IF(OVolOverDailyPeak,OVolOverDailyPeak,IF(OVolCurve,IF(OBuySell,AM216,AO216),AN216))^2*15/365.25/BT216),IF(OVolOverMonthlyPeak,OVolOverMonthlyPeak,IF(OVolCurve,IF(OBuySell,AA216,AC216),AB216))),"")</f>
        <v>#VALUE!</v>
      </c>
      <c r="CJ216" s="1587" t="e">
        <f aca="false">IF(BQ216,IF(BP216,SQRT(LN(1+((BU216*AZ216)^2*(EXP(CG216^2*BT216)-1)+(BV216*BA216)^2*(EXP(CH216^2*BT216)-1)+(BW216*BB216)^2*(EXP(CI216^2*BT216)-1)+2*BU216*AZ216*BV216*BA216*(EXP(CG216*CH216*BT216)-1)+2*BV216*BA216*BW216*BB216*(EXP(CH216*CI216*BT216)-1)+2*BW216*BB216*BU216*AZ216*(EXP(CI216*CG216*BT216)-1))/(BY216*BP216)^2)/BT216),0),"")</f>
        <v>#VALUE!</v>
      </c>
      <c r="CK216" s="1587" t="e">
        <f aca="false">IF(BS216,IF(BR216,SQRT(LN(1+((CA216*BH216)^2*(EXP(CG216^2*BT216)-1)+(CB216*BI216)^2*(EXP(CH216^2*BT216)-1)+(CC216*BJ216)^2*(EXP(CI216^2*BT216)-1)+2*CA216*BH216*CB216*BI216*(EXP(CG216*CH216*BT216)-1)+2*CB216*BI216*CC216*BJ216*(EXP(CH216*CI216*BT216)-1)+2*CC216*BJ216*CA216*BH216*(EXP(CI216*CG216*BT216)-1))/(CE216*BR216)^2)/BT216),0),"")</f>
        <v>#VALUE!</v>
      </c>
      <c r="CL216" s="1587" t="e">
        <f aca="false">IF(OR(BQ216,BS216),IF(OVolType&lt;&gt;2,SQRT(IF(OVolOverMonthlyOffPeak,OVolOverMonthlyOffPeak,IF(OVolCurve,IF(OBuySell,AD216,AF216),AE216))^2*(1-15/365.25/BT216)+IF(OVolOverDailyOffPeak,OVolOverDailyOffPeak,IF(OVolCurve,IF(OBuySell,AP216,AR216),AQ216))^2*15/365.25/BT216),IF(OVolOverMonthlyOffPeak,OVolOverMonthlyOffPeak,IF(OVolCurve,IF(OBuySell,AD216,AF216),AE216))),"")</f>
        <v>#VALUE!</v>
      </c>
      <c r="CM216" s="1587" t="e">
        <f aca="false">IF(BQ216,SQRT(LN(1+((BY216*BP216)^2*(EXP(CJ216^2*BT216)-1)+(BX216*BC216)^2*(EXP(CL216^2*BT216)-1)+2*BY216*BP216*BX216*BC216*(EXP(AS216*CJ216*CL216*BT216)-1))/(BY216*BP216+BX216*BC216)^2)/BT216),"")</f>
        <v>#VALUE!</v>
      </c>
      <c r="CN216" s="1588" t="e">
        <f aca="false">IF(BS216,SQRT(LN(1+((CE216*BR216)^2*(EXP(CK216^2*BT216)-1)+(CD216*BK216)^2*(EXP(CL216^2*BT216)-1)+2*CE216*BR216*CD216*BK216*(EXP(AS216*CK216*CL216*BT216)-1))/(CE216*BR216+CD216*BK216)^2)/BT216),"")</f>
        <v>#VALUE!</v>
      </c>
      <c r="CO216" s="1531" t="e">
        <f aca="false">IF(OR(BQ216,BS216),VLOOKUP(A216,GasTable,13)*HeatRatePeak*(1+VLOOKUP($B216,HeatRateDegradation,$C216+1))/1000,0)</f>
        <v>#VALUE!</v>
      </c>
      <c r="CP216" s="1316" t="e">
        <f aca="false">IF(OR(BQ216,BS216),VLOOKUP(A216,GasTable,13)*HeatRatePeak*(1+VLOOKUP($B216,HeatRateDegradation,$C216+1))/1000,0)</f>
        <v>#VALUE!</v>
      </c>
      <c r="CQ216" s="1316" t="e">
        <f aca="false">IF(OR(BQ216,BS216),VLOOKUP(A216,GasTable,13)*IF(EV216,HeatRatePeak,HeatRateOffPeak)*(1+VLOOKUP($B216,HeatRateDegradation,$C216+1))/1000,0)</f>
        <v>#VALUE!</v>
      </c>
      <c r="CR216" s="1316" t="e">
        <f aca="false">IF(OR(BQ216,BS216),VLOOKUP(A216,GasTable,13)*IF(EW216,HeatRatePeak,HeatRateOffPeak)*(1+VLOOKUP($B216,HeatRateDegradation,$C216+1))/1000,0)</f>
        <v>#VALUE!</v>
      </c>
      <c r="CS216" s="1589" t="e">
        <f aca="false">IF(BQ216,(CO216*AZ216+CP216*BA216+CQ216*BB216+CR216*BC216)/BQ216,0)</f>
        <v>#VALUE!</v>
      </c>
      <c r="CT216" s="1316" t="e">
        <f aca="false">IF(BS216,CO216,0)</f>
        <v>#VALUE!</v>
      </c>
      <c r="CU216" s="1590" t="e">
        <f aca="false">IF(OR(BQ216,BS216),VLOOKUP(A216,GasTable,14),"")</f>
        <v>#VALUE!</v>
      </c>
      <c r="CV216" s="1568" t="e">
        <f aca="false">IF(OR(BQ216,BS216),IF(CorrPowerGasOverFlag,INDEX(CorrPowerGasOver,C216),CorrPowerGas),"")</f>
        <v>#VALUE!</v>
      </c>
      <c r="CW216" s="1316" t="e">
        <f aca="false">IF(OR($BQ216,$BS216),SpreadOptPowerMargin,0)*((1+Assumptions!$C$26)^($B216-YEAR(Assumptions!$C$17)))</f>
        <v>#VALUE!</v>
      </c>
      <c r="CX216" s="1316" t="e">
        <f aca="false">IF(OR($BQ216,$BS216),SpreadOptPowerMargin,0)*((1+Assumptions!$C$26)^($B216-YEAR(Assumptions!$C$17)))</f>
        <v>#VALUE!</v>
      </c>
      <c r="CY216" s="1316" t="e">
        <f aca="false">IF(OR($BQ216,$BS216),SpreadOptPowerMargin,0)*((1+Assumptions!$C$26)^($B216-YEAR(Assumptions!$C$17)))</f>
        <v>#VALUE!</v>
      </c>
      <c r="CZ216" s="1316" t="e">
        <f aca="false">IF(OR($BQ216,$BS216),SpreadOptPowerMargin,0)*((1+Assumptions!$C$26)^($B216-YEAR(Assumptions!$C$17)))</f>
        <v>#VALUE!</v>
      </c>
      <c r="DA216" s="1591" t="e">
        <f aca="false">IF(OR(BQ216,BS216),(CW216*(AZ216+BH216)+CX216*(BA216+BI216)+CY216*(BB216+BJ216)+CZ216*(BC216+BK216))/(BQ216+BS216),0)</f>
        <v>#VALUE!</v>
      </c>
      <c r="DB216" s="1592" t="e">
        <f aca="false">IF(OR(BQ216,BS216),CG216+IF(OVolSmile,VLOOKUP(MAX(-5,CO216+CW216-BU216),IF(OVolSmile=1,VolSmileBook,VolSmileModel),2),0),"")</f>
        <v>#VALUE!</v>
      </c>
      <c r="DC216" s="1592" t="e">
        <f aca="false">IF(OR(BQ216,BS216),CH216+IF(OVolSmile,VLOOKUP(MAX(-5,CP216+CW216-BV216),IF(OVolSmile=1,VolSmileBook,VolSmileModel),2),0),"")</f>
        <v>#VALUE!</v>
      </c>
      <c r="DD216" s="1592" t="e">
        <f aca="false">IF(OR(BQ216,BS216),CI216+IF(OVolSmile,VLOOKUP(MAX(-5,CQ216+CW216-BW216),IF(OVolSmile=1,VolSmileBook,VolSmileModel),2),0),"")</f>
        <v>#VALUE!</v>
      </c>
      <c r="DE216" s="1592" t="e">
        <f aca="false">IF(OR(BQ216,BS216),CL216+IF(OVolSmile,VLOOKUP(MAX(-5,CR216+CZ216-BX216),IF(OVolSmile=1,VolSmileBook,VolSmileModel),2),0),"")</f>
        <v>#VALUE!</v>
      </c>
      <c r="DF216" s="1592" t="e">
        <f aca="false">IF(BQ216,CM216+IF(OVolSmile,VLOOKUP(MAX(-5,CS216+DA216-BZ216),IF(OVolSmile=1,VolSmileBook,VolSmileModel),2),0),"")</f>
        <v>#VALUE!</v>
      </c>
      <c r="DG216" s="1593" t="e">
        <f aca="false">IF(BS216,CN216+IF(OVolSmile,VLOOKUP(MAX(-5,CT216+DA216-CF216),IF(OVolSmile=1,VolSmileBook,VolSmileModel),2),0),"")</f>
        <v>#VALUE!</v>
      </c>
      <c r="DH216" s="1316" t="e">
        <f aca="false">IF(AND(BU216&gt;0,CO216&gt;0,DB216&gt;0,CU216&gt;0),newSPRDOPT(BU216,CO216,CW216,0,DB216,CU216,CV216,BT216*365.25,OCallPut,0),0)</f>
        <v>#VALUE!</v>
      </c>
      <c r="DI216" s="1316" t="e">
        <f aca="false">IF(AND(BV216&gt;0,CP216&gt;0,DC216&gt;0,CU216&gt;0),newSPRDOPT(BV216,CP216,CX216,0,DC216,CU216,CV216,BT216*365.25,OCallPut,0),0)</f>
        <v>#VALUE!</v>
      </c>
      <c r="DJ216" s="1316" t="e">
        <f aca="false">IF(AND(BW216&gt;0,CQ216&gt;0,DD216&gt;0,CU216&gt;0),newSPRDOPT(BW216,CQ216,CY216,0,DD216,CU216,CV216,BT216*365.25,OCallPut,0),0)</f>
        <v>#VALUE!</v>
      </c>
      <c r="DK216" s="1316" t="e">
        <f aca="false">IF(AND(BX216&gt;0,CR216&gt;0,DE216&gt;0,CU216&gt;0),newSPRDOPT(BX216,CR216,CZ216,0,DE216,CU216,CV216,BT216*365.25,OCallPut,0),0)</f>
        <v>#VALUE!</v>
      </c>
      <c r="DL216" s="1316" t="e">
        <f aca="false">IF(OVolType,IF(AND(BZ216&gt;0,CS216&gt;0,DF216&gt;0,CU216&gt;0),newSPRDOPT(BZ216,CS216,DA216,0,DF216,CU216,CV216,BT216*365.25,OCallPut,0),0),IF(BQ216,(DH216*AZ216+DI216*BA216+DJ216*BB216+DK216*BC216)/BQ216,0))</f>
        <v>#VALUE!</v>
      </c>
      <c r="DM216" s="1316"/>
      <c r="DN216" s="1316"/>
      <c r="DO216" s="1316"/>
      <c r="DP216" s="1316"/>
      <c r="DQ216" s="1316"/>
      <c r="DR216" s="1316"/>
      <c r="DS216" s="1316"/>
      <c r="DT216" s="1316"/>
      <c r="DU216" s="1316"/>
      <c r="DV216" s="1316"/>
      <c r="DW216" s="1594" t="e">
        <f aca="false">IF(AND(BW216&gt;0,CT216&gt;0,DD216&gt;0,CU216&gt;0),newSPRDOPT(BW216,CT216,CY216,0,DD216,CU216,CV216,BT216*365.25,OCallPut,0),0)</f>
        <v>#VALUE!</v>
      </c>
      <c r="DX216" s="1316" t="e">
        <f aca="false">IF(AND(BX216&gt;0,CT216&gt;0,DE216&gt;0,CU216&gt;0),newSPRDOPT(BX216,CT216,CZ216,0,DE216,CU216,CV216,BT216*365.25,OCallPut,0),0)</f>
        <v>#VALUE!</v>
      </c>
      <c r="DY216" s="1591" t="e">
        <f aca="false">IF(BS216,(DH216*BH216+DI216*BI216+DW216*BJ216+DX216*BK216)/BS216,0)</f>
        <v>#VALUE!</v>
      </c>
      <c r="DZ216" s="1551" t="e">
        <f aca="false">DH216*AZ216</f>
        <v>#VALUE!</v>
      </c>
      <c r="EA216" s="1551" t="e">
        <f aca="false">DI216*BA216</f>
        <v>#VALUE!</v>
      </c>
      <c r="EB216" s="1551" t="e">
        <f aca="false">DJ216*BB216</f>
        <v>#VALUE!</v>
      </c>
      <c r="EC216" s="1551" t="e">
        <f aca="false">DK216*BC216</f>
        <v>#VALUE!</v>
      </c>
      <c r="ED216" s="1551" t="e">
        <f aca="false">DL216*BQ216</f>
        <v>#VALUE!</v>
      </c>
      <c r="EE216" s="1595" t="e">
        <f aca="false">IF(BQ216,IF(OCallPut,IF(BU216&gt;(CO216+CW216),BU216-(CO216+CW216),0),IF((CO216+CW216)&gt;BU216,(CO216+CW216)-BU216,0))*AZ216,0)</f>
        <v>#VALUE!</v>
      </c>
      <c r="EF216" s="1596" t="e">
        <f aca="false">IF(BQ216,IF(OCallPut,IF(BV216&gt;(CP216+CX216),BV216-(CP216+CX216),0),IF((CP216+CX216)&gt;BV216,(CP216+CX216)-BV216,0))*BA216,0)</f>
        <v>#VALUE!</v>
      </c>
      <c r="EG216" s="1596" t="e">
        <f aca="false">IF(BQ216,IF(OCallPut,IF(BW216&gt;(CQ216+CY216),BW216-(CQ216+CY216),0),IF((CQ216+CY216)&gt;BW216,(CQ216+CY216)-BW216,0))*BB216,0)</f>
        <v>#VALUE!</v>
      </c>
      <c r="EH216" s="1596" t="e">
        <f aca="false">IF(BQ216,IF(OCallPut,IF(BX216&gt;(CR216+CZ216),BX216-(CR216+CZ216),0),IF((CR216+CZ216)&gt;BX216,(CR216+CZ216)-BX216,0))*BC216,0)</f>
        <v>#VALUE!</v>
      </c>
      <c r="EI216" s="1597" t="e">
        <f aca="false">IF(BQ216,IF(OVolType,IF(OCallPut,IF(BZ216&gt;(CS216+DA216),BZ216-(CS216+DA216),0),IF((CS216+DA216)&gt;BZ216,(CS216+DA216)-BZ216,0))*BQ216,SUM(EE216:EH216)),0)</f>
        <v>#VALUE!</v>
      </c>
      <c r="EJ216" s="1595" t="e">
        <f aca="false">DZ216-EE216</f>
        <v>#VALUE!</v>
      </c>
      <c r="EK216" s="1596" t="e">
        <f aca="false">EA216-EF216</f>
        <v>#VALUE!</v>
      </c>
      <c r="EL216" s="1596" t="e">
        <f aca="false">EB216-EG216</f>
        <v>#VALUE!</v>
      </c>
      <c r="EM216" s="1596" t="e">
        <f aca="false">EC216-EH216</f>
        <v>#VALUE!</v>
      </c>
      <c r="EN216" s="1597" t="e">
        <f aca="false">ED216-EI216</f>
        <v>#VALUE!</v>
      </c>
      <c r="EO216" s="1551" t="e">
        <f aca="false">DH216*BH216</f>
        <v>#VALUE!</v>
      </c>
      <c r="EP216" s="1551" t="e">
        <f aca="false">DI216*BI216</f>
        <v>#VALUE!</v>
      </c>
      <c r="EQ216" s="1551" t="e">
        <f aca="false">DW216*BJ216</f>
        <v>#VALUE!</v>
      </c>
      <c r="ER216" s="1551" t="e">
        <f aca="false">DX216*BK216</f>
        <v>#VALUE!</v>
      </c>
      <c r="ES216" s="1551" t="e">
        <f aca="false">DY216*BS216</f>
        <v>#VALUE!</v>
      </c>
      <c r="ET216" s="1566" t="e">
        <f aca="false">IF(EI216,IF(OCallPut,IF(CA216&gt;(CT216+CW216),CA216-(CT216+CW216),0),IF((CT216+CW216)&gt;CA216,(CT216+CW216)-CA216,0))*BH216,0)</f>
        <v>#VALUE!</v>
      </c>
      <c r="EU216" s="1551" t="e">
        <f aca="false">IF(EI216,IF(OCallPut,IF(CB216&gt;(CT216+CX216),CB216-(CT216+CX216),0),IF((CT216+CX216)&gt;CB216,(CT216+CX216)-CB216,0))*BI216,0)</f>
        <v>#VALUE!</v>
      </c>
      <c r="EV216" s="1551" t="e">
        <f aca="false">IF(EI216,IF(OCallPut,IF(CC216&gt;(CT216+CY216),CC216-(CT216+CY216),0),IF((CT216+CY216)&gt;CC216,(CT216+CY216)-CC216,0))*BJ216,0)</f>
        <v>#VALUE!</v>
      </c>
      <c r="EW216" s="1551" t="e">
        <f aca="false">IF(EI216,IF(OCallPut,IF(CD216&gt;(CT216+CZ216),CD216-(CT216+CZ216),0),IF((CT216+CZ216)&gt;CD216,(CT216+CZ216)-CD216,0))*BK216,0)</f>
        <v>#VALUE!</v>
      </c>
      <c r="EX216" s="1558" t="e">
        <f aca="false">IF(EI216,SUM(ET216:EW216),0)</f>
        <v>#VALUE!</v>
      </c>
      <c r="EY216" s="1551" t="e">
        <f aca="false">EO216-ET216</f>
        <v>#VALUE!</v>
      </c>
      <c r="EZ216" s="1551" t="e">
        <f aca="false">EP216-EU216</f>
        <v>#VALUE!</v>
      </c>
      <c r="FA216" s="1551" t="e">
        <f aca="false">EQ216-EV216</f>
        <v>#VALUE!</v>
      </c>
      <c r="FB216" s="1551" t="e">
        <f aca="false">ER216-EW216</f>
        <v>#VALUE!</v>
      </c>
      <c r="FC216" s="1551" t="e">
        <f aca="false">ES216-EX216</f>
        <v>#VALUE!</v>
      </c>
      <c r="FD216" s="1525" t="n">
        <f aca="false">IF(AX216,IF(VLOOKUP(C216,MAIN!$L$17:$M$28,2)="Yes",VLOOKUP(CALC!B216,MAIN!$H$17:$I$20,2),0),0)</f>
        <v>0</v>
      </c>
      <c r="FE216" s="1552" t="e">
        <f aca="false">$FD216*16*AT216*(1-$AY216)</f>
        <v>#VALUE!</v>
      </c>
      <c r="FF216" s="1553" t="e">
        <f aca="false">$FD216*16*AU216*(1-$AY216)</f>
        <v>#VALUE!</v>
      </c>
      <c r="FG216" s="1553" t="e">
        <f aca="false">$FD216*16*(AV216+AW216)*(1-$AY216)</f>
        <v>#VALUE!</v>
      </c>
      <c r="FH216" s="1554" t="n">
        <f aca="false">$FD216*8*AX216*(1-$AY216)</f>
        <v>0</v>
      </c>
      <c r="FI216" s="1555" t="n">
        <f aca="false">IF(AX216,VLOOKUP(CALC!B216,MAIN!$H$17:$K$20,4),0)</f>
        <v>0</v>
      </c>
      <c r="FJ216" s="1553" t="e">
        <f aca="false">SUM(FE216:FH216)</f>
        <v>#VALUE!</v>
      </c>
      <c r="FK216" s="1556" t="e">
        <f aca="false">FI216*FJ216</f>
        <v>#VALUE!</v>
      </c>
      <c r="FL216" s="1551" t="e">
        <f aca="false">IF($EI216&gt;0,MIN(FE216,AZ216*(1+VLOOKUP($C216,WeatherCapacityAdjustment,2))),0)</f>
        <v>#VALUE!</v>
      </c>
      <c r="FM216" s="1551" t="e">
        <f aca="false">IF($EI216&gt;0,MIN(FF216,BA216*(1+VLOOKUP($C216,WeatherCapacityAdjustment,2))),0)</f>
        <v>#VALUE!</v>
      </c>
      <c r="FN216" s="1551" t="e">
        <f aca="false">IF($EI216&gt;0,MIN(FG216,BB216*(1+VLOOKUP($C216,WeatherCapacityAdjustment,2))),0)</f>
        <v>#VALUE!</v>
      </c>
      <c r="FO216" s="1564" t="e">
        <f aca="false">IF($EI216&gt;0,MIN(FH216,BC216*(1+VLOOKUP($C216,WeatherCapacityAdjustment,3))),0)</f>
        <v>#VALUE!</v>
      </c>
      <c r="FP216" s="1551" t="e">
        <f aca="false">IF(ET216&gt;0,MIN(FE216-FL216,BH216*(1+VLOOKUP($C216,WeatherCapacityAdjustment,2))),0)</f>
        <v>#VALUE!</v>
      </c>
      <c r="FQ216" s="1551" t="e">
        <f aca="false">IF(EU216&gt;0,MIN(FF216-FM216,BI216*(1+VLOOKUP($C216,WeatherCapacityAdjustment,2))),0)</f>
        <v>#VALUE!</v>
      </c>
      <c r="FR216" s="1551" t="e">
        <f aca="false">IF(EV216&gt;0,MIN(FG216-FN216,BJ216*(1+VLOOKUP($C216,WeatherCapacityAdjustment,2))),0)</f>
        <v>#VALUE!</v>
      </c>
      <c r="FS216" s="1558" t="e">
        <f aca="false">IF(EW216&gt;0,MIN(FH216-FO216,BK216*(1+VLOOKUP($C216,WeatherCapacityAdjustment,3))),0)</f>
        <v>#VALUE!</v>
      </c>
      <c r="FT216" s="1566" t="e">
        <f aca="false">IF(AND(Assumptions!$H$71="Yes",A216&gt;=Assumptions!$H$72,A216&lt;=Assumptions!$H$73),0,IF(AND($A216&gt;=Assumptions!$C$17,$A216&lt;=Assumptions!$C$18),MAX(AZ216*(1+VLOOKUP($C216,WeatherCapacityAdjustment,2))-FL216,0),0))</f>
        <v>#VALUE!</v>
      </c>
      <c r="FU216" s="1551" t="e">
        <f aca="false">IF(AND(Assumptions!$H$71="Yes",A216&gt;=Assumptions!$H$72,A216&lt;=Assumptions!$H$73),0,IF(AND($A216&gt;=Assumptions!$C$17,$A216&lt;=Assumptions!$C$18),MAX(BA216*(1+VLOOKUP($C216,WeatherCapacityAdjustment,2))-FM216,0),0))</f>
        <v>#VALUE!</v>
      </c>
      <c r="FV216" s="1551" t="e">
        <f aca="false">IF(AND(Assumptions!$H$71="Yes",A216&gt;=Assumptions!$H$72,A216&lt;=Assumptions!$H$73),0,IF(AND($A216&gt;=Assumptions!$C$17,$A216&lt;=Assumptions!$C$18),MAX(BB216*(1+VLOOKUP($C216,WeatherCapacityAdjustment,2))-FN216,0),0))</f>
        <v>#VALUE!</v>
      </c>
      <c r="FW216" s="1564" t="e">
        <f aca="false">IF(AND(Assumptions!$H$71="Yes",A216&gt;=Assumptions!$H$72,A216&lt;=Assumptions!$H$73),0,IF(AND($A216&gt;=Assumptions!$C$17,$A216&lt;=Assumptions!$C$18),MAX(BC216*(1+VLOOKUP($C216,WeatherCapacityAdjustment,3))-FO216,0),0))</f>
        <v>#VALUE!</v>
      </c>
      <c r="FX216" s="1569" t="e">
        <f aca="false">IF(AND(Assumptions!$H$71="Yes",A216&gt;=Assumptions!$H$72,A216&lt;=Assumptions!$H$73),0,IF(ET216&gt;0,MAX(BH216*(1+VLOOKUP($C216,WeatherCapacityAdjustment,2))-FP216,0),0))</f>
        <v>#VALUE!</v>
      </c>
      <c r="FY216" s="1551" t="e">
        <f aca="false">IF(AND(Assumptions!$H$71="Yes",A216&gt;=Assumptions!$H$72,A216&lt;=Assumptions!$H$73),0,IF(EU216&gt;0,MAX(BI216*(1+VLOOKUP($C216,WeatherCapacityAdjustment,3))-FQ216,0),0))</f>
        <v>#VALUE!</v>
      </c>
      <c r="FZ216" s="1551" t="e">
        <f aca="false">IF(AND(Assumptions!$H$71="Yes",A216&gt;=Assumptions!$H$72,A216&lt;=Assumptions!$H$73),0,IF(EV216&gt;0,MAX(BJ216*(1+VLOOKUP($C216,WeatherCapacityAdjustment,2))-FR216,0),0))</f>
        <v>#VALUE!</v>
      </c>
      <c r="GA216" s="1564" t="e">
        <f aca="false">IF(AND(Assumptions!$H$71="Yes",A216&gt;=Assumptions!$H$72,A216&lt;=Assumptions!$H$73),0,IF(EW216&gt;0,MAX(BK216*(1+VLOOKUP($C216,WeatherCapacityAdjustment,2))-FS216,0),0))</f>
        <v>#VALUE!</v>
      </c>
      <c r="GB216" s="1551" t="e">
        <f aca="false">SUM(FT216:GA216)</f>
        <v>#VALUE!</v>
      </c>
      <c r="GC216" s="1563" t="e">
        <f aca="false">+IF(SUM(FT216:GA216)=0,0,(SUMPRODUCT(BU216:BX216,FT216:FW216)+SUMPRODUCT(CA216:CD216,FX216:GA216))/SUM(FT216:GA216))</f>
        <v>#VALUE!</v>
      </c>
      <c r="GD216" s="1551" t="e">
        <f aca="false">(FT216*BU216+FX216*CA216+FU216*BV216+FY216*CB216+FV216*BW216+FZ216*CC216+FW216*BX216+GA216*CD216)</f>
        <v>#VALUE!</v>
      </c>
      <c r="GE216" s="1561" t="e">
        <f aca="false">+IF(BQ216,((FL216+FM216+FT216+FU216)*HeatRatePeak/1000*(1+VLOOKUP($C216,WeatherHeatRateAdjustment,2))+(FN216+FV216)*IF(EV216&gt;0,HeatRatePeak,HeatRateOffPeak)/1000*(1+VLOOKUP($C216,WeatherHeatRateAdjustment,2))+(FO216+FW216)*IF(EW216&gt;0,HeatRatePeak,HeatRateOffPeak)/1000*(1+VLOOKUP($C216,WeatherHeatRateAdjustment,3)))*(1+VLOOKUP($B216,HeatRateDegradation,$C216+1)),0)</f>
        <v>#VALUE!</v>
      </c>
      <c r="GF216" s="1562" t="e">
        <f aca="false">IF(BQ216,((FP216+FQ216+FR216+FX216+FY216+FZ216)*HeatRatePeak/1000*(1+VLOOKUP($C216,WeatherHeatRateAdjustment,2))+(FS216+GA216)*HeatRatePeak/1000*(1+VLOOKUP($C216,WeatherHeatRateAdjustment,3)))*(1+VLOOKUP($B216,HeatRateDegradation,$C216+1)),0)</f>
        <v>#VALUE!</v>
      </c>
      <c r="GG216" s="1563" t="e">
        <f aca="false">IF(BQ216,VLOOKUP(A216,GasTable,13),0)</f>
        <v>#VALUE!</v>
      </c>
      <c r="GH216" s="1564" t="e">
        <f aca="false">(GE216+GF216)*GG216</f>
        <v>#VALUE!</v>
      </c>
      <c r="GI216" s="1569" t="e">
        <f aca="false">GB216</f>
        <v>#VALUE!</v>
      </c>
      <c r="GJ216" s="1598" t="e">
        <f aca="false">+DA216</f>
        <v>#VALUE!</v>
      </c>
      <c r="GK216" s="1558" t="e">
        <f aca="false">+GI216*GJ216</f>
        <v>#VALUE!</v>
      </c>
      <c r="GL216" s="1566" t="e">
        <f aca="false">MAX(FE216-FL216-FP216,0)</f>
        <v>#VALUE!</v>
      </c>
      <c r="GM216" s="1551" t="e">
        <f aca="false">MAX(FF216-FM216-FQ216,0)</f>
        <v>#VALUE!</v>
      </c>
      <c r="GN216" s="1551" t="e">
        <f aca="false">MAX(FG216-FN216-FR216,0)</f>
        <v>#VALUE!</v>
      </c>
      <c r="GO216" s="1564" t="e">
        <f aca="false">MAX(FH216-FO216-FS216,0)</f>
        <v>#VALUE!</v>
      </c>
      <c r="GP216" s="1551" t="e">
        <f aca="false">SUM(GL216:GO216)</f>
        <v>#VALUE!</v>
      </c>
      <c r="GQ216" s="1563" t="e">
        <f aca="false">IF(SUM(GL216:GO216)=0,0,((GL216*BU216+GM216*BV216+GN216*BW216+GO216*BX216)/SUM(GL216:GO216)))</f>
        <v>#VALUE!</v>
      </c>
      <c r="GR216" s="1558" t="e">
        <f aca="false">(GL216*BU216+GM216*BV216+GN216*BW216+GO216*BX216)</f>
        <v>#VALUE!</v>
      </c>
      <c r="GS216" s="1566" t="n">
        <f aca="false">IF($A216&gt;=BegDate,Assumptions!$C$56*24*($A217-$A216)*(1-VLOOKUP($B216,MAIN!$AA$7:$AM$28,$C216+1))*(1-VLOOKUP($B216,MAIN!$AA$33:$AM$54,$C216+1)),0)*80/168</f>
        <v>257742.857142857</v>
      </c>
      <c r="GT216" s="286" t="n">
        <f aca="false">J216</f>
        <v>56.8971627260381</v>
      </c>
      <c r="GU216" s="286" t="n">
        <f aca="false">IF($A216&gt;=BegDate,VLOOKUP($A216,GasTable,13)+Assumptions!$C$58,0)</f>
        <v>3.99195549018954</v>
      </c>
      <c r="GV216" s="286" t="n">
        <f aca="false">GU216*Assumptions!$C$57/1000</f>
        <v>28.9416773038742</v>
      </c>
      <c r="GW216" s="1558" t="n">
        <f aca="false">IF(Assumptions!$C$60="Hourly",MAX(0,GS216*(GT216-GV216)),GS216*(GT216-GV216))</f>
        <v>7205326.68552401</v>
      </c>
      <c r="GX216" s="1566" t="n">
        <f aca="false">IF($A216&gt;=BegDate,Assumptions!$C$56*24*($A217-$A216)*(1-VLOOKUP($B216,MAIN!$AA$7:$AM$28,$C216+1))*(1-VLOOKUP($B216,MAIN!$AA$33:$AM$54,$C216+1)),0)*16/168</f>
        <v>51548.5714285714</v>
      </c>
      <c r="GY216" s="286" t="n">
        <f aca="false">M216</f>
        <v>56.8971627260381</v>
      </c>
      <c r="GZ216" s="286" t="n">
        <f aca="false">IF($A216&gt;=BegDate,VLOOKUP($A216,GasTable,13)+Assumptions!$C$58,0)</f>
        <v>3.99195549018954</v>
      </c>
      <c r="HA216" s="286" t="n">
        <f aca="false">GZ216*Assumptions!$C$57/1000</f>
        <v>28.9416773038742</v>
      </c>
      <c r="HB216" s="1558" t="n">
        <f aca="false">IF(Assumptions!$C$60="Hourly",MAX(0,GX216*(GY216-HA216)),GX216*(GY216-HA216))</f>
        <v>1441065.3371048</v>
      </c>
      <c r="HC216" s="1566" t="n">
        <f aca="false">IF($A216&gt;=BegDate,Assumptions!$C$56*24*($A217-$A216)*(1-VLOOKUP($B216,MAIN!$AA$7:$AM$28,$C216+1))*(1-VLOOKUP($B216,MAIN!$AA$33:$AM$54,$C216+1)),0)*16/168</f>
        <v>51548.5714285714</v>
      </c>
      <c r="HD216" s="286" t="n">
        <f aca="false">P216</f>
        <v>33.9036885586229</v>
      </c>
      <c r="HE216" s="286" t="n">
        <f aca="false">IF($A216&gt;=BegDate,VLOOKUP($A216,GasTable,13)+Assumptions!$C$58,0)</f>
        <v>3.99195549018954</v>
      </c>
      <c r="HF216" s="286" t="n">
        <f aca="false">HE216*Assumptions!$C$57/1000</f>
        <v>28.9416773038742</v>
      </c>
      <c r="HG216" s="1558" t="n">
        <f aca="false">IF(Assumptions!$C$60="Hourly",MAX(0,HC216*(HD216-HF216)),HC216*(HD216-HF216))</f>
        <v>255784.591594787</v>
      </c>
      <c r="HH216" s="1566" t="n">
        <f aca="false">IF($A216&gt;=BegDate,Assumptions!$C$56*24*($A217-$A216)*(1-VLOOKUP($B216,MAIN!$AA$7:$AM$28,$C216+1))*(1-VLOOKUP($B216,MAIN!$AA$33:$AM$54,$C216+1)),0)*56/168</f>
        <v>180420</v>
      </c>
      <c r="HI216" s="286" t="n">
        <f aca="false">S216</f>
        <v>33.9036885586229</v>
      </c>
      <c r="HJ216" s="286" t="n">
        <f aca="false">IF($A216&gt;=BegDate,VLOOKUP($A216,GasTable,13)+Assumptions!$C$58,0)</f>
        <v>3.99195549018954</v>
      </c>
      <c r="HK216" s="286" t="n">
        <f aca="false">HJ216*Assumptions!$C$57/1000</f>
        <v>28.9416773038742</v>
      </c>
      <c r="HL216" s="1558" t="n">
        <f aca="false">IF(Assumptions!$C$60="Hourly",MAX(0,HH216*(HI216-HK216)),HH216*(HI216-HK216))</f>
        <v>895246.070581753</v>
      </c>
      <c r="HM216" s="1566" t="n">
        <f aca="false">IF(AND(Assumptions!$H$71="Yes",A216&gt;=Assumptions!$H$72,A216&lt;=Assumptions!$H$73),Assumptions!$H$74*Assumptions!$C$9*1000,0)</f>
        <v>0</v>
      </c>
      <c r="HN216" s="1551"/>
      <c r="HO216" s="1563"/>
      <c r="HP216" s="1563"/>
      <c r="HQ216" s="1563"/>
      <c r="HR216" s="1563"/>
      <c r="HS216" s="1563"/>
      <c r="HT216" s="1563"/>
      <c r="HU216" s="1563"/>
      <c r="HV216" s="1563"/>
      <c r="HW216" s="1563"/>
      <c r="HX216" s="1563"/>
      <c r="HY216" s="1563"/>
      <c r="HZ216" s="1563"/>
      <c r="IA216" s="1563"/>
      <c r="IB216" s="1563"/>
      <c r="IC216" s="1563"/>
      <c r="ID216" s="1563"/>
      <c r="IE216" s="1563"/>
      <c r="IF216" s="1563"/>
      <c r="IG216" s="1563"/>
      <c r="IH216" s="1563"/>
      <c r="II216" s="1610"/>
      <c r="IJ216" s="1309"/>
      <c r="IK216" s="1309"/>
    </row>
    <row r="217" customFormat="false" ht="12.75" hidden="false" customHeight="false" outlineLevel="0" collapsed="false">
      <c r="A217" s="1571" t="n">
        <f aca="false">EOMONTH(A216,0)+1</f>
        <v>42736</v>
      </c>
      <c r="B217" s="594" t="n">
        <f aca="false">+YEAR(A217)</f>
        <v>2017</v>
      </c>
      <c r="C217" s="238" t="n">
        <f aca="false">MONTH(A217)</f>
        <v>1</v>
      </c>
      <c r="D217" s="1572" t="e">
        <f aca="false">IF(E217="","",Holiday(B217,C217))</f>
        <v>#VALUE!</v>
      </c>
      <c r="E217" s="1573" t="n">
        <f aca="false">IF(OR(BegDate&gt;=A218,EndDate&lt;A217,AND(VolumeMonthlyOverFlag,INDEX(VolumeMonthlyOver,C217)=0),NOT(INDEX(MonthKnockOutTable,C217))),"",MAX(A217,BegDate))</f>
        <v>42736</v>
      </c>
      <c r="F217" s="1574" t="n">
        <f aca="false">IF(E217="","",MIN(A218-1,EndDate))</f>
        <v>42766</v>
      </c>
      <c r="G217" s="1575" t="n">
        <v>0</v>
      </c>
      <c r="H217" s="1576" t="n">
        <f aca="false">(1+G217/2)^(-2*(DATE(B218,C218,20)-DateToday)/365.25)</f>
        <v>1</v>
      </c>
      <c r="I217" s="1568" t="n">
        <f aca="false">IF(Assumptions!$L$25=4,VLOOKUP($A217,'Henwood Reference'!$E$9:$R$320,10),(VLOOKUP($A217,PriceTable,2,0)+IF(BasisNumber&lt;&gt;1,VLOOKUP($A217,BasisTable,2,0),0)+I$1)/(1-I$2))</f>
        <v>57.9790963237911</v>
      </c>
      <c r="J217" s="1568" t="n">
        <f aca="false">IF(Assumptions!$L$25=4,VLOOKUP($A217,'Henwood Reference'!$E$9:$R$320,10),(VLOOKUP($A217,PriceTable,3,0)+IF(BasisNumber&lt;&gt;1,VLOOKUP($A217,BasisTable,2,0),0)+J$1)/(1-J$2))</f>
        <v>57.9790963237911</v>
      </c>
      <c r="K217" s="1568" t="n">
        <f aca="false">IF(Assumptions!$L$25=4,VLOOKUP($A217,'Henwood Reference'!$E$9:$R$320,10),(VLOOKUP($A217,PriceTable,4,0)+IF(BasisNumber&lt;&gt;1,VLOOKUP($A217,BasisTable,2,0),0)+K$1)/(1-K$2))</f>
        <v>57.9790963237911</v>
      </c>
      <c r="L217" s="1523" t="n">
        <f aca="false">IF(Assumptions!$L$25=4,VLOOKUP($A217,'Henwood Reference'!$E$9:$R$320,10),(VLOOKUP($A217,PriceTableWeekend,2,0)+IF(BasisNumber&lt;&gt;1,VLOOKUP($A217,BasisTable,2,0),0)+L$1)/(1-L$2))</f>
        <v>57.9790963237911</v>
      </c>
      <c r="M217" s="1568" t="n">
        <f aca="false">IF(Assumptions!$L$25=4,VLOOKUP($A217,'Henwood Reference'!$E$9:$R$320,10),(VLOOKUP($A217,PriceTableWeekend,3,0)+IF(BasisNumber&lt;&gt;1,VLOOKUP($A217,BasisTable,2,0),0)+M$1)/(1-M$2))</f>
        <v>57.9790963237911</v>
      </c>
      <c r="N217" s="1599" t="n">
        <f aca="false">IF(Assumptions!$L$25=4,VLOOKUP($A217,'Henwood Reference'!$E$9:$R$320,10),(VLOOKUP($A217,PriceTableWeekend,4,0)+IF(BasisNumber&lt;&gt;1,VLOOKUP($A217,BasisTable,2,0),0)+N$1)/(1-N$2))</f>
        <v>57.9790963237911</v>
      </c>
      <c r="O217" s="1568" t="n">
        <f aca="false">IF(Assumptions!$L$25=4,VLOOKUP($A217,'Henwood Reference'!$E$9:$R$320,11),(VLOOKUP($A217,PriceTableWeekend,6,0)+IF(BasisNumber&lt;&gt;1,VLOOKUP($A217,BasisTable,3,0),0)+O$1)/(1-O$2))</f>
        <v>33.8085490181173</v>
      </c>
      <c r="P217" s="1568" t="n">
        <f aca="false">IF(Assumptions!$L$25=4,VLOOKUP($A217,'Henwood Reference'!$E$9:$R$320,11),(VLOOKUP($A217,PriceTableWeekend,7,0)+IF(BasisNumber&lt;&gt;1,VLOOKUP($A217,BasisTable,3,0),0)+P$1)/(1-P$2))</f>
        <v>33.8085490181173</v>
      </c>
      <c r="Q217" s="1599" t="n">
        <f aca="false">IF(Assumptions!$L$25=4,VLOOKUP($A217,'Henwood Reference'!$E$9:$R$320,11),(VLOOKUP($A217,PriceTableWeekend,8,0)+IF(BasisNumber&lt;&gt;1,VLOOKUP($A217,BasisTable,3,0),0)+Q$1)/(1-Q$2))</f>
        <v>33.8085490181173</v>
      </c>
      <c r="R217" s="1568" t="n">
        <f aca="false">IF(Assumptions!$L$25=4,VLOOKUP($A217,'Henwood Reference'!$E$9:$R$320,11),(VLOOKUP($A217,PriceTable,6,0)+IF(BasisNumber&lt;&gt;1,VLOOKUP($A217,BasisTable,3,0),0)+R$1)/(1-R$2))</f>
        <v>33.8085490181173</v>
      </c>
      <c r="S217" s="1568" t="n">
        <f aca="false">IF(Assumptions!$L$25=4,VLOOKUP($A217,'Henwood Reference'!$E$9:$R$320,11),(VLOOKUP($A217,PriceTable,7,0)+IF(BasisNumber&lt;&gt;1,VLOOKUP($A217,BasisTable,3,0),0)+S$1)/(1-S$2))</f>
        <v>33.8085490181173</v>
      </c>
      <c r="T217" s="1600" t="n">
        <f aca="false">IF(Assumptions!$L$25=4,VLOOKUP($A217,'Henwood Reference'!$E$9:$R$320,11),(VLOOKUP($A217,PriceTable,8,0)+IF(BasisNumber&lt;&gt;1,VLOOKUP($A217,BasisTable,3,0),0)+T$1)/(1-T$2))</f>
        <v>33.8085490181173</v>
      </c>
      <c r="U217" s="1513" t="n">
        <f aca="false">VLOOKUP($A217,VolatilityTable,14)</f>
        <v>0.09</v>
      </c>
      <c r="V217" s="1513" t="n">
        <f aca="false">VLOOKUP($A217,VolatilityTable,15)</f>
        <v>0.1</v>
      </c>
      <c r="W217" s="1514" t="n">
        <f aca="false">VLOOKUP($A217,VolatilityTable,16)</f>
        <v>0.11</v>
      </c>
      <c r="X217" s="1513" t="n">
        <f aca="false">VLOOKUP($A217,VolatilityTable,14)</f>
        <v>0.09</v>
      </c>
      <c r="Y217" s="1513" t="n">
        <f aca="false">VLOOKUP($A217,VolatilityTable,15)</f>
        <v>0.1</v>
      </c>
      <c r="Z217" s="1514" t="n">
        <f aca="false">VLOOKUP($A217,VolatilityTable,16)</f>
        <v>0.11</v>
      </c>
      <c r="AA217" s="1513" t="n">
        <f aca="false">VLOOKUP($A217,VolatilityTable,18)</f>
        <v>0.09</v>
      </c>
      <c r="AB217" s="1513" t="n">
        <f aca="false">VLOOKUP($A217,VolatilityTable,19)</f>
        <v>0.11</v>
      </c>
      <c r="AC217" s="1514" t="n">
        <f aca="false">VLOOKUP($A217,VolatilityTable,20)</f>
        <v>0.13</v>
      </c>
      <c r="AD217" s="1513" t="n">
        <f aca="false">VLOOKUP($A217,VolatilityTable,18)</f>
        <v>0.09</v>
      </c>
      <c r="AE217" s="1513" t="n">
        <f aca="false">VLOOKUP($A217,VolatilityTable,19)</f>
        <v>0.11</v>
      </c>
      <c r="AF217" s="1514" t="n">
        <f aca="false">VLOOKUP($A217,VolatilityTable,20)</f>
        <v>0.13</v>
      </c>
      <c r="AG217" s="1513" t="n">
        <f aca="false">VLOOKUP($A217,VolatilityTable,22)</f>
        <v>-0.25</v>
      </c>
      <c r="AH217" s="1513" t="n">
        <f aca="false">VLOOKUP($A217,VolatilityTable,23)</f>
        <v>0.6</v>
      </c>
      <c r="AI217" s="1514" t="n">
        <f aca="false">VLOOKUP($A217,VolatilityTable,24)</f>
        <v>0.25</v>
      </c>
      <c r="AJ217" s="1513" t="n">
        <f aca="false">VLOOKUP($A217,VolatilityTable,22)</f>
        <v>-0.25</v>
      </c>
      <c r="AK217" s="1513" t="n">
        <f aca="false">VLOOKUP($A217,VolatilityTable,23)</f>
        <v>0.6</v>
      </c>
      <c r="AL217" s="1514" t="n">
        <f aca="false">VLOOKUP($A217,VolatilityTable,24)</f>
        <v>0.25</v>
      </c>
      <c r="AM217" s="1513" t="n">
        <f aca="false">VLOOKUP($A217,VolatilityTable,26)</f>
        <v>-0.01</v>
      </c>
      <c r="AN217" s="1513" t="n">
        <f aca="false">VLOOKUP($A217,VolatilityTable,27)</f>
        <v>0.16</v>
      </c>
      <c r="AO217" s="1514" t="n">
        <f aca="false">VLOOKUP($A217,VolatilityTable,28)</f>
        <v>0.01</v>
      </c>
      <c r="AP217" s="1513" t="n">
        <f aca="false">VLOOKUP($A217,VolatilityTable,26)</f>
        <v>-0.01</v>
      </c>
      <c r="AQ217" s="1513" t="n">
        <f aca="false">VLOOKUP($A217,VolatilityTable,27)</f>
        <v>0.16</v>
      </c>
      <c r="AR217" s="1515" t="n">
        <f aca="false">VLOOKUP($A217,VolatilityTable,28)</f>
        <v>0.01</v>
      </c>
      <c r="AS217" s="1581" t="n">
        <f aca="false">IF(CorrPeakOffPeakOverFlag,INDEX(CorrPeakOffPeakOver,C217),CorrPeakOffPeak)</f>
        <v>0.5</v>
      </c>
      <c r="AT217" s="594" t="e">
        <f aca="false">AX217-SUM(AU217:AW217)</f>
        <v>#VALUE!</v>
      </c>
      <c r="AU217" s="238" t="e">
        <f aca="false">IF(E217="",0,INT((F217-MOD(F217,7)-E217)/7)+1-IF(AW217,IF(WEEKDAY(D217)=7,1,0),0))</f>
        <v>#VALUE!</v>
      </c>
      <c r="AV217" s="238" t="e">
        <f aca="false">IF(E217="",0,INT((F217-MOD(F217-1,7)-E217)/7)+1-IF(AW217,IF(WEEKDAY(D217)=1,1,0),0))</f>
        <v>#VALUE!</v>
      </c>
      <c r="AW217" s="238" t="e">
        <f aca="false">IF(OR(E217="",D217="",D217&lt;BegDate,D217&gt;EndDate),0,1)</f>
        <v>#VALUE!</v>
      </c>
      <c r="AX217" s="238" t="n">
        <f aca="false">IF(E217="",0,F217-E217+1)</f>
        <v>31</v>
      </c>
      <c r="AY217" s="1582" t="n">
        <f aca="false">IF(E217="",0,MIN((1-(1-VLOOKUP(B217,MAIN!$AA$7:$AM$28,C217+1))*(1-VLOOKUP(B217,MAIN!$AA$33:$AM$54,C217+1))),1))</f>
        <v>0.03</v>
      </c>
      <c r="AZ217" s="1519" t="e">
        <v>#VALUE!</v>
      </c>
      <c r="BA217" s="1520" t="e">
        <v>#VALUE!</v>
      </c>
      <c r="BB217" s="1520" t="e">
        <v>#VALUE!</v>
      </c>
      <c r="BC217" s="1583" t="e">
        <v>#VALUE!</v>
      </c>
      <c r="BD217" s="1522" t="e">
        <v>#VALUE!</v>
      </c>
      <c r="BE217" s="1523" t="e">
        <v>#VALUE!</v>
      </c>
      <c r="BF217" s="1523" t="e">
        <v>#VALUE!</v>
      </c>
      <c r="BG217" s="1584" t="e">
        <v>#VALUE!</v>
      </c>
      <c r="BH217" s="1525" t="e">
        <v>#VALUE!</v>
      </c>
      <c r="BI217" s="1520" t="e">
        <v>#VALUE!</v>
      </c>
      <c r="BJ217" s="1520" t="e">
        <v>#VALUE!</v>
      </c>
      <c r="BK217" s="1583" t="e">
        <v>#VALUE!</v>
      </c>
      <c r="BL217" s="1522" t="e">
        <v>#VALUE!</v>
      </c>
      <c r="BM217" s="1523" t="e">
        <v>#VALUE!</v>
      </c>
      <c r="BN217" s="1523" t="e">
        <v>#VALUE!</v>
      </c>
      <c r="BO217" s="1523" t="e">
        <v>#VALUE!</v>
      </c>
      <c r="BP217" s="1525" t="e">
        <f aca="false">SUM(AZ217:BB217)</f>
        <v>#VALUE!</v>
      </c>
      <c r="BQ217" s="1529" t="e">
        <f aca="false">SUM(AZ217:BC217)</f>
        <v>#VALUE!</v>
      </c>
      <c r="BR217" s="1519" t="e">
        <f aca="false">SUM(BH217:BJ217)</f>
        <v>#VALUE!</v>
      </c>
      <c r="BS217" s="1529" t="e">
        <f aca="false">SUM(BH217:BK217)</f>
        <v>#VALUE!</v>
      </c>
      <c r="BT217" s="1316" t="n">
        <f aca="false">(IF(OVolType&lt;&gt;2,A217+14,IF(OptExpDateShift,ShiftBack(A217,OptExpDateShift,D216),A217))-DateToday)/365.25</f>
        <v>16.7173169062286</v>
      </c>
      <c r="BU217" s="1585" t="e">
        <f aca="false">IF(BQ217,IF(OPriceCurve,IF(OBuySell=OCallPut,I217/(1-AY217),K217/(1-AY217)),J217/(1-AY217))*BD217,0)</f>
        <v>#VALUE!</v>
      </c>
      <c r="BV217" s="1316" t="e">
        <f aca="false">IF(BQ217,IF(OPriceCurve,IF(OBuySell=OCallPut,L217/(1-AY217),N217/(1-AY217)),M217/(1-AY217))*BE217,0)</f>
        <v>#VALUE!</v>
      </c>
      <c r="BW217" s="1316" t="e">
        <f aca="false">IF(BQ217,IF(OPriceCurve,IF(OBuySell=OCallPut,O217/(1-AY217),Q217/(1-AY217)),P217/(1-AY217))*BF217,0)</f>
        <v>#VALUE!</v>
      </c>
      <c r="BX217" s="1316" t="e">
        <f aca="false">IF(BQ217,IF(OPriceCurve,IF(OBuySell=OCallPut,R217/(1-AY217),T217/(1-AY217)),S217/(1-AY217))*BG217,0)</f>
        <v>#VALUE!</v>
      </c>
      <c r="BY217" s="1316" t="e">
        <f aca="false">IF(BP217,(BU217*AZ217+BV217*BA217+BW217*BB217)/BP217,0)</f>
        <v>#VALUE!</v>
      </c>
      <c r="BZ217" s="1316" t="e">
        <f aca="false">IF(BQ217,(BY217*BP217+BX217*BC217)/BQ217,0)</f>
        <v>#VALUE!</v>
      </c>
      <c r="CA217" s="1531" t="e">
        <f aca="false">IF(BS217,IF(OPriceCurve,IF(OBuySell=OCallPut,I217/(1-AY217),K217/(1-AY217)),J217/(1-AY217))*BL217,0)</f>
        <v>#VALUE!</v>
      </c>
      <c r="CB217" s="1316" t="e">
        <f aca="false">IF(BS217,IF(OPriceCurve,IF(OBuySell=OCallPut,L217/(1-AY217),N217/(1-AY217)),M217/(1-AY217))*BM217,0)</f>
        <v>#VALUE!</v>
      </c>
      <c r="CC217" s="1316" t="e">
        <f aca="false">IF(BS217,IF(OPriceCurve,IF(OBuySell=OCallPut,O217/(1-AY217),Q217/(1-AY217)),P217/(1-AY217))*BN217,0)</f>
        <v>#VALUE!</v>
      </c>
      <c r="CD217" s="1316" t="e">
        <f aca="false">IF(BS217,IF(OPriceCurve,IF(OBuySell=OCallPut,R217/(1-AY217),T217/(1-AY217)),S217/(1-AY217))*BO217,0)</f>
        <v>#VALUE!</v>
      </c>
      <c r="CE217" s="1316" t="e">
        <f aca="false">IF(BR217,(BU217*BH217+BV217*BI217+BW217*BJ217)/BR217,0)</f>
        <v>#VALUE!</v>
      </c>
      <c r="CF217" s="1532" t="e">
        <f aca="false">IF(BS217,(CE217*BR217+CD217*BK217)/BS217,0)</f>
        <v>#VALUE!</v>
      </c>
      <c r="CG217" s="1586" t="e">
        <f aca="false">IF(OR(BQ217,BS217),IF(OVolType&lt;&gt;2,SQRT(IF(OVolOverMonthlyPeak,OVolOverMonthlyPeak,IF(OVolCurve,IF(OBuySell,U217,W217),V217))^2*(1-15/365.25/BT217)+IF(OVolOverDailyPeak,OVolOverDailyPeak,IF(OVolCurve,IF(OBuySell,AG217,AI217),AH217))^2*15/365.25/BT217),IF(OVolOverMonthlyPeak,OVolOverMonthlyPeak,IF(OVolCurve,IF(OBuySell,U217,W217),V217))),"")</f>
        <v>#VALUE!</v>
      </c>
      <c r="CH217" s="1587" t="e">
        <f aca="false">IF(OR(BQ217,BS217),IF(OVolType&lt;&gt;2,SQRT(IF(OVolOverMonthlyPeak,OVolOverMonthlyPeak,IF(OVolCurve,IF(OBuySell,X217,Z217),Y217))^2*(1-15/365.25/BT217)+IF(OVolOverDailyPeak,OVolOverDailyPeak,IF(OVolCurve,IF(OBuySell,AJ217,AL217),AK217))^2*15/365.25/BT217),IF(OVolOverMonthlyPeak,OVolOverMonthlyPeak,IF(OVolCurve,IF(OBuySell,X217,Z217),Y217))),"")</f>
        <v>#VALUE!</v>
      </c>
      <c r="CI217" s="1587" t="e">
        <f aca="false">IF(OR(BQ217,BS217),IF(OVolType&lt;&gt;2,SQRT(IF(OVolOverMonthlyPeak,OVolOverMonthlyPeak,IF(OVolCurve,IF(OBuySell,AA217,AC217),AB217))^2*(1-15/365.25/BT217)+IF(OVolOverDailyPeak,OVolOverDailyPeak,IF(OVolCurve,IF(OBuySell,AM217,AO217),AN217))^2*15/365.25/BT217),IF(OVolOverMonthlyPeak,OVolOverMonthlyPeak,IF(OVolCurve,IF(OBuySell,AA217,AC217),AB217))),"")</f>
        <v>#VALUE!</v>
      </c>
      <c r="CJ217" s="1587" t="e">
        <f aca="false">IF(BQ217,IF(BP217,SQRT(LN(1+((BU217*AZ217)^2*(EXP(CG217^2*BT217)-1)+(BV217*BA217)^2*(EXP(CH217^2*BT217)-1)+(BW217*BB217)^2*(EXP(CI217^2*BT217)-1)+2*BU217*AZ217*BV217*BA217*(EXP(CG217*CH217*BT217)-1)+2*BV217*BA217*BW217*BB217*(EXP(CH217*CI217*BT217)-1)+2*BW217*BB217*BU217*AZ217*(EXP(CI217*CG217*BT217)-1))/(BY217*BP217)^2)/BT217),0),"")</f>
        <v>#VALUE!</v>
      </c>
      <c r="CK217" s="1587" t="e">
        <f aca="false">IF(BS217,IF(BR217,SQRT(LN(1+((CA217*BH217)^2*(EXP(CG217^2*BT217)-1)+(CB217*BI217)^2*(EXP(CH217^2*BT217)-1)+(CC217*BJ217)^2*(EXP(CI217^2*BT217)-1)+2*CA217*BH217*CB217*BI217*(EXP(CG217*CH217*BT217)-1)+2*CB217*BI217*CC217*BJ217*(EXP(CH217*CI217*BT217)-1)+2*CC217*BJ217*CA217*BH217*(EXP(CI217*CG217*BT217)-1))/(CE217*BR217)^2)/BT217),0),"")</f>
        <v>#VALUE!</v>
      </c>
      <c r="CL217" s="1587" t="e">
        <f aca="false">IF(OR(BQ217,BS217),IF(OVolType&lt;&gt;2,SQRT(IF(OVolOverMonthlyOffPeak,OVolOverMonthlyOffPeak,IF(OVolCurve,IF(OBuySell,AD217,AF217),AE217))^2*(1-15/365.25/BT217)+IF(OVolOverDailyOffPeak,OVolOverDailyOffPeak,IF(OVolCurve,IF(OBuySell,AP217,AR217),AQ217))^2*15/365.25/BT217),IF(OVolOverMonthlyOffPeak,OVolOverMonthlyOffPeak,IF(OVolCurve,IF(OBuySell,AD217,AF217),AE217))),"")</f>
        <v>#VALUE!</v>
      </c>
      <c r="CM217" s="1587" t="e">
        <f aca="false">IF(BQ217,SQRT(LN(1+((BY217*BP217)^2*(EXP(CJ217^2*BT217)-1)+(BX217*BC217)^2*(EXP(CL217^2*BT217)-1)+2*BY217*BP217*BX217*BC217*(EXP(AS217*CJ217*CL217*BT217)-1))/(BY217*BP217+BX217*BC217)^2)/BT217),"")</f>
        <v>#VALUE!</v>
      </c>
      <c r="CN217" s="1588" t="e">
        <f aca="false">IF(BS217,SQRT(LN(1+((CE217*BR217)^2*(EXP(CK217^2*BT217)-1)+(CD217*BK217)^2*(EXP(CL217^2*BT217)-1)+2*CE217*BR217*CD217*BK217*(EXP(AS217*CK217*CL217*BT217)-1))/(CE217*BR217+CD217*BK217)^2)/BT217),"")</f>
        <v>#VALUE!</v>
      </c>
      <c r="CO217" s="1531" t="e">
        <f aca="false">IF(OR(BQ217,BS217),VLOOKUP(A217,GasTable,13)*HeatRatePeak*(1+VLOOKUP($B217,HeatRateDegradation,$C217+1))/1000,0)</f>
        <v>#VALUE!</v>
      </c>
      <c r="CP217" s="1316" t="e">
        <f aca="false">IF(OR(BQ217,BS217),VLOOKUP(A217,GasTable,13)*HeatRatePeak*(1+VLOOKUP($B217,HeatRateDegradation,$C217+1))/1000,0)</f>
        <v>#VALUE!</v>
      </c>
      <c r="CQ217" s="1316" t="e">
        <f aca="false">IF(OR(BQ217,BS217),VLOOKUP(A217,GasTable,13)*IF(EV217,HeatRatePeak,HeatRateOffPeak)*(1+VLOOKUP($B217,HeatRateDegradation,$C217+1))/1000,0)</f>
        <v>#VALUE!</v>
      </c>
      <c r="CR217" s="1316" t="e">
        <f aca="false">IF(OR(BQ217,BS217),VLOOKUP(A217,GasTable,13)*IF(EW217,HeatRatePeak,HeatRateOffPeak)*(1+VLOOKUP($B217,HeatRateDegradation,$C217+1))/1000,0)</f>
        <v>#VALUE!</v>
      </c>
      <c r="CS217" s="1589" t="e">
        <f aca="false">IF(BQ217,(CO217*AZ217+CP217*BA217+CQ217*BB217+CR217*BC217)/BQ217,0)</f>
        <v>#VALUE!</v>
      </c>
      <c r="CT217" s="1316" t="e">
        <f aca="false">IF(BS217,CO217,0)</f>
        <v>#VALUE!</v>
      </c>
      <c r="CU217" s="1590" t="e">
        <f aca="false">IF(OR(BQ217,BS217),VLOOKUP(A217,GasTable,14),"")</f>
        <v>#VALUE!</v>
      </c>
      <c r="CV217" s="1568" t="e">
        <f aca="false">IF(OR(BQ217,BS217),IF(CorrPowerGasOverFlag,INDEX(CorrPowerGasOver,C217),CorrPowerGas),"")</f>
        <v>#VALUE!</v>
      </c>
      <c r="CW217" s="1316" t="e">
        <f aca="false">IF(OR($BQ217,$BS217),SpreadOptPowerMargin,0)*((1+Assumptions!$C$26)^($B217-YEAR(Assumptions!$C$17)))</f>
        <v>#VALUE!</v>
      </c>
      <c r="CX217" s="1316" t="e">
        <f aca="false">IF(OR($BQ217,$BS217),SpreadOptPowerMargin,0)*((1+Assumptions!$C$26)^($B217-YEAR(Assumptions!$C$17)))</f>
        <v>#VALUE!</v>
      </c>
      <c r="CY217" s="1316" t="e">
        <f aca="false">IF(OR($BQ217,$BS217),SpreadOptPowerMargin,0)*((1+Assumptions!$C$26)^($B217-YEAR(Assumptions!$C$17)))</f>
        <v>#VALUE!</v>
      </c>
      <c r="CZ217" s="1316" t="e">
        <f aca="false">IF(OR($BQ217,$BS217),SpreadOptPowerMargin,0)*((1+Assumptions!$C$26)^($B217-YEAR(Assumptions!$C$17)))</f>
        <v>#VALUE!</v>
      </c>
      <c r="DA217" s="1591" t="e">
        <f aca="false">IF(OR(BQ217,BS217),(CW217*(AZ217+BH217)+CX217*(BA217+BI217)+CY217*(BB217+BJ217)+CZ217*(BC217+BK217))/(BQ217+BS217),0)</f>
        <v>#VALUE!</v>
      </c>
      <c r="DB217" s="1592" t="e">
        <f aca="false">IF(OR(BQ217,BS217),CG217+IF(OVolSmile,VLOOKUP(MAX(-5,CO217+CW217-BU217),IF(OVolSmile=1,VolSmileBook,VolSmileModel),2),0),"")</f>
        <v>#VALUE!</v>
      </c>
      <c r="DC217" s="1592" t="e">
        <f aca="false">IF(OR(BQ217,BS217),CH217+IF(OVolSmile,VLOOKUP(MAX(-5,CP217+CW217-BV217),IF(OVolSmile=1,VolSmileBook,VolSmileModel),2),0),"")</f>
        <v>#VALUE!</v>
      </c>
      <c r="DD217" s="1592" t="e">
        <f aca="false">IF(OR(BQ217,BS217),CI217+IF(OVolSmile,VLOOKUP(MAX(-5,CQ217+CW217-BW217),IF(OVolSmile=1,VolSmileBook,VolSmileModel),2),0),"")</f>
        <v>#VALUE!</v>
      </c>
      <c r="DE217" s="1592" t="e">
        <f aca="false">IF(OR(BQ217,BS217),CL217+IF(OVolSmile,VLOOKUP(MAX(-5,CR217+CZ217-BX217),IF(OVolSmile=1,VolSmileBook,VolSmileModel),2),0),"")</f>
        <v>#VALUE!</v>
      </c>
      <c r="DF217" s="1592" t="e">
        <f aca="false">IF(BQ217,CM217+IF(OVolSmile,VLOOKUP(MAX(-5,CS217+DA217-BZ217),IF(OVolSmile=1,VolSmileBook,VolSmileModel),2),0),"")</f>
        <v>#VALUE!</v>
      </c>
      <c r="DG217" s="1593" t="e">
        <f aca="false">IF(BS217,CN217+IF(OVolSmile,VLOOKUP(MAX(-5,CT217+DA217-CF217),IF(OVolSmile=1,VolSmileBook,VolSmileModel),2),0),"")</f>
        <v>#VALUE!</v>
      </c>
      <c r="DH217" s="1316" t="e">
        <f aca="false">IF(AND(BU217&gt;0,CO217&gt;0,DB217&gt;0,CU217&gt;0),newSPRDOPT(BU217,CO217,CW217,0,DB217,CU217,CV217,BT217*365.25,OCallPut,0),0)</f>
        <v>#VALUE!</v>
      </c>
      <c r="DI217" s="1316" t="e">
        <f aca="false">IF(AND(BV217&gt;0,CP217&gt;0,DC217&gt;0,CU217&gt;0),newSPRDOPT(BV217,CP217,CX217,0,DC217,CU217,CV217,BT217*365.25,OCallPut,0),0)</f>
        <v>#VALUE!</v>
      </c>
      <c r="DJ217" s="1316" t="e">
        <f aca="false">IF(AND(BW217&gt;0,CQ217&gt;0,DD217&gt;0,CU217&gt;0),newSPRDOPT(BW217,CQ217,CY217,0,DD217,CU217,CV217,BT217*365.25,OCallPut,0),0)</f>
        <v>#VALUE!</v>
      </c>
      <c r="DK217" s="1316" t="e">
        <f aca="false">IF(AND(BX217&gt;0,CR217&gt;0,DE217&gt;0,CU217&gt;0),newSPRDOPT(BX217,CR217,CZ217,0,DE217,CU217,CV217,BT217*365.25,OCallPut,0),0)</f>
        <v>#VALUE!</v>
      </c>
      <c r="DL217" s="1316" t="e">
        <f aca="false">IF(OVolType,IF(AND(BZ217&gt;0,CS217&gt;0,DF217&gt;0,CU217&gt;0),newSPRDOPT(BZ217,CS217,DA217,0,DF217,CU217,CV217,BT217*365.25,OCallPut,0),0),IF(BQ217,(DH217*AZ217+DI217*BA217+DJ217*BB217+DK217*BC217)/BQ217,0))</f>
        <v>#VALUE!</v>
      </c>
      <c r="DM217" s="1316"/>
      <c r="DN217" s="1316"/>
      <c r="DO217" s="1316"/>
      <c r="DP217" s="1316"/>
      <c r="DQ217" s="1316"/>
      <c r="DR217" s="1316"/>
      <c r="DS217" s="1316"/>
      <c r="DT217" s="1316"/>
      <c r="DU217" s="1316"/>
      <c r="DV217" s="1316"/>
      <c r="DW217" s="1594" t="e">
        <f aca="false">IF(AND(BW217&gt;0,CT217&gt;0,DD217&gt;0,CU217&gt;0),newSPRDOPT(BW217,CT217,CY217,0,DD217,CU217,CV217,BT217*365.25,OCallPut,0),0)</f>
        <v>#VALUE!</v>
      </c>
      <c r="DX217" s="1316" t="e">
        <f aca="false">IF(AND(BX217&gt;0,CT217&gt;0,DE217&gt;0,CU217&gt;0),newSPRDOPT(BX217,CT217,CZ217,0,DE217,CU217,CV217,BT217*365.25,OCallPut,0),0)</f>
        <v>#VALUE!</v>
      </c>
      <c r="DY217" s="1591" t="e">
        <f aca="false">IF(BS217,(DH217*BH217+DI217*BI217+DW217*BJ217+DX217*BK217)/BS217,0)</f>
        <v>#VALUE!</v>
      </c>
      <c r="DZ217" s="1551" t="e">
        <f aca="false">DH217*AZ217</f>
        <v>#VALUE!</v>
      </c>
      <c r="EA217" s="1551" t="e">
        <f aca="false">DI217*BA217</f>
        <v>#VALUE!</v>
      </c>
      <c r="EB217" s="1551" t="e">
        <f aca="false">DJ217*BB217</f>
        <v>#VALUE!</v>
      </c>
      <c r="EC217" s="1551" t="e">
        <f aca="false">DK217*BC217</f>
        <v>#VALUE!</v>
      </c>
      <c r="ED217" s="1551" t="e">
        <f aca="false">DL217*BQ217</f>
        <v>#VALUE!</v>
      </c>
      <c r="EE217" s="1595" t="e">
        <f aca="false">IF(BQ217,IF(OCallPut,IF(BU217&gt;(CO217+CW217),BU217-(CO217+CW217),0),IF((CO217+CW217)&gt;BU217,(CO217+CW217)-BU217,0))*AZ217,0)</f>
        <v>#VALUE!</v>
      </c>
      <c r="EF217" s="1596" t="e">
        <f aca="false">IF(BQ217,IF(OCallPut,IF(BV217&gt;(CP217+CX217),BV217-(CP217+CX217),0),IF((CP217+CX217)&gt;BV217,(CP217+CX217)-BV217,0))*BA217,0)</f>
        <v>#VALUE!</v>
      </c>
      <c r="EG217" s="1596" t="e">
        <f aca="false">IF(BQ217,IF(OCallPut,IF(BW217&gt;(CQ217+CY217),BW217-(CQ217+CY217),0),IF((CQ217+CY217)&gt;BW217,(CQ217+CY217)-BW217,0))*BB217,0)</f>
        <v>#VALUE!</v>
      </c>
      <c r="EH217" s="1596" t="e">
        <f aca="false">IF(BQ217,IF(OCallPut,IF(BX217&gt;(CR217+CZ217),BX217-(CR217+CZ217),0),IF((CR217+CZ217)&gt;BX217,(CR217+CZ217)-BX217,0))*BC217,0)</f>
        <v>#VALUE!</v>
      </c>
      <c r="EI217" s="1597" t="e">
        <f aca="false">IF(BQ217,IF(OVolType,IF(OCallPut,IF(BZ217&gt;(CS217+DA217),BZ217-(CS217+DA217),0),IF((CS217+DA217)&gt;BZ217,(CS217+DA217)-BZ217,0))*BQ217,SUM(EE217:EH217)),0)</f>
        <v>#VALUE!</v>
      </c>
      <c r="EJ217" s="1595" t="e">
        <f aca="false">DZ217-EE217</f>
        <v>#VALUE!</v>
      </c>
      <c r="EK217" s="1596" t="e">
        <f aca="false">EA217-EF217</f>
        <v>#VALUE!</v>
      </c>
      <c r="EL217" s="1596" t="e">
        <f aca="false">EB217-EG217</f>
        <v>#VALUE!</v>
      </c>
      <c r="EM217" s="1596" t="e">
        <f aca="false">EC217-EH217</f>
        <v>#VALUE!</v>
      </c>
      <c r="EN217" s="1597" t="e">
        <f aca="false">ED217-EI217</f>
        <v>#VALUE!</v>
      </c>
      <c r="EO217" s="1551" t="e">
        <f aca="false">DH217*BH217</f>
        <v>#VALUE!</v>
      </c>
      <c r="EP217" s="1551" t="e">
        <f aca="false">DI217*BI217</f>
        <v>#VALUE!</v>
      </c>
      <c r="EQ217" s="1551" t="e">
        <f aca="false">DW217*BJ217</f>
        <v>#VALUE!</v>
      </c>
      <c r="ER217" s="1551" t="e">
        <f aca="false">DX217*BK217</f>
        <v>#VALUE!</v>
      </c>
      <c r="ES217" s="1551" t="e">
        <f aca="false">DY217*BS217</f>
        <v>#VALUE!</v>
      </c>
      <c r="ET217" s="1566" t="e">
        <f aca="false">IF(EI217,IF(OCallPut,IF(CA217&gt;(CT217+CW217),CA217-(CT217+CW217),0),IF((CT217+CW217)&gt;CA217,(CT217+CW217)-CA217,0))*BH217,0)</f>
        <v>#VALUE!</v>
      </c>
      <c r="EU217" s="1551" t="e">
        <f aca="false">IF(EI217,IF(OCallPut,IF(CB217&gt;(CT217+CX217),CB217-(CT217+CX217),0),IF((CT217+CX217)&gt;CB217,(CT217+CX217)-CB217,0))*BI217,0)</f>
        <v>#VALUE!</v>
      </c>
      <c r="EV217" s="1551" t="e">
        <f aca="false">IF(EI217,IF(OCallPut,IF(CC217&gt;(CT217+CY217),CC217-(CT217+CY217),0),IF((CT217+CY217)&gt;CC217,(CT217+CY217)-CC217,0))*BJ217,0)</f>
        <v>#VALUE!</v>
      </c>
      <c r="EW217" s="1551" t="e">
        <f aca="false">IF(EI217,IF(OCallPut,IF(CD217&gt;(CT217+CZ217),CD217-(CT217+CZ217),0),IF((CT217+CZ217)&gt;CD217,(CT217+CZ217)-CD217,0))*BK217,0)</f>
        <v>#VALUE!</v>
      </c>
      <c r="EX217" s="1558" t="e">
        <f aca="false">IF(EI217,SUM(ET217:EW217),0)</f>
        <v>#VALUE!</v>
      </c>
      <c r="EY217" s="1551" t="e">
        <f aca="false">EO217-ET217</f>
        <v>#VALUE!</v>
      </c>
      <c r="EZ217" s="1551" t="e">
        <f aca="false">EP217-EU217</f>
        <v>#VALUE!</v>
      </c>
      <c r="FA217" s="1551" t="e">
        <f aca="false">EQ217-EV217</f>
        <v>#VALUE!</v>
      </c>
      <c r="FB217" s="1551" t="e">
        <f aca="false">ER217-EW217</f>
        <v>#VALUE!</v>
      </c>
      <c r="FC217" s="1551" t="e">
        <f aca="false">ES217-EX217</f>
        <v>#VALUE!</v>
      </c>
      <c r="FD217" s="1525" t="n">
        <f aca="false">IF(AX217,IF(VLOOKUP(C217,MAIN!$L$17:$M$28,2)="Yes",VLOOKUP(CALC!B217,MAIN!$H$17:$I$20,2),0),0)</f>
        <v>0</v>
      </c>
      <c r="FE217" s="1552" t="e">
        <f aca="false">$FD217*16*AT217*(1-$AY217)</f>
        <v>#VALUE!</v>
      </c>
      <c r="FF217" s="1553" t="e">
        <f aca="false">$FD217*16*AU217*(1-$AY217)</f>
        <v>#VALUE!</v>
      </c>
      <c r="FG217" s="1553" t="e">
        <f aca="false">$FD217*16*(AV217+AW217)*(1-$AY217)</f>
        <v>#VALUE!</v>
      </c>
      <c r="FH217" s="1554" t="n">
        <f aca="false">$FD217*8*AX217*(1-$AY217)</f>
        <v>0</v>
      </c>
      <c r="FI217" s="1555" t="n">
        <f aca="false">IF(AX217,VLOOKUP(CALC!B217,MAIN!$H$17:$K$20,4),0)</f>
        <v>0</v>
      </c>
      <c r="FJ217" s="1553" t="e">
        <f aca="false">SUM(FE217:FH217)</f>
        <v>#VALUE!</v>
      </c>
      <c r="FK217" s="1556" t="e">
        <f aca="false">FI217*FJ217</f>
        <v>#VALUE!</v>
      </c>
      <c r="FL217" s="1551" t="e">
        <f aca="false">IF($EI217&gt;0,MIN(FE217,AZ217*(1+VLOOKUP($C217,WeatherCapacityAdjustment,2))),0)</f>
        <v>#VALUE!</v>
      </c>
      <c r="FM217" s="1551" t="e">
        <f aca="false">IF($EI217&gt;0,MIN(FF217,BA217*(1+VLOOKUP($C217,WeatherCapacityAdjustment,2))),0)</f>
        <v>#VALUE!</v>
      </c>
      <c r="FN217" s="1551" t="e">
        <f aca="false">IF($EI217&gt;0,MIN(FG217,BB217*(1+VLOOKUP($C217,WeatherCapacityAdjustment,2))),0)</f>
        <v>#VALUE!</v>
      </c>
      <c r="FO217" s="1564" t="e">
        <f aca="false">IF($EI217&gt;0,MIN(FH217,BC217*(1+VLOOKUP($C217,WeatherCapacityAdjustment,3))),0)</f>
        <v>#VALUE!</v>
      </c>
      <c r="FP217" s="1551" t="e">
        <f aca="false">IF(ET217&gt;0,MIN(FE217-FL217,BH217*(1+VLOOKUP($C217,WeatherCapacityAdjustment,2))),0)</f>
        <v>#VALUE!</v>
      </c>
      <c r="FQ217" s="1551" t="e">
        <f aca="false">IF(EU217&gt;0,MIN(FF217-FM217,BI217*(1+VLOOKUP($C217,WeatherCapacityAdjustment,2))),0)</f>
        <v>#VALUE!</v>
      </c>
      <c r="FR217" s="1551" t="e">
        <f aca="false">IF(EV217&gt;0,MIN(FG217-FN217,BJ217*(1+VLOOKUP($C217,WeatherCapacityAdjustment,2))),0)</f>
        <v>#VALUE!</v>
      </c>
      <c r="FS217" s="1558" t="e">
        <f aca="false">IF(EW217&gt;0,MIN(FH217-FO217,BK217*(1+VLOOKUP($C217,WeatherCapacityAdjustment,3))),0)</f>
        <v>#VALUE!</v>
      </c>
      <c r="FT217" s="1566" t="e">
        <f aca="false">IF(AND(Assumptions!$H$71="Yes",A217&gt;=Assumptions!$H$72,A217&lt;=Assumptions!$H$73),0,IF(AND($A217&gt;=Assumptions!$C$17,$A217&lt;=Assumptions!$C$18),MAX(AZ217*(1+VLOOKUP($C217,WeatherCapacityAdjustment,2))-FL217,0),0))</f>
        <v>#VALUE!</v>
      </c>
      <c r="FU217" s="1551" t="e">
        <f aca="false">IF(AND(Assumptions!$H$71="Yes",A217&gt;=Assumptions!$H$72,A217&lt;=Assumptions!$H$73),0,IF(AND($A217&gt;=Assumptions!$C$17,$A217&lt;=Assumptions!$C$18),MAX(BA217*(1+VLOOKUP($C217,WeatherCapacityAdjustment,2))-FM217,0),0))</f>
        <v>#VALUE!</v>
      </c>
      <c r="FV217" s="1551" t="e">
        <f aca="false">IF(AND(Assumptions!$H$71="Yes",A217&gt;=Assumptions!$H$72,A217&lt;=Assumptions!$H$73),0,IF(AND($A217&gt;=Assumptions!$C$17,$A217&lt;=Assumptions!$C$18),MAX(BB217*(1+VLOOKUP($C217,WeatherCapacityAdjustment,2))-FN217,0),0))</f>
        <v>#VALUE!</v>
      </c>
      <c r="FW217" s="1564" t="e">
        <f aca="false">IF(AND(Assumptions!$H$71="Yes",A217&gt;=Assumptions!$H$72,A217&lt;=Assumptions!$H$73),0,IF(AND($A217&gt;=Assumptions!$C$17,$A217&lt;=Assumptions!$C$18),MAX(BC217*(1+VLOOKUP($C217,WeatherCapacityAdjustment,3))-FO217,0),0))</f>
        <v>#VALUE!</v>
      </c>
      <c r="FX217" s="1569" t="e">
        <f aca="false">IF(AND(Assumptions!$H$71="Yes",A217&gt;=Assumptions!$H$72,A217&lt;=Assumptions!$H$73),0,IF(ET217&gt;0,MAX(BH217*(1+VLOOKUP($C217,WeatherCapacityAdjustment,2))-FP217,0),0))</f>
        <v>#VALUE!</v>
      </c>
      <c r="FY217" s="1551" t="e">
        <f aca="false">IF(AND(Assumptions!$H$71="Yes",A217&gt;=Assumptions!$H$72,A217&lt;=Assumptions!$H$73),0,IF(EU217&gt;0,MAX(BI217*(1+VLOOKUP($C217,WeatherCapacityAdjustment,3))-FQ217,0),0))</f>
        <v>#VALUE!</v>
      </c>
      <c r="FZ217" s="1551" t="e">
        <f aca="false">IF(AND(Assumptions!$H$71="Yes",A217&gt;=Assumptions!$H$72,A217&lt;=Assumptions!$H$73),0,IF(EV217&gt;0,MAX(BJ217*(1+VLOOKUP($C217,WeatherCapacityAdjustment,2))-FR217,0),0))</f>
        <v>#VALUE!</v>
      </c>
      <c r="GA217" s="1564" t="e">
        <f aca="false">IF(AND(Assumptions!$H$71="Yes",A217&gt;=Assumptions!$H$72,A217&lt;=Assumptions!$H$73),0,IF(EW217&gt;0,MAX(BK217*(1+VLOOKUP($C217,WeatherCapacityAdjustment,2))-FS217,0),0))</f>
        <v>#VALUE!</v>
      </c>
      <c r="GB217" s="1551" t="e">
        <f aca="false">SUM(FT217:GA217)</f>
        <v>#VALUE!</v>
      </c>
      <c r="GC217" s="1563" t="e">
        <f aca="false">+IF(SUM(FT217:GA217)=0,0,(SUMPRODUCT(BU217:BX217,FT217:FW217)+SUMPRODUCT(CA217:CD217,FX217:GA217))/SUM(FT217:GA217))</f>
        <v>#VALUE!</v>
      </c>
      <c r="GD217" s="1551" t="e">
        <f aca="false">(FT217*BU217+FX217*CA217+FU217*BV217+FY217*CB217+FV217*BW217+FZ217*CC217+FW217*BX217+GA217*CD217)</f>
        <v>#VALUE!</v>
      </c>
      <c r="GE217" s="1561" t="e">
        <f aca="false">+IF(BQ217,((FL217+FM217+FT217+FU217)*HeatRatePeak/1000*(1+VLOOKUP($C217,WeatherHeatRateAdjustment,2))+(FN217+FV217)*IF(EV217&gt;0,HeatRatePeak,HeatRateOffPeak)/1000*(1+VLOOKUP($C217,WeatherHeatRateAdjustment,2))+(FO217+FW217)*IF(EW217&gt;0,HeatRatePeak,HeatRateOffPeak)/1000*(1+VLOOKUP($C217,WeatherHeatRateAdjustment,3)))*(1+VLOOKUP($B217,HeatRateDegradation,$C217+1)),0)</f>
        <v>#VALUE!</v>
      </c>
      <c r="GF217" s="1562" t="e">
        <f aca="false">IF(BQ217,((FP217+FQ217+FR217+FX217+FY217+FZ217)*HeatRatePeak/1000*(1+VLOOKUP($C217,WeatherHeatRateAdjustment,2))+(FS217+GA217)*HeatRatePeak/1000*(1+VLOOKUP($C217,WeatherHeatRateAdjustment,3)))*(1+VLOOKUP($B217,HeatRateDegradation,$C217+1)),0)</f>
        <v>#VALUE!</v>
      </c>
      <c r="GG217" s="1563" t="e">
        <f aca="false">IF(BQ217,VLOOKUP(A217,GasTable,13),0)</f>
        <v>#VALUE!</v>
      </c>
      <c r="GH217" s="1564" t="e">
        <f aca="false">(GE217+GF217)*GG217</f>
        <v>#VALUE!</v>
      </c>
      <c r="GI217" s="1569" t="e">
        <f aca="false">GB217</f>
        <v>#VALUE!</v>
      </c>
      <c r="GJ217" s="1598" t="e">
        <f aca="false">+DA217</f>
        <v>#VALUE!</v>
      </c>
      <c r="GK217" s="1558" t="e">
        <f aca="false">+GI217*GJ217</f>
        <v>#VALUE!</v>
      </c>
      <c r="GL217" s="1566" t="e">
        <f aca="false">MAX(FE217-FL217-FP217,0)</f>
        <v>#VALUE!</v>
      </c>
      <c r="GM217" s="1551" t="e">
        <f aca="false">MAX(FF217-FM217-FQ217,0)</f>
        <v>#VALUE!</v>
      </c>
      <c r="GN217" s="1551" t="e">
        <f aca="false">MAX(FG217-FN217-FR217,0)</f>
        <v>#VALUE!</v>
      </c>
      <c r="GO217" s="1564" t="e">
        <f aca="false">MAX(FH217-FO217-FS217,0)</f>
        <v>#VALUE!</v>
      </c>
      <c r="GP217" s="1551" t="e">
        <f aca="false">SUM(GL217:GO217)</f>
        <v>#VALUE!</v>
      </c>
      <c r="GQ217" s="1563" t="e">
        <f aca="false">IF(SUM(GL217:GO217)=0,0,((GL217*BU217+GM217*BV217+GN217*BW217+GO217*BX217)/SUM(GL217:GO217)))</f>
        <v>#VALUE!</v>
      </c>
      <c r="GR217" s="1558" t="e">
        <f aca="false">(GL217*BU217+GM217*BV217+GN217*BW217+GO217*BX217)</f>
        <v>#VALUE!</v>
      </c>
      <c r="GS217" s="1566" t="n">
        <f aca="false">IF($A217&gt;=BegDate,Assumptions!$C$56*24*($A218-$A217)*(1-VLOOKUP($B217,MAIN!$AA$7:$AM$28,$C217+1))*(1-VLOOKUP($B217,MAIN!$AA$33:$AM$54,$C217+1)),0)*80/168</f>
        <v>257742.857142857</v>
      </c>
      <c r="GT217" s="286" t="n">
        <f aca="false">J217</f>
        <v>57.9790963237911</v>
      </c>
      <c r="GU217" s="286" t="n">
        <f aca="false">IF($A217&gt;=BegDate,VLOOKUP($A217,GasTable,13)+Assumptions!$C$58,0)</f>
        <v>3.90039371389931</v>
      </c>
      <c r="GV217" s="286" t="n">
        <f aca="false">GU217*Assumptions!$C$57/1000</f>
        <v>28.27785442577</v>
      </c>
      <c r="GW217" s="1558" t="n">
        <f aca="false">IF(Assumptions!$C$60="Hourly",MAX(0,GS217*(GT217-GV217)),GS217*(GT217-GV217))</f>
        <v>7655282.9474871</v>
      </c>
      <c r="GX217" s="1566" t="n">
        <f aca="false">IF($A217&gt;=BegDate,Assumptions!$C$56*24*($A218-$A217)*(1-VLOOKUP($B217,MAIN!$AA$7:$AM$28,$C217+1))*(1-VLOOKUP($B217,MAIN!$AA$33:$AM$54,$C217+1)),0)*16/168</f>
        <v>51548.5714285714</v>
      </c>
      <c r="GY217" s="286" t="n">
        <f aca="false">M217</f>
        <v>57.9790963237911</v>
      </c>
      <c r="GZ217" s="286" t="n">
        <f aca="false">IF($A217&gt;=BegDate,VLOOKUP($A217,GasTable,13)+Assumptions!$C$58,0)</f>
        <v>3.90039371389931</v>
      </c>
      <c r="HA217" s="286" t="n">
        <f aca="false">GZ217*Assumptions!$C$57/1000</f>
        <v>28.27785442577</v>
      </c>
      <c r="HB217" s="1558" t="n">
        <f aca="false">IF(Assumptions!$C$60="Hourly",MAX(0,GX217*(GY217-HA217)),GX217*(GY217-HA217))</f>
        <v>1531056.58949742</v>
      </c>
      <c r="HC217" s="1566" t="n">
        <f aca="false">IF($A217&gt;=BegDate,Assumptions!$C$56*24*($A218-$A217)*(1-VLOOKUP($B217,MAIN!$AA$7:$AM$28,$C217+1))*(1-VLOOKUP($B217,MAIN!$AA$33:$AM$54,$C217+1)),0)*16/168</f>
        <v>51548.5714285714</v>
      </c>
      <c r="HD217" s="286" t="n">
        <f aca="false">P217</f>
        <v>33.8085490181173</v>
      </c>
      <c r="HE217" s="286" t="n">
        <f aca="false">IF($A217&gt;=BegDate,VLOOKUP($A217,GasTable,13)+Assumptions!$C$58,0)</f>
        <v>3.90039371389931</v>
      </c>
      <c r="HF217" s="286" t="n">
        <f aca="false">HE217*Assumptions!$C$57/1000</f>
        <v>28.27785442577</v>
      </c>
      <c r="HG217" s="1558" t="n">
        <f aca="false">IF(Assumptions!$C$60="Hourly",MAX(0,HC217*(HD217-HF217)),HC217*(HD217-HF217))</f>
        <v>285099.405243226</v>
      </c>
      <c r="HH217" s="1566" t="n">
        <f aca="false">IF($A217&gt;=BegDate,Assumptions!$C$56*24*($A218-$A217)*(1-VLOOKUP($B217,MAIN!$AA$7:$AM$28,$C217+1))*(1-VLOOKUP($B217,MAIN!$AA$33:$AM$54,$C217+1)),0)*56/168</f>
        <v>180420</v>
      </c>
      <c r="HI217" s="286" t="n">
        <f aca="false">S217</f>
        <v>33.8085490181173</v>
      </c>
      <c r="HJ217" s="286" t="n">
        <f aca="false">IF($A217&gt;=BegDate,VLOOKUP($A217,GasTable,13)+Assumptions!$C$58,0)</f>
        <v>3.90039371389931</v>
      </c>
      <c r="HK217" s="286" t="n">
        <f aca="false">HJ217*Assumptions!$C$57/1000</f>
        <v>28.27785442577</v>
      </c>
      <c r="HL217" s="1558" t="n">
        <f aca="false">IF(Assumptions!$C$60="Hourly",MAX(0,HH217*(HI217-HK217)),HH217*(HI217-HK217))</f>
        <v>997847.918351292</v>
      </c>
      <c r="HM217" s="1566" t="n">
        <f aca="false">IF(AND(Assumptions!$H$71="Yes",A217&gt;=Assumptions!$H$72,A217&lt;=Assumptions!$H$73),Assumptions!$H$74*Assumptions!$C$9*1000,0)</f>
        <v>0</v>
      </c>
      <c r="HN217" s="1551"/>
      <c r="HO217" s="1563"/>
      <c r="HP217" s="1563"/>
      <c r="HQ217" s="1563"/>
      <c r="HR217" s="1563"/>
      <c r="HS217" s="1563"/>
      <c r="HT217" s="1563"/>
      <c r="HU217" s="1563"/>
      <c r="HV217" s="1563"/>
      <c r="HW217" s="1563"/>
      <c r="HX217" s="1563"/>
      <c r="HY217" s="1563"/>
      <c r="HZ217" s="1563"/>
      <c r="IA217" s="1563"/>
      <c r="IB217" s="1563"/>
      <c r="IC217" s="1563"/>
      <c r="ID217" s="1563"/>
      <c r="IE217" s="1563"/>
      <c r="IF217" s="1563"/>
      <c r="IG217" s="1563"/>
      <c r="IH217" s="1563"/>
      <c r="II217" s="1610"/>
      <c r="IJ217" s="1309"/>
      <c r="IK217" s="1309"/>
    </row>
    <row r="218" customFormat="false" ht="12.75" hidden="false" customHeight="false" outlineLevel="0" collapsed="false">
      <c r="A218" s="1571" t="n">
        <f aca="false">EOMONTH(A217,0)+1</f>
        <v>42767</v>
      </c>
      <c r="B218" s="594" t="n">
        <f aca="false">+YEAR(A218)</f>
        <v>2017</v>
      </c>
      <c r="C218" s="238" t="n">
        <f aca="false">MONTH(A218)</f>
        <v>2</v>
      </c>
      <c r="D218" s="1572" t="e">
        <f aca="false">IF(E218="","",Holiday(B218,C218))</f>
        <v>#VALUE!</v>
      </c>
      <c r="E218" s="1573" t="n">
        <f aca="false">IF(OR(BegDate&gt;=A219,EndDate&lt;A218,AND(VolumeMonthlyOverFlag,INDEX(VolumeMonthlyOver,C218)=0),NOT(INDEX(MonthKnockOutTable,C218))),"",MAX(A218,BegDate))</f>
        <v>42767</v>
      </c>
      <c r="F218" s="1574" t="n">
        <f aca="false">IF(E218="","",MIN(A219-1,EndDate))</f>
        <v>42794</v>
      </c>
      <c r="G218" s="1575" t="n">
        <v>0</v>
      </c>
      <c r="H218" s="1576" t="n">
        <f aca="false">(1+G218/2)^(-2*(DATE(B219,C219,20)-DateToday)/365.25)</f>
        <v>1</v>
      </c>
      <c r="I218" s="1568" t="n">
        <f aca="false">IF(Assumptions!$L$25=4,VLOOKUP($A218,'Henwood Reference'!$E$9:$R$320,10),(VLOOKUP($A218,PriceTable,2,0)+IF(BasisNumber&lt;&gt;1,VLOOKUP($A218,BasisTable,2,0),0)+I$1)/(1-I$2))</f>
        <v>53.1115771023944</v>
      </c>
      <c r="J218" s="1568" t="n">
        <f aca="false">IF(Assumptions!$L$25=4,VLOOKUP($A218,'Henwood Reference'!$E$9:$R$320,10),(VLOOKUP($A218,PriceTable,3,0)+IF(BasisNumber&lt;&gt;1,VLOOKUP($A218,BasisTable,2,0),0)+J$1)/(1-J$2))</f>
        <v>53.1115771023944</v>
      </c>
      <c r="K218" s="1568" t="n">
        <f aca="false">IF(Assumptions!$L$25=4,VLOOKUP($A218,'Henwood Reference'!$E$9:$R$320,10),(VLOOKUP($A218,PriceTable,4,0)+IF(BasisNumber&lt;&gt;1,VLOOKUP($A218,BasisTable,2,0),0)+K$1)/(1-K$2))</f>
        <v>53.1115771023944</v>
      </c>
      <c r="L218" s="1523" t="n">
        <f aca="false">IF(Assumptions!$L$25=4,VLOOKUP($A218,'Henwood Reference'!$E$9:$R$320,10),(VLOOKUP($A218,PriceTableWeekend,2,0)+IF(BasisNumber&lt;&gt;1,VLOOKUP($A218,BasisTable,2,0),0)+L$1)/(1-L$2))</f>
        <v>53.1115771023944</v>
      </c>
      <c r="M218" s="1568" t="n">
        <f aca="false">IF(Assumptions!$L$25=4,VLOOKUP($A218,'Henwood Reference'!$E$9:$R$320,10),(VLOOKUP($A218,PriceTableWeekend,3,0)+IF(BasisNumber&lt;&gt;1,VLOOKUP($A218,BasisTable,2,0),0)+M$1)/(1-M$2))</f>
        <v>53.1115771023944</v>
      </c>
      <c r="N218" s="1599" t="n">
        <f aca="false">IF(Assumptions!$L$25=4,VLOOKUP($A218,'Henwood Reference'!$E$9:$R$320,10),(VLOOKUP($A218,PriceTableWeekend,4,0)+IF(BasisNumber&lt;&gt;1,VLOOKUP($A218,BasisTable,2,0),0)+N$1)/(1-N$2))</f>
        <v>53.1115771023944</v>
      </c>
      <c r="O218" s="1568" t="n">
        <f aca="false">IF(Assumptions!$L$25=4,VLOOKUP($A218,'Henwood Reference'!$E$9:$R$320,11),(VLOOKUP($A218,PriceTableWeekend,6,0)+IF(BasisNumber&lt;&gt;1,VLOOKUP($A218,BasisTable,3,0),0)+O$1)/(1-O$2))</f>
        <v>30.5814126193045</v>
      </c>
      <c r="P218" s="1568" t="n">
        <f aca="false">IF(Assumptions!$L$25=4,VLOOKUP($A218,'Henwood Reference'!$E$9:$R$320,11),(VLOOKUP($A218,PriceTableWeekend,7,0)+IF(BasisNumber&lt;&gt;1,VLOOKUP($A218,BasisTable,3,0),0)+P$1)/(1-P$2))</f>
        <v>30.5814126193045</v>
      </c>
      <c r="Q218" s="1599" t="n">
        <f aca="false">IF(Assumptions!$L$25=4,VLOOKUP($A218,'Henwood Reference'!$E$9:$R$320,11),(VLOOKUP($A218,PriceTableWeekend,8,0)+IF(BasisNumber&lt;&gt;1,VLOOKUP($A218,BasisTable,3,0),0)+Q$1)/(1-Q$2))</f>
        <v>30.5814126193045</v>
      </c>
      <c r="R218" s="1568" t="n">
        <f aca="false">IF(Assumptions!$L$25=4,VLOOKUP($A218,'Henwood Reference'!$E$9:$R$320,11),(VLOOKUP($A218,PriceTable,6,0)+IF(BasisNumber&lt;&gt;1,VLOOKUP($A218,BasisTable,3,0),0)+R$1)/(1-R$2))</f>
        <v>30.5814126193045</v>
      </c>
      <c r="S218" s="1568" t="n">
        <f aca="false">IF(Assumptions!$L$25=4,VLOOKUP($A218,'Henwood Reference'!$E$9:$R$320,11),(VLOOKUP($A218,PriceTable,7,0)+IF(BasisNumber&lt;&gt;1,VLOOKUP($A218,BasisTable,3,0),0)+S$1)/(1-S$2))</f>
        <v>30.5814126193045</v>
      </c>
      <c r="T218" s="1600" t="n">
        <f aca="false">IF(Assumptions!$L$25=4,VLOOKUP($A218,'Henwood Reference'!$E$9:$R$320,11),(VLOOKUP($A218,PriceTable,8,0)+IF(BasisNumber&lt;&gt;1,VLOOKUP($A218,BasisTable,3,0),0)+T$1)/(1-T$2))</f>
        <v>30.5814126193045</v>
      </c>
      <c r="U218" s="1513" t="n">
        <f aca="false">VLOOKUP($A218,VolatilityTable,14)</f>
        <v>0.09</v>
      </c>
      <c r="V218" s="1513" t="n">
        <f aca="false">VLOOKUP($A218,VolatilityTable,15)</f>
        <v>0.1</v>
      </c>
      <c r="W218" s="1514" t="n">
        <f aca="false">VLOOKUP($A218,VolatilityTable,16)</f>
        <v>0.11</v>
      </c>
      <c r="X218" s="1513" t="n">
        <f aca="false">VLOOKUP($A218,VolatilityTable,14)</f>
        <v>0.09</v>
      </c>
      <c r="Y218" s="1513" t="n">
        <f aca="false">VLOOKUP($A218,VolatilityTable,15)</f>
        <v>0.1</v>
      </c>
      <c r="Z218" s="1514" t="n">
        <f aca="false">VLOOKUP($A218,VolatilityTable,16)</f>
        <v>0.11</v>
      </c>
      <c r="AA218" s="1513" t="n">
        <f aca="false">VLOOKUP($A218,VolatilityTable,18)</f>
        <v>0.09</v>
      </c>
      <c r="AB218" s="1513" t="n">
        <f aca="false">VLOOKUP($A218,VolatilityTable,19)</f>
        <v>0.11</v>
      </c>
      <c r="AC218" s="1514" t="n">
        <f aca="false">VLOOKUP($A218,VolatilityTable,20)</f>
        <v>0.13</v>
      </c>
      <c r="AD218" s="1513" t="n">
        <f aca="false">VLOOKUP($A218,VolatilityTable,18)</f>
        <v>0.09</v>
      </c>
      <c r="AE218" s="1513" t="n">
        <f aca="false">VLOOKUP($A218,VolatilityTable,19)</f>
        <v>0.11</v>
      </c>
      <c r="AF218" s="1514" t="n">
        <f aca="false">VLOOKUP($A218,VolatilityTable,20)</f>
        <v>0.13</v>
      </c>
      <c r="AG218" s="1513" t="n">
        <f aca="false">VLOOKUP($A218,VolatilityTable,22)</f>
        <v>-0.25</v>
      </c>
      <c r="AH218" s="1513" t="n">
        <f aca="false">VLOOKUP($A218,VolatilityTable,23)</f>
        <v>0.65</v>
      </c>
      <c r="AI218" s="1514" t="n">
        <f aca="false">VLOOKUP($A218,VolatilityTable,24)</f>
        <v>0.25</v>
      </c>
      <c r="AJ218" s="1513" t="n">
        <f aca="false">VLOOKUP($A218,VolatilityTable,22)</f>
        <v>-0.25</v>
      </c>
      <c r="AK218" s="1513" t="n">
        <f aca="false">VLOOKUP($A218,VolatilityTable,23)</f>
        <v>0.65</v>
      </c>
      <c r="AL218" s="1514" t="n">
        <f aca="false">VLOOKUP($A218,VolatilityTable,24)</f>
        <v>0.25</v>
      </c>
      <c r="AM218" s="1513" t="n">
        <f aca="false">VLOOKUP($A218,VolatilityTable,26)</f>
        <v>-0.01</v>
      </c>
      <c r="AN218" s="1513" t="n">
        <f aca="false">VLOOKUP($A218,VolatilityTable,27)</f>
        <v>0.16</v>
      </c>
      <c r="AO218" s="1514" t="n">
        <f aca="false">VLOOKUP($A218,VolatilityTable,28)</f>
        <v>0.01</v>
      </c>
      <c r="AP218" s="1513" t="n">
        <f aca="false">VLOOKUP($A218,VolatilityTable,26)</f>
        <v>-0.01</v>
      </c>
      <c r="AQ218" s="1513" t="n">
        <f aca="false">VLOOKUP($A218,VolatilityTable,27)</f>
        <v>0.16</v>
      </c>
      <c r="AR218" s="1515" t="n">
        <f aca="false">VLOOKUP($A218,VolatilityTable,28)</f>
        <v>0.01</v>
      </c>
      <c r="AS218" s="1581" t="n">
        <f aca="false">IF(CorrPeakOffPeakOverFlag,INDEX(CorrPeakOffPeakOver,C218),CorrPeakOffPeak)</f>
        <v>0.5</v>
      </c>
      <c r="AT218" s="594" t="e">
        <f aca="false">AX218-SUM(AU218:AW218)</f>
        <v>#VALUE!</v>
      </c>
      <c r="AU218" s="238" t="e">
        <f aca="false">IF(E218="",0,INT((F218-MOD(F218,7)-E218)/7)+1-IF(AW218,IF(WEEKDAY(D218)=7,1,0),0))</f>
        <v>#VALUE!</v>
      </c>
      <c r="AV218" s="238" t="e">
        <f aca="false">IF(E218="",0,INT((F218-MOD(F218-1,7)-E218)/7)+1-IF(AW218,IF(WEEKDAY(D218)=1,1,0),0))</f>
        <v>#VALUE!</v>
      </c>
      <c r="AW218" s="238" t="e">
        <f aca="false">IF(OR(E218="",D218="",D218&lt;BegDate,D218&gt;EndDate),0,1)</f>
        <v>#VALUE!</v>
      </c>
      <c r="AX218" s="238" t="n">
        <f aca="false">IF(E218="",0,F218-E218+1)</f>
        <v>28</v>
      </c>
      <c r="AY218" s="1582" t="n">
        <f aca="false">IF(E218="",0,MIN((1-(1-VLOOKUP(B218,MAIN!$AA$7:$AM$28,C218+1))*(1-VLOOKUP(B218,MAIN!$AA$33:$AM$54,C218+1))),1))</f>
        <v>0.03</v>
      </c>
      <c r="AZ218" s="1519" t="e">
        <v>#VALUE!</v>
      </c>
      <c r="BA218" s="1520" t="e">
        <v>#VALUE!</v>
      </c>
      <c r="BB218" s="1520" t="e">
        <v>#VALUE!</v>
      </c>
      <c r="BC218" s="1583" t="e">
        <v>#VALUE!</v>
      </c>
      <c r="BD218" s="1522" t="e">
        <v>#VALUE!</v>
      </c>
      <c r="BE218" s="1523" t="e">
        <v>#VALUE!</v>
      </c>
      <c r="BF218" s="1523" t="e">
        <v>#VALUE!</v>
      </c>
      <c r="BG218" s="1584" t="e">
        <v>#VALUE!</v>
      </c>
      <c r="BH218" s="1525" t="e">
        <v>#VALUE!</v>
      </c>
      <c r="BI218" s="1520" t="e">
        <v>#VALUE!</v>
      </c>
      <c r="BJ218" s="1520" t="e">
        <v>#VALUE!</v>
      </c>
      <c r="BK218" s="1583" t="e">
        <v>#VALUE!</v>
      </c>
      <c r="BL218" s="1522" t="e">
        <v>#VALUE!</v>
      </c>
      <c r="BM218" s="1523" t="e">
        <v>#VALUE!</v>
      </c>
      <c r="BN218" s="1523" t="e">
        <v>#VALUE!</v>
      </c>
      <c r="BO218" s="1523" t="e">
        <v>#VALUE!</v>
      </c>
      <c r="BP218" s="1525" t="e">
        <f aca="false">SUM(AZ218:BB218)</f>
        <v>#VALUE!</v>
      </c>
      <c r="BQ218" s="1529" t="e">
        <f aca="false">SUM(AZ218:BC218)</f>
        <v>#VALUE!</v>
      </c>
      <c r="BR218" s="1519" t="e">
        <f aca="false">SUM(BH218:BJ218)</f>
        <v>#VALUE!</v>
      </c>
      <c r="BS218" s="1529" t="e">
        <f aca="false">SUM(BH218:BK218)</f>
        <v>#VALUE!</v>
      </c>
      <c r="BT218" s="1316" t="n">
        <f aca="false">(IF(OVolType&lt;&gt;2,A218+14,IF(OptExpDateShift,ShiftBack(A218,OptExpDateShift,D217),A218))-DateToday)/365.25</f>
        <v>16.8021902806297</v>
      </c>
      <c r="BU218" s="1585" t="e">
        <f aca="false">IF(BQ218,IF(OPriceCurve,IF(OBuySell=OCallPut,I218/(1-AY218),K218/(1-AY218)),J218/(1-AY218))*BD218,0)</f>
        <v>#VALUE!</v>
      </c>
      <c r="BV218" s="1316" t="e">
        <f aca="false">IF(BQ218,IF(OPriceCurve,IF(OBuySell=OCallPut,L218/(1-AY218),N218/(1-AY218)),M218/(1-AY218))*BE218,0)</f>
        <v>#VALUE!</v>
      </c>
      <c r="BW218" s="1316" t="e">
        <f aca="false">IF(BQ218,IF(OPriceCurve,IF(OBuySell=OCallPut,O218/(1-AY218),Q218/(1-AY218)),P218/(1-AY218))*BF218,0)</f>
        <v>#VALUE!</v>
      </c>
      <c r="BX218" s="1316" t="e">
        <f aca="false">IF(BQ218,IF(OPriceCurve,IF(OBuySell=OCallPut,R218/(1-AY218),T218/(1-AY218)),S218/(1-AY218))*BG218,0)</f>
        <v>#VALUE!</v>
      </c>
      <c r="BY218" s="1316" t="e">
        <f aca="false">IF(BP218,(BU218*AZ218+BV218*BA218+BW218*BB218)/BP218,0)</f>
        <v>#VALUE!</v>
      </c>
      <c r="BZ218" s="1316" t="e">
        <f aca="false">IF(BQ218,(BY218*BP218+BX218*BC218)/BQ218,0)</f>
        <v>#VALUE!</v>
      </c>
      <c r="CA218" s="1531" t="e">
        <f aca="false">IF(BS218,IF(OPriceCurve,IF(OBuySell=OCallPut,I218/(1-AY218),K218/(1-AY218)),J218/(1-AY218))*BL218,0)</f>
        <v>#VALUE!</v>
      </c>
      <c r="CB218" s="1316" t="e">
        <f aca="false">IF(BS218,IF(OPriceCurve,IF(OBuySell=OCallPut,L218/(1-AY218),N218/(1-AY218)),M218/(1-AY218))*BM218,0)</f>
        <v>#VALUE!</v>
      </c>
      <c r="CC218" s="1316" t="e">
        <f aca="false">IF(BS218,IF(OPriceCurve,IF(OBuySell=OCallPut,O218/(1-AY218),Q218/(1-AY218)),P218/(1-AY218))*BN218,0)</f>
        <v>#VALUE!</v>
      </c>
      <c r="CD218" s="1316" t="e">
        <f aca="false">IF(BS218,IF(OPriceCurve,IF(OBuySell=OCallPut,R218/(1-AY218),T218/(1-AY218)),S218/(1-AY218))*BO218,0)</f>
        <v>#VALUE!</v>
      </c>
      <c r="CE218" s="1316" t="e">
        <f aca="false">IF(BR218,(BU218*BH218+BV218*BI218+BW218*BJ218)/BR218,0)</f>
        <v>#VALUE!</v>
      </c>
      <c r="CF218" s="1532" t="e">
        <f aca="false">IF(BS218,(CE218*BR218+CD218*BK218)/BS218,0)</f>
        <v>#VALUE!</v>
      </c>
      <c r="CG218" s="1586" t="e">
        <f aca="false">IF(OR(BQ218,BS218),IF(OVolType&lt;&gt;2,SQRT(IF(OVolOverMonthlyPeak,OVolOverMonthlyPeak,IF(OVolCurve,IF(OBuySell,U218,W218),V218))^2*(1-15/365.25/BT218)+IF(OVolOverDailyPeak,OVolOverDailyPeak,IF(OVolCurve,IF(OBuySell,AG218,AI218),AH218))^2*15/365.25/BT218),IF(OVolOverMonthlyPeak,OVolOverMonthlyPeak,IF(OVolCurve,IF(OBuySell,U218,W218),V218))),"")</f>
        <v>#VALUE!</v>
      </c>
      <c r="CH218" s="1587" t="e">
        <f aca="false">IF(OR(BQ218,BS218),IF(OVolType&lt;&gt;2,SQRT(IF(OVolOverMonthlyPeak,OVolOverMonthlyPeak,IF(OVolCurve,IF(OBuySell,X218,Z218),Y218))^2*(1-15/365.25/BT218)+IF(OVolOverDailyPeak,OVolOverDailyPeak,IF(OVolCurve,IF(OBuySell,AJ218,AL218),AK218))^2*15/365.25/BT218),IF(OVolOverMonthlyPeak,OVolOverMonthlyPeak,IF(OVolCurve,IF(OBuySell,X218,Z218),Y218))),"")</f>
        <v>#VALUE!</v>
      </c>
      <c r="CI218" s="1587" t="e">
        <f aca="false">IF(OR(BQ218,BS218),IF(OVolType&lt;&gt;2,SQRT(IF(OVolOverMonthlyPeak,OVolOverMonthlyPeak,IF(OVolCurve,IF(OBuySell,AA218,AC218),AB218))^2*(1-15/365.25/BT218)+IF(OVolOverDailyPeak,OVolOverDailyPeak,IF(OVolCurve,IF(OBuySell,AM218,AO218),AN218))^2*15/365.25/BT218),IF(OVolOverMonthlyPeak,OVolOverMonthlyPeak,IF(OVolCurve,IF(OBuySell,AA218,AC218),AB218))),"")</f>
        <v>#VALUE!</v>
      </c>
      <c r="CJ218" s="1587" t="e">
        <f aca="false">IF(BQ218,IF(BP218,SQRT(LN(1+((BU218*AZ218)^2*(EXP(CG218^2*BT218)-1)+(BV218*BA218)^2*(EXP(CH218^2*BT218)-1)+(BW218*BB218)^2*(EXP(CI218^2*BT218)-1)+2*BU218*AZ218*BV218*BA218*(EXP(CG218*CH218*BT218)-1)+2*BV218*BA218*BW218*BB218*(EXP(CH218*CI218*BT218)-1)+2*BW218*BB218*BU218*AZ218*(EXP(CI218*CG218*BT218)-1))/(BY218*BP218)^2)/BT218),0),"")</f>
        <v>#VALUE!</v>
      </c>
      <c r="CK218" s="1587" t="e">
        <f aca="false">IF(BS218,IF(BR218,SQRT(LN(1+((CA218*BH218)^2*(EXP(CG218^2*BT218)-1)+(CB218*BI218)^2*(EXP(CH218^2*BT218)-1)+(CC218*BJ218)^2*(EXP(CI218^2*BT218)-1)+2*CA218*BH218*CB218*BI218*(EXP(CG218*CH218*BT218)-1)+2*CB218*BI218*CC218*BJ218*(EXP(CH218*CI218*BT218)-1)+2*CC218*BJ218*CA218*BH218*(EXP(CI218*CG218*BT218)-1))/(CE218*BR218)^2)/BT218),0),"")</f>
        <v>#VALUE!</v>
      </c>
      <c r="CL218" s="1587" t="e">
        <f aca="false">IF(OR(BQ218,BS218),IF(OVolType&lt;&gt;2,SQRT(IF(OVolOverMonthlyOffPeak,OVolOverMonthlyOffPeak,IF(OVolCurve,IF(OBuySell,AD218,AF218),AE218))^2*(1-15/365.25/BT218)+IF(OVolOverDailyOffPeak,OVolOverDailyOffPeak,IF(OVolCurve,IF(OBuySell,AP218,AR218),AQ218))^2*15/365.25/BT218),IF(OVolOverMonthlyOffPeak,OVolOverMonthlyOffPeak,IF(OVolCurve,IF(OBuySell,AD218,AF218),AE218))),"")</f>
        <v>#VALUE!</v>
      </c>
      <c r="CM218" s="1587" t="e">
        <f aca="false">IF(BQ218,SQRT(LN(1+((BY218*BP218)^2*(EXP(CJ218^2*BT218)-1)+(BX218*BC218)^2*(EXP(CL218^2*BT218)-1)+2*BY218*BP218*BX218*BC218*(EXP(AS218*CJ218*CL218*BT218)-1))/(BY218*BP218+BX218*BC218)^2)/BT218),"")</f>
        <v>#VALUE!</v>
      </c>
      <c r="CN218" s="1588" t="e">
        <f aca="false">IF(BS218,SQRT(LN(1+((CE218*BR218)^2*(EXP(CK218^2*BT218)-1)+(CD218*BK218)^2*(EXP(CL218^2*BT218)-1)+2*CE218*BR218*CD218*BK218*(EXP(AS218*CK218*CL218*BT218)-1))/(CE218*BR218+CD218*BK218)^2)/BT218),"")</f>
        <v>#VALUE!</v>
      </c>
      <c r="CO218" s="1531" t="e">
        <f aca="false">IF(OR(BQ218,BS218),VLOOKUP(A218,GasTable,13)*HeatRatePeak*(1+VLOOKUP($B218,HeatRateDegradation,$C218+1))/1000,0)</f>
        <v>#VALUE!</v>
      </c>
      <c r="CP218" s="1316" t="e">
        <f aca="false">IF(OR(BQ218,BS218),VLOOKUP(A218,GasTable,13)*HeatRatePeak*(1+VLOOKUP($B218,HeatRateDegradation,$C218+1))/1000,0)</f>
        <v>#VALUE!</v>
      </c>
      <c r="CQ218" s="1316" t="e">
        <f aca="false">IF(OR(BQ218,BS218),VLOOKUP(A218,GasTable,13)*IF(EV218,HeatRatePeak,HeatRateOffPeak)*(1+VLOOKUP($B218,HeatRateDegradation,$C218+1))/1000,0)</f>
        <v>#VALUE!</v>
      </c>
      <c r="CR218" s="1316" t="e">
        <f aca="false">IF(OR(BQ218,BS218),VLOOKUP(A218,GasTable,13)*IF(EW218,HeatRatePeak,HeatRateOffPeak)*(1+VLOOKUP($B218,HeatRateDegradation,$C218+1))/1000,0)</f>
        <v>#VALUE!</v>
      </c>
      <c r="CS218" s="1589" t="e">
        <f aca="false">IF(BQ218,(CO218*AZ218+CP218*BA218+CQ218*BB218+CR218*BC218)/BQ218,0)</f>
        <v>#VALUE!</v>
      </c>
      <c r="CT218" s="1316" t="e">
        <f aca="false">IF(BS218,CO218,0)</f>
        <v>#VALUE!</v>
      </c>
      <c r="CU218" s="1590" t="e">
        <f aca="false">IF(OR(BQ218,BS218),VLOOKUP(A218,GasTable,14),"")</f>
        <v>#VALUE!</v>
      </c>
      <c r="CV218" s="1568" t="e">
        <f aca="false">IF(OR(BQ218,BS218),IF(CorrPowerGasOverFlag,INDEX(CorrPowerGasOver,C218),CorrPowerGas),"")</f>
        <v>#VALUE!</v>
      </c>
      <c r="CW218" s="1316" t="e">
        <f aca="false">IF(OR($BQ218,$BS218),SpreadOptPowerMargin,0)*((1+Assumptions!$C$26)^($B218-YEAR(Assumptions!$C$17)))</f>
        <v>#VALUE!</v>
      </c>
      <c r="CX218" s="1316" t="e">
        <f aca="false">IF(OR($BQ218,$BS218),SpreadOptPowerMargin,0)*((1+Assumptions!$C$26)^($B218-YEAR(Assumptions!$C$17)))</f>
        <v>#VALUE!</v>
      </c>
      <c r="CY218" s="1316" t="e">
        <f aca="false">IF(OR($BQ218,$BS218),SpreadOptPowerMargin,0)*((1+Assumptions!$C$26)^($B218-YEAR(Assumptions!$C$17)))</f>
        <v>#VALUE!</v>
      </c>
      <c r="CZ218" s="1316" t="e">
        <f aca="false">IF(OR($BQ218,$BS218),SpreadOptPowerMargin,0)*((1+Assumptions!$C$26)^($B218-YEAR(Assumptions!$C$17)))</f>
        <v>#VALUE!</v>
      </c>
      <c r="DA218" s="1591" t="e">
        <f aca="false">IF(OR(BQ218,BS218),(CW218*(AZ218+BH218)+CX218*(BA218+BI218)+CY218*(BB218+BJ218)+CZ218*(BC218+BK218))/(BQ218+BS218),0)</f>
        <v>#VALUE!</v>
      </c>
      <c r="DB218" s="1592" t="e">
        <f aca="false">IF(OR(BQ218,BS218),CG218+IF(OVolSmile,VLOOKUP(MAX(-5,CO218+CW218-BU218),IF(OVolSmile=1,VolSmileBook,VolSmileModel),2),0),"")</f>
        <v>#VALUE!</v>
      </c>
      <c r="DC218" s="1592" t="e">
        <f aca="false">IF(OR(BQ218,BS218),CH218+IF(OVolSmile,VLOOKUP(MAX(-5,CP218+CW218-BV218),IF(OVolSmile=1,VolSmileBook,VolSmileModel),2),0),"")</f>
        <v>#VALUE!</v>
      </c>
      <c r="DD218" s="1592" t="e">
        <f aca="false">IF(OR(BQ218,BS218),CI218+IF(OVolSmile,VLOOKUP(MAX(-5,CQ218+CW218-BW218),IF(OVolSmile=1,VolSmileBook,VolSmileModel),2),0),"")</f>
        <v>#VALUE!</v>
      </c>
      <c r="DE218" s="1592" t="e">
        <f aca="false">IF(OR(BQ218,BS218),CL218+IF(OVolSmile,VLOOKUP(MAX(-5,CR218+CZ218-BX218),IF(OVolSmile=1,VolSmileBook,VolSmileModel),2),0),"")</f>
        <v>#VALUE!</v>
      </c>
      <c r="DF218" s="1592" t="e">
        <f aca="false">IF(BQ218,CM218+IF(OVolSmile,VLOOKUP(MAX(-5,CS218+DA218-BZ218),IF(OVolSmile=1,VolSmileBook,VolSmileModel),2),0),"")</f>
        <v>#VALUE!</v>
      </c>
      <c r="DG218" s="1593" t="e">
        <f aca="false">IF(BS218,CN218+IF(OVolSmile,VLOOKUP(MAX(-5,CT218+DA218-CF218),IF(OVolSmile=1,VolSmileBook,VolSmileModel),2),0),"")</f>
        <v>#VALUE!</v>
      </c>
      <c r="DH218" s="1316" t="e">
        <f aca="false">IF(AND(BU218&gt;0,CO218&gt;0,DB218&gt;0,CU218&gt;0),newSPRDOPT(BU218,CO218,CW218,0,DB218,CU218,CV218,BT218*365.25,OCallPut,0),0)</f>
        <v>#VALUE!</v>
      </c>
      <c r="DI218" s="1316" t="e">
        <f aca="false">IF(AND(BV218&gt;0,CP218&gt;0,DC218&gt;0,CU218&gt;0),newSPRDOPT(BV218,CP218,CX218,0,DC218,CU218,CV218,BT218*365.25,OCallPut,0),0)</f>
        <v>#VALUE!</v>
      </c>
      <c r="DJ218" s="1316" t="e">
        <f aca="false">IF(AND(BW218&gt;0,CQ218&gt;0,DD218&gt;0,CU218&gt;0),newSPRDOPT(BW218,CQ218,CY218,0,DD218,CU218,CV218,BT218*365.25,OCallPut,0),0)</f>
        <v>#VALUE!</v>
      </c>
      <c r="DK218" s="1316" t="e">
        <f aca="false">IF(AND(BX218&gt;0,CR218&gt;0,DE218&gt;0,CU218&gt;0),newSPRDOPT(BX218,CR218,CZ218,0,DE218,CU218,CV218,BT218*365.25,OCallPut,0),0)</f>
        <v>#VALUE!</v>
      </c>
      <c r="DL218" s="1316" t="e">
        <f aca="false">IF(OVolType,IF(AND(BZ218&gt;0,CS218&gt;0,DF218&gt;0,CU218&gt;0),newSPRDOPT(BZ218,CS218,DA218,0,DF218,CU218,CV218,BT218*365.25,OCallPut,0),0),IF(BQ218,(DH218*AZ218+DI218*BA218+DJ218*BB218+DK218*BC218)/BQ218,0))</f>
        <v>#VALUE!</v>
      </c>
      <c r="DM218" s="1316"/>
      <c r="DN218" s="1316"/>
      <c r="DO218" s="1316"/>
      <c r="DP218" s="1316"/>
      <c r="DQ218" s="1316"/>
      <c r="DR218" s="1316"/>
      <c r="DS218" s="1316"/>
      <c r="DT218" s="1316"/>
      <c r="DU218" s="1316"/>
      <c r="DV218" s="1316"/>
      <c r="DW218" s="1594" t="e">
        <f aca="false">IF(AND(BW218&gt;0,CT218&gt;0,DD218&gt;0,CU218&gt;0),newSPRDOPT(BW218,CT218,CY218,0,DD218,CU218,CV218,BT218*365.25,OCallPut,0),0)</f>
        <v>#VALUE!</v>
      </c>
      <c r="DX218" s="1316" t="e">
        <f aca="false">IF(AND(BX218&gt;0,CT218&gt;0,DE218&gt;0,CU218&gt;0),newSPRDOPT(BX218,CT218,CZ218,0,DE218,CU218,CV218,BT218*365.25,OCallPut,0),0)</f>
        <v>#VALUE!</v>
      </c>
      <c r="DY218" s="1591" t="e">
        <f aca="false">IF(BS218,(DH218*BH218+DI218*BI218+DW218*BJ218+DX218*BK218)/BS218,0)</f>
        <v>#VALUE!</v>
      </c>
      <c r="DZ218" s="1551" t="e">
        <f aca="false">DH218*AZ218</f>
        <v>#VALUE!</v>
      </c>
      <c r="EA218" s="1551" t="e">
        <f aca="false">DI218*BA218</f>
        <v>#VALUE!</v>
      </c>
      <c r="EB218" s="1551" t="e">
        <f aca="false">DJ218*BB218</f>
        <v>#VALUE!</v>
      </c>
      <c r="EC218" s="1551" t="e">
        <f aca="false">DK218*BC218</f>
        <v>#VALUE!</v>
      </c>
      <c r="ED218" s="1551" t="e">
        <f aca="false">DL218*BQ218</f>
        <v>#VALUE!</v>
      </c>
      <c r="EE218" s="1595" t="e">
        <f aca="false">IF(BQ218,IF(OCallPut,IF(BU218&gt;(CO218+CW218),BU218-(CO218+CW218),0),IF((CO218+CW218)&gt;BU218,(CO218+CW218)-BU218,0))*AZ218,0)</f>
        <v>#VALUE!</v>
      </c>
      <c r="EF218" s="1596" t="e">
        <f aca="false">IF(BQ218,IF(OCallPut,IF(BV218&gt;(CP218+CX218),BV218-(CP218+CX218),0),IF((CP218+CX218)&gt;BV218,(CP218+CX218)-BV218,0))*BA218,0)</f>
        <v>#VALUE!</v>
      </c>
      <c r="EG218" s="1596" t="e">
        <f aca="false">IF(BQ218,IF(OCallPut,IF(BW218&gt;(CQ218+CY218),BW218-(CQ218+CY218),0),IF((CQ218+CY218)&gt;BW218,(CQ218+CY218)-BW218,0))*BB218,0)</f>
        <v>#VALUE!</v>
      </c>
      <c r="EH218" s="1596" t="e">
        <f aca="false">IF(BQ218,IF(OCallPut,IF(BX218&gt;(CR218+CZ218),BX218-(CR218+CZ218),0),IF((CR218+CZ218)&gt;BX218,(CR218+CZ218)-BX218,0))*BC218,0)</f>
        <v>#VALUE!</v>
      </c>
      <c r="EI218" s="1597" t="e">
        <f aca="false">IF(BQ218,IF(OVolType,IF(OCallPut,IF(BZ218&gt;(CS218+DA218),BZ218-(CS218+DA218),0),IF((CS218+DA218)&gt;BZ218,(CS218+DA218)-BZ218,0))*BQ218,SUM(EE218:EH218)),0)</f>
        <v>#VALUE!</v>
      </c>
      <c r="EJ218" s="1595" t="e">
        <f aca="false">DZ218-EE218</f>
        <v>#VALUE!</v>
      </c>
      <c r="EK218" s="1596" t="e">
        <f aca="false">EA218-EF218</f>
        <v>#VALUE!</v>
      </c>
      <c r="EL218" s="1596" t="e">
        <f aca="false">EB218-EG218</f>
        <v>#VALUE!</v>
      </c>
      <c r="EM218" s="1596" t="e">
        <f aca="false">EC218-EH218</f>
        <v>#VALUE!</v>
      </c>
      <c r="EN218" s="1597" t="e">
        <f aca="false">ED218-EI218</f>
        <v>#VALUE!</v>
      </c>
      <c r="EO218" s="1551" t="e">
        <f aca="false">DH218*BH218</f>
        <v>#VALUE!</v>
      </c>
      <c r="EP218" s="1551" t="e">
        <f aca="false">DI218*BI218</f>
        <v>#VALUE!</v>
      </c>
      <c r="EQ218" s="1551" t="e">
        <f aca="false">DW218*BJ218</f>
        <v>#VALUE!</v>
      </c>
      <c r="ER218" s="1551" t="e">
        <f aca="false">DX218*BK218</f>
        <v>#VALUE!</v>
      </c>
      <c r="ES218" s="1551" t="e">
        <f aca="false">DY218*BS218</f>
        <v>#VALUE!</v>
      </c>
      <c r="ET218" s="1566" t="e">
        <f aca="false">IF(EI218,IF(OCallPut,IF(CA218&gt;(CT218+CW218),CA218-(CT218+CW218),0),IF((CT218+CW218)&gt;CA218,(CT218+CW218)-CA218,0))*BH218,0)</f>
        <v>#VALUE!</v>
      </c>
      <c r="EU218" s="1551" t="e">
        <f aca="false">IF(EI218,IF(OCallPut,IF(CB218&gt;(CT218+CX218),CB218-(CT218+CX218),0),IF((CT218+CX218)&gt;CB218,(CT218+CX218)-CB218,0))*BI218,0)</f>
        <v>#VALUE!</v>
      </c>
      <c r="EV218" s="1551" t="e">
        <f aca="false">IF(EI218,IF(OCallPut,IF(CC218&gt;(CT218+CY218),CC218-(CT218+CY218),0),IF((CT218+CY218)&gt;CC218,(CT218+CY218)-CC218,0))*BJ218,0)</f>
        <v>#VALUE!</v>
      </c>
      <c r="EW218" s="1551" t="e">
        <f aca="false">IF(EI218,IF(OCallPut,IF(CD218&gt;(CT218+CZ218),CD218-(CT218+CZ218),0),IF((CT218+CZ218)&gt;CD218,(CT218+CZ218)-CD218,0))*BK218,0)</f>
        <v>#VALUE!</v>
      </c>
      <c r="EX218" s="1558" t="e">
        <f aca="false">IF(EI218,SUM(ET218:EW218),0)</f>
        <v>#VALUE!</v>
      </c>
      <c r="EY218" s="1551" t="e">
        <f aca="false">EO218-ET218</f>
        <v>#VALUE!</v>
      </c>
      <c r="EZ218" s="1551" t="e">
        <f aca="false">EP218-EU218</f>
        <v>#VALUE!</v>
      </c>
      <c r="FA218" s="1551" t="e">
        <f aca="false">EQ218-EV218</f>
        <v>#VALUE!</v>
      </c>
      <c r="FB218" s="1551" t="e">
        <f aca="false">ER218-EW218</f>
        <v>#VALUE!</v>
      </c>
      <c r="FC218" s="1551" t="e">
        <f aca="false">ES218-EX218</f>
        <v>#VALUE!</v>
      </c>
      <c r="FD218" s="1525" t="n">
        <f aca="false">IF(AX218,IF(VLOOKUP(C218,MAIN!$L$17:$M$28,2)="Yes",VLOOKUP(CALC!B218,MAIN!$H$17:$I$20,2),0),0)</f>
        <v>0</v>
      </c>
      <c r="FE218" s="1552" t="e">
        <f aca="false">$FD218*16*AT218*(1-$AY218)</f>
        <v>#VALUE!</v>
      </c>
      <c r="FF218" s="1553" t="e">
        <f aca="false">$FD218*16*AU218*(1-$AY218)</f>
        <v>#VALUE!</v>
      </c>
      <c r="FG218" s="1553" t="e">
        <f aca="false">$FD218*16*(AV218+AW218)*(1-$AY218)</f>
        <v>#VALUE!</v>
      </c>
      <c r="FH218" s="1554" t="n">
        <f aca="false">$FD218*8*AX218*(1-$AY218)</f>
        <v>0</v>
      </c>
      <c r="FI218" s="1555" t="n">
        <f aca="false">IF(AX218,VLOOKUP(CALC!B218,MAIN!$H$17:$K$20,4),0)</f>
        <v>0</v>
      </c>
      <c r="FJ218" s="1553" t="e">
        <f aca="false">SUM(FE218:FH218)</f>
        <v>#VALUE!</v>
      </c>
      <c r="FK218" s="1556" t="e">
        <f aca="false">FI218*FJ218</f>
        <v>#VALUE!</v>
      </c>
      <c r="FL218" s="1551" t="e">
        <f aca="false">IF($EI218&gt;0,MIN(FE218,AZ218*(1+VLOOKUP($C218,WeatherCapacityAdjustment,2))),0)</f>
        <v>#VALUE!</v>
      </c>
      <c r="FM218" s="1551" t="e">
        <f aca="false">IF($EI218&gt;0,MIN(FF218,BA218*(1+VLOOKUP($C218,WeatherCapacityAdjustment,2))),0)</f>
        <v>#VALUE!</v>
      </c>
      <c r="FN218" s="1551" t="e">
        <f aca="false">IF($EI218&gt;0,MIN(FG218,BB218*(1+VLOOKUP($C218,WeatherCapacityAdjustment,2))),0)</f>
        <v>#VALUE!</v>
      </c>
      <c r="FO218" s="1564" t="e">
        <f aca="false">IF($EI218&gt;0,MIN(FH218,BC218*(1+VLOOKUP($C218,WeatherCapacityAdjustment,3))),0)</f>
        <v>#VALUE!</v>
      </c>
      <c r="FP218" s="1551" t="e">
        <f aca="false">IF(ET218&gt;0,MIN(FE218-FL218,BH218*(1+VLOOKUP($C218,WeatherCapacityAdjustment,2))),0)</f>
        <v>#VALUE!</v>
      </c>
      <c r="FQ218" s="1551" t="e">
        <f aca="false">IF(EU218&gt;0,MIN(FF218-FM218,BI218*(1+VLOOKUP($C218,WeatherCapacityAdjustment,2))),0)</f>
        <v>#VALUE!</v>
      </c>
      <c r="FR218" s="1551" t="e">
        <f aca="false">IF(EV218&gt;0,MIN(FG218-FN218,BJ218*(1+VLOOKUP($C218,WeatherCapacityAdjustment,2))),0)</f>
        <v>#VALUE!</v>
      </c>
      <c r="FS218" s="1558" t="e">
        <f aca="false">IF(EW218&gt;0,MIN(FH218-FO218,BK218*(1+VLOOKUP($C218,WeatherCapacityAdjustment,3))),0)</f>
        <v>#VALUE!</v>
      </c>
      <c r="FT218" s="1566" t="e">
        <f aca="false">IF(AND(Assumptions!$H$71="Yes",A218&gt;=Assumptions!$H$72,A218&lt;=Assumptions!$H$73),0,IF(AND($A218&gt;=Assumptions!$C$17,$A218&lt;=Assumptions!$C$18),MAX(AZ218*(1+VLOOKUP($C218,WeatherCapacityAdjustment,2))-FL218,0),0))</f>
        <v>#VALUE!</v>
      </c>
      <c r="FU218" s="1551" t="e">
        <f aca="false">IF(AND(Assumptions!$H$71="Yes",A218&gt;=Assumptions!$H$72,A218&lt;=Assumptions!$H$73),0,IF(AND($A218&gt;=Assumptions!$C$17,$A218&lt;=Assumptions!$C$18),MAX(BA218*(1+VLOOKUP($C218,WeatherCapacityAdjustment,2))-FM218,0),0))</f>
        <v>#VALUE!</v>
      </c>
      <c r="FV218" s="1551" t="e">
        <f aca="false">IF(AND(Assumptions!$H$71="Yes",A218&gt;=Assumptions!$H$72,A218&lt;=Assumptions!$H$73),0,IF(AND($A218&gt;=Assumptions!$C$17,$A218&lt;=Assumptions!$C$18),MAX(BB218*(1+VLOOKUP($C218,WeatherCapacityAdjustment,2))-FN218,0),0))</f>
        <v>#VALUE!</v>
      </c>
      <c r="FW218" s="1564" t="e">
        <f aca="false">IF(AND(Assumptions!$H$71="Yes",A218&gt;=Assumptions!$H$72,A218&lt;=Assumptions!$H$73),0,IF(AND($A218&gt;=Assumptions!$C$17,$A218&lt;=Assumptions!$C$18),MAX(BC218*(1+VLOOKUP($C218,WeatherCapacityAdjustment,3))-FO218,0),0))</f>
        <v>#VALUE!</v>
      </c>
      <c r="FX218" s="1569" t="e">
        <f aca="false">IF(AND(Assumptions!$H$71="Yes",A218&gt;=Assumptions!$H$72,A218&lt;=Assumptions!$H$73),0,IF(ET218&gt;0,MAX(BH218*(1+VLOOKUP($C218,WeatherCapacityAdjustment,2))-FP218,0),0))</f>
        <v>#VALUE!</v>
      </c>
      <c r="FY218" s="1551" t="e">
        <f aca="false">IF(AND(Assumptions!$H$71="Yes",A218&gt;=Assumptions!$H$72,A218&lt;=Assumptions!$H$73),0,IF(EU218&gt;0,MAX(BI218*(1+VLOOKUP($C218,WeatherCapacityAdjustment,3))-FQ218,0),0))</f>
        <v>#VALUE!</v>
      </c>
      <c r="FZ218" s="1551" t="e">
        <f aca="false">IF(AND(Assumptions!$H$71="Yes",A218&gt;=Assumptions!$H$72,A218&lt;=Assumptions!$H$73),0,IF(EV218&gt;0,MAX(BJ218*(1+VLOOKUP($C218,WeatherCapacityAdjustment,2))-FR218,0),0))</f>
        <v>#VALUE!</v>
      </c>
      <c r="GA218" s="1564" t="e">
        <f aca="false">IF(AND(Assumptions!$H$71="Yes",A218&gt;=Assumptions!$H$72,A218&lt;=Assumptions!$H$73),0,IF(EW218&gt;0,MAX(BK218*(1+VLOOKUP($C218,WeatherCapacityAdjustment,2))-FS218,0),0))</f>
        <v>#VALUE!</v>
      </c>
      <c r="GB218" s="1551" t="e">
        <f aca="false">SUM(FT218:GA218)</f>
        <v>#VALUE!</v>
      </c>
      <c r="GC218" s="1563" t="e">
        <f aca="false">+IF(SUM(FT218:GA218)=0,0,(SUMPRODUCT(BU218:BX218,FT218:FW218)+SUMPRODUCT(CA218:CD218,FX218:GA218))/SUM(FT218:GA218))</f>
        <v>#VALUE!</v>
      </c>
      <c r="GD218" s="1551" t="e">
        <f aca="false">(FT218*BU218+FX218*CA218+FU218*BV218+FY218*CB218+FV218*BW218+FZ218*CC218+FW218*BX218+GA218*CD218)</f>
        <v>#VALUE!</v>
      </c>
      <c r="GE218" s="1561" t="e">
        <f aca="false">+IF(BQ218,((FL218+FM218+FT218+FU218)*HeatRatePeak/1000*(1+VLOOKUP($C218,WeatherHeatRateAdjustment,2))+(FN218+FV218)*IF(EV218&gt;0,HeatRatePeak,HeatRateOffPeak)/1000*(1+VLOOKUP($C218,WeatherHeatRateAdjustment,2))+(FO218+FW218)*IF(EW218&gt;0,HeatRatePeak,HeatRateOffPeak)/1000*(1+VLOOKUP($C218,WeatherHeatRateAdjustment,3)))*(1+VLOOKUP($B218,HeatRateDegradation,$C218+1)),0)</f>
        <v>#VALUE!</v>
      </c>
      <c r="GF218" s="1562" t="e">
        <f aca="false">IF(BQ218,((FP218+FQ218+FR218+FX218+FY218+FZ218)*HeatRatePeak/1000*(1+VLOOKUP($C218,WeatherHeatRateAdjustment,2))+(FS218+GA218)*HeatRatePeak/1000*(1+VLOOKUP($C218,WeatherHeatRateAdjustment,3)))*(1+VLOOKUP($B218,HeatRateDegradation,$C218+1)),0)</f>
        <v>#VALUE!</v>
      </c>
      <c r="GG218" s="1563" t="e">
        <f aca="false">IF(BQ218,VLOOKUP(A218,GasTable,13),0)</f>
        <v>#VALUE!</v>
      </c>
      <c r="GH218" s="1564" t="e">
        <f aca="false">(GE218+GF218)*GG218</f>
        <v>#VALUE!</v>
      </c>
      <c r="GI218" s="1569" t="e">
        <f aca="false">GB218</f>
        <v>#VALUE!</v>
      </c>
      <c r="GJ218" s="1598" t="e">
        <f aca="false">+DA218</f>
        <v>#VALUE!</v>
      </c>
      <c r="GK218" s="1558" t="e">
        <f aca="false">+GI218*GJ218</f>
        <v>#VALUE!</v>
      </c>
      <c r="GL218" s="1566" t="e">
        <f aca="false">MAX(FE218-FL218-FP218,0)</f>
        <v>#VALUE!</v>
      </c>
      <c r="GM218" s="1551" t="e">
        <f aca="false">MAX(FF218-FM218-FQ218,0)</f>
        <v>#VALUE!</v>
      </c>
      <c r="GN218" s="1551" t="e">
        <f aca="false">MAX(FG218-FN218-FR218,0)</f>
        <v>#VALUE!</v>
      </c>
      <c r="GO218" s="1564" t="e">
        <f aca="false">MAX(FH218-FO218-FS218,0)</f>
        <v>#VALUE!</v>
      </c>
      <c r="GP218" s="1551" t="e">
        <f aca="false">SUM(GL218:GO218)</f>
        <v>#VALUE!</v>
      </c>
      <c r="GQ218" s="1563" t="e">
        <f aca="false">IF(SUM(GL218:GO218)=0,0,((GL218*BU218+GM218*BV218+GN218*BW218+GO218*BX218)/SUM(GL218:GO218)))</f>
        <v>#VALUE!</v>
      </c>
      <c r="GR218" s="1558" t="e">
        <f aca="false">(GL218*BU218+GM218*BV218+GN218*BW218+GO218*BX218)</f>
        <v>#VALUE!</v>
      </c>
      <c r="GS218" s="1566" t="n">
        <f aca="false">IF($A218&gt;=BegDate,Assumptions!$C$56*24*($A219-$A218)*(1-VLOOKUP($B218,MAIN!$AA$7:$AM$28,$C218+1))*(1-VLOOKUP($B218,MAIN!$AA$33:$AM$54,$C218+1)),0)*80/168</f>
        <v>232800</v>
      </c>
      <c r="GT218" s="286" t="n">
        <f aca="false">J218</f>
        <v>53.1115771023944</v>
      </c>
      <c r="GU218" s="286" t="n">
        <f aca="false">IF($A218&gt;=BegDate,VLOOKUP($A218,GasTable,13)+Assumptions!$C$58,0)</f>
        <v>3.59642120711005</v>
      </c>
      <c r="GV218" s="286" t="n">
        <f aca="false">GU218*Assumptions!$C$57/1000</f>
        <v>26.0740537515478</v>
      </c>
      <c r="GW218" s="1558" t="n">
        <f aca="false">IF(Assumptions!$C$60="Hourly",MAX(0,GS218*(GT218-GV218)),GS218*(GT218-GV218))</f>
        <v>6294335.43607709</v>
      </c>
      <c r="GX218" s="1566" t="n">
        <f aca="false">IF($A218&gt;=BegDate,Assumptions!$C$56*24*($A219-$A218)*(1-VLOOKUP($B218,MAIN!$AA$7:$AM$28,$C218+1))*(1-VLOOKUP($B218,MAIN!$AA$33:$AM$54,$C218+1)),0)*16/168</f>
        <v>46560</v>
      </c>
      <c r="GY218" s="286" t="n">
        <f aca="false">M218</f>
        <v>53.1115771023944</v>
      </c>
      <c r="GZ218" s="286" t="n">
        <f aca="false">IF($A218&gt;=BegDate,VLOOKUP($A218,GasTable,13)+Assumptions!$C$58,0)</f>
        <v>3.59642120711005</v>
      </c>
      <c r="HA218" s="286" t="n">
        <f aca="false">GZ218*Assumptions!$C$57/1000</f>
        <v>26.0740537515478</v>
      </c>
      <c r="HB218" s="1558" t="n">
        <f aca="false">IF(Assumptions!$C$60="Hourly",MAX(0,GX218*(GY218-HA218)),GX218*(GY218-HA218))</f>
        <v>1258867.08721542</v>
      </c>
      <c r="HC218" s="1566" t="n">
        <f aca="false">IF($A218&gt;=BegDate,Assumptions!$C$56*24*($A219-$A218)*(1-VLOOKUP($B218,MAIN!$AA$7:$AM$28,$C218+1))*(1-VLOOKUP($B218,MAIN!$AA$33:$AM$54,$C218+1)),0)*16/168</f>
        <v>46560</v>
      </c>
      <c r="HD218" s="286" t="n">
        <f aca="false">P218</f>
        <v>30.5814126193045</v>
      </c>
      <c r="HE218" s="286" t="n">
        <f aca="false">IF($A218&gt;=BegDate,VLOOKUP($A218,GasTable,13)+Assumptions!$C$58,0)</f>
        <v>3.59642120711005</v>
      </c>
      <c r="HF218" s="286" t="n">
        <f aca="false">HE218*Assumptions!$C$57/1000</f>
        <v>26.0740537515478</v>
      </c>
      <c r="HG218" s="1558" t="n">
        <f aca="false">IF(Assumptions!$C$60="Hourly",MAX(0,HC218*(HD218-HF218)),HC218*(HD218-HF218))</f>
        <v>209862.628882749</v>
      </c>
      <c r="HH218" s="1566" t="n">
        <f aca="false">IF($A218&gt;=BegDate,Assumptions!$C$56*24*($A219-$A218)*(1-VLOOKUP($B218,MAIN!$AA$7:$AM$28,$C218+1))*(1-VLOOKUP($B218,MAIN!$AA$33:$AM$54,$C218+1)),0)*56/168</f>
        <v>162960</v>
      </c>
      <c r="HI218" s="286" t="n">
        <f aca="false">S218</f>
        <v>30.5814126193045</v>
      </c>
      <c r="HJ218" s="286" t="n">
        <f aca="false">IF($A218&gt;=BegDate,VLOOKUP($A218,GasTable,13)+Assumptions!$C$58,0)</f>
        <v>3.59642120711005</v>
      </c>
      <c r="HK218" s="286" t="n">
        <f aca="false">HJ218*Assumptions!$C$57/1000</f>
        <v>26.0740537515478</v>
      </c>
      <c r="HL218" s="1558" t="n">
        <f aca="false">IF(Assumptions!$C$60="Hourly",MAX(0,HH218*(HI218-HK218)),HH218*(HI218-HK218))</f>
        <v>734519.201089621</v>
      </c>
      <c r="HM218" s="1566" t="n">
        <f aca="false">IF(AND(Assumptions!$H$71="Yes",A218&gt;=Assumptions!$H$72,A218&lt;=Assumptions!$H$73),Assumptions!$H$74*Assumptions!$C$9*1000,0)</f>
        <v>0</v>
      </c>
      <c r="HN218" s="1551"/>
      <c r="HO218" s="1563"/>
      <c r="HP218" s="1563"/>
      <c r="HQ218" s="1563"/>
      <c r="HR218" s="1563"/>
      <c r="HS218" s="1563"/>
      <c r="HT218" s="1563"/>
      <c r="HU218" s="1563"/>
      <c r="HV218" s="1563"/>
      <c r="HW218" s="1563"/>
      <c r="HX218" s="1563"/>
      <c r="HY218" s="1563"/>
      <c r="HZ218" s="1563"/>
      <c r="IA218" s="1563"/>
      <c r="IB218" s="1563"/>
      <c r="IC218" s="1563"/>
      <c r="ID218" s="1563"/>
      <c r="IE218" s="1563"/>
      <c r="IF218" s="1563"/>
      <c r="IG218" s="1563"/>
      <c r="IH218" s="1563"/>
      <c r="II218" s="1610"/>
      <c r="IJ218" s="1309"/>
      <c r="IK218" s="1309"/>
    </row>
    <row r="219" customFormat="false" ht="12.75" hidden="false" customHeight="false" outlineLevel="0" collapsed="false">
      <c r="A219" s="1571" t="n">
        <f aca="false">EOMONTH(A218,0)+1</f>
        <v>42795</v>
      </c>
      <c r="B219" s="594" t="n">
        <f aca="false">+YEAR(A219)</f>
        <v>2017</v>
      </c>
      <c r="C219" s="238" t="n">
        <f aca="false">MONTH(A219)</f>
        <v>3</v>
      </c>
      <c r="D219" s="1572" t="e">
        <f aca="false">IF(E219="","",Holiday(B219,C219))</f>
        <v>#VALUE!</v>
      </c>
      <c r="E219" s="1573" t="n">
        <f aca="false">IF(OR(BegDate&gt;=A220,EndDate&lt;A219,AND(VolumeMonthlyOverFlag,INDEX(VolumeMonthlyOver,C219)=0),NOT(INDEX(MonthKnockOutTable,C219))),"",MAX(A219,BegDate))</f>
        <v>42795</v>
      </c>
      <c r="F219" s="1574" t="n">
        <f aca="false">IF(E219="","",MIN(A220-1,EndDate))</f>
        <v>42825</v>
      </c>
      <c r="G219" s="1575" t="n">
        <v>0</v>
      </c>
      <c r="H219" s="1576" t="n">
        <f aca="false">(1+G219/2)^(-2*(DATE(B220,C220,20)-DateToday)/365.25)</f>
        <v>1</v>
      </c>
      <c r="I219" s="1568" t="n">
        <f aca="false">IF(Assumptions!$L$25=4,VLOOKUP($A219,'Henwood Reference'!$E$9:$R$320,10),(VLOOKUP($A219,PriceTable,2,0)+IF(BasisNumber&lt;&gt;1,VLOOKUP($A219,BasisTable,2,0),0)+I$1)/(1-I$2))</f>
        <v>41.5412422314655</v>
      </c>
      <c r="J219" s="1568" t="n">
        <f aca="false">IF(Assumptions!$L$25=4,VLOOKUP($A219,'Henwood Reference'!$E$9:$R$320,10),(VLOOKUP($A219,PriceTable,3,0)+IF(BasisNumber&lt;&gt;1,VLOOKUP($A219,BasisTable,2,0),0)+J$1)/(1-J$2))</f>
        <v>41.5412422314655</v>
      </c>
      <c r="K219" s="1568" t="n">
        <f aca="false">IF(Assumptions!$L$25=4,VLOOKUP($A219,'Henwood Reference'!$E$9:$R$320,10),(VLOOKUP($A219,PriceTable,4,0)+IF(BasisNumber&lt;&gt;1,VLOOKUP($A219,BasisTable,2,0),0)+K$1)/(1-K$2))</f>
        <v>41.5412422314655</v>
      </c>
      <c r="L219" s="1523" t="n">
        <f aca="false">IF(Assumptions!$L$25=4,VLOOKUP($A219,'Henwood Reference'!$E$9:$R$320,10),(VLOOKUP($A219,PriceTableWeekend,2,0)+IF(BasisNumber&lt;&gt;1,VLOOKUP($A219,BasisTable,2,0),0)+L$1)/(1-L$2))</f>
        <v>41.5412422314655</v>
      </c>
      <c r="M219" s="1568" t="n">
        <f aca="false">IF(Assumptions!$L$25=4,VLOOKUP($A219,'Henwood Reference'!$E$9:$R$320,10),(VLOOKUP($A219,PriceTableWeekend,3,0)+IF(BasisNumber&lt;&gt;1,VLOOKUP($A219,BasisTable,2,0),0)+M$1)/(1-M$2))</f>
        <v>41.5412422314655</v>
      </c>
      <c r="N219" s="1599" t="n">
        <f aca="false">IF(Assumptions!$L$25=4,VLOOKUP($A219,'Henwood Reference'!$E$9:$R$320,10),(VLOOKUP($A219,PriceTableWeekend,4,0)+IF(BasisNumber&lt;&gt;1,VLOOKUP($A219,BasisTable,2,0),0)+N$1)/(1-N$2))</f>
        <v>41.5412422314655</v>
      </c>
      <c r="O219" s="1568" t="n">
        <f aca="false">IF(Assumptions!$L$25=4,VLOOKUP($A219,'Henwood Reference'!$E$9:$R$320,11),(VLOOKUP($A219,PriceTableWeekend,6,0)+IF(BasisNumber&lt;&gt;1,VLOOKUP($A219,BasisTable,3,0),0)+O$1)/(1-O$2))</f>
        <v>27.0389418528896</v>
      </c>
      <c r="P219" s="1568" t="n">
        <f aca="false">IF(Assumptions!$L$25=4,VLOOKUP($A219,'Henwood Reference'!$E$9:$R$320,11),(VLOOKUP($A219,PriceTableWeekend,7,0)+IF(BasisNumber&lt;&gt;1,VLOOKUP($A219,BasisTable,3,0),0)+P$1)/(1-P$2))</f>
        <v>27.0389418528896</v>
      </c>
      <c r="Q219" s="1599" t="n">
        <f aca="false">IF(Assumptions!$L$25=4,VLOOKUP($A219,'Henwood Reference'!$E$9:$R$320,11),(VLOOKUP($A219,PriceTableWeekend,8,0)+IF(BasisNumber&lt;&gt;1,VLOOKUP($A219,BasisTable,3,0),0)+Q$1)/(1-Q$2))</f>
        <v>27.0389418528896</v>
      </c>
      <c r="R219" s="1568" t="n">
        <f aca="false">IF(Assumptions!$L$25=4,VLOOKUP($A219,'Henwood Reference'!$E$9:$R$320,11),(VLOOKUP($A219,PriceTable,6,0)+IF(BasisNumber&lt;&gt;1,VLOOKUP($A219,BasisTable,3,0),0)+R$1)/(1-R$2))</f>
        <v>27.0389418528896</v>
      </c>
      <c r="S219" s="1568" t="n">
        <f aca="false">IF(Assumptions!$L$25=4,VLOOKUP($A219,'Henwood Reference'!$E$9:$R$320,11),(VLOOKUP($A219,PriceTable,7,0)+IF(BasisNumber&lt;&gt;1,VLOOKUP($A219,BasisTable,3,0),0)+S$1)/(1-S$2))</f>
        <v>27.0389418528896</v>
      </c>
      <c r="T219" s="1600" t="n">
        <f aca="false">IF(Assumptions!$L$25=4,VLOOKUP($A219,'Henwood Reference'!$E$9:$R$320,11),(VLOOKUP($A219,PriceTable,8,0)+IF(BasisNumber&lt;&gt;1,VLOOKUP($A219,BasisTable,3,0),0)+T$1)/(1-T$2))</f>
        <v>27.0389418528896</v>
      </c>
      <c r="U219" s="1513" t="n">
        <f aca="false">VLOOKUP($A219,VolatilityTable,14)</f>
        <v>0.09</v>
      </c>
      <c r="V219" s="1513" t="n">
        <f aca="false">VLOOKUP($A219,VolatilityTable,15)</f>
        <v>0.1</v>
      </c>
      <c r="W219" s="1514" t="n">
        <f aca="false">VLOOKUP($A219,VolatilityTable,16)</f>
        <v>0.11</v>
      </c>
      <c r="X219" s="1513" t="n">
        <f aca="false">VLOOKUP($A219,VolatilityTable,14)</f>
        <v>0.09</v>
      </c>
      <c r="Y219" s="1513" t="n">
        <f aca="false">VLOOKUP($A219,VolatilityTable,15)</f>
        <v>0.1</v>
      </c>
      <c r="Z219" s="1514" t="n">
        <f aca="false">VLOOKUP($A219,VolatilityTable,16)</f>
        <v>0.11</v>
      </c>
      <c r="AA219" s="1513" t="n">
        <f aca="false">VLOOKUP($A219,VolatilityTable,18)</f>
        <v>0.09</v>
      </c>
      <c r="AB219" s="1513" t="n">
        <f aca="false">VLOOKUP($A219,VolatilityTable,19)</f>
        <v>0.11</v>
      </c>
      <c r="AC219" s="1514" t="n">
        <f aca="false">VLOOKUP($A219,VolatilityTable,20)</f>
        <v>0.13</v>
      </c>
      <c r="AD219" s="1513" t="n">
        <f aca="false">VLOOKUP($A219,VolatilityTable,18)</f>
        <v>0.09</v>
      </c>
      <c r="AE219" s="1513" t="n">
        <f aca="false">VLOOKUP($A219,VolatilityTable,19)</f>
        <v>0.11</v>
      </c>
      <c r="AF219" s="1514" t="n">
        <f aca="false">VLOOKUP($A219,VolatilityTable,20)</f>
        <v>0.13</v>
      </c>
      <c r="AG219" s="1513" t="n">
        <f aca="false">VLOOKUP($A219,VolatilityTable,22)</f>
        <v>-0.1</v>
      </c>
      <c r="AH219" s="1513" t="n">
        <f aca="false">VLOOKUP($A219,VolatilityTable,23)</f>
        <v>0.65</v>
      </c>
      <c r="AI219" s="1514" t="n">
        <f aca="false">VLOOKUP($A219,VolatilityTable,24)</f>
        <v>0.1</v>
      </c>
      <c r="AJ219" s="1513" t="n">
        <f aca="false">VLOOKUP($A219,VolatilityTable,22)</f>
        <v>-0.1</v>
      </c>
      <c r="AK219" s="1513" t="n">
        <f aca="false">VLOOKUP($A219,VolatilityTable,23)</f>
        <v>0.65</v>
      </c>
      <c r="AL219" s="1514" t="n">
        <f aca="false">VLOOKUP($A219,VolatilityTable,24)</f>
        <v>0.1</v>
      </c>
      <c r="AM219" s="1513" t="n">
        <f aca="false">VLOOKUP($A219,VolatilityTable,26)</f>
        <v>-0.01</v>
      </c>
      <c r="AN219" s="1513" t="n">
        <f aca="false">VLOOKUP($A219,VolatilityTable,27)</f>
        <v>0.16</v>
      </c>
      <c r="AO219" s="1514" t="n">
        <f aca="false">VLOOKUP($A219,VolatilityTable,28)</f>
        <v>0.01</v>
      </c>
      <c r="AP219" s="1513" t="n">
        <f aca="false">VLOOKUP($A219,VolatilityTable,26)</f>
        <v>-0.01</v>
      </c>
      <c r="AQ219" s="1513" t="n">
        <f aca="false">VLOOKUP($A219,VolatilityTable,27)</f>
        <v>0.16</v>
      </c>
      <c r="AR219" s="1515" t="n">
        <f aca="false">VLOOKUP($A219,VolatilityTable,28)</f>
        <v>0.01</v>
      </c>
      <c r="AS219" s="1581" t="n">
        <f aca="false">IF(CorrPeakOffPeakOverFlag,INDEX(CorrPeakOffPeakOver,C219),CorrPeakOffPeak)</f>
        <v>0.5</v>
      </c>
      <c r="AT219" s="594" t="e">
        <f aca="false">AX219-SUM(AU219:AW219)</f>
        <v>#VALUE!</v>
      </c>
      <c r="AU219" s="238" t="e">
        <f aca="false">IF(E219="",0,INT((F219-MOD(F219,7)-E219)/7)+1-IF(AW219,IF(WEEKDAY(D219)=7,1,0),0))</f>
        <v>#VALUE!</v>
      </c>
      <c r="AV219" s="238" t="e">
        <f aca="false">IF(E219="",0,INT((F219-MOD(F219-1,7)-E219)/7)+1-IF(AW219,IF(WEEKDAY(D219)=1,1,0),0))</f>
        <v>#VALUE!</v>
      </c>
      <c r="AW219" s="238" t="e">
        <f aca="false">IF(OR(E219="",D219="",D219&lt;BegDate,D219&gt;EndDate),0,1)</f>
        <v>#VALUE!</v>
      </c>
      <c r="AX219" s="238" t="n">
        <f aca="false">IF(E219="",0,F219-E219+1)</f>
        <v>31</v>
      </c>
      <c r="AY219" s="1582" t="n">
        <f aca="false">IF(E219="",0,MIN((1-(1-VLOOKUP(B219,MAIN!$AA$7:$AM$28,C219+1))*(1-VLOOKUP(B219,MAIN!$AA$33:$AM$54,C219+1))),1))</f>
        <v>0.03</v>
      </c>
      <c r="AZ219" s="1519" t="e">
        <v>#VALUE!</v>
      </c>
      <c r="BA219" s="1520" t="e">
        <v>#VALUE!</v>
      </c>
      <c r="BB219" s="1520" t="e">
        <v>#VALUE!</v>
      </c>
      <c r="BC219" s="1583" t="e">
        <v>#VALUE!</v>
      </c>
      <c r="BD219" s="1522" t="e">
        <v>#VALUE!</v>
      </c>
      <c r="BE219" s="1523" t="e">
        <v>#VALUE!</v>
      </c>
      <c r="BF219" s="1523" t="e">
        <v>#VALUE!</v>
      </c>
      <c r="BG219" s="1584" t="e">
        <v>#VALUE!</v>
      </c>
      <c r="BH219" s="1525" t="e">
        <v>#VALUE!</v>
      </c>
      <c r="BI219" s="1520" t="e">
        <v>#VALUE!</v>
      </c>
      <c r="BJ219" s="1520" t="e">
        <v>#VALUE!</v>
      </c>
      <c r="BK219" s="1583" t="e">
        <v>#VALUE!</v>
      </c>
      <c r="BL219" s="1522" t="e">
        <v>#VALUE!</v>
      </c>
      <c r="BM219" s="1523" t="e">
        <v>#VALUE!</v>
      </c>
      <c r="BN219" s="1523" t="e">
        <v>#VALUE!</v>
      </c>
      <c r="BO219" s="1523" t="e">
        <v>#VALUE!</v>
      </c>
      <c r="BP219" s="1525" t="e">
        <f aca="false">SUM(AZ219:BB219)</f>
        <v>#VALUE!</v>
      </c>
      <c r="BQ219" s="1529" t="e">
        <f aca="false">SUM(AZ219:BC219)</f>
        <v>#VALUE!</v>
      </c>
      <c r="BR219" s="1519" t="e">
        <f aca="false">SUM(BH219:BJ219)</f>
        <v>#VALUE!</v>
      </c>
      <c r="BS219" s="1529" t="e">
        <f aca="false">SUM(BH219:BK219)</f>
        <v>#VALUE!</v>
      </c>
      <c r="BT219" s="1316" t="n">
        <f aca="false">(IF(OVolType&lt;&gt;2,A219+14,IF(OptExpDateShift,ShiftBack(A219,OptExpDateShift,D218),A219))-DateToday)/365.25</f>
        <v>16.8788501026694</v>
      </c>
      <c r="BU219" s="1585" t="e">
        <f aca="false">IF(BQ219,IF(OPriceCurve,IF(OBuySell=OCallPut,I219/(1-AY219),K219/(1-AY219)),J219/(1-AY219))*BD219,0)</f>
        <v>#VALUE!</v>
      </c>
      <c r="BV219" s="1316" t="e">
        <f aca="false">IF(BQ219,IF(OPriceCurve,IF(OBuySell=OCallPut,L219/(1-AY219),N219/(1-AY219)),M219/(1-AY219))*BE219,0)</f>
        <v>#VALUE!</v>
      </c>
      <c r="BW219" s="1316" t="e">
        <f aca="false">IF(BQ219,IF(OPriceCurve,IF(OBuySell=OCallPut,O219/(1-AY219),Q219/(1-AY219)),P219/(1-AY219))*BF219,0)</f>
        <v>#VALUE!</v>
      </c>
      <c r="BX219" s="1316" t="e">
        <f aca="false">IF(BQ219,IF(OPriceCurve,IF(OBuySell=OCallPut,R219/(1-AY219),T219/(1-AY219)),S219/(1-AY219))*BG219,0)</f>
        <v>#VALUE!</v>
      </c>
      <c r="BY219" s="1316" t="e">
        <f aca="false">IF(BP219,(BU219*AZ219+BV219*BA219+BW219*BB219)/BP219,0)</f>
        <v>#VALUE!</v>
      </c>
      <c r="BZ219" s="1316" t="e">
        <f aca="false">IF(BQ219,(BY219*BP219+BX219*BC219)/BQ219,0)</f>
        <v>#VALUE!</v>
      </c>
      <c r="CA219" s="1531" t="e">
        <f aca="false">IF(BS219,IF(OPriceCurve,IF(OBuySell=OCallPut,I219/(1-AY219),K219/(1-AY219)),J219/(1-AY219))*BL219,0)</f>
        <v>#VALUE!</v>
      </c>
      <c r="CB219" s="1316" t="e">
        <f aca="false">IF(BS219,IF(OPriceCurve,IF(OBuySell=OCallPut,L219/(1-AY219),N219/(1-AY219)),M219/(1-AY219))*BM219,0)</f>
        <v>#VALUE!</v>
      </c>
      <c r="CC219" s="1316" t="e">
        <f aca="false">IF(BS219,IF(OPriceCurve,IF(OBuySell=OCallPut,O219/(1-AY219),Q219/(1-AY219)),P219/(1-AY219))*BN219,0)</f>
        <v>#VALUE!</v>
      </c>
      <c r="CD219" s="1316" t="e">
        <f aca="false">IF(BS219,IF(OPriceCurve,IF(OBuySell=OCallPut,R219/(1-AY219),T219/(1-AY219)),S219/(1-AY219))*BO219,0)</f>
        <v>#VALUE!</v>
      </c>
      <c r="CE219" s="1316" t="e">
        <f aca="false">IF(BR219,(BU219*BH219+BV219*BI219+BW219*BJ219)/BR219,0)</f>
        <v>#VALUE!</v>
      </c>
      <c r="CF219" s="1532" t="e">
        <f aca="false">IF(BS219,(CE219*BR219+CD219*BK219)/BS219,0)</f>
        <v>#VALUE!</v>
      </c>
      <c r="CG219" s="1586" t="e">
        <f aca="false">IF(OR(BQ219,BS219),IF(OVolType&lt;&gt;2,SQRT(IF(OVolOverMonthlyPeak,OVolOverMonthlyPeak,IF(OVolCurve,IF(OBuySell,U219,W219),V219))^2*(1-15/365.25/BT219)+IF(OVolOverDailyPeak,OVolOverDailyPeak,IF(OVolCurve,IF(OBuySell,AG219,AI219),AH219))^2*15/365.25/BT219),IF(OVolOverMonthlyPeak,OVolOverMonthlyPeak,IF(OVolCurve,IF(OBuySell,U219,W219),V219))),"")</f>
        <v>#VALUE!</v>
      </c>
      <c r="CH219" s="1587" t="e">
        <f aca="false">IF(OR(BQ219,BS219),IF(OVolType&lt;&gt;2,SQRT(IF(OVolOverMonthlyPeak,OVolOverMonthlyPeak,IF(OVolCurve,IF(OBuySell,X219,Z219),Y219))^2*(1-15/365.25/BT219)+IF(OVolOverDailyPeak,OVolOverDailyPeak,IF(OVolCurve,IF(OBuySell,AJ219,AL219),AK219))^2*15/365.25/BT219),IF(OVolOverMonthlyPeak,OVolOverMonthlyPeak,IF(OVolCurve,IF(OBuySell,X219,Z219),Y219))),"")</f>
        <v>#VALUE!</v>
      </c>
      <c r="CI219" s="1587" t="e">
        <f aca="false">IF(OR(BQ219,BS219),IF(OVolType&lt;&gt;2,SQRT(IF(OVolOverMonthlyPeak,OVolOverMonthlyPeak,IF(OVolCurve,IF(OBuySell,AA219,AC219),AB219))^2*(1-15/365.25/BT219)+IF(OVolOverDailyPeak,OVolOverDailyPeak,IF(OVolCurve,IF(OBuySell,AM219,AO219),AN219))^2*15/365.25/BT219),IF(OVolOverMonthlyPeak,OVolOverMonthlyPeak,IF(OVolCurve,IF(OBuySell,AA219,AC219),AB219))),"")</f>
        <v>#VALUE!</v>
      </c>
      <c r="CJ219" s="1587" t="e">
        <f aca="false">IF(BQ219,IF(BP219,SQRT(LN(1+((BU219*AZ219)^2*(EXP(CG219^2*BT219)-1)+(BV219*BA219)^2*(EXP(CH219^2*BT219)-1)+(BW219*BB219)^2*(EXP(CI219^2*BT219)-1)+2*BU219*AZ219*BV219*BA219*(EXP(CG219*CH219*BT219)-1)+2*BV219*BA219*BW219*BB219*(EXP(CH219*CI219*BT219)-1)+2*BW219*BB219*BU219*AZ219*(EXP(CI219*CG219*BT219)-1))/(BY219*BP219)^2)/BT219),0),"")</f>
        <v>#VALUE!</v>
      </c>
      <c r="CK219" s="1587" t="e">
        <f aca="false">IF(BS219,IF(BR219,SQRT(LN(1+((CA219*BH219)^2*(EXP(CG219^2*BT219)-1)+(CB219*BI219)^2*(EXP(CH219^2*BT219)-1)+(CC219*BJ219)^2*(EXP(CI219^2*BT219)-1)+2*CA219*BH219*CB219*BI219*(EXP(CG219*CH219*BT219)-1)+2*CB219*BI219*CC219*BJ219*(EXP(CH219*CI219*BT219)-1)+2*CC219*BJ219*CA219*BH219*(EXP(CI219*CG219*BT219)-1))/(CE219*BR219)^2)/BT219),0),"")</f>
        <v>#VALUE!</v>
      </c>
      <c r="CL219" s="1587" t="e">
        <f aca="false">IF(OR(BQ219,BS219),IF(OVolType&lt;&gt;2,SQRT(IF(OVolOverMonthlyOffPeak,OVolOverMonthlyOffPeak,IF(OVolCurve,IF(OBuySell,AD219,AF219),AE219))^2*(1-15/365.25/BT219)+IF(OVolOverDailyOffPeak,OVolOverDailyOffPeak,IF(OVolCurve,IF(OBuySell,AP219,AR219),AQ219))^2*15/365.25/BT219),IF(OVolOverMonthlyOffPeak,OVolOverMonthlyOffPeak,IF(OVolCurve,IF(OBuySell,AD219,AF219),AE219))),"")</f>
        <v>#VALUE!</v>
      </c>
      <c r="CM219" s="1587" t="e">
        <f aca="false">IF(BQ219,SQRT(LN(1+((BY219*BP219)^2*(EXP(CJ219^2*BT219)-1)+(BX219*BC219)^2*(EXP(CL219^2*BT219)-1)+2*BY219*BP219*BX219*BC219*(EXP(AS219*CJ219*CL219*BT219)-1))/(BY219*BP219+BX219*BC219)^2)/BT219),"")</f>
        <v>#VALUE!</v>
      </c>
      <c r="CN219" s="1588" t="e">
        <f aca="false">IF(BS219,SQRT(LN(1+((CE219*BR219)^2*(EXP(CK219^2*BT219)-1)+(CD219*BK219)^2*(EXP(CL219^2*BT219)-1)+2*CE219*BR219*CD219*BK219*(EXP(AS219*CK219*CL219*BT219)-1))/(CE219*BR219+CD219*BK219)^2)/BT219),"")</f>
        <v>#VALUE!</v>
      </c>
      <c r="CO219" s="1531" t="e">
        <f aca="false">IF(OR(BQ219,BS219),VLOOKUP(A219,GasTable,13)*HeatRatePeak*(1+VLOOKUP($B219,HeatRateDegradation,$C219+1))/1000,0)</f>
        <v>#VALUE!</v>
      </c>
      <c r="CP219" s="1316" t="e">
        <f aca="false">IF(OR(BQ219,BS219),VLOOKUP(A219,GasTable,13)*HeatRatePeak*(1+VLOOKUP($B219,HeatRateDegradation,$C219+1))/1000,0)</f>
        <v>#VALUE!</v>
      </c>
      <c r="CQ219" s="1316" t="e">
        <f aca="false">IF(OR(BQ219,BS219),VLOOKUP(A219,GasTable,13)*IF(EV219,HeatRatePeak,HeatRateOffPeak)*(1+VLOOKUP($B219,HeatRateDegradation,$C219+1))/1000,0)</f>
        <v>#VALUE!</v>
      </c>
      <c r="CR219" s="1316" t="e">
        <f aca="false">IF(OR(BQ219,BS219),VLOOKUP(A219,GasTable,13)*IF(EW219,HeatRatePeak,HeatRateOffPeak)*(1+VLOOKUP($B219,HeatRateDegradation,$C219+1))/1000,0)</f>
        <v>#VALUE!</v>
      </c>
      <c r="CS219" s="1589" t="e">
        <f aca="false">IF(BQ219,(CO219*AZ219+CP219*BA219+CQ219*BB219+CR219*BC219)/BQ219,0)</f>
        <v>#VALUE!</v>
      </c>
      <c r="CT219" s="1316" t="e">
        <f aca="false">IF(BS219,CO219,0)</f>
        <v>#VALUE!</v>
      </c>
      <c r="CU219" s="1590" t="e">
        <f aca="false">IF(OR(BQ219,BS219),VLOOKUP(A219,GasTable,14),"")</f>
        <v>#VALUE!</v>
      </c>
      <c r="CV219" s="1568" t="e">
        <f aca="false">IF(OR(BQ219,BS219),IF(CorrPowerGasOverFlag,INDEX(CorrPowerGasOver,C219),CorrPowerGas),"")</f>
        <v>#VALUE!</v>
      </c>
      <c r="CW219" s="1316" t="e">
        <f aca="false">IF(OR($BQ219,$BS219),SpreadOptPowerMargin,0)*((1+Assumptions!$C$26)^($B219-YEAR(Assumptions!$C$17)))</f>
        <v>#VALUE!</v>
      </c>
      <c r="CX219" s="1316" t="e">
        <f aca="false">IF(OR($BQ219,$BS219),SpreadOptPowerMargin,0)*((1+Assumptions!$C$26)^($B219-YEAR(Assumptions!$C$17)))</f>
        <v>#VALUE!</v>
      </c>
      <c r="CY219" s="1316" t="e">
        <f aca="false">IF(OR($BQ219,$BS219),SpreadOptPowerMargin,0)*((1+Assumptions!$C$26)^($B219-YEAR(Assumptions!$C$17)))</f>
        <v>#VALUE!</v>
      </c>
      <c r="CZ219" s="1316" t="e">
        <f aca="false">IF(OR($BQ219,$BS219),SpreadOptPowerMargin,0)*((1+Assumptions!$C$26)^($B219-YEAR(Assumptions!$C$17)))</f>
        <v>#VALUE!</v>
      </c>
      <c r="DA219" s="1591" t="e">
        <f aca="false">IF(OR(BQ219,BS219),(CW219*(AZ219+BH219)+CX219*(BA219+BI219)+CY219*(BB219+BJ219)+CZ219*(BC219+BK219))/(BQ219+BS219),0)</f>
        <v>#VALUE!</v>
      </c>
      <c r="DB219" s="1592" t="e">
        <f aca="false">IF(OR(BQ219,BS219),CG219+IF(OVolSmile,VLOOKUP(MAX(-5,CO219+CW219-BU219),IF(OVolSmile=1,VolSmileBook,VolSmileModel),2),0),"")</f>
        <v>#VALUE!</v>
      </c>
      <c r="DC219" s="1592" t="e">
        <f aca="false">IF(OR(BQ219,BS219),CH219+IF(OVolSmile,VLOOKUP(MAX(-5,CP219+CW219-BV219),IF(OVolSmile=1,VolSmileBook,VolSmileModel),2),0),"")</f>
        <v>#VALUE!</v>
      </c>
      <c r="DD219" s="1592" t="e">
        <f aca="false">IF(OR(BQ219,BS219),CI219+IF(OVolSmile,VLOOKUP(MAX(-5,CQ219+CW219-BW219),IF(OVolSmile=1,VolSmileBook,VolSmileModel),2),0),"")</f>
        <v>#VALUE!</v>
      </c>
      <c r="DE219" s="1592" t="e">
        <f aca="false">IF(OR(BQ219,BS219),CL219+IF(OVolSmile,VLOOKUP(MAX(-5,CR219+CZ219-BX219),IF(OVolSmile=1,VolSmileBook,VolSmileModel),2),0),"")</f>
        <v>#VALUE!</v>
      </c>
      <c r="DF219" s="1592" t="e">
        <f aca="false">IF(BQ219,CM219+IF(OVolSmile,VLOOKUP(MAX(-5,CS219+DA219-BZ219),IF(OVolSmile=1,VolSmileBook,VolSmileModel),2),0),"")</f>
        <v>#VALUE!</v>
      </c>
      <c r="DG219" s="1593" t="e">
        <f aca="false">IF(BS219,CN219+IF(OVolSmile,VLOOKUP(MAX(-5,CT219+DA219-CF219),IF(OVolSmile=1,VolSmileBook,VolSmileModel),2),0),"")</f>
        <v>#VALUE!</v>
      </c>
      <c r="DH219" s="1316" t="e">
        <f aca="false">IF(AND(BU219&gt;0,CO219&gt;0,DB219&gt;0,CU219&gt;0),newSPRDOPT(BU219,CO219,CW219,0,DB219,CU219,CV219,BT219*365.25,OCallPut,0),0)</f>
        <v>#VALUE!</v>
      </c>
      <c r="DI219" s="1316" t="e">
        <f aca="false">IF(AND(BV219&gt;0,CP219&gt;0,DC219&gt;0,CU219&gt;0),newSPRDOPT(BV219,CP219,CX219,0,DC219,CU219,CV219,BT219*365.25,OCallPut,0),0)</f>
        <v>#VALUE!</v>
      </c>
      <c r="DJ219" s="1316" t="e">
        <f aca="false">IF(AND(BW219&gt;0,CQ219&gt;0,DD219&gt;0,CU219&gt;0),newSPRDOPT(BW219,CQ219,CY219,0,DD219,CU219,CV219,BT219*365.25,OCallPut,0),0)</f>
        <v>#VALUE!</v>
      </c>
      <c r="DK219" s="1316" t="e">
        <f aca="false">IF(AND(BX219&gt;0,CR219&gt;0,DE219&gt;0,CU219&gt;0),newSPRDOPT(BX219,CR219,CZ219,0,DE219,CU219,CV219,BT219*365.25,OCallPut,0),0)</f>
        <v>#VALUE!</v>
      </c>
      <c r="DL219" s="1316" t="e">
        <f aca="false">IF(OVolType,IF(AND(BZ219&gt;0,CS219&gt;0,DF219&gt;0,CU219&gt;0),newSPRDOPT(BZ219,CS219,DA219,0,DF219,CU219,CV219,BT219*365.25,OCallPut,0),0),IF(BQ219,(DH219*AZ219+DI219*BA219+DJ219*BB219+DK219*BC219)/BQ219,0))</f>
        <v>#VALUE!</v>
      </c>
      <c r="DM219" s="1316"/>
      <c r="DN219" s="1316"/>
      <c r="DO219" s="1316"/>
      <c r="DP219" s="1316"/>
      <c r="DQ219" s="1316"/>
      <c r="DR219" s="1316"/>
      <c r="DS219" s="1316"/>
      <c r="DT219" s="1316"/>
      <c r="DU219" s="1316"/>
      <c r="DV219" s="1316"/>
      <c r="DW219" s="1594" t="e">
        <f aca="false">IF(AND(BW219&gt;0,CT219&gt;0,DD219&gt;0,CU219&gt;0),newSPRDOPT(BW219,CT219,CY219,0,DD219,CU219,CV219,BT219*365.25,OCallPut,0),0)</f>
        <v>#VALUE!</v>
      </c>
      <c r="DX219" s="1316" t="e">
        <f aca="false">IF(AND(BX219&gt;0,CT219&gt;0,DE219&gt;0,CU219&gt;0),newSPRDOPT(BX219,CT219,CZ219,0,DE219,CU219,CV219,BT219*365.25,OCallPut,0),0)</f>
        <v>#VALUE!</v>
      </c>
      <c r="DY219" s="1591" t="e">
        <f aca="false">IF(BS219,(DH219*BH219+DI219*BI219+DW219*BJ219+DX219*BK219)/BS219,0)</f>
        <v>#VALUE!</v>
      </c>
      <c r="DZ219" s="1551" t="e">
        <f aca="false">DH219*AZ219</f>
        <v>#VALUE!</v>
      </c>
      <c r="EA219" s="1551" t="e">
        <f aca="false">DI219*BA219</f>
        <v>#VALUE!</v>
      </c>
      <c r="EB219" s="1551" t="e">
        <f aca="false">DJ219*BB219</f>
        <v>#VALUE!</v>
      </c>
      <c r="EC219" s="1551" t="e">
        <f aca="false">DK219*BC219</f>
        <v>#VALUE!</v>
      </c>
      <c r="ED219" s="1551" t="e">
        <f aca="false">DL219*BQ219</f>
        <v>#VALUE!</v>
      </c>
      <c r="EE219" s="1595" t="e">
        <f aca="false">IF(BQ219,IF(OCallPut,IF(BU219&gt;(CO219+CW219),BU219-(CO219+CW219),0),IF((CO219+CW219)&gt;BU219,(CO219+CW219)-BU219,0))*AZ219,0)</f>
        <v>#VALUE!</v>
      </c>
      <c r="EF219" s="1596" t="e">
        <f aca="false">IF(BQ219,IF(OCallPut,IF(BV219&gt;(CP219+CX219),BV219-(CP219+CX219),0),IF((CP219+CX219)&gt;BV219,(CP219+CX219)-BV219,0))*BA219,0)</f>
        <v>#VALUE!</v>
      </c>
      <c r="EG219" s="1596" t="e">
        <f aca="false">IF(BQ219,IF(OCallPut,IF(BW219&gt;(CQ219+CY219),BW219-(CQ219+CY219),0),IF((CQ219+CY219)&gt;BW219,(CQ219+CY219)-BW219,0))*BB219,0)</f>
        <v>#VALUE!</v>
      </c>
      <c r="EH219" s="1596" t="e">
        <f aca="false">IF(BQ219,IF(OCallPut,IF(BX219&gt;(CR219+CZ219),BX219-(CR219+CZ219),0),IF((CR219+CZ219)&gt;BX219,(CR219+CZ219)-BX219,0))*BC219,0)</f>
        <v>#VALUE!</v>
      </c>
      <c r="EI219" s="1597" t="e">
        <f aca="false">IF(BQ219,IF(OVolType,IF(OCallPut,IF(BZ219&gt;(CS219+DA219),BZ219-(CS219+DA219),0),IF((CS219+DA219)&gt;BZ219,(CS219+DA219)-BZ219,0))*BQ219,SUM(EE219:EH219)),0)</f>
        <v>#VALUE!</v>
      </c>
      <c r="EJ219" s="1595" t="e">
        <f aca="false">DZ219-EE219</f>
        <v>#VALUE!</v>
      </c>
      <c r="EK219" s="1596" t="e">
        <f aca="false">EA219-EF219</f>
        <v>#VALUE!</v>
      </c>
      <c r="EL219" s="1596" t="e">
        <f aca="false">EB219-EG219</f>
        <v>#VALUE!</v>
      </c>
      <c r="EM219" s="1596" t="e">
        <f aca="false">EC219-EH219</f>
        <v>#VALUE!</v>
      </c>
      <c r="EN219" s="1597" t="e">
        <f aca="false">ED219-EI219</f>
        <v>#VALUE!</v>
      </c>
      <c r="EO219" s="1551" t="e">
        <f aca="false">DH219*BH219</f>
        <v>#VALUE!</v>
      </c>
      <c r="EP219" s="1551" t="e">
        <f aca="false">DI219*BI219</f>
        <v>#VALUE!</v>
      </c>
      <c r="EQ219" s="1551" t="e">
        <f aca="false">DW219*BJ219</f>
        <v>#VALUE!</v>
      </c>
      <c r="ER219" s="1551" t="e">
        <f aca="false">DX219*BK219</f>
        <v>#VALUE!</v>
      </c>
      <c r="ES219" s="1551" t="e">
        <f aca="false">DY219*BS219</f>
        <v>#VALUE!</v>
      </c>
      <c r="ET219" s="1566" t="e">
        <f aca="false">IF(EI219,IF(OCallPut,IF(CA219&gt;(CT219+CW219),CA219-(CT219+CW219),0),IF((CT219+CW219)&gt;CA219,(CT219+CW219)-CA219,0))*BH219,0)</f>
        <v>#VALUE!</v>
      </c>
      <c r="EU219" s="1551" t="e">
        <f aca="false">IF(EI219,IF(OCallPut,IF(CB219&gt;(CT219+CX219),CB219-(CT219+CX219),0),IF((CT219+CX219)&gt;CB219,(CT219+CX219)-CB219,0))*BI219,0)</f>
        <v>#VALUE!</v>
      </c>
      <c r="EV219" s="1551" t="e">
        <f aca="false">IF(EI219,IF(OCallPut,IF(CC219&gt;(CT219+CY219),CC219-(CT219+CY219),0),IF((CT219+CY219)&gt;CC219,(CT219+CY219)-CC219,0))*BJ219,0)</f>
        <v>#VALUE!</v>
      </c>
      <c r="EW219" s="1551" t="e">
        <f aca="false">IF(EI219,IF(OCallPut,IF(CD219&gt;(CT219+CZ219),CD219-(CT219+CZ219),0),IF((CT219+CZ219)&gt;CD219,(CT219+CZ219)-CD219,0))*BK219,0)</f>
        <v>#VALUE!</v>
      </c>
      <c r="EX219" s="1558" t="e">
        <f aca="false">IF(EI219,SUM(ET219:EW219),0)</f>
        <v>#VALUE!</v>
      </c>
      <c r="EY219" s="1551" t="e">
        <f aca="false">EO219-ET219</f>
        <v>#VALUE!</v>
      </c>
      <c r="EZ219" s="1551" t="e">
        <f aca="false">EP219-EU219</f>
        <v>#VALUE!</v>
      </c>
      <c r="FA219" s="1551" t="e">
        <f aca="false">EQ219-EV219</f>
        <v>#VALUE!</v>
      </c>
      <c r="FB219" s="1551" t="e">
        <f aca="false">ER219-EW219</f>
        <v>#VALUE!</v>
      </c>
      <c r="FC219" s="1551" t="e">
        <f aca="false">ES219-EX219</f>
        <v>#VALUE!</v>
      </c>
      <c r="FD219" s="1525" t="n">
        <f aca="false">IF(AX219,IF(VLOOKUP(C219,MAIN!$L$17:$M$28,2)="Yes",VLOOKUP(CALC!B219,MAIN!$H$17:$I$20,2),0),0)</f>
        <v>0</v>
      </c>
      <c r="FE219" s="1552" t="e">
        <f aca="false">$FD219*16*AT219*(1-$AY219)</f>
        <v>#VALUE!</v>
      </c>
      <c r="FF219" s="1553" t="e">
        <f aca="false">$FD219*16*AU219*(1-$AY219)</f>
        <v>#VALUE!</v>
      </c>
      <c r="FG219" s="1553" t="e">
        <f aca="false">$FD219*16*(AV219+AW219)*(1-$AY219)</f>
        <v>#VALUE!</v>
      </c>
      <c r="FH219" s="1554" t="n">
        <f aca="false">$FD219*8*AX219*(1-$AY219)</f>
        <v>0</v>
      </c>
      <c r="FI219" s="1555" t="n">
        <f aca="false">IF(AX219,VLOOKUP(CALC!B219,MAIN!$H$17:$K$20,4),0)</f>
        <v>0</v>
      </c>
      <c r="FJ219" s="1553" t="e">
        <f aca="false">SUM(FE219:FH219)</f>
        <v>#VALUE!</v>
      </c>
      <c r="FK219" s="1556" t="e">
        <f aca="false">FI219*FJ219</f>
        <v>#VALUE!</v>
      </c>
      <c r="FL219" s="1551" t="e">
        <f aca="false">IF($EI219&gt;0,MIN(FE219,AZ219*(1+VLOOKUP($C219,WeatherCapacityAdjustment,2))),0)</f>
        <v>#VALUE!</v>
      </c>
      <c r="FM219" s="1551" t="e">
        <f aca="false">IF($EI219&gt;0,MIN(FF219,BA219*(1+VLOOKUP($C219,WeatherCapacityAdjustment,2))),0)</f>
        <v>#VALUE!</v>
      </c>
      <c r="FN219" s="1551" t="e">
        <f aca="false">IF($EI219&gt;0,MIN(FG219,BB219*(1+VLOOKUP($C219,WeatherCapacityAdjustment,2))),0)</f>
        <v>#VALUE!</v>
      </c>
      <c r="FO219" s="1564" t="e">
        <f aca="false">IF($EI219&gt;0,MIN(FH219,BC219*(1+VLOOKUP($C219,WeatherCapacityAdjustment,3))),0)</f>
        <v>#VALUE!</v>
      </c>
      <c r="FP219" s="1551" t="e">
        <f aca="false">IF(ET219&gt;0,MIN(FE219-FL219,BH219*(1+VLOOKUP($C219,WeatherCapacityAdjustment,2))),0)</f>
        <v>#VALUE!</v>
      </c>
      <c r="FQ219" s="1551" t="e">
        <f aca="false">IF(EU219&gt;0,MIN(FF219-FM219,BI219*(1+VLOOKUP($C219,WeatherCapacityAdjustment,2))),0)</f>
        <v>#VALUE!</v>
      </c>
      <c r="FR219" s="1551" t="e">
        <f aca="false">IF(EV219&gt;0,MIN(FG219-FN219,BJ219*(1+VLOOKUP($C219,WeatherCapacityAdjustment,2))),0)</f>
        <v>#VALUE!</v>
      </c>
      <c r="FS219" s="1558" t="e">
        <f aca="false">IF(EW219&gt;0,MIN(FH219-FO219,BK219*(1+VLOOKUP($C219,WeatherCapacityAdjustment,3))),0)</f>
        <v>#VALUE!</v>
      </c>
      <c r="FT219" s="1566" t="e">
        <f aca="false">IF(AND(Assumptions!$H$71="Yes",A219&gt;=Assumptions!$H$72,A219&lt;=Assumptions!$H$73),0,IF(AND($A219&gt;=Assumptions!$C$17,$A219&lt;=Assumptions!$C$18),MAX(AZ219*(1+VLOOKUP($C219,WeatherCapacityAdjustment,2))-FL219,0),0))</f>
        <v>#VALUE!</v>
      </c>
      <c r="FU219" s="1551" t="e">
        <f aca="false">IF(AND(Assumptions!$H$71="Yes",A219&gt;=Assumptions!$H$72,A219&lt;=Assumptions!$H$73),0,IF(AND($A219&gt;=Assumptions!$C$17,$A219&lt;=Assumptions!$C$18),MAX(BA219*(1+VLOOKUP($C219,WeatherCapacityAdjustment,2))-FM219,0),0))</f>
        <v>#VALUE!</v>
      </c>
      <c r="FV219" s="1551" t="e">
        <f aca="false">IF(AND(Assumptions!$H$71="Yes",A219&gt;=Assumptions!$H$72,A219&lt;=Assumptions!$H$73),0,IF(AND($A219&gt;=Assumptions!$C$17,$A219&lt;=Assumptions!$C$18),MAX(BB219*(1+VLOOKUP($C219,WeatherCapacityAdjustment,2))-FN219,0),0))</f>
        <v>#VALUE!</v>
      </c>
      <c r="FW219" s="1564" t="e">
        <f aca="false">IF(AND(Assumptions!$H$71="Yes",A219&gt;=Assumptions!$H$72,A219&lt;=Assumptions!$H$73),0,IF(AND($A219&gt;=Assumptions!$C$17,$A219&lt;=Assumptions!$C$18),MAX(BC219*(1+VLOOKUP($C219,WeatherCapacityAdjustment,3))-FO219,0),0))</f>
        <v>#VALUE!</v>
      </c>
      <c r="FX219" s="1569" t="e">
        <f aca="false">IF(AND(Assumptions!$H$71="Yes",A219&gt;=Assumptions!$H$72,A219&lt;=Assumptions!$H$73),0,IF(ET219&gt;0,MAX(BH219*(1+VLOOKUP($C219,WeatherCapacityAdjustment,2))-FP219,0),0))</f>
        <v>#VALUE!</v>
      </c>
      <c r="FY219" s="1551" t="e">
        <f aca="false">IF(AND(Assumptions!$H$71="Yes",A219&gt;=Assumptions!$H$72,A219&lt;=Assumptions!$H$73),0,IF(EU219&gt;0,MAX(BI219*(1+VLOOKUP($C219,WeatherCapacityAdjustment,3))-FQ219,0),0))</f>
        <v>#VALUE!</v>
      </c>
      <c r="FZ219" s="1551" t="e">
        <f aca="false">IF(AND(Assumptions!$H$71="Yes",A219&gt;=Assumptions!$H$72,A219&lt;=Assumptions!$H$73),0,IF(EV219&gt;0,MAX(BJ219*(1+VLOOKUP($C219,WeatherCapacityAdjustment,2))-FR219,0),0))</f>
        <v>#VALUE!</v>
      </c>
      <c r="GA219" s="1564" t="e">
        <f aca="false">IF(AND(Assumptions!$H$71="Yes",A219&gt;=Assumptions!$H$72,A219&lt;=Assumptions!$H$73),0,IF(EW219&gt;0,MAX(BK219*(1+VLOOKUP($C219,WeatherCapacityAdjustment,2))-FS219,0),0))</f>
        <v>#VALUE!</v>
      </c>
      <c r="GB219" s="1551" t="e">
        <f aca="false">SUM(FT219:GA219)</f>
        <v>#VALUE!</v>
      </c>
      <c r="GC219" s="1563" t="e">
        <f aca="false">+IF(SUM(FT219:GA219)=0,0,(SUMPRODUCT(BU219:BX219,FT219:FW219)+SUMPRODUCT(CA219:CD219,FX219:GA219))/SUM(FT219:GA219))</f>
        <v>#VALUE!</v>
      </c>
      <c r="GD219" s="1551" t="e">
        <f aca="false">(FT219*BU219+FX219*CA219+FU219*BV219+FY219*CB219+FV219*BW219+FZ219*CC219+FW219*BX219+GA219*CD219)</f>
        <v>#VALUE!</v>
      </c>
      <c r="GE219" s="1561" t="e">
        <f aca="false">+IF(BQ219,((FL219+FM219+FT219+FU219)*HeatRatePeak/1000*(1+VLOOKUP($C219,WeatherHeatRateAdjustment,2))+(FN219+FV219)*IF(EV219&gt;0,HeatRatePeak,HeatRateOffPeak)/1000*(1+VLOOKUP($C219,WeatherHeatRateAdjustment,2))+(FO219+FW219)*IF(EW219&gt;0,HeatRatePeak,HeatRateOffPeak)/1000*(1+VLOOKUP($C219,WeatherHeatRateAdjustment,3)))*(1+VLOOKUP($B219,HeatRateDegradation,$C219+1)),0)</f>
        <v>#VALUE!</v>
      </c>
      <c r="GF219" s="1562" t="e">
        <f aca="false">IF(BQ219,((FP219+FQ219+FR219+FX219+FY219+FZ219)*HeatRatePeak/1000*(1+VLOOKUP($C219,WeatherHeatRateAdjustment,2))+(FS219+GA219)*HeatRatePeak/1000*(1+VLOOKUP($C219,WeatherHeatRateAdjustment,3)))*(1+VLOOKUP($B219,HeatRateDegradation,$C219+1)),0)</f>
        <v>#VALUE!</v>
      </c>
      <c r="GG219" s="1563" t="e">
        <f aca="false">IF(BQ219,VLOOKUP(A219,GasTable,13),0)</f>
        <v>#VALUE!</v>
      </c>
      <c r="GH219" s="1564" t="e">
        <f aca="false">(GE219+GF219)*GG219</f>
        <v>#VALUE!</v>
      </c>
      <c r="GI219" s="1569" t="e">
        <f aca="false">GB219</f>
        <v>#VALUE!</v>
      </c>
      <c r="GJ219" s="1598" t="e">
        <f aca="false">+DA219</f>
        <v>#VALUE!</v>
      </c>
      <c r="GK219" s="1558" t="e">
        <f aca="false">+GI219*GJ219</f>
        <v>#VALUE!</v>
      </c>
      <c r="GL219" s="1566" t="e">
        <f aca="false">MAX(FE219-FL219-FP219,0)</f>
        <v>#VALUE!</v>
      </c>
      <c r="GM219" s="1551" t="e">
        <f aca="false">MAX(FF219-FM219-FQ219,0)</f>
        <v>#VALUE!</v>
      </c>
      <c r="GN219" s="1551" t="e">
        <f aca="false">MAX(FG219-FN219-FR219,0)</f>
        <v>#VALUE!</v>
      </c>
      <c r="GO219" s="1564" t="e">
        <f aca="false">MAX(FH219-FO219-FS219,0)</f>
        <v>#VALUE!</v>
      </c>
      <c r="GP219" s="1551" t="e">
        <f aca="false">SUM(GL219:GO219)</f>
        <v>#VALUE!</v>
      </c>
      <c r="GQ219" s="1563" t="e">
        <f aca="false">IF(SUM(GL219:GO219)=0,0,((GL219*BU219+GM219*BV219+GN219*BW219+GO219*BX219)/SUM(GL219:GO219)))</f>
        <v>#VALUE!</v>
      </c>
      <c r="GR219" s="1558" t="e">
        <f aca="false">(GL219*BU219+GM219*BV219+GN219*BW219+GO219*BX219)</f>
        <v>#VALUE!</v>
      </c>
      <c r="GS219" s="1566" t="n">
        <f aca="false">IF($A219&gt;=BegDate,Assumptions!$C$56*24*($A220-$A219)*(1-VLOOKUP($B219,MAIN!$AA$7:$AM$28,$C219+1))*(1-VLOOKUP($B219,MAIN!$AA$33:$AM$54,$C219+1)),0)*80/168</f>
        <v>257742.857142857</v>
      </c>
      <c r="GT219" s="286" t="n">
        <f aca="false">J219</f>
        <v>41.5412422314655</v>
      </c>
      <c r="GU219" s="286" t="n">
        <f aca="false">IF($A219&gt;=BegDate,VLOOKUP($A219,GasTable,13)+Assumptions!$C$58,0)</f>
        <v>3.39819033809354</v>
      </c>
      <c r="GV219" s="286" t="n">
        <f aca="false">GU219*Assumptions!$C$57/1000</f>
        <v>24.6368799511781</v>
      </c>
      <c r="GW219" s="1558" t="n">
        <f aca="false">IF(Assumptions!$C$60="Hourly",MAX(0,GS219*(GT219-GV219)),GS219*(GT219-GV219))</f>
        <v>4356978.63229921</v>
      </c>
      <c r="GX219" s="1566" t="n">
        <f aca="false">IF($A219&gt;=BegDate,Assumptions!$C$56*24*($A220-$A219)*(1-VLOOKUP($B219,MAIN!$AA$7:$AM$28,$C219+1))*(1-VLOOKUP($B219,MAIN!$AA$33:$AM$54,$C219+1)),0)*16/168</f>
        <v>51548.5714285714</v>
      </c>
      <c r="GY219" s="286" t="n">
        <f aca="false">M219</f>
        <v>41.5412422314655</v>
      </c>
      <c r="GZ219" s="286" t="n">
        <f aca="false">IF($A219&gt;=BegDate,VLOOKUP($A219,GasTable,13)+Assumptions!$C$58,0)</f>
        <v>3.39819033809354</v>
      </c>
      <c r="HA219" s="286" t="n">
        <f aca="false">GZ219*Assumptions!$C$57/1000</f>
        <v>24.6368799511781</v>
      </c>
      <c r="HB219" s="1558" t="n">
        <f aca="false">IF(Assumptions!$C$60="Hourly",MAX(0,GX219*(GY219-HA219)),GX219*(GY219-HA219))</f>
        <v>871395.726459842</v>
      </c>
      <c r="HC219" s="1566" t="n">
        <f aca="false">IF($A219&gt;=BegDate,Assumptions!$C$56*24*($A220-$A219)*(1-VLOOKUP($B219,MAIN!$AA$7:$AM$28,$C219+1))*(1-VLOOKUP($B219,MAIN!$AA$33:$AM$54,$C219+1)),0)*16/168</f>
        <v>51548.5714285714</v>
      </c>
      <c r="HD219" s="286" t="n">
        <f aca="false">P219</f>
        <v>27.0389418528896</v>
      </c>
      <c r="HE219" s="286" t="n">
        <f aca="false">IF($A219&gt;=BegDate,VLOOKUP($A219,GasTable,13)+Assumptions!$C$58,0)</f>
        <v>3.39819033809354</v>
      </c>
      <c r="HF219" s="286" t="n">
        <f aca="false">HE219*Assumptions!$C$57/1000</f>
        <v>24.6368799511781</v>
      </c>
      <c r="HG219" s="1558" t="n">
        <f aca="false">IF(Assumptions!$C$60="Hourly",MAX(0,HC219*(HD219-HF219)),HC219*(HD219-HF219))</f>
        <v>123822.859516221</v>
      </c>
      <c r="HH219" s="1566" t="n">
        <f aca="false">IF($A219&gt;=BegDate,Assumptions!$C$56*24*($A220-$A219)*(1-VLOOKUP($B219,MAIN!$AA$7:$AM$28,$C219+1))*(1-VLOOKUP($B219,MAIN!$AA$33:$AM$54,$C219+1)),0)*56/168</f>
        <v>180420</v>
      </c>
      <c r="HI219" s="286" t="n">
        <f aca="false">S219</f>
        <v>27.0389418528896</v>
      </c>
      <c r="HJ219" s="286" t="n">
        <f aca="false">IF($A219&gt;=BegDate,VLOOKUP($A219,GasTable,13)+Assumptions!$C$58,0)</f>
        <v>3.39819033809354</v>
      </c>
      <c r="HK219" s="286" t="n">
        <f aca="false">HJ219*Assumptions!$C$57/1000</f>
        <v>24.6368799511781</v>
      </c>
      <c r="HL219" s="1558" t="n">
        <f aca="false">IF(Assumptions!$C$60="Hourly",MAX(0,HH219*(HI219-HK219)),HH219*(HI219-HK219))</f>
        <v>433380.008306774</v>
      </c>
      <c r="HM219" s="1566" t="n">
        <f aca="false">IF(AND(Assumptions!$H$71="Yes",A219&gt;=Assumptions!$H$72,A219&lt;=Assumptions!$H$73),Assumptions!$H$74*Assumptions!$C$9*1000,0)</f>
        <v>0</v>
      </c>
      <c r="HN219" s="1551"/>
      <c r="HO219" s="1563"/>
      <c r="HP219" s="1563"/>
      <c r="HQ219" s="1563"/>
      <c r="HR219" s="1563"/>
      <c r="HS219" s="1563"/>
      <c r="HT219" s="1563"/>
      <c r="HU219" s="1563"/>
      <c r="HV219" s="1563"/>
      <c r="HW219" s="1563"/>
      <c r="HX219" s="1563"/>
      <c r="HY219" s="1563"/>
      <c r="HZ219" s="1563"/>
      <c r="IA219" s="1563"/>
      <c r="IB219" s="1563"/>
      <c r="IC219" s="1563"/>
      <c r="ID219" s="1563"/>
      <c r="IE219" s="1563"/>
      <c r="IF219" s="1563"/>
      <c r="IG219" s="1563"/>
      <c r="IH219" s="1563"/>
      <c r="II219" s="1610"/>
      <c r="IJ219" s="1309"/>
      <c r="IK219" s="1309"/>
    </row>
    <row r="220" customFormat="false" ht="12.75" hidden="false" customHeight="false" outlineLevel="0" collapsed="false">
      <c r="A220" s="1571" t="n">
        <f aca="false">EOMONTH(A219,0)+1</f>
        <v>42826</v>
      </c>
      <c r="B220" s="594" t="n">
        <f aca="false">+YEAR(A220)</f>
        <v>2017</v>
      </c>
      <c r="C220" s="238" t="n">
        <f aca="false">MONTH(A220)</f>
        <v>4</v>
      </c>
      <c r="D220" s="1572" t="e">
        <f aca="false">IF(E220="","",Holiday(B220,C220))</f>
        <v>#VALUE!</v>
      </c>
      <c r="E220" s="1573" t="n">
        <f aca="false">IF(OR(BegDate&gt;=A221,EndDate&lt;A220,AND(VolumeMonthlyOverFlag,INDEX(VolumeMonthlyOver,C220)=0),NOT(INDEX(MonthKnockOutTable,C220))),"",MAX(A220,BegDate))</f>
        <v>42826</v>
      </c>
      <c r="F220" s="1574" t="n">
        <f aca="false">IF(E220="","",MIN(A221-1,EndDate))</f>
        <v>42855</v>
      </c>
      <c r="G220" s="1575" t="n">
        <v>0</v>
      </c>
      <c r="H220" s="1576" t="n">
        <f aca="false">(1+G220/2)^(-2*(DATE(B221,C221,20)-DateToday)/365.25)</f>
        <v>1</v>
      </c>
      <c r="I220" s="1568" t="n">
        <f aca="false">IF(Assumptions!$L$25=4,VLOOKUP($A220,'Henwood Reference'!$E$9:$R$320,10),(VLOOKUP($A220,PriceTable,2,0)+IF(BasisNumber&lt;&gt;1,VLOOKUP($A220,BasisTable,2,0),0)+I$1)/(1-I$2))</f>
        <v>41.0640399558047</v>
      </c>
      <c r="J220" s="1568" t="n">
        <f aca="false">IF(Assumptions!$L$25=4,VLOOKUP($A220,'Henwood Reference'!$E$9:$R$320,10),(VLOOKUP($A220,PriceTable,3,0)+IF(BasisNumber&lt;&gt;1,VLOOKUP($A220,BasisTable,2,0),0)+J$1)/(1-J$2))</f>
        <v>41.0640399558047</v>
      </c>
      <c r="K220" s="1568" t="n">
        <f aca="false">IF(Assumptions!$L$25=4,VLOOKUP($A220,'Henwood Reference'!$E$9:$R$320,10),(VLOOKUP($A220,PriceTable,4,0)+IF(BasisNumber&lt;&gt;1,VLOOKUP($A220,BasisTable,2,0),0)+K$1)/(1-K$2))</f>
        <v>41.0640399558047</v>
      </c>
      <c r="L220" s="1523" t="n">
        <f aca="false">IF(Assumptions!$L$25=4,VLOOKUP($A220,'Henwood Reference'!$E$9:$R$320,10),(VLOOKUP($A220,PriceTableWeekend,2,0)+IF(BasisNumber&lt;&gt;1,VLOOKUP($A220,BasisTable,2,0),0)+L$1)/(1-L$2))</f>
        <v>41.0640399558047</v>
      </c>
      <c r="M220" s="1568" t="n">
        <f aca="false">IF(Assumptions!$L$25=4,VLOOKUP($A220,'Henwood Reference'!$E$9:$R$320,10),(VLOOKUP($A220,PriceTableWeekend,3,0)+IF(BasisNumber&lt;&gt;1,VLOOKUP($A220,BasisTable,2,0),0)+M$1)/(1-M$2))</f>
        <v>41.0640399558047</v>
      </c>
      <c r="N220" s="1599" t="n">
        <f aca="false">IF(Assumptions!$L$25=4,VLOOKUP($A220,'Henwood Reference'!$E$9:$R$320,10),(VLOOKUP($A220,PriceTableWeekend,4,0)+IF(BasisNumber&lt;&gt;1,VLOOKUP($A220,BasisTable,2,0),0)+N$1)/(1-N$2))</f>
        <v>41.0640399558047</v>
      </c>
      <c r="O220" s="1568" t="n">
        <f aca="false">IF(Assumptions!$L$25=4,VLOOKUP($A220,'Henwood Reference'!$E$9:$R$320,11),(VLOOKUP($A220,PriceTableWeekend,6,0)+IF(BasisNumber&lt;&gt;1,VLOOKUP($A220,BasisTable,3,0),0)+O$1)/(1-O$2))</f>
        <v>28.1382713910975</v>
      </c>
      <c r="P220" s="1568" t="n">
        <f aca="false">IF(Assumptions!$L$25=4,VLOOKUP($A220,'Henwood Reference'!$E$9:$R$320,11),(VLOOKUP($A220,PriceTableWeekend,7,0)+IF(BasisNumber&lt;&gt;1,VLOOKUP($A220,BasisTable,3,0),0)+P$1)/(1-P$2))</f>
        <v>28.1382713910975</v>
      </c>
      <c r="Q220" s="1599" t="n">
        <f aca="false">IF(Assumptions!$L$25=4,VLOOKUP($A220,'Henwood Reference'!$E$9:$R$320,11),(VLOOKUP($A220,PriceTableWeekend,8,0)+IF(BasisNumber&lt;&gt;1,VLOOKUP($A220,BasisTable,3,0),0)+Q$1)/(1-Q$2))</f>
        <v>28.1382713910975</v>
      </c>
      <c r="R220" s="1568" t="n">
        <f aca="false">IF(Assumptions!$L$25=4,VLOOKUP($A220,'Henwood Reference'!$E$9:$R$320,11),(VLOOKUP($A220,PriceTable,6,0)+IF(BasisNumber&lt;&gt;1,VLOOKUP($A220,BasisTable,3,0),0)+R$1)/(1-R$2))</f>
        <v>28.1382713910975</v>
      </c>
      <c r="S220" s="1568" t="n">
        <f aca="false">IF(Assumptions!$L$25=4,VLOOKUP($A220,'Henwood Reference'!$E$9:$R$320,11),(VLOOKUP($A220,PriceTable,7,0)+IF(BasisNumber&lt;&gt;1,VLOOKUP($A220,BasisTable,3,0),0)+S$1)/(1-S$2))</f>
        <v>28.1382713910975</v>
      </c>
      <c r="T220" s="1600" t="n">
        <f aca="false">IF(Assumptions!$L$25=4,VLOOKUP($A220,'Henwood Reference'!$E$9:$R$320,11),(VLOOKUP($A220,PriceTable,8,0)+IF(BasisNumber&lt;&gt;1,VLOOKUP($A220,BasisTable,3,0),0)+T$1)/(1-T$2))</f>
        <v>28.1382713910975</v>
      </c>
      <c r="U220" s="1513" t="n">
        <f aca="false">VLOOKUP($A220,VolatilityTable,14)</f>
        <v>0.09</v>
      </c>
      <c r="V220" s="1513" t="n">
        <f aca="false">VLOOKUP($A220,VolatilityTable,15)</f>
        <v>0.1</v>
      </c>
      <c r="W220" s="1514" t="n">
        <f aca="false">VLOOKUP($A220,VolatilityTable,16)</f>
        <v>0.11</v>
      </c>
      <c r="X220" s="1513" t="n">
        <f aca="false">VLOOKUP($A220,VolatilityTable,14)</f>
        <v>0.09</v>
      </c>
      <c r="Y220" s="1513" t="n">
        <f aca="false">VLOOKUP($A220,VolatilityTable,15)</f>
        <v>0.1</v>
      </c>
      <c r="Z220" s="1514" t="n">
        <f aca="false">VLOOKUP($A220,VolatilityTable,16)</f>
        <v>0.11</v>
      </c>
      <c r="AA220" s="1513" t="n">
        <f aca="false">VLOOKUP($A220,VolatilityTable,18)</f>
        <v>0.09</v>
      </c>
      <c r="AB220" s="1513" t="n">
        <f aca="false">VLOOKUP($A220,VolatilityTable,19)</f>
        <v>0.11</v>
      </c>
      <c r="AC220" s="1514" t="n">
        <f aca="false">VLOOKUP($A220,VolatilityTable,20)</f>
        <v>0.13</v>
      </c>
      <c r="AD220" s="1513" t="n">
        <f aca="false">VLOOKUP($A220,VolatilityTable,18)</f>
        <v>0.09</v>
      </c>
      <c r="AE220" s="1513" t="n">
        <f aca="false">VLOOKUP($A220,VolatilityTable,19)</f>
        <v>0.11</v>
      </c>
      <c r="AF220" s="1514" t="n">
        <f aca="false">VLOOKUP($A220,VolatilityTable,20)</f>
        <v>0.13</v>
      </c>
      <c r="AG220" s="1513" t="n">
        <f aca="false">VLOOKUP($A220,VolatilityTable,22)</f>
        <v>-0.1</v>
      </c>
      <c r="AH220" s="1513" t="n">
        <f aca="false">VLOOKUP($A220,VolatilityTable,23)</f>
        <v>0.65</v>
      </c>
      <c r="AI220" s="1514" t="n">
        <f aca="false">VLOOKUP($A220,VolatilityTable,24)</f>
        <v>0.1</v>
      </c>
      <c r="AJ220" s="1513" t="n">
        <f aca="false">VLOOKUP($A220,VolatilityTable,22)</f>
        <v>-0.1</v>
      </c>
      <c r="AK220" s="1513" t="n">
        <f aca="false">VLOOKUP($A220,VolatilityTable,23)</f>
        <v>0.65</v>
      </c>
      <c r="AL220" s="1514" t="n">
        <f aca="false">VLOOKUP($A220,VolatilityTable,24)</f>
        <v>0.1</v>
      </c>
      <c r="AM220" s="1513" t="n">
        <f aca="false">VLOOKUP($A220,VolatilityTable,26)</f>
        <v>-0.01</v>
      </c>
      <c r="AN220" s="1513" t="n">
        <f aca="false">VLOOKUP($A220,VolatilityTable,27)</f>
        <v>0.16</v>
      </c>
      <c r="AO220" s="1514" t="n">
        <f aca="false">VLOOKUP($A220,VolatilityTable,28)</f>
        <v>0.01</v>
      </c>
      <c r="AP220" s="1513" t="n">
        <f aca="false">VLOOKUP($A220,VolatilityTable,26)</f>
        <v>-0.01</v>
      </c>
      <c r="AQ220" s="1513" t="n">
        <f aca="false">VLOOKUP($A220,VolatilityTable,27)</f>
        <v>0.16</v>
      </c>
      <c r="AR220" s="1515" t="n">
        <f aca="false">VLOOKUP($A220,VolatilityTable,28)</f>
        <v>0.01</v>
      </c>
      <c r="AS220" s="1581" t="n">
        <f aca="false">IF(CorrPeakOffPeakOverFlag,INDEX(CorrPeakOffPeakOver,C220),CorrPeakOffPeak)</f>
        <v>0.5</v>
      </c>
      <c r="AT220" s="594" t="e">
        <f aca="false">AX220-SUM(AU220:AW220)</f>
        <v>#VALUE!</v>
      </c>
      <c r="AU220" s="238" t="e">
        <f aca="false">IF(E220="",0,INT((F220-MOD(F220,7)-E220)/7)+1-IF(AW220,IF(WEEKDAY(D220)=7,1,0),0))</f>
        <v>#VALUE!</v>
      </c>
      <c r="AV220" s="238" t="e">
        <f aca="false">IF(E220="",0,INT((F220-MOD(F220-1,7)-E220)/7)+1-IF(AW220,IF(WEEKDAY(D220)=1,1,0),0))</f>
        <v>#VALUE!</v>
      </c>
      <c r="AW220" s="238" t="e">
        <f aca="false">IF(OR(E220="",D220="",D220&lt;BegDate,D220&gt;EndDate),0,1)</f>
        <v>#VALUE!</v>
      </c>
      <c r="AX220" s="238" t="n">
        <f aca="false">IF(E220="",0,F220-E220+1)</f>
        <v>30</v>
      </c>
      <c r="AY220" s="1582" t="n">
        <f aca="false">IF(E220="",0,MIN((1-(1-VLOOKUP(B220,MAIN!$AA$7:$AM$28,C220+1))*(1-VLOOKUP(B220,MAIN!$AA$33:$AM$54,C220+1))),1))</f>
        <v>0.127</v>
      </c>
      <c r="AZ220" s="1519" t="e">
        <v>#VALUE!</v>
      </c>
      <c r="BA220" s="1520" t="e">
        <v>#VALUE!</v>
      </c>
      <c r="BB220" s="1520" t="e">
        <v>#VALUE!</v>
      </c>
      <c r="BC220" s="1583" t="e">
        <v>#VALUE!</v>
      </c>
      <c r="BD220" s="1522" t="e">
        <v>#VALUE!</v>
      </c>
      <c r="BE220" s="1523" t="e">
        <v>#VALUE!</v>
      </c>
      <c r="BF220" s="1523" t="e">
        <v>#VALUE!</v>
      </c>
      <c r="BG220" s="1584" t="e">
        <v>#VALUE!</v>
      </c>
      <c r="BH220" s="1525" t="e">
        <v>#VALUE!</v>
      </c>
      <c r="BI220" s="1520" t="e">
        <v>#VALUE!</v>
      </c>
      <c r="BJ220" s="1520" t="e">
        <v>#VALUE!</v>
      </c>
      <c r="BK220" s="1583" t="e">
        <v>#VALUE!</v>
      </c>
      <c r="BL220" s="1522" t="e">
        <v>#VALUE!</v>
      </c>
      <c r="BM220" s="1523" t="e">
        <v>#VALUE!</v>
      </c>
      <c r="BN220" s="1523" t="e">
        <v>#VALUE!</v>
      </c>
      <c r="BO220" s="1523" t="e">
        <v>#VALUE!</v>
      </c>
      <c r="BP220" s="1525" t="e">
        <f aca="false">SUM(AZ220:BB220)</f>
        <v>#VALUE!</v>
      </c>
      <c r="BQ220" s="1529" t="e">
        <f aca="false">SUM(AZ220:BC220)</f>
        <v>#VALUE!</v>
      </c>
      <c r="BR220" s="1519" t="e">
        <f aca="false">SUM(BH220:BJ220)</f>
        <v>#VALUE!</v>
      </c>
      <c r="BS220" s="1529" t="e">
        <f aca="false">SUM(BH220:BK220)</f>
        <v>#VALUE!</v>
      </c>
      <c r="BT220" s="1316" t="n">
        <f aca="false">(IF(OVolType&lt;&gt;2,A220+14,IF(OptExpDateShift,ShiftBack(A220,OptExpDateShift,D219),A220))-DateToday)/365.25</f>
        <v>16.9637234770705</v>
      </c>
      <c r="BU220" s="1585" t="e">
        <f aca="false">IF(BQ220,IF(OPriceCurve,IF(OBuySell=OCallPut,I220/(1-AY220),K220/(1-AY220)),J220/(1-AY220))*BD220,0)</f>
        <v>#VALUE!</v>
      </c>
      <c r="BV220" s="1316" t="e">
        <f aca="false">IF(BQ220,IF(OPriceCurve,IF(OBuySell=OCallPut,L220/(1-AY220),N220/(1-AY220)),M220/(1-AY220))*BE220,0)</f>
        <v>#VALUE!</v>
      </c>
      <c r="BW220" s="1316" t="e">
        <f aca="false">IF(BQ220,IF(OPriceCurve,IF(OBuySell=OCallPut,O220/(1-AY220),Q220/(1-AY220)),P220/(1-AY220))*BF220,0)</f>
        <v>#VALUE!</v>
      </c>
      <c r="BX220" s="1316" t="e">
        <f aca="false">IF(BQ220,IF(OPriceCurve,IF(OBuySell=OCallPut,R220/(1-AY220),T220/(1-AY220)),S220/(1-AY220))*BG220,0)</f>
        <v>#VALUE!</v>
      </c>
      <c r="BY220" s="1316" t="e">
        <f aca="false">IF(BP220,(BU220*AZ220+BV220*BA220+BW220*BB220)/BP220,0)</f>
        <v>#VALUE!</v>
      </c>
      <c r="BZ220" s="1316" t="e">
        <f aca="false">IF(BQ220,(BY220*BP220+BX220*BC220)/BQ220,0)</f>
        <v>#VALUE!</v>
      </c>
      <c r="CA220" s="1531" t="e">
        <f aca="false">IF(BS220,IF(OPriceCurve,IF(OBuySell=OCallPut,I220/(1-AY220),K220/(1-AY220)),J220/(1-AY220))*BL220,0)</f>
        <v>#VALUE!</v>
      </c>
      <c r="CB220" s="1316" t="e">
        <f aca="false">IF(BS220,IF(OPriceCurve,IF(OBuySell=OCallPut,L220/(1-AY220),N220/(1-AY220)),M220/(1-AY220))*BM220,0)</f>
        <v>#VALUE!</v>
      </c>
      <c r="CC220" s="1316" t="e">
        <f aca="false">IF(BS220,IF(OPriceCurve,IF(OBuySell=OCallPut,O220/(1-AY220),Q220/(1-AY220)),P220/(1-AY220))*BN220,0)</f>
        <v>#VALUE!</v>
      </c>
      <c r="CD220" s="1316" t="e">
        <f aca="false">IF(BS220,IF(OPriceCurve,IF(OBuySell=OCallPut,R220/(1-AY220),T220/(1-AY220)),S220/(1-AY220))*BO220,0)</f>
        <v>#VALUE!</v>
      </c>
      <c r="CE220" s="1316" t="e">
        <f aca="false">IF(BR220,(BU220*BH220+BV220*BI220+BW220*BJ220)/BR220,0)</f>
        <v>#VALUE!</v>
      </c>
      <c r="CF220" s="1532" t="e">
        <f aca="false">IF(BS220,(CE220*BR220+CD220*BK220)/BS220,0)</f>
        <v>#VALUE!</v>
      </c>
      <c r="CG220" s="1586" t="e">
        <f aca="false">IF(OR(BQ220,BS220),IF(OVolType&lt;&gt;2,SQRT(IF(OVolOverMonthlyPeak,OVolOverMonthlyPeak,IF(OVolCurve,IF(OBuySell,U220,W220),V220))^2*(1-15/365.25/BT220)+IF(OVolOverDailyPeak,OVolOverDailyPeak,IF(OVolCurve,IF(OBuySell,AG220,AI220),AH220))^2*15/365.25/BT220),IF(OVolOverMonthlyPeak,OVolOverMonthlyPeak,IF(OVolCurve,IF(OBuySell,U220,W220),V220))),"")</f>
        <v>#VALUE!</v>
      </c>
      <c r="CH220" s="1587" t="e">
        <f aca="false">IF(OR(BQ220,BS220),IF(OVolType&lt;&gt;2,SQRT(IF(OVolOverMonthlyPeak,OVolOverMonthlyPeak,IF(OVolCurve,IF(OBuySell,X220,Z220),Y220))^2*(1-15/365.25/BT220)+IF(OVolOverDailyPeak,OVolOverDailyPeak,IF(OVolCurve,IF(OBuySell,AJ220,AL220),AK220))^2*15/365.25/BT220),IF(OVolOverMonthlyPeak,OVolOverMonthlyPeak,IF(OVolCurve,IF(OBuySell,X220,Z220),Y220))),"")</f>
        <v>#VALUE!</v>
      </c>
      <c r="CI220" s="1587" t="e">
        <f aca="false">IF(OR(BQ220,BS220),IF(OVolType&lt;&gt;2,SQRT(IF(OVolOverMonthlyPeak,OVolOverMonthlyPeak,IF(OVolCurve,IF(OBuySell,AA220,AC220),AB220))^2*(1-15/365.25/BT220)+IF(OVolOverDailyPeak,OVolOverDailyPeak,IF(OVolCurve,IF(OBuySell,AM220,AO220),AN220))^2*15/365.25/BT220),IF(OVolOverMonthlyPeak,OVolOverMonthlyPeak,IF(OVolCurve,IF(OBuySell,AA220,AC220),AB220))),"")</f>
        <v>#VALUE!</v>
      </c>
      <c r="CJ220" s="1587" t="e">
        <f aca="false">IF(BQ220,IF(BP220,SQRT(LN(1+((BU220*AZ220)^2*(EXP(CG220^2*BT220)-1)+(BV220*BA220)^2*(EXP(CH220^2*BT220)-1)+(BW220*BB220)^2*(EXP(CI220^2*BT220)-1)+2*BU220*AZ220*BV220*BA220*(EXP(CG220*CH220*BT220)-1)+2*BV220*BA220*BW220*BB220*(EXP(CH220*CI220*BT220)-1)+2*BW220*BB220*BU220*AZ220*(EXP(CI220*CG220*BT220)-1))/(BY220*BP220)^2)/BT220),0),"")</f>
        <v>#VALUE!</v>
      </c>
      <c r="CK220" s="1587" t="e">
        <f aca="false">IF(BS220,IF(BR220,SQRT(LN(1+((CA220*BH220)^2*(EXP(CG220^2*BT220)-1)+(CB220*BI220)^2*(EXP(CH220^2*BT220)-1)+(CC220*BJ220)^2*(EXP(CI220^2*BT220)-1)+2*CA220*BH220*CB220*BI220*(EXP(CG220*CH220*BT220)-1)+2*CB220*BI220*CC220*BJ220*(EXP(CH220*CI220*BT220)-1)+2*CC220*BJ220*CA220*BH220*(EXP(CI220*CG220*BT220)-1))/(CE220*BR220)^2)/BT220),0),"")</f>
        <v>#VALUE!</v>
      </c>
      <c r="CL220" s="1587" t="e">
        <f aca="false">IF(OR(BQ220,BS220),IF(OVolType&lt;&gt;2,SQRT(IF(OVolOverMonthlyOffPeak,OVolOverMonthlyOffPeak,IF(OVolCurve,IF(OBuySell,AD220,AF220),AE220))^2*(1-15/365.25/BT220)+IF(OVolOverDailyOffPeak,OVolOverDailyOffPeak,IF(OVolCurve,IF(OBuySell,AP220,AR220),AQ220))^2*15/365.25/BT220),IF(OVolOverMonthlyOffPeak,OVolOverMonthlyOffPeak,IF(OVolCurve,IF(OBuySell,AD220,AF220),AE220))),"")</f>
        <v>#VALUE!</v>
      </c>
      <c r="CM220" s="1587" t="e">
        <f aca="false">IF(BQ220,SQRT(LN(1+((BY220*BP220)^2*(EXP(CJ220^2*BT220)-1)+(BX220*BC220)^2*(EXP(CL220^2*BT220)-1)+2*BY220*BP220*BX220*BC220*(EXP(AS220*CJ220*CL220*BT220)-1))/(BY220*BP220+BX220*BC220)^2)/BT220),"")</f>
        <v>#VALUE!</v>
      </c>
      <c r="CN220" s="1588" t="e">
        <f aca="false">IF(BS220,SQRT(LN(1+((CE220*BR220)^2*(EXP(CK220^2*BT220)-1)+(CD220*BK220)^2*(EXP(CL220^2*BT220)-1)+2*CE220*BR220*CD220*BK220*(EXP(AS220*CK220*CL220*BT220)-1))/(CE220*BR220+CD220*BK220)^2)/BT220),"")</f>
        <v>#VALUE!</v>
      </c>
      <c r="CO220" s="1531" t="e">
        <f aca="false">IF(OR(BQ220,BS220),VLOOKUP(A220,GasTable,13)*HeatRatePeak*(1+VLOOKUP($B220,HeatRateDegradation,$C220+1))/1000,0)</f>
        <v>#VALUE!</v>
      </c>
      <c r="CP220" s="1316" t="e">
        <f aca="false">IF(OR(BQ220,BS220),VLOOKUP(A220,GasTable,13)*HeatRatePeak*(1+VLOOKUP($B220,HeatRateDegradation,$C220+1))/1000,0)</f>
        <v>#VALUE!</v>
      </c>
      <c r="CQ220" s="1316" t="e">
        <f aca="false">IF(OR(BQ220,BS220),VLOOKUP(A220,GasTable,13)*IF(EV220,HeatRatePeak,HeatRateOffPeak)*(1+VLOOKUP($B220,HeatRateDegradation,$C220+1))/1000,0)</f>
        <v>#VALUE!</v>
      </c>
      <c r="CR220" s="1316" t="e">
        <f aca="false">IF(OR(BQ220,BS220),VLOOKUP(A220,GasTable,13)*IF(EW220,HeatRatePeak,HeatRateOffPeak)*(1+VLOOKUP($B220,HeatRateDegradation,$C220+1))/1000,0)</f>
        <v>#VALUE!</v>
      </c>
      <c r="CS220" s="1589" t="e">
        <f aca="false">IF(BQ220,(CO220*AZ220+CP220*BA220+CQ220*BB220+CR220*BC220)/BQ220,0)</f>
        <v>#VALUE!</v>
      </c>
      <c r="CT220" s="1316" t="e">
        <f aca="false">IF(BS220,CO220,0)</f>
        <v>#VALUE!</v>
      </c>
      <c r="CU220" s="1590" t="e">
        <f aca="false">IF(OR(BQ220,BS220),VLOOKUP(A220,GasTable,14),"")</f>
        <v>#VALUE!</v>
      </c>
      <c r="CV220" s="1568" t="e">
        <f aca="false">IF(OR(BQ220,BS220),IF(CorrPowerGasOverFlag,INDEX(CorrPowerGasOver,C220),CorrPowerGas),"")</f>
        <v>#VALUE!</v>
      </c>
      <c r="CW220" s="1316" t="e">
        <f aca="false">IF(OR($BQ220,$BS220),SpreadOptPowerMargin,0)*((1+Assumptions!$C$26)^($B220-YEAR(Assumptions!$C$17)))</f>
        <v>#VALUE!</v>
      </c>
      <c r="CX220" s="1316" t="e">
        <f aca="false">IF(OR($BQ220,$BS220),SpreadOptPowerMargin,0)*((1+Assumptions!$C$26)^($B220-YEAR(Assumptions!$C$17)))</f>
        <v>#VALUE!</v>
      </c>
      <c r="CY220" s="1316" t="e">
        <f aca="false">IF(OR($BQ220,$BS220),SpreadOptPowerMargin,0)*((1+Assumptions!$C$26)^($B220-YEAR(Assumptions!$C$17)))</f>
        <v>#VALUE!</v>
      </c>
      <c r="CZ220" s="1316" t="e">
        <f aca="false">IF(OR($BQ220,$BS220),SpreadOptPowerMargin,0)*((1+Assumptions!$C$26)^($B220-YEAR(Assumptions!$C$17)))</f>
        <v>#VALUE!</v>
      </c>
      <c r="DA220" s="1591" t="e">
        <f aca="false">IF(OR(BQ220,BS220),(CW220*(AZ220+BH220)+CX220*(BA220+BI220)+CY220*(BB220+BJ220)+CZ220*(BC220+BK220))/(BQ220+BS220),0)</f>
        <v>#VALUE!</v>
      </c>
      <c r="DB220" s="1592" t="e">
        <f aca="false">IF(OR(BQ220,BS220),CG220+IF(OVolSmile,VLOOKUP(MAX(-5,CO220+CW220-BU220),IF(OVolSmile=1,VolSmileBook,VolSmileModel),2),0),"")</f>
        <v>#VALUE!</v>
      </c>
      <c r="DC220" s="1592" t="e">
        <f aca="false">IF(OR(BQ220,BS220),CH220+IF(OVolSmile,VLOOKUP(MAX(-5,CP220+CW220-BV220),IF(OVolSmile=1,VolSmileBook,VolSmileModel),2),0),"")</f>
        <v>#VALUE!</v>
      </c>
      <c r="DD220" s="1592" t="e">
        <f aca="false">IF(OR(BQ220,BS220),CI220+IF(OVolSmile,VLOOKUP(MAX(-5,CQ220+CW220-BW220),IF(OVolSmile=1,VolSmileBook,VolSmileModel),2),0),"")</f>
        <v>#VALUE!</v>
      </c>
      <c r="DE220" s="1592" t="e">
        <f aca="false">IF(OR(BQ220,BS220),CL220+IF(OVolSmile,VLOOKUP(MAX(-5,CR220+CZ220-BX220),IF(OVolSmile=1,VolSmileBook,VolSmileModel),2),0),"")</f>
        <v>#VALUE!</v>
      </c>
      <c r="DF220" s="1592" t="e">
        <f aca="false">IF(BQ220,CM220+IF(OVolSmile,VLOOKUP(MAX(-5,CS220+DA220-BZ220),IF(OVolSmile=1,VolSmileBook,VolSmileModel),2),0),"")</f>
        <v>#VALUE!</v>
      </c>
      <c r="DG220" s="1593" t="e">
        <f aca="false">IF(BS220,CN220+IF(OVolSmile,VLOOKUP(MAX(-5,CT220+DA220-CF220),IF(OVolSmile=1,VolSmileBook,VolSmileModel),2),0),"")</f>
        <v>#VALUE!</v>
      </c>
      <c r="DH220" s="1316" t="e">
        <f aca="false">IF(AND(BU220&gt;0,CO220&gt;0,DB220&gt;0,CU220&gt;0),newSPRDOPT(BU220,CO220,CW220,0,DB220,CU220,CV220,BT220*365.25,OCallPut,0),0)</f>
        <v>#VALUE!</v>
      </c>
      <c r="DI220" s="1316" t="e">
        <f aca="false">IF(AND(BV220&gt;0,CP220&gt;0,DC220&gt;0,CU220&gt;0),newSPRDOPT(BV220,CP220,CX220,0,DC220,CU220,CV220,BT220*365.25,OCallPut,0),0)</f>
        <v>#VALUE!</v>
      </c>
      <c r="DJ220" s="1316" t="e">
        <f aca="false">IF(AND(BW220&gt;0,CQ220&gt;0,DD220&gt;0,CU220&gt;0),newSPRDOPT(BW220,CQ220,CY220,0,DD220,CU220,CV220,BT220*365.25,OCallPut,0),0)</f>
        <v>#VALUE!</v>
      </c>
      <c r="DK220" s="1316" t="e">
        <f aca="false">IF(AND(BX220&gt;0,CR220&gt;0,DE220&gt;0,CU220&gt;0),newSPRDOPT(BX220,CR220,CZ220,0,DE220,CU220,CV220,BT220*365.25,OCallPut,0),0)</f>
        <v>#VALUE!</v>
      </c>
      <c r="DL220" s="1316" t="e">
        <f aca="false">IF(OVolType,IF(AND(BZ220&gt;0,CS220&gt;0,DF220&gt;0,CU220&gt;0),newSPRDOPT(BZ220,CS220,DA220,0,DF220,CU220,CV220,BT220*365.25,OCallPut,0),0),IF(BQ220,(DH220*AZ220+DI220*BA220+DJ220*BB220+DK220*BC220)/BQ220,0))</f>
        <v>#VALUE!</v>
      </c>
      <c r="DM220" s="1316"/>
      <c r="DN220" s="1316"/>
      <c r="DO220" s="1316"/>
      <c r="DP220" s="1316"/>
      <c r="DQ220" s="1316"/>
      <c r="DR220" s="1316"/>
      <c r="DS220" s="1316"/>
      <c r="DT220" s="1316"/>
      <c r="DU220" s="1316"/>
      <c r="DV220" s="1316"/>
      <c r="DW220" s="1594" t="e">
        <f aca="false">IF(AND(BW220&gt;0,CT220&gt;0,DD220&gt;0,CU220&gt;0),newSPRDOPT(BW220,CT220,CY220,0,DD220,CU220,CV220,BT220*365.25,OCallPut,0),0)</f>
        <v>#VALUE!</v>
      </c>
      <c r="DX220" s="1316" t="e">
        <f aca="false">IF(AND(BX220&gt;0,CT220&gt;0,DE220&gt;0,CU220&gt;0),newSPRDOPT(BX220,CT220,CZ220,0,DE220,CU220,CV220,BT220*365.25,OCallPut,0),0)</f>
        <v>#VALUE!</v>
      </c>
      <c r="DY220" s="1591" t="e">
        <f aca="false">IF(BS220,(DH220*BH220+DI220*BI220+DW220*BJ220+DX220*BK220)/BS220,0)</f>
        <v>#VALUE!</v>
      </c>
      <c r="DZ220" s="1551" t="e">
        <f aca="false">DH220*AZ220</f>
        <v>#VALUE!</v>
      </c>
      <c r="EA220" s="1551" t="e">
        <f aca="false">DI220*BA220</f>
        <v>#VALUE!</v>
      </c>
      <c r="EB220" s="1551" t="e">
        <f aca="false">DJ220*BB220</f>
        <v>#VALUE!</v>
      </c>
      <c r="EC220" s="1551" t="e">
        <f aca="false">DK220*BC220</f>
        <v>#VALUE!</v>
      </c>
      <c r="ED220" s="1551" t="e">
        <f aca="false">DL220*BQ220</f>
        <v>#VALUE!</v>
      </c>
      <c r="EE220" s="1595" t="e">
        <f aca="false">IF(BQ220,IF(OCallPut,IF(BU220&gt;(CO220+CW220),BU220-(CO220+CW220),0),IF((CO220+CW220)&gt;BU220,(CO220+CW220)-BU220,0))*AZ220,0)</f>
        <v>#VALUE!</v>
      </c>
      <c r="EF220" s="1596" t="e">
        <f aca="false">IF(BQ220,IF(OCallPut,IF(BV220&gt;(CP220+CX220),BV220-(CP220+CX220),0),IF((CP220+CX220)&gt;BV220,(CP220+CX220)-BV220,0))*BA220,0)</f>
        <v>#VALUE!</v>
      </c>
      <c r="EG220" s="1596" t="e">
        <f aca="false">IF(BQ220,IF(OCallPut,IF(BW220&gt;(CQ220+CY220),BW220-(CQ220+CY220),0),IF((CQ220+CY220)&gt;BW220,(CQ220+CY220)-BW220,0))*BB220,0)</f>
        <v>#VALUE!</v>
      </c>
      <c r="EH220" s="1596" t="e">
        <f aca="false">IF(BQ220,IF(OCallPut,IF(BX220&gt;(CR220+CZ220),BX220-(CR220+CZ220),0),IF((CR220+CZ220)&gt;BX220,(CR220+CZ220)-BX220,0))*BC220,0)</f>
        <v>#VALUE!</v>
      </c>
      <c r="EI220" s="1597" t="e">
        <f aca="false">IF(BQ220,IF(OVolType,IF(OCallPut,IF(BZ220&gt;(CS220+DA220),BZ220-(CS220+DA220),0),IF((CS220+DA220)&gt;BZ220,(CS220+DA220)-BZ220,0))*BQ220,SUM(EE220:EH220)),0)</f>
        <v>#VALUE!</v>
      </c>
      <c r="EJ220" s="1595" t="e">
        <f aca="false">DZ220-EE220</f>
        <v>#VALUE!</v>
      </c>
      <c r="EK220" s="1596" t="e">
        <f aca="false">EA220-EF220</f>
        <v>#VALUE!</v>
      </c>
      <c r="EL220" s="1596" t="e">
        <f aca="false">EB220-EG220</f>
        <v>#VALUE!</v>
      </c>
      <c r="EM220" s="1596" t="e">
        <f aca="false">EC220-EH220</f>
        <v>#VALUE!</v>
      </c>
      <c r="EN220" s="1597" t="e">
        <f aca="false">ED220-EI220</f>
        <v>#VALUE!</v>
      </c>
      <c r="EO220" s="1551" t="e">
        <f aca="false">DH220*BH220</f>
        <v>#VALUE!</v>
      </c>
      <c r="EP220" s="1551" t="e">
        <f aca="false">DI220*BI220</f>
        <v>#VALUE!</v>
      </c>
      <c r="EQ220" s="1551" t="e">
        <f aca="false">DW220*BJ220</f>
        <v>#VALUE!</v>
      </c>
      <c r="ER220" s="1551" t="e">
        <f aca="false">DX220*BK220</f>
        <v>#VALUE!</v>
      </c>
      <c r="ES220" s="1551" t="e">
        <f aca="false">DY220*BS220</f>
        <v>#VALUE!</v>
      </c>
      <c r="ET220" s="1566" t="e">
        <f aca="false">IF(EI220,IF(OCallPut,IF(CA220&gt;(CT220+CW220),CA220-(CT220+CW220),0),IF((CT220+CW220)&gt;CA220,(CT220+CW220)-CA220,0))*BH220,0)</f>
        <v>#VALUE!</v>
      </c>
      <c r="EU220" s="1551" t="e">
        <f aca="false">IF(EI220,IF(OCallPut,IF(CB220&gt;(CT220+CX220),CB220-(CT220+CX220),0),IF((CT220+CX220)&gt;CB220,(CT220+CX220)-CB220,0))*BI220,0)</f>
        <v>#VALUE!</v>
      </c>
      <c r="EV220" s="1551" t="e">
        <f aca="false">IF(EI220,IF(OCallPut,IF(CC220&gt;(CT220+CY220),CC220-(CT220+CY220),0),IF((CT220+CY220)&gt;CC220,(CT220+CY220)-CC220,0))*BJ220,0)</f>
        <v>#VALUE!</v>
      </c>
      <c r="EW220" s="1551" t="e">
        <f aca="false">IF(EI220,IF(OCallPut,IF(CD220&gt;(CT220+CZ220),CD220-(CT220+CZ220),0),IF((CT220+CZ220)&gt;CD220,(CT220+CZ220)-CD220,0))*BK220,0)</f>
        <v>#VALUE!</v>
      </c>
      <c r="EX220" s="1558" t="e">
        <f aca="false">IF(EI220,SUM(ET220:EW220),0)</f>
        <v>#VALUE!</v>
      </c>
      <c r="EY220" s="1551" t="e">
        <f aca="false">EO220-ET220</f>
        <v>#VALUE!</v>
      </c>
      <c r="EZ220" s="1551" t="e">
        <f aca="false">EP220-EU220</f>
        <v>#VALUE!</v>
      </c>
      <c r="FA220" s="1551" t="e">
        <f aca="false">EQ220-EV220</f>
        <v>#VALUE!</v>
      </c>
      <c r="FB220" s="1551" t="e">
        <f aca="false">ER220-EW220</f>
        <v>#VALUE!</v>
      </c>
      <c r="FC220" s="1551" t="e">
        <f aca="false">ES220-EX220</f>
        <v>#VALUE!</v>
      </c>
      <c r="FD220" s="1525" t="n">
        <f aca="false">IF(AX220,IF(VLOOKUP(C220,MAIN!$L$17:$M$28,2)="Yes",VLOOKUP(CALC!B220,MAIN!$H$17:$I$20,2),0),0)</f>
        <v>0</v>
      </c>
      <c r="FE220" s="1552" t="e">
        <f aca="false">$FD220*16*AT220*(1-$AY220)</f>
        <v>#VALUE!</v>
      </c>
      <c r="FF220" s="1553" t="e">
        <f aca="false">$FD220*16*AU220*(1-$AY220)</f>
        <v>#VALUE!</v>
      </c>
      <c r="FG220" s="1553" t="e">
        <f aca="false">$FD220*16*(AV220+AW220)*(1-$AY220)</f>
        <v>#VALUE!</v>
      </c>
      <c r="FH220" s="1554" t="n">
        <f aca="false">$FD220*8*AX220*(1-$AY220)</f>
        <v>0</v>
      </c>
      <c r="FI220" s="1555" t="n">
        <f aca="false">IF(AX220,VLOOKUP(CALC!B220,MAIN!$H$17:$K$20,4),0)</f>
        <v>0</v>
      </c>
      <c r="FJ220" s="1553" t="e">
        <f aca="false">SUM(FE220:FH220)</f>
        <v>#VALUE!</v>
      </c>
      <c r="FK220" s="1556" t="e">
        <f aca="false">FI220*FJ220</f>
        <v>#VALUE!</v>
      </c>
      <c r="FL220" s="1551" t="e">
        <f aca="false">IF($EI220&gt;0,MIN(FE220,AZ220*(1+VLOOKUP($C220,WeatherCapacityAdjustment,2))),0)</f>
        <v>#VALUE!</v>
      </c>
      <c r="FM220" s="1551" t="e">
        <f aca="false">IF($EI220&gt;0,MIN(FF220,BA220*(1+VLOOKUP($C220,WeatherCapacityAdjustment,2))),0)</f>
        <v>#VALUE!</v>
      </c>
      <c r="FN220" s="1551" t="e">
        <f aca="false">IF($EI220&gt;0,MIN(FG220,BB220*(1+VLOOKUP($C220,WeatherCapacityAdjustment,2))),0)</f>
        <v>#VALUE!</v>
      </c>
      <c r="FO220" s="1564" t="e">
        <f aca="false">IF($EI220&gt;0,MIN(FH220,BC220*(1+VLOOKUP($C220,WeatherCapacityAdjustment,3))),0)</f>
        <v>#VALUE!</v>
      </c>
      <c r="FP220" s="1551" t="e">
        <f aca="false">IF(ET220&gt;0,MIN(FE220-FL220,BH220*(1+VLOOKUP($C220,WeatherCapacityAdjustment,2))),0)</f>
        <v>#VALUE!</v>
      </c>
      <c r="FQ220" s="1551" t="e">
        <f aca="false">IF(EU220&gt;0,MIN(FF220-FM220,BI220*(1+VLOOKUP($C220,WeatherCapacityAdjustment,2))),0)</f>
        <v>#VALUE!</v>
      </c>
      <c r="FR220" s="1551" t="e">
        <f aca="false">IF(EV220&gt;0,MIN(FG220-FN220,BJ220*(1+VLOOKUP($C220,WeatherCapacityAdjustment,2))),0)</f>
        <v>#VALUE!</v>
      </c>
      <c r="FS220" s="1558" t="e">
        <f aca="false">IF(EW220&gt;0,MIN(FH220-FO220,BK220*(1+VLOOKUP($C220,WeatherCapacityAdjustment,3))),0)</f>
        <v>#VALUE!</v>
      </c>
      <c r="FT220" s="1566" t="e">
        <f aca="false">IF(AND(Assumptions!$H$71="Yes",A220&gt;=Assumptions!$H$72,A220&lt;=Assumptions!$H$73),0,IF(AND($A220&gt;=Assumptions!$C$17,$A220&lt;=Assumptions!$C$18),MAX(AZ220*(1+VLOOKUP($C220,WeatherCapacityAdjustment,2))-FL220,0),0))</f>
        <v>#VALUE!</v>
      </c>
      <c r="FU220" s="1551" t="e">
        <f aca="false">IF(AND(Assumptions!$H$71="Yes",A220&gt;=Assumptions!$H$72,A220&lt;=Assumptions!$H$73),0,IF(AND($A220&gt;=Assumptions!$C$17,$A220&lt;=Assumptions!$C$18),MAX(BA220*(1+VLOOKUP($C220,WeatherCapacityAdjustment,2))-FM220,0),0))</f>
        <v>#VALUE!</v>
      </c>
      <c r="FV220" s="1551" t="e">
        <f aca="false">IF(AND(Assumptions!$H$71="Yes",A220&gt;=Assumptions!$H$72,A220&lt;=Assumptions!$H$73),0,IF(AND($A220&gt;=Assumptions!$C$17,$A220&lt;=Assumptions!$C$18),MAX(BB220*(1+VLOOKUP($C220,WeatherCapacityAdjustment,2))-FN220,0),0))</f>
        <v>#VALUE!</v>
      </c>
      <c r="FW220" s="1564" t="e">
        <f aca="false">IF(AND(Assumptions!$H$71="Yes",A220&gt;=Assumptions!$H$72,A220&lt;=Assumptions!$H$73),0,IF(AND($A220&gt;=Assumptions!$C$17,$A220&lt;=Assumptions!$C$18),MAX(BC220*(1+VLOOKUP($C220,WeatherCapacityAdjustment,3))-FO220,0),0))</f>
        <v>#VALUE!</v>
      </c>
      <c r="FX220" s="1569" t="e">
        <f aca="false">IF(AND(Assumptions!$H$71="Yes",A220&gt;=Assumptions!$H$72,A220&lt;=Assumptions!$H$73),0,IF(ET220&gt;0,MAX(BH220*(1+VLOOKUP($C220,WeatherCapacityAdjustment,2))-FP220,0),0))</f>
        <v>#VALUE!</v>
      </c>
      <c r="FY220" s="1551" t="e">
        <f aca="false">IF(AND(Assumptions!$H$71="Yes",A220&gt;=Assumptions!$H$72,A220&lt;=Assumptions!$H$73),0,IF(EU220&gt;0,MAX(BI220*(1+VLOOKUP($C220,WeatherCapacityAdjustment,3))-FQ220,0),0))</f>
        <v>#VALUE!</v>
      </c>
      <c r="FZ220" s="1551" t="e">
        <f aca="false">IF(AND(Assumptions!$H$71="Yes",A220&gt;=Assumptions!$H$72,A220&lt;=Assumptions!$H$73),0,IF(EV220&gt;0,MAX(BJ220*(1+VLOOKUP($C220,WeatherCapacityAdjustment,2))-FR220,0),0))</f>
        <v>#VALUE!</v>
      </c>
      <c r="GA220" s="1564" t="e">
        <f aca="false">IF(AND(Assumptions!$H$71="Yes",A220&gt;=Assumptions!$H$72,A220&lt;=Assumptions!$H$73),0,IF(EW220&gt;0,MAX(BK220*(1+VLOOKUP($C220,WeatherCapacityAdjustment,2))-FS220,0),0))</f>
        <v>#VALUE!</v>
      </c>
      <c r="GB220" s="1551" t="e">
        <f aca="false">SUM(FT220:GA220)</f>
        <v>#VALUE!</v>
      </c>
      <c r="GC220" s="1563" t="e">
        <f aca="false">+IF(SUM(FT220:GA220)=0,0,(SUMPRODUCT(BU220:BX220,FT220:FW220)+SUMPRODUCT(CA220:CD220,FX220:GA220))/SUM(FT220:GA220))</f>
        <v>#VALUE!</v>
      </c>
      <c r="GD220" s="1551" t="e">
        <f aca="false">(FT220*BU220+FX220*CA220+FU220*BV220+FY220*CB220+FV220*BW220+FZ220*CC220+FW220*BX220+GA220*CD220)</f>
        <v>#VALUE!</v>
      </c>
      <c r="GE220" s="1561" t="e">
        <f aca="false">+IF(BQ220,((FL220+FM220+FT220+FU220)*HeatRatePeak/1000*(1+VLOOKUP($C220,WeatherHeatRateAdjustment,2))+(FN220+FV220)*IF(EV220&gt;0,HeatRatePeak,HeatRateOffPeak)/1000*(1+VLOOKUP($C220,WeatherHeatRateAdjustment,2))+(FO220+FW220)*IF(EW220&gt;0,HeatRatePeak,HeatRateOffPeak)/1000*(1+VLOOKUP($C220,WeatherHeatRateAdjustment,3)))*(1+VLOOKUP($B220,HeatRateDegradation,$C220+1)),0)</f>
        <v>#VALUE!</v>
      </c>
      <c r="GF220" s="1562" t="e">
        <f aca="false">IF(BQ220,((FP220+FQ220+FR220+FX220+FY220+FZ220)*HeatRatePeak/1000*(1+VLOOKUP($C220,WeatherHeatRateAdjustment,2))+(FS220+GA220)*HeatRatePeak/1000*(1+VLOOKUP($C220,WeatherHeatRateAdjustment,3)))*(1+VLOOKUP($B220,HeatRateDegradation,$C220+1)),0)</f>
        <v>#VALUE!</v>
      </c>
      <c r="GG220" s="1563" t="e">
        <f aca="false">IF(BQ220,VLOOKUP(A220,GasTable,13),0)</f>
        <v>#VALUE!</v>
      </c>
      <c r="GH220" s="1564" t="e">
        <f aca="false">(GE220+GF220)*GG220</f>
        <v>#VALUE!</v>
      </c>
      <c r="GI220" s="1569" t="e">
        <f aca="false">GB220</f>
        <v>#VALUE!</v>
      </c>
      <c r="GJ220" s="1598" t="e">
        <f aca="false">+DA220</f>
        <v>#VALUE!</v>
      </c>
      <c r="GK220" s="1558" t="e">
        <f aca="false">+GI220*GJ220</f>
        <v>#VALUE!</v>
      </c>
      <c r="GL220" s="1566" t="e">
        <f aca="false">MAX(FE220-FL220-FP220,0)</f>
        <v>#VALUE!</v>
      </c>
      <c r="GM220" s="1551" t="e">
        <f aca="false">MAX(FF220-FM220-FQ220,0)</f>
        <v>#VALUE!</v>
      </c>
      <c r="GN220" s="1551" t="e">
        <f aca="false">MAX(FG220-FN220-FR220,0)</f>
        <v>#VALUE!</v>
      </c>
      <c r="GO220" s="1564" t="e">
        <f aca="false">MAX(FH220-FO220-FS220,0)</f>
        <v>#VALUE!</v>
      </c>
      <c r="GP220" s="1551" t="e">
        <f aca="false">SUM(GL220:GO220)</f>
        <v>#VALUE!</v>
      </c>
      <c r="GQ220" s="1563" t="e">
        <f aca="false">IF(SUM(GL220:GO220)=0,0,((GL220*BU220+GM220*BV220+GN220*BW220+GO220*BX220)/SUM(GL220:GO220)))</f>
        <v>#VALUE!</v>
      </c>
      <c r="GR220" s="1558" t="e">
        <f aca="false">(GL220*BU220+GM220*BV220+GN220*BW220+GO220*BX220)</f>
        <v>#VALUE!</v>
      </c>
      <c r="GS220" s="1566" t="n">
        <f aca="false">IF($A220&gt;=BegDate,Assumptions!$C$56*24*($A221-$A220)*(1-VLOOKUP($B220,MAIN!$AA$7:$AM$28,$C220+1))*(1-VLOOKUP($B220,MAIN!$AA$33:$AM$54,$C220+1)),0)*80/168</f>
        <v>224485.714285714</v>
      </c>
      <c r="GT220" s="286" t="n">
        <f aca="false">J220</f>
        <v>41.0640399558047</v>
      </c>
      <c r="GU220" s="286" t="n">
        <f aca="false">IF($A220&gt;=BegDate,VLOOKUP($A220,GasTable,13)+Assumptions!$C$58,0)</f>
        <v>3.29070680873937</v>
      </c>
      <c r="GV220" s="286" t="n">
        <f aca="false">GU220*Assumptions!$C$57/1000</f>
        <v>23.8576243633604</v>
      </c>
      <c r="GW220" s="1558" t="n">
        <f aca="false">IF(Assumptions!$C$60="Hourly",MAX(0,GS220*(GT220-GV220)),GS220*(GT220-GV220))</f>
        <v>3862594.49456671</v>
      </c>
      <c r="GX220" s="1566" t="n">
        <f aca="false">IF($A220&gt;=BegDate,Assumptions!$C$56*24*($A221-$A220)*(1-VLOOKUP($B220,MAIN!$AA$7:$AM$28,$C220+1))*(1-VLOOKUP($B220,MAIN!$AA$33:$AM$54,$C220+1)),0)*16/168</f>
        <v>44897.1428571429</v>
      </c>
      <c r="GY220" s="286" t="n">
        <f aca="false">M220</f>
        <v>41.0640399558047</v>
      </c>
      <c r="GZ220" s="286" t="n">
        <f aca="false">IF($A220&gt;=BegDate,VLOOKUP($A220,GasTable,13)+Assumptions!$C$58,0)</f>
        <v>3.29070680873937</v>
      </c>
      <c r="HA220" s="286" t="n">
        <f aca="false">GZ220*Assumptions!$C$57/1000</f>
        <v>23.8576243633604</v>
      </c>
      <c r="HB220" s="1558" t="n">
        <f aca="false">IF(Assumptions!$C$60="Hourly",MAX(0,GX220*(GY220-HA220)),GX220*(GY220-HA220))</f>
        <v>772518.898913342</v>
      </c>
      <c r="HC220" s="1566" t="n">
        <f aca="false">IF($A220&gt;=BegDate,Assumptions!$C$56*24*($A221-$A220)*(1-VLOOKUP($B220,MAIN!$AA$7:$AM$28,$C220+1))*(1-VLOOKUP($B220,MAIN!$AA$33:$AM$54,$C220+1)),0)*16/168</f>
        <v>44897.1428571429</v>
      </c>
      <c r="HD220" s="286" t="n">
        <f aca="false">P220</f>
        <v>28.1382713910975</v>
      </c>
      <c r="HE220" s="286" t="n">
        <f aca="false">IF($A220&gt;=BegDate,VLOOKUP($A220,GasTable,13)+Assumptions!$C$58,0)</f>
        <v>3.29070680873937</v>
      </c>
      <c r="HF220" s="286" t="n">
        <f aca="false">HE220*Assumptions!$C$57/1000</f>
        <v>23.8576243633604</v>
      </c>
      <c r="HG220" s="1558" t="n">
        <f aca="false">IF(Assumptions!$C$60="Hourly",MAX(0,HC220*(HD220-HF220)),HC220*(HD220-HF220))</f>
        <v>192188.821125317</v>
      </c>
      <c r="HH220" s="1566" t="n">
        <f aca="false">IF($A220&gt;=BegDate,Assumptions!$C$56*24*($A221-$A220)*(1-VLOOKUP($B220,MAIN!$AA$7:$AM$28,$C220+1))*(1-VLOOKUP($B220,MAIN!$AA$33:$AM$54,$C220+1)),0)*56/168</f>
        <v>157140</v>
      </c>
      <c r="HI220" s="286" t="n">
        <f aca="false">S220</f>
        <v>28.1382713910975</v>
      </c>
      <c r="HJ220" s="286" t="n">
        <f aca="false">IF($A220&gt;=BegDate,VLOOKUP($A220,GasTable,13)+Assumptions!$C$58,0)</f>
        <v>3.29070680873937</v>
      </c>
      <c r="HK220" s="286" t="n">
        <f aca="false">HJ220*Assumptions!$C$57/1000</f>
        <v>23.8576243633604</v>
      </c>
      <c r="HL220" s="1558" t="n">
        <f aca="false">IF(Assumptions!$C$60="Hourly",MAX(0,HH220*(HI220-HK220)),HH220*(HI220-HK220))</f>
        <v>672660.87393861</v>
      </c>
      <c r="HM220" s="1566" t="n">
        <f aca="false">IF(AND(Assumptions!$H$71="Yes",A220&gt;=Assumptions!$H$72,A220&lt;=Assumptions!$H$73),Assumptions!$H$74*Assumptions!$C$9*1000,0)</f>
        <v>0</v>
      </c>
      <c r="HN220" s="1551"/>
      <c r="HO220" s="1563"/>
      <c r="HP220" s="1563"/>
      <c r="HQ220" s="1563"/>
      <c r="HR220" s="1563"/>
      <c r="HS220" s="1563"/>
      <c r="HT220" s="1563"/>
      <c r="HU220" s="1563"/>
      <c r="HV220" s="1563"/>
      <c r="HW220" s="1563"/>
      <c r="HX220" s="1563"/>
      <c r="HY220" s="1563"/>
      <c r="HZ220" s="1563"/>
      <c r="IA220" s="1563"/>
      <c r="IB220" s="1563"/>
      <c r="IC220" s="1563"/>
      <c r="ID220" s="1563"/>
      <c r="IE220" s="1563"/>
      <c r="IF220" s="1563"/>
      <c r="IG220" s="1563"/>
      <c r="IH220" s="1563"/>
      <c r="II220" s="1610"/>
      <c r="IJ220" s="1309"/>
      <c r="IK220" s="1309"/>
    </row>
    <row r="221" customFormat="false" ht="12.75" hidden="false" customHeight="false" outlineLevel="0" collapsed="false">
      <c r="A221" s="1571" t="n">
        <f aca="false">EOMONTH(A220,0)+1</f>
        <v>42856</v>
      </c>
      <c r="B221" s="594" t="n">
        <f aca="false">+YEAR(A221)</f>
        <v>2017</v>
      </c>
      <c r="C221" s="238" t="n">
        <f aca="false">MONTH(A221)</f>
        <v>5</v>
      </c>
      <c r="D221" s="1572" t="e">
        <f aca="false">IF(E221="","",Holiday(B221,C221))</f>
        <v>#VALUE!</v>
      </c>
      <c r="E221" s="1573" t="n">
        <f aca="false">IF(OR(BegDate&gt;=A222,EndDate&lt;A221,AND(VolumeMonthlyOverFlag,INDEX(VolumeMonthlyOver,C221)=0),NOT(INDEX(MonthKnockOutTable,C221))),"",MAX(A221,BegDate))</f>
        <v>42856</v>
      </c>
      <c r="F221" s="1574" t="n">
        <f aca="false">IF(E221="","",MIN(A222-1,EndDate))</f>
        <v>42886</v>
      </c>
      <c r="G221" s="1575" t="n">
        <v>0</v>
      </c>
      <c r="H221" s="1576" t="n">
        <f aca="false">(1+G221/2)^(-2*(DATE(B222,C222,20)-DateToday)/365.25)</f>
        <v>1</v>
      </c>
      <c r="I221" s="1568" t="n">
        <f aca="false">IF(Assumptions!$L$25=4,VLOOKUP($A221,'Henwood Reference'!$E$9:$R$320,10),(VLOOKUP($A221,PriceTable,2,0)+IF(BasisNumber&lt;&gt;1,VLOOKUP($A221,BasisTable,2,0),0)+I$1)/(1-I$2))</f>
        <v>45.5983017194336</v>
      </c>
      <c r="J221" s="1568" t="n">
        <f aca="false">IF(Assumptions!$L$25=4,VLOOKUP($A221,'Henwood Reference'!$E$9:$R$320,10),(VLOOKUP($A221,PriceTable,3,0)+IF(BasisNumber&lt;&gt;1,VLOOKUP($A221,BasisTable,2,0),0)+J$1)/(1-J$2))</f>
        <v>45.5983017194336</v>
      </c>
      <c r="K221" s="1568" t="n">
        <f aca="false">IF(Assumptions!$L$25=4,VLOOKUP($A221,'Henwood Reference'!$E$9:$R$320,10),(VLOOKUP($A221,PriceTable,4,0)+IF(BasisNumber&lt;&gt;1,VLOOKUP($A221,BasisTable,2,0),0)+K$1)/(1-K$2))</f>
        <v>45.5983017194336</v>
      </c>
      <c r="L221" s="1523" t="n">
        <f aca="false">IF(Assumptions!$L$25=4,VLOOKUP($A221,'Henwood Reference'!$E$9:$R$320,10),(VLOOKUP($A221,PriceTableWeekend,2,0)+IF(BasisNumber&lt;&gt;1,VLOOKUP($A221,BasisTable,2,0),0)+L$1)/(1-L$2))</f>
        <v>45.5983017194336</v>
      </c>
      <c r="M221" s="1568" t="n">
        <f aca="false">IF(Assumptions!$L$25=4,VLOOKUP($A221,'Henwood Reference'!$E$9:$R$320,10),(VLOOKUP($A221,PriceTableWeekend,3,0)+IF(BasisNumber&lt;&gt;1,VLOOKUP($A221,BasisTable,2,0),0)+M$1)/(1-M$2))</f>
        <v>45.5983017194336</v>
      </c>
      <c r="N221" s="1599" t="n">
        <f aca="false">IF(Assumptions!$L$25=4,VLOOKUP($A221,'Henwood Reference'!$E$9:$R$320,10),(VLOOKUP($A221,PriceTableWeekend,4,0)+IF(BasisNumber&lt;&gt;1,VLOOKUP($A221,BasisTable,2,0),0)+N$1)/(1-N$2))</f>
        <v>45.5983017194336</v>
      </c>
      <c r="O221" s="1568" t="n">
        <f aca="false">IF(Assumptions!$L$25=4,VLOOKUP($A221,'Henwood Reference'!$E$9:$R$320,11),(VLOOKUP($A221,PriceTableWeekend,6,0)+IF(BasisNumber&lt;&gt;1,VLOOKUP($A221,BasisTable,3,0),0)+O$1)/(1-O$2))</f>
        <v>27.8585031555429</v>
      </c>
      <c r="P221" s="1568" t="n">
        <f aca="false">IF(Assumptions!$L$25=4,VLOOKUP($A221,'Henwood Reference'!$E$9:$R$320,11),(VLOOKUP($A221,PriceTableWeekend,7,0)+IF(BasisNumber&lt;&gt;1,VLOOKUP($A221,BasisTable,3,0),0)+P$1)/(1-P$2))</f>
        <v>27.8585031555429</v>
      </c>
      <c r="Q221" s="1599" t="n">
        <f aca="false">IF(Assumptions!$L$25=4,VLOOKUP($A221,'Henwood Reference'!$E$9:$R$320,11),(VLOOKUP($A221,PriceTableWeekend,8,0)+IF(BasisNumber&lt;&gt;1,VLOOKUP($A221,BasisTable,3,0),0)+Q$1)/(1-Q$2))</f>
        <v>27.8585031555429</v>
      </c>
      <c r="R221" s="1568" t="n">
        <f aca="false">IF(Assumptions!$L$25=4,VLOOKUP($A221,'Henwood Reference'!$E$9:$R$320,11),(VLOOKUP($A221,PriceTable,6,0)+IF(BasisNumber&lt;&gt;1,VLOOKUP($A221,BasisTable,3,0),0)+R$1)/(1-R$2))</f>
        <v>27.8585031555429</v>
      </c>
      <c r="S221" s="1568" t="n">
        <f aca="false">IF(Assumptions!$L$25=4,VLOOKUP($A221,'Henwood Reference'!$E$9:$R$320,11),(VLOOKUP($A221,PriceTable,7,0)+IF(BasisNumber&lt;&gt;1,VLOOKUP($A221,BasisTable,3,0),0)+S$1)/(1-S$2))</f>
        <v>27.8585031555429</v>
      </c>
      <c r="T221" s="1600" t="n">
        <f aca="false">IF(Assumptions!$L$25=4,VLOOKUP($A221,'Henwood Reference'!$E$9:$R$320,11),(VLOOKUP($A221,PriceTable,8,0)+IF(BasisNumber&lt;&gt;1,VLOOKUP($A221,BasisTable,3,0),0)+T$1)/(1-T$2))</f>
        <v>27.8585031555429</v>
      </c>
      <c r="U221" s="1513" t="n">
        <f aca="false">VLOOKUP($A221,VolatilityTable,14)</f>
        <v>0.09</v>
      </c>
      <c r="V221" s="1513" t="n">
        <f aca="false">VLOOKUP($A221,VolatilityTable,15)</f>
        <v>0.1</v>
      </c>
      <c r="W221" s="1514" t="n">
        <f aca="false">VLOOKUP($A221,VolatilityTable,16)</f>
        <v>0.11</v>
      </c>
      <c r="X221" s="1513" t="n">
        <f aca="false">VLOOKUP($A221,VolatilityTable,14)</f>
        <v>0.09</v>
      </c>
      <c r="Y221" s="1513" t="n">
        <f aca="false">VLOOKUP($A221,VolatilityTable,15)</f>
        <v>0.1</v>
      </c>
      <c r="Z221" s="1514" t="n">
        <f aca="false">VLOOKUP($A221,VolatilityTable,16)</f>
        <v>0.11</v>
      </c>
      <c r="AA221" s="1513" t="n">
        <f aca="false">VLOOKUP($A221,VolatilityTable,18)</f>
        <v>0.09</v>
      </c>
      <c r="AB221" s="1513" t="n">
        <f aca="false">VLOOKUP($A221,VolatilityTable,19)</f>
        <v>0.11</v>
      </c>
      <c r="AC221" s="1514" t="n">
        <f aca="false">VLOOKUP($A221,VolatilityTable,20)</f>
        <v>0.13</v>
      </c>
      <c r="AD221" s="1513" t="n">
        <f aca="false">VLOOKUP($A221,VolatilityTable,18)</f>
        <v>0.09</v>
      </c>
      <c r="AE221" s="1513" t="n">
        <f aca="false">VLOOKUP($A221,VolatilityTable,19)</f>
        <v>0.11</v>
      </c>
      <c r="AF221" s="1514" t="n">
        <f aca="false">VLOOKUP($A221,VolatilityTable,20)</f>
        <v>0.13</v>
      </c>
      <c r="AG221" s="1513" t="n">
        <f aca="false">VLOOKUP($A221,VolatilityTable,22)</f>
        <v>-0.1</v>
      </c>
      <c r="AH221" s="1513" t="n">
        <f aca="false">VLOOKUP($A221,VolatilityTable,23)</f>
        <v>0.65</v>
      </c>
      <c r="AI221" s="1514" t="n">
        <f aca="false">VLOOKUP($A221,VolatilityTable,24)</f>
        <v>0.1</v>
      </c>
      <c r="AJ221" s="1513" t="n">
        <f aca="false">VLOOKUP($A221,VolatilityTable,22)</f>
        <v>-0.1</v>
      </c>
      <c r="AK221" s="1513" t="n">
        <f aca="false">VLOOKUP($A221,VolatilityTable,23)</f>
        <v>0.65</v>
      </c>
      <c r="AL221" s="1514" t="n">
        <f aca="false">VLOOKUP($A221,VolatilityTable,24)</f>
        <v>0.1</v>
      </c>
      <c r="AM221" s="1513" t="n">
        <f aca="false">VLOOKUP($A221,VolatilityTable,26)</f>
        <v>-0.01</v>
      </c>
      <c r="AN221" s="1513" t="n">
        <f aca="false">VLOOKUP($A221,VolatilityTable,27)</f>
        <v>0.16</v>
      </c>
      <c r="AO221" s="1514" t="n">
        <f aca="false">VLOOKUP($A221,VolatilityTable,28)</f>
        <v>0.01</v>
      </c>
      <c r="AP221" s="1513" t="n">
        <f aca="false">VLOOKUP($A221,VolatilityTable,26)</f>
        <v>-0.01</v>
      </c>
      <c r="AQ221" s="1513" t="n">
        <f aca="false">VLOOKUP($A221,VolatilityTable,27)</f>
        <v>0.16</v>
      </c>
      <c r="AR221" s="1515" t="n">
        <f aca="false">VLOOKUP($A221,VolatilityTable,28)</f>
        <v>0.01</v>
      </c>
      <c r="AS221" s="1581" t="n">
        <f aca="false">IF(CorrPeakOffPeakOverFlag,INDEX(CorrPeakOffPeakOver,C221),CorrPeakOffPeak)</f>
        <v>0.5</v>
      </c>
      <c r="AT221" s="594" t="e">
        <f aca="false">AX221-SUM(AU221:AW221)</f>
        <v>#VALUE!</v>
      </c>
      <c r="AU221" s="238" t="e">
        <f aca="false">IF(E221="",0,INT((F221-MOD(F221,7)-E221)/7)+1-IF(AW221,IF(WEEKDAY(D221)=7,1,0),0))</f>
        <v>#VALUE!</v>
      </c>
      <c r="AV221" s="238" t="e">
        <f aca="false">IF(E221="",0,INT((F221-MOD(F221-1,7)-E221)/7)+1-IF(AW221,IF(WEEKDAY(D221)=1,1,0),0))</f>
        <v>#VALUE!</v>
      </c>
      <c r="AW221" s="238" t="e">
        <f aca="false">IF(OR(E221="",D221="",D221&lt;BegDate,D221&gt;EndDate),0,1)</f>
        <v>#VALUE!</v>
      </c>
      <c r="AX221" s="238" t="n">
        <f aca="false">IF(E221="",0,F221-E221+1)</f>
        <v>31</v>
      </c>
      <c r="AY221" s="1582" t="n">
        <f aca="false">IF(E221="",0,MIN((1-(1-VLOOKUP(B221,MAIN!$AA$7:$AM$28,C221+1))*(1-VLOOKUP(B221,MAIN!$AA$33:$AM$54,C221+1))),1))</f>
        <v>0.03</v>
      </c>
      <c r="AZ221" s="1519" t="e">
        <v>#VALUE!</v>
      </c>
      <c r="BA221" s="1520" t="e">
        <v>#VALUE!</v>
      </c>
      <c r="BB221" s="1520" t="e">
        <v>#VALUE!</v>
      </c>
      <c r="BC221" s="1583" t="e">
        <v>#VALUE!</v>
      </c>
      <c r="BD221" s="1522" t="e">
        <v>#VALUE!</v>
      </c>
      <c r="BE221" s="1523" t="e">
        <v>#VALUE!</v>
      </c>
      <c r="BF221" s="1523" t="e">
        <v>#VALUE!</v>
      </c>
      <c r="BG221" s="1584" t="e">
        <v>#VALUE!</v>
      </c>
      <c r="BH221" s="1525" t="e">
        <v>#VALUE!</v>
      </c>
      <c r="BI221" s="1520" t="e">
        <v>#VALUE!</v>
      </c>
      <c r="BJ221" s="1520" t="e">
        <v>#VALUE!</v>
      </c>
      <c r="BK221" s="1583" t="e">
        <v>#VALUE!</v>
      </c>
      <c r="BL221" s="1522" t="e">
        <v>#VALUE!</v>
      </c>
      <c r="BM221" s="1523" t="e">
        <v>#VALUE!</v>
      </c>
      <c r="BN221" s="1523" t="e">
        <v>#VALUE!</v>
      </c>
      <c r="BO221" s="1523" t="e">
        <v>#VALUE!</v>
      </c>
      <c r="BP221" s="1525" t="e">
        <f aca="false">SUM(AZ221:BB221)</f>
        <v>#VALUE!</v>
      </c>
      <c r="BQ221" s="1529" t="e">
        <f aca="false">SUM(AZ221:BC221)</f>
        <v>#VALUE!</v>
      </c>
      <c r="BR221" s="1519" t="e">
        <f aca="false">SUM(BH221:BJ221)</f>
        <v>#VALUE!</v>
      </c>
      <c r="BS221" s="1529" t="e">
        <f aca="false">SUM(BH221:BK221)</f>
        <v>#VALUE!</v>
      </c>
      <c r="BT221" s="1316" t="n">
        <f aca="false">(IF(OVolType&lt;&gt;2,A221+14,IF(OptExpDateShift,ShiftBack(A221,OptExpDateShift,D220),A221))-DateToday)/365.25</f>
        <v>17.0458590006845</v>
      </c>
      <c r="BU221" s="1585" t="e">
        <f aca="false">IF(BQ221,IF(OPriceCurve,IF(OBuySell=OCallPut,I221/(1-AY221),K221/(1-AY221)),J221/(1-AY221))*BD221,0)</f>
        <v>#VALUE!</v>
      </c>
      <c r="BV221" s="1316" t="e">
        <f aca="false">IF(BQ221,IF(OPriceCurve,IF(OBuySell=OCallPut,L221/(1-AY221),N221/(1-AY221)),M221/(1-AY221))*BE221,0)</f>
        <v>#VALUE!</v>
      </c>
      <c r="BW221" s="1316" t="e">
        <f aca="false">IF(BQ221,IF(OPriceCurve,IF(OBuySell=OCallPut,O221/(1-AY221),Q221/(1-AY221)),P221/(1-AY221))*BF221,0)</f>
        <v>#VALUE!</v>
      </c>
      <c r="BX221" s="1316" t="e">
        <f aca="false">IF(BQ221,IF(OPriceCurve,IF(OBuySell=OCallPut,R221/(1-AY221),T221/(1-AY221)),S221/(1-AY221))*BG221,0)</f>
        <v>#VALUE!</v>
      </c>
      <c r="BY221" s="1316" t="e">
        <f aca="false">IF(BP221,(BU221*AZ221+BV221*BA221+BW221*BB221)/BP221,0)</f>
        <v>#VALUE!</v>
      </c>
      <c r="BZ221" s="1316" t="e">
        <f aca="false">IF(BQ221,(BY221*BP221+BX221*BC221)/BQ221,0)</f>
        <v>#VALUE!</v>
      </c>
      <c r="CA221" s="1531" t="e">
        <f aca="false">IF(BS221,IF(OPriceCurve,IF(OBuySell=OCallPut,I221/(1-AY221),K221/(1-AY221)),J221/(1-AY221))*BL221,0)</f>
        <v>#VALUE!</v>
      </c>
      <c r="CB221" s="1316" t="e">
        <f aca="false">IF(BS221,IF(OPriceCurve,IF(OBuySell=OCallPut,L221/(1-AY221),N221/(1-AY221)),M221/(1-AY221))*BM221,0)</f>
        <v>#VALUE!</v>
      </c>
      <c r="CC221" s="1316" t="e">
        <f aca="false">IF(BS221,IF(OPriceCurve,IF(OBuySell=OCallPut,O221/(1-AY221),Q221/(1-AY221)),P221/(1-AY221))*BN221,0)</f>
        <v>#VALUE!</v>
      </c>
      <c r="CD221" s="1316" t="e">
        <f aca="false">IF(BS221,IF(OPriceCurve,IF(OBuySell=OCallPut,R221/(1-AY221),T221/(1-AY221)),S221/(1-AY221))*BO221,0)</f>
        <v>#VALUE!</v>
      </c>
      <c r="CE221" s="1316" t="e">
        <f aca="false">IF(BR221,(BU221*BH221+BV221*BI221+BW221*BJ221)/BR221,0)</f>
        <v>#VALUE!</v>
      </c>
      <c r="CF221" s="1532" t="e">
        <f aca="false">IF(BS221,(CE221*BR221+CD221*BK221)/BS221,0)</f>
        <v>#VALUE!</v>
      </c>
      <c r="CG221" s="1586" t="e">
        <f aca="false">IF(OR(BQ221,BS221),IF(OVolType&lt;&gt;2,SQRT(IF(OVolOverMonthlyPeak,OVolOverMonthlyPeak,IF(OVolCurve,IF(OBuySell,U221,W221),V221))^2*(1-15/365.25/BT221)+IF(OVolOverDailyPeak,OVolOverDailyPeak,IF(OVolCurve,IF(OBuySell,AG221,AI221),AH221))^2*15/365.25/BT221),IF(OVolOverMonthlyPeak,OVolOverMonthlyPeak,IF(OVolCurve,IF(OBuySell,U221,W221),V221))),"")</f>
        <v>#VALUE!</v>
      </c>
      <c r="CH221" s="1587" t="e">
        <f aca="false">IF(OR(BQ221,BS221),IF(OVolType&lt;&gt;2,SQRT(IF(OVolOverMonthlyPeak,OVolOverMonthlyPeak,IF(OVolCurve,IF(OBuySell,X221,Z221),Y221))^2*(1-15/365.25/BT221)+IF(OVolOverDailyPeak,OVolOverDailyPeak,IF(OVolCurve,IF(OBuySell,AJ221,AL221),AK221))^2*15/365.25/BT221),IF(OVolOverMonthlyPeak,OVolOverMonthlyPeak,IF(OVolCurve,IF(OBuySell,X221,Z221),Y221))),"")</f>
        <v>#VALUE!</v>
      </c>
      <c r="CI221" s="1587" t="e">
        <f aca="false">IF(OR(BQ221,BS221),IF(OVolType&lt;&gt;2,SQRT(IF(OVolOverMonthlyPeak,OVolOverMonthlyPeak,IF(OVolCurve,IF(OBuySell,AA221,AC221),AB221))^2*(1-15/365.25/BT221)+IF(OVolOverDailyPeak,OVolOverDailyPeak,IF(OVolCurve,IF(OBuySell,AM221,AO221),AN221))^2*15/365.25/BT221),IF(OVolOverMonthlyPeak,OVolOverMonthlyPeak,IF(OVolCurve,IF(OBuySell,AA221,AC221),AB221))),"")</f>
        <v>#VALUE!</v>
      </c>
      <c r="CJ221" s="1587" t="e">
        <f aca="false">IF(BQ221,IF(BP221,SQRT(LN(1+((BU221*AZ221)^2*(EXP(CG221^2*BT221)-1)+(BV221*BA221)^2*(EXP(CH221^2*BT221)-1)+(BW221*BB221)^2*(EXP(CI221^2*BT221)-1)+2*BU221*AZ221*BV221*BA221*(EXP(CG221*CH221*BT221)-1)+2*BV221*BA221*BW221*BB221*(EXP(CH221*CI221*BT221)-1)+2*BW221*BB221*BU221*AZ221*(EXP(CI221*CG221*BT221)-1))/(BY221*BP221)^2)/BT221),0),"")</f>
        <v>#VALUE!</v>
      </c>
      <c r="CK221" s="1587" t="e">
        <f aca="false">IF(BS221,IF(BR221,SQRT(LN(1+((CA221*BH221)^2*(EXP(CG221^2*BT221)-1)+(CB221*BI221)^2*(EXP(CH221^2*BT221)-1)+(CC221*BJ221)^2*(EXP(CI221^2*BT221)-1)+2*CA221*BH221*CB221*BI221*(EXP(CG221*CH221*BT221)-1)+2*CB221*BI221*CC221*BJ221*(EXP(CH221*CI221*BT221)-1)+2*CC221*BJ221*CA221*BH221*(EXP(CI221*CG221*BT221)-1))/(CE221*BR221)^2)/BT221),0),"")</f>
        <v>#VALUE!</v>
      </c>
      <c r="CL221" s="1587" t="e">
        <f aca="false">IF(OR(BQ221,BS221),IF(OVolType&lt;&gt;2,SQRT(IF(OVolOverMonthlyOffPeak,OVolOverMonthlyOffPeak,IF(OVolCurve,IF(OBuySell,AD221,AF221),AE221))^2*(1-15/365.25/BT221)+IF(OVolOverDailyOffPeak,OVolOverDailyOffPeak,IF(OVolCurve,IF(OBuySell,AP221,AR221),AQ221))^2*15/365.25/BT221),IF(OVolOverMonthlyOffPeak,OVolOverMonthlyOffPeak,IF(OVolCurve,IF(OBuySell,AD221,AF221),AE221))),"")</f>
        <v>#VALUE!</v>
      </c>
      <c r="CM221" s="1587" t="e">
        <f aca="false">IF(BQ221,SQRT(LN(1+((BY221*BP221)^2*(EXP(CJ221^2*BT221)-1)+(BX221*BC221)^2*(EXP(CL221^2*BT221)-1)+2*BY221*BP221*BX221*BC221*(EXP(AS221*CJ221*CL221*BT221)-1))/(BY221*BP221+BX221*BC221)^2)/BT221),"")</f>
        <v>#VALUE!</v>
      </c>
      <c r="CN221" s="1588" t="e">
        <f aca="false">IF(BS221,SQRT(LN(1+((CE221*BR221)^2*(EXP(CK221^2*BT221)-1)+(CD221*BK221)^2*(EXP(CL221^2*BT221)-1)+2*CE221*BR221*CD221*BK221*(EXP(AS221*CK221*CL221*BT221)-1))/(CE221*BR221+CD221*BK221)^2)/BT221),"")</f>
        <v>#VALUE!</v>
      </c>
      <c r="CO221" s="1531" t="e">
        <f aca="false">IF(OR(BQ221,BS221),VLOOKUP(A221,GasTable,13)*HeatRatePeak*(1+VLOOKUP($B221,HeatRateDegradation,$C221+1))/1000,0)</f>
        <v>#VALUE!</v>
      </c>
      <c r="CP221" s="1316" t="e">
        <f aca="false">IF(OR(BQ221,BS221),VLOOKUP(A221,GasTable,13)*HeatRatePeak*(1+VLOOKUP($B221,HeatRateDegradation,$C221+1))/1000,0)</f>
        <v>#VALUE!</v>
      </c>
      <c r="CQ221" s="1316" t="e">
        <f aca="false">IF(OR(BQ221,BS221),VLOOKUP(A221,GasTable,13)*IF(EV221,HeatRatePeak,HeatRateOffPeak)*(1+VLOOKUP($B221,HeatRateDegradation,$C221+1))/1000,0)</f>
        <v>#VALUE!</v>
      </c>
      <c r="CR221" s="1316" t="e">
        <f aca="false">IF(OR(BQ221,BS221),VLOOKUP(A221,GasTable,13)*IF(EW221,HeatRatePeak,HeatRateOffPeak)*(1+VLOOKUP($B221,HeatRateDegradation,$C221+1))/1000,0)</f>
        <v>#VALUE!</v>
      </c>
      <c r="CS221" s="1589" t="e">
        <f aca="false">IF(BQ221,(CO221*AZ221+CP221*BA221+CQ221*BB221+CR221*BC221)/BQ221,0)</f>
        <v>#VALUE!</v>
      </c>
      <c r="CT221" s="1316" t="e">
        <f aca="false">IF(BS221,CO221,0)</f>
        <v>#VALUE!</v>
      </c>
      <c r="CU221" s="1590" t="e">
        <f aca="false">IF(OR(BQ221,BS221),VLOOKUP(A221,GasTable,14),"")</f>
        <v>#VALUE!</v>
      </c>
      <c r="CV221" s="1568" t="e">
        <f aca="false">IF(OR(BQ221,BS221),IF(CorrPowerGasOverFlag,INDEX(CorrPowerGasOver,C221),CorrPowerGas),"")</f>
        <v>#VALUE!</v>
      </c>
      <c r="CW221" s="1316" t="e">
        <f aca="false">IF(OR($BQ221,$BS221),SpreadOptPowerMargin,0)*((1+Assumptions!$C$26)^($B221-YEAR(Assumptions!$C$17)))</f>
        <v>#VALUE!</v>
      </c>
      <c r="CX221" s="1316" t="e">
        <f aca="false">IF(OR($BQ221,$BS221),SpreadOptPowerMargin,0)*((1+Assumptions!$C$26)^($B221-YEAR(Assumptions!$C$17)))</f>
        <v>#VALUE!</v>
      </c>
      <c r="CY221" s="1316" t="e">
        <f aca="false">IF(OR($BQ221,$BS221),SpreadOptPowerMargin,0)*((1+Assumptions!$C$26)^($B221-YEAR(Assumptions!$C$17)))</f>
        <v>#VALUE!</v>
      </c>
      <c r="CZ221" s="1316" t="e">
        <f aca="false">IF(OR($BQ221,$BS221),SpreadOptPowerMargin,0)*((1+Assumptions!$C$26)^($B221-YEAR(Assumptions!$C$17)))</f>
        <v>#VALUE!</v>
      </c>
      <c r="DA221" s="1591" t="e">
        <f aca="false">IF(OR(BQ221,BS221),(CW221*(AZ221+BH221)+CX221*(BA221+BI221)+CY221*(BB221+BJ221)+CZ221*(BC221+BK221))/(BQ221+BS221),0)</f>
        <v>#VALUE!</v>
      </c>
      <c r="DB221" s="1592" t="e">
        <f aca="false">IF(OR(BQ221,BS221),CG221+IF(OVolSmile,VLOOKUP(MAX(-5,CO221+CW221-BU221),IF(OVolSmile=1,VolSmileBook,VolSmileModel),2),0),"")</f>
        <v>#VALUE!</v>
      </c>
      <c r="DC221" s="1592" t="e">
        <f aca="false">IF(OR(BQ221,BS221),CH221+IF(OVolSmile,VLOOKUP(MAX(-5,CP221+CW221-BV221),IF(OVolSmile=1,VolSmileBook,VolSmileModel),2),0),"")</f>
        <v>#VALUE!</v>
      </c>
      <c r="DD221" s="1592" t="e">
        <f aca="false">IF(OR(BQ221,BS221),CI221+IF(OVolSmile,VLOOKUP(MAX(-5,CQ221+CW221-BW221),IF(OVolSmile=1,VolSmileBook,VolSmileModel),2),0),"")</f>
        <v>#VALUE!</v>
      </c>
      <c r="DE221" s="1592" t="e">
        <f aca="false">IF(OR(BQ221,BS221),CL221+IF(OVolSmile,VLOOKUP(MAX(-5,CR221+CZ221-BX221),IF(OVolSmile=1,VolSmileBook,VolSmileModel),2),0),"")</f>
        <v>#VALUE!</v>
      </c>
      <c r="DF221" s="1592" t="e">
        <f aca="false">IF(BQ221,CM221+IF(OVolSmile,VLOOKUP(MAX(-5,CS221+DA221-BZ221),IF(OVolSmile=1,VolSmileBook,VolSmileModel),2),0),"")</f>
        <v>#VALUE!</v>
      </c>
      <c r="DG221" s="1593" t="e">
        <f aca="false">IF(BS221,CN221+IF(OVolSmile,VLOOKUP(MAX(-5,CT221+DA221-CF221),IF(OVolSmile=1,VolSmileBook,VolSmileModel),2),0),"")</f>
        <v>#VALUE!</v>
      </c>
      <c r="DH221" s="1316" t="e">
        <f aca="false">IF(AND(BU221&gt;0,CO221&gt;0,DB221&gt;0,CU221&gt;0),newSPRDOPT(BU221,CO221,CW221,0,DB221,CU221,CV221,BT221*365.25,OCallPut,0),0)</f>
        <v>#VALUE!</v>
      </c>
      <c r="DI221" s="1316" t="e">
        <f aca="false">IF(AND(BV221&gt;0,CP221&gt;0,DC221&gt;0,CU221&gt;0),newSPRDOPT(BV221,CP221,CX221,0,DC221,CU221,CV221,BT221*365.25,OCallPut,0),0)</f>
        <v>#VALUE!</v>
      </c>
      <c r="DJ221" s="1316" t="e">
        <f aca="false">IF(AND(BW221&gt;0,CQ221&gt;0,DD221&gt;0,CU221&gt;0),newSPRDOPT(BW221,CQ221,CY221,0,DD221,CU221,CV221,BT221*365.25,OCallPut,0),0)</f>
        <v>#VALUE!</v>
      </c>
      <c r="DK221" s="1316" t="e">
        <f aca="false">IF(AND(BX221&gt;0,CR221&gt;0,DE221&gt;0,CU221&gt;0),newSPRDOPT(BX221,CR221,CZ221,0,DE221,CU221,CV221,BT221*365.25,OCallPut,0),0)</f>
        <v>#VALUE!</v>
      </c>
      <c r="DL221" s="1316" t="e">
        <f aca="false">IF(OVolType,IF(AND(BZ221&gt;0,CS221&gt;0,DF221&gt;0,CU221&gt;0),newSPRDOPT(BZ221,CS221,DA221,0,DF221,CU221,CV221,BT221*365.25,OCallPut,0),0),IF(BQ221,(DH221*AZ221+DI221*BA221+DJ221*BB221+DK221*BC221)/BQ221,0))</f>
        <v>#VALUE!</v>
      </c>
      <c r="DM221" s="1316"/>
      <c r="DN221" s="1316"/>
      <c r="DO221" s="1316"/>
      <c r="DP221" s="1316"/>
      <c r="DQ221" s="1316"/>
      <c r="DR221" s="1316"/>
      <c r="DS221" s="1316"/>
      <c r="DT221" s="1316"/>
      <c r="DU221" s="1316"/>
      <c r="DV221" s="1316"/>
      <c r="DW221" s="1594" t="e">
        <f aca="false">IF(AND(BW221&gt;0,CT221&gt;0,DD221&gt;0,CU221&gt;0),newSPRDOPT(BW221,CT221,CY221,0,DD221,CU221,CV221,BT221*365.25,OCallPut,0),0)</f>
        <v>#VALUE!</v>
      </c>
      <c r="DX221" s="1316" t="e">
        <f aca="false">IF(AND(BX221&gt;0,CT221&gt;0,DE221&gt;0,CU221&gt;0),newSPRDOPT(BX221,CT221,CZ221,0,DE221,CU221,CV221,BT221*365.25,OCallPut,0),0)</f>
        <v>#VALUE!</v>
      </c>
      <c r="DY221" s="1591" t="e">
        <f aca="false">IF(BS221,(DH221*BH221+DI221*BI221+DW221*BJ221+DX221*BK221)/BS221,0)</f>
        <v>#VALUE!</v>
      </c>
      <c r="DZ221" s="1551" t="e">
        <f aca="false">DH221*AZ221</f>
        <v>#VALUE!</v>
      </c>
      <c r="EA221" s="1551" t="e">
        <f aca="false">DI221*BA221</f>
        <v>#VALUE!</v>
      </c>
      <c r="EB221" s="1551" t="e">
        <f aca="false">DJ221*BB221</f>
        <v>#VALUE!</v>
      </c>
      <c r="EC221" s="1551" t="e">
        <f aca="false">DK221*BC221</f>
        <v>#VALUE!</v>
      </c>
      <c r="ED221" s="1551" t="e">
        <f aca="false">DL221*BQ221</f>
        <v>#VALUE!</v>
      </c>
      <c r="EE221" s="1595" t="e">
        <f aca="false">IF(BQ221,IF(OCallPut,IF(BU221&gt;(CO221+CW221),BU221-(CO221+CW221),0),IF((CO221+CW221)&gt;BU221,(CO221+CW221)-BU221,0))*AZ221,0)</f>
        <v>#VALUE!</v>
      </c>
      <c r="EF221" s="1596" t="e">
        <f aca="false">IF(BQ221,IF(OCallPut,IF(BV221&gt;(CP221+CX221),BV221-(CP221+CX221),0),IF((CP221+CX221)&gt;BV221,(CP221+CX221)-BV221,0))*BA221,0)</f>
        <v>#VALUE!</v>
      </c>
      <c r="EG221" s="1596" t="e">
        <f aca="false">IF(BQ221,IF(OCallPut,IF(BW221&gt;(CQ221+CY221),BW221-(CQ221+CY221),0),IF((CQ221+CY221)&gt;BW221,(CQ221+CY221)-BW221,0))*BB221,0)</f>
        <v>#VALUE!</v>
      </c>
      <c r="EH221" s="1596" t="e">
        <f aca="false">IF(BQ221,IF(OCallPut,IF(BX221&gt;(CR221+CZ221),BX221-(CR221+CZ221),0),IF((CR221+CZ221)&gt;BX221,(CR221+CZ221)-BX221,0))*BC221,0)</f>
        <v>#VALUE!</v>
      </c>
      <c r="EI221" s="1597" t="e">
        <f aca="false">IF(BQ221,IF(OVolType,IF(OCallPut,IF(BZ221&gt;(CS221+DA221),BZ221-(CS221+DA221),0),IF((CS221+DA221)&gt;BZ221,(CS221+DA221)-BZ221,0))*BQ221,SUM(EE221:EH221)),0)</f>
        <v>#VALUE!</v>
      </c>
      <c r="EJ221" s="1595" t="e">
        <f aca="false">DZ221-EE221</f>
        <v>#VALUE!</v>
      </c>
      <c r="EK221" s="1596" t="e">
        <f aca="false">EA221-EF221</f>
        <v>#VALUE!</v>
      </c>
      <c r="EL221" s="1596" t="e">
        <f aca="false">EB221-EG221</f>
        <v>#VALUE!</v>
      </c>
      <c r="EM221" s="1596" t="e">
        <f aca="false">EC221-EH221</f>
        <v>#VALUE!</v>
      </c>
      <c r="EN221" s="1597" t="e">
        <f aca="false">ED221-EI221</f>
        <v>#VALUE!</v>
      </c>
      <c r="EO221" s="1551" t="e">
        <f aca="false">DH221*BH221</f>
        <v>#VALUE!</v>
      </c>
      <c r="EP221" s="1551" t="e">
        <f aca="false">DI221*BI221</f>
        <v>#VALUE!</v>
      </c>
      <c r="EQ221" s="1551" t="e">
        <f aca="false">DW221*BJ221</f>
        <v>#VALUE!</v>
      </c>
      <c r="ER221" s="1551" t="e">
        <f aca="false">DX221*BK221</f>
        <v>#VALUE!</v>
      </c>
      <c r="ES221" s="1551" t="e">
        <f aca="false">DY221*BS221</f>
        <v>#VALUE!</v>
      </c>
      <c r="ET221" s="1566" t="e">
        <f aca="false">IF(EI221,IF(OCallPut,IF(CA221&gt;(CT221+CW221),CA221-(CT221+CW221),0),IF((CT221+CW221)&gt;CA221,(CT221+CW221)-CA221,0))*BH221,0)</f>
        <v>#VALUE!</v>
      </c>
      <c r="EU221" s="1551" t="e">
        <f aca="false">IF(EI221,IF(OCallPut,IF(CB221&gt;(CT221+CX221),CB221-(CT221+CX221),0),IF((CT221+CX221)&gt;CB221,(CT221+CX221)-CB221,0))*BI221,0)</f>
        <v>#VALUE!</v>
      </c>
      <c r="EV221" s="1551" t="e">
        <f aca="false">IF(EI221,IF(OCallPut,IF(CC221&gt;(CT221+CY221),CC221-(CT221+CY221),0),IF((CT221+CY221)&gt;CC221,(CT221+CY221)-CC221,0))*BJ221,0)</f>
        <v>#VALUE!</v>
      </c>
      <c r="EW221" s="1551" t="e">
        <f aca="false">IF(EI221,IF(OCallPut,IF(CD221&gt;(CT221+CZ221),CD221-(CT221+CZ221),0),IF((CT221+CZ221)&gt;CD221,(CT221+CZ221)-CD221,0))*BK221,0)</f>
        <v>#VALUE!</v>
      </c>
      <c r="EX221" s="1558" t="e">
        <f aca="false">IF(EI221,SUM(ET221:EW221),0)</f>
        <v>#VALUE!</v>
      </c>
      <c r="EY221" s="1551" t="e">
        <f aca="false">EO221-ET221</f>
        <v>#VALUE!</v>
      </c>
      <c r="EZ221" s="1551" t="e">
        <f aca="false">EP221-EU221</f>
        <v>#VALUE!</v>
      </c>
      <c r="FA221" s="1551" t="e">
        <f aca="false">EQ221-EV221</f>
        <v>#VALUE!</v>
      </c>
      <c r="FB221" s="1551" t="e">
        <f aca="false">ER221-EW221</f>
        <v>#VALUE!</v>
      </c>
      <c r="FC221" s="1551" t="e">
        <f aca="false">ES221-EX221</f>
        <v>#VALUE!</v>
      </c>
      <c r="FD221" s="1525" t="n">
        <f aca="false">IF(AX221,IF(VLOOKUP(C221,MAIN!$L$17:$M$28,2)="Yes",VLOOKUP(CALC!B221,MAIN!$H$17:$I$20,2),0),0)</f>
        <v>0</v>
      </c>
      <c r="FE221" s="1552" t="e">
        <f aca="false">$FD221*16*AT221*(1-$AY221)</f>
        <v>#VALUE!</v>
      </c>
      <c r="FF221" s="1553" t="e">
        <f aca="false">$FD221*16*AU221*(1-$AY221)</f>
        <v>#VALUE!</v>
      </c>
      <c r="FG221" s="1553" t="e">
        <f aca="false">$FD221*16*(AV221+AW221)*(1-$AY221)</f>
        <v>#VALUE!</v>
      </c>
      <c r="FH221" s="1554" t="n">
        <f aca="false">$FD221*8*AX221*(1-$AY221)</f>
        <v>0</v>
      </c>
      <c r="FI221" s="1555" t="n">
        <f aca="false">IF(AX221,VLOOKUP(CALC!B221,MAIN!$H$17:$K$20,4),0)</f>
        <v>0</v>
      </c>
      <c r="FJ221" s="1553" t="e">
        <f aca="false">SUM(FE221:FH221)</f>
        <v>#VALUE!</v>
      </c>
      <c r="FK221" s="1556" t="e">
        <f aca="false">FI221*FJ221</f>
        <v>#VALUE!</v>
      </c>
      <c r="FL221" s="1551" t="e">
        <f aca="false">IF($EI221&gt;0,MIN(FE221,AZ221*(1+VLOOKUP($C221,WeatherCapacityAdjustment,2))),0)</f>
        <v>#VALUE!</v>
      </c>
      <c r="FM221" s="1551" t="e">
        <f aca="false">IF($EI221&gt;0,MIN(FF221,BA221*(1+VLOOKUP($C221,WeatherCapacityAdjustment,2))),0)</f>
        <v>#VALUE!</v>
      </c>
      <c r="FN221" s="1551" t="e">
        <f aca="false">IF($EI221&gt;0,MIN(FG221,BB221*(1+VLOOKUP($C221,WeatherCapacityAdjustment,2))),0)</f>
        <v>#VALUE!</v>
      </c>
      <c r="FO221" s="1564" t="e">
        <f aca="false">IF($EI221&gt;0,MIN(FH221,BC221*(1+VLOOKUP($C221,WeatherCapacityAdjustment,3))),0)</f>
        <v>#VALUE!</v>
      </c>
      <c r="FP221" s="1551" t="e">
        <f aca="false">IF(ET221&gt;0,MIN(FE221-FL221,BH221*(1+VLOOKUP($C221,WeatherCapacityAdjustment,2))),0)</f>
        <v>#VALUE!</v>
      </c>
      <c r="FQ221" s="1551" t="e">
        <f aca="false">IF(EU221&gt;0,MIN(FF221-FM221,BI221*(1+VLOOKUP($C221,WeatherCapacityAdjustment,2))),0)</f>
        <v>#VALUE!</v>
      </c>
      <c r="FR221" s="1551" t="e">
        <f aca="false">IF(EV221&gt;0,MIN(FG221-FN221,BJ221*(1+VLOOKUP($C221,WeatherCapacityAdjustment,2))),0)</f>
        <v>#VALUE!</v>
      </c>
      <c r="FS221" s="1558" t="e">
        <f aca="false">IF(EW221&gt;0,MIN(FH221-FO221,BK221*(1+VLOOKUP($C221,WeatherCapacityAdjustment,3))),0)</f>
        <v>#VALUE!</v>
      </c>
      <c r="FT221" s="1566" t="e">
        <f aca="false">IF(AND(Assumptions!$H$71="Yes",A221&gt;=Assumptions!$H$72,A221&lt;=Assumptions!$H$73),0,IF(AND($A221&gt;=Assumptions!$C$17,$A221&lt;=Assumptions!$C$18),MAX(AZ221*(1+VLOOKUP($C221,WeatherCapacityAdjustment,2))-FL221,0),0))</f>
        <v>#VALUE!</v>
      </c>
      <c r="FU221" s="1551" t="e">
        <f aca="false">IF(AND(Assumptions!$H$71="Yes",A221&gt;=Assumptions!$H$72,A221&lt;=Assumptions!$H$73),0,IF(AND($A221&gt;=Assumptions!$C$17,$A221&lt;=Assumptions!$C$18),MAX(BA221*(1+VLOOKUP($C221,WeatherCapacityAdjustment,2))-FM221,0),0))</f>
        <v>#VALUE!</v>
      </c>
      <c r="FV221" s="1551" t="e">
        <f aca="false">IF(AND(Assumptions!$H$71="Yes",A221&gt;=Assumptions!$H$72,A221&lt;=Assumptions!$H$73),0,IF(AND($A221&gt;=Assumptions!$C$17,$A221&lt;=Assumptions!$C$18),MAX(BB221*(1+VLOOKUP($C221,WeatherCapacityAdjustment,2))-FN221,0),0))</f>
        <v>#VALUE!</v>
      </c>
      <c r="FW221" s="1564" t="e">
        <f aca="false">IF(AND(Assumptions!$H$71="Yes",A221&gt;=Assumptions!$H$72,A221&lt;=Assumptions!$H$73),0,IF(AND($A221&gt;=Assumptions!$C$17,$A221&lt;=Assumptions!$C$18),MAX(BC221*(1+VLOOKUP($C221,WeatherCapacityAdjustment,3))-FO221,0),0))</f>
        <v>#VALUE!</v>
      </c>
      <c r="FX221" s="1569" t="e">
        <f aca="false">IF(AND(Assumptions!$H$71="Yes",A221&gt;=Assumptions!$H$72,A221&lt;=Assumptions!$H$73),0,IF(ET221&gt;0,MAX(BH221*(1+VLOOKUP($C221,WeatherCapacityAdjustment,2))-FP221,0),0))</f>
        <v>#VALUE!</v>
      </c>
      <c r="FY221" s="1551" t="e">
        <f aca="false">IF(AND(Assumptions!$H$71="Yes",A221&gt;=Assumptions!$H$72,A221&lt;=Assumptions!$H$73),0,IF(EU221&gt;0,MAX(BI221*(1+VLOOKUP($C221,WeatherCapacityAdjustment,3))-FQ221,0),0))</f>
        <v>#VALUE!</v>
      </c>
      <c r="FZ221" s="1551" t="e">
        <f aca="false">IF(AND(Assumptions!$H$71="Yes",A221&gt;=Assumptions!$H$72,A221&lt;=Assumptions!$H$73),0,IF(EV221&gt;0,MAX(BJ221*(1+VLOOKUP($C221,WeatherCapacityAdjustment,2))-FR221,0),0))</f>
        <v>#VALUE!</v>
      </c>
      <c r="GA221" s="1564" t="e">
        <f aca="false">IF(AND(Assumptions!$H$71="Yes",A221&gt;=Assumptions!$H$72,A221&lt;=Assumptions!$H$73),0,IF(EW221&gt;0,MAX(BK221*(1+VLOOKUP($C221,WeatherCapacityAdjustment,2))-FS221,0),0))</f>
        <v>#VALUE!</v>
      </c>
      <c r="GB221" s="1551" t="e">
        <f aca="false">SUM(FT221:GA221)</f>
        <v>#VALUE!</v>
      </c>
      <c r="GC221" s="1563" t="e">
        <f aca="false">+IF(SUM(FT221:GA221)=0,0,(SUMPRODUCT(BU221:BX221,FT221:FW221)+SUMPRODUCT(CA221:CD221,FX221:GA221))/SUM(FT221:GA221))</f>
        <v>#VALUE!</v>
      </c>
      <c r="GD221" s="1551" t="e">
        <f aca="false">(FT221*BU221+FX221*CA221+FU221*BV221+FY221*CB221+FV221*BW221+FZ221*CC221+FW221*BX221+GA221*CD221)</f>
        <v>#VALUE!</v>
      </c>
      <c r="GE221" s="1561" t="e">
        <f aca="false">+IF(BQ221,((FL221+FM221+FT221+FU221)*HeatRatePeak/1000*(1+VLOOKUP($C221,WeatherHeatRateAdjustment,2))+(FN221+FV221)*IF(EV221&gt;0,HeatRatePeak,HeatRateOffPeak)/1000*(1+VLOOKUP($C221,WeatherHeatRateAdjustment,2))+(FO221+FW221)*IF(EW221&gt;0,HeatRatePeak,HeatRateOffPeak)/1000*(1+VLOOKUP($C221,WeatherHeatRateAdjustment,3)))*(1+VLOOKUP($B221,HeatRateDegradation,$C221+1)),0)</f>
        <v>#VALUE!</v>
      </c>
      <c r="GF221" s="1562" t="e">
        <f aca="false">IF(BQ221,((FP221+FQ221+FR221+FX221+FY221+FZ221)*HeatRatePeak/1000*(1+VLOOKUP($C221,WeatherHeatRateAdjustment,2))+(FS221+GA221)*HeatRatePeak/1000*(1+VLOOKUP($C221,WeatherHeatRateAdjustment,3)))*(1+VLOOKUP($B221,HeatRateDegradation,$C221+1)),0)</f>
        <v>#VALUE!</v>
      </c>
      <c r="GG221" s="1563" t="e">
        <f aca="false">IF(BQ221,VLOOKUP(A221,GasTable,13),0)</f>
        <v>#VALUE!</v>
      </c>
      <c r="GH221" s="1564" t="e">
        <f aca="false">(GE221+GF221)*GG221</f>
        <v>#VALUE!</v>
      </c>
      <c r="GI221" s="1569" t="e">
        <f aca="false">GB221</f>
        <v>#VALUE!</v>
      </c>
      <c r="GJ221" s="1598" t="e">
        <f aca="false">+DA221</f>
        <v>#VALUE!</v>
      </c>
      <c r="GK221" s="1558" t="e">
        <f aca="false">+GI221*GJ221</f>
        <v>#VALUE!</v>
      </c>
      <c r="GL221" s="1566" t="e">
        <f aca="false">MAX(FE221-FL221-FP221,0)</f>
        <v>#VALUE!</v>
      </c>
      <c r="GM221" s="1551" t="e">
        <f aca="false">MAX(FF221-FM221-FQ221,0)</f>
        <v>#VALUE!</v>
      </c>
      <c r="GN221" s="1551" t="e">
        <f aca="false">MAX(FG221-FN221-FR221,0)</f>
        <v>#VALUE!</v>
      </c>
      <c r="GO221" s="1564" t="e">
        <f aca="false">MAX(FH221-FO221-FS221,0)</f>
        <v>#VALUE!</v>
      </c>
      <c r="GP221" s="1551" t="e">
        <f aca="false">SUM(GL221:GO221)</f>
        <v>#VALUE!</v>
      </c>
      <c r="GQ221" s="1563" t="e">
        <f aca="false">IF(SUM(GL221:GO221)=0,0,((GL221*BU221+GM221*BV221+GN221*BW221+GO221*BX221)/SUM(GL221:GO221)))</f>
        <v>#VALUE!</v>
      </c>
      <c r="GR221" s="1558" t="e">
        <f aca="false">(GL221*BU221+GM221*BV221+GN221*BW221+GO221*BX221)</f>
        <v>#VALUE!</v>
      </c>
      <c r="GS221" s="1566" t="n">
        <f aca="false">IF($A221&gt;=BegDate,Assumptions!$C$56*24*($A222-$A221)*(1-VLOOKUP($B221,MAIN!$AA$7:$AM$28,$C221+1))*(1-VLOOKUP($B221,MAIN!$AA$33:$AM$54,$C221+1)),0)*80/168</f>
        <v>257742.857142857</v>
      </c>
      <c r="GT221" s="286" t="n">
        <f aca="false">J221</f>
        <v>45.5983017194336</v>
      </c>
      <c r="GU221" s="286" t="n">
        <f aca="false">IF($A221&gt;=BegDate,VLOOKUP($A221,GasTable,13)+Assumptions!$C$58,0)</f>
        <v>3.26058166729408</v>
      </c>
      <c r="GV221" s="286" t="n">
        <f aca="false">GU221*Assumptions!$C$57/1000</f>
        <v>23.6392170878821</v>
      </c>
      <c r="GW221" s="1558" t="n">
        <f aca="false">IF(Assumptions!$C$60="Hourly",MAX(0,GS221*(GT221-GV221)),GS221*(GT221-GV221))</f>
        <v>5659797.2131779</v>
      </c>
      <c r="GX221" s="1566" t="n">
        <f aca="false">IF($A221&gt;=BegDate,Assumptions!$C$56*24*($A222-$A221)*(1-VLOOKUP($B221,MAIN!$AA$7:$AM$28,$C221+1))*(1-VLOOKUP($B221,MAIN!$AA$33:$AM$54,$C221+1)),0)*16/168</f>
        <v>51548.5714285714</v>
      </c>
      <c r="GY221" s="286" t="n">
        <f aca="false">M221</f>
        <v>45.5983017194336</v>
      </c>
      <c r="GZ221" s="286" t="n">
        <f aca="false">IF($A221&gt;=BegDate,VLOOKUP($A221,GasTable,13)+Assumptions!$C$58,0)</f>
        <v>3.26058166729408</v>
      </c>
      <c r="HA221" s="286" t="n">
        <f aca="false">GZ221*Assumptions!$C$57/1000</f>
        <v>23.6392170878821</v>
      </c>
      <c r="HB221" s="1558" t="n">
        <f aca="false">IF(Assumptions!$C$60="Hourly",MAX(0,GX221*(GY221-HA221)),GX221*(GY221-HA221))</f>
        <v>1131959.44263558</v>
      </c>
      <c r="HC221" s="1566" t="n">
        <f aca="false">IF($A221&gt;=BegDate,Assumptions!$C$56*24*($A222-$A221)*(1-VLOOKUP($B221,MAIN!$AA$7:$AM$28,$C221+1))*(1-VLOOKUP($B221,MAIN!$AA$33:$AM$54,$C221+1)),0)*16/168</f>
        <v>51548.5714285714</v>
      </c>
      <c r="HD221" s="286" t="n">
        <f aca="false">P221</f>
        <v>27.8585031555429</v>
      </c>
      <c r="HE221" s="286" t="n">
        <f aca="false">IF($A221&gt;=BegDate,VLOOKUP($A221,GasTable,13)+Assumptions!$C$58,0)</f>
        <v>3.26058166729408</v>
      </c>
      <c r="HF221" s="286" t="n">
        <f aca="false">HE221*Assumptions!$C$57/1000</f>
        <v>23.6392170878821</v>
      </c>
      <c r="HG221" s="1558" t="n">
        <f aca="false">IF(Assumptions!$C$60="Hourly",MAX(0,HC221*(HD221-HF221)),HC221*(HD221-HF221))</f>
        <v>217498.169236388</v>
      </c>
      <c r="HH221" s="1566" t="n">
        <f aca="false">IF($A221&gt;=BegDate,Assumptions!$C$56*24*($A222-$A221)*(1-VLOOKUP($B221,MAIN!$AA$7:$AM$28,$C221+1))*(1-VLOOKUP($B221,MAIN!$AA$33:$AM$54,$C221+1)),0)*56/168</f>
        <v>180420</v>
      </c>
      <c r="HI221" s="286" t="n">
        <f aca="false">S221</f>
        <v>27.8585031555429</v>
      </c>
      <c r="HJ221" s="286" t="n">
        <f aca="false">IF($A221&gt;=BegDate,VLOOKUP($A221,GasTable,13)+Assumptions!$C$58,0)</f>
        <v>3.26058166729408</v>
      </c>
      <c r="HK221" s="286" t="n">
        <f aca="false">HJ221*Assumptions!$C$57/1000</f>
        <v>23.6392170878821</v>
      </c>
      <c r="HL221" s="1558" t="n">
        <f aca="false">IF(Assumptions!$C$60="Hourly",MAX(0,HH221*(HI221-HK221)),HH221*(HI221-HK221))</f>
        <v>761243.592327358</v>
      </c>
      <c r="HM221" s="1566" t="n">
        <f aca="false">IF(AND(Assumptions!$H$71="Yes",A221&gt;=Assumptions!$H$72,A221&lt;=Assumptions!$H$73),Assumptions!$H$74*Assumptions!$C$9*1000,0)</f>
        <v>0</v>
      </c>
      <c r="HN221" s="1551"/>
      <c r="HO221" s="1563"/>
      <c r="HP221" s="1563"/>
      <c r="HQ221" s="1563"/>
      <c r="HR221" s="1563"/>
      <c r="HS221" s="1563"/>
      <c r="HT221" s="1563"/>
      <c r="HU221" s="1563"/>
      <c r="HV221" s="1563"/>
      <c r="HW221" s="1563"/>
      <c r="HX221" s="1563"/>
      <c r="HY221" s="1563"/>
      <c r="HZ221" s="1563"/>
      <c r="IA221" s="1563"/>
      <c r="IB221" s="1563"/>
      <c r="IC221" s="1563"/>
      <c r="ID221" s="1563"/>
      <c r="IE221" s="1563"/>
      <c r="IF221" s="1563"/>
      <c r="IG221" s="1563"/>
      <c r="IH221" s="1563"/>
      <c r="II221" s="1610"/>
      <c r="IJ221" s="1309"/>
      <c r="IK221" s="1309"/>
    </row>
    <row r="222" customFormat="false" ht="12.75" hidden="false" customHeight="false" outlineLevel="0" collapsed="false">
      <c r="A222" s="1571" t="n">
        <f aca="false">EOMONTH(A221,0)+1</f>
        <v>42887</v>
      </c>
      <c r="B222" s="594" t="n">
        <f aca="false">+YEAR(A222)</f>
        <v>2017</v>
      </c>
      <c r="C222" s="238" t="n">
        <f aca="false">MONTH(A222)</f>
        <v>6</v>
      </c>
      <c r="D222" s="1572" t="e">
        <f aca="false">IF(E222="","",Holiday(B222,C222))</f>
        <v>#VALUE!</v>
      </c>
      <c r="E222" s="1573" t="n">
        <f aca="false">IF(OR(BegDate&gt;=A223,EndDate&lt;A222,AND(VolumeMonthlyOverFlag,INDEX(VolumeMonthlyOver,C222)=0),NOT(INDEX(MonthKnockOutTable,C222))),"",MAX(A222,BegDate))</f>
        <v>42887</v>
      </c>
      <c r="F222" s="1574" t="n">
        <f aca="false">IF(E222="","",MIN(A223-1,EndDate))</f>
        <v>42916</v>
      </c>
      <c r="G222" s="1575" t="n">
        <v>0</v>
      </c>
      <c r="H222" s="1576" t="n">
        <f aca="false">(1+G222/2)^(-2*(DATE(B223,C223,20)-DateToday)/365.25)</f>
        <v>1</v>
      </c>
      <c r="I222" s="1568" t="n">
        <f aca="false">IF(Assumptions!$L$25=4,VLOOKUP($A222,'Henwood Reference'!$E$9:$R$320,10),(VLOOKUP($A222,PriceTable,2,0)+IF(BasisNumber&lt;&gt;1,VLOOKUP($A222,BasisTable,2,0),0)+I$1)/(1-I$2))</f>
        <v>44.839930966799</v>
      </c>
      <c r="J222" s="1568" t="n">
        <f aca="false">IF(Assumptions!$L$25=4,VLOOKUP($A222,'Henwood Reference'!$E$9:$R$320,10),(VLOOKUP($A222,PriceTable,3,0)+IF(BasisNumber&lt;&gt;1,VLOOKUP($A222,BasisTable,2,0),0)+J$1)/(1-J$2))</f>
        <v>44.839930966799</v>
      </c>
      <c r="K222" s="1568" t="n">
        <f aca="false">IF(Assumptions!$L$25=4,VLOOKUP($A222,'Henwood Reference'!$E$9:$R$320,10),(VLOOKUP($A222,PriceTable,4,0)+IF(BasisNumber&lt;&gt;1,VLOOKUP($A222,BasisTable,2,0),0)+K$1)/(1-K$2))</f>
        <v>44.839930966799</v>
      </c>
      <c r="L222" s="1523" t="n">
        <f aca="false">IF(Assumptions!$L$25=4,VLOOKUP($A222,'Henwood Reference'!$E$9:$R$320,10),(VLOOKUP($A222,PriceTableWeekend,2,0)+IF(BasisNumber&lt;&gt;1,VLOOKUP($A222,BasisTable,2,0),0)+L$1)/(1-L$2))</f>
        <v>44.839930966799</v>
      </c>
      <c r="M222" s="1568" t="n">
        <f aca="false">IF(Assumptions!$L$25=4,VLOOKUP($A222,'Henwood Reference'!$E$9:$R$320,10),(VLOOKUP($A222,PriceTableWeekend,3,0)+IF(BasisNumber&lt;&gt;1,VLOOKUP($A222,BasisTable,2,0),0)+M$1)/(1-M$2))</f>
        <v>44.839930966799</v>
      </c>
      <c r="N222" s="1599" t="n">
        <f aca="false">IF(Assumptions!$L$25=4,VLOOKUP($A222,'Henwood Reference'!$E$9:$R$320,10),(VLOOKUP($A222,PriceTableWeekend,4,0)+IF(BasisNumber&lt;&gt;1,VLOOKUP($A222,BasisTable,2,0),0)+N$1)/(1-N$2))</f>
        <v>44.839930966799</v>
      </c>
      <c r="O222" s="1568" t="n">
        <f aca="false">IF(Assumptions!$L$25=4,VLOOKUP($A222,'Henwood Reference'!$E$9:$R$320,11),(VLOOKUP($A222,PriceTableWeekend,6,0)+IF(BasisNumber&lt;&gt;1,VLOOKUP($A222,BasisTable,3,0),0)+O$1)/(1-O$2))</f>
        <v>26.7864783250092</v>
      </c>
      <c r="P222" s="1568" t="n">
        <f aca="false">IF(Assumptions!$L$25=4,VLOOKUP($A222,'Henwood Reference'!$E$9:$R$320,11),(VLOOKUP($A222,PriceTableWeekend,7,0)+IF(BasisNumber&lt;&gt;1,VLOOKUP($A222,BasisTable,3,0),0)+P$1)/(1-P$2))</f>
        <v>26.7864783250092</v>
      </c>
      <c r="Q222" s="1599" t="n">
        <f aca="false">IF(Assumptions!$L$25=4,VLOOKUP($A222,'Henwood Reference'!$E$9:$R$320,11),(VLOOKUP($A222,PriceTableWeekend,8,0)+IF(BasisNumber&lt;&gt;1,VLOOKUP($A222,BasisTable,3,0),0)+Q$1)/(1-Q$2))</f>
        <v>26.7864783250092</v>
      </c>
      <c r="R222" s="1568" t="n">
        <f aca="false">IF(Assumptions!$L$25=4,VLOOKUP($A222,'Henwood Reference'!$E$9:$R$320,11),(VLOOKUP($A222,PriceTable,6,0)+IF(BasisNumber&lt;&gt;1,VLOOKUP($A222,BasisTable,3,0),0)+R$1)/(1-R$2))</f>
        <v>26.7864783250092</v>
      </c>
      <c r="S222" s="1568" t="n">
        <f aca="false">IF(Assumptions!$L$25=4,VLOOKUP($A222,'Henwood Reference'!$E$9:$R$320,11),(VLOOKUP($A222,PriceTable,7,0)+IF(BasisNumber&lt;&gt;1,VLOOKUP($A222,BasisTable,3,0),0)+S$1)/(1-S$2))</f>
        <v>26.7864783250092</v>
      </c>
      <c r="T222" s="1600" t="n">
        <f aca="false">IF(Assumptions!$L$25=4,VLOOKUP($A222,'Henwood Reference'!$E$9:$R$320,11),(VLOOKUP($A222,PriceTable,8,0)+IF(BasisNumber&lt;&gt;1,VLOOKUP($A222,BasisTable,3,0),0)+T$1)/(1-T$2))</f>
        <v>26.7864783250092</v>
      </c>
      <c r="U222" s="1513" t="n">
        <f aca="false">VLOOKUP($A222,VolatilityTable,14)</f>
        <v>0.09</v>
      </c>
      <c r="V222" s="1513" t="n">
        <f aca="false">VLOOKUP($A222,VolatilityTable,15)</f>
        <v>0.1</v>
      </c>
      <c r="W222" s="1514" t="n">
        <f aca="false">VLOOKUP($A222,VolatilityTable,16)</f>
        <v>0.11</v>
      </c>
      <c r="X222" s="1513" t="n">
        <f aca="false">VLOOKUP($A222,VolatilityTable,14)</f>
        <v>0.09</v>
      </c>
      <c r="Y222" s="1513" t="n">
        <f aca="false">VLOOKUP($A222,VolatilityTable,15)</f>
        <v>0.1</v>
      </c>
      <c r="Z222" s="1514" t="n">
        <f aca="false">VLOOKUP($A222,VolatilityTable,16)</f>
        <v>0.11</v>
      </c>
      <c r="AA222" s="1513" t="n">
        <f aca="false">VLOOKUP($A222,VolatilityTable,18)</f>
        <v>0.09</v>
      </c>
      <c r="AB222" s="1513" t="n">
        <f aca="false">VLOOKUP($A222,VolatilityTable,19)</f>
        <v>0.11</v>
      </c>
      <c r="AC222" s="1514" t="n">
        <f aca="false">VLOOKUP($A222,VolatilityTable,20)</f>
        <v>0.13</v>
      </c>
      <c r="AD222" s="1513" t="n">
        <f aca="false">VLOOKUP($A222,VolatilityTable,18)</f>
        <v>0.09</v>
      </c>
      <c r="AE222" s="1513" t="n">
        <f aca="false">VLOOKUP($A222,VolatilityTable,19)</f>
        <v>0.11</v>
      </c>
      <c r="AF222" s="1514" t="n">
        <f aca="false">VLOOKUP($A222,VolatilityTable,20)</f>
        <v>0.13</v>
      </c>
      <c r="AG222" s="1513" t="n">
        <f aca="false">VLOOKUP($A222,VolatilityTable,22)</f>
        <v>-0.35</v>
      </c>
      <c r="AH222" s="1513" t="n">
        <f aca="false">VLOOKUP($A222,VolatilityTable,23)</f>
        <v>0.65</v>
      </c>
      <c r="AI222" s="1514" t="n">
        <f aca="false">VLOOKUP($A222,VolatilityTable,24)</f>
        <v>0.2</v>
      </c>
      <c r="AJ222" s="1513" t="n">
        <f aca="false">VLOOKUP($A222,VolatilityTable,22)</f>
        <v>-0.35</v>
      </c>
      <c r="AK222" s="1513" t="n">
        <f aca="false">VLOOKUP($A222,VolatilityTable,23)</f>
        <v>0.65</v>
      </c>
      <c r="AL222" s="1514" t="n">
        <f aca="false">VLOOKUP($A222,VolatilityTable,24)</f>
        <v>0.2</v>
      </c>
      <c r="AM222" s="1513" t="n">
        <f aca="false">VLOOKUP($A222,VolatilityTable,26)</f>
        <v>-0.01</v>
      </c>
      <c r="AN222" s="1513" t="n">
        <f aca="false">VLOOKUP($A222,VolatilityTable,27)</f>
        <v>0.16</v>
      </c>
      <c r="AO222" s="1514" t="n">
        <f aca="false">VLOOKUP($A222,VolatilityTable,28)</f>
        <v>0.01</v>
      </c>
      <c r="AP222" s="1513" t="n">
        <f aca="false">VLOOKUP($A222,VolatilityTable,26)</f>
        <v>-0.01</v>
      </c>
      <c r="AQ222" s="1513" t="n">
        <f aca="false">VLOOKUP($A222,VolatilityTable,27)</f>
        <v>0.16</v>
      </c>
      <c r="AR222" s="1515" t="n">
        <f aca="false">VLOOKUP($A222,VolatilityTable,28)</f>
        <v>0.01</v>
      </c>
      <c r="AS222" s="1581" t="n">
        <f aca="false">IF(CorrPeakOffPeakOverFlag,INDEX(CorrPeakOffPeakOver,C222),CorrPeakOffPeak)</f>
        <v>0.5</v>
      </c>
      <c r="AT222" s="594" t="e">
        <f aca="false">AX222-SUM(AU222:AW222)</f>
        <v>#VALUE!</v>
      </c>
      <c r="AU222" s="238" t="e">
        <f aca="false">IF(E222="",0,INT((F222-MOD(F222,7)-E222)/7)+1-IF(AW222,IF(WEEKDAY(D222)=7,1,0),0))</f>
        <v>#VALUE!</v>
      </c>
      <c r="AV222" s="238" t="e">
        <f aca="false">IF(E222="",0,INT((F222-MOD(F222-1,7)-E222)/7)+1-IF(AW222,IF(WEEKDAY(D222)=1,1,0),0))</f>
        <v>#VALUE!</v>
      </c>
      <c r="AW222" s="238" t="e">
        <f aca="false">IF(OR(E222="",D222="",D222&lt;BegDate,D222&gt;EndDate),0,1)</f>
        <v>#VALUE!</v>
      </c>
      <c r="AX222" s="238" t="n">
        <f aca="false">IF(E222="",0,F222-E222+1)</f>
        <v>30</v>
      </c>
      <c r="AY222" s="1582" t="n">
        <f aca="false">IF(E222="",0,MIN((1-(1-VLOOKUP(B222,MAIN!$AA$7:$AM$28,C222+1))*(1-VLOOKUP(B222,MAIN!$AA$33:$AM$54,C222+1))),1))</f>
        <v>0.03</v>
      </c>
      <c r="AZ222" s="1519" t="e">
        <v>#VALUE!</v>
      </c>
      <c r="BA222" s="1520" t="e">
        <v>#VALUE!</v>
      </c>
      <c r="BB222" s="1520" t="e">
        <v>#VALUE!</v>
      </c>
      <c r="BC222" s="1583" t="e">
        <v>#VALUE!</v>
      </c>
      <c r="BD222" s="1522" t="e">
        <v>#VALUE!</v>
      </c>
      <c r="BE222" s="1523" t="e">
        <v>#VALUE!</v>
      </c>
      <c r="BF222" s="1523" t="e">
        <v>#VALUE!</v>
      </c>
      <c r="BG222" s="1584" t="e">
        <v>#VALUE!</v>
      </c>
      <c r="BH222" s="1525" t="e">
        <v>#VALUE!</v>
      </c>
      <c r="BI222" s="1520" t="e">
        <v>#VALUE!</v>
      </c>
      <c r="BJ222" s="1520" t="e">
        <v>#VALUE!</v>
      </c>
      <c r="BK222" s="1583" t="e">
        <v>#VALUE!</v>
      </c>
      <c r="BL222" s="1522" t="e">
        <v>#VALUE!</v>
      </c>
      <c r="BM222" s="1523" t="e">
        <v>#VALUE!</v>
      </c>
      <c r="BN222" s="1523" t="e">
        <v>#VALUE!</v>
      </c>
      <c r="BO222" s="1523" t="e">
        <v>#VALUE!</v>
      </c>
      <c r="BP222" s="1525" t="e">
        <f aca="false">SUM(AZ222:BB222)</f>
        <v>#VALUE!</v>
      </c>
      <c r="BQ222" s="1529" t="e">
        <f aca="false">SUM(AZ222:BC222)</f>
        <v>#VALUE!</v>
      </c>
      <c r="BR222" s="1519" t="e">
        <f aca="false">SUM(BH222:BJ222)</f>
        <v>#VALUE!</v>
      </c>
      <c r="BS222" s="1529" t="e">
        <f aca="false">SUM(BH222:BK222)</f>
        <v>#VALUE!</v>
      </c>
      <c r="BT222" s="1316" t="n">
        <f aca="false">(IF(OVolType&lt;&gt;2,A222+14,IF(OptExpDateShift,ShiftBack(A222,OptExpDateShift,D221),A222))-DateToday)/365.25</f>
        <v>17.1307323750856</v>
      </c>
      <c r="BU222" s="1585" t="e">
        <f aca="false">IF(BQ222,IF(OPriceCurve,IF(OBuySell=OCallPut,I222/(1-AY222),K222/(1-AY222)),J222/(1-AY222))*BD222,0)</f>
        <v>#VALUE!</v>
      </c>
      <c r="BV222" s="1316" t="e">
        <f aca="false">IF(BQ222,IF(OPriceCurve,IF(OBuySell=OCallPut,L222/(1-AY222),N222/(1-AY222)),M222/(1-AY222))*BE222,0)</f>
        <v>#VALUE!</v>
      </c>
      <c r="BW222" s="1316" t="e">
        <f aca="false">IF(BQ222,IF(OPriceCurve,IF(OBuySell=OCallPut,O222/(1-AY222),Q222/(1-AY222)),P222/(1-AY222))*BF222,0)</f>
        <v>#VALUE!</v>
      </c>
      <c r="BX222" s="1316" t="e">
        <f aca="false">IF(BQ222,IF(OPriceCurve,IF(OBuySell=OCallPut,R222/(1-AY222),T222/(1-AY222)),S222/(1-AY222))*BG222,0)</f>
        <v>#VALUE!</v>
      </c>
      <c r="BY222" s="1316" t="e">
        <f aca="false">IF(BP222,(BU222*AZ222+BV222*BA222+BW222*BB222)/BP222,0)</f>
        <v>#VALUE!</v>
      </c>
      <c r="BZ222" s="1316" t="e">
        <f aca="false">IF(BQ222,(BY222*BP222+BX222*BC222)/BQ222,0)</f>
        <v>#VALUE!</v>
      </c>
      <c r="CA222" s="1531" t="e">
        <f aca="false">IF(BS222,IF(OPriceCurve,IF(OBuySell=OCallPut,I222/(1-AY222),K222/(1-AY222)),J222/(1-AY222))*BL222,0)</f>
        <v>#VALUE!</v>
      </c>
      <c r="CB222" s="1316" t="e">
        <f aca="false">IF(BS222,IF(OPriceCurve,IF(OBuySell=OCallPut,L222/(1-AY222),N222/(1-AY222)),M222/(1-AY222))*BM222,0)</f>
        <v>#VALUE!</v>
      </c>
      <c r="CC222" s="1316" t="e">
        <f aca="false">IF(BS222,IF(OPriceCurve,IF(OBuySell=OCallPut,O222/(1-AY222),Q222/(1-AY222)),P222/(1-AY222))*BN222,0)</f>
        <v>#VALUE!</v>
      </c>
      <c r="CD222" s="1316" t="e">
        <f aca="false">IF(BS222,IF(OPriceCurve,IF(OBuySell=OCallPut,R222/(1-AY222),T222/(1-AY222)),S222/(1-AY222))*BO222,0)</f>
        <v>#VALUE!</v>
      </c>
      <c r="CE222" s="1316" t="e">
        <f aca="false">IF(BR222,(BU222*BH222+BV222*BI222+BW222*BJ222)/BR222,0)</f>
        <v>#VALUE!</v>
      </c>
      <c r="CF222" s="1532" t="e">
        <f aca="false">IF(BS222,(CE222*BR222+CD222*BK222)/BS222,0)</f>
        <v>#VALUE!</v>
      </c>
      <c r="CG222" s="1586" t="e">
        <f aca="false">IF(OR(BQ222,BS222),IF(OVolType&lt;&gt;2,SQRT(IF(OVolOverMonthlyPeak,OVolOverMonthlyPeak,IF(OVolCurve,IF(OBuySell,U222,W222),V222))^2*(1-15/365.25/BT222)+IF(OVolOverDailyPeak,OVolOverDailyPeak,IF(OVolCurve,IF(OBuySell,AG222,AI222),AH222))^2*15/365.25/BT222),IF(OVolOverMonthlyPeak,OVolOverMonthlyPeak,IF(OVolCurve,IF(OBuySell,U222,W222),V222))),"")</f>
        <v>#VALUE!</v>
      </c>
      <c r="CH222" s="1587" t="e">
        <f aca="false">IF(OR(BQ222,BS222),IF(OVolType&lt;&gt;2,SQRT(IF(OVolOverMonthlyPeak,OVolOverMonthlyPeak,IF(OVolCurve,IF(OBuySell,X222,Z222),Y222))^2*(1-15/365.25/BT222)+IF(OVolOverDailyPeak,OVolOverDailyPeak,IF(OVolCurve,IF(OBuySell,AJ222,AL222),AK222))^2*15/365.25/BT222),IF(OVolOverMonthlyPeak,OVolOverMonthlyPeak,IF(OVolCurve,IF(OBuySell,X222,Z222),Y222))),"")</f>
        <v>#VALUE!</v>
      </c>
      <c r="CI222" s="1587" t="e">
        <f aca="false">IF(OR(BQ222,BS222),IF(OVolType&lt;&gt;2,SQRT(IF(OVolOverMonthlyPeak,OVolOverMonthlyPeak,IF(OVolCurve,IF(OBuySell,AA222,AC222),AB222))^2*(1-15/365.25/BT222)+IF(OVolOverDailyPeak,OVolOverDailyPeak,IF(OVolCurve,IF(OBuySell,AM222,AO222),AN222))^2*15/365.25/BT222),IF(OVolOverMonthlyPeak,OVolOverMonthlyPeak,IF(OVolCurve,IF(OBuySell,AA222,AC222),AB222))),"")</f>
        <v>#VALUE!</v>
      </c>
      <c r="CJ222" s="1587" t="e">
        <f aca="false">IF(BQ222,IF(BP222,SQRT(LN(1+((BU222*AZ222)^2*(EXP(CG222^2*BT222)-1)+(BV222*BA222)^2*(EXP(CH222^2*BT222)-1)+(BW222*BB222)^2*(EXP(CI222^2*BT222)-1)+2*BU222*AZ222*BV222*BA222*(EXP(CG222*CH222*BT222)-1)+2*BV222*BA222*BW222*BB222*(EXP(CH222*CI222*BT222)-1)+2*BW222*BB222*BU222*AZ222*(EXP(CI222*CG222*BT222)-1))/(BY222*BP222)^2)/BT222),0),"")</f>
        <v>#VALUE!</v>
      </c>
      <c r="CK222" s="1587" t="e">
        <f aca="false">IF(BS222,IF(BR222,SQRT(LN(1+((CA222*BH222)^2*(EXP(CG222^2*BT222)-1)+(CB222*BI222)^2*(EXP(CH222^2*BT222)-1)+(CC222*BJ222)^2*(EXP(CI222^2*BT222)-1)+2*CA222*BH222*CB222*BI222*(EXP(CG222*CH222*BT222)-1)+2*CB222*BI222*CC222*BJ222*(EXP(CH222*CI222*BT222)-1)+2*CC222*BJ222*CA222*BH222*(EXP(CI222*CG222*BT222)-1))/(CE222*BR222)^2)/BT222),0),"")</f>
        <v>#VALUE!</v>
      </c>
      <c r="CL222" s="1587" t="e">
        <f aca="false">IF(OR(BQ222,BS222),IF(OVolType&lt;&gt;2,SQRT(IF(OVolOverMonthlyOffPeak,OVolOverMonthlyOffPeak,IF(OVolCurve,IF(OBuySell,AD222,AF222),AE222))^2*(1-15/365.25/BT222)+IF(OVolOverDailyOffPeak,OVolOverDailyOffPeak,IF(OVolCurve,IF(OBuySell,AP222,AR222),AQ222))^2*15/365.25/BT222),IF(OVolOverMonthlyOffPeak,OVolOverMonthlyOffPeak,IF(OVolCurve,IF(OBuySell,AD222,AF222),AE222))),"")</f>
        <v>#VALUE!</v>
      </c>
      <c r="CM222" s="1587" t="e">
        <f aca="false">IF(BQ222,SQRT(LN(1+((BY222*BP222)^2*(EXP(CJ222^2*BT222)-1)+(BX222*BC222)^2*(EXP(CL222^2*BT222)-1)+2*BY222*BP222*BX222*BC222*(EXP(AS222*CJ222*CL222*BT222)-1))/(BY222*BP222+BX222*BC222)^2)/BT222),"")</f>
        <v>#VALUE!</v>
      </c>
      <c r="CN222" s="1588" t="e">
        <f aca="false">IF(BS222,SQRT(LN(1+((CE222*BR222)^2*(EXP(CK222^2*BT222)-1)+(CD222*BK222)^2*(EXP(CL222^2*BT222)-1)+2*CE222*BR222*CD222*BK222*(EXP(AS222*CK222*CL222*BT222)-1))/(CE222*BR222+CD222*BK222)^2)/BT222),"")</f>
        <v>#VALUE!</v>
      </c>
      <c r="CO222" s="1531" t="e">
        <f aca="false">IF(OR(BQ222,BS222),VLOOKUP(A222,GasTable,13)*HeatRatePeak*(1+VLOOKUP($B222,HeatRateDegradation,$C222+1))/1000,0)</f>
        <v>#VALUE!</v>
      </c>
      <c r="CP222" s="1316" t="e">
        <f aca="false">IF(OR(BQ222,BS222),VLOOKUP(A222,GasTable,13)*HeatRatePeak*(1+VLOOKUP($B222,HeatRateDegradation,$C222+1))/1000,0)</f>
        <v>#VALUE!</v>
      </c>
      <c r="CQ222" s="1316" t="e">
        <f aca="false">IF(OR(BQ222,BS222),VLOOKUP(A222,GasTable,13)*IF(EV222,HeatRatePeak,HeatRateOffPeak)*(1+VLOOKUP($B222,HeatRateDegradation,$C222+1))/1000,0)</f>
        <v>#VALUE!</v>
      </c>
      <c r="CR222" s="1316" t="e">
        <f aca="false">IF(OR(BQ222,BS222),VLOOKUP(A222,GasTable,13)*IF(EW222,HeatRatePeak,HeatRateOffPeak)*(1+VLOOKUP($B222,HeatRateDegradation,$C222+1))/1000,0)</f>
        <v>#VALUE!</v>
      </c>
      <c r="CS222" s="1589" t="e">
        <f aca="false">IF(BQ222,(CO222*AZ222+CP222*BA222+CQ222*BB222+CR222*BC222)/BQ222,0)</f>
        <v>#VALUE!</v>
      </c>
      <c r="CT222" s="1316" t="e">
        <f aca="false">IF(BS222,CO222,0)</f>
        <v>#VALUE!</v>
      </c>
      <c r="CU222" s="1590" t="e">
        <f aca="false">IF(OR(BQ222,BS222),VLOOKUP(A222,GasTable,14),"")</f>
        <v>#VALUE!</v>
      </c>
      <c r="CV222" s="1568" t="e">
        <f aca="false">IF(OR(BQ222,BS222),IF(CorrPowerGasOverFlag,INDEX(CorrPowerGasOver,C222),CorrPowerGas),"")</f>
        <v>#VALUE!</v>
      </c>
      <c r="CW222" s="1316" t="e">
        <f aca="false">IF(OR($BQ222,$BS222),SpreadOptPowerMargin,0)*((1+Assumptions!$C$26)^($B222-YEAR(Assumptions!$C$17)))</f>
        <v>#VALUE!</v>
      </c>
      <c r="CX222" s="1316" t="e">
        <f aca="false">IF(OR($BQ222,$BS222),SpreadOptPowerMargin,0)*((1+Assumptions!$C$26)^($B222-YEAR(Assumptions!$C$17)))</f>
        <v>#VALUE!</v>
      </c>
      <c r="CY222" s="1316" t="e">
        <f aca="false">IF(OR($BQ222,$BS222),SpreadOptPowerMargin,0)*((1+Assumptions!$C$26)^($B222-YEAR(Assumptions!$C$17)))</f>
        <v>#VALUE!</v>
      </c>
      <c r="CZ222" s="1316" t="e">
        <f aca="false">IF(OR($BQ222,$BS222),SpreadOptPowerMargin,0)*((1+Assumptions!$C$26)^($B222-YEAR(Assumptions!$C$17)))</f>
        <v>#VALUE!</v>
      </c>
      <c r="DA222" s="1591" t="e">
        <f aca="false">IF(OR(BQ222,BS222),(CW222*(AZ222+BH222)+CX222*(BA222+BI222)+CY222*(BB222+BJ222)+CZ222*(BC222+BK222))/(BQ222+BS222),0)</f>
        <v>#VALUE!</v>
      </c>
      <c r="DB222" s="1592" t="e">
        <f aca="false">IF(OR(BQ222,BS222),CG222+IF(OVolSmile,VLOOKUP(MAX(-5,CO222+CW222-BU222),IF(OVolSmile=1,VolSmileBook,VolSmileModel),2),0),"")</f>
        <v>#VALUE!</v>
      </c>
      <c r="DC222" s="1592" t="e">
        <f aca="false">IF(OR(BQ222,BS222),CH222+IF(OVolSmile,VLOOKUP(MAX(-5,CP222+CW222-BV222),IF(OVolSmile=1,VolSmileBook,VolSmileModel),2),0),"")</f>
        <v>#VALUE!</v>
      </c>
      <c r="DD222" s="1592" t="e">
        <f aca="false">IF(OR(BQ222,BS222),CI222+IF(OVolSmile,VLOOKUP(MAX(-5,CQ222+CW222-BW222),IF(OVolSmile=1,VolSmileBook,VolSmileModel),2),0),"")</f>
        <v>#VALUE!</v>
      </c>
      <c r="DE222" s="1592" t="e">
        <f aca="false">IF(OR(BQ222,BS222),CL222+IF(OVolSmile,VLOOKUP(MAX(-5,CR222+CZ222-BX222),IF(OVolSmile=1,VolSmileBook,VolSmileModel),2),0),"")</f>
        <v>#VALUE!</v>
      </c>
      <c r="DF222" s="1592" t="e">
        <f aca="false">IF(BQ222,CM222+IF(OVolSmile,VLOOKUP(MAX(-5,CS222+DA222-BZ222),IF(OVolSmile=1,VolSmileBook,VolSmileModel),2),0),"")</f>
        <v>#VALUE!</v>
      </c>
      <c r="DG222" s="1593" t="e">
        <f aca="false">IF(BS222,CN222+IF(OVolSmile,VLOOKUP(MAX(-5,CT222+DA222-CF222),IF(OVolSmile=1,VolSmileBook,VolSmileModel),2),0),"")</f>
        <v>#VALUE!</v>
      </c>
      <c r="DH222" s="1316" t="e">
        <f aca="false">IF(AND(BU222&gt;0,CO222&gt;0,DB222&gt;0,CU222&gt;0),newSPRDOPT(BU222,CO222,CW222,0,DB222,CU222,CV222,BT222*365.25,OCallPut,0),0)</f>
        <v>#VALUE!</v>
      </c>
      <c r="DI222" s="1316" t="e">
        <f aca="false">IF(AND(BV222&gt;0,CP222&gt;0,DC222&gt;0,CU222&gt;0),newSPRDOPT(BV222,CP222,CX222,0,DC222,CU222,CV222,BT222*365.25,OCallPut,0),0)</f>
        <v>#VALUE!</v>
      </c>
      <c r="DJ222" s="1316" t="e">
        <f aca="false">IF(AND(BW222&gt;0,CQ222&gt;0,DD222&gt;0,CU222&gt;0),newSPRDOPT(BW222,CQ222,CY222,0,DD222,CU222,CV222,BT222*365.25,OCallPut,0),0)</f>
        <v>#VALUE!</v>
      </c>
      <c r="DK222" s="1316" t="e">
        <f aca="false">IF(AND(BX222&gt;0,CR222&gt;0,DE222&gt;0,CU222&gt;0),newSPRDOPT(BX222,CR222,CZ222,0,DE222,CU222,CV222,BT222*365.25,OCallPut,0),0)</f>
        <v>#VALUE!</v>
      </c>
      <c r="DL222" s="1316" t="e">
        <f aca="false">IF(OVolType,IF(AND(BZ222&gt;0,CS222&gt;0,DF222&gt;0,CU222&gt;0),newSPRDOPT(BZ222,CS222,DA222,0,DF222,CU222,CV222,BT222*365.25,OCallPut,0),0),IF(BQ222,(DH222*AZ222+DI222*BA222+DJ222*BB222+DK222*BC222)/BQ222,0))</f>
        <v>#VALUE!</v>
      </c>
      <c r="DM222" s="1316"/>
      <c r="DN222" s="1316"/>
      <c r="DO222" s="1316"/>
      <c r="DP222" s="1316"/>
      <c r="DQ222" s="1316"/>
      <c r="DR222" s="1316"/>
      <c r="DS222" s="1316"/>
      <c r="DT222" s="1316"/>
      <c r="DU222" s="1316"/>
      <c r="DV222" s="1316"/>
      <c r="DW222" s="1594" t="e">
        <f aca="false">IF(AND(BW222&gt;0,CT222&gt;0,DD222&gt;0,CU222&gt;0),newSPRDOPT(BW222,CT222,CY222,0,DD222,CU222,CV222,BT222*365.25,OCallPut,0),0)</f>
        <v>#VALUE!</v>
      </c>
      <c r="DX222" s="1316" t="e">
        <f aca="false">IF(AND(BX222&gt;0,CT222&gt;0,DE222&gt;0,CU222&gt;0),newSPRDOPT(BX222,CT222,CZ222,0,DE222,CU222,CV222,BT222*365.25,OCallPut,0),0)</f>
        <v>#VALUE!</v>
      </c>
      <c r="DY222" s="1591" t="e">
        <f aca="false">IF(BS222,(DH222*BH222+DI222*BI222+DW222*BJ222+DX222*BK222)/BS222,0)</f>
        <v>#VALUE!</v>
      </c>
      <c r="DZ222" s="1551" t="e">
        <f aca="false">DH222*AZ222</f>
        <v>#VALUE!</v>
      </c>
      <c r="EA222" s="1551" t="e">
        <f aca="false">DI222*BA222</f>
        <v>#VALUE!</v>
      </c>
      <c r="EB222" s="1551" t="e">
        <f aca="false">DJ222*BB222</f>
        <v>#VALUE!</v>
      </c>
      <c r="EC222" s="1551" t="e">
        <f aca="false">DK222*BC222</f>
        <v>#VALUE!</v>
      </c>
      <c r="ED222" s="1551" t="e">
        <f aca="false">DL222*BQ222</f>
        <v>#VALUE!</v>
      </c>
      <c r="EE222" s="1595" t="e">
        <f aca="false">IF(BQ222,IF(OCallPut,IF(BU222&gt;(CO222+CW222),BU222-(CO222+CW222),0),IF((CO222+CW222)&gt;BU222,(CO222+CW222)-BU222,0))*AZ222,0)</f>
        <v>#VALUE!</v>
      </c>
      <c r="EF222" s="1596" t="e">
        <f aca="false">IF(BQ222,IF(OCallPut,IF(BV222&gt;(CP222+CX222),BV222-(CP222+CX222),0),IF((CP222+CX222)&gt;BV222,(CP222+CX222)-BV222,0))*BA222,0)</f>
        <v>#VALUE!</v>
      </c>
      <c r="EG222" s="1596" t="e">
        <f aca="false">IF(BQ222,IF(OCallPut,IF(BW222&gt;(CQ222+CY222),BW222-(CQ222+CY222),0),IF((CQ222+CY222)&gt;BW222,(CQ222+CY222)-BW222,0))*BB222,0)</f>
        <v>#VALUE!</v>
      </c>
      <c r="EH222" s="1596" t="e">
        <f aca="false">IF(BQ222,IF(OCallPut,IF(BX222&gt;(CR222+CZ222),BX222-(CR222+CZ222),0),IF((CR222+CZ222)&gt;BX222,(CR222+CZ222)-BX222,0))*BC222,0)</f>
        <v>#VALUE!</v>
      </c>
      <c r="EI222" s="1597" t="e">
        <f aca="false">IF(BQ222,IF(OVolType,IF(OCallPut,IF(BZ222&gt;(CS222+DA222),BZ222-(CS222+DA222),0),IF((CS222+DA222)&gt;BZ222,(CS222+DA222)-BZ222,0))*BQ222,SUM(EE222:EH222)),0)</f>
        <v>#VALUE!</v>
      </c>
      <c r="EJ222" s="1595" t="e">
        <f aca="false">DZ222-EE222</f>
        <v>#VALUE!</v>
      </c>
      <c r="EK222" s="1596" t="e">
        <f aca="false">EA222-EF222</f>
        <v>#VALUE!</v>
      </c>
      <c r="EL222" s="1596" t="e">
        <f aca="false">EB222-EG222</f>
        <v>#VALUE!</v>
      </c>
      <c r="EM222" s="1596" t="e">
        <f aca="false">EC222-EH222</f>
        <v>#VALUE!</v>
      </c>
      <c r="EN222" s="1597" t="e">
        <f aca="false">ED222-EI222</f>
        <v>#VALUE!</v>
      </c>
      <c r="EO222" s="1551" t="e">
        <f aca="false">DH222*BH222</f>
        <v>#VALUE!</v>
      </c>
      <c r="EP222" s="1551" t="e">
        <f aca="false">DI222*BI222</f>
        <v>#VALUE!</v>
      </c>
      <c r="EQ222" s="1551" t="e">
        <f aca="false">DW222*BJ222</f>
        <v>#VALUE!</v>
      </c>
      <c r="ER222" s="1551" t="e">
        <f aca="false">DX222*BK222</f>
        <v>#VALUE!</v>
      </c>
      <c r="ES222" s="1551" t="e">
        <f aca="false">DY222*BS222</f>
        <v>#VALUE!</v>
      </c>
      <c r="ET222" s="1566" t="e">
        <f aca="false">IF(EI222,IF(OCallPut,IF(CA222&gt;(CT222+CW222),CA222-(CT222+CW222),0),IF((CT222+CW222)&gt;CA222,(CT222+CW222)-CA222,0))*BH222,0)</f>
        <v>#VALUE!</v>
      </c>
      <c r="EU222" s="1551" t="e">
        <f aca="false">IF(EI222,IF(OCallPut,IF(CB222&gt;(CT222+CX222),CB222-(CT222+CX222),0),IF((CT222+CX222)&gt;CB222,(CT222+CX222)-CB222,0))*BI222,0)</f>
        <v>#VALUE!</v>
      </c>
      <c r="EV222" s="1551" t="e">
        <f aca="false">IF(EI222,IF(OCallPut,IF(CC222&gt;(CT222+CY222),CC222-(CT222+CY222),0),IF((CT222+CY222)&gt;CC222,(CT222+CY222)-CC222,0))*BJ222,0)</f>
        <v>#VALUE!</v>
      </c>
      <c r="EW222" s="1551" t="e">
        <f aca="false">IF(EI222,IF(OCallPut,IF(CD222&gt;(CT222+CZ222),CD222-(CT222+CZ222),0),IF((CT222+CZ222)&gt;CD222,(CT222+CZ222)-CD222,0))*BK222,0)</f>
        <v>#VALUE!</v>
      </c>
      <c r="EX222" s="1558" t="e">
        <f aca="false">IF(EI222,SUM(ET222:EW222),0)</f>
        <v>#VALUE!</v>
      </c>
      <c r="EY222" s="1551" t="e">
        <f aca="false">EO222-ET222</f>
        <v>#VALUE!</v>
      </c>
      <c r="EZ222" s="1551" t="e">
        <f aca="false">EP222-EU222</f>
        <v>#VALUE!</v>
      </c>
      <c r="FA222" s="1551" t="e">
        <f aca="false">EQ222-EV222</f>
        <v>#VALUE!</v>
      </c>
      <c r="FB222" s="1551" t="e">
        <f aca="false">ER222-EW222</f>
        <v>#VALUE!</v>
      </c>
      <c r="FC222" s="1551" t="e">
        <f aca="false">ES222-EX222</f>
        <v>#VALUE!</v>
      </c>
      <c r="FD222" s="1525" t="n">
        <f aca="false">IF(AX222,IF(VLOOKUP(C222,MAIN!$L$17:$M$28,2)="Yes",VLOOKUP(CALC!B222,MAIN!$H$17:$I$20,2),0),0)</f>
        <v>0</v>
      </c>
      <c r="FE222" s="1552" t="e">
        <f aca="false">$FD222*16*AT222*(1-$AY222)</f>
        <v>#VALUE!</v>
      </c>
      <c r="FF222" s="1553" t="e">
        <f aca="false">$FD222*16*AU222*(1-$AY222)</f>
        <v>#VALUE!</v>
      </c>
      <c r="FG222" s="1553" t="e">
        <f aca="false">$FD222*16*(AV222+AW222)*(1-$AY222)</f>
        <v>#VALUE!</v>
      </c>
      <c r="FH222" s="1554" t="n">
        <f aca="false">$FD222*8*AX222*(1-$AY222)</f>
        <v>0</v>
      </c>
      <c r="FI222" s="1555" t="n">
        <f aca="false">IF(AX222,VLOOKUP(CALC!B222,MAIN!$H$17:$K$20,4),0)</f>
        <v>0</v>
      </c>
      <c r="FJ222" s="1553" t="e">
        <f aca="false">SUM(FE222:FH222)</f>
        <v>#VALUE!</v>
      </c>
      <c r="FK222" s="1556" t="e">
        <f aca="false">FI222*FJ222</f>
        <v>#VALUE!</v>
      </c>
      <c r="FL222" s="1551" t="e">
        <f aca="false">IF($EI222&gt;0,MIN(FE222,AZ222*(1+VLOOKUP($C222,WeatherCapacityAdjustment,2))),0)</f>
        <v>#VALUE!</v>
      </c>
      <c r="FM222" s="1551" t="e">
        <f aca="false">IF($EI222&gt;0,MIN(FF222,BA222*(1+VLOOKUP($C222,WeatherCapacityAdjustment,2))),0)</f>
        <v>#VALUE!</v>
      </c>
      <c r="FN222" s="1551" t="e">
        <f aca="false">IF($EI222&gt;0,MIN(FG222,BB222*(1+VLOOKUP($C222,WeatherCapacityAdjustment,2))),0)</f>
        <v>#VALUE!</v>
      </c>
      <c r="FO222" s="1564" t="e">
        <f aca="false">IF($EI222&gt;0,MIN(FH222,BC222*(1+VLOOKUP($C222,WeatherCapacityAdjustment,3))),0)</f>
        <v>#VALUE!</v>
      </c>
      <c r="FP222" s="1551" t="e">
        <f aca="false">IF(ET222&gt;0,MIN(FE222-FL222,BH222*(1+VLOOKUP($C222,WeatherCapacityAdjustment,2))),0)</f>
        <v>#VALUE!</v>
      </c>
      <c r="FQ222" s="1551" t="e">
        <f aca="false">IF(EU222&gt;0,MIN(FF222-FM222,BI222*(1+VLOOKUP($C222,WeatherCapacityAdjustment,2))),0)</f>
        <v>#VALUE!</v>
      </c>
      <c r="FR222" s="1551" t="e">
        <f aca="false">IF(EV222&gt;0,MIN(FG222-FN222,BJ222*(1+VLOOKUP($C222,WeatherCapacityAdjustment,2))),0)</f>
        <v>#VALUE!</v>
      </c>
      <c r="FS222" s="1558" t="e">
        <f aca="false">IF(EW222&gt;0,MIN(FH222-FO222,BK222*(1+VLOOKUP($C222,WeatherCapacityAdjustment,3))),0)</f>
        <v>#VALUE!</v>
      </c>
      <c r="FT222" s="1566" t="e">
        <f aca="false">IF(AND(Assumptions!$H$71="Yes",A222&gt;=Assumptions!$H$72,A222&lt;=Assumptions!$H$73),0,IF(AND($A222&gt;=Assumptions!$C$17,$A222&lt;=Assumptions!$C$18),MAX(AZ222*(1+VLOOKUP($C222,WeatherCapacityAdjustment,2))-FL222,0),0))</f>
        <v>#VALUE!</v>
      </c>
      <c r="FU222" s="1551" t="e">
        <f aca="false">IF(AND(Assumptions!$H$71="Yes",A222&gt;=Assumptions!$H$72,A222&lt;=Assumptions!$H$73),0,IF(AND($A222&gt;=Assumptions!$C$17,$A222&lt;=Assumptions!$C$18),MAX(BA222*(1+VLOOKUP($C222,WeatherCapacityAdjustment,2))-FM222,0),0))</f>
        <v>#VALUE!</v>
      </c>
      <c r="FV222" s="1551" t="e">
        <f aca="false">IF(AND(Assumptions!$H$71="Yes",A222&gt;=Assumptions!$H$72,A222&lt;=Assumptions!$H$73),0,IF(AND($A222&gt;=Assumptions!$C$17,$A222&lt;=Assumptions!$C$18),MAX(BB222*(1+VLOOKUP($C222,WeatherCapacityAdjustment,2))-FN222,0),0))</f>
        <v>#VALUE!</v>
      </c>
      <c r="FW222" s="1564" t="e">
        <f aca="false">IF(AND(Assumptions!$H$71="Yes",A222&gt;=Assumptions!$H$72,A222&lt;=Assumptions!$H$73),0,IF(AND($A222&gt;=Assumptions!$C$17,$A222&lt;=Assumptions!$C$18),MAX(BC222*(1+VLOOKUP($C222,WeatherCapacityAdjustment,3))-FO222,0),0))</f>
        <v>#VALUE!</v>
      </c>
      <c r="FX222" s="1569" t="e">
        <f aca="false">IF(AND(Assumptions!$H$71="Yes",A222&gt;=Assumptions!$H$72,A222&lt;=Assumptions!$H$73),0,IF(ET222&gt;0,MAX(BH222*(1+VLOOKUP($C222,WeatherCapacityAdjustment,2))-FP222,0),0))</f>
        <v>#VALUE!</v>
      </c>
      <c r="FY222" s="1551" t="e">
        <f aca="false">IF(AND(Assumptions!$H$71="Yes",A222&gt;=Assumptions!$H$72,A222&lt;=Assumptions!$H$73),0,IF(EU222&gt;0,MAX(BI222*(1+VLOOKUP($C222,WeatherCapacityAdjustment,3))-FQ222,0),0))</f>
        <v>#VALUE!</v>
      </c>
      <c r="FZ222" s="1551" t="e">
        <f aca="false">IF(AND(Assumptions!$H$71="Yes",A222&gt;=Assumptions!$H$72,A222&lt;=Assumptions!$H$73),0,IF(EV222&gt;0,MAX(BJ222*(1+VLOOKUP($C222,WeatherCapacityAdjustment,2))-FR222,0),0))</f>
        <v>#VALUE!</v>
      </c>
      <c r="GA222" s="1564" t="e">
        <f aca="false">IF(AND(Assumptions!$H$71="Yes",A222&gt;=Assumptions!$H$72,A222&lt;=Assumptions!$H$73),0,IF(EW222&gt;0,MAX(BK222*(1+VLOOKUP($C222,WeatherCapacityAdjustment,2))-FS222,0),0))</f>
        <v>#VALUE!</v>
      </c>
      <c r="GB222" s="1551" t="e">
        <f aca="false">SUM(FT222:GA222)</f>
        <v>#VALUE!</v>
      </c>
      <c r="GC222" s="1563" t="e">
        <f aca="false">+IF(SUM(FT222:GA222)=0,0,(SUMPRODUCT(BU222:BX222,FT222:FW222)+SUMPRODUCT(CA222:CD222,FX222:GA222))/SUM(FT222:GA222))</f>
        <v>#VALUE!</v>
      </c>
      <c r="GD222" s="1551" t="e">
        <f aca="false">(FT222*BU222+FX222*CA222+FU222*BV222+FY222*CB222+FV222*BW222+FZ222*CC222+FW222*BX222+GA222*CD222)</f>
        <v>#VALUE!</v>
      </c>
      <c r="GE222" s="1561" t="e">
        <f aca="false">+IF(BQ222,((FL222+FM222+FT222+FU222)*HeatRatePeak/1000*(1+VLOOKUP($C222,WeatherHeatRateAdjustment,2))+(FN222+FV222)*IF(EV222&gt;0,HeatRatePeak,HeatRateOffPeak)/1000*(1+VLOOKUP($C222,WeatherHeatRateAdjustment,2))+(FO222+FW222)*IF(EW222&gt;0,HeatRatePeak,HeatRateOffPeak)/1000*(1+VLOOKUP($C222,WeatherHeatRateAdjustment,3)))*(1+VLOOKUP($B222,HeatRateDegradation,$C222+1)),0)</f>
        <v>#VALUE!</v>
      </c>
      <c r="GF222" s="1562" t="e">
        <f aca="false">IF(BQ222,((FP222+FQ222+FR222+FX222+FY222+FZ222)*HeatRatePeak/1000*(1+VLOOKUP($C222,WeatherHeatRateAdjustment,2))+(FS222+GA222)*HeatRatePeak/1000*(1+VLOOKUP($C222,WeatherHeatRateAdjustment,3)))*(1+VLOOKUP($B222,HeatRateDegradation,$C222+1)),0)</f>
        <v>#VALUE!</v>
      </c>
      <c r="GG222" s="1563" t="e">
        <f aca="false">IF(BQ222,VLOOKUP(A222,GasTable,13),0)</f>
        <v>#VALUE!</v>
      </c>
      <c r="GH222" s="1564" t="e">
        <f aca="false">(GE222+GF222)*GG222</f>
        <v>#VALUE!</v>
      </c>
      <c r="GI222" s="1569" t="e">
        <f aca="false">GB222</f>
        <v>#VALUE!</v>
      </c>
      <c r="GJ222" s="1598" t="e">
        <f aca="false">+DA222</f>
        <v>#VALUE!</v>
      </c>
      <c r="GK222" s="1558" t="e">
        <f aca="false">+GI222*GJ222</f>
        <v>#VALUE!</v>
      </c>
      <c r="GL222" s="1566" t="e">
        <f aca="false">MAX(FE222-FL222-FP222,0)</f>
        <v>#VALUE!</v>
      </c>
      <c r="GM222" s="1551" t="e">
        <f aca="false">MAX(FF222-FM222-FQ222,0)</f>
        <v>#VALUE!</v>
      </c>
      <c r="GN222" s="1551" t="e">
        <f aca="false">MAX(FG222-FN222-FR222,0)</f>
        <v>#VALUE!</v>
      </c>
      <c r="GO222" s="1564" t="e">
        <f aca="false">MAX(FH222-FO222-FS222,0)</f>
        <v>#VALUE!</v>
      </c>
      <c r="GP222" s="1551" t="e">
        <f aca="false">SUM(GL222:GO222)</f>
        <v>#VALUE!</v>
      </c>
      <c r="GQ222" s="1563" t="e">
        <f aca="false">IF(SUM(GL222:GO222)=0,0,((GL222*BU222+GM222*BV222+GN222*BW222+GO222*BX222)/SUM(GL222:GO222)))</f>
        <v>#VALUE!</v>
      </c>
      <c r="GR222" s="1558" t="e">
        <f aca="false">(GL222*BU222+GM222*BV222+GN222*BW222+GO222*BX222)</f>
        <v>#VALUE!</v>
      </c>
      <c r="GS222" s="1566" t="n">
        <f aca="false">IF($A222&gt;=BegDate,Assumptions!$C$56*24*($A223-$A222)*(1-VLOOKUP($B222,MAIN!$AA$7:$AM$28,$C222+1))*(1-VLOOKUP($B222,MAIN!$AA$33:$AM$54,$C222+1)),0)*80/168</f>
        <v>249428.571428571</v>
      </c>
      <c r="GT222" s="286" t="n">
        <f aca="false">J222</f>
        <v>44.839930966799</v>
      </c>
      <c r="GU222" s="286" t="n">
        <f aca="false">IF($A222&gt;=BegDate,VLOOKUP($A222,GasTable,13)+Assumptions!$C$58,0)</f>
        <v>3.29442596200422</v>
      </c>
      <c r="GV222" s="286" t="n">
        <f aca="false">GU222*Assumptions!$C$57/1000</f>
        <v>23.8845882245306</v>
      </c>
      <c r="GW222" s="1558" t="n">
        <f aca="false">IF(Assumptions!$C$60="Hourly",MAX(0,GS222*(GT222-GV222)),GS222*(GT222-GV222))</f>
        <v>5226861.2040001</v>
      </c>
      <c r="GX222" s="1566" t="n">
        <f aca="false">IF($A222&gt;=BegDate,Assumptions!$C$56*24*($A223-$A222)*(1-VLOOKUP($B222,MAIN!$AA$7:$AM$28,$C222+1))*(1-VLOOKUP($B222,MAIN!$AA$33:$AM$54,$C222+1)),0)*16/168</f>
        <v>49885.7142857143</v>
      </c>
      <c r="GY222" s="286" t="n">
        <f aca="false">M222</f>
        <v>44.839930966799</v>
      </c>
      <c r="GZ222" s="286" t="n">
        <f aca="false">IF($A222&gt;=BegDate,VLOOKUP($A222,GasTable,13)+Assumptions!$C$58,0)</f>
        <v>3.29442596200422</v>
      </c>
      <c r="HA222" s="286" t="n">
        <f aca="false">GZ222*Assumptions!$C$57/1000</f>
        <v>23.8845882245306</v>
      </c>
      <c r="HB222" s="1558" t="n">
        <f aca="false">IF(Assumptions!$C$60="Hourly",MAX(0,GX222*(GY222-HA222)),GX222*(GY222-HA222))</f>
        <v>1045372.24080002</v>
      </c>
      <c r="HC222" s="1566" t="n">
        <f aca="false">IF($A222&gt;=BegDate,Assumptions!$C$56*24*($A223-$A222)*(1-VLOOKUP($B222,MAIN!$AA$7:$AM$28,$C222+1))*(1-VLOOKUP($B222,MAIN!$AA$33:$AM$54,$C222+1)),0)*16/168</f>
        <v>49885.7142857143</v>
      </c>
      <c r="HD222" s="286" t="n">
        <f aca="false">P222</f>
        <v>26.7864783250092</v>
      </c>
      <c r="HE222" s="286" t="n">
        <f aca="false">IF($A222&gt;=BegDate,VLOOKUP($A222,GasTable,13)+Assumptions!$C$58,0)</f>
        <v>3.29442596200422</v>
      </c>
      <c r="HF222" s="286" t="n">
        <f aca="false">HE222*Assumptions!$C$57/1000</f>
        <v>23.8845882245306</v>
      </c>
      <c r="HG222" s="1558" t="n">
        <f aca="false">IF(Assumptions!$C$60="Hourly",MAX(0,HC222*(HD222-HF222)),HC222*(HD222-HF222))</f>
        <v>144762.860441017</v>
      </c>
      <c r="HH222" s="1566" t="n">
        <f aca="false">IF($A222&gt;=BegDate,Assumptions!$C$56*24*($A223-$A222)*(1-VLOOKUP($B222,MAIN!$AA$7:$AM$28,$C222+1))*(1-VLOOKUP($B222,MAIN!$AA$33:$AM$54,$C222+1)),0)*56/168</f>
        <v>174600</v>
      </c>
      <c r="HI222" s="286" t="n">
        <f aca="false">S222</f>
        <v>26.7864783250092</v>
      </c>
      <c r="HJ222" s="286" t="n">
        <f aca="false">IF($A222&gt;=BegDate,VLOOKUP($A222,GasTable,13)+Assumptions!$C$58,0)</f>
        <v>3.29442596200422</v>
      </c>
      <c r="HK222" s="286" t="n">
        <f aca="false">HJ222*Assumptions!$C$57/1000</f>
        <v>23.8845882245306</v>
      </c>
      <c r="HL222" s="1558" t="n">
        <f aca="false">IF(Assumptions!$C$60="Hourly",MAX(0,HH222*(HI222-HK222)),HH222*(HI222-HK222))</f>
        <v>506670.011543559</v>
      </c>
      <c r="HM222" s="1566" t="n">
        <f aca="false">IF(AND(Assumptions!$H$71="Yes",A222&gt;=Assumptions!$H$72,A222&lt;=Assumptions!$H$73),Assumptions!$H$74*Assumptions!$C$9*1000,0)</f>
        <v>0</v>
      </c>
      <c r="HN222" s="1551"/>
      <c r="HO222" s="1563"/>
      <c r="HP222" s="1563"/>
      <c r="HQ222" s="1563"/>
      <c r="HR222" s="1563"/>
      <c r="HS222" s="1563"/>
      <c r="HT222" s="1563"/>
      <c r="HU222" s="1563"/>
      <c r="HV222" s="1563"/>
      <c r="HW222" s="1563"/>
      <c r="HX222" s="1563"/>
      <c r="HY222" s="1563"/>
      <c r="HZ222" s="1563"/>
      <c r="IA222" s="1563"/>
      <c r="IB222" s="1563"/>
      <c r="IC222" s="1563"/>
      <c r="ID222" s="1563"/>
      <c r="IE222" s="1563"/>
      <c r="IF222" s="1563"/>
      <c r="IG222" s="1563"/>
      <c r="IH222" s="1563"/>
      <c r="II222" s="1610"/>
      <c r="IJ222" s="1309"/>
      <c r="IK222" s="1309"/>
    </row>
    <row r="223" customFormat="false" ht="12.75" hidden="false" customHeight="false" outlineLevel="0" collapsed="false">
      <c r="A223" s="1571" t="n">
        <f aca="false">EOMONTH(A222,0)+1</f>
        <v>42917</v>
      </c>
      <c r="B223" s="594" t="n">
        <f aca="false">+YEAR(A223)</f>
        <v>2017</v>
      </c>
      <c r="C223" s="238" t="n">
        <f aca="false">MONTH(A223)</f>
        <v>7</v>
      </c>
      <c r="D223" s="1572" t="e">
        <f aca="false">IF(E223="","",Holiday(B223,C223))</f>
        <v>#VALUE!</v>
      </c>
      <c r="E223" s="1573" t="n">
        <f aca="false">IF(OR(BegDate&gt;=A224,EndDate&lt;A223,AND(VolumeMonthlyOverFlag,INDEX(VolumeMonthlyOver,C223)=0),NOT(INDEX(MonthKnockOutTable,C223))),"",MAX(A223,BegDate))</f>
        <v>42917</v>
      </c>
      <c r="F223" s="1574" t="n">
        <f aca="false">IF(E223="","",MIN(A224-1,EndDate))</f>
        <v>42947</v>
      </c>
      <c r="G223" s="1575" t="n">
        <v>0</v>
      </c>
      <c r="H223" s="1576" t="n">
        <f aca="false">(1+G223/2)^(-2*(DATE(B224,C224,20)-DateToday)/365.25)</f>
        <v>1</v>
      </c>
      <c r="I223" s="1568" t="n">
        <f aca="false">IF(Assumptions!$L$25=4,VLOOKUP($A223,'Henwood Reference'!$E$9:$R$320,10),(VLOOKUP($A223,PriceTable,2,0)+IF(BasisNumber&lt;&gt;1,VLOOKUP($A223,BasisTable,2,0),0)+I$1)/(1-I$2))</f>
        <v>66.8202206445721</v>
      </c>
      <c r="J223" s="1568" t="n">
        <f aca="false">IF(Assumptions!$L$25=4,VLOOKUP($A223,'Henwood Reference'!$E$9:$R$320,10),(VLOOKUP($A223,PriceTable,3,0)+IF(BasisNumber&lt;&gt;1,VLOOKUP($A223,BasisTable,2,0),0)+J$1)/(1-J$2))</f>
        <v>66.8202206445721</v>
      </c>
      <c r="K223" s="1568" t="n">
        <f aca="false">IF(Assumptions!$L$25=4,VLOOKUP($A223,'Henwood Reference'!$E$9:$R$320,10),(VLOOKUP($A223,PriceTable,4,0)+IF(BasisNumber&lt;&gt;1,VLOOKUP($A223,BasisTable,2,0),0)+K$1)/(1-K$2))</f>
        <v>66.8202206445721</v>
      </c>
      <c r="L223" s="1523" t="n">
        <f aca="false">IF(Assumptions!$L$25=4,VLOOKUP($A223,'Henwood Reference'!$E$9:$R$320,10),(VLOOKUP($A223,PriceTableWeekend,2,0)+IF(BasisNumber&lt;&gt;1,VLOOKUP($A223,BasisTable,2,0),0)+L$1)/(1-L$2))</f>
        <v>66.8202206445721</v>
      </c>
      <c r="M223" s="1568" t="n">
        <f aca="false">IF(Assumptions!$L$25=4,VLOOKUP($A223,'Henwood Reference'!$E$9:$R$320,10),(VLOOKUP($A223,PriceTableWeekend,3,0)+IF(BasisNumber&lt;&gt;1,VLOOKUP($A223,BasisTable,2,0),0)+M$1)/(1-M$2))</f>
        <v>66.8202206445721</v>
      </c>
      <c r="N223" s="1599" t="n">
        <f aca="false">IF(Assumptions!$L$25=4,VLOOKUP($A223,'Henwood Reference'!$E$9:$R$320,10),(VLOOKUP($A223,PriceTableWeekend,4,0)+IF(BasisNumber&lt;&gt;1,VLOOKUP($A223,BasisTable,2,0),0)+N$1)/(1-N$2))</f>
        <v>66.8202206445721</v>
      </c>
      <c r="O223" s="1568" t="n">
        <f aca="false">IF(Assumptions!$L$25=4,VLOOKUP($A223,'Henwood Reference'!$E$9:$R$320,11),(VLOOKUP($A223,PriceTableWeekend,6,0)+IF(BasisNumber&lt;&gt;1,VLOOKUP($A223,BasisTable,3,0),0)+O$1)/(1-O$2))</f>
        <v>32.1905700582404</v>
      </c>
      <c r="P223" s="1568" t="n">
        <f aca="false">IF(Assumptions!$L$25=4,VLOOKUP($A223,'Henwood Reference'!$E$9:$R$320,11),(VLOOKUP($A223,PriceTableWeekend,7,0)+IF(BasisNumber&lt;&gt;1,VLOOKUP($A223,BasisTable,3,0),0)+P$1)/(1-P$2))</f>
        <v>32.1905700582404</v>
      </c>
      <c r="Q223" s="1599" t="n">
        <f aca="false">IF(Assumptions!$L$25=4,VLOOKUP($A223,'Henwood Reference'!$E$9:$R$320,11),(VLOOKUP($A223,PriceTableWeekend,8,0)+IF(BasisNumber&lt;&gt;1,VLOOKUP($A223,BasisTable,3,0),0)+Q$1)/(1-Q$2))</f>
        <v>32.1905700582404</v>
      </c>
      <c r="R223" s="1568" t="n">
        <f aca="false">IF(Assumptions!$L$25=4,VLOOKUP($A223,'Henwood Reference'!$E$9:$R$320,11),(VLOOKUP($A223,PriceTable,6,0)+IF(BasisNumber&lt;&gt;1,VLOOKUP($A223,BasisTable,3,0),0)+R$1)/(1-R$2))</f>
        <v>32.1905700582404</v>
      </c>
      <c r="S223" s="1568" t="n">
        <f aca="false">IF(Assumptions!$L$25=4,VLOOKUP($A223,'Henwood Reference'!$E$9:$R$320,11),(VLOOKUP($A223,PriceTable,7,0)+IF(BasisNumber&lt;&gt;1,VLOOKUP($A223,BasisTable,3,0),0)+S$1)/(1-S$2))</f>
        <v>32.1905700582404</v>
      </c>
      <c r="T223" s="1600" t="n">
        <f aca="false">IF(Assumptions!$L$25=4,VLOOKUP($A223,'Henwood Reference'!$E$9:$R$320,11),(VLOOKUP($A223,PriceTable,8,0)+IF(BasisNumber&lt;&gt;1,VLOOKUP($A223,BasisTable,3,0),0)+T$1)/(1-T$2))</f>
        <v>32.1905700582404</v>
      </c>
      <c r="U223" s="1513" t="n">
        <f aca="false">VLOOKUP($A223,VolatilityTable,14)</f>
        <v>0.09</v>
      </c>
      <c r="V223" s="1513" t="n">
        <f aca="false">VLOOKUP($A223,VolatilityTable,15)</f>
        <v>0.1</v>
      </c>
      <c r="W223" s="1514" t="n">
        <f aca="false">VLOOKUP($A223,VolatilityTable,16)</f>
        <v>0.11</v>
      </c>
      <c r="X223" s="1513" t="n">
        <f aca="false">VLOOKUP($A223,VolatilityTable,14)</f>
        <v>0.09</v>
      </c>
      <c r="Y223" s="1513" t="n">
        <f aca="false">VLOOKUP($A223,VolatilityTable,15)</f>
        <v>0.1</v>
      </c>
      <c r="Z223" s="1514" t="n">
        <f aca="false">VLOOKUP($A223,VolatilityTable,16)</f>
        <v>0.11</v>
      </c>
      <c r="AA223" s="1513" t="n">
        <f aca="false">VLOOKUP($A223,VolatilityTable,18)</f>
        <v>0.09</v>
      </c>
      <c r="AB223" s="1513" t="n">
        <f aca="false">VLOOKUP($A223,VolatilityTable,19)</f>
        <v>0.11</v>
      </c>
      <c r="AC223" s="1514" t="n">
        <f aca="false">VLOOKUP($A223,VolatilityTable,20)</f>
        <v>0.13</v>
      </c>
      <c r="AD223" s="1513" t="n">
        <f aca="false">VLOOKUP($A223,VolatilityTable,18)</f>
        <v>0.09</v>
      </c>
      <c r="AE223" s="1513" t="n">
        <f aca="false">VLOOKUP($A223,VolatilityTable,19)</f>
        <v>0.11</v>
      </c>
      <c r="AF223" s="1514" t="n">
        <f aca="false">VLOOKUP($A223,VolatilityTable,20)</f>
        <v>0.13</v>
      </c>
      <c r="AG223" s="1513" t="n">
        <f aca="false">VLOOKUP($A223,VolatilityTable,22)</f>
        <v>-0.35</v>
      </c>
      <c r="AH223" s="1513" t="n">
        <f aca="false">VLOOKUP($A223,VolatilityTable,23)</f>
        <v>0.65</v>
      </c>
      <c r="AI223" s="1514" t="n">
        <f aca="false">VLOOKUP($A223,VolatilityTable,24)</f>
        <v>0.35</v>
      </c>
      <c r="AJ223" s="1513" t="n">
        <f aca="false">VLOOKUP($A223,VolatilityTable,22)</f>
        <v>-0.35</v>
      </c>
      <c r="AK223" s="1513" t="n">
        <f aca="false">VLOOKUP($A223,VolatilityTable,23)</f>
        <v>0.65</v>
      </c>
      <c r="AL223" s="1514" t="n">
        <f aca="false">VLOOKUP($A223,VolatilityTable,24)</f>
        <v>0.35</v>
      </c>
      <c r="AM223" s="1513" t="n">
        <f aca="false">VLOOKUP($A223,VolatilityTable,26)</f>
        <v>-0.01</v>
      </c>
      <c r="AN223" s="1513" t="n">
        <f aca="false">VLOOKUP($A223,VolatilityTable,27)</f>
        <v>0.16</v>
      </c>
      <c r="AO223" s="1514" t="n">
        <f aca="false">VLOOKUP($A223,VolatilityTable,28)</f>
        <v>0.01</v>
      </c>
      <c r="AP223" s="1513" t="n">
        <f aca="false">VLOOKUP($A223,VolatilityTable,26)</f>
        <v>-0.01</v>
      </c>
      <c r="AQ223" s="1513" t="n">
        <f aca="false">VLOOKUP($A223,VolatilityTable,27)</f>
        <v>0.16</v>
      </c>
      <c r="AR223" s="1515" t="n">
        <f aca="false">VLOOKUP($A223,VolatilityTable,28)</f>
        <v>0.01</v>
      </c>
      <c r="AS223" s="1581" t="n">
        <f aca="false">IF(CorrPeakOffPeakOverFlag,INDEX(CorrPeakOffPeakOver,C223),CorrPeakOffPeak)</f>
        <v>0.5</v>
      </c>
      <c r="AT223" s="594" t="e">
        <f aca="false">AX223-SUM(AU223:AW223)</f>
        <v>#VALUE!</v>
      </c>
      <c r="AU223" s="238" t="e">
        <f aca="false">IF(E223="",0,INT((F223-MOD(F223,7)-E223)/7)+1-IF(AW223,IF(WEEKDAY(D223)=7,1,0),0))</f>
        <v>#VALUE!</v>
      </c>
      <c r="AV223" s="238" t="e">
        <f aca="false">IF(E223="",0,INT((F223-MOD(F223-1,7)-E223)/7)+1-IF(AW223,IF(WEEKDAY(D223)=1,1,0),0))</f>
        <v>#VALUE!</v>
      </c>
      <c r="AW223" s="238" t="e">
        <f aca="false">IF(OR(E223="",D223="",D223&lt;BegDate,D223&gt;EndDate),0,1)</f>
        <v>#VALUE!</v>
      </c>
      <c r="AX223" s="238" t="n">
        <f aca="false">IF(E223="",0,F223-E223+1)</f>
        <v>31</v>
      </c>
      <c r="AY223" s="1582" t="n">
        <f aca="false">IF(E223="",0,MIN((1-(1-VLOOKUP(B223,MAIN!$AA$7:$AM$28,C223+1))*(1-VLOOKUP(B223,MAIN!$AA$33:$AM$54,C223+1))),1))</f>
        <v>0.03</v>
      </c>
      <c r="AZ223" s="1519" t="e">
        <v>#VALUE!</v>
      </c>
      <c r="BA223" s="1520" t="e">
        <v>#VALUE!</v>
      </c>
      <c r="BB223" s="1520" t="e">
        <v>#VALUE!</v>
      </c>
      <c r="BC223" s="1583" t="e">
        <v>#VALUE!</v>
      </c>
      <c r="BD223" s="1522" t="e">
        <v>#VALUE!</v>
      </c>
      <c r="BE223" s="1523" t="e">
        <v>#VALUE!</v>
      </c>
      <c r="BF223" s="1523" t="e">
        <v>#VALUE!</v>
      </c>
      <c r="BG223" s="1584" t="e">
        <v>#VALUE!</v>
      </c>
      <c r="BH223" s="1525" t="e">
        <v>#VALUE!</v>
      </c>
      <c r="BI223" s="1520" t="e">
        <v>#VALUE!</v>
      </c>
      <c r="BJ223" s="1520" t="e">
        <v>#VALUE!</v>
      </c>
      <c r="BK223" s="1583" t="e">
        <v>#VALUE!</v>
      </c>
      <c r="BL223" s="1522" t="e">
        <v>#VALUE!</v>
      </c>
      <c r="BM223" s="1523" t="e">
        <v>#VALUE!</v>
      </c>
      <c r="BN223" s="1523" t="e">
        <v>#VALUE!</v>
      </c>
      <c r="BO223" s="1523" t="e">
        <v>#VALUE!</v>
      </c>
      <c r="BP223" s="1525" t="e">
        <f aca="false">SUM(AZ223:BB223)</f>
        <v>#VALUE!</v>
      </c>
      <c r="BQ223" s="1529" t="e">
        <f aca="false">SUM(AZ223:BC223)</f>
        <v>#VALUE!</v>
      </c>
      <c r="BR223" s="1519" t="e">
        <f aca="false">SUM(BH223:BJ223)</f>
        <v>#VALUE!</v>
      </c>
      <c r="BS223" s="1529" t="e">
        <f aca="false">SUM(BH223:BK223)</f>
        <v>#VALUE!</v>
      </c>
      <c r="BT223" s="1316" t="n">
        <f aca="false">(IF(OVolType&lt;&gt;2,A223+14,IF(OptExpDateShift,ShiftBack(A223,OptExpDateShift,D222),A223))-DateToday)/365.25</f>
        <v>17.2128678986995</v>
      </c>
      <c r="BU223" s="1585" t="e">
        <f aca="false">IF(BQ223,IF(OPriceCurve,IF(OBuySell=OCallPut,I223/(1-AY223),K223/(1-AY223)),J223/(1-AY223))*BD223,0)</f>
        <v>#VALUE!</v>
      </c>
      <c r="BV223" s="1316" t="e">
        <f aca="false">IF(BQ223,IF(OPriceCurve,IF(OBuySell=OCallPut,L223/(1-AY223),N223/(1-AY223)),M223/(1-AY223))*BE223,0)</f>
        <v>#VALUE!</v>
      </c>
      <c r="BW223" s="1316" t="e">
        <f aca="false">IF(BQ223,IF(OPriceCurve,IF(OBuySell=OCallPut,O223/(1-AY223),Q223/(1-AY223)),P223/(1-AY223))*BF223,0)</f>
        <v>#VALUE!</v>
      </c>
      <c r="BX223" s="1316" t="e">
        <f aca="false">IF(BQ223,IF(OPriceCurve,IF(OBuySell=OCallPut,R223/(1-AY223),T223/(1-AY223)),S223/(1-AY223))*BG223,0)</f>
        <v>#VALUE!</v>
      </c>
      <c r="BY223" s="1316" t="e">
        <f aca="false">IF(BP223,(BU223*AZ223+BV223*BA223+BW223*BB223)/BP223,0)</f>
        <v>#VALUE!</v>
      </c>
      <c r="BZ223" s="1316" t="e">
        <f aca="false">IF(BQ223,(BY223*BP223+BX223*BC223)/BQ223,0)</f>
        <v>#VALUE!</v>
      </c>
      <c r="CA223" s="1531" t="e">
        <f aca="false">IF(BS223,IF(OPriceCurve,IF(OBuySell=OCallPut,I223/(1-AY223),K223/(1-AY223)),J223/(1-AY223))*BL223,0)</f>
        <v>#VALUE!</v>
      </c>
      <c r="CB223" s="1316" t="e">
        <f aca="false">IF(BS223,IF(OPriceCurve,IF(OBuySell=OCallPut,L223/(1-AY223),N223/(1-AY223)),M223/(1-AY223))*BM223,0)</f>
        <v>#VALUE!</v>
      </c>
      <c r="CC223" s="1316" t="e">
        <f aca="false">IF(BS223,IF(OPriceCurve,IF(OBuySell=OCallPut,O223/(1-AY223),Q223/(1-AY223)),P223/(1-AY223))*BN223,0)</f>
        <v>#VALUE!</v>
      </c>
      <c r="CD223" s="1316" t="e">
        <f aca="false">IF(BS223,IF(OPriceCurve,IF(OBuySell=OCallPut,R223/(1-AY223),T223/(1-AY223)),S223/(1-AY223))*BO223,0)</f>
        <v>#VALUE!</v>
      </c>
      <c r="CE223" s="1316" t="e">
        <f aca="false">IF(BR223,(BU223*BH223+BV223*BI223+BW223*BJ223)/BR223,0)</f>
        <v>#VALUE!</v>
      </c>
      <c r="CF223" s="1532" t="e">
        <f aca="false">IF(BS223,(CE223*BR223+CD223*BK223)/BS223,0)</f>
        <v>#VALUE!</v>
      </c>
      <c r="CG223" s="1586" t="e">
        <f aca="false">IF(OR(BQ223,BS223),IF(OVolType&lt;&gt;2,SQRT(IF(OVolOverMonthlyPeak,OVolOverMonthlyPeak,IF(OVolCurve,IF(OBuySell,U223,W223),V223))^2*(1-15/365.25/BT223)+IF(OVolOverDailyPeak,OVolOverDailyPeak,IF(OVolCurve,IF(OBuySell,AG223,AI223),AH223))^2*15/365.25/BT223),IF(OVolOverMonthlyPeak,OVolOverMonthlyPeak,IF(OVolCurve,IF(OBuySell,U223,W223),V223))),"")</f>
        <v>#VALUE!</v>
      </c>
      <c r="CH223" s="1587" t="e">
        <f aca="false">IF(OR(BQ223,BS223),IF(OVolType&lt;&gt;2,SQRT(IF(OVolOverMonthlyPeak,OVolOverMonthlyPeak,IF(OVolCurve,IF(OBuySell,X223,Z223),Y223))^2*(1-15/365.25/BT223)+IF(OVolOverDailyPeak,OVolOverDailyPeak,IF(OVolCurve,IF(OBuySell,AJ223,AL223),AK223))^2*15/365.25/BT223),IF(OVolOverMonthlyPeak,OVolOverMonthlyPeak,IF(OVolCurve,IF(OBuySell,X223,Z223),Y223))),"")</f>
        <v>#VALUE!</v>
      </c>
      <c r="CI223" s="1587" t="e">
        <f aca="false">IF(OR(BQ223,BS223),IF(OVolType&lt;&gt;2,SQRT(IF(OVolOverMonthlyPeak,OVolOverMonthlyPeak,IF(OVolCurve,IF(OBuySell,AA223,AC223),AB223))^2*(1-15/365.25/BT223)+IF(OVolOverDailyPeak,OVolOverDailyPeak,IF(OVolCurve,IF(OBuySell,AM223,AO223),AN223))^2*15/365.25/BT223),IF(OVolOverMonthlyPeak,OVolOverMonthlyPeak,IF(OVolCurve,IF(OBuySell,AA223,AC223),AB223))),"")</f>
        <v>#VALUE!</v>
      </c>
      <c r="CJ223" s="1587" t="e">
        <f aca="false">IF(BQ223,IF(BP223,SQRT(LN(1+((BU223*AZ223)^2*(EXP(CG223^2*BT223)-1)+(BV223*BA223)^2*(EXP(CH223^2*BT223)-1)+(BW223*BB223)^2*(EXP(CI223^2*BT223)-1)+2*BU223*AZ223*BV223*BA223*(EXP(CG223*CH223*BT223)-1)+2*BV223*BA223*BW223*BB223*(EXP(CH223*CI223*BT223)-1)+2*BW223*BB223*BU223*AZ223*(EXP(CI223*CG223*BT223)-1))/(BY223*BP223)^2)/BT223),0),"")</f>
        <v>#VALUE!</v>
      </c>
      <c r="CK223" s="1587" t="e">
        <f aca="false">IF(BS223,IF(BR223,SQRT(LN(1+((CA223*BH223)^2*(EXP(CG223^2*BT223)-1)+(CB223*BI223)^2*(EXP(CH223^2*BT223)-1)+(CC223*BJ223)^2*(EXP(CI223^2*BT223)-1)+2*CA223*BH223*CB223*BI223*(EXP(CG223*CH223*BT223)-1)+2*CB223*BI223*CC223*BJ223*(EXP(CH223*CI223*BT223)-1)+2*CC223*BJ223*CA223*BH223*(EXP(CI223*CG223*BT223)-1))/(CE223*BR223)^2)/BT223),0),"")</f>
        <v>#VALUE!</v>
      </c>
      <c r="CL223" s="1587" t="e">
        <f aca="false">IF(OR(BQ223,BS223),IF(OVolType&lt;&gt;2,SQRT(IF(OVolOverMonthlyOffPeak,OVolOverMonthlyOffPeak,IF(OVolCurve,IF(OBuySell,AD223,AF223),AE223))^2*(1-15/365.25/BT223)+IF(OVolOverDailyOffPeak,OVolOverDailyOffPeak,IF(OVolCurve,IF(OBuySell,AP223,AR223),AQ223))^2*15/365.25/BT223),IF(OVolOverMonthlyOffPeak,OVolOverMonthlyOffPeak,IF(OVolCurve,IF(OBuySell,AD223,AF223),AE223))),"")</f>
        <v>#VALUE!</v>
      </c>
      <c r="CM223" s="1587" t="e">
        <f aca="false">IF(BQ223,SQRT(LN(1+((BY223*BP223)^2*(EXP(CJ223^2*BT223)-1)+(BX223*BC223)^2*(EXP(CL223^2*BT223)-1)+2*BY223*BP223*BX223*BC223*(EXP(AS223*CJ223*CL223*BT223)-1))/(BY223*BP223+BX223*BC223)^2)/BT223),"")</f>
        <v>#VALUE!</v>
      </c>
      <c r="CN223" s="1588" t="e">
        <f aca="false">IF(BS223,SQRT(LN(1+((CE223*BR223)^2*(EXP(CK223^2*BT223)-1)+(CD223*BK223)^2*(EXP(CL223^2*BT223)-1)+2*CE223*BR223*CD223*BK223*(EXP(AS223*CK223*CL223*BT223)-1))/(CE223*BR223+CD223*BK223)^2)/BT223),"")</f>
        <v>#VALUE!</v>
      </c>
      <c r="CO223" s="1531" t="e">
        <f aca="false">IF(OR(BQ223,BS223),VLOOKUP(A223,GasTable,13)*HeatRatePeak*(1+VLOOKUP($B223,HeatRateDegradation,$C223+1))/1000,0)</f>
        <v>#VALUE!</v>
      </c>
      <c r="CP223" s="1316" t="e">
        <f aca="false">IF(OR(BQ223,BS223),VLOOKUP(A223,GasTable,13)*HeatRatePeak*(1+VLOOKUP($B223,HeatRateDegradation,$C223+1))/1000,0)</f>
        <v>#VALUE!</v>
      </c>
      <c r="CQ223" s="1316" t="e">
        <f aca="false">IF(OR(BQ223,BS223),VLOOKUP(A223,GasTable,13)*IF(EV223,HeatRatePeak,HeatRateOffPeak)*(1+VLOOKUP($B223,HeatRateDegradation,$C223+1))/1000,0)</f>
        <v>#VALUE!</v>
      </c>
      <c r="CR223" s="1316" t="e">
        <f aca="false">IF(OR(BQ223,BS223),VLOOKUP(A223,GasTable,13)*IF(EW223,HeatRatePeak,HeatRateOffPeak)*(1+VLOOKUP($B223,HeatRateDegradation,$C223+1))/1000,0)</f>
        <v>#VALUE!</v>
      </c>
      <c r="CS223" s="1589" t="e">
        <f aca="false">IF(BQ223,(CO223*AZ223+CP223*BA223+CQ223*BB223+CR223*BC223)/BQ223,0)</f>
        <v>#VALUE!</v>
      </c>
      <c r="CT223" s="1316" t="e">
        <f aca="false">IF(BS223,CO223,0)</f>
        <v>#VALUE!</v>
      </c>
      <c r="CU223" s="1590" t="e">
        <f aca="false">IF(OR(BQ223,BS223),VLOOKUP(A223,GasTable,14),"")</f>
        <v>#VALUE!</v>
      </c>
      <c r="CV223" s="1568" t="e">
        <f aca="false">IF(OR(BQ223,BS223),IF(CorrPowerGasOverFlag,INDEX(CorrPowerGasOver,C223),CorrPowerGas),"")</f>
        <v>#VALUE!</v>
      </c>
      <c r="CW223" s="1316" t="e">
        <f aca="false">IF(OR($BQ223,$BS223),SpreadOptPowerMargin,0)*((1+Assumptions!$C$26)^($B223-YEAR(Assumptions!$C$17)))</f>
        <v>#VALUE!</v>
      </c>
      <c r="CX223" s="1316" t="e">
        <f aca="false">IF(OR($BQ223,$BS223),SpreadOptPowerMargin,0)*((1+Assumptions!$C$26)^($B223-YEAR(Assumptions!$C$17)))</f>
        <v>#VALUE!</v>
      </c>
      <c r="CY223" s="1316" t="e">
        <f aca="false">IF(OR($BQ223,$BS223),SpreadOptPowerMargin,0)*((1+Assumptions!$C$26)^($B223-YEAR(Assumptions!$C$17)))</f>
        <v>#VALUE!</v>
      </c>
      <c r="CZ223" s="1316" t="e">
        <f aca="false">IF(OR($BQ223,$BS223),SpreadOptPowerMargin,0)*((1+Assumptions!$C$26)^($B223-YEAR(Assumptions!$C$17)))</f>
        <v>#VALUE!</v>
      </c>
      <c r="DA223" s="1591" t="e">
        <f aca="false">IF(OR(BQ223,BS223),(CW223*(AZ223+BH223)+CX223*(BA223+BI223)+CY223*(BB223+BJ223)+CZ223*(BC223+BK223))/(BQ223+BS223),0)</f>
        <v>#VALUE!</v>
      </c>
      <c r="DB223" s="1592" t="e">
        <f aca="false">IF(OR(BQ223,BS223),CG223+IF(OVolSmile,VLOOKUP(MAX(-5,CO223+CW223-BU223),IF(OVolSmile=1,VolSmileBook,VolSmileModel),2),0),"")</f>
        <v>#VALUE!</v>
      </c>
      <c r="DC223" s="1592" t="e">
        <f aca="false">IF(OR(BQ223,BS223),CH223+IF(OVolSmile,VLOOKUP(MAX(-5,CP223+CW223-BV223),IF(OVolSmile=1,VolSmileBook,VolSmileModel),2),0),"")</f>
        <v>#VALUE!</v>
      </c>
      <c r="DD223" s="1592" t="e">
        <f aca="false">IF(OR(BQ223,BS223),CI223+IF(OVolSmile,VLOOKUP(MAX(-5,CQ223+CW223-BW223),IF(OVolSmile=1,VolSmileBook,VolSmileModel),2),0),"")</f>
        <v>#VALUE!</v>
      </c>
      <c r="DE223" s="1592" t="e">
        <f aca="false">IF(OR(BQ223,BS223),CL223+IF(OVolSmile,VLOOKUP(MAX(-5,CR223+CZ223-BX223),IF(OVolSmile=1,VolSmileBook,VolSmileModel),2),0),"")</f>
        <v>#VALUE!</v>
      </c>
      <c r="DF223" s="1592" t="e">
        <f aca="false">IF(BQ223,CM223+IF(OVolSmile,VLOOKUP(MAX(-5,CS223+DA223-BZ223),IF(OVolSmile=1,VolSmileBook,VolSmileModel),2),0),"")</f>
        <v>#VALUE!</v>
      </c>
      <c r="DG223" s="1593" t="e">
        <f aca="false">IF(BS223,CN223+IF(OVolSmile,VLOOKUP(MAX(-5,CT223+DA223-CF223),IF(OVolSmile=1,VolSmileBook,VolSmileModel),2),0),"")</f>
        <v>#VALUE!</v>
      </c>
      <c r="DH223" s="1316" t="e">
        <f aca="false">IF(AND(BU223&gt;0,CO223&gt;0,DB223&gt;0,CU223&gt;0),newSPRDOPT(BU223,CO223,CW223,0,DB223,CU223,CV223,BT223*365.25,OCallPut,0),0)</f>
        <v>#VALUE!</v>
      </c>
      <c r="DI223" s="1316" t="e">
        <f aca="false">IF(AND(BV223&gt;0,CP223&gt;0,DC223&gt;0,CU223&gt;0),newSPRDOPT(BV223,CP223,CX223,0,DC223,CU223,CV223,BT223*365.25,OCallPut,0),0)</f>
        <v>#VALUE!</v>
      </c>
      <c r="DJ223" s="1316" t="e">
        <f aca="false">IF(AND(BW223&gt;0,CQ223&gt;0,DD223&gt;0,CU223&gt;0),newSPRDOPT(BW223,CQ223,CY223,0,DD223,CU223,CV223,BT223*365.25,OCallPut,0),0)</f>
        <v>#VALUE!</v>
      </c>
      <c r="DK223" s="1316" t="e">
        <f aca="false">IF(AND(BX223&gt;0,CR223&gt;0,DE223&gt;0,CU223&gt;0),newSPRDOPT(BX223,CR223,CZ223,0,DE223,CU223,CV223,BT223*365.25,OCallPut,0),0)</f>
        <v>#VALUE!</v>
      </c>
      <c r="DL223" s="1316" t="e">
        <f aca="false">IF(OVolType,IF(AND(BZ223&gt;0,CS223&gt;0,DF223&gt;0,CU223&gt;0),newSPRDOPT(BZ223,CS223,DA223,0,DF223,CU223,CV223,BT223*365.25,OCallPut,0),0),IF(BQ223,(DH223*AZ223+DI223*BA223+DJ223*BB223+DK223*BC223)/BQ223,0))</f>
        <v>#VALUE!</v>
      </c>
      <c r="DM223" s="1316"/>
      <c r="DN223" s="1316"/>
      <c r="DO223" s="1316"/>
      <c r="DP223" s="1316"/>
      <c r="DQ223" s="1316"/>
      <c r="DR223" s="1316"/>
      <c r="DS223" s="1316"/>
      <c r="DT223" s="1316"/>
      <c r="DU223" s="1316"/>
      <c r="DV223" s="1316"/>
      <c r="DW223" s="1594" t="e">
        <f aca="false">IF(AND(BW223&gt;0,CT223&gt;0,DD223&gt;0,CU223&gt;0),newSPRDOPT(BW223,CT223,CY223,0,DD223,CU223,CV223,BT223*365.25,OCallPut,0),0)</f>
        <v>#VALUE!</v>
      </c>
      <c r="DX223" s="1316" t="e">
        <f aca="false">IF(AND(BX223&gt;0,CT223&gt;0,DE223&gt;0,CU223&gt;0),newSPRDOPT(BX223,CT223,CZ223,0,DE223,CU223,CV223,BT223*365.25,OCallPut,0),0)</f>
        <v>#VALUE!</v>
      </c>
      <c r="DY223" s="1591" t="e">
        <f aca="false">IF(BS223,(DH223*BH223+DI223*BI223+DW223*BJ223+DX223*BK223)/BS223,0)</f>
        <v>#VALUE!</v>
      </c>
      <c r="DZ223" s="1551" t="e">
        <f aca="false">DH223*AZ223</f>
        <v>#VALUE!</v>
      </c>
      <c r="EA223" s="1551" t="e">
        <f aca="false">DI223*BA223</f>
        <v>#VALUE!</v>
      </c>
      <c r="EB223" s="1551" t="e">
        <f aca="false">DJ223*BB223</f>
        <v>#VALUE!</v>
      </c>
      <c r="EC223" s="1551" t="e">
        <f aca="false">DK223*BC223</f>
        <v>#VALUE!</v>
      </c>
      <c r="ED223" s="1551" t="e">
        <f aca="false">DL223*BQ223</f>
        <v>#VALUE!</v>
      </c>
      <c r="EE223" s="1595" t="e">
        <f aca="false">IF(BQ223,IF(OCallPut,IF(BU223&gt;(CO223+CW223),BU223-(CO223+CW223),0),IF((CO223+CW223)&gt;BU223,(CO223+CW223)-BU223,0))*AZ223,0)</f>
        <v>#VALUE!</v>
      </c>
      <c r="EF223" s="1596" t="e">
        <f aca="false">IF(BQ223,IF(OCallPut,IF(BV223&gt;(CP223+CX223),BV223-(CP223+CX223),0),IF((CP223+CX223)&gt;BV223,(CP223+CX223)-BV223,0))*BA223,0)</f>
        <v>#VALUE!</v>
      </c>
      <c r="EG223" s="1596" t="e">
        <f aca="false">IF(BQ223,IF(OCallPut,IF(BW223&gt;(CQ223+CY223),BW223-(CQ223+CY223),0),IF((CQ223+CY223)&gt;BW223,(CQ223+CY223)-BW223,0))*BB223,0)</f>
        <v>#VALUE!</v>
      </c>
      <c r="EH223" s="1596" t="e">
        <f aca="false">IF(BQ223,IF(OCallPut,IF(BX223&gt;(CR223+CZ223),BX223-(CR223+CZ223),0),IF((CR223+CZ223)&gt;BX223,(CR223+CZ223)-BX223,0))*BC223,0)</f>
        <v>#VALUE!</v>
      </c>
      <c r="EI223" s="1597" t="e">
        <f aca="false">IF(BQ223,IF(OVolType,IF(OCallPut,IF(BZ223&gt;(CS223+DA223),BZ223-(CS223+DA223),0),IF((CS223+DA223)&gt;BZ223,(CS223+DA223)-BZ223,0))*BQ223,SUM(EE223:EH223)),0)</f>
        <v>#VALUE!</v>
      </c>
      <c r="EJ223" s="1595" t="e">
        <f aca="false">DZ223-EE223</f>
        <v>#VALUE!</v>
      </c>
      <c r="EK223" s="1596" t="e">
        <f aca="false">EA223-EF223</f>
        <v>#VALUE!</v>
      </c>
      <c r="EL223" s="1596" t="e">
        <f aca="false">EB223-EG223</f>
        <v>#VALUE!</v>
      </c>
      <c r="EM223" s="1596" t="e">
        <f aca="false">EC223-EH223</f>
        <v>#VALUE!</v>
      </c>
      <c r="EN223" s="1597" t="e">
        <f aca="false">ED223-EI223</f>
        <v>#VALUE!</v>
      </c>
      <c r="EO223" s="1551" t="e">
        <f aca="false">DH223*BH223</f>
        <v>#VALUE!</v>
      </c>
      <c r="EP223" s="1551" t="e">
        <f aca="false">DI223*BI223</f>
        <v>#VALUE!</v>
      </c>
      <c r="EQ223" s="1551" t="e">
        <f aca="false">DW223*BJ223</f>
        <v>#VALUE!</v>
      </c>
      <c r="ER223" s="1551" t="e">
        <f aca="false">DX223*BK223</f>
        <v>#VALUE!</v>
      </c>
      <c r="ES223" s="1551" t="e">
        <f aca="false">DY223*BS223</f>
        <v>#VALUE!</v>
      </c>
      <c r="ET223" s="1566" t="e">
        <f aca="false">IF(EI223,IF(OCallPut,IF(CA223&gt;(CT223+CW223),CA223-(CT223+CW223),0),IF((CT223+CW223)&gt;CA223,(CT223+CW223)-CA223,0))*BH223,0)</f>
        <v>#VALUE!</v>
      </c>
      <c r="EU223" s="1551" t="e">
        <f aca="false">IF(EI223,IF(OCallPut,IF(CB223&gt;(CT223+CX223),CB223-(CT223+CX223),0),IF((CT223+CX223)&gt;CB223,(CT223+CX223)-CB223,0))*BI223,0)</f>
        <v>#VALUE!</v>
      </c>
      <c r="EV223" s="1551" t="e">
        <f aca="false">IF(EI223,IF(OCallPut,IF(CC223&gt;(CT223+CY223),CC223-(CT223+CY223),0),IF((CT223+CY223)&gt;CC223,(CT223+CY223)-CC223,0))*BJ223,0)</f>
        <v>#VALUE!</v>
      </c>
      <c r="EW223" s="1551" t="e">
        <f aca="false">IF(EI223,IF(OCallPut,IF(CD223&gt;(CT223+CZ223),CD223-(CT223+CZ223),0),IF((CT223+CZ223)&gt;CD223,(CT223+CZ223)-CD223,0))*BK223,0)</f>
        <v>#VALUE!</v>
      </c>
      <c r="EX223" s="1558" t="e">
        <f aca="false">IF(EI223,SUM(ET223:EW223),0)</f>
        <v>#VALUE!</v>
      </c>
      <c r="EY223" s="1551" t="e">
        <f aca="false">EO223-ET223</f>
        <v>#VALUE!</v>
      </c>
      <c r="EZ223" s="1551" t="e">
        <f aca="false">EP223-EU223</f>
        <v>#VALUE!</v>
      </c>
      <c r="FA223" s="1551" t="e">
        <f aca="false">EQ223-EV223</f>
        <v>#VALUE!</v>
      </c>
      <c r="FB223" s="1551" t="e">
        <f aca="false">ER223-EW223</f>
        <v>#VALUE!</v>
      </c>
      <c r="FC223" s="1551" t="e">
        <f aca="false">ES223-EX223</f>
        <v>#VALUE!</v>
      </c>
      <c r="FD223" s="1525" t="n">
        <f aca="false">IF(AX223,IF(VLOOKUP(C223,MAIN!$L$17:$M$28,2)="Yes",VLOOKUP(CALC!B223,MAIN!$H$17:$I$20,2),0),0)</f>
        <v>0</v>
      </c>
      <c r="FE223" s="1552" t="e">
        <f aca="false">$FD223*16*AT223*(1-$AY223)</f>
        <v>#VALUE!</v>
      </c>
      <c r="FF223" s="1553" t="e">
        <f aca="false">$FD223*16*AU223*(1-$AY223)</f>
        <v>#VALUE!</v>
      </c>
      <c r="FG223" s="1553" t="e">
        <f aca="false">$FD223*16*(AV223+AW223)*(1-$AY223)</f>
        <v>#VALUE!</v>
      </c>
      <c r="FH223" s="1554" t="n">
        <f aca="false">$FD223*8*AX223*(1-$AY223)</f>
        <v>0</v>
      </c>
      <c r="FI223" s="1555" t="n">
        <f aca="false">IF(AX223,VLOOKUP(CALC!B223,MAIN!$H$17:$K$20,4),0)</f>
        <v>0</v>
      </c>
      <c r="FJ223" s="1553" t="e">
        <f aca="false">SUM(FE223:FH223)</f>
        <v>#VALUE!</v>
      </c>
      <c r="FK223" s="1556" t="e">
        <f aca="false">FI223*FJ223</f>
        <v>#VALUE!</v>
      </c>
      <c r="FL223" s="1551" t="e">
        <f aca="false">IF($EI223&gt;0,MIN(FE223,AZ223*(1+VLOOKUP($C223,WeatherCapacityAdjustment,2))),0)</f>
        <v>#VALUE!</v>
      </c>
      <c r="FM223" s="1551" t="e">
        <f aca="false">IF($EI223&gt;0,MIN(FF223,BA223*(1+VLOOKUP($C223,WeatherCapacityAdjustment,2))),0)</f>
        <v>#VALUE!</v>
      </c>
      <c r="FN223" s="1551" t="e">
        <f aca="false">IF($EI223&gt;0,MIN(FG223,BB223*(1+VLOOKUP($C223,WeatherCapacityAdjustment,2))),0)</f>
        <v>#VALUE!</v>
      </c>
      <c r="FO223" s="1564" t="e">
        <f aca="false">IF($EI223&gt;0,MIN(FH223,BC223*(1+VLOOKUP($C223,WeatherCapacityAdjustment,3))),0)</f>
        <v>#VALUE!</v>
      </c>
      <c r="FP223" s="1551" t="e">
        <f aca="false">IF(ET223&gt;0,MIN(FE223-FL223,BH223*(1+VLOOKUP($C223,WeatherCapacityAdjustment,2))),0)</f>
        <v>#VALUE!</v>
      </c>
      <c r="FQ223" s="1551" t="e">
        <f aca="false">IF(EU223&gt;0,MIN(FF223-FM223,BI223*(1+VLOOKUP($C223,WeatherCapacityAdjustment,2))),0)</f>
        <v>#VALUE!</v>
      </c>
      <c r="FR223" s="1551" t="e">
        <f aca="false">IF(EV223&gt;0,MIN(FG223-FN223,BJ223*(1+VLOOKUP($C223,WeatherCapacityAdjustment,2))),0)</f>
        <v>#VALUE!</v>
      </c>
      <c r="FS223" s="1558" t="e">
        <f aca="false">IF(EW223&gt;0,MIN(FH223-FO223,BK223*(1+VLOOKUP($C223,WeatherCapacityAdjustment,3))),0)</f>
        <v>#VALUE!</v>
      </c>
      <c r="FT223" s="1566" t="e">
        <f aca="false">IF(AND(Assumptions!$H$71="Yes",A223&gt;=Assumptions!$H$72,A223&lt;=Assumptions!$H$73),0,IF(AND($A223&gt;=Assumptions!$C$17,$A223&lt;=Assumptions!$C$18),MAX(AZ223*(1+VLOOKUP($C223,WeatherCapacityAdjustment,2))-FL223,0),0))</f>
        <v>#VALUE!</v>
      </c>
      <c r="FU223" s="1551" t="e">
        <f aca="false">IF(AND(Assumptions!$H$71="Yes",A223&gt;=Assumptions!$H$72,A223&lt;=Assumptions!$H$73),0,IF(AND($A223&gt;=Assumptions!$C$17,$A223&lt;=Assumptions!$C$18),MAX(BA223*(1+VLOOKUP($C223,WeatherCapacityAdjustment,2))-FM223,0),0))</f>
        <v>#VALUE!</v>
      </c>
      <c r="FV223" s="1551" t="e">
        <f aca="false">IF(AND(Assumptions!$H$71="Yes",A223&gt;=Assumptions!$H$72,A223&lt;=Assumptions!$H$73),0,IF(AND($A223&gt;=Assumptions!$C$17,$A223&lt;=Assumptions!$C$18),MAX(BB223*(1+VLOOKUP($C223,WeatherCapacityAdjustment,2))-FN223,0),0))</f>
        <v>#VALUE!</v>
      </c>
      <c r="FW223" s="1564" t="e">
        <f aca="false">IF(AND(Assumptions!$H$71="Yes",A223&gt;=Assumptions!$H$72,A223&lt;=Assumptions!$H$73),0,IF(AND($A223&gt;=Assumptions!$C$17,$A223&lt;=Assumptions!$C$18),MAX(BC223*(1+VLOOKUP($C223,WeatherCapacityAdjustment,3))-FO223,0),0))</f>
        <v>#VALUE!</v>
      </c>
      <c r="FX223" s="1569" t="e">
        <f aca="false">IF(AND(Assumptions!$H$71="Yes",A223&gt;=Assumptions!$H$72,A223&lt;=Assumptions!$H$73),0,IF(ET223&gt;0,MAX(BH223*(1+VLOOKUP($C223,WeatherCapacityAdjustment,2))-FP223,0),0))</f>
        <v>#VALUE!</v>
      </c>
      <c r="FY223" s="1551" t="e">
        <f aca="false">IF(AND(Assumptions!$H$71="Yes",A223&gt;=Assumptions!$H$72,A223&lt;=Assumptions!$H$73),0,IF(EU223&gt;0,MAX(BI223*(1+VLOOKUP($C223,WeatherCapacityAdjustment,3))-FQ223,0),0))</f>
        <v>#VALUE!</v>
      </c>
      <c r="FZ223" s="1551" t="e">
        <f aca="false">IF(AND(Assumptions!$H$71="Yes",A223&gt;=Assumptions!$H$72,A223&lt;=Assumptions!$H$73),0,IF(EV223&gt;0,MAX(BJ223*(1+VLOOKUP($C223,WeatherCapacityAdjustment,2))-FR223,0),0))</f>
        <v>#VALUE!</v>
      </c>
      <c r="GA223" s="1564" t="e">
        <f aca="false">IF(AND(Assumptions!$H$71="Yes",A223&gt;=Assumptions!$H$72,A223&lt;=Assumptions!$H$73),0,IF(EW223&gt;0,MAX(BK223*(1+VLOOKUP($C223,WeatherCapacityAdjustment,2))-FS223,0),0))</f>
        <v>#VALUE!</v>
      </c>
      <c r="GB223" s="1551" t="e">
        <f aca="false">SUM(FT223:GA223)</f>
        <v>#VALUE!</v>
      </c>
      <c r="GC223" s="1563" t="e">
        <f aca="false">+IF(SUM(FT223:GA223)=0,0,(SUMPRODUCT(BU223:BX223,FT223:FW223)+SUMPRODUCT(CA223:CD223,FX223:GA223))/SUM(FT223:GA223))</f>
        <v>#VALUE!</v>
      </c>
      <c r="GD223" s="1551" t="e">
        <f aca="false">(FT223*BU223+FX223*CA223+FU223*BV223+FY223*CB223+FV223*BW223+FZ223*CC223+FW223*BX223+GA223*CD223)</f>
        <v>#VALUE!</v>
      </c>
      <c r="GE223" s="1561" t="e">
        <f aca="false">+IF(BQ223,((FL223+FM223+FT223+FU223)*HeatRatePeak/1000*(1+VLOOKUP($C223,WeatherHeatRateAdjustment,2))+(FN223+FV223)*IF(EV223&gt;0,HeatRatePeak,HeatRateOffPeak)/1000*(1+VLOOKUP($C223,WeatherHeatRateAdjustment,2))+(FO223+FW223)*IF(EW223&gt;0,HeatRatePeak,HeatRateOffPeak)/1000*(1+VLOOKUP($C223,WeatherHeatRateAdjustment,3)))*(1+VLOOKUP($B223,HeatRateDegradation,$C223+1)),0)</f>
        <v>#VALUE!</v>
      </c>
      <c r="GF223" s="1562" t="e">
        <f aca="false">IF(BQ223,((FP223+FQ223+FR223+FX223+FY223+FZ223)*HeatRatePeak/1000*(1+VLOOKUP($C223,WeatherHeatRateAdjustment,2))+(FS223+GA223)*HeatRatePeak/1000*(1+VLOOKUP($C223,WeatherHeatRateAdjustment,3)))*(1+VLOOKUP($B223,HeatRateDegradation,$C223+1)),0)</f>
        <v>#VALUE!</v>
      </c>
      <c r="GG223" s="1563" t="e">
        <f aca="false">IF(BQ223,VLOOKUP(A223,GasTable,13),0)</f>
        <v>#VALUE!</v>
      </c>
      <c r="GH223" s="1564" t="e">
        <f aca="false">(GE223+GF223)*GG223</f>
        <v>#VALUE!</v>
      </c>
      <c r="GI223" s="1569" t="e">
        <f aca="false">GB223</f>
        <v>#VALUE!</v>
      </c>
      <c r="GJ223" s="1598" t="e">
        <f aca="false">+DA223</f>
        <v>#VALUE!</v>
      </c>
      <c r="GK223" s="1558" t="e">
        <f aca="false">+GI223*GJ223</f>
        <v>#VALUE!</v>
      </c>
      <c r="GL223" s="1566" t="e">
        <f aca="false">MAX(FE223-FL223-FP223,0)</f>
        <v>#VALUE!</v>
      </c>
      <c r="GM223" s="1551" t="e">
        <f aca="false">MAX(FF223-FM223-FQ223,0)</f>
        <v>#VALUE!</v>
      </c>
      <c r="GN223" s="1551" t="e">
        <f aca="false">MAX(FG223-FN223-FR223,0)</f>
        <v>#VALUE!</v>
      </c>
      <c r="GO223" s="1564" t="e">
        <f aca="false">MAX(FH223-FO223-FS223,0)</f>
        <v>#VALUE!</v>
      </c>
      <c r="GP223" s="1551" t="e">
        <f aca="false">SUM(GL223:GO223)</f>
        <v>#VALUE!</v>
      </c>
      <c r="GQ223" s="1563" t="e">
        <f aca="false">IF(SUM(GL223:GO223)=0,0,((GL223*BU223+GM223*BV223+GN223*BW223+GO223*BX223)/SUM(GL223:GO223)))</f>
        <v>#VALUE!</v>
      </c>
      <c r="GR223" s="1558" t="e">
        <f aca="false">(GL223*BU223+GM223*BV223+GN223*BW223+GO223*BX223)</f>
        <v>#VALUE!</v>
      </c>
      <c r="GS223" s="1566" t="n">
        <f aca="false">IF($A223&gt;=BegDate,Assumptions!$C$56*24*($A224-$A223)*(1-VLOOKUP($B223,MAIN!$AA$7:$AM$28,$C223+1))*(1-VLOOKUP($B223,MAIN!$AA$33:$AM$54,$C223+1)),0)*80/168</f>
        <v>257742.857142857</v>
      </c>
      <c r="GT223" s="286" t="n">
        <f aca="false">J223</f>
        <v>66.8202206445721</v>
      </c>
      <c r="GU223" s="286" t="n">
        <f aca="false">IF($A223&gt;=BegDate,VLOOKUP($A223,GasTable,13)+Assumptions!$C$58,0)</f>
        <v>3.37885074111632</v>
      </c>
      <c r="GV223" s="286" t="n">
        <f aca="false">GU223*Assumptions!$C$57/1000</f>
        <v>24.4966678730933</v>
      </c>
      <c r="GW223" s="1558" t="n">
        <f aca="false">IF(Assumptions!$C$60="Hourly",MAX(0,GS223*(GT223-GV223)),GS223*(GT223-GV223))</f>
        <v>10908593.4157574</v>
      </c>
      <c r="GX223" s="1566" t="n">
        <f aca="false">IF($A223&gt;=BegDate,Assumptions!$C$56*24*($A224-$A223)*(1-VLOOKUP($B223,MAIN!$AA$7:$AM$28,$C223+1))*(1-VLOOKUP($B223,MAIN!$AA$33:$AM$54,$C223+1)),0)*16/168</f>
        <v>51548.5714285714</v>
      </c>
      <c r="GY223" s="286" t="n">
        <f aca="false">M223</f>
        <v>66.8202206445721</v>
      </c>
      <c r="GZ223" s="286" t="n">
        <f aca="false">IF($A223&gt;=BegDate,VLOOKUP($A223,GasTable,13)+Assumptions!$C$58,0)</f>
        <v>3.37885074111632</v>
      </c>
      <c r="HA223" s="286" t="n">
        <f aca="false">GZ223*Assumptions!$C$57/1000</f>
        <v>24.4966678730933</v>
      </c>
      <c r="HB223" s="1558" t="n">
        <f aca="false">IF(Assumptions!$C$60="Hourly",MAX(0,GX223*(GY223-HA223)),GX223*(GY223-HA223))</f>
        <v>2181718.68315149</v>
      </c>
      <c r="HC223" s="1566" t="n">
        <f aca="false">IF($A223&gt;=BegDate,Assumptions!$C$56*24*($A224-$A223)*(1-VLOOKUP($B223,MAIN!$AA$7:$AM$28,$C223+1))*(1-VLOOKUP($B223,MAIN!$AA$33:$AM$54,$C223+1)),0)*16/168</f>
        <v>51548.5714285714</v>
      </c>
      <c r="HD223" s="286" t="n">
        <f aca="false">P223</f>
        <v>32.1905700582404</v>
      </c>
      <c r="HE223" s="286" t="n">
        <f aca="false">IF($A223&gt;=BegDate,VLOOKUP($A223,GasTable,13)+Assumptions!$C$58,0)</f>
        <v>3.37885074111632</v>
      </c>
      <c r="HF223" s="286" t="n">
        <f aca="false">HE223*Assumptions!$C$57/1000</f>
        <v>24.4966678730933</v>
      </c>
      <c r="HG223" s="1558" t="n">
        <f aca="false">IF(Assumptions!$C$60="Hourly",MAX(0,HC223*(HD223-HF223)),HC223*(HD223-HF223))</f>
        <v>396609.666355498</v>
      </c>
      <c r="HH223" s="1566" t="n">
        <f aca="false">IF($A223&gt;=BegDate,Assumptions!$C$56*24*($A224-$A223)*(1-VLOOKUP($B223,MAIN!$AA$7:$AM$28,$C223+1))*(1-VLOOKUP($B223,MAIN!$AA$33:$AM$54,$C223+1)),0)*56/168</f>
        <v>180420</v>
      </c>
      <c r="HI223" s="286" t="n">
        <f aca="false">S223</f>
        <v>32.1905700582404</v>
      </c>
      <c r="HJ223" s="286" t="n">
        <f aca="false">IF($A223&gt;=BegDate,VLOOKUP($A223,GasTable,13)+Assumptions!$C$58,0)</f>
        <v>3.37885074111632</v>
      </c>
      <c r="HK223" s="286" t="n">
        <f aca="false">HJ223*Assumptions!$C$57/1000</f>
        <v>24.4966678730933</v>
      </c>
      <c r="HL223" s="1558" t="n">
        <f aca="false">IF(Assumptions!$C$60="Hourly",MAX(0,HH223*(HI223-HK223)),HH223*(HI223-HK223))</f>
        <v>1388133.83224424</v>
      </c>
      <c r="HM223" s="1566" t="n">
        <f aca="false">IF(AND(Assumptions!$H$71="Yes",A223&gt;=Assumptions!$H$72,A223&lt;=Assumptions!$H$73),Assumptions!$H$74*Assumptions!$C$9*1000,0)</f>
        <v>0</v>
      </c>
      <c r="HN223" s="1551"/>
      <c r="HO223" s="1563"/>
      <c r="HP223" s="1563"/>
      <c r="HQ223" s="1563"/>
      <c r="HR223" s="1563"/>
      <c r="HS223" s="1563"/>
      <c r="HT223" s="1563"/>
      <c r="HU223" s="1563"/>
      <c r="HV223" s="1563"/>
      <c r="HW223" s="1563"/>
      <c r="HX223" s="1563"/>
      <c r="HY223" s="1563"/>
      <c r="HZ223" s="1563"/>
      <c r="IA223" s="1563"/>
      <c r="IB223" s="1563"/>
      <c r="IC223" s="1563"/>
      <c r="ID223" s="1563"/>
      <c r="IE223" s="1563"/>
      <c r="IF223" s="1563"/>
      <c r="IG223" s="1563"/>
      <c r="IH223" s="1563"/>
      <c r="II223" s="1610"/>
      <c r="IJ223" s="1309"/>
      <c r="IK223" s="1309"/>
    </row>
    <row r="224" customFormat="false" ht="12.75" hidden="false" customHeight="false" outlineLevel="0" collapsed="false">
      <c r="A224" s="1571" t="n">
        <f aca="false">EOMONTH(A223,0)+1</f>
        <v>42948</v>
      </c>
      <c r="B224" s="594" t="n">
        <f aca="false">+YEAR(A224)</f>
        <v>2017</v>
      </c>
      <c r="C224" s="238" t="n">
        <f aca="false">MONTH(A224)</f>
        <v>8</v>
      </c>
      <c r="D224" s="1572" t="e">
        <f aca="false">IF(E224="","",Holiday(B224,C224))</f>
        <v>#VALUE!</v>
      </c>
      <c r="E224" s="1573" t="n">
        <f aca="false">IF(OR(BegDate&gt;=A225,EndDate&lt;A224,AND(VolumeMonthlyOverFlag,INDEX(VolumeMonthlyOver,C224)=0),NOT(INDEX(MonthKnockOutTable,C224))),"",MAX(A224,BegDate))</f>
        <v>42948</v>
      </c>
      <c r="F224" s="1574" t="n">
        <f aca="false">IF(E224="","",MIN(A225-1,EndDate))</f>
        <v>42978</v>
      </c>
      <c r="G224" s="1575" t="n">
        <v>0</v>
      </c>
      <c r="H224" s="1576" t="n">
        <f aca="false">(1+G224/2)^(-2*(DATE(B225,C225,20)-DateToday)/365.25)</f>
        <v>1</v>
      </c>
      <c r="I224" s="1568" t="n">
        <f aca="false">IF(Assumptions!$L$25=4,VLOOKUP($A224,'Henwood Reference'!$E$9:$R$320,10),(VLOOKUP($A224,PriceTable,2,0)+IF(BasisNumber&lt;&gt;1,VLOOKUP($A224,BasisTable,2,0),0)+I$1)/(1-I$2))</f>
        <v>92.7328082998633</v>
      </c>
      <c r="J224" s="1568" t="n">
        <f aca="false">IF(Assumptions!$L$25=4,VLOOKUP($A224,'Henwood Reference'!$E$9:$R$320,10),(VLOOKUP($A224,PriceTable,3,0)+IF(BasisNumber&lt;&gt;1,VLOOKUP($A224,BasisTable,2,0),0)+J$1)/(1-J$2))</f>
        <v>92.7328082998633</v>
      </c>
      <c r="K224" s="1568" t="n">
        <f aca="false">IF(Assumptions!$L$25=4,VLOOKUP($A224,'Henwood Reference'!$E$9:$R$320,10),(VLOOKUP($A224,PriceTable,4,0)+IF(BasisNumber&lt;&gt;1,VLOOKUP($A224,BasisTable,2,0),0)+K$1)/(1-K$2))</f>
        <v>92.7328082998633</v>
      </c>
      <c r="L224" s="1523" t="n">
        <f aca="false">IF(Assumptions!$L$25=4,VLOOKUP($A224,'Henwood Reference'!$E$9:$R$320,10),(VLOOKUP($A224,PriceTableWeekend,2,0)+IF(BasisNumber&lt;&gt;1,VLOOKUP($A224,BasisTable,2,0),0)+L$1)/(1-L$2))</f>
        <v>92.7328082998633</v>
      </c>
      <c r="M224" s="1568" t="n">
        <f aca="false">IF(Assumptions!$L$25=4,VLOOKUP($A224,'Henwood Reference'!$E$9:$R$320,10),(VLOOKUP($A224,PriceTableWeekend,3,0)+IF(BasisNumber&lt;&gt;1,VLOOKUP($A224,BasisTable,2,0),0)+M$1)/(1-M$2))</f>
        <v>92.7328082998633</v>
      </c>
      <c r="N224" s="1599" t="n">
        <f aca="false">IF(Assumptions!$L$25=4,VLOOKUP($A224,'Henwood Reference'!$E$9:$R$320,10),(VLOOKUP($A224,PriceTableWeekend,4,0)+IF(BasisNumber&lt;&gt;1,VLOOKUP($A224,BasisTable,2,0),0)+N$1)/(1-N$2))</f>
        <v>92.7328082998633</v>
      </c>
      <c r="O224" s="1568" t="n">
        <f aca="false">IF(Assumptions!$L$25=4,VLOOKUP($A224,'Henwood Reference'!$E$9:$R$320,11),(VLOOKUP($A224,PriceTableWeekend,6,0)+IF(BasisNumber&lt;&gt;1,VLOOKUP($A224,BasisTable,3,0),0)+O$1)/(1-O$2))</f>
        <v>36.3723910566586</v>
      </c>
      <c r="P224" s="1568" t="n">
        <f aca="false">IF(Assumptions!$L$25=4,VLOOKUP($A224,'Henwood Reference'!$E$9:$R$320,11),(VLOOKUP($A224,PriceTableWeekend,7,0)+IF(BasisNumber&lt;&gt;1,VLOOKUP($A224,BasisTable,3,0),0)+P$1)/(1-P$2))</f>
        <v>36.3723910566586</v>
      </c>
      <c r="Q224" s="1599" t="n">
        <f aca="false">IF(Assumptions!$L$25=4,VLOOKUP($A224,'Henwood Reference'!$E$9:$R$320,11),(VLOOKUP($A224,PriceTableWeekend,8,0)+IF(BasisNumber&lt;&gt;1,VLOOKUP($A224,BasisTable,3,0),0)+Q$1)/(1-Q$2))</f>
        <v>36.3723910566586</v>
      </c>
      <c r="R224" s="1568" t="n">
        <f aca="false">IF(Assumptions!$L$25=4,VLOOKUP($A224,'Henwood Reference'!$E$9:$R$320,11),(VLOOKUP($A224,PriceTable,6,0)+IF(BasisNumber&lt;&gt;1,VLOOKUP($A224,BasisTable,3,0),0)+R$1)/(1-R$2))</f>
        <v>36.3723910566586</v>
      </c>
      <c r="S224" s="1568" t="n">
        <f aca="false">IF(Assumptions!$L$25=4,VLOOKUP($A224,'Henwood Reference'!$E$9:$R$320,11),(VLOOKUP($A224,PriceTable,7,0)+IF(BasisNumber&lt;&gt;1,VLOOKUP($A224,BasisTable,3,0),0)+S$1)/(1-S$2))</f>
        <v>36.3723910566586</v>
      </c>
      <c r="T224" s="1600" t="n">
        <f aca="false">IF(Assumptions!$L$25=4,VLOOKUP($A224,'Henwood Reference'!$E$9:$R$320,11),(VLOOKUP($A224,PriceTable,8,0)+IF(BasisNumber&lt;&gt;1,VLOOKUP($A224,BasisTable,3,0),0)+T$1)/(1-T$2))</f>
        <v>36.3723910566586</v>
      </c>
      <c r="U224" s="1513" t="n">
        <f aca="false">VLOOKUP($A224,VolatilityTable,14)</f>
        <v>0.09</v>
      </c>
      <c r="V224" s="1513" t="n">
        <f aca="false">VLOOKUP($A224,VolatilityTable,15)</f>
        <v>0.1</v>
      </c>
      <c r="W224" s="1514" t="n">
        <f aca="false">VLOOKUP($A224,VolatilityTable,16)</f>
        <v>0.11</v>
      </c>
      <c r="X224" s="1513" t="n">
        <f aca="false">VLOOKUP($A224,VolatilityTable,14)</f>
        <v>0.09</v>
      </c>
      <c r="Y224" s="1513" t="n">
        <f aca="false">VLOOKUP($A224,VolatilityTable,15)</f>
        <v>0.1</v>
      </c>
      <c r="Z224" s="1514" t="n">
        <f aca="false">VLOOKUP($A224,VolatilityTable,16)</f>
        <v>0.11</v>
      </c>
      <c r="AA224" s="1513" t="n">
        <f aca="false">VLOOKUP($A224,VolatilityTable,18)</f>
        <v>0.09</v>
      </c>
      <c r="AB224" s="1513" t="n">
        <f aca="false">VLOOKUP($A224,VolatilityTable,19)</f>
        <v>0.11</v>
      </c>
      <c r="AC224" s="1514" t="n">
        <f aca="false">VLOOKUP($A224,VolatilityTable,20)</f>
        <v>0.13</v>
      </c>
      <c r="AD224" s="1513" t="n">
        <f aca="false">VLOOKUP($A224,VolatilityTable,18)</f>
        <v>0.09</v>
      </c>
      <c r="AE224" s="1513" t="n">
        <f aca="false">VLOOKUP($A224,VolatilityTable,19)</f>
        <v>0.11</v>
      </c>
      <c r="AF224" s="1514" t="n">
        <f aca="false">VLOOKUP($A224,VolatilityTable,20)</f>
        <v>0.13</v>
      </c>
      <c r="AG224" s="1513" t="n">
        <f aca="false">VLOOKUP($A224,VolatilityTable,22)</f>
        <v>-0.35</v>
      </c>
      <c r="AH224" s="1513" t="n">
        <f aca="false">VLOOKUP($A224,VolatilityTable,23)</f>
        <v>3</v>
      </c>
      <c r="AI224" s="1514" t="n">
        <f aca="false">VLOOKUP($A224,VolatilityTable,24)</f>
        <v>0.35</v>
      </c>
      <c r="AJ224" s="1513" t="n">
        <f aca="false">VLOOKUP($A224,VolatilityTable,22)</f>
        <v>-0.35</v>
      </c>
      <c r="AK224" s="1513" t="n">
        <f aca="false">VLOOKUP($A224,VolatilityTable,23)</f>
        <v>3</v>
      </c>
      <c r="AL224" s="1514" t="n">
        <f aca="false">VLOOKUP($A224,VolatilityTable,24)</f>
        <v>0.35</v>
      </c>
      <c r="AM224" s="1513" t="n">
        <f aca="false">VLOOKUP($A224,VolatilityTable,26)</f>
        <v>-0.01</v>
      </c>
      <c r="AN224" s="1513" t="n">
        <f aca="false">VLOOKUP($A224,VolatilityTable,27)</f>
        <v>0.16</v>
      </c>
      <c r="AO224" s="1514" t="n">
        <f aca="false">VLOOKUP($A224,VolatilityTable,28)</f>
        <v>0.01</v>
      </c>
      <c r="AP224" s="1513" t="n">
        <f aca="false">VLOOKUP($A224,VolatilityTable,26)</f>
        <v>-0.01</v>
      </c>
      <c r="AQ224" s="1513" t="n">
        <f aca="false">VLOOKUP($A224,VolatilityTable,27)</f>
        <v>0.16</v>
      </c>
      <c r="AR224" s="1515" t="n">
        <f aca="false">VLOOKUP($A224,VolatilityTable,28)</f>
        <v>0.01</v>
      </c>
      <c r="AS224" s="1581" t="n">
        <f aca="false">IF(CorrPeakOffPeakOverFlag,INDEX(CorrPeakOffPeakOver,C224),CorrPeakOffPeak)</f>
        <v>0.5</v>
      </c>
      <c r="AT224" s="594" t="e">
        <f aca="false">AX224-SUM(AU224:AW224)</f>
        <v>#VALUE!</v>
      </c>
      <c r="AU224" s="238" t="e">
        <f aca="false">IF(E224="",0,INT((F224-MOD(F224,7)-E224)/7)+1-IF(AW224,IF(WEEKDAY(D224)=7,1,0),0))</f>
        <v>#VALUE!</v>
      </c>
      <c r="AV224" s="238" t="e">
        <f aca="false">IF(E224="",0,INT((F224-MOD(F224-1,7)-E224)/7)+1-IF(AW224,IF(WEEKDAY(D224)=1,1,0),0))</f>
        <v>#VALUE!</v>
      </c>
      <c r="AW224" s="238" t="e">
        <f aca="false">IF(OR(E224="",D224="",D224&lt;BegDate,D224&gt;EndDate),0,1)</f>
        <v>#VALUE!</v>
      </c>
      <c r="AX224" s="238" t="n">
        <f aca="false">IF(E224="",0,F224-E224+1)</f>
        <v>31</v>
      </c>
      <c r="AY224" s="1582" t="n">
        <f aca="false">IF(E224="",0,MIN((1-(1-VLOOKUP(B224,MAIN!$AA$7:$AM$28,C224+1))*(1-VLOOKUP(B224,MAIN!$AA$33:$AM$54,C224+1))),1))</f>
        <v>0.03</v>
      </c>
      <c r="AZ224" s="1519" t="e">
        <v>#VALUE!</v>
      </c>
      <c r="BA224" s="1520" t="e">
        <v>#VALUE!</v>
      </c>
      <c r="BB224" s="1520" t="e">
        <v>#VALUE!</v>
      </c>
      <c r="BC224" s="1583" t="e">
        <v>#VALUE!</v>
      </c>
      <c r="BD224" s="1522" t="e">
        <v>#VALUE!</v>
      </c>
      <c r="BE224" s="1523" t="e">
        <v>#VALUE!</v>
      </c>
      <c r="BF224" s="1523" t="e">
        <v>#VALUE!</v>
      </c>
      <c r="BG224" s="1584" t="e">
        <v>#VALUE!</v>
      </c>
      <c r="BH224" s="1525" t="e">
        <v>#VALUE!</v>
      </c>
      <c r="BI224" s="1520" t="e">
        <v>#VALUE!</v>
      </c>
      <c r="BJ224" s="1520" t="e">
        <v>#VALUE!</v>
      </c>
      <c r="BK224" s="1583" t="e">
        <v>#VALUE!</v>
      </c>
      <c r="BL224" s="1522" t="e">
        <v>#VALUE!</v>
      </c>
      <c r="BM224" s="1523" t="e">
        <v>#VALUE!</v>
      </c>
      <c r="BN224" s="1523" t="e">
        <v>#VALUE!</v>
      </c>
      <c r="BO224" s="1523" t="e">
        <v>#VALUE!</v>
      </c>
      <c r="BP224" s="1525" t="e">
        <f aca="false">SUM(AZ224:BB224)</f>
        <v>#VALUE!</v>
      </c>
      <c r="BQ224" s="1529" t="e">
        <f aca="false">SUM(AZ224:BC224)</f>
        <v>#VALUE!</v>
      </c>
      <c r="BR224" s="1519" t="e">
        <f aca="false">SUM(BH224:BJ224)</f>
        <v>#VALUE!</v>
      </c>
      <c r="BS224" s="1529" t="e">
        <f aca="false">SUM(BH224:BK224)</f>
        <v>#VALUE!</v>
      </c>
      <c r="BT224" s="1316" t="n">
        <f aca="false">(IF(OVolType&lt;&gt;2,A224+14,IF(OptExpDateShift,ShiftBack(A224,OptExpDateShift,D223),A224))-DateToday)/365.25</f>
        <v>17.2977412731006</v>
      </c>
      <c r="BU224" s="1585" t="e">
        <f aca="false">IF(BQ224,IF(OPriceCurve,IF(OBuySell=OCallPut,I224/(1-AY224),K224/(1-AY224)),J224/(1-AY224))*BD224,0)</f>
        <v>#VALUE!</v>
      </c>
      <c r="BV224" s="1316" t="e">
        <f aca="false">IF(BQ224,IF(OPriceCurve,IF(OBuySell=OCallPut,L224/(1-AY224),N224/(1-AY224)),M224/(1-AY224))*BE224,0)</f>
        <v>#VALUE!</v>
      </c>
      <c r="BW224" s="1316" t="e">
        <f aca="false">IF(BQ224,IF(OPriceCurve,IF(OBuySell=OCallPut,O224/(1-AY224),Q224/(1-AY224)),P224/(1-AY224))*BF224,0)</f>
        <v>#VALUE!</v>
      </c>
      <c r="BX224" s="1316" t="e">
        <f aca="false">IF(BQ224,IF(OPriceCurve,IF(OBuySell=OCallPut,R224/(1-AY224),T224/(1-AY224)),S224/(1-AY224))*BG224,0)</f>
        <v>#VALUE!</v>
      </c>
      <c r="BY224" s="1316" t="e">
        <f aca="false">IF(BP224,(BU224*AZ224+BV224*BA224+BW224*BB224)/BP224,0)</f>
        <v>#VALUE!</v>
      </c>
      <c r="BZ224" s="1316" t="e">
        <f aca="false">IF(BQ224,(BY224*BP224+BX224*BC224)/BQ224,0)</f>
        <v>#VALUE!</v>
      </c>
      <c r="CA224" s="1531" t="e">
        <f aca="false">IF(BS224,IF(OPriceCurve,IF(OBuySell=OCallPut,I224/(1-AY224),K224/(1-AY224)),J224/(1-AY224))*BL224,0)</f>
        <v>#VALUE!</v>
      </c>
      <c r="CB224" s="1316" t="e">
        <f aca="false">IF(BS224,IF(OPriceCurve,IF(OBuySell=OCallPut,L224/(1-AY224),N224/(1-AY224)),M224/(1-AY224))*BM224,0)</f>
        <v>#VALUE!</v>
      </c>
      <c r="CC224" s="1316" t="e">
        <f aca="false">IF(BS224,IF(OPriceCurve,IF(OBuySell=OCallPut,O224/(1-AY224),Q224/(1-AY224)),P224/(1-AY224))*BN224,0)</f>
        <v>#VALUE!</v>
      </c>
      <c r="CD224" s="1316" t="e">
        <f aca="false">IF(BS224,IF(OPriceCurve,IF(OBuySell=OCallPut,R224/(1-AY224),T224/(1-AY224)),S224/(1-AY224))*BO224,0)</f>
        <v>#VALUE!</v>
      </c>
      <c r="CE224" s="1316" t="e">
        <f aca="false">IF(BR224,(BU224*BH224+BV224*BI224+BW224*BJ224)/BR224,0)</f>
        <v>#VALUE!</v>
      </c>
      <c r="CF224" s="1532" t="e">
        <f aca="false">IF(BS224,(CE224*BR224+CD224*BK224)/BS224,0)</f>
        <v>#VALUE!</v>
      </c>
      <c r="CG224" s="1586" t="e">
        <f aca="false">IF(OR(BQ224,BS224),IF(OVolType&lt;&gt;2,SQRT(IF(OVolOverMonthlyPeak,OVolOverMonthlyPeak,IF(OVolCurve,IF(OBuySell,U224,W224),V224))^2*(1-15/365.25/BT224)+IF(OVolOverDailyPeak,OVolOverDailyPeak,IF(OVolCurve,IF(OBuySell,AG224,AI224),AH224))^2*15/365.25/BT224),IF(OVolOverMonthlyPeak,OVolOverMonthlyPeak,IF(OVolCurve,IF(OBuySell,U224,W224),V224))),"")</f>
        <v>#VALUE!</v>
      </c>
      <c r="CH224" s="1587" t="e">
        <f aca="false">IF(OR(BQ224,BS224),IF(OVolType&lt;&gt;2,SQRT(IF(OVolOverMonthlyPeak,OVolOverMonthlyPeak,IF(OVolCurve,IF(OBuySell,X224,Z224),Y224))^2*(1-15/365.25/BT224)+IF(OVolOverDailyPeak,OVolOverDailyPeak,IF(OVolCurve,IF(OBuySell,AJ224,AL224),AK224))^2*15/365.25/BT224),IF(OVolOverMonthlyPeak,OVolOverMonthlyPeak,IF(OVolCurve,IF(OBuySell,X224,Z224),Y224))),"")</f>
        <v>#VALUE!</v>
      </c>
      <c r="CI224" s="1587" t="e">
        <f aca="false">IF(OR(BQ224,BS224),IF(OVolType&lt;&gt;2,SQRT(IF(OVolOverMonthlyPeak,OVolOverMonthlyPeak,IF(OVolCurve,IF(OBuySell,AA224,AC224),AB224))^2*(1-15/365.25/BT224)+IF(OVolOverDailyPeak,OVolOverDailyPeak,IF(OVolCurve,IF(OBuySell,AM224,AO224),AN224))^2*15/365.25/BT224),IF(OVolOverMonthlyPeak,OVolOverMonthlyPeak,IF(OVolCurve,IF(OBuySell,AA224,AC224),AB224))),"")</f>
        <v>#VALUE!</v>
      </c>
      <c r="CJ224" s="1587" t="e">
        <f aca="false">IF(BQ224,IF(BP224,SQRT(LN(1+((BU224*AZ224)^2*(EXP(CG224^2*BT224)-1)+(BV224*BA224)^2*(EXP(CH224^2*BT224)-1)+(BW224*BB224)^2*(EXP(CI224^2*BT224)-1)+2*BU224*AZ224*BV224*BA224*(EXP(CG224*CH224*BT224)-1)+2*BV224*BA224*BW224*BB224*(EXP(CH224*CI224*BT224)-1)+2*BW224*BB224*BU224*AZ224*(EXP(CI224*CG224*BT224)-1))/(BY224*BP224)^2)/BT224),0),"")</f>
        <v>#VALUE!</v>
      </c>
      <c r="CK224" s="1587" t="e">
        <f aca="false">IF(BS224,IF(BR224,SQRT(LN(1+((CA224*BH224)^2*(EXP(CG224^2*BT224)-1)+(CB224*BI224)^2*(EXP(CH224^2*BT224)-1)+(CC224*BJ224)^2*(EXP(CI224^2*BT224)-1)+2*CA224*BH224*CB224*BI224*(EXP(CG224*CH224*BT224)-1)+2*CB224*BI224*CC224*BJ224*(EXP(CH224*CI224*BT224)-1)+2*CC224*BJ224*CA224*BH224*(EXP(CI224*CG224*BT224)-1))/(CE224*BR224)^2)/BT224),0),"")</f>
        <v>#VALUE!</v>
      </c>
      <c r="CL224" s="1587" t="e">
        <f aca="false">IF(OR(BQ224,BS224),IF(OVolType&lt;&gt;2,SQRT(IF(OVolOverMonthlyOffPeak,OVolOverMonthlyOffPeak,IF(OVolCurve,IF(OBuySell,AD224,AF224),AE224))^2*(1-15/365.25/BT224)+IF(OVolOverDailyOffPeak,OVolOverDailyOffPeak,IF(OVolCurve,IF(OBuySell,AP224,AR224),AQ224))^2*15/365.25/BT224),IF(OVolOverMonthlyOffPeak,OVolOverMonthlyOffPeak,IF(OVolCurve,IF(OBuySell,AD224,AF224),AE224))),"")</f>
        <v>#VALUE!</v>
      </c>
      <c r="CM224" s="1587" t="e">
        <f aca="false">IF(BQ224,SQRT(LN(1+((BY224*BP224)^2*(EXP(CJ224^2*BT224)-1)+(BX224*BC224)^2*(EXP(CL224^2*BT224)-1)+2*BY224*BP224*BX224*BC224*(EXP(AS224*CJ224*CL224*BT224)-1))/(BY224*BP224+BX224*BC224)^2)/BT224),"")</f>
        <v>#VALUE!</v>
      </c>
      <c r="CN224" s="1588" t="e">
        <f aca="false">IF(BS224,SQRT(LN(1+((CE224*BR224)^2*(EXP(CK224^2*BT224)-1)+(CD224*BK224)^2*(EXP(CL224^2*BT224)-1)+2*CE224*BR224*CD224*BK224*(EXP(AS224*CK224*CL224*BT224)-1))/(CE224*BR224+CD224*BK224)^2)/BT224),"")</f>
        <v>#VALUE!</v>
      </c>
      <c r="CO224" s="1531" t="e">
        <f aca="false">IF(OR(BQ224,BS224),VLOOKUP(A224,GasTable,13)*HeatRatePeak*(1+VLOOKUP($B224,HeatRateDegradation,$C224+1))/1000,0)</f>
        <v>#VALUE!</v>
      </c>
      <c r="CP224" s="1316" t="e">
        <f aca="false">IF(OR(BQ224,BS224),VLOOKUP(A224,GasTable,13)*HeatRatePeak*(1+VLOOKUP($B224,HeatRateDegradation,$C224+1))/1000,0)</f>
        <v>#VALUE!</v>
      </c>
      <c r="CQ224" s="1316" t="e">
        <f aca="false">IF(OR(BQ224,BS224),VLOOKUP(A224,GasTable,13)*IF(EV224,HeatRatePeak,HeatRateOffPeak)*(1+VLOOKUP($B224,HeatRateDegradation,$C224+1))/1000,0)</f>
        <v>#VALUE!</v>
      </c>
      <c r="CR224" s="1316" t="e">
        <f aca="false">IF(OR(BQ224,BS224),VLOOKUP(A224,GasTable,13)*IF(EW224,HeatRatePeak,HeatRateOffPeak)*(1+VLOOKUP($B224,HeatRateDegradation,$C224+1))/1000,0)</f>
        <v>#VALUE!</v>
      </c>
      <c r="CS224" s="1589" t="e">
        <f aca="false">IF(BQ224,(CO224*AZ224+CP224*BA224+CQ224*BB224+CR224*BC224)/BQ224,0)</f>
        <v>#VALUE!</v>
      </c>
      <c r="CT224" s="1316" t="e">
        <f aca="false">IF(BS224,CO224,0)</f>
        <v>#VALUE!</v>
      </c>
      <c r="CU224" s="1590" t="e">
        <f aca="false">IF(OR(BQ224,BS224),VLOOKUP(A224,GasTable,14),"")</f>
        <v>#VALUE!</v>
      </c>
      <c r="CV224" s="1568" t="e">
        <f aca="false">IF(OR(BQ224,BS224),IF(CorrPowerGasOverFlag,INDEX(CorrPowerGasOver,C224),CorrPowerGas),"")</f>
        <v>#VALUE!</v>
      </c>
      <c r="CW224" s="1316" t="e">
        <f aca="false">IF(OR($BQ224,$BS224),SpreadOptPowerMargin,0)*((1+Assumptions!$C$26)^($B224-YEAR(Assumptions!$C$17)))</f>
        <v>#VALUE!</v>
      </c>
      <c r="CX224" s="1316" t="e">
        <f aca="false">IF(OR($BQ224,$BS224),SpreadOptPowerMargin,0)*((1+Assumptions!$C$26)^($B224-YEAR(Assumptions!$C$17)))</f>
        <v>#VALUE!</v>
      </c>
      <c r="CY224" s="1316" t="e">
        <f aca="false">IF(OR($BQ224,$BS224),SpreadOptPowerMargin,0)*((1+Assumptions!$C$26)^($B224-YEAR(Assumptions!$C$17)))</f>
        <v>#VALUE!</v>
      </c>
      <c r="CZ224" s="1316" t="e">
        <f aca="false">IF(OR($BQ224,$BS224),SpreadOptPowerMargin,0)*((1+Assumptions!$C$26)^($B224-YEAR(Assumptions!$C$17)))</f>
        <v>#VALUE!</v>
      </c>
      <c r="DA224" s="1591" t="e">
        <f aca="false">IF(OR(BQ224,BS224),(CW224*(AZ224+BH224)+CX224*(BA224+BI224)+CY224*(BB224+BJ224)+CZ224*(BC224+BK224))/(BQ224+BS224),0)</f>
        <v>#VALUE!</v>
      </c>
      <c r="DB224" s="1592" t="e">
        <f aca="false">IF(OR(BQ224,BS224),CG224+IF(OVolSmile,VLOOKUP(MAX(-5,CO224+CW224-BU224),IF(OVolSmile=1,VolSmileBook,VolSmileModel),2),0),"")</f>
        <v>#VALUE!</v>
      </c>
      <c r="DC224" s="1592" t="e">
        <f aca="false">IF(OR(BQ224,BS224),CH224+IF(OVolSmile,VLOOKUP(MAX(-5,CP224+CW224-BV224),IF(OVolSmile=1,VolSmileBook,VolSmileModel),2),0),"")</f>
        <v>#VALUE!</v>
      </c>
      <c r="DD224" s="1592" t="e">
        <f aca="false">IF(OR(BQ224,BS224),CI224+IF(OVolSmile,VLOOKUP(MAX(-5,CQ224+CW224-BW224),IF(OVolSmile=1,VolSmileBook,VolSmileModel),2),0),"")</f>
        <v>#VALUE!</v>
      </c>
      <c r="DE224" s="1592" t="e">
        <f aca="false">IF(OR(BQ224,BS224),CL224+IF(OVolSmile,VLOOKUP(MAX(-5,CR224+CZ224-BX224),IF(OVolSmile=1,VolSmileBook,VolSmileModel),2),0),"")</f>
        <v>#VALUE!</v>
      </c>
      <c r="DF224" s="1592" t="e">
        <f aca="false">IF(BQ224,CM224+IF(OVolSmile,VLOOKUP(MAX(-5,CS224+DA224-BZ224),IF(OVolSmile=1,VolSmileBook,VolSmileModel),2),0),"")</f>
        <v>#VALUE!</v>
      </c>
      <c r="DG224" s="1593" t="e">
        <f aca="false">IF(BS224,CN224+IF(OVolSmile,VLOOKUP(MAX(-5,CT224+DA224-CF224),IF(OVolSmile=1,VolSmileBook,VolSmileModel),2),0),"")</f>
        <v>#VALUE!</v>
      </c>
      <c r="DH224" s="1316" t="e">
        <f aca="false">IF(AND(BU224&gt;0,CO224&gt;0,DB224&gt;0,CU224&gt;0),newSPRDOPT(BU224,CO224,CW224,0,DB224,CU224,CV224,BT224*365.25,OCallPut,0),0)</f>
        <v>#VALUE!</v>
      </c>
      <c r="DI224" s="1316" t="e">
        <f aca="false">IF(AND(BV224&gt;0,CP224&gt;0,DC224&gt;0,CU224&gt;0),newSPRDOPT(BV224,CP224,CX224,0,DC224,CU224,CV224,BT224*365.25,OCallPut,0),0)</f>
        <v>#VALUE!</v>
      </c>
      <c r="DJ224" s="1316" t="e">
        <f aca="false">IF(AND(BW224&gt;0,CQ224&gt;0,DD224&gt;0,CU224&gt;0),newSPRDOPT(BW224,CQ224,CY224,0,DD224,CU224,CV224,BT224*365.25,OCallPut,0),0)</f>
        <v>#VALUE!</v>
      </c>
      <c r="DK224" s="1316" t="e">
        <f aca="false">IF(AND(BX224&gt;0,CR224&gt;0,DE224&gt;0,CU224&gt;0),newSPRDOPT(BX224,CR224,CZ224,0,DE224,CU224,CV224,BT224*365.25,OCallPut,0),0)</f>
        <v>#VALUE!</v>
      </c>
      <c r="DL224" s="1316" t="e">
        <f aca="false">IF(OVolType,IF(AND(BZ224&gt;0,CS224&gt;0,DF224&gt;0,CU224&gt;0),newSPRDOPT(BZ224,CS224,DA224,0,DF224,CU224,CV224,BT224*365.25,OCallPut,0),0),IF(BQ224,(DH224*AZ224+DI224*BA224+DJ224*BB224+DK224*BC224)/BQ224,0))</f>
        <v>#VALUE!</v>
      </c>
      <c r="DM224" s="1316"/>
      <c r="DN224" s="1316"/>
      <c r="DO224" s="1316"/>
      <c r="DP224" s="1316"/>
      <c r="DQ224" s="1316"/>
      <c r="DR224" s="1316"/>
      <c r="DS224" s="1316"/>
      <c r="DT224" s="1316"/>
      <c r="DU224" s="1316"/>
      <c r="DV224" s="1316"/>
      <c r="DW224" s="1594" t="e">
        <f aca="false">IF(AND(BW224&gt;0,CT224&gt;0,DD224&gt;0,CU224&gt;0),newSPRDOPT(BW224,CT224,CY224,0,DD224,CU224,CV224,BT224*365.25,OCallPut,0),0)</f>
        <v>#VALUE!</v>
      </c>
      <c r="DX224" s="1316" t="e">
        <f aca="false">IF(AND(BX224&gt;0,CT224&gt;0,DE224&gt;0,CU224&gt;0),newSPRDOPT(BX224,CT224,CZ224,0,DE224,CU224,CV224,BT224*365.25,OCallPut,0),0)</f>
        <v>#VALUE!</v>
      </c>
      <c r="DY224" s="1591" t="e">
        <f aca="false">IF(BS224,(DH224*BH224+DI224*BI224+DW224*BJ224+DX224*BK224)/BS224,0)</f>
        <v>#VALUE!</v>
      </c>
      <c r="DZ224" s="1551" t="e">
        <f aca="false">DH224*AZ224</f>
        <v>#VALUE!</v>
      </c>
      <c r="EA224" s="1551" t="e">
        <f aca="false">DI224*BA224</f>
        <v>#VALUE!</v>
      </c>
      <c r="EB224" s="1551" t="e">
        <f aca="false">DJ224*BB224</f>
        <v>#VALUE!</v>
      </c>
      <c r="EC224" s="1551" t="e">
        <f aca="false">DK224*BC224</f>
        <v>#VALUE!</v>
      </c>
      <c r="ED224" s="1551" t="e">
        <f aca="false">DL224*BQ224</f>
        <v>#VALUE!</v>
      </c>
      <c r="EE224" s="1595" t="e">
        <f aca="false">IF(BQ224,IF(OCallPut,IF(BU224&gt;(CO224+CW224),BU224-(CO224+CW224),0),IF((CO224+CW224)&gt;BU224,(CO224+CW224)-BU224,0))*AZ224,0)</f>
        <v>#VALUE!</v>
      </c>
      <c r="EF224" s="1596" t="e">
        <f aca="false">IF(BQ224,IF(OCallPut,IF(BV224&gt;(CP224+CX224),BV224-(CP224+CX224),0),IF((CP224+CX224)&gt;BV224,(CP224+CX224)-BV224,0))*BA224,0)</f>
        <v>#VALUE!</v>
      </c>
      <c r="EG224" s="1596" t="e">
        <f aca="false">IF(BQ224,IF(OCallPut,IF(BW224&gt;(CQ224+CY224),BW224-(CQ224+CY224),0),IF((CQ224+CY224)&gt;BW224,(CQ224+CY224)-BW224,0))*BB224,0)</f>
        <v>#VALUE!</v>
      </c>
      <c r="EH224" s="1596" t="e">
        <f aca="false">IF(BQ224,IF(OCallPut,IF(BX224&gt;(CR224+CZ224),BX224-(CR224+CZ224),0),IF((CR224+CZ224)&gt;BX224,(CR224+CZ224)-BX224,0))*BC224,0)</f>
        <v>#VALUE!</v>
      </c>
      <c r="EI224" s="1597" t="e">
        <f aca="false">IF(BQ224,IF(OVolType,IF(OCallPut,IF(BZ224&gt;(CS224+DA224),BZ224-(CS224+DA224),0),IF((CS224+DA224)&gt;BZ224,(CS224+DA224)-BZ224,0))*BQ224,SUM(EE224:EH224)),0)</f>
        <v>#VALUE!</v>
      </c>
      <c r="EJ224" s="1595" t="e">
        <f aca="false">DZ224-EE224</f>
        <v>#VALUE!</v>
      </c>
      <c r="EK224" s="1596" t="e">
        <f aca="false">EA224-EF224</f>
        <v>#VALUE!</v>
      </c>
      <c r="EL224" s="1596" t="e">
        <f aca="false">EB224-EG224</f>
        <v>#VALUE!</v>
      </c>
      <c r="EM224" s="1596" t="e">
        <f aca="false">EC224-EH224</f>
        <v>#VALUE!</v>
      </c>
      <c r="EN224" s="1597" t="e">
        <f aca="false">ED224-EI224</f>
        <v>#VALUE!</v>
      </c>
      <c r="EO224" s="1551" t="e">
        <f aca="false">DH224*BH224</f>
        <v>#VALUE!</v>
      </c>
      <c r="EP224" s="1551" t="e">
        <f aca="false">DI224*BI224</f>
        <v>#VALUE!</v>
      </c>
      <c r="EQ224" s="1551" t="e">
        <f aca="false">DW224*BJ224</f>
        <v>#VALUE!</v>
      </c>
      <c r="ER224" s="1551" t="e">
        <f aca="false">DX224*BK224</f>
        <v>#VALUE!</v>
      </c>
      <c r="ES224" s="1551" t="e">
        <f aca="false">DY224*BS224</f>
        <v>#VALUE!</v>
      </c>
      <c r="ET224" s="1566" t="e">
        <f aca="false">IF(EI224,IF(OCallPut,IF(CA224&gt;(CT224+CW224),CA224-(CT224+CW224),0),IF((CT224+CW224)&gt;CA224,(CT224+CW224)-CA224,0))*BH224,0)</f>
        <v>#VALUE!</v>
      </c>
      <c r="EU224" s="1551" t="e">
        <f aca="false">IF(EI224,IF(OCallPut,IF(CB224&gt;(CT224+CX224),CB224-(CT224+CX224),0),IF((CT224+CX224)&gt;CB224,(CT224+CX224)-CB224,0))*BI224,0)</f>
        <v>#VALUE!</v>
      </c>
      <c r="EV224" s="1551" t="e">
        <f aca="false">IF(EI224,IF(OCallPut,IF(CC224&gt;(CT224+CY224),CC224-(CT224+CY224),0),IF((CT224+CY224)&gt;CC224,(CT224+CY224)-CC224,0))*BJ224,0)</f>
        <v>#VALUE!</v>
      </c>
      <c r="EW224" s="1551" t="e">
        <f aca="false">IF(EI224,IF(OCallPut,IF(CD224&gt;(CT224+CZ224),CD224-(CT224+CZ224),0),IF((CT224+CZ224)&gt;CD224,(CT224+CZ224)-CD224,0))*BK224,0)</f>
        <v>#VALUE!</v>
      </c>
      <c r="EX224" s="1558" t="e">
        <f aca="false">IF(EI224,SUM(ET224:EW224),0)</f>
        <v>#VALUE!</v>
      </c>
      <c r="EY224" s="1551" t="e">
        <f aca="false">EO224-ET224</f>
        <v>#VALUE!</v>
      </c>
      <c r="EZ224" s="1551" t="e">
        <f aca="false">EP224-EU224</f>
        <v>#VALUE!</v>
      </c>
      <c r="FA224" s="1551" t="e">
        <f aca="false">EQ224-EV224</f>
        <v>#VALUE!</v>
      </c>
      <c r="FB224" s="1551" t="e">
        <f aca="false">ER224-EW224</f>
        <v>#VALUE!</v>
      </c>
      <c r="FC224" s="1551" t="e">
        <f aca="false">ES224-EX224</f>
        <v>#VALUE!</v>
      </c>
      <c r="FD224" s="1525" t="n">
        <f aca="false">IF(AX224,IF(VLOOKUP(C224,MAIN!$L$17:$M$28,2)="Yes",VLOOKUP(CALC!B224,MAIN!$H$17:$I$20,2),0),0)</f>
        <v>0</v>
      </c>
      <c r="FE224" s="1552" t="e">
        <f aca="false">$FD224*16*AT224*(1-$AY224)</f>
        <v>#VALUE!</v>
      </c>
      <c r="FF224" s="1553" t="e">
        <f aca="false">$FD224*16*AU224*(1-$AY224)</f>
        <v>#VALUE!</v>
      </c>
      <c r="FG224" s="1553" t="e">
        <f aca="false">$FD224*16*(AV224+AW224)*(1-$AY224)</f>
        <v>#VALUE!</v>
      </c>
      <c r="FH224" s="1554" t="n">
        <f aca="false">$FD224*8*AX224*(1-$AY224)</f>
        <v>0</v>
      </c>
      <c r="FI224" s="1555" t="n">
        <f aca="false">IF(AX224,VLOOKUP(CALC!B224,MAIN!$H$17:$K$20,4),0)</f>
        <v>0</v>
      </c>
      <c r="FJ224" s="1553" t="e">
        <f aca="false">SUM(FE224:FH224)</f>
        <v>#VALUE!</v>
      </c>
      <c r="FK224" s="1556" t="e">
        <f aca="false">FI224*FJ224</f>
        <v>#VALUE!</v>
      </c>
      <c r="FL224" s="1551" t="e">
        <f aca="false">IF($EI224&gt;0,MIN(FE224,AZ224*(1+VLOOKUP($C224,WeatherCapacityAdjustment,2))),0)</f>
        <v>#VALUE!</v>
      </c>
      <c r="FM224" s="1551" t="e">
        <f aca="false">IF($EI224&gt;0,MIN(FF224,BA224*(1+VLOOKUP($C224,WeatherCapacityAdjustment,2))),0)</f>
        <v>#VALUE!</v>
      </c>
      <c r="FN224" s="1551" t="e">
        <f aca="false">IF($EI224&gt;0,MIN(FG224,BB224*(1+VLOOKUP($C224,WeatherCapacityAdjustment,2))),0)</f>
        <v>#VALUE!</v>
      </c>
      <c r="FO224" s="1564" t="e">
        <f aca="false">IF($EI224&gt;0,MIN(FH224,BC224*(1+VLOOKUP($C224,WeatherCapacityAdjustment,3))),0)</f>
        <v>#VALUE!</v>
      </c>
      <c r="FP224" s="1551" t="e">
        <f aca="false">IF(ET224&gt;0,MIN(FE224-FL224,BH224*(1+VLOOKUP($C224,WeatherCapacityAdjustment,2))),0)</f>
        <v>#VALUE!</v>
      </c>
      <c r="FQ224" s="1551" t="e">
        <f aca="false">IF(EU224&gt;0,MIN(FF224-FM224,BI224*(1+VLOOKUP($C224,WeatherCapacityAdjustment,2))),0)</f>
        <v>#VALUE!</v>
      </c>
      <c r="FR224" s="1551" t="e">
        <f aca="false">IF(EV224&gt;0,MIN(FG224-FN224,BJ224*(1+VLOOKUP($C224,WeatherCapacityAdjustment,2))),0)</f>
        <v>#VALUE!</v>
      </c>
      <c r="FS224" s="1558" t="e">
        <f aca="false">IF(EW224&gt;0,MIN(FH224-FO224,BK224*(1+VLOOKUP($C224,WeatherCapacityAdjustment,3))),0)</f>
        <v>#VALUE!</v>
      </c>
      <c r="FT224" s="1566" t="e">
        <f aca="false">IF(AND(Assumptions!$H$71="Yes",A224&gt;=Assumptions!$H$72,A224&lt;=Assumptions!$H$73),0,IF(AND($A224&gt;=Assumptions!$C$17,$A224&lt;=Assumptions!$C$18),MAX(AZ224*(1+VLOOKUP($C224,WeatherCapacityAdjustment,2))-FL224,0),0))</f>
        <v>#VALUE!</v>
      </c>
      <c r="FU224" s="1551" t="e">
        <f aca="false">IF(AND(Assumptions!$H$71="Yes",A224&gt;=Assumptions!$H$72,A224&lt;=Assumptions!$H$73),0,IF(AND($A224&gt;=Assumptions!$C$17,$A224&lt;=Assumptions!$C$18),MAX(BA224*(1+VLOOKUP($C224,WeatherCapacityAdjustment,2))-FM224,0),0))</f>
        <v>#VALUE!</v>
      </c>
      <c r="FV224" s="1551" t="e">
        <f aca="false">IF(AND(Assumptions!$H$71="Yes",A224&gt;=Assumptions!$H$72,A224&lt;=Assumptions!$H$73),0,IF(AND($A224&gt;=Assumptions!$C$17,$A224&lt;=Assumptions!$C$18),MAX(BB224*(1+VLOOKUP($C224,WeatherCapacityAdjustment,2))-FN224,0),0))</f>
        <v>#VALUE!</v>
      </c>
      <c r="FW224" s="1564" t="e">
        <f aca="false">IF(AND(Assumptions!$H$71="Yes",A224&gt;=Assumptions!$H$72,A224&lt;=Assumptions!$H$73),0,IF(AND($A224&gt;=Assumptions!$C$17,$A224&lt;=Assumptions!$C$18),MAX(BC224*(1+VLOOKUP($C224,WeatherCapacityAdjustment,3))-FO224,0),0))</f>
        <v>#VALUE!</v>
      </c>
      <c r="FX224" s="1569" t="e">
        <f aca="false">IF(AND(Assumptions!$H$71="Yes",A224&gt;=Assumptions!$H$72,A224&lt;=Assumptions!$H$73),0,IF(ET224&gt;0,MAX(BH224*(1+VLOOKUP($C224,WeatherCapacityAdjustment,2))-FP224,0),0))</f>
        <v>#VALUE!</v>
      </c>
      <c r="FY224" s="1551" t="e">
        <f aca="false">IF(AND(Assumptions!$H$71="Yes",A224&gt;=Assumptions!$H$72,A224&lt;=Assumptions!$H$73),0,IF(EU224&gt;0,MAX(BI224*(1+VLOOKUP($C224,WeatherCapacityAdjustment,3))-FQ224,0),0))</f>
        <v>#VALUE!</v>
      </c>
      <c r="FZ224" s="1551" t="e">
        <f aca="false">IF(AND(Assumptions!$H$71="Yes",A224&gt;=Assumptions!$H$72,A224&lt;=Assumptions!$H$73),0,IF(EV224&gt;0,MAX(BJ224*(1+VLOOKUP($C224,WeatherCapacityAdjustment,2))-FR224,0),0))</f>
        <v>#VALUE!</v>
      </c>
      <c r="GA224" s="1564" t="e">
        <f aca="false">IF(AND(Assumptions!$H$71="Yes",A224&gt;=Assumptions!$H$72,A224&lt;=Assumptions!$H$73),0,IF(EW224&gt;0,MAX(BK224*(1+VLOOKUP($C224,WeatherCapacityAdjustment,2))-FS224,0),0))</f>
        <v>#VALUE!</v>
      </c>
      <c r="GB224" s="1551" t="e">
        <f aca="false">SUM(FT224:GA224)</f>
        <v>#VALUE!</v>
      </c>
      <c r="GC224" s="1563" t="e">
        <f aca="false">+IF(SUM(FT224:GA224)=0,0,(SUMPRODUCT(BU224:BX224,FT224:FW224)+SUMPRODUCT(CA224:CD224,FX224:GA224))/SUM(FT224:GA224))</f>
        <v>#VALUE!</v>
      </c>
      <c r="GD224" s="1551" t="e">
        <f aca="false">(FT224*BU224+FX224*CA224+FU224*BV224+FY224*CB224+FV224*BW224+FZ224*CC224+FW224*BX224+GA224*CD224)</f>
        <v>#VALUE!</v>
      </c>
      <c r="GE224" s="1561" t="e">
        <f aca="false">+IF(BQ224,((FL224+FM224+FT224+FU224)*HeatRatePeak/1000*(1+VLOOKUP($C224,WeatherHeatRateAdjustment,2))+(FN224+FV224)*IF(EV224&gt;0,HeatRatePeak,HeatRateOffPeak)/1000*(1+VLOOKUP($C224,WeatherHeatRateAdjustment,2))+(FO224+FW224)*IF(EW224&gt;0,HeatRatePeak,HeatRateOffPeak)/1000*(1+VLOOKUP($C224,WeatherHeatRateAdjustment,3)))*(1+VLOOKUP($B224,HeatRateDegradation,$C224+1)),0)</f>
        <v>#VALUE!</v>
      </c>
      <c r="GF224" s="1562" t="e">
        <f aca="false">IF(BQ224,((FP224+FQ224+FR224+FX224+FY224+FZ224)*HeatRatePeak/1000*(1+VLOOKUP($C224,WeatherHeatRateAdjustment,2))+(FS224+GA224)*HeatRatePeak/1000*(1+VLOOKUP($C224,WeatherHeatRateAdjustment,3)))*(1+VLOOKUP($B224,HeatRateDegradation,$C224+1)),0)</f>
        <v>#VALUE!</v>
      </c>
      <c r="GG224" s="1563" t="e">
        <f aca="false">IF(BQ224,VLOOKUP(A224,GasTable,13),0)</f>
        <v>#VALUE!</v>
      </c>
      <c r="GH224" s="1564" t="e">
        <f aca="false">(GE224+GF224)*GG224</f>
        <v>#VALUE!</v>
      </c>
      <c r="GI224" s="1569" t="e">
        <f aca="false">GB224</f>
        <v>#VALUE!</v>
      </c>
      <c r="GJ224" s="1598" t="e">
        <f aca="false">+DA224</f>
        <v>#VALUE!</v>
      </c>
      <c r="GK224" s="1558" t="e">
        <f aca="false">+GI224*GJ224</f>
        <v>#VALUE!</v>
      </c>
      <c r="GL224" s="1566" t="e">
        <f aca="false">MAX(FE224-FL224-FP224,0)</f>
        <v>#VALUE!</v>
      </c>
      <c r="GM224" s="1551" t="e">
        <f aca="false">MAX(FF224-FM224-FQ224,0)</f>
        <v>#VALUE!</v>
      </c>
      <c r="GN224" s="1551" t="e">
        <f aca="false">MAX(FG224-FN224-FR224,0)</f>
        <v>#VALUE!</v>
      </c>
      <c r="GO224" s="1564" t="e">
        <f aca="false">MAX(FH224-FO224-FS224,0)</f>
        <v>#VALUE!</v>
      </c>
      <c r="GP224" s="1551" t="e">
        <f aca="false">SUM(GL224:GO224)</f>
        <v>#VALUE!</v>
      </c>
      <c r="GQ224" s="1563" t="e">
        <f aca="false">IF(SUM(GL224:GO224)=0,0,((GL224*BU224+GM224*BV224+GN224*BW224+GO224*BX224)/SUM(GL224:GO224)))</f>
        <v>#VALUE!</v>
      </c>
      <c r="GR224" s="1558" t="e">
        <f aca="false">(GL224*BU224+GM224*BV224+GN224*BW224+GO224*BX224)</f>
        <v>#VALUE!</v>
      </c>
      <c r="GS224" s="1566" t="n">
        <f aca="false">IF($A224&gt;=BegDate,Assumptions!$C$56*24*($A225-$A224)*(1-VLOOKUP($B224,MAIN!$AA$7:$AM$28,$C224+1))*(1-VLOOKUP($B224,MAIN!$AA$33:$AM$54,$C224+1)),0)*80/168</f>
        <v>257742.857142857</v>
      </c>
      <c r="GT224" s="286" t="n">
        <f aca="false">J224</f>
        <v>92.7328082998633</v>
      </c>
      <c r="GU224" s="286" t="n">
        <f aca="false">IF($A224&gt;=BegDate,VLOOKUP($A224,GasTable,13)+Assumptions!$C$58,0)</f>
        <v>3.50046705287692</v>
      </c>
      <c r="GV224" s="286" t="n">
        <f aca="false">GU224*Assumptions!$C$57/1000</f>
        <v>25.3783861333576</v>
      </c>
      <c r="GW224" s="1558" t="n">
        <f aca="false">IF(Assumptions!$C$60="Hourly",MAX(0,GS224*(GT224-GV224)),GS224*(GT224-GV224))</f>
        <v>17360121.2104014</v>
      </c>
      <c r="GX224" s="1566" t="n">
        <f aca="false">IF($A224&gt;=BegDate,Assumptions!$C$56*24*($A225-$A224)*(1-VLOOKUP($B224,MAIN!$AA$7:$AM$28,$C224+1))*(1-VLOOKUP($B224,MAIN!$AA$33:$AM$54,$C224+1)),0)*16/168</f>
        <v>51548.5714285714</v>
      </c>
      <c r="GY224" s="286" t="n">
        <f aca="false">M224</f>
        <v>92.7328082998633</v>
      </c>
      <c r="GZ224" s="286" t="n">
        <f aca="false">IF($A224&gt;=BegDate,VLOOKUP($A224,GasTable,13)+Assumptions!$C$58,0)</f>
        <v>3.50046705287692</v>
      </c>
      <c r="HA224" s="286" t="n">
        <f aca="false">GZ224*Assumptions!$C$57/1000</f>
        <v>25.3783861333576</v>
      </c>
      <c r="HB224" s="1558" t="n">
        <f aca="false">IF(Assumptions!$C$60="Hourly",MAX(0,GX224*(GY224-HA224)),GX224*(GY224-HA224))</f>
        <v>3472024.24208027</v>
      </c>
      <c r="HC224" s="1566" t="n">
        <f aca="false">IF($A224&gt;=BegDate,Assumptions!$C$56*24*($A225-$A224)*(1-VLOOKUP($B224,MAIN!$AA$7:$AM$28,$C224+1))*(1-VLOOKUP($B224,MAIN!$AA$33:$AM$54,$C224+1)),0)*16/168</f>
        <v>51548.5714285714</v>
      </c>
      <c r="HD224" s="286" t="n">
        <f aca="false">P224</f>
        <v>36.3723910566586</v>
      </c>
      <c r="HE224" s="286" t="n">
        <f aca="false">IF($A224&gt;=BegDate,VLOOKUP($A224,GasTable,13)+Assumptions!$C$58,0)</f>
        <v>3.50046705287692</v>
      </c>
      <c r="HF224" s="286" t="n">
        <f aca="false">HE224*Assumptions!$C$57/1000</f>
        <v>25.3783861333576</v>
      </c>
      <c r="HG224" s="1558" t="n">
        <f aca="false">IF(Assumptions!$C$60="Hourly",MAX(0,HC224*(HD224-HF224)),HC224*(HD224-HF224))</f>
        <v>566725.248074845</v>
      </c>
      <c r="HH224" s="1566" t="n">
        <f aca="false">IF($A224&gt;=BegDate,Assumptions!$C$56*24*($A225-$A224)*(1-VLOOKUP($B224,MAIN!$AA$7:$AM$28,$C224+1))*(1-VLOOKUP($B224,MAIN!$AA$33:$AM$54,$C224+1)),0)*56/168</f>
        <v>180420</v>
      </c>
      <c r="HI224" s="286" t="n">
        <f aca="false">S224</f>
        <v>36.3723910566586</v>
      </c>
      <c r="HJ224" s="286" t="n">
        <f aca="false">IF($A224&gt;=BegDate,VLOOKUP($A224,GasTable,13)+Assumptions!$C$58,0)</f>
        <v>3.50046705287692</v>
      </c>
      <c r="HK224" s="286" t="n">
        <f aca="false">HJ224*Assumptions!$C$57/1000</f>
        <v>25.3783861333576</v>
      </c>
      <c r="HL224" s="1558" t="n">
        <f aca="false">IF(Assumptions!$C$60="Hourly",MAX(0,HH224*(HI224-HK224)),HH224*(HI224-HK224))</f>
        <v>1983538.36826196</v>
      </c>
      <c r="HM224" s="1566" t="n">
        <f aca="false">IF(AND(Assumptions!$H$71="Yes",A224&gt;=Assumptions!$H$72,A224&lt;=Assumptions!$H$73),Assumptions!$H$74*Assumptions!$C$9*1000,0)</f>
        <v>0</v>
      </c>
      <c r="HN224" s="1551"/>
      <c r="HO224" s="1563"/>
      <c r="HP224" s="1563"/>
      <c r="HQ224" s="1563"/>
      <c r="HR224" s="1563"/>
      <c r="HS224" s="1563"/>
      <c r="HT224" s="1563"/>
      <c r="HU224" s="1563"/>
      <c r="HV224" s="1563"/>
      <c r="HW224" s="1563"/>
      <c r="HX224" s="1563"/>
      <c r="HY224" s="1563"/>
      <c r="HZ224" s="1563"/>
      <c r="IA224" s="1563"/>
      <c r="IB224" s="1563"/>
      <c r="IC224" s="1563"/>
      <c r="ID224" s="1563"/>
      <c r="IE224" s="1563"/>
      <c r="IF224" s="1563"/>
      <c r="IG224" s="1563"/>
      <c r="IH224" s="1563"/>
      <c r="II224" s="1610"/>
      <c r="IJ224" s="1309"/>
      <c r="IK224" s="1309"/>
    </row>
    <row r="225" customFormat="false" ht="12.75" hidden="false" customHeight="false" outlineLevel="0" collapsed="false">
      <c r="A225" s="1571" t="n">
        <f aca="false">EOMONTH(A224,0)+1</f>
        <v>42979</v>
      </c>
      <c r="B225" s="594" t="n">
        <f aca="false">+YEAR(A225)</f>
        <v>2017</v>
      </c>
      <c r="C225" s="238" t="n">
        <f aca="false">MONTH(A225)</f>
        <v>9</v>
      </c>
      <c r="D225" s="1572" t="e">
        <f aca="false">IF(E225="","",Holiday(B225,C225))</f>
        <v>#VALUE!</v>
      </c>
      <c r="E225" s="1573" t="n">
        <f aca="false">IF(OR(BegDate&gt;=A226,EndDate&lt;A225,AND(VolumeMonthlyOverFlag,INDEX(VolumeMonthlyOver,C225)=0),NOT(INDEX(MonthKnockOutTable,C225))),"",MAX(A225,BegDate))</f>
        <v>42979</v>
      </c>
      <c r="F225" s="1574" t="n">
        <f aca="false">IF(E225="","",MIN(A226-1,EndDate))</f>
        <v>43008</v>
      </c>
      <c r="G225" s="1575" t="n">
        <v>0</v>
      </c>
      <c r="H225" s="1576" t="n">
        <f aca="false">(1+G225/2)^(-2*(DATE(B226,C226,20)-DateToday)/365.25)</f>
        <v>1</v>
      </c>
      <c r="I225" s="1568" t="n">
        <f aca="false">IF(Assumptions!$L$25=4,VLOOKUP($A225,'Henwood Reference'!$E$9:$R$320,10),(VLOOKUP($A225,PriceTable,2,0)+IF(BasisNumber&lt;&gt;1,VLOOKUP($A225,BasisTable,2,0),0)+I$1)/(1-I$2))</f>
        <v>70.3115825991865</v>
      </c>
      <c r="J225" s="1568" t="n">
        <f aca="false">IF(Assumptions!$L$25=4,VLOOKUP($A225,'Henwood Reference'!$E$9:$R$320,10),(VLOOKUP($A225,PriceTable,3,0)+IF(BasisNumber&lt;&gt;1,VLOOKUP($A225,BasisTable,2,0),0)+J$1)/(1-J$2))</f>
        <v>70.3115825991865</v>
      </c>
      <c r="K225" s="1568" t="n">
        <f aca="false">IF(Assumptions!$L$25=4,VLOOKUP($A225,'Henwood Reference'!$E$9:$R$320,10),(VLOOKUP($A225,PriceTable,4,0)+IF(BasisNumber&lt;&gt;1,VLOOKUP($A225,BasisTable,2,0),0)+K$1)/(1-K$2))</f>
        <v>70.3115825991865</v>
      </c>
      <c r="L225" s="1523" t="n">
        <f aca="false">IF(Assumptions!$L$25=4,VLOOKUP($A225,'Henwood Reference'!$E$9:$R$320,10),(VLOOKUP($A225,PriceTableWeekend,2,0)+IF(BasisNumber&lt;&gt;1,VLOOKUP($A225,BasisTable,2,0),0)+L$1)/(1-L$2))</f>
        <v>70.3115825991865</v>
      </c>
      <c r="M225" s="1568" t="n">
        <f aca="false">IF(Assumptions!$L$25=4,VLOOKUP($A225,'Henwood Reference'!$E$9:$R$320,10),(VLOOKUP($A225,PriceTableWeekend,3,0)+IF(BasisNumber&lt;&gt;1,VLOOKUP($A225,BasisTable,2,0),0)+M$1)/(1-M$2))</f>
        <v>70.3115825991865</v>
      </c>
      <c r="N225" s="1599" t="n">
        <f aca="false">IF(Assumptions!$L$25=4,VLOOKUP($A225,'Henwood Reference'!$E$9:$R$320,10),(VLOOKUP($A225,PriceTableWeekend,4,0)+IF(BasisNumber&lt;&gt;1,VLOOKUP($A225,BasisTable,2,0),0)+N$1)/(1-N$2))</f>
        <v>70.3115825991865</v>
      </c>
      <c r="O225" s="1568" t="n">
        <f aca="false">IF(Assumptions!$L$25=4,VLOOKUP($A225,'Henwood Reference'!$E$9:$R$320,11),(VLOOKUP($A225,PriceTableWeekend,6,0)+IF(BasisNumber&lt;&gt;1,VLOOKUP($A225,BasisTable,3,0),0)+O$1)/(1-O$2))</f>
        <v>33.1773201863453</v>
      </c>
      <c r="P225" s="1568" t="n">
        <f aca="false">IF(Assumptions!$L$25=4,VLOOKUP($A225,'Henwood Reference'!$E$9:$R$320,11),(VLOOKUP($A225,PriceTableWeekend,7,0)+IF(BasisNumber&lt;&gt;1,VLOOKUP($A225,BasisTable,3,0),0)+P$1)/(1-P$2))</f>
        <v>33.1773201863453</v>
      </c>
      <c r="Q225" s="1599" t="n">
        <f aca="false">IF(Assumptions!$L$25=4,VLOOKUP($A225,'Henwood Reference'!$E$9:$R$320,11),(VLOOKUP($A225,PriceTableWeekend,8,0)+IF(BasisNumber&lt;&gt;1,VLOOKUP($A225,BasisTable,3,0),0)+Q$1)/(1-Q$2))</f>
        <v>33.1773201863453</v>
      </c>
      <c r="R225" s="1568" t="n">
        <f aca="false">IF(Assumptions!$L$25=4,VLOOKUP($A225,'Henwood Reference'!$E$9:$R$320,11),(VLOOKUP($A225,PriceTable,6,0)+IF(BasisNumber&lt;&gt;1,VLOOKUP($A225,BasisTable,3,0),0)+R$1)/(1-R$2))</f>
        <v>33.1773201863453</v>
      </c>
      <c r="S225" s="1568" t="n">
        <f aca="false">IF(Assumptions!$L$25=4,VLOOKUP($A225,'Henwood Reference'!$E$9:$R$320,11),(VLOOKUP($A225,PriceTable,7,0)+IF(BasisNumber&lt;&gt;1,VLOOKUP($A225,BasisTable,3,0),0)+S$1)/(1-S$2))</f>
        <v>33.1773201863453</v>
      </c>
      <c r="T225" s="1600" t="n">
        <f aca="false">IF(Assumptions!$L$25=4,VLOOKUP($A225,'Henwood Reference'!$E$9:$R$320,11),(VLOOKUP($A225,PriceTable,8,0)+IF(BasisNumber&lt;&gt;1,VLOOKUP($A225,BasisTable,3,0),0)+T$1)/(1-T$2))</f>
        <v>33.1773201863453</v>
      </c>
      <c r="U225" s="1513" t="n">
        <f aca="false">VLOOKUP($A225,VolatilityTable,14)</f>
        <v>0.09</v>
      </c>
      <c r="V225" s="1513" t="n">
        <f aca="false">VLOOKUP($A225,VolatilityTable,15)</f>
        <v>0.1</v>
      </c>
      <c r="W225" s="1514" t="n">
        <f aca="false">VLOOKUP($A225,VolatilityTable,16)</f>
        <v>0.11</v>
      </c>
      <c r="X225" s="1513" t="n">
        <f aca="false">VLOOKUP($A225,VolatilityTable,14)</f>
        <v>0.09</v>
      </c>
      <c r="Y225" s="1513" t="n">
        <f aca="false">VLOOKUP($A225,VolatilityTable,15)</f>
        <v>0.1</v>
      </c>
      <c r="Z225" s="1514" t="n">
        <f aca="false">VLOOKUP($A225,VolatilityTable,16)</f>
        <v>0.11</v>
      </c>
      <c r="AA225" s="1513" t="n">
        <f aca="false">VLOOKUP($A225,VolatilityTable,18)</f>
        <v>0.09</v>
      </c>
      <c r="AB225" s="1513" t="n">
        <f aca="false">VLOOKUP($A225,VolatilityTable,19)</f>
        <v>0.11</v>
      </c>
      <c r="AC225" s="1514" t="n">
        <f aca="false">VLOOKUP($A225,VolatilityTable,20)</f>
        <v>0.13</v>
      </c>
      <c r="AD225" s="1513" t="n">
        <f aca="false">VLOOKUP($A225,VolatilityTable,18)</f>
        <v>0.09</v>
      </c>
      <c r="AE225" s="1513" t="n">
        <f aca="false">VLOOKUP($A225,VolatilityTable,19)</f>
        <v>0.11</v>
      </c>
      <c r="AF225" s="1514" t="n">
        <f aca="false">VLOOKUP($A225,VolatilityTable,20)</f>
        <v>0.13</v>
      </c>
      <c r="AG225" s="1513" t="n">
        <f aca="false">VLOOKUP($A225,VolatilityTable,22)</f>
        <v>-0.35</v>
      </c>
      <c r="AH225" s="1513" t="n">
        <f aca="false">VLOOKUP($A225,VolatilityTable,23)</f>
        <v>3</v>
      </c>
      <c r="AI225" s="1514" t="n">
        <f aca="false">VLOOKUP($A225,VolatilityTable,24)</f>
        <v>0.2</v>
      </c>
      <c r="AJ225" s="1513" t="n">
        <f aca="false">VLOOKUP($A225,VolatilityTable,22)</f>
        <v>-0.35</v>
      </c>
      <c r="AK225" s="1513" t="n">
        <f aca="false">VLOOKUP($A225,VolatilityTable,23)</f>
        <v>3</v>
      </c>
      <c r="AL225" s="1514" t="n">
        <f aca="false">VLOOKUP($A225,VolatilityTable,24)</f>
        <v>0.2</v>
      </c>
      <c r="AM225" s="1513" t="n">
        <f aca="false">VLOOKUP($A225,VolatilityTable,26)</f>
        <v>-0.01</v>
      </c>
      <c r="AN225" s="1513" t="n">
        <f aca="false">VLOOKUP($A225,VolatilityTable,27)</f>
        <v>0.16</v>
      </c>
      <c r="AO225" s="1514" t="n">
        <f aca="false">VLOOKUP($A225,VolatilityTable,28)</f>
        <v>0.01</v>
      </c>
      <c r="AP225" s="1513" t="n">
        <f aca="false">VLOOKUP($A225,VolatilityTable,26)</f>
        <v>-0.01</v>
      </c>
      <c r="AQ225" s="1513" t="n">
        <f aca="false">VLOOKUP($A225,VolatilityTable,27)</f>
        <v>0.16</v>
      </c>
      <c r="AR225" s="1515" t="n">
        <f aca="false">VLOOKUP($A225,VolatilityTable,28)</f>
        <v>0.01</v>
      </c>
      <c r="AS225" s="1581" t="n">
        <f aca="false">IF(CorrPeakOffPeakOverFlag,INDEX(CorrPeakOffPeakOver,C225),CorrPeakOffPeak)</f>
        <v>0.5</v>
      </c>
      <c r="AT225" s="594" t="e">
        <f aca="false">AX225-SUM(AU225:AW225)</f>
        <v>#VALUE!</v>
      </c>
      <c r="AU225" s="238" t="e">
        <f aca="false">IF(E225="",0,INT((F225-MOD(F225,7)-E225)/7)+1-IF(AW225,IF(WEEKDAY(D225)=7,1,0),0))</f>
        <v>#VALUE!</v>
      </c>
      <c r="AV225" s="238" t="e">
        <f aca="false">IF(E225="",0,INT((F225-MOD(F225-1,7)-E225)/7)+1-IF(AW225,IF(WEEKDAY(D225)=1,1,0),0))</f>
        <v>#VALUE!</v>
      </c>
      <c r="AW225" s="238" t="e">
        <f aca="false">IF(OR(E225="",D225="",D225&lt;BegDate,D225&gt;EndDate),0,1)</f>
        <v>#VALUE!</v>
      </c>
      <c r="AX225" s="238" t="n">
        <f aca="false">IF(E225="",0,F225-E225+1)</f>
        <v>30</v>
      </c>
      <c r="AY225" s="1582" t="n">
        <f aca="false">IF(E225="",0,MIN((1-(1-VLOOKUP(B225,MAIN!$AA$7:$AM$28,C225+1))*(1-VLOOKUP(B225,MAIN!$AA$33:$AM$54,C225+1))),1))</f>
        <v>0.03</v>
      </c>
      <c r="AZ225" s="1519" t="e">
        <v>#VALUE!</v>
      </c>
      <c r="BA225" s="1520" t="e">
        <v>#VALUE!</v>
      </c>
      <c r="BB225" s="1520" t="e">
        <v>#VALUE!</v>
      </c>
      <c r="BC225" s="1583" t="e">
        <v>#VALUE!</v>
      </c>
      <c r="BD225" s="1522" t="e">
        <v>#VALUE!</v>
      </c>
      <c r="BE225" s="1523" t="e">
        <v>#VALUE!</v>
      </c>
      <c r="BF225" s="1523" t="e">
        <v>#VALUE!</v>
      </c>
      <c r="BG225" s="1584" t="e">
        <v>#VALUE!</v>
      </c>
      <c r="BH225" s="1525" t="e">
        <v>#VALUE!</v>
      </c>
      <c r="BI225" s="1520" t="e">
        <v>#VALUE!</v>
      </c>
      <c r="BJ225" s="1520" t="e">
        <v>#VALUE!</v>
      </c>
      <c r="BK225" s="1583" t="e">
        <v>#VALUE!</v>
      </c>
      <c r="BL225" s="1522" t="e">
        <v>#VALUE!</v>
      </c>
      <c r="BM225" s="1523" t="e">
        <v>#VALUE!</v>
      </c>
      <c r="BN225" s="1523" t="e">
        <v>#VALUE!</v>
      </c>
      <c r="BO225" s="1523" t="e">
        <v>#VALUE!</v>
      </c>
      <c r="BP225" s="1525" t="e">
        <f aca="false">SUM(AZ225:BB225)</f>
        <v>#VALUE!</v>
      </c>
      <c r="BQ225" s="1529" t="e">
        <f aca="false">SUM(AZ225:BC225)</f>
        <v>#VALUE!</v>
      </c>
      <c r="BR225" s="1519" t="e">
        <f aca="false">SUM(BH225:BJ225)</f>
        <v>#VALUE!</v>
      </c>
      <c r="BS225" s="1529" t="e">
        <f aca="false">SUM(BH225:BK225)</f>
        <v>#VALUE!</v>
      </c>
      <c r="BT225" s="1316" t="n">
        <f aca="false">(IF(OVolType&lt;&gt;2,A225+14,IF(OptExpDateShift,ShiftBack(A225,OptExpDateShift,D224),A225))-DateToday)/365.25</f>
        <v>17.3826146475017</v>
      </c>
      <c r="BU225" s="1585" t="e">
        <f aca="false">IF(BQ225,IF(OPriceCurve,IF(OBuySell=OCallPut,I225/(1-AY225),K225/(1-AY225)),J225/(1-AY225))*BD225,0)</f>
        <v>#VALUE!</v>
      </c>
      <c r="BV225" s="1316" t="e">
        <f aca="false">IF(BQ225,IF(OPriceCurve,IF(OBuySell=OCallPut,L225/(1-AY225),N225/(1-AY225)),M225/(1-AY225))*BE225,0)</f>
        <v>#VALUE!</v>
      </c>
      <c r="BW225" s="1316" t="e">
        <f aca="false">IF(BQ225,IF(OPriceCurve,IF(OBuySell=OCallPut,O225/(1-AY225),Q225/(1-AY225)),P225/(1-AY225))*BF225,0)</f>
        <v>#VALUE!</v>
      </c>
      <c r="BX225" s="1316" t="e">
        <f aca="false">IF(BQ225,IF(OPriceCurve,IF(OBuySell=OCallPut,R225/(1-AY225),T225/(1-AY225)),S225/(1-AY225))*BG225,0)</f>
        <v>#VALUE!</v>
      </c>
      <c r="BY225" s="1316" t="e">
        <f aca="false">IF(BP225,(BU225*AZ225+BV225*BA225+BW225*BB225)/BP225,0)</f>
        <v>#VALUE!</v>
      </c>
      <c r="BZ225" s="1316" t="e">
        <f aca="false">IF(BQ225,(BY225*BP225+BX225*BC225)/BQ225,0)</f>
        <v>#VALUE!</v>
      </c>
      <c r="CA225" s="1531" t="e">
        <f aca="false">IF(BS225,IF(OPriceCurve,IF(OBuySell=OCallPut,I225/(1-AY225),K225/(1-AY225)),J225/(1-AY225))*BL225,0)</f>
        <v>#VALUE!</v>
      </c>
      <c r="CB225" s="1316" t="e">
        <f aca="false">IF(BS225,IF(OPriceCurve,IF(OBuySell=OCallPut,L225/(1-AY225),N225/(1-AY225)),M225/(1-AY225))*BM225,0)</f>
        <v>#VALUE!</v>
      </c>
      <c r="CC225" s="1316" t="e">
        <f aca="false">IF(BS225,IF(OPriceCurve,IF(OBuySell=OCallPut,O225/(1-AY225),Q225/(1-AY225)),P225/(1-AY225))*BN225,0)</f>
        <v>#VALUE!</v>
      </c>
      <c r="CD225" s="1316" t="e">
        <f aca="false">IF(BS225,IF(OPriceCurve,IF(OBuySell=OCallPut,R225/(1-AY225),T225/(1-AY225)),S225/(1-AY225))*BO225,0)</f>
        <v>#VALUE!</v>
      </c>
      <c r="CE225" s="1316" t="e">
        <f aca="false">IF(BR225,(BU225*BH225+BV225*BI225+BW225*BJ225)/BR225,0)</f>
        <v>#VALUE!</v>
      </c>
      <c r="CF225" s="1532" t="e">
        <f aca="false">IF(BS225,(CE225*BR225+CD225*BK225)/BS225,0)</f>
        <v>#VALUE!</v>
      </c>
      <c r="CG225" s="1586" t="e">
        <f aca="false">IF(OR(BQ225,BS225),IF(OVolType&lt;&gt;2,SQRT(IF(OVolOverMonthlyPeak,OVolOverMonthlyPeak,IF(OVolCurve,IF(OBuySell,U225,W225),V225))^2*(1-15/365.25/BT225)+IF(OVolOverDailyPeak,OVolOverDailyPeak,IF(OVolCurve,IF(OBuySell,AG225,AI225),AH225))^2*15/365.25/BT225),IF(OVolOverMonthlyPeak,OVolOverMonthlyPeak,IF(OVolCurve,IF(OBuySell,U225,W225),V225))),"")</f>
        <v>#VALUE!</v>
      </c>
      <c r="CH225" s="1587" t="e">
        <f aca="false">IF(OR(BQ225,BS225),IF(OVolType&lt;&gt;2,SQRT(IF(OVolOverMonthlyPeak,OVolOverMonthlyPeak,IF(OVolCurve,IF(OBuySell,X225,Z225),Y225))^2*(1-15/365.25/BT225)+IF(OVolOverDailyPeak,OVolOverDailyPeak,IF(OVolCurve,IF(OBuySell,AJ225,AL225),AK225))^2*15/365.25/BT225),IF(OVolOverMonthlyPeak,OVolOverMonthlyPeak,IF(OVolCurve,IF(OBuySell,X225,Z225),Y225))),"")</f>
        <v>#VALUE!</v>
      </c>
      <c r="CI225" s="1587" t="e">
        <f aca="false">IF(OR(BQ225,BS225),IF(OVolType&lt;&gt;2,SQRT(IF(OVolOverMonthlyPeak,OVolOverMonthlyPeak,IF(OVolCurve,IF(OBuySell,AA225,AC225),AB225))^2*(1-15/365.25/BT225)+IF(OVolOverDailyPeak,OVolOverDailyPeak,IF(OVolCurve,IF(OBuySell,AM225,AO225),AN225))^2*15/365.25/BT225),IF(OVolOverMonthlyPeak,OVolOverMonthlyPeak,IF(OVolCurve,IF(OBuySell,AA225,AC225),AB225))),"")</f>
        <v>#VALUE!</v>
      </c>
      <c r="CJ225" s="1587" t="e">
        <f aca="false">IF(BQ225,IF(BP225,SQRT(LN(1+((BU225*AZ225)^2*(EXP(CG225^2*BT225)-1)+(BV225*BA225)^2*(EXP(CH225^2*BT225)-1)+(BW225*BB225)^2*(EXP(CI225^2*BT225)-1)+2*BU225*AZ225*BV225*BA225*(EXP(CG225*CH225*BT225)-1)+2*BV225*BA225*BW225*BB225*(EXP(CH225*CI225*BT225)-1)+2*BW225*BB225*BU225*AZ225*(EXP(CI225*CG225*BT225)-1))/(BY225*BP225)^2)/BT225),0),"")</f>
        <v>#VALUE!</v>
      </c>
      <c r="CK225" s="1587" t="e">
        <f aca="false">IF(BS225,IF(BR225,SQRT(LN(1+((CA225*BH225)^2*(EXP(CG225^2*BT225)-1)+(CB225*BI225)^2*(EXP(CH225^2*BT225)-1)+(CC225*BJ225)^2*(EXP(CI225^2*BT225)-1)+2*CA225*BH225*CB225*BI225*(EXP(CG225*CH225*BT225)-1)+2*CB225*BI225*CC225*BJ225*(EXP(CH225*CI225*BT225)-1)+2*CC225*BJ225*CA225*BH225*(EXP(CI225*CG225*BT225)-1))/(CE225*BR225)^2)/BT225),0),"")</f>
        <v>#VALUE!</v>
      </c>
      <c r="CL225" s="1587" t="e">
        <f aca="false">IF(OR(BQ225,BS225),IF(OVolType&lt;&gt;2,SQRT(IF(OVolOverMonthlyOffPeak,OVolOverMonthlyOffPeak,IF(OVolCurve,IF(OBuySell,AD225,AF225),AE225))^2*(1-15/365.25/BT225)+IF(OVolOverDailyOffPeak,OVolOverDailyOffPeak,IF(OVolCurve,IF(OBuySell,AP225,AR225),AQ225))^2*15/365.25/BT225),IF(OVolOverMonthlyOffPeak,OVolOverMonthlyOffPeak,IF(OVolCurve,IF(OBuySell,AD225,AF225),AE225))),"")</f>
        <v>#VALUE!</v>
      </c>
      <c r="CM225" s="1587" t="e">
        <f aca="false">IF(BQ225,SQRT(LN(1+((BY225*BP225)^2*(EXP(CJ225^2*BT225)-1)+(BX225*BC225)^2*(EXP(CL225^2*BT225)-1)+2*BY225*BP225*BX225*BC225*(EXP(AS225*CJ225*CL225*BT225)-1))/(BY225*BP225+BX225*BC225)^2)/BT225),"")</f>
        <v>#VALUE!</v>
      </c>
      <c r="CN225" s="1588" t="e">
        <f aca="false">IF(BS225,SQRT(LN(1+((CE225*BR225)^2*(EXP(CK225^2*BT225)-1)+(CD225*BK225)^2*(EXP(CL225^2*BT225)-1)+2*CE225*BR225*CD225*BK225*(EXP(AS225*CK225*CL225*BT225)-1))/(CE225*BR225+CD225*BK225)^2)/BT225),"")</f>
        <v>#VALUE!</v>
      </c>
      <c r="CO225" s="1531" t="e">
        <f aca="false">IF(OR(BQ225,BS225),VLOOKUP(A225,GasTable,13)*HeatRatePeak*(1+VLOOKUP($B225,HeatRateDegradation,$C225+1))/1000,0)</f>
        <v>#VALUE!</v>
      </c>
      <c r="CP225" s="1316" t="e">
        <f aca="false">IF(OR(BQ225,BS225),VLOOKUP(A225,GasTable,13)*HeatRatePeak*(1+VLOOKUP($B225,HeatRateDegradation,$C225+1))/1000,0)</f>
        <v>#VALUE!</v>
      </c>
      <c r="CQ225" s="1316" t="e">
        <f aca="false">IF(OR(BQ225,BS225),VLOOKUP(A225,GasTable,13)*IF(EV225,HeatRatePeak,HeatRateOffPeak)*(1+VLOOKUP($B225,HeatRateDegradation,$C225+1))/1000,0)</f>
        <v>#VALUE!</v>
      </c>
      <c r="CR225" s="1316" t="e">
        <f aca="false">IF(OR(BQ225,BS225),VLOOKUP(A225,GasTable,13)*IF(EW225,HeatRatePeak,HeatRateOffPeak)*(1+VLOOKUP($B225,HeatRateDegradation,$C225+1))/1000,0)</f>
        <v>#VALUE!</v>
      </c>
      <c r="CS225" s="1589" t="e">
        <f aca="false">IF(BQ225,(CO225*AZ225+CP225*BA225+CQ225*BB225+CR225*BC225)/BQ225,0)</f>
        <v>#VALUE!</v>
      </c>
      <c r="CT225" s="1316" t="e">
        <f aca="false">IF(BS225,CO225,0)</f>
        <v>#VALUE!</v>
      </c>
      <c r="CU225" s="1590" t="e">
        <f aca="false">IF(OR(BQ225,BS225),VLOOKUP(A225,GasTable,14),"")</f>
        <v>#VALUE!</v>
      </c>
      <c r="CV225" s="1568" t="e">
        <f aca="false">IF(OR(BQ225,BS225),IF(CorrPowerGasOverFlag,INDEX(CorrPowerGasOver,C225),CorrPowerGas),"")</f>
        <v>#VALUE!</v>
      </c>
      <c r="CW225" s="1316" t="e">
        <f aca="false">IF(OR($BQ225,$BS225),SpreadOptPowerMargin,0)*((1+Assumptions!$C$26)^($B225-YEAR(Assumptions!$C$17)))</f>
        <v>#VALUE!</v>
      </c>
      <c r="CX225" s="1316" t="e">
        <f aca="false">IF(OR($BQ225,$BS225),SpreadOptPowerMargin,0)*((1+Assumptions!$C$26)^($B225-YEAR(Assumptions!$C$17)))</f>
        <v>#VALUE!</v>
      </c>
      <c r="CY225" s="1316" t="e">
        <f aca="false">IF(OR($BQ225,$BS225),SpreadOptPowerMargin,0)*((1+Assumptions!$C$26)^($B225-YEAR(Assumptions!$C$17)))</f>
        <v>#VALUE!</v>
      </c>
      <c r="CZ225" s="1316" t="e">
        <f aca="false">IF(OR($BQ225,$BS225),SpreadOptPowerMargin,0)*((1+Assumptions!$C$26)^($B225-YEAR(Assumptions!$C$17)))</f>
        <v>#VALUE!</v>
      </c>
      <c r="DA225" s="1591" t="e">
        <f aca="false">IF(OR(BQ225,BS225),(CW225*(AZ225+BH225)+CX225*(BA225+BI225)+CY225*(BB225+BJ225)+CZ225*(BC225+BK225))/(BQ225+BS225),0)</f>
        <v>#VALUE!</v>
      </c>
      <c r="DB225" s="1592" t="e">
        <f aca="false">IF(OR(BQ225,BS225),CG225+IF(OVolSmile,VLOOKUP(MAX(-5,CO225+CW225-BU225),IF(OVolSmile=1,VolSmileBook,VolSmileModel),2),0),"")</f>
        <v>#VALUE!</v>
      </c>
      <c r="DC225" s="1592" t="e">
        <f aca="false">IF(OR(BQ225,BS225),CH225+IF(OVolSmile,VLOOKUP(MAX(-5,CP225+CW225-BV225),IF(OVolSmile=1,VolSmileBook,VolSmileModel),2),0),"")</f>
        <v>#VALUE!</v>
      </c>
      <c r="DD225" s="1592" t="e">
        <f aca="false">IF(OR(BQ225,BS225),CI225+IF(OVolSmile,VLOOKUP(MAX(-5,CQ225+CW225-BW225),IF(OVolSmile=1,VolSmileBook,VolSmileModel),2),0),"")</f>
        <v>#VALUE!</v>
      </c>
      <c r="DE225" s="1592" t="e">
        <f aca="false">IF(OR(BQ225,BS225),CL225+IF(OVolSmile,VLOOKUP(MAX(-5,CR225+CZ225-BX225),IF(OVolSmile=1,VolSmileBook,VolSmileModel),2),0),"")</f>
        <v>#VALUE!</v>
      </c>
      <c r="DF225" s="1592" t="e">
        <f aca="false">IF(BQ225,CM225+IF(OVolSmile,VLOOKUP(MAX(-5,CS225+DA225-BZ225),IF(OVolSmile=1,VolSmileBook,VolSmileModel),2),0),"")</f>
        <v>#VALUE!</v>
      </c>
      <c r="DG225" s="1593" t="e">
        <f aca="false">IF(BS225,CN225+IF(OVolSmile,VLOOKUP(MAX(-5,CT225+DA225-CF225),IF(OVolSmile=1,VolSmileBook,VolSmileModel),2),0),"")</f>
        <v>#VALUE!</v>
      </c>
      <c r="DH225" s="1316" t="e">
        <f aca="false">IF(AND(BU225&gt;0,CO225&gt;0,DB225&gt;0,CU225&gt;0),newSPRDOPT(BU225,CO225,CW225,0,DB225,CU225,CV225,BT225*365.25,OCallPut,0),0)</f>
        <v>#VALUE!</v>
      </c>
      <c r="DI225" s="1316" t="e">
        <f aca="false">IF(AND(BV225&gt;0,CP225&gt;0,DC225&gt;0,CU225&gt;0),newSPRDOPT(BV225,CP225,CX225,0,DC225,CU225,CV225,BT225*365.25,OCallPut,0),0)</f>
        <v>#VALUE!</v>
      </c>
      <c r="DJ225" s="1316" t="e">
        <f aca="false">IF(AND(BW225&gt;0,CQ225&gt;0,DD225&gt;0,CU225&gt;0),newSPRDOPT(BW225,CQ225,CY225,0,DD225,CU225,CV225,BT225*365.25,OCallPut,0),0)</f>
        <v>#VALUE!</v>
      </c>
      <c r="DK225" s="1316" t="e">
        <f aca="false">IF(AND(BX225&gt;0,CR225&gt;0,DE225&gt;0,CU225&gt;0),newSPRDOPT(BX225,CR225,CZ225,0,DE225,CU225,CV225,BT225*365.25,OCallPut,0),0)</f>
        <v>#VALUE!</v>
      </c>
      <c r="DL225" s="1316" t="e">
        <f aca="false">IF(OVolType,IF(AND(BZ225&gt;0,CS225&gt;0,DF225&gt;0,CU225&gt;0),newSPRDOPT(BZ225,CS225,DA225,0,DF225,CU225,CV225,BT225*365.25,OCallPut,0),0),IF(BQ225,(DH225*AZ225+DI225*BA225+DJ225*BB225+DK225*BC225)/BQ225,0))</f>
        <v>#VALUE!</v>
      </c>
      <c r="DM225" s="1316"/>
      <c r="DN225" s="1316"/>
      <c r="DO225" s="1316"/>
      <c r="DP225" s="1316"/>
      <c r="DQ225" s="1316"/>
      <c r="DR225" s="1316"/>
      <c r="DS225" s="1316"/>
      <c r="DT225" s="1316"/>
      <c r="DU225" s="1316"/>
      <c r="DV225" s="1316"/>
      <c r="DW225" s="1594" t="e">
        <f aca="false">IF(AND(BW225&gt;0,CT225&gt;0,DD225&gt;0,CU225&gt;0),newSPRDOPT(BW225,CT225,CY225,0,DD225,CU225,CV225,BT225*365.25,OCallPut,0),0)</f>
        <v>#VALUE!</v>
      </c>
      <c r="DX225" s="1316" t="e">
        <f aca="false">IF(AND(BX225&gt;0,CT225&gt;0,DE225&gt;0,CU225&gt;0),newSPRDOPT(BX225,CT225,CZ225,0,DE225,CU225,CV225,BT225*365.25,OCallPut,0),0)</f>
        <v>#VALUE!</v>
      </c>
      <c r="DY225" s="1591" t="e">
        <f aca="false">IF(BS225,(DH225*BH225+DI225*BI225+DW225*BJ225+DX225*BK225)/BS225,0)</f>
        <v>#VALUE!</v>
      </c>
      <c r="DZ225" s="1551" t="e">
        <f aca="false">DH225*AZ225</f>
        <v>#VALUE!</v>
      </c>
      <c r="EA225" s="1551" t="e">
        <f aca="false">DI225*BA225</f>
        <v>#VALUE!</v>
      </c>
      <c r="EB225" s="1551" t="e">
        <f aca="false">DJ225*BB225</f>
        <v>#VALUE!</v>
      </c>
      <c r="EC225" s="1551" t="e">
        <f aca="false">DK225*BC225</f>
        <v>#VALUE!</v>
      </c>
      <c r="ED225" s="1551" t="e">
        <f aca="false">DL225*BQ225</f>
        <v>#VALUE!</v>
      </c>
      <c r="EE225" s="1595" t="e">
        <f aca="false">IF(BQ225,IF(OCallPut,IF(BU225&gt;(CO225+CW225),BU225-(CO225+CW225),0),IF((CO225+CW225)&gt;BU225,(CO225+CW225)-BU225,0))*AZ225,0)</f>
        <v>#VALUE!</v>
      </c>
      <c r="EF225" s="1596" t="e">
        <f aca="false">IF(BQ225,IF(OCallPut,IF(BV225&gt;(CP225+CX225),BV225-(CP225+CX225),0),IF((CP225+CX225)&gt;BV225,(CP225+CX225)-BV225,0))*BA225,0)</f>
        <v>#VALUE!</v>
      </c>
      <c r="EG225" s="1596" t="e">
        <f aca="false">IF(BQ225,IF(OCallPut,IF(BW225&gt;(CQ225+CY225),BW225-(CQ225+CY225),0),IF((CQ225+CY225)&gt;BW225,(CQ225+CY225)-BW225,0))*BB225,0)</f>
        <v>#VALUE!</v>
      </c>
      <c r="EH225" s="1596" t="e">
        <f aca="false">IF(BQ225,IF(OCallPut,IF(BX225&gt;(CR225+CZ225),BX225-(CR225+CZ225),0),IF((CR225+CZ225)&gt;BX225,(CR225+CZ225)-BX225,0))*BC225,0)</f>
        <v>#VALUE!</v>
      </c>
      <c r="EI225" s="1597" t="e">
        <f aca="false">IF(BQ225,IF(OVolType,IF(OCallPut,IF(BZ225&gt;(CS225+DA225),BZ225-(CS225+DA225),0),IF((CS225+DA225)&gt;BZ225,(CS225+DA225)-BZ225,0))*BQ225,SUM(EE225:EH225)),0)</f>
        <v>#VALUE!</v>
      </c>
      <c r="EJ225" s="1595" t="e">
        <f aca="false">DZ225-EE225</f>
        <v>#VALUE!</v>
      </c>
      <c r="EK225" s="1596" t="e">
        <f aca="false">EA225-EF225</f>
        <v>#VALUE!</v>
      </c>
      <c r="EL225" s="1596" t="e">
        <f aca="false">EB225-EG225</f>
        <v>#VALUE!</v>
      </c>
      <c r="EM225" s="1596" t="e">
        <f aca="false">EC225-EH225</f>
        <v>#VALUE!</v>
      </c>
      <c r="EN225" s="1597" t="e">
        <f aca="false">ED225-EI225</f>
        <v>#VALUE!</v>
      </c>
      <c r="EO225" s="1551" t="e">
        <f aca="false">DH225*BH225</f>
        <v>#VALUE!</v>
      </c>
      <c r="EP225" s="1551" t="e">
        <f aca="false">DI225*BI225</f>
        <v>#VALUE!</v>
      </c>
      <c r="EQ225" s="1551" t="e">
        <f aca="false">DW225*BJ225</f>
        <v>#VALUE!</v>
      </c>
      <c r="ER225" s="1551" t="e">
        <f aca="false">DX225*BK225</f>
        <v>#VALUE!</v>
      </c>
      <c r="ES225" s="1551" t="e">
        <f aca="false">DY225*BS225</f>
        <v>#VALUE!</v>
      </c>
      <c r="ET225" s="1566" t="e">
        <f aca="false">IF(EI225,IF(OCallPut,IF(CA225&gt;(CT225+CW225),CA225-(CT225+CW225),0),IF((CT225+CW225)&gt;CA225,(CT225+CW225)-CA225,0))*BH225,0)</f>
        <v>#VALUE!</v>
      </c>
      <c r="EU225" s="1551" t="e">
        <f aca="false">IF(EI225,IF(OCallPut,IF(CB225&gt;(CT225+CX225),CB225-(CT225+CX225),0),IF((CT225+CX225)&gt;CB225,(CT225+CX225)-CB225,0))*BI225,0)</f>
        <v>#VALUE!</v>
      </c>
      <c r="EV225" s="1551" t="e">
        <f aca="false">IF(EI225,IF(OCallPut,IF(CC225&gt;(CT225+CY225),CC225-(CT225+CY225),0),IF((CT225+CY225)&gt;CC225,(CT225+CY225)-CC225,0))*BJ225,0)</f>
        <v>#VALUE!</v>
      </c>
      <c r="EW225" s="1551" t="e">
        <f aca="false">IF(EI225,IF(OCallPut,IF(CD225&gt;(CT225+CZ225),CD225-(CT225+CZ225),0),IF((CT225+CZ225)&gt;CD225,(CT225+CZ225)-CD225,0))*BK225,0)</f>
        <v>#VALUE!</v>
      </c>
      <c r="EX225" s="1558" t="e">
        <f aca="false">IF(EI225,SUM(ET225:EW225),0)</f>
        <v>#VALUE!</v>
      </c>
      <c r="EY225" s="1551" t="e">
        <f aca="false">EO225-ET225</f>
        <v>#VALUE!</v>
      </c>
      <c r="EZ225" s="1551" t="e">
        <f aca="false">EP225-EU225</f>
        <v>#VALUE!</v>
      </c>
      <c r="FA225" s="1551" t="e">
        <f aca="false">EQ225-EV225</f>
        <v>#VALUE!</v>
      </c>
      <c r="FB225" s="1551" t="e">
        <f aca="false">ER225-EW225</f>
        <v>#VALUE!</v>
      </c>
      <c r="FC225" s="1551" t="e">
        <f aca="false">ES225-EX225</f>
        <v>#VALUE!</v>
      </c>
      <c r="FD225" s="1525" t="n">
        <f aca="false">IF(AX225,IF(VLOOKUP(C225,MAIN!$L$17:$M$28,2)="Yes",VLOOKUP(CALC!B225,MAIN!$H$17:$I$20,2),0),0)</f>
        <v>0</v>
      </c>
      <c r="FE225" s="1552" t="e">
        <f aca="false">$FD225*16*AT225*(1-$AY225)</f>
        <v>#VALUE!</v>
      </c>
      <c r="FF225" s="1553" t="e">
        <f aca="false">$FD225*16*AU225*(1-$AY225)</f>
        <v>#VALUE!</v>
      </c>
      <c r="FG225" s="1553" t="e">
        <f aca="false">$FD225*16*(AV225+AW225)*(1-$AY225)</f>
        <v>#VALUE!</v>
      </c>
      <c r="FH225" s="1554" t="n">
        <f aca="false">$FD225*8*AX225*(1-$AY225)</f>
        <v>0</v>
      </c>
      <c r="FI225" s="1555" t="n">
        <f aca="false">IF(AX225,VLOOKUP(CALC!B225,MAIN!$H$17:$K$20,4),0)</f>
        <v>0</v>
      </c>
      <c r="FJ225" s="1553" t="e">
        <f aca="false">SUM(FE225:FH225)</f>
        <v>#VALUE!</v>
      </c>
      <c r="FK225" s="1556" t="e">
        <f aca="false">FI225*FJ225</f>
        <v>#VALUE!</v>
      </c>
      <c r="FL225" s="1551" t="e">
        <f aca="false">IF($EI225&gt;0,MIN(FE225,AZ225*(1+VLOOKUP($C225,WeatherCapacityAdjustment,2))),0)</f>
        <v>#VALUE!</v>
      </c>
      <c r="FM225" s="1551" t="e">
        <f aca="false">IF($EI225&gt;0,MIN(FF225,BA225*(1+VLOOKUP($C225,WeatherCapacityAdjustment,2))),0)</f>
        <v>#VALUE!</v>
      </c>
      <c r="FN225" s="1551" t="e">
        <f aca="false">IF($EI225&gt;0,MIN(FG225,BB225*(1+VLOOKUP($C225,WeatherCapacityAdjustment,2))),0)</f>
        <v>#VALUE!</v>
      </c>
      <c r="FO225" s="1564" t="e">
        <f aca="false">IF($EI225&gt;0,MIN(FH225,BC225*(1+VLOOKUP($C225,WeatherCapacityAdjustment,3))),0)</f>
        <v>#VALUE!</v>
      </c>
      <c r="FP225" s="1551" t="e">
        <f aca="false">IF(ET225&gt;0,MIN(FE225-FL225,BH225*(1+VLOOKUP($C225,WeatherCapacityAdjustment,2))),0)</f>
        <v>#VALUE!</v>
      </c>
      <c r="FQ225" s="1551" t="e">
        <f aca="false">IF(EU225&gt;0,MIN(FF225-FM225,BI225*(1+VLOOKUP($C225,WeatherCapacityAdjustment,2))),0)</f>
        <v>#VALUE!</v>
      </c>
      <c r="FR225" s="1551" t="e">
        <f aca="false">IF(EV225&gt;0,MIN(FG225-FN225,BJ225*(1+VLOOKUP($C225,WeatherCapacityAdjustment,2))),0)</f>
        <v>#VALUE!</v>
      </c>
      <c r="FS225" s="1558" t="e">
        <f aca="false">IF(EW225&gt;0,MIN(FH225-FO225,BK225*(1+VLOOKUP($C225,WeatherCapacityAdjustment,3))),0)</f>
        <v>#VALUE!</v>
      </c>
      <c r="FT225" s="1566" t="e">
        <f aca="false">IF(AND(Assumptions!$H$71="Yes",A225&gt;=Assumptions!$H$72,A225&lt;=Assumptions!$H$73),0,IF(AND($A225&gt;=Assumptions!$C$17,$A225&lt;=Assumptions!$C$18),MAX(AZ225*(1+VLOOKUP($C225,WeatherCapacityAdjustment,2))-FL225,0),0))</f>
        <v>#VALUE!</v>
      </c>
      <c r="FU225" s="1551" t="e">
        <f aca="false">IF(AND(Assumptions!$H$71="Yes",A225&gt;=Assumptions!$H$72,A225&lt;=Assumptions!$H$73),0,IF(AND($A225&gt;=Assumptions!$C$17,$A225&lt;=Assumptions!$C$18),MAX(BA225*(1+VLOOKUP($C225,WeatherCapacityAdjustment,2))-FM225,0),0))</f>
        <v>#VALUE!</v>
      </c>
      <c r="FV225" s="1551" t="e">
        <f aca="false">IF(AND(Assumptions!$H$71="Yes",A225&gt;=Assumptions!$H$72,A225&lt;=Assumptions!$H$73),0,IF(AND($A225&gt;=Assumptions!$C$17,$A225&lt;=Assumptions!$C$18),MAX(BB225*(1+VLOOKUP($C225,WeatherCapacityAdjustment,2))-FN225,0),0))</f>
        <v>#VALUE!</v>
      </c>
      <c r="FW225" s="1564" t="e">
        <f aca="false">IF(AND(Assumptions!$H$71="Yes",A225&gt;=Assumptions!$H$72,A225&lt;=Assumptions!$H$73),0,IF(AND($A225&gt;=Assumptions!$C$17,$A225&lt;=Assumptions!$C$18),MAX(BC225*(1+VLOOKUP($C225,WeatherCapacityAdjustment,3))-FO225,0),0))</f>
        <v>#VALUE!</v>
      </c>
      <c r="FX225" s="1569" t="e">
        <f aca="false">IF(AND(Assumptions!$H$71="Yes",A225&gt;=Assumptions!$H$72,A225&lt;=Assumptions!$H$73),0,IF(ET225&gt;0,MAX(BH225*(1+VLOOKUP($C225,WeatherCapacityAdjustment,2))-FP225,0),0))</f>
        <v>#VALUE!</v>
      </c>
      <c r="FY225" s="1551" t="e">
        <f aca="false">IF(AND(Assumptions!$H$71="Yes",A225&gt;=Assumptions!$H$72,A225&lt;=Assumptions!$H$73),0,IF(EU225&gt;0,MAX(BI225*(1+VLOOKUP($C225,WeatherCapacityAdjustment,3))-FQ225,0),0))</f>
        <v>#VALUE!</v>
      </c>
      <c r="FZ225" s="1551" t="e">
        <f aca="false">IF(AND(Assumptions!$H$71="Yes",A225&gt;=Assumptions!$H$72,A225&lt;=Assumptions!$H$73),0,IF(EV225&gt;0,MAX(BJ225*(1+VLOOKUP($C225,WeatherCapacityAdjustment,2))-FR225,0),0))</f>
        <v>#VALUE!</v>
      </c>
      <c r="GA225" s="1564" t="e">
        <f aca="false">IF(AND(Assumptions!$H$71="Yes",A225&gt;=Assumptions!$H$72,A225&lt;=Assumptions!$H$73),0,IF(EW225&gt;0,MAX(BK225*(1+VLOOKUP($C225,WeatherCapacityAdjustment,2))-FS225,0),0))</f>
        <v>#VALUE!</v>
      </c>
      <c r="GB225" s="1551" t="e">
        <f aca="false">SUM(FT225:GA225)</f>
        <v>#VALUE!</v>
      </c>
      <c r="GC225" s="1563" t="e">
        <f aca="false">+IF(SUM(FT225:GA225)=0,0,(SUMPRODUCT(BU225:BX225,FT225:FW225)+SUMPRODUCT(CA225:CD225,FX225:GA225))/SUM(FT225:GA225))</f>
        <v>#VALUE!</v>
      </c>
      <c r="GD225" s="1551" t="e">
        <f aca="false">(FT225*BU225+FX225*CA225+FU225*BV225+FY225*CB225+FV225*BW225+FZ225*CC225+FW225*BX225+GA225*CD225)</f>
        <v>#VALUE!</v>
      </c>
      <c r="GE225" s="1561" t="e">
        <f aca="false">+IF(BQ225,((FL225+FM225+FT225+FU225)*HeatRatePeak/1000*(1+VLOOKUP($C225,WeatherHeatRateAdjustment,2))+(FN225+FV225)*IF(EV225&gt;0,HeatRatePeak,HeatRateOffPeak)/1000*(1+VLOOKUP($C225,WeatherHeatRateAdjustment,2))+(FO225+FW225)*IF(EW225&gt;0,HeatRatePeak,HeatRateOffPeak)/1000*(1+VLOOKUP($C225,WeatherHeatRateAdjustment,3)))*(1+VLOOKUP($B225,HeatRateDegradation,$C225+1)),0)</f>
        <v>#VALUE!</v>
      </c>
      <c r="GF225" s="1562" t="e">
        <f aca="false">IF(BQ225,((FP225+FQ225+FR225+FX225+FY225+FZ225)*HeatRatePeak/1000*(1+VLOOKUP($C225,WeatherHeatRateAdjustment,2))+(FS225+GA225)*HeatRatePeak/1000*(1+VLOOKUP($C225,WeatherHeatRateAdjustment,3)))*(1+VLOOKUP($B225,HeatRateDegradation,$C225+1)),0)</f>
        <v>#VALUE!</v>
      </c>
      <c r="GG225" s="1563" t="e">
        <f aca="false">IF(BQ225,VLOOKUP(A225,GasTable,13),0)</f>
        <v>#VALUE!</v>
      </c>
      <c r="GH225" s="1564" t="e">
        <f aca="false">(GE225+GF225)*GG225</f>
        <v>#VALUE!</v>
      </c>
      <c r="GI225" s="1569" t="e">
        <f aca="false">GB225</f>
        <v>#VALUE!</v>
      </c>
      <c r="GJ225" s="1598" t="e">
        <f aca="false">+DA225</f>
        <v>#VALUE!</v>
      </c>
      <c r="GK225" s="1558" t="e">
        <f aca="false">+GI225*GJ225</f>
        <v>#VALUE!</v>
      </c>
      <c r="GL225" s="1566" t="e">
        <f aca="false">MAX(FE225-FL225-FP225,0)</f>
        <v>#VALUE!</v>
      </c>
      <c r="GM225" s="1551" t="e">
        <f aca="false">MAX(FF225-FM225-FQ225,0)</f>
        <v>#VALUE!</v>
      </c>
      <c r="GN225" s="1551" t="e">
        <f aca="false">MAX(FG225-FN225-FR225,0)</f>
        <v>#VALUE!</v>
      </c>
      <c r="GO225" s="1564" t="e">
        <f aca="false">MAX(FH225-FO225-FS225,0)</f>
        <v>#VALUE!</v>
      </c>
      <c r="GP225" s="1551" t="e">
        <f aca="false">SUM(GL225:GO225)</f>
        <v>#VALUE!</v>
      </c>
      <c r="GQ225" s="1563" t="e">
        <f aca="false">IF(SUM(GL225:GO225)=0,0,((GL225*BU225+GM225*BV225+GN225*BW225+GO225*BX225)/SUM(GL225:GO225)))</f>
        <v>#VALUE!</v>
      </c>
      <c r="GR225" s="1558" t="e">
        <f aca="false">(GL225*BU225+GM225*BV225+GN225*BW225+GO225*BX225)</f>
        <v>#VALUE!</v>
      </c>
      <c r="GS225" s="1566" t="n">
        <f aca="false">IF($A225&gt;=BegDate,Assumptions!$C$56*24*($A226-$A225)*(1-VLOOKUP($B225,MAIN!$AA$7:$AM$28,$C225+1))*(1-VLOOKUP($B225,MAIN!$AA$33:$AM$54,$C225+1)),0)*80/168</f>
        <v>249428.571428571</v>
      </c>
      <c r="GT225" s="286" t="n">
        <f aca="false">J225</f>
        <v>70.3115825991865</v>
      </c>
      <c r="GU225" s="286" t="n">
        <f aca="false">IF($A225&gt;=BegDate,VLOOKUP($A225,GasTable,13)+Assumptions!$C$58,0)</f>
        <v>3.64588594553255</v>
      </c>
      <c r="GV225" s="286" t="n">
        <f aca="false">GU225*Assumptions!$C$57/1000</f>
        <v>26.432673105111</v>
      </c>
      <c r="GW225" s="1558" t="n">
        <f aca="false">IF(Assumptions!$C$60="Hourly",MAX(0,GS225*(GT225-GV225)),GS225*(GT225-GV225))</f>
        <v>10944653.7109508</v>
      </c>
      <c r="GX225" s="1566" t="n">
        <f aca="false">IF($A225&gt;=BegDate,Assumptions!$C$56*24*($A226-$A225)*(1-VLOOKUP($B225,MAIN!$AA$7:$AM$28,$C225+1))*(1-VLOOKUP($B225,MAIN!$AA$33:$AM$54,$C225+1)),0)*16/168</f>
        <v>49885.7142857143</v>
      </c>
      <c r="GY225" s="286" t="n">
        <f aca="false">M225</f>
        <v>70.3115825991865</v>
      </c>
      <c r="GZ225" s="286" t="n">
        <f aca="false">IF($A225&gt;=BegDate,VLOOKUP($A225,GasTable,13)+Assumptions!$C$58,0)</f>
        <v>3.64588594553255</v>
      </c>
      <c r="HA225" s="286" t="n">
        <f aca="false">GZ225*Assumptions!$C$57/1000</f>
        <v>26.432673105111</v>
      </c>
      <c r="HB225" s="1558" t="n">
        <f aca="false">IF(Assumptions!$C$60="Hourly",MAX(0,GX225*(GY225-HA225)),GX225*(GY225-HA225))</f>
        <v>2188930.74219017</v>
      </c>
      <c r="HC225" s="1566" t="n">
        <f aca="false">IF($A225&gt;=BegDate,Assumptions!$C$56*24*($A226-$A225)*(1-VLOOKUP($B225,MAIN!$AA$7:$AM$28,$C225+1))*(1-VLOOKUP($B225,MAIN!$AA$33:$AM$54,$C225+1)),0)*16/168</f>
        <v>49885.7142857143</v>
      </c>
      <c r="HD225" s="286" t="n">
        <f aca="false">P225</f>
        <v>33.1773201863453</v>
      </c>
      <c r="HE225" s="286" t="n">
        <f aca="false">IF($A225&gt;=BegDate,VLOOKUP($A225,GasTable,13)+Assumptions!$C$58,0)</f>
        <v>3.64588594553255</v>
      </c>
      <c r="HF225" s="286" t="n">
        <f aca="false">HE225*Assumptions!$C$57/1000</f>
        <v>26.432673105111</v>
      </c>
      <c r="HG225" s="1558" t="n">
        <f aca="false">IF(Assumptions!$C$60="Hourly",MAX(0,HC225*(HD225-HF225)),HC225*(HD225-HF225))</f>
        <v>336461.537252431</v>
      </c>
      <c r="HH225" s="1566" t="n">
        <f aca="false">IF($A225&gt;=BegDate,Assumptions!$C$56*24*($A226-$A225)*(1-VLOOKUP($B225,MAIN!$AA$7:$AM$28,$C225+1))*(1-VLOOKUP($B225,MAIN!$AA$33:$AM$54,$C225+1)),0)*56/168</f>
        <v>174600</v>
      </c>
      <c r="HI225" s="286" t="n">
        <f aca="false">S225</f>
        <v>33.1773201863453</v>
      </c>
      <c r="HJ225" s="286" t="n">
        <f aca="false">IF($A225&gt;=BegDate,VLOOKUP($A225,GasTable,13)+Assumptions!$C$58,0)</f>
        <v>3.64588594553255</v>
      </c>
      <c r="HK225" s="286" t="n">
        <f aca="false">HJ225*Assumptions!$C$57/1000</f>
        <v>26.432673105111</v>
      </c>
      <c r="HL225" s="1558" t="n">
        <f aca="false">IF(Assumptions!$C$60="Hourly",MAX(0,HH225*(HI225-HK225)),HH225*(HI225-HK225))</f>
        <v>1177615.38038351</v>
      </c>
      <c r="HM225" s="1566" t="n">
        <f aca="false">IF(AND(Assumptions!$H$71="Yes",A225&gt;=Assumptions!$H$72,A225&lt;=Assumptions!$H$73),Assumptions!$H$74*Assumptions!$C$9*1000,0)</f>
        <v>0</v>
      </c>
      <c r="HN225" s="1551"/>
      <c r="HO225" s="1563"/>
      <c r="HP225" s="1563"/>
      <c r="HQ225" s="1563"/>
      <c r="HR225" s="1563"/>
      <c r="HS225" s="1563"/>
      <c r="HT225" s="1563"/>
      <c r="HU225" s="1563"/>
      <c r="HV225" s="1563"/>
      <c r="HW225" s="1563"/>
      <c r="HX225" s="1563"/>
      <c r="HY225" s="1563"/>
      <c r="HZ225" s="1563"/>
      <c r="IA225" s="1563"/>
      <c r="IB225" s="1563"/>
      <c r="IC225" s="1563"/>
      <c r="ID225" s="1563"/>
      <c r="IE225" s="1563"/>
      <c r="IF225" s="1563"/>
      <c r="IG225" s="1563"/>
      <c r="IH225" s="1563"/>
      <c r="II225" s="1610"/>
      <c r="IJ225" s="1309"/>
      <c r="IK225" s="1309"/>
    </row>
    <row r="226" customFormat="false" ht="12.75" hidden="false" customHeight="false" outlineLevel="0" collapsed="false">
      <c r="A226" s="1571" t="n">
        <f aca="false">EOMONTH(A225,0)+1</f>
        <v>43009</v>
      </c>
      <c r="B226" s="594" t="n">
        <f aca="false">+YEAR(A226)</f>
        <v>2017</v>
      </c>
      <c r="C226" s="238" t="n">
        <f aca="false">MONTH(A226)</f>
        <v>10</v>
      </c>
      <c r="D226" s="1572" t="e">
        <f aca="false">IF(E226="","",Holiday(B226,C226))</f>
        <v>#VALUE!</v>
      </c>
      <c r="E226" s="1573" t="n">
        <f aca="false">IF(OR(BegDate&gt;=A227,EndDate&lt;A226,AND(VolumeMonthlyOverFlag,INDEX(VolumeMonthlyOver,C226)=0),NOT(INDEX(MonthKnockOutTable,C226))),"",MAX(A226,BegDate))</f>
        <v>43009</v>
      </c>
      <c r="F226" s="1574" t="n">
        <f aca="false">IF(E226="","",MIN(A227-1,EndDate))</f>
        <v>43039</v>
      </c>
      <c r="G226" s="1575" t="n">
        <v>0</v>
      </c>
      <c r="H226" s="1576" t="n">
        <f aca="false">(1+G226/2)^(-2*(DATE(B227,C227,20)-DateToday)/365.25)</f>
        <v>1</v>
      </c>
      <c r="I226" s="1568" t="n">
        <f aca="false">IF(Assumptions!$L$25=4,VLOOKUP($A226,'Henwood Reference'!$E$9:$R$320,10),(VLOOKUP($A226,PriceTable,2,0)+IF(BasisNumber&lt;&gt;1,VLOOKUP($A226,BasisTable,2,0),0)+I$1)/(1-I$2))</f>
        <v>56.5001613368401</v>
      </c>
      <c r="J226" s="1568" t="n">
        <f aca="false">IF(Assumptions!$L$25=4,VLOOKUP($A226,'Henwood Reference'!$E$9:$R$320,10),(VLOOKUP($A226,PriceTable,3,0)+IF(BasisNumber&lt;&gt;1,VLOOKUP($A226,BasisTable,2,0),0)+J$1)/(1-J$2))</f>
        <v>56.5001613368401</v>
      </c>
      <c r="K226" s="1568" t="n">
        <f aca="false">IF(Assumptions!$L$25=4,VLOOKUP($A226,'Henwood Reference'!$E$9:$R$320,10),(VLOOKUP($A226,PriceTable,4,0)+IF(BasisNumber&lt;&gt;1,VLOOKUP($A226,BasisTable,2,0),0)+K$1)/(1-K$2))</f>
        <v>56.5001613368401</v>
      </c>
      <c r="L226" s="1523" t="n">
        <f aca="false">IF(Assumptions!$L$25=4,VLOOKUP($A226,'Henwood Reference'!$E$9:$R$320,10),(VLOOKUP($A226,PriceTableWeekend,2,0)+IF(BasisNumber&lt;&gt;1,VLOOKUP($A226,BasisTable,2,0),0)+L$1)/(1-L$2))</f>
        <v>56.5001613368401</v>
      </c>
      <c r="M226" s="1568" t="n">
        <f aca="false">IF(Assumptions!$L$25=4,VLOOKUP($A226,'Henwood Reference'!$E$9:$R$320,10),(VLOOKUP($A226,PriceTableWeekend,3,0)+IF(BasisNumber&lt;&gt;1,VLOOKUP($A226,BasisTable,2,0),0)+M$1)/(1-M$2))</f>
        <v>56.5001613368401</v>
      </c>
      <c r="N226" s="1599" t="n">
        <f aca="false">IF(Assumptions!$L$25=4,VLOOKUP($A226,'Henwood Reference'!$E$9:$R$320,10),(VLOOKUP($A226,PriceTableWeekend,4,0)+IF(BasisNumber&lt;&gt;1,VLOOKUP($A226,BasisTable,2,0),0)+N$1)/(1-N$2))</f>
        <v>56.5001613368401</v>
      </c>
      <c r="O226" s="1568" t="n">
        <f aca="false">IF(Assumptions!$L$25=4,VLOOKUP($A226,'Henwood Reference'!$E$9:$R$320,11),(VLOOKUP($A226,PriceTableWeekend,6,0)+IF(BasisNumber&lt;&gt;1,VLOOKUP($A226,BasisTable,3,0),0)+O$1)/(1-O$2))</f>
        <v>30.4040020314928</v>
      </c>
      <c r="P226" s="1568" t="n">
        <f aca="false">IF(Assumptions!$L$25=4,VLOOKUP($A226,'Henwood Reference'!$E$9:$R$320,11),(VLOOKUP($A226,PriceTableWeekend,7,0)+IF(BasisNumber&lt;&gt;1,VLOOKUP($A226,BasisTable,3,0),0)+P$1)/(1-P$2))</f>
        <v>30.4040020314928</v>
      </c>
      <c r="Q226" s="1599" t="n">
        <f aca="false">IF(Assumptions!$L$25=4,VLOOKUP($A226,'Henwood Reference'!$E$9:$R$320,11),(VLOOKUP($A226,PriceTableWeekend,8,0)+IF(BasisNumber&lt;&gt;1,VLOOKUP($A226,BasisTable,3,0),0)+Q$1)/(1-Q$2))</f>
        <v>30.4040020314928</v>
      </c>
      <c r="R226" s="1568" t="n">
        <f aca="false">IF(Assumptions!$L$25=4,VLOOKUP($A226,'Henwood Reference'!$E$9:$R$320,11),(VLOOKUP($A226,PriceTable,6,0)+IF(BasisNumber&lt;&gt;1,VLOOKUP($A226,BasisTable,3,0),0)+R$1)/(1-R$2))</f>
        <v>30.4040020314928</v>
      </c>
      <c r="S226" s="1568" t="n">
        <f aca="false">IF(Assumptions!$L$25=4,VLOOKUP($A226,'Henwood Reference'!$E$9:$R$320,11),(VLOOKUP($A226,PriceTable,7,0)+IF(BasisNumber&lt;&gt;1,VLOOKUP($A226,BasisTable,3,0),0)+S$1)/(1-S$2))</f>
        <v>30.4040020314928</v>
      </c>
      <c r="T226" s="1600" t="n">
        <f aca="false">IF(Assumptions!$L$25=4,VLOOKUP($A226,'Henwood Reference'!$E$9:$R$320,11),(VLOOKUP($A226,PriceTable,8,0)+IF(BasisNumber&lt;&gt;1,VLOOKUP($A226,BasisTable,3,0),0)+T$1)/(1-T$2))</f>
        <v>30.4040020314928</v>
      </c>
      <c r="U226" s="1513" t="n">
        <f aca="false">VLOOKUP($A226,VolatilityTable,14)</f>
        <v>0.09</v>
      </c>
      <c r="V226" s="1513" t="n">
        <f aca="false">VLOOKUP($A226,VolatilityTable,15)</f>
        <v>0.1</v>
      </c>
      <c r="W226" s="1514" t="n">
        <f aca="false">VLOOKUP($A226,VolatilityTable,16)</f>
        <v>0.11</v>
      </c>
      <c r="X226" s="1513" t="n">
        <f aca="false">VLOOKUP($A226,VolatilityTable,14)</f>
        <v>0.09</v>
      </c>
      <c r="Y226" s="1513" t="n">
        <f aca="false">VLOOKUP($A226,VolatilityTable,15)</f>
        <v>0.1</v>
      </c>
      <c r="Z226" s="1514" t="n">
        <f aca="false">VLOOKUP($A226,VolatilityTable,16)</f>
        <v>0.11</v>
      </c>
      <c r="AA226" s="1513" t="n">
        <f aca="false">VLOOKUP($A226,VolatilityTable,18)</f>
        <v>0.09</v>
      </c>
      <c r="AB226" s="1513" t="n">
        <f aca="false">VLOOKUP($A226,VolatilityTable,19)</f>
        <v>0.11</v>
      </c>
      <c r="AC226" s="1514" t="n">
        <f aca="false">VLOOKUP($A226,VolatilityTable,20)</f>
        <v>0.13</v>
      </c>
      <c r="AD226" s="1513" t="n">
        <f aca="false">VLOOKUP($A226,VolatilityTable,18)</f>
        <v>0.09</v>
      </c>
      <c r="AE226" s="1513" t="n">
        <f aca="false">VLOOKUP($A226,VolatilityTable,19)</f>
        <v>0.11</v>
      </c>
      <c r="AF226" s="1514" t="n">
        <f aca="false">VLOOKUP($A226,VolatilityTable,20)</f>
        <v>0.13</v>
      </c>
      <c r="AG226" s="1513" t="n">
        <f aca="false">VLOOKUP($A226,VolatilityTable,22)</f>
        <v>-0.1</v>
      </c>
      <c r="AH226" s="1513" t="n">
        <f aca="false">VLOOKUP($A226,VolatilityTable,23)</f>
        <v>3</v>
      </c>
      <c r="AI226" s="1514" t="n">
        <f aca="false">VLOOKUP($A226,VolatilityTable,24)</f>
        <v>0.1</v>
      </c>
      <c r="AJ226" s="1513" t="n">
        <f aca="false">VLOOKUP($A226,VolatilityTable,22)</f>
        <v>-0.1</v>
      </c>
      <c r="AK226" s="1513" t="n">
        <f aca="false">VLOOKUP($A226,VolatilityTable,23)</f>
        <v>3</v>
      </c>
      <c r="AL226" s="1514" t="n">
        <f aca="false">VLOOKUP($A226,VolatilityTable,24)</f>
        <v>0.1</v>
      </c>
      <c r="AM226" s="1513" t="n">
        <f aca="false">VLOOKUP($A226,VolatilityTable,26)</f>
        <v>-0.01</v>
      </c>
      <c r="AN226" s="1513" t="n">
        <f aca="false">VLOOKUP($A226,VolatilityTable,27)</f>
        <v>0.16</v>
      </c>
      <c r="AO226" s="1514" t="n">
        <f aca="false">VLOOKUP($A226,VolatilityTable,28)</f>
        <v>0.01</v>
      </c>
      <c r="AP226" s="1513" t="n">
        <f aca="false">VLOOKUP($A226,VolatilityTable,26)</f>
        <v>-0.01</v>
      </c>
      <c r="AQ226" s="1513" t="n">
        <f aca="false">VLOOKUP($A226,VolatilityTable,27)</f>
        <v>0.16</v>
      </c>
      <c r="AR226" s="1515" t="n">
        <f aca="false">VLOOKUP($A226,VolatilityTable,28)</f>
        <v>0.01</v>
      </c>
      <c r="AS226" s="1581" t="n">
        <f aca="false">IF(CorrPeakOffPeakOverFlag,INDEX(CorrPeakOffPeakOver,C226),CorrPeakOffPeak)</f>
        <v>0.5</v>
      </c>
      <c r="AT226" s="594" t="e">
        <f aca="false">AX226-SUM(AU226:AW226)</f>
        <v>#VALUE!</v>
      </c>
      <c r="AU226" s="238" t="e">
        <f aca="false">IF(E226="",0,INT((F226-MOD(F226,7)-E226)/7)+1-IF(AW226,IF(WEEKDAY(D226)=7,1,0),0))</f>
        <v>#VALUE!</v>
      </c>
      <c r="AV226" s="238" t="e">
        <f aca="false">IF(E226="",0,INT((F226-MOD(F226-1,7)-E226)/7)+1-IF(AW226,IF(WEEKDAY(D226)=1,1,0),0))</f>
        <v>#VALUE!</v>
      </c>
      <c r="AW226" s="238" t="e">
        <f aca="false">IF(OR(E226="",D226="",D226&lt;BegDate,D226&gt;EndDate),0,1)</f>
        <v>#VALUE!</v>
      </c>
      <c r="AX226" s="238" t="n">
        <f aca="false">IF(E226="",0,F226-E226+1)</f>
        <v>31</v>
      </c>
      <c r="AY226" s="1582" t="n">
        <f aca="false">IF(E226="",0,MIN((1-(1-VLOOKUP(B226,MAIN!$AA$7:$AM$28,C226+1))*(1-VLOOKUP(B226,MAIN!$AA$33:$AM$54,C226+1))),1))</f>
        <v>0.03</v>
      </c>
      <c r="AZ226" s="1519" t="e">
        <v>#VALUE!</v>
      </c>
      <c r="BA226" s="1520" t="e">
        <v>#VALUE!</v>
      </c>
      <c r="BB226" s="1520" t="e">
        <v>#VALUE!</v>
      </c>
      <c r="BC226" s="1583" t="e">
        <v>#VALUE!</v>
      </c>
      <c r="BD226" s="1522" t="e">
        <v>#VALUE!</v>
      </c>
      <c r="BE226" s="1523" t="e">
        <v>#VALUE!</v>
      </c>
      <c r="BF226" s="1523" t="e">
        <v>#VALUE!</v>
      </c>
      <c r="BG226" s="1584" t="e">
        <v>#VALUE!</v>
      </c>
      <c r="BH226" s="1525" t="e">
        <v>#VALUE!</v>
      </c>
      <c r="BI226" s="1520" t="e">
        <v>#VALUE!</v>
      </c>
      <c r="BJ226" s="1520" t="e">
        <v>#VALUE!</v>
      </c>
      <c r="BK226" s="1583" t="e">
        <v>#VALUE!</v>
      </c>
      <c r="BL226" s="1522" t="e">
        <v>#VALUE!</v>
      </c>
      <c r="BM226" s="1523" t="e">
        <v>#VALUE!</v>
      </c>
      <c r="BN226" s="1523" t="e">
        <v>#VALUE!</v>
      </c>
      <c r="BO226" s="1523" t="e">
        <v>#VALUE!</v>
      </c>
      <c r="BP226" s="1525" t="e">
        <f aca="false">SUM(AZ226:BB226)</f>
        <v>#VALUE!</v>
      </c>
      <c r="BQ226" s="1529" t="e">
        <f aca="false">SUM(AZ226:BC226)</f>
        <v>#VALUE!</v>
      </c>
      <c r="BR226" s="1519" t="e">
        <f aca="false">SUM(BH226:BJ226)</f>
        <v>#VALUE!</v>
      </c>
      <c r="BS226" s="1529" t="e">
        <f aca="false">SUM(BH226:BK226)</f>
        <v>#VALUE!</v>
      </c>
      <c r="BT226" s="1316" t="n">
        <f aca="false">(IF(OVolType&lt;&gt;2,A226+14,IF(OptExpDateShift,ShiftBack(A226,OptExpDateShift,D225),A226))-DateToday)/365.25</f>
        <v>17.4647501711157</v>
      </c>
      <c r="BU226" s="1585" t="e">
        <f aca="false">IF(BQ226,IF(OPriceCurve,IF(OBuySell=OCallPut,I226/(1-AY226),K226/(1-AY226)),J226/(1-AY226))*BD226,0)</f>
        <v>#VALUE!</v>
      </c>
      <c r="BV226" s="1316" t="e">
        <f aca="false">IF(BQ226,IF(OPriceCurve,IF(OBuySell=OCallPut,L226/(1-AY226),N226/(1-AY226)),M226/(1-AY226))*BE226,0)</f>
        <v>#VALUE!</v>
      </c>
      <c r="BW226" s="1316" t="e">
        <f aca="false">IF(BQ226,IF(OPriceCurve,IF(OBuySell=OCallPut,O226/(1-AY226),Q226/(1-AY226)),P226/(1-AY226))*BF226,0)</f>
        <v>#VALUE!</v>
      </c>
      <c r="BX226" s="1316" t="e">
        <f aca="false">IF(BQ226,IF(OPriceCurve,IF(OBuySell=OCallPut,R226/(1-AY226),T226/(1-AY226)),S226/(1-AY226))*BG226,0)</f>
        <v>#VALUE!</v>
      </c>
      <c r="BY226" s="1316" t="e">
        <f aca="false">IF(BP226,(BU226*AZ226+BV226*BA226+BW226*BB226)/BP226,0)</f>
        <v>#VALUE!</v>
      </c>
      <c r="BZ226" s="1316" t="e">
        <f aca="false">IF(BQ226,(BY226*BP226+BX226*BC226)/BQ226,0)</f>
        <v>#VALUE!</v>
      </c>
      <c r="CA226" s="1531" t="e">
        <f aca="false">IF(BS226,IF(OPriceCurve,IF(OBuySell=OCallPut,I226/(1-AY226),K226/(1-AY226)),J226/(1-AY226))*BL226,0)</f>
        <v>#VALUE!</v>
      </c>
      <c r="CB226" s="1316" t="e">
        <f aca="false">IF(BS226,IF(OPriceCurve,IF(OBuySell=OCallPut,L226/(1-AY226),N226/(1-AY226)),M226/(1-AY226))*BM226,0)</f>
        <v>#VALUE!</v>
      </c>
      <c r="CC226" s="1316" t="e">
        <f aca="false">IF(BS226,IF(OPriceCurve,IF(OBuySell=OCallPut,O226/(1-AY226),Q226/(1-AY226)),P226/(1-AY226))*BN226,0)</f>
        <v>#VALUE!</v>
      </c>
      <c r="CD226" s="1316" t="e">
        <f aca="false">IF(BS226,IF(OPriceCurve,IF(OBuySell=OCallPut,R226/(1-AY226),T226/(1-AY226)),S226/(1-AY226))*BO226,0)</f>
        <v>#VALUE!</v>
      </c>
      <c r="CE226" s="1316" t="e">
        <f aca="false">IF(BR226,(BU226*BH226+BV226*BI226+BW226*BJ226)/BR226,0)</f>
        <v>#VALUE!</v>
      </c>
      <c r="CF226" s="1532" t="e">
        <f aca="false">IF(BS226,(CE226*BR226+CD226*BK226)/BS226,0)</f>
        <v>#VALUE!</v>
      </c>
      <c r="CG226" s="1586" t="e">
        <f aca="false">IF(OR(BQ226,BS226),IF(OVolType&lt;&gt;2,SQRT(IF(OVolOverMonthlyPeak,OVolOverMonthlyPeak,IF(OVolCurve,IF(OBuySell,U226,W226),V226))^2*(1-15/365.25/BT226)+IF(OVolOverDailyPeak,OVolOverDailyPeak,IF(OVolCurve,IF(OBuySell,AG226,AI226),AH226))^2*15/365.25/BT226),IF(OVolOverMonthlyPeak,OVolOverMonthlyPeak,IF(OVolCurve,IF(OBuySell,U226,W226),V226))),"")</f>
        <v>#VALUE!</v>
      </c>
      <c r="CH226" s="1587" t="e">
        <f aca="false">IF(OR(BQ226,BS226),IF(OVolType&lt;&gt;2,SQRT(IF(OVolOverMonthlyPeak,OVolOverMonthlyPeak,IF(OVolCurve,IF(OBuySell,X226,Z226),Y226))^2*(1-15/365.25/BT226)+IF(OVolOverDailyPeak,OVolOverDailyPeak,IF(OVolCurve,IF(OBuySell,AJ226,AL226),AK226))^2*15/365.25/BT226),IF(OVolOverMonthlyPeak,OVolOverMonthlyPeak,IF(OVolCurve,IF(OBuySell,X226,Z226),Y226))),"")</f>
        <v>#VALUE!</v>
      </c>
      <c r="CI226" s="1587" t="e">
        <f aca="false">IF(OR(BQ226,BS226),IF(OVolType&lt;&gt;2,SQRT(IF(OVolOverMonthlyPeak,OVolOverMonthlyPeak,IF(OVolCurve,IF(OBuySell,AA226,AC226),AB226))^2*(1-15/365.25/BT226)+IF(OVolOverDailyPeak,OVolOverDailyPeak,IF(OVolCurve,IF(OBuySell,AM226,AO226),AN226))^2*15/365.25/BT226),IF(OVolOverMonthlyPeak,OVolOverMonthlyPeak,IF(OVolCurve,IF(OBuySell,AA226,AC226),AB226))),"")</f>
        <v>#VALUE!</v>
      </c>
      <c r="CJ226" s="1587" t="e">
        <f aca="false">IF(BQ226,IF(BP226,SQRT(LN(1+((BU226*AZ226)^2*(EXP(CG226^2*BT226)-1)+(BV226*BA226)^2*(EXP(CH226^2*BT226)-1)+(BW226*BB226)^2*(EXP(CI226^2*BT226)-1)+2*BU226*AZ226*BV226*BA226*(EXP(CG226*CH226*BT226)-1)+2*BV226*BA226*BW226*BB226*(EXP(CH226*CI226*BT226)-1)+2*BW226*BB226*BU226*AZ226*(EXP(CI226*CG226*BT226)-1))/(BY226*BP226)^2)/BT226),0),"")</f>
        <v>#VALUE!</v>
      </c>
      <c r="CK226" s="1587" t="e">
        <f aca="false">IF(BS226,IF(BR226,SQRT(LN(1+((CA226*BH226)^2*(EXP(CG226^2*BT226)-1)+(CB226*BI226)^2*(EXP(CH226^2*BT226)-1)+(CC226*BJ226)^2*(EXP(CI226^2*BT226)-1)+2*CA226*BH226*CB226*BI226*(EXP(CG226*CH226*BT226)-1)+2*CB226*BI226*CC226*BJ226*(EXP(CH226*CI226*BT226)-1)+2*CC226*BJ226*CA226*BH226*(EXP(CI226*CG226*BT226)-1))/(CE226*BR226)^2)/BT226),0),"")</f>
        <v>#VALUE!</v>
      </c>
      <c r="CL226" s="1587" t="e">
        <f aca="false">IF(OR(BQ226,BS226),IF(OVolType&lt;&gt;2,SQRT(IF(OVolOverMonthlyOffPeak,OVolOverMonthlyOffPeak,IF(OVolCurve,IF(OBuySell,AD226,AF226),AE226))^2*(1-15/365.25/BT226)+IF(OVolOverDailyOffPeak,OVolOverDailyOffPeak,IF(OVolCurve,IF(OBuySell,AP226,AR226),AQ226))^2*15/365.25/BT226),IF(OVolOverMonthlyOffPeak,OVolOverMonthlyOffPeak,IF(OVolCurve,IF(OBuySell,AD226,AF226),AE226))),"")</f>
        <v>#VALUE!</v>
      </c>
      <c r="CM226" s="1587" t="e">
        <f aca="false">IF(BQ226,SQRT(LN(1+((BY226*BP226)^2*(EXP(CJ226^2*BT226)-1)+(BX226*BC226)^2*(EXP(CL226^2*BT226)-1)+2*BY226*BP226*BX226*BC226*(EXP(AS226*CJ226*CL226*BT226)-1))/(BY226*BP226+BX226*BC226)^2)/BT226),"")</f>
        <v>#VALUE!</v>
      </c>
      <c r="CN226" s="1588" t="e">
        <f aca="false">IF(BS226,SQRT(LN(1+((CE226*BR226)^2*(EXP(CK226^2*BT226)-1)+(CD226*BK226)^2*(EXP(CL226^2*BT226)-1)+2*CE226*BR226*CD226*BK226*(EXP(AS226*CK226*CL226*BT226)-1))/(CE226*BR226+CD226*BK226)^2)/BT226),"")</f>
        <v>#VALUE!</v>
      </c>
      <c r="CO226" s="1531" t="e">
        <f aca="false">IF(OR(BQ226,BS226),VLOOKUP(A226,GasTable,13)*HeatRatePeak*(1+VLOOKUP($B226,HeatRateDegradation,$C226+1))/1000,0)</f>
        <v>#VALUE!</v>
      </c>
      <c r="CP226" s="1316" t="e">
        <f aca="false">IF(OR(BQ226,BS226),VLOOKUP(A226,GasTable,13)*HeatRatePeak*(1+VLOOKUP($B226,HeatRateDegradation,$C226+1))/1000,0)</f>
        <v>#VALUE!</v>
      </c>
      <c r="CQ226" s="1316" t="e">
        <f aca="false">IF(OR(BQ226,BS226),VLOOKUP(A226,GasTable,13)*IF(EV226,HeatRatePeak,HeatRateOffPeak)*(1+VLOOKUP($B226,HeatRateDegradation,$C226+1))/1000,0)</f>
        <v>#VALUE!</v>
      </c>
      <c r="CR226" s="1316" t="e">
        <f aca="false">IF(OR(BQ226,BS226),VLOOKUP(A226,GasTable,13)*IF(EW226,HeatRatePeak,HeatRateOffPeak)*(1+VLOOKUP($B226,HeatRateDegradation,$C226+1))/1000,0)</f>
        <v>#VALUE!</v>
      </c>
      <c r="CS226" s="1589" t="e">
        <f aca="false">IF(BQ226,(CO226*AZ226+CP226*BA226+CQ226*BB226+CR226*BC226)/BQ226,0)</f>
        <v>#VALUE!</v>
      </c>
      <c r="CT226" s="1316" t="e">
        <f aca="false">IF(BS226,CO226,0)</f>
        <v>#VALUE!</v>
      </c>
      <c r="CU226" s="1590" t="e">
        <f aca="false">IF(OR(BQ226,BS226),VLOOKUP(A226,GasTable,14),"")</f>
        <v>#VALUE!</v>
      </c>
      <c r="CV226" s="1568" t="e">
        <f aca="false">IF(OR(BQ226,BS226),IF(CorrPowerGasOverFlag,INDEX(CorrPowerGasOver,C226),CorrPowerGas),"")</f>
        <v>#VALUE!</v>
      </c>
      <c r="CW226" s="1316" t="e">
        <f aca="false">IF(OR($BQ226,$BS226),SpreadOptPowerMargin,0)*((1+Assumptions!$C$26)^($B226-YEAR(Assumptions!$C$17)))</f>
        <v>#VALUE!</v>
      </c>
      <c r="CX226" s="1316" t="e">
        <f aca="false">IF(OR($BQ226,$BS226),SpreadOptPowerMargin,0)*((1+Assumptions!$C$26)^($B226-YEAR(Assumptions!$C$17)))</f>
        <v>#VALUE!</v>
      </c>
      <c r="CY226" s="1316" t="e">
        <f aca="false">IF(OR($BQ226,$BS226),SpreadOptPowerMargin,0)*((1+Assumptions!$C$26)^($B226-YEAR(Assumptions!$C$17)))</f>
        <v>#VALUE!</v>
      </c>
      <c r="CZ226" s="1316" t="e">
        <f aca="false">IF(OR($BQ226,$BS226),SpreadOptPowerMargin,0)*((1+Assumptions!$C$26)^($B226-YEAR(Assumptions!$C$17)))</f>
        <v>#VALUE!</v>
      </c>
      <c r="DA226" s="1591" t="e">
        <f aca="false">IF(OR(BQ226,BS226),(CW226*(AZ226+BH226)+CX226*(BA226+BI226)+CY226*(BB226+BJ226)+CZ226*(BC226+BK226))/(BQ226+BS226),0)</f>
        <v>#VALUE!</v>
      </c>
      <c r="DB226" s="1592" t="e">
        <f aca="false">IF(OR(BQ226,BS226),CG226+IF(OVolSmile,VLOOKUP(MAX(-5,CO226+CW226-BU226),IF(OVolSmile=1,VolSmileBook,VolSmileModel),2),0),"")</f>
        <v>#VALUE!</v>
      </c>
      <c r="DC226" s="1592" t="e">
        <f aca="false">IF(OR(BQ226,BS226),CH226+IF(OVolSmile,VLOOKUP(MAX(-5,CP226+CW226-BV226),IF(OVolSmile=1,VolSmileBook,VolSmileModel),2),0),"")</f>
        <v>#VALUE!</v>
      </c>
      <c r="DD226" s="1592" t="e">
        <f aca="false">IF(OR(BQ226,BS226),CI226+IF(OVolSmile,VLOOKUP(MAX(-5,CQ226+CW226-BW226),IF(OVolSmile=1,VolSmileBook,VolSmileModel),2),0),"")</f>
        <v>#VALUE!</v>
      </c>
      <c r="DE226" s="1592" t="e">
        <f aca="false">IF(OR(BQ226,BS226),CL226+IF(OVolSmile,VLOOKUP(MAX(-5,CR226+CZ226-BX226),IF(OVolSmile=1,VolSmileBook,VolSmileModel),2),0),"")</f>
        <v>#VALUE!</v>
      </c>
      <c r="DF226" s="1592" t="e">
        <f aca="false">IF(BQ226,CM226+IF(OVolSmile,VLOOKUP(MAX(-5,CS226+DA226-BZ226),IF(OVolSmile=1,VolSmileBook,VolSmileModel),2),0),"")</f>
        <v>#VALUE!</v>
      </c>
      <c r="DG226" s="1593" t="e">
        <f aca="false">IF(BS226,CN226+IF(OVolSmile,VLOOKUP(MAX(-5,CT226+DA226-CF226),IF(OVolSmile=1,VolSmileBook,VolSmileModel),2),0),"")</f>
        <v>#VALUE!</v>
      </c>
      <c r="DH226" s="1316" t="e">
        <f aca="false">IF(AND(BU226&gt;0,CO226&gt;0,DB226&gt;0,CU226&gt;0),newSPRDOPT(BU226,CO226,CW226,0,DB226,CU226,CV226,BT226*365.25,OCallPut,0),0)</f>
        <v>#VALUE!</v>
      </c>
      <c r="DI226" s="1316" t="e">
        <f aca="false">IF(AND(BV226&gt;0,CP226&gt;0,DC226&gt;0,CU226&gt;0),newSPRDOPT(BV226,CP226,CX226,0,DC226,CU226,CV226,BT226*365.25,OCallPut,0),0)</f>
        <v>#VALUE!</v>
      </c>
      <c r="DJ226" s="1316" t="e">
        <f aca="false">IF(AND(BW226&gt;0,CQ226&gt;0,DD226&gt;0,CU226&gt;0),newSPRDOPT(BW226,CQ226,CY226,0,DD226,CU226,CV226,BT226*365.25,OCallPut,0),0)</f>
        <v>#VALUE!</v>
      </c>
      <c r="DK226" s="1316" t="e">
        <f aca="false">IF(AND(BX226&gt;0,CR226&gt;0,DE226&gt;0,CU226&gt;0),newSPRDOPT(BX226,CR226,CZ226,0,DE226,CU226,CV226,BT226*365.25,OCallPut,0),0)</f>
        <v>#VALUE!</v>
      </c>
      <c r="DL226" s="1316" t="e">
        <f aca="false">IF(OVolType,IF(AND(BZ226&gt;0,CS226&gt;0,DF226&gt;0,CU226&gt;0),newSPRDOPT(BZ226,CS226,DA226,0,DF226,CU226,CV226,BT226*365.25,OCallPut,0),0),IF(BQ226,(DH226*AZ226+DI226*BA226+DJ226*BB226+DK226*BC226)/BQ226,0))</f>
        <v>#VALUE!</v>
      </c>
      <c r="DM226" s="1316"/>
      <c r="DN226" s="1316"/>
      <c r="DO226" s="1316"/>
      <c r="DP226" s="1316"/>
      <c r="DQ226" s="1316"/>
      <c r="DR226" s="1316"/>
      <c r="DS226" s="1316"/>
      <c r="DT226" s="1316"/>
      <c r="DU226" s="1316"/>
      <c r="DV226" s="1316"/>
      <c r="DW226" s="1594" t="e">
        <f aca="false">IF(AND(BW226&gt;0,CT226&gt;0,DD226&gt;0,CU226&gt;0),newSPRDOPT(BW226,CT226,CY226,0,DD226,CU226,CV226,BT226*365.25,OCallPut,0),0)</f>
        <v>#VALUE!</v>
      </c>
      <c r="DX226" s="1316" t="e">
        <f aca="false">IF(AND(BX226&gt;0,CT226&gt;0,DE226&gt;0,CU226&gt;0),newSPRDOPT(BX226,CT226,CZ226,0,DE226,CU226,CV226,BT226*365.25,OCallPut,0),0)</f>
        <v>#VALUE!</v>
      </c>
      <c r="DY226" s="1591" t="e">
        <f aca="false">IF(BS226,(DH226*BH226+DI226*BI226+DW226*BJ226+DX226*BK226)/BS226,0)</f>
        <v>#VALUE!</v>
      </c>
      <c r="DZ226" s="1551" t="e">
        <f aca="false">DH226*AZ226</f>
        <v>#VALUE!</v>
      </c>
      <c r="EA226" s="1551" t="e">
        <f aca="false">DI226*BA226</f>
        <v>#VALUE!</v>
      </c>
      <c r="EB226" s="1551" t="e">
        <f aca="false">DJ226*BB226</f>
        <v>#VALUE!</v>
      </c>
      <c r="EC226" s="1551" t="e">
        <f aca="false">DK226*BC226</f>
        <v>#VALUE!</v>
      </c>
      <c r="ED226" s="1551" t="e">
        <f aca="false">DL226*BQ226</f>
        <v>#VALUE!</v>
      </c>
      <c r="EE226" s="1595" t="e">
        <f aca="false">IF(BQ226,IF(OCallPut,IF(BU226&gt;(CO226+CW226),BU226-(CO226+CW226),0),IF((CO226+CW226)&gt;BU226,(CO226+CW226)-BU226,0))*AZ226,0)</f>
        <v>#VALUE!</v>
      </c>
      <c r="EF226" s="1596" t="e">
        <f aca="false">IF(BQ226,IF(OCallPut,IF(BV226&gt;(CP226+CX226),BV226-(CP226+CX226),0),IF((CP226+CX226)&gt;BV226,(CP226+CX226)-BV226,0))*BA226,0)</f>
        <v>#VALUE!</v>
      </c>
      <c r="EG226" s="1596" t="e">
        <f aca="false">IF(BQ226,IF(OCallPut,IF(BW226&gt;(CQ226+CY226),BW226-(CQ226+CY226),0),IF((CQ226+CY226)&gt;BW226,(CQ226+CY226)-BW226,0))*BB226,0)</f>
        <v>#VALUE!</v>
      </c>
      <c r="EH226" s="1596" t="e">
        <f aca="false">IF(BQ226,IF(OCallPut,IF(BX226&gt;(CR226+CZ226),BX226-(CR226+CZ226),0),IF((CR226+CZ226)&gt;BX226,(CR226+CZ226)-BX226,0))*BC226,0)</f>
        <v>#VALUE!</v>
      </c>
      <c r="EI226" s="1597" t="e">
        <f aca="false">IF(BQ226,IF(OVolType,IF(OCallPut,IF(BZ226&gt;(CS226+DA226),BZ226-(CS226+DA226),0),IF((CS226+DA226)&gt;BZ226,(CS226+DA226)-BZ226,0))*BQ226,SUM(EE226:EH226)),0)</f>
        <v>#VALUE!</v>
      </c>
      <c r="EJ226" s="1595" t="e">
        <f aca="false">DZ226-EE226</f>
        <v>#VALUE!</v>
      </c>
      <c r="EK226" s="1596" t="e">
        <f aca="false">EA226-EF226</f>
        <v>#VALUE!</v>
      </c>
      <c r="EL226" s="1596" t="e">
        <f aca="false">EB226-EG226</f>
        <v>#VALUE!</v>
      </c>
      <c r="EM226" s="1596" t="e">
        <f aca="false">EC226-EH226</f>
        <v>#VALUE!</v>
      </c>
      <c r="EN226" s="1597" t="e">
        <f aca="false">ED226-EI226</f>
        <v>#VALUE!</v>
      </c>
      <c r="EO226" s="1551" t="e">
        <f aca="false">DH226*BH226</f>
        <v>#VALUE!</v>
      </c>
      <c r="EP226" s="1551" t="e">
        <f aca="false">DI226*BI226</f>
        <v>#VALUE!</v>
      </c>
      <c r="EQ226" s="1551" t="e">
        <f aca="false">DW226*BJ226</f>
        <v>#VALUE!</v>
      </c>
      <c r="ER226" s="1551" t="e">
        <f aca="false">DX226*BK226</f>
        <v>#VALUE!</v>
      </c>
      <c r="ES226" s="1551" t="e">
        <f aca="false">DY226*BS226</f>
        <v>#VALUE!</v>
      </c>
      <c r="ET226" s="1566" t="e">
        <f aca="false">IF(EI226,IF(OCallPut,IF(CA226&gt;(CT226+CW226),CA226-(CT226+CW226),0),IF((CT226+CW226)&gt;CA226,(CT226+CW226)-CA226,0))*BH226,0)</f>
        <v>#VALUE!</v>
      </c>
      <c r="EU226" s="1551" t="e">
        <f aca="false">IF(EI226,IF(OCallPut,IF(CB226&gt;(CT226+CX226),CB226-(CT226+CX226),0),IF((CT226+CX226)&gt;CB226,(CT226+CX226)-CB226,0))*BI226,0)</f>
        <v>#VALUE!</v>
      </c>
      <c r="EV226" s="1551" t="e">
        <f aca="false">IF(EI226,IF(OCallPut,IF(CC226&gt;(CT226+CY226),CC226-(CT226+CY226),0),IF((CT226+CY226)&gt;CC226,(CT226+CY226)-CC226,0))*BJ226,0)</f>
        <v>#VALUE!</v>
      </c>
      <c r="EW226" s="1551" t="e">
        <f aca="false">IF(EI226,IF(OCallPut,IF(CD226&gt;(CT226+CZ226),CD226-(CT226+CZ226),0),IF((CT226+CZ226)&gt;CD226,(CT226+CZ226)-CD226,0))*BK226,0)</f>
        <v>#VALUE!</v>
      </c>
      <c r="EX226" s="1558" t="e">
        <f aca="false">IF(EI226,SUM(ET226:EW226),0)</f>
        <v>#VALUE!</v>
      </c>
      <c r="EY226" s="1551" t="e">
        <f aca="false">EO226-ET226</f>
        <v>#VALUE!</v>
      </c>
      <c r="EZ226" s="1551" t="e">
        <f aca="false">EP226-EU226</f>
        <v>#VALUE!</v>
      </c>
      <c r="FA226" s="1551" t="e">
        <f aca="false">EQ226-EV226</f>
        <v>#VALUE!</v>
      </c>
      <c r="FB226" s="1551" t="e">
        <f aca="false">ER226-EW226</f>
        <v>#VALUE!</v>
      </c>
      <c r="FC226" s="1551" t="e">
        <f aca="false">ES226-EX226</f>
        <v>#VALUE!</v>
      </c>
      <c r="FD226" s="1525" t="n">
        <f aca="false">IF(AX226,IF(VLOOKUP(C226,MAIN!$L$17:$M$28,2)="Yes",VLOOKUP(CALC!B226,MAIN!$H$17:$I$20,2),0),0)</f>
        <v>0</v>
      </c>
      <c r="FE226" s="1552" t="e">
        <f aca="false">$FD226*16*AT226*(1-$AY226)</f>
        <v>#VALUE!</v>
      </c>
      <c r="FF226" s="1553" t="e">
        <f aca="false">$FD226*16*AU226*(1-$AY226)</f>
        <v>#VALUE!</v>
      </c>
      <c r="FG226" s="1553" t="e">
        <f aca="false">$FD226*16*(AV226+AW226)*(1-$AY226)</f>
        <v>#VALUE!</v>
      </c>
      <c r="FH226" s="1554" t="n">
        <f aca="false">$FD226*8*AX226*(1-$AY226)</f>
        <v>0</v>
      </c>
      <c r="FI226" s="1555" t="n">
        <f aca="false">IF(AX226,VLOOKUP(CALC!B226,MAIN!$H$17:$K$20,4),0)</f>
        <v>0</v>
      </c>
      <c r="FJ226" s="1553" t="e">
        <f aca="false">SUM(FE226:FH226)</f>
        <v>#VALUE!</v>
      </c>
      <c r="FK226" s="1556" t="e">
        <f aca="false">FI226*FJ226</f>
        <v>#VALUE!</v>
      </c>
      <c r="FL226" s="1551" t="e">
        <f aca="false">IF($EI226&gt;0,MIN(FE226,AZ226*(1+VLOOKUP($C226,WeatherCapacityAdjustment,2))),0)</f>
        <v>#VALUE!</v>
      </c>
      <c r="FM226" s="1551" t="e">
        <f aca="false">IF($EI226&gt;0,MIN(FF226,BA226*(1+VLOOKUP($C226,WeatherCapacityAdjustment,2))),0)</f>
        <v>#VALUE!</v>
      </c>
      <c r="FN226" s="1551" t="e">
        <f aca="false">IF($EI226&gt;0,MIN(FG226,BB226*(1+VLOOKUP($C226,WeatherCapacityAdjustment,2))),0)</f>
        <v>#VALUE!</v>
      </c>
      <c r="FO226" s="1564" t="e">
        <f aca="false">IF($EI226&gt;0,MIN(FH226,BC226*(1+VLOOKUP($C226,WeatherCapacityAdjustment,3))),0)</f>
        <v>#VALUE!</v>
      </c>
      <c r="FP226" s="1551" t="e">
        <f aca="false">IF(ET226&gt;0,MIN(FE226-FL226,BH226*(1+VLOOKUP($C226,WeatherCapacityAdjustment,2))),0)</f>
        <v>#VALUE!</v>
      </c>
      <c r="FQ226" s="1551" t="e">
        <f aca="false">IF(EU226&gt;0,MIN(FF226-FM226,BI226*(1+VLOOKUP($C226,WeatherCapacityAdjustment,2))),0)</f>
        <v>#VALUE!</v>
      </c>
      <c r="FR226" s="1551" t="e">
        <f aca="false">IF(EV226&gt;0,MIN(FG226-FN226,BJ226*(1+VLOOKUP($C226,WeatherCapacityAdjustment,2))),0)</f>
        <v>#VALUE!</v>
      </c>
      <c r="FS226" s="1558" t="e">
        <f aca="false">IF(EW226&gt;0,MIN(FH226-FO226,BK226*(1+VLOOKUP($C226,WeatherCapacityAdjustment,3))),0)</f>
        <v>#VALUE!</v>
      </c>
      <c r="FT226" s="1566" t="e">
        <f aca="false">IF(AND(Assumptions!$H$71="Yes",A226&gt;=Assumptions!$H$72,A226&lt;=Assumptions!$H$73),0,IF(AND($A226&gt;=Assumptions!$C$17,$A226&lt;=Assumptions!$C$18),MAX(AZ226*(1+VLOOKUP($C226,WeatherCapacityAdjustment,2))-FL226,0),0))</f>
        <v>#VALUE!</v>
      </c>
      <c r="FU226" s="1551" t="e">
        <f aca="false">IF(AND(Assumptions!$H$71="Yes",A226&gt;=Assumptions!$H$72,A226&lt;=Assumptions!$H$73),0,IF(AND($A226&gt;=Assumptions!$C$17,$A226&lt;=Assumptions!$C$18),MAX(BA226*(1+VLOOKUP($C226,WeatherCapacityAdjustment,2))-FM226,0),0))</f>
        <v>#VALUE!</v>
      </c>
      <c r="FV226" s="1551" t="e">
        <f aca="false">IF(AND(Assumptions!$H$71="Yes",A226&gt;=Assumptions!$H$72,A226&lt;=Assumptions!$H$73),0,IF(AND($A226&gt;=Assumptions!$C$17,$A226&lt;=Assumptions!$C$18),MAX(BB226*(1+VLOOKUP($C226,WeatherCapacityAdjustment,2))-FN226,0),0))</f>
        <v>#VALUE!</v>
      </c>
      <c r="FW226" s="1564" t="e">
        <f aca="false">IF(AND(Assumptions!$H$71="Yes",A226&gt;=Assumptions!$H$72,A226&lt;=Assumptions!$H$73),0,IF(AND($A226&gt;=Assumptions!$C$17,$A226&lt;=Assumptions!$C$18),MAX(BC226*(1+VLOOKUP($C226,WeatherCapacityAdjustment,3))-FO226,0),0))</f>
        <v>#VALUE!</v>
      </c>
      <c r="FX226" s="1569" t="e">
        <f aca="false">IF(AND(Assumptions!$H$71="Yes",A226&gt;=Assumptions!$H$72,A226&lt;=Assumptions!$H$73),0,IF(ET226&gt;0,MAX(BH226*(1+VLOOKUP($C226,WeatherCapacityAdjustment,2))-FP226,0),0))</f>
        <v>#VALUE!</v>
      </c>
      <c r="FY226" s="1551" t="e">
        <f aca="false">IF(AND(Assumptions!$H$71="Yes",A226&gt;=Assumptions!$H$72,A226&lt;=Assumptions!$H$73),0,IF(EU226&gt;0,MAX(BI226*(1+VLOOKUP($C226,WeatherCapacityAdjustment,3))-FQ226,0),0))</f>
        <v>#VALUE!</v>
      </c>
      <c r="FZ226" s="1551" t="e">
        <f aca="false">IF(AND(Assumptions!$H$71="Yes",A226&gt;=Assumptions!$H$72,A226&lt;=Assumptions!$H$73),0,IF(EV226&gt;0,MAX(BJ226*(1+VLOOKUP($C226,WeatherCapacityAdjustment,2))-FR226,0),0))</f>
        <v>#VALUE!</v>
      </c>
      <c r="GA226" s="1564" t="e">
        <f aca="false">IF(AND(Assumptions!$H$71="Yes",A226&gt;=Assumptions!$H$72,A226&lt;=Assumptions!$H$73),0,IF(EW226&gt;0,MAX(BK226*(1+VLOOKUP($C226,WeatherCapacityAdjustment,2))-FS226,0),0))</f>
        <v>#VALUE!</v>
      </c>
      <c r="GB226" s="1551" t="e">
        <f aca="false">SUM(FT226:GA226)</f>
        <v>#VALUE!</v>
      </c>
      <c r="GC226" s="1563" t="e">
        <f aca="false">+IF(SUM(FT226:GA226)=0,0,(SUMPRODUCT(BU226:BX226,FT226:FW226)+SUMPRODUCT(CA226:CD226,FX226:GA226))/SUM(FT226:GA226))</f>
        <v>#VALUE!</v>
      </c>
      <c r="GD226" s="1551" t="e">
        <f aca="false">(FT226*BU226+FX226*CA226+FU226*BV226+FY226*CB226+FV226*BW226+FZ226*CC226+FW226*BX226+GA226*CD226)</f>
        <v>#VALUE!</v>
      </c>
      <c r="GE226" s="1561" t="e">
        <f aca="false">+IF(BQ226,((FL226+FM226+FT226+FU226)*HeatRatePeak/1000*(1+VLOOKUP($C226,WeatherHeatRateAdjustment,2))+(FN226+FV226)*IF(EV226&gt;0,HeatRatePeak,HeatRateOffPeak)/1000*(1+VLOOKUP($C226,WeatherHeatRateAdjustment,2))+(FO226+FW226)*IF(EW226&gt;0,HeatRatePeak,HeatRateOffPeak)/1000*(1+VLOOKUP($C226,WeatherHeatRateAdjustment,3)))*(1+VLOOKUP($B226,HeatRateDegradation,$C226+1)),0)</f>
        <v>#VALUE!</v>
      </c>
      <c r="GF226" s="1562" t="e">
        <f aca="false">IF(BQ226,((FP226+FQ226+FR226+FX226+FY226+FZ226)*HeatRatePeak/1000*(1+VLOOKUP($C226,WeatherHeatRateAdjustment,2))+(FS226+GA226)*HeatRatePeak/1000*(1+VLOOKUP($C226,WeatherHeatRateAdjustment,3)))*(1+VLOOKUP($B226,HeatRateDegradation,$C226+1)),0)</f>
        <v>#VALUE!</v>
      </c>
      <c r="GG226" s="1563" t="e">
        <f aca="false">IF(BQ226,VLOOKUP(A226,GasTable,13),0)</f>
        <v>#VALUE!</v>
      </c>
      <c r="GH226" s="1564" t="e">
        <f aca="false">(GE226+GF226)*GG226</f>
        <v>#VALUE!</v>
      </c>
      <c r="GI226" s="1569" t="e">
        <f aca="false">GB226</f>
        <v>#VALUE!</v>
      </c>
      <c r="GJ226" s="1598" t="e">
        <f aca="false">+DA226</f>
        <v>#VALUE!</v>
      </c>
      <c r="GK226" s="1558" t="e">
        <f aca="false">+GI226*GJ226</f>
        <v>#VALUE!</v>
      </c>
      <c r="GL226" s="1566" t="e">
        <f aca="false">MAX(FE226-FL226-FP226,0)</f>
        <v>#VALUE!</v>
      </c>
      <c r="GM226" s="1551" t="e">
        <f aca="false">MAX(FF226-FM226-FQ226,0)</f>
        <v>#VALUE!</v>
      </c>
      <c r="GN226" s="1551" t="e">
        <f aca="false">MAX(FG226-FN226-FR226,0)</f>
        <v>#VALUE!</v>
      </c>
      <c r="GO226" s="1564" t="e">
        <f aca="false">MAX(FH226-FO226-FS226,0)</f>
        <v>#VALUE!</v>
      </c>
      <c r="GP226" s="1551" t="e">
        <f aca="false">SUM(GL226:GO226)</f>
        <v>#VALUE!</v>
      </c>
      <c r="GQ226" s="1563" t="e">
        <f aca="false">IF(SUM(GL226:GO226)=0,0,((GL226*BU226+GM226*BV226+GN226*BW226+GO226*BX226)/SUM(GL226:GO226)))</f>
        <v>#VALUE!</v>
      </c>
      <c r="GR226" s="1558" t="e">
        <f aca="false">(GL226*BU226+GM226*BV226+GN226*BW226+GO226*BX226)</f>
        <v>#VALUE!</v>
      </c>
      <c r="GS226" s="1566" t="n">
        <f aca="false">IF($A226&gt;=BegDate,Assumptions!$C$56*24*($A227-$A226)*(1-VLOOKUP($B226,MAIN!$AA$7:$AM$28,$C226+1))*(1-VLOOKUP($B226,MAIN!$AA$33:$AM$54,$C226+1)),0)*80/168</f>
        <v>257742.857142857</v>
      </c>
      <c r="GT226" s="286" t="n">
        <f aca="false">J226</f>
        <v>56.5001613368401</v>
      </c>
      <c r="GU226" s="286" t="n">
        <f aca="false">IF($A226&gt;=BegDate,VLOOKUP($A226,GasTable,13)+Assumptions!$C$58,0)</f>
        <v>3.80171846732977</v>
      </c>
      <c r="GV226" s="286" t="n">
        <f aca="false">GU226*Assumptions!$C$57/1000</f>
        <v>27.5624588881409</v>
      </c>
      <c r="GW226" s="1558" t="n">
        <f aca="false">IF(Assumptions!$C$60="Hourly",MAX(0,GS226*(GT226-GV226)),GS226*(GT226-GV226))</f>
        <v>7458486.10827759</v>
      </c>
      <c r="GX226" s="1566" t="n">
        <f aca="false">IF($A226&gt;=BegDate,Assumptions!$C$56*24*($A227-$A226)*(1-VLOOKUP($B226,MAIN!$AA$7:$AM$28,$C226+1))*(1-VLOOKUP($B226,MAIN!$AA$33:$AM$54,$C226+1)),0)*16/168</f>
        <v>51548.5714285714</v>
      </c>
      <c r="GY226" s="286" t="n">
        <f aca="false">M226</f>
        <v>56.5001613368401</v>
      </c>
      <c r="GZ226" s="286" t="n">
        <f aca="false">IF($A226&gt;=BegDate,VLOOKUP($A226,GasTable,13)+Assumptions!$C$58,0)</f>
        <v>3.80171846732977</v>
      </c>
      <c r="HA226" s="286" t="n">
        <f aca="false">GZ226*Assumptions!$C$57/1000</f>
        <v>27.5624588881409</v>
      </c>
      <c r="HB226" s="1558" t="n">
        <f aca="false">IF(Assumptions!$C$60="Hourly",MAX(0,GX226*(GY226-HA226)),GX226*(GY226-HA226))</f>
        <v>1491697.22165552</v>
      </c>
      <c r="HC226" s="1566" t="n">
        <f aca="false">IF($A226&gt;=BegDate,Assumptions!$C$56*24*($A227-$A226)*(1-VLOOKUP($B226,MAIN!$AA$7:$AM$28,$C226+1))*(1-VLOOKUP($B226,MAIN!$AA$33:$AM$54,$C226+1)),0)*16/168</f>
        <v>51548.5714285714</v>
      </c>
      <c r="HD226" s="286" t="n">
        <f aca="false">P226</f>
        <v>30.4040020314928</v>
      </c>
      <c r="HE226" s="286" t="n">
        <f aca="false">IF($A226&gt;=BegDate,VLOOKUP($A226,GasTable,13)+Assumptions!$C$58,0)</f>
        <v>3.80171846732977</v>
      </c>
      <c r="HF226" s="286" t="n">
        <f aca="false">HE226*Assumptions!$C$57/1000</f>
        <v>27.5624588881409</v>
      </c>
      <c r="HG226" s="1558" t="n">
        <f aca="false">IF(Assumptions!$C$60="Hourly",MAX(0,HC226*(HD226-HF226)),HC226*(HD226-HF226))</f>
        <v>146477.489692445</v>
      </c>
      <c r="HH226" s="1566" t="n">
        <f aca="false">IF($A226&gt;=BegDate,Assumptions!$C$56*24*($A227-$A226)*(1-VLOOKUP($B226,MAIN!$AA$7:$AM$28,$C226+1))*(1-VLOOKUP($B226,MAIN!$AA$33:$AM$54,$C226+1)),0)*56/168</f>
        <v>180420</v>
      </c>
      <c r="HI226" s="286" t="n">
        <f aca="false">S226</f>
        <v>30.4040020314928</v>
      </c>
      <c r="HJ226" s="286" t="n">
        <f aca="false">IF($A226&gt;=BegDate,VLOOKUP($A226,GasTable,13)+Assumptions!$C$58,0)</f>
        <v>3.80171846732977</v>
      </c>
      <c r="HK226" s="286" t="n">
        <f aca="false">HJ226*Assumptions!$C$57/1000</f>
        <v>27.5624588881409</v>
      </c>
      <c r="HL226" s="1558" t="n">
        <f aca="false">IF(Assumptions!$C$60="Hourly",MAX(0,HH226*(HI226-HK226)),HH226*(HI226-HK226))</f>
        <v>512671.213923556</v>
      </c>
      <c r="HM226" s="1566" t="n">
        <f aca="false">IF(AND(Assumptions!$H$71="Yes",A226&gt;=Assumptions!$H$72,A226&lt;=Assumptions!$H$73),Assumptions!$H$74*Assumptions!$C$9*1000,0)</f>
        <v>0</v>
      </c>
      <c r="HN226" s="1551"/>
      <c r="HO226" s="1563"/>
      <c r="HP226" s="1563"/>
      <c r="HQ226" s="1563"/>
      <c r="HR226" s="1563"/>
      <c r="HS226" s="1563"/>
      <c r="HT226" s="1563"/>
      <c r="HU226" s="1563"/>
      <c r="HV226" s="1563"/>
      <c r="HW226" s="1563"/>
      <c r="HX226" s="1563"/>
      <c r="HY226" s="1563"/>
      <c r="HZ226" s="1563"/>
      <c r="IA226" s="1563"/>
      <c r="IB226" s="1563"/>
      <c r="IC226" s="1563"/>
      <c r="ID226" s="1563"/>
      <c r="IE226" s="1563"/>
      <c r="IF226" s="1563"/>
      <c r="IG226" s="1563"/>
      <c r="IH226" s="1563"/>
      <c r="II226" s="1610"/>
      <c r="IJ226" s="1309"/>
      <c r="IK226" s="1309"/>
    </row>
    <row r="227" customFormat="false" ht="12.75" hidden="false" customHeight="false" outlineLevel="0" collapsed="false">
      <c r="A227" s="1571" t="n">
        <f aca="false">EOMONTH(A226,0)+1</f>
        <v>43040</v>
      </c>
      <c r="B227" s="594" t="n">
        <f aca="false">+YEAR(A227)</f>
        <v>2017</v>
      </c>
      <c r="C227" s="238" t="n">
        <f aca="false">MONTH(A227)</f>
        <v>11</v>
      </c>
      <c r="D227" s="1572" t="e">
        <f aca="false">IF(E227="","",Holiday(B227,C227))</f>
        <v>#VALUE!</v>
      </c>
      <c r="E227" s="1573" t="n">
        <f aca="false">IF(OR(BegDate&gt;=A228,EndDate&lt;A227,AND(VolumeMonthlyOverFlag,INDEX(VolumeMonthlyOver,C227)=0),NOT(INDEX(MonthKnockOutTable,C227))),"",MAX(A227,BegDate))</f>
        <v>43040</v>
      </c>
      <c r="F227" s="1574" t="n">
        <f aca="false">IF(E227="","",MIN(A228-1,EndDate))</f>
        <v>43069</v>
      </c>
      <c r="G227" s="1575" t="n">
        <v>0</v>
      </c>
      <c r="H227" s="1576" t="n">
        <f aca="false">(1+G227/2)^(-2*(DATE(B228,C228,20)-DateToday)/365.25)</f>
        <v>1</v>
      </c>
      <c r="I227" s="1568" t="n">
        <f aca="false">IF(Assumptions!$L$25=4,VLOOKUP($A227,'Henwood Reference'!$E$9:$R$320,10),(VLOOKUP($A227,PriceTable,2,0)+IF(BasisNumber&lt;&gt;1,VLOOKUP($A227,BasisTable,2,0),0)+I$1)/(1-I$2))</f>
        <v>58.6680151020338</v>
      </c>
      <c r="J227" s="1568" t="n">
        <f aca="false">IF(Assumptions!$L$25=4,VLOOKUP($A227,'Henwood Reference'!$E$9:$R$320,10),(VLOOKUP($A227,PriceTable,3,0)+IF(BasisNumber&lt;&gt;1,VLOOKUP($A227,BasisTable,2,0),0)+J$1)/(1-J$2))</f>
        <v>58.6680151020338</v>
      </c>
      <c r="K227" s="1568" t="n">
        <f aca="false">IF(Assumptions!$L$25=4,VLOOKUP($A227,'Henwood Reference'!$E$9:$R$320,10),(VLOOKUP($A227,PriceTable,4,0)+IF(BasisNumber&lt;&gt;1,VLOOKUP($A227,BasisTable,2,0),0)+K$1)/(1-K$2))</f>
        <v>58.6680151020338</v>
      </c>
      <c r="L227" s="1523" t="n">
        <f aca="false">IF(Assumptions!$L$25=4,VLOOKUP($A227,'Henwood Reference'!$E$9:$R$320,10),(VLOOKUP($A227,PriceTableWeekend,2,0)+IF(BasisNumber&lt;&gt;1,VLOOKUP($A227,BasisTable,2,0),0)+L$1)/(1-L$2))</f>
        <v>58.6680151020338</v>
      </c>
      <c r="M227" s="1568" t="n">
        <f aca="false">IF(Assumptions!$L$25=4,VLOOKUP($A227,'Henwood Reference'!$E$9:$R$320,10),(VLOOKUP($A227,PriceTableWeekend,3,0)+IF(BasisNumber&lt;&gt;1,VLOOKUP($A227,BasisTable,2,0),0)+M$1)/(1-M$2))</f>
        <v>58.6680151020338</v>
      </c>
      <c r="N227" s="1599" t="n">
        <f aca="false">IF(Assumptions!$L$25=4,VLOOKUP($A227,'Henwood Reference'!$E$9:$R$320,10),(VLOOKUP($A227,PriceTableWeekend,4,0)+IF(BasisNumber&lt;&gt;1,VLOOKUP($A227,BasisTable,2,0),0)+N$1)/(1-N$2))</f>
        <v>58.6680151020338</v>
      </c>
      <c r="O227" s="1568" t="n">
        <f aca="false">IF(Assumptions!$L$25=4,VLOOKUP($A227,'Henwood Reference'!$E$9:$R$320,11),(VLOOKUP($A227,PriceTableWeekend,6,0)+IF(BasisNumber&lt;&gt;1,VLOOKUP($A227,BasisTable,3,0),0)+O$1)/(1-O$2))</f>
        <v>33.4055595376737</v>
      </c>
      <c r="P227" s="1568" t="n">
        <f aca="false">IF(Assumptions!$L$25=4,VLOOKUP($A227,'Henwood Reference'!$E$9:$R$320,11),(VLOOKUP($A227,PriceTableWeekend,7,0)+IF(BasisNumber&lt;&gt;1,VLOOKUP($A227,BasisTable,3,0),0)+P$1)/(1-P$2))</f>
        <v>33.4055595376737</v>
      </c>
      <c r="Q227" s="1599" t="n">
        <f aca="false">IF(Assumptions!$L$25=4,VLOOKUP($A227,'Henwood Reference'!$E$9:$R$320,11),(VLOOKUP($A227,PriceTableWeekend,8,0)+IF(BasisNumber&lt;&gt;1,VLOOKUP($A227,BasisTable,3,0),0)+Q$1)/(1-Q$2))</f>
        <v>33.4055595376737</v>
      </c>
      <c r="R227" s="1568" t="n">
        <f aca="false">IF(Assumptions!$L$25=4,VLOOKUP($A227,'Henwood Reference'!$E$9:$R$320,11),(VLOOKUP($A227,PriceTable,6,0)+IF(BasisNumber&lt;&gt;1,VLOOKUP($A227,BasisTable,3,0),0)+R$1)/(1-R$2))</f>
        <v>33.4055595376737</v>
      </c>
      <c r="S227" s="1568" t="n">
        <f aca="false">IF(Assumptions!$L$25=4,VLOOKUP($A227,'Henwood Reference'!$E$9:$R$320,11),(VLOOKUP($A227,PriceTable,7,0)+IF(BasisNumber&lt;&gt;1,VLOOKUP($A227,BasisTable,3,0),0)+S$1)/(1-S$2))</f>
        <v>33.4055595376737</v>
      </c>
      <c r="T227" s="1600" t="n">
        <f aca="false">IF(Assumptions!$L$25=4,VLOOKUP($A227,'Henwood Reference'!$E$9:$R$320,11),(VLOOKUP($A227,PriceTable,8,0)+IF(BasisNumber&lt;&gt;1,VLOOKUP($A227,BasisTable,3,0),0)+T$1)/(1-T$2))</f>
        <v>33.4055595376737</v>
      </c>
      <c r="U227" s="1513" t="n">
        <f aca="false">VLOOKUP($A227,VolatilityTable,14)</f>
        <v>0.09</v>
      </c>
      <c r="V227" s="1513" t="n">
        <f aca="false">VLOOKUP($A227,VolatilityTable,15)</f>
        <v>0.1</v>
      </c>
      <c r="W227" s="1514" t="n">
        <f aca="false">VLOOKUP($A227,VolatilityTable,16)</f>
        <v>0.11</v>
      </c>
      <c r="X227" s="1513" t="n">
        <f aca="false">VLOOKUP($A227,VolatilityTable,14)</f>
        <v>0.09</v>
      </c>
      <c r="Y227" s="1513" t="n">
        <f aca="false">VLOOKUP($A227,VolatilityTable,15)</f>
        <v>0.1</v>
      </c>
      <c r="Z227" s="1514" t="n">
        <f aca="false">VLOOKUP($A227,VolatilityTable,16)</f>
        <v>0.11</v>
      </c>
      <c r="AA227" s="1513" t="n">
        <f aca="false">VLOOKUP($A227,VolatilityTable,18)</f>
        <v>0.09</v>
      </c>
      <c r="AB227" s="1513" t="n">
        <f aca="false">VLOOKUP($A227,VolatilityTable,19)</f>
        <v>0.11</v>
      </c>
      <c r="AC227" s="1514" t="n">
        <f aca="false">VLOOKUP($A227,VolatilityTable,20)</f>
        <v>0.13</v>
      </c>
      <c r="AD227" s="1513" t="n">
        <f aca="false">VLOOKUP($A227,VolatilityTable,18)</f>
        <v>0.09</v>
      </c>
      <c r="AE227" s="1513" t="n">
        <f aca="false">VLOOKUP($A227,VolatilityTable,19)</f>
        <v>0.11</v>
      </c>
      <c r="AF227" s="1514" t="n">
        <f aca="false">VLOOKUP($A227,VolatilityTable,20)</f>
        <v>0.13</v>
      </c>
      <c r="AG227" s="1513" t="n">
        <f aca="false">VLOOKUP($A227,VolatilityTable,22)</f>
        <v>-0.1</v>
      </c>
      <c r="AH227" s="1513" t="n">
        <f aca="false">VLOOKUP($A227,VolatilityTable,23)</f>
        <v>0.6</v>
      </c>
      <c r="AI227" s="1514" t="n">
        <f aca="false">VLOOKUP($A227,VolatilityTable,24)</f>
        <v>0.1</v>
      </c>
      <c r="AJ227" s="1513" t="n">
        <f aca="false">VLOOKUP($A227,VolatilityTable,22)</f>
        <v>-0.1</v>
      </c>
      <c r="AK227" s="1513" t="n">
        <f aca="false">VLOOKUP($A227,VolatilityTable,23)</f>
        <v>0.6</v>
      </c>
      <c r="AL227" s="1514" t="n">
        <f aca="false">VLOOKUP($A227,VolatilityTable,24)</f>
        <v>0.1</v>
      </c>
      <c r="AM227" s="1513" t="n">
        <f aca="false">VLOOKUP($A227,VolatilityTable,26)</f>
        <v>-0.01</v>
      </c>
      <c r="AN227" s="1513" t="n">
        <f aca="false">VLOOKUP($A227,VolatilityTable,27)</f>
        <v>0.16</v>
      </c>
      <c r="AO227" s="1514" t="n">
        <f aca="false">VLOOKUP($A227,VolatilityTable,28)</f>
        <v>0.01</v>
      </c>
      <c r="AP227" s="1513" t="n">
        <f aca="false">VLOOKUP($A227,VolatilityTable,26)</f>
        <v>-0.01</v>
      </c>
      <c r="AQ227" s="1513" t="n">
        <f aca="false">VLOOKUP($A227,VolatilityTable,27)</f>
        <v>0.16</v>
      </c>
      <c r="AR227" s="1515" t="n">
        <f aca="false">VLOOKUP($A227,VolatilityTable,28)</f>
        <v>0.01</v>
      </c>
      <c r="AS227" s="1581" t="n">
        <f aca="false">IF(CorrPeakOffPeakOverFlag,INDEX(CorrPeakOffPeakOver,C227),CorrPeakOffPeak)</f>
        <v>0.5</v>
      </c>
      <c r="AT227" s="594" t="e">
        <f aca="false">AX227-SUM(AU227:AW227)</f>
        <v>#VALUE!</v>
      </c>
      <c r="AU227" s="238" t="e">
        <f aca="false">IF(E227="",0,INT((F227-MOD(F227,7)-E227)/7)+1-IF(AW227,IF(WEEKDAY(D227)=7,1,0),0))</f>
        <v>#VALUE!</v>
      </c>
      <c r="AV227" s="238" t="e">
        <f aca="false">IF(E227="",0,INT((F227-MOD(F227-1,7)-E227)/7)+1-IF(AW227,IF(WEEKDAY(D227)=1,1,0),0))</f>
        <v>#VALUE!</v>
      </c>
      <c r="AW227" s="238" t="e">
        <f aca="false">IF(OR(E227="",D227="",D227&lt;BegDate,D227&gt;EndDate),0,1)</f>
        <v>#VALUE!</v>
      </c>
      <c r="AX227" s="238" t="n">
        <f aca="false">IF(E227="",0,F227-E227+1)</f>
        <v>30</v>
      </c>
      <c r="AY227" s="1582" t="n">
        <f aca="false">IF(E227="",0,MIN((1-(1-VLOOKUP(B227,MAIN!$AA$7:$AM$28,C227+1))*(1-VLOOKUP(B227,MAIN!$AA$33:$AM$54,C227+1))),1))</f>
        <v>0.03</v>
      </c>
      <c r="AZ227" s="1519" t="e">
        <v>#VALUE!</v>
      </c>
      <c r="BA227" s="1520" t="e">
        <v>#VALUE!</v>
      </c>
      <c r="BB227" s="1520" t="e">
        <v>#VALUE!</v>
      </c>
      <c r="BC227" s="1583" t="e">
        <v>#VALUE!</v>
      </c>
      <c r="BD227" s="1522" t="e">
        <v>#VALUE!</v>
      </c>
      <c r="BE227" s="1523" t="e">
        <v>#VALUE!</v>
      </c>
      <c r="BF227" s="1523" t="e">
        <v>#VALUE!</v>
      </c>
      <c r="BG227" s="1584" t="e">
        <v>#VALUE!</v>
      </c>
      <c r="BH227" s="1525" t="e">
        <v>#VALUE!</v>
      </c>
      <c r="BI227" s="1520" t="e">
        <v>#VALUE!</v>
      </c>
      <c r="BJ227" s="1520" t="e">
        <v>#VALUE!</v>
      </c>
      <c r="BK227" s="1583" t="e">
        <v>#VALUE!</v>
      </c>
      <c r="BL227" s="1522" t="e">
        <v>#VALUE!</v>
      </c>
      <c r="BM227" s="1523" t="e">
        <v>#VALUE!</v>
      </c>
      <c r="BN227" s="1523" t="e">
        <v>#VALUE!</v>
      </c>
      <c r="BO227" s="1523" t="e">
        <v>#VALUE!</v>
      </c>
      <c r="BP227" s="1525" t="e">
        <f aca="false">SUM(AZ227:BB227)</f>
        <v>#VALUE!</v>
      </c>
      <c r="BQ227" s="1529" t="e">
        <f aca="false">SUM(AZ227:BC227)</f>
        <v>#VALUE!</v>
      </c>
      <c r="BR227" s="1519" t="e">
        <f aca="false">SUM(BH227:BJ227)</f>
        <v>#VALUE!</v>
      </c>
      <c r="BS227" s="1529" t="e">
        <f aca="false">SUM(BH227:BK227)</f>
        <v>#VALUE!</v>
      </c>
      <c r="BT227" s="1316" t="n">
        <f aca="false">(IF(OVolType&lt;&gt;2,A227+14,IF(OptExpDateShift,ShiftBack(A227,OptExpDateShift,D226),A227))-DateToday)/365.25</f>
        <v>17.5496235455168</v>
      </c>
      <c r="BU227" s="1585" t="e">
        <f aca="false">IF(BQ227,IF(OPriceCurve,IF(OBuySell=OCallPut,I227/(1-AY227),K227/(1-AY227)),J227/(1-AY227))*BD227,0)</f>
        <v>#VALUE!</v>
      </c>
      <c r="BV227" s="1316" t="e">
        <f aca="false">IF(BQ227,IF(OPriceCurve,IF(OBuySell=OCallPut,L227/(1-AY227),N227/(1-AY227)),M227/(1-AY227))*BE227,0)</f>
        <v>#VALUE!</v>
      </c>
      <c r="BW227" s="1316" t="e">
        <f aca="false">IF(BQ227,IF(OPriceCurve,IF(OBuySell=OCallPut,O227/(1-AY227),Q227/(1-AY227)),P227/(1-AY227))*BF227,0)</f>
        <v>#VALUE!</v>
      </c>
      <c r="BX227" s="1316" t="e">
        <f aca="false">IF(BQ227,IF(OPriceCurve,IF(OBuySell=OCallPut,R227/(1-AY227),T227/(1-AY227)),S227/(1-AY227))*BG227,0)</f>
        <v>#VALUE!</v>
      </c>
      <c r="BY227" s="1316" t="e">
        <f aca="false">IF(BP227,(BU227*AZ227+BV227*BA227+BW227*BB227)/BP227,0)</f>
        <v>#VALUE!</v>
      </c>
      <c r="BZ227" s="1316" t="e">
        <f aca="false">IF(BQ227,(BY227*BP227+BX227*BC227)/BQ227,0)</f>
        <v>#VALUE!</v>
      </c>
      <c r="CA227" s="1531" t="e">
        <f aca="false">IF(BS227,IF(OPriceCurve,IF(OBuySell=OCallPut,I227/(1-AY227),K227/(1-AY227)),J227/(1-AY227))*BL227,0)</f>
        <v>#VALUE!</v>
      </c>
      <c r="CB227" s="1316" t="e">
        <f aca="false">IF(BS227,IF(OPriceCurve,IF(OBuySell=OCallPut,L227/(1-AY227),N227/(1-AY227)),M227/(1-AY227))*BM227,0)</f>
        <v>#VALUE!</v>
      </c>
      <c r="CC227" s="1316" t="e">
        <f aca="false">IF(BS227,IF(OPriceCurve,IF(OBuySell=OCallPut,O227/(1-AY227),Q227/(1-AY227)),P227/(1-AY227))*BN227,0)</f>
        <v>#VALUE!</v>
      </c>
      <c r="CD227" s="1316" t="e">
        <f aca="false">IF(BS227,IF(OPriceCurve,IF(OBuySell=OCallPut,R227/(1-AY227),T227/(1-AY227)),S227/(1-AY227))*BO227,0)</f>
        <v>#VALUE!</v>
      </c>
      <c r="CE227" s="1316" t="e">
        <f aca="false">IF(BR227,(BU227*BH227+BV227*BI227+BW227*BJ227)/BR227,0)</f>
        <v>#VALUE!</v>
      </c>
      <c r="CF227" s="1532" t="e">
        <f aca="false">IF(BS227,(CE227*BR227+CD227*BK227)/BS227,0)</f>
        <v>#VALUE!</v>
      </c>
      <c r="CG227" s="1586" t="e">
        <f aca="false">IF(OR(BQ227,BS227),IF(OVolType&lt;&gt;2,SQRT(IF(OVolOverMonthlyPeak,OVolOverMonthlyPeak,IF(OVolCurve,IF(OBuySell,U227,W227),V227))^2*(1-15/365.25/BT227)+IF(OVolOverDailyPeak,OVolOverDailyPeak,IF(OVolCurve,IF(OBuySell,AG227,AI227),AH227))^2*15/365.25/BT227),IF(OVolOverMonthlyPeak,OVolOverMonthlyPeak,IF(OVolCurve,IF(OBuySell,U227,W227),V227))),"")</f>
        <v>#VALUE!</v>
      </c>
      <c r="CH227" s="1587" t="e">
        <f aca="false">IF(OR(BQ227,BS227),IF(OVolType&lt;&gt;2,SQRT(IF(OVolOverMonthlyPeak,OVolOverMonthlyPeak,IF(OVolCurve,IF(OBuySell,X227,Z227),Y227))^2*(1-15/365.25/BT227)+IF(OVolOverDailyPeak,OVolOverDailyPeak,IF(OVolCurve,IF(OBuySell,AJ227,AL227),AK227))^2*15/365.25/BT227),IF(OVolOverMonthlyPeak,OVolOverMonthlyPeak,IF(OVolCurve,IF(OBuySell,X227,Z227),Y227))),"")</f>
        <v>#VALUE!</v>
      </c>
      <c r="CI227" s="1587" t="e">
        <f aca="false">IF(OR(BQ227,BS227),IF(OVolType&lt;&gt;2,SQRT(IF(OVolOverMonthlyPeak,OVolOverMonthlyPeak,IF(OVolCurve,IF(OBuySell,AA227,AC227),AB227))^2*(1-15/365.25/BT227)+IF(OVolOverDailyPeak,OVolOverDailyPeak,IF(OVolCurve,IF(OBuySell,AM227,AO227),AN227))^2*15/365.25/BT227),IF(OVolOverMonthlyPeak,OVolOverMonthlyPeak,IF(OVolCurve,IF(OBuySell,AA227,AC227),AB227))),"")</f>
        <v>#VALUE!</v>
      </c>
      <c r="CJ227" s="1587" t="e">
        <f aca="false">IF(BQ227,IF(BP227,SQRT(LN(1+((BU227*AZ227)^2*(EXP(CG227^2*BT227)-1)+(BV227*BA227)^2*(EXP(CH227^2*BT227)-1)+(BW227*BB227)^2*(EXP(CI227^2*BT227)-1)+2*BU227*AZ227*BV227*BA227*(EXP(CG227*CH227*BT227)-1)+2*BV227*BA227*BW227*BB227*(EXP(CH227*CI227*BT227)-1)+2*BW227*BB227*BU227*AZ227*(EXP(CI227*CG227*BT227)-1))/(BY227*BP227)^2)/BT227),0),"")</f>
        <v>#VALUE!</v>
      </c>
      <c r="CK227" s="1587" t="e">
        <f aca="false">IF(BS227,IF(BR227,SQRT(LN(1+((CA227*BH227)^2*(EXP(CG227^2*BT227)-1)+(CB227*BI227)^2*(EXP(CH227^2*BT227)-1)+(CC227*BJ227)^2*(EXP(CI227^2*BT227)-1)+2*CA227*BH227*CB227*BI227*(EXP(CG227*CH227*BT227)-1)+2*CB227*BI227*CC227*BJ227*(EXP(CH227*CI227*BT227)-1)+2*CC227*BJ227*CA227*BH227*(EXP(CI227*CG227*BT227)-1))/(CE227*BR227)^2)/BT227),0),"")</f>
        <v>#VALUE!</v>
      </c>
      <c r="CL227" s="1587" t="e">
        <f aca="false">IF(OR(BQ227,BS227),IF(OVolType&lt;&gt;2,SQRT(IF(OVolOverMonthlyOffPeak,OVolOverMonthlyOffPeak,IF(OVolCurve,IF(OBuySell,AD227,AF227),AE227))^2*(1-15/365.25/BT227)+IF(OVolOverDailyOffPeak,OVolOverDailyOffPeak,IF(OVolCurve,IF(OBuySell,AP227,AR227),AQ227))^2*15/365.25/BT227),IF(OVolOverMonthlyOffPeak,OVolOverMonthlyOffPeak,IF(OVolCurve,IF(OBuySell,AD227,AF227),AE227))),"")</f>
        <v>#VALUE!</v>
      </c>
      <c r="CM227" s="1587" t="e">
        <f aca="false">IF(BQ227,SQRT(LN(1+((BY227*BP227)^2*(EXP(CJ227^2*BT227)-1)+(BX227*BC227)^2*(EXP(CL227^2*BT227)-1)+2*BY227*BP227*BX227*BC227*(EXP(AS227*CJ227*CL227*BT227)-1))/(BY227*BP227+BX227*BC227)^2)/BT227),"")</f>
        <v>#VALUE!</v>
      </c>
      <c r="CN227" s="1588" t="e">
        <f aca="false">IF(BS227,SQRT(LN(1+((CE227*BR227)^2*(EXP(CK227^2*BT227)-1)+(CD227*BK227)^2*(EXP(CL227^2*BT227)-1)+2*CE227*BR227*CD227*BK227*(EXP(AS227*CK227*CL227*BT227)-1))/(CE227*BR227+CD227*BK227)^2)/BT227),"")</f>
        <v>#VALUE!</v>
      </c>
      <c r="CO227" s="1531" t="e">
        <f aca="false">IF(OR(BQ227,BS227),VLOOKUP(A227,GasTable,13)*HeatRatePeak*(1+VLOOKUP($B227,HeatRateDegradation,$C227+1))/1000,0)</f>
        <v>#VALUE!</v>
      </c>
      <c r="CP227" s="1316" t="e">
        <f aca="false">IF(OR(BQ227,BS227),VLOOKUP(A227,GasTable,13)*HeatRatePeak*(1+VLOOKUP($B227,HeatRateDegradation,$C227+1))/1000,0)</f>
        <v>#VALUE!</v>
      </c>
      <c r="CQ227" s="1316" t="e">
        <f aca="false">IF(OR(BQ227,BS227),VLOOKUP(A227,GasTable,13)*IF(EV227,HeatRatePeak,HeatRateOffPeak)*(1+VLOOKUP($B227,HeatRateDegradation,$C227+1))/1000,0)</f>
        <v>#VALUE!</v>
      </c>
      <c r="CR227" s="1316" t="e">
        <f aca="false">IF(OR(BQ227,BS227),VLOOKUP(A227,GasTable,13)*IF(EW227,HeatRatePeak,HeatRateOffPeak)*(1+VLOOKUP($B227,HeatRateDegradation,$C227+1))/1000,0)</f>
        <v>#VALUE!</v>
      </c>
      <c r="CS227" s="1589" t="e">
        <f aca="false">IF(BQ227,(CO227*AZ227+CP227*BA227+CQ227*BB227+CR227*BC227)/BQ227,0)</f>
        <v>#VALUE!</v>
      </c>
      <c r="CT227" s="1316" t="e">
        <f aca="false">IF(BS227,CO227,0)</f>
        <v>#VALUE!</v>
      </c>
      <c r="CU227" s="1590" t="e">
        <f aca="false">IF(OR(BQ227,BS227),VLOOKUP(A227,GasTable,14),"")</f>
        <v>#VALUE!</v>
      </c>
      <c r="CV227" s="1568" t="e">
        <f aca="false">IF(OR(BQ227,BS227),IF(CorrPowerGasOverFlag,INDEX(CorrPowerGasOver,C227),CorrPowerGas),"")</f>
        <v>#VALUE!</v>
      </c>
      <c r="CW227" s="1316" t="e">
        <f aca="false">IF(OR($BQ227,$BS227),SpreadOptPowerMargin,0)*((1+Assumptions!$C$26)^($B227-YEAR(Assumptions!$C$17)))</f>
        <v>#VALUE!</v>
      </c>
      <c r="CX227" s="1316" t="e">
        <f aca="false">IF(OR($BQ227,$BS227),SpreadOptPowerMargin,0)*((1+Assumptions!$C$26)^($B227-YEAR(Assumptions!$C$17)))</f>
        <v>#VALUE!</v>
      </c>
      <c r="CY227" s="1316" t="e">
        <f aca="false">IF(OR($BQ227,$BS227),SpreadOptPowerMargin,0)*((1+Assumptions!$C$26)^($B227-YEAR(Assumptions!$C$17)))</f>
        <v>#VALUE!</v>
      </c>
      <c r="CZ227" s="1316" t="e">
        <f aca="false">IF(OR($BQ227,$BS227),SpreadOptPowerMargin,0)*((1+Assumptions!$C$26)^($B227-YEAR(Assumptions!$C$17)))</f>
        <v>#VALUE!</v>
      </c>
      <c r="DA227" s="1591" t="e">
        <f aca="false">IF(OR(BQ227,BS227),(CW227*(AZ227+BH227)+CX227*(BA227+BI227)+CY227*(BB227+BJ227)+CZ227*(BC227+BK227))/(BQ227+BS227),0)</f>
        <v>#VALUE!</v>
      </c>
      <c r="DB227" s="1592" t="e">
        <f aca="false">IF(OR(BQ227,BS227),CG227+IF(OVolSmile,VLOOKUP(MAX(-5,CO227+CW227-BU227),IF(OVolSmile=1,VolSmileBook,VolSmileModel),2),0),"")</f>
        <v>#VALUE!</v>
      </c>
      <c r="DC227" s="1592" t="e">
        <f aca="false">IF(OR(BQ227,BS227),CH227+IF(OVolSmile,VLOOKUP(MAX(-5,CP227+CW227-BV227),IF(OVolSmile=1,VolSmileBook,VolSmileModel),2),0),"")</f>
        <v>#VALUE!</v>
      </c>
      <c r="DD227" s="1592" t="e">
        <f aca="false">IF(OR(BQ227,BS227),CI227+IF(OVolSmile,VLOOKUP(MAX(-5,CQ227+CW227-BW227),IF(OVolSmile=1,VolSmileBook,VolSmileModel),2),0),"")</f>
        <v>#VALUE!</v>
      </c>
      <c r="DE227" s="1592" t="e">
        <f aca="false">IF(OR(BQ227,BS227),CL227+IF(OVolSmile,VLOOKUP(MAX(-5,CR227+CZ227-BX227),IF(OVolSmile=1,VolSmileBook,VolSmileModel),2),0),"")</f>
        <v>#VALUE!</v>
      </c>
      <c r="DF227" s="1592" t="e">
        <f aca="false">IF(BQ227,CM227+IF(OVolSmile,VLOOKUP(MAX(-5,CS227+DA227-BZ227),IF(OVolSmile=1,VolSmileBook,VolSmileModel),2),0),"")</f>
        <v>#VALUE!</v>
      </c>
      <c r="DG227" s="1593" t="e">
        <f aca="false">IF(BS227,CN227+IF(OVolSmile,VLOOKUP(MAX(-5,CT227+DA227-CF227),IF(OVolSmile=1,VolSmileBook,VolSmileModel),2),0),"")</f>
        <v>#VALUE!</v>
      </c>
      <c r="DH227" s="1316" t="e">
        <f aca="false">IF(AND(BU227&gt;0,CO227&gt;0,DB227&gt;0,CU227&gt;0),newSPRDOPT(BU227,CO227,CW227,0,DB227,CU227,CV227,BT227*365.25,OCallPut,0),0)</f>
        <v>#VALUE!</v>
      </c>
      <c r="DI227" s="1316" t="e">
        <f aca="false">IF(AND(BV227&gt;0,CP227&gt;0,DC227&gt;0,CU227&gt;0),newSPRDOPT(BV227,CP227,CX227,0,DC227,CU227,CV227,BT227*365.25,OCallPut,0),0)</f>
        <v>#VALUE!</v>
      </c>
      <c r="DJ227" s="1316" t="e">
        <f aca="false">IF(AND(BW227&gt;0,CQ227&gt;0,DD227&gt;0,CU227&gt;0),newSPRDOPT(BW227,CQ227,CY227,0,DD227,CU227,CV227,BT227*365.25,OCallPut,0),0)</f>
        <v>#VALUE!</v>
      </c>
      <c r="DK227" s="1316" t="e">
        <f aca="false">IF(AND(BX227&gt;0,CR227&gt;0,DE227&gt;0,CU227&gt;0),newSPRDOPT(BX227,CR227,CZ227,0,DE227,CU227,CV227,BT227*365.25,OCallPut,0),0)</f>
        <v>#VALUE!</v>
      </c>
      <c r="DL227" s="1316" t="e">
        <f aca="false">IF(OVolType,IF(AND(BZ227&gt;0,CS227&gt;0,DF227&gt;0,CU227&gt;0),newSPRDOPT(BZ227,CS227,DA227,0,DF227,CU227,CV227,BT227*365.25,OCallPut,0),0),IF(BQ227,(DH227*AZ227+DI227*BA227+DJ227*BB227+DK227*BC227)/BQ227,0))</f>
        <v>#VALUE!</v>
      </c>
      <c r="DM227" s="1316"/>
      <c r="DN227" s="1316"/>
      <c r="DO227" s="1316"/>
      <c r="DP227" s="1316"/>
      <c r="DQ227" s="1316"/>
      <c r="DR227" s="1316"/>
      <c r="DS227" s="1316"/>
      <c r="DT227" s="1316"/>
      <c r="DU227" s="1316"/>
      <c r="DV227" s="1316"/>
      <c r="DW227" s="1594" t="e">
        <f aca="false">IF(AND(BW227&gt;0,CT227&gt;0,DD227&gt;0,CU227&gt;0),newSPRDOPT(BW227,CT227,CY227,0,DD227,CU227,CV227,BT227*365.25,OCallPut,0),0)</f>
        <v>#VALUE!</v>
      </c>
      <c r="DX227" s="1316" t="e">
        <f aca="false">IF(AND(BX227&gt;0,CT227&gt;0,DE227&gt;0,CU227&gt;0),newSPRDOPT(BX227,CT227,CZ227,0,DE227,CU227,CV227,BT227*365.25,OCallPut,0),0)</f>
        <v>#VALUE!</v>
      </c>
      <c r="DY227" s="1591" t="e">
        <f aca="false">IF(BS227,(DH227*BH227+DI227*BI227+DW227*BJ227+DX227*BK227)/BS227,0)</f>
        <v>#VALUE!</v>
      </c>
      <c r="DZ227" s="1551" t="e">
        <f aca="false">DH227*AZ227</f>
        <v>#VALUE!</v>
      </c>
      <c r="EA227" s="1551" t="e">
        <f aca="false">DI227*BA227</f>
        <v>#VALUE!</v>
      </c>
      <c r="EB227" s="1551" t="e">
        <f aca="false">DJ227*BB227</f>
        <v>#VALUE!</v>
      </c>
      <c r="EC227" s="1551" t="e">
        <f aca="false">DK227*BC227</f>
        <v>#VALUE!</v>
      </c>
      <c r="ED227" s="1551" t="e">
        <f aca="false">DL227*BQ227</f>
        <v>#VALUE!</v>
      </c>
      <c r="EE227" s="1595" t="e">
        <f aca="false">IF(BQ227,IF(OCallPut,IF(BU227&gt;(CO227+CW227),BU227-(CO227+CW227),0),IF((CO227+CW227)&gt;BU227,(CO227+CW227)-BU227,0))*AZ227,0)</f>
        <v>#VALUE!</v>
      </c>
      <c r="EF227" s="1596" t="e">
        <f aca="false">IF(BQ227,IF(OCallPut,IF(BV227&gt;(CP227+CX227),BV227-(CP227+CX227),0),IF((CP227+CX227)&gt;BV227,(CP227+CX227)-BV227,0))*BA227,0)</f>
        <v>#VALUE!</v>
      </c>
      <c r="EG227" s="1596" t="e">
        <f aca="false">IF(BQ227,IF(OCallPut,IF(BW227&gt;(CQ227+CY227),BW227-(CQ227+CY227),0),IF((CQ227+CY227)&gt;BW227,(CQ227+CY227)-BW227,0))*BB227,0)</f>
        <v>#VALUE!</v>
      </c>
      <c r="EH227" s="1596" t="e">
        <f aca="false">IF(BQ227,IF(OCallPut,IF(BX227&gt;(CR227+CZ227),BX227-(CR227+CZ227),0),IF((CR227+CZ227)&gt;BX227,(CR227+CZ227)-BX227,0))*BC227,0)</f>
        <v>#VALUE!</v>
      </c>
      <c r="EI227" s="1597" t="e">
        <f aca="false">IF(BQ227,IF(OVolType,IF(OCallPut,IF(BZ227&gt;(CS227+DA227),BZ227-(CS227+DA227),0),IF((CS227+DA227)&gt;BZ227,(CS227+DA227)-BZ227,0))*BQ227,SUM(EE227:EH227)),0)</f>
        <v>#VALUE!</v>
      </c>
      <c r="EJ227" s="1595" t="e">
        <f aca="false">DZ227-EE227</f>
        <v>#VALUE!</v>
      </c>
      <c r="EK227" s="1596" t="e">
        <f aca="false">EA227-EF227</f>
        <v>#VALUE!</v>
      </c>
      <c r="EL227" s="1596" t="e">
        <f aca="false">EB227-EG227</f>
        <v>#VALUE!</v>
      </c>
      <c r="EM227" s="1596" t="e">
        <f aca="false">EC227-EH227</f>
        <v>#VALUE!</v>
      </c>
      <c r="EN227" s="1597" t="e">
        <f aca="false">ED227-EI227</f>
        <v>#VALUE!</v>
      </c>
      <c r="EO227" s="1551" t="e">
        <f aca="false">DH227*BH227</f>
        <v>#VALUE!</v>
      </c>
      <c r="EP227" s="1551" t="e">
        <f aca="false">DI227*BI227</f>
        <v>#VALUE!</v>
      </c>
      <c r="EQ227" s="1551" t="e">
        <f aca="false">DW227*BJ227</f>
        <v>#VALUE!</v>
      </c>
      <c r="ER227" s="1551" t="e">
        <f aca="false">DX227*BK227</f>
        <v>#VALUE!</v>
      </c>
      <c r="ES227" s="1551" t="e">
        <f aca="false">DY227*BS227</f>
        <v>#VALUE!</v>
      </c>
      <c r="ET227" s="1566" t="e">
        <f aca="false">IF(EI227,IF(OCallPut,IF(CA227&gt;(CT227+CW227),CA227-(CT227+CW227),0),IF((CT227+CW227)&gt;CA227,(CT227+CW227)-CA227,0))*BH227,0)</f>
        <v>#VALUE!</v>
      </c>
      <c r="EU227" s="1551" t="e">
        <f aca="false">IF(EI227,IF(OCallPut,IF(CB227&gt;(CT227+CX227),CB227-(CT227+CX227),0),IF((CT227+CX227)&gt;CB227,(CT227+CX227)-CB227,0))*BI227,0)</f>
        <v>#VALUE!</v>
      </c>
      <c r="EV227" s="1551" t="e">
        <f aca="false">IF(EI227,IF(OCallPut,IF(CC227&gt;(CT227+CY227),CC227-(CT227+CY227),0),IF((CT227+CY227)&gt;CC227,(CT227+CY227)-CC227,0))*BJ227,0)</f>
        <v>#VALUE!</v>
      </c>
      <c r="EW227" s="1551" t="e">
        <f aca="false">IF(EI227,IF(OCallPut,IF(CD227&gt;(CT227+CZ227),CD227-(CT227+CZ227),0),IF((CT227+CZ227)&gt;CD227,(CT227+CZ227)-CD227,0))*BK227,0)</f>
        <v>#VALUE!</v>
      </c>
      <c r="EX227" s="1558" t="e">
        <f aca="false">IF(EI227,SUM(ET227:EW227),0)</f>
        <v>#VALUE!</v>
      </c>
      <c r="EY227" s="1551" t="e">
        <f aca="false">EO227-ET227</f>
        <v>#VALUE!</v>
      </c>
      <c r="EZ227" s="1551" t="e">
        <f aca="false">EP227-EU227</f>
        <v>#VALUE!</v>
      </c>
      <c r="FA227" s="1551" t="e">
        <f aca="false">EQ227-EV227</f>
        <v>#VALUE!</v>
      </c>
      <c r="FB227" s="1551" t="e">
        <f aca="false">ER227-EW227</f>
        <v>#VALUE!</v>
      </c>
      <c r="FC227" s="1551" t="e">
        <f aca="false">ES227-EX227</f>
        <v>#VALUE!</v>
      </c>
      <c r="FD227" s="1525" t="n">
        <f aca="false">IF(AX227,IF(VLOOKUP(C227,MAIN!$L$17:$M$28,2)="Yes",VLOOKUP(CALC!B227,MAIN!$H$17:$I$20,2),0),0)</f>
        <v>0</v>
      </c>
      <c r="FE227" s="1552" t="e">
        <f aca="false">$FD227*16*AT227*(1-$AY227)</f>
        <v>#VALUE!</v>
      </c>
      <c r="FF227" s="1553" t="e">
        <f aca="false">$FD227*16*AU227*(1-$AY227)</f>
        <v>#VALUE!</v>
      </c>
      <c r="FG227" s="1553" t="e">
        <f aca="false">$FD227*16*(AV227+AW227)*(1-$AY227)</f>
        <v>#VALUE!</v>
      </c>
      <c r="FH227" s="1554" t="n">
        <f aca="false">$FD227*8*AX227*(1-$AY227)</f>
        <v>0</v>
      </c>
      <c r="FI227" s="1555" t="n">
        <f aca="false">IF(AX227,VLOOKUP(CALC!B227,MAIN!$H$17:$K$20,4),0)</f>
        <v>0</v>
      </c>
      <c r="FJ227" s="1553" t="e">
        <f aca="false">SUM(FE227:FH227)</f>
        <v>#VALUE!</v>
      </c>
      <c r="FK227" s="1556" t="e">
        <f aca="false">FI227*FJ227</f>
        <v>#VALUE!</v>
      </c>
      <c r="FL227" s="1551" t="e">
        <f aca="false">IF($EI227&gt;0,MIN(FE227,AZ227*(1+VLOOKUP($C227,WeatherCapacityAdjustment,2))),0)</f>
        <v>#VALUE!</v>
      </c>
      <c r="FM227" s="1551" t="e">
        <f aca="false">IF($EI227&gt;0,MIN(FF227,BA227*(1+VLOOKUP($C227,WeatherCapacityAdjustment,2))),0)</f>
        <v>#VALUE!</v>
      </c>
      <c r="FN227" s="1551" t="e">
        <f aca="false">IF($EI227&gt;0,MIN(FG227,BB227*(1+VLOOKUP($C227,WeatherCapacityAdjustment,2))),0)</f>
        <v>#VALUE!</v>
      </c>
      <c r="FO227" s="1564" t="e">
        <f aca="false">IF($EI227&gt;0,MIN(FH227,BC227*(1+VLOOKUP($C227,WeatherCapacityAdjustment,3))),0)</f>
        <v>#VALUE!</v>
      </c>
      <c r="FP227" s="1551" t="e">
        <f aca="false">IF(ET227&gt;0,MIN(FE227-FL227,BH227*(1+VLOOKUP($C227,WeatherCapacityAdjustment,2))),0)</f>
        <v>#VALUE!</v>
      </c>
      <c r="FQ227" s="1551" t="e">
        <f aca="false">IF(EU227&gt;0,MIN(FF227-FM227,BI227*(1+VLOOKUP($C227,WeatherCapacityAdjustment,2))),0)</f>
        <v>#VALUE!</v>
      </c>
      <c r="FR227" s="1551" t="e">
        <f aca="false">IF(EV227&gt;0,MIN(FG227-FN227,BJ227*(1+VLOOKUP($C227,WeatherCapacityAdjustment,2))),0)</f>
        <v>#VALUE!</v>
      </c>
      <c r="FS227" s="1558" t="e">
        <f aca="false">IF(EW227&gt;0,MIN(FH227-FO227,BK227*(1+VLOOKUP($C227,WeatherCapacityAdjustment,3))),0)</f>
        <v>#VALUE!</v>
      </c>
      <c r="FT227" s="1566" t="e">
        <f aca="false">IF(AND(Assumptions!$H$71="Yes",A227&gt;=Assumptions!$H$72,A227&lt;=Assumptions!$H$73),0,IF(AND($A227&gt;=Assumptions!$C$17,$A227&lt;=Assumptions!$C$18),MAX(AZ227*(1+VLOOKUP($C227,WeatherCapacityAdjustment,2))-FL227,0),0))</f>
        <v>#VALUE!</v>
      </c>
      <c r="FU227" s="1551" t="e">
        <f aca="false">IF(AND(Assumptions!$H$71="Yes",A227&gt;=Assumptions!$H$72,A227&lt;=Assumptions!$H$73),0,IF(AND($A227&gt;=Assumptions!$C$17,$A227&lt;=Assumptions!$C$18),MAX(BA227*(1+VLOOKUP($C227,WeatherCapacityAdjustment,2))-FM227,0),0))</f>
        <v>#VALUE!</v>
      </c>
      <c r="FV227" s="1551" t="e">
        <f aca="false">IF(AND(Assumptions!$H$71="Yes",A227&gt;=Assumptions!$H$72,A227&lt;=Assumptions!$H$73),0,IF(AND($A227&gt;=Assumptions!$C$17,$A227&lt;=Assumptions!$C$18),MAX(BB227*(1+VLOOKUP($C227,WeatherCapacityAdjustment,2))-FN227,0),0))</f>
        <v>#VALUE!</v>
      </c>
      <c r="FW227" s="1564" t="e">
        <f aca="false">IF(AND(Assumptions!$H$71="Yes",A227&gt;=Assumptions!$H$72,A227&lt;=Assumptions!$H$73),0,IF(AND($A227&gt;=Assumptions!$C$17,$A227&lt;=Assumptions!$C$18),MAX(BC227*(1+VLOOKUP($C227,WeatherCapacityAdjustment,3))-FO227,0),0))</f>
        <v>#VALUE!</v>
      </c>
      <c r="FX227" s="1569" t="e">
        <f aca="false">IF(AND(Assumptions!$H$71="Yes",A227&gt;=Assumptions!$H$72,A227&lt;=Assumptions!$H$73),0,IF(ET227&gt;0,MAX(BH227*(1+VLOOKUP($C227,WeatherCapacityAdjustment,2))-FP227,0),0))</f>
        <v>#VALUE!</v>
      </c>
      <c r="FY227" s="1551" t="e">
        <f aca="false">IF(AND(Assumptions!$H$71="Yes",A227&gt;=Assumptions!$H$72,A227&lt;=Assumptions!$H$73),0,IF(EU227&gt;0,MAX(BI227*(1+VLOOKUP($C227,WeatherCapacityAdjustment,3))-FQ227,0),0))</f>
        <v>#VALUE!</v>
      </c>
      <c r="FZ227" s="1551" t="e">
        <f aca="false">IF(AND(Assumptions!$H$71="Yes",A227&gt;=Assumptions!$H$72,A227&lt;=Assumptions!$H$73),0,IF(EV227&gt;0,MAX(BJ227*(1+VLOOKUP($C227,WeatherCapacityAdjustment,2))-FR227,0),0))</f>
        <v>#VALUE!</v>
      </c>
      <c r="GA227" s="1564" t="e">
        <f aca="false">IF(AND(Assumptions!$H$71="Yes",A227&gt;=Assumptions!$H$72,A227&lt;=Assumptions!$H$73),0,IF(EW227&gt;0,MAX(BK227*(1+VLOOKUP($C227,WeatherCapacityAdjustment,2))-FS227,0),0))</f>
        <v>#VALUE!</v>
      </c>
      <c r="GB227" s="1551" t="e">
        <f aca="false">SUM(FT227:GA227)</f>
        <v>#VALUE!</v>
      </c>
      <c r="GC227" s="1563" t="e">
        <f aca="false">+IF(SUM(FT227:GA227)=0,0,(SUMPRODUCT(BU227:BX227,FT227:FW227)+SUMPRODUCT(CA227:CD227,FX227:GA227))/SUM(FT227:GA227))</f>
        <v>#VALUE!</v>
      </c>
      <c r="GD227" s="1551" t="e">
        <f aca="false">(FT227*BU227+FX227*CA227+FU227*BV227+FY227*CB227+FV227*BW227+FZ227*CC227+FW227*BX227+GA227*CD227)</f>
        <v>#VALUE!</v>
      </c>
      <c r="GE227" s="1561" t="e">
        <f aca="false">+IF(BQ227,((FL227+FM227+FT227+FU227)*HeatRatePeak/1000*(1+VLOOKUP($C227,WeatherHeatRateAdjustment,2))+(FN227+FV227)*IF(EV227&gt;0,HeatRatePeak,HeatRateOffPeak)/1000*(1+VLOOKUP($C227,WeatherHeatRateAdjustment,2))+(FO227+FW227)*IF(EW227&gt;0,HeatRatePeak,HeatRateOffPeak)/1000*(1+VLOOKUP($C227,WeatherHeatRateAdjustment,3)))*(1+VLOOKUP($B227,HeatRateDegradation,$C227+1)),0)</f>
        <v>#VALUE!</v>
      </c>
      <c r="GF227" s="1562" t="e">
        <f aca="false">IF(BQ227,((FP227+FQ227+FR227+FX227+FY227+FZ227)*HeatRatePeak/1000*(1+VLOOKUP($C227,WeatherHeatRateAdjustment,2))+(FS227+GA227)*HeatRatePeak/1000*(1+VLOOKUP($C227,WeatherHeatRateAdjustment,3)))*(1+VLOOKUP($B227,HeatRateDegradation,$C227+1)),0)</f>
        <v>#VALUE!</v>
      </c>
      <c r="GG227" s="1563" t="e">
        <f aca="false">IF(BQ227,VLOOKUP(A227,GasTable,13),0)</f>
        <v>#VALUE!</v>
      </c>
      <c r="GH227" s="1564" t="e">
        <f aca="false">(GE227+GF227)*GG227</f>
        <v>#VALUE!</v>
      </c>
      <c r="GI227" s="1569" t="e">
        <f aca="false">GB227</f>
        <v>#VALUE!</v>
      </c>
      <c r="GJ227" s="1598" t="e">
        <f aca="false">+DA227</f>
        <v>#VALUE!</v>
      </c>
      <c r="GK227" s="1558" t="e">
        <f aca="false">+GI227*GJ227</f>
        <v>#VALUE!</v>
      </c>
      <c r="GL227" s="1566" t="e">
        <f aca="false">MAX(FE227-FL227-FP227,0)</f>
        <v>#VALUE!</v>
      </c>
      <c r="GM227" s="1551" t="e">
        <f aca="false">MAX(FF227-FM227-FQ227,0)</f>
        <v>#VALUE!</v>
      </c>
      <c r="GN227" s="1551" t="e">
        <f aca="false">MAX(FG227-FN227-FR227,0)</f>
        <v>#VALUE!</v>
      </c>
      <c r="GO227" s="1564" t="e">
        <f aca="false">MAX(FH227-FO227-FS227,0)</f>
        <v>#VALUE!</v>
      </c>
      <c r="GP227" s="1551" t="e">
        <f aca="false">SUM(GL227:GO227)</f>
        <v>#VALUE!</v>
      </c>
      <c r="GQ227" s="1563" t="e">
        <f aca="false">IF(SUM(GL227:GO227)=0,0,((GL227*BU227+GM227*BV227+GN227*BW227+GO227*BX227)/SUM(GL227:GO227)))</f>
        <v>#VALUE!</v>
      </c>
      <c r="GR227" s="1558" t="e">
        <f aca="false">(GL227*BU227+GM227*BV227+GN227*BW227+GO227*BX227)</f>
        <v>#VALUE!</v>
      </c>
      <c r="GS227" s="1566" t="n">
        <f aca="false">IF($A227&gt;=BegDate,Assumptions!$C$56*24*($A228-$A227)*(1-VLOOKUP($B227,MAIN!$AA$7:$AM$28,$C227+1))*(1-VLOOKUP($B227,MAIN!$AA$33:$AM$54,$C227+1)),0)*80/168</f>
        <v>249428.571428571</v>
      </c>
      <c r="GT227" s="286" t="n">
        <f aca="false">J227</f>
        <v>58.6680151020338</v>
      </c>
      <c r="GU227" s="286" t="n">
        <f aca="false">IF($A227&gt;=BegDate,VLOOKUP($A227,GasTable,13)+Assumptions!$C$58,0)</f>
        <v>3.95457566651511</v>
      </c>
      <c r="GV227" s="286" t="n">
        <f aca="false">GU227*Assumptions!$C$57/1000</f>
        <v>28.6706735822346</v>
      </c>
      <c r="GW227" s="1558" t="n">
        <f aca="false">IF(Assumptions!$C$60="Hourly",MAX(0,GS227*(GT227-GV227)),GS227*(GT227-GV227))</f>
        <v>7482194.0419385</v>
      </c>
      <c r="GX227" s="1566" t="n">
        <f aca="false">IF($A227&gt;=BegDate,Assumptions!$C$56*24*($A228-$A227)*(1-VLOOKUP($B227,MAIN!$AA$7:$AM$28,$C227+1))*(1-VLOOKUP($B227,MAIN!$AA$33:$AM$54,$C227+1)),0)*16/168</f>
        <v>49885.7142857143</v>
      </c>
      <c r="GY227" s="286" t="n">
        <f aca="false">M227</f>
        <v>58.6680151020338</v>
      </c>
      <c r="GZ227" s="286" t="n">
        <f aca="false">IF($A227&gt;=BegDate,VLOOKUP($A227,GasTable,13)+Assumptions!$C$58,0)</f>
        <v>3.95457566651511</v>
      </c>
      <c r="HA227" s="286" t="n">
        <f aca="false">GZ227*Assumptions!$C$57/1000</f>
        <v>28.6706735822346</v>
      </c>
      <c r="HB227" s="1558" t="n">
        <f aca="false">IF(Assumptions!$C$60="Hourly",MAX(0,GX227*(GY227-HA227)),GX227*(GY227-HA227))</f>
        <v>1496438.8083877</v>
      </c>
      <c r="HC227" s="1566" t="n">
        <f aca="false">IF($A227&gt;=BegDate,Assumptions!$C$56*24*($A228-$A227)*(1-VLOOKUP($B227,MAIN!$AA$7:$AM$28,$C227+1))*(1-VLOOKUP($B227,MAIN!$AA$33:$AM$54,$C227+1)),0)*16/168</f>
        <v>49885.7142857143</v>
      </c>
      <c r="HD227" s="286" t="n">
        <f aca="false">P227</f>
        <v>33.4055595376737</v>
      </c>
      <c r="HE227" s="286" t="n">
        <f aca="false">IF($A227&gt;=BegDate,VLOOKUP($A227,GasTable,13)+Assumptions!$C$58,0)</f>
        <v>3.95457566651511</v>
      </c>
      <c r="HF227" s="286" t="n">
        <f aca="false">HE227*Assumptions!$C$57/1000</f>
        <v>28.6706735822346</v>
      </c>
      <c r="HG227" s="1558" t="n">
        <f aca="false">IF(Assumptions!$C$60="Hourly",MAX(0,HC227*(HD227-HF227)),HC227*(HD227-HF227))</f>
        <v>236203.167948478</v>
      </c>
      <c r="HH227" s="1566" t="n">
        <f aca="false">IF($A227&gt;=BegDate,Assumptions!$C$56*24*($A228-$A227)*(1-VLOOKUP($B227,MAIN!$AA$7:$AM$28,$C227+1))*(1-VLOOKUP($B227,MAIN!$AA$33:$AM$54,$C227+1)),0)*56/168</f>
        <v>174600</v>
      </c>
      <c r="HI227" s="286" t="n">
        <f aca="false">S227</f>
        <v>33.4055595376737</v>
      </c>
      <c r="HJ227" s="286" t="n">
        <f aca="false">IF($A227&gt;=BegDate,VLOOKUP($A227,GasTable,13)+Assumptions!$C$58,0)</f>
        <v>3.95457566651511</v>
      </c>
      <c r="HK227" s="286" t="n">
        <f aca="false">HJ227*Assumptions!$C$57/1000</f>
        <v>28.6706735822346</v>
      </c>
      <c r="HL227" s="1558" t="n">
        <f aca="false">IF(Assumptions!$C$60="Hourly",MAX(0,HH227*(HI227-HK227)),HH227*(HI227-HK227))</f>
        <v>826711.087819671</v>
      </c>
      <c r="HM227" s="1566" t="n">
        <f aca="false">IF(AND(Assumptions!$H$71="Yes",A227&gt;=Assumptions!$H$72,A227&lt;=Assumptions!$H$73),Assumptions!$H$74*Assumptions!$C$9*1000,0)</f>
        <v>0</v>
      </c>
      <c r="HN227" s="1551"/>
      <c r="HO227" s="1563"/>
      <c r="HP227" s="1563"/>
      <c r="HQ227" s="1563"/>
      <c r="HR227" s="1563"/>
      <c r="HS227" s="1563"/>
      <c r="HT227" s="1563"/>
      <c r="HU227" s="1563"/>
      <c r="HV227" s="1563"/>
      <c r="HW227" s="1563"/>
      <c r="HX227" s="1563"/>
      <c r="HY227" s="1563"/>
      <c r="HZ227" s="1563"/>
      <c r="IA227" s="1563"/>
      <c r="IB227" s="1563"/>
      <c r="IC227" s="1563"/>
      <c r="ID227" s="1563"/>
      <c r="IE227" s="1563"/>
      <c r="IF227" s="1563"/>
      <c r="IG227" s="1563"/>
      <c r="IH227" s="1563"/>
      <c r="II227" s="1610"/>
      <c r="IJ227" s="1309"/>
      <c r="IK227" s="1309"/>
    </row>
    <row r="228" customFormat="false" ht="12.75" hidden="false" customHeight="false" outlineLevel="0" collapsed="false">
      <c r="A228" s="1571" t="n">
        <f aca="false">EOMONTH(A227,0)+1</f>
        <v>43070</v>
      </c>
      <c r="B228" s="594" t="n">
        <f aca="false">+YEAR(A228)</f>
        <v>2017</v>
      </c>
      <c r="C228" s="238" t="n">
        <f aca="false">MONTH(A228)</f>
        <v>12</v>
      </c>
      <c r="D228" s="1572" t="e">
        <f aca="false">IF(E228="","",Holiday(B228,C228))</f>
        <v>#VALUE!</v>
      </c>
      <c r="E228" s="1573" t="n">
        <f aca="false">IF(OR(BegDate&gt;=A229,EndDate&lt;A228,AND(VolumeMonthlyOverFlag,INDEX(VolumeMonthlyOver,C228)=0),NOT(INDEX(MonthKnockOutTable,C228))),"",MAX(A228,BegDate))</f>
        <v>43070</v>
      </c>
      <c r="F228" s="1574" t="n">
        <f aca="false">IF(E228="","",MIN(A229-1,EndDate))</f>
        <v>43100</v>
      </c>
      <c r="G228" s="1575" t="n">
        <v>0</v>
      </c>
      <c r="H228" s="1576" t="n">
        <f aca="false">(1+G228/2)^(-2*(DATE(B229,C229,20)-DateToday)/365.25)</f>
        <v>1</v>
      </c>
      <c r="I228" s="1568" t="n">
        <f aca="false">IF(Assumptions!$L$25=4,VLOOKUP($A228,'Henwood Reference'!$E$9:$R$320,10),(VLOOKUP($A228,PriceTable,2,0)+IF(BasisNumber&lt;&gt;1,VLOOKUP($A228,BasisTable,2,0),0)+I$1)/(1-I$2))</f>
        <v>57.9424099986083</v>
      </c>
      <c r="J228" s="1568" t="n">
        <f aca="false">IF(Assumptions!$L$25=4,VLOOKUP($A228,'Henwood Reference'!$E$9:$R$320,10),(VLOOKUP($A228,PriceTable,3,0)+IF(BasisNumber&lt;&gt;1,VLOOKUP($A228,BasisTable,2,0),0)+J$1)/(1-J$2))</f>
        <v>57.9424099986083</v>
      </c>
      <c r="K228" s="1568" t="n">
        <f aca="false">IF(Assumptions!$L$25=4,VLOOKUP($A228,'Henwood Reference'!$E$9:$R$320,10),(VLOOKUP($A228,PriceTable,4,0)+IF(BasisNumber&lt;&gt;1,VLOOKUP($A228,BasisTable,2,0),0)+K$1)/(1-K$2))</f>
        <v>57.9424099986083</v>
      </c>
      <c r="L228" s="1523" t="n">
        <f aca="false">IF(Assumptions!$L$25=4,VLOOKUP($A228,'Henwood Reference'!$E$9:$R$320,10),(VLOOKUP($A228,PriceTableWeekend,2,0)+IF(BasisNumber&lt;&gt;1,VLOOKUP($A228,BasisTable,2,0),0)+L$1)/(1-L$2))</f>
        <v>57.9424099986083</v>
      </c>
      <c r="M228" s="1568" t="n">
        <f aca="false">IF(Assumptions!$L$25=4,VLOOKUP($A228,'Henwood Reference'!$E$9:$R$320,10),(VLOOKUP($A228,PriceTableWeekend,3,0)+IF(BasisNumber&lt;&gt;1,VLOOKUP($A228,BasisTable,2,0),0)+M$1)/(1-M$2))</f>
        <v>57.9424099986083</v>
      </c>
      <c r="N228" s="1599" t="n">
        <f aca="false">IF(Assumptions!$L$25=4,VLOOKUP($A228,'Henwood Reference'!$E$9:$R$320,10),(VLOOKUP($A228,PriceTableWeekend,4,0)+IF(BasisNumber&lt;&gt;1,VLOOKUP($A228,BasisTable,2,0),0)+N$1)/(1-N$2))</f>
        <v>57.9424099986083</v>
      </c>
      <c r="O228" s="1568" t="n">
        <f aca="false">IF(Assumptions!$L$25=4,VLOOKUP($A228,'Henwood Reference'!$E$9:$R$320,11),(VLOOKUP($A228,PriceTableWeekend,6,0)+IF(BasisNumber&lt;&gt;1,VLOOKUP($A228,BasisTable,3,0),0)+O$1)/(1-O$2))</f>
        <v>35.4598537237709</v>
      </c>
      <c r="P228" s="1568" t="n">
        <f aca="false">IF(Assumptions!$L$25=4,VLOOKUP($A228,'Henwood Reference'!$E$9:$R$320,11),(VLOOKUP($A228,PriceTableWeekend,7,0)+IF(BasisNumber&lt;&gt;1,VLOOKUP($A228,BasisTable,3,0),0)+P$1)/(1-P$2))</f>
        <v>35.4598537237709</v>
      </c>
      <c r="Q228" s="1599" t="n">
        <f aca="false">IF(Assumptions!$L$25=4,VLOOKUP($A228,'Henwood Reference'!$E$9:$R$320,11),(VLOOKUP($A228,PriceTableWeekend,8,0)+IF(BasisNumber&lt;&gt;1,VLOOKUP($A228,BasisTable,3,0),0)+Q$1)/(1-Q$2))</f>
        <v>35.4598537237709</v>
      </c>
      <c r="R228" s="1568" t="n">
        <f aca="false">IF(Assumptions!$L$25=4,VLOOKUP($A228,'Henwood Reference'!$E$9:$R$320,11),(VLOOKUP($A228,PriceTable,6,0)+IF(BasisNumber&lt;&gt;1,VLOOKUP($A228,BasisTable,3,0),0)+R$1)/(1-R$2))</f>
        <v>35.4598537237709</v>
      </c>
      <c r="S228" s="1568" t="n">
        <f aca="false">IF(Assumptions!$L$25=4,VLOOKUP($A228,'Henwood Reference'!$E$9:$R$320,11),(VLOOKUP($A228,PriceTable,7,0)+IF(BasisNumber&lt;&gt;1,VLOOKUP($A228,BasisTable,3,0),0)+S$1)/(1-S$2))</f>
        <v>35.4598537237709</v>
      </c>
      <c r="T228" s="1600" t="n">
        <f aca="false">IF(Assumptions!$L$25=4,VLOOKUP($A228,'Henwood Reference'!$E$9:$R$320,11),(VLOOKUP($A228,PriceTable,8,0)+IF(BasisNumber&lt;&gt;1,VLOOKUP($A228,BasisTable,3,0),0)+T$1)/(1-T$2))</f>
        <v>35.4598537237709</v>
      </c>
      <c r="U228" s="1513" t="n">
        <f aca="false">VLOOKUP($A228,VolatilityTable,14)</f>
        <v>0.09</v>
      </c>
      <c r="V228" s="1513" t="n">
        <f aca="false">VLOOKUP($A228,VolatilityTable,15)</f>
        <v>0.1</v>
      </c>
      <c r="W228" s="1514" t="n">
        <f aca="false">VLOOKUP($A228,VolatilityTable,16)</f>
        <v>0.11</v>
      </c>
      <c r="X228" s="1513" t="n">
        <f aca="false">VLOOKUP($A228,VolatilityTable,14)</f>
        <v>0.09</v>
      </c>
      <c r="Y228" s="1513" t="n">
        <f aca="false">VLOOKUP($A228,VolatilityTable,15)</f>
        <v>0.1</v>
      </c>
      <c r="Z228" s="1514" t="n">
        <f aca="false">VLOOKUP($A228,VolatilityTable,16)</f>
        <v>0.11</v>
      </c>
      <c r="AA228" s="1513" t="n">
        <f aca="false">VLOOKUP($A228,VolatilityTable,18)</f>
        <v>0.09</v>
      </c>
      <c r="AB228" s="1513" t="n">
        <f aca="false">VLOOKUP($A228,VolatilityTable,19)</f>
        <v>0.11</v>
      </c>
      <c r="AC228" s="1514" t="n">
        <f aca="false">VLOOKUP($A228,VolatilityTable,20)</f>
        <v>0.13</v>
      </c>
      <c r="AD228" s="1513" t="n">
        <f aca="false">VLOOKUP($A228,VolatilityTable,18)</f>
        <v>0.09</v>
      </c>
      <c r="AE228" s="1513" t="n">
        <f aca="false">VLOOKUP($A228,VolatilityTable,19)</f>
        <v>0.11</v>
      </c>
      <c r="AF228" s="1514" t="n">
        <f aca="false">VLOOKUP($A228,VolatilityTable,20)</f>
        <v>0.13</v>
      </c>
      <c r="AG228" s="1513" t="n">
        <f aca="false">VLOOKUP($A228,VolatilityTable,22)</f>
        <v>-0.25</v>
      </c>
      <c r="AH228" s="1513" t="n">
        <f aca="false">VLOOKUP($A228,VolatilityTable,23)</f>
        <v>0.6</v>
      </c>
      <c r="AI228" s="1514" t="n">
        <f aca="false">VLOOKUP($A228,VolatilityTable,24)</f>
        <v>0.25</v>
      </c>
      <c r="AJ228" s="1513" t="n">
        <f aca="false">VLOOKUP($A228,VolatilityTable,22)</f>
        <v>-0.25</v>
      </c>
      <c r="AK228" s="1513" t="n">
        <f aca="false">VLOOKUP($A228,VolatilityTable,23)</f>
        <v>0.6</v>
      </c>
      <c r="AL228" s="1514" t="n">
        <f aca="false">VLOOKUP($A228,VolatilityTable,24)</f>
        <v>0.25</v>
      </c>
      <c r="AM228" s="1513" t="n">
        <f aca="false">VLOOKUP($A228,VolatilityTable,26)</f>
        <v>-0.01</v>
      </c>
      <c r="AN228" s="1513" t="n">
        <f aca="false">VLOOKUP($A228,VolatilityTable,27)</f>
        <v>0.16</v>
      </c>
      <c r="AO228" s="1514" t="n">
        <f aca="false">VLOOKUP($A228,VolatilityTable,28)</f>
        <v>0.01</v>
      </c>
      <c r="AP228" s="1513" t="n">
        <f aca="false">VLOOKUP($A228,VolatilityTable,26)</f>
        <v>-0.01</v>
      </c>
      <c r="AQ228" s="1513" t="n">
        <f aca="false">VLOOKUP($A228,VolatilityTable,27)</f>
        <v>0.16</v>
      </c>
      <c r="AR228" s="1515" t="n">
        <f aca="false">VLOOKUP($A228,VolatilityTable,28)</f>
        <v>0.01</v>
      </c>
      <c r="AS228" s="1581" t="n">
        <f aca="false">IF(CorrPeakOffPeakOverFlag,INDEX(CorrPeakOffPeakOver,C228),CorrPeakOffPeak)</f>
        <v>0.5</v>
      </c>
      <c r="AT228" s="594" t="e">
        <f aca="false">AX228-SUM(AU228:AW228)</f>
        <v>#VALUE!</v>
      </c>
      <c r="AU228" s="238" t="e">
        <f aca="false">IF(E228="",0,INT((F228-MOD(F228,7)-E228)/7)+1-IF(AW228,IF(WEEKDAY(D228)=7,1,0),0))</f>
        <v>#VALUE!</v>
      </c>
      <c r="AV228" s="238" t="e">
        <f aca="false">IF(E228="",0,INT((F228-MOD(F228-1,7)-E228)/7)+1-IF(AW228,IF(WEEKDAY(D228)=1,1,0),0))</f>
        <v>#VALUE!</v>
      </c>
      <c r="AW228" s="238" t="e">
        <f aca="false">IF(OR(E228="",D228="",D228&lt;BegDate,D228&gt;EndDate),0,1)</f>
        <v>#VALUE!</v>
      </c>
      <c r="AX228" s="238" t="n">
        <f aca="false">IF(E228="",0,F228-E228+1)</f>
        <v>31</v>
      </c>
      <c r="AY228" s="1582" t="n">
        <f aca="false">IF(E228="",0,MIN((1-(1-VLOOKUP(B228,MAIN!$AA$7:$AM$28,C228+1))*(1-VLOOKUP(B228,MAIN!$AA$33:$AM$54,C228+1))),1))</f>
        <v>0.03</v>
      </c>
      <c r="AZ228" s="1519" t="e">
        <v>#VALUE!</v>
      </c>
      <c r="BA228" s="1520" t="e">
        <v>#VALUE!</v>
      </c>
      <c r="BB228" s="1520" t="e">
        <v>#VALUE!</v>
      </c>
      <c r="BC228" s="1583" t="e">
        <v>#VALUE!</v>
      </c>
      <c r="BD228" s="1522" t="e">
        <v>#VALUE!</v>
      </c>
      <c r="BE228" s="1523" t="e">
        <v>#VALUE!</v>
      </c>
      <c r="BF228" s="1523" t="e">
        <v>#VALUE!</v>
      </c>
      <c r="BG228" s="1584" t="e">
        <v>#VALUE!</v>
      </c>
      <c r="BH228" s="1525" t="e">
        <v>#VALUE!</v>
      </c>
      <c r="BI228" s="1520" t="e">
        <v>#VALUE!</v>
      </c>
      <c r="BJ228" s="1520" t="e">
        <v>#VALUE!</v>
      </c>
      <c r="BK228" s="1583" t="e">
        <v>#VALUE!</v>
      </c>
      <c r="BL228" s="1522" t="e">
        <v>#VALUE!</v>
      </c>
      <c r="BM228" s="1523" t="e">
        <v>#VALUE!</v>
      </c>
      <c r="BN228" s="1523" t="e">
        <v>#VALUE!</v>
      </c>
      <c r="BO228" s="1523" t="e">
        <v>#VALUE!</v>
      </c>
      <c r="BP228" s="1525" t="e">
        <f aca="false">SUM(AZ228:BB228)</f>
        <v>#VALUE!</v>
      </c>
      <c r="BQ228" s="1529" t="e">
        <f aca="false">SUM(AZ228:BC228)</f>
        <v>#VALUE!</v>
      </c>
      <c r="BR228" s="1519" t="e">
        <f aca="false">SUM(BH228:BJ228)</f>
        <v>#VALUE!</v>
      </c>
      <c r="BS228" s="1529" t="e">
        <f aca="false">SUM(BH228:BK228)</f>
        <v>#VALUE!</v>
      </c>
      <c r="BT228" s="1316" t="n">
        <f aca="false">(IF(OVolType&lt;&gt;2,A228+14,IF(OptExpDateShift,ShiftBack(A228,OptExpDateShift,D227),A228))-DateToday)/365.25</f>
        <v>17.6317590691307</v>
      </c>
      <c r="BU228" s="1585" t="e">
        <f aca="false">IF(BQ228,IF(OPriceCurve,IF(OBuySell=OCallPut,I228/(1-AY228),K228/(1-AY228)),J228/(1-AY228))*BD228,0)</f>
        <v>#VALUE!</v>
      </c>
      <c r="BV228" s="1316" t="e">
        <f aca="false">IF(BQ228,IF(OPriceCurve,IF(OBuySell=OCallPut,L228/(1-AY228),N228/(1-AY228)),M228/(1-AY228))*BE228,0)</f>
        <v>#VALUE!</v>
      </c>
      <c r="BW228" s="1316" t="e">
        <f aca="false">IF(BQ228,IF(OPriceCurve,IF(OBuySell=OCallPut,O228/(1-AY228),Q228/(1-AY228)),P228/(1-AY228))*BF228,0)</f>
        <v>#VALUE!</v>
      </c>
      <c r="BX228" s="1316" t="e">
        <f aca="false">IF(BQ228,IF(OPriceCurve,IF(OBuySell=OCallPut,R228/(1-AY228),T228/(1-AY228)),S228/(1-AY228))*BG228,0)</f>
        <v>#VALUE!</v>
      </c>
      <c r="BY228" s="1316" t="e">
        <f aca="false">IF(BP228,(BU228*AZ228+BV228*BA228+BW228*BB228)/BP228,0)</f>
        <v>#VALUE!</v>
      </c>
      <c r="BZ228" s="1316" t="e">
        <f aca="false">IF(BQ228,(BY228*BP228+BX228*BC228)/BQ228,0)</f>
        <v>#VALUE!</v>
      </c>
      <c r="CA228" s="1531" t="e">
        <f aca="false">IF(BS228,IF(OPriceCurve,IF(OBuySell=OCallPut,I228/(1-AY228),K228/(1-AY228)),J228/(1-AY228))*BL228,0)</f>
        <v>#VALUE!</v>
      </c>
      <c r="CB228" s="1316" t="e">
        <f aca="false">IF(BS228,IF(OPriceCurve,IF(OBuySell=OCallPut,L228/(1-AY228),N228/(1-AY228)),M228/(1-AY228))*BM228,0)</f>
        <v>#VALUE!</v>
      </c>
      <c r="CC228" s="1316" t="e">
        <f aca="false">IF(BS228,IF(OPriceCurve,IF(OBuySell=OCallPut,O228/(1-AY228),Q228/(1-AY228)),P228/(1-AY228))*BN228,0)</f>
        <v>#VALUE!</v>
      </c>
      <c r="CD228" s="1316" t="e">
        <f aca="false">IF(BS228,IF(OPriceCurve,IF(OBuySell=OCallPut,R228/(1-AY228),T228/(1-AY228)),S228/(1-AY228))*BO228,0)</f>
        <v>#VALUE!</v>
      </c>
      <c r="CE228" s="1316" t="e">
        <f aca="false">IF(BR228,(BU228*BH228+BV228*BI228+BW228*BJ228)/BR228,0)</f>
        <v>#VALUE!</v>
      </c>
      <c r="CF228" s="1532" t="e">
        <f aca="false">IF(BS228,(CE228*BR228+CD228*BK228)/BS228,0)</f>
        <v>#VALUE!</v>
      </c>
      <c r="CG228" s="1586" t="e">
        <f aca="false">IF(OR(BQ228,BS228),IF(OVolType&lt;&gt;2,SQRT(IF(OVolOverMonthlyPeak,OVolOverMonthlyPeak,IF(OVolCurve,IF(OBuySell,U228,W228),V228))^2*(1-15/365.25/BT228)+IF(OVolOverDailyPeak,OVolOverDailyPeak,IF(OVolCurve,IF(OBuySell,AG228,AI228),AH228))^2*15/365.25/BT228),IF(OVolOverMonthlyPeak,OVolOverMonthlyPeak,IF(OVolCurve,IF(OBuySell,U228,W228),V228))),"")</f>
        <v>#VALUE!</v>
      </c>
      <c r="CH228" s="1587" t="e">
        <f aca="false">IF(OR(BQ228,BS228),IF(OVolType&lt;&gt;2,SQRT(IF(OVolOverMonthlyPeak,OVolOverMonthlyPeak,IF(OVolCurve,IF(OBuySell,X228,Z228),Y228))^2*(1-15/365.25/BT228)+IF(OVolOverDailyPeak,OVolOverDailyPeak,IF(OVolCurve,IF(OBuySell,AJ228,AL228),AK228))^2*15/365.25/BT228),IF(OVolOverMonthlyPeak,OVolOverMonthlyPeak,IF(OVolCurve,IF(OBuySell,X228,Z228),Y228))),"")</f>
        <v>#VALUE!</v>
      </c>
      <c r="CI228" s="1587" t="e">
        <f aca="false">IF(OR(BQ228,BS228),IF(OVolType&lt;&gt;2,SQRT(IF(OVolOverMonthlyPeak,OVolOverMonthlyPeak,IF(OVolCurve,IF(OBuySell,AA228,AC228),AB228))^2*(1-15/365.25/BT228)+IF(OVolOverDailyPeak,OVolOverDailyPeak,IF(OVolCurve,IF(OBuySell,AM228,AO228),AN228))^2*15/365.25/BT228),IF(OVolOverMonthlyPeak,OVolOverMonthlyPeak,IF(OVolCurve,IF(OBuySell,AA228,AC228),AB228))),"")</f>
        <v>#VALUE!</v>
      </c>
      <c r="CJ228" s="1587" t="e">
        <f aca="false">IF(BQ228,IF(BP228,SQRT(LN(1+((BU228*AZ228)^2*(EXP(CG228^2*BT228)-1)+(BV228*BA228)^2*(EXP(CH228^2*BT228)-1)+(BW228*BB228)^2*(EXP(CI228^2*BT228)-1)+2*BU228*AZ228*BV228*BA228*(EXP(CG228*CH228*BT228)-1)+2*BV228*BA228*BW228*BB228*(EXP(CH228*CI228*BT228)-1)+2*BW228*BB228*BU228*AZ228*(EXP(CI228*CG228*BT228)-1))/(BY228*BP228)^2)/BT228),0),"")</f>
        <v>#VALUE!</v>
      </c>
      <c r="CK228" s="1587" t="e">
        <f aca="false">IF(BS228,IF(BR228,SQRT(LN(1+((CA228*BH228)^2*(EXP(CG228^2*BT228)-1)+(CB228*BI228)^2*(EXP(CH228^2*BT228)-1)+(CC228*BJ228)^2*(EXP(CI228^2*BT228)-1)+2*CA228*BH228*CB228*BI228*(EXP(CG228*CH228*BT228)-1)+2*CB228*BI228*CC228*BJ228*(EXP(CH228*CI228*BT228)-1)+2*CC228*BJ228*CA228*BH228*(EXP(CI228*CG228*BT228)-1))/(CE228*BR228)^2)/BT228),0),"")</f>
        <v>#VALUE!</v>
      </c>
      <c r="CL228" s="1587" t="e">
        <f aca="false">IF(OR(BQ228,BS228),IF(OVolType&lt;&gt;2,SQRT(IF(OVolOverMonthlyOffPeak,OVolOverMonthlyOffPeak,IF(OVolCurve,IF(OBuySell,AD228,AF228),AE228))^2*(1-15/365.25/BT228)+IF(OVolOverDailyOffPeak,OVolOverDailyOffPeak,IF(OVolCurve,IF(OBuySell,AP228,AR228),AQ228))^2*15/365.25/BT228),IF(OVolOverMonthlyOffPeak,OVolOverMonthlyOffPeak,IF(OVolCurve,IF(OBuySell,AD228,AF228),AE228))),"")</f>
        <v>#VALUE!</v>
      </c>
      <c r="CM228" s="1587" t="e">
        <f aca="false">IF(BQ228,SQRT(LN(1+((BY228*BP228)^2*(EXP(CJ228^2*BT228)-1)+(BX228*BC228)^2*(EXP(CL228^2*BT228)-1)+2*BY228*BP228*BX228*BC228*(EXP(AS228*CJ228*CL228*BT228)-1))/(BY228*BP228+BX228*BC228)^2)/BT228),"")</f>
        <v>#VALUE!</v>
      </c>
      <c r="CN228" s="1588" t="e">
        <f aca="false">IF(BS228,SQRT(LN(1+((CE228*BR228)^2*(EXP(CK228^2*BT228)-1)+(CD228*BK228)^2*(EXP(CL228^2*BT228)-1)+2*CE228*BR228*CD228*BK228*(EXP(AS228*CK228*CL228*BT228)-1))/(CE228*BR228+CD228*BK228)^2)/BT228),"")</f>
        <v>#VALUE!</v>
      </c>
      <c r="CO228" s="1531" t="e">
        <f aca="false">IF(OR(BQ228,BS228),VLOOKUP(A228,GasTable,13)*HeatRatePeak*(1+VLOOKUP($B228,HeatRateDegradation,$C228+1))/1000,0)</f>
        <v>#VALUE!</v>
      </c>
      <c r="CP228" s="1316" t="e">
        <f aca="false">IF(OR(BQ228,BS228),VLOOKUP(A228,GasTable,13)*HeatRatePeak*(1+VLOOKUP($B228,HeatRateDegradation,$C228+1))/1000,0)</f>
        <v>#VALUE!</v>
      </c>
      <c r="CQ228" s="1316" t="e">
        <f aca="false">IF(OR(BQ228,BS228),VLOOKUP(A228,GasTable,13)*IF(EV228,HeatRatePeak,HeatRateOffPeak)*(1+VLOOKUP($B228,HeatRateDegradation,$C228+1))/1000,0)</f>
        <v>#VALUE!</v>
      </c>
      <c r="CR228" s="1316" t="e">
        <f aca="false">IF(OR(BQ228,BS228),VLOOKUP(A228,GasTable,13)*IF(EW228,HeatRatePeak,HeatRateOffPeak)*(1+VLOOKUP($B228,HeatRateDegradation,$C228+1))/1000,0)</f>
        <v>#VALUE!</v>
      </c>
      <c r="CS228" s="1589" t="e">
        <f aca="false">IF(BQ228,(CO228*AZ228+CP228*BA228+CQ228*BB228+CR228*BC228)/BQ228,0)</f>
        <v>#VALUE!</v>
      </c>
      <c r="CT228" s="1316" t="e">
        <f aca="false">IF(BS228,CO228,0)</f>
        <v>#VALUE!</v>
      </c>
      <c r="CU228" s="1590" t="e">
        <f aca="false">IF(OR(BQ228,BS228),VLOOKUP(A228,GasTable,14),"")</f>
        <v>#VALUE!</v>
      </c>
      <c r="CV228" s="1568" t="e">
        <f aca="false">IF(OR(BQ228,BS228),IF(CorrPowerGasOverFlag,INDEX(CorrPowerGasOver,C228),CorrPowerGas),"")</f>
        <v>#VALUE!</v>
      </c>
      <c r="CW228" s="1316" t="e">
        <f aca="false">IF(OR($BQ228,$BS228),SpreadOptPowerMargin,0)*((1+Assumptions!$C$26)^($B228-YEAR(Assumptions!$C$17)))</f>
        <v>#VALUE!</v>
      </c>
      <c r="CX228" s="1316" t="e">
        <f aca="false">IF(OR($BQ228,$BS228),SpreadOptPowerMargin,0)*((1+Assumptions!$C$26)^($B228-YEAR(Assumptions!$C$17)))</f>
        <v>#VALUE!</v>
      </c>
      <c r="CY228" s="1316" t="e">
        <f aca="false">IF(OR($BQ228,$BS228),SpreadOptPowerMargin,0)*((1+Assumptions!$C$26)^($B228-YEAR(Assumptions!$C$17)))</f>
        <v>#VALUE!</v>
      </c>
      <c r="CZ228" s="1316" t="e">
        <f aca="false">IF(OR($BQ228,$BS228),SpreadOptPowerMargin,0)*((1+Assumptions!$C$26)^($B228-YEAR(Assumptions!$C$17)))</f>
        <v>#VALUE!</v>
      </c>
      <c r="DA228" s="1591" t="e">
        <f aca="false">IF(OR(BQ228,BS228),(CW228*(AZ228+BH228)+CX228*(BA228+BI228)+CY228*(BB228+BJ228)+CZ228*(BC228+BK228))/(BQ228+BS228),0)</f>
        <v>#VALUE!</v>
      </c>
      <c r="DB228" s="1592" t="e">
        <f aca="false">IF(OR(BQ228,BS228),CG228+IF(OVolSmile,VLOOKUP(MAX(-5,CO228+CW228-BU228),IF(OVolSmile=1,VolSmileBook,VolSmileModel),2),0),"")</f>
        <v>#VALUE!</v>
      </c>
      <c r="DC228" s="1592" t="e">
        <f aca="false">IF(OR(BQ228,BS228),CH228+IF(OVolSmile,VLOOKUP(MAX(-5,CP228+CW228-BV228),IF(OVolSmile=1,VolSmileBook,VolSmileModel),2),0),"")</f>
        <v>#VALUE!</v>
      </c>
      <c r="DD228" s="1592" t="e">
        <f aca="false">IF(OR(BQ228,BS228),CI228+IF(OVolSmile,VLOOKUP(MAX(-5,CQ228+CW228-BW228),IF(OVolSmile=1,VolSmileBook,VolSmileModel),2),0),"")</f>
        <v>#VALUE!</v>
      </c>
      <c r="DE228" s="1592" t="e">
        <f aca="false">IF(OR(BQ228,BS228),CL228+IF(OVolSmile,VLOOKUP(MAX(-5,CR228+CZ228-BX228),IF(OVolSmile=1,VolSmileBook,VolSmileModel),2),0),"")</f>
        <v>#VALUE!</v>
      </c>
      <c r="DF228" s="1592" t="e">
        <f aca="false">IF(BQ228,CM228+IF(OVolSmile,VLOOKUP(MAX(-5,CS228+DA228-BZ228),IF(OVolSmile=1,VolSmileBook,VolSmileModel),2),0),"")</f>
        <v>#VALUE!</v>
      </c>
      <c r="DG228" s="1593" t="e">
        <f aca="false">IF(BS228,CN228+IF(OVolSmile,VLOOKUP(MAX(-5,CT228+DA228-CF228),IF(OVolSmile=1,VolSmileBook,VolSmileModel),2),0),"")</f>
        <v>#VALUE!</v>
      </c>
      <c r="DH228" s="1316" t="e">
        <f aca="false">IF(AND(BU228&gt;0,CO228&gt;0,DB228&gt;0,CU228&gt;0),newSPRDOPT(BU228,CO228,CW228,0,DB228,CU228,CV228,BT228*365.25,OCallPut,0),0)</f>
        <v>#VALUE!</v>
      </c>
      <c r="DI228" s="1316" t="e">
        <f aca="false">IF(AND(BV228&gt;0,CP228&gt;0,DC228&gt;0,CU228&gt;0),newSPRDOPT(BV228,CP228,CX228,0,DC228,CU228,CV228,BT228*365.25,OCallPut,0),0)</f>
        <v>#VALUE!</v>
      </c>
      <c r="DJ228" s="1316" t="e">
        <f aca="false">IF(AND(BW228&gt;0,CQ228&gt;0,DD228&gt;0,CU228&gt;0),newSPRDOPT(BW228,CQ228,CY228,0,DD228,CU228,CV228,BT228*365.25,OCallPut,0),0)</f>
        <v>#VALUE!</v>
      </c>
      <c r="DK228" s="1316" t="e">
        <f aca="false">IF(AND(BX228&gt;0,CR228&gt;0,DE228&gt;0,CU228&gt;0),newSPRDOPT(BX228,CR228,CZ228,0,DE228,CU228,CV228,BT228*365.25,OCallPut,0),0)</f>
        <v>#VALUE!</v>
      </c>
      <c r="DL228" s="1316" t="e">
        <f aca="false">IF(OVolType,IF(AND(BZ228&gt;0,CS228&gt;0,DF228&gt;0,CU228&gt;0),newSPRDOPT(BZ228,CS228,DA228,0,DF228,CU228,CV228,BT228*365.25,OCallPut,0),0),IF(BQ228,(DH228*AZ228+DI228*BA228+DJ228*BB228+DK228*BC228)/BQ228,0))</f>
        <v>#VALUE!</v>
      </c>
      <c r="DM228" s="1316"/>
      <c r="DN228" s="1316"/>
      <c r="DO228" s="1316"/>
      <c r="DP228" s="1316"/>
      <c r="DQ228" s="1316"/>
      <c r="DR228" s="1316"/>
      <c r="DS228" s="1316"/>
      <c r="DT228" s="1316"/>
      <c r="DU228" s="1316"/>
      <c r="DV228" s="1316"/>
      <c r="DW228" s="1594" t="e">
        <f aca="false">IF(AND(BW228&gt;0,CT228&gt;0,DD228&gt;0,CU228&gt;0),newSPRDOPT(BW228,CT228,CY228,0,DD228,CU228,CV228,BT228*365.25,OCallPut,0),0)</f>
        <v>#VALUE!</v>
      </c>
      <c r="DX228" s="1316" t="e">
        <f aca="false">IF(AND(BX228&gt;0,CT228&gt;0,DE228&gt;0,CU228&gt;0),newSPRDOPT(BX228,CT228,CZ228,0,DE228,CU228,CV228,BT228*365.25,OCallPut,0),0)</f>
        <v>#VALUE!</v>
      </c>
      <c r="DY228" s="1591" t="e">
        <f aca="false">IF(BS228,(DH228*BH228+DI228*BI228+DW228*BJ228+DX228*BK228)/BS228,0)</f>
        <v>#VALUE!</v>
      </c>
      <c r="DZ228" s="1551" t="e">
        <f aca="false">DH228*AZ228</f>
        <v>#VALUE!</v>
      </c>
      <c r="EA228" s="1551" t="e">
        <f aca="false">DI228*BA228</f>
        <v>#VALUE!</v>
      </c>
      <c r="EB228" s="1551" t="e">
        <f aca="false">DJ228*BB228</f>
        <v>#VALUE!</v>
      </c>
      <c r="EC228" s="1551" t="e">
        <f aca="false">DK228*BC228</f>
        <v>#VALUE!</v>
      </c>
      <c r="ED228" s="1551" t="e">
        <f aca="false">DL228*BQ228</f>
        <v>#VALUE!</v>
      </c>
      <c r="EE228" s="1595" t="e">
        <f aca="false">IF(BQ228,IF(OCallPut,IF(BU228&gt;(CO228+CW228),BU228-(CO228+CW228),0),IF((CO228+CW228)&gt;BU228,(CO228+CW228)-BU228,0))*AZ228,0)</f>
        <v>#VALUE!</v>
      </c>
      <c r="EF228" s="1596" t="e">
        <f aca="false">IF(BQ228,IF(OCallPut,IF(BV228&gt;(CP228+CX228),BV228-(CP228+CX228),0),IF((CP228+CX228)&gt;BV228,(CP228+CX228)-BV228,0))*BA228,0)</f>
        <v>#VALUE!</v>
      </c>
      <c r="EG228" s="1596" t="e">
        <f aca="false">IF(BQ228,IF(OCallPut,IF(BW228&gt;(CQ228+CY228),BW228-(CQ228+CY228),0),IF((CQ228+CY228)&gt;BW228,(CQ228+CY228)-BW228,0))*BB228,0)</f>
        <v>#VALUE!</v>
      </c>
      <c r="EH228" s="1596" t="e">
        <f aca="false">IF(BQ228,IF(OCallPut,IF(BX228&gt;(CR228+CZ228),BX228-(CR228+CZ228),0),IF((CR228+CZ228)&gt;BX228,(CR228+CZ228)-BX228,0))*BC228,0)</f>
        <v>#VALUE!</v>
      </c>
      <c r="EI228" s="1597" t="e">
        <f aca="false">IF(BQ228,IF(OVolType,IF(OCallPut,IF(BZ228&gt;(CS228+DA228),BZ228-(CS228+DA228),0),IF((CS228+DA228)&gt;BZ228,(CS228+DA228)-BZ228,0))*BQ228,SUM(EE228:EH228)),0)</f>
        <v>#VALUE!</v>
      </c>
      <c r="EJ228" s="1595" t="e">
        <f aca="false">DZ228-EE228</f>
        <v>#VALUE!</v>
      </c>
      <c r="EK228" s="1596" t="e">
        <f aca="false">EA228-EF228</f>
        <v>#VALUE!</v>
      </c>
      <c r="EL228" s="1596" t="e">
        <f aca="false">EB228-EG228</f>
        <v>#VALUE!</v>
      </c>
      <c r="EM228" s="1596" t="e">
        <f aca="false">EC228-EH228</f>
        <v>#VALUE!</v>
      </c>
      <c r="EN228" s="1597" t="e">
        <f aca="false">ED228-EI228</f>
        <v>#VALUE!</v>
      </c>
      <c r="EO228" s="1551" t="e">
        <f aca="false">DH228*BH228</f>
        <v>#VALUE!</v>
      </c>
      <c r="EP228" s="1551" t="e">
        <f aca="false">DI228*BI228</f>
        <v>#VALUE!</v>
      </c>
      <c r="EQ228" s="1551" t="e">
        <f aca="false">DW228*BJ228</f>
        <v>#VALUE!</v>
      </c>
      <c r="ER228" s="1551" t="e">
        <f aca="false">DX228*BK228</f>
        <v>#VALUE!</v>
      </c>
      <c r="ES228" s="1551" t="e">
        <f aca="false">DY228*BS228</f>
        <v>#VALUE!</v>
      </c>
      <c r="ET228" s="1566" t="e">
        <f aca="false">IF(EI228,IF(OCallPut,IF(CA228&gt;(CT228+CW228),CA228-(CT228+CW228),0),IF((CT228+CW228)&gt;CA228,(CT228+CW228)-CA228,0))*BH228,0)</f>
        <v>#VALUE!</v>
      </c>
      <c r="EU228" s="1551" t="e">
        <f aca="false">IF(EI228,IF(OCallPut,IF(CB228&gt;(CT228+CX228),CB228-(CT228+CX228),0),IF((CT228+CX228)&gt;CB228,(CT228+CX228)-CB228,0))*BI228,0)</f>
        <v>#VALUE!</v>
      </c>
      <c r="EV228" s="1551" t="e">
        <f aca="false">IF(EI228,IF(OCallPut,IF(CC228&gt;(CT228+CY228),CC228-(CT228+CY228),0),IF((CT228+CY228)&gt;CC228,(CT228+CY228)-CC228,0))*BJ228,0)</f>
        <v>#VALUE!</v>
      </c>
      <c r="EW228" s="1551" t="e">
        <f aca="false">IF(EI228,IF(OCallPut,IF(CD228&gt;(CT228+CZ228),CD228-(CT228+CZ228),0),IF((CT228+CZ228)&gt;CD228,(CT228+CZ228)-CD228,0))*BK228,0)</f>
        <v>#VALUE!</v>
      </c>
      <c r="EX228" s="1558" t="e">
        <f aca="false">IF(EI228,SUM(ET228:EW228),0)</f>
        <v>#VALUE!</v>
      </c>
      <c r="EY228" s="1551" t="e">
        <f aca="false">EO228-ET228</f>
        <v>#VALUE!</v>
      </c>
      <c r="EZ228" s="1551" t="e">
        <f aca="false">EP228-EU228</f>
        <v>#VALUE!</v>
      </c>
      <c r="FA228" s="1551" t="e">
        <f aca="false">EQ228-EV228</f>
        <v>#VALUE!</v>
      </c>
      <c r="FB228" s="1551" t="e">
        <f aca="false">ER228-EW228</f>
        <v>#VALUE!</v>
      </c>
      <c r="FC228" s="1551" t="e">
        <f aca="false">ES228-EX228</f>
        <v>#VALUE!</v>
      </c>
      <c r="FD228" s="1525" t="n">
        <f aca="false">IF(AX228,IF(VLOOKUP(C228,MAIN!$L$17:$M$28,2)="Yes",VLOOKUP(CALC!B228,MAIN!$H$17:$I$20,2),0),0)</f>
        <v>0</v>
      </c>
      <c r="FE228" s="1552" t="e">
        <f aca="false">$FD228*16*AT228*(1-$AY228)</f>
        <v>#VALUE!</v>
      </c>
      <c r="FF228" s="1553" t="e">
        <f aca="false">$FD228*16*AU228*(1-$AY228)</f>
        <v>#VALUE!</v>
      </c>
      <c r="FG228" s="1553" t="e">
        <f aca="false">$FD228*16*(AV228+AW228)*(1-$AY228)</f>
        <v>#VALUE!</v>
      </c>
      <c r="FH228" s="1554" t="n">
        <f aca="false">$FD228*8*AX228*(1-$AY228)</f>
        <v>0</v>
      </c>
      <c r="FI228" s="1555" t="n">
        <f aca="false">IF(AX228,VLOOKUP(CALC!B228,MAIN!$H$17:$K$20,4),0)</f>
        <v>0</v>
      </c>
      <c r="FJ228" s="1553" t="e">
        <f aca="false">SUM(FE228:FH228)</f>
        <v>#VALUE!</v>
      </c>
      <c r="FK228" s="1556" t="e">
        <f aca="false">FI228*FJ228</f>
        <v>#VALUE!</v>
      </c>
      <c r="FL228" s="1551" t="e">
        <f aca="false">IF($EI228&gt;0,MIN(FE228,AZ228*(1+VLOOKUP($C228,WeatherCapacityAdjustment,2))),0)</f>
        <v>#VALUE!</v>
      </c>
      <c r="FM228" s="1551" t="e">
        <f aca="false">IF($EI228&gt;0,MIN(FF228,BA228*(1+VLOOKUP($C228,WeatherCapacityAdjustment,2))),0)</f>
        <v>#VALUE!</v>
      </c>
      <c r="FN228" s="1551" t="e">
        <f aca="false">IF($EI228&gt;0,MIN(FG228,BB228*(1+VLOOKUP($C228,WeatherCapacityAdjustment,2))),0)</f>
        <v>#VALUE!</v>
      </c>
      <c r="FO228" s="1564" t="e">
        <f aca="false">IF($EI228&gt;0,MIN(FH228,BC228*(1+VLOOKUP($C228,WeatherCapacityAdjustment,3))),0)</f>
        <v>#VALUE!</v>
      </c>
      <c r="FP228" s="1551" t="e">
        <f aca="false">IF(ET228&gt;0,MIN(FE228-FL228,BH228*(1+VLOOKUP($C228,WeatherCapacityAdjustment,2))),0)</f>
        <v>#VALUE!</v>
      </c>
      <c r="FQ228" s="1551" t="e">
        <f aca="false">IF(EU228&gt;0,MIN(FF228-FM228,BI228*(1+VLOOKUP($C228,WeatherCapacityAdjustment,2))),0)</f>
        <v>#VALUE!</v>
      </c>
      <c r="FR228" s="1551" t="e">
        <f aca="false">IF(EV228&gt;0,MIN(FG228-FN228,BJ228*(1+VLOOKUP($C228,WeatherCapacityAdjustment,2))),0)</f>
        <v>#VALUE!</v>
      </c>
      <c r="FS228" s="1558" t="e">
        <f aca="false">IF(EW228&gt;0,MIN(FH228-FO228,BK228*(1+VLOOKUP($C228,WeatherCapacityAdjustment,3))),0)</f>
        <v>#VALUE!</v>
      </c>
      <c r="FT228" s="1566" t="e">
        <f aca="false">IF(AND(Assumptions!$H$71="Yes",A228&gt;=Assumptions!$H$72,A228&lt;=Assumptions!$H$73),0,IF(AND($A228&gt;=Assumptions!$C$17,$A228&lt;=Assumptions!$C$18),MAX(AZ228*(1+VLOOKUP($C228,WeatherCapacityAdjustment,2))-FL228,0),0))</f>
        <v>#VALUE!</v>
      </c>
      <c r="FU228" s="1551" t="e">
        <f aca="false">IF(AND(Assumptions!$H$71="Yes",A228&gt;=Assumptions!$H$72,A228&lt;=Assumptions!$H$73),0,IF(AND($A228&gt;=Assumptions!$C$17,$A228&lt;=Assumptions!$C$18),MAX(BA228*(1+VLOOKUP($C228,WeatherCapacityAdjustment,2))-FM228,0),0))</f>
        <v>#VALUE!</v>
      </c>
      <c r="FV228" s="1551" t="e">
        <f aca="false">IF(AND(Assumptions!$H$71="Yes",A228&gt;=Assumptions!$H$72,A228&lt;=Assumptions!$H$73),0,IF(AND($A228&gt;=Assumptions!$C$17,$A228&lt;=Assumptions!$C$18),MAX(BB228*(1+VLOOKUP($C228,WeatherCapacityAdjustment,2))-FN228,0),0))</f>
        <v>#VALUE!</v>
      </c>
      <c r="FW228" s="1564" t="e">
        <f aca="false">IF(AND(Assumptions!$H$71="Yes",A228&gt;=Assumptions!$H$72,A228&lt;=Assumptions!$H$73),0,IF(AND($A228&gt;=Assumptions!$C$17,$A228&lt;=Assumptions!$C$18),MAX(BC228*(1+VLOOKUP($C228,WeatherCapacityAdjustment,3))-FO228,0),0))</f>
        <v>#VALUE!</v>
      </c>
      <c r="FX228" s="1569" t="e">
        <f aca="false">IF(AND(Assumptions!$H$71="Yes",A228&gt;=Assumptions!$H$72,A228&lt;=Assumptions!$H$73),0,IF(ET228&gt;0,MAX(BH228*(1+VLOOKUP($C228,WeatherCapacityAdjustment,2))-FP228,0),0))</f>
        <v>#VALUE!</v>
      </c>
      <c r="FY228" s="1551" t="e">
        <f aca="false">IF(AND(Assumptions!$H$71="Yes",A228&gt;=Assumptions!$H$72,A228&lt;=Assumptions!$H$73),0,IF(EU228&gt;0,MAX(BI228*(1+VLOOKUP($C228,WeatherCapacityAdjustment,3))-FQ228,0),0))</f>
        <v>#VALUE!</v>
      </c>
      <c r="FZ228" s="1551" t="e">
        <f aca="false">IF(AND(Assumptions!$H$71="Yes",A228&gt;=Assumptions!$H$72,A228&lt;=Assumptions!$H$73),0,IF(EV228&gt;0,MAX(BJ228*(1+VLOOKUP($C228,WeatherCapacityAdjustment,2))-FR228,0),0))</f>
        <v>#VALUE!</v>
      </c>
      <c r="GA228" s="1564" t="e">
        <f aca="false">IF(AND(Assumptions!$H$71="Yes",A228&gt;=Assumptions!$H$72,A228&lt;=Assumptions!$H$73),0,IF(EW228&gt;0,MAX(BK228*(1+VLOOKUP($C228,WeatherCapacityAdjustment,2))-FS228,0),0))</f>
        <v>#VALUE!</v>
      </c>
      <c r="GB228" s="1551" t="e">
        <f aca="false">SUM(FT228:GA228)</f>
        <v>#VALUE!</v>
      </c>
      <c r="GC228" s="1563" t="e">
        <f aca="false">+IF(SUM(FT228:GA228)=0,0,(SUMPRODUCT(BU228:BX228,FT228:FW228)+SUMPRODUCT(CA228:CD228,FX228:GA228))/SUM(FT228:GA228))</f>
        <v>#VALUE!</v>
      </c>
      <c r="GD228" s="1551" t="e">
        <f aca="false">(FT228*BU228+FX228*CA228+FU228*BV228+FY228*CB228+FV228*BW228+FZ228*CC228+FW228*BX228+GA228*CD228)</f>
        <v>#VALUE!</v>
      </c>
      <c r="GE228" s="1561" t="e">
        <f aca="false">+IF(BQ228,((FL228+FM228+FT228+FU228)*HeatRatePeak/1000*(1+VLOOKUP($C228,WeatherHeatRateAdjustment,2))+(FN228+FV228)*IF(EV228&gt;0,HeatRatePeak,HeatRateOffPeak)/1000*(1+VLOOKUP($C228,WeatherHeatRateAdjustment,2))+(FO228+FW228)*IF(EW228&gt;0,HeatRatePeak,HeatRateOffPeak)/1000*(1+VLOOKUP($C228,WeatherHeatRateAdjustment,3)))*(1+VLOOKUP($B228,HeatRateDegradation,$C228+1)),0)</f>
        <v>#VALUE!</v>
      </c>
      <c r="GF228" s="1562" t="e">
        <f aca="false">IF(BQ228,((FP228+FQ228+FR228+FX228+FY228+FZ228)*HeatRatePeak/1000*(1+VLOOKUP($C228,WeatherHeatRateAdjustment,2))+(FS228+GA228)*HeatRatePeak/1000*(1+VLOOKUP($C228,WeatherHeatRateAdjustment,3)))*(1+VLOOKUP($B228,HeatRateDegradation,$C228+1)),0)</f>
        <v>#VALUE!</v>
      </c>
      <c r="GG228" s="1563" t="e">
        <f aca="false">IF(BQ228,VLOOKUP(A228,GasTable,13),0)</f>
        <v>#VALUE!</v>
      </c>
      <c r="GH228" s="1564" t="e">
        <f aca="false">(GE228+GF228)*GG228</f>
        <v>#VALUE!</v>
      </c>
      <c r="GI228" s="1569" t="e">
        <f aca="false">GB228</f>
        <v>#VALUE!</v>
      </c>
      <c r="GJ228" s="1598" t="e">
        <f aca="false">+DA228</f>
        <v>#VALUE!</v>
      </c>
      <c r="GK228" s="1558" t="e">
        <f aca="false">+GI228*GJ228</f>
        <v>#VALUE!</v>
      </c>
      <c r="GL228" s="1566" t="e">
        <f aca="false">MAX(FE228-FL228-FP228,0)</f>
        <v>#VALUE!</v>
      </c>
      <c r="GM228" s="1551" t="e">
        <f aca="false">MAX(FF228-FM228-FQ228,0)</f>
        <v>#VALUE!</v>
      </c>
      <c r="GN228" s="1551" t="e">
        <f aca="false">MAX(FG228-FN228-FR228,0)</f>
        <v>#VALUE!</v>
      </c>
      <c r="GO228" s="1564" t="e">
        <f aca="false">MAX(FH228-FO228-FS228,0)</f>
        <v>#VALUE!</v>
      </c>
      <c r="GP228" s="1551" t="e">
        <f aca="false">SUM(GL228:GO228)</f>
        <v>#VALUE!</v>
      </c>
      <c r="GQ228" s="1563" t="e">
        <f aca="false">IF(SUM(GL228:GO228)=0,0,((GL228*BU228+GM228*BV228+GN228*BW228+GO228*BX228)/SUM(GL228:GO228)))</f>
        <v>#VALUE!</v>
      </c>
      <c r="GR228" s="1558" t="e">
        <f aca="false">(GL228*BU228+GM228*BV228+GN228*BW228+GO228*BX228)</f>
        <v>#VALUE!</v>
      </c>
      <c r="GS228" s="1566" t="n">
        <f aca="false">IF($A228&gt;=BegDate,Assumptions!$C$56*24*($A229-$A228)*(1-VLOOKUP($B228,MAIN!$AA$7:$AM$28,$C228+1))*(1-VLOOKUP($B228,MAIN!$AA$33:$AM$54,$C228+1)),0)*80/168</f>
        <v>257742.857142857</v>
      </c>
      <c r="GT228" s="286" t="n">
        <f aca="false">J228</f>
        <v>57.9424099986083</v>
      </c>
      <c r="GU228" s="286" t="n">
        <f aca="false">IF($A228&gt;=BegDate,VLOOKUP($A228,GasTable,13)+Assumptions!$C$58,0)</f>
        <v>4.11608368886149</v>
      </c>
      <c r="GV228" s="286" t="n">
        <f aca="false">GU228*Assumptions!$C$57/1000</f>
        <v>29.8416067442458</v>
      </c>
      <c r="GW228" s="1558" t="n">
        <f aca="false">IF(Assumptions!$C$60="Hourly",MAX(0,GS228*(GT228-GV228)),GS228*(GT228-GV228))</f>
        <v>7242781.3187887</v>
      </c>
      <c r="GX228" s="1566" t="n">
        <f aca="false">IF($A228&gt;=BegDate,Assumptions!$C$56*24*($A229-$A228)*(1-VLOOKUP($B228,MAIN!$AA$7:$AM$28,$C228+1))*(1-VLOOKUP($B228,MAIN!$AA$33:$AM$54,$C228+1)),0)*16/168</f>
        <v>51548.5714285714</v>
      </c>
      <c r="GY228" s="286" t="n">
        <f aca="false">M228</f>
        <v>57.9424099986083</v>
      </c>
      <c r="GZ228" s="286" t="n">
        <f aca="false">IF($A228&gt;=BegDate,VLOOKUP($A228,GasTable,13)+Assumptions!$C$58,0)</f>
        <v>4.11608368886149</v>
      </c>
      <c r="HA228" s="286" t="n">
        <f aca="false">GZ228*Assumptions!$C$57/1000</f>
        <v>29.8416067442458</v>
      </c>
      <c r="HB228" s="1558" t="n">
        <f aca="false">IF(Assumptions!$C$60="Hourly",MAX(0,GX228*(GY228-HA228)),GX228*(GY228-HA228))</f>
        <v>1448556.26375774</v>
      </c>
      <c r="HC228" s="1566" t="n">
        <f aca="false">IF($A228&gt;=BegDate,Assumptions!$C$56*24*($A229-$A228)*(1-VLOOKUP($B228,MAIN!$AA$7:$AM$28,$C228+1))*(1-VLOOKUP($B228,MAIN!$AA$33:$AM$54,$C228+1)),0)*16/168</f>
        <v>51548.5714285714</v>
      </c>
      <c r="HD228" s="286" t="n">
        <f aca="false">P228</f>
        <v>35.4598537237709</v>
      </c>
      <c r="HE228" s="286" t="n">
        <f aca="false">IF($A228&gt;=BegDate,VLOOKUP($A228,GasTable,13)+Assumptions!$C$58,0)</f>
        <v>4.11608368886149</v>
      </c>
      <c r="HF228" s="286" t="n">
        <f aca="false">HE228*Assumptions!$C$57/1000</f>
        <v>29.8416067442458</v>
      </c>
      <c r="HG228" s="1558" t="n">
        <f aca="false">IF(Assumptions!$C$60="Hourly",MAX(0,HC228*(HD228-HF228)),HC228*(HD228-HF228))</f>
        <v>289612.605727407</v>
      </c>
      <c r="HH228" s="1566" t="n">
        <f aca="false">IF($A228&gt;=BegDate,Assumptions!$C$56*24*($A229-$A228)*(1-VLOOKUP($B228,MAIN!$AA$7:$AM$28,$C228+1))*(1-VLOOKUP($B228,MAIN!$AA$33:$AM$54,$C228+1)),0)*56/168</f>
        <v>180420</v>
      </c>
      <c r="HI228" s="286" t="n">
        <f aca="false">S228</f>
        <v>35.4598537237709</v>
      </c>
      <c r="HJ228" s="286" t="n">
        <f aca="false">IF($A228&gt;=BegDate,VLOOKUP($A228,GasTable,13)+Assumptions!$C$58,0)</f>
        <v>4.11608368886149</v>
      </c>
      <c r="HK228" s="286" t="n">
        <f aca="false">HJ228*Assumptions!$C$57/1000</f>
        <v>29.8416067442458</v>
      </c>
      <c r="HL228" s="1558" t="n">
        <f aca="false">IF(Assumptions!$C$60="Hourly",MAX(0,HH228*(HI228-HK228)),HH228*(HI228-HK228))</f>
        <v>1013644.12004592</v>
      </c>
      <c r="HM228" s="1566" t="n">
        <f aca="false">IF(AND(Assumptions!$H$71="Yes",A228&gt;=Assumptions!$H$72,A228&lt;=Assumptions!$H$73),Assumptions!$H$74*Assumptions!$C$9*1000,0)</f>
        <v>0</v>
      </c>
      <c r="HN228" s="1551"/>
      <c r="HO228" s="1563"/>
      <c r="HP228" s="1563"/>
      <c r="HQ228" s="1563"/>
      <c r="HR228" s="1563"/>
      <c r="HS228" s="1563"/>
      <c r="HT228" s="1563"/>
      <c r="HU228" s="1563"/>
      <c r="HV228" s="1563"/>
      <c r="HW228" s="1563"/>
      <c r="HX228" s="1563"/>
      <c r="HY228" s="1563"/>
      <c r="HZ228" s="1563"/>
      <c r="IA228" s="1563"/>
      <c r="IB228" s="1563"/>
      <c r="IC228" s="1563"/>
      <c r="ID228" s="1563"/>
      <c r="IE228" s="1563"/>
      <c r="IF228" s="1563"/>
      <c r="IG228" s="1563"/>
      <c r="IH228" s="1563"/>
      <c r="II228" s="1610"/>
      <c r="IJ228" s="1309"/>
      <c r="IK228" s="1309"/>
    </row>
    <row r="229" customFormat="false" ht="12.75" hidden="false" customHeight="false" outlineLevel="0" collapsed="false">
      <c r="A229" s="1571" t="n">
        <f aca="false">EOMONTH(A228,0)+1</f>
        <v>43101</v>
      </c>
      <c r="B229" s="594" t="n">
        <f aca="false">+YEAR(A229)</f>
        <v>2018</v>
      </c>
      <c r="C229" s="238" t="n">
        <f aca="false">MONTH(A229)</f>
        <v>1</v>
      </c>
      <c r="D229" s="1572" t="e">
        <f aca="false">IF(E229="","",Holiday(B229,C229))</f>
        <v>#VALUE!</v>
      </c>
      <c r="E229" s="1573" t="n">
        <f aca="false">IF(OR(BegDate&gt;=A230,EndDate&lt;A229,AND(VolumeMonthlyOverFlag,INDEX(VolumeMonthlyOver,C229)=0),NOT(INDEX(MonthKnockOutTable,C229))),"",MAX(A229,BegDate))</f>
        <v>43101</v>
      </c>
      <c r="F229" s="1574" t="n">
        <f aca="false">IF(E229="","",MIN(A230-1,EndDate))</f>
        <v>43131</v>
      </c>
      <c r="G229" s="1575" t="n">
        <v>0</v>
      </c>
      <c r="H229" s="1576" t="n">
        <f aca="false">(1+G229/2)^(-2*(DATE(B230,C230,20)-DateToday)/365.25)</f>
        <v>1</v>
      </c>
      <c r="I229" s="1568" t="n">
        <f aca="false">IF(Assumptions!$L$25=4,VLOOKUP($A229,'Henwood Reference'!$E$9:$R$320,10),(VLOOKUP($A229,PriceTable,2,0)+IF(BasisNumber&lt;&gt;1,VLOOKUP($A229,BasisTable,2,0),0)+I$1)/(1-I$2))</f>
        <v>60.0646102925707</v>
      </c>
      <c r="J229" s="1568" t="n">
        <f aca="false">IF(Assumptions!$L$25=4,VLOOKUP($A229,'Henwood Reference'!$E$9:$R$320,10),(VLOOKUP($A229,PriceTable,3,0)+IF(BasisNumber&lt;&gt;1,VLOOKUP($A229,BasisTable,2,0),0)+J$1)/(1-J$2))</f>
        <v>60.0646102925707</v>
      </c>
      <c r="K229" s="1568" t="n">
        <f aca="false">IF(Assumptions!$L$25=4,VLOOKUP($A229,'Henwood Reference'!$E$9:$R$320,10),(VLOOKUP($A229,PriceTable,4,0)+IF(BasisNumber&lt;&gt;1,VLOOKUP($A229,BasisTable,2,0),0)+K$1)/(1-K$2))</f>
        <v>60.0646102925707</v>
      </c>
      <c r="L229" s="1523" t="n">
        <f aca="false">IF(Assumptions!$L$25=4,VLOOKUP($A229,'Henwood Reference'!$E$9:$R$320,10),(VLOOKUP($A229,PriceTableWeekend,2,0)+IF(BasisNumber&lt;&gt;1,VLOOKUP($A229,BasisTable,2,0),0)+L$1)/(1-L$2))</f>
        <v>60.0646102925707</v>
      </c>
      <c r="M229" s="1568" t="n">
        <f aca="false">IF(Assumptions!$L$25=4,VLOOKUP($A229,'Henwood Reference'!$E$9:$R$320,10),(VLOOKUP($A229,PriceTableWeekend,3,0)+IF(BasisNumber&lt;&gt;1,VLOOKUP($A229,BasisTable,2,0),0)+M$1)/(1-M$2))</f>
        <v>60.0646102925707</v>
      </c>
      <c r="N229" s="1599" t="n">
        <f aca="false">IF(Assumptions!$L$25=4,VLOOKUP($A229,'Henwood Reference'!$E$9:$R$320,10),(VLOOKUP($A229,PriceTableWeekend,4,0)+IF(BasisNumber&lt;&gt;1,VLOOKUP($A229,BasisTable,2,0),0)+N$1)/(1-N$2))</f>
        <v>60.0646102925707</v>
      </c>
      <c r="O229" s="1568" t="n">
        <f aca="false">IF(Assumptions!$L$25=4,VLOOKUP($A229,'Henwood Reference'!$E$9:$R$320,11),(VLOOKUP($A229,PriceTableWeekend,6,0)+IF(BasisNumber&lt;&gt;1,VLOOKUP($A229,BasisTable,3,0),0)+O$1)/(1-O$2))</f>
        <v>34.0426777848547</v>
      </c>
      <c r="P229" s="1568" t="n">
        <f aca="false">IF(Assumptions!$L$25=4,VLOOKUP($A229,'Henwood Reference'!$E$9:$R$320,11),(VLOOKUP($A229,PriceTableWeekend,7,0)+IF(BasisNumber&lt;&gt;1,VLOOKUP($A229,BasisTable,3,0),0)+P$1)/(1-P$2))</f>
        <v>34.0426777848547</v>
      </c>
      <c r="Q229" s="1599" t="n">
        <f aca="false">IF(Assumptions!$L$25=4,VLOOKUP($A229,'Henwood Reference'!$E$9:$R$320,11),(VLOOKUP($A229,PriceTableWeekend,8,0)+IF(BasisNumber&lt;&gt;1,VLOOKUP($A229,BasisTable,3,0),0)+Q$1)/(1-Q$2))</f>
        <v>34.0426777848547</v>
      </c>
      <c r="R229" s="1568" t="n">
        <f aca="false">IF(Assumptions!$L$25=4,VLOOKUP($A229,'Henwood Reference'!$E$9:$R$320,11),(VLOOKUP($A229,PriceTable,6,0)+IF(BasisNumber&lt;&gt;1,VLOOKUP($A229,BasisTable,3,0),0)+R$1)/(1-R$2))</f>
        <v>34.0426777848547</v>
      </c>
      <c r="S229" s="1568" t="n">
        <f aca="false">IF(Assumptions!$L$25=4,VLOOKUP($A229,'Henwood Reference'!$E$9:$R$320,11),(VLOOKUP($A229,PriceTable,7,0)+IF(BasisNumber&lt;&gt;1,VLOOKUP($A229,BasisTable,3,0),0)+S$1)/(1-S$2))</f>
        <v>34.0426777848547</v>
      </c>
      <c r="T229" s="1600" t="n">
        <f aca="false">IF(Assumptions!$L$25=4,VLOOKUP($A229,'Henwood Reference'!$E$9:$R$320,11),(VLOOKUP($A229,PriceTable,8,0)+IF(BasisNumber&lt;&gt;1,VLOOKUP($A229,BasisTable,3,0),0)+T$1)/(1-T$2))</f>
        <v>34.0426777848547</v>
      </c>
      <c r="U229" s="1513" t="n">
        <f aca="false">VLOOKUP($A229,VolatilityTable,14)</f>
        <v>0.09</v>
      </c>
      <c r="V229" s="1513" t="n">
        <f aca="false">VLOOKUP($A229,VolatilityTable,15)</f>
        <v>0.1</v>
      </c>
      <c r="W229" s="1514" t="n">
        <f aca="false">VLOOKUP($A229,VolatilityTable,16)</f>
        <v>0.11</v>
      </c>
      <c r="X229" s="1513" t="n">
        <f aca="false">VLOOKUP($A229,VolatilityTable,14)</f>
        <v>0.09</v>
      </c>
      <c r="Y229" s="1513" t="n">
        <f aca="false">VLOOKUP($A229,VolatilityTable,15)</f>
        <v>0.1</v>
      </c>
      <c r="Z229" s="1514" t="n">
        <f aca="false">VLOOKUP($A229,VolatilityTable,16)</f>
        <v>0.11</v>
      </c>
      <c r="AA229" s="1513" t="n">
        <f aca="false">VLOOKUP($A229,VolatilityTable,18)</f>
        <v>0.09</v>
      </c>
      <c r="AB229" s="1513" t="n">
        <f aca="false">VLOOKUP($A229,VolatilityTable,19)</f>
        <v>0.11</v>
      </c>
      <c r="AC229" s="1514" t="n">
        <f aca="false">VLOOKUP($A229,VolatilityTable,20)</f>
        <v>0.13</v>
      </c>
      <c r="AD229" s="1513" t="n">
        <f aca="false">VLOOKUP($A229,VolatilityTable,18)</f>
        <v>0.09</v>
      </c>
      <c r="AE229" s="1513" t="n">
        <f aca="false">VLOOKUP($A229,VolatilityTable,19)</f>
        <v>0.11</v>
      </c>
      <c r="AF229" s="1514" t="n">
        <f aca="false">VLOOKUP($A229,VolatilityTable,20)</f>
        <v>0.13</v>
      </c>
      <c r="AG229" s="1513" t="n">
        <f aca="false">VLOOKUP($A229,VolatilityTable,22)</f>
        <v>-0.25</v>
      </c>
      <c r="AH229" s="1513" t="n">
        <f aca="false">VLOOKUP($A229,VolatilityTable,23)</f>
        <v>0.6</v>
      </c>
      <c r="AI229" s="1514" t="n">
        <f aca="false">VLOOKUP($A229,VolatilityTable,24)</f>
        <v>0.25</v>
      </c>
      <c r="AJ229" s="1513" t="n">
        <f aca="false">VLOOKUP($A229,VolatilityTable,22)</f>
        <v>-0.25</v>
      </c>
      <c r="AK229" s="1513" t="n">
        <f aca="false">VLOOKUP($A229,VolatilityTable,23)</f>
        <v>0.6</v>
      </c>
      <c r="AL229" s="1514" t="n">
        <f aca="false">VLOOKUP($A229,VolatilityTable,24)</f>
        <v>0.25</v>
      </c>
      <c r="AM229" s="1513" t="n">
        <f aca="false">VLOOKUP($A229,VolatilityTable,26)</f>
        <v>-0.01</v>
      </c>
      <c r="AN229" s="1513" t="n">
        <f aca="false">VLOOKUP($A229,VolatilityTable,27)</f>
        <v>0.16</v>
      </c>
      <c r="AO229" s="1514" t="n">
        <f aca="false">VLOOKUP($A229,VolatilityTable,28)</f>
        <v>0.01</v>
      </c>
      <c r="AP229" s="1513" t="n">
        <f aca="false">VLOOKUP($A229,VolatilityTable,26)</f>
        <v>-0.01</v>
      </c>
      <c r="AQ229" s="1513" t="n">
        <f aca="false">VLOOKUP($A229,VolatilityTable,27)</f>
        <v>0.16</v>
      </c>
      <c r="AR229" s="1515" t="n">
        <f aca="false">VLOOKUP($A229,VolatilityTable,28)</f>
        <v>0.01</v>
      </c>
      <c r="AS229" s="1581" t="n">
        <f aca="false">IF(CorrPeakOffPeakOverFlag,INDEX(CorrPeakOffPeakOver,C229),CorrPeakOffPeak)</f>
        <v>0.5</v>
      </c>
      <c r="AT229" s="594" t="e">
        <f aca="false">AX229-SUM(AU229:AW229)</f>
        <v>#VALUE!</v>
      </c>
      <c r="AU229" s="238" t="e">
        <f aca="false">IF(E229="",0,INT((F229-MOD(F229,7)-E229)/7)+1-IF(AW229,IF(WEEKDAY(D229)=7,1,0),0))</f>
        <v>#VALUE!</v>
      </c>
      <c r="AV229" s="238" t="e">
        <f aca="false">IF(E229="",0,INT((F229-MOD(F229-1,7)-E229)/7)+1-IF(AW229,IF(WEEKDAY(D229)=1,1,0),0))</f>
        <v>#VALUE!</v>
      </c>
      <c r="AW229" s="238" t="e">
        <f aca="false">IF(OR(E229="",D229="",D229&lt;BegDate,D229&gt;EndDate),0,1)</f>
        <v>#VALUE!</v>
      </c>
      <c r="AX229" s="238" t="n">
        <f aca="false">IF(E229="",0,F229-E229+1)</f>
        <v>31</v>
      </c>
      <c r="AY229" s="1582" t="n">
        <f aca="false">IF(E229="",0,MIN((1-(1-VLOOKUP(B229,MAIN!$AA$7:$AM$28,C229+1))*(1-VLOOKUP(B229,MAIN!$AA$33:$AM$54,C229+1))),1))</f>
        <v>0.03</v>
      </c>
      <c r="AZ229" s="1519" t="e">
        <v>#VALUE!</v>
      </c>
      <c r="BA229" s="1520" t="e">
        <v>#VALUE!</v>
      </c>
      <c r="BB229" s="1520" t="e">
        <v>#VALUE!</v>
      </c>
      <c r="BC229" s="1583" t="e">
        <v>#VALUE!</v>
      </c>
      <c r="BD229" s="1522" t="e">
        <v>#VALUE!</v>
      </c>
      <c r="BE229" s="1523" t="e">
        <v>#VALUE!</v>
      </c>
      <c r="BF229" s="1523" t="e">
        <v>#VALUE!</v>
      </c>
      <c r="BG229" s="1584" t="e">
        <v>#VALUE!</v>
      </c>
      <c r="BH229" s="1525" t="e">
        <v>#VALUE!</v>
      </c>
      <c r="BI229" s="1520" t="e">
        <v>#VALUE!</v>
      </c>
      <c r="BJ229" s="1520" t="e">
        <v>#VALUE!</v>
      </c>
      <c r="BK229" s="1583" t="e">
        <v>#VALUE!</v>
      </c>
      <c r="BL229" s="1522" t="e">
        <v>#VALUE!</v>
      </c>
      <c r="BM229" s="1523" t="e">
        <v>#VALUE!</v>
      </c>
      <c r="BN229" s="1523" t="e">
        <v>#VALUE!</v>
      </c>
      <c r="BO229" s="1523" t="e">
        <v>#VALUE!</v>
      </c>
      <c r="BP229" s="1525" t="e">
        <f aca="false">SUM(AZ229:BB229)</f>
        <v>#VALUE!</v>
      </c>
      <c r="BQ229" s="1529" t="e">
        <f aca="false">SUM(AZ229:BC229)</f>
        <v>#VALUE!</v>
      </c>
      <c r="BR229" s="1519" t="e">
        <f aca="false">SUM(BH229:BJ229)</f>
        <v>#VALUE!</v>
      </c>
      <c r="BS229" s="1529" t="e">
        <f aca="false">SUM(BH229:BK229)</f>
        <v>#VALUE!</v>
      </c>
      <c r="BT229" s="1316" t="n">
        <f aca="false">(IF(OVolType&lt;&gt;2,A229+14,IF(OptExpDateShift,ShiftBack(A229,OptExpDateShift,D228),A229))-DateToday)/365.25</f>
        <v>17.7166324435318</v>
      </c>
      <c r="BU229" s="1585" t="e">
        <f aca="false">IF(BQ229,IF(OPriceCurve,IF(OBuySell=OCallPut,I229/(1-AY229),K229/(1-AY229)),J229/(1-AY229))*BD229,0)</f>
        <v>#VALUE!</v>
      </c>
      <c r="BV229" s="1316" t="e">
        <f aca="false">IF(BQ229,IF(OPriceCurve,IF(OBuySell=OCallPut,L229/(1-AY229),N229/(1-AY229)),M229/(1-AY229))*BE229,0)</f>
        <v>#VALUE!</v>
      </c>
      <c r="BW229" s="1316" t="e">
        <f aca="false">IF(BQ229,IF(OPriceCurve,IF(OBuySell=OCallPut,O229/(1-AY229),Q229/(1-AY229)),P229/(1-AY229))*BF229,0)</f>
        <v>#VALUE!</v>
      </c>
      <c r="BX229" s="1316" t="e">
        <f aca="false">IF(BQ229,IF(OPriceCurve,IF(OBuySell=OCallPut,R229/(1-AY229),T229/(1-AY229)),S229/(1-AY229))*BG229,0)</f>
        <v>#VALUE!</v>
      </c>
      <c r="BY229" s="1316" t="e">
        <f aca="false">IF(BP229,(BU229*AZ229+BV229*BA229+BW229*BB229)/BP229,0)</f>
        <v>#VALUE!</v>
      </c>
      <c r="BZ229" s="1316" t="e">
        <f aca="false">IF(BQ229,(BY229*BP229+BX229*BC229)/BQ229,0)</f>
        <v>#VALUE!</v>
      </c>
      <c r="CA229" s="1531" t="e">
        <f aca="false">IF(BS229,IF(OPriceCurve,IF(OBuySell=OCallPut,I229/(1-AY229),K229/(1-AY229)),J229/(1-AY229))*BL229,0)</f>
        <v>#VALUE!</v>
      </c>
      <c r="CB229" s="1316" t="e">
        <f aca="false">IF(BS229,IF(OPriceCurve,IF(OBuySell=OCallPut,L229/(1-AY229),N229/(1-AY229)),M229/(1-AY229))*BM229,0)</f>
        <v>#VALUE!</v>
      </c>
      <c r="CC229" s="1316" t="e">
        <f aca="false">IF(BS229,IF(OPriceCurve,IF(OBuySell=OCallPut,O229/(1-AY229),Q229/(1-AY229)),P229/(1-AY229))*BN229,0)</f>
        <v>#VALUE!</v>
      </c>
      <c r="CD229" s="1316" t="e">
        <f aca="false">IF(BS229,IF(OPriceCurve,IF(OBuySell=OCallPut,R229/(1-AY229),T229/(1-AY229)),S229/(1-AY229))*BO229,0)</f>
        <v>#VALUE!</v>
      </c>
      <c r="CE229" s="1316" t="e">
        <f aca="false">IF(BR229,(BU229*BH229+BV229*BI229+BW229*BJ229)/BR229,0)</f>
        <v>#VALUE!</v>
      </c>
      <c r="CF229" s="1532" t="e">
        <f aca="false">IF(BS229,(CE229*BR229+CD229*BK229)/BS229,0)</f>
        <v>#VALUE!</v>
      </c>
      <c r="CG229" s="1586" t="e">
        <f aca="false">IF(OR(BQ229,BS229),IF(OVolType&lt;&gt;2,SQRT(IF(OVolOverMonthlyPeak,OVolOverMonthlyPeak,IF(OVolCurve,IF(OBuySell,U229,W229),V229))^2*(1-15/365.25/BT229)+IF(OVolOverDailyPeak,OVolOverDailyPeak,IF(OVolCurve,IF(OBuySell,AG229,AI229),AH229))^2*15/365.25/BT229),IF(OVolOverMonthlyPeak,OVolOverMonthlyPeak,IF(OVolCurve,IF(OBuySell,U229,W229),V229))),"")</f>
        <v>#VALUE!</v>
      </c>
      <c r="CH229" s="1587" t="e">
        <f aca="false">IF(OR(BQ229,BS229),IF(OVolType&lt;&gt;2,SQRT(IF(OVolOverMonthlyPeak,OVolOverMonthlyPeak,IF(OVolCurve,IF(OBuySell,X229,Z229),Y229))^2*(1-15/365.25/BT229)+IF(OVolOverDailyPeak,OVolOverDailyPeak,IF(OVolCurve,IF(OBuySell,AJ229,AL229),AK229))^2*15/365.25/BT229),IF(OVolOverMonthlyPeak,OVolOverMonthlyPeak,IF(OVolCurve,IF(OBuySell,X229,Z229),Y229))),"")</f>
        <v>#VALUE!</v>
      </c>
      <c r="CI229" s="1587" t="e">
        <f aca="false">IF(OR(BQ229,BS229),IF(OVolType&lt;&gt;2,SQRT(IF(OVolOverMonthlyPeak,OVolOverMonthlyPeak,IF(OVolCurve,IF(OBuySell,AA229,AC229),AB229))^2*(1-15/365.25/BT229)+IF(OVolOverDailyPeak,OVolOverDailyPeak,IF(OVolCurve,IF(OBuySell,AM229,AO229),AN229))^2*15/365.25/BT229),IF(OVolOverMonthlyPeak,OVolOverMonthlyPeak,IF(OVolCurve,IF(OBuySell,AA229,AC229),AB229))),"")</f>
        <v>#VALUE!</v>
      </c>
      <c r="CJ229" s="1587" t="e">
        <f aca="false">IF(BQ229,IF(BP229,SQRT(LN(1+((BU229*AZ229)^2*(EXP(CG229^2*BT229)-1)+(BV229*BA229)^2*(EXP(CH229^2*BT229)-1)+(BW229*BB229)^2*(EXP(CI229^2*BT229)-1)+2*BU229*AZ229*BV229*BA229*(EXP(CG229*CH229*BT229)-1)+2*BV229*BA229*BW229*BB229*(EXP(CH229*CI229*BT229)-1)+2*BW229*BB229*BU229*AZ229*(EXP(CI229*CG229*BT229)-1))/(BY229*BP229)^2)/BT229),0),"")</f>
        <v>#VALUE!</v>
      </c>
      <c r="CK229" s="1587" t="e">
        <f aca="false">IF(BS229,IF(BR229,SQRT(LN(1+((CA229*BH229)^2*(EXP(CG229^2*BT229)-1)+(CB229*BI229)^2*(EXP(CH229^2*BT229)-1)+(CC229*BJ229)^2*(EXP(CI229^2*BT229)-1)+2*CA229*BH229*CB229*BI229*(EXP(CG229*CH229*BT229)-1)+2*CB229*BI229*CC229*BJ229*(EXP(CH229*CI229*BT229)-1)+2*CC229*BJ229*CA229*BH229*(EXP(CI229*CG229*BT229)-1))/(CE229*BR229)^2)/BT229),0),"")</f>
        <v>#VALUE!</v>
      </c>
      <c r="CL229" s="1587" t="e">
        <f aca="false">IF(OR(BQ229,BS229),IF(OVolType&lt;&gt;2,SQRT(IF(OVolOverMonthlyOffPeak,OVolOverMonthlyOffPeak,IF(OVolCurve,IF(OBuySell,AD229,AF229),AE229))^2*(1-15/365.25/BT229)+IF(OVolOverDailyOffPeak,OVolOverDailyOffPeak,IF(OVolCurve,IF(OBuySell,AP229,AR229),AQ229))^2*15/365.25/BT229),IF(OVolOverMonthlyOffPeak,OVolOverMonthlyOffPeak,IF(OVolCurve,IF(OBuySell,AD229,AF229),AE229))),"")</f>
        <v>#VALUE!</v>
      </c>
      <c r="CM229" s="1587" t="e">
        <f aca="false">IF(BQ229,SQRT(LN(1+((BY229*BP229)^2*(EXP(CJ229^2*BT229)-1)+(BX229*BC229)^2*(EXP(CL229^2*BT229)-1)+2*BY229*BP229*BX229*BC229*(EXP(AS229*CJ229*CL229*BT229)-1))/(BY229*BP229+BX229*BC229)^2)/BT229),"")</f>
        <v>#VALUE!</v>
      </c>
      <c r="CN229" s="1588" t="e">
        <f aca="false">IF(BS229,SQRT(LN(1+((CE229*BR229)^2*(EXP(CK229^2*BT229)-1)+(CD229*BK229)^2*(EXP(CL229^2*BT229)-1)+2*CE229*BR229*CD229*BK229*(EXP(AS229*CK229*CL229*BT229)-1))/(CE229*BR229+CD229*BK229)^2)/BT229),"")</f>
        <v>#VALUE!</v>
      </c>
      <c r="CO229" s="1531" t="e">
        <f aca="false">IF(OR(BQ229,BS229),VLOOKUP(A229,GasTable,13)*HeatRatePeak*(1+VLOOKUP($B229,HeatRateDegradation,$C229+1))/1000,0)</f>
        <v>#VALUE!</v>
      </c>
      <c r="CP229" s="1316" t="e">
        <f aca="false">IF(OR(BQ229,BS229),VLOOKUP(A229,GasTable,13)*HeatRatePeak*(1+VLOOKUP($B229,HeatRateDegradation,$C229+1))/1000,0)</f>
        <v>#VALUE!</v>
      </c>
      <c r="CQ229" s="1316" t="e">
        <f aca="false">IF(OR(BQ229,BS229),VLOOKUP(A229,GasTable,13)*IF(EV229,HeatRatePeak,HeatRateOffPeak)*(1+VLOOKUP($B229,HeatRateDegradation,$C229+1))/1000,0)</f>
        <v>#VALUE!</v>
      </c>
      <c r="CR229" s="1316" t="e">
        <f aca="false">IF(OR(BQ229,BS229),VLOOKUP(A229,GasTable,13)*IF(EW229,HeatRatePeak,HeatRateOffPeak)*(1+VLOOKUP($B229,HeatRateDegradation,$C229+1))/1000,0)</f>
        <v>#VALUE!</v>
      </c>
      <c r="CS229" s="1589" t="e">
        <f aca="false">IF(BQ229,(CO229*AZ229+CP229*BA229+CQ229*BB229+CR229*BC229)/BQ229,0)</f>
        <v>#VALUE!</v>
      </c>
      <c r="CT229" s="1316" t="e">
        <f aca="false">IF(BS229,CO229,0)</f>
        <v>#VALUE!</v>
      </c>
      <c r="CU229" s="1590" t="e">
        <f aca="false">IF(OR(BQ229,BS229),VLOOKUP(A229,GasTable,14),"")</f>
        <v>#VALUE!</v>
      </c>
      <c r="CV229" s="1568" t="e">
        <f aca="false">IF(OR(BQ229,BS229),IF(CorrPowerGasOverFlag,INDEX(CorrPowerGasOver,C229),CorrPowerGas),"")</f>
        <v>#VALUE!</v>
      </c>
      <c r="CW229" s="1316" t="e">
        <f aca="false">IF(OR($BQ229,$BS229),SpreadOptPowerMargin,0)*((1+Assumptions!$C$26)^($B229-YEAR(Assumptions!$C$17)))</f>
        <v>#VALUE!</v>
      </c>
      <c r="CX229" s="1316" t="e">
        <f aca="false">IF(OR($BQ229,$BS229),SpreadOptPowerMargin,0)*((1+Assumptions!$C$26)^($B229-YEAR(Assumptions!$C$17)))</f>
        <v>#VALUE!</v>
      </c>
      <c r="CY229" s="1316" t="e">
        <f aca="false">IF(OR($BQ229,$BS229),SpreadOptPowerMargin,0)*((1+Assumptions!$C$26)^($B229-YEAR(Assumptions!$C$17)))</f>
        <v>#VALUE!</v>
      </c>
      <c r="CZ229" s="1316" t="e">
        <f aca="false">IF(OR($BQ229,$BS229),SpreadOptPowerMargin,0)*((1+Assumptions!$C$26)^($B229-YEAR(Assumptions!$C$17)))</f>
        <v>#VALUE!</v>
      </c>
      <c r="DA229" s="1591" t="e">
        <f aca="false">IF(OR(BQ229,BS229),(CW229*(AZ229+BH229)+CX229*(BA229+BI229)+CY229*(BB229+BJ229)+CZ229*(BC229+BK229))/(BQ229+BS229),0)</f>
        <v>#VALUE!</v>
      </c>
      <c r="DB229" s="1592" t="e">
        <f aca="false">IF(OR(BQ229,BS229),CG229+IF(OVolSmile,VLOOKUP(MAX(-5,CO229+CW229-BU229),IF(OVolSmile=1,VolSmileBook,VolSmileModel),2),0),"")</f>
        <v>#VALUE!</v>
      </c>
      <c r="DC229" s="1592" t="e">
        <f aca="false">IF(OR(BQ229,BS229),CH229+IF(OVolSmile,VLOOKUP(MAX(-5,CP229+CW229-BV229),IF(OVolSmile=1,VolSmileBook,VolSmileModel),2),0),"")</f>
        <v>#VALUE!</v>
      </c>
      <c r="DD229" s="1592" t="e">
        <f aca="false">IF(OR(BQ229,BS229),CI229+IF(OVolSmile,VLOOKUP(MAX(-5,CQ229+CW229-BW229),IF(OVolSmile=1,VolSmileBook,VolSmileModel),2),0),"")</f>
        <v>#VALUE!</v>
      </c>
      <c r="DE229" s="1592" t="e">
        <f aca="false">IF(OR(BQ229,BS229),CL229+IF(OVolSmile,VLOOKUP(MAX(-5,CR229+CZ229-BX229),IF(OVolSmile=1,VolSmileBook,VolSmileModel),2),0),"")</f>
        <v>#VALUE!</v>
      </c>
      <c r="DF229" s="1592" t="e">
        <f aca="false">IF(BQ229,CM229+IF(OVolSmile,VLOOKUP(MAX(-5,CS229+DA229-BZ229),IF(OVolSmile=1,VolSmileBook,VolSmileModel),2),0),"")</f>
        <v>#VALUE!</v>
      </c>
      <c r="DG229" s="1593" t="e">
        <f aca="false">IF(BS229,CN229+IF(OVolSmile,VLOOKUP(MAX(-5,CT229+DA229-CF229),IF(OVolSmile=1,VolSmileBook,VolSmileModel),2),0),"")</f>
        <v>#VALUE!</v>
      </c>
      <c r="DH229" s="1316" t="e">
        <f aca="false">IF(AND(BU229&gt;0,CO229&gt;0,DB229&gt;0,CU229&gt;0),newSPRDOPT(BU229,CO229,CW229,0,DB229,CU229,CV229,BT229*365.25,OCallPut,0),0)</f>
        <v>#VALUE!</v>
      </c>
      <c r="DI229" s="1316" t="e">
        <f aca="false">IF(AND(BV229&gt;0,CP229&gt;0,DC229&gt;0,CU229&gt;0),newSPRDOPT(BV229,CP229,CX229,0,DC229,CU229,CV229,BT229*365.25,OCallPut,0),0)</f>
        <v>#VALUE!</v>
      </c>
      <c r="DJ229" s="1316" t="e">
        <f aca="false">IF(AND(BW229&gt;0,CQ229&gt;0,DD229&gt;0,CU229&gt;0),newSPRDOPT(BW229,CQ229,CY229,0,DD229,CU229,CV229,BT229*365.25,OCallPut,0),0)</f>
        <v>#VALUE!</v>
      </c>
      <c r="DK229" s="1316" t="e">
        <f aca="false">IF(AND(BX229&gt;0,CR229&gt;0,DE229&gt;0,CU229&gt;0),newSPRDOPT(BX229,CR229,CZ229,0,DE229,CU229,CV229,BT229*365.25,OCallPut,0),0)</f>
        <v>#VALUE!</v>
      </c>
      <c r="DL229" s="1316" t="e">
        <f aca="false">IF(OVolType,IF(AND(BZ229&gt;0,CS229&gt;0,DF229&gt;0,CU229&gt;0),newSPRDOPT(BZ229,CS229,DA229,0,DF229,CU229,CV229,BT229*365.25,OCallPut,0),0),IF(BQ229,(DH229*AZ229+DI229*BA229+DJ229*BB229+DK229*BC229)/BQ229,0))</f>
        <v>#VALUE!</v>
      </c>
      <c r="DM229" s="1316"/>
      <c r="DN229" s="1316"/>
      <c r="DO229" s="1316"/>
      <c r="DP229" s="1316"/>
      <c r="DQ229" s="1316"/>
      <c r="DR229" s="1316"/>
      <c r="DS229" s="1316"/>
      <c r="DT229" s="1316"/>
      <c r="DU229" s="1316"/>
      <c r="DV229" s="1316"/>
      <c r="DW229" s="1594" t="e">
        <f aca="false">IF(AND(BW229&gt;0,CT229&gt;0,DD229&gt;0,CU229&gt;0),newSPRDOPT(BW229,CT229,CY229,0,DD229,CU229,CV229,BT229*365.25,OCallPut,0),0)</f>
        <v>#VALUE!</v>
      </c>
      <c r="DX229" s="1316" t="e">
        <f aca="false">IF(AND(BX229&gt;0,CT229&gt;0,DE229&gt;0,CU229&gt;0),newSPRDOPT(BX229,CT229,CZ229,0,DE229,CU229,CV229,BT229*365.25,OCallPut,0),0)</f>
        <v>#VALUE!</v>
      </c>
      <c r="DY229" s="1591" t="e">
        <f aca="false">IF(BS229,(DH229*BH229+DI229*BI229+DW229*BJ229+DX229*BK229)/BS229,0)</f>
        <v>#VALUE!</v>
      </c>
      <c r="DZ229" s="1551" t="e">
        <f aca="false">DH229*AZ229</f>
        <v>#VALUE!</v>
      </c>
      <c r="EA229" s="1551" t="e">
        <f aca="false">DI229*BA229</f>
        <v>#VALUE!</v>
      </c>
      <c r="EB229" s="1551" t="e">
        <f aca="false">DJ229*BB229</f>
        <v>#VALUE!</v>
      </c>
      <c r="EC229" s="1551" t="e">
        <f aca="false">DK229*BC229</f>
        <v>#VALUE!</v>
      </c>
      <c r="ED229" s="1551" t="e">
        <f aca="false">DL229*BQ229</f>
        <v>#VALUE!</v>
      </c>
      <c r="EE229" s="1595" t="e">
        <f aca="false">IF(BQ229,IF(OCallPut,IF(BU229&gt;(CO229+CW229),BU229-(CO229+CW229),0),IF((CO229+CW229)&gt;BU229,(CO229+CW229)-BU229,0))*AZ229,0)</f>
        <v>#VALUE!</v>
      </c>
      <c r="EF229" s="1596" t="e">
        <f aca="false">IF(BQ229,IF(OCallPut,IF(BV229&gt;(CP229+CX229),BV229-(CP229+CX229),0),IF((CP229+CX229)&gt;BV229,(CP229+CX229)-BV229,0))*BA229,0)</f>
        <v>#VALUE!</v>
      </c>
      <c r="EG229" s="1596" t="e">
        <f aca="false">IF(BQ229,IF(OCallPut,IF(BW229&gt;(CQ229+CY229),BW229-(CQ229+CY229),0),IF((CQ229+CY229)&gt;BW229,(CQ229+CY229)-BW229,0))*BB229,0)</f>
        <v>#VALUE!</v>
      </c>
      <c r="EH229" s="1596" t="e">
        <f aca="false">IF(BQ229,IF(OCallPut,IF(BX229&gt;(CR229+CZ229),BX229-(CR229+CZ229),0),IF((CR229+CZ229)&gt;BX229,(CR229+CZ229)-BX229,0))*BC229,0)</f>
        <v>#VALUE!</v>
      </c>
      <c r="EI229" s="1597" t="e">
        <f aca="false">IF(BQ229,IF(OVolType,IF(OCallPut,IF(BZ229&gt;(CS229+DA229),BZ229-(CS229+DA229),0),IF((CS229+DA229)&gt;BZ229,(CS229+DA229)-BZ229,0))*BQ229,SUM(EE229:EH229)),0)</f>
        <v>#VALUE!</v>
      </c>
      <c r="EJ229" s="1595" t="e">
        <f aca="false">DZ229-EE229</f>
        <v>#VALUE!</v>
      </c>
      <c r="EK229" s="1596" t="e">
        <f aca="false">EA229-EF229</f>
        <v>#VALUE!</v>
      </c>
      <c r="EL229" s="1596" t="e">
        <f aca="false">EB229-EG229</f>
        <v>#VALUE!</v>
      </c>
      <c r="EM229" s="1596" t="e">
        <f aca="false">EC229-EH229</f>
        <v>#VALUE!</v>
      </c>
      <c r="EN229" s="1597" t="e">
        <f aca="false">ED229-EI229</f>
        <v>#VALUE!</v>
      </c>
      <c r="EO229" s="1551" t="e">
        <f aca="false">DH229*BH229</f>
        <v>#VALUE!</v>
      </c>
      <c r="EP229" s="1551" t="e">
        <f aca="false">DI229*BI229</f>
        <v>#VALUE!</v>
      </c>
      <c r="EQ229" s="1551" t="e">
        <f aca="false">DW229*BJ229</f>
        <v>#VALUE!</v>
      </c>
      <c r="ER229" s="1551" t="e">
        <f aca="false">DX229*BK229</f>
        <v>#VALUE!</v>
      </c>
      <c r="ES229" s="1551" t="e">
        <f aca="false">DY229*BS229</f>
        <v>#VALUE!</v>
      </c>
      <c r="ET229" s="1566" t="e">
        <f aca="false">IF(EI229,IF(OCallPut,IF(CA229&gt;(CT229+CW229),CA229-(CT229+CW229),0),IF((CT229+CW229)&gt;CA229,(CT229+CW229)-CA229,0))*BH229,0)</f>
        <v>#VALUE!</v>
      </c>
      <c r="EU229" s="1551" t="e">
        <f aca="false">IF(EI229,IF(OCallPut,IF(CB229&gt;(CT229+CX229),CB229-(CT229+CX229),0),IF((CT229+CX229)&gt;CB229,(CT229+CX229)-CB229,0))*BI229,0)</f>
        <v>#VALUE!</v>
      </c>
      <c r="EV229" s="1551" t="e">
        <f aca="false">IF(EI229,IF(OCallPut,IF(CC229&gt;(CT229+CY229),CC229-(CT229+CY229),0),IF((CT229+CY229)&gt;CC229,(CT229+CY229)-CC229,0))*BJ229,0)</f>
        <v>#VALUE!</v>
      </c>
      <c r="EW229" s="1551" t="e">
        <f aca="false">IF(EI229,IF(OCallPut,IF(CD229&gt;(CT229+CZ229),CD229-(CT229+CZ229),0),IF((CT229+CZ229)&gt;CD229,(CT229+CZ229)-CD229,0))*BK229,0)</f>
        <v>#VALUE!</v>
      </c>
      <c r="EX229" s="1558" t="e">
        <f aca="false">IF(EI229,SUM(ET229:EW229),0)</f>
        <v>#VALUE!</v>
      </c>
      <c r="EY229" s="1551" t="e">
        <f aca="false">EO229-ET229</f>
        <v>#VALUE!</v>
      </c>
      <c r="EZ229" s="1551" t="e">
        <f aca="false">EP229-EU229</f>
        <v>#VALUE!</v>
      </c>
      <c r="FA229" s="1551" t="e">
        <f aca="false">EQ229-EV229</f>
        <v>#VALUE!</v>
      </c>
      <c r="FB229" s="1551" t="e">
        <f aca="false">ER229-EW229</f>
        <v>#VALUE!</v>
      </c>
      <c r="FC229" s="1551" t="e">
        <f aca="false">ES229-EX229</f>
        <v>#VALUE!</v>
      </c>
      <c r="FD229" s="1525" t="n">
        <f aca="false">IF(AX229,IF(VLOOKUP(C229,MAIN!$L$17:$M$28,2)="Yes",VLOOKUP(CALC!B229,MAIN!$H$17:$I$20,2),0),0)</f>
        <v>0</v>
      </c>
      <c r="FE229" s="1552" t="e">
        <f aca="false">$FD229*16*AT229*(1-$AY229)</f>
        <v>#VALUE!</v>
      </c>
      <c r="FF229" s="1553" t="e">
        <f aca="false">$FD229*16*AU229*(1-$AY229)</f>
        <v>#VALUE!</v>
      </c>
      <c r="FG229" s="1553" t="e">
        <f aca="false">$FD229*16*(AV229+AW229)*(1-$AY229)</f>
        <v>#VALUE!</v>
      </c>
      <c r="FH229" s="1554" t="n">
        <f aca="false">$FD229*8*AX229*(1-$AY229)</f>
        <v>0</v>
      </c>
      <c r="FI229" s="1555" t="n">
        <f aca="false">IF(AX229,VLOOKUP(CALC!B229,MAIN!$H$17:$K$20,4),0)</f>
        <v>0</v>
      </c>
      <c r="FJ229" s="1553" t="e">
        <f aca="false">SUM(FE229:FH229)</f>
        <v>#VALUE!</v>
      </c>
      <c r="FK229" s="1556" t="e">
        <f aca="false">FI229*FJ229</f>
        <v>#VALUE!</v>
      </c>
      <c r="FL229" s="1551" t="e">
        <f aca="false">IF($EI229&gt;0,MIN(FE229,AZ229*(1+VLOOKUP($C229,WeatherCapacityAdjustment,2))),0)</f>
        <v>#VALUE!</v>
      </c>
      <c r="FM229" s="1551" t="e">
        <f aca="false">IF($EI229&gt;0,MIN(FF229,BA229*(1+VLOOKUP($C229,WeatherCapacityAdjustment,2))),0)</f>
        <v>#VALUE!</v>
      </c>
      <c r="FN229" s="1551" t="e">
        <f aca="false">IF($EI229&gt;0,MIN(FG229,BB229*(1+VLOOKUP($C229,WeatherCapacityAdjustment,2))),0)</f>
        <v>#VALUE!</v>
      </c>
      <c r="FO229" s="1564" t="e">
        <f aca="false">IF($EI229&gt;0,MIN(FH229,BC229*(1+VLOOKUP($C229,WeatherCapacityAdjustment,3))),0)</f>
        <v>#VALUE!</v>
      </c>
      <c r="FP229" s="1551" t="e">
        <f aca="false">IF(ET229&gt;0,MIN(FE229-FL229,BH229*(1+VLOOKUP($C229,WeatherCapacityAdjustment,2))),0)</f>
        <v>#VALUE!</v>
      </c>
      <c r="FQ229" s="1551" t="e">
        <f aca="false">IF(EU229&gt;0,MIN(FF229-FM229,BI229*(1+VLOOKUP($C229,WeatherCapacityAdjustment,2))),0)</f>
        <v>#VALUE!</v>
      </c>
      <c r="FR229" s="1551" t="e">
        <f aca="false">IF(EV229&gt;0,MIN(FG229-FN229,BJ229*(1+VLOOKUP($C229,WeatherCapacityAdjustment,2))),0)</f>
        <v>#VALUE!</v>
      </c>
      <c r="FS229" s="1558" t="e">
        <f aca="false">IF(EW229&gt;0,MIN(FH229-FO229,BK229*(1+VLOOKUP($C229,WeatherCapacityAdjustment,3))),0)</f>
        <v>#VALUE!</v>
      </c>
      <c r="FT229" s="1566" t="e">
        <f aca="false">IF(AND(Assumptions!$H$71="Yes",A229&gt;=Assumptions!$H$72,A229&lt;=Assumptions!$H$73),0,IF(AND($A229&gt;=Assumptions!$C$17,$A229&lt;=Assumptions!$C$18),MAX(AZ229*(1+VLOOKUP($C229,WeatherCapacityAdjustment,2))-FL229,0),0))</f>
        <v>#VALUE!</v>
      </c>
      <c r="FU229" s="1551" t="e">
        <f aca="false">IF(AND(Assumptions!$H$71="Yes",A229&gt;=Assumptions!$H$72,A229&lt;=Assumptions!$H$73),0,IF(AND($A229&gt;=Assumptions!$C$17,$A229&lt;=Assumptions!$C$18),MAX(BA229*(1+VLOOKUP($C229,WeatherCapacityAdjustment,2))-FM229,0),0))</f>
        <v>#VALUE!</v>
      </c>
      <c r="FV229" s="1551" t="e">
        <f aca="false">IF(AND(Assumptions!$H$71="Yes",A229&gt;=Assumptions!$H$72,A229&lt;=Assumptions!$H$73),0,IF(AND($A229&gt;=Assumptions!$C$17,$A229&lt;=Assumptions!$C$18),MAX(BB229*(1+VLOOKUP($C229,WeatherCapacityAdjustment,2))-FN229,0),0))</f>
        <v>#VALUE!</v>
      </c>
      <c r="FW229" s="1564" t="e">
        <f aca="false">IF(AND(Assumptions!$H$71="Yes",A229&gt;=Assumptions!$H$72,A229&lt;=Assumptions!$H$73),0,IF(AND($A229&gt;=Assumptions!$C$17,$A229&lt;=Assumptions!$C$18),MAX(BC229*(1+VLOOKUP($C229,WeatherCapacityAdjustment,3))-FO229,0),0))</f>
        <v>#VALUE!</v>
      </c>
      <c r="FX229" s="1569" t="e">
        <f aca="false">IF(AND(Assumptions!$H$71="Yes",A229&gt;=Assumptions!$H$72,A229&lt;=Assumptions!$H$73),0,IF(ET229&gt;0,MAX(BH229*(1+VLOOKUP($C229,WeatherCapacityAdjustment,2))-FP229,0),0))</f>
        <v>#VALUE!</v>
      </c>
      <c r="FY229" s="1551" t="e">
        <f aca="false">IF(AND(Assumptions!$H$71="Yes",A229&gt;=Assumptions!$H$72,A229&lt;=Assumptions!$H$73),0,IF(EU229&gt;0,MAX(BI229*(1+VLOOKUP($C229,WeatherCapacityAdjustment,3))-FQ229,0),0))</f>
        <v>#VALUE!</v>
      </c>
      <c r="FZ229" s="1551" t="e">
        <f aca="false">IF(AND(Assumptions!$H$71="Yes",A229&gt;=Assumptions!$H$72,A229&lt;=Assumptions!$H$73),0,IF(EV229&gt;0,MAX(BJ229*(1+VLOOKUP($C229,WeatherCapacityAdjustment,2))-FR229,0),0))</f>
        <v>#VALUE!</v>
      </c>
      <c r="GA229" s="1564" t="e">
        <f aca="false">IF(AND(Assumptions!$H$71="Yes",A229&gt;=Assumptions!$H$72,A229&lt;=Assumptions!$H$73),0,IF(EW229&gt;0,MAX(BK229*(1+VLOOKUP($C229,WeatherCapacityAdjustment,2))-FS229,0),0))</f>
        <v>#VALUE!</v>
      </c>
      <c r="GB229" s="1551" t="e">
        <f aca="false">SUM(FT229:GA229)</f>
        <v>#VALUE!</v>
      </c>
      <c r="GC229" s="1563" t="e">
        <f aca="false">+IF(SUM(FT229:GA229)=0,0,(SUMPRODUCT(BU229:BX229,FT229:FW229)+SUMPRODUCT(CA229:CD229,FX229:GA229))/SUM(FT229:GA229))</f>
        <v>#VALUE!</v>
      </c>
      <c r="GD229" s="1551" t="e">
        <f aca="false">(FT229*BU229+FX229*CA229+FU229*BV229+FY229*CB229+FV229*BW229+FZ229*CC229+FW229*BX229+GA229*CD229)</f>
        <v>#VALUE!</v>
      </c>
      <c r="GE229" s="1561" t="e">
        <f aca="false">+IF(BQ229,((FL229+FM229+FT229+FU229)*HeatRatePeak/1000*(1+VLOOKUP($C229,WeatherHeatRateAdjustment,2))+(FN229+FV229)*IF(EV229&gt;0,HeatRatePeak,HeatRateOffPeak)/1000*(1+VLOOKUP($C229,WeatherHeatRateAdjustment,2))+(FO229+FW229)*IF(EW229&gt;0,HeatRatePeak,HeatRateOffPeak)/1000*(1+VLOOKUP($C229,WeatherHeatRateAdjustment,3)))*(1+VLOOKUP($B229,HeatRateDegradation,$C229+1)),0)</f>
        <v>#VALUE!</v>
      </c>
      <c r="GF229" s="1562" t="e">
        <f aca="false">IF(BQ229,((FP229+FQ229+FR229+FX229+FY229+FZ229)*HeatRatePeak/1000*(1+VLOOKUP($C229,WeatherHeatRateAdjustment,2))+(FS229+GA229)*HeatRatePeak/1000*(1+VLOOKUP($C229,WeatherHeatRateAdjustment,3)))*(1+VLOOKUP($B229,HeatRateDegradation,$C229+1)),0)</f>
        <v>#VALUE!</v>
      </c>
      <c r="GG229" s="1563" t="e">
        <f aca="false">IF(BQ229,VLOOKUP(A229,GasTable,13),0)</f>
        <v>#VALUE!</v>
      </c>
      <c r="GH229" s="1564" t="e">
        <f aca="false">(GE229+GF229)*GG229</f>
        <v>#VALUE!</v>
      </c>
      <c r="GI229" s="1569" t="e">
        <f aca="false">GB229</f>
        <v>#VALUE!</v>
      </c>
      <c r="GJ229" s="1598" t="e">
        <f aca="false">+DA229</f>
        <v>#VALUE!</v>
      </c>
      <c r="GK229" s="1558" t="e">
        <f aca="false">+GI229*GJ229</f>
        <v>#VALUE!</v>
      </c>
      <c r="GL229" s="1566" t="e">
        <f aca="false">MAX(FE229-FL229-FP229,0)</f>
        <v>#VALUE!</v>
      </c>
      <c r="GM229" s="1551" t="e">
        <f aca="false">MAX(FF229-FM229-FQ229,0)</f>
        <v>#VALUE!</v>
      </c>
      <c r="GN229" s="1551" t="e">
        <f aca="false">MAX(FG229-FN229-FR229,0)</f>
        <v>#VALUE!</v>
      </c>
      <c r="GO229" s="1564" t="e">
        <f aca="false">MAX(FH229-FO229-FS229,0)</f>
        <v>#VALUE!</v>
      </c>
      <c r="GP229" s="1551" t="e">
        <f aca="false">SUM(GL229:GO229)</f>
        <v>#VALUE!</v>
      </c>
      <c r="GQ229" s="1563" t="e">
        <f aca="false">IF(SUM(GL229:GO229)=0,0,((GL229*BU229+GM229*BV229+GN229*BW229+GO229*BX229)/SUM(GL229:GO229)))</f>
        <v>#VALUE!</v>
      </c>
      <c r="GR229" s="1558" t="e">
        <f aca="false">(GL229*BU229+GM229*BV229+GN229*BW229+GO229*BX229)</f>
        <v>#VALUE!</v>
      </c>
      <c r="GS229" s="1566" t="n">
        <f aca="false">IF($A229&gt;=BegDate,Assumptions!$C$56*24*($A230-$A229)*(1-VLOOKUP($B229,MAIN!$AA$7:$AM$28,$C229+1))*(1-VLOOKUP($B229,MAIN!$AA$33:$AM$54,$C229+1)),0)*80/168</f>
        <v>257742.857142857</v>
      </c>
      <c r="GT229" s="286" t="n">
        <f aca="false">J229</f>
        <v>60.0646102925707</v>
      </c>
      <c r="GU229" s="286" t="n">
        <f aca="false">IF($A229&gt;=BegDate,VLOOKUP($A229,GasTable,13)+Assumptions!$C$58,0)</f>
        <v>4.01487499587164</v>
      </c>
      <c r="GV229" s="286" t="n">
        <f aca="false">GU229*Assumptions!$C$57/1000</f>
        <v>29.1078437200694</v>
      </c>
      <c r="GW229" s="1558" t="n">
        <f aca="false">IF(Assumptions!$C$60="Hourly",MAX(0,GS229*(GT229-GV229)),GS229*(GT229-GV229))</f>
        <v>7978885.46430098</v>
      </c>
      <c r="GX229" s="1566" t="n">
        <f aca="false">IF($A229&gt;=BegDate,Assumptions!$C$56*24*($A230-$A229)*(1-VLOOKUP($B229,MAIN!$AA$7:$AM$28,$C229+1))*(1-VLOOKUP($B229,MAIN!$AA$33:$AM$54,$C229+1)),0)*16/168</f>
        <v>51548.5714285714</v>
      </c>
      <c r="GY229" s="286" t="n">
        <f aca="false">M229</f>
        <v>60.0646102925707</v>
      </c>
      <c r="GZ229" s="286" t="n">
        <f aca="false">IF($A229&gt;=BegDate,VLOOKUP($A229,GasTable,13)+Assumptions!$C$58,0)</f>
        <v>4.01487499587164</v>
      </c>
      <c r="HA229" s="286" t="n">
        <f aca="false">GZ229*Assumptions!$C$57/1000</f>
        <v>29.1078437200694</v>
      </c>
      <c r="HB229" s="1558" t="n">
        <f aca="false">IF(Assumptions!$C$60="Hourly",MAX(0,GX229*(GY229-HA229)),GX229*(GY229-HA229))</f>
        <v>1595777.0928602</v>
      </c>
      <c r="HC229" s="1566" t="n">
        <f aca="false">IF($A229&gt;=BegDate,Assumptions!$C$56*24*($A230-$A229)*(1-VLOOKUP($B229,MAIN!$AA$7:$AM$28,$C229+1))*(1-VLOOKUP($B229,MAIN!$AA$33:$AM$54,$C229+1)),0)*16/168</f>
        <v>51548.5714285714</v>
      </c>
      <c r="HD229" s="286" t="n">
        <f aca="false">P229</f>
        <v>34.0426777848547</v>
      </c>
      <c r="HE229" s="286" t="n">
        <f aca="false">IF($A229&gt;=BegDate,VLOOKUP($A229,GasTable,13)+Assumptions!$C$58,0)</f>
        <v>4.01487499587164</v>
      </c>
      <c r="HF229" s="286" t="n">
        <f aca="false">HE229*Assumptions!$C$57/1000</f>
        <v>29.1078437200694</v>
      </c>
      <c r="HG229" s="1558" t="n">
        <f aca="false">IF(Assumptions!$C$60="Hourly",MAX(0,HC229*(HD229-HF229)),HC229*(HD229-HF229))</f>
        <v>254383.646276737</v>
      </c>
      <c r="HH229" s="1566" t="n">
        <f aca="false">IF($A229&gt;=BegDate,Assumptions!$C$56*24*($A230-$A229)*(1-VLOOKUP($B229,MAIN!$AA$7:$AM$28,$C229+1))*(1-VLOOKUP($B229,MAIN!$AA$33:$AM$54,$C229+1)),0)*56/168</f>
        <v>180420</v>
      </c>
      <c r="HI229" s="286" t="n">
        <f aca="false">S229</f>
        <v>34.0426777848547</v>
      </c>
      <c r="HJ229" s="286" t="n">
        <f aca="false">IF($A229&gt;=BegDate,VLOOKUP($A229,GasTable,13)+Assumptions!$C$58,0)</f>
        <v>4.01487499587164</v>
      </c>
      <c r="HK229" s="286" t="n">
        <f aca="false">HJ229*Assumptions!$C$57/1000</f>
        <v>29.1078437200694</v>
      </c>
      <c r="HL229" s="1558" t="n">
        <f aca="false">IF(Assumptions!$C$60="Hourly",MAX(0,HH229*(HI229-HK229)),HH229*(HI229-HK229))</f>
        <v>890342.761968578</v>
      </c>
      <c r="HM229" s="1566" t="n">
        <f aca="false">IF(AND(Assumptions!$H$71="Yes",A229&gt;=Assumptions!$H$72,A229&lt;=Assumptions!$H$73),Assumptions!$H$74*Assumptions!$C$9*1000,0)</f>
        <v>0</v>
      </c>
      <c r="HN229" s="1551"/>
      <c r="HO229" s="1563"/>
      <c r="HP229" s="1563"/>
      <c r="HQ229" s="1563"/>
      <c r="HR229" s="1563"/>
      <c r="HS229" s="1563"/>
      <c r="HT229" s="1563"/>
      <c r="HU229" s="1563"/>
      <c r="HV229" s="1563"/>
      <c r="HW229" s="1563"/>
      <c r="HX229" s="1563"/>
      <c r="HY229" s="1563"/>
      <c r="HZ229" s="1563"/>
      <c r="IA229" s="1563"/>
      <c r="IB229" s="1563"/>
      <c r="IC229" s="1563"/>
      <c r="ID229" s="1563"/>
      <c r="IE229" s="1563"/>
      <c r="IF229" s="1563"/>
      <c r="IG229" s="1563"/>
      <c r="IH229" s="1563"/>
      <c r="II229" s="1610"/>
      <c r="IJ229" s="1309"/>
      <c r="IK229" s="1309"/>
    </row>
    <row r="230" customFormat="false" ht="12.75" hidden="false" customHeight="false" outlineLevel="0" collapsed="false">
      <c r="A230" s="1571" t="n">
        <f aca="false">EOMONTH(A229,0)+1</f>
        <v>43132</v>
      </c>
      <c r="B230" s="594" t="n">
        <f aca="false">+YEAR(A230)</f>
        <v>2018</v>
      </c>
      <c r="C230" s="238" t="n">
        <f aca="false">MONTH(A230)</f>
        <v>2</v>
      </c>
      <c r="D230" s="1572" t="e">
        <f aca="false">IF(E230="","",Holiday(B230,C230))</f>
        <v>#VALUE!</v>
      </c>
      <c r="E230" s="1573" t="n">
        <f aca="false">IF(OR(BegDate&gt;=A231,EndDate&lt;A230,AND(VolumeMonthlyOverFlag,INDEX(VolumeMonthlyOver,C230)=0),NOT(INDEX(MonthKnockOutTable,C230))),"",MAX(A230,BegDate))</f>
        <v>43132</v>
      </c>
      <c r="F230" s="1574" t="n">
        <f aca="false">IF(E230="","",MIN(A231-1,EndDate))</f>
        <v>43159</v>
      </c>
      <c r="G230" s="1575" t="n">
        <v>0</v>
      </c>
      <c r="H230" s="1576" t="n">
        <f aca="false">(1+G230/2)^(-2*(DATE(B231,C231,20)-DateToday)/365.25)</f>
        <v>1</v>
      </c>
      <c r="I230" s="1568" t="n">
        <f aca="false">IF(Assumptions!$L$25=4,VLOOKUP($A230,'Henwood Reference'!$E$9:$R$320,10),(VLOOKUP($A230,PriceTable,2,0)+IF(BasisNumber&lt;&gt;1,VLOOKUP($A230,BasisTable,2,0),0)+I$1)/(1-I$2))</f>
        <v>52.2156830390153</v>
      </c>
      <c r="J230" s="1568" t="n">
        <f aca="false">IF(Assumptions!$L$25=4,VLOOKUP($A230,'Henwood Reference'!$E$9:$R$320,10),(VLOOKUP($A230,PriceTable,3,0)+IF(BasisNumber&lt;&gt;1,VLOOKUP($A230,BasisTable,2,0),0)+J$1)/(1-J$2))</f>
        <v>52.2156830390153</v>
      </c>
      <c r="K230" s="1568" t="n">
        <f aca="false">IF(Assumptions!$L$25=4,VLOOKUP($A230,'Henwood Reference'!$E$9:$R$320,10),(VLOOKUP($A230,PriceTable,4,0)+IF(BasisNumber&lt;&gt;1,VLOOKUP($A230,BasisTable,2,0),0)+K$1)/(1-K$2))</f>
        <v>52.2156830390153</v>
      </c>
      <c r="L230" s="1523" t="n">
        <f aca="false">IF(Assumptions!$L$25=4,VLOOKUP($A230,'Henwood Reference'!$E$9:$R$320,10),(VLOOKUP($A230,PriceTableWeekend,2,0)+IF(BasisNumber&lt;&gt;1,VLOOKUP($A230,BasisTable,2,0),0)+L$1)/(1-L$2))</f>
        <v>52.2156830390153</v>
      </c>
      <c r="M230" s="1568" t="n">
        <f aca="false">IF(Assumptions!$L$25=4,VLOOKUP($A230,'Henwood Reference'!$E$9:$R$320,10),(VLOOKUP($A230,PriceTableWeekend,3,0)+IF(BasisNumber&lt;&gt;1,VLOOKUP($A230,BasisTable,2,0),0)+M$1)/(1-M$2))</f>
        <v>52.2156830390153</v>
      </c>
      <c r="N230" s="1599" t="n">
        <f aca="false">IF(Assumptions!$L$25=4,VLOOKUP($A230,'Henwood Reference'!$E$9:$R$320,10),(VLOOKUP($A230,PriceTableWeekend,4,0)+IF(BasisNumber&lt;&gt;1,VLOOKUP($A230,BasisTable,2,0),0)+N$1)/(1-N$2))</f>
        <v>52.2156830390153</v>
      </c>
      <c r="O230" s="1568" t="n">
        <f aca="false">IF(Assumptions!$L$25=4,VLOOKUP($A230,'Henwood Reference'!$E$9:$R$320,11),(VLOOKUP($A230,PriceTableWeekend,6,0)+IF(BasisNumber&lt;&gt;1,VLOOKUP($A230,BasisTable,3,0),0)+O$1)/(1-O$2))</f>
        <v>29.0508143249509</v>
      </c>
      <c r="P230" s="1568" t="n">
        <f aca="false">IF(Assumptions!$L$25=4,VLOOKUP($A230,'Henwood Reference'!$E$9:$R$320,11),(VLOOKUP($A230,PriceTableWeekend,7,0)+IF(BasisNumber&lt;&gt;1,VLOOKUP($A230,BasisTable,3,0),0)+P$1)/(1-P$2))</f>
        <v>29.0508143249509</v>
      </c>
      <c r="Q230" s="1599" t="n">
        <f aca="false">IF(Assumptions!$L$25=4,VLOOKUP($A230,'Henwood Reference'!$E$9:$R$320,11),(VLOOKUP($A230,PriceTableWeekend,8,0)+IF(BasisNumber&lt;&gt;1,VLOOKUP($A230,BasisTable,3,0),0)+Q$1)/(1-Q$2))</f>
        <v>29.0508143249509</v>
      </c>
      <c r="R230" s="1568" t="n">
        <f aca="false">IF(Assumptions!$L$25=4,VLOOKUP($A230,'Henwood Reference'!$E$9:$R$320,11),(VLOOKUP($A230,PriceTable,6,0)+IF(BasisNumber&lt;&gt;1,VLOOKUP($A230,BasisTable,3,0),0)+R$1)/(1-R$2))</f>
        <v>29.0508143249509</v>
      </c>
      <c r="S230" s="1568" t="n">
        <f aca="false">IF(Assumptions!$L$25=4,VLOOKUP($A230,'Henwood Reference'!$E$9:$R$320,11),(VLOOKUP($A230,PriceTable,7,0)+IF(BasisNumber&lt;&gt;1,VLOOKUP($A230,BasisTable,3,0),0)+S$1)/(1-S$2))</f>
        <v>29.0508143249509</v>
      </c>
      <c r="T230" s="1600" t="n">
        <f aca="false">IF(Assumptions!$L$25=4,VLOOKUP($A230,'Henwood Reference'!$E$9:$R$320,11),(VLOOKUP($A230,PriceTable,8,0)+IF(BasisNumber&lt;&gt;1,VLOOKUP($A230,BasisTable,3,0),0)+T$1)/(1-T$2))</f>
        <v>29.0508143249509</v>
      </c>
      <c r="U230" s="1513" t="n">
        <f aca="false">VLOOKUP($A230,VolatilityTable,14)</f>
        <v>0.09</v>
      </c>
      <c r="V230" s="1513" t="n">
        <f aca="false">VLOOKUP($A230,VolatilityTable,15)</f>
        <v>0.1</v>
      </c>
      <c r="W230" s="1514" t="n">
        <f aca="false">VLOOKUP($A230,VolatilityTable,16)</f>
        <v>0.11</v>
      </c>
      <c r="X230" s="1513" t="n">
        <f aca="false">VLOOKUP($A230,VolatilityTable,14)</f>
        <v>0.09</v>
      </c>
      <c r="Y230" s="1513" t="n">
        <f aca="false">VLOOKUP($A230,VolatilityTable,15)</f>
        <v>0.1</v>
      </c>
      <c r="Z230" s="1514" t="n">
        <f aca="false">VLOOKUP($A230,VolatilityTable,16)</f>
        <v>0.11</v>
      </c>
      <c r="AA230" s="1513" t="n">
        <f aca="false">VLOOKUP($A230,VolatilityTable,18)</f>
        <v>0.09</v>
      </c>
      <c r="AB230" s="1513" t="n">
        <f aca="false">VLOOKUP($A230,VolatilityTable,19)</f>
        <v>0.11</v>
      </c>
      <c r="AC230" s="1514" t="n">
        <f aca="false">VLOOKUP($A230,VolatilityTable,20)</f>
        <v>0.13</v>
      </c>
      <c r="AD230" s="1513" t="n">
        <f aca="false">VLOOKUP($A230,VolatilityTable,18)</f>
        <v>0.09</v>
      </c>
      <c r="AE230" s="1513" t="n">
        <f aca="false">VLOOKUP($A230,VolatilityTable,19)</f>
        <v>0.11</v>
      </c>
      <c r="AF230" s="1514" t="n">
        <f aca="false">VLOOKUP($A230,VolatilityTable,20)</f>
        <v>0.13</v>
      </c>
      <c r="AG230" s="1513" t="n">
        <f aca="false">VLOOKUP($A230,VolatilityTable,22)</f>
        <v>-0.25</v>
      </c>
      <c r="AH230" s="1513" t="n">
        <f aca="false">VLOOKUP($A230,VolatilityTable,23)</f>
        <v>0.65</v>
      </c>
      <c r="AI230" s="1514" t="n">
        <f aca="false">VLOOKUP($A230,VolatilityTable,24)</f>
        <v>0.25</v>
      </c>
      <c r="AJ230" s="1513" t="n">
        <f aca="false">VLOOKUP($A230,VolatilityTable,22)</f>
        <v>-0.25</v>
      </c>
      <c r="AK230" s="1513" t="n">
        <f aca="false">VLOOKUP($A230,VolatilityTable,23)</f>
        <v>0.65</v>
      </c>
      <c r="AL230" s="1514" t="n">
        <f aca="false">VLOOKUP($A230,VolatilityTable,24)</f>
        <v>0.25</v>
      </c>
      <c r="AM230" s="1513" t="n">
        <f aca="false">VLOOKUP($A230,VolatilityTable,26)</f>
        <v>-0.01</v>
      </c>
      <c r="AN230" s="1513" t="n">
        <f aca="false">VLOOKUP($A230,VolatilityTable,27)</f>
        <v>0.16</v>
      </c>
      <c r="AO230" s="1514" t="n">
        <f aca="false">VLOOKUP($A230,VolatilityTable,28)</f>
        <v>0.01</v>
      </c>
      <c r="AP230" s="1513" t="n">
        <f aca="false">VLOOKUP($A230,VolatilityTable,26)</f>
        <v>-0.01</v>
      </c>
      <c r="AQ230" s="1513" t="n">
        <f aca="false">VLOOKUP($A230,VolatilityTable,27)</f>
        <v>0.16</v>
      </c>
      <c r="AR230" s="1515" t="n">
        <f aca="false">VLOOKUP($A230,VolatilityTable,28)</f>
        <v>0.01</v>
      </c>
      <c r="AS230" s="1581" t="n">
        <f aca="false">IF(CorrPeakOffPeakOverFlag,INDEX(CorrPeakOffPeakOver,C230),CorrPeakOffPeak)</f>
        <v>0.5</v>
      </c>
      <c r="AT230" s="594" t="e">
        <f aca="false">AX230-SUM(AU230:AW230)</f>
        <v>#VALUE!</v>
      </c>
      <c r="AU230" s="238" t="e">
        <f aca="false">IF(E230="",0,INT((F230-MOD(F230,7)-E230)/7)+1-IF(AW230,IF(WEEKDAY(D230)=7,1,0),0))</f>
        <v>#VALUE!</v>
      </c>
      <c r="AV230" s="238" t="e">
        <f aca="false">IF(E230="",0,INT((F230-MOD(F230-1,7)-E230)/7)+1-IF(AW230,IF(WEEKDAY(D230)=1,1,0),0))</f>
        <v>#VALUE!</v>
      </c>
      <c r="AW230" s="238" t="e">
        <f aca="false">IF(OR(E230="",D230="",D230&lt;BegDate,D230&gt;EndDate),0,1)</f>
        <v>#VALUE!</v>
      </c>
      <c r="AX230" s="238" t="n">
        <f aca="false">IF(E230="",0,F230-E230+1)</f>
        <v>28</v>
      </c>
      <c r="AY230" s="1582" t="n">
        <f aca="false">IF(E230="",0,MIN((1-(1-VLOOKUP(B230,MAIN!$AA$7:$AM$28,C230+1))*(1-VLOOKUP(B230,MAIN!$AA$33:$AM$54,C230+1))),1))</f>
        <v>0.03</v>
      </c>
      <c r="AZ230" s="1519" t="e">
        <v>#VALUE!</v>
      </c>
      <c r="BA230" s="1520" t="e">
        <v>#VALUE!</v>
      </c>
      <c r="BB230" s="1520" t="e">
        <v>#VALUE!</v>
      </c>
      <c r="BC230" s="1583" t="e">
        <v>#VALUE!</v>
      </c>
      <c r="BD230" s="1522" t="e">
        <v>#VALUE!</v>
      </c>
      <c r="BE230" s="1523" t="e">
        <v>#VALUE!</v>
      </c>
      <c r="BF230" s="1523" t="e">
        <v>#VALUE!</v>
      </c>
      <c r="BG230" s="1584" t="e">
        <v>#VALUE!</v>
      </c>
      <c r="BH230" s="1525" t="e">
        <v>#VALUE!</v>
      </c>
      <c r="BI230" s="1520" t="e">
        <v>#VALUE!</v>
      </c>
      <c r="BJ230" s="1520" t="e">
        <v>#VALUE!</v>
      </c>
      <c r="BK230" s="1583" t="e">
        <v>#VALUE!</v>
      </c>
      <c r="BL230" s="1522" t="e">
        <v>#VALUE!</v>
      </c>
      <c r="BM230" s="1523" t="e">
        <v>#VALUE!</v>
      </c>
      <c r="BN230" s="1523" t="e">
        <v>#VALUE!</v>
      </c>
      <c r="BO230" s="1523" t="e">
        <v>#VALUE!</v>
      </c>
      <c r="BP230" s="1525" t="e">
        <f aca="false">SUM(AZ230:BB230)</f>
        <v>#VALUE!</v>
      </c>
      <c r="BQ230" s="1529" t="e">
        <f aca="false">SUM(AZ230:BC230)</f>
        <v>#VALUE!</v>
      </c>
      <c r="BR230" s="1519" t="e">
        <f aca="false">SUM(BH230:BJ230)</f>
        <v>#VALUE!</v>
      </c>
      <c r="BS230" s="1529" t="e">
        <f aca="false">SUM(BH230:BK230)</f>
        <v>#VALUE!</v>
      </c>
      <c r="BT230" s="1316" t="n">
        <f aca="false">(IF(OVolType&lt;&gt;2,A230+14,IF(OptExpDateShift,ShiftBack(A230,OptExpDateShift,D229),A230))-DateToday)/365.25</f>
        <v>17.8015058179329</v>
      </c>
      <c r="BU230" s="1585" t="e">
        <f aca="false">IF(BQ230,IF(OPriceCurve,IF(OBuySell=OCallPut,I230/(1-AY230),K230/(1-AY230)),J230/(1-AY230))*BD230,0)</f>
        <v>#VALUE!</v>
      </c>
      <c r="BV230" s="1316" t="e">
        <f aca="false">IF(BQ230,IF(OPriceCurve,IF(OBuySell=OCallPut,L230/(1-AY230),N230/(1-AY230)),M230/(1-AY230))*BE230,0)</f>
        <v>#VALUE!</v>
      </c>
      <c r="BW230" s="1316" t="e">
        <f aca="false">IF(BQ230,IF(OPriceCurve,IF(OBuySell=OCallPut,O230/(1-AY230),Q230/(1-AY230)),P230/(1-AY230))*BF230,0)</f>
        <v>#VALUE!</v>
      </c>
      <c r="BX230" s="1316" t="e">
        <f aca="false">IF(BQ230,IF(OPriceCurve,IF(OBuySell=OCallPut,R230/(1-AY230),T230/(1-AY230)),S230/(1-AY230))*BG230,0)</f>
        <v>#VALUE!</v>
      </c>
      <c r="BY230" s="1316" t="e">
        <f aca="false">IF(BP230,(BU230*AZ230+BV230*BA230+BW230*BB230)/BP230,0)</f>
        <v>#VALUE!</v>
      </c>
      <c r="BZ230" s="1316" t="e">
        <f aca="false">IF(BQ230,(BY230*BP230+BX230*BC230)/BQ230,0)</f>
        <v>#VALUE!</v>
      </c>
      <c r="CA230" s="1531" t="e">
        <f aca="false">IF(BS230,IF(OPriceCurve,IF(OBuySell=OCallPut,I230/(1-AY230),K230/(1-AY230)),J230/(1-AY230))*BL230,0)</f>
        <v>#VALUE!</v>
      </c>
      <c r="CB230" s="1316" t="e">
        <f aca="false">IF(BS230,IF(OPriceCurve,IF(OBuySell=OCallPut,L230/(1-AY230),N230/(1-AY230)),M230/(1-AY230))*BM230,0)</f>
        <v>#VALUE!</v>
      </c>
      <c r="CC230" s="1316" t="e">
        <f aca="false">IF(BS230,IF(OPriceCurve,IF(OBuySell=OCallPut,O230/(1-AY230),Q230/(1-AY230)),P230/(1-AY230))*BN230,0)</f>
        <v>#VALUE!</v>
      </c>
      <c r="CD230" s="1316" t="e">
        <f aca="false">IF(BS230,IF(OPriceCurve,IF(OBuySell=OCallPut,R230/(1-AY230),T230/(1-AY230)),S230/(1-AY230))*BO230,0)</f>
        <v>#VALUE!</v>
      </c>
      <c r="CE230" s="1316" t="e">
        <f aca="false">IF(BR230,(BU230*BH230+BV230*BI230+BW230*BJ230)/BR230,0)</f>
        <v>#VALUE!</v>
      </c>
      <c r="CF230" s="1532" t="e">
        <f aca="false">IF(BS230,(CE230*BR230+CD230*BK230)/BS230,0)</f>
        <v>#VALUE!</v>
      </c>
      <c r="CG230" s="1586" t="e">
        <f aca="false">IF(OR(BQ230,BS230),IF(OVolType&lt;&gt;2,SQRT(IF(OVolOverMonthlyPeak,OVolOverMonthlyPeak,IF(OVolCurve,IF(OBuySell,U230,W230),V230))^2*(1-15/365.25/BT230)+IF(OVolOverDailyPeak,OVolOverDailyPeak,IF(OVolCurve,IF(OBuySell,AG230,AI230),AH230))^2*15/365.25/BT230),IF(OVolOverMonthlyPeak,OVolOverMonthlyPeak,IF(OVolCurve,IF(OBuySell,U230,W230),V230))),"")</f>
        <v>#VALUE!</v>
      </c>
      <c r="CH230" s="1587" t="e">
        <f aca="false">IF(OR(BQ230,BS230),IF(OVolType&lt;&gt;2,SQRT(IF(OVolOverMonthlyPeak,OVolOverMonthlyPeak,IF(OVolCurve,IF(OBuySell,X230,Z230),Y230))^2*(1-15/365.25/BT230)+IF(OVolOverDailyPeak,OVolOverDailyPeak,IF(OVolCurve,IF(OBuySell,AJ230,AL230),AK230))^2*15/365.25/BT230),IF(OVolOverMonthlyPeak,OVolOverMonthlyPeak,IF(OVolCurve,IF(OBuySell,X230,Z230),Y230))),"")</f>
        <v>#VALUE!</v>
      </c>
      <c r="CI230" s="1587" t="e">
        <f aca="false">IF(OR(BQ230,BS230),IF(OVolType&lt;&gt;2,SQRT(IF(OVolOverMonthlyPeak,OVolOverMonthlyPeak,IF(OVolCurve,IF(OBuySell,AA230,AC230),AB230))^2*(1-15/365.25/BT230)+IF(OVolOverDailyPeak,OVolOverDailyPeak,IF(OVolCurve,IF(OBuySell,AM230,AO230),AN230))^2*15/365.25/BT230),IF(OVolOverMonthlyPeak,OVolOverMonthlyPeak,IF(OVolCurve,IF(OBuySell,AA230,AC230),AB230))),"")</f>
        <v>#VALUE!</v>
      </c>
      <c r="CJ230" s="1587" t="e">
        <f aca="false">IF(BQ230,IF(BP230,SQRT(LN(1+((BU230*AZ230)^2*(EXP(CG230^2*BT230)-1)+(BV230*BA230)^2*(EXP(CH230^2*BT230)-1)+(BW230*BB230)^2*(EXP(CI230^2*BT230)-1)+2*BU230*AZ230*BV230*BA230*(EXP(CG230*CH230*BT230)-1)+2*BV230*BA230*BW230*BB230*(EXP(CH230*CI230*BT230)-1)+2*BW230*BB230*BU230*AZ230*(EXP(CI230*CG230*BT230)-1))/(BY230*BP230)^2)/BT230),0),"")</f>
        <v>#VALUE!</v>
      </c>
      <c r="CK230" s="1587" t="e">
        <f aca="false">IF(BS230,IF(BR230,SQRT(LN(1+((CA230*BH230)^2*(EXP(CG230^2*BT230)-1)+(CB230*BI230)^2*(EXP(CH230^2*BT230)-1)+(CC230*BJ230)^2*(EXP(CI230^2*BT230)-1)+2*CA230*BH230*CB230*BI230*(EXP(CG230*CH230*BT230)-1)+2*CB230*BI230*CC230*BJ230*(EXP(CH230*CI230*BT230)-1)+2*CC230*BJ230*CA230*BH230*(EXP(CI230*CG230*BT230)-1))/(CE230*BR230)^2)/BT230),0),"")</f>
        <v>#VALUE!</v>
      </c>
      <c r="CL230" s="1587" t="e">
        <f aca="false">IF(OR(BQ230,BS230),IF(OVolType&lt;&gt;2,SQRT(IF(OVolOverMonthlyOffPeak,OVolOverMonthlyOffPeak,IF(OVolCurve,IF(OBuySell,AD230,AF230),AE230))^2*(1-15/365.25/BT230)+IF(OVolOverDailyOffPeak,OVolOverDailyOffPeak,IF(OVolCurve,IF(OBuySell,AP230,AR230),AQ230))^2*15/365.25/BT230),IF(OVolOverMonthlyOffPeak,OVolOverMonthlyOffPeak,IF(OVolCurve,IF(OBuySell,AD230,AF230),AE230))),"")</f>
        <v>#VALUE!</v>
      </c>
      <c r="CM230" s="1587" t="e">
        <f aca="false">IF(BQ230,SQRT(LN(1+((BY230*BP230)^2*(EXP(CJ230^2*BT230)-1)+(BX230*BC230)^2*(EXP(CL230^2*BT230)-1)+2*BY230*BP230*BX230*BC230*(EXP(AS230*CJ230*CL230*BT230)-1))/(BY230*BP230+BX230*BC230)^2)/BT230),"")</f>
        <v>#VALUE!</v>
      </c>
      <c r="CN230" s="1588" t="e">
        <f aca="false">IF(BS230,SQRT(LN(1+((CE230*BR230)^2*(EXP(CK230^2*BT230)-1)+(CD230*BK230)^2*(EXP(CL230^2*BT230)-1)+2*CE230*BR230*CD230*BK230*(EXP(AS230*CK230*CL230*BT230)-1))/(CE230*BR230+CD230*BK230)^2)/BT230),"")</f>
        <v>#VALUE!</v>
      </c>
      <c r="CO230" s="1531" t="e">
        <f aca="false">IF(OR(BQ230,BS230),VLOOKUP(A230,GasTable,13)*HeatRatePeak*(1+VLOOKUP($B230,HeatRateDegradation,$C230+1))/1000,0)</f>
        <v>#VALUE!</v>
      </c>
      <c r="CP230" s="1316" t="e">
        <f aca="false">IF(OR(BQ230,BS230),VLOOKUP(A230,GasTable,13)*HeatRatePeak*(1+VLOOKUP($B230,HeatRateDegradation,$C230+1))/1000,0)</f>
        <v>#VALUE!</v>
      </c>
      <c r="CQ230" s="1316" t="e">
        <f aca="false">IF(OR(BQ230,BS230),VLOOKUP(A230,GasTable,13)*IF(EV230,HeatRatePeak,HeatRateOffPeak)*(1+VLOOKUP($B230,HeatRateDegradation,$C230+1))/1000,0)</f>
        <v>#VALUE!</v>
      </c>
      <c r="CR230" s="1316" t="e">
        <f aca="false">IF(OR(BQ230,BS230),VLOOKUP(A230,GasTable,13)*IF(EW230,HeatRatePeak,HeatRateOffPeak)*(1+VLOOKUP($B230,HeatRateDegradation,$C230+1))/1000,0)</f>
        <v>#VALUE!</v>
      </c>
      <c r="CS230" s="1589" t="e">
        <f aca="false">IF(BQ230,(CO230*AZ230+CP230*BA230+CQ230*BB230+CR230*BC230)/BQ230,0)</f>
        <v>#VALUE!</v>
      </c>
      <c r="CT230" s="1316" t="e">
        <f aca="false">IF(BS230,CO230,0)</f>
        <v>#VALUE!</v>
      </c>
      <c r="CU230" s="1590" t="e">
        <f aca="false">IF(OR(BQ230,BS230),VLOOKUP(A230,GasTable,14),"")</f>
        <v>#VALUE!</v>
      </c>
      <c r="CV230" s="1568" t="e">
        <f aca="false">IF(OR(BQ230,BS230),IF(CorrPowerGasOverFlag,INDEX(CorrPowerGasOver,C230),CorrPowerGas),"")</f>
        <v>#VALUE!</v>
      </c>
      <c r="CW230" s="1316" t="e">
        <f aca="false">IF(OR($BQ230,$BS230),SpreadOptPowerMargin,0)*((1+Assumptions!$C$26)^($B230-YEAR(Assumptions!$C$17)))</f>
        <v>#VALUE!</v>
      </c>
      <c r="CX230" s="1316" t="e">
        <f aca="false">IF(OR($BQ230,$BS230),SpreadOptPowerMargin,0)*((1+Assumptions!$C$26)^($B230-YEAR(Assumptions!$C$17)))</f>
        <v>#VALUE!</v>
      </c>
      <c r="CY230" s="1316" t="e">
        <f aca="false">IF(OR($BQ230,$BS230),SpreadOptPowerMargin,0)*((1+Assumptions!$C$26)^($B230-YEAR(Assumptions!$C$17)))</f>
        <v>#VALUE!</v>
      </c>
      <c r="CZ230" s="1316" t="e">
        <f aca="false">IF(OR($BQ230,$BS230),SpreadOptPowerMargin,0)*((1+Assumptions!$C$26)^($B230-YEAR(Assumptions!$C$17)))</f>
        <v>#VALUE!</v>
      </c>
      <c r="DA230" s="1591" t="e">
        <f aca="false">IF(OR(BQ230,BS230),(CW230*(AZ230+BH230)+CX230*(BA230+BI230)+CY230*(BB230+BJ230)+CZ230*(BC230+BK230))/(BQ230+BS230),0)</f>
        <v>#VALUE!</v>
      </c>
      <c r="DB230" s="1592" t="e">
        <f aca="false">IF(OR(BQ230,BS230),CG230+IF(OVolSmile,VLOOKUP(MAX(-5,CO230+CW230-BU230),IF(OVolSmile=1,VolSmileBook,VolSmileModel),2),0),"")</f>
        <v>#VALUE!</v>
      </c>
      <c r="DC230" s="1592" t="e">
        <f aca="false">IF(OR(BQ230,BS230),CH230+IF(OVolSmile,VLOOKUP(MAX(-5,CP230+CW230-BV230),IF(OVolSmile=1,VolSmileBook,VolSmileModel),2),0),"")</f>
        <v>#VALUE!</v>
      </c>
      <c r="DD230" s="1592" t="e">
        <f aca="false">IF(OR(BQ230,BS230),CI230+IF(OVolSmile,VLOOKUP(MAX(-5,CQ230+CW230-BW230),IF(OVolSmile=1,VolSmileBook,VolSmileModel),2),0),"")</f>
        <v>#VALUE!</v>
      </c>
      <c r="DE230" s="1592" t="e">
        <f aca="false">IF(OR(BQ230,BS230),CL230+IF(OVolSmile,VLOOKUP(MAX(-5,CR230+CZ230-BX230),IF(OVolSmile=1,VolSmileBook,VolSmileModel),2),0),"")</f>
        <v>#VALUE!</v>
      </c>
      <c r="DF230" s="1592" t="e">
        <f aca="false">IF(BQ230,CM230+IF(OVolSmile,VLOOKUP(MAX(-5,CS230+DA230-BZ230),IF(OVolSmile=1,VolSmileBook,VolSmileModel),2),0),"")</f>
        <v>#VALUE!</v>
      </c>
      <c r="DG230" s="1593" t="e">
        <f aca="false">IF(BS230,CN230+IF(OVolSmile,VLOOKUP(MAX(-5,CT230+DA230-CF230),IF(OVolSmile=1,VolSmileBook,VolSmileModel),2),0),"")</f>
        <v>#VALUE!</v>
      </c>
      <c r="DH230" s="1316" t="e">
        <f aca="false">IF(AND(BU230&gt;0,CO230&gt;0,DB230&gt;0,CU230&gt;0),newSPRDOPT(BU230,CO230,CW230,0,DB230,CU230,CV230,BT230*365.25,OCallPut,0),0)</f>
        <v>#VALUE!</v>
      </c>
      <c r="DI230" s="1316" t="e">
        <f aca="false">IF(AND(BV230&gt;0,CP230&gt;0,DC230&gt;0,CU230&gt;0),newSPRDOPT(BV230,CP230,CX230,0,DC230,CU230,CV230,BT230*365.25,OCallPut,0),0)</f>
        <v>#VALUE!</v>
      </c>
      <c r="DJ230" s="1316" t="e">
        <f aca="false">IF(AND(BW230&gt;0,CQ230&gt;0,DD230&gt;0,CU230&gt;0),newSPRDOPT(BW230,CQ230,CY230,0,DD230,CU230,CV230,BT230*365.25,OCallPut,0),0)</f>
        <v>#VALUE!</v>
      </c>
      <c r="DK230" s="1316" t="e">
        <f aca="false">IF(AND(BX230&gt;0,CR230&gt;0,DE230&gt;0,CU230&gt;0),newSPRDOPT(BX230,CR230,CZ230,0,DE230,CU230,CV230,BT230*365.25,OCallPut,0),0)</f>
        <v>#VALUE!</v>
      </c>
      <c r="DL230" s="1316" t="e">
        <f aca="false">IF(OVolType,IF(AND(BZ230&gt;0,CS230&gt;0,DF230&gt;0,CU230&gt;0),newSPRDOPT(BZ230,CS230,DA230,0,DF230,CU230,CV230,BT230*365.25,OCallPut,0),0),IF(BQ230,(DH230*AZ230+DI230*BA230+DJ230*BB230+DK230*BC230)/BQ230,0))</f>
        <v>#VALUE!</v>
      </c>
      <c r="DM230" s="1316"/>
      <c r="DN230" s="1316"/>
      <c r="DO230" s="1316"/>
      <c r="DP230" s="1316"/>
      <c r="DQ230" s="1316"/>
      <c r="DR230" s="1316"/>
      <c r="DS230" s="1316"/>
      <c r="DT230" s="1316"/>
      <c r="DU230" s="1316"/>
      <c r="DV230" s="1316"/>
      <c r="DW230" s="1594" t="e">
        <f aca="false">IF(AND(BW230&gt;0,CT230&gt;0,DD230&gt;0,CU230&gt;0),newSPRDOPT(BW230,CT230,CY230,0,DD230,CU230,CV230,BT230*365.25,OCallPut,0),0)</f>
        <v>#VALUE!</v>
      </c>
      <c r="DX230" s="1316" t="e">
        <f aca="false">IF(AND(BX230&gt;0,CT230&gt;0,DE230&gt;0,CU230&gt;0),newSPRDOPT(BX230,CT230,CZ230,0,DE230,CU230,CV230,BT230*365.25,OCallPut,0),0)</f>
        <v>#VALUE!</v>
      </c>
      <c r="DY230" s="1591" t="e">
        <f aca="false">IF(BS230,(DH230*BH230+DI230*BI230+DW230*BJ230+DX230*BK230)/BS230,0)</f>
        <v>#VALUE!</v>
      </c>
      <c r="DZ230" s="1551" t="e">
        <f aca="false">DH230*AZ230</f>
        <v>#VALUE!</v>
      </c>
      <c r="EA230" s="1551" t="e">
        <f aca="false">DI230*BA230</f>
        <v>#VALUE!</v>
      </c>
      <c r="EB230" s="1551" t="e">
        <f aca="false">DJ230*BB230</f>
        <v>#VALUE!</v>
      </c>
      <c r="EC230" s="1551" t="e">
        <f aca="false">DK230*BC230</f>
        <v>#VALUE!</v>
      </c>
      <c r="ED230" s="1551" t="e">
        <f aca="false">DL230*BQ230</f>
        <v>#VALUE!</v>
      </c>
      <c r="EE230" s="1595" t="e">
        <f aca="false">IF(BQ230,IF(OCallPut,IF(BU230&gt;(CO230+CW230),BU230-(CO230+CW230),0),IF((CO230+CW230)&gt;BU230,(CO230+CW230)-BU230,0))*AZ230,0)</f>
        <v>#VALUE!</v>
      </c>
      <c r="EF230" s="1596" t="e">
        <f aca="false">IF(BQ230,IF(OCallPut,IF(BV230&gt;(CP230+CX230),BV230-(CP230+CX230),0),IF((CP230+CX230)&gt;BV230,(CP230+CX230)-BV230,0))*BA230,0)</f>
        <v>#VALUE!</v>
      </c>
      <c r="EG230" s="1596" t="e">
        <f aca="false">IF(BQ230,IF(OCallPut,IF(BW230&gt;(CQ230+CY230),BW230-(CQ230+CY230),0),IF((CQ230+CY230)&gt;BW230,(CQ230+CY230)-BW230,0))*BB230,0)</f>
        <v>#VALUE!</v>
      </c>
      <c r="EH230" s="1596" t="e">
        <f aca="false">IF(BQ230,IF(OCallPut,IF(BX230&gt;(CR230+CZ230),BX230-(CR230+CZ230),0),IF((CR230+CZ230)&gt;BX230,(CR230+CZ230)-BX230,0))*BC230,0)</f>
        <v>#VALUE!</v>
      </c>
      <c r="EI230" s="1597" t="e">
        <f aca="false">IF(BQ230,IF(OVolType,IF(OCallPut,IF(BZ230&gt;(CS230+DA230),BZ230-(CS230+DA230),0),IF((CS230+DA230)&gt;BZ230,(CS230+DA230)-BZ230,0))*BQ230,SUM(EE230:EH230)),0)</f>
        <v>#VALUE!</v>
      </c>
      <c r="EJ230" s="1595" t="e">
        <f aca="false">DZ230-EE230</f>
        <v>#VALUE!</v>
      </c>
      <c r="EK230" s="1596" t="e">
        <f aca="false">EA230-EF230</f>
        <v>#VALUE!</v>
      </c>
      <c r="EL230" s="1596" t="e">
        <f aca="false">EB230-EG230</f>
        <v>#VALUE!</v>
      </c>
      <c r="EM230" s="1596" t="e">
        <f aca="false">EC230-EH230</f>
        <v>#VALUE!</v>
      </c>
      <c r="EN230" s="1597" t="e">
        <f aca="false">ED230-EI230</f>
        <v>#VALUE!</v>
      </c>
      <c r="EO230" s="1551" t="e">
        <f aca="false">DH230*BH230</f>
        <v>#VALUE!</v>
      </c>
      <c r="EP230" s="1551" t="e">
        <f aca="false">DI230*BI230</f>
        <v>#VALUE!</v>
      </c>
      <c r="EQ230" s="1551" t="e">
        <f aca="false">DW230*BJ230</f>
        <v>#VALUE!</v>
      </c>
      <c r="ER230" s="1551" t="e">
        <f aca="false">DX230*BK230</f>
        <v>#VALUE!</v>
      </c>
      <c r="ES230" s="1551" t="e">
        <f aca="false">DY230*BS230</f>
        <v>#VALUE!</v>
      </c>
      <c r="ET230" s="1566" t="e">
        <f aca="false">IF(EI230,IF(OCallPut,IF(CA230&gt;(CT230+CW230),CA230-(CT230+CW230),0),IF((CT230+CW230)&gt;CA230,(CT230+CW230)-CA230,0))*BH230,0)</f>
        <v>#VALUE!</v>
      </c>
      <c r="EU230" s="1551" t="e">
        <f aca="false">IF(EI230,IF(OCallPut,IF(CB230&gt;(CT230+CX230),CB230-(CT230+CX230),0),IF((CT230+CX230)&gt;CB230,(CT230+CX230)-CB230,0))*BI230,0)</f>
        <v>#VALUE!</v>
      </c>
      <c r="EV230" s="1551" t="e">
        <f aca="false">IF(EI230,IF(OCallPut,IF(CC230&gt;(CT230+CY230),CC230-(CT230+CY230),0),IF((CT230+CY230)&gt;CC230,(CT230+CY230)-CC230,0))*BJ230,0)</f>
        <v>#VALUE!</v>
      </c>
      <c r="EW230" s="1551" t="e">
        <f aca="false">IF(EI230,IF(OCallPut,IF(CD230&gt;(CT230+CZ230),CD230-(CT230+CZ230),0),IF((CT230+CZ230)&gt;CD230,(CT230+CZ230)-CD230,0))*BK230,0)</f>
        <v>#VALUE!</v>
      </c>
      <c r="EX230" s="1558" t="e">
        <f aca="false">IF(EI230,SUM(ET230:EW230),0)</f>
        <v>#VALUE!</v>
      </c>
      <c r="EY230" s="1551" t="e">
        <f aca="false">EO230-ET230</f>
        <v>#VALUE!</v>
      </c>
      <c r="EZ230" s="1551" t="e">
        <f aca="false">EP230-EU230</f>
        <v>#VALUE!</v>
      </c>
      <c r="FA230" s="1551" t="e">
        <f aca="false">EQ230-EV230</f>
        <v>#VALUE!</v>
      </c>
      <c r="FB230" s="1551" t="e">
        <f aca="false">ER230-EW230</f>
        <v>#VALUE!</v>
      </c>
      <c r="FC230" s="1551" t="e">
        <f aca="false">ES230-EX230</f>
        <v>#VALUE!</v>
      </c>
      <c r="FD230" s="1525" t="n">
        <f aca="false">IF(AX230,IF(VLOOKUP(C230,MAIN!$L$17:$M$28,2)="Yes",VLOOKUP(CALC!B230,MAIN!$H$17:$I$20,2),0),0)</f>
        <v>0</v>
      </c>
      <c r="FE230" s="1552" t="e">
        <f aca="false">$FD230*16*AT230*(1-$AY230)</f>
        <v>#VALUE!</v>
      </c>
      <c r="FF230" s="1553" t="e">
        <f aca="false">$FD230*16*AU230*(1-$AY230)</f>
        <v>#VALUE!</v>
      </c>
      <c r="FG230" s="1553" t="e">
        <f aca="false">$FD230*16*(AV230+AW230)*(1-$AY230)</f>
        <v>#VALUE!</v>
      </c>
      <c r="FH230" s="1554" t="n">
        <f aca="false">$FD230*8*AX230*(1-$AY230)</f>
        <v>0</v>
      </c>
      <c r="FI230" s="1555" t="n">
        <f aca="false">IF(AX230,VLOOKUP(CALC!B230,MAIN!$H$17:$K$20,4),0)</f>
        <v>0</v>
      </c>
      <c r="FJ230" s="1553" t="e">
        <f aca="false">SUM(FE230:FH230)</f>
        <v>#VALUE!</v>
      </c>
      <c r="FK230" s="1556" t="e">
        <f aca="false">FI230*FJ230</f>
        <v>#VALUE!</v>
      </c>
      <c r="FL230" s="1551" t="e">
        <f aca="false">IF($EI230&gt;0,MIN(FE230,AZ230*(1+VLOOKUP($C230,WeatherCapacityAdjustment,2))),0)</f>
        <v>#VALUE!</v>
      </c>
      <c r="FM230" s="1551" t="e">
        <f aca="false">IF($EI230&gt;0,MIN(FF230,BA230*(1+VLOOKUP($C230,WeatherCapacityAdjustment,2))),0)</f>
        <v>#VALUE!</v>
      </c>
      <c r="FN230" s="1551" t="e">
        <f aca="false">IF($EI230&gt;0,MIN(FG230,BB230*(1+VLOOKUP($C230,WeatherCapacityAdjustment,2))),0)</f>
        <v>#VALUE!</v>
      </c>
      <c r="FO230" s="1564" t="e">
        <f aca="false">IF($EI230&gt;0,MIN(FH230,BC230*(1+VLOOKUP($C230,WeatherCapacityAdjustment,3))),0)</f>
        <v>#VALUE!</v>
      </c>
      <c r="FP230" s="1551" t="e">
        <f aca="false">IF(ET230&gt;0,MIN(FE230-FL230,BH230*(1+VLOOKUP($C230,WeatherCapacityAdjustment,2))),0)</f>
        <v>#VALUE!</v>
      </c>
      <c r="FQ230" s="1551" t="e">
        <f aca="false">IF(EU230&gt;0,MIN(FF230-FM230,BI230*(1+VLOOKUP($C230,WeatherCapacityAdjustment,2))),0)</f>
        <v>#VALUE!</v>
      </c>
      <c r="FR230" s="1551" t="e">
        <f aca="false">IF(EV230&gt;0,MIN(FG230-FN230,BJ230*(1+VLOOKUP($C230,WeatherCapacityAdjustment,2))),0)</f>
        <v>#VALUE!</v>
      </c>
      <c r="FS230" s="1558" t="e">
        <f aca="false">IF(EW230&gt;0,MIN(FH230-FO230,BK230*(1+VLOOKUP($C230,WeatherCapacityAdjustment,3))),0)</f>
        <v>#VALUE!</v>
      </c>
      <c r="FT230" s="1566" t="e">
        <f aca="false">IF(AND(Assumptions!$H$71="Yes",A230&gt;=Assumptions!$H$72,A230&lt;=Assumptions!$H$73),0,IF(AND($A230&gt;=Assumptions!$C$17,$A230&lt;=Assumptions!$C$18),MAX(AZ230*(1+VLOOKUP($C230,WeatherCapacityAdjustment,2))-FL230,0),0))</f>
        <v>#VALUE!</v>
      </c>
      <c r="FU230" s="1551" t="e">
        <f aca="false">IF(AND(Assumptions!$H$71="Yes",A230&gt;=Assumptions!$H$72,A230&lt;=Assumptions!$H$73),0,IF(AND($A230&gt;=Assumptions!$C$17,$A230&lt;=Assumptions!$C$18),MAX(BA230*(1+VLOOKUP($C230,WeatherCapacityAdjustment,2))-FM230,0),0))</f>
        <v>#VALUE!</v>
      </c>
      <c r="FV230" s="1551" t="e">
        <f aca="false">IF(AND(Assumptions!$H$71="Yes",A230&gt;=Assumptions!$H$72,A230&lt;=Assumptions!$H$73),0,IF(AND($A230&gt;=Assumptions!$C$17,$A230&lt;=Assumptions!$C$18),MAX(BB230*(1+VLOOKUP($C230,WeatherCapacityAdjustment,2))-FN230,0),0))</f>
        <v>#VALUE!</v>
      </c>
      <c r="FW230" s="1564" t="e">
        <f aca="false">IF(AND(Assumptions!$H$71="Yes",A230&gt;=Assumptions!$H$72,A230&lt;=Assumptions!$H$73),0,IF(AND($A230&gt;=Assumptions!$C$17,$A230&lt;=Assumptions!$C$18),MAX(BC230*(1+VLOOKUP($C230,WeatherCapacityAdjustment,3))-FO230,0),0))</f>
        <v>#VALUE!</v>
      </c>
      <c r="FX230" s="1569" t="e">
        <f aca="false">IF(AND(Assumptions!$H$71="Yes",A230&gt;=Assumptions!$H$72,A230&lt;=Assumptions!$H$73),0,IF(ET230&gt;0,MAX(BH230*(1+VLOOKUP($C230,WeatherCapacityAdjustment,2))-FP230,0),0))</f>
        <v>#VALUE!</v>
      </c>
      <c r="FY230" s="1551" t="e">
        <f aca="false">IF(AND(Assumptions!$H$71="Yes",A230&gt;=Assumptions!$H$72,A230&lt;=Assumptions!$H$73),0,IF(EU230&gt;0,MAX(BI230*(1+VLOOKUP($C230,WeatherCapacityAdjustment,3))-FQ230,0),0))</f>
        <v>#VALUE!</v>
      </c>
      <c r="FZ230" s="1551" t="e">
        <f aca="false">IF(AND(Assumptions!$H$71="Yes",A230&gt;=Assumptions!$H$72,A230&lt;=Assumptions!$H$73),0,IF(EV230&gt;0,MAX(BJ230*(1+VLOOKUP($C230,WeatherCapacityAdjustment,2))-FR230,0),0))</f>
        <v>#VALUE!</v>
      </c>
      <c r="GA230" s="1564" t="e">
        <f aca="false">IF(AND(Assumptions!$H$71="Yes",A230&gt;=Assumptions!$H$72,A230&lt;=Assumptions!$H$73),0,IF(EW230&gt;0,MAX(BK230*(1+VLOOKUP($C230,WeatherCapacityAdjustment,2))-FS230,0),0))</f>
        <v>#VALUE!</v>
      </c>
      <c r="GB230" s="1551" t="e">
        <f aca="false">SUM(FT230:GA230)</f>
        <v>#VALUE!</v>
      </c>
      <c r="GC230" s="1563" t="e">
        <f aca="false">+IF(SUM(FT230:GA230)=0,0,(SUMPRODUCT(BU230:BX230,FT230:FW230)+SUMPRODUCT(CA230:CD230,FX230:GA230))/SUM(FT230:GA230))</f>
        <v>#VALUE!</v>
      </c>
      <c r="GD230" s="1551" t="e">
        <f aca="false">(FT230*BU230+FX230*CA230+FU230*BV230+FY230*CB230+FV230*BW230+FZ230*CC230+FW230*BX230+GA230*CD230)</f>
        <v>#VALUE!</v>
      </c>
      <c r="GE230" s="1561" t="e">
        <f aca="false">+IF(BQ230,((FL230+FM230+FT230+FU230)*HeatRatePeak/1000*(1+VLOOKUP($C230,WeatherHeatRateAdjustment,2))+(FN230+FV230)*IF(EV230&gt;0,HeatRatePeak,HeatRateOffPeak)/1000*(1+VLOOKUP($C230,WeatherHeatRateAdjustment,2))+(FO230+FW230)*IF(EW230&gt;0,HeatRatePeak,HeatRateOffPeak)/1000*(1+VLOOKUP($C230,WeatherHeatRateAdjustment,3)))*(1+VLOOKUP($B230,HeatRateDegradation,$C230+1)),0)</f>
        <v>#VALUE!</v>
      </c>
      <c r="GF230" s="1562" t="e">
        <f aca="false">IF(BQ230,((FP230+FQ230+FR230+FX230+FY230+FZ230)*HeatRatePeak/1000*(1+VLOOKUP($C230,WeatherHeatRateAdjustment,2))+(FS230+GA230)*HeatRatePeak/1000*(1+VLOOKUP($C230,WeatherHeatRateAdjustment,3)))*(1+VLOOKUP($B230,HeatRateDegradation,$C230+1)),0)</f>
        <v>#VALUE!</v>
      </c>
      <c r="GG230" s="1563" t="e">
        <f aca="false">IF(BQ230,VLOOKUP(A230,GasTable,13),0)</f>
        <v>#VALUE!</v>
      </c>
      <c r="GH230" s="1564" t="e">
        <f aca="false">(GE230+GF230)*GG230</f>
        <v>#VALUE!</v>
      </c>
      <c r="GI230" s="1569" t="e">
        <f aca="false">GB230</f>
        <v>#VALUE!</v>
      </c>
      <c r="GJ230" s="1598" t="e">
        <f aca="false">+DA230</f>
        <v>#VALUE!</v>
      </c>
      <c r="GK230" s="1558" t="e">
        <f aca="false">+GI230*GJ230</f>
        <v>#VALUE!</v>
      </c>
      <c r="GL230" s="1566" t="e">
        <f aca="false">MAX(FE230-FL230-FP230,0)</f>
        <v>#VALUE!</v>
      </c>
      <c r="GM230" s="1551" t="e">
        <f aca="false">MAX(FF230-FM230-FQ230,0)</f>
        <v>#VALUE!</v>
      </c>
      <c r="GN230" s="1551" t="e">
        <f aca="false">MAX(FG230-FN230-FR230,0)</f>
        <v>#VALUE!</v>
      </c>
      <c r="GO230" s="1564" t="e">
        <f aca="false">MAX(FH230-FO230-FS230,0)</f>
        <v>#VALUE!</v>
      </c>
      <c r="GP230" s="1551" t="e">
        <f aca="false">SUM(GL230:GO230)</f>
        <v>#VALUE!</v>
      </c>
      <c r="GQ230" s="1563" t="e">
        <f aca="false">IF(SUM(GL230:GO230)=0,0,((GL230*BU230+GM230*BV230+GN230*BW230+GO230*BX230)/SUM(GL230:GO230)))</f>
        <v>#VALUE!</v>
      </c>
      <c r="GR230" s="1558" t="e">
        <f aca="false">(GL230*BU230+GM230*BV230+GN230*BW230+GO230*BX230)</f>
        <v>#VALUE!</v>
      </c>
      <c r="GS230" s="1566" t="n">
        <f aca="false">IF($A230&gt;=BegDate,Assumptions!$C$56*24*($A231-$A230)*(1-VLOOKUP($B230,MAIN!$AA$7:$AM$28,$C230+1))*(1-VLOOKUP($B230,MAIN!$AA$33:$AM$54,$C230+1)),0)*80/168</f>
        <v>232800</v>
      </c>
      <c r="GT230" s="286" t="n">
        <f aca="false">J230</f>
        <v>52.2156830390153</v>
      </c>
      <c r="GU230" s="286" t="n">
        <f aca="false">IF($A230&gt;=BegDate,VLOOKUP($A230,GasTable,13)+Assumptions!$C$58,0)</f>
        <v>3.70198052765638</v>
      </c>
      <c r="GV230" s="286" t="n">
        <f aca="false">GU230*Assumptions!$C$57/1000</f>
        <v>26.8393588255088</v>
      </c>
      <c r="GW230" s="1558" t="n">
        <f aca="false">IF(Assumptions!$C$60="Hourly",MAX(0,GS230*(GT230-GV230)),GS230*(GT230-GV230))</f>
        <v>5907608.2769043</v>
      </c>
      <c r="GX230" s="1566" t="n">
        <f aca="false">IF($A230&gt;=BegDate,Assumptions!$C$56*24*($A231-$A230)*(1-VLOOKUP($B230,MAIN!$AA$7:$AM$28,$C230+1))*(1-VLOOKUP($B230,MAIN!$AA$33:$AM$54,$C230+1)),0)*16/168</f>
        <v>46560</v>
      </c>
      <c r="GY230" s="286" t="n">
        <f aca="false">M230</f>
        <v>52.2156830390153</v>
      </c>
      <c r="GZ230" s="286" t="n">
        <f aca="false">IF($A230&gt;=BegDate,VLOOKUP($A230,GasTable,13)+Assumptions!$C$58,0)</f>
        <v>3.70198052765638</v>
      </c>
      <c r="HA230" s="286" t="n">
        <f aca="false">GZ230*Assumptions!$C$57/1000</f>
        <v>26.8393588255088</v>
      </c>
      <c r="HB230" s="1558" t="n">
        <f aca="false">IF(Assumptions!$C$60="Hourly",MAX(0,GX230*(GY230-HA230)),GX230*(GY230-HA230))</f>
        <v>1181521.65538086</v>
      </c>
      <c r="HC230" s="1566" t="n">
        <f aca="false">IF($A230&gt;=BegDate,Assumptions!$C$56*24*($A231-$A230)*(1-VLOOKUP($B230,MAIN!$AA$7:$AM$28,$C230+1))*(1-VLOOKUP($B230,MAIN!$AA$33:$AM$54,$C230+1)),0)*16/168</f>
        <v>46560</v>
      </c>
      <c r="HD230" s="286" t="n">
        <f aca="false">P230</f>
        <v>29.0508143249509</v>
      </c>
      <c r="HE230" s="286" t="n">
        <f aca="false">IF($A230&gt;=BegDate,VLOOKUP($A230,GasTable,13)+Assumptions!$C$58,0)</f>
        <v>3.70198052765638</v>
      </c>
      <c r="HF230" s="286" t="n">
        <f aca="false">HE230*Assumptions!$C$57/1000</f>
        <v>26.8393588255088</v>
      </c>
      <c r="HG230" s="1558" t="n">
        <f aca="false">IF(Assumptions!$C$60="Hourly",MAX(0,HC230*(HD230-HF230)),HC230*(HD230-HF230))</f>
        <v>102965.368054025</v>
      </c>
      <c r="HH230" s="1566" t="n">
        <f aca="false">IF($A230&gt;=BegDate,Assumptions!$C$56*24*($A231-$A230)*(1-VLOOKUP($B230,MAIN!$AA$7:$AM$28,$C230+1))*(1-VLOOKUP($B230,MAIN!$AA$33:$AM$54,$C230+1)),0)*56/168</f>
        <v>162960</v>
      </c>
      <c r="HI230" s="286" t="n">
        <f aca="false">S230</f>
        <v>29.0508143249509</v>
      </c>
      <c r="HJ230" s="286" t="n">
        <f aca="false">IF($A230&gt;=BegDate,VLOOKUP($A230,GasTable,13)+Assumptions!$C$58,0)</f>
        <v>3.70198052765638</v>
      </c>
      <c r="HK230" s="286" t="n">
        <f aca="false">HJ230*Assumptions!$C$57/1000</f>
        <v>26.8393588255088</v>
      </c>
      <c r="HL230" s="1558" t="n">
        <f aca="false">IF(Assumptions!$C$60="Hourly",MAX(0,HH230*(HI230-HK230)),HH230*(HI230-HK230))</f>
        <v>360378.788189089</v>
      </c>
      <c r="HM230" s="1566" t="n">
        <f aca="false">IF(AND(Assumptions!$H$71="Yes",A230&gt;=Assumptions!$H$72,A230&lt;=Assumptions!$H$73),Assumptions!$H$74*Assumptions!$C$9*1000,0)</f>
        <v>0</v>
      </c>
      <c r="HN230" s="1551"/>
      <c r="HO230" s="1563"/>
      <c r="HP230" s="1563"/>
      <c r="HQ230" s="1563"/>
      <c r="HR230" s="1563"/>
      <c r="HS230" s="1563"/>
      <c r="HT230" s="1563"/>
      <c r="HU230" s="1563"/>
      <c r="HV230" s="1563"/>
      <c r="HW230" s="1563"/>
      <c r="HX230" s="1563"/>
      <c r="HY230" s="1563"/>
      <c r="HZ230" s="1563"/>
      <c r="IA230" s="1563"/>
      <c r="IB230" s="1563"/>
      <c r="IC230" s="1563"/>
      <c r="ID230" s="1563"/>
      <c r="IE230" s="1563"/>
      <c r="IF230" s="1563"/>
      <c r="IG230" s="1563"/>
      <c r="IH230" s="1563"/>
      <c r="II230" s="1610"/>
      <c r="IJ230" s="1309"/>
      <c r="IK230" s="1309"/>
    </row>
    <row r="231" customFormat="false" ht="12.75" hidden="false" customHeight="false" outlineLevel="0" collapsed="false">
      <c r="A231" s="1571" t="n">
        <f aca="false">EOMONTH(A230,0)+1</f>
        <v>43160</v>
      </c>
      <c r="B231" s="594" t="n">
        <f aca="false">+YEAR(A231)</f>
        <v>2018</v>
      </c>
      <c r="C231" s="238" t="n">
        <f aca="false">MONTH(A231)</f>
        <v>3</v>
      </c>
      <c r="D231" s="1572" t="e">
        <f aca="false">IF(E231="","",Holiday(B231,C231))</f>
        <v>#VALUE!</v>
      </c>
      <c r="E231" s="1573" t="n">
        <f aca="false">IF(OR(BegDate&gt;=A232,EndDate&lt;A231,AND(VolumeMonthlyOverFlag,INDEX(VolumeMonthlyOver,C231)=0),NOT(INDEX(MonthKnockOutTable,C231))),"",MAX(A231,BegDate))</f>
        <v>43160</v>
      </c>
      <c r="F231" s="1574" t="n">
        <f aca="false">IF(E231="","",MIN(A232-1,EndDate))</f>
        <v>43190</v>
      </c>
      <c r="G231" s="1575" t="n">
        <v>0</v>
      </c>
      <c r="H231" s="1576" t="n">
        <f aca="false">(1+G231/2)^(-2*(DATE(B232,C232,20)-DateToday)/365.25)</f>
        <v>1</v>
      </c>
      <c r="I231" s="1568" t="n">
        <f aca="false">IF(Assumptions!$L$25=4,VLOOKUP($A231,'Henwood Reference'!$E$9:$R$320,10),(VLOOKUP($A231,PriceTable,2,0)+IF(BasisNumber&lt;&gt;1,VLOOKUP($A231,BasisTable,2,0),0)+I$1)/(1-I$2))</f>
        <v>43.02606103286</v>
      </c>
      <c r="J231" s="1568" t="n">
        <f aca="false">IF(Assumptions!$L$25=4,VLOOKUP($A231,'Henwood Reference'!$E$9:$R$320,10),(VLOOKUP($A231,PriceTable,3,0)+IF(BasisNumber&lt;&gt;1,VLOOKUP($A231,BasisTable,2,0),0)+J$1)/(1-J$2))</f>
        <v>43.02606103286</v>
      </c>
      <c r="K231" s="1568" t="n">
        <f aca="false">IF(Assumptions!$L$25=4,VLOOKUP($A231,'Henwood Reference'!$E$9:$R$320,10),(VLOOKUP($A231,PriceTable,4,0)+IF(BasisNumber&lt;&gt;1,VLOOKUP($A231,BasisTable,2,0),0)+K$1)/(1-K$2))</f>
        <v>43.02606103286</v>
      </c>
      <c r="L231" s="1523" t="n">
        <f aca="false">IF(Assumptions!$L$25=4,VLOOKUP($A231,'Henwood Reference'!$E$9:$R$320,10),(VLOOKUP($A231,PriceTableWeekend,2,0)+IF(BasisNumber&lt;&gt;1,VLOOKUP($A231,BasisTable,2,0),0)+L$1)/(1-L$2))</f>
        <v>43.02606103286</v>
      </c>
      <c r="M231" s="1568" t="n">
        <f aca="false">IF(Assumptions!$L$25=4,VLOOKUP($A231,'Henwood Reference'!$E$9:$R$320,10),(VLOOKUP($A231,PriceTableWeekend,3,0)+IF(BasisNumber&lt;&gt;1,VLOOKUP($A231,BasisTable,2,0),0)+M$1)/(1-M$2))</f>
        <v>43.02606103286</v>
      </c>
      <c r="N231" s="1599" t="n">
        <f aca="false">IF(Assumptions!$L$25=4,VLOOKUP($A231,'Henwood Reference'!$E$9:$R$320,10),(VLOOKUP($A231,PriceTableWeekend,4,0)+IF(BasisNumber&lt;&gt;1,VLOOKUP($A231,BasisTable,2,0),0)+N$1)/(1-N$2))</f>
        <v>43.02606103286</v>
      </c>
      <c r="O231" s="1568" t="n">
        <f aca="false">IF(Assumptions!$L$25=4,VLOOKUP($A231,'Henwood Reference'!$E$9:$R$320,11),(VLOOKUP($A231,PriceTableWeekend,6,0)+IF(BasisNumber&lt;&gt;1,VLOOKUP($A231,BasisTable,3,0),0)+O$1)/(1-O$2))</f>
        <v>28.3422613615283</v>
      </c>
      <c r="P231" s="1568" t="n">
        <f aca="false">IF(Assumptions!$L$25=4,VLOOKUP($A231,'Henwood Reference'!$E$9:$R$320,11),(VLOOKUP($A231,PriceTableWeekend,7,0)+IF(BasisNumber&lt;&gt;1,VLOOKUP($A231,BasisTable,3,0),0)+P$1)/(1-P$2))</f>
        <v>28.3422613615283</v>
      </c>
      <c r="Q231" s="1599" t="n">
        <f aca="false">IF(Assumptions!$L$25=4,VLOOKUP($A231,'Henwood Reference'!$E$9:$R$320,11),(VLOOKUP($A231,PriceTableWeekend,8,0)+IF(BasisNumber&lt;&gt;1,VLOOKUP($A231,BasisTable,3,0),0)+Q$1)/(1-Q$2))</f>
        <v>28.3422613615283</v>
      </c>
      <c r="R231" s="1568" t="n">
        <f aca="false">IF(Assumptions!$L$25=4,VLOOKUP($A231,'Henwood Reference'!$E$9:$R$320,11),(VLOOKUP($A231,PriceTable,6,0)+IF(BasisNumber&lt;&gt;1,VLOOKUP($A231,BasisTable,3,0),0)+R$1)/(1-R$2))</f>
        <v>28.3422613615283</v>
      </c>
      <c r="S231" s="1568" t="n">
        <f aca="false">IF(Assumptions!$L$25=4,VLOOKUP($A231,'Henwood Reference'!$E$9:$R$320,11),(VLOOKUP($A231,PriceTable,7,0)+IF(BasisNumber&lt;&gt;1,VLOOKUP($A231,BasisTable,3,0),0)+S$1)/(1-S$2))</f>
        <v>28.3422613615283</v>
      </c>
      <c r="T231" s="1600" t="n">
        <f aca="false">IF(Assumptions!$L$25=4,VLOOKUP($A231,'Henwood Reference'!$E$9:$R$320,11),(VLOOKUP($A231,PriceTable,8,0)+IF(BasisNumber&lt;&gt;1,VLOOKUP($A231,BasisTable,3,0),0)+T$1)/(1-T$2))</f>
        <v>28.3422613615283</v>
      </c>
      <c r="U231" s="1513" t="n">
        <f aca="false">VLOOKUP($A231,VolatilityTable,14)</f>
        <v>0.09</v>
      </c>
      <c r="V231" s="1513" t="n">
        <f aca="false">VLOOKUP($A231,VolatilityTable,15)</f>
        <v>0.1</v>
      </c>
      <c r="W231" s="1514" t="n">
        <f aca="false">VLOOKUP($A231,VolatilityTable,16)</f>
        <v>0.11</v>
      </c>
      <c r="X231" s="1513" t="n">
        <f aca="false">VLOOKUP($A231,VolatilityTable,14)</f>
        <v>0.09</v>
      </c>
      <c r="Y231" s="1513" t="n">
        <f aca="false">VLOOKUP($A231,VolatilityTable,15)</f>
        <v>0.1</v>
      </c>
      <c r="Z231" s="1514" t="n">
        <f aca="false">VLOOKUP($A231,VolatilityTable,16)</f>
        <v>0.11</v>
      </c>
      <c r="AA231" s="1513" t="n">
        <f aca="false">VLOOKUP($A231,VolatilityTable,18)</f>
        <v>0.09</v>
      </c>
      <c r="AB231" s="1513" t="n">
        <f aca="false">VLOOKUP($A231,VolatilityTable,19)</f>
        <v>0.11</v>
      </c>
      <c r="AC231" s="1514" t="n">
        <f aca="false">VLOOKUP($A231,VolatilityTable,20)</f>
        <v>0.13</v>
      </c>
      <c r="AD231" s="1513" t="n">
        <f aca="false">VLOOKUP($A231,VolatilityTable,18)</f>
        <v>0.09</v>
      </c>
      <c r="AE231" s="1513" t="n">
        <f aca="false">VLOOKUP($A231,VolatilityTable,19)</f>
        <v>0.11</v>
      </c>
      <c r="AF231" s="1514" t="n">
        <f aca="false">VLOOKUP($A231,VolatilityTable,20)</f>
        <v>0.13</v>
      </c>
      <c r="AG231" s="1513" t="n">
        <f aca="false">VLOOKUP($A231,VolatilityTable,22)</f>
        <v>-0.1</v>
      </c>
      <c r="AH231" s="1513" t="n">
        <f aca="false">VLOOKUP($A231,VolatilityTable,23)</f>
        <v>0.65</v>
      </c>
      <c r="AI231" s="1514" t="n">
        <f aca="false">VLOOKUP($A231,VolatilityTable,24)</f>
        <v>0.1</v>
      </c>
      <c r="AJ231" s="1513" t="n">
        <f aca="false">VLOOKUP($A231,VolatilityTable,22)</f>
        <v>-0.1</v>
      </c>
      <c r="AK231" s="1513" t="n">
        <f aca="false">VLOOKUP($A231,VolatilityTable,23)</f>
        <v>0.65</v>
      </c>
      <c r="AL231" s="1514" t="n">
        <f aca="false">VLOOKUP($A231,VolatilityTable,24)</f>
        <v>0.1</v>
      </c>
      <c r="AM231" s="1513" t="n">
        <f aca="false">VLOOKUP($A231,VolatilityTable,26)</f>
        <v>-0.01</v>
      </c>
      <c r="AN231" s="1513" t="n">
        <f aca="false">VLOOKUP($A231,VolatilityTable,27)</f>
        <v>0.16</v>
      </c>
      <c r="AO231" s="1514" t="n">
        <f aca="false">VLOOKUP($A231,VolatilityTable,28)</f>
        <v>0.01</v>
      </c>
      <c r="AP231" s="1513" t="n">
        <f aca="false">VLOOKUP($A231,VolatilityTable,26)</f>
        <v>-0.01</v>
      </c>
      <c r="AQ231" s="1513" t="n">
        <f aca="false">VLOOKUP($A231,VolatilityTable,27)</f>
        <v>0.16</v>
      </c>
      <c r="AR231" s="1515" t="n">
        <f aca="false">VLOOKUP($A231,VolatilityTable,28)</f>
        <v>0.01</v>
      </c>
      <c r="AS231" s="1581" t="n">
        <f aca="false">IF(CorrPeakOffPeakOverFlag,INDEX(CorrPeakOffPeakOver,C231),CorrPeakOffPeak)</f>
        <v>0.5</v>
      </c>
      <c r="AT231" s="594" t="e">
        <f aca="false">AX231-SUM(AU231:AW231)</f>
        <v>#VALUE!</v>
      </c>
      <c r="AU231" s="238" t="e">
        <f aca="false">IF(E231="",0,INT((F231-MOD(F231,7)-E231)/7)+1-IF(AW231,IF(WEEKDAY(D231)=7,1,0),0))</f>
        <v>#VALUE!</v>
      </c>
      <c r="AV231" s="238" t="e">
        <f aca="false">IF(E231="",0,INT((F231-MOD(F231-1,7)-E231)/7)+1-IF(AW231,IF(WEEKDAY(D231)=1,1,0),0))</f>
        <v>#VALUE!</v>
      </c>
      <c r="AW231" s="238" t="e">
        <f aca="false">IF(OR(E231="",D231="",D231&lt;BegDate,D231&gt;EndDate),0,1)</f>
        <v>#VALUE!</v>
      </c>
      <c r="AX231" s="238" t="n">
        <f aca="false">IF(E231="",0,F231-E231+1)</f>
        <v>31</v>
      </c>
      <c r="AY231" s="1582" t="n">
        <f aca="false">IF(E231="",0,MIN((1-(1-VLOOKUP(B231,MAIN!$AA$7:$AM$28,C231+1))*(1-VLOOKUP(B231,MAIN!$AA$33:$AM$54,C231+1))),1))</f>
        <v>0.03</v>
      </c>
      <c r="AZ231" s="1519" t="e">
        <v>#VALUE!</v>
      </c>
      <c r="BA231" s="1520" t="e">
        <v>#VALUE!</v>
      </c>
      <c r="BB231" s="1520" t="e">
        <v>#VALUE!</v>
      </c>
      <c r="BC231" s="1583" t="e">
        <v>#VALUE!</v>
      </c>
      <c r="BD231" s="1522" t="e">
        <v>#VALUE!</v>
      </c>
      <c r="BE231" s="1523" t="e">
        <v>#VALUE!</v>
      </c>
      <c r="BF231" s="1523" t="e">
        <v>#VALUE!</v>
      </c>
      <c r="BG231" s="1584" t="e">
        <v>#VALUE!</v>
      </c>
      <c r="BH231" s="1525" t="e">
        <v>#VALUE!</v>
      </c>
      <c r="BI231" s="1520" t="e">
        <v>#VALUE!</v>
      </c>
      <c r="BJ231" s="1520" t="e">
        <v>#VALUE!</v>
      </c>
      <c r="BK231" s="1583" t="e">
        <v>#VALUE!</v>
      </c>
      <c r="BL231" s="1522" t="e">
        <v>#VALUE!</v>
      </c>
      <c r="BM231" s="1523" t="e">
        <v>#VALUE!</v>
      </c>
      <c r="BN231" s="1523" t="e">
        <v>#VALUE!</v>
      </c>
      <c r="BO231" s="1523" t="e">
        <v>#VALUE!</v>
      </c>
      <c r="BP231" s="1525" t="e">
        <f aca="false">SUM(AZ231:BB231)</f>
        <v>#VALUE!</v>
      </c>
      <c r="BQ231" s="1529" t="e">
        <f aca="false">SUM(AZ231:BC231)</f>
        <v>#VALUE!</v>
      </c>
      <c r="BR231" s="1519" t="e">
        <f aca="false">SUM(BH231:BJ231)</f>
        <v>#VALUE!</v>
      </c>
      <c r="BS231" s="1529" t="e">
        <f aca="false">SUM(BH231:BK231)</f>
        <v>#VALUE!</v>
      </c>
      <c r="BT231" s="1316" t="n">
        <f aca="false">(IF(OVolType&lt;&gt;2,A231+14,IF(OptExpDateShift,ShiftBack(A231,OptExpDateShift,D230),A231))-DateToday)/365.25</f>
        <v>17.8781656399726</v>
      </c>
      <c r="BU231" s="1585" t="e">
        <f aca="false">IF(BQ231,IF(OPriceCurve,IF(OBuySell=OCallPut,I231/(1-AY231),K231/(1-AY231)),J231/(1-AY231))*BD231,0)</f>
        <v>#VALUE!</v>
      </c>
      <c r="BV231" s="1316" t="e">
        <f aca="false">IF(BQ231,IF(OPriceCurve,IF(OBuySell=OCallPut,L231/(1-AY231),N231/(1-AY231)),M231/(1-AY231))*BE231,0)</f>
        <v>#VALUE!</v>
      </c>
      <c r="BW231" s="1316" t="e">
        <f aca="false">IF(BQ231,IF(OPriceCurve,IF(OBuySell=OCallPut,O231/(1-AY231),Q231/(1-AY231)),P231/(1-AY231))*BF231,0)</f>
        <v>#VALUE!</v>
      </c>
      <c r="BX231" s="1316" t="e">
        <f aca="false">IF(BQ231,IF(OPriceCurve,IF(OBuySell=OCallPut,R231/(1-AY231),T231/(1-AY231)),S231/(1-AY231))*BG231,0)</f>
        <v>#VALUE!</v>
      </c>
      <c r="BY231" s="1316" t="e">
        <f aca="false">IF(BP231,(BU231*AZ231+BV231*BA231+BW231*BB231)/BP231,0)</f>
        <v>#VALUE!</v>
      </c>
      <c r="BZ231" s="1316" t="e">
        <f aca="false">IF(BQ231,(BY231*BP231+BX231*BC231)/BQ231,0)</f>
        <v>#VALUE!</v>
      </c>
      <c r="CA231" s="1531" t="e">
        <f aca="false">IF(BS231,IF(OPriceCurve,IF(OBuySell=OCallPut,I231/(1-AY231),K231/(1-AY231)),J231/(1-AY231))*BL231,0)</f>
        <v>#VALUE!</v>
      </c>
      <c r="CB231" s="1316" t="e">
        <f aca="false">IF(BS231,IF(OPriceCurve,IF(OBuySell=OCallPut,L231/(1-AY231),N231/(1-AY231)),M231/(1-AY231))*BM231,0)</f>
        <v>#VALUE!</v>
      </c>
      <c r="CC231" s="1316" t="e">
        <f aca="false">IF(BS231,IF(OPriceCurve,IF(OBuySell=OCallPut,O231/(1-AY231),Q231/(1-AY231)),P231/(1-AY231))*BN231,0)</f>
        <v>#VALUE!</v>
      </c>
      <c r="CD231" s="1316" t="e">
        <f aca="false">IF(BS231,IF(OPriceCurve,IF(OBuySell=OCallPut,R231/(1-AY231),T231/(1-AY231)),S231/(1-AY231))*BO231,0)</f>
        <v>#VALUE!</v>
      </c>
      <c r="CE231" s="1316" t="e">
        <f aca="false">IF(BR231,(BU231*BH231+BV231*BI231+BW231*BJ231)/BR231,0)</f>
        <v>#VALUE!</v>
      </c>
      <c r="CF231" s="1532" t="e">
        <f aca="false">IF(BS231,(CE231*BR231+CD231*BK231)/BS231,0)</f>
        <v>#VALUE!</v>
      </c>
      <c r="CG231" s="1586" t="e">
        <f aca="false">IF(OR(BQ231,BS231),IF(OVolType&lt;&gt;2,SQRT(IF(OVolOverMonthlyPeak,OVolOverMonthlyPeak,IF(OVolCurve,IF(OBuySell,U231,W231),V231))^2*(1-15/365.25/BT231)+IF(OVolOverDailyPeak,OVolOverDailyPeak,IF(OVolCurve,IF(OBuySell,AG231,AI231),AH231))^2*15/365.25/BT231),IF(OVolOverMonthlyPeak,OVolOverMonthlyPeak,IF(OVolCurve,IF(OBuySell,U231,W231),V231))),"")</f>
        <v>#VALUE!</v>
      </c>
      <c r="CH231" s="1587" t="e">
        <f aca="false">IF(OR(BQ231,BS231),IF(OVolType&lt;&gt;2,SQRT(IF(OVolOverMonthlyPeak,OVolOverMonthlyPeak,IF(OVolCurve,IF(OBuySell,X231,Z231),Y231))^2*(1-15/365.25/BT231)+IF(OVolOverDailyPeak,OVolOverDailyPeak,IF(OVolCurve,IF(OBuySell,AJ231,AL231),AK231))^2*15/365.25/BT231),IF(OVolOverMonthlyPeak,OVolOverMonthlyPeak,IF(OVolCurve,IF(OBuySell,X231,Z231),Y231))),"")</f>
        <v>#VALUE!</v>
      </c>
      <c r="CI231" s="1587" t="e">
        <f aca="false">IF(OR(BQ231,BS231),IF(OVolType&lt;&gt;2,SQRT(IF(OVolOverMonthlyPeak,OVolOverMonthlyPeak,IF(OVolCurve,IF(OBuySell,AA231,AC231),AB231))^2*(1-15/365.25/BT231)+IF(OVolOverDailyPeak,OVolOverDailyPeak,IF(OVolCurve,IF(OBuySell,AM231,AO231),AN231))^2*15/365.25/BT231),IF(OVolOverMonthlyPeak,OVolOverMonthlyPeak,IF(OVolCurve,IF(OBuySell,AA231,AC231),AB231))),"")</f>
        <v>#VALUE!</v>
      </c>
      <c r="CJ231" s="1587" t="e">
        <f aca="false">IF(BQ231,IF(BP231,SQRT(LN(1+((BU231*AZ231)^2*(EXP(CG231^2*BT231)-1)+(BV231*BA231)^2*(EXP(CH231^2*BT231)-1)+(BW231*BB231)^2*(EXP(CI231^2*BT231)-1)+2*BU231*AZ231*BV231*BA231*(EXP(CG231*CH231*BT231)-1)+2*BV231*BA231*BW231*BB231*(EXP(CH231*CI231*BT231)-1)+2*BW231*BB231*BU231*AZ231*(EXP(CI231*CG231*BT231)-1))/(BY231*BP231)^2)/BT231),0),"")</f>
        <v>#VALUE!</v>
      </c>
      <c r="CK231" s="1587" t="e">
        <f aca="false">IF(BS231,IF(BR231,SQRT(LN(1+((CA231*BH231)^2*(EXP(CG231^2*BT231)-1)+(CB231*BI231)^2*(EXP(CH231^2*BT231)-1)+(CC231*BJ231)^2*(EXP(CI231^2*BT231)-1)+2*CA231*BH231*CB231*BI231*(EXP(CG231*CH231*BT231)-1)+2*CB231*BI231*CC231*BJ231*(EXP(CH231*CI231*BT231)-1)+2*CC231*BJ231*CA231*BH231*(EXP(CI231*CG231*BT231)-1))/(CE231*BR231)^2)/BT231),0),"")</f>
        <v>#VALUE!</v>
      </c>
      <c r="CL231" s="1587" t="e">
        <f aca="false">IF(OR(BQ231,BS231),IF(OVolType&lt;&gt;2,SQRT(IF(OVolOverMonthlyOffPeak,OVolOverMonthlyOffPeak,IF(OVolCurve,IF(OBuySell,AD231,AF231),AE231))^2*(1-15/365.25/BT231)+IF(OVolOverDailyOffPeak,OVolOverDailyOffPeak,IF(OVolCurve,IF(OBuySell,AP231,AR231),AQ231))^2*15/365.25/BT231),IF(OVolOverMonthlyOffPeak,OVolOverMonthlyOffPeak,IF(OVolCurve,IF(OBuySell,AD231,AF231),AE231))),"")</f>
        <v>#VALUE!</v>
      </c>
      <c r="CM231" s="1587" t="e">
        <f aca="false">IF(BQ231,SQRT(LN(1+((BY231*BP231)^2*(EXP(CJ231^2*BT231)-1)+(BX231*BC231)^2*(EXP(CL231^2*BT231)-1)+2*BY231*BP231*BX231*BC231*(EXP(AS231*CJ231*CL231*BT231)-1))/(BY231*BP231+BX231*BC231)^2)/BT231),"")</f>
        <v>#VALUE!</v>
      </c>
      <c r="CN231" s="1588" t="e">
        <f aca="false">IF(BS231,SQRT(LN(1+((CE231*BR231)^2*(EXP(CK231^2*BT231)-1)+(CD231*BK231)^2*(EXP(CL231^2*BT231)-1)+2*CE231*BR231*CD231*BK231*(EXP(AS231*CK231*CL231*BT231)-1))/(CE231*BR231+CD231*BK231)^2)/BT231),"")</f>
        <v>#VALUE!</v>
      </c>
      <c r="CO231" s="1531" t="e">
        <f aca="false">IF(OR(BQ231,BS231),VLOOKUP(A231,GasTable,13)*HeatRatePeak*(1+VLOOKUP($B231,HeatRateDegradation,$C231+1))/1000,0)</f>
        <v>#VALUE!</v>
      </c>
      <c r="CP231" s="1316" t="e">
        <f aca="false">IF(OR(BQ231,BS231),VLOOKUP(A231,GasTable,13)*HeatRatePeak*(1+VLOOKUP($B231,HeatRateDegradation,$C231+1))/1000,0)</f>
        <v>#VALUE!</v>
      </c>
      <c r="CQ231" s="1316" t="e">
        <f aca="false">IF(OR(BQ231,BS231),VLOOKUP(A231,GasTable,13)*IF(EV231,HeatRatePeak,HeatRateOffPeak)*(1+VLOOKUP($B231,HeatRateDegradation,$C231+1))/1000,0)</f>
        <v>#VALUE!</v>
      </c>
      <c r="CR231" s="1316" t="e">
        <f aca="false">IF(OR(BQ231,BS231),VLOOKUP(A231,GasTable,13)*IF(EW231,HeatRatePeak,HeatRateOffPeak)*(1+VLOOKUP($B231,HeatRateDegradation,$C231+1))/1000,0)</f>
        <v>#VALUE!</v>
      </c>
      <c r="CS231" s="1589" t="e">
        <f aca="false">IF(BQ231,(CO231*AZ231+CP231*BA231+CQ231*BB231+CR231*BC231)/BQ231,0)</f>
        <v>#VALUE!</v>
      </c>
      <c r="CT231" s="1316" t="e">
        <f aca="false">IF(BS231,CO231,0)</f>
        <v>#VALUE!</v>
      </c>
      <c r="CU231" s="1590" t="e">
        <f aca="false">IF(OR(BQ231,BS231),VLOOKUP(A231,GasTable,14),"")</f>
        <v>#VALUE!</v>
      </c>
      <c r="CV231" s="1568" t="e">
        <f aca="false">IF(OR(BQ231,BS231),IF(CorrPowerGasOverFlag,INDEX(CorrPowerGasOver,C231),CorrPowerGas),"")</f>
        <v>#VALUE!</v>
      </c>
      <c r="CW231" s="1316" t="e">
        <f aca="false">IF(OR($BQ231,$BS231),SpreadOptPowerMargin,0)*((1+Assumptions!$C$26)^($B231-YEAR(Assumptions!$C$17)))</f>
        <v>#VALUE!</v>
      </c>
      <c r="CX231" s="1316" t="e">
        <f aca="false">IF(OR($BQ231,$BS231),SpreadOptPowerMargin,0)*((1+Assumptions!$C$26)^($B231-YEAR(Assumptions!$C$17)))</f>
        <v>#VALUE!</v>
      </c>
      <c r="CY231" s="1316" t="e">
        <f aca="false">IF(OR($BQ231,$BS231),SpreadOptPowerMargin,0)*((1+Assumptions!$C$26)^($B231-YEAR(Assumptions!$C$17)))</f>
        <v>#VALUE!</v>
      </c>
      <c r="CZ231" s="1316" t="e">
        <f aca="false">IF(OR($BQ231,$BS231),SpreadOptPowerMargin,0)*((1+Assumptions!$C$26)^($B231-YEAR(Assumptions!$C$17)))</f>
        <v>#VALUE!</v>
      </c>
      <c r="DA231" s="1591" t="e">
        <f aca="false">IF(OR(BQ231,BS231),(CW231*(AZ231+BH231)+CX231*(BA231+BI231)+CY231*(BB231+BJ231)+CZ231*(BC231+BK231))/(BQ231+BS231),0)</f>
        <v>#VALUE!</v>
      </c>
      <c r="DB231" s="1592" t="e">
        <f aca="false">IF(OR(BQ231,BS231),CG231+IF(OVolSmile,VLOOKUP(MAX(-5,CO231+CW231-BU231),IF(OVolSmile=1,VolSmileBook,VolSmileModel),2),0),"")</f>
        <v>#VALUE!</v>
      </c>
      <c r="DC231" s="1592" t="e">
        <f aca="false">IF(OR(BQ231,BS231),CH231+IF(OVolSmile,VLOOKUP(MAX(-5,CP231+CW231-BV231),IF(OVolSmile=1,VolSmileBook,VolSmileModel),2),0),"")</f>
        <v>#VALUE!</v>
      </c>
      <c r="DD231" s="1592" t="e">
        <f aca="false">IF(OR(BQ231,BS231),CI231+IF(OVolSmile,VLOOKUP(MAX(-5,CQ231+CW231-BW231),IF(OVolSmile=1,VolSmileBook,VolSmileModel),2),0),"")</f>
        <v>#VALUE!</v>
      </c>
      <c r="DE231" s="1592" t="e">
        <f aca="false">IF(OR(BQ231,BS231),CL231+IF(OVolSmile,VLOOKUP(MAX(-5,CR231+CZ231-BX231),IF(OVolSmile=1,VolSmileBook,VolSmileModel),2),0),"")</f>
        <v>#VALUE!</v>
      </c>
      <c r="DF231" s="1592" t="e">
        <f aca="false">IF(BQ231,CM231+IF(OVolSmile,VLOOKUP(MAX(-5,CS231+DA231-BZ231),IF(OVolSmile=1,VolSmileBook,VolSmileModel),2),0),"")</f>
        <v>#VALUE!</v>
      </c>
      <c r="DG231" s="1593" t="e">
        <f aca="false">IF(BS231,CN231+IF(OVolSmile,VLOOKUP(MAX(-5,CT231+DA231-CF231),IF(OVolSmile=1,VolSmileBook,VolSmileModel),2),0),"")</f>
        <v>#VALUE!</v>
      </c>
      <c r="DH231" s="1316" t="e">
        <f aca="false">IF(AND(BU231&gt;0,CO231&gt;0,DB231&gt;0,CU231&gt;0),newSPRDOPT(BU231,CO231,CW231,0,DB231,CU231,CV231,BT231*365.25,OCallPut,0),0)</f>
        <v>#VALUE!</v>
      </c>
      <c r="DI231" s="1316" t="e">
        <f aca="false">IF(AND(BV231&gt;0,CP231&gt;0,DC231&gt;0,CU231&gt;0),newSPRDOPT(BV231,CP231,CX231,0,DC231,CU231,CV231,BT231*365.25,OCallPut,0),0)</f>
        <v>#VALUE!</v>
      </c>
      <c r="DJ231" s="1316" t="e">
        <f aca="false">IF(AND(BW231&gt;0,CQ231&gt;0,DD231&gt;0,CU231&gt;0),newSPRDOPT(BW231,CQ231,CY231,0,DD231,CU231,CV231,BT231*365.25,OCallPut,0),0)</f>
        <v>#VALUE!</v>
      </c>
      <c r="DK231" s="1316" t="e">
        <f aca="false">IF(AND(BX231&gt;0,CR231&gt;0,DE231&gt;0,CU231&gt;0),newSPRDOPT(BX231,CR231,CZ231,0,DE231,CU231,CV231,BT231*365.25,OCallPut,0),0)</f>
        <v>#VALUE!</v>
      </c>
      <c r="DL231" s="1316" t="e">
        <f aca="false">IF(OVolType,IF(AND(BZ231&gt;0,CS231&gt;0,DF231&gt;0,CU231&gt;0),newSPRDOPT(BZ231,CS231,DA231,0,DF231,CU231,CV231,BT231*365.25,OCallPut,0),0),IF(BQ231,(DH231*AZ231+DI231*BA231+DJ231*BB231+DK231*BC231)/BQ231,0))</f>
        <v>#VALUE!</v>
      </c>
      <c r="DM231" s="1316"/>
      <c r="DN231" s="1316"/>
      <c r="DO231" s="1316"/>
      <c r="DP231" s="1316"/>
      <c r="DQ231" s="1316"/>
      <c r="DR231" s="1316"/>
      <c r="DS231" s="1316"/>
      <c r="DT231" s="1316"/>
      <c r="DU231" s="1316"/>
      <c r="DV231" s="1316"/>
      <c r="DW231" s="1594" t="e">
        <f aca="false">IF(AND(BW231&gt;0,CT231&gt;0,DD231&gt;0,CU231&gt;0),newSPRDOPT(BW231,CT231,CY231,0,DD231,CU231,CV231,BT231*365.25,OCallPut,0),0)</f>
        <v>#VALUE!</v>
      </c>
      <c r="DX231" s="1316" t="e">
        <f aca="false">IF(AND(BX231&gt;0,CT231&gt;0,DE231&gt;0,CU231&gt;0),newSPRDOPT(BX231,CT231,CZ231,0,DE231,CU231,CV231,BT231*365.25,OCallPut,0),0)</f>
        <v>#VALUE!</v>
      </c>
      <c r="DY231" s="1591" t="e">
        <f aca="false">IF(BS231,(DH231*BH231+DI231*BI231+DW231*BJ231+DX231*BK231)/BS231,0)</f>
        <v>#VALUE!</v>
      </c>
      <c r="DZ231" s="1551" t="e">
        <f aca="false">DH231*AZ231</f>
        <v>#VALUE!</v>
      </c>
      <c r="EA231" s="1551" t="e">
        <f aca="false">DI231*BA231</f>
        <v>#VALUE!</v>
      </c>
      <c r="EB231" s="1551" t="e">
        <f aca="false">DJ231*BB231</f>
        <v>#VALUE!</v>
      </c>
      <c r="EC231" s="1551" t="e">
        <f aca="false">DK231*BC231</f>
        <v>#VALUE!</v>
      </c>
      <c r="ED231" s="1551" t="e">
        <f aca="false">DL231*BQ231</f>
        <v>#VALUE!</v>
      </c>
      <c r="EE231" s="1595" t="e">
        <f aca="false">IF(BQ231,IF(OCallPut,IF(BU231&gt;(CO231+CW231),BU231-(CO231+CW231),0),IF((CO231+CW231)&gt;BU231,(CO231+CW231)-BU231,0))*AZ231,0)</f>
        <v>#VALUE!</v>
      </c>
      <c r="EF231" s="1596" t="e">
        <f aca="false">IF(BQ231,IF(OCallPut,IF(BV231&gt;(CP231+CX231),BV231-(CP231+CX231),0),IF((CP231+CX231)&gt;BV231,(CP231+CX231)-BV231,0))*BA231,0)</f>
        <v>#VALUE!</v>
      </c>
      <c r="EG231" s="1596" t="e">
        <f aca="false">IF(BQ231,IF(OCallPut,IF(BW231&gt;(CQ231+CY231),BW231-(CQ231+CY231),0),IF((CQ231+CY231)&gt;BW231,(CQ231+CY231)-BW231,0))*BB231,0)</f>
        <v>#VALUE!</v>
      </c>
      <c r="EH231" s="1596" t="e">
        <f aca="false">IF(BQ231,IF(OCallPut,IF(BX231&gt;(CR231+CZ231),BX231-(CR231+CZ231),0),IF((CR231+CZ231)&gt;BX231,(CR231+CZ231)-BX231,0))*BC231,0)</f>
        <v>#VALUE!</v>
      </c>
      <c r="EI231" s="1597" t="e">
        <f aca="false">IF(BQ231,IF(OVolType,IF(OCallPut,IF(BZ231&gt;(CS231+DA231),BZ231-(CS231+DA231),0),IF((CS231+DA231)&gt;BZ231,(CS231+DA231)-BZ231,0))*BQ231,SUM(EE231:EH231)),0)</f>
        <v>#VALUE!</v>
      </c>
      <c r="EJ231" s="1595" t="e">
        <f aca="false">DZ231-EE231</f>
        <v>#VALUE!</v>
      </c>
      <c r="EK231" s="1596" t="e">
        <f aca="false">EA231-EF231</f>
        <v>#VALUE!</v>
      </c>
      <c r="EL231" s="1596" t="e">
        <f aca="false">EB231-EG231</f>
        <v>#VALUE!</v>
      </c>
      <c r="EM231" s="1596" t="e">
        <f aca="false">EC231-EH231</f>
        <v>#VALUE!</v>
      </c>
      <c r="EN231" s="1597" t="e">
        <f aca="false">ED231-EI231</f>
        <v>#VALUE!</v>
      </c>
      <c r="EO231" s="1551" t="e">
        <f aca="false">DH231*BH231</f>
        <v>#VALUE!</v>
      </c>
      <c r="EP231" s="1551" t="e">
        <f aca="false">DI231*BI231</f>
        <v>#VALUE!</v>
      </c>
      <c r="EQ231" s="1551" t="e">
        <f aca="false">DW231*BJ231</f>
        <v>#VALUE!</v>
      </c>
      <c r="ER231" s="1551" t="e">
        <f aca="false">DX231*BK231</f>
        <v>#VALUE!</v>
      </c>
      <c r="ES231" s="1551" t="e">
        <f aca="false">DY231*BS231</f>
        <v>#VALUE!</v>
      </c>
      <c r="ET231" s="1566" t="e">
        <f aca="false">IF(EI231,IF(OCallPut,IF(CA231&gt;(CT231+CW231),CA231-(CT231+CW231),0),IF((CT231+CW231)&gt;CA231,(CT231+CW231)-CA231,0))*BH231,0)</f>
        <v>#VALUE!</v>
      </c>
      <c r="EU231" s="1551" t="e">
        <f aca="false">IF(EI231,IF(OCallPut,IF(CB231&gt;(CT231+CX231),CB231-(CT231+CX231),0),IF((CT231+CX231)&gt;CB231,(CT231+CX231)-CB231,0))*BI231,0)</f>
        <v>#VALUE!</v>
      </c>
      <c r="EV231" s="1551" t="e">
        <f aca="false">IF(EI231,IF(OCallPut,IF(CC231&gt;(CT231+CY231),CC231-(CT231+CY231),0),IF((CT231+CY231)&gt;CC231,(CT231+CY231)-CC231,0))*BJ231,0)</f>
        <v>#VALUE!</v>
      </c>
      <c r="EW231" s="1551" t="e">
        <f aca="false">IF(EI231,IF(OCallPut,IF(CD231&gt;(CT231+CZ231),CD231-(CT231+CZ231),0),IF((CT231+CZ231)&gt;CD231,(CT231+CZ231)-CD231,0))*BK231,0)</f>
        <v>#VALUE!</v>
      </c>
      <c r="EX231" s="1558" t="e">
        <f aca="false">IF(EI231,SUM(ET231:EW231),0)</f>
        <v>#VALUE!</v>
      </c>
      <c r="EY231" s="1551" t="e">
        <f aca="false">EO231-ET231</f>
        <v>#VALUE!</v>
      </c>
      <c r="EZ231" s="1551" t="e">
        <f aca="false">EP231-EU231</f>
        <v>#VALUE!</v>
      </c>
      <c r="FA231" s="1551" t="e">
        <f aca="false">EQ231-EV231</f>
        <v>#VALUE!</v>
      </c>
      <c r="FB231" s="1551" t="e">
        <f aca="false">ER231-EW231</f>
        <v>#VALUE!</v>
      </c>
      <c r="FC231" s="1551" t="e">
        <f aca="false">ES231-EX231</f>
        <v>#VALUE!</v>
      </c>
      <c r="FD231" s="1525" t="n">
        <f aca="false">IF(AX231,IF(VLOOKUP(C231,MAIN!$L$17:$M$28,2)="Yes",VLOOKUP(CALC!B231,MAIN!$H$17:$I$20,2),0),0)</f>
        <v>0</v>
      </c>
      <c r="FE231" s="1552" t="e">
        <f aca="false">$FD231*16*AT231*(1-$AY231)</f>
        <v>#VALUE!</v>
      </c>
      <c r="FF231" s="1553" t="e">
        <f aca="false">$FD231*16*AU231*(1-$AY231)</f>
        <v>#VALUE!</v>
      </c>
      <c r="FG231" s="1553" t="e">
        <f aca="false">$FD231*16*(AV231+AW231)*(1-$AY231)</f>
        <v>#VALUE!</v>
      </c>
      <c r="FH231" s="1554" t="n">
        <f aca="false">$FD231*8*AX231*(1-$AY231)</f>
        <v>0</v>
      </c>
      <c r="FI231" s="1555" t="n">
        <f aca="false">IF(AX231,VLOOKUP(CALC!B231,MAIN!$H$17:$K$20,4),0)</f>
        <v>0</v>
      </c>
      <c r="FJ231" s="1553" t="e">
        <f aca="false">SUM(FE231:FH231)</f>
        <v>#VALUE!</v>
      </c>
      <c r="FK231" s="1556" t="e">
        <f aca="false">FI231*FJ231</f>
        <v>#VALUE!</v>
      </c>
      <c r="FL231" s="1551" t="e">
        <f aca="false">IF($EI231&gt;0,MIN(FE231,AZ231*(1+VLOOKUP($C231,WeatherCapacityAdjustment,2))),0)</f>
        <v>#VALUE!</v>
      </c>
      <c r="FM231" s="1551" t="e">
        <f aca="false">IF($EI231&gt;0,MIN(FF231,BA231*(1+VLOOKUP($C231,WeatherCapacityAdjustment,2))),0)</f>
        <v>#VALUE!</v>
      </c>
      <c r="FN231" s="1551" t="e">
        <f aca="false">IF($EI231&gt;0,MIN(FG231,BB231*(1+VLOOKUP($C231,WeatherCapacityAdjustment,2))),0)</f>
        <v>#VALUE!</v>
      </c>
      <c r="FO231" s="1564" t="e">
        <f aca="false">IF($EI231&gt;0,MIN(FH231,BC231*(1+VLOOKUP($C231,WeatherCapacityAdjustment,3))),0)</f>
        <v>#VALUE!</v>
      </c>
      <c r="FP231" s="1551" t="e">
        <f aca="false">IF(ET231&gt;0,MIN(FE231-FL231,BH231*(1+VLOOKUP($C231,WeatherCapacityAdjustment,2))),0)</f>
        <v>#VALUE!</v>
      </c>
      <c r="FQ231" s="1551" t="e">
        <f aca="false">IF(EU231&gt;0,MIN(FF231-FM231,BI231*(1+VLOOKUP($C231,WeatherCapacityAdjustment,2))),0)</f>
        <v>#VALUE!</v>
      </c>
      <c r="FR231" s="1551" t="e">
        <f aca="false">IF(EV231&gt;0,MIN(FG231-FN231,BJ231*(1+VLOOKUP($C231,WeatherCapacityAdjustment,2))),0)</f>
        <v>#VALUE!</v>
      </c>
      <c r="FS231" s="1558" t="e">
        <f aca="false">IF(EW231&gt;0,MIN(FH231-FO231,BK231*(1+VLOOKUP($C231,WeatherCapacityAdjustment,3))),0)</f>
        <v>#VALUE!</v>
      </c>
      <c r="FT231" s="1566" t="e">
        <f aca="false">IF(AND(Assumptions!$H$71="Yes",A231&gt;=Assumptions!$H$72,A231&lt;=Assumptions!$H$73),0,IF(AND($A231&gt;=Assumptions!$C$17,$A231&lt;=Assumptions!$C$18),MAX(AZ231*(1+VLOOKUP($C231,WeatherCapacityAdjustment,2))-FL231,0),0))</f>
        <v>#VALUE!</v>
      </c>
      <c r="FU231" s="1551" t="e">
        <f aca="false">IF(AND(Assumptions!$H$71="Yes",A231&gt;=Assumptions!$H$72,A231&lt;=Assumptions!$H$73),0,IF(AND($A231&gt;=Assumptions!$C$17,$A231&lt;=Assumptions!$C$18),MAX(BA231*(1+VLOOKUP($C231,WeatherCapacityAdjustment,2))-FM231,0),0))</f>
        <v>#VALUE!</v>
      </c>
      <c r="FV231" s="1551" t="e">
        <f aca="false">IF(AND(Assumptions!$H$71="Yes",A231&gt;=Assumptions!$H$72,A231&lt;=Assumptions!$H$73),0,IF(AND($A231&gt;=Assumptions!$C$17,$A231&lt;=Assumptions!$C$18),MAX(BB231*(1+VLOOKUP($C231,WeatherCapacityAdjustment,2))-FN231,0),0))</f>
        <v>#VALUE!</v>
      </c>
      <c r="FW231" s="1564" t="e">
        <f aca="false">IF(AND(Assumptions!$H$71="Yes",A231&gt;=Assumptions!$H$72,A231&lt;=Assumptions!$H$73),0,IF(AND($A231&gt;=Assumptions!$C$17,$A231&lt;=Assumptions!$C$18),MAX(BC231*(1+VLOOKUP($C231,WeatherCapacityAdjustment,3))-FO231,0),0))</f>
        <v>#VALUE!</v>
      </c>
      <c r="FX231" s="1569" t="e">
        <f aca="false">IF(AND(Assumptions!$H$71="Yes",A231&gt;=Assumptions!$H$72,A231&lt;=Assumptions!$H$73),0,IF(ET231&gt;0,MAX(BH231*(1+VLOOKUP($C231,WeatherCapacityAdjustment,2))-FP231,0),0))</f>
        <v>#VALUE!</v>
      </c>
      <c r="FY231" s="1551" t="e">
        <f aca="false">IF(AND(Assumptions!$H$71="Yes",A231&gt;=Assumptions!$H$72,A231&lt;=Assumptions!$H$73),0,IF(EU231&gt;0,MAX(BI231*(1+VLOOKUP($C231,WeatherCapacityAdjustment,3))-FQ231,0),0))</f>
        <v>#VALUE!</v>
      </c>
      <c r="FZ231" s="1551" t="e">
        <f aca="false">IF(AND(Assumptions!$H$71="Yes",A231&gt;=Assumptions!$H$72,A231&lt;=Assumptions!$H$73),0,IF(EV231&gt;0,MAX(BJ231*(1+VLOOKUP($C231,WeatherCapacityAdjustment,2))-FR231,0),0))</f>
        <v>#VALUE!</v>
      </c>
      <c r="GA231" s="1564" t="e">
        <f aca="false">IF(AND(Assumptions!$H$71="Yes",A231&gt;=Assumptions!$H$72,A231&lt;=Assumptions!$H$73),0,IF(EW231&gt;0,MAX(BK231*(1+VLOOKUP($C231,WeatherCapacityAdjustment,2))-FS231,0),0))</f>
        <v>#VALUE!</v>
      </c>
      <c r="GB231" s="1551" t="e">
        <f aca="false">SUM(FT231:GA231)</f>
        <v>#VALUE!</v>
      </c>
      <c r="GC231" s="1563" t="e">
        <f aca="false">+IF(SUM(FT231:GA231)=0,0,(SUMPRODUCT(BU231:BX231,FT231:FW231)+SUMPRODUCT(CA231:CD231,FX231:GA231))/SUM(FT231:GA231))</f>
        <v>#VALUE!</v>
      </c>
      <c r="GD231" s="1551" t="e">
        <f aca="false">(FT231*BU231+FX231*CA231+FU231*BV231+FY231*CB231+FV231*BW231+FZ231*CC231+FW231*BX231+GA231*CD231)</f>
        <v>#VALUE!</v>
      </c>
      <c r="GE231" s="1561" t="e">
        <f aca="false">+IF(BQ231,((FL231+FM231+FT231+FU231)*HeatRatePeak/1000*(1+VLOOKUP($C231,WeatherHeatRateAdjustment,2))+(FN231+FV231)*IF(EV231&gt;0,HeatRatePeak,HeatRateOffPeak)/1000*(1+VLOOKUP($C231,WeatherHeatRateAdjustment,2))+(FO231+FW231)*IF(EW231&gt;0,HeatRatePeak,HeatRateOffPeak)/1000*(1+VLOOKUP($C231,WeatherHeatRateAdjustment,3)))*(1+VLOOKUP($B231,HeatRateDegradation,$C231+1)),0)</f>
        <v>#VALUE!</v>
      </c>
      <c r="GF231" s="1562" t="e">
        <f aca="false">IF(BQ231,((FP231+FQ231+FR231+FX231+FY231+FZ231)*HeatRatePeak/1000*(1+VLOOKUP($C231,WeatherHeatRateAdjustment,2))+(FS231+GA231)*HeatRatePeak/1000*(1+VLOOKUP($C231,WeatherHeatRateAdjustment,3)))*(1+VLOOKUP($B231,HeatRateDegradation,$C231+1)),0)</f>
        <v>#VALUE!</v>
      </c>
      <c r="GG231" s="1563" t="e">
        <f aca="false">IF(BQ231,VLOOKUP(A231,GasTable,13),0)</f>
        <v>#VALUE!</v>
      </c>
      <c r="GH231" s="1564" t="e">
        <f aca="false">(GE231+GF231)*GG231</f>
        <v>#VALUE!</v>
      </c>
      <c r="GI231" s="1569" t="e">
        <f aca="false">GB231</f>
        <v>#VALUE!</v>
      </c>
      <c r="GJ231" s="1598" t="e">
        <f aca="false">+DA231</f>
        <v>#VALUE!</v>
      </c>
      <c r="GK231" s="1558" t="e">
        <f aca="false">+GI231*GJ231</f>
        <v>#VALUE!</v>
      </c>
      <c r="GL231" s="1566" t="e">
        <f aca="false">MAX(FE231-FL231-FP231,0)</f>
        <v>#VALUE!</v>
      </c>
      <c r="GM231" s="1551" t="e">
        <f aca="false">MAX(FF231-FM231-FQ231,0)</f>
        <v>#VALUE!</v>
      </c>
      <c r="GN231" s="1551" t="e">
        <f aca="false">MAX(FG231-FN231-FR231,0)</f>
        <v>#VALUE!</v>
      </c>
      <c r="GO231" s="1564" t="e">
        <f aca="false">MAX(FH231-FO231-FS231,0)</f>
        <v>#VALUE!</v>
      </c>
      <c r="GP231" s="1551" t="e">
        <f aca="false">SUM(GL231:GO231)</f>
        <v>#VALUE!</v>
      </c>
      <c r="GQ231" s="1563" t="e">
        <f aca="false">IF(SUM(GL231:GO231)=0,0,((GL231*BU231+GM231*BV231+GN231*BW231+GO231*BX231)/SUM(GL231:GO231)))</f>
        <v>#VALUE!</v>
      </c>
      <c r="GR231" s="1558" t="e">
        <f aca="false">(GL231*BU231+GM231*BV231+GN231*BW231+GO231*BX231)</f>
        <v>#VALUE!</v>
      </c>
      <c r="GS231" s="1566" t="n">
        <f aca="false">IF($A231&gt;=BegDate,Assumptions!$C$56*24*($A232-$A231)*(1-VLOOKUP($B231,MAIN!$AA$7:$AM$28,$C231+1))*(1-VLOOKUP($B231,MAIN!$AA$33:$AM$54,$C231+1)),0)*80/168</f>
        <v>257742.857142857</v>
      </c>
      <c r="GT231" s="286" t="n">
        <f aca="false">J231</f>
        <v>43.02606103286</v>
      </c>
      <c r="GU231" s="286" t="n">
        <f aca="false">IF($A231&gt;=BegDate,VLOOKUP($A231,GasTable,13)+Assumptions!$C$58,0)</f>
        <v>3.49793134241948</v>
      </c>
      <c r="GV231" s="286" t="n">
        <f aca="false">GU231*Assumptions!$C$57/1000</f>
        <v>25.3600022325412</v>
      </c>
      <c r="GW231" s="1558" t="n">
        <f aca="false">IF(Assumptions!$C$60="Hourly",MAX(0,GS231*(GT231-GV231)),GS231*(GT231-GV231))</f>
        <v>4553300.46964787</v>
      </c>
      <c r="GX231" s="1566" t="n">
        <f aca="false">IF($A231&gt;=BegDate,Assumptions!$C$56*24*($A232-$A231)*(1-VLOOKUP($B231,MAIN!$AA$7:$AM$28,$C231+1))*(1-VLOOKUP($B231,MAIN!$AA$33:$AM$54,$C231+1)),0)*16/168</f>
        <v>51548.5714285714</v>
      </c>
      <c r="GY231" s="286" t="n">
        <f aca="false">M231</f>
        <v>43.02606103286</v>
      </c>
      <c r="GZ231" s="286" t="n">
        <f aca="false">IF($A231&gt;=BegDate,VLOOKUP($A231,GasTable,13)+Assumptions!$C$58,0)</f>
        <v>3.49793134241948</v>
      </c>
      <c r="HA231" s="286" t="n">
        <f aca="false">GZ231*Assumptions!$C$57/1000</f>
        <v>25.3600022325412</v>
      </c>
      <c r="HB231" s="1558" t="n">
        <f aca="false">IF(Assumptions!$C$60="Hourly",MAX(0,GX231*(GY231-HA231)),GX231*(GY231-HA231))</f>
        <v>910660.093929574</v>
      </c>
      <c r="HC231" s="1566" t="n">
        <f aca="false">IF($A231&gt;=BegDate,Assumptions!$C$56*24*($A232-$A231)*(1-VLOOKUP($B231,MAIN!$AA$7:$AM$28,$C231+1))*(1-VLOOKUP($B231,MAIN!$AA$33:$AM$54,$C231+1)),0)*16/168</f>
        <v>51548.5714285714</v>
      </c>
      <c r="HD231" s="286" t="n">
        <f aca="false">P231</f>
        <v>28.3422613615283</v>
      </c>
      <c r="HE231" s="286" t="n">
        <f aca="false">IF($A231&gt;=BegDate,VLOOKUP($A231,GasTable,13)+Assumptions!$C$58,0)</f>
        <v>3.49793134241948</v>
      </c>
      <c r="HF231" s="286" t="n">
        <f aca="false">HE231*Assumptions!$C$57/1000</f>
        <v>25.3600022325412</v>
      </c>
      <c r="HG231" s="1558" t="n">
        <f aca="false">IF(Assumptions!$C$60="Hourly",MAX(0,HC231*(HD231-HF231)),HC231*(HD231-HF231))</f>
        <v>153731.1977291</v>
      </c>
      <c r="HH231" s="1566" t="n">
        <f aca="false">IF($A231&gt;=BegDate,Assumptions!$C$56*24*($A232-$A231)*(1-VLOOKUP($B231,MAIN!$AA$7:$AM$28,$C231+1))*(1-VLOOKUP($B231,MAIN!$AA$33:$AM$54,$C231+1)),0)*56/168</f>
        <v>180420</v>
      </c>
      <c r="HI231" s="286" t="n">
        <f aca="false">S231</f>
        <v>28.3422613615283</v>
      </c>
      <c r="HJ231" s="286" t="n">
        <f aca="false">IF($A231&gt;=BegDate,VLOOKUP($A231,GasTable,13)+Assumptions!$C$58,0)</f>
        <v>3.49793134241948</v>
      </c>
      <c r="HK231" s="286" t="n">
        <f aca="false">HJ231*Assumptions!$C$57/1000</f>
        <v>25.3600022325412</v>
      </c>
      <c r="HL231" s="1558" t="n">
        <f aca="false">IF(Assumptions!$C$60="Hourly",MAX(0,HH231*(HI231-HK231)),HH231*(HI231-HK231))</f>
        <v>538059.192051851</v>
      </c>
      <c r="HM231" s="1566" t="n">
        <f aca="false">IF(AND(Assumptions!$H$71="Yes",A231&gt;=Assumptions!$H$72,A231&lt;=Assumptions!$H$73),Assumptions!$H$74*Assumptions!$C$9*1000,0)</f>
        <v>0</v>
      </c>
      <c r="HN231" s="1551"/>
      <c r="HO231" s="1563"/>
      <c r="HP231" s="1563"/>
      <c r="HQ231" s="1563"/>
      <c r="HR231" s="1563"/>
      <c r="HS231" s="1563"/>
      <c r="HT231" s="1563"/>
      <c r="HU231" s="1563"/>
      <c r="HV231" s="1563"/>
      <c r="HW231" s="1563"/>
      <c r="HX231" s="1563"/>
      <c r="HY231" s="1563"/>
      <c r="HZ231" s="1563"/>
      <c r="IA231" s="1563"/>
      <c r="IB231" s="1563"/>
      <c r="IC231" s="1563"/>
      <c r="ID231" s="1563"/>
      <c r="IE231" s="1563"/>
      <c r="IF231" s="1563"/>
      <c r="IG231" s="1563"/>
      <c r="IH231" s="1563"/>
      <c r="II231" s="1610"/>
      <c r="IJ231" s="1309"/>
      <c r="IK231" s="1309"/>
    </row>
    <row r="232" customFormat="false" ht="12.75" hidden="false" customHeight="false" outlineLevel="0" collapsed="false">
      <c r="A232" s="1571" t="n">
        <f aca="false">EOMONTH(A231,0)+1</f>
        <v>43191</v>
      </c>
      <c r="B232" s="594" t="n">
        <f aca="false">+YEAR(A232)</f>
        <v>2018</v>
      </c>
      <c r="C232" s="238" t="n">
        <f aca="false">MONTH(A232)</f>
        <v>4</v>
      </c>
      <c r="D232" s="1572" t="e">
        <f aca="false">IF(E232="","",Holiday(B232,C232))</f>
        <v>#VALUE!</v>
      </c>
      <c r="E232" s="1573" t="n">
        <f aca="false">IF(OR(BegDate&gt;=A233,EndDate&lt;A232,AND(VolumeMonthlyOverFlag,INDEX(VolumeMonthlyOver,C232)=0),NOT(INDEX(MonthKnockOutTable,C232))),"",MAX(A232,BegDate))</f>
        <v>43191</v>
      </c>
      <c r="F232" s="1574" t="n">
        <f aca="false">IF(E232="","",MIN(A233-1,EndDate))</f>
        <v>43220</v>
      </c>
      <c r="G232" s="1575" t="n">
        <v>0</v>
      </c>
      <c r="H232" s="1576" t="n">
        <f aca="false">(1+G232/2)^(-2*(DATE(B233,C233,20)-DateToday)/365.25)</f>
        <v>1</v>
      </c>
      <c r="I232" s="1568" t="n">
        <f aca="false">IF(Assumptions!$L$25=4,VLOOKUP($A232,'Henwood Reference'!$E$9:$R$320,10),(VLOOKUP($A232,PriceTable,2,0)+IF(BasisNumber&lt;&gt;1,VLOOKUP($A232,BasisTable,2,0),0)+I$1)/(1-I$2))</f>
        <v>40.9266818735476</v>
      </c>
      <c r="J232" s="1568" t="n">
        <f aca="false">IF(Assumptions!$L$25=4,VLOOKUP($A232,'Henwood Reference'!$E$9:$R$320,10),(VLOOKUP($A232,PriceTable,3,0)+IF(BasisNumber&lt;&gt;1,VLOOKUP($A232,BasisTable,2,0),0)+J$1)/(1-J$2))</f>
        <v>40.9266818735476</v>
      </c>
      <c r="K232" s="1568" t="n">
        <f aca="false">IF(Assumptions!$L$25=4,VLOOKUP($A232,'Henwood Reference'!$E$9:$R$320,10),(VLOOKUP($A232,PriceTable,4,0)+IF(BasisNumber&lt;&gt;1,VLOOKUP($A232,BasisTable,2,0),0)+K$1)/(1-K$2))</f>
        <v>40.9266818735476</v>
      </c>
      <c r="L232" s="1523" t="n">
        <f aca="false">IF(Assumptions!$L$25=4,VLOOKUP($A232,'Henwood Reference'!$E$9:$R$320,10),(VLOOKUP($A232,PriceTableWeekend,2,0)+IF(BasisNumber&lt;&gt;1,VLOOKUP($A232,BasisTable,2,0),0)+L$1)/(1-L$2))</f>
        <v>40.9266818735476</v>
      </c>
      <c r="M232" s="1568" t="n">
        <f aca="false">IF(Assumptions!$L$25=4,VLOOKUP($A232,'Henwood Reference'!$E$9:$R$320,10),(VLOOKUP($A232,PriceTableWeekend,3,0)+IF(BasisNumber&lt;&gt;1,VLOOKUP($A232,BasisTable,2,0),0)+M$1)/(1-M$2))</f>
        <v>40.9266818735476</v>
      </c>
      <c r="N232" s="1599" t="n">
        <f aca="false">IF(Assumptions!$L$25=4,VLOOKUP($A232,'Henwood Reference'!$E$9:$R$320,10),(VLOOKUP($A232,PriceTableWeekend,4,0)+IF(BasisNumber&lt;&gt;1,VLOOKUP($A232,BasisTable,2,0),0)+N$1)/(1-N$2))</f>
        <v>40.9266818735476</v>
      </c>
      <c r="O232" s="1568" t="n">
        <f aca="false">IF(Assumptions!$L$25=4,VLOOKUP($A232,'Henwood Reference'!$E$9:$R$320,11),(VLOOKUP($A232,PriceTableWeekend,6,0)+IF(BasisNumber&lt;&gt;1,VLOOKUP($A232,BasisTable,3,0),0)+O$1)/(1-O$2))</f>
        <v>28.4578064829573</v>
      </c>
      <c r="P232" s="1568" t="n">
        <f aca="false">IF(Assumptions!$L$25=4,VLOOKUP($A232,'Henwood Reference'!$E$9:$R$320,11),(VLOOKUP($A232,PriceTableWeekend,7,0)+IF(BasisNumber&lt;&gt;1,VLOOKUP($A232,BasisTable,3,0),0)+P$1)/(1-P$2))</f>
        <v>28.4578064829573</v>
      </c>
      <c r="Q232" s="1599" t="n">
        <f aca="false">IF(Assumptions!$L$25=4,VLOOKUP($A232,'Henwood Reference'!$E$9:$R$320,11),(VLOOKUP($A232,PriceTableWeekend,8,0)+IF(BasisNumber&lt;&gt;1,VLOOKUP($A232,BasisTable,3,0),0)+Q$1)/(1-Q$2))</f>
        <v>28.4578064829573</v>
      </c>
      <c r="R232" s="1568" t="n">
        <f aca="false">IF(Assumptions!$L$25=4,VLOOKUP($A232,'Henwood Reference'!$E$9:$R$320,11),(VLOOKUP($A232,PriceTable,6,0)+IF(BasisNumber&lt;&gt;1,VLOOKUP($A232,BasisTable,3,0),0)+R$1)/(1-R$2))</f>
        <v>28.4578064829573</v>
      </c>
      <c r="S232" s="1568" t="n">
        <f aca="false">IF(Assumptions!$L$25=4,VLOOKUP($A232,'Henwood Reference'!$E$9:$R$320,11),(VLOOKUP($A232,PriceTable,7,0)+IF(BasisNumber&lt;&gt;1,VLOOKUP($A232,BasisTable,3,0),0)+S$1)/(1-S$2))</f>
        <v>28.4578064829573</v>
      </c>
      <c r="T232" s="1600" t="n">
        <f aca="false">IF(Assumptions!$L$25=4,VLOOKUP($A232,'Henwood Reference'!$E$9:$R$320,11),(VLOOKUP($A232,PriceTable,8,0)+IF(BasisNumber&lt;&gt;1,VLOOKUP($A232,BasisTable,3,0),0)+T$1)/(1-T$2))</f>
        <v>28.4578064829573</v>
      </c>
      <c r="U232" s="1513" t="n">
        <f aca="false">VLOOKUP($A232,VolatilityTable,14)</f>
        <v>0.09</v>
      </c>
      <c r="V232" s="1513" t="n">
        <f aca="false">VLOOKUP($A232,VolatilityTable,15)</f>
        <v>0.1</v>
      </c>
      <c r="W232" s="1514" t="n">
        <f aca="false">VLOOKUP($A232,VolatilityTable,16)</f>
        <v>0.11</v>
      </c>
      <c r="X232" s="1513" t="n">
        <f aca="false">VLOOKUP($A232,VolatilityTable,14)</f>
        <v>0.09</v>
      </c>
      <c r="Y232" s="1513" t="n">
        <f aca="false">VLOOKUP($A232,VolatilityTable,15)</f>
        <v>0.1</v>
      </c>
      <c r="Z232" s="1514" t="n">
        <f aca="false">VLOOKUP($A232,VolatilityTable,16)</f>
        <v>0.11</v>
      </c>
      <c r="AA232" s="1513" t="n">
        <f aca="false">VLOOKUP($A232,VolatilityTable,18)</f>
        <v>0.09</v>
      </c>
      <c r="AB232" s="1513" t="n">
        <f aca="false">VLOOKUP($A232,VolatilityTable,19)</f>
        <v>0.11</v>
      </c>
      <c r="AC232" s="1514" t="n">
        <f aca="false">VLOOKUP($A232,VolatilityTable,20)</f>
        <v>0.13</v>
      </c>
      <c r="AD232" s="1513" t="n">
        <f aca="false">VLOOKUP($A232,VolatilityTable,18)</f>
        <v>0.09</v>
      </c>
      <c r="AE232" s="1513" t="n">
        <f aca="false">VLOOKUP($A232,VolatilityTable,19)</f>
        <v>0.11</v>
      </c>
      <c r="AF232" s="1514" t="n">
        <f aca="false">VLOOKUP($A232,VolatilityTable,20)</f>
        <v>0.13</v>
      </c>
      <c r="AG232" s="1513" t="n">
        <f aca="false">VLOOKUP($A232,VolatilityTable,22)</f>
        <v>-0.1</v>
      </c>
      <c r="AH232" s="1513" t="n">
        <f aca="false">VLOOKUP($A232,VolatilityTable,23)</f>
        <v>0.65</v>
      </c>
      <c r="AI232" s="1514" t="n">
        <f aca="false">VLOOKUP($A232,VolatilityTable,24)</f>
        <v>0.1</v>
      </c>
      <c r="AJ232" s="1513" t="n">
        <f aca="false">VLOOKUP($A232,VolatilityTable,22)</f>
        <v>-0.1</v>
      </c>
      <c r="AK232" s="1513" t="n">
        <f aca="false">VLOOKUP($A232,VolatilityTable,23)</f>
        <v>0.65</v>
      </c>
      <c r="AL232" s="1514" t="n">
        <f aca="false">VLOOKUP($A232,VolatilityTable,24)</f>
        <v>0.1</v>
      </c>
      <c r="AM232" s="1513" t="n">
        <f aca="false">VLOOKUP($A232,VolatilityTable,26)</f>
        <v>-0.01</v>
      </c>
      <c r="AN232" s="1513" t="n">
        <f aca="false">VLOOKUP($A232,VolatilityTable,27)</f>
        <v>0.16</v>
      </c>
      <c r="AO232" s="1514" t="n">
        <f aca="false">VLOOKUP($A232,VolatilityTable,28)</f>
        <v>0.01</v>
      </c>
      <c r="AP232" s="1513" t="n">
        <f aca="false">VLOOKUP($A232,VolatilityTable,26)</f>
        <v>-0.01</v>
      </c>
      <c r="AQ232" s="1513" t="n">
        <f aca="false">VLOOKUP($A232,VolatilityTable,27)</f>
        <v>0.16</v>
      </c>
      <c r="AR232" s="1515" t="n">
        <f aca="false">VLOOKUP($A232,VolatilityTable,28)</f>
        <v>0.01</v>
      </c>
      <c r="AS232" s="1581" t="n">
        <f aca="false">IF(CorrPeakOffPeakOverFlag,INDEX(CorrPeakOffPeakOver,C232),CorrPeakOffPeak)</f>
        <v>0.5</v>
      </c>
      <c r="AT232" s="594" t="e">
        <f aca="false">AX232-SUM(AU232:AW232)</f>
        <v>#VALUE!</v>
      </c>
      <c r="AU232" s="238" t="e">
        <f aca="false">IF(E232="",0,INT((F232-MOD(F232,7)-E232)/7)+1-IF(AW232,IF(WEEKDAY(D232)=7,1,0),0))</f>
        <v>#VALUE!</v>
      </c>
      <c r="AV232" s="238" t="e">
        <f aca="false">IF(E232="",0,INT((F232-MOD(F232-1,7)-E232)/7)+1-IF(AW232,IF(WEEKDAY(D232)=1,1,0),0))</f>
        <v>#VALUE!</v>
      </c>
      <c r="AW232" s="238" t="e">
        <f aca="false">IF(OR(E232="",D232="",D232&lt;BegDate,D232&gt;EndDate),0,1)</f>
        <v>#VALUE!</v>
      </c>
      <c r="AX232" s="238" t="n">
        <f aca="false">IF(E232="",0,F232-E232+1)</f>
        <v>30</v>
      </c>
      <c r="AY232" s="1582" t="n">
        <f aca="false">IF(E232="",0,MIN((1-(1-VLOOKUP(B232,MAIN!$AA$7:$AM$28,C232+1))*(1-VLOOKUP(B232,MAIN!$AA$33:$AM$54,C232+1))),1))</f>
        <v>0.224</v>
      </c>
      <c r="AZ232" s="1519" t="e">
        <v>#VALUE!</v>
      </c>
      <c r="BA232" s="1520" t="e">
        <v>#VALUE!</v>
      </c>
      <c r="BB232" s="1520" t="e">
        <v>#VALUE!</v>
      </c>
      <c r="BC232" s="1583" t="e">
        <v>#VALUE!</v>
      </c>
      <c r="BD232" s="1522" t="e">
        <v>#VALUE!</v>
      </c>
      <c r="BE232" s="1523" t="e">
        <v>#VALUE!</v>
      </c>
      <c r="BF232" s="1523" t="e">
        <v>#VALUE!</v>
      </c>
      <c r="BG232" s="1584" t="e">
        <v>#VALUE!</v>
      </c>
      <c r="BH232" s="1525" t="e">
        <v>#VALUE!</v>
      </c>
      <c r="BI232" s="1520" t="e">
        <v>#VALUE!</v>
      </c>
      <c r="BJ232" s="1520" t="e">
        <v>#VALUE!</v>
      </c>
      <c r="BK232" s="1583" t="e">
        <v>#VALUE!</v>
      </c>
      <c r="BL232" s="1522" t="e">
        <v>#VALUE!</v>
      </c>
      <c r="BM232" s="1523" t="e">
        <v>#VALUE!</v>
      </c>
      <c r="BN232" s="1523" t="e">
        <v>#VALUE!</v>
      </c>
      <c r="BO232" s="1523" t="e">
        <v>#VALUE!</v>
      </c>
      <c r="BP232" s="1525" t="e">
        <f aca="false">SUM(AZ232:BB232)</f>
        <v>#VALUE!</v>
      </c>
      <c r="BQ232" s="1529" t="e">
        <f aca="false">SUM(AZ232:BC232)</f>
        <v>#VALUE!</v>
      </c>
      <c r="BR232" s="1519" t="e">
        <f aca="false">SUM(BH232:BJ232)</f>
        <v>#VALUE!</v>
      </c>
      <c r="BS232" s="1529" t="e">
        <f aca="false">SUM(BH232:BK232)</f>
        <v>#VALUE!</v>
      </c>
      <c r="BT232" s="1316" t="n">
        <f aca="false">(IF(OVolType&lt;&gt;2,A232+14,IF(OptExpDateShift,ShiftBack(A232,OptExpDateShift,D231),A232))-DateToday)/365.25</f>
        <v>17.9630390143737</v>
      </c>
      <c r="BU232" s="1585" t="e">
        <f aca="false">IF(BQ232,IF(OPriceCurve,IF(OBuySell=OCallPut,I232/(1-AY232),K232/(1-AY232)),J232/(1-AY232))*BD232,0)</f>
        <v>#VALUE!</v>
      </c>
      <c r="BV232" s="1316" t="e">
        <f aca="false">IF(BQ232,IF(OPriceCurve,IF(OBuySell=OCallPut,L232/(1-AY232),N232/(1-AY232)),M232/(1-AY232))*BE232,0)</f>
        <v>#VALUE!</v>
      </c>
      <c r="BW232" s="1316" t="e">
        <f aca="false">IF(BQ232,IF(OPriceCurve,IF(OBuySell=OCallPut,O232/(1-AY232),Q232/(1-AY232)),P232/(1-AY232))*BF232,0)</f>
        <v>#VALUE!</v>
      </c>
      <c r="BX232" s="1316" t="e">
        <f aca="false">IF(BQ232,IF(OPriceCurve,IF(OBuySell=OCallPut,R232/(1-AY232),T232/(1-AY232)),S232/(1-AY232))*BG232,0)</f>
        <v>#VALUE!</v>
      </c>
      <c r="BY232" s="1316" t="e">
        <f aca="false">IF(BP232,(BU232*AZ232+BV232*BA232+BW232*BB232)/BP232,0)</f>
        <v>#VALUE!</v>
      </c>
      <c r="BZ232" s="1316" t="e">
        <f aca="false">IF(BQ232,(BY232*BP232+BX232*BC232)/BQ232,0)</f>
        <v>#VALUE!</v>
      </c>
      <c r="CA232" s="1531" t="e">
        <f aca="false">IF(BS232,IF(OPriceCurve,IF(OBuySell=OCallPut,I232/(1-AY232),K232/(1-AY232)),J232/(1-AY232))*BL232,0)</f>
        <v>#VALUE!</v>
      </c>
      <c r="CB232" s="1316" t="e">
        <f aca="false">IF(BS232,IF(OPriceCurve,IF(OBuySell=OCallPut,L232/(1-AY232),N232/(1-AY232)),M232/(1-AY232))*BM232,0)</f>
        <v>#VALUE!</v>
      </c>
      <c r="CC232" s="1316" t="e">
        <f aca="false">IF(BS232,IF(OPriceCurve,IF(OBuySell=OCallPut,O232/(1-AY232),Q232/(1-AY232)),P232/(1-AY232))*BN232,0)</f>
        <v>#VALUE!</v>
      </c>
      <c r="CD232" s="1316" t="e">
        <f aca="false">IF(BS232,IF(OPriceCurve,IF(OBuySell=OCallPut,R232/(1-AY232),T232/(1-AY232)),S232/(1-AY232))*BO232,0)</f>
        <v>#VALUE!</v>
      </c>
      <c r="CE232" s="1316" t="e">
        <f aca="false">IF(BR232,(BU232*BH232+BV232*BI232+BW232*BJ232)/BR232,0)</f>
        <v>#VALUE!</v>
      </c>
      <c r="CF232" s="1532" t="e">
        <f aca="false">IF(BS232,(CE232*BR232+CD232*BK232)/BS232,0)</f>
        <v>#VALUE!</v>
      </c>
      <c r="CG232" s="1586" t="e">
        <f aca="false">IF(OR(BQ232,BS232),IF(OVolType&lt;&gt;2,SQRT(IF(OVolOverMonthlyPeak,OVolOverMonthlyPeak,IF(OVolCurve,IF(OBuySell,U232,W232),V232))^2*(1-15/365.25/BT232)+IF(OVolOverDailyPeak,OVolOverDailyPeak,IF(OVolCurve,IF(OBuySell,AG232,AI232),AH232))^2*15/365.25/BT232),IF(OVolOverMonthlyPeak,OVolOverMonthlyPeak,IF(OVolCurve,IF(OBuySell,U232,W232),V232))),"")</f>
        <v>#VALUE!</v>
      </c>
      <c r="CH232" s="1587" t="e">
        <f aca="false">IF(OR(BQ232,BS232),IF(OVolType&lt;&gt;2,SQRT(IF(OVolOverMonthlyPeak,OVolOverMonthlyPeak,IF(OVolCurve,IF(OBuySell,X232,Z232),Y232))^2*(1-15/365.25/BT232)+IF(OVolOverDailyPeak,OVolOverDailyPeak,IF(OVolCurve,IF(OBuySell,AJ232,AL232),AK232))^2*15/365.25/BT232),IF(OVolOverMonthlyPeak,OVolOverMonthlyPeak,IF(OVolCurve,IF(OBuySell,X232,Z232),Y232))),"")</f>
        <v>#VALUE!</v>
      </c>
      <c r="CI232" s="1587" t="e">
        <f aca="false">IF(OR(BQ232,BS232),IF(OVolType&lt;&gt;2,SQRT(IF(OVolOverMonthlyPeak,OVolOverMonthlyPeak,IF(OVolCurve,IF(OBuySell,AA232,AC232),AB232))^2*(1-15/365.25/BT232)+IF(OVolOverDailyPeak,OVolOverDailyPeak,IF(OVolCurve,IF(OBuySell,AM232,AO232),AN232))^2*15/365.25/BT232),IF(OVolOverMonthlyPeak,OVolOverMonthlyPeak,IF(OVolCurve,IF(OBuySell,AA232,AC232),AB232))),"")</f>
        <v>#VALUE!</v>
      </c>
      <c r="CJ232" s="1587" t="e">
        <f aca="false">IF(BQ232,IF(BP232,SQRT(LN(1+((BU232*AZ232)^2*(EXP(CG232^2*BT232)-1)+(BV232*BA232)^2*(EXP(CH232^2*BT232)-1)+(BW232*BB232)^2*(EXP(CI232^2*BT232)-1)+2*BU232*AZ232*BV232*BA232*(EXP(CG232*CH232*BT232)-1)+2*BV232*BA232*BW232*BB232*(EXP(CH232*CI232*BT232)-1)+2*BW232*BB232*BU232*AZ232*(EXP(CI232*CG232*BT232)-1))/(BY232*BP232)^2)/BT232),0),"")</f>
        <v>#VALUE!</v>
      </c>
      <c r="CK232" s="1587" t="e">
        <f aca="false">IF(BS232,IF(BR232,SQRT(LN(1+((CA232*BH232)^2*(EXP(CG232^2*BT232)-1)+(CB232*BI232)^2*(EXP(CH232^2*BT232)-1)+(CC232*BJ232)^2*(EXP(CI232^2*BT232)-1)+2*CA232*BH232*CB232*BI232*(EXP(CG232*CH232*BT232)-1)+2*CB232*BI232*CC232*BJ232*(EXP(CH232*CI232*BT232)-1)+2*CC232*BJ232*CA232*BH232*(EXP(CI232*CG232*BT232)-1))/(CE232*BR232)^2)/BT232),0),"")</f>
        <v>#VALUE!</v>
      </c>
      <c r="CL232" s="1587" t="e">
        <f aca="false">IF(OR(BQ232,BS232),IF(OVolType&lt;&gt;2,SQRT(IF(OVolOverMonthlyOffPeak,OVolOverMonthlyOffPeak,IF(OVolCurve,IF(OBuySell,AD232,AF232),AE232))^2*(1-15/365.25/BT232)+IF(OVolOverDailyOffPeak,OVolOverDailyOffPeak,IF(OVolCurve,IF(OBuySell,AP232,AR232),AQ232))^2*15/365.25/BT232),IF(OVolOverMonthlyOffPeak,OVolOverMonthlyOffPeak,IF(OVolCurve,IF(OBuySell,AD232,AF232),AE232))),"")</f>
        <v>#VALUE!</v>
      </c>
      <c r="CM232" s="1587" t="e">
        <f aca="false">IF(BQ232,SQRT(LN(1+((BY232*BP232)^2*(EXP(CJ232^2*BT232)-1)+(BX232*BC232)^2*(EXP(CL232^2*BT232)-1)+2*BY232*BP232*BX232*BC232*(EXP(AS232*CJ232*CL232*BT232)-1))/(BY232*BP232+BX232*BC232)^2)/BT232),"")</f>
        <v>#VALUE!</v>
      </c>
      <c r="CN232" s="1588" t="e">
        <f aca="false">IF(BS232,SQRT(LN(1+((CE232*BR232)^2*(EXP(CK232^2*BT232)-1)+(CD232*BK232)^2*(EXP(CL232^2*BT232)-1)+2*CE232*BR232*CD232*BK232*(EXP(AS232*CK232*CL232*BT232)-1))/(CE232*BR232+CD232*BK232)^2)/BT232),"")</f>
        <v>#VALUE!</v>
      </c>
      <c r="CO232" s="1531" t="e">
        <f aca="false">IF(OR(BQ232,BS232),VLOOKUP(A232,GasTable,13)*HeatRatePeak*(1+VLOOKUP($B232,HeatRateDegradation,$C232+1))/1000,0)</f>
        <v>#VALUE!</v>
      </c>
      <c r="CP232" s="1316" t="e">
        <f aca="false">IF(OR(BQ232,BS232),VLOOKUP(A232,GasTable,13)*HeatRatePeak*(1+VLOOKUP($B232,HeatRateDegradation,$C232+1))/1000,0)</f>
        <v>#VALUE!</v>
      </c>
      <c r="CQ232" s="1316" t="e">
        <f aca="false">IF(OR(BQ232,BS232),VLOOKUP(A232,GasTable,13)*IF(EV232,HeatRatePeak,HeatRateOffPeak)*(1+VLOOKUP($B232,HeatRateDegradation,$C232+1))/1000,0)</f>
        <v>#VALUE!</v>
      </c>
      <c r="CR232" s="1316" t="e">
        <f aca="false">IF(OR(BQ232,BS232),VLOOKUP(A232,GasTable,13)*IF(EW232,HeatRatePeak,HeatRateOffPeak)*(1+VLOOKUP($B232,HeatRateDegradation,$C232+1))/1000,0)</f>
        <v>#VALUE!</v>
      </c>
      <c r="CS232" s="1589" t="e">
        <f aca="false">IF(BQ232,(CO232*AZ232+CP232*BA232+CQ232*BB232+CR232*BC232)/BQ232,0)</f>
        <v>#VALUE!</v>
      </c>
      <c r="CT232" s="1316" t="e">
        <f aca="false">IF(BS232,CO232,0)</f>
        <v>#VALUE!</v>
      </c>
      <c r="CU232" s="1590" t="e">
        <f aca="false">IF(OR(BQ232,BS232),VLOOKUP(A232,GasTable,14),"")</f>
        <v>#VALUE!</v>
      </c>
      <c r="CV232" s="1568" t="e">
        <f aca="false">IF(OR(BQ232,BS232),IF(CorrPowerGasOverFlag,INDEX(CorrPowerGasOver,C232),CorrPowerGas),"")</f>
        <v>#VALUE!</v>
      </c>
      <c r="CW232" s="1316" t="e">
        <f aca="false">IF(OR($BQ232,$BS232),SpreadOptPowerMargin,0)*((1+Assumptions!$C$26)^($B232-YEAR(Assumptions!$C$17)))</f>
        <v>#VALUE!</v>
      </c>
      <c r="CX232" s="1316" t="e">
        <f aca="false">IF(OR($BQ232,$BS232),SpreadOptPowerMargin,0)*((1+Assumptions!$C$26)^($B232-YEAR(Assumptions!$C$17)))</f>
        <v>#VALUE!</v>
      </c>
      <c r="CY232" s="1316" t="e">
        <f aca="false">IF(OR($BQ232,$BS232),SpreadOptPowerMargin,0)*((1+Assumptions!$C$26)^($B232-YEAR(Assumptions!$C$17)))</f>
        <v>#VALUE!</v>
      </c>
      <c r="CZ232" s="1316" t="e">
        <f aca="false">IF(OR($BQ232,$BS232),SpreadOptPowerMargin,0)*((1+Assumptions!$C$26)^($B232-YEAR(Assumptions!$C$17)))</f>
        <v>#VALUE!</v>
      </c>
      <c r="DA232" s="1591" t="e">
        <f aca="false">IF(OR(BQ232,BS232),(CW232*(AZ232+BH232)+CX232*(BA232+BI232)+CY232*(BB232+BJ232)+CZ232*(BC232+BK232))/(BQ232+BS232),0)</f>
        <v>#VALUE!</v>
      </c>
      <c r="DB232" s="1592" t="e">
        <f aca="false">IF(OR(BQ232,BS232),CG232+IF(OVolSmile,VLOOKUP(MAX(-5,CO232+CW232-BU232),IF(OVolSmile=1,VolSmileBook,VolSmileModel),2),0),"")</f>
        <v>#VALUE!</v>
      </c>
      <c r="DC232" s="1592" t="e">
        <f aca="false">IF(OR(BQ232,BS232),CH232+IF(OVolSmile,VLOOKUP(MAX(-5,CP232+CW232-BV232),IF(OVolSmile=1,VolSmileBook,VolSmileModel),2),0),"")</f>
        <v>#VALUE!</v>
      </c>
      <c r="DD232" s="1592" t="e">
        <f aca="false">IF(OR(BQ232,BS232),CI232+IF(OVolSmile,VLOOKUP(MAX(-5,CQ232+CW232-BW232),IF(OVolSmile=1,VolSmileBook,VolSmileModel),2),0),"")</f>
        <v>#VALUE!</v>
      </c>
      <c r="DE232" s="1592" t="e">
        <f aca="false">IF(OR(BQ232,BS232),CL232+IF(OVolSmile,VLOOKUP(MAX(-5,CR232+CZ232-BX232),IF(OVolSmile=1,VolSmileBook,VolSmileModel),2),0),"")</f>
        <v>#VALUE!</v>
      </c>
      <c r="DF232" s="1592" t="e">
        <f aca="false">IF(BQ232,CM232+IF(OVolSmile,VLOOKUP(MAX(-5,CS232+DA232-BZ232),IF(OVolSmile=1,VolSmileBook,VolSmileModel),2),0),"")</f>
        <v>#VALUE!</v>
      </c>
      <c r="DG232" s="1593" t="e">
        <f aca="false">IF(BS232,CN232+IF(OVolSmile,VLOOKUP(MAX(-5,CT232+DA232-CF232),IF(OVolSmile=1,VolSmileBook,VolSmileModel),2),0),"")</f>
        <v>#VALUE!</v>
      </c>
      <c r="DH232" s="1316" t="e">
        <f aca="false">IF(AND(BU232&gt;0,CO232&gt;0,DB232&gt;0,CU232&gt;0),newSPRDOPT(BU232,CO232,CW232,0,DB232,CU232,CV232,BT232*365.25,OCallPut,0),0)</f>
        <v>#VALUE!</v>
      </c>
      <c r="DI232" s="1316" t="e">
        <f aca="false">IF(AND(BV232&gt;0,CP232&gt;0,DC232&gt;0,CU232&gt;0),newSPRDOPT(BV232,CP232,CX232,0,DC232,CU232,CV232,BT232*365.25,OCallPut,0),0)</f>
        <v>#VALUE!</v>
      </c>
      <c r="DJ232" s="1316" t="e">
        <f aca="false">IF(AND(BW232&gt;0,CQ232&gt;0,DD232&gt;0,CU232&gt;0),newSPRDOPT(BW232,CQ232,CY232,0,DD232,CU232,CV232,BT232*365.25,OCallPut,0),0)</f>
        <v>#VALUE!</v>
      </c>
      <c r="DK232" s="1316" t="e">
        <f aca="false">IF(AND(BX232&gt;0,CR232&gt;0,DE232&gt;0,CU232&gt;0),newSPRDOPT(BX232,CR232,CZ232,0,DE232,CU232,CV232,BT232*365.25,OCallPut,0),0)</f>
        <v>#VALUE!</v>
      </c>
      <c r="DL232" s="1316" t="e">
        <f aca="false">IF(OVolType,IF(AND(BZ232&gt;0,CS232&gt;0,DF232&gt;0,CU232&gt;0),newSPRDOPT(BZ232,CS232,DA232,0,DF232,CU232,CV232,BT232*365.25,OCallPut,0),0),IF(BQ232,(DH232*AZ232+DI232*BA232+DJ232*BB232+DK232*BC232)/BQ232,0))</f>
        <v>#VALUE!</v>
      </c>
      <c r="DM232" s="1316"/>
      <c r="DN232" s="1316"/>
      <c r="DO232" s="1316"/>
      <c r="DP232" s="1316"/>
      <c r="DQ232" s="1316"/>
      <c r="DR232" s="1316"/>
      <c r="DS232" s="1316"/>
      <c r="DT232" s="1316"/>
      <c r="DU232" s="1316"/>
      <c r="DV232" s="1316"/>
      <c r="DW232" s="1594" t="e">
        <f aca="false">IF(AND(BW232&gt;0,CT232&gt;0,DD232&gt;0,CU232&gt;0),newSPRDOPT(BW232,CT232,CY232,0,DD232,CU232,CV232,BT232*365.25,OCallPut,0),0)</f>
        <v>#VALUE!</v>
      </c>
      <c r="DX232" s="1316" t="e">
        <f aca="false">IF(AND(BX232&gt;0,CT232&gt;0,DE232&gt;0,CU232&gt;0),newSPRDOPT(BX232,CT232,CZ232,0,DE232,CU232,CV232,BT232*365.25,OCallPut,0),0)</f>
        <v>#VALUE!</v>
      </c>
      <c r="DY232" s="1591" t="e">
        <f aca="false">IF(BS232,(DH232*BH232+DI232*BI232+DW232*BJ232+DX232*BK232)/BS232,0)</f>
        <v>#VALUE!</v>
      </c>
      <c r="DZ232" s="1551" t="e">
        <f aca="false">DH232*AZ232</f>
        <v>#VALUE!</v>
      </c>
      <c r="EA232" s="1551" t="e">
        <f aca="false">DI232*BA232</f>
        <v>#VALUE!</v>
      </c>
      <c r="EB232" s="1551" t="e">
        <f aca="false">DJ232*BB232</f>
        <v>#VALUE!</v>
      </c>
      <c r="EC232" s="1551" t="e">
        <f aca="false">DK232*BC232</f>
        <v>#VALUE!</v>
      </c>
      <c r="ED232" s="1551" t="e">
        <f aca="false">DL232*BQ232</f>
        <v>#VALUE!</v>
      </c>
      <c r="EE232" s="1595" t="e">
        <f aca="false">IF(BQ232,IF(OCallPut,IF(BU232&gt;(CO232+CW232),BU232-(CO232+CW232),0),IF((CO232+CW232)&gt;BU232,(CO232+CW232)-BU232,0))*AZ232,0)</f>
        <v>#VALUE!</v>
      </c>
      <c r="EF232" s="1596" t="e">
        <f aca="false">IF(BQ232,IF(OCallPut,IF(BV232&gt;(CP232+CX232),BV232-(CP232+CX232),0),IF((CP232+CX232)&gt;BV232,(CP232+CX232)-BV232,0))*BA232,0)</f>
        <v>#VALUE!</v>
      </c>
      <c r="EG232" s="1596" t="e">
        <f aca="false">IF(BQ232,IF(OCallPut,IF(BW232&gt;(CQ232+CY232),BW232-(CQ232+CY232),0),IF((CQ232+CY232)&gt;BW232,(CQ232+CY232)-BW232,0))*BB232,0)</f>
        <v>#VALUE!</v>
      </c>
      <c r="EH232" s="1596" t="e">
        <f aca="false">IF(BQ232,IF(OCallPut,IF(BX232&gt;(CR232+CZ232),BX232-(CR232+CZ232),0),IF((CR232+CZ232)&gt;BX232,(CR232+CZ232)-BX232,0))*BC232,0)</f>
        <v>#VALUE!</v>
      </c>
      <c r="EI232" s="1597" t="e">
        <f aca="false">IF(BQ232,IF(OVolType,IF(OCallPut,IF(BZ232&gt;(CS232+DA232),BZ232-(CS232+DA232),0),IF((CS232+DA232)&gt;BZ232,(CS232+DA232)-BZ232,0))*BQ232,SUM(EE232:EH232)),0)</f>
        <v>#VALUE!</v>
      </c>
      <c r="EJ232" s="1595" t="e">
        <f aca="false">DZ232-EE232</f>
        <v>#VALUE!</v>
      </c>
      <c r="EK232" s="1596" t="e">
        <f aca="false">EA232-EF232</f>
        <v>#VALUE!</v>
      </c>
      <c r="EL232" s="1596" t="e">
        <f aca="false">EB232-EG232</f>
        <v>#VALUE!</v>
      </c>
      <c r="EM232" s="1596" t="e">
        <f aca="false">EC232-EH232</f>
        <v>#VALUE!</v>
      </c>
      <c r="EN232" s="1597" t="e">
        <f aca="false">ED232-EI232</f>
        <v>#VALUE!</v>
      </c>
      <c r="EO232" s="1551" t="e">
        <f aca="false">DH232*BH232</f>
        <v>#VALUE!</v>
      </c>
      <c r="EP232" s="1551" t="e">
        <f aca="false">DI232*BI232</f>
        <v>#VALUE!</v>
      </c>
      <c r="EQ232" s="1551" t="e">
        <f aca="false">DW232*BJ232</f>
        <v>#VALUE!</v>
      </c>
      <c r="ER232" s="1551" t="e">
        <f aca="false">DX232*BK232</f>
        <v>#VALUE!</v>
      </c>
      <c r="ES232" s="1551" t="e">
        <f aca="false">DY232*BS232</f>
        <v>#VALUE!</v>
      </c>
      <c r="ET232" s="1566" t="e">
        <f aca="false">IF(EI232,IF(OCallPut,IF(CA232&gt;(CT232+CW232),CA232-(CT232+CW232),0),IF((CT232+CW232)&gt;CA232,(CT232+CW232)-CA232,0))*BH232,0)</f>
        <v>#VALUE!</v>
      </c>
      <c r="EU232" s="1551" t="e">
        <f aca="false">IF(EI232,IF(OCallPut,IF(CB232&gt;(CT232+CX232),CB232-(CT232+CX232),0),IF((CT232+CX232)&gt;CB232,(CT232+CX232)-CB232,0))*BI232,0)</f>
        <v>#VALUE!</v>
      </c>
      <c r="EV232" s="1551" t="e">
        <f aca="false">IF(EI232,IF(OCallPut,IF(CC232&gt;(CT232+CY232),CC232-(CT232+CY232),0),IF((CT232+CY232)&gt;CC232,(CT232+CY232)-CC232,0))*BJ232,0)</f>
        <v>#VALUE!</v>
      </c>
      <c r="EW232" s="1551" t="e">
        <f aca="false">IF(EI232,IF(OCallPut,IF(CD232&gt;(CT232+CZ232),CD232-(CT232+CZ232),0),IF((CT232+CZ232)&gt;CD232,(CT232+CZ232)-CD232,0))*BK232,0)</f>
        <v>#VALUE!</v>
      </c>
      <c r="EX232" s="1558" t="e">
        <f aca="false">IF(EI232,SUM(ET232:EW232),0)</f>
        <v>#VALUE!</v>
      </c>
      <c r="EY232" s="1551" t="e">
        <f aca="false">EO232-ET232</f>
        <v>#VALUE!</v>
      </c>
      <c r="EZ232" s="1551" t="e">
        <f aca="false">EP232-EU232</f>
        <v>#VALUE!</v>
      </c>
      <c r="FA232" s="1551" t="e">
        <f aca="false">EQ232-EV232</f>
        <v>#VALUE!</v>
      </c>
      <c r="FB232" s="1551" t="e">
        <f aca="false">ER232-EW232</f>
        <v>#VALUE!</v>
      </c>
      <c r="FC232" s="1551" t="e">
        <f aca="false">ES232-EX232</f>
        <v>#VALUE!</v>
      </c>
      <c r="FD232" s="1525" t="n">
        <f aca="false">IF(AX232,IF(VLOOKUP(C232,MAIN!$L$17:$M$28,2)="Yes",VLOOKUP(CALC!B232,MAIN!$H$17:$I$20,2),0),0)</f>
        <v>0</v>
      </c>
      <c r="FE232" s="1552" t="e">
        <f aca="false">$FD232*16*AT232*(1-$AY232)</f>
        <v>#VALUE!</v>
      </c>
      <c r="FF232" s="1553" t="e">
        <f aca="false">$FD232*16*AU232*(1-$AY232)</f>
        <v>#VALUE!</v>
      </c>
      <c r="FG232" s="1553" t="e">
        <f aca="false">$FD232*16*(AV232+AW232)*(1-$AY232)</f>
        <v>#VALUE!</v>
      </c>
      <c r="FH232" s="1554" t="n">
        <f aca="false">$FD232*8*AX232*(1-$AY232)</f>
        <v>0</v>
      </c>
      <c r="FI232" s="1555" t="n">
        <f aca="false">IF(AX232,VLOOKUP(CALC!B232,MAIN!$H$17:$K$20,4),0)</f>
        <v>0</v>
      </c>
      <c r="FJ232" s="1553" t="e">
        <f aca="false">SUM(FE232:FH232)</f>
        <v>#VALUE!</v>
      </c>
      <c r="FK232" s="1556" t="e">
        <f aca="false">FI232*FJ232</f>
        <v>#VALUE!</v>
      </c>
      <c r="FL232" s="1551" t="e">
        <f aca="false">IF($EI232&gt;0,MIN(FE232,AZ232*(1+VLOOKUP($C232,WeatherCapacityAdjustment,2))),0)</f>
        <v>#VALUE!</v>
      </c>
      <c r="FM232" s="1551" t="e">
        <f aca="false">IF($EI232&gt;0,MIN(FF232,BA232*(1+VLOOKUP($C232,WeatherCapacityAdjustment,2))),0)</f>
        <v>#VALUE!</v>
      </c>
      <c r="FN232" s="1551" t="e">
        <f aca="false">IF($EI232&gt;0,MIN(FG232,BB232*(1+VLOOKUP($C232,WeatherCapacityAdjustment,2))),0)</f>
        <v>#VALUE!</v>
      </c>
      <c r="FO232" s="1564" t="e">
        <f aca="false">IF($EI232&gt;0,MIN(FH232,BC232*(1+VLOOKUP($C232,WeatherCapacityAdjustment,3))),0)</f>
        <v>#VALUE!</v>
      </c>
      <c r="FP232" s="1551" t="e">
        <f aca="false">IF(ET232&gt;0,MIN(FE232-FL232,BH232*(1+VLOOKUP($C232,WeatherCapacityAdjustment,2))),0)</f>
        <v>#VALUE!</v>
      </c>
      <c r="FQ232" s="1551" t="e">
        <f aca="false">IF(EU232&gt;0,MIN(FF232-FM232,BI232*(1+VLOOKUP($C232,WeatherCapacityAdjustment,2))),0)</f>
        <v>#VALUE!</v>
      </c>
      <c r="FR232" s="1551" t="e">
        <f aca="false">IF(EV232&gt;0,MIN(FG232-FN232,BJ232*(1+VLOOKUP($C232,WeatherCapacityAdjustment,2))),0)</f>
        <v>#VALUE!</v>
      </c>
      <c r="FS232" s="1558" t="e">
        <f aca="false">IF(EW232&gt;0,MIN(FH232-FO232,BK232*(1+VLOOKUP($C232,WeatherCapacityAdjustment,3))),0)</f>
        <v>#VALUE!</v>
      </c>
      <c r="FT232" s="1566" t="e">
        <f aca="false">IF(AND(Assumptions!$H$71="Yes",A232&gt;=Assumptions!$H$72,A232&lt;=Assumptions!$H$73),0,IF(AND($A232&gt;=Assumptions!$C$17,$A232&lt;=Assumptions!$C$18),MAX(AZ232*(1+VLOOKUP($C232,WeatherCapacityAdjustment,2))-FL232,0),0))</f>
        <v>#VALUE!</v>
      </c>
      <c r="FU232" s="1551" t="e">
        <f aca="false">IF(AND(Assumptions!$H$71="Yes",A232&gt;=Assumptions!$H$72,A232&lt;=Assumptions!$H$73),0,IF(AND($A232&gt;=Assumptions!$C$17,$A232&lt;=Assumptions!$C$18),MAX(BA232*(1+VLOOKUP($C232,WeatherCapacityAdjustment,2))-FM232,0),0))</f>
        <v>#VALUE!</v>
      </c>
      <c r="FV232" s="1551" t="e">
        <f aca="false">IF(AND(Assumptions!$H$71="Yes",A232&gt;=Assumptions!$H$72,A232&lt;=Assumptions!$H$73),0,IF(AND($A232&gt;=Assumptions!$C$17,$A232&lt;=Assumptions!$C$18),MAX(BB232*(1+VLOOKUP($C232,WeatherCapacityAdjustment,2))-FN232,0),0))</f>
        <v>#VALUE!</v>
      </c>
      <c r="FW232" s="1564" t="e">
        <f aca="false">IF(AND(Assumptions!$H$71="Yes",A232&gt;=Assumptions!$H$72,A232&lt;=Assumptions!$H$73),0,IF(AND($A232&gt;=Assumptions!$C$17,$A232&lt;=Assumptions!$C$18),MAX(BC232*(1+VLOOKUP($C232,WeatherCapacityAdjustment,3))-FO232,0),0))</f>
        <v>#VALUE!</v>
      </c>
      <c r="FX232" s="1569" t="e">
        <f aca="false">IF(AND(Assumptions!$H$71="Yes",A232&gt;=Assumptions!$H$72,A232&lt;=Assumptions!$H$73),0,IF(ET232&gt;0,MAX(BH232*(1+VLOOKUP($C232,WeatherCapacityAdjustment,2))-FP232,0),0))</f>
        <v>#VALUE!</v>
      </c>
      <c r="FY232" s="1551" t="e">
        <f aca="false">IF(AND(Assumptions!$H$71="Yes",A232&gt;=Assumptions!$H$72,A232&lt;=Assumptions!$H$73),0,IF(EU232&gt;0,MAX(BI232*(1+VLOOKUP($C232,WeatherCapacityAdjustment,3))-FQ232,0),0))</f>
        <v>#VALUE!</v>
      </c>
      <c r="FZ232" s="1551" t="e">
        <f aca="false">IF(AND(Assumptions!$H$71="Yes",A232&gt;=Assumptions!$H$72,A232&lt;=Assumptions!$H$73),0,IF(EV232&gt;0,MAX(BJ232*(1+VLOOKUP($C232,WeatherCapacityAdjustment,2))-FR232,0),0))</f>
        <v>#VALUE!</v>
      </c>
      <c r="GA232" s="1564" t="e">
        <f aca="false">IF(AND(Assumptions!$H$71="Yes",A232&gt;=Assumptions!$H$72,A232&lt;=Assumptions!$H$73),0,IF(EW232&gt;0,MAX(BK232*(1+VLOOKUP($C232,WeatherCapacityAdjustment,2))-FS232,0),0))</f>
        <v>#VALUE!</v>
      </c>
      <c r="GB232" s="1551" t="e">
        <f aca="false">SUM(FT232:GA232)</f>
        <v>#VALUE!</v>
      </c>
      <c r="GC232" s="1563" t="e">
        <f aca="false">+IF(SUM(FT232:GA232)=0,0,(SUMPRODUCT(BU232:BX232,FT232:FW232)+SUMPRODUCT(CA232:CD232,FX232:GA232))/SUM(FT232:GA232))</f>
        <v>#VALUE!</v>
      </c>
      <c r="GD232" s="1551" t="e">
        <f aca="false">(FT232*BU232+FX232*CA232+FU232*BV232+FY232*CB232+FV232*BW232+FZ232*CC232+FW232*BX232+GA232*CD232)</f>
        <v>#VALUE!</v>
      </c>
      <c r="GE232" s="1561" t="e">
        <f aca="false">+IF(BQ232,((FL232+FM232+FT232+FU232)*HeatRatePeak/1000*(1+VLOOKUP($C232,WeatherHeatRateAdjustment,2))+(FN232+FV232)*IF(EV232&gt;0,HeatRatePeak,HeatRateOffPeak)/1000*(1+VLOOKUP($C232,WeatherHeatRateAdjustment,2))+(FO232+FW232)*IF(EW232&gt;0,HeatRatePeak,HeatRateOffPeak)/1000*(1+VLOOKUP($C232,WeatherHeatRateAdjustment,3)))*(1+VLOOKUP($B232,HeatRateDegradation,$C232+1)),0)</f>
        <v>#VALUE!</v>
      </c>
      <c r="GF232" s="1562" t="e">
        <f aca="false">IF(BQ232,((FP232+FQ232+FR232+FX232+FY232+FZ232)*HeatRatePeak/1000*(1+VLOOKUP($C232,WeatherHeatRateAdjustment,2))+(FS232+GA232)*HeatRatePeak/1000*(1+VLOOKUP($C232,WeatherHeatRateAdjustment,3)))*(1+VLOOKUP($B232,HeatRateDegradation,$C232+1)),0)</f>
        <v>#VALUE!</v>
      </c>
      <c r="GG232" s="1563" t="e">
        <f aca="false">IF(BQ232,VLOOKUP(A232,GasTable,13),0)</f>
        <v>#VALUE!</v>
      </c>
      <c r="GH232" s="1564" t="e">
        <f aca="false">(GE232+GF232)*GG232</f>
        <v>#VALUE!</v>
      </c>
      <c r="GI232" s="1569" t="e">
        <f aca="false">GB232</f>
        <v>#VALUE!</v>
      </c>
      <c r="GJ232" s="1598" t="e">
        <f aca="false">+DA232</f>
        <v>#VALUE!</v>
      </c>
      <c r="GK232" s="1558" t="e">
        <f aca="false">+GI232*GJ232</f>
        <v>#VALUE!</v>
      </c>
      <c r="GL232" s="1566" t="e">
        <f aca="false">MAX(FE232-FL232-FP232,0)</f>
        <v>#VALUE!</v>
      </c>
      <c r="GM232" s="1551" t="e">
        <f aca="false">MAX(FF232-FM232-FQ232,0)</f>
        <v>#VALUE!</v>
      </c>
      <c r="GN232" s="1551" t="e">
        <f aca="false">MAX(FG232-FN232-FR232,0)</f>
        <v>#VALUE!</v>
      </c>
      <c r="GO232" s="1564" t="e">
        <f aca="false">MAX(FH232-FO232-FS232,0)</f>
        <v>#VALUE!</v>
      </c>
      <c r="GP232" s="1551" t="e">
        <f aca="false">SUM(GL232:GO232)</f>
        <v>#VALUE!</v>
      </c>
      <c r="GQ232" s="1563" t="e">
        <f aca="false">IF(SUM(GL232:GO232)=0,0,((GL232*BU232+GM232*BV232+GN232*BW232+GO232*BX232)/SUM(GL232:GO232)))</f>
        <v>#VALUE!</v>
      </c>
      <c r="GR232" s="1558" t="e">
        <f aca="false">(GL232*BU232+GM232*BV232+GN232*BW232+GO232*BX232)</f>
        <v>#VALUE!</v>
      </c>
      <c r="GS232" s="1566" t="n">
        <f aca="false">IF($A232&gt;=BegDate,Assumptions!$C$56*24*($A233-$A232)*(1-VLOOKUP($B232,MAIN!$AA$7:$AM$28,$C232+1))*(1-VLOOKUP($B232,MAIN!$AA$33:$AM$54,$C232+1)),0)*80/168</f>
        <v>199542.857142857</v>
      </c>
      <c r="GT232" s="286" t="n">
        <f aca="false">J232</f>
        <v>40.9266818735476</v>
      </c>
      <c r="GU232" s="286" t="n">
        <f aca="false">IF($A232&gt;=BegDate,VLOOKUP($A232,GasTable,13)+Assumptions!$C$58,0)</f>
        <v>3.38729304123099</v>
      </c>
      <c r="GV232" s="286" t="n">
        <f aca="false">GU232*Assumptions!$C$57/1000</f>
        <v>24.5578745489247</v>
      </c>
      <c r="GW232" s="1558" t="n">
        <f aca="false">IF(Assumptions!$C$60="Hourly",MAX(0,GS232*(GT232-GV232)),GS232*(GT232-GV232))</f>
        <v>3266278.58157619</v>
      </c>
      <c r="GX232" s="1566" t="n">
        <f aca="false">IF($A232&gt;=BegDate,Assumptions!$C$56*24*($A233-$A232)*(1-VLOOKUP($B232,MAIN!$AA$7:$AM$28,$C232+1))*(1-VLOOKUP($B232,MAIN!$AA$33:$AM$54,$C232+1)),0)*16/168</f>
        <v>39908.5714285714</v>
      </c>
      <c r="GY232" s="286" t="n">
        <f aca="false">M232</f>
        <v>40.9266818735476</v>
      </c>
      <c r="GZ232" s="286" t="n">
        <f aca="false">IF($A232&gt;=BegDate,VLOOKUP($A232,GasTable,13)+Assumptions!$C$58,0)</f>
        <v>3.38729304123099</v>
      </c>
      <c r="HA232" s="286" t="n">
        <f aca="false">GZ232*Assumptions!$C$57/1000</f>
        <v>24.5578745489247</v>
      </c>
      <c r="HB232" s="1558" t="n">
        <f aca="false">IF(Assumptions!$C$60="Hourly",MAX(0,GX232*(GY232-HA232)),GX232*(GY232-HA232))</f>
        <v>653255.716315238</v>
      </c>
      <c r="HC232" s="1566" t="n">
        <f aca="false">IF($A232&gt;=BegDate,Assumptions!$C$56*24*($A233-$A232)*(1-VLOOKUP($B232,MAIN!$AA$7:$AM$28,$C232+1))*(1-VLOOKUP($B232,MAIN!$AA$33:$AM$54,$C232+1)),0)*16/168</f>
        <v>39908.5714285714</v>
      </c>
      <c r="HD232" s="286" t="n">
        <f aca="false">P232</f>
        <v>28.4578064829573</v>
      </c>
      <c r="HE232" s="286" t="n">
        <f aca="false">IF($A232&gt;=BegDate,VLOOKUP($A232,GasTable,13)+Assumptions!$C$58,0)</f>
        <v>3.38729304123099</v>
      </c>
      <c r="HF232" s="286" t="n">
        <f aca="false">HE232*Assumptions!$C$57/1000</f>
        <v>24.5578745489247</v>
      </c>
      <c r="HG232" s="1558" t="n">
        <f aca="false">IF(Assumptions!$C$60="Hourly",MAX(0,HC232*(HD232-HF232)),HC232*(HD232-HF232))</f>
        <v>155640.712155905</v>
      </c>
      <c r="HH232" s="1566" t="n">
        <f aca="false">IF($A232&gt;=BegDate,Assumptions!$C$56*24*($A233-$A232)*(1-VLOOKUP($B232,MAIN!$AA$7:$AM$28,$C232+1))*(1-VLOOKUP($B232,MAIN!$AA$33:$AM$54,$C232+1)),0)*56/168</f>
        <v>139680</v>
      </c>
      <c r="HI232" s="286" t="n">
        <f aca="false">S232</f>
        <v>28.4578064829573</v>
      </c>
      <c r="HJ232" s="286" t="n">
        <f aca="false">IF($A232&gt;=BegDate,VLOOKUP($A232,GasTable,13)+Assumptions!$C$58,0)</f>
        <v>3.38729304123099</v>
      </c>
      <c r="HK232" s="286" t="n">
        <f aca="false">HJ232*Assumptions!$C$57/1000</f>
        <v>24.5578745489247</v>
      </c>
      <c r="HL232" s="1558" t="n">
        <f aca="false">IF(Assumptions!$C$60="Hourly",MAX(0,HH232*(HI232-HK232)),HH232*(HI232-HK232))</f>
        <v>544742.492545668</v>
      </c>
      <c r="HM232" s="1566" t="n">
        <f aca="false">IF(AND(Assumptions!$H$71="Yes",A232&gt;=Assumptions!$H$72,A232&lt;=Assumptions!$H$73),Assumptions!$H$74*Assumptions!$C$9*1000,0)</f>
        <v>0</v>
      </c>
      <c r="HN232" s="1551"/>
      <c r="HO232" s="1563"/>
      <c r="HP232" s="1563"/>
      <c r="HQ232" s="1563"/>
      <c r="HR232" s="1563"/>
      <c r="HS232" s="1563"/>
      <c r="HT232" s="1563"/>
      <c r="HU232" s="1563"/>
      <c r="HV232" s="1563"/>
      <c r="HW232" s="1563"/>
      <c r="HX232" s="1563"/>
      <c r="HY232" s="1563"/>
      <c r="HZ232" s="1563"/>
      <c r="IA232" s="1563"/>
      <c r="IB232" s="1563"/>
      <c r="IC232" s="1563"/>
      <c r="ID232" s="1563"/>
      <c r="IE232" s="1563"/>
      <c r="IF232" s="1563"/>
      <c r="IG232" s="1563"/>
      <c r="IH232" s="1563"/>
      <c r="II232" s="1610"/>
      <c r="IJ232" s="1309"/>
      <c r="IK232" s="1309"/>
    </row>
    <row r="233" customFormat="false" ht="12.75" hidden="false" customHeight="false" outlineLevel="0" collapsed="false">
      <c r="A233" s="1571" t="n">
        <f aca="false">EOMONTH(A232,0)+1</f>
        <v>43221</v>
      </c>
      <c r="B233" s="594" t="n">
        <f aca="false">+YEAR(A233)</f>
        <v>2018</v>
      </c>
      <c r="C233" s="238" t="n">
        <f aca="false">MONTH(A233)</f>
        <v>5</v>
      </c>
      <c r="D233" s="1572" t="e">
        <f aca="false">IF(E233="","",Holiday(B233,C233))</f>
        <v>#VALUE!</v>
      </c>
      <c r="E233" s="1573" t="n">
        <f aca="false">IF(OR(BegDate&gt;=A234,EndDate&lt;A233,AND(VolumeMonthlyOverFlag,INDEX(VolumeMonthlyOver,C233)=0),NOT(INDEX(MonthKnockOutTable,C233))),"",MAX(A233,BegDate))</f>
        <v>43221</v>
      </c>
      <c r="F233" s="1574" t="n">
        <f aca="false">IF(E233="","",MIN(A234-1,EndDate))</f>
        <v>43251</v>
      </c>
      <c r="G233" s="1575" t="n">
        <v>0</v>
      </c>
      <c r="H233" s="1576" t="n">
        <f aca="false">(1+G233/2)^(-2*(DATE(B234,C234,20)-DateToday)/365.25)</f>
        <v>1</v>
      </c>
      <c r="I233" s="1568" t="n">
        <f aca="false">IF(Assumptions!$L$25=4,VLOOKUP($A233,'Henwood Reference'!$E$9:$R$320,10),(VLOOKUP($A233,PriceTable,2,0)+IF(BasisNumber&lt;&gt;1,VLOOKUP($A233,BasisTable,2,0),0)+I$1)/(1-I$2))</f>
        <v>46.3504469987185</v>
      </c>
      <c r="J233" s="1568" t="n">
        <f aca="false">IF(Assumptions!$L$25=4,VLOOKUP($A233,'Henwood Reference'!$E$9:$R$320,10),(VLOOKUP($A233,PriceTable,3,0)+IF(BasisNumber&lt;&gt;1,VLOOKUP($A233,BasisTable,2,0),0)+J$1)/(1-J$2))</f>
        <v>46.3504469987185</v>
      </c>
      <c r="K233" s="1568" t="n">
        <f aca="false">IF(Assumptions!$L$25=4,VLOOKUP($A233,'Henwood Reference'!$E$9:$R$320,10),(VLOOKUP($A233,PriceTable,4,0)+IF(BasisNumber&lt;&gt;1,VLOOKUP($A233,BasisTable,2,0),0)+K$1)/(1-K$2))</f>
        <v>46.3504469987185</v>
      </c>
      <c r="L233" s="1523" t="n">
        <f aca="false">IF(Assumptions!$L$25=4,VLOOKUP($A233,'Henwood Reference'!$E$9:$R$320,10),(VLOOKUP($A233,PriceTableWeekend,2,0)+IF(BasisNumber&lt;&gt;1,VLOOKUP($A233,BasisTable,2,0),0)+L$1)/(1-L$2))</f>
        <v>46.3504469987185</v>
      </c>
      <c r="M233" s="1568" t="n">
        <f aca="false">IF(Assumptions!$L$25=4,VLOOKUP($A233,'Henwood Reference'!$E$9:$R$320,10),(VLOOKUP($A233,PriceTableWeekend,3,0)+IF(BasisNumber&lt;&gt;1,VLOOKUP($A233,BasisTable,2,0),0)+M$1)/(1-M$2))</f>
        <v>46.3504469987185</v>
      </c>
      <c r="N233" s="1599" t="n">
        <f aca="false">IF(Assumptions!$L$25=4,VLOOKUP($A233,'Henwood Reference'!$E$9:$R$320,10),(VLOOKUP($A233,PriceTableWeekend,4,0)+IF(BasisNumber&lt;&gt;1,VLOOKUP($A233,BasisTable,2,0),0)+N$1)/(1-N$2))</f>
        <v>46.3504469987185</v>
      </c>
      <c r="O233" s="1568" t="n">
        <f aca="false">IF(Assumptions!$L$25=4,VLOOKUP($A233,'Henwood Reference'!$E$9:$R$320,11),(VLOOKUP($A233,PriceTableWeekend,6,0)+IF(BasisNumber&lt;&gt;1,VLOOKUP($A233,BasisTable,3,0),0)+O$1)/(1-O$2))</f>
        <v>28.6519051480029</v>
      </c>
      <c r="P233" s="1568" t="n">
        <f aca="false">IF(Assumptions!$L$25=4,VLOOKUP($A233,'Henwood Reference'!$E$9:$R$320,11),(VLOOKUP($A233,PriceTableWeekend,7,0)+IF(BasisNumber&lt;&gt;1,VLOOKUP($A233,BasisTable,3,0),0)+P$1)/(1-P$2))</f>
        <v>28.6519051480029</v>
      </c>
      <c r="Q233" s="1599" t="n">
        <f aca="false">IF(Assumptions!$L$25=4,VLOOKUP($A233,'Henwood Reference'!$E$9:$R$320,11),(VLOOKUP($A233,PriceTableWeekend,8,0)+IF(BasisNumber&lt;&gt;1,VLOOKUP($A233,BasisTable,3,0),0)+Q$1)/(1-Q$2))</f>
        <v>28.6519051480029</v>
      </c>
      <c r="R233" s="1568" t="n">
        <f aca="false">IF(Assumptions!$L$25=4,VLOOKUP($A233,'Henwood Reference'!$E$9:$R$320,11),(VLOOKUP($A233,PriceTable,6,0)+IF(BasisNumber&lt;&gt;1,VLOOKUP($A233,BasisTable,3,0),0)+R$1)/(1-R$2))</f>
        <v>28.6519051480029</v>
      </c>
      <c r="S233" s="1568" t="n">
        <f aca="false">IF(Assumptions!$L$25=4,VLOOKUP($A233,'Henwood Reference'!$E$9:$R$320,11),(VLOOKUP($A233,PriceTable,7,0)+IF(BasisNumber&lt;&gt;1,VLOOKUP($A233,BasisTable,3,0),0)+S$1)/(1-S$2))</f>
        <v>28.6519051480029</v>
      </c>
      <c r="T233" s="1600" t="n">
        <f aca="false">IF(Assumptions!$L$25=4,VLOOKUP($A233,'Henwood Reference'!$E$9:$R$320,11),(VLOOKUP($A233,PriceTable,8,0)+IF(BasisNumber&lt;&gt;1,VLOOKUP($A233,BasisTable,3,0),0)+T$1)/(1-T$2))</f>
        <v>28.6519051480029</v>
      </c>
      <c r="U233" s="1513" t="n">
        <f aca="false">VLOOKUP($A233,VolatilityTable,14)</f>
        <v>0.09</v>
      </c>
      <c r="V233" s="1513" t="n">
        <f aca="false">VLOOKUP($A233,VolatilityTable,15)</f>
        <v>0.1</v>
      </c>
      <c r="W233" s="1514" t="n">
        <f aca="false">VLOOKUP($A233,VolatilityTable,16)</f>
        <v>0.11</v>
      </c>
      <c r="X233" s="1513" t="n">
        <f aca="false">VLOOKUP($A233,VolatilityTable,14)</f>
        <v>0.09</v>
      </c>
      <c r="Y233" s="1513" t="n">
        <f aca="false">VLOOKUP($A233,VolatilityTable,15)</f>
        <v>0.1</v>
      </c>
      <c r="Z233" s="1514" t="n">
        <f aca="false">VLOOKUP($A233,VolatilityTable,16)</f>
        <v>0.11</v>
      </c>
      <c r="AA233" s="1513" t="n">
        <f aca="false">VLOOKUP($A233,VolatilityTable,18)</f>
        <v>0.09</v>
      </c>
      <c r="AB233" s="1513" t="n">
        <f aca="false">VLOOKUP($A233,VolatilityTable,19)</f>
        <v>0.11</v>
      </c>
      <c r="AC233" s="1514" t="n">
        <f aca="false">VLOOKUP($A233,VolatilityTable,20)</f>
        <v>0.13</v>
      </c>
      <c r="AD233" s="1513" t="n">
        <f aca="false">VLOOKUP($A233,VolatilityTable,18)</f>
        <v>0.09</v>
      </c>
      <c r="AE233" s="1513" t="n">
        <f aca="false">VLOOKUP($A233,VolatilityTable,19)</f>
        <v>0.11</v>
      </c>
      <c r="AF233" s="1514" t="n">
        <f aca="false">VLOOKUP($A233,VolatilityTable,20)</f>
        <v>0.13</v>
      </c>
      <c r="AG233" s="1513" t="n">
        <f aca="false">VLOOKUP($A233,VolatilityTable,22)</f>
        <v>-0.1</v>
      </c>
      <c r="AH233" s="1513" t="n">
        <f aca="false">VLOOKUP($A233,VolatilityTable,23)</f>
        <v>0.65</v>
      </c>
      <c r="AI233" s="1514" t="n">
        <f aca="false">VLOOKUP($A233,VolatilityTable,24)</f>
        <v>0.1</v>
      </c>
      <c r="AJ233" s="1513" t="n">
        <f aca="false">VLOOKUP($A233,VolatilityTable,22)</f>
        <v>-0.1</v>
      </c>
      <c r="AK233" s="1513" t="n">
        <f aca="false">VLOOKUP($A233,VolatilityTable,23)</f>
        <v>0.65</v>
      </c>
      <c r="AL233" s="1514" t="n">
        <f aca="false">VLOOKUP($A233,VolatilityTable,24)</f>
        <v>0.1</v>
      </c>
      <c r="AM233" s="1513" t="n">
        <f aca="false">VLOOKUP($A233,VolatilityTable,26)</f>
        <v>-0.01</v>
      </c>
      <c r="AN233" s="1513" t="n">
        <f aca="false">VLOOKUP($A233,VolatilityTable,27)</f>
        <v>0.16</v>
      </c>
      <c r="AO233" s="1514" t="n">
        <f aca="false">VLOOKUP($A233,VolatilityTable,28)</f>
        <v>0.01</v>
      </c>
      <c r="AP233" s="1513" t="n">
        <f aca="false">VLOOKUP($A233,VolatilityTable,26)</f>
        <v>-0.01</v>
      </c>
      <c r="AQ233" s="1513" t="n">
        <f aca="false">VLOOKUP($A233,VolatilityTable,27)</f>
        <v>0.16</v>
      </c>
      <c r="AR233" s="1515" t="n">
        <f aca="false">VLOOKUP($A233,VolatilityTable,28)</f>
        <v>0.01</v>
      </c>
      <c r="AS233" s="1581" t="n">
        <f aca="false">IF(CorrPeakOffPeakOverFlag,INDEX(CorrPeakOffPeakOver,C233),CorrPeakOffPeak)</f>
        <v>0.5</v>
      </c>
      <c r="AT233" s="594" t="e">
        <f aca="false">AX233-SUM(AU233:AW233)</f>
        <v>#VALUE!</v>
      </c>
      <c r="AU233" s="238" t="e">
        <f aca="false">IF(E233="",0,INT((F233-MOD(F233,7)-E233)/7)+1-IF(AW233,IF(WEEKDAY(D233)=7,1,0),0))</f>
        <v>#VALUE!</v>
      </c>
      <c r="AV233" s="238" t="e">
        <f aca="false">IF(E233="",0,INT((F233-MOD(F233-1,7)-E233)/7)+1-IF(AW233,IF(WEEKDAY(D233)=1,1,0),0))</f>
        <v>#VALUE!</v>
      </c>
      <c r="AW233" s="238" t="e">
        <f aca="false">IF(OR(E233="",D233="",D233&lt;BegDate,D233&gt;EndDate),0,1)</f>
        <v>#VALUE!</v>
      </c>
      <c r="AX233" s="238" t="n">
        <f aca="false">IF(E233="",0,F233-E233+1)</f>
        <v>31</v>
      </c>
      <c r="AY233" s="1582" t="n">
        <f aca="false">IF(E233="",0,MIN((1-(1-VLOOKUP(B233,MAIN!$AA$7:$AM$28,C233+1))*(1-VLOOKUP(B233,MAIN!$AA$33:$AM$54,C233+1))),1))</f>
        <v>0.03</v>
      </c>
      <c r="AZ233" s="1519" t="e">
        <v>#VALUE!</v>
      </c>
      <c r="BA233" s="1520" t="e">
        <v>#VALUE!</v>
      </c>
      <c r="BB233" s="1520" t="e">
        <v>#VALUE!</v>
      </c>
      <c r="BC233" s="1583" t="e">
        <v>#VALUE!</v>
      </c>
      <c r="BD233" s="1522" t="e">
        <v>#VALUE!</v>
      </c>
      <c r="BE233" s="1523" t="e">
        <v>#VALUE!</v>
      </c>
      <c r="BF233" s="1523" t="e">
        <v>#VALUE!</v>
      </c>
      <c r="BG233" s="1584" t="e">
        <v>#VALUE!</v>
      </c>
      <c r="BH233" s="1525" t="e">
        <v>#VALUE!</v>
      </c>
      <c r="BI233" s="1520" t="e">
        <v>#VALUE!</v>
      </c>
      <c r="BJ233" s="1520" t="e">
        <v>#VALUE!</v>
      </c>
      <c r="BK233" s="1583" t="e">
        <v>#VALUE!</v>
      </c>
      <c r="BL233" s="1522" t="e">
        <v>#VALUE!</v>
      </c>
      <c r="BM233" s="1523" t="e">
        <v>#VALUE!</v>
      </c>
      <c r="BN233" s="1523" t="e">
        <v>#VALUE!</v>
      </c>
      <c r="BO233" s="1523" t="e">
        <v>#VALUE!</v>
      </c>
      <c r="BP233" s="1525" t="e">
        <f aca="false">SUM(AZ233:BB233)</f>
        <v>#VALUE!</v>
      </c>
      <c r="BQ233" s="1529" t="e">
        <f aca="false">SUM(AZ233:BC233)</f>
        <v>#VALUE!</v>
      </c>
      <c r="BR233" s="1519" t="e">
        <f aca="false">SUM(BH233:BJ233)</f>
        <v>#VALUE!</v>
      </c>
      <c r="BS233" s="1529" t="e">
        <f aca="false">SUM(BH233:BK233)</f>
        <v>#VALUE!</v>
      </c>
      <c r="BT233" s="1316" t="n">
        <f aca="false">(IF(OVolType&lt;&gt;2,A233+14,IF(OptExpDateShift,ShiftBack(A233,OptExpDateShift,D232),A233))-DateToday)/365.25</f>
        <v>18.0451745379877</v>
      </c>
      <c r="BU233" s="1585" t="e">
        <f aca="false">IF(BQ233,IF(OPriceCurve,IF(OBuySell=OCallPut,I233/(1-AY233),K233/(1-AY233)),J233/(1-AY233))*BD233,0)</f>
        <v>#VALUE!</v>
      </c>
      <c r="BV233" s="1316" t="e">
        <f aca="false">IF(BQ233,IF(OPriceCurve,IF(OBuySell=OCallPut,L233/(1-AY233),N233/(1-AY233)),M233/(1-AY233))*BE233,0)</f>
        <v>#VALUE!</v>
      </c>
      <c r="BW233" s="1316" t="e">
        <f aca="false">IF(BQ233,IF(OPriceCurve,IF(OBuySell=OCallPut,O233/(1-AY233),Q233/(1-AY233)),P233/(1-AY233))*BF233,0)</f>
        <v>#VALUE!</v>
      </c>
      <c r="BX233" s="1316" t="e">
        <f aca="false">IF(BQ233,IF(OPriceCurve,IF(OBuySell=OCallPut,R233/(1-AY233),T233/(1-AY233)),S233/(1-AY233))*BG233,0)</f>
        <v>#VALUE!</v>
      </c>
      <c r="BY233" s="1316" t="e">
        <f aca="false">IF(BP233,(BU233*AZ233+BV233*BA233+BW233*BB233)/BP233,0)</f>
        <v>#VALUE!</v>
      </c>
      <c r="BZ233" s="1316" t="e">
        <f aca="false">IF(BQ233,(BY233*BP233+BX233*BC233)/BQ233,0)</f>
        <v>#VALUE!</v>
      </c>
      <c r="CA233" s="1531" t="e">
        <f aca="false">IF(BS233,IF(OPriceCurve,IF(OBuySell=OCallPut,I233/(1-AY233),K233/(1-AY233)),J233/(1-AY233))*BL233,0)</f>
        <v>#VALUE!</v>
      </c>
      <c r="CB233" s="1316" t="e">
        <f aca="false">IF(BS233,IF(OPriceCurve,IF(OBuySell=OCallPut,L233/(1-AY233),N233/(1-AY233)),M233/(1-AY233))*BM233,0)</f>
        <v>#VALUE!</v>
      </c>
      <c r="CC233" s="1316" t="e">
        <f aca="false">IF(BS233,IF(OPriceCurve,IF(OBuySell=OCallPut,O233/(1-AY233),Q233/(1-AY233)),P233/(1-AY233))*BN233,0)</f>
        <v>#VALUE!</v>
      </c>
      <c r="CD233" s="1316" t="e">
        <f aca="false">IF(BS233,IF(OPriceCurve,IF(OBuySell=OCallPut,R233/(1-AY233),T233/(1-AY233)),S233/(1-AY233))*BO233,0)</f>
        <v>#VALUE!</v>
      </c>
      <c r="CE233" s="1316" t="e">
        <f aca="false">IF(BR233,(BU233*BH233+BV233*BI233+BW233*BJ233)/BR233,0)</f>
        <v>#VALUE!</v>
      </c>
      <c r="CF233" s="1532" t="e">
        <f aca="false">IF(BS233,(CE233*BR233+CD233*BK233)/BS233,0)</f>
        <v>#VALUE!</v>
      </c>
      <c r="CG233" s="1586" t="e">
        <f aca="false">IF(OR(BQ233,BS233),IF(OVolType&lt;&gt;2,SQRT(IF(OVolOverMonthlyPeak,OVolOverMonthlyPeak,IF(OVolCurve,IF(OBuySell,U233,W233),V233))^2*(1-15/365.25/BT233)+IF(OVolOverDailyPeak,OVolOverDailyPeak,IF(OVolCurve,IF(OBuySell,AG233,AI233),AH233))^2*15/365.25/BT233),IF(OVolOverMonthlyPeak,OVolOverMonthlyPeak,IF(OVolCurve,IF(OBuySell,U233,W233),V233))),"")</f>
        <v>#VALUE!</v>
      </c>
      <c r="CH233" s="1587" t="e">
        <f aca="false">IF(OR(BQ233,BS233),IF(OVolType&lt;&gt;2,SQRT(IF(OVolOverMonthlyPeak,OVolOverMonthlyPeak,IF(OVolCurve,IF(OBuySell,X233,Z233),Y233))^2*(1-15/365.25/BT233)+IF(OVolOverDailyPeak,OVolOverDailyPeak,IF(OVolCurve,IF(OBuySell,AJ233,AL233),AK233))^2*15/365.25/BT233),IF(OVolOverMonthlyPeak,OVolOverMonthlyPeak,IF(OVolCurve,IF(OBuySell,X233,Z233),Y233))),"")</f>
        <v>#VALUE!</v>
      </c>
      <c r="CI233" s="1587" t="e">
        <f aca="false">IF(OR(BQ233,BS233),IF(OVolType&lt;&gt;2,SQRT(IF(OVolOverMonthlyPeak,OVolOverMonthlyPeak,IF(OVolCurve,IF(OBuySell,AA233,AC233),AB233))^2*(1-15/365.25/BT233)+IF(OVolOverDailyPeak,OVolOverDailyPeak,IF(OVolCurve,IF(OBuySell,AM233,AO233),AN233))^2*15/365.25/BT233),IF(OVolOverMonthlyPeak,OVolOverMonthlyPeak,IF(OVolCurve,IF(OBuySell,AA233,AC233),AB233))),"")</f>
        <v>#VALUE!</v>
      </c>
      <c r="CJ233" s="1587" t="e">
        <f aca="false">IF(BQ233,IF(BP233,SQRT(LN(1+((BU233*AZ233)^2*(EXP(CG233^2*BT233)-1)+(BV233*BA233)^2*(EXP(CH233^2*BT233)-1)+(BW233*BB233)^2*(EXP(CI233^2*BT233)-1)+2*BU233*AZ233*BV233*BA233*(EXP(CG233*CH233*BT233)-1)+2*BV233*BA233*BW233*BB233*(EXP(CH233*CI233*BT233)-1)+2*BW233*BB233*BU233*AZ233*(EXP(CI233*CG233*BT233)-1))/(BY233*BP233)^2)/BT233),0),"")</f>
        <v>#VALUE!</v>
      </c>
      <c r="CK233" s="1587" t="e">
        <f aca="false">IF(BS233,IF(BR233,SQRT(LN(1+((CA233*BH233)^2*(EXP(CG233^2*BT233)-1)+(CB233*BI233)^2*(EXP(CH233^2*BT233)-1)+(CC233*BJ233)^2*(EXP(CI233^2*BT233)-1)+2*CA233*BH233*CB233*BI233*(EXP(CG233*CH233*BT233)-1)+2*CB233*BI233*CC233*BJ233*(EXP(CH233*CI233*BT233)-1)+2*CC233*BJ233*CA233*BH233*(EXP(CI233*CG233*BT233)-1))/(CE233*BR233)^2)/BT233),0),"")</f>
        <v>#VALUE!</v>
      </c>
      <c r="CL233" s="1587" t="e">
        <f aca="false">IF(OR(BQ233,BS233),IF(OVolType&lt;&gt;2,SQRT(IF(OVolOverMonthlyOffPeak,OVolOverMonthlyOffPeak,IF(OVolCurve,IF(OBuySell,AD233,AF233),AE233))^2*(1-15/365.25/BT233)+IF(OVolOverDailyOffPeak,OVolOverDailyOffPeak,IF(OVolCurve,IF(OBuySell,AP233,AR233),AQ233))^2*15/365.25/BT233),IF(OVolOverMonthlyOffPeak,OVolOverMonthlyOffPeak,IF(OVolCurve,IF(OBuySell,AD233,AF233),AE233))),"")</f>
        <v>#VALUE!</v>
      </c>
      <c r="CM233" s="1587" t="e">
        <f aca="false">IF(BQ233,SQRT(LN(1+((BY233*BP233)^2*(EXP(CJ233^2*BT233)-1)+(BX233*BC233)^2*(EXP(CL233^2*BT233)-1)+2*BY233*BP233*BX233*BC233*(EXP(AS233*CJ233*CL233*BT233)-1))/(BY233*BP233+BX233*BC233)^2)/BT233),"")</f>
        <v>#VALUE!</v>
      </c>
      <c r="CN233" s="1588" t="e">
        <f aca="false">IF(BS233,SQRT(LN(1+((CE233*BR233)^2*(EXP(CK233^2*BT233)-1)+(CD233*BK233)^2*(EXP(CL233^2*BT233)-1)+2*CE233*BR233*CD233*BK233*(EXP(AS233*CK233*CL233*BT233)-1))/(CE233*BR233+CD233*BK233)^2)/BT233),"")</f>
        <v>#VALUE!</v>
      </c>
      <c r="CO233" s="1531" t="e">
        <f aca="false">IF(OR(BQ233,BS233),VLOOKUP(A233,GasTable,13)*HeatRatePeak*(1+VLOOKUP($B233,HeatRateDegradation,$C233+1))/1000,0)</f>
        <v>#VALUE!</v>
      </c>
      <c r="CP233" s="1316" t="e">
        <f aca="false">IF(OR(BQ233,BS233),VLOOKUP(A233,GasTable,13)*HeatRatePeak*(1+VLOOKUP($B233,HeatRateDegradation,$C233+1))/1000,0)</f>
        <v>#VALUE!</v>
      </c>
      <c r="CQ233" s="1316" t="e">
        <f aca="false">IF(OR(BQ233,BS233),VLOOKUP(A233,GasTable,13)*IF(EV233,HeatRatePeak,HeatRateOffPeak)*(1+VLOOKUP($B233,HeatRateDegradation,$C233+1))/1000,0)</f>
        <v>#VALUE!</v>
      </c>
      <c r="CR233" s="1316" t="e">
        <f aca="false">IF(OR(BQ233,BS233),VLOOKUP(A233,GasTable,13)*IF(EW233,HeatRatePeak,HeatRateOffPeak)*(1+VLOOKUP($B233,HeatRateDegradation,$C233+1))/1000,0)</f>
        <v>#VALUE!</v>
      </c>
      <c r="CS233" s="1589" t="e">
        <f aca="false">IF(BQ233,(CO233*AZ233+CP233*BA233+CQ233*BB233+CR233*BC233)/BQ233,0)</f>
        <v>#VALUE!</v>
      </c>
      <c r="CT233" s="1316" t="e">
        <f aca="false">IF(BS233,CO233,0)</f>
        <v>#VALUE!</v>
      </c>
      <c r="CU233" s="1590" t="e">
        <f aca="false">IF(OR(BQ233,BS233),VLOOKUP(A233,GasTable,14),"")</f>
        <v>#VALUE!</v>
      </c>
      <c r="CV233" s="1568" t="e">
        <f aca="false">IF(OR(BQ233,BS233),IF(CorrPowerGasOverFlag,INDEX(CorrPowerGasOver,C233),CorrPowerGas),"")</f>
        <v>#VALUE!</v>
      </c>
      <c r="CW233" s="1316" t="e">
        <f aca="false">IF(OR($BQ233,$BS233),SpreadOptPowerMargin,0)*((1+Assumptions!$C$26)^($B233-YEAR(Assumptions!$C$17)))</f>
        <v>#VALUE!</v>
      </c>
      <c r="CX233" s="1316" t="e">
        <f aca="false">IF(OR($BQ233,$BS233),SpreadOptPowerMargin,0)*((1+Assumptions!$C$26)^($B233-YEAR(Assumptions!$C$17)))</f>
        <v>#VALUE!</v>
      </c>
      <c r="CY233" s="1316" t="e">
        <f aca="false">IF(OR($BQ233,$BS233),SpreadOptPowerMargin,0)*((1+Assumptions!$C$26)^($B233-YEAR(Assumptions!$C$17)))</f>
        <v>#VALUE!</v>
      </c>
      <c r="CZ233" s="1316" t="e">
        <f aca="false">IF(OR($BQ233,$BS233),SpreadOptPowerMargin,0)*((1+Assumptions!$C$26)^($B233-YEAR(Assumptions!$C$17)))</f>
        <v>#VALUE!</v>
      </c>
      <c r="DA233" s="1591" t="e">
        <f aca="false">IF(OR(BQ233,BS233),(CW233*(AZ233+BH233)+CX233*(BA233+BI233)+CY233*(BB233+BJ233)+CZ233*(BC233+BK233))/(BQ233+BS233),0)</f>
        <v>#VALUE!</v>
      </c>
      <c r="DB233" s="1592" t="e">
        <f aca="false">IF(OR(BQ233,BS233),CG233+IF(OVolSmile,VLOOKUP(MAX(-5,CO233+CW233-BU233),IF(OVolSmile=1,VolSmileBook,VolSmileModel),2),0),"")</f>
        <v>#VALUE!</v>
      </c>
      <c r="DC233" s="1592" t="e">
        <f aca="false">IF(OR(BQ233,BS233),CH233+IF(OVolSmile,VLOOKUP(MAX(-5,CP233+CW233-BV233),IF(OVolSmile=1,VolSmileBook,VolSmileModel),2),0),"")</f>
        <v>#VALUE!</v>
      </c>
      <c r="DD233" s="1592" t="e">
        <f aca="false">IF(OR(BQ233,BS233),CI233+IF(OVolSmile,VLOOKUP(MAX(-5,CQ233+CW233-BW233),IF(OVolSmile=1,VolSmileBook,VolSmileModel),2),0),"")</f>
        <v>#VALUE!</v>
      </c>
      <c r="DE233" s="1592" t="e">
        <f aca="false">IF(OR(BQ233,BS233),CL233+IF(OVolSmile,VLOOKUP(MAX(-5,CR233+CZ233-BX233),IF(OVolSmile=1,VolSmileBook,VolSmileModel),2),0),"")</f>
        <v>#VALUE!</v>
      </c>
      <c r="DF233" s="1592" t="e">
        <f aca="false">IF(BQ233,CM233+IF(OVolSmile,VLOOKUP(MAX(-5,CS233+DA233-BZ233),IF(OVolSmile=1,VolSmileBook,VolSmileModel),2),0),"")</f>
        <v>#VALUE!</v>
      </c>
      <c r="DG233" s="1593" t="e">
        <f aca="false">IF(BS233,CN233+IF(OVolSmile,VLOOKUP(MAX(-5,CT233+DA233-CF233),IF(OVolSmile=1,VolSmileBook,VolSmileModel),2),0),"")</f>
        <v>#VALUE!</v>
      </c>
      <c r="DH233" s="1316" t="e">
        <f aca="false">IF(AND(BU233&gt;0,CO233&gt;0,DB233&gt;0,CU233&gt;0),newSPRDOPT(BU233,CO233,CW233,0,DB233,CU233,CV233,BT233*365.25,OCallPut,0),0)</f>
        <v>#VALUE!</v>
      </c>
      <c r="DI233" s="1316" t="e">
        <f aca="false">IF(AND(BV233&gt;0,CP233&gt;0,DC233&gt;0,CU233&gt;0),newSPRDOPT(BV233,CP233,CX233,0,DC233,CU233,CV233,BT233*365.25,OCallPut,0),0)</f>
        <v>#VALUE!</v>
      </c>
      <c r="DJ233" s="1316" t="e">
        <f aca="false">IF(AND(BW233&gt;0,CQ233&gt;0,DD233&gt;0,CU233&gt;0),newSPRDOPT(BW233,CQ233,CY233,0,DD233,CU233,CV233,BT233*365.25,OCallPut,0),0)</f>
        <v>#VALUE!</v>
      </c>
      <c r="DK233" s="1316" t="e">
        <f aca="false">IF(AND(BX233&gt;0,CR233&gt;0,DE233&gt;0,CU233&gt;0),newSPRDOPT(BX233,CR233,CZ233,0,DE233,CU233,CV233,BT233*365.25,OCallPut,0),0)</f>
        <v>#VALUE!</v>
      </c>
      <c r="DL233" s="1316" t="e">
        <f aca="false">IF(OVolType,IF(AND(BZ233&gt;0,CS233&gt;0,DF233&gt;0,CU233&gt;0),newSPRDOPT(BZ233,CS233,DA233,0,DF233,CU233,CV233,BT233*365.25,OCallPut,0),0),IF(BQ233,(DH233*AZ233+DI233*BA233+DJ233*BB233+DK233*BC233)/BQ233,0))</f>
        <v>#VALUE!</v>
      </c>
      <c r="DM233" s="1316"/>
      <c r="DN233" s="1316"/>
      <c r="DO233" s="1316"/>
      <c r="DP233" s="1316"/>
      <c r="DQ233" s="1316"/>
      <c r="DR233" s="1316"/>
      <c r="DS233" s="1316"/>
      <c r="DT233" s="1316"/>
      <c r="DU233" s="1316"/>
      <c r="DV233" s="1316"/>
      <c r="DW233" s="1594" t="e">
        <f aca="false">IF(AND(BW233&gt;0,CT233&gt;0,DD233&gt;0,CU233&gt;0),newSPRDOPT(BW233,CT233,CY233,0,DD233,CU233,CV233,BT233*365.25,OCallPut,0),0)</f>
        <v>#VALUE!</v>
      </c>
      <c r="DX233" s="1316" t="e">
        <f aca="false">IF(AND(BX233&gt;0,CT233&gt;0,DE233&gt;0,CU233&gt;0),newSPRDOPT(BX233,CT233,CZ233,0,DE233,CU233,CV233,BT233*365.25,OCallPut,0),0)</f>
        <v>#VALUE!</v>
      </c>
      <c r="DY233" s="1591" t="e">
        <f aca="false">IF(BS233,(DH233*BH233+DI233*BI233+DW233*BJ233+DX233*BK233)/BS233,0)</f>
        <v>#VALUE!</v>
      </c>
      <c r="DZ233" s="1551" t="e">
        <f aca="false">DH233*AZ233</f>
        <v>#VALUE!</v>
      </c>
      <c r="EA233" s="1551" t="e">
        <f aca="false">DI233*BA233</f>
        <v>#VALUE!</v>
      </c>
      <c r="EB233" s="1551" t="e">
        <f aca="false">DJ233*BB233</f>
        <v>#VALUE!</v>
      </c>
      <c r="EC233" s="1551" t="e">
        <f aca="false">DK233*BC233</f>
        <v>#VALUE!</v>
      </c>
      <c r="ED233" s="1551" t="e">
        <f aca="false">DL233*BQ233</f>
        <v>#VALUE!</v>
      </c>
      <c r="EE233" s="1595" t="e">
        <f aca="false">IF(BQ233,IF(OCallPut,IF(BU233&gt;(CO233+CW233),BU233-(CO233+CW233),0),IF((CO233+CW233)&gt;BU233,(CO233+CW233)-BU233,0))*AZ233,0)</f>
        <v>#VALUE!</v>
      </c>
      <c r="EF233" s="1596" t="e">
        <f aca="false">IF(BQ233,IF(OCallPut,IF(BV233&gt;(CP233+CX233),BV233-(CP233+CX233),0),IF((CP233+CX233)&gt;BV233,(CP233+CX233)-BV233,0))*BA233,0)</f>
        <v>#VALUE!</v>
      </c>
      <c r="EG233" s="1596" t="e">
        <f aca="false">IF(BQ233,IF(OCallPut,IF(BW233&gt;(CQ233+CY233),BW233-(CQ233+CY233),0),IF((CQ233+CY233)&gt;BW233,(CQ233+CY233)-BW233,0))*BB233,0)</f>
        <v>#VALUE!</v>
      </c>
      <c r="EH233" s="1596" t="e">
        <f aca="false">IF(BQ233,IF(OCallPut,IF(BX233&gt;(CR233+CZ233),BX233-(CR233+CZ233),0),IF((CR233+CZ233)&gt;BX233,(CR233+CZ233)-BX233,0))*BC233,0)</f>
        <v>#VALUE!</v>
      </c>
      <c r="EI233" s="1597" t="e">
        <f aca="false">IF(BQ233,IF(OVolType,IF(OCallPut,IF(BZ233&gt;(CS233+DA233),BZ233-(CS233+DA233),0),IF((CS233+DA233)&gt;BZ233,(CS233+DA233)-BZ233,0))*BQ233,SUM(EE233:EH233)),0)</f>
        <v>#VALUE!</v>
      </c>
      <c r="EJ233" s="1595" t="e">
        <f aca="false">DZ233-EE233</f>
        <v>#VALUE!</v>
      </c>
      <c r="EK233" s="1596" t="e">
        <f aca="false">EA233-EF233</f>
        <v>#VALUE!</v>
      </c>
      <c r="EL233" s="1596" t="e">
        <f aca="false">EB233-EG233</f>
        <v>#VALUE!</v>
      </c>
      <c r="EM233" s="1596" t="e">
        <f aca="false">EC233-EH233</f>
        <v>#VALUE!</v>
      </c>
      <c r="EN233" s="1597" t="e">
        <f aca="false">ED233-EI233</f>
        <v>#VALUE!</v>
      </c>
      <c r="EO233" s="1551" t="e">
        <f aca="false">DH233*BH233</f>
        <v>#VALUE!</v>
      </c>
      <c r="EP233" s="1551" t="e">
        <f aca="false">DI233*BI233</f>
        <v>#VALUE!</v>
      </c>
      <c r="EQ233" s="1551" t="e">
        <f aca="false">DW233*BJ233</f>
        <v>#VALUE!</v>
      </c>
      <c r="ER233" s="1551" t="e">
        <f aca="false">DX233*BK233</f>
        <v>#VALUE!</v>
      </c>
      <c r="ES233" s="1551" t="e">
        <f aca="false">DY233*BS233</f>
        <v>#VALUE!</v>
      </c>
      <c r="ET233" s="1566" t="e">
        <f aca="false">IF(EI233,IF(OCallPut,IF(CA233&gt;(CT233+CW233),CA233-(CT233+CW233),0),IF((CT233+CW233)&gt;CA233,(CT233+CW233)-CA233,0))*BH233,0)</f>
        <v>#VALUE!</v>
      </c>
      <c r="EU233" s="1551" t="e">
        <f aca="false">IF(EI233,IF(OCallPut,IF(CB233&gt;(CT233+CX233),CB233-(CT233+CX233),0),IF((CT233+CX233)&gt;CB233,(CT233+CX233)-CB233,0))*BI233,0)</f>
        <v>#VALUE!</v>
      </c>
      <c r="EV233" s="1551" t="e">
        <f aca="false">IF(EI233,IF(OCallPut,IF(CC233&gt;(CT233+CY233),CC233-(CT233+CY233),0),IF((CT233+CY233)&gt;CC233,(CT233+CY233)-CC233,0))*BJ233,0)</f>
        <v>#VALUE!</v>
      </c>
      <c r="EW233" s="1551" t="e">
        <f aca="false">IF(EI233,IF(OCallPut,IF(CD233&gt;(CT233+CZ233),CD233-(CT233+CZ233),0),IF((CT233+CZ233)&gt;CD233,(CT233+CZ233)-CD233,0))*BK233,0)</f>
        <v>#VALUE!</v>
      </c>
      <c r="EX233" s="1558" t="e">
        <f aca="false">IF(EI233,SUM(ET233:EW233),0)</f>
        <v>#VALUE!</v>
      </c>
      <c r="EY233" s="1551" t="e">
        <f aca="false">EO233-ET233</f>
        <v>#VALUE!</v>
      </c>
      <c r="EZ233" s="1551" t="e">
        <f aca="false">EP233-EU233</f>
        <v>#VALUE!</v>
      </c>
      <c r="FA233" s="1551" t="e">
        <f aca="false">EQ233-EV233</f>
        <v>#VALUE!</v>
      </c>
      <c r="FB233" s="1551" t="e">
        <f aca="false">ER233-EW233</f>
        <v>#VALUE!</v>
      </c>
      <c r="FC233" s="1551" t="e">
        <f aca="false">ES233-EX233</f>
        <v>#VALUE!</v>
      </c>
      <c r="FD233" s="1525" t="n">
        <f aca="false">IF(AX233,IF(VLOOKUP(C233,MAIN!$L$17:$M$28,2)="Yes",VLOOKUP(CALC!B233,MAIN!$H$17:$I$20,2),0),0)</f>
        <v>0</v>
      </c>
      <c r="FE233" s="1552" t="e">
        <f aca="false">$FD233*16*AT233*(1-$AY233)</f>
        <v>#VALUE!</v>
      </c>
      <c r="FF233" s="1553" t="e">
        <f aca="false">$FD233*16*AU233*(1-$AY233)</f>
        <v>#VALUE!</v>
      </c>
      <c r="FG233" s="1553" t="e">
        <f aca="false">$FD233*16*(AV233+AW233)*(1-$AY233)</f>
        <v>#VALUE!</v>
      </c>
      <c r="FH233" s="1554" t="n">
        <f aca="false">$FD233*8*AX233*(1-$AY233)</f>
        <v>0</v>
      </c>
      <c r="FI233" s="1555" t="n">
        <f aca="false">IF(AX233,VLOOKUP(CALC!B233,MAIN!$H$17:$K$20,4),0)</f>
        <v>0</v>
      </c>
      <c r="FJ233" s="1553" t="e">
        <f aca="false">SUM(FE233:FH233)</f>
        <v>#VALUE!</v>
      </c>
      <c r="FK233" s="1556" t="e">
        <f aca="false">FI233*FJ233</f>
        <v>#VALUE!</v>
      </c>
      <c r="FL233" s="1551" t="e">
        <f aca="false">IF($EI233&gt;0,MIN(FE233,AZ233*(1+VLOOKUP($C233,WeatherCapacityAdjustment,2))),0)</f>
        <v>#VALUE!</v>
      </c>
      <c r="FM233" s="1551" t="e">
        <f aca="false">IF($EI233&gt;0,MIN(FF233,BA233*(1+VLOOKUP($C233,WeatherCapacityAdjustment,2))),0)</f>
        <v>#VALUE!</v>
      </c>
      <c r="FN233" s="1551" t="e">
        <f aca="false">IF($EI233&gt;0,MIN(FG233,BB233*(1+VLOOKUP($C233,WeatherCapacityAdjustment,2))),0)</f>
        <v>#VALUE!</v>
      </c>
      <c r="FO233" s="1564" t="e">
        <f aca="false">IF($EI233&gt;0,MIN(FH233,BC233*(1+VLOOKUP($C233,WeatherCapacityAdjustment,3))),0)</f>
        <v>#VALUE!</v>
      </c>
      <c r="FP233" s="1551" t="e">
        <f aca="false">IF(ET233&gt;0,MIN(FE233-FL233,BH233*(1+VLOOKUP($C233,WeatherCapacityAdjustment,2))),0)</f>
        <v>#VALUE!</v>
      </c>
      <c r="FQ233" s="1551" t="e">
        <f aca="false">IF(EU233&gt;0,MIN(FF233-FM233,BI233*(1+VLOOKUP($C233,WeatherCapacityAdjustment,2))),0)</f>
        <v>#VALUE!</v>
      </c>
      <c r="FR233" s="1551" t="e">
        <f aca="false">IF(EV233&gt;0,MIN(FG233-FN233,BJ233*(1+VLOOKUP($C233,WeatherCapacityAdjustment,2))),0)</f>
        <v>#VALUE!</v>
      </c>
      <c r="FS233" s="1558" t="e">
        <f aca="false">IF(EW233&gt;0,MIN(FH233-FO233,BK233*(1+VLOOKUP($C233,WeatherCapacityAdjustment,3))),0)</f>
        <v>#VALUE!</v>
      </c>
      <c r="FT233" s="1566" t="e">
        <f aca="false">IF(AND(Assumptions!$H$71="Yes",A233&gt;=Assumptions!$H$72,A233&lt;=Assumptions!$H$73),0,IF(AND($A233&gt;=Assumptions!$C$17,$A233&lt;=Assumptions!$C$18),MAX(AZ233*(1+VLOOKUP($C233,WeatherCapacityAdjustment,2))-FL233,0),0))</f>
        <v>#VALUE!</v>
      </c>
      <c r="FU233" s="1551" t="e">
        <f aca="false">IF(AND(Assumptions!$H$71="Yes",A233&gt;=Assumptions!$H$72,A233&lt;=Assumptions!$H$73),0,IF(AND($A233&gt;=Assumptions!$C$17,$A233&lt;=Assumptions!$C$18),MAX(BA233*(1+VLOOKUP($C233,WeatherCapacityAdjustment,2))-FM233,0),0))</f>
        <v>#VALUE!</v>
      </c>
      <c r="FV233" s="1551" t="e">
        <f aca="false">IF(AND(Assumptions!$H$71="Yes",A233&gt;=Assumptions!$H$72,A233&lt;=Assumptions!$H$73),0,IF(AND($A233&gt;=Assumptions!$C$17,$A233&lt;=Assumptions!$C$18),MAX(BB233*(1+VLOOKUP($C233,WeatherCapacityAdjustment,2))-FN233,0),0))</f>
        <v>#VALUE!</v>
      </c>
      <c r="FW233" s="1564" t="e">
        <f aca="false">IF(AND(Assumptions!$H$71="Yes",A233&gt;=Assumptions!$H$72,A233&lt;=Assumptions!$H$73),0,IF(AND($A233&gt;=Assumptions!$C$17,$A233&lt;=Assumptions!$C$18),MAX(BC233*(1+VLOOKUP($C233,WeatherCapacityAdjustment,3))-FO233,0),0))</f>
        <v>#VALUE!</v>
      </c>
      <c r="FX233" s="1569" t="e">
        <f aca="false">IF(AND(Assumptions!$H$71="Yes",A233&gt;=Assumptions!$H$72,A233&lt;=Assumptions!$H$73),0,IF(ET233&gt;0,MAX(BH233*(1+VLOOKUP($C233,WeatherCapacityAdjustment,2))-FP233,0),0))</f>
        <v>#VALUE!</v>
      </c>
      <c r="FY233" s="1551" t="e">
        <f aca="false">IF(AND(Assumptions!$H$71="Yes",A233&gt;=Assumptions!$H$72,A233&lt;=Assumptions!$H$73),0,IF(EU233&gt;0,MAX(BI233*(1+VLOOKUP($C233,WeatherCapacityAdjustment,3))-FQ233,0),0))</f>
        <v>#VALUE!</v>
      </c>
      <c r="FZ233" s="1551" t="e">
        <f aca="false">IF(AND(Assumptions!$H$71="Yes",A233&gt;=Assumptions!$H$72,A233&lt;=Assumptions!$H$73),0,IF(EV233&gt;0,MAX(BJ233*(1+VLOOKUP($C233,WeatherCapacityAdjustment,2))-FR233,0),0))</f>
        <v>#VALUE!</v>
      </c>
      <c r="GA233" s="1564" t="e">
        <f aca="false">IF(AND(Assumptions!$H$71="Yes",A233&gt;=Assumptions!$H$72,A233&lt;=Assumptions!$H$73),0,IF(EW233&gt;0,MAX(BK233*(1+VLOOKUP($C233,WeatherCapacityAdjustment,2))-FS233,0),0))</f>
        <v>#VALUE!</v>
      </c>
      <c r="GB233" s="1551" t="e">
        <f aca="false">SUM(FT233:GA233)</f>
        <v>#VALUE!</v>
      </c>
      <c r="GC233" s="1563" t="e">
        <f aca="false">+IF(SUM(FT233:GA233)=0,0,(SUMPRODUCT(BU233:BX233,FT233:FW233)+SUMPRODUCT(CA233:CD233,FX233:GA233))/SUM(FT233:GA233))</f>
        <v>#VALUE!</v>
      </c>
      <c r="GD233" s="1551" t="e">
        <f aca="false">(FT233*BU233+FX233*CA233+FU233*BV233+FY233*CB233+FV233*BW233+FZ233*CC233+FW233*BX233+GA233*CD233)</f>
        <v>#VALUE!</v>
      </c>
      <c r="GE233" s="1561" t="e">
        <f aca="false">+IF(BQ233,((FL233+FM233+FT233+FU233)*HeatRatePeak/1000*(1+VLOOKUP($C233,WeatherHeatRateAdjustment,2))+(FN233+FV233)*IF(EV233&gt;0,HeatRatePeak,HeatRateOffPeak)/1000*(1+VLOOKUP($C233,WeatherHeatRateAdjustment,2))+(FO233+FW233)*IF(EW233&gt;0,HeatRatePeak,HeatRateOffPeak)/1000*(1+VLOOKUP($C233,WeatherHeatRateAdjustment,3)))*(1+VLOOKUP($B233,HeatRateDegradation,$C233+1)),0)</f>
        <v>#VALUE!</v>
      </c>
      <c r="GF233" s="1562" t="e">
        <f aca="false">IF(BQ233,((FP233+FQ233+FR233+FX233+FY233+FZ233)*HeatRatePeak/1000*(1+VLOOKUP($C233,WeatherHeatRateAdjustment,2))+(FS233+GA233)*HeatRatePeak/1000*(1+VLOOKUP($C233,WeatherHeatRateAdjustment,3)))*(1+VLOOKUP($B233,HeatRateDegradation,$C233+1)),0)</f>
        <v>#VALUE!</v>
      </c>
      <c r="GG233" s="1563" t="e">
        <f aca="false">IF(BQ233,VLOOKUP(A233,GasTable,13),0)</f>
        <v>#VALUE!</v>
      </c>
      <c r="GH233" s="1564" t="e">
        <f aca="false">(GE233+GF233)*GG233</f>
        <v>#VALUE!</v>
      </c>
      <c r="GI233" s="1569" t="e">
        <f aca="false">GB233</f>
        <v>#VALUE!</v>
      </c>
      <c r="GJ233" s="1598" t="e">
        <f aca="false">+DA233</f>
        <v>#VALUE!</v>
      </c>
      <c r="GK233" s="1558" t="e">
        <f aca="false">+GI233*GJ233</f>
        <v>#VALUE!</v>
      </c>
      <c r="GL233" s="1566" t="e">
        <f aca="false">MAX(FE233-FL233-FP233,0)</f>
        <v>#VALUE!</v>
      </c>
      <c r="GM233" s="1551" t="e">
        <f aca="false">MAX(FF233-FM233-FQ233,0)</f>
        <v>#VALUE!</v>
      </c>
      <c r="GN233" s="1551" t="e">
        <f aca="false">MAX(FG233-FN233-FR233,0)</f>
        <v>#VALUE!</v>
      </c>
      <c r="GO233" s="1564" t="e">
        <f aca="false">MAX(FH233-FO233-FS233,0)</f>
        <v>#VALUE!</v>
      </c>
      <c r="GP233" s="1551" t="e">
        <f aca="false">SUM(GL233:GO233)</f>
        <v>#VALUE!</v>
      </c>
      <c r="GQ233" s="1563" t="e">
        <f aca="false">IF(SUM(GL233:GO233)=0,0,((GL233*BU233+GM233*BV233+GN233*BW233+GO233*BX233)/SUM(GL233:GO233)))</f>
        <v>#VALUE!</v>
      </c>
      <c r="GR233" s="1558" t="e">
        <f aca="false">(GL233*BU233+GM233*BV233+GN233*BW233+GO233*BX233)</f>
        <v>#VALUE!</v>
      </c>
      <c r="GS233" s="1566" t="n">
        <f aca="false">IF($A233&gt;=BegDate,Assumptions!$C$56*24*($A234-$A233)*(1-VLOOKUP($B233,MAIN!$AA$7:$AM$28,$C233+1))*(1-VLOOKUP($B233,MAIN!$AA$33:$AM$54,$C233+1)),0)*80/168</f>
        <v>257742.857142857</v>
      </c>
      <c r="GT233" s="286" t="n">
        <f aca="false">J233</f>
        <v>46.3504469987185</v>
      </c>
      <c r="GU233" s="286" t="n">
        <f aca="false">IF($A233&gt;=BegDate,VLOOKUP($A233,GasTable,13)+Assumptions!$C$58,0)</f>
        <v>3.35628369037885</v>
      </c>
      <c r="GV233" s="286" t="n">
        <f aca="false">GU233*Assumptions!$C$57/1000</f>
        <v>24.3330567552467</v>
      </c>
      <c r="GW233" s="1558" t="n">
        <f aca="false">IF(Assumptions!$C$60="Hourly",MAX(0,GS233*(GT233-GV233)),GS233*(GT233-GV233))</f>
        <v>5674825.0681817</v>
      </c>
      <c r="GX233" s="1566" t="n">
        <f aca="false">IF($A233&gt;=BegDate,Assumptions!$C$56*24*($A234-$A233)*(1-VLOOKUP($B233,MAIN!$AA$7:$AM$28,$C233+1))*(1-VLOOKUP($B233,MAIN!$AA$33:$AM$54,$C233+1)),0)*16/168</f>
        <v>51548.5714285714</v>
      </c>
      <c r="GY233" s="286" t="n">
        <f aca="false">M233</f>
        <v>46.3504469987185</v>
      </c>
      <c r="GZ233" s="286" t="n">
        <f aca="false">IF($A233&gt;=BegDate,VLOOKUP($A233,GasTable,13)+Assumptions!$C$58,0)</f>
        <v>3.35628369037885</v>
      </c>
      <c r="HA233" s="286" t="n">
        <f aca="false">GZ233*Assumptions!$C$57/1000</f>
        <v>24.3330567552467</v>
      </c>
      <c r="HB233" s="1558" t="n">
        <f aca="false">IF(Assumptions!$C$60="Hourly",MAX(0,GX233*(GY233-HA233)),GX233*(GY233-HA233))</f>
        <v>1134965.01363634</v>
      </c>
      <c r="HC233" s="1566" t="n">
        <f aca="false">IF($A233&gt;=BegDate,Assumptions!$C$56*24*($A234-$A233)*(1-VLOOKUP($B233,MAIN!$AA$7:$AM$28,$C233+1))*(1-VLOOKUP($B233,MAIN!$AA$33:$AM$54,$C233+1)),0)*16/168</f>
        <v>51548.5714285714</v>
      </c>
      <c r="HD233" s="286" t="n">
        <f aca="false">P233</f>
        <v>28.6519051480029</v>
      </c>
      <c r="HE233" s="286" t="n">
        <f aca="false">IF($A233&gt;=BegDate,VLOOKUP($A233,GasTable,13)+Assumptions!$C$58,0)</f>
        <v>3.35628369037885</v>
      </c>
      <c r="HF233" s="286" t="n">
        <f aca="false">HE233*Assumptions!$C$57/1000</f>
        <v>24.3330567552467</v>
      </c>
      <c r="HG233" s="1558" t="n">
        <f aca="false">IF(Assumptions!$C$60="Hourly",MAX(0,HC233*(HD233-HF233)),HC233*(HD233-HF233))</f>
        <v>222630.464863162</v>
      </c>
      <c r="HH233" s="1566" t="n">
        <f aca="false">IF($A233&gt;=BegDate,Assumptions!$C$56*24*($A234-$A233)*(1-VLOOKUP($B233,MAIN!$AA$7:$AM$28,$C233+1))*(1-VLOOKUP($B233,MAIN!$AA$33:$AM$54,$C233+1)),0)*56/168</f>
        <v>180420</v>
      </c>
      <c r="HI233" s="286" t="n">
        <f aca="false">S233</f>
        <v>28.6519051480029</v>
      </c>
      <c r="HJ233" s="286" t="n">
        <f aca="false">IF($A233&gt;=BegDate,VLOOKUP($A233,GasTable,13)+Assumptions!$C$58,0)</f>
        <v>3.35628369037885</v>
      </c>
      <c r="HK233" s="286" t="n">
        <f aca="false">HJ233*Assumptions!$C$57/1000</f>
        <v>24.3330567552467</v>
      </c>
      <c r="HL233" s="1558" t="n">
        <f aca="false">IF(Assumptions!$C$60="Hourly",MAX(0,HH233*(HI233-HK233)),HH233*(HI233-HK233))</f>
        <v>779206.627021068</v>
      </c>
      <c r="HM233" s="1566" t="n">
        <f aca="false">IF(AND(Assumptions!$H$71="Yes",A233&gt;=Assumptions!$H$72,A233&lt;=Assumptions!$H$73),Assumptions!$H$74*Assumptions!$C$9*1000,0)</f>
        <v>0</v>
      </c>
      <c r="HN233" s="1551"/>
      <c r="HO233" s="1563"/>
      <c r="HP233" s="1563"/>
      <c r="HQ233" s="1563"/>
      <c r="HR233" s="1563"/>
      <c r="HS233" s="1563"/>
      <c r="HT233" s="1563"/>
      <c r="HU233" s="1563"/>
      <c r="HV233" s="1563"/>
      <c r="HW233" s="1563"/>
      <c r="HX233" s="1563"/>
      <c r="HY233" s="1563"/>
      <c r="HZ233" s="1563"/>
      <c r="IA233" s="1563"/>
      <c r="IB233" s="1563"/>
      <c r="IC233" s="1563"/>
      <c r="ID233" s="1563"/>
      <c r="IE233" s="1563"/>
      <c r="IF233" s="1563"/>
      <c r="IG233" s="1563"/>
      <c r="IH233" s="1563"/>
      <c r="II233" s="1610"/>
      <c r="IJ233" s="1309"/>
      <c r="IK233" s="1309"/>
    </row>
    <row r="234" customFormat="false" ht="12.75" hidden="false" customHeight="false" outlineLevel="0" collapsed="false">
      <c r="A234" s="1571" t="n">
        <f aca="false">EOMONTH(A233,0)+1</f>
        <v>43252</v>
      </c>
      <c r="B234" s="594" t="n">
        <f aca="false">+YEAR(A234)</f>
        <v>2018</v>
      </c>
      <c r="C234" s="238" t="n">
        <f aca="false">MONTH(A234)</f>
        <v>6</v>
      </c>
      <c r="D234" s="1572" t="e">
        <f aca="false">IF(E234="","",Holiday(B234,C234))</f>
        <v>#VALUE!</v>
      </c>
      <c r="E234" s="1573" t="n">
        <f aca="false">IF(OR(BegDate&gt;=A235,EndDate&lt;A234,AND(VolumeMonthlyOverFlag,INDEX(VolumeMonthlyOver,C234)=0),NOT(INDEX(MonthKnockOutTable,C234))),"",MAX(A234,BegDate))</f>
        <v>43252</v>
      </c>
      <c r="F234" s="1574" t="n">
        <f aca="false">IF(E234="","",MIN(A235-1,EndDate))</f>
        <v>43281</v>
      </c>
      <c r="G234" s="1575" t="n">
        <v>0</v>
      </c>
      <c r="H234" s="1576" t="n">
        <f aca="false">(1+G234/2)^(-2*(DATE(B235,C235,20)-DateToday)/365.25)</f>
        <v>1</v>
      </c>
      <c r="I234" s="1568" t="n">
        <f aca="false">IF(Assumptions!$L$25=4,VLOOKUP($A234,'Henwood Reference'!$E$9:$R$320,10),(VLOOKUP($A234,PriceTable,2,0)+IF(BasisNumber&lt;&gt;1,VLOOKUP($A234,BasisTable,2,0),0)+I$1)/(1-I$2))</f>
        <v>44.9517654484671</v>
      </c>
      <c r="J234" s="1568" t="n">
        <f aca="false">IF(Assumptions!$L$25=4,VLOOKUP($A234,'Henwood Reference'!$E$9:$R$320,10),(VLOOKUP($A234,PriceTable,3,0)+IF(BasisNumber&lt;&gt;1,VLOOKUP($A234,BasisTable,2,0),0)+J$1)/(1-J$2))</f>
        <v>44.9517654484671</v>
      </c>
      <c r="K234" s="1568" t="n">
        <f aca="false">IF(Assumptions!$L$25=4,VLOOKUP($A234,'Henwood Reference'!$E$9:$R$320,10),(VLOOKUP($A234,PriceTable,4,0)+IF(BasisNumber&lt;&gt;1,VLOOKUP($A234,BasisTable,2,0),0)+K$1)/(1-K$2))</f>
        <v>44.9517654484671</v>
      </c>
      <c r="L234" s="1523" t="n">
        <f aca="false">IF(Assumptions!$L$25=4,VLOOKUP($A234,'Henwood Reference'!$E$9:$R$320,10),(VLOOKUP($A234,PriceTableWeekend,2,0)+IF(BasisNumber&lt;&gt;1,VLOOKUP($A234,BasisTable,2,0),0)+L$1)/(1-L$2))</f>
        <v>44.9517654484671</v>
      </c>
      <c r="M234" s="1568" t="n">
        <f aca="false">IF(Assumptions!$L$25=4,VLOOKUP($A234,'Henwood Reference'!$E$9:$R$320,10),(VLOOKUP($A234,PriceTableWeekend,3,0)+IF(BasisNumber&lt;&gt;1,VLOOKUP($A234,BasisTable,2,0),0)+M$1)/(1-M$2))</f>
        <v>44.9517654484671</v>
      </c>
      <c r="N234" s="1599" t="n">
        <f aca="false">IF(Assumptions!$L$25=4,VLOOKUP($A234,'Henwood Reference'!$E$9:$R$320,10),(VLOOKUP($A234,PriceTableWeekend,4,0)+IF(BasisNumber&lt;&gt;1,VLOOKUP($A234,BasisTable,2,0),0)+N$1)/(1-N$2))</f>
        <v>44.9517654484671</v>
      </c>
      <c r="O234" s="1568" t="n">
        <f aca="false">IF(Assumptions!$L$25=4,VLOOKUP($A234,'Henwood Reference'!$E$9:$R$320,11),(VLOOKUP($A234,PriceTableWeekend,6,0)+IF(BasisNumber&lt;&gt;1,VLOOKUP($A234,BasisTable,3,0),0)+O$1)/(1-O$2))</f>
        <v>27.2772181347107</v>
      </c>
      <c r="P234" s="1568" t="n">
        <f aca="false">IF(Assumptions!$L$25=4,VLOOKUP($A234,'Henwood Reference'!$E$9:$R$320,11),(VLOOKUP($A234,PriceTableWeekend,7,0)+IF(BasisNumber&lt;&gt;1,VLOOKUP($A234,BasisTable,3,0),0)+P$1)/(1-P$2))</f>
        <v>27.2772181347107</v>
      </c>
      <c r="Q234" s="1599" t="n">
        <f aca="false">IF(Assumptions!$L$25=4,VLOOKUP($A234,'Henwood Reference'!$E$9:$R$320,11),(VLOOKUP($A234,PriceTableWeekend,8,0)+IF(BasisNumber&lt;&gt;1,VLOOKUP($A234,BasisTable,3,0),0)+Q$1)/(1-Q$2))</f>
        <v>27.2772181347107</v>
      </c>
      <c r="R234" s="1568" t="n">
        <f aca="false">IF(Assumptions!$L$25=4,VLOOKUP($A234,'Henwood Reference'!$E$9:$R$320,11),(VLOOKUP($A234,PriceTable,6,0)+IF(BasisNumber&lt;&gt;1,VLOOKUP($A234,BasisTable,3,0),0)+R$1)/(1-R$2))</f>
        <v>27.2772181347107</v>
      </c>
      <c r="S234" s="1568" t="n">
        <f aca="false">IF(Assumptions!$L$25=4,VLOOKUP($A234,'Henwood Reference'!$E$9:$R$320,11),(VLOOKUP($A234,PriceTable,7,0)+IF(BasisNumber&lt;&gt;1,VLOOKUP($A234,BasisTable,3,0),0)+S$1)/(1-S$2))</f>
        <v>27.2772181347107</v>
      </c>
      <c r="T234" s="1600" t="n">
        <f aca="false">IF(Assumptions!$L$25=4,VLOOKUP($A234,'Henwood Reference'!$E$9:$R$320,11),(VLOOKUP($A234,PriceTable,8,0)+IF(BasisNumber&lt;&gt;1,VLOOKUP($A234,BasisTable,3,0),0)+T$1)/(1-T$2))</f>
        <v>27.2772181347107</v>
      </c>
      <c r="U234" s="1513" t="n">
        <f aca="false">VLOOKUP($A234,VolatilityTable,14)</f>
        <v>0.09</v>
      </c>
      <c r="V234" s="1513" t="n">
        <f aca="false">VLOOKUP($A234,VolatilityTable,15)</f>
        <v>0.1</v>
      </c>
      <c r="W234" s="1514" t="n">
        <f aca="false">VLOOKUP($A234,VolatilityTable,16)</f>
        <v>0.11</v>
      </c>
      <c r="X234" s="1513" t="n">
        <f aca="false">VLOOKUP($A234,VolatilityTable,14)</f>
        <v>0.09</v>
      </c>
      <c r="Y234" s="1513" t="n">
        <f aca="false">VLOOKUP($A234,VolatilityTable,15)</f>
        <v>0.1</v>
      </c>
      <c r="Z234" s="1514" t="n">
        <f aca="false">VLOOKUP($A234,VolatilityTable,16)</f>
        <v>0.11</v>
      </c>
      <c r="AA234" s="1513" t="n">
        <f aca="false">VLOOKUP($A234,VolatilityTable,18)</f>
        <v>0.09</v>
      </c>
      <c r="AB234" s="1513" t="n">
        <f aca="false">VLOOKUP($A234,VolatilityTable,19)</f>
        <v>0.11</v>
      </c>
      <c r="AC234" s="1514" t="n">
        <f aca="false">VLOOKUP($A234,VolatilityTable,20)</f>
        <v>0.13</v>
      </c>
      <c r="AD234" s="1513" t="n">
        <f aca="false">VLOOKUP($A234,VolatilityTable,18)</f>
        <v>0.09</v>
      </c>
      <c r="AE234" s="1513" t="n">
        <f aca="false">VLOOKUP($A234,VolatilityTable,19)</f>
        <v>0.11</v>
      </c>
      <c r="AF234" s="1514" t="n">
        <f aca="false">VLOOKUP($A234,VolatilityTable,20)</f>
        <v>0.13</v>
      </c>
      <c r="AG234" s="1513" t="n">
        <f aca="false">VLOOKUP($A234,VolatilityTable,22)</f>
        <v>-0.35</v>
      </c>
      <c r="AH234" s="1513" t="n">
        <f aca="false">VLOOKUP($A234,VolatilityTable,23)</f>
        <v>0.65</v>
      </c>
      <c r="AI234" s="1514" t="n">
        <f aca="false">VLOOKUP($A234,VolatilityTable,24)</f>
        <v>0.2</v>
      </c>
      <c r="AJ234" s="1513" t="n">
        <f aca="false">VLOOKUP($A234,VolatilityTable,22)</f>
        <v>-0.35</v>
      </c>
      <c r="AK234" s="1513" t="n">
        <f aca="false">VLOOKUP($A234,VolatilityTable,23)</f>
        <v>0.65</v>
      </c>
      <c r="AL234" s="1514" t="n">
        <f aca="false">VLOOKUP($A234,VolatilityTable,24)</f>
        <v>0.2</v>
      </c>
      <c r="AM234" s="1513" t="n">
        <f aca="false">VLOOKUP($A234,VolatilityTable,26)</f>
        <v>-0.01</v>
      </c>
      <c r="AN234" s="1513" t="n">
        <f aca="false">VLOOKUP($A234,VolatilityTable,27)</f>
        <v>0.16</v>
      </c>
      <c r="AO234" s="1514" t="n">
        <f aca="false">VLOOKUP($A234,VolatilityTable,28)</f>
        <v>0.01</v>
      </c>
      <c r="AP234" s="1513" t="n">
        <f aca="false">VLOOKUP($A234,VolatilityTable,26)</f>
        <v>-0.01</v>
      </c>
      <c r="AQ234" s="1513" t="n">
        <f aca="false">VLOOKUP($A234,VolatilityTable,27)</f>
        <v>0.16</v>
      </c>
      <c r="AR234" s="1515" t="n">
        <f aca="false">VLOOKUP($A234,VolatilityTable,28)</f>
        <v>0.01</v>
      </c>
      <c r="AS234" s="1581" t="n">
        <f aca="false">IF(CorrPeakOffPeakOverFlag,INDEX(CorrPeakOffPeakOver,C234),CorrPeakOffPeak)</f>
        <v>0.5</v>
      </c>
      <c r="AT234" s="594" t="e">
        <f aca="false">AX234-SUM(AU234:AW234)</f>
        <v>#VALUE!</v>
      </c>
      <c r="AU234" s="238" t="e">
        <f aca="false">IF(E234="",0,INT((F234-MOD(F234,7)-E234)/7)+1-IF(AW234,IF(WEEKDAY(D234)=7,1,0),0))</f>
        <v>#VALUE!</v>
      </c>
      <c r="AV234" s="238" t="e">
        <f aca="false">IF(E234="",0,INT((F234-MOD(F234-1,7)-E234)/7)+1-IF(AW234,IF(WEEKDAY(D234)=1,1,0),0))</f>
        <v>#VALUE!</v>
      </c>
      <c r="AW234" s="238" t="e">
        <f aca="false">IF(OR(E234="",D234="",D234&lt;BegDate,D234&gt;EndDate),0,1)</f>
        <v>#VALUE!</v>
      </c>
      <c r="AX234" s="238" t="n">
        <f aca="false">IF(E234="",0,F234-E234+1)</f>
        <v>30</v>
      </c>
      <c r="AY234" s="1582" t="n">
        <f aca="false">IF(E234="",0,MIN((1-(1-VLOOKUP(B234,MAIN!$AA$7:$AM$28,C234+1))*(1-VLOOKUP(B234,MAIN!$AA$33:$AM$54,C234+1))),1))</f>
        <v>0.03</v>
      </c>
      <c r="AZ234" s="1519" t="e">
        <v>#VALUE!</v>
      </c>
      <c r="BA234" s="1520" t="e">
        <v>#VALUE!</v>
      </c>
      <c r="BB234" s="1520" t="e">
        <v>#VALUE!</v>
      </c>
      <c r="BC234" s="1583" t="e">
        <v>#VALUE!</v>
      </c>
      <c r="BD234" s="1522" t="e">
        <v>#VALUE!</v>
      </c>
      <c r="BE234" s="1523" t="e">
        <v>#VALUE!</v>
      </c>
      <c r="BF234" s="1523" t="e">
        <v>#VALUE!</v>
      </c>
      <c r="BG234" s="1584" t="e">
        <v>#VALUE!</v>
      </c>
      <c r="BH234" s="1525" t="e">
        <v>#VALUE!</v>
      </c>
      <c r="BI234" s="1520" t="e">
        <v>#VALUE!</v>
      </c>
      <c r="BJ234" s="1520" t="e">
        <v>#VALUE!</v>
      </c>
      <c r="BK234" s="1583" t="e">
        <v>#VALUE!</v>
      </c>
      <c r="BL234" s="1522" t="e">
        <v>#VALUE!</v>
      </c>
      <c r="BM234" s="1523" t="e">
        <v>#VALUE!</v>
      </c>
      <c r="BN234" s="1523" t="e">
        <v>#VALUE!</v>
      </c>
      <c r="BO234" s="1523" t="e">
        <v>#VALUE!</v>
      </c>
      <c r="BP234" s="1525" t="e">
        <f aca="false">SUM(AZ234:BB234)</f>
        <v>#VALUE!</v>
      </c>
      <c r="BQ234" s="1529" t="e">
        <f aca="false">SUM(AZ234:BC234)</f>
        <v>#VALUE!</v>
      </c>
      <c r="BR234" s="1519" t="e">
        <f aca="false">SUM(BH234:BJ234)</f>
        <v>#VALUE!</v>
      </c>
      <c r="BS234" s="1529" t="e">
        <f aca="false">SUM(BH234:BK234)</f>
        <v>#VALUE!</v>
      </c>
      <c r="BT234" s="1316" t="n">
        <f aca="false">(IF(OVolType&lt;&gt;2,A234+14,IF(OptExpDateShift,ShiftBack(A234,OptExpDateShift,D233),A234))-DateToday)/365.25</f>
        <v>18.1300479123888</v>
      </c>
      <c r="BU234" s="1585" t="e">
        <f aca="false">IF(BQ234,IF(OPriceCurve,IF(OBuySell=OCallPut,I234/(1-AY234),K234/(1-AY234)),J234/(1-AY234))*BD234,0)</f>
        <v>#VALUE!</v>
      </c>
      <c r="BV234" s="1316" t="e">
        <f aca="false">IF(BQ234,IF(OPriceCurve,IF(OBuySell=OCallPut,L234/(1-AY234),N234/(1-AY234)),M234/(1-AY234))*BE234,0)</f>
        <v>#VALUE!</v>
      </c>
      <c r="BW234" s="1316" t="e">
        <f aca="false">IF(BQ234,IF(OPriceCurve,IF(OBuySell=OCallPut,O234/(1-AY234),Q234/(1-AY234)),P234/(1-AY234))*BF234,0)</f>
        <v>#VALUE!</v>
      </c>
      <c r="BX234" s="1316" t="e">
        <f aca="false">IF(BQ234,IF(OPriceCurve,IF(OBuySell=OCallPut,R234/(1-AY234),T234/(1-AY234)),S234/(1-AY234))*BG234,0)</f>
        <v>#VALUE!</v>
      </c>
      <c r="BY234" s="1316" t="e">
        <f aca="false">IF(BP234,(BU234*AZ234+BV234*BA234+BW234*BB234)/BP234,0)</f>
        <v>#VALUE!</v>
      </c>
      <c r="BZ234" s="1316" t="e">
        <f aca="false">IF(BQ234,(BY234*BP234+BX234*BC234)/BQ234,0)</f>
        <v>#VALUE!</v>
      </c>
      <c r="CA234" s="1531" t="e">
        <f aca="false">IF(BS234,IF(OPriceCurve,IF(OBuySell=OCallPut,I234/(1-AY234),K234/(1-AY234)),J234/(1-AY234))*BL234,0)</f>
        <v>#VALUE!</v>
      </c>
      <c r="CB234" s="1316" t="e">
        <f aca="false">IF(BS234,IF(OPriceCurve,IF(OBuySell=OCallPut,L234/(1-AY234),N234/(1-AY234)),M234/(1-AY234))*BM234,0)</f>
        <v>#VALUE!</v>
      </c>
      <c r="CC234" s="1316" t="e">
        <f aca="false">IF(BS234,IF(OPriceCurve,IF(OBuySell=OCallPut,O234/(1-AY234),Q234/(1-AY234)),P234/(1-AY234))*BN234,0)</f>
        <v>#VALUE!</v>
      </c>
      <c r="CD234" s="1316" t="e">
        <f aca="false">IF(BS234,IF(OPriceCurve,IF(OBuySell=OCallPut,R234/(1-AY234),T234/(1-AY234)),S234/(1-AY234))*BO234,0)</f>
        <v>#VALUE!</v>
      </c>
      <c r="CE234" s="1316" t="e">
        <f aca="false">IF(BR234,(BU234*BH234+BV234*BI234+BW234*BJ234)/BR234,0)</f>
        <v>#VALUE!</v>
      </c>
      <c r="CF234" s="1532" t="e">
        <f aca="false">IF(BS234,(CE234*BR234+CD234*BK234)/BS234,0)</f>
        <v>#VALUE!</v>
      </c>
      <c r="CG234" s="1586" t="e">
        <f aca="false">IF(OR(BQ234,BS234),IF(OVolType&lt;&gt;2,SQRT(IF(OVolOverMonthlyPeak,OVolOverMonthlyPeak,IF(OVolCurve,IF(OBuySell,U234,W234),V234))^2*(1-15/365.25/BT234)+IF(OVolOverDailyPeak,OVolOverDailyPeak,IF(OVolCurve,IF(OBuySell,AG234,AI234),AH234))^2*15/365.25/BT234),IF(OVolOverMonthlyPeak,OVolOverMonthlyPeak,IF(OVolCurve,IF(OBuySell,U234,W234),V234))),"")</f>
        <v>#VALUE!</v>
      </c>
      <c r="CH234" s="1587" t="e">
        <f aca="false">IF(OR(BQ234,BS234),IF(OVolType&lt;&gt;2,SQRT(IF(OVolOverMonthlyPeak,OVolOverMonthlyPeak,IF(OVolCurve,IF(OBuySell,X234,Z234),Y234))^2*(1-15/365.25/BT234)+IF(OVolOverDailyPeak,OVolOverDailyPeak,IF(OVolCurve,IF(OBuySell,AJ234,AL234),AK234))^2*15/365.25/BT234),IF(OVolOverMonthlyPeak,OVolOverMonthlyPeak,IF(OVolCurve,IF(OBuySell,X234,Z234),Y234))),"")</f>
        <v>#VALUE!</v>
      </c>
      <c r="CI234" s="1587" t="e">
        <f aca="false">IF(OR(BQ234,BS234),IF(OVolType&lt;&gt;2,SQRT(IF(OVolOverMonthlyPeak,OVolOverMonthlyPeak,IF(OVolCurve,IF(OBuySell,AA234,AC234),AB234))^2*(1-15/365.25/BT234)+IF(OVolOverDailyPeak,OVolOverDailyPeak,IF(OVolCurve,IF(OBuySell,AM234,AO234),AN234))^2*15/365.25/BT234),IF(OVolOverMonthlyPeak,OVolOverMonthlyPeak,IF(OVolCurve,IF(OBuySell,AA234,AC234),AB234))),"")</f>
        <v>#VALUE!</v>
      </c>
      <c r="CJ234" s="1587" t="e">
        <f aca="false">IF(BQ234,IF(BP234,SQRT(LN(1+((BU234*AZ234)^2*(EXP(CG234^2*BT234)-1)+(BV234*BA234)^2*(EXP(CH234^2*BT234)-1)+(BW234*BB234)^2*(EXP(CI234^2*BT234)-1)+2*BU234*AZ234*BV234*BA234*(EXP(CG234*CH234*BT234)-1)+2*BV234*BA234*BW234*BB234*(EXP(CH234*CI234*BT234)-1)+2*BW234*BB234*BU234*AZ234*(EXP(CI234*CG234*BT234)-1))/(BY234*BP234)^2)/BT234),0),"")</f>
        <v>#VALUE!</v>
      </c>
      <c r="CK234" s="1587" t="e">
        <f aca="false">IF(BS234,IF(BR234,SQRT(LN(1+((CA234*BH234)^2*(EXP(CG234^2*BT234)-1)+(CB234*BI234)^2*(EXP(CH234^2*BT234)-1)+(CC234*BJ234)^2*(EXP(CI234^2*BT234)-1)+2*CA234*BH234*CB234*BI234*(EXP(CG234*CH234*BT234)-1)+2*CB234*BI234*CC234*BJ234*(EXP(CH234*CI234*BT234)-1)+2*CC234*BJ234*CA234*BH234*(EXP(CI234*CG234*BT234)-1))/(CE234*BR234)^2)/BT234),0),"")</f>
        <v>#VALUE!</v>
      </c>
      <c r="CL234" s="1587" t="e">
        <f aca="false">IF(OR(BQ234,BS234),IF(OVolType&lt;&gt;2,SQRT(IF(OVolOverMonthlyOffPeak,OVolOverMonthlyOffPeak,IF(OVolCurve,IF(OBuySell,AD234,AF234),AE234))^2*(1-15/365.25/BT234)+IF(OVolOverDailyOffPeak,OVolOverDailyOffPeak,IF(OVolCurve,IF(OBuySell,AP234,AR234),AQ234))^2*15/365.25/BT234),IF(OVolOverMonthlyOffPeak,OVolOverMonthlyOffPeak,IF(OVolCurve,IF(OBuySell,AD234,AF234),AE234))),"")</f>
        <v>#VALUE!</v>
      </c>
      <c r="CM234" s="1587" t="e">
        <f aca="false">IF(BQ234,SQRT(LN(1+((BY234*BP234)^2*(EXP(CJ234^2*BT234)-1)+(BX234*BC234)^2*(EXP(CL234^2*BT234)-1)+2*BY234*BP234*BX234*BC234*(EXP(AS234*CJ234*CL234*BT234)-1))/(BY234*BP234+BX234*BC234)^2)/BT234),"")</f>
        <v>#VALUE!</v>
      </c>
      <c r="CN234" s="1588" t="e">
        <f aca="false">IF(BS234,SQRT(LN(1+((CE234*BR234)^2*(EXP(CK234^2*BT234)-1)+(CD234*BK234)^2*(EXP(CL234^2*BT234)-1)+2*CE234*BR234*CD234*BK234*(EXP(AS234*CK234*CL234*BT234)-1))/(CE234*BR234+CD234*BK234)^2)/BT234),"")</f>
        <v>#VALUE!</v>
      </c>
      <c r="CO234" s="1531" t="e">
        <f aca="false">IF(OR(BQ234,BS234),VLOOKUP(A234,GasTable,13)*HeatRatePeak*(1+VLOOKUP($B234,HeatRateDegradation,$C234+1))/1000,0)</f>
        <v>#VALUE!</v>
      </c>
      <c r="CP234" s="1316" t="e">
        <f aca="false">IF(OR(BQ234,BS234),VLOOKUP(A234,GasTable,13)*HeatRatePeak*(1+VLOOKUP($B234,HeatRateDegradation,$C234+1))/1000,0)</f>
        <v>#VALUE!</v>
      </c>
      <c r="CQ234" s="1316" t="e">
        <f aca="false">IF(OR(BQ234,BS234),VLOOKUP(A234,GasTable,13)*IF(EV234,HeatRatePeak,HeatRateOffPeak)*(1+VLOOKUP($B234,HeatRateDegradation,$C234+1))/1000,0)</f>
        <v>#VALUE!</v>
      </c>
      <c r="CR234" s="1316" t="e">
        <f aca="false">IF(OR(BQ234,BS234),VLOOKUP(A234,GasTable,13)*IF(EW234,HeatRatePeak,HeatRateOffPeak)*(1+VLOOKUP($B234,HeatRateDegradation,$C234+1))/1000,0)</f>
        <v>#VALUE!</v>
      </c>
      <c r="CS234" s="1589" t="e">
        <f aca="false">IF(BQ234,(CO234*AZ234+CP234*BA234+CQ234*BB234+CR234*BC234)/BQ234,0)</f>
        <v>#VALUE!</v>
      </c>
      <c r="CT234" s="1316" t="e">
        <f aca="false">IF(BS234,CO234,0)</f>
        <v>#VALUE!</v>
      </c>
      <c r="CU234" s="1590" t="e">
        <f aca="false">IF(OR(BQ234,BS234),VLOOKUP(A234,GasTable,14),"")</f>
        <v>#VALUE!</v>
      </c>
      <c r="CV234" s="1568" t="e">
        <f aca="false">IF(OR(BQ234,BS234),IF(CorrPowerGasOverFlag,INDEX(CorrPowerGasOver,C234),CorrPowerGas),"")</f>
        <v>#VALUE!</v>
      </c>
      <c r="CW234" s="1316" t="e">
        <f aca="false">IF(OR($BQ234,$BS234),SpreadOptPowerMargin,0)*((1+Assumptions!$C$26)^($B234-YEAR(Assumptions!$C$17)))</f>
        <v>#VALUE!</v>
      </c>
      <c r="CX234" s="1316" t="e">
        <f aca="false">IF(OR($BQ234,$BS234),SpreadOptPowerMargin,0)*((1+Assumptions!$C$26)^($B234-YEAR(Assumptions!$C$17)))</f>
        <v>#VALUE!</v>
      </c>
      <c r="CY234" s="1316" t="e">
        <f aca="false">IF(OR($BQ234,$BS234),SpreadOptPowerMargin,0)*((1+Assumptions!$C$26)^($B234-YEAR(Assumptions!$C$17)))</f>
        <v>#VALUE!</v>
      </c>
      <c r="CZ234" s="1316" t="e">
        <f aca="false">IF(OR($BQ234,$BS234),SpreadOptPowerMargin,0)*((1+Assumptions!$C$26)^($B234-YEAR(Assumptions!$C$17)))</f>
        <v>#VALUE!</v>
      </c>
      <c r="DA234" s="1591" t="e">
        <f aca="false">IF(OR(BQ234,BS234),(CW234*(AZ234+BH234)+CX234*(BA234+BI234)+CY234*(BB234+BJ234)+CZ234*(BC234+BK234))/(BQ234+BS234),0)</f>
        <v>#VALUE!</v>
      </c>
      <c r="DB234" s="1592" t="e">
        <f aca="false">IF(OR(BQ234,BS234),CG234+IF(OVolSmile,VLOOKUP(MAX(-5,CO234+CW234-BU234),IF(OVolSmile=1,VolSmileBook,VolSmileModel),2),0),"")</f>
        <v>#VALUE!</v>
      </c>
      <c r="DC234" s="1592" t="e">
        <f aca="false">IF(OR(BQ234,BS234),CH234+IF(OVolSmile,VLOOKUP(MAX(-5,CP234+CW234-BV234),IF(OVolSmile=1,VolSmileBook,VolSmileModel),2),0),"")</f>
        <v>#VALUE!</v>
      </c>
      <c r="DD234" s="1592" t="e">
        <f aca="false">IF(OR(BQ234,BS234),CI234+IF(OVolSmile,VLOOKUP(MAX(-5,CQ234+CW234-BW234),IF(OVolSmile=1,VolSmileBook,VolSmileModel),2),0),"")</f>
        <v>#VALUE!</v>
      </c>
      <c r="DE234" s="1592" t="e">
        <f aca="false">IF(OR(BQ234,BS234),CL234+IF(OVolSmile,VLOOKUP(MAX(-5,CR234+CZ234-BX234),IF(OVolSmile=1,VolSmileBook,VolSmileModel),2),0),"")</f>
        <v>#VALUE!</v>
      </c>
      <c r="DF234" s="1592" t="e">
        <f aca="false">IF(BQ234,CM234+IF(OVolSmile,VLOOKUP(MAX(-5,CS234+DA234-BZ234),IF(OVolSmile=1,VolSmileBook,VolSmileModel),2),0),"")</f>
        <v>#VALUE!</v>
      </c>
      <c r="DG234" s="1593" t="e">
        <f aca="false">IF(BS234,CN234+IF(OVolSmile,VLOOKUP(MAX(-5,CT234+DA234-CF234),IF(OVolSmile=1,VolSmileBook,VolSmileModel),2),0),"")</f>
        <v>#VALUE!</v>
      </c>
      <c r="DH234" s="1316" t="e">
        <f aca="false">IF(AND(BU234&gt;0,CO234&gt;0,DB234&gt;0,CU234&gt;0),newSPRDOPT(BU234,CO234,CW234,0,DB234,CU234,CV234,BT234*365.25,OCallPut,0),0)</f>
        <v>#VALUE!</v>
      </c>
      <c r="DI234" s="1316" t="e">
        <f aca="false">IF(AND(BV234&gt;0,CP234&gt;0,DC234&gt;0,CU234&gt;0),newSPRDOPT(BV234,CP234,CX234,0,DC234,CU234,CV234,BT234*365.25,OCallPut,0),0)</f>
        <v>#VALUE!</v>
      </c>
      <c r="DJ234" s="1316" t="e">
        <f aca="false">IF(AND(BW234&gt;0,CQ234&gt;0,DD234&gt;0,CU234&gt;0),newSPRDOPT(BW234,CQ234,CY234,0,DD234,CU234,CV234,BT234*365.25,OCallPut,0),0)</f>
        <v>#VALUE!</v>
      </c>
      <c r="DK234" s="1316" t="e">
        <f aca="false">IF(AND(BX234&gt;0,CR234&gt;0,DE234&gt;0,CU234&gt;0),newSPRDOPT(BX234,CR234,CZ234,0,DE234,CU234,CV234,BT234*365.25,OCallPut,0),0)</f>
        <v>#VALUE!</v>
      </c>
      <c r="DL234" s="1316" t="e">
        <f aca="false">IF(OVolType,IF(AND(BZ234&gt;0,CS234&gt;0,DF234&gt;0,CU234&gt;0),newSPRDOPT(BZ234,CS234,DA234,0,DF234,CU234,CV234,BT234*365.25,OCallPut,0),0),IF(BQ234,(DH234*AZ234+DI234*BA234+DJ234*BB234+DK234*BC234)/BQ234,0))</f>
        <v>#VALUE!</v>
      </c>
      <c r="DM234" s="1316"/>
      <c r="DN234" s="1316"/>
      <c r="DO234" s="1316"/>
      <c r="DP234" s="1316"/>
      <c r="DQ234" s="1316"/>
      <c r="DR234" s="1316"/>
      <c r="DS234" s="1316"/>
      <c r="DT234" s="1316"/>
      <c r="DU234" s="1316"/>
      <c r="DV234" s="1316"/>
      <c r="DW234" s="1594" t="e">
        <f aca="false">IF(AND(BW234&gt;0,CT234&gt;0,DD234&gt;0,CU234&gt;0),newSPRDOPT(BW234,CT234,CY234,0,DD234,CU234,CV234,BT234*365.25,OCallPut,0),0)</f>
        <v>#VALUE!</v>
      </c>
      <c r="DX234" s="1316" t="e">
        <f aca="false">IF(AND(BX234&gt;0,CT234&gt;0,DE234&gt;0,CU234&gt;0),newSPRDOPT(BX234,CT234,CZ234,0,DE234,CU234,CV234,BT234*365.25,OCallPut,0),0)</f>
        <v>#VALUE!</v>
      </c>
      <c r="DY234" s="1591" t="e">
        <f aca="false">IF(BS234,(DH234*BH234+DI234*BI234+DW234*BJ234+DX234*BK234)/BS234,0)</f>
        <v>#VALUE!</v>
      </c>
      <c r="DZ234" s="1551" t="e">
        <f aca="false">DH234*AZ234</f>
        <v>#VALUE!</v>
      </c>
      <c r="EA234" s="1551" t="e">
        <f aca="false">DI234*BA234</f>
        <v>#VALUE!</v>
      </c>
      <c r="EB234" s="1551" t="e">
        <f aca="false">DJ234*BB234</f>
        <v>#VALUE!</v>
      </c>
      <c r="EC234" s="1551" t="e">
        <f aca="false">DK234*BC234</f>
        <v>#VALUE!</v>
      </c>
      <c r="ED234" s="1551" t="e">
        <f aca="false">DL234*BQ234</f>
        <v>#VALUE!</v>
      </c>
      <c r="EE234" s="1595" t="e">
        <f aca="false">IF(BQ234,IF(OCallPut,IF(BU234&gt;(CO234+CW234),BU234-(CO234+CW234),0),IF((CO234+CW234)&gt;BU234,(CO234+CW234)-BU234,0))*AZ234,0)</f>
        <v>#VALUE!</v>
      </c>
      <c r="EF234" s="1596" t="e">
        <f aca="false">IF(BQ234,IF(OCallPut,IF(BV234&gt;(CP234+CX234),BV234-(CP234+CX234),0),IF((CP234+CX234)&gt;BV234,(CP234+CX234)-BV234,0))*BA234,0)</f>
        <v>#VALUE!</v>
      </c>
      <c r="EG234" s="1596" t="e">
        <f aca="false">IF(BQ234,IF(OCallPut,IF(BW234&gt;(CQ234+CY234),BW234-(CQ234+CY234),0),IF((CQ234+CY234)&gt;BW234,(CQ234+CY234)-BW234,0))*BB234,0)</f>
        <v>#VALUE!</v>
      </c>
      <c r="EH234" s="1596" t="e">
        <f aca="false">IF(BQ234,IF(OCallPut,IF(BX234&gt;(CR234+CZ234),BX234-(CR234+CZ234),0),IF((CR234+CZ234)&gt;BX234,(CR234+CZ234)-BX234,0))*BC234,0)</f>
        <v>#VALUE!</v>
      </c>
      <c r="EI234" s="1597" t="e">
        <f aca="false">IF(BQ234,IF(OVolType,IF(OCallPut,IF(BZ234&gt;(CS234+DA234),BZ234-(CS234+DA234),0),IF((CS234+DA234)&gt;BZ234,(CS234+DA234)-BZ234,0))*BQ234,SUM(EE234:EH234)),0)</f>
        <v>#VALUE!</v>
      </c>
      <c r="EJ234" s="1595" t="e">
        <f aca="false">DZ234-EE234</f>
        <v>#VALUE!</v>
      </c>
      <c r="EK234" s="1596" t="e">
        <f aca="false">EA234-EF234</f>
        <v>#VALUE!</v>
      </c>
      <c r="EL234" s="1596" t="e">
        <f aca="false">EB234-EG234</f>
        <v>#VALUE!</v>
      </c>
      <c r="EM234" s="1596" t="e">
        <f aca="false">EC234-EH234</f>
        <v>#VALUE!</v>
      </c>
      <c r="EN234" s="1597" t="e">
        <f aca="false">ED234-EI234</f>
        <v>#VALUE!</v>
      </c>
      <c r="EO234" s="1551" t="e">
        <f aca="false">DH234*BH234</f>
        <v>#VALUE!</v>
      </c>
      <c r="EP234" s="1551" t="e">
        <f aca="false">DI234*BI234</f>
        <v>#VALUE!</v>
      </c>
      <c r="EQ234" s="1551" t="e">
        <f aca="false">DW234*BJ234</f>
        <v>#VALUE!</v>
      </c>
      <c r="ER234" s="1551" t="e">
        <f aca="false">DX234*BK234</f>
        <v>#VALUE!</v>
      </c>
      <c r="ES234" s="1551" t="e">
        <f aca="false">DY234*BS234</f>
        <v>#VALUE!</v>
      </c>
      <c r="ET234" s="1566" t="e">
        <f aca="false">IF(EI234,IF(OCallPut,IF(CA234&gt;(CT234+CW234),CA234-(CT234+CW234),0),IF((CT234+CW234)&gt;CA234,(CT234+CW234)-CA234,0))*BH234,0)</f>
        <v>#VALUE!</v>
      </c>
      <c r="EU234" s="1551" t="e">
        <f aca="false">IF(EI234,IF(OCallPut,IF(CB234&gt;(CT234+CX234),CB234-(CT234+CX234),0),IF((CT234+CX234)&gt;CB234,(CT234+CX234)-CB234,0))*BI234,0)</f>
        <v>#VALUE!</v>
      </c>
      <c r="EV234" s="1551" t="e">
        <f aca="false">IF(EI234,IF(OCallPut,IF(CC234&gt;(CT234+CY234),CC234-(CT234+CY234),0),IF((CT234+CY234)&gt;CC234,(CT234+CY234)-CC234,0))*BJ234,0)</f>
        <v>#VALUE!</v>
      </c>
      <c r="EW234" s="1551" t="e">
        <f aca="false">IF(EI234,IF(OCallPut,IF(CD234&gt;(CT234+CZ234),CD234-(CT234+CZ234),0),IF((CT234+CZ234)&gt;CD234,(CT234+CZ234)-CD234,0))*BK234,0)</f>
        <v>#VALUE!</v>
      </c>
      <c r="EX234" s="1558" t="e">
        <f aca="false">IF(EI234,SUM(ET234:EW234),0)</f>
        <v>#VALUE!</v>
      </c>
      <c r="EY234" s="1551" t="e">
        <f aca="false">EO234-ET234</f>
        <v>#VALUE!</v>
      </c>
      <c r="EZ234" s="1551" t="e">
        <f aca="false">EP234-EU234</f>
        <v>#VALUE!</v>
      </c>
      <c r="FA234" s="1551" t="e">
        <f aca="false">EQ234-EV234</f>
        <v>#VALUE!</v>
      </c>
      <c r="FB234" s="1551" t="e">
        <f aca="false">ER234-EW234</f>
        <v>#VALUE!</v>
      </c>
      <c r="FC234" s="1551" t="e">
        <f aca="false">ES234-EX234</f>
        <v>#VALUE!</v>
      </c>
      <c r="FD234" s="1525" t="n">
        <f aca="false">IF(AX234,IF(VLOOKUP(C234,MAIN!$L$17:$M$28,2)="Yes",VLOOKUP(CALC!B234,MAIN!$H$17:$I$20,2),0),0)</f>
        <v>0</v>
      </c>
      <c r="FE234" s="1552" t="e">
        <f aca="false">$FD234*16*AT234*(1-$AY234)</f>
        <v>#VALUE!</v>
      </c>
      <c r="FF234" s="1553" t="e">
        <f aca="false">$FD234*16*AU234*(1-$AY234)</f>
        <v>#VALUE!</v>
      </c>
      <c r="FG234" s="1553" t="e">
        <f aca="false">$FD234*16*(AV234+AW234)*(1-$AY234)</f>
        <v>#VALUE!</v>
      </c>
      <c r="FH234" s="1554" t="n">
        <f aca="false">$FD234*8*AX234*(1-$AY234)</f>
        <v>0</v>
      </c>
      <c r="FI234" s="1555" t="n">
        <f aca="false">IF(AX234,VLOOKUP(CALC!B234,MAIN!$H$17:$K$20,4),0)</f>
        <v>0</v>
      </c>
      <c r="FJ234" s="1553" t="e">
        <f aca="false">SUM(FE234:FH234)</f>
        <v>#VALUE!</v>
      </c>
      <c r="FK234" s="1556" t="e">
        <f aca="false">FI234*FJ234</f>
        <v>#VALUE!</v>
      </c>
      <c r="FL234" s="1551" t="e">
        <f aca="false">IF($EI234&gt;0,MIN(FE234,AZ234*(1+VLOOKUP($C234,WeatherCapacityAdjustment,2))),0)</f>
        <v>#VALUE!</v>
      </c>
      <c r="FM234" s="1551" t="e">
        <f aca="false">IF($EI234&gt;0,MIN(FF234,BA234*(1+VLOOKUP($C234,WeatherCapacityAdjustment,2))),0)</f>
        <v>#VALUE!</v>
      </c>
      <c r="FN234" s="1551" t="e">
        <f aca="false">IF($EI234&gt;0,MIN(FG234,BB234*(1+VLOOKUP($C234,WeatherCapacityAdjustment,2))),0)</f>
        <v>#VALUE!</v>
      </c>
      <c r="FO234" s="1564" t="e">
        <f aca="false">IF($EI234&gt;0,MIN(FH234,BC234*(1+VLOOKUP($C234,WeatherCapacityAdjustment,3))),0)</f>
        <v>#VALUE!</v>
      </c>
      <c r="FP234" s="1551" t="e">
        <f aca="false">IF(ET234&gt;0,MIN(FE234-FL234,BH234*(1+VLOOKUP($C234,WeatherCapacityAdjustment,2))),0)</f>
        <v>#VALUE!</v>
      </c>
      <c r="FQ234" s="1551" t="e">
        <f aca="false">IF(EU234&gt;0,MIN(FF234-FM234,BI234*(1+VLOOKUP($C234,WeatherCapacityAdjustment,2))),0)</f>
        <v>#VALUE!</v>
      </c>
      <c r="FR234" s="1551" t="e">
        <f aca="false">IF(EV234&gt;0,MIN(FG234-FN234,BJ234*(1+VLOOKUP($C234,WeatherCapacityAdjustment,2))),0)</f>
        <v>#VALUE!</v>
      </c>
      <c r="FS234" s="1558" t="e">
        <f aca="false">IF(EW234&gt;0,MIN(FH234-FO234,BK234*(1+VLOOKUP($C234,WeatherCapacityAdjustment,3))),0)</f>
        <v>#VALUE!</v>
      </c>
      <c r="FT234" s="1566" t="e">
        <f aca="false">IF(AND(Assumptions!$H$71="Yes",A234&gt;=Assumptions!$H$72,A234&lt;=Assumptions!$H$73),0,IF(AND($A234&gt;=Assumptions!$C$17,$A234&lt;=Assumptions!$C$18),MAX(AZ234*(1+VLOOKUP($C234,WeatherCapacityAdjustment,2))-FL234,0),0))</f>
        <v>#VALUE!</v>
      </c>
      <c r="FU234" s="1551" t="e">
        <f aca="false">IF(AND(Assumptions!$H$71="Yes",A234&gt;=Assumptions!$H$72,A234&lt;=Assumptions!$H$73),0,IF(AND($A234&gt;=Assumptions!$C$17,$A234&lt;=Assumptions!$C$18),MAX(BA234*(1+VLOOKUP($C234,WeatherCapacityAdjustment,2))-FM234,0),0))</f>
        <v>#VALUE!</v>
      </c>
      <c r="FV234" s="1551" t="e">
        <f aca="false">IF(AND(Assumptions!$H$71="Yes",A234&gt;=Assumptions!$H$72,A234&lt;=Assumptions!$H$73),0,IF(AND($A234&gt;=Assumptions!$C$17,$A234&lt;=Assumptions!$C$18),MAX(BB234*(1+VLOOKUP($C234,WeatherCapacityAdjustment,2))-FN234,0),0))</f>
        <v>#VALUE!</v>
      </c>
      <c r="FW234" s="1564" t="e">
        <f aca="false">IF(AND(Assumptions!$H$71="Yes",A234&gt;=Assumptions!$H$72,A234&lt;=Assumptions!$H$73),0,IF(AND($A234&gt;=Assumptions!$C$17,$A234&lt;=Assumptions!$C$18),MAX(BC234*(1+VLOOKUP($C234,WeatherCapacityAdjustment,3))-FO234,0),0))</f>
        <v>#VALUE!</v>
      </c>
      <c r="FX234" s="1569" t="e">
        <f aca="false">IF(AND(Assumptions!$H$71="Yes",A234&gt;=Assumptions!$H$72,A234&lt;=Assumptions!$H$73),0,IF(ET234&gt;0,MAX(BH234*(1+VLOOKUP($C234,WeatherCapacityAdjustment,2))-FP234,0),0))</f>
        <v>#VALUE!</v>
      </c>
      <c r="FY234" s="1551" t="e">
        <f aca="false">IF(AND(Assumptions!$H$71="Yes",A234&gt;=Assumptions!$H$72,A234&lt;=Assumptions!$H$73),0,IF(EU234&gt;0,MAX(BI234*(1+VLOOKUP($C234,WeatherCapacityAdjustment,3))-FQ234,0),0))</f>
        <v>#VALUE!</v>
      </c>
      <c r="FZ234" s="1551" t="e">
        <f aca="false">IF(AND(Assumptions!$H$71="Yes",A234&gt;=Assumptions!$H$72,A234&lt;=Assumptions!$H$73),0,IF(EV234&gt;0,MAX(BJ234*(1+VLOOKUP($C234,WeatherCapacityAdjustment,2))-FR234,0),0))</f>
        <v>#VALUE!</v>
      </c>
      <c r="GA234" s="1564" t="e">
        <f aca="false">IF(AND(Assumptions!$H$71="Yes",A234&gt;=Assumptions!$H$72,A234&lt;=Assumptions!$H$73),0,IF(EW234&gt;0,MAX(BK234*(1+VLOOKUP($C234,WeatherCapacityAdjustment,2))-FS234,0),0))</f>
        <v>#VALUE!</v>
      </c>
      <c r="GB234" s="1551" t="e">
        <f aca="false">SUM(FT234:GA234)</f>
        <v>#VALUE!</v>
      </c>
      <c r="GC234" s="1563" t="e">
        <f aca="false">+IF(SUM(FT234:GA234)=0,0,(SUMPRODUCT(BU234:BX234,FT234:FW234)+SUMPRODUCT(CA234:CD234,FX234:GA234))/SUM(FT234:GA234))</f>
        <v>#VALUE!</v>
      </c>
      <c r="GD234" s="1551" t="e">
        <f aca="false">(FT234*BU234+FX234*CA234+FU234*BV234+FY234*CB234+FV234*BW234+FZ234*CC234+FW234*BX234+GA234*CD234)</f>
        <v>#VALUE!</v>
      </c>
      <c r="GE234" s="1561" t="e">
        <f aca="false">+IF(BQ234,((FL234+FM234+FT234+FU234)*HeatRatePeak/1000*(1+VLOOKUP($C234,WeatherHeatRateAdjustment,2))+(FN234+FV234)*IF(EV234&gt;0,HeatRatePeak,HeatRateOffPeak)/1000*(1+VLOOKUP($C234,WeatherHeatRateAdjustment,2))+(FO234+FW234)*IF(EW234&gt;0,HeatRatePeak,HeatRateOffPeak)/1000*(1+VLOOKUP($C234,WeatherHeatRateAdjustment,3)))*(1+VLOOKUP($B234,HeatRateDegradation,$C234+1)),0)</f>
        <v>#VALUE!</v>
      </c>
      <c r="GF234" s="1562" t="e">
        <f aca="false">IF(BQ234,((FP234+FQ234+FR234+FX234+FY234+FZ234)*HeatRatePeak/1000*(1+VLOOKUP($C234,WeatherHeatRateAdjustment,2))+(FS234+GA234)*HeatRatePeak/1000*(1+VLOOKUP($C234,WeatherHeatRateAdjustment,3)))*(1+VLOOKUP($B234,HeatRateDegradation,$C234+1)),0)</f>
        <v>#VALUE!</v>
      </c>
      <c r="GG234" s="1563" t="e">
        <f aca="false">IF(BQ234,VLOOKUP(A234,GasTable,13),0)</f>
        <v>#VALUE!</v>
      </c>
      <c r="GH234" s="1564" t="e">
        <f aca="false">(GE234+GF234)*GG234</f>
        <v>#VALUE!</v>
      </c>
      <c r="GI234" s="1569" t="e">
        <f aca="false">GB234</f>
        <v>#VALUE!</v>
      </c>
      <c r="GJ234" s="1598" t="e">
        <f aca="false">+DA234</f>
        <v>#VALUE!</v>
      </c>
      <c r="GK234" s="1558" t="e">
        <f aca="false">+GI234*GJ234</f>
        <v>#VALUE!</v>
      </c>
      <c r="GL234" s="1566" t="e">
        <f aca="false">MAX(FE234-FL234-FP234,0)</f>
        <v>#VALUE!</v>
      </c>
      <c r="GM234" s="1551" t="e">
        <f aca="false">MAX(FF234-FM234-FQ234,0)</f>
        <v>#VALUE!</v>
      </c>
      <c r="GN234" s="1551" t="e">
        <f aca="false">MAX(FG234-FN234-FR234,0)</f>
        <v>#VALUE!</v>
      </c>
      <c r="GO234" s="1564" t="e">
        <f aca="false">MAX(FH234-FO234-FS234,0)</f>
        <v>#VALUE!</v>
      </c>
      <c r="GP234" s="1551" t="e">
        <f aca="false">SUM(GL234:GO234)</f>
        <v>#VALUE!</v>
      </c>
      <c r="GQ234" s="1563" t="e">
        <f aca="false">IF(SUM(GL234:GO234)=0,0,((GL234*BU234+GM234*BV234+GN234*BW234+GO234*BX234)/SUM(GL234:GO234)))</f>
        <v>#VALUE!</v>
      </c>
      <c r="GR234" s="1558" t="e">
        <f aca="false">(GL234*BU234+GM234*BV234+GN234*BW234+GO234*BX234)</f>
        <v>#VALUE!</v>
      </c>
      <c r="GS234" s="1566" t="n">
        <f aca="false">IF($A234&gt;=BegDate,Assumptions!$C$56*24*($A235-$A234)*(1-VLOOKUP($B234,MAIN!$AA$7:$AM$28,$C234+1))*(1-VLOOKUP($B234,MAIN!$AA$33:$AM$54,$C234+1)),0)*80/168</f>
        <v>249428.571428571</v>
      </c>
      <c r="GT234" s="286" t="n">
        <f aca="false">J234</f>
        <v>44.9517654484671</v>
      </c>
      <c r="GU234" s="286" t="n">
        <f aca="false">IF($A234&gt;=BegDate,VLOOKUP($A234,GasTable,13)+Assumptions!$C$58,0)</f>
        <v>3.39112135615101</v>
      </c>
      <c r="GV234" s="286" t="n">
        <f aca="false">GU234*Assumptions!$C$57/1000</f>
        <v>24.5856298320948</v>
      </c>
      <c r="GW234" s="1558" t="n">
        <f aca="false">IF(Assumptions!$C$60="Hourly",MAX(0,GS234*(GT234-GV234)),GS234*(GT234-GV234))</f>
        <v>5079896.11231228</v>
      </c>
      <c r="GX234" s="1566" t="n">
        <f aca="false">IF($A234&gt;=BegDate,Assumptions!$C$56*24*($A235-$A234)*(1-VLOOKUP($B234,MAIN!$AA$7:$AM$28,$C234+1))*(1-VLOOKUP($B234,MAIN!$AA$33:$AM$54,$C234+1)),0)*16/168</f>
        <v>49885.7142857143</v>
      </c>
      <c r="GY234" s="286" t="n">
        <f aca="false">M234</f>
        <v>44.9517654484671</v>
      </c>
      <c r="GZ234" s="286" t="n">
        <f aca="false">IF($A234&gt;=BegDate,VLOOKUP($A234,GasTable,13)+Assumptions!$C$58,0)</f>
        <v>3.39112135615101</v>
      </c>
      <c r="HA234" s="286" t="n">
        <f aca="false">GZ234*Assumptions!$C$57/1000</f>
        <v>24.5856298320948</v>
      </c>
      <c r="HB234" s="1558" t="n">
        <f aca="false">IF(Assumptions!$C$60="Hourly",MAX(0,GX234*(GY234-HA234)),GX234*(GY234-HA234))</f>
        <v>1015979.22246246</v>
      </c>
      <c r="HC234" s="1566" t="n">
        <f aca="false">IF($A234&gt;=BegDate,Assumptions!$C$56*24*($A235-$A234)*(1-VLOOKUP($B234,MAIN!$AA$7:$AM$28,$C234+1))*(1-VLOOKUP($B234,MAIN!$AA$33:$AM$54,$C234+1)),0)*16/168</f>
        <v>49885.7142857143</v>
      </c>
      <c r="HD234" s="286" t="n">
        <f aca="false">P234</f>
        <v>27.2772181347107</v>
      </c>
      <c r="HE234" s="286" t="n">
        <f aca="false">IF($A234&gt;=BegDate,VLOOKUP($A234,GasTable,13)+Assumptions!$C$58,0)</f>
        <v>3.39112135615101</v>
      </c>
      <c r="HF234" s="286" t="n">
        <f aca="false">HE234*Assumptions!$C$57/1000</f>
        <v>24.5856298320948</v>
      </c>
      <c r="HG234" s="1558" t="n">
        <f aca="false">IF(Assumptions!$C$60="Hourly",MAX(0,HC234*(HD234-HF234)),HC234*(HD234-HF234))</f>
        <v>134271.805039067</v>
      </c>
      <c r="HH234" s="1566" t="n">
        <f aca="false">IF($A234&gt;=BegDate,Assumptions!$C$56*24*($A235-$A234)*(1-VLOOKUP($B234,MAIN!$AA$7:$AM$28,$C234+1))*(1-VLOOKUP($B234,MAIN!$AA$33:$AM$54,$C234+1)),0)*56/168</f>
        <v>174600</v>
      </c>
      <c r="HI234" s="286" t="n">
        <f aca="false">S234</f>
        <v>27.2772181347107</v>
      </c>
      <c r="HJ234" s="286" t="n">
        <f aca="false">IF($A234&gt;=BegDate,VLOOKUP($A234,GasTable,13)+Assumptions!$C$58,0)</f>
        <v>3.39112135615101</v>
      </c>
      <c r="HK234" s="286" t="n">
        <f aca="false">HJ234*Assumptions!$C$57/1000</f>
        <v>24.5856298320948</v>
      </c>
      <c r="HL234" s="1558" t="n">
        <f aca="false">IF(Assumptions!$C$60="Hourly",MAX(0,HH234*(HI234-HK234)),HH234*(HI234-HK234))</f>
        <v>469951.317636733</v>
      </c>
      <c r="HM234" s="1566" t="n">
        <f aca="false">IF(AND(Assumptions!$H$71="Yes",A234&gt;=Assumptions!$H$72,A234&lt;=Assumptions!$H$73),Assumptions!$H$74*Assumptions!$C$9*1000,0)</f>
        <v>0</v>
      </c>
      <c r="HN234" s="1551"/>
      <c r="HO234" s="1563"/>
      <c r="HP234" s="1563"/>
      <c r="HQ234" s="1563"/>
      <c r="HR234" s="1563"/>
      <c r="HS234" s="1563"/>
      <c r="HT234" s="1563"/>
      <c r="HU234" s="1563"/>
      <c r="HV234" s="1563"/>
      <c r="HW234" s="1563"/>
      <c r="HX234" s="1563"/>
      <c r="HY234" s="1563"/>
      <c r="HZ234" s="1563"/>
      <c r="IA234" s="1563"/>
      <c r="IB234" s="1563"/>
      <c r="IC234" s="1563"/>
      <c r="ID234" s="1563"/>
      <c r="IE234" s="1563"/>
      <c r="IF234" s="1563"/>
      <c r="IG234" s="1563"/>
      <c r="IH234" s="1563"/>
      <c r="II234" s="1610"/>
      <c r="IJ234" s="1309"/>
      <c r="IK234" s="1309"/>
    </row>
    <row r="235" customFormat="false" ht="12.75" hidden="false" customHeight="false" outlineLevel="0" collapsed="false">
      <c r="A235" s="1571" t="n">
        <f aca="false">EOMONTH(A234,0)+1</f>
        <v>43282</v>
      </c>
      <c r="B235" s="594" t="n">
        <f aca="false">+YEAR(A235)</f>
        <v>2018</v>
      </c>
      <c r="C235" s="238" t="n">
        <f aca="false">MONTH(A235)</f>
        <v>7</v>
      </c>
      <c r="D235" s="1572" t="e">
        <f aca="false">IF(E235="","",Holiday(B235,C235))</f>
        <v>#VALUE!</v>
      </c>
      <c r="E235" s="1573" t="n">
        <f aca="false">IF(OR(BegDate&gt;=A236,EndDate&lt;A235,AND(VolumeMonthlyOverFlag,INDEX(VolumeMonthlyOver,C235)=0),NOT(INDEX(MonthKnockOutTable,C235))),"",MAX(A235,BegDate))</f>
        <v>43282</v>
      </c>
      <c r="F235" s="1574" t="n">
        <f aca="false">IF(E235="","",MIN(A236-1,EndDate))</f>
        <v>43312</v>
      </c>
      <c r="G235" s="1575" t="n">
        <v>0</v>
      </c>
      <c r="H235" s="1576" t="n">
        <f aca="false">(1+G235/2)^(-2*(DATE(B236,C236,20)-DateToday)/365.25)</f>
        <v>1</v>
      </c>
      <c r="I235" s="1568" t="n">
        <f aca="false">IF(Assumptions!$L$25=4,VLOOKUP($A235,'Henwood Reference'!$E$9:$R$320,10),(VLOOKUP($A235,PriceTable,2,0)+IF(BasisNumber&lt;&gt;1,VLOOKUP($A235,BasisTable,2,0),0)+I$1)/(1-I$2))</f>
        <v>68.4434169039769</v>
      </c>
      <c r="J235" s="1568" t="n">
        <f aca="false">IF(Assumptions!$L$25=4,VLOOKUP($A235,'Henwood Reference'!$E$9:$R$320,10),(VLOOKUP($A235,PriceTable,3,0)+IF(BasisNumber&lt;&gt;1,VLOOKUP($A235,BasisTable,2,0),0)+J$1)/(1-J$2))</f>
        <v>68.4434169039769</v>
      </c>
      <c r="K235" s="1568" t="n">
        <f aca="false">IF(Assumptions!$L$25=4,VLOOKUP($A235,'Henwood Reference'!$E$9:$R$320,10),(VLOOKUP($A235,PriceTable,4,0)+IF(BasisNumber&lt;&gt;1,VLOOKUP($A235,BasisTable,2,0),0)+K$1)/(1-K$2))</f>
        <v>68.4434169039769</v>
      </c>
      <c r="L235" s="1523" t="n">
        <f aca="false">IF(Assumptions!$L$25=4,VLOOKUP($A235,'Henwood Reference'!$E$9:$R$320,10),(VLOOKUP($A235,PriceTableWeekend,2,0)+IF(BasisNumber&lt;&gt;1,VLOOKUP($A235,BasisTable,2,0),0)+L$1)/(1-L$2))</f>
        <v>68.4434169039769</v>
      </c>
      <c r="M235" s="1568" t="n">
        <f aca="false">IF(Assumptions!$L$25=4,VLOOKUP($A235,'Henwood Reference'!$E$9:$R$320,10),(VLOOKUP($A235,PriceTableWeekend,3,0)+IF(BasisNumber&lt;&gt;1,VLOOKUP($A235,BasisTable,2,0),0)+M$1)/(1-M$2))</f>
        <v>68.4434169039769</v>
      </c>
      <c r="N235" s="1599" t="n">
        <f aca="false">IF(Assumptions!$L$25=4,VLOOKUP($A235,'Henwood Reference'!$E$9:$R$320,10),(VLOOKUP($A235,PriceTableWeekend,4,0)+IF(BasisNumber&lt;&gt;1,VLOOKUP($A235,BasisTable,2,0),0)+N$1)/(1-N$2))</f>
        <v>68.4434169039769</v>
      </c>
      <c r="O235" s="1568" t="n">
        <f aca="false">IF(Assumptions!$L$25=4,VLOOKUP($A235,'Henwood Reference'!$E$9:$R$320,11),(VLOOKUP($A235,PriceTableWeekend,6,0)+IF(BasisNumber&lt;&gt;1,VLOOKUP($A235,BasisTable,3,0),0)+O$1)/(1-O$2))</f>
        <v>33.5989216757328</v>
      </c>
      <c r="P235" s="1568" t="n">
        <f aca="false">IF(Assumptions!$L$25=4,VLOOKUP($A235,'Henwood Reference'!$E$9:$R$320,11),(VLOOKUP($A235,PriceTableWeekend,7,0)+IF(BasisNumber&lt;&gt;1,VLOOKUP($A235,BasisTable,3,0),0)+P$1)/(1-P$2))</f>
        <v>33.5989216757328</v>
      </c>
      <c r="Q235" s="1599" t="n">
        <f aca="false">IF(Assumptions!$L$25=4,VLOOKUP($A235,'Henwood Reference'!$E$9:$R$320,11),(VLOOKUP($A235,PriceTableWeekend,8,0)+IF(BasisNumber&lt;&gt;1,VLOOKUP($A235,BasisTable,3,0),0)+Q$1)/(1-Q$2))</f>
        <v>33.5989216757328</v>
      </c>
      <c r="R235" s="1568" t="n">
        <f aca="false">IF(Assumptions!$L$25=4,VLOOKUP($A235,'Henwood Reference'!$E$9:$R$320,11),(VLOOKUP($A235,PriceTable,6,0)+IF(BasisNumber&lt;&gt;1,VLOOKUP($A235,BasisTable,3,0),0)+R$1)/(1-R$2))</f>
        <v>33.5989216757328</v>
      </c>
      <c r="S235" s="1568" t="n">
        <f aca="false">IF(Assumptions!$L$25=4,VLOOKUP($A235,'Henwood Reference'!$E$9:$R$320,11),(VLOOKUP($A235,PriceTable,7,0)+IF(BasisNumber&lt;&gt;1,VLOOKUP($A235,BasisTable,3,0),0)+S$1)/(1-S$2))</f>
        <v>33.5989216757328</v>
      </c>
      <c r="T235" s="1600" t="n">
        <f aca="false">IF(Assumptions!$L$25=4,VLOOKUP($A235,'Henwood Reference'!$E$9:$R$320,11),(VLOOKUP($A235,PriceTable,8,0)+IF(BasisNumber&lt;&gt;1,VLOOKUP($A235,BasisTable,3,0),0)+T$1)/(1-T$2))</f>
        <v>33.5989216757328</v>
      </c>
      <c r="U235" s="1513" t="n">
        <f aca="false">VLOOKUP($A235,VolatilityTable,14)</f>
        <v>0.09</v>
      </c>
      <c r="V235" s="1513" t="n">
        <f aca="false">VLOOKUP($A235,VolatilityTable,15)</f>
        <v>0.1</v>
      </c>
      <c r="W235" s="1514" t="n">
        <f aca="false">VLOOKUP($A235,VolatilityTable,16)</f>
        <v>0.11</v>
      </c>
      <c r="X235" s="1513" t="n">
        <f aca="false">VLOOKUP($A235,VolatilityTable,14)</f>
        <v>0.09</v>
      </c>
      <c r="Y235" s="1513" t="n">
        <f aca="false">VLOOKUP($A235,VolatilityTable,15)</f>
        <v>0.1</v>
      </c>
      <c r="Z235" s="1514" t="n">
        <f aca="false">VLOOKUP($A235,VolatilityTable,16)</f>
        <v>0.11</v>
      </c>
      <c r="AA235" s="1513" t="n">
        <f aca="false">VLOOKUP($A235,VolatilityTable,18)</f>
        <v>0.09</v>
      </c>
      <c r="AB235" s="1513" t="n">
        <f aca="false">VLOOKUP($A235,VolatilityTable,19)</f>
        <v>0.11</v>
      </c>
      <c r="AC235" s="1514" t="n">
        <f aca="false">VLOOKUP($A235,VolatilityTable,20)</f>
        <v>0.13</v>
      </c>
      <c r="AD235" s="1513" t="n">
        <f aca="false">VLOOKUP($A235,VolatilityTable,18)</f>
        <v>0.09</v>
      </c>
      <c r="AE235" s="1513" t="n">
        <f aca="false">VLOOKUP($A235,VolatilityTable,19)</f>
        <v>0.11</v>
      </c>
      <c r="AF235" s="1514" t="n">
        <f aca="false">VLOOKUP($A235,VolatilityTable,20)</f>
        <v>0.13</v>
      </c>
      <c r="AG235" s="1513" t="n">
        <f aca="false">VLOOKUP($A235,VolatilityTable,22)</f>
        <v>-0.35</v>
      </c>
      <c r="AH235" s="1513" t="n">
        <f aca="false">VLOOKUP($A235,VolatilityTable,23)</f>
        <v>0.65</v>
      </c>
      <c r="AI235" s="1514" t="n">
        <f aca="false">VLOOKUP($A235,VolatilityTable,24)</f>
        <v>0.35</v>
      </c>
      <c r="AJ235" s="1513" t="n">
        <f aca="false">VLOOKUP($A235,VolatilityTable,22)</f>
        <v>-0.35</v>
      </c>
      <c r="AK235" s="1513" t="n">
        <f aca="false">VLOOKUP($A235,VolatilityTable,23)</f>
        <v>0.65</v>
      </c>
      <c r="AL235" s="1514" t="n">
        <f aca="false">VLOOKUP($A235,VolatilityTable,24)</f>
        <v>0.35</v>
      </c>
      <c r="AM235" s="1513" t="n">
        <f aca="false">VLOOKUP($A235,VolatilityTable,26)</f>
        <v>-0.01</v>
      </c>
      <c r="AN235" s="1513" t="n">
        <f aca="false">VLOOKUP($A235,VolatilityTable,27)</f>
        <v>0.16</v>
      </c>
      <c r="AO235" s="1514" t="n">
        <f aca="false">VLOOKUP($A235,VolatilityTable,28)</f>
        <v>0.01</v>
      </c>
      <c r="AP235" s="1513" t="n">
        <f aca="false">VLOOKUP($A235,VolatilityTable,26)</f>
        <v>-0.01</v>
      </c>
      <c r="AQ235" s="1513" t="n">
        <f aca="false">VLOOKUP($A235,VolatilityTable,27)</f>
        <v>0.16</v>
      </c>
      <c r="AR235" s="1515" t="n">
        <f aca="false">VLOOKUP($A235,VolatilityTable,28)</f>
        <v>0.01</v>
      </c>
      <c r="AS235" s="1581" t="n">
        <f aca="false">IF(CorrPeakOffPeakOverFlag,INDEX(CorrPeakOffPeakOver,C235),CorrPeakOffPeak)</f>
        <v>0.5</v>
      </c>
      <c r="AT235" s="594" t="e">
        <f aca="false">AX235-SUM(AU235:AW235)</f>
        <v>#VALUE!</v>
      </c>
      <c r="AU235" s="238" t="e">
        <f aca="false">IF(E235="",0,INT((F235-MOD(F235,7)-E235)/7)+1-IF(AW235,IF(WEEKDAY(D235)=7,1,0),0))</f>
        <v>#VALUE!</v>
      </c>
      <c r="AV235" s="238" t="e">
        <f aca="false">IF(E235="",0,INT((F235-MOD(F235-1,7)-E235)/7)+1-IF(AW235,IF(WEEKDAY(D235)=1,1,0),0))</f>
        <v>#VALUE!</v>
      </c>
      <c r="AW235" s="238" t="e">
        <f aca="false">IF(OR(E235="",D235="",D235&lt;BegDate,D235&gt;EndDate),0,1)</f>
        <v>#VALUE!</v>
      </c>
      <c r="AX235" s="238" t="n">
        <f aca="false">IF(E235="",0,F235-E235+1)</f>
        <v>31</v>
      </c>
      <c r="AY235" s="1582" t="n">
        <f aca="false">IF(E235="",0,MIN((1-(1-VLOOKUP(B235,MAIN!$AA$7:$AM$28,C235+1))*(1-VLOOKUP(B235,MAIN!$AA$33:$AM$54,C235+1))),1))</f>
        <v>0.03</v>
      </c>
      <c r="AZ235" s="1519" t="e">
        <v>#VALUE!</v>
      </c>
      <c r="BA235" s="1520" t="e">
        <v>#VALUE!</v>
      </c>
      <c r="BB235" s="1520" t="e">
        <v>#VALUE!</v>
      </c>
      <c r="BC235" s="1583" t="e">
        <v>#VALUE!</v>
      </c>
      <c r="BD235" s="1522" t="e">
        <v>#VALUE!</v>
      </c>
      <c r="BE235" s="1523" t="e">
        <v>#VALUE!</v>
      </c>
      <c r="BF235" s="1523" t="e">
        <v>#VALUE!</v>
      </c>
      <c r="BG235" s="1584" t="e">
        <v>#VALUE!</v>
      </c>
      <c r="BH235" s="1525" t="e">
        <v>#VALUE!</v>
      </c>
      <c r="BI235" s="1520" t="e">
        <v>#VALUE!</v>
      </c>
      <c r="BJ235" s="1520" t="e">
        <v>#VALUE!</v>
      </c>
      <c r="BK235" s="1583" t="e">
        <v>#VALUE!</v>
      </c>
      <c r="BL235" s="1522" t="e">
        <v>#VALUE!</v>
      </c>
      <c r="BM235" s="1523" t="e">
        <v>#VALUE!</v>
      </c>
      <c r="BN235" s="1523" t="e">
        <v>#VALUE!</v>
      </c>
      <c r="BO235" s="1523" t="e">
        <v>#VALUE!</v>
      </c>
      <c r="BP235" s="1525" t="e">
        <f aca="false">SUM(AZ235:BB235)</f>
        <v>#VALUE!</v>
      </c>
      <c r="BQ235" s="1529" t="e">
        <f aca="false">SUM(AZ235:BC235)</f>
        <v>#VALUE!</v>
      </c>
      <c r="BR235" s="1519" t="e">
        <f aca="false">SUM(BH235:BJ235)</f>
        <v>#VALUE!</v>
      </c>
      <c r="BS235" s="1529" t="e">
        <f aca="false">SUM(BH235:BK235)</f>
        <v>#VALUE!</v>
      </c>
      <c r="BT235" s="1316" t="n">
        <f aca="false">(IF(OVolType&lt;&gt;2,A235+14,IF(OptExpDateShift,ShiftBack(A235,OptExpDateShift,D234),A235))-DateToday)/365.25</f>
        <v>18.2121834360027</v>
      </c>
      <c r="BU235" s="1585" t="e">
        <f aca="false">IF(BQ235,IF(OPriceCurve,IF(OBuySell=OCallPut,I235/(1-AY235),K235/(1-AY235)),J235/(1-AY235))*BD235,0)</f>
        <v>#VALUE!</v>
      </c>
      <c r="BV235" s="1316" t="e">
        <f aca="false">IF(BQ235,IF(OPriceCurve,IF(OBuySell=OCallPut,L235/(1-AY235),N235/(1-AY235)),M235/(1-AY235))*BE235,0)</f>
        <v>#VALUE!</v>
      </c>
      <c r="BW235" s="1316" t="e">
        <f aca="false">IF(BQ235,IF(OPriceCurve,IF(OBuySell=OCallPut,O235/(1-AY235),Q235/(1-AY235)),P235/(1-AY235))*BF235,0)</f>
        <v>#VALUE!</v>
      </c>
      <c r="BX235" s="1316" t="e">
        <f aca="false">IF(BQ235,IF(OPriceCurve,IF(OBuySell=OCallPut,R235/(1-AY235),T235/(1-AY235)),S235/(1-AY235))*BG235,0)</f>
        <v>#VALUE!</v>
      </c>
      <c r="BY235" s="1316" t="e">
        <f aca="false">IF(BP235,(BU235*AZ235+BV235*BA235+BW235*BB235)/BP235,0)</f>
        <v>#VALUE!</v>
      </c>
      <c r="BZ235" s="1316" t="e">
        <f aca="false">IF(BQ235,(BY235*BP235+BX235*BC235)/BQ235,0)</f>
        <v>#VALUE!</v>
      </c>
      <c r="CA235" s="1531" t="e">
        <f aca="false">IF(BS235,IF(OPriceCurve,IF(OBuySell=OCallPut,I235/(1-AY235),K235/(1-AY235)),J235/(1-AY235))*BL235,0)</f>
        <v>#VALUE!</v>
      </c>
      <c r="CB235" s="1316" t="e">
        <f aca="false">IF(BS235,IF(OPriceCurve,IF(OBuySell=OCallPut,L235/(1-AY235),N235/(1-AY235)),M235/(1-AY235))*BM235,0)</f>
        <v>#VALUE!</v>
      </c>
      <c r="CC235" s="1316" t="e">
        <f aca="false">IF(BS235,IF(OPriceCurve,IF(OBuySell=OCallPut,O235/(1-AY235),Q235/(1-AY235)),P235/(1-AY235))*BN235,0)</f>
        <v>#VALUE!</v>
      </c>
      <c r="CD235" s="1316" t="e">
        <f aca="false">IF(BS235,IF(OPriceCurve,IF(OBuySell=OCallPut,R235/(1-AY235),T235/(1-AY235)),S235/(1-AY235))*BO235,0)</f>
        <v>#VALUE!</v>
      </c>
      <c r="CE235" s="1316" t="e">
        <f aca="false">IF(BR235,(BU235*BH235+BV235*BI235+BW235*BJ235)/BR235,0)</f>
        <v>#VALUE!</v>
      </c>
      <c r="CF235" s="1532" t="e">
        <f aca="false">IF(BS235,(CE235*BR235+CD235*BK235)/BS235,0)</f>
        <v>#VALUE!</v>
      </c>
      <c r="CG235" s="1586" t="e">
        <f aca="false">IF(OR(BQ235,BS235),IF(OVolType&lt;&gt;2,SQRT(IF(OVolOverMonthlyPeak,OVolOverMonthlyPeak,IF(OVolCurve,IF(OBuySell,U235,W235),V235))^2*(1-15/365.25/BT235)+IF(OVolOverDailyPeak,OVolOverDailyPeak,IF(OVolCurve,IF(OBuySell,AG235,AI235),AH235))^2*15/365.25/BT235),IF(OVolOverMonthlyPeak,OVolOverMonthlyPeak,IF(OVolCurve,IF(OBuySell,U235,W235),V235))),"")</f>
        <v>#VALUE!</v>
      </c>
      <c r="CH235" s="1587" t="e">
        <f aca="false">IF(OR(BQ235,BS235),IF(OVolType&lt;&gt;2,SQRT(IF(OVolOverMonthlyPeak,OVolOverMonthlyPeak,IF(OVolCurve,IF(OBuySell,X235,Z235),Y235))^2*(1-15/365.25/BT235)+IF(OVolOverDailyPeak,OVolOverDailyPeak,IF(OVolCurve,IF(OBuySell,AJ235,AL235),AK235))^2*15/365.25/BT235),IF(OVolOverMonthlyPeak,OVolOverMonthlyPeak,IF(OVolCurve,IF(OBuySell,X235,Z235),Y235))),"")</f>
        <v>#VALUE!</v>
      </c>
      <c r="CI235" s="1587" t="e">
        <f aca="false">IF(OR(BQ235,BS235),IF(OVolType&lt;&gt;2,SQRT(IF(OVolOverMonthlyPeak,OVolOverMonthlyPeak,IF(OVolCurve,IF(OBuySell,AA235,AC235),AB235))^2*(1-15/365.25/BT235)+IF(OVolOverDailyPeak,OVolOverDailyPeak,IF(OVolCurve,IF(OBuySell,AM235,AO235),AN235))^2*15/365.25/BT235),IF(OVolOverMonthlyPeak,OVolOverMonthlyPeak,IF(OVolCurve,IF(OBuySell,AA235,AC235),AB235))),"")</f>
        <v>#VALUE!</v>
      </c>
      <c r="CJ235" s="1587" t="e">
        <f aca="false">IF(BQ235,IF(BP235,SQRT(LN(1+((BU235*AZ235)^2*(EXP(CG235^2*BT235)-1)+(BV235*BA235)^2*(EXP(CH235^2*BT235)-1)+(BW235*BB235)^2*(EXP(CI235^2*BT235)-1)+2*BU235*AZ235*BV235*BA235*(EXP(CG235*CH235*BT235)-1)+2*BV235*BA235*BW235*BB235*(EXP(CH235*CI235*BT235)-1)+2*BW235*BB235*BU235*AZ235*(EXP(CI235*CG235*BT235)-1))/(BY235*BP235)^2)/BT235),0),"")</f>
        <v>#VALUE!</v>
      </c>
      <c r="CK235" s="1587" t="e">
        <f aca="false">IF(BS235,IF(BR235,SQRT(LN(1+((CA235*BH235)^2*(EXP(CG235^2*BT235)-1)+(CB235*BI235)^2*(EXP(CH235^2*BT235)-1)+(CC235*BJ235)^2*(EXP(CI235^2*BT235)-1)+2*CA235*BH235*CB235*BI235*(EXP(CG235*CH235*BT235)-1)+2*CB235*BI235*CC235*BJ235*(EXP(CH235*CI235*BT235)-1)+2*CC235*BJ235*CA235*BH235*(EXP(CI235*CG235*BT235)-1))/(CE235*BR235)^2)/BT235),0),"")</f>
        <v>#VALUE!</v>
      </c>
      <c r="CL235" s="1587" t="e">
        <f aca="false">IF(OR(BQ235,BS235),IF(OVolType&lt;&gt;2,SQRT(IF(OVolOverMonthlyOffPeak,OVolOverMonthlyOffPeak,IF(OVolCurve,IF(OBuySell,AD235,AF235),AE235))^2*(1-15/365.25/BT235)+IF(OVolOverDailyOffPeak,OVolOverDailyOffPeak,IF(OVolCurve,IF(OBuySell,AP235,AR235),AQ235))^2*15/365.25/BT235),IF(OVolOverMonthlyOffPeak,OVolOverMonthlyOffPeak,IF(OVolCurve,IF(OBuySell,AD235,AF235),AE235))),"")</f>
        <v>#VALUE!</v>
      </c>
      <c r="CM235" s="1587" t="e">
        <f aca="false">IF(BQ235,SQRT(LN(1+((BY235*BP235)^2*(EXP(CJ235^2*BT235)-1)+(BX235*BC235)^2*(EXP(CL235^2*BT235)-1)+2*BY235*BP235*BX235*BC235*(EXP(AS235*CJ235*CL235*BT235)-1))/(BY235*BP235+BX235*BC235)^2)/BT235),"")</f>
        <v>#VALUE!</v>
      </c>
      <c r="CN235" s="1588" t="e">
        <f aca="false">IF(BS235,SQRT(LN(1+((CE235*BR235)^2*(EXP(CK235^2*BT235)-1)+(CD235*BK235)^2*(EXP(CL235^2*BT235)-1)+2*CE235*BR235*CD235*BK235*(EXP(AS235*CK235*CL235*BT235)-1))/(CE235*BR235+CD235*BK235)^2)/BT235),"")</f>
        <v>#VALUE!</v>
      </c>
      <c r="CO235" s="1531" t="e">
        <f aca="false">IF(OR(BQ235,BS235),VLOOKUP(A235,GasTable,13)*HeatRatePeak*(1+VLOOKUP($B235,HeatRateDegradation,$C235+1))/1000,0)</f>
        <v>#VALUE!</v>
      </c>
      <c r="CP235" s="1316" t="e">
        <f aca="false">IF(OR(BQ235,BS235),VLOOKUP(A235,GasTable,13)*HeatRatePeak*(1+VLOOKUP($B235,HeatRateDegradation,$C235+1))/1000,0)</f>
        <v>#VALUE!</v>
      </c>
      <c r="CQ235" s="1316" t="e">
        <f aca="false">IF(OR(BQ235,BS235),VLOOKUP(A235,GasTable,13)*IF(EV235,HeatRatePeak,HeatRateOffPeak)*(1+VLOOKUP($B235,HeatRateDegradation,$C235+1))/1000,0)</f>
        <v>#VALUE!</v>
      </c>
      <c r="CR235" s="1316" t="e">
        <f aca="false">IF(OR(BQ235,BS235),VLOOKUP(A235,GasTable,13)*IF(EW235,HeatRatePeak,HeatRateOffPeak)*(1+VLOOKUP($B235,HeatRateDegradation,$C235+1))/1000,0)</f>
        <v>#VALUE!</v>
      </c>
      <c r="CS235" s="1589" t="e">
        <f aca="false">IF(BQ235,(CO235*AZ235+CP235*BA235+CQ235*BB235+CR235*BC235)/BQ235,0)</f>
        <v>#VALUE!</v>
      </c>
      <c r="CT235" s="1316" t="e">
        <f aca="false">IF(BS235,CO235,0)</f>
        <v>#VALUE!</v>
      </c>
      <c r="CU235" s="1590" t="e">
        <f aca="false">IF(OR(BQ235,BS235),VLOOKUP(A235,GasTable,14),"")</f>
        <v>#VALUE!</v>
      </c>
      <c r="CV235" s="1568" t="e">
        <f aca="false">IF(OR(BQ235,BS235),IF(CorrPowerGasOverFlag,INDEX(CorrPowerGasOver,C235),CorrPowerGas),"")</f>
        <v>#VALUE!</v>
      </c>
      <c r="CW235" s="1316" t="e">
        <f aca="false">IF(OR($BQ235,$BS235),SpreadOptPowerMargin,0)*((1+Assumptions!$C$26)^($B235-YEAR(Assumptions!$C$17)))</f>
        <v>#VALUE!</v>
      </c>
      <c r="CX235" s="1316" t="e">
        <f aca="false">IF(OR($BQ235,$BS235),SpreadOptPowerMargin,0)*((1+Assumptions!$C$26)^($B235-YEAR(Assumptions!$C$17)))</f>
        <v>#VALUE!</v>
      </c>
      <c r="CY235" s="1316" t="e">
        <f aca="false">IF(OR($BQ235,$BS235),SpreadOptPowerMargin,0)*((1+Assumptions!$C$26)^($B235-YEAR(Assumptions!$C$17)))</f>
        <v>#VALUE!</v>
      </c>
      <c r="CZ235" s="1316" t="e">
        <f aca="false">IF(OR($BQ235,$BS235),SpreadOptPowerMargin,0)*((1+Assumptions!$C$26)^($B235-YEAR(Assumptions!$C$17)))</f>
        <v>#VALUE!</v>
      </c>
      <c r="DA235" s="1591" t="e">
        <f aca="false">IF(OR(BQ235,BS235),(CW235*(AZ235+BH235)+CX235*(BA235+BI235)+CY235*(BB235+BJ235)+CZ235*(BC235+BK235))/(BQ235+BS235),0)</f>
        <v>#VALUE!</v>
      </c>
      <c r="DB235" s="1592" t="e">
        <f aca="false">IF(OR(BQ235,BS235),CG235+IF(OVolSmile,VLOOKUP(MAX(-5,CO235+CW235-BU235),IF(OVolSmile=1,VolSmileBook,VolSmileModel),2),0),"")</f>
        <v>#VALUE!</v>
      </c>
      <c r="DC235" s="1592" t="e">
        <f aca="false">IF(OR(BQ235,BS235),CH235+IF(OVolSmile,VLOOKUP(MAX(-5,CP235+CW235-BV235),IF(OVolSmile=1,VolSmileBook,VolSmileModel),2),0),"")</f>
        <v>#VALUE!</v>
      </c>
      <c r="DD235" s="1592" t="e">
        <f aca="false">IF(OR(BQ235,BS235),CI235+IF(OVolSmile,VLOOKUP(MAX(-5,CQ235+CW235-BW235),IF(OVolSmile=1,VolSmileBook,VolSmileModel),2),0),"")</f>
        <v>#VALUE!</v>
      </c>
      <c r="DE235" s="1592" t="e">
        <f aca="false">IF(OR(BQ235,BS235),CL235+IF(OVolSmile,VLOOKUP(MAX(-5,CR235+CZ235-BX235),IF(OVolSmile=1,VolSmileBook,VolSmileModel),2),0),"")</f>
        <v>#VALUE!</v>
      </c>
      <c r="DF235" s="1592" t="e">
        <f aca="false">IF(BQ235,CM235+IF(OVolSmile,VLOOKUP(MAX(-5,CS235+DA235-BZ235),IF(OVolSmile=1,VolSmileBook,VolSmileModel),2),0),"")</f>
        <v>#VALUE!</v>
      </c>
      <c r="DG235" s="1593" t="e">
        <f aca="false">IF(BS235,CN235+IF(OVolSmile,VLOOKUP(MAX(-5,CT235+DA235-CF235),IF(OVolSmile=1,VolSmileBook,VolSmileModel),2),0),"")</f>
        <v>#VALUE!</v>
      </c>
      <c r="DH235" s="1316" t="e">
        <f aca="false">IF(AND(BU235&gt;0,CO235&gt;0,DB235&gt;0,CU235&gt;0),newSPRDOPT(BU235,CO235,CW235,0,DB235,CU235,CV235,BT235*365.25,OCallPut,0),0)</f>
        <v>#VALUE!</v>
      </c>
      <c r="DI235" s="1316" t="e">
        <f aca="false">IF(AND(BV235&gt;0,CP235&gt;0,DC235&gt;0,CU235&gt;0),newSPRDOPT(BV235,CP235,CX235,0,DC235,CU235,CV235,BT235*365.25,OCallPut,0),0)</f>
        <v>#VALUE!</v>
      </c>
      <c r="DJ235" s="1316" t="e">
        <f aca="false">IF(AND(BW235&gt;0,CQ235&gt;0,DD235&gt;0,CU235&gt;0),newSPRDOPT(BW235,CQ235,CY235,0,DD235,CU235,CV235,BT235*365.25,OCallPut,0),0)</f>
        <v>#VALUE!</v>
      </c>
      <c r="DK235" s="1316" t="e">
        <f aca="false">IF(AND(BX235&gt;0,CR235&gt;0,DE235&gt;0,CU235&gt;0),newSPRDOPT(BX235,CR235,CZ235,0,DE235,CU235,CV235,BT235*365.25,OCallPut,0),0)</f>
        <v>#VALUE!</v>
      </c>
      <c r="DL235" s="1316" t="e">
        <f aca="false">IF(OVolType,IF(AND(BZ235&gt;0,CS235&gt;0,DF235&gt;0,CU235&gt;0),newSPRDOPT(BZ235,CS235,DA235,0,DF235,CU235,CV235,BT235*365.25,OCallPut,0),0),IF(BQ235,(DH235*AZ235+DI235*BA235+DJ235*BB235+DK235*BC235)/BQ235,0))</f>
        <v>#VALUE!</v>
      </c>
      <c r="DM235" s="1316"/>
      <c r="DN235" s="1316"/>
      <c r="DO235" s="1316"/>
      <c r="DP235" s="1316"/>
      <c r="DQ235" s="1316"/>
      <c r="DR235" s="1316"/>
      <c r="DS235" s="1316"/>
      <c r="DT235" s="1316"/>
      <c r="DU235" s="1316"/>
      <c r="DV235" s="1316"/>
      <c r="DW235" s="1594" t="e">
        <f aca="false">IF(AND(BW235&gt;0,CT235&gt;0,DD235&gt;0,CU235&gt;0),newSPRDOPT(BW235,CT235,CY235,0,DD235,CU235,CV235,BT235*365.25,OCallPut,0),0)</f>
        <v>#VALUE!</v>
      </c>
      <c r="DX235" s="1316" t="e">
        <f aca="false">IF(AND(BX235&gt;0,CT235&gt;0,DE235&gt;0,CU235&gt;0),newSPRDOPT(BX235,CT235,CZ235,0,DE235,CU235,CV235,BT235*365.25,OCallPut,0),0)</f>
        <v>#VALUE!</v>
      </c>
      <c r="DY235" s="1591" t="e">
        <f aca="false">IF(BS235,(DH235*BH235+DI235*BI235+DW235*BJ235+DX235*BK235)/BS235,0)</f>
        <v>#VALUE!</v>
      </c>
      <c r="DZ235" s="1551" t="e">
        <f aca="false">DH235*AZ235</f>
        <v>#VALUE!</v>
      </c>
      <c r="EA235" s="1551" t="e">
        <f aca="false">DI235*BA235</f>
        <v>#VALUE!</v>
      </c>
      <c r="EB235" s="1551" t="e">
        <f aca="false">DJ235*BB235</f>
        <v>#VALUE!</v>
      </c>
      <c r="EC235" s="1551" t="e">
        <f aca="false">DK235*BC235</f>
        <v>#VALUE!</v>
      </c>
      <c r="ED235" s="1551" t="e">
        <f aca="false">DL235*BQ235</f>
        <v>#VALUE!</v>
      </c>
      <c r="EE235" s="1595" t="e">
        <f aca="false">IF(BQ235,IF(OCallPut,IF(BU235&gt;(CO235+CW235),BU235-(CO235+CW235),0),IF((CO235+CW235)&gt;BU235,(CO235+CW235)-BU235,0))*AZ235,0)</f>
        <v>#VALUE!</v>
      </c>
      <c r="EF235" s="1596" t="e">
        <f aca="false">IF(BQ235,IF(OCallPut,IF(BV235&gt;(CP235+CX235),BV235-(CP235+CX235),0),IF((CP235+CX235)&gt;BV235,(CP235+CX235)-BV235,0))*BA235,0)</f>
        <v>#VALUE!</v>
      </c>
      <c r="EG235" s="1596" t="e">
        <f aca="false">IF(BQ235,IF(OCallPut,IF(BW235&gt;(CQ235+CY235),BW235-(CQ235+CY235),0),IF((CQ235+CY235)&gt;BW235,(CQ235+CY235)-BW235,0))*BB235,0)</f>
        <v>#VALUE!</v>
      </c>
      <c r="EH235" s="1596" t="e">
        <f aca="false">IF(BQ235,IF(OCallPut,IF(BX235&gt;(CR235+CZ235),BX235-(CR235+CZ235),0),IF((CR235+CZ235)&gt;BX235,(CR235+CZ235)-BX235,0))*BC235,0)</f>
        <v>#VALUE!</v>
      </c>
      <c r="EI235" s="1597" t="e">
        <f aca="false">IF(BQ235,IF(OVolType,IF(OCallPut,IF(BZ235&gt;(CS235+DA235),BZ235-(CS235+DA235),0),IF((CS235+DA235)&gt;BZ235,(CS235+DA235)-BZ235,0))*BQ235,SUM(EE235:EH235)),0)</f>
        <v>#VALUE!</v>
      </c>
      <c r="EJ235" s="1595" t="e">
        <f aca="false">DZ235-EE235</f>
        <v>#VALUE!</v>
      </c>
      <c r="EK235" s="1596" t="e">
        <f aca="false">EA235-EF235</f>
        <v>#VALUE!</v>
      </c>
      <c r="EL235" s="1596" t="e">
        <f aca="false">EB235-EG235</f>
        <v>#VALUE!</v>
      </c>
      <c r="EM235" s="1596" t="e">
        <f aca="false">EC235-EH235</f>
        <v>#VALUE!</v>
      </c>
      <c r="EN235" s="1597" t="e">
        <f aca="false">ED235-EI235</f>
        <v>#VALUE!</v>
      </c>
      <c r="EO235" s="1551" t="e">
        <f aca="false">DH235*BH235</f>
        <v>#VALUE!</v>
      </c>
      <c r="EP235" s="1551" t="e">
        <f aca="false">DI235*BI235</f>
        <v>#VALUE!</v>
      </c>
      <c r="EQ235" s="1551" t="e">
        <f aca="false">DW235*BJ235</f>
        <v>#VALUE!</v>
      </c>
      <c r="ER235" s="1551" t="e">
        <f aca="false">DX235*BK235</f>
        <v>#VALUE!</v>
      </c>
      <c r="ES235" s="1551" t="e">
        <f aca="false">DY235*BS235</f>
        <v>#VALUE!</v>
      </c>
      <c r="ET235" s="1566" t="e">
        <f aca="false">IF(EI235,IF(OCallPut,IF(CA235&gt;(CT235+CW235),CA235-(CT235+CW235),0),IF((CT235+CW235)&gt;CA235,(CT235+CW235)-CA235,0))*BH235,0)</f>
        <v>#VALUE!</v>
      </c>
      <c r="EU235" s="1551" t="e">
        <f aca="false">IF(EI235,IF(OCallPut,IF(CB235&gt;(CT235+CX235),CB235-(CT235+CX235),0),IF((CT235+CX235)&gt;CB235,(CT235+CX235)-CB235,0))*BI235,0)</f>
        <v>#VALUE!</v>
      </c>
      <c r="EV235" s="1551" t="e">
        <f aca="false">IF(EI235,IF(OCallPut,IF(CC235&gt;(CT235+CY235),CC235-(CT235+CY235),0),IF((CT235+CY235)&gt;CC235,(CT235+CY235)-CC235,0))*BJ235,0)</f>
        <v>#VALUE!</v>
      </c>
      <c r="EW235" s="1551" t="e">
        <f aca="false">IF(EI235,IF(OCallPut,IF(CD235&gt;(CT235+CZ235),CD235-(CT235+CZ235),0),IF((CT235+CZ235)&gt;CD235,(CT235+CZ235)-CD235,0))*BK235,0)</f>
        <v>#VALUE!</v>
      </c>
      <c r="EX235" s="1558" t="e">
        <f aca="false">IF(EI235,SUM(ET235:EW235),0)</f>
        <v>#VALUE!</v>
      </c>
      <c r="EY235" s="1551" t="e">
        <f aca="false">EO235-ET235</f>
        <v>#VALUE!</v>
      </c>
      <c r="EZ235" s="1551" t="e">
        <f aca="false">EP235-EU235</f>
        <v>#VALUE!</v>
      </c>
      <c r="FA235" s="1551" t="e">
        <f aca="false">EQ235-EV235</f>
        <v>#VALUE!</v>
      </c>
      <c r="FB235" s="1551" t="e">
        <f aca="false">ER235-EW235</f>
        <v>#VALUE!</v>
      </c>
      <c r="FC235" s="1551" t="e">
        <f aca="false">ES235-EX235</f>
        <v>#VALUE!</v>
      </c>
      <c r="FD235" s="1525" t="n">
        <f aca="false">IF(AX235,IF(VLOOKUP(C235,MAIN!$L$17:$M$28,2)="Yes",VLOOKUP(CALC!B235,MAIN!$H$17:$I$20,2),0),0)</f>
        <v>0</v>
      </c>
      <c r="FE235" s="1552" t="e">
        <f aca="false">$FD235*16*AT235*(1-$AY235)</f>
        <v>#VALUE!</v>
      </c>
      <c r="FF235" s="1553" t="e">
        <f aca="false">$FD235*16*AU235*(1-$AY235)</f>
        <v>#VALUE!</v>
      </c>
      <c r="FG235" s="1553" t="e">
        <f aca="false">$FD235*16*(AV235+AW235)*(1-$AY235)</f>
        <v>#VALUE!</v>
      </c>
      <c r="FH235" s="1554" t="n">
        <f aca="false">$FD235*8*AX235*(1-$AY235)</f>
        <v>0</v>
      </c>
      <c r="FI235" s="1555" t="n">
        <f aca="false">IF(AX235,VLOOKUP(CALC!B235,MAIN!$H$17:$K$20,4),0)</f>
        <v>0</v>
      </c>
      <c r="FJ235" s="1553" t="e">
        <f aca="false">SUM(FE235:FH235)</f>
        <v>#VALUE!</v>
      </c>
      <c r="FK235" s="1556" t="e">
        <f aca="false">FI235*FJ235</f>
        <v>#VALUE!</v>
      </c>
      <c r="FL235" s="1551" t="e">
        <f aca="false">IF($EI235&gt;0,MIN(FE235,AZ235*(1+VLOOKUP($C235,WeatherCapacityAdjustment,2))),0)</f>
        <v>#VALUE!</v>
      </c>
      <c r="FM235" s="1551" t="e">
        <f aca="false">IF($EI235&gt;0,MIN(FF235,BA235*(1+VLOOKUP($C235,WeatherCapacityAdjustment,2))),0)</f>
        <v>#VALUE!</v>
      </c>
      <c r="FN235" s="1551" t="e">
        <f aca="false">IF($EI235&gt;0,MIN(FG235,BB235*(1+VLOOKUP($C235,WeatherCapacityAdjustment,2))),0)</f>
        <v>#VALUE!</v>
      </c>
      <c r="FO235" s="1564" t="e">
        <f aca="false">IF($EI235&gt;0,MIN(FH235,BC235*(1+VLOOKUP($C235,WeatherCapacityAdjustment,3))),0)</f>
        <v>#VALUE!</v>
      </c>
      <c r="FP235" s="1551" t="e">
        <f aca="false">IF(ET235&gt;0,MIN(FE235-FL235,BH235*(1+VLOOKUP($C235,WeatherCapacityAdjustment,2))),0)</f>
        <v>#VALUE!</v>
      </c>
      <c r="FQ235" s="1551" t="e">
        <f aca="false">IF(EU235&gt;0,MIN(FF235-FM235,BI235*(1+VLOOKUP($C235,WeatherCapacityAdjustment,2))),0)</f>
        <v>#VALUE!</v>
      </c>
      <c r="FR235" s="1551" t="e">
        <f aca="false">IF(EV235&gt;0,MIN(FG235-FN235,BJ235*(1+VLOOKUP($C235,WeatherCapacityAdjustment,2))),0)</f>
        <v>#VALUE!</v>
      </c>
      <c r="FS235" s="1558" t="e">
        <f aca="false">IF(EW235&gt;0,MIN(FH235-FO235,BK235*(1+VLOOKUP($C235,WeatherCapacityAdjustment,3))),0)</f>
        <v>#VALUE!</v>
      </c>
      <c r="FT235" s="1566" t="e">
        <f aca="false">IF(AND(Assumptions!$H$71="Yes",A235&gt;=Assumptions!$H$72,A235&lt;=Assumptions!$H$73),0,IF(AND($A235&gt;=Assumptions!$C$17,$A235&lt;=Assumptions!$C$18),MAX(AZ235*(1+VLOOKUP($C235,WeatherCapacityAdjustment,2))-FL235,0),0))</f>
        <v>#VALUE!</v>
      </c>
      <c r="FU235" s="1551" t="e">
        <f aca="false">IF(AND(Assumptions!$H$71="Yes",A235&gt;=Assumptions!$H$72,A235&lt;=Assumptions!$H$73),0,IF(AND($A235&gt;=Assumptions!$C$17,$A235&lt;=Assumptions!$C$18),MAX(BA235*(1+VLOOKUP($C235,WeatherCapacityAdjustment,2))-FM235,0),0))</f>
        <v>#VALUE!</v>
      </c>
      <c r="FV235" s="1551" t="e">
        <f aca="false">IF(AND(Assumptions!$H$71="Yes",A235&gt;=Assumptions!$H$72,A235&lt;=Assumptions!$H$73),0,IF(AND($A235&gt;=Assumptions!$C$17,$A235&lt;=Assumptions!$C$18),MAX(BB235*(1+VLOOKUP($C235,WeatherCapacityAdjustment,2))-FN235,0),0))</f>
        <v>#VALUE!</v>
      </c>
      <c r="FW235" s="1564" t="e">
        <f aca="false">IF(AND(Assumptions!$H$71="Yes",A235&gt;=Assumptions!$H$72,A235&lt;=Assumptions!$H$73),0,IF(AND($A235&gt;=Assumptions!$C$17,$A235&lt;=Assumptions!$C$18),MAX(BC235*(1+VLOOKUP($C235,WeatherCapacityAdjustment,3))-FO235,0),0))</f>
        <v>#VALUE!</v>
      </c>
      <c r="FX235" s="1569" t="e">
        <f aca="false">IF(AND(Assumptions!$H$71="Yes",A235&gt;=Assumptions!$H$72,A235&lt;=Assumptions!$H$73),0,IF(ET235&gt;0,MAX(BH235*(1+VLOOKUP($C235,WeatherCapacityAdjustment,2))-FP235,0),0))</f>
        <v>#VALUE!</v>
      </c>
      <c r="FY235" s="1551" t="e">
        <f aca="false">IF(AND(Assumptions!$H$71="Yes",A235&gt;=Assumptions!$H$72,A235&lt;=Assumptions!$H$73),0,IF(EU235&gt;0,MAX(BI235*(1+VLOOKUP($C235,WeatherCapacityAdjustment,3))-FQ235,0),0))</f>
        <v>#VALUE!</v>
      </c>
      <c r="FZ235" s="1551" t="e">
        <f aca="false">IF(AND(Assumptions!$H$71="Yes",A235&gt;=Assumptions!$H$72,A235&lt;=Assumptions!$H$73),0,IF(EV235&gt;0,MAX(BJ235*(1+VLOOKUP($C235,WeatherCapacityAdjustment,2))-FR235,0),0))</f>
        <v>#VALUE!</v>
      </c>
      <c r="GA235" s="1564" t="e">
        <f aca="false">IF(AND(Assumptions!$H$71="Yes",A235&gt;=Assumptions!$H$72,A235&lt;=Assumptions!$H$73),0,IF(EW235&gt;0,MAX(BK235*(1+VLOOKUP($C235,WeatherCapacityAdjustment,2))-FS235,0),0))</f>
        <v>#VALUE!</v>
      </c>
      <c r="GB235" s="1551" t="e">
        <f aca="false">SUM(FT235:GA235)</f>
        <v>#VALUE!</v>
      </c>
      <c r="GC235" s="1563" t="e">
        <f aca="false">+IF(SUM(FT235:GA235)=0,0,(SUMPRODUCT(BU235:BX235,FT235:FW235)+SUMPRODUCT(CA235:CD235,FX235:GA235))/SUM(FT235:GA235))</f>
        <v>#VALUE!</v>
      </c>
      <c r="GD235" s="1551" t="e">
        <f aca="false">(FT235*BU235+FX235*CA235+FU235*BV235+FY235*CB235+FV235*BW235+FZ235*CC235+FW235*BX235+GA235*CD235)</f>
        <v>#VALUE!</v>
      </c>
      <c r="GE235" s="1561" t="e">
        <f aca="false">+IF(BQ235,((FL235+FM235+FT235+FU235)*HeatRatePeak/1000*(1+VLOOKUP($C235,WeatherHeatRateAdjustment,2))+(FN235+FV235)*IF(EV235&gt;0,HeatRatePeak,HeatRateOffPeak)/1000*(1+VLOOKUP($C235,WeatherHeatRateAdjustment,2))+(FO235+FW235)*IF(EW235&gt;0,HeatRatePeak,HeatRateOffPeak)/1000*(1+VLOOKUP($C235,WeatherHeatRateAdjustment,3)))*(1+VLOOKUP($B235,HeatRateDegradation,$C235+1)),0)</f>
        <v>#VALUE!</v>
      </c>
      <c r="GF235" s="1562" t="e">
        <f aca="false">IF(BQ235,((FP235+FQ235+FR235+FX235+FY235+FZ235)*HeatRatePeak/1000*(1+VLOOKUP($C235,WeatherHeatRateAdjustment,2))+(FS235+GA235)*HeatRatePeak/1000*(1+VLOOKUP($C235,WeatherHeatRateAdjustment,3)))*(1+VLOOKUP($B235,HeatRateDegradation,$C235+1)),0)</f>
        <v>#VALUE!</v>
      </c>
      <c r="GG235" s="1563" t="e">
        <f aca="false">IF(BQ235,VLOOKUP(A235,GasTable,13),0)</f>
        <v>#VALUE!</v>
      </c>
      <c r="GH235" s="1564" t="e">
        <f aca="false">(GE235+GF235)*GG235</f>
        <v>#VALUE!</v>
      </c>
      <c r="GI235" s="1569" t="e">
        <f aca="false">GB235</f>
        <v>#VALUE!</v>
      </c>
      <c r="GJ235" s="1598" t="e">
        <f aca="false">+DA235</f>
        <v>#VALUE!</v>
      </c>
      <c r="GK235" s="1558" t="e">
        <f aca="false">+GI235*GJ235</f>
        <v>#VALUE!</v>
      </c>
      <c r="GL235" s="1566" t="e">
        <f aca="false">MAX(FE235-FL235-FP235,0)</f>
        <v>#VALUE!</v>
      </c>
      <c r="GM235" s="1551" t="e">
        <f aca="false">MAX(FF235-FM235-FQ235,0)</f>
        <v>#VALUE!</v>
      </c>
      <c r="GN235" s="1551" t="e">
        <f aca="false">MAX(FG235-FN235-FR235,0)</f>
        <v>#VALUE!</v>
      </c>
      <c r="GO235" s="1564" t="e">
        <f aca="false">MAX(FH235-FO235-FS235,0)</f>
        <v>#VALUE!</v>
      </c>
      <c r="GP235" s="1551" t="e">
        <f aca="false">SUM(GL235:GO235)</f>
        <v>#VALUE!</v>
      </c>
      <c r="GQ235" s="1563" t="e">
        <f aca="false">IF(SUM(GL235:GO235)=0,0,((GL235*BU235+GM235*BV235+GN235*BW235+GO235*BX235)/SUM(GL235:GO235)))</f>
        <v>#VALUE!</v>
      </c>
      <c r="GR235" s="1558" t="e">
        <f aca="false">(GL235*BU235+GM235*BV235+GN235*BW235+GO235*BX235)</f>
        <v>#VALUE!</v>
      </c>
      <c r="GS235" s="1566" t="n">
        <f aca="false">IF($A235&gt;=BegDate,Assumptions!$C$56*24*($A236-$A235)*(1-VLOOKUP($B235,MAIN!$AA$7:$AM$28,$C235+1))*(1-VLOOKUP($B235,MAIN!$AA$33:$AM$54,$C235+1)),0)*80/168</f>
        <v>257742.857142857</v>
      </c>
      <c r="GT235" s="286" t="n">
        <f aca="false">J235</f>
        <v>68.4434169039769</v>
      </c>
      <c r="GU235" s="286" t="n">
        <f aca="false">IF($A235&gt;=BegDate,VLOOKUP($A235,GasTable,13)+Assumptions!$C$58,0)</f>
        <v>3.47802410483539</v>
      </c>
      <c r="GV235" s="286" t="n">
        <f aca="false">GU235*Assumptions!$C$57/1000</f>
        <v>25.2156747600566</v>
      </c>
      <c r="GW235" s="1558" t="n">
        <f aca="false">IF(Assumptions!$C$60="Hourly",MAX(0,GS235*(GT235-GV235)),GS235*(GT235-GV235))</f>
        <v>11141641.7680087</v>
      </c>
      <c r="GX235" s="1566" t="n">
        <f aca="false">IF($A235&gt;=BegDate,Assumptions!$C$56*24*($A236-$A235)*(1-VLOOKUP($B235,MAIN!$AA$7:$AM$28,$C235+1))*(1-VLOOKUP($B235,MAIN!$AA$33:$AM$54,$C235+1)),0)*16/168</f>
        <v>51548.5714285714</v>
      </c>
      <c r="GY235" s="286" t="n">
        <f aca="false">M235</f>
        <v>68.4434169039769</v>
      </c>
      <c r="GZ235" s="286" t="n">
        <f aca="false">IF($A235&gt;=BegDate,VLOOKUP($A235,GasTable,13)+Assumptions!$C$58,0)</f>
        <v>3.47802410483539</v>
      </c>
      <c r="HA235" s="286" t="n">
        <f aca="false">GZ235*Assumptions!$C$57/1000</f>
        <v>25.2156747600566</v>
      </c>
      <c r="HB235" s="1558" t="n">
        <f aca="false">IF(Assumptions!$C$60="Hourly",MAX(0,GX235*(GY235-HA235)),GX235*(GY235-HA235))</f>
        <v>2228328.35360174</v>
      </c>
      <c r="HC235" s="1566" t="n">
        <f aca="false">IF($A235&gt;=BegDate,Assumptions!$C$56*24*($A236-$A235)*(1-VLOOKUP($B235,MAIN!$AA$7:$AM$28,$C235+1))*(1-VLOOKUP($B235,MAIN!$AA$33:$AM$54,$C235+1)),0)*16/168</f>
        <v>51548.5714285714</v>
      </c>
      <c r="HD235" s="286" t="n">
        <f aca="false">P235</f>
        <v>33.5989216757328</v>
      </c>
      <c r="HE235" s="286" t="n">
        <f aca="false">IF($A235&gt;=BegDate,VLOOKUP($A235,GasTable,13)+Assumptions!$C$58,0)</f>
        <v>3.47802410483539</v>
      </c>
      <c r="HF235" s="286" t="n">
        <f aca="false">HE235*Assumptions!$C$57/1000</f>
        <v>25.2156747600566</v>
      </c>
      <c r="HG235" s="1558" t="n">
        <f aca="false">IF(Assumptions!$C$60="Hourly",MAX(0,HC235*(HD235-HF235)),HC235*(HD235-HF235))</f>
        <v>432144.402436086</v>
      </c>
      <c r="HH235" s="1566" t="n">
        <f aca="false">IF($A235&gt;=BegDate,Assumptions!$C$56*24*($A236-$A235)*(1-VLOOKUP($B235,MAIN!$AA$7:$AM$28,$C235+1))*(1-VLOOKUP($B235,MAIN!$AA$33:$AM$54,$C235+1)),0)*56/168</f>
        <v>180420</v>
      </c>
      <c r="HI235" s="286" t="n">
        <f aca="false">S235</f>
        <v>33.5989216757328</v>
      </c>
      <c r="HJ235" s="286" t="n">
        <f aca="false">IF($A235&gt;=BegDate,VLOOKUP($A235,GasTable,13)+Assumptions!$C$58,0)</f>
        <v>3.47802410483539</v>
      </c>
      <c r="HK235" s="286" t="n">
        <f aca="false">HJ235*Assumptions!$C$57/1000</f>
        <v>25.2156747600566</v>
      </c>
      <c r="HL235" s="1558" t="n">
        <f aca="false">IF(Assumptions!$C$60="Hourly",MAX(0,HH235*(HI235-HK235)),HH235*(HI235-HK235))</f>
        <v>1512505.4085263</v>
      </c>
      <c r="HM235" s="1566" t="n">
        <f aca="false">IF(AND(Assumptions!$H$71="Yes",A235&gt;=Assumptions!$H$72,A235&lt;=Assumptions!$H$73),Assumptions!$H$74*Assumptions!$C$9*1000,0)</f>
        <v>0</v>
      </c>
      <c r="HN235" s="1551"/>
      <c r="HO235" s="1563"/>
      <c r="HP235" s="1563"/>
      <c r="HQ235" s="1563"/>
      <c r="HR235" s="1563"/>
      <c r="HS235" s="1563"/>
      <c r="HT235" s="1563"/>
      <c r="HU235" s="1563"/>
      <c r="HV235" s="1563"/>
      <c r="HW235" s="1563"/>
      <c r="HX235" s="1563"/>
      <c r="HY235" s="1563"/>
      <c r="HZ235" s="1563"/>
      <c r="IA235" s="1563"/>
      <c r="IB235" s="1563"/>
      <c r="IC235" s="1563"/>
      <c r="ID235" s="1563"/>
      <c r="IE235" s="1563"/>
      <c r="IF235" s="1563"/>
      <c r="IG235" s="1563"/>
      <c r="IH235" s="1563"/>
      <c r="II235" s="1610"/>
      <c r="IJ235" s="1309"/>
      <c r="IK235" s="1309"/>
    </row>
    <row r="236" customFormat="false" ht="12.75" hidden="false" customHeight="false" outlineLevel="0" collapsed="false">
      <c r="A236" s="1571" t="n">
        <f aca="false">EOMONTH(A235,0)+1</f>
        <v>43313</v>
      </c>
      <c r="B236" s="594" t="n">
        <f aca="false">+YEAR(A236)</f>
        <v>2018</v>
      </c>
      <c r="C236" s="238" t="n">
        <f aca="false">MONTH(A236)</f>
        <v>8</v>
      </c>
      <c r="D236" s="1572" t="e">
        <f aca="false">IF(E236="","",Holiday(B236,C236))</f>
        <v>#VALUE!</v>
      </c>
      <c r="E236" s="1573" t="n">
        <f aca="false">IF(OR(BegDate&gt;=A237,EndDate&lt;A236,AND(VolumeMonthlyOverFlag,INDEX(VolumeMonthlyOver,C236)=0),NOT(INDEX(MonthKnockOutTable,C236))),"",MAX(A236,BegDate))</f>
        <v>43313</v>
      </c>
      <c r="F236" s="1574" t="n">
        <f aca="false">IF(E236="","",MIN(A237-1,EndDate))</f>
        <v>43343</v>
      </c>
      <c r="G236" s="1575" t="n">
        <v>0</v>
      </c>
      <c r="H236" s="1576" t="n">
        <f aca="false">(1+G236/2)^(-2*(DATE(B237,C237,20)-DateToday)/365.25)</f>
        <v>1</v>
      </c>
      <c r="I236" s="1568" t="n">
        <f aca="false">IF(Assumptions!$L$25=4,VLOOKUP($A236,'Henwood Reference'!$E$9:$R$320,10),(VLOOKUP($A236,PriceTable,2,0)+IF(BasisNumber&lt;&gt;1,VLOOKUP($A236,BasisTable,2,0),0)+I$1)/(1-I$2))</f>
        <v>89.5470406335391</v>
      </c>
      <c r="J236" s="1568" t="n">
        <f aca="false">IF(Assumptions!$L$25=4,VLOOKUP($A236,'Henwood Reference'!$E$9:$R$320,10),(VLOOKUP($A236,PriceTable,3,0)+IF(BasisNumber&lt;&gt;1,VLOOKUP($A236,BasisTable,2,0),0)+J$1)/(1-J$2))</f>
        <v>89.5470406335391</v>
      </c>
      <c r="K236" s="1568" t="n">
        <f aca="false">IF(Assumptions!$L$25=4,VLOOKUP($A236,'Henwood Reference'!$E$9:$R$320,10),(VLOOKUP($A236,PriceTable,4,0)+IF(BasisNumber&lt;&gt;1,VLOOKUP($A236,BasisTable,2,0),0)+K$1)/(1-K$2))</f>
        <v>89.5470406335391</v>
      </c>
      <c r="L236" s="1523" t="n">
        <f aca="false">IF(Assumptions!$L$25=4,VLOOKUP($A236,'Henwood Reference'!$E$9:$R$320,10),(VLOOKUP($A236,PriceTableWeekend,2,0)+IF(BasisNumber&lt;&gt;1,VLOOKUP($A236,BasisTable,2,0),0)+L$1)/(1-L$2))</f>
        <v>89.5470406335391</v>
      </c>
      <c r="M236" s="1568" t="n">
        <f aca="false">IF(Assumptions!$L$25=4,VLOOKUP($A236,'Henwood Reference'!$E$9:$R$320,10),(VLOOKUP($A236,PriceTableWeekend,3,0)+IF(BasisNumber&lt;&gt;1,VLOOKUP($A236,BasisTable,2,0),0)+M$1)/(1-M$2))</f>
        <v>89.5470406335391</v>
      </c>
      <c r="N236" s="1599" t="n">
        <f aca="false">IF(Assumptions!$L$25=4,VLOOKUP($A236,'Henwood Reference'!$E$9:$R$320,10),(VLOOKUP($A236,PriceTableWeekend,4,0)+IF(BasisNumber&lt;&gt;1,VLOOKUP($A236,BasisTable,2,0),0)+N$1)/(1-N$2))</f>
        <v>89.5470406335391</v>
      </c>
      <c r="O236" s="1568" t="n">
        <f aca="false">IF(Assumptions!$L$25=4,VLOOKUP($A236,'Henwood Reference'!$E$9:$R$320,11),(VLOOKUP($A236,PriceTableWeekend,6,0)+IF(BasisNumber&lt;&gt;1,VLOOKUP($A236,BasisTable,3,0),0)+O$1)/(1-O$2))</f>
        <v>37.6568549143465</v>
      </c>
      <c r="P236" s="1568" t="n">
        <f aca="false">IF(Assumptions!$L$25=4,VLOOKUP($A236,'Henwood Reference'!$E$9:$R$320,11),(VLOOKUP($A236,PriceTableWeekend,7,0)+IF(BasisNumber&lt;&gt;1,VLOOKUP($A236,BasisTable,3,0),0)+P$1)/(1-P$2))</f>
        <v>37.6568549143465</v>
      </c>
      <c r="Q236" s="1599" t="n">
        <f aca="false">IF(Assumptions!$L$25=4,VLOOKUP($A236,'Henwood Reference'!$E$9:$R$320,11),(VLOOKUP($A236,PriceTableWeekend,8,0)+IF(BasisNumber&lt;&gt;1,VLOOKUP($A236,BasisTable,3,0),0)+Q$1)/(1-Q$2))</f>
        <v>37.6568549143465</v>
      </c>
      <c r="R236" s="1568" t="n">
        <f aca="false">IF(Assumptions!$L$25=4,VLOOKUP($A236,'Henwood Reference'!$E$9:$R$320,11),(VLOOKUP($A236,PriceTable,6,0)+IF(BasisNumber&lt;&gt;1,VLOOKUP($A236,BasisTable,3,0),0)+R$1)/(1-R$2))</f>
        <v>37.6568549143465</v>
      </c>
      <c r="S236" s="1568" t="n">
        <f aca="false">IF(Assumptions!$L$25=4,VLOOKUP($A236,'Henwood Reference'!$E$9:$R$320,11),(VLOOKUP($A236,PriceTable,7,0)+IF(BasisNumber&lt;&gt;1,VLOOKUP($A236,BasisTable,3,0),0)+S$1)/(1-S$2))</f>
        <v>37.6568549143465</v>
      </c>
      <c r="T236" s="1600" t="n">
        <f aca="false">IF(Assumptions!$L$25=4,VLOOKUP($A236,'Henwood Reference'!$E$9:$R$320,11),(VLOOKUP($A236,PriceTable,8,0)+IF(BasisNumber&lt;&gt;1,VLOOKUP($A236,BasisTable,3,0),0)+T$1)/(1-T$2))</f>
        <v>37.6568549143465</v>
      </c>
      <c r="U236" s="1513" t="n">
        <f aca="false">VLOOKUP($A236,VolatilityTable,14)</f>
        <v>0.09</v>
      </c>
      <c r="V236" s="1513" t="n">
        <f aca="false">VLOOKUP($A236,VolatilityTable,15)</f>
        <v>0.1</v>
      </c>
      <c r="W236" s="1514" t="n">
        <f aca="false">VLOOKUP($A236,VolatilityTable,16)</f>
        <v>0.11</v>
      </c>
      <c r="X236" s="1513" t="n">
        <f aca="false">VLOOKUP($A236,VolatilityTable,14)</f>
        <v>0.09</v>
      </c>
      <c r="Y236" s="1513" t="n">
        <f aca="false">VLOOKUP($A236,VolatilityTable,15)</f>
        <v>0.1</v>
      </c>
      <c r="Z236" s="1514" t="n">
        <f aca="false">VLOOKUP($A236,VolatilityTable,16)</f>
        <v>0.11</v>
      </c>
      <c r="AA236" s="1513" t="n">
        <f aca="false">VLOOKUP($A236,VolatilityTable,18)</f>
        <v>0.09</v>
      </c>
      <c r="AB236" s="1513" t="n">
        <f aca="false">VLOOKUP($A236,VolatilityTable,19)</f>
        <v>0.11</v>
      </c>
      <c r="AC236" s="1514" t="n">
        <f aca="false">VLOOKUP($A236,VolatilityTable,20)</f>
        <v>0.13</v>
      </c>
      <c r="AD236" s="1513" t="n">
        <f aca="false">VLOOKUP($A236,VolatilityTable,18)</f>
        <v>0.09</v>
      </c>
      <c r="AE236" s="1513" t="n">
        <f aca="false">VLOOKUP($A236,VolatilityTable,19)</f>
        <v>0.11</v>
      </c>
      <c r="AF236" s="1514" t="n">
        <f aca="false">VLOOKUP($A236,VolatilityTable,20)</f>
        <v>0.13</v>
      </c>
      <c r="AG236" s="1513" t="n">
        <f aca="false">VLOOKUP($A236,VolatilityTable,22)</f>
        <v>-0.35</v>
      </c>
      <c r="AH236" s="1513" t="n">
        <f aca="false">VLOOKUP($A236,VolatilityTable,23)</f>
        <v>3</v>
      </c>
      <c r="AI236" s="1514" t="n">
        <f aca="false">VLOOKUP($A236,VolatilityTable,24)</f>
        <v>0.35</v>
      </c>
      <c r="AJ236" s="1513" t="n">
        <f aca="false">VLOOKUP($A236,VolatilityTable,22)</f>
        <v>-0.35</v>
      </c>
      <c r="AK236" s="1513" t="n">
        <f aca="false">VLOOKUP($A236,VolatilityTable,23)</f>
        <v>3</v>
      </c>
      <c r="AL236" s="1514" t="n">
        <f aca="false">VLOOKUP($A236,VolatilityTable,24)</f>
        <v>0.35</v>
      </c>
      <c r="AM236" s="1513" t="n">
        <f aca="false">VLOOKUP($A236,VolatilityTable,26)</f>
        <v>-0.01</v>
      </c>
      <c r="AN236" s="1513" t="n">
        <f aca="false">VLOOKUP($A236,VolatilityTable,27)</f>
        <v>0.16</v>
      </c>
      <c r="AO236" s="1514" t="n">
        <f aca="false">VLOOKUP($A236,VolatilityTable,28)</f>
        <v>0.01</v>
      </c>
      <c r="AP236" s="1513" t="n">
        <f aca="false">VLOOKUP($A236,VolatilityTable,26)</f>
        <v>-0.01</v>
      </c>
      <c r="AQ236" s="1513" t="n">
        <f aca="false">VLOOKUP($A236,VolatilityTable,27)</f>
        <v>0.16</v>
      </c>
      <c r="AR236" s="1515" t="n">
        <f aca="false">VLOOKUP($A236,VolatilityTable,28)</f>
        <v>0.01</v>
      </c>
      <c r="AS236" s="1581" t="n">
        <f aca="false">IF(CorrPeakOffPeakOverFlag,INDEX(CorrPeakOffPeakOver,C236),CorrPeakOffPeak)</f>
        <v>0.5</v>
      </c>
      <c r="AT236" s="594" t="e">
        <f aca="false">AX236-SUM(AU236:AW236)</f>
        <v>#VALUE!</v>
      </c>
      <c r="AU236" s="238" t="e">
        <f aca="false">IF(E236="",0,INT((F236-MOD(F236,7)-E236)/7)+1-IF(AW236,IF(WEEKDAY(D236)=7,1,0),0))</f>
        <v>#VALUE!</v>
      </c>
      <c r="AV236" s="238" t="e">
        <f aca="false">IF(E236="",0,INT((F236-MOD(F236-1,7)-E236)/7)+1-IF(AW236,IF(WEEKDAY(D236)=1,1,0),0))</f>
        <v>#VALUE!</v>
      </c>
      <c r="AW236" s="238" t="e">
        <f aca="false">IF(OR(E236="",D236="",D236&lt;BegDate,D236&gt;EndDate),0,1)</f>
        <v>#VALUE!</v>
      </c>
      <c r="AX236" s="238" t="n">
        <f aca="false">IF(E236="",0,F236-E236+1)</f>
        <v>31</v>
      </c>
      <c r="AY236" s="1582" t="n">
        <f aca="false">IF(E236="",0,MIN((1-(1-VLOOKUP(B236,MAIN!$AA$7:$AM$28,C236+1))*(1-VLOOKUP(B236,MAIN!$AA$33:$AM$54,C236+1))),1))</f>
        <v>0.03</v>
      </c>
      <c r="AZ236" s="1519" t="e">
        <v>#VALUE!</v>
      </c>
      <c r="BA236" s="1520" t="e">
        <v>#VALUE!</v>
      </c>
      <c r="BB236" s="1520" t="e">
        <v>#VALUE!</v>
      </c>
      <c r="BC236" s="1583" t="e">
        <v>#VALUE!</v>
      </c>
      <c r="BD236" s="1522" t="e">
        <v>#VALUE!</v>
      </c>
      <c r="BE236" s="1523" t="e">
        <v>#VALUE!</v>
      </c>
      <c r="BF236" s="1523" t="e">
        <v>#VALUE!</v>
      </c>
      <c r="BG236" s="1584" t="e">
        <v>#VALUE!</v>
      </c>
      <c r="BH236" s="1525" t="e">
        <v>#VALUE!</v>
      </c>
      <c r="BI236" s="1520" t="e">
        <v>#VALUE!</v>
      </c>
      <c r="BJ236" s="1520" t="e">
        <v>#VALUE!</v>
      </c>
      <c r="BK236" s="1583" t="e">
        <v>#VALUE!</v>
      </c>
      <c r="BL236" s="1522" t="e">
        <v>#VALUE!</v>
      </c>
      <c r="BM236" s="1523" t="e">
        <v>#VALUE!</v>
      </c>
      <c r="BN236" s="1523" t="e">
        <v>#VALUE!</v>
      </c>
      <c r="BO236" s="1523" t="e">
        <v>#VALUE!</v>
      </c>
      <c r="BP236" s="1525" t="e">
        <f aca="false">SUM(AZ236:BB236)</f>
        <v>#VALUE!</v>
      </c>
      <c r="BQ236" s="1529" t="e">
        <f aca="false">SUM(AZ236:BC236)</f>
        <v>#VALUE!</v>
      </c>
      <c r="BR236" s="1519" t="e">
        <f aca="false">SUM(BH236:BJ236)</f>
        <v>#VALUE!</v>
      </c>
      <c r="BS236" s="1529" t="e">
        <f aca="false">SUM(BH236:BK236)</f>
        <v>#VALUE!</v>
      </c>
      <c r="BT236" s="1316" t="n">
        <f aca="false">(IF(OVolType&lt;&gt;2,A236+14,IF(OptExpDateShift,ShiftBack(A236,OptExpDateShift,D235),A236))-DateToday)/365.25</f>
        <v>18.2970568104038</v>
      </c>
      <c r="BU236" s="1585" t="e">
        <f aca="false">IF(BQ236,IF(OPriceCurve,IF(OBuySell=OCallPut,I236/(1-AY236),K236/(1-AY236)),J236/(1-AY236))*BD236,0)</f>
        <v>#VALUE!</v>
      </c>
      <c r="BV236" s="1316" t="e">
        <f aca="false">IF(BQ236,IF(OPriceCurve,IF(OBuySell=OCallPut,L236/(1-AY236),N236/(1-AY236)),M236/(1-AY236))*BE236,0)</f>
        <v>#VALUE!</v>
      </c>
      <c r="BW236" s="1316" t="e">
        <f aca="false">IF(BQ236,IF(OPriceCurve,IF(OBuySell=OCallPut,O236/(1-AY236),Q236/(1-AY236)),P236/(1-AY236))*BF236,0)</f>
        <v>#VALUE!</v>
      </c>
      <c r="BX236" s="1316" t="e">
        <f aca="false">IF(BQ236,IF(OPriceCurve,IF(OBuySell=OCallPut,R236/(1-AY236),T236/(1-AY236)),S236/(1-AY236))*BG236,0)</f>
        <v>#VALUE!</v>
      </c>
      <c r="BY236" s="1316" t="e">
        <f aca="false">IF(BP236,(BU236*AZ236+BV236*BA236+BW236*BB236)/BP236,0)</f>
        <v>#VALUE!</v>
      </c>
      <c r="BZ236" s="1316" t="e">
        <f aca="false">IF(BQ236,(BY236*BP236+BX236*BC236)/BQ236,0)</f>
        <v>#VALUE!</v>
      </c>
      <c r="CA236" s="1531" t="e">
        <f aca="false">IF(BS236,IF(OPriceCurve,IF(OBuySell=OCallPut,I236/(1-AY236),K236/(1-AY236)),J236/(1-AY236))*BL236,0)</f>
        <v>#VALUE!</v>
      </c>
      <c r="CB236" s="1316" t="e">
        <f aca="false">IF(BS236,IF(OPriceCurve,IF(OBuySell=OCallPut,L236/(1-AY236),N236/(1-AY236)),M236/(1-AY236))*BM236,0)</f>
        <v>#VALUE!</v>
      </c>
      <c r="CC236" s="1316" t="e">
        <f aca="false">IF(BS236,IF(OPriceCurve,IF(OBuySell=OCallPut,O236/(1-AY236),Q236/(1-AY236)),P236/(1-AY236))*BN236,0)</f>
        <v>#VALUE!</v>
      </c>
      <c r="CD236" s="1316" t="e">
        <f aca="false">IF(BS236,IF(OPriceCurve,IF(OBuySell=OCallPut,R236/(1-AY236),T236/(1-AY236)),S236/(1-AY236))*BO236,0)</f>
        <v>#VALUE!</v>
      </c>
      <c r="CE236" s="1316" t="e">
        <f aca="false">IF(BR236,(BU236*BH236+BV236*BI236+BW236*BJ236)/BR236,0)</f>
        <v>#VALUE!</v>
      </c>
      <c r="CF236" s="1532" t="e">
        <f aca="false">IF(BS236,(CE236*BR236+CD236*BK236)/BS236,0)</f>
        <v>#VALUE!</v>
      </c>
      <c r="CG236" s="1586" t="e">
        <f aca="false">IF(OR(BQ236,BS236),IF(OVolType&lt;&gt;2,SQRT(IF(OVolOverMonthlyPeak,OVolOverMonthlyPeak,IF(OVolCurve,IF(OBuySell,U236,W236),V236))^2*(1-15/365.25/BT236)+IF(OVolOverDailyPeak,OVolOverDailyPeak,IF(OVolCurve,IF(OBuySell,AG236,AI236),AH236))^2*15/365.25/BT236),IF(OVolOverMonthlyPeak,OVolOverMonthlyPeak,IF(OVolCurve,IF(OBuySell,U236,W236),V236))),"")</f>
        <v>#VALUE!</v>
      </c>
      <c r="CH236" s="1587" t="e">
        <f aca="false">IF(OR(BQ236,BS236),IF(OVolType&lt;&gt;2,SQRT(IF(OVolOverMonthlyPeak,OVolOverMonthlyPeak,IF(OVolCurve,IF(OBuySell,X236,Z236),Y236))^2*(1-15/365.25/BT236)+IF(OVolOverDailyPeak,OVolOverDailyPeak,IF(OVolCurve,IF(OBuySell,AJ236,AL236),AK236))^2*15/365.25/BT236),IF(OVolOverMonthlyPeak,OVolOverMonthlyPeak,IF(OVolCurve,IF(OBuySell,X236,Z236),Y236))),"")</f>
        <v>#VALUE!</v>
      </c>
      <c r="CI236" s="1587" t="e">
        <f aca="false">IF(OR(BQ236,BS236),IF(OVolType&lt;&gt;2,SQRT(IF(OVolOverMonthlyPeak,OVolOverMonthlyPeak,IF(OVolCurve,IF(OBuySell,AA236,AC236),AB236))^2*(1-15/365.25/BT236)+IF(OVolOverDailyPeak,OVolOverDailyPeak,IF(OVolCurve,IF(OBuySell,AM236,AO236),AN236))^2*15/365.25/BT236),IF(OVolOverMonthlyPeak,OVolOverMonthlyPeak,IF(OVolCurve,IF(OBuySell,AA236,AC236),AB236))),"")</f>
        <v>#VALUE!</v>
      </c>
      <c r="CJ236" s="1587" t="e">
        <f aca="false">IF(BQ236,IF(BP236,SQRT(LN(1+((BU236*AZ236)^2*(EXP(CG236^2*BT236)-1)+(BV236*BA236)^2*(EXP(CH236^2*BT236)-1)+(BW236*BB236)^2*(EXP(CI236^2*BT236)-1)+2*BU236*AZ236*BV236*BA236*(EXP(CG236*CH236*BT236)-1)+2*BV236*BA236*BW236*BB236*(EXP(CH236*CI236*BT236)-1)+2*BW236*BB236*BU236*AZ236*(EXP(CI236*CG236*BT236)-1))/(BY236*BP236)^2)/BT236),0),"")</f>
        <v>#VALUE!</v>
      </c>
      <c r="CK236" s="1587" t="e">
        <f aca="false">IF(BS236,IF(BR236,SQRT(LN(1+((CA236*BH236)^2*(EXP(CG236^2*BT236)-1)+(CB236*BI236)^2*(EXP(CH236^2*BT236)-1)+(CC236*BJ236)^2*(EXP(CI236^2*BT236)-1)+2*CA236*BH236*CB236*BI236*(EXP(CG236*CH236*BT236)-1)+2*CB236*BI236*CC236*BJ236*(EXP(CH236*CI236*BT236)-1)+2*CC236*BJ236*CA236*BH236*(EXP(CI236*CG236*BT236)-1))/(CE236*BR236)^2)/BT236),0),"")</f>
        <v>#VALUE!</v>
      </c>
      <c r="CL236" s="1587" t="e">
        <f aca="false">IF(OR(BQ236,BS236),IF(OVolType&lt;&gt;2,SQRT(IF(OVolOverMonthlyOffPeak,OVolOverMonthlyOffPeak,IF(OVolCurve,IF(OBuySell,AD236,AF236),AE236))^2*(1-15/365.25/BT236)+IF(OVolOverDailyOffPeak,OVolOverDailyOffPeak,IF(OVolCurve,IF(OBuySell,AP236,AR236),AQ236))^2*15/365.25/BT236),IF(OVolOverMonthlyOffPeak,OVolOverMonthlyOffPeak,IF(OVolCurve,IF(OBuySell,AD236,AF236),AE236))),"")</f>
        <v>#VALUE!</v>
      </c>
      <c r="CM236" s="1587" t="e">
        <f aca="false">IF(BQ236,SQRT(LN(1+((BY236*BP236)^2*(EXP(CJ236^2*BT236)-1)+(BX236*BC236)^2*(EXP(CL236^2*BT236)-1)+2*BY236*BP236*BX236*BC236*(EXP(AS236*CJ236*CL236*BT236)-1))/(BY236*BP236+BX236*BC236)^2)/BT236),"")</f>
        <v>#VALUE!</v>
      </c>
      <c r="CN236" s="1588" t="e">
        <f aca="false">IF(BS236,SQRT(LN(1+((CE236*BR236)^2*(EXP(CK236^2*BT236)-1)+(CD236*BK236)^2*(EXP(CL236^2*BT236)-1)+2*CE236*BR236*CD236*BK236*(EXP(AS236*CK236*CL236*BT236)-1))/(CE236*BR236+CD236*BK236)^2)/BT236),"")</f>
        <v>#VALUE!</v>
      </c>
      <c r="CO236" s="1531" t="e">
        <f aca="false">IF(OR(BQ236,BS236),VLOOKUP(A236,GasTable,13)*HeatRatePeak*(1+VLOOKUP($B236,HeatRateDegradation,$C236+1))/1000,0)</f>
        <v>#VALUE!</v>
      </c>
      <c r="CP236" s="1316" t="e">
        <f aca="false">IF(OR(BQ236,BS236),VLOOKUP(A236,GasTable,13)*HeatRatePeak*(1+VLOOKUP($B236,HeatRateDegradation,$C236+1))/1000,0)</f>
        <v>#VALUE!</v>
      </c>
      <c r="CQ236" s="1316" t="e">
        <f aca="false">IF(OR(BQ236,BS236),VLOOKUP(A236,GasTable,13)*IF(EV236,HeatRatePeak,HeatRateOffPeak)*(1+VLOOKUP($B236,HeatRateDegradation,$C236+1))/1000,0)</f>
        <v>#VALUE!</v>
      </c>
      <c r="CR236" s="1316" t="e">
        <f aca="false">IF(OR(BQ236,BS236),VLOOKUP(A236,GasTable,13)*IF(EW236,HeatRatePeak,HeatRateOffPeak)*(1+VLOOKUP($B236,HeatRateDegradation,$C236+1))/1000,0)</f>
        <v>#VALUE!</v>
      </c>
      <c r="CS236" s="1589" t="e">
        <f aca="false">IF(BQ236,(CO236*AZ236+CP236*BA236+CQ236*BB236+CR236*BC236)/BQ236,0)</f>
        <v>#VALUE!</v>
      </c>
      <c r="CT236" s="1316" t="e">
        <f aca="false">IF(BS236,CO236,0)</f>
        <v>#VALUE!</v>
      </c>
      <c r="CU236" s="1590" t="e">
        <f aca="false">IF(OR(BQ236,BS236),VLOOKUP(A236,GasTable,14),"")</f>
        <v>#VALUE!</v>
      </c>
      <c r="CV236" s="1568" t="e">
        <f aca="false">IF(OR(BQ236,BS236),IF(CorrPowerGasOverFlag,INDEX(CorrPowerGasOver,C236),CorrPowerGas),"")</f>
        <v>#VALUE!</v>
      </c>
      <c r="CW236" s="1316" t="e">
        <f aca="false">IF(OR($BQ236,$BS236),SpreadOptPowerMargin,0)*((1+Assumptions!$C$26)^($B236-YEAR(Assumptions!$C$17)))</f>
        <v>#VALUE!</v>
      </c>
      <c r="CX236" s="1316" t="e">
        <f aca="false">IF(OR($BQ236,$BS236),SpreadOptPowerMargin,0)*((1+Assumptions!$C$26)^($B236-YEAR(Assumptions!$C$17)))</f>
        <v>#VALUE!</v>
      </c>
      <c r="CY236" s="1316" t="e">
        <f aca="false">IF(OR($BQ236,$BS236),SpreadOptPowerMargin,0)*((1+Assumptions!$C$26)^($B236-YEAR(Assumptions!$C$17)))</f>
        <v>#VALUE!</v>
      </c>
      <c r="CZ236" s="1316" t="e">
        <f aca="false">IF(OR($BQ236,$BS236),SpreadOptPowerMargin,0)*((1+Assumptions!$C$26)^($B236-YEAR(Assumptions!$C$17)))</f>
        <v>#VALUE!</v>
      </c>
      <c r="DA236" s="1591" t="e">
        <f aca="false">IF(OR(BQ236,BS236),(CW236*(AZ236+BH236)+CX236*(BA236+BI236)+CY236*(BB236+BJ236)+CZ236*(BC236+BK236))/(BQ236+BS236),0)</f>
        <v>#VALUE!</v>
      </c>
      <c r="DB236" s="1592" t="e">
        <f aca="false">IF(OR(BQ236,BS236),CG236+IF(OVolSmile,VLOOKUP(MAX(-5,CO236+CW236-BU236),IF(OVolSmile=1,VolSmileBook,VolSmileModel),2),0),"")</f>
        <v>#VALUE!</v>
      </c>
      <c r="DC236" s="1592" t="e">
        <f aca="false">IF(OR(BQ236,BS236),CH236+IF(OVolSmile,VLOOKUP(MAX(-5,CP236+CW236-BV236),IF(OVolSmile=1,VolSmileBook,VolSmileModel),2),0),"")</f>
        <v>#VALUE!</v>
      </c>
      <c r="DD236" s="1592" t="e">
        <f aca="false">IF(OR(BQ236,BS236),CI236+IF(OVolSmile,VLOOKUP(MAX(-5,CQ236+CW236-BW236),IF(OVolSmile=1,VolSmileBook,VolSmileModel),2),0),"")</f>
        <v>#VALUE!</v>
      </c>
      <c r="DE236" s="1592" t="e">
        <f aca="false">IF(OR(BQ236,BS236),CL236+IF(OVolSmile,VLOOKUP(MAX(-5,CR236+CZ236-BX236),IF(OVolSmile=1,VolSmileBook,VolSmileModel),2),0),"")</f>
        <v>#VALUE!</v>
      </c>
      <c r="DF236" s="1592" t="e">
        <f aca="false">IF(BQ236,CM236+IF(OVolSmile,VLOOKUP(MAX(-5,CS236+DA236-BZ236),IF(OVolSmile=1,VolSmileBook,VolSmileModel),2),0),"")</f>
        <v>#VALUE!</v>
      </c>
      <c r="DG236" s="1593" t="e">
        <f aca="false">IF(BS236,CN236+IF(OVolSmile,VLOOKUP(MAX(-5,CT236+DA236-CF236),IF(OVolSmile=1,VolSmileBook,VolSmileModel),2),0),"")</f>
        <v>#VALUE!</v>
      </c>
      <c r="DH236" s="1316" t="e">
        <f aca="false">IF(AND(BU236&gt;0,CO236&gt;0,DB236&gt;0,CU236&gt;0),newSPRDOPT(BU236,CO236,CW236,0,DB236,CU236,CV236,BT236*365.25,OCallPut,0),0)</f>
        <v>#VALUE!</v>
      </c>
      <c r="DI236" s="1316" t="e">
        <f aca="false">IF(AND(BV236&gt;0,CP236&gt;0,DC236&gt;0,CU236&gt;0),newSPRDOPT(BV236,CP236,CX236,0,DC236,CU236,CV236,BT236*365.25,OCallPut,0),0)</f>
        <v>#VALUE!</v>
      </c>
      <c r="DJ236" s="1316" t="e">
        <f aca="false">IF(AND(BW236&gt;0,CQ236&gt;0,DD236&gt;0,CU236&gt;0),newSPRDOPT(BW236,CQ236,CY236,0,DD236,CU236,CV236,BT236*365.25,OCallPut,0),0)</f>
        <v>#VALUE!</v>
      </c>
      <c r="DK236" s="1316" t="e">
        <f aca="false">IF(AND(BX236&gt;0,CR236&gt;0,DE236&gt;0,CU236&gt;0),newSPRDOPT(BX236,CR236,CZ236,0,DE236,CU236,CV236,BT236*365.25,OCallPut,0),0)</f>
        <v>#VALUE!</v>
      </c>
      <c r="DL236" s="1316" t="e">
        <f aca="false">IF(OVolType,IF(AND(BZ236&gt;0,CS236&gt;0,DF236&gt;0,CU236&gt;0),newSPRDOPT(BZ236,CS236,DA236,0,DF236,CU236,CV236,BT236*365.25,OCallPut,0),0),IF(BQ236,(DH236*AZ236+DI236*BA236+DJ236*BB236+DK236*BC236)/BQ236,0))</f>
        <v>#VALUE!</v>
      </c>
      <c r="DM236" s="1316"/>
      <c r="DN236" s="1316"/>
      <c r="DO236" s="1316"/>
      <c r="DP236" s="1316"/>
      <c r="DQ236" s="1316"/>
      <c r="DR236" s="1316"/>
      <c r="DS236" s="1316"/>
      <c r="DT236" s="1316"/>
      <c r="DU236" s="1316"/>
      <c r="DV236" s="1316"/>
      <c r="DW236" s="1594" t="e">
        <f aca="false">IF(AND(BW236&gt;0,CT236&gt;0,DD236&gt;0,CU236&gt;0),newSPRDOPT(BW236,CT236,CY236,0,DD236,CU236,CV236,BT236*365.25,OCallPut,0),0)</f>
        <v>#VALUE!</v>
      </c>
      <c r="DX236" s="1316" t="e">
        <f aca="false">IF(AND(BX236&gt;0,CT236&gt;0,DE236&gt;0,CU236&gt;0),newSPRDOPT(BX236,CT236,CZ236,0,DE236,CU236,CV236,BT236*365.25,OCallPut,0),0)</f>
        <v>#VALUE!</v>
      </c>
      <c r="DY236" s="1591" t="e">
        <f aca="false">IF(BS236,(DH236*BH236+DI236*BI236+DW236*BJ236+DX236*BK236)/BS236,0)</f>
        <v>#VALUE!</v>
      </c>
      <c r="DZ236" s="1551" t="e">
        <f aca="false">DH236*AZ236</f>
        <v>#VALUE!</v>
      </c>
      <c r="EA236" s="1551" t="e">
        <f aca="false">DI236*BA236</f>
        <v>#VALUE!</v>
      </c>
      <c r="EB236" s="1551" t="e">
        <f aca="false">DJ236*BB236</f>
        <v>#VALUE!</v>
      </c>
      <c r="EC236" s="1551" t="e">
        <f aca="false">DK236*BC236</f>
        <v>#VALUE!</v>
      </c>
      <c r="ED236" s="1551" t="e">
        <f aca="false">DL236*BQ236</f>
        <v>#VALUE!</v>
      </c>
      <c r="EE236" s="1595" t="e">
        <f aca="false">IF(BQ236,IF(OCallPut,IF(BU236&gt;(CO236+CW236),BU236-(CO236+CW236),0),IF((CO236+CW236)&gt;BU236,(CO236+CW236)-BU236,0))*AZ236,0)</f>
        <v>#VALUE!</v>
      </c>
      <c r="EF236" s="1596" t="e">
        <f aca="false">IF(BQ236,IF(OCallPut,IF(BV236&gt;(CP236+CX236),BV236-(CP236+CX236),0),IF((CP236+CX236)&gt;BV236,(CP236+CX236)-BV236,0))*BA236,0)</f>
        <v>#VALUE!</v>
      </c>
      <c r="EG236" s="1596" t="e">
        <f aca="false">IF(BQ236,IF(OCallPut,IF(BW236&gt;(CQ236+CY236),BW236-(CQ236+CY236),0),IF((CQ236+CY236)&gt;BW236,(CQ236+CY236)-BW236,0))*BB236,0)</f>
        <v>#VALUE!</v>
      </c>
      <c r="EH236" s="1596" t="e">
        <f aca="false">IF(BQ236,IF(OCallPut,IF(BX236&gt;(CR236+CZ236),BX236-(CR236+CZ236),0),IF((CR236+CZ236)&gt;BX236,(CR236+CZ236)-BX236,0))*BC236,0)</f>
        <v>#VALUE!</v>
      </c>
      <c r="EI236" s="1597" t="e">
        <f aca="false">IF(BQ236,IF(OVolType,IF(OCallPut,IF(BZ236&gt;(CS236+DA236),BZ236-(CS236+DA236),0),IF((CS236+DA236)&gt;BZ236,(CS236+DA236)-BZ236,0))*BQ236,SUM(EE236:EH236)),0)</f>
        <v>#VALUE!</v>
      </c>
      <c r="EJ236" s="1595" t="e">
        <f aca="false">DZ236-EE236</f>
        <v>#VALUE!</v>
      </c>
      <c r="EK236" s="1596" t="e">
        <f aca="false">EA236-EF236</f>
        <v>#VALUE!</v>
      </c>
      <c r="EL236" s="1596" t="e">
        <f aca="false">EB236-EG236</f>
        <v>#VALUE!</v>
      </c>
      <c r="EM236" s="1596" t="e">
        <f aca="false">EC236-EH236</f>
        <v>#VALUE!</v>
      </c>
      <c r="EN236" s="1597" t="e">
        <f aca="false">ED236-EI236</f>
        <v>#VALUE!</v>
      </c>
      <c r="EO236" s="1551" t="e">
        <f aca="false">DH236*BH236</f>
        <v>#VALUE!</v>
      </c>
      <c r="EP236" s="1551" t="e">
        <f aca="false">DI236*BI236</f>
        <v>#VALUE!</v>
      </c>
      <c r="EQ236" s="1551" t="e">
        <f aca="false">DW236*BJ236</f>
        <v>#VALUE!</v>
      </c>
      <c r="ER236" s="1551" t="e">
        <f aca="false">DX236*BK236</f>
        <v>#VALUE!</v>
      </c>
      <c r="ES236" s="1551" t="e">
        <f aca="false">DY236*BS236</f>
        <v>#VALUE!</v>
      </c>
      <c r="ET236" s="1566" t="e">
        <f aca="false">IF(EI236,IF(OCallPut,IF(CA236&gt;(CT236+CW236),CA236-(CT236+CW236),0),IF((CT236+CW236)&gt;CA236,(CT236+CW236)-CA236,0))*BH236,0)</f>
        <v>#VALUE!</v>
      </c>
      <c r="EU236" s="1551" t="e">
        <f aca="false">IF(EI236,IF(OCallPut,IF(CB236&gt;(CT236+CX236),CB236-(CT236+CX236),0),IF((CT236+CX236)&gt;CB236,(CT236+CX236)-CB236,0))*BI236,0)</f>
        <v>#VALUE!</v>
      </c>
      <c r="EV236" s="1551" t="e">
        <f aca="false">IF(EI236,IF(OCallPut,IF(CC236&gt;(CT236+CY236),CC236-(CT236+CY236),0),IF((CT236+CY236)&gt;CC236,(CT236+CY236)-CC236,0))*BJ236,0)</f>
        <v>#VALUE!</v>
      </c>
      <c r="EW236" s="1551" t="e">
        <f aca="false">IF(EI236,IF(OCallPut,IF(CD236&gt;(CT236+CZ236),CD236-(CT236+CZ236),0),IF((CT236+CZ236)&gt;CD236,(CT236+CZ236)-CD236,0))*BK236,0)</f>
        <v>#VALUE!</v>
      </c>
      <c r="EX236" s="1558" t="e">
        <f aca="false">IF(EI236,SUM(ET236:EW236),0)</f>
        <v>#VALUE!</v>
      </c>
      <c r="EY236" s="1551" t="e">
        <f aca="false">EO236-ET236</f>
        <v>#VALUE!</v>
      </c>
      <c r="EZ236" s="1551" t="e">
        <f aca="false">EP236-EU236</f>
        <v>#VALUE!</v>
      </c>
      <c r="FA236" s="1551" t="e">
        <f aca="false">EQ236-EV236</f>
        <v>#VALUE!</v>
      </c>
      <c r="FB236" s="1551" t="e">
        <f aca="false">ER236-EW236</f>
        <v>#VALUE!</v>
      </c>
      <c r="FC236" s="1551" t="e">
        <f aca="false">ES236-EX236</f>
        <v>#VALUE!</v>
      </c>
      <c r="FD236" s="1525" t="n">
        <f aca="false">IF(AX236,IF(VLOOKUP(C236,MAIN!$L$17:$M$28,2)="Yes",VLOOKUP(CALC!B236,MAIN!$H$17:$I$20,2),0),0)</f>
        <v>0</v>
      </c>
      <c r="FE236" s="1552" t="e">
        <f aca="false">$FD236*16*AT236*(1-$AY236)</f>
        <v>#VALUE!</v>
      </c>
      <c r="FF236" s="1553" t="e">
        <f aca="false">$FD236*16*AU236*(1-$AY236)</f>
        <v>#VALUE!</v>
      </c>
      <c r="FG236" s="1553" t="e">
        <f aca="false">$FD236*16*(AV236+AW236)*(1-$AY236)</f>
        <v>#VALUE!</v>
      </c>
      <c r="FH236" s="1554" t="n">
        <f aca="false">$FD236*8*AX236*(1-$AY236)</f>
        <v>0</v>
      </c>
      <c r="FI236" s="1555" t="n">
        <f aca="false">IF(AX236,VLOOKUP(CALC!B236,MAIN!$H$17:$K$20,4),0)</f>
        <v>0</v>
      </c>
      <c r="FJ236" s="1553" t="e">
        <f aca="false">SUM(FE236:FH236)</f>
        <v>#VALUE!</v>
      </c>
      <c r="FK236" s="1556" t="e">
        <f aca="false">FI236*FJ236</f>
        <v>#VALUE!</v>
      </c>
      <c r="FL236" s="1551" t="e">
        <f aca="false">IF($EI236&gt;0,MIN(FE236,AZ236*(1+VLOOKUP($C236,WeatherCapacityAdjustment,2))),0)</f>
        <v>#VALUE!</v>
      </c>
      <c r="FM236" s="1551" t="e">
        <f aca="false">IF($EI236&gt;0,MIN(FF236,BA236*(1+VLOOKUP($C236,WeatherCapacityAdjustment,2))),0)</f>
        <v>#VALUE!</v>
      </c>
      <c r="FN236" s="1551" t="e">
        <f aca="false">IF($EI236&gt;0,MIN(FG236,BB236*(1+VLOOKUP($C236,WeatherCapacityAdjustment,2))),0)</f>
        <v>#VALUE!</v>
      </c>
      <c r="FO236" s="1564" t="e">
        <f aca="false">IF($EI236&gt;0,MIN(FH236,BC236*(1+VLOOKUP($C236,WeatherCapacityAdjustment,3))),0)</f>
        <v>#VALUE!</v>
      </c>
      <c r="FP236" s="1551" t="e">
        <f aca="false">IF(ET236&gt;0,MIN(FE236-FL236,BH236*(1+VLOOKUP($C236,WeatherCapacityAdjustment,2))),0)</f>
        <v>#VALUE!</v>
      </c>
      <c r="FQ236" s="1551" t="e">
        <f aca="false">IF(EU236&gt;0,MIN(FF236-FM236,BI236*(1+VLOOKUP($C236,WeatherCapacityAdjustment,2))),0)</f>
        <v>#VALUE!</v>
      </c>
      <c r="FR236" s="1551" t="e">
        <f aca="false">IF(EV236&gt;0,MIN(FG236-FN236,BJ236*(1+VLOOKUP($C236,WeatherCapacityAdjustment,2))),0)</f>
        <v>#VALUE!</v>
      </c>
      <c r="FS236" s="1558" t="e">
        <f aca="false">IF(EW236&gt;0,MIN(FH236-FO236,BK236*(1+VLOOKUP($C236,WeatherCapacityAdjustment,3))),0)</f>
        <v>#VALUE!</v>
      </c>
      <c r="FT236" s="1566" t="e">
        <f aca="false">IF(AND(Assumptions!$H$71="Yes",A236&gt;=Assumptions!$H$72,A236&lt;=Assumptions!$H$73),0,IF(AND($A236&gt;=Assumptions!$C$17,$A236&lt;=Assumptions!$C$18),MAX(AZ236*(1+VLOOKUP($C236,WeatherCapacityAdjustment,2))-FL236,0),0))</f>
        <v>#VALUE!</v>
      </c>
      <c r="FU236" s="1551" t="e">
        <f aca="false">IF(AND(Assumptions!$H$71="Yes",A236&gt;=Assumptions!$H$72,A236&lt;=Assumptions!$H$73),0,IF(AND($A236&gt;=Assumptions!$C$17,$A236&lt;=Assumptions!$C$18),MAX(BA236*(1+VLOOKUP($C236,WeatherCapacityAdjustment,2))-FM236,0),0))</f>
        <v>#VALUE!</v>
      </c>
      <c r="FV236" s="1551" t="e">
        <f aca="false">IF(AND(Assumptions!$H$71="Yes",A236&gt;=Assumptions!$H$72,A236&lt;=Assumptions!$H$73),0,IF(AND($A236&gt;=Assumptions!$C$17,$A236&lt;=Assumptions!$C$18),MAX(BB236*(1+VLOOKUP($C236,WeatherCapacityAdjustment,2))-FN236,0),0))</f>
        <v>#VALUE!</v>
      </c>
      <c r="FW236" s="1564" t="e">
        <f aca="false">IF(AND(Assumptions!$H$71="Yes",A236&gt;=Assumptions!$H$72,A236&lt;=Assumptions!$H$73),0,IF(AND($A236&gt;=Assumptions!$C$17,$A236&lt;=Assumptions!$C$18),MAX(BC236*(1+VLOOKUP($C236,WeatherCapacityAdjustment,3))-FO236,0),0))</f>
        <v>#VALUE!</v>
      </c>
      <c r="FX236" s="1569" t="e">
        <f aca="false">IF(AND(Assumptions!$H$71="Yes",A236&gt;=Assumptions!$H$72,A236&lt;=Assumptions!$H$73),0,IF(ET236&gt;0,MAX(BH236*(1+VLOOKUP($C236,WeatherCapacityAdjustment,2))-FP236,0),0))</f>
        <v>#VALUE!</v>
      </c>
      <c r="FY236" s="1551" t="e">
        <f aca="false">IF(AND(Assumptions!$H$71="Yes",A236&gt;=Assumptions!$H$72,A236&lt;=Assumptions!$H$73),0,IF(EU236&gt;0,MAX(BI236*(1+VLOOKUP($C236,WeatherCapacityAdjustment,3))-FQ236,0),0))</f>
        <v>#VALUE!</v>
      </c>
      <c r="FZ236" s="1551" t="e">
        <f aca="false">IF(AND(Assumptions!$H$71="Yes",A236&gt;=Assumptions!$H$72,A236&lt;=Assumptions!$H$73),0,IF(EV236&gt;0,MAX(BJ236*(1+VLOOKUP($C236,WeatherCapacityAdjustment,2))-FR236,0),0))</f>
        <v>#VALUE!</v>
      </c>
      <c r="GA236" s="1564" t="e">
        <f aca="false">IF(AND(Assumptions!$H$71="Yes",A236&gt;=Assumptions!$H$72,A236&lt;=Assumptions!$H$73),0,IF(EW236&gt;0,MAX(BK236*(1+VLOOKUP($C236,WeatherCapacityAdjustment,2))-FS236,0),0))</f>
        <v>#VALUE!</v>
      </c>
      <c r="GB236" s="1551" t="e">
        <f aca="false">SUM(FT236:GA236)</f>
        <v>#VALUE!</v>
      </c>
      <c r="GC236" s="1563" t="e">
        <f aca="false">+IF(SUM(FT236:GA236)=0,0,(SUMPRODUCT(BU236:BX236,FT236:FW236)+SUMPRODUCT(CA236:CD236,FX236:GA236))/SUM(FT236:GA236))</f>
        <v>#VALUE!</v>
      </c>
      <c r="GD236" s="1551" t="e">
        <f aca="false">(FT236*BU236+FX236*CA236+FU236*BV236+FY236*CB236+FV236*BW236+FZ236*CC236+FW236*BX236+GA236*CD236)</f>
        <v>#VALUE!</v>
      </c>
      <c r="GE236" s="1561" t="e">
        <f aca="false">+IF(BQ236,((FL236+FM236+FT236+FU236)*HeatRatePeak/1000*(1+VLOOKUP($C236,WeatherHeatRateAdjustment,2))+(FN236+FV236)*IF(EV236&gt;0,HeatRatePeak,HeatRateOffPeak)/1000*(1+VLOOKUP($C236,WeatherHeatRateAdjustment,2))+(FO236+FW236)*IF(EW236&gt;0,HeatRatePeak,HeatRateOffPeak)/1000*(1+VLOOKUP($C236,WeatherHeatRateAdjustment,3)))*(1+VLOOKUP($B236,HeatRateDegradation,$C236+1)),0)</f>
        <v>#VALUE!</v>
      </c>
      <c r="GF236" s="1562" t="e">
        <f aca="false">IF(BQ236,((FP236+FQ236+FR236+FX236+FY236+FZ236)*HeatRatePeak/1000*(1+VLOOKUP($C236,WeatherHeatRateAdjustment,2))+(FS236+GA236)*HeatRatePeak/1000*(1+VLOOKUP($C236,WeatherHeatRateAdjustment,3)))*(1+VLOOKUP($B236,HeatRateDegradation,$C236+1)),0)</f>
        <v>#VALUE!</v>
      </c>
      <c r="GG236" s="1563" t="e">
        <f aca="false">IF(BQ236,VLOOKUP(A236,GasTable,13),0)</f>
        <v>#VALUE!</v>
      </c>
      <c r="GH236" s="1564" t="e">
        <f aca="false">(GE236+GF236)*GG236</f>
        <v>#VALUE!</v>
      </c>
      <c r="GI236" s="1569" t="e">
        <f aca="false">GB236</f>
        <v>#VALUE!</v>
      </c>
      <c r="GJ236" s="1598" t="e">
        <f aca="false">+DA236</f>
        <v>#VALUE!</v>
      </c>
      <c r="GK236" s="1558" t="e">
        <f aca="false">+GI236*GJ236</f>
        <v>#VALUE!</v>
      </c>
      <c r="GL236" s="1566" t="e">
        <f aca="false">MAX(FE236-FL236-FP236,0)</f>
        <v>#VALUE!</v>
      </c>
      <c r="GM236" s="1551" t="e">
        <f aca="false">MAX(FF236-FM236-FQ236,0)</f>
        <v>#VALUE!</v>
      </c>
      <c r="GN236" s="1551" t="e">
        <f aca="false">MAX(FG236-FN236-FR236,0)</f>
        <v>#VALUE!</v>
      </c>
      <c r="GO236" s="1564" t="e">
        <f aca="false">MAX(FH236-FO236-FS236,0)</f>
        <v>#VALUE!</v>
      </c>
      <c r="GP236" s="1551" t="e">
        <f aca="false">SUM(GL236:GO236)</f>
        <v>#VALUE!</v>
      </c>
      <c r="GQ236" s="1563" t="e">
        <f aca="false">IF(SUM(GL236:GO236)=0,0,((GL236*BU236+GM236*BV236+GN236*BW236+GO236*BX236)/SUM(GL236:GO236)))</f>
        <v>#VALUE!</v>
      </c>
      <c r="GR236" s="1558" t="e">
        <f aca="false">(GL236*BU236+GM236*BV236+GN236*BW236+GO236*BX236)</f>
        <v>#VALUE!</v>
      </c>
      <c r="GS236" s="1566" t="n">
        <f aca="false">IF($A236&gt;=BegDate,Assumptions!$C$56*24*($A237-$A236)*(1-VLOOKUP($B236,MAIN!$AA$7:$AM$28,$C236+1))*(1-VLOOKUP($B236,MAIN!$AA$33:$AM$54,$C236+1)),0)*80/168</f>
        <v>257742.857142857</v>
      </c>
      <c r="GT236" s="286" t="n">
        <f aca="false">J236</f>
        <v>89.5470406335391</v>
      </c>
      <c r="GU236" s="286" t="n">
        <f aca="false">IF($A236&gt;=BegDate,VLOOKUP($A236,GasTable,13)+Assumptions!$C$58,0)</f>
        <v>3.60321000271995</v>
      </c>
      <c r="GV236" s="286" t="n">
        <f aca="false">GU236*Assumptions!$C$57/1000</f>
        <v>26.1232725197196</v>
      </c>
      <c r="GW236" s="1558" t="n">
        <f aca="false">IF(Assumptions!$C$60="Hourly",MAX(0,GS236*(GT236-GV236)),GS236*(GT236-GV236))</f>
        <v>16347023.2044219</v>
      </c>
      <c r="GX236" s="1566" t="n">
        <f aca="false">IF($A236&gt;=BegDate,Assumptions!$C$56*24*($A237-$A236)*(1-VLOOKUP($B236,MAIN!$AA$7:$AM$28,$C236+1))*(1-VLOOKUP($B236,MAIN!$AA$33:$AM$54,$C236+1)),0)*16/168</f>
        <v>51548.5714285714</v>
      </c>
      <c r="GY236" s="286" t="n">
        <f aca="false">M236</f>
        <v>89.5470406335391</v>
      </c>
      <c r="GZ236" s="286" t="n">
        <f aca="false">IF($A236&gt;=BegDate,VLOOKUP($A236,GasTable,13)+Assumptions!$C$58,0)</f>
        <v>3.60321000271995</v>
      </c>
      <c r="HA236" s="286" t="n">
        <f aca="false">GZ236*Assumptions!$C$57/1000</f>
        <v>26.1232725197196</v>
      </c>
      <c r="HB236" s="1558" t="n">
        <f aca="false">IF(Assumptions!$C$60="Hourly",MAX(0,GX236*(GY236-HA236)),GX236*(GY236-HA236))</f>
        <v>3269404.64088438</v>
      </c>
      <c r="HC236" s="1566" t="n">
        <f aca="false">IF($A236&gt;=BegDate,Assumptions!$C$56*24*($A237-$A236)*(1-VLOOKUP($B236,MAIN!$AA$7:$AM$28,$C236+1))*(1-VLOOKUP($B236,MAIN!$AA$33:$AM$54,$C236+1)),0)*16/168</f>
        <v>51548.5714285714</v>
      </c>
      <c r="HD236" s="286" t="n">
        <f aca="false">P236</f>
        <v>37.6568549143465</v>
      </c>
      <c r="HE236" s="286" t="n">
        <f aca="false">IF($A236&gt;=BegDate,VLOOKUP($A236,GasTable,13)+Assumptions!$C$58,0)</f>
        <v>3.60321000271995</v>
      </c>
      <c r="HF236" s="286" t="n">
        <f aca="false">HE236*Assumptions!$C$57/1000</f>
        <v>26.1232725197196</v>
      </c>
      <c r="HG236" s="1558" t="n">
        <f aca="false">IF(Assumptions!$C$60="Hourly",MAX(0,HC236*(HD236-HF236)),HC236*(HD236-HF236))</f>
        <v>594539.695896738</v>
      </c>
      <c r="HH236" s="1566" t="n">
        <f aca="false">IF($A236&gt;=BegDate,Assumptions!$C$56*24*($A237-$A236)*(1-VLOOKUP($B236,MAIN!$AA$7:$AM$28,$C236+1))*(1-VLOOKUP($B236,MAIN!$AA$33:$AM$54,$C236+1)),0)*56/168</f>
        <v>180420</v>
      </c>
      <c r="HI236" s="286" t="n">
        <f aca="false">S236</f>
        <v>37.6568549143465</v>
      </c>
      <c r="HJ236" s="286" t="n">
        <f aca="false">IF($A236&gt;=BegDate,VLOOKUP($A236,GasTable,13)+Assumptions!$C$58,0)</f>
        <v>3.60321000271995</v>
      </c>
      <c r="HK236" s="286" t="n">
        <f aca="false">HJ236*Assumptions!$C$57/1000</f>
        <v>26.1232725197196</v>
      </c>
      <c r="HL236" s="1558" t="n">
        <f aca="false">IF(Assumptions!$C$60="Hourly",MAX(0,HH236*(HI236-HK236)),HH236*(HI236-HK236))</f>
        <v>2080888.93563858</v>
      </c>
      <c r="HM236" s="1566" t="n">
        <f aca="false">IF(AND(Assumptions!$H$71="Yes",A236&gt;=Assumptions!$H$72,A236&lt;=Assumptions!$H$73),Assumptions!$H$74*Assumptions!$C$9*1000,0)</f>
        <v>0</v>
      </c>
      <c r="HN236" s="1551"/>
      <c r="HO236" s="1563"/>
      <c r="HP236" s="1563"/>
      <c r="HQ236" s="1563"/>
      <c r="HR236" s="1563"/>
      <c r="HS236" s="1563"/>
      <c r="HT236" s="1563"/>
      <c r="HU236" s="1563"/>
      <c r="HV236" s="1563"/>
      <c r="HW236" s="1563"/>
      <c r="HX236" s="1563"/>
      <c r="HY236" s="1563"/>
      <c r="HZ236" s="1563"/>
      <c r="IA236" s="1563"/>
      <c r="IB236" s="1563"/>
      <c r="IC236" s="1563"/>
      <c r="ID236" s="1563"/>
      <c r="IE236" s="1563"/>
      <c r="IF236" s="1563"/>
      <c r="IG236" s="1563"/>
      <c r="IH236" s="1563"/>
      <c r="II236" s="1610"/>
      <c r="IJ236" s="1309"/>
      <c r="IK236" s="1309"/>
    </row>
    <row r="237" customFormat="false" ht="12.75" hidden="false" customHeight="false" outlineLevel="0" collapsed="false">
      <c r="A237" s="1571" t="n">
        <f aca="false">EOMONTH(A236,0)+1</f>
        <v>43344</v>
      </c>
      <c r="B237" s="594" t="n">
        <f aca="false">+YEAR(A237)</f>
        <v>2018</v>
      </c>
      <c r="C237" s="238" t="n">
        <f aca="false">MONTH(A237)</f>
        <v>9</v>
      </c>
      <c r="D237" s="1572" t="e">
        <f aca="false">IF(E237="","",Holiday(B237,C237))</f>
        <v>#VALUE!</v>
      </c>
      <c r="E237" s="1573" t="n">
        <f aca="false">IF(OR(BegDate&gt;=A238,EndDate&lt;A237,AND(VolumeMonthlyOverFlag,INDEX(VolumeMonthlyOver,C237)=0),NOT(INDEX(MonthKnockOutTable,C237))),"",MAX(A237,BegDate))</f>
        <v>43344</v>
      </c>
      <c r="F237" s="1574" t="n">
        <f aca="false">IF(E237="","",MIN(A238-1,EndDate))</f>
        <v>43373</v>
      </c>
      <c r="G237" s="1575" t="n">
        <v>0</v>
      </c>
      <c r="H237" s="1576" t="n">
        <f aca="false">(1+G237/2)^(-2*(DATE(B238,C238,20)-DateToday)/365.25)</f>
        <v>1</v>
      </c>
      <c r="I237" s="1568" t="n">
        <f aca="false">IF(Assumptions!$L$25=4,VLOOKUP($A237,'Henwood Reference'!$E$9:$R$320,10),(VLOOKUP($A237,PriceTable,2,0)+IF(BasisNumber&lt;&gt;1,VLOOKUP($A237,BasisTable,2,0),0)+I$1)/(1-I$2))</f>
        <v>70.6116375324224</v>
      </c>
      <c r="J237" s="1568" t="n">
        <f aca="false">IF(Assumptions!$L$25=4,VLOOKUP($A237,'Henwood Reference'!$E$9:$R$320,10),(VLOOKUP($A237,PriceTable,3,0)+IF(BasisNumber&lt;&gt;1,VLOOKUP($A237,BasisTable,2,0),0)+J$1)/(1-J$2))</f>
        <v>70.6116375324224</v>
      </c>
      <c r="K237" s="1568" t="n">
        <f aca="false">IF(Assumptions!$L$25=4,VLOOKUP($A237,'Henwood Reference'!$E$9:$R$320,10),(VLOOKUP($A237,PriceTable,4,0)+IF(BasisNumber&lt;&gt;1,VLOOKUP($A237,BasisTable,2,0),0)+K$1)/(1-K$2))</f>
        <v>70.6116375324224</v>
      </c>
      <c r="L237" s="1523" t="n">
        <f aca="false">IF(Assumptions!$L$25=4,VLOOKUP($A237,'Henwood Reference'!$E$9:$R$320,10),(VLOOKUP($A237,PriceTableWeekend,2,0)+IF(BasisNumber&lt;&gt;1,VLOOKUP($A237,BasisTable,2,0),0)+L$1)/(1-L$2))</f>
        <v>70.6116375324224</v>
      </c>
      <c r="M237" s="1568" t="n">
        <f aca="false">IF(Assumptions!$L$25=4,VLOOKUP($A237,'Henwood Reference'!$E$9:$R$320,10),(VLOOKUP($A237,PriceTableWeekend,3,0)+IF(BasisNumber&lt;&gt;1,VLOOKUP($A237,BasisTable,2,0),0)+M$1)/(1-M$2))</f>
        <v>70.6116375324224</v>
      </c>
      <c r="N237" s="1599" t="n">
        <f aca="false">IF(Assumptions!$L$25=4,VLOOKUP($A237,'Henwood Reference'!$E$9:$R$320,10),(VLOOKUP($A237,PriceTableWeekend,4,0)+IF(BasisNumber&lt;&gt;1,VLOOKUP($A237,BasisTable,2,0),0)+N$1)/(1-N$2))</f>
        <v>70.6116375324224</v>
      </c>
      <c r="O237" s="1568" t="n">
        <f aca="false">IF(Assumptions!$L$25=4,VLOOKUP($A237,'Henwood Reference'!$E$9:$R$320,11),(VLOOKUP($A237,PriceTableWeekend,6,0)+IF(BasisNumber&lt;&gt;1,VLOOKUP($A237,BasisTable,3,0),0)+O$1)/(1-O$2))</f>
        <v>34.0962370191389</v>
      </c>
      <c r="P237" s="1568" t="n">
        <f aca="false">IF(Assumptions!$L$25=4,VLOOKUP($A237,'Henwood Reference'!$E$9:$R$320,11),(VLOOKUP($A237,PriceTableWeekend,7,0)+IF(BasisNumber&lt;&gt;1,VLOOKUP($A237,BasisTable,3,0),0)+P$1)/(1-P$2))</f>
        <v>34.0962370191389</v>
      </c>
      <c r="Q237" s="1599" t="n">
        <f aca="false">IF(Assumptions!$L$25=4,VLOOKUP($A237,'Henwood Reference'!$E$9:$R$320,11),(VLOOKUP($A237,PriceTableWeekend,8,0)+IF(BasisNumber&lt;&gt;1,VLOOKUP($A237,BasisTable,3,0),0)+Q$1)/(1-Q$2))</f>
        <v>34.0962370191389</v>
      </c>
      <c r="R237" s="1568" t="n">
        <f aca="false">IF(Assumptions!$L$25=4,VLOOKUP($A237,'Henwood Reference'!$E$9:$R$320,11),(VLOOKUP($A237,PriceTable,6,0)+IF(BasisNumber&lt;&gt;1,VLOOKUP($A237,BasisTable,3,0),0)+R$1)/(1-R$2))</f>
        <v>34.0962370191389</v>
      </c>
      <c r="S237" s="1568" t="n">
        <f aca="false">IF(Assumptions!$L$25=4,VLOOKUP($A237,'Henwood Reference'!$E$9:$R$320,11),(VLOOKUP($A237,PriceTable,7,0)+IF(BasisNumber&lt;&gt;1,VLOOKUP($A237,BasisTable,3,0),0)+S$1)/(1-S$2))</f>
        <v>34.0962370191389</v>
      </c>
      <c r="T237" s="1600" t="n">
        <f aca="false">IF(Assumptions!$L$25=4,VLOOKUP($A237,'Henwood Reference'!$E$9:$R$320,11),(VLOOKUP($A237,PriceTable,8,0)+IF(BasisNumber&lt;&gt;1,VLOOKUP($A237,BasisTable,3,0),0)+T$1)/(1-T$2))</f>
        <v>34.0962370191389</v>
      </c>
      <c r="U237" s="1513" t="n">
        <f aca="false">VLOOKUP($A237,VolatilityTable,14)</f>
        <v>0.09</v>
      </c>
      <c r="V237" s="1513" t="n">
        <f aca="false">VLOOKUP($A237,VolatilityTable,15)</f>
        <v>0.1</v>
      </c>
      <c r="W237" s="1514" t="n">
        <f aca="false">VLOOKUP($A237,VolatilityTable,16)</f>
        <v>0.11</v>
      </c>
      <c r="X237" s="1513" t="n">
        <f aca="false">VLOOKUP($A237,VolatilityTable,14)</f>
        <v>0.09</v>
      </c>
      <c r="Y237" s="1513" t="n">
        <f aca="false">VLOOKUP($A237,VolatilityTable,15)</f>
        <v>0.1</v>
      </c>
      <c r="Z237" s="1514" t="n">
        <f aca="false">VLOOKUP($A237,VolatilityTable,16)</f>
        <v>0.11</v>
      </c>
      <c r="AA237" s="1513" t="n">
        <f aca="false">VLOOKUP($A237,VolatilityTable,18)</f>
        <v>0.09</v>
      </c>
      <c r="AB237" s="1513" t="n">
        <f aca="false">VLOOKUP($A237,VolatilityTable,19)</f>
        <v>0.11</v>
      </c>
      <c r="AC237" s="1514" t="n">
        <f aca="false">VLOOKUP($A237,VolatilityTable,20)</f>
        <v>0.13</v>
      </c>
      <c r="AD237" s="1513" t="n">
        <f aca="false">VLOOKUP($A237,VolatilityTable,18)</f>
        <v>0.09</v>
      </c>
      <c r="AE237" s="1513" t="n">
        <f aca="false">VLOOKUP($A237,VolatilityTable,19)</f>
        <v>0.11</v>
      </c>
      <c r="AF237" s="1514" t="n">
        <f aca="false">VLOOKUP($A237,VolatilityTable,20)</f>
        <v>0.13</v>
      </c>
      <c r="AG237" s="1513" t="n">
        <f aca="false">VLOOKUP($A237,VolatilityTable,22)</f>
        <v>-0.35</v>
      </c>
      <c r="AH237" s="1513" t="n">
        <f aca="false">VLOOKUP($A237,VolatilityTable,23)</f>
        <v>3</v>
      </c>
      <c r="AI237" s="1514" t="n">
        <f aca="false">VLOOKUP($A237,VolatilityTable,24)</f>
        <v>0.2</v>
      </c>
      <c r="AJ237" s="1513" t="n">
        <f aca="false">VLOOKUP($A237,VolatilityTable,22)</f>
        <v>-0.35</v>
      </c>
      <c r="AK237" s="1513" t="n">
        <f aca="false">VLOOKUP($A237,VolatilityTable,23)</f>
        <v>3</v>
      </c>
      <c r="AL237" s="1514" t="n">
        <f aca="false">VLOOKUP($A237,VolatilityTable,24)</f>
        <v>0.2</v>
      </c>
      <c r="AM237" s="1513" t="n">
        <f aca="false">VLOOKUP($A237,VolatilityTable,26)</f>
        <v>-0.01</v>
      </c>
      <c r="AN237" s="1513" t="n">
        <f aca="false">VLOOKUP($A237,VolatilityTable,27)</f>
        <v>0.16</v>
      </c>
      <c r="AO237" s="1514" t="n">
        <f aca="false">VLOOKUP($A237,VolatilityTable,28)</f>
        <v>0.01</v>
      </c>
      <c r="AP237" s="1513" t="n">
        <f aca="false">VLOOKUP($A237,VolatilityTable,26)</f>
        <v>-0.01</v>
      </c>
      <c r="AQ237" s="1513" t="n">
        <f aca="false">VLOOKUP($A237,VolatilityTable,27)</f>
        <v>0.16</v>
      </c>
      <c r="AR237" s="1515" t="n">
        <f aca="false">VLOOKUP($A237,VolatilityTable,28)</f>
        <v>0.01</v>
      </c>
      <c r="AS237" s="1581" t="n">
        <f aca="false">IF(CorrPeakOffPeakOverFlag,INDEX(CorrPeakOffPeakOver,C237),CorrPeakOffPeak)</f>
        <v>0.5</v>
      </c>
      <c r="AT237" s="594" t="e">
        <f aca="false">AX237-SUM(AU237:AW237)</f>
        <v>#VALUE!</v>
      </c>
      <c r="AU237" s="238" t="e">
        <f aca="false">IF(E237="",0,INT((F237-MOD(F237,7)-E237)/7)+1-IF(AW237,IF(WEEKDAY(D237)=7,1,0),0))</f>
        <v>#VALUE!</v>
      </c>
      <c r="AV237" s="238" t="e">
        <f aca="false">IF(E237="",0,INT((F237-MOD(F237-1,7)-E237)/7)+1-IF(AW237,IF(WEEKDAY(D237)=1,1,0),0))</f>
        <v>#VALUE!</v>
      </c>
      <c r="AW237" s="238" t="e">
        <f aca="false">IF(OR(E237="",D237="",D237&lt;BegDate,D237&gt;EndDate),0,1)</f>
        <v>#VALUE!</v>
      </c>
      <c r="AX237" s="238" t="n">
        <f aca="false">IF(E237="",0,F237-E237+1)</f>
        <v>30</v>
      </c>
      <c r="AY237" s="1582" t="n">
        <f aca="false">IF(E237="",0,MIN((1-(1-VLOOKUP(B237,MAIN!$AA$7:$AM$28,C237+1))*(1-VLOOKUP(B237,MAIN!$AA$33:$AM$54,C237+1))),1))</f>
        <v>0.03</v>
      </c>
      <c r="AZ237" s="1519" t="e">
        <v>#VALUE!</v>
      </c>
      <c r="BA237" s="1520" t="e">
        <v>#VALUE!</v>
      </c>
      <c r="BB237" s="1520" t="e">
        <v>#VALUE!</v>
      </c>
      <c r="BC237" s="1583" t="e">
        <v>#VALUE!</v>
      </c>
      <c r="BD237" s="1522" t="e">
        <v>#VALUE!</v>
      </c>
      <c r="BE237" s="1523" t="e">
        <v>#VALUE!</v>
      </c>
      <c r="BF237" s="1523" t="e">
        <v>#VALUE!</v>
      </c>
      <c r="BG237" s="1584" t="e">
        <v>#VALUE!</v>
      </c>
      <c r="BH237" s="1525" t="e">
        <v>#VALUE!</v>
      </c>
      <c r="BI237" s="1520" t="e">
        <v>#VALUE!</v>
      </c>
      <c r="BJ237" s="1520" t="e">
        <v>#VALUE!</v>
      </c>
      <c r="BK237" s="1583" t="e">
        <v>#VALUE!</v>
      </c>
      <c r="BL237" s="1522" t="e">
        <v>#VALUE!</v>
      </c>
      <c r="BM237" s="1523" t="e">
        <v>#VALUE!</v>
      </c>
      <c r="BN237" s="1523" t="e">
        <v>#VALUE!</v>
      </c>
      <c r="BO237" s="1523" t="e">
        <v>#VALUE!</v>
      </c>
      <c r="BP237" s="1525" t="e">
        <f aca="false">SUM(AZ237:BB237)</f>
        <v>#VALUE!</v>
      </c>
      <c r="BQ237" s="1529" t="e">
        <f aca="false">SUM(AZ237:BC237)</f>
        <v>#VALUE!</v>
      </c>
      <c r="BR237" s="1519" t="e">
        <f aca="false">SUM(BH237:BJ237)</f>
        <v>#VALUE!</v>
      </c>
      <c r="BS237" s="1529" t="e">
        <f aca="false">SUM(BH237:BK237)</f>
        <v>#VALUE!</v>
      </c>
      <c r="BT237" s="1316" t="n">
        <f aca="false">(IF(OVolType&lt;&gt;2,A237+14,IF(OptExpDateShift,ShiftBack(A237,OptExpDateShift,D236),A237))-DateToday)/365.25</f>
        <v>18.3819301848049</v>
      </c>
      <c r="BU237" s="1585" t="e">
        <f aca="false">IF(BQ237,IF(OPriceCurve,IF(OBuySell=OCallPut,I237/(1-AY237),K237/(1-AY237)),J237/(1-AY237))*BD237,0)</f>
        <v>#VALUE!</v>
      </c>
      <c r="BV237" s="1316" t="e">
        <f aca="false">IF(BQ237,IF(OPriceCurve,IF(OBuySell=OCallPut,L237/(1-AY237),N237/(1-AY237)),M237/(1-AY237))*BE237,0)</f>
        <v>#VALUE!</v>
      </c>
      <c r="BW237" s="1316" t="e">
        <f aca="false">IF(BQ237,IF(OPriceCurve,IF(OBuySell=OCallPut,O237/(1-AY237),Q237/(1-AY237)),P237/(1-AY237))*BF237,0)</f>
        <v>#VALUE!</v>
      </c>
      <c r="BX237" s="1316" t="e">
        <f aca="false">IF(BQ237,IF(OPriceCurve,IF(OBuySell=OCallPut,R237/(1-AY237),T237/(1-AY237)),S237/(1-AY237))*BG237,0)</f>
        <v>#VALUE!</v>
      </c>
      <c r="BY237" s="1316" t="e">
        <f aca="false">IF(BP237,(BU237*AZ237+BV237*BA237+BW237*BB237)/BP237,0)</f>
        <v>#VALUE!</v>
      </c>
      <c r="BZ237" s="1316" t="e">
        <f aca="false">IF(BQ237,(BY237*BP237+BX237*BC237)/BQ237,0)</f>
        <v>#VALUE!</v>
      </c>
      <c r="CA237" s="1531" t="e">
        <f aca="false">IF(BS237,IF(OPriceCurve,IF(OBuySell=OCallPut,I237/(1-AY237),K237/(1-AY237)),J237/(1-AY237))*BL237,0)</f>
        <v>#VALUE!</v>
      </c>
      <c r="CB237" s="1316" t="e">
        <f aca="false">IF(BS237,IF(OPriceCurve,IF(OBuySell=OCallPut,L237/(1-AY237),N237/(1-AY237)),M237/(1-AY237))*BM237,0)</f>
        <v>#VALUE!</v>
      </c>
      <c r="CC237" s="1316" t="e">
        <f aca="false">IF(BS237,IF(OPriceCurve,IF(OBuySell=OCallPut,O237/(1-AY237),Q237/(1-AY237)),P237/(1-AY237))*BN237,0)</f>
        <v>#VALUE!</v>
      </c>
      <c r="CD237" s="1316" t="e">
        <f aca="false">IF(BS237,IF(OPriceCurve,IF(OBuySell=OCallPut,R237/(1-AY237),T237/(1-AY237)),S237/(1-AY237))*BO237,0)</f>
        <v>#VALUE!</v>
      </c>
      <c r="CE237" s="1316" t="e">
        <f aca="false">IF(BR237,(BU237*BH237+BV237*BI237+BW237*BJ237)/BR237,0)</f>
        <v>#VALUE!</v>
      </c>
      <c r="CF237" s="1532" t="e">
        <f aca="false">IF(BS237,(CE237*BR237+CD237*BK237)/BS237,0)</f>
        <v>#VALUE!</v>
      </c>
      <c r="CG237" s="1586" t="e">
        <f aca="false">IF(OR(BQ237,BS237),IF(OVolType&lt;&gt;2,SQRT(IF(OVolOverMonthlyPeak,OVolOverMonthlyPeak,IF(OVolCurve,IF(OBuySell,U237,W237),V237))^2*(1-15/365.25/BT237)+IF(OVolOverDailyPeak,OVolOverDailyPeak,IF(OVolCurve,IF(OBuySell,AG237,AI237),AH237))^2*15/365.25/BT237),IF(OVolOverMonthlyPeak,OVolOverMonthlyPeak,IF(OVolCurve,IF(OBuySell,U237,W237),V237))),"")</f>
        <v>#VALUE!</v>
      </c>
      <c r="CH237" s="1587" t="e">
        <f aca="false">IF(OR(BQ237,BS237),IF(OVolType&lt;&gt;2,SQRT(IF(OVolOverMonthlyPeak,OVolOverMonthlyPeak,IF(OVolCurve,IF(OBuySell,X237,Z237),Y237))^2*(1-15/365.25/BT237)+IF(OVolOverDailyPeak,OVolOverDailyPeak,IF(OVolCurve,IF(OBuySell,AJ237,AL237),AK237))^2*15/365.25/BT237),IF(OVolOverMonthlyPeak,OVolOverMonthlyPeak,IF(OVolCurve,IF(OBuySell,X237,Z237),Y237))),"")</f>
        <v>#VALUE!</v>
      </c>
      <c r="CI237" s="1587" t="e">
        <f aca="false">IF(OR(BQ237,BS237),IF(OVolType&lt;&gt;2,SQRT(IF(OVolOverMonthlyPeak,OVolOverMonthlyPeak,IF(OVolCurve,IF(OBuySell,AA237,AC237),AB237))^2*(1-15/365.25/BT237)+IF(OVolOverDailyPeak,OVolOverDailyPeak,IF(OVolCurve,IF(OBuySell,AM237,AO237),AN237))^2*15/365.25/BT237),IF(OVolOverMonthlyPeak,OVolOverMonthlyPeak,IF(OVolCurve,IF(OBuySell,AA237,AC237),AB237))),"")</f>
        <v>#VALUE!</v>
      </c>
      <c r="CJ237" s="1587" t="e">
        <f aca="false">IF(BQ237,IF(BP237,SQRT(LN(1+((BU237*AZ237)^2*(EXP(CG237^2*BT237)-1)+(BV237*BA237)^2*(EXP(CH237^2*BT237)-1)+(BW237*BB237)^2*(EXP(CI237^2*BT237)-1)+2*BU237*AZ237*BV237*BA237*(EXP(CG237*CH237*BT237)-1)+2*BV237*BA237*BW237*BB237*(EXP(CH237*CI237*BT237)-1)+2*BW237*BB237*BU237*AZ237*(EXP(CI237*CG237*BT237)-1))/(BY237*BP237)^2)/BT237),0),"")</f>
        <v>#VALUE!</v>
      </c>
      <c r="CK237" s="1587" t="e">
        <f aca="false">IF(BS237,IF(BR237,SQRT(LN(1+((CA237*BH237)^2*(EXP(CG237^2*BT237)-1)+(CB237*BI237)^2*(EXP(CH237^2*BT237)-1)+(CC237*BJ237)^2*(EXP(CI237^2*BT237)-1)+2*CA237*BH237*CB237*BI237*(EXP(CG237*CH237*BT237)-1)+2*CB237*BI237*CC237*BJ237*(EXP(CH237*CI237*BT237)-1)+2*CC237*BJ237*CA237*BH237*(EXP(CI237*CG237*BT237)-1))/(CE237*BR237)^2)/BT237),0),"")</f>
        <v>#VALUE!</v>
      </c>
      <c r="CL237" s="1587" t="e">
        <f aca="false">IF(OR(BQ237,BS237),IF(OVolType&lt;&gt;2,SQRT(IF(OVolOverMonthlyOffPeak,OVolOverMonthlyOffPeak,IF(OVolCurve,IF(OBuySell,AD237,AF237),AE237))^2*(1-15/365.25/BT237)+IF(OVolOverDailyOffPeak,OVolOverDailyOffPeak,IF(OVolCurve,IF(OBuySell,AP237,AR237),AQ237))^2*15/365.25/BT237),IF(OVolOverMonthlyOffPeak,OVolOverMonthlyOffPeak,IF(OVolCurve,IF(OBuySell,AD237,AF237),AE237))),"")</f>
        <v>#VALUE!</v>
      </c>
      <c r="CM237" s="1587" t="e">
        <f aca="false">IF(BQ237,SQRT(LN(1+((BY237*BP237)^2*(EXP(CJ237^2*BT237)-1)+(BX237*BC237)^2*(EXP(CL237^2*BT237)-1)+2*BY237*BP237*BX237*BC237*(EXP(AS237*CJ237*CL237*BT237)-1))/(BY237*BP237+BX237*BC237)^2)/BT237),"")</f>
        <v>#VALUE!</v>
      </c>
      <c r="CN237" s="1588" t="e">
        <f aca="false">IF(BS237,SQRT(LN(1+((CE237*BR237)^2*(EXP(CK237^2*BT237)-1)+(CD237*BK237)^2*(EXP(CL237^2*BT237)-1)+2*CE237*BR237*CD237*BK237*(EXP(AS237*CK237*CL237*BT237)-1))/(CE237*BR237+CD237*BK237)^2)/BT237),"")</f>
        <v>#VALUE!</v>
      </c>
      <c r="CO237" s="1531" t="e">
        <f aca="false">IF(OR(BQ237,BS237),VLOOKUP(A237,GasTable,13)*HeatRatePeak*(1+VLOOKUP($B237,HeatRateDegradation,$C237+1))/1000,0)</f>
        <v>#VALUE!</v>
      </c>
      <c r="CP237" s="1316" t="e">
        <f aca="false">IF(OR(BQ237,BS237),VLOOKUP(A237,GasTable,13)*HeatRatePeak*(1+VLOOKUP($B237,HeatRateDegradation,$C237+1))/1000,0)</f>
        <v>#VALUE!</v>
      </c>
      <c r="CQ237" s="1316" t="e">
        <f aca="false">IF(OR(BQ237,BS237),VLOOKUP(A237,GasTable,13)*IF(EV237,HeatRatePeak,HeatRateOffPeak)*(1+VLOOKUP($B237,HeatRateDegradation,$C237+1))/1000,0)</f>
        <v>#VALUE!</v>
      </c>
      <c r="CR237" s="1316" t="e">
        <f aca="false">IF(OR(BQ237,BS237),VLOOKUP(A237,GasTable,13)*IF(EW237,HeatRatePeak,HeatRateOffPeak)*(1+VLOOKUP($B237,HeatRateDegradation,$C237+1))/1000,0)</f>
        <v>#VALUE!</v>
      </c>
      <c r="CS237" s="1589" t="e">
        <f aca="false">IF(BQ237,(CO237*AZ237+CP237*BA237+CQ237*BB237+CR237*BC237)/BQ237,0)</f>
        <v>#VALUE!</v>
      </c>
      <c r="CT237" s="1316" t="e">
        <f aca="false">IF(BS237,CO237,0)</f>
        <v>#VALUE!</v>
      </c>
      <c r="CU237" s="1590" t="e">
        <f aca="false">IF(OR(BQ237,BS237),VLOOKUP(A237,GasTable,14),"")</f>
        <v>#VALUE!</v>
      </c>
      <c r="CV237" s="1568" t="e">
        <f aca="false">IF(OR(BQ237,BS237),IF(CorrPowerGasOverFlag,INDEX(CorrPowerGasOver,C237),CorrPowerGas),"")</f>
        <v>#VALUE!</v>
      </c>
      <c r="CW237" s="1316" t="e">
        <f aca="false">IF(OR($BQ237,$BS237),SpreadOptPowerMargin,0)*((1+Assumptions!$C$26)^($B237-YEAR(Assumptions!$C$17)))</f>
        <v>#VALUE!</v>
      </c>
      <c r="CX237" s="1316" t="e">
        <f aca="false">IF(OR($BQ237,$BS237),SpreadOptPowerMargin,0)*((1+Assumptions!$C$26)^($B237-YEAR(Assumptions!$C$17)))</f>
        <v>#VALUE!</v>
      </c>
      <c r="CY237" s="1316" t="e">
        <f aca="false">IF(OR($BQ237,$BS237),SpreadOptPowerMargin,0)*((1+Assumptions!$C$26)^($B237-YEAR(Assumptions!$C$17)))</f>
        <v>#VALUE!</v>
      </c>
      <c r="CZ237" s="1316" t="e">
        <f aca="false">IF(OR($BQ237,$BS237),SpreadOptPowerMargin,0)*((1+Assumptions!$C$26)^($B237-YEAR(Assumptions!$C$17)))</f>
        <v>#VALUE!</v>
      </c>
      <c r="DA237" s="1591" t="e">
        <f aca="false">IF(OR(BQ237,BS237),(CW237*(AZ237+BH237)+CX237*(BA237+BI237)+CY237*(BB237+BJ237)+CZ237*(BC237+BK237))/(BQ237+BS237),0)</f>
        <v>#VALUE!</v>
      </c>
      <c r="DB237" s="1592" t="e">
        <f aca="false">IF(OR(BQ237,BS237),CG237+IF(OVolSmile,VLOOKUP(MAX(-5,CO237+CW237-BU237),IF(OVolSmile=1,VolSmileBook,VolSmileModel),2),0),"")</f>
        <v>#VALUE!</v>
      </c>
      <c r="DC237" s="1592" t="e">
        <f aca="false">IF(OR(BQ237,BS237),CH237+IF(OVolSmile,VLOOKUP(MAX(-5,CP237+CW237-BV237),IF(OVolSmile=1,VolSmileBook,VolSmileModel),2),0),"")</f>
        <v>#VALUE!</v>
      </c>
      <c r="DD237" s="1592" t="e">
        <f aca="false">IF(OR(BQ237,BS237),CI237+IF(OVolSmile,VLOOKUP(MAX(-5,CQ237+CW237-BW237),IF(OVolSmile=1,VolSmileBook,VolSmileModel),2),0),"")</f>
        <v>#VALUE!</v>
      </c>
      <c r="DE237" s="1592" t="e">
        <f aca="false">IF(OR(BQ237,BS237),CL237+IF(OVolSmile,VLOOKUP(MAX(-5,CR237+CZ237-BX237),IF(OVolSmile=1,VolSmileBook,VolSmileModel),2),0),"")</f>
        <v>#VALUE!</v>
      </c>
      <c r="DF237" s="1592" t="e">
        <f aca="false">IF(BQ237,CM237+IF(OVolSmile,VLOOKUP(MAX(-5,CS237+DA237-BZ237),IF(OVolSmile=1,VolSmileBook,VolSmileModel),2),0),"")</f>
        <v>#VALUE!</v>
      </c>
      <c r="DG237" s="1593" t="e">
        <f aca="false">IF(BS237,CN237+IF(OVolSmile,VLOOKUP(MAX(-5,CT237+DA237-CF237),IF(OVolSmile=1,VolSmileBook,VolSmileModel),2),0),"")</f>
        <v>#VALUE!</v>
      </c>
      <c r="DH237" s="1316" t="e">
        <f aca="false">IF(AND(BU237&gt;0,CO237&gt;0,DB237&gt;0,CU237&gt;0),newSPRDOPT(BU237,CO237,CW237,0,DB237,CU237,CV237,BT237*365.25,OCallPut,0),0)</f>
        <v>#VALUE!</v>
      </c>
      <c r="DI237" s="1316" t="e">
        <f aca="false">IF(AND(BV237&gt;0,CP237&gt;0,DC237&gt;0,CU237&gt;0),newSPRDOPT(BV237,CP237,CX237,0,DC237,CU237,CV237,BT237*365.25,OCallPut,0),0)</f>
        <v>#VALUE!</v>
      </c>
      <c r="DJ237" s="1316" t="e">
        <f aca="false">IF(AND(BW237&gt;0,CQ237&gt;0,DD237&gt;0,CU237&gt;0),newSPRDOPT(BW237,CQ237,CY237,0,DD237,CU237,CV237,BT237*365.25,OCallPut,0),0)</f>
        <v>#VALUE!</v>
      </c>
      <c r="DK237" s="1316" t="e">
        <f aca="false">IF(AND(BX237&gt;0,CR237&gt;0,DE237&gt;0,CU237&gt;0),newSPRDOPT(BX237,CR237,CZ237,0,DE237,CU237,CV237,BT237*365.25,OCallPut,0),0)</f>
        <v>#VALUE!</v>
      </c>
      <c r="DL237" s="1316" t="e">
        <f aca="false">IF(OVolType,IF(AND(BZ237&gt;0,CS237&gt;0,DF237&gt;0,CU237&gt;0),newSPRDOPT(BZ237,CS237,DA237,0,DF237,CU237,CV237,BT237*365.25,OCallPut,0),0),IF(BQ237,(DH237*AZ237+DI237*BA237+DJ237*BB237+DK237*BC237)/BQ237,0))</f>
        <v>#VALUE!</v>
      </c>
      <c r="DM237" s="1316"/>
      <c r="DN237" s="1316"/>
      <c r="DO237" s="1316"/>
      <c r="DP237" s="1316"/>
      <c r="DQ237" s="1316"/>
      <c r="DR237" s="1316"/>
      <c r="DS237" s="1316"/>
      <c r="DT237" s="1316"/>
      <c r="DU237" s="1316"/>
      <c r="DV237" s="1316"/>
      <c r="DW237" s="1594" t="e">
        <f aca="false">IF(AND(BW237&gt;0,CT237&gt;0,DD237&gt;0,CU237&gt;0),newSPRDOPT(BW237,CT237,CY237,0,DD237,CU237,CV237,BT237*365.25,OCallPut,0),0)</f>
        <v>#VALUE!</v>
      </c>
      <c r="DX237" s="1316" t="e">
        <f aca="false">IF(AND(BX237&gt;0,CT237&gt;0,DE237&gt;0,CU237&gt;0),newSPRDOPT(BX237,CT237,CZ237,0,DE237,CU237,CV237,BT237*365.25,OCallPut,0),0)</f>
        <v>#VALUE!</v>
      </c>
      <c r="DY237" s="1591" t="e">
        <f aca="false">IF(BS237,(DH237*BH237+DI237*BI237+DW237*BJ237+DX237*BK237)/BS237,0)</f>
        <v>#VALUE!</v>
      </c>
      <c r="DZ237" s="1551" t="e">
        <f aca="false">DH237*AZ237</f>
        <v>#VALUE!</v>
      </c>
      <c r="EA237" s="1551" t="e">
        <f aca="false">DI237*BA237</f>
        <v>#VALUE!</v>
      </c>
      <c r="EB237" s="1551" t="e">
        <f aca="false">DJ237*BB237</f>
        <v>#VALUE!</v>
      </c>
      <c r="EC237" s="1551" t="e">
        <f aca="false">DK237*BC237</f>
        <v>#VALUE!</v>
      </c>
      <c r="ED237" s="1551" t="e">
        <f aca="false">DL237*BQ237</f>
        <v>#VALUE!</v>
      </c>
      <c r="EE237" s="1595" t="e">
        <f aca="false">IF(BQ237,IF(OCallPut,IF(BU237&gt;(CO237+CW237),BU237-(CO237+CW237),0),IF((CO237+CW237)&gt;BU237,(CO237+CW237)-BU237,0))*AZ237,0)</f>
        <v>#VALUE!</v>
      </c>
      <c r="EF237" s="1596" t="e">
        <f aca="false">IF(BQ237,IF(OCallPut,IF(BV237&gt;(CP237+CX237),BV237-(CP237+CX237),0),IF((CP237+CX237)&gt;BV237,(CP237+CX237)-BV237,0))*BA237,0)</f>
        <v>#VALUE!</v>
      </c>
      <c r="EG237" s="1596" t="e">
        <f aca="false">IF(BQ237,IF(OCallPut,IF(BW237&gt;(CQ237+CY237),BW237-(CQ237+CY237),0),IF((CQ237+CY237)&gt;BW237,(CQ237+CY237)-BW237,0))*BB237,0)</f>
        <v>#VALUE!</v>
      </c>
      <c r="EH237" s="1596" t="e">
        <f aca="false">IF(BQ237,IF(OCallPut,IF(BX237&gt;(CR237+CZ237),BX237-(CR237+CZ237),0),IF((CR237+CZ237)&gt;BX237,(CR237+CZ237)-BX237,0))*BC237,0)</f>
        <v>#VALUE!</v>
      </c>
      <c r="EI237" s="1597" t="e">
        <f aca="false">IF(BQ237,IF(OVolType,IF(OCallPut,IF(BZ237&gt;(CS237+DA237),BZ237-(CS237+DA237),0),IF((CS237+DA237)&gt;BZ237,(CS237+DA237)-BZ237,0))*BQ237,SUM(EE237:EH237)),0)</f>
        <v>#VALUE!</v>
      </c>
      <c r="EJ237" s="1595" t="e">
        <f aca="false">DZ237-EE237</f>
        <v>#VALUE!</v>
      </c>
      <c r="EK237" s="1596" t="e">
        <f aca="false">EA237-EF237</f>
        <v>#VALUE!</v>
      </c>
      <c r="EL237" s="1596" t="e">
        <f aca="false">EB237-EG237</f>
        <v>#VALUE!</v>
      </c>
      <c r="EM237" s="1596" t="e">
        <f aca="false">EC237-EH237</f>
        <v>#VALUE!</v>
      </c>
      <c r="EN237" s="1597" t="e">
        <f aca="false">ED237-EI237</f>
        <v>#VALUE!</v>
      </c>
      <c r="EO237" s="1551" t="e">
        <f aca="false">DH237*BH237</f>
        <v>#VALUE!</v>
      </c>
      <c r="EP237" s="1551" t="e">
        <f aca="false">DI237*BI237</f>
        <v>#VALUE!</v>
      </c>
      <c r="EQ237" s="1551" t="e">
        <f aca="false">DW237*BJ237</f>
        <v>#VALUE!</v>
      </c>
      <c r="ER237" s="1551" t="e">
        <f aca="false">DX237*BK237</f>
        <v>#VALUE!</v>
      </c>
      <c r="ES237" s="1551" t="e">
        <f aca="false">DY237*BS237</f>
        <v>#VALUE!</v>
      </c>
      <c r="ET237" s="1566" t="e">
        <f aca="false">IF(EI237,IF(OCallPut,IF(CA237&gt;(CT237+CW237),CA237-(CT237+CW237),0),IF((CT237+CW237)&gt;CA237,(CT237+CW237)-CA237,0))*BH237,0)</f>
        <v>#VALUE!</v>
      </c>
      <c r="EU237" s="1551" t="e">
        <f aca="false">IF(EI237,IF(OCallPut,IF(CB237&gt;(CT237+CX237),CB237-(CT237+CX237),0),IF((CT237+CX237)&gt;CB237,(CT237+CX237)-CB237,0))*BI237,0)</f>
        <v>#VALUE!</v>
      </c>
      <c r="EV237" s="1551" t="e">
        <f aca="false">IF(EI237,IF(OCallPut,IF(CC237&gt;(CT237+CY237),CC237-(CT237+CY237),0),IF((CT237+CY237)&gt;CC237,(CT237+CY237)-CC237,0))*BJ237,0)</f>
        <v>#VALUE!</v>
      </c>
      <c r="EW237" s="1551" t="e">
        <f aca="false">IF(EI237,IF(OCallPut,IF(CD237&gt;(CT237+CZ237),CD237-(CT237+CZ237),0),IF((CT237+CZ237)&gt;CD237,(CT237+CZ237)-CD237,0))*BK237,0)</f>
        <v>#VALUE!</v>
      </c>
      <c r="EX237" s="1558" t="e">
        <f aca="false">IF(EI237,SUM(ET237:EW237),0)</f>
        <v>#VALUE!</v>
      </c>
      <c r="EY237" s="1551" t="e">
        <f aca="false">EO237-ET237</f>
        <v>#VALUE!</v>
      </c>
      <c r="EZ237" s="1551" t="e">
        <f aca="false">EP237-EU237</f>
        <v>#VALUE!</v>
      </c>
      <c r="FA237" s="1551" t="e">
        <f aca="false">EQ237-EV237</f>
        <v>#VALUE!</v>
      </c>
      <c r="FB237" s="1551" t="e">
        <f aca="false">ER237-EW237</f>
        <v>#VALUE!</v>
      </c>
      <c r="FC237" s="1551" t="e">
        <f aca="false">ES237-EX237</f>
        <v>#VALUE!</v>
      </c>
      <c r="FD237" s="1525" t="n">
        <f aca="false">IF(AX237,IF(VLOOKUP(C237,MAIN!$L$17:$M$28,2)="Yes",VLOOKUP(CALC!B237,MAIN!$H$17:$I$20,2),0),0)</f>
        <v>0</v>
      </c>
      <c r="FE237" s="1552" t="e">
        <f aca="false">$FD237*16*AT237*(1-$AY237)</f>
        <v>#VALUE!</v>
      </c>
      <c r="FF237" s="1553" t="e">
        <f aca="false">$FD237*16*AU237*(1-$AY237)</f>
        <v>#VALUE!</v>
      </c>
      <c r="FG237" s="1553" t="e">
        <f aca="false">$FD237*16*(AV237+AW237)*(1-$AY237)</f>
        <v>#VALUE!</v>
      </c>
      <c r="FH237" s="1554" t="n">
        <f aca="false">$FD237*8*AX237*(1-$AY237)</f>
        <v>0</v>
      </c>
      <c r="FI237" s="1555" t="n">
        <f aca="false">IF(AX237,VLOOKUP(CALC!B237,MAIN!$H$17:$K$20,4),0)</f>
        <v>0</v>
      </c>
      <c r="FJ237" s="1553" t="e">
        <f aca="false">SUM(FE237:FH237)</f>
        <v>#VALUE!</v>
      </c>
      <c r="FK237" s="1556" t="e">
        <f aca="false">FI237*FJ237</f>
        <v>#VALUE!</v>
      </c>
      <c r="FL237" s="1551" t="e">
        <f aca="false">IF($EI237&gt;0,MIN(FE237,AZ237*(1+VLOOKUP($C237,WeatherCapacityAdjustment,2))),0)</f>
        <v>#VALUE!</v>
      </c>
      <c r="FM237" s="1551" t="e">
        <f aca="false">IF($EI237&gt;0,MIN(FF237,BA237*(1+VLOOKUP($C237,WeatherCapacityAdjustment,2))),0)</f>
        <v>#VALUE!</v>
      </c>
      <c r="FN237" s="1551" t="e">
        <f aca="false">IF($EI237&gt;0,MIN(FG237,BB237*(1+VLOOKUP($C237,WeatherCapacityAdjustment,2))),0)</f>
        <v>#VALUE!</v>
      </c>
      <c r="FO237" s="1564" t="e">
        <f aca="false">IF($EI237&gt;0,MIN(FH237,BC237*(1+VLOOKUP($C237,WeatherCapacityAdjustment,3))),0)</f>
        <v>#VALUE!</v>
      </c>
      <c r="FP237" s="1551" t="e">
        <f aca="false">IF(ET237&gt;0,MIN(FE237-FL237,BH237*(1+VLOOKUP($C237,WeatherCapacityAdjustment,2))),0)</f>
        <v>#VALUE!</v>
      </c>
      <c r="FQ237" s="1551" t="e">
        <f aca="false">IF(EU237&gt;0,MIN(FF237-FM237,BI237*(1+VLOOKUP($C237,WeatherCapacityAdjustment,2))),0)</f>
        <v>#VALUE!</v>
      </c>
      <c r="FR237" s="1551" t="e">
        <f aca="false">IF(EV237&gt;0,MIN(FG237-FN237,BJ237*(1+VLOOKUP($C237,WeatherCapacityAdjustment,2))),0)</f>
        <v>#VALUE!</v>
      </c>
      <c r="FS237" s="1558" t="e">
        <f aca="false">IF(EW237&gt;0,MIN(FH237-FO237,BK237*(1+VLOOKUP($C237,WeatherCapacityAdjustment,3))),0)</f>
        <v>#VALUE!</v>
      </c>
      <c r="FT237" s="1566" t="e">
        <f aca="false">IF(AND(Assumptions!$H$71="Yes",A237&gt;=Assumptions!$H$72,A237&lt;=Assumptions!$H$73),0,IF(AND($A237&gt;=Assumptions!$C$17,$A237&lt;=Assumptions!$C$18),MAX(AZ237*(1+VLOOKUP($C237,WeatherCapacityAdjustment,2))-FL237,0),0))</f>
        <v>#VALUE!</v>
      </c>
      <c r="FU237" s="1551" t="e">
        <f aca="false">IF(AND(Assumptions!$H$71="Yes",A237&gt;=Assumptions!$H$72,A237&lt;=Assumptions!$H$73),0,IF(AND($A237&gt;=Assumptions!$C$17,$A237&lt;=Assumptions!$C$18),MAX(BA237*(1+VLOOKUP($C237,WeatherCapacityAdjustment,2))-FM237,0),0))</f>
        <v>#VALUE!</v>
      </c>
      <c r="FV237" s="1551" t="e">
        <f aca="false">IF(AND(Assumptions!$H$71="Yes",A237&gt;=Assumptions!$H$72,A237&lt;=Assumptions!$H$73),0,IF(AND($A237&gt;=Assumptions!$C$17,$A237&lt;=Assumptions!$C$18),MAX(BB237*(1+VLOOKUP($C237,WeatherCapacityAdjustment,2))-FN237,0),0))</f>
        <v>#VALUE!</v>
      </c>
      <c r="FW237" s="1564" t="e">
        <f aca="false">IF(AND(Assumptions!$H$71="Yes",A237&gt;=Assumptions!$H$72,A237&lt;=Assumptions!$H$73),0,IF(AND($A237&gt;=Assumptions!$C$17,$A237&lt;=Assumptions!$C$18),MAX(BC237*(1+VLOOKUP($C237,WeatherCapacityAdjustment,3))-FO237,0),0))</f>
        <v>#VALUE!</v>
      </c>
      <c r="FX237" s="1569" t="e">
        <f aca="false">IF(AND(Assumptions!$H$71="Yes",A237&gt;=Assumptions!$H$72,A237&lt;=Assumptions!$H$73),0,IF(ET237&gt;0,MAX(BH237*(1+VLOOKUP($C237,WeatherCapacityAdjustment,2))-FP237,0),0))</f>
        <v>#VALUE!</v>
      </c>
      <c r="FY237" s="1551" t="e">
        <f aca="false">IF(AND(Assumptions!$H$71="Yes",A237&gt;=Assumptions!$H$72,A237&lt;=Assumptions!$H$73),0,IF(EU237&gt;0,MAX(BI237*(1+VLOOKUP($C237,WeatherCapacityAdjustment,3))-FQ237,0),0))</f>
        <v>#VALUE!</v>
      </c>
      <c r="FZ237" s="1551" t="e">
        <f aca="false">IF(AND(Assumptions!$H$71="Yes",A237&gt;=Assumptions!$H$72,A237&lt;=Assumptions!$H$73),0,IF(EV237&gt;0,MAX(BJ237*(1+VLOOKUP($C237,WeatherCapacityAdjustment,2))-FR237,0),0))</f>
        <v>#VALUE!</v>
      </c>
      <c r="GA237" s="1564" t="e">
        <f aca="false">IF(AND(Assumptions!$H$71="Yes",A237&gt;=Assumptions!$H$72,A237&lt;=Assumptions!$H$73),0,IF(EW237&gt;0,MAX(BK237*(1+VLOOKUP($C237,WeatherCapacityAdjustment,2))-FS237,0),0))</f>
        <v>#VALUE!</v>
      </c>
      <c r="GB237" s="1551" t="e">
        <f aca="false">SUM(FT237:GA237)</f>
        <v>#VALUE!</v>
      </c>
      <c r="GC237" s="1563" t="e">
        <f aca="false">+IF(SUM(FT237:GA237)=0,0,(SUMPRODUCT(BU237:BX237,FT237:FW237)+SUMPRODUCT(CA237:CD237,FX237:GA237))/SUM(FT237:GA237))</f>
        <v>#VALUE!</v>
      </c>
      <c r="GD237" s="1551" t="e">
        <f aca="false">(FT237*BU237+FX237*CA237+FU237*BV237+FY237*CB237+FV237*BW237+FZ237*CC237+FW237*BX237+GA237*CD237)</f>
        <v>#VALUE!</v>
      </c>
      <c r="GE237" s="1561" t="e">
        <f aca="false">+IF(BQ237,((FL237+FM237+FT237+FU237)*HeatRatePeak/1000*(1+VLOOKUP($C237,WeatherHeatRateAdjustment,2))+(FN237+FV237)*IF(EV237&gt;0,HeatRatePeak,HeatRateOffPeak)/1000*(1+VLOOKUP($C237,WeatherHeatRateAdjustment,2))+(FO237+FW237)*IF(EW237&gt;0,HeatRatePeak,HeatRateOffPeak)/1000*(1+VLOOKUP($C237,WeatherHeatRateAdjustment,3)))*(1+VLOOKUP($B237,HeatRateDegradation,$C237+1)),0)</f>
        <v>#VALUE!</v>
      </c>
      <c r="GF237" s="1562" t="e">
        <f aca="false">IF(BQ237,((FP237+FQ237+FR237+FX237+FY237+FZ237)*HeatRatePeak/1000*(1+VLOOKUP($C237,WeatherHeatRateAdjustment,2))+(FS237+GA237)*HeatRatePeak/1000*(1+VLOOKUP($C237,WeatherHeatRateAdjustment,3)))*(1+VLOOKUP($B237,HeatRateDegradation,$C237+1)),0)</f>
        <v>#VALUE!</v>
      </c>
      <c r="GG237" s="1563" t="e">
        <f aca="false">IF(BQ237,VLOOKUP(A237,GasTable,13),0)</f>
        <v>#VALUE!</v>
      </c>
      <c r="GH237" s="1564" t="e">
        <f aca="false">(GE237+GF237)*GG237</f>
        <v>#VALUE!</v>
      </c>
      <c r="GI237" s="1569" t="e">
        <f aca="false">GB237</f>
        <v>#VALUE!</v>
      </c>
      <c r="GJ237" s="1598" t="e">
        <f aca="false">+DA237</f>
        <v>#VALUE!</v>
      </c>
      <c r="GK237" s="1558" t="e">
        <f aca="false">+GI237*GJ237</f>
        <v>#VALUE!</v>
      </c>
      <c r="GL237" s="1566" t="e">
        <f aca="false">MAX(FE237-FL237-FP237,0)</f>
        <v>#VALUE!</v>
      </c>
      <c r="GM237" s="1551" t="e">
        <f aca="false">MAX(FF237-FM237-FQ237,0)</f>
        <v>#VALUE!</v>
      </c>
      <c r="GN237" s="1551" t="e">
        <f aca="false">MAX(FG237-FN237-FR237,0)</f>
        <v>#VALUE!</v>
      </c>
      <c r="GO237" s="1564" t="e">
        <f aca="false">MAX(FH237-FO237-FS237,0)</f>
        <v>#VALUE!</v>
      </c>
      <c r="GP237" s="1551" t="e">
        <f aca="false">SUM(GL237:GO237)</f>
        <v>#VALUE!</v>
      </c>
      <c r="GQ237" s="1563" t="e">
        <f aca="false">IF(SUM(GL237:GO237)=0,0,((GL237*BU237+GM237*BV237+GN237*BW237+GO237*BX237)/SUM(GL237:GO237)))</f>
        <v>#VALUE!</v>
      </c>
      <c r="GR237" s="1558" t="e">
        <f aca="false">(GL237*BU237+GM237*BV237+GN237*BW237+GO237*BX237)</f>
        <v>#VALUE!</v>
      </c>
      <c r="GS237" s="1566" t="n">
        <f aca="false">IF($A237&gt;=BegDate,Assumptions!$C$56*24*($A238-$A237)*(1-VLOOKUP($B237,MAIN!$AA$7:$AM$28,$C237+1))*(1-VLOOKUP($B237,MAIN!$AA$33:$AM$54,$C237+1)),0)*80/168</f>
        <v>249428.571428571</v>
      </c>
      <c r="GT237" s="286" t="n">
        <f aca="false">J237</f>
        <v>70.6116375324224</v>
      </c>
      <c r="GU237" s="286" t="n">
        <f aca="false">IF($A237&gt;=BegDate,VLOOKUP($A237,GasTable,13)+Assumptions!$C$58,0)</f>
        <v>3.75289711609261</v>
      </c>
      <c r="GV237" s="286" t="n">
        <f aca="false">GU237*Assumptions!$C$57/1000</f>
        <v>27.2085040916714</v>
      </c>
      <c r="GW237" s="1558" t="n">
        <f aca="false">IF(Assumptions!$C$60="Hourly",MAX(0,GS237*(GT237-GV237)),GS237*(GT237-GV237))</f>
        <v>10825981.5696502</v>
      </c>
      <c r="GX237" s="1566" t="n">
        <f aca="false">IF($A237&gt;=BegDate,Assumptions!$C$56*24*($A238-$A237)*(1-VLOOKUP($B237,MAIN!$AA$7:$AM$28,$C237+1))*(1-VLOOKUP($B237,MAIN!$AA$33:$AM$54,$C237+1)),0)*16/168</f>
        <v>49885.7142857143</v>
      </c>
      <c r="GY237" s="286" t="n">
        <f aca="false">M237</f>
        <v>70.6116375324224</v>
      </c>
      <c r="GZ237" s="286" t="n">
        <f aca="false">IF($A237&gt;=BegDate,VLOOKUP($A237,GasTable,13)+Assumptions!$C$58,0)</f>
        <v>3.75289711609261</v>
      </c>
      <c r="HA237" s="286" t="n">
        <f aca="false">GZ237*Assumptions!$C$57/1000</f>
        <v>27.2085040916714</v>
      </c>
      <c r="HB237" s="1558" t="n">
        <f aca="false">IF(Assumptions!$C$60="Hourly",MAX(0,GX237*(GY237-HA237)),GX237*(GY237-HA237))</f>
        <v>2165196.31393003</v>
      </c>
      <c r="HC237" s="1566" t="n">
        <f aca="false">IF($A237&gt;=BegDate,Assumptions!$C$56*24*($A238-$A237)*(1-VLOOKUP($B237,MAIN!$AA$7:$AM$28,$C237+1))*(1-VLOOKUP($B237,MAIN!$AA$33:$AM$54,$C237+1)),0)*16/168</f>
        <v>49885.7142857143</v>
      </c>
      <c r="HD237" s="286" t="n">
        <f aca="false">P237</f>
        <v>34.0962370191389</v>
      </c>
      <c r="HE237" s="286" t="n">
        <f aca="false">IF($A237&gt;=BegDate,VLOOKUP($A237,GasTable,13)+Assumptions!$C$58,0)</f>
        <v>3.75289711609261</v>
      </c>
      <c r="HF237" s="286" t="n">
        <f aca="false">HE237*Assumptions!$C$57/1000</f>
        <v>27.2085040916714</v>
      </c>
      <c r="HG237" s="1558" t="n">
        <f aca="false">IF(Assumptions!$C$60="Hourly",MAX(0,HC237*(HD237-HF237)),HC237*(HD237-HF237))</f>
        <v>343599.476895947</v>
      </c>
      <c r="HH237" s="1566" t="n">
        <f aca="false">IF($A237&gt;=BegDate,Assumptions!$C$56*24*($A238-$A237)*(1-VLOOKUP($B237,MAIN!$AA$7:$AM$28,$C237+1))*(1-VLOOKUP($B237,MAIN!$AA$33:$AM$54,$C237+1)),0)*56/168</f>
        <v>174600</v>
      </c>
      <c r="HI237" s="286" t="n">
        <f aca="false">S237</f>
        <v>34.0962370191389</v>
      </c>
      <c r="HJ237" s="286" t="n">
        <f aca="false">IF($A237&gt;=BegDate,VLOOKUP($A237,GasTable,13)+Assumptions!$C$58,0)</f>
        <v>3.75289711609261</v>
      </c>
      <c r="HK237" s="286" t="n">
        <f aca="false">HJ237*Assumptions!$C$57/1000</f>
        <v>27.2085040916714</v>
      </c>
      <c r="HL237" s="1558" t="n">
        <f aca="false">IF(Assumptions!$C$60="Hourly",MAX(0,HH237*(HI237-HK237)),HH237*(HI237-HK237))</f>
        <v>1202598.16913581</v>
      </c>
      <c r="HM237" s="1566" t="n">
        <f aca="false">IF(AND(Assumptions!$H$71="Yes",A237&gt;=Assumptions!$H$72,A237&lt;=Assumptions!$H$73),Assumptions!$H$74*Assumptions!$C$9*1000,0)</f>
        <v>0</v>
      </c>
      <c r="HN237" s="1551"/>
      <c r="HO237" s="1563"/>
      <c r="HP237" s="1563"/>
      <c r="HQ237" s="1563"/>
      <c r="HR237" s="1563"/>
      <c r="HS237" s="1563"/>
      <c r="HT237" s="1563"/>
      <c r="HU237" s="1563"/>
      <c r="HV237" s="1563"/>
      <c r="HW237" s="1563"/>
      <c r="HX237" s="1563"/>
      <c r="HY237" s="1563"/>
      <c r="HZ237" s="1563"/>
      <c r="IA237" s="1563"/>
      <c r="IB237" s="1563"/>
      <c r="IC237" s="1563"/>
      <c r="ID237" s="1563"/>
      <c r="IE237" s="1563"/>
      <c r="IF237" s="1563"/>
      <c r="IG237" s="1563"/>
      <c r="IH237" s="1563"/>
      <c r="II237" s="1610"/>
      <c r="IJ237" s="1309"/>
      <c r="IK237" s="1309"/>
    </row>
    <row r="238" customFormat="false" ht="12.75" hidden="false" customHeight="false" outlineLevel="0" collapsed="false">
      <c r="A238" s="1571" t="n">
        <f aca="false">EOMONTH(A237,0)+1</f>
        <v>43374</v>
      </c>
      <c r="B238" s="594" t="n">
        <f aca="false">+YEAR(A238)</f>
        <v>2018</v>
      </c>
      <c r="C238" s="238" t="n">
        <f aca="false">MONTH(A238)</f>
        <v>10</v>
      </c>
      <c r="D238" s="1572" t="e">
        <f aca="false">IF(E238="","",Holiday(B238,C238))</f>
        <v>#VALUE!</v>
      </c>
      <c r="E238" s="1573" t="n">
        <f aca="false">IF(OR(BegDate&gt;=A239,EndDate&lt;A238,AND(VolumeMonthlyOverFlag,INDEX(VolumeMonthlyOver,C238)=0),NOT(INDEX(MonthKnockOutTable,C238))),"",MAX(A238,BegDate))</f>
        <v>43374</v>
      </c>
      <c r="F238" s="1574" t="n">
        <f aca="false">IF(E238="","",MIN(A239-1,EndDate))</f>
        <v>43404</v>
      </c>
      <c r="G238" s="1575" t="n">
        <v>0</v>
      </c>
      <c r="H238" s="1576" t="n">
        <f aca="false">(1+G238/2)^(-2*(DATE(B239,C239,20)-DateToday)/365.25)</f>
        <v>1</v>
      </c>
      <c r="I238" s="1568" t="n">
        <f aca="false">IF(Assumptions!$L$25=4,VLOOKUP($A238,'Henwood Reference'!$E$9:$R$320,10),(VLOOKUP($A238,PriceTable,2,0)+IF(BasisNumber&lt;&gt;1,VLOOKUP($A238,BasisTable,2,0),0)+I$1)/(1-I$2))</f>
        <v>57.4809128307052</v>
      </c>
      <c r="J238" s="1568" t="n">
        <f aca="false">IF(Assumptions!$L$25=4,VLOOKUP($A238,'Henwood Reference'!$E$9:$R$320,10),(VLOOKUP($A238,PriceTable,3,0)+IF(BasisNumber&lt;&gt;1,VLOOKUP($A238,BasisTable,2,0),0)+J$1)/(1-J$2))</f>
        <v>57.4809128307052</v>
      </c>
      <c r="K238" s="1568" t="n">
        <f aca="false">IF(Assumptions!$L$25=4,VLOOKUP($A238,'Henwood Reference'!$E$9:$R$320,10),(VLOOKUP($A238,PriceTable,4,0)+IF(BasisNumber&lt;&gt;1,VLOOKUP($A238,BasisTable,2,0),0)+K$1)/(1-K$2))</f>
        <v>57.4809128307052</v>
      </c>
      <c r="L238" s="1523" t="n">
        <f aca="false">IF(Assumptions!$L$25=4,VLOOKUP($A238,'Henwood Reference'!$E$9:$R$320,10),(VLOOKUP($A238,PriceTableWeekend,2,0)+IF(BasisNumber&lt;&gt;1,VLOOKUP($A238,BasisTable,2,0),0)+L$1)/(1-L$2))</f>
        <v>57.4809128307052</v>
      </c>
      <c r="M238" s="1568" t="n">
        <f aca="false">IF(Assumptions!$L$25=4,VLOOKUP($A238,'Henwood Reference'!$E$9:$R$320,10),(VLOOKUP($A238,PriceTableWeekend,3,0)+IF(BasisNumber&lt;&gt;1,VLOOKUP($A238,BasisTable,2,0),0)+M$1)/(1-M$2))</f>
        <v>57.4809128307052</v>
      </c>
      <c r="N238" s="1599" t="n">
        <f aca="false">IF(Assumptions!$L$25=4,VLOOKUP($A238,'Henwood Reference'!$E$9:$R$320,10),(VLOOKUP($A238,PriceTableWeekend,4,0)+IF(BasisNumber&lt;&gt;1,VLOOKUP($A238,BasisTable,2,0),0)+N$1)/(1-N$2))</f>
        <v>57.4809128307052</v>
      </c>
      <c r="O238" s="1568" t="n">
        <f aca="false">IF(Assumptions!$L$25=4,VLOOKUP($A238,'Henwood Reference'!$E$9:$R$320,11),(VLOOKUP($A238,PriceTableWeekend,6,0)+IF(BasisNumber&lt;&gt;1,VLOOKUP($A238,BasisTable,3,0),0)+O$1)/(1-O$2))</f>
        <v>32.3694873058191</v>
      </c>
      <c r="P238" s="1568" t="n">
        <f aca="false">IF(Assumptions!$L$25=4,VLOOKUP($A238,'Henwood Reference'!$E$9:$R$320,11),(VLOOKUP($A238,PriceTableWeekend,7,0)+IF(BasisNumber&lt;&gt;1,VLOOKUP($A238,BasisTable,3,0),0)+P$1)/(1-P$2))</f>
        <v>32.3694873058191</v>
      </c>
      <c r="Q238" s="1599" t="n">
        <f aca="false">IF(Assumptions!$L$25=4,VLOOKUP($A238,'Henwood Reference'!$E$9:$R$320,11),(VLOOKUP($A238,PriceTableWeekend,8,0)+IF(BasisNumber&lt;&gt;1,VLOOKUP($A238,BasisTable,3,0),0)+Q$1)/(1-Q$2))</f>
        <v>32.3694873058191</v>
      </c>
      <c r="R238" s="1568" t="n">
        <f aca="false">IF(Assumptions!$L$25=4,VLOOKUP($A238,'Henwood Reference'!$E$9:$R$320,11),(VLOOKUP($A238,PriceTable,6,0)+IF(BasisNumber&lt;&gt;1,VLOOKUP($A238,BasisTable,3,0),0)+R$1)/(1-R$2))</f>
        <v>32.3694873058191</v>
      </c>
      <c r="S238" s="1568" t="n">
        <f aca="false">IF(Assumptions!$L$25=4,VLOOKUP($A238,'Henwood Reference'!$E$9:$R$320,11),(VLOOKUP($A238,PriceTable,7,0)+IF(BasisNumber&lt;&gt;1,VLOOKUP($A238,BasisTable,3,0),0)+S$1)/(1-S$2))</f>
        <v>32.3694873058191</v>
      </c>
      <c r="T238" s="1600" t="n">
        <f aca="false">IF(Assumptions!$L$25=4,VLOOKUP($A238,'Henwood Reference'!$E$9:$R$320,11),(VLOOKUP($A238,PriceTable,8,0)+IF(BasisNumber&lt;&gt;1,VLOOKUP($A238,BasisTable,3,0),0)+T$1)/(1-T$2))</f>
        <v>32.3694873058191</v>
      </c>
      <c r="U238" s="1513" t="n">
        <f aca="false">VLOOKUP($A238,VolatilityTable,14)</f>
        <v>0.09</v>
      </c>
      <c r="V238" s="1513" t="n">
        <f aca="false">VLOOKUP($A238,VolatilityTable,15)</f>
        <v>0.1</v>
      </c>
      <c r="W238" s="1514" t="n">
        <f aca="false">VLOOKUP($A238,VolatilityTable,16)</f>
        <v>0.11</v>
      </c>
      <c r="X238" s="1513" t="n">
        <f aca="false">VLOOKUP($A238,VolatilityTable,14)</f>
        <v>0.09</v>
      </c>
      <c r="Y238" s="1513" t="n">
        <f aca="false">VLOOKUP($A238,VolatilityTable,15)</f>
        <v>0.1</v>
      </c>
      <c r="Z238" s="1514" t="n">
        <f aca="false">VLOOKUP($A238,VolatilityTable,16)</f>
        <v>0.11</v>
      </c>
      <c r="AA238" s="1513" t="n">
        <f aca="false">VLOOKUP($A238,VolatilityTable,18)</f>
        <v>0.09</v>
      </c>
      <c r="AB238" s="1513" t="n">
        <f aca="false">VLOOKUP($A238,VolatilityTable,19)</f>
        <v>0.11</v>
      </c>
      <c r="AC238" s="1514" t="n">
        <f aca="false">VLOOKUP($A238,VolatilityTable,20)</f>
        <v>0.13</v>
      </c>
      <c r="AD238" s="1513" t="n">
        <f aca="false">VLOOKUP($A238,VolatilityTable,18)</f>
        <v>0.09</v>
      </c>
      <c r="AE238" s="1513" t="n">
        <f aca="false">VLOOKUP($A238,VolatilityTable,19)</f>
        <v>0.11</v>
      </c>
      <c r="AF238" s="1514" t="n">
        <f aca="false">VLOOKUP($A238,VolatilityTable,20)</f>
        <v>0.13</v>
      </c>
      <c r="AG238" s="1513" t="n">
        <f aca="false">VLOOKUP($A238,VolatilityTable,22)</f>
        <v>-0.1</v>
      </c>
      <c r="AH238" s="1513" t="n">
        <f aca="false">VLOOKUP($A238,VolatilityTable,23)</f>
        <v>3</v>
      </c>
      <c r="AI238" s="1514" t="n">
        <f aca="false">VLOOKUP($A238,VolatilityTable,24)</f>
        <v>0.1</v>
      </c>
      <c r="AJ238" s="1513" t="n">
        <f aca="false">VLOOKUP($A238,VolatilityTable,22)</f>
        <v>-0.1</v>
      </c>
      <c r="AK238" s="1513" t="n">
        <f aca="false">VLOOKUP($A238,VolatilityTable,23)</f>
        <v>3</v>
      </c>
      <c r="AL238" s="1514" t="n">
        <f aca="false">VLOOKUP($A238,VolatilityTable,24)</f>
        <v>0.1</v>
      </c>
      <c r="AM238" s="1513" t="n">
        <f aca="false">VLOOKUP($A238,VolatilityTable,26)</f>
        <v>-0.01</v>
      </c>
      <c r="AN238" s="1513" t="n">
        <f aca="false">VLOOKUP($A238,VolatilityTable,27)</f>
        <v>0.16</v>
      </c>
      <c r="AO238" s="1514" t="n">
        <f aca="false">VLOOKUP($A238,VolatilityTable,28)</f>
        <v>0.01</v>
      </c>
      <c r="AP238" s="1513" t="n">
        <f aca="false">VLOOKUP($A238,VolatilityTable,26)</f>
        <v>-0.01</v>
      </c>
      <c r="AQ238" s="1513" t="n">
        <f aca="false">VLOOKUP($A238,VolatilityTable,27)</f>
        <v>0.16</v>
      </c>
      <c r="AR238" s="1515" t="n">
        <f aca="false">VLOOKUP($A238,VolatilityTable,28)</f>
        <v>0.01</v>
      </c>
      <c r="AS238" s="1581" t="n">
        <f aca="false">IF(CorrPeakOffPeakOverFlag,INDEX(CorrPeakOffPeakOver,C238),CorrPeakOffPeak)</f>
        <v>0.5</v>
      </c>
      <c r="AT238" s="594" t="e">
        <f aca="false">AX238-SUM(AU238:AW238)</f>
        <v>#VALUE!</v>
      </c>
      <c r="AU238" s="238" t="e">
        <f aca="false">IF(E238="",0,INT((F238-MOD(F238,7)-E238)/7)+1-IF(AW238,IF(WEEKDAY(D238)=7,1,0),0))</f>
        <v>#VALUE!</v>
      </c>
      <c r="AV238" s="238" t="e">
        <f aca="false">IF(E238="",0,INT((F238-MOD(F238-1,7)-E238)/7)+1-IF(AW238,IF(WEEKDAY(D238)=1,1,0),0))</f>
        <v>#VALUE!</v>
      </c>
      <c r="AW238" s="238" t="e">
        <f aca="false">IF(OR(E238="",D238="",D238&lt;BegDate,D238&gt;EndDate),0,1)</f>
        <v>#VALUE!</v>
      </c>
      <c r="AX238" s="238" t="n">
        <f aca="false">IF(E238="",0,F238-E238+1)</f>
        <v>31</v>
      </c>
      <c r="AY238" s="1582" t="n">
        <f aca="false">IF(E238="",0,MIN((1-(1-VLOOKUP(B238,MAIN!$AA$7:$AM$28,C238+1))*(1-VLOOKUP(B238,MAIN!$AA$33:$AM$54,C238+1))),1))</f>
        <v>0.03</v>
      </c>
      <c r="AZ238" s="1519" t="e">
        <v>#VALUE!</v>
      </c>
      <c r="BA238" s="1520" t="e">
        <v>#VALUE!</v>
      </c>
      <c r="BB238" s="1520" t="e">
        <v>#VALUE!</v>
      </c>
      <c r="BC238" s="1583" t="e">
        <v>#VALUE!</v>
      </c>
      <c r="BD238" s="1522" t="e">
        <v>#VALUE!</v>
      </c>
      <c r="BE238" s="1523" t="e">
        <v>#VALUE!</v>
      </c>
      <c r="BF238" s="1523" t="e">
        <v>#VALUE!</v>
      </c>
      <c r="BG238" s="1584" t="e">
        <v>#VALUE!</v>
      </c>
      <c r="BH238" s="1525" t="e">
        <v>#VALUE!</v>
      </c>
      <c r="BI238" s="1520" t="e">
        <v>#VALUE!</v>
      </c>
      <c r="BJ238" s="1520" t="e">
        <v>#VALUE!</v>
      </c>
      <c r="BK238" s="1583" t="e">
        <v>#VALUE!</v>
      </c>
      <c r="BL238" s="1522" t="e">
        <v>#VALUE!</v>
      </c>
      <c r="BM238" s="1523" t="e">
        <v>#VALUE!</v>
      </c>
      <c r="BN238" s="1523" t="e">
        <v>#VALUE!</v>
      </c>
      <c r="BO238" s="1523" t="e">
        <v>#VALUE!</v>
      </c>
      <c r="BP238" s="1525" t="e">
        <f aca="false">SUM(AZ238:BB238)</f>
        <v>#VALUE!</v>
      </c>
      <c r="BQ238" s="1529" t="e">
        <f aca="false">SUM(AZ238:BC238)</f>
        <v>#VALUE!</v>
      </c>
      <c r="BR238" s="1519" t="e">
        <f aca="false">SUM(BH238:BJ238)</f>
        <v>#VALUE!</v>
      </c>
      <c r="BS238" s="1529" t="e">
        <f aca="false">SUM(BH238:BK238)</f>
        <v>#VALUE!</v>
      </c>
      <c r="BT238" s="1316" t="n">
        <f aca="false">(IF(OVolType&lt;&gt;2,A238+14,IF(OptExpDateShift,ShiftBack(A238,OptExpDateShift,D237),A238))-DateToday)/365.25</f>
        <v>18.4640657084189</v>
      </c>
      <c r="BU238" s="1585" t="e">
        <f aca="false">IF(BQ238,IF(OPriceCurve,IF(OBuySell=OCallPut,I238/(1-AY238),K238/(1-AY238)),J238/(1-AY238))*BD238,0)</f>
        <v>#VALUE!</v>
      </c>
      <c r="BV238" s="1316" t="e">
        <f aca="false">IF(BQ238,IF(OPriceCurve,IF(OBuySell=OCallPut,L238/(1-AY238),N238/(1-AY238)),M238/(1-AY238))*BE238,0)</f>
        <v>#VALUE!</v>
      </c>
      <c r="BW238" s="1316" t="e">
        <f aca="false">IF(BQ238,IF(OPriceCurve,IF(OBuySell=OCallPut,O238/(1-AY238),Q238/(1-AY238)),P238/(1-AY238))*BF238,0)</f>
        <v>#VALUE!</v>
      </c>
      <c r="BX238" s="1316" t="e">
        <f aca="false">IF(BQ238,IF(OPriceCurve,IF(OBuySell=OCallPut,R238/(1-AY238),T238/(1-AY238)),S238/(1-AY238))*BG238,0)</f>
        <v>#VALUE!</v>
      </c>
      <c r="BY238" s="1316" t="e">
        <f aca="false">IF(BP238,(BU238*AZ238+BV238*BA238+BW238*BB238)/BP238,0)</f>
        <v>#VALUE!</v>
      </c>
      <c r="BZ238" s="1316" t="e">
        <f aca="false">IF(BQ238,(BY238*BP238+BX238*BC238)/BQ238,0)</f>
        <v>#VALUE!</v>
      </c>
      <c r="CA238" s="1531" t="e">
        <f aca="false">IF(BS238,IF(OPriceCurve,IF(OBuySell=OCallPut,I238/(1-AY238),K238/(1-AY238)),J238/(1-AY238))*BL238,0)</f>
        <v>#VALUE!</v>
      </c>
      <c r="CB238" s="1316" t="e">
        <f aca="false">IF(BS238,IF(OPriceCurve,IF(OBuySell=OCallPut,L238/(1-AY238),N238/(1-AY238)),M238/(1-AY238))*BM238,0)</f>
        <v>#VALUE!</v>
      </c>
      <c r="CC238" s="1316" t="e">
        <f aca="false">IF(BS238,IF(OPriceCurve,IF(OBuySell=OCallPut,O238/(1-AY238),Q238/(1-AY238)),P238/(1-AY238))*BN238,0)</f>
        <v>#VALUE!</v>
      </c>
      <c r="CD238" s="1316" t="e">
        <f aca="false">IF(BS238,IF(OPriceCurve,IF(OBuySell=OCallPut,R238/(1-AY238),T238/(1-AY238)),S238/(1-AY238))*BO238,0)</f>
        <v>#VALUE!</v>
      </c>
      <c r="CE238" s="1316" t="e">
        <f aca="false">IF(BR238,(BU238*BH238+BV238*BI238+BW238*BJ238)/BR238,0)</f>
        <v>#VALUE!</v>
      </c>
      <c r="CF238" s="1532" t="e">
        <f aca="false">IF(BS238,(CE238*BR238+CD238*BK238)/BS238,0)</f>
        <v>#VALUE!</v>
      </c>
      <c r="CG238" s="1586" t="e">
        <f aca="false">IF(OR(BQ238,BS238),IF(OVolType&lt;&gt;2,SQRT(IF(OVolOverMonthlyPeak,OVolOverMonthlyPeak,IF(OVolCurve,IF(OBuySell,U238,W238),V238))^2*(1-15/365.25/BT238)+IF(OVolOverDailyPeak,OVolOverDailyPeak,IF(OVolCurve,IF(OBuySell,AG238,AI238),AH238))^2*15/365.25/BT238),IF(OVolOverMonthlyPeak,OVolOverMonthlyPeak,IF(OVolCurve,IF(OBuySell,U238,W238),V238))),"")</f>
        <v>#VALUE!</v>
      </c>
      <c r="CH238" s="1587" t="e">
        <f aca="false">IF(OR(BQ238,BS238),IF(OVolType&lt;&gt;2,SQRT(IF(OVolOverMonthlyPeak,OVolOverMonthlyPeak,IF(OVolCurve,IF(OBuySell,X238,Z238),Y238))^2*(1-15/365.25/BT238)+IF(OVolOverDailyPeak,OVolOverDailyPeak,IF(OVolCurve,IF(OBuySell,AJ238,AL238),AK238))^2*15/365.25/BT238),IF(OVolOverMonthlyPeak,OVolOverMonthlyPeak,IF(OVolCurve,IF(OBuySell,X238,Z238),Y238))),"")</f>
        <v>#VALUE!</v>
      </c>
      <c r="CI238" s="1587" t="e">
        <f aca="false">IF(OR(BQ238,BS238),IF(OVolType&lt;&gt;2,SQRT(IF(OVolOverMonthlyPeak,OVolOverMonthlyPeak,IF(OVolCurve,IF(OBuySell,AA238,AC238),AB238))^2*(1-15/365.25/BT238)+IF(OVolOverDailyPeak,OVolOverDailyPeak,IF(OVolCurve,IF(OBuySell,AM238,AO238),AN238))^2*15/365.25/BT238),IF(OVolOverMonthlyPeak,OVolOverMonthlyPeak,IF(OVolCurve,IF(OBuySell,AA238,AC238),AB238))),"")</f>
        <v>#VALUE!</v>
      </c>
      <c r="CJ238" s="1587" t="e">
        <f aca="false">IF(BQ238,IF(BP238,SQRT(LN(1+((BU238*AZ238)^2*(EXP(CG238^2*BT238)-1)+(BV238*BA238)^2*(EXP(CH238^2*BT238)-1)+(BW238*BB238)^2*(EXP(CI238^2*BT238)-1)+2*BU238*AZ238*BV238*BA238*(EXP(CG238*CH238*BT238)-1)+2*BV238*BA238*BW238*BB238*(EXP(CH238*CI238*BT238)-1)+2*BW238*BB238*BU238*AZ238*(EXP(CI238*CG238*BT238)-1))/(BY238*BP238)^2)/BT238),0),"")</f>
        <v>#VALUE!</v>
      </c>
      <c r="CK238" s="1587" t="e">
        <f aca="false">IF(BS238,IF(BR238,SQRT(LN(1+((CA238*BH238)^2*(EXP(CG238^2*BT238)-1)+(CB238*BI238)^2*(EXP(CH238^2*BT238)-1)+(CC238*BJ238)^2*(EXP(CI238^2*BT238)-1)+2*CA238*BH238*CB238*BI238*(EXP(CG238*CH238*BT238)-1)+2*CB238*BI238*CC238*BJ238*(EXP(CH238*CI238*BT238)-1)+2*CC238*BJ238*CA238*BH238*(EXP(CI238*CG238*BT238)-1))/(CE238*BR238)^2)/BT238),0),"")</f>
        <v>#VALUE!</v>
      </c>
      <c r="CL238" s="1587" t="e">
        <f aca="false">IF(OR(BQ238,BS238),IF(OVolType&lt;&gt;2,SQRT(IF(OVolOverMonthlyOffPeak,OVolOverMonthlyOffPeak,IF(OVolCurve,IF(OBuySell,AD238,AF238),AE238))^2*(1-15/365.25/BT238)+IF(OVolOverDailyOffPeak,OVolOverDailyOffPeak,IF(OVolCurve,IF(OBuySell,AP238,AR238),AQ238))^2*15/365.25/BT238),IF(OVolOverMonthlyOffPeak,OVolOverMonthlyOffPeak,IF(OVolCurve,IF(OBuySell,AD238,AF238),AE238))),"")</f>
        <v>#VALUE!</v>
      </c>
      <c r="CM238" s="1587" t="e">
        <f aca="false">IF(BQ238,SQRT(LN(1+((BY238*BP238)^2*(EXP(CJ238^2*BT238)-1)+(BX238*BC238)^2*(EXP(CL238^2*BT238)-1)+2*BY238*BP238*BX238*BC238*(EXP(AS238*CJ238*CL238*BT238)-1))/(BY238*BP238+BX238*BC238)^2)/BT238),"")</f>
        <v>#VALUE!</v>
      </c>
      <c r="CN238" s="1588" t="e">
        <f aca="false">IF(BS238,SQRT(LN(1+((CE238*BR238)^2*(EXP(CK238^2*BT238)-1)+(CD238*BK238)^2*(EXP(CL238^2*BT238)-1)+2*CE238*BR238*CD238*BK238*(EXP(AS238*CK238*CL238*BT238)-1))/(CE238*BR238+CD238*BK238)^2)/BT238),"")</f>
        <v>#VALUE!</v>
      </c>
      <c r="CO238" s="1531" t="e">
        <f aca="false">IF(OR(BQ238,BS238),VLOOKUP(A238,GasTable,13)*HeatRatePeak*(1+VLOOKUP($B238,HeatRateDegradation,$C238+1))/1000,0)</f>
        <v>#VALUE!</v>
      </c>
      <c r="CP238" s="1316" t="e">
        <f aca="false">IF(OR(BQ238,BS238),VLOOKUP(A238,GasTable,13)*HeatRatePeak*(1+VLOOKUP($B238,HeatRateDegradation,$C238+1))/1000,0)</f>
        <v>#VALUE!</v>
      </c>
      <c r="CQ238" s="1316" t="e">
        <f aca="false">IF(OR(BQ238,BS238),VLOOKUP(A238,GasTable,13)*IF(EV238,HeatRatePeak,HeatRateOffPeak)*(1+VLOOKUP($B238,HeatRateDegradation,$C238+1))/1000,0)</f>
        <v>#VALUE!</v>
      </c>
      <c r="CR238" s="1316" t="e">
        <f aca="false">IF(OR(BQ238,BS238),VLOOKUP(A238,GasTable,13)*IF(EW238,HeatRatePeak,HeatRateOffPeak)*(1+VLOOKUP($B238,HeatRateDegradation,$C238+1))/1000,0)</f>
        <v>#VALUE!</v>
      </c>
      <c r="CS238" s="1589" t="e">
        <f aca="false">IF(BQ238,(CO238*AZ238+CP238*BA238+CQ238*BB238+CR238*BC238)/BQ238,0)</f>
        <v>#VALUE!</v>
      </c>
      <c r="CT238" s="1316" t="e">
        <f aca="false">IF(BS238,CO238,0)</f>
        <v>#VALUE!</v>
      </c>
      <c r="CU238" s="1590" t="e">
        <f aca="false">IF(OR(BQ238,BS238),VLOOKUP(A238,GasTable,14),"")</f>
        <v>#VALUE!</v>
      </c>
      <c r="CV238" s="1568" t="e">
        <f aca="false">IF(OR(BQ238,BS238),IF(CorrPowerGasOverFlag,INDEX(CorrPowerGasOver,C238),CorrPowerGas),"")</f>
        <v>#VALUE!</v>
      </c>
      <c r="CW238" s="1316" t="e">
        <f aca="false">IF(OR($BQ238,$BS238),SpreadOptPowerMargin,0)*((1+Assumptions!$C$26)^($B238-YEAR(Assumptions!$C$17)))</f>
        <v>#VALUE!</v>
      </c>
      <c r="CX238" s="1316" t="e">
        <f aca="false">IF(OR($BQ238,$BS238),SpreadOptPowerMargin,0)*((1+Assumptions!$C$26)^($B238-YEAR(Assumptions!$C$17)))</f>
        <v>#VALUE!</v>
      </c>
      <c r="CY238" s="1316" t="e">
        <f aca="false">IF(OR($BQ238,$BS238),SpreadOptPowerMargin,0)*((1+Assumptions!$C$26)^($B238-YEAR(Assumptions!$C$17)))</f>
        <v>#VALUE!</v>
      </c>
      <c r="CZ238" s="1316" t="e">
        <f aca="false">IF(OR($BQ238,$BS238),SpreadOptPowerMargin,0)*((1+Assumptions!$C$26)^($B238-YEAR(Assumptions!$C$17)))</f>
        <v>#VALUE!</v>
      </c>
      <c r="DA238" s="1591" t="e">
        <f aca="false">IF(OR(BQ238,BS238),(CW238*(AZ238+BH238)+CX238*(BA238+BI238)+CY238*(BB238+BJ238)+CZ238*(BC238+BK238))/(BQ238+BS238),0)</f>
        <v>#VALUE!</v>
      </c>
      <c r="DB238" s="1592" t="e">
        <f aca="false">IF(OR(BQ238,BS238),CG238+IF(OVolSmile,VLOOKUP(MAX(-5,CO238+CW238-BU238),IF(OVolSmile=1,VolSmileBook,VolSmileModel),2),0),"")</f>
        <v>#VALUE!</v>
      </c>
      <c r="DC238" s="1592" t="e">
        <f aca="false">IF(OR(BQ238,BS238),CH238+IF(OVolSmile,VLOOKUP(MAX(-5,CP238+CW238-BV238),IF(OVolSmile=1,VolSmileBook,VolSmileModel),2),0),"")</f>
        <v>#VALUE!</v>
      </c>
      <c r="DD238" s="1592" t="e">
        <f aca="false">IF(OR(BQ238,BS238),CI238+IF(OVolSmile,VLOOKUP(MAX(-5,CQ238+CW238-BW238),IF(OVolSmile=1,VolSmileBook,VolSmileModel),2),0),"")</f>
        <v>#VALUE!</v>
      </c>
      <c r="DE238" s="1592" t="e">
        <f aca="false">IF(OR(BQ238,BS238),CL238+IF(OVolSmile,VLOOKUP(MAX(-5,CR238+CZ238-BX238),IF(OVolSmile=1,VolSmileBook,VolSmileModel),2),0),"")</f>
        <v>#VALUE!</v>
      </c>
      <c r="DF238" s="1592" t="e">
        <f aca="false">IF(BQ238,CM238+IF(OVolSmile,VLOOKUP(MAX(-5,CS238+DA238-BZ238),IF(OVolSmile=1,VolSmileBook,VolSmileModel),2),0),"")</f>
        <v>#VALUE!</v>
      </c>
      <c r="DG238" s="1593" t="e">
        <f aca="false">IF(BS238,CN238+IF(OVolSmile,VLOOKUP(MAX(-5,CT238+DA238-CF238),IF(OVolSmile=1,VolSmileBook,VolSmileModel),2),0),"")</f>
        <v>#VALUE!</v>
      </c>
      <c r="DH238" s="1316" t="e">
        <f aca="false">IF(AND(BU238&gt;0,CO238&gt;0,DB238&gt;0,CU238&gt;0),newSPRDOPT(BU238,CO238,CW238,0,DB238,CU238,CV238,BT238*365.25,OCallPut,0),0)</f>
        <v>#VALUE!</v>
      </c>
      <c r="DI238" s="1316" t="e">
        <f aca="false">IF(AND(BV238&gt;0,CP238&gt;0,DC238&gt;0,CU238&gt;0),newSPRDOPT(BV238,CP238,CX238,0,DC238,CU238,CV238,BT238*365.25,OCallPut,0),0)</f>
        <v>#VALUE!</v>
      </c>
      <c r="DJ238" s="1316" t="e">
        <f aca="false">IF(AND(BW238&gt;0,CQ238&gt;0,DD238&gt;0,CU238&gt;0),newSPRDOPT(BW238,CQ238,CY238,0,DD238,CU238,CV238,BT238*365.25,OCallPut,0),0)</f>
        <v>#VALUE!</v>
      </c>
      <c r="DK238" s="1316" t="e">
        <f aca="false">IF(AND(BX238&gt;0,CR238&gt;0,DE238&gt;0,CU238&gt;0),newSPRDOPT(BX238,CR238,CZ238,0,DE238,CU238,CV238,BT238*365.25,OCallPut,0),0)</f>
        <v>#VALUE!</v>
      </c>
      <c r="DL238" s="1316" t="e">
        <f aca="false">IF(OVolType,IF(AND(BZ238&gt;0,CS238&gt;0,DF238&gt;0,CU238&gt;0),newSPRDOPT(BZ238,CS238,DA238,0,DF238,CU238,CV238,BT238*365.25,OCallPut,0),0),IF(BQ238,(DH238*AZ238+DI238*BA238+DJ238*BB238+DK238*BC238)/BQ238,0))</f>
        <v>#VALUE!</v>
      </c>
      <c r="DM238" s="1316"/>
      <c r="DN238" s="1316"/>
      <c r="DO238" s="1316"/>
      <c r="DP238" s="1316"/>
      <c r="DQ238" s="1316"/>
      <c r="DR238" s="1316"/>
      <c r="DS238" s="1316"/>
      <c r="DT238" s="1316"/>
      <c r="DU238" s="1316"/>
      <c r="DV238" s="1316"/>
      <c r="DW238" s="1594" t="e">
        <f aca="false">IF(AND(BW238&gt;0,CT238&gt;0,DD238&gt;0,CU238&gt;0),newSPRDOPT(BW238,CT238,CY238,0,DD238,CU238,CV238,BT238*365.25,OCallPut,0),0)</f>
        <v>#VALUE!</v>
      </c>
      <c r="DX238" s="1316" t="e">
        <f aca="false">IF(AND(BX238&gt;0,CT238&gt;0,DE238&gt;0,CU238&gt;0),newSPRDOPT(BX238,CT238,CZ238,0,DE238,CU238,CV238,BT238*365.25,OCallPut,0),0)</f>
        <v>#VALUE!</v>
      </c>
      <c r="DY238" s="1591" t="e">
        <f aca="false">IF(BS238,(DH238*BH238+DI238*BI238+DW238*BJ238+DX238*BK238)/BS238,0)</f>
        <v>#VALUE!</v>
      </c>
      <c r="DZ238" s="1551" t="e">
        <f aca="false">DH238*AZ238</f>
        <v>#VALUE!</v>
      </c>
      <c r="EA238" s="1551" t="e">
        <f aca="false">DI238*BA238</f>
        <v>#VALUE!</v>
      </c>
      <c r="EB238" s="1551" t="e">
        <f aca="false">DJ238*BB238</f>
        <v>#VALUE!</v>
      </c>
      <c r="EC238" s="1551" t="e">
        <f aca="false">DK238*BC238</f>
        <v>#VALUE!</v>
      </c>
      <c r="ED238" s="1551" t="e">
        <f aca="false">DL238*BQ238</f>
        <v>#VALUE!</v>
      </c>
      <c r="EE238" s="1595" t="e">
        <f aca="false">IF(BQ238,IF(OCallPut,IF(BU238&gt;(CO238+CW238),BU238-(CO238+CW238),0),IF((CO238+CW238)&gt;BU238,(CO238+CW238)-BU238,0))*AZ238,0)</f>
        <v>#VALUE!</v>
      </c>
      <c r="EF238" s="1596" t="e">
        <f aca="false">IF(BQ238,IF(OCallPut,IF(BV238&gt;(CP238+CX238),BV238-(CP238+CX238),0),IF((CP238+CX238)&gt;BV238,(CP238+CX238)-BV238,0))*BA238,0)</f>
        <v>#VALUE!</v>
      </c>
      <c r="EG238" s="1596" t="e">
        <f aca="false">IF(BQ238,IF(OCallPut,IF(BW238&gt;(CQ238+CY238),BW238-(CQ238+CY238),0),IF((CQ238+CY238)&gt;BW238,(CQ238+CY238)-BW238,0))*BB238,0)</f>
        <v>#VALUE!</v>
      </c>
      <c r="EH238" s="1596" t="e">
        <f aca="false">IF(BQ238,IF(OCallPut,IF(BX238&gt;(CR238+CZ238),BX238-(CR238+CZ238),0),IF((CR238+CZ238)&gt;BX238,(CR238+CZ238)-BX238,0))*BC238,0)</f>
        <v>#VALUE!</v>
      </c>
      <c r="EI238" s="1597" t="e">
        <f aca="false">IF(BQ238,IF(OVolType,IF(OCallPut,IF(BZ238&gt;(CS238+DA238),BZ238-(CS238+DA238),0),IF((CS238+DA238)&gt;BZ238,(CS238+DA238)-BZ238,0))*BQ238,SUM(EE238:EH238)),0)</f>
        <v>#VALUE!</v>
      </c>
      <c r="EJ238" s="1595" t="e">
        <f aca="false">DZ238-EE238</f>
        <v>#VALUE!</v>
      </c>
      <c r="EK238" s="1596" t="e">
        <f aca="false">EA238-EF238</f>
        <v>#VALUE!</v>
      </c>
      <c r="EL238" s="1596" t="e">
        <f aca="false">EB238-EG238</f>
        <v>#VALUE!</v>
      </c>
      <c r="EM238" s="1596" t="e">
        <f aca="false">EC238-EH238</f>
        <v>#VALUE!</v>
      </c>
      <c r="EN238" s="1597" t="e">
        <f aca="false">ED238-EI238</f>
        <v>#VALUE!</v>
      </c>
      <c r="EO238" s="1551" t="e">
        <f aca="false">DH238*BH238</f>
        <v>#VALUE!</v>
      </c>
      <c r="EP238" s="1551" t="e">
        <f aca="false">DI238*BI238</f>
        <v>#VALUE!</v>
      </c>
      <c r="EQ238" s="1551" t="e">
        <f aca="false">DW238*BJ238</f>
        <v>#VALUE!</v>
      </c>
      <c r="ER238" s="1551" t="e">
        <f aca="false">DX238*BK238</f>
        <v>#VALUE!</v>
      </c>
      <c r="ES238" s="1551" t="e">
        <f aca="false">DY238*BS238</f>
        <v>#VALUE!</v>
      </c>
      <c r="ET238" s="1566" t="e">
        <f aca="false">IF(EI238,IF(OCallPut,IF(CA238&gt;(CT238+CW238),CA238-(CT238+CW238),0),IF((CT238+CW238)&gt;CA238,(CT238+CW238)-CA238,0))*BH238,0)</f>
        <v>#VALUE!</v>
      </c>
      <c r="EU238" s="1551" t="e">
        <f aca="false">IF(EI238,IF(OCallPut,IF(CB238&gt;(CT238+CX238),CB238-(CT238+CX238),0),IF((CT238+CX238)&gt;CB238,(CT238+CX238)-CB238,0))*BI238,0)</f>
        <v>#VALUE!</v>
      </c>
      <c r="EV238" s="1551" t="e">
        <f aca="false">IF(EI238,IF(OCallPut,IF(CC238&gt;(CT238+CY238),CC238-(CT238+CY238),0),IF((CT238+CY238)&gt;CC238,(CT238+CY238)-CC238,0))*BJ238,0)</f>
        <v>#VALUE!</v>
      </c>
      <c r="EW238" s="1551" t="e">
        <f aca="false">IF(EI238,IF(OCallPut,IF(CD238&gt;(CT238+CZ238),CD238-(CT238+CZ238),0),IF((CT238+CZ238)&gt;CD238,(CT238+CZ238)-CD238,0))*BK238,0)</f>
        <v>#VALUE!</v>
      </c>
      <c r="EX238" s="1558" t="e">
        <f aca="false">IF(EI238,SUM(ET238:EW238),0)</f>
        <v>#VALUE!</v>
      </c>
      <c r="EY238" s="1551" t="e">
        <f aca="false">EO238-ET238</f>
        <v>#VALUE!</v>
      </c>
      <c r="EZ238" s="1551" t="e">
        <f aca="false">EP238-EU238</f>
        <v>#VALUE!</v>
      </c>
      <c r="FA238" s="1551" t="e">
        <f aca="false">EQ238-EV238</f>
        <v>#VALUE!</v>
      </c>
      <c r="FB238" s="1551" t="e">
        <f aca="false">ER238-EW238</f>
        <v>#VALUE!</v>
      </c>
      <c r="FC238" s="1551" t="e">
        <f aca="false">ES238-EX238</f>
        <v>#VALUE!</v>
      </c>
      <c r="FD238" s="1525" t="n">
        <f aca="false">IF(AX238,IF(VLOOKUP(C238,MAIN!$L$17:$M$28,2)="Yes",VLOOKUP(CALC!B238,MAIN!$H$17:$I$20,2),0),0)</f>
        <v>0</v>
      </c>
      <c r="FE238" s="1552" t="e">
        <f aca="false">$FD238*16*AT238*(1-$AY238)</f>
        <v>#VALUE!</v>
      </c>
      <c r="FF238" s="1553" t="e">
        <f aca="false">$FD238*16*AU238*(1-$AY238)</f>
        <v>#VALUE!</v>
      </c>
      <c r="FG238" s="1553" t="e">
        <f aca="false">$FD238*16*(AV238+AW238)*(1-$AY238)</f>
        <v>#VALUE!</v>
      </c>
      <c r="FH238" s="1554" t="n">
        <f aca="false">$FD238*8*AX238*(1-$AY238)</f>
        <v>0</v>
      </c>
      <c r="FI238" s="1555" t="n">
        <f aca="false">IF(AX238,VLOOKUP(CALC!B238,MAIN!$H$17:$K$20,4),0)</f>
        <v>0</v>
      </c>
      <c r="FJ238" s="1553" t="e">
        <f aca="false">SUM(FE238:FH238)</f>
        <v>#VALUE!</v>
      </c>
      <c r="FK238" s="1556" t="e">
        <f aca="false">FI238*FJ238</f>
        <v>#VALUE!</v>
      </c>
      <c r="FL238" s="1551" t="e">
        <f aca="false">IF($EI238&gt;0,MIN(FE238,AZ238*(1+VLOOKUP($C238,WeatherCapacityAdjustment,2))),0)</f>
        <v>#VALUE!</v>
      </c>
      <c r="FM238" s="1551" t="e">
        <f aca="false">IF($EI238&gt;0,MIN(FF238,BA238*(1+VLOOKUP($C238,WeatherCapacityAdjustment,2))),0)</f>
        <v>#VALUE!</v>
      </c>
      <c r="FN238" s="1551" t="e">
        <f aca="false">IF($EI238&gt;0,MIN(FG238,BB238*(1+VLOOKUP($C238,WeatherCapacityAdjustment,2))),0)</f>
        <v>#VALUE!</v>
      </c>
      <c r="FO238" s="1564" t="e">
        <f aca="false">IF($EI238&gt;0,MIN(FH238,BC238*(1+VLOOKUP($C238,WeatherCapacityAdjustment,3))),0)</f>
        <v>#VALUE!</v>
      </c>
      <c r="FP238" s="1551" t="e">
        <f aca="false">IF(ET238&gt;0,MIN(FE238-FL238,BH238*(1+VLOOKUP($C238,WeatherCapacityAdjustment,2))),0)</f>
        <v>#VALUE!</v>
      </c>
      <c r="FQ238" s="1551" t="e">
        <f aca="false">IF(EU238&gt;0,MIN(FF238-FM238,BI238*(1+VLOOKUP($C238,WeatherCapacityAdjustment,2))),0)</f>
        <v>#VALUE!</v>
      </c>
      <c r="FR238" s="1551" t="e">
        <f aca="false">IF(EV238&gt;0,MIN(FG238-FN238,BJ238*(1+VLOOKUP($C238,WeatherCapacityAdjustment,2))),0)</f>
        <v>#VALUE!</v>
      </c>
      <c r="FS238" s="1558" t="e">
        <f aca="false">IF(EW238&gt;0,MIN(FH238-FO238,BK238*(1+VLOOKUP($C238,WeatherCapacityAdjustment,3))),0)</f>
        <v>#VALUE!</v>
      </c>
      <c r="FT238" s="1566" t="e">
        <f aca="false">IF(AND(Assumptions!$H$71="Yes",A238&gt;=Assumptions!$H$72,A238&lt;=Assumptions!$H$73),0,IF(AND($A238&gt;=Assumptions!$C$17,$A238&lt;=Assumptions!$C$18),MAX(AZ238*(1+VLOOKUP($C238,WeatherCapacityAdjustment,2))-FL238,0),0))</f>
        <v>#VALUE!</v>
      </c>
      <c r="FU238" s="1551" t="e">
        <f aca="false">IF(AND(Assumptions!$H$71="Yes",A238&gt;=Assumptions!$H$72,A238&lt;=Assumptions!$H$73),0,IF(AND($A238&gt;=Assumptions!$C$17,$A238&lt;=Assumptions!$C$18),MAX(BA238*(1+VLOOKUP($C238,WeatherCapacityAdjustment,2))-FM238,0),0))</f>
        <v>#VALUE!</v>
      </c>
      <c r="FV238" s="1551" t="e">
        <f aca="false">IF(AND(Assumptions!$H$71="Yes",A238&gt;=Assumptions!$H$72,A238&lt;=Assumptions!$H$73),0,IF(AND($A238&gt;=Assumptions!$C$17,$A238&lt;=Assumptions!$C$18),MAX(BB238*(1+VLOOKUP($C238,WeatherCapacityAdjustment,2))-FN238,0),0))</f>
        <v>#VALUE!</v>
      </c>
      <c r="FW238" s="1564" t="e">
        <f aca="false">IF(AND(Assumptions!$H$71="Yes",A238&gt;=Assumptions!$H$72,A238&lt;=Assumptions!$H$73),0,IF(AND($A238&gt;=Assumptions!$C$17,$A238&lt;=Assumptions!$C$18),MAX(BC238*(1+VLOOKUP($C238,WeatherCapacityAdjustment,3))-FO238,0),0))</f>
        <v>#VALUE!</v>
      </c>
      <c r="FX238" s="1569" t="e">
        <f aca="false">IF(AND(Assumptions!$H$71="Yes",A238&gt;=Assumptions!$H$72,A238&lt;=Assumptions!$H$73),0,IF(ET238&gt;0,MAX(BH238*(1+VLOOKUP($C238,WeatherCapacityAdjustment,2))-FP238,0),0))</f>
        <v>#VALUE!</v>
      </c>
      <c r="FY238" s="1551" t="e">
        <f aca="false">IF(AND(Assumptions!$H$71="Yes",A238&gt;=Assumptions!$H$72,A238&lt;=Assumptions!$H$73),0,IF(EU238&gt;0,MAX(BI238*(1+VLOOKUP($C238,WeatherCapacityAdjustment,3))-FQ238,0),0))</f>
        <v>#VALUE!</v>
      </c>
      <c r="FZ238" s="1551" t="e">
        <f aca="false">IF(AND(Assumptions!$H$71="Yes",A238&gt;=Assumptions!$H$72,A238&lt;=Assumptions!$H$73),0,IF(EV238&gt;0,MAX(BJ238*(1+VLOOKUP($C238,WeatherCapacityAdjustment,2))-FR238,0),0))</f>
        <v>#VALUE!</v>
      </c>
      <c r="GA238" s="1564" t="e">
        <f aca="false">IF(AND(Assumptions!$H$71="Yes",A238&gt;=Assumptions!$H$72,A238&lt;=Assumptions!$H$73),0,IF(EW238&gt;0,MAX(BK238*(1+VLOOKUP($C238,WeatherCapacityAdjustment,2))-FS238,0),0))</f>
        <v>#VALUE!</v>
      </c>
      <c r="GB238" s="1551" t="e">
        <f aca="false">SUM(FT238:GA238)</f>
        <v>#VALUE!</v>
      </c>
      <c r="GC238" s="1563" t="e">
        <f aca="false">+IF(SUM(FT238:GA238)=0,0,(SUMPRODUCT(BU238:BX238,FT238:FW238)+SUMPRODUCT(CA238:CD238,FX238:GA238))/SUM(FT238:GA238))</f>
        <v>#VALUE!</v>
      </c>
      <c r="GD238" s="1551" t="e">
        <f aca="false">(FT238*BU238+FX238*CA238+FU238*BV238+FY238*CB238+FV238*BW238+FZ238*CC238+FW238*BX238+GA238*CD238)</f>
        <v>#VALUE!</v>
      </c>
      <c r="GE238" s="1561" t="e">
        <f aca="false">+IF(BQ238,((FL238+FM238+FT238+FU238)*HeatRatePeak/1000*(1+VLOOKUP($C238,WeatherHeatRateAdjustment,2))+(FN238+FV238)*IF(EV238&gt;0,HeatRatePeak,HeatRateOffPeak)/1000*(1+VLOOKUP($C238,WeatherHeatRateAdjustment,2))+(FO238+FW238)*IF(EW238&gt;0,HeatRatePeak,HeatRateOffPeak)/1000*(1+VLOOKUP($C238,WeatherHeatRateAdjustment,3)))*(1+VLOOKUP($B238,HeatRateDegradation,$C238+1)),0)</f>
        <v>#VALUE!</v>
      </c>
      <c r="GF238" s="1562" t="e">
        <f aca="false">IF(BQ238,((FP238+FQ238+FR238+FX238+FY238+FZ238)*HeatRatePeak/1000*(1+VLOOKUP($C238,WeatherHeatRateAdjustment,2))+(FS238+GA238)*HeatRatePeak/1000*(1+VLOOKUP($C238,WeatherHeatRateAdjustment,3)))*(1+VLOOKUP($B238,HeatRateDegradation,$C238+1)),0)</f>
        <v>#VALUE!</v>
      </c>
      <c r="GG238" s="1563" t="e">
        <f aca="false">IF(BQ238,VLOOKUP(A238,GasTable,13),0)</f>
        <v>#VALUE!</v>
      </c>
      <c r="GH238" s="1564" t="e">
        <f aca="false">(GE238+GF238)*GG238</f>
        <v>#VALUE!</v>
      </c>
      <c r="GI238" s="1569" t="e">
        <f aca="false">GB238</f>
        <v>#VALUE!</v>
      </c>
      <c r="GJ238" s="1598" t="e">
        <f aca="false">+DA238</f>
        <v>#VALUE!</v>
      </c>
      <c r="GK238" s="1558" t="e">
        <f aca="false">+GI238*GJ238</f>
        <v>#VALUE!</v>
      </c>
      <c r="GL238" s="1566" t="e">
        <f aca="false">MAX(FE238-FL238-FP238,0)</f>
        <v>#VALUE!</v>
      </c>
      <c r="GM238" s="1551" t="e">
        <f aca="false">MAX(FF238-FM238-FQ238,0)</f>
        <v>#VALUE!</v>
      </c>
      <c r="GN238" s="1551" t="e">
        <f aca="false">MAX(FG238-FN238-FR238,0)</f>
        <v>#VALUE!</v>
      </c>
      <c r="GO238" s="1564" t="e">
        <f aca="false">MAX(FH238-FO238-FS238,0)</f>
        <v>#VALUE!</v>
      </c>
      <c r="GP238" s="1551" t="e">
        <f aca="false">SUM(GL238:GO238)</f>
        <v>#VALUE!</v>
      </c>
      <c r="GQ238" s="1563" t="e">
        <f aca="false">IF(SUM(GL238:GO238)=0,0,((GL238*BU238+GM238*BV238+GN238*BW238+GO238*BX238)/SUM(GL238:GO238)))</f>
        <v>#VALUE!</v>
      </c>
      <c r="GR238" s="1558" t="e">
        <f aca="false">(GL238*BU238+GM238*BV238+GN238*BW238+GO238*BX238)</f>
        <v>#VALUE!</v>
      </c>
      <c r="GS238" s="1566" t="n">
        <f aca="false">IF($A238&gt;=BegDate,Assumptions!$C$56*24*($A239-$A238)*(1-VLOOKUP($B238,MAIN!$AA$7:$AM$28,$C238+1))*(1-VLOOKUP($B238,MAIN!$AA$33:$AM$54,$C238+1)),0)*80/168</f>
        <v>257742.857142857</v>
      </c>
      <c r="GT238" s="286" t="n">
        <f aca="false">J238</f>
        <v>57.4809128307052</v>
      </c>
      <c r="GU238" s="286" t="n">
        <f aca="false">IF($A238&gt;=BegDate,VLOOKUP($A238,GasTable,13)+Assumptions!$C$58,0)</f>
        <v>3.91330351124132</v>
      </c>
      <c r="GV238" s="286" t="n">
        <f aca="false">GU238*Assumptions!$C$57/1000</f>
        <v>28.3714504564996</v>
      </c>
      <c r="GW238" s="1558" t="n">
        <f aca="false">IF(Assumptions!$C$60="Hourly",MAX(0,GS238*(GT238-GV238)),GS238*(GT238-GV238))</f>
        <v>7502756.00222025</v>
      </c>
      <c r="GX238" s="1566" t="n">
        <f aca="false">IF($A238&gt;=BegDate,Assumptions!$C$56*24*($A239-$A238)*(1-VLOOKUP($B238,MAIN!$AA$7:$AM$28,$C238+1))*(1-VLOOKUP($B238,MAIN!$AA$33:$AM$54,$C238+1)),0)*16/168</f>
        <v>51548.5714285714</v>
      </c>
      <c r="GY238" s="286" t="n">
        <f aca="false">M238</f>
        <v>57.4809128307052</v>
      </c>
      <c r="GZ238" s="286" t="n">
        <f aca="false">IF($A238&gt;=BegDate,VLOOKUP($A238,GasTable,13)+Assumptions!$C$58,0)</f>
        <v>3.91330351124132</v>
      </c>
      <c r="HA238" s="286" t="n">
        <f aca="false">GZ238*Assumptions!$C$57/1000</f>
        <v>28.3714504564996</v>
      </c>
      <c r="HB238" s="1558" t="n">
        <f aca="false">IF(Assumptions!$C$60="Hourly",MAX(0,GX238*(GY238-HA238)),GX238*(GY238-HA238))</f>
        <v>1500551.20044405</v>
      </c>
      <c r="HC238" s="1566" t="n">
        <f aca="false">IF($A238&gt;=BegDate,Assumptions!$C$56*24*($A239-$A238)*(1-VLOOKUP($B238,MAIN!$AA$7:$AM$28,$C238+1))*(1-VLOOKUP($B238,MAIN!$AA$33:$AM$54,$C238+1)),0)*16/168</f>
        <v>51548.5714285714</v>
      </c>
      <c r="HD238" s="286" t="n">
        <f aca="false">P238</f>
        <v>32.3694873058191</v>
      </c>
      <c r="HE238" s="286" t="n">
        <f aca="false">IF($A238&gt;=BegDate,VLOOKUP($A238,GasTable,13)+Assumptions!$C$58,0)</f>
        <v>3.91330351124132</v>
      </c>
      <c r="HF238" s="286" t="n">
        <f aca="false">HE238*Assumptions!$C$57/1000</f>
        <v>28.3714504564996</v>
      </c>
      <c r="HG238" s="1558" t="n">
        <f aca="false">IF(Assumptions!$C$60="Hourly",MAX(0,HC238*(HD238-HF238)),HC238*(HD238-HF238))</f>
        <v>206093.08810121</v>
      </c>
      <c r="HH238" s="1566" t="n">
        <f aca="false">IF($A238&gt;=BegDate,Assumptions!$C$56*24*($A239-$A238)*(1-VLOOKUP($B238,MAIN!$AA$7:$AM$28,$C238+1))*(1-VLOOKUP($B238,MAIN!$AA$33:$AM$54,$C238+1)),0)*56/168</f>
        <v>180420</v>
      </c>
      <c r="HI238" s="286" t="n">
        <f aca="false">S238</f>
        <v>32.3694873058191</v>
      </c>
      <c r="HJ238" s="286" t="n">
        <f aca="false">IF($A238&gt;=BegDate,VLOOKUP($A238,GasTable,13)+Assumptions!$C$58,0)</f>
        <v>3.91330351124132</v>
      </c>
      <c r="HK238" s="286" t="n">
        <f aca="false">HJ238*Assumptions!$C$57/1000</f>
        <v>28.3714504564996</v>
      </c>
      <c r="HL238" s="1558" t="n">
        <f aca="false">IF(Assumptions!$C$60="Hourly",MAX(0,HH238*(HI238-HK238)),HH238*(HI238-HK238))</f>
        <v>721325.808354236</v>
      </c>
      <c r="HM238" s="1566" t="n">
        <f aca="false">IF(AND(Assumptions!$H$71="Yes",A238&gt;=Assumptions!$H$72,A238&lt;=Assumptions!$H$73),Assumptions!$H$74*Assumptions!$C$9*1000,0)</f>
        <v>0</v>
      </c>
      <c r="HN238" s="1551"/>
      <c r="HO238" s="1563"/>
      <c r="HP238" s="1563"/>
      <c r="HQ238" s="1563"/>
      <c r="HR238" s="1563"/>
      <c r="HS238" s="1563"/>
      <c r="HT238" s="1563"/>
      <c r="HU238" s="1563"/>
      <c r="HV238" s="1563"/>
      <c r="HW238" s="1563"/>
      <c r="HX238" s="1563"/>
      <c r="HY238" s="1563"/>
      <c r="HZ238" s="1563"/>
      <c r="IA238" s="1563"/>
      <c r="IB238" s="1563"/>
      <c r="IC238" s="1563"/>
      <c r="ID238" s="1563"/>
      <c r="IE238" s="1563"/>
      <c r="IF238" s="1563"/>
      <c r="IG238" s="1563"/>
      <c r="IH238" s="1563"/>
      <c r="II238" s="1610"/>
      <c r="IJ238" s="1309"/>
      <c r="IK238" s="1309"/>
    </row>
    <row r="239" customFormat="false" ht="12.75" hidden="false" customHeight="false" outlineLevel="0" collapsed="false">
      <c r="A239" s="1571" t="n">
        <f aca="false">EOMONTH(A238,0)+1</f>
        <v>43405</v>
      </c>
      <c r="B239" s="594" t="n">
        <f aca="false">+YEAR(A239)</f>
        <v>2018</v>
      </c>
      <c r="C239" s="238" t="n">
        <f aca="false">MONTH(A239)</f>
        <v>11</v>
      </c>
      <c r="D239" s="1572" t="e">
        <f aca="false">IF(E239="","",Holiday(B239,C239))</f>
        <v>#VALUE!</v>
      </c>
      <c r="E239" s="1573" t="n">
        <f aca="false">IF(OR(BegDate&gt;=A240,EndDate&lt;A239,AND(VolumeMonthlyOverFlag,INDEX(VolumeMonthlyOver,C239)=0),NOT(INDEX(MonthKnockOutTable,C239))),"",MAX(A239,BegDate))</f>
        <v>43405</v>
      </c>
      <c r="F239" s="1574" t="n">
        <f aca="false">IF(E239="","",MIN(A240-1,EndDate))</f>
        <v>43434</v>
      </c>
      <c r="G239" s="1575" t="n">
        <v>0</v>
      </c>
      <c r="H239" s="1576" t="n">
        <f aca="false">(1+G239/2)^(-2*(DATE(B240,C240,20)-DateToday)/365.25)</f>
        <v>1</v>
      </c>
      <c r="I239" s="1568" t="n">
        <f aca="false">IF(Assumptions!$L$25=4,VLOOKUP($A239,'Henwood Reference'!$E$9:$R$320,10),(VLOOKUP($A239,PriceTable,2,0)+IF(BasisNumber&lt;&gt;1,VLOOKUP($A239,BasisTable,2,0),0)+I$1)/(1-I$2))</f>
        <v>58.3452874597383</v>
      </c>
      <c r="J239" s="1568" t="n">
        <f aca="false">IF(Assumptions!$L$25=4,VLOOKUP($A239,'Henwood Reference'!$E$9:$R$320,10),(VLOOKUP($A239,PriceTable,3,0)+IF(BasisNumber&lt;&gt;1,VLOOKUP($A239,BasisTable,2,0),0)+J$1)/(1-J$2))</f>
        <v>58.3452874597383</v>
      </c>
      <c r="K239" s="1568" t="n">
        <f aca="false">IF(Assumptions!$L$25=4,VLOOKUP($A239,'Henwood Reference'!$E$9:$R$320,10),(VLOOKUP($A239,PriceTable,4,0)+IF(BasisNumber&lt;&gt;1,VLOOKUP($A239,BasisTable,2,0),0)+K$1)/(1-K$2))</f>
        <v>58.3452874597383</v>
      </c>
      <c r="L239" s="1523" t="n">
        <f aca="false">IF(Assumptions!$L$25=4,VLOOKUP($A239,'Henwood Reference'!$E$9:$R$320,10),(VLOOKUP($A239,PriceTableWeekend,2,0)+IF(BasisNumber&lt;&gt;1,VLOOKUP($A239,BasisTable,2,0),0)+L$1)/(1-L$2))</f>
        <v>58.3452874597383</v>
      </c>
      <c r="M239" s="1568" t="n">
        <f aca="false">IF(Assumptions!$L$25=4,VLOOKUP($A239,'Henwood Reference'!$E$9:$R$320,10),(VLOOKUP($A239,PriceTableWeekend,3,0)+IF(BasisNumber&lt;&gt;1,VLOOKUP($A239,BasisTable,2,0),0)+M$1)/(1-M$2))</f>
        <v>58.3452874597383</v>
      </c>
      <c r="N239" s="1599" t="n">
        <f aca="false">IF(Assumptions!$L$25=4,VLOOKUP($A239,'Henwood Reference'!$E$9:$R$320,10),(VLOOKUP($A239,PriceTableWeekend,4,0)+IF(BasisNumber&lt;&gt;1,VLOOKUP($A239,BasisTable,2,0),0)+N$1)/(1-N$2))</f>
        <v>58.3452874597383</v>
      </c>
      <c r="O239" s="1568" t="n">
        <f aca="false">IF(Assumptions!$L$25=4,VLOOKUP($A239,'Henwood Reference'!$E$9:$R$320,11),(VLOOKUP($A239,PriceTableWeekend,6,0)+IF(BasisNumber&lt;&gt;1,VLOOKUP($A239,BasisTable,3,0),0)+O$1)/(1-O$2))</f>
        <v>35.1489973282273</v>
      </c>
      <c r="P239" s="1568" t="n">
        <f aca="false">IF(Assumptions!$L$25=4,VLOOKUP($A239,'Henwood Reference'!$E$9:$R$320,11),(VLOOKUP($A239,PriceTableWeekend,7,0)+IF(BasisNumber&lt;&gt;1,VLOOKUP($A239,BasisTable,3,0),0)+P$1)/(1-P$2))</f>
        <v>35.1489973282273</v>
      </c>
      <c r="Q239" s="1599" t="n">
        <f aca="false">IF(Assumptions!$L$25=4,VLOOKUP($A239,'Henwood Reference'!$E$9:$R$320,11),(VLOOKUP($A239,PriceTableWeekend,8,0)+IF(BasisNumber&lt;&gt;1,VLOOKUP($A239,BasisTable,3,0),0)+Q$1)/(1-Q$2))</f>
        <v>35.1489973282273</v>
      </c>
      <c r="R239" s="1568" t="n">
        <f aca="false">IF(Assumptions!$L$25=4,VLOOKUP($A239,'Henwood Reference'!$E$9:$R$320,11),(VLOOKUP($A239,PriceTable,6,0)+IF(BasisNumber&lt;&gt;1,VLOOKUP($A239,BasisTable,3,0),0)+R$1)/(1-R$2))</f>
        <v>35.1489973282273</v>
      </c>
      <c r="S239" s="1568" t="n">
        <f aca="false">IF(Assumptions!$L$25=4,VLOOKUP($A239,'Henwood Reference'!$E$9:$R$320,11),(VLOOKUP($A239,PriceTable,7,0)+IF(BasisNumber&lt;&gt;1,VLOOKUP($A239,BasisTable,3,0),0)+S$1)/(1-S$2))</f>
        <v>35.1489973282273</v>
      </c>
      <c r="T239" s="1600" t="n">
        <f aca="false">IF(Assumptions!$L$25=4,VLOOKUP($A239,'Henwood Reference'!$E$9:$R$320,11),(VLOOKUP($A239,PriceTable,8,0)+IF(BasisNumber&lt;&gt;1,VLOOKUP($A239,BasisTable,3,0),0)+T$1)/(1-T$2))</f>
        <v>35.1489973282273</v>
      </c>
      <c r="U239" s="1513" t="n">
        <f aca="false">VLOOKUP($A239,VolatilityTable,14)</f>
        <v>0.09</v>
      </c>
      <c r="V239" s="1513" t="n">
        <f aca="false">VLOOKUP($A239,VolatilityTable,15)</f>
        <v>0.1</v>
      </c>
      <c r="W239" s="1514" t="n">
        <f aca="false">VLOOKUP($A239,VolatilityTable,16)</f>
        <v>0.11</v>
      </c>
      <c r="X239" s="1513" t="n">
        <f aca="false">VLOOKUP($A239,VolatilityTable,14)</f>
        <v>0.09</v>
      </c>
      <c r="Y239" s="1513" t="n">
        <f aca="false">VLOOKUP($A239,VolatilityTable,15)</f>
        <v>0.1</v>
      </c>
      <c r="Z239" s="1514" t="n">
        <f aca="false">VLOOKUP($A239,VolatilityTable,16)</f>
        <v>0.11</v>
      </c>
      <c r="AA239" s="1513" t="n">
        <f aca="false">VLOOKUP($A239,VolatilityTable,18)</f>
        <v>0.09</v>
      </c>
      <c r="AB239" s="1513" t="n">
        <f aca="false">VLOOKUP($A239,VolatilityTable,19)</f>
        <v>0.11</v>
      </c>
      <c r="AC239" s="1514" t="n">
        <f aca="false">VLOOKUP($A239,VolatilityTable,20)</f>
        <v>0.13</v>
      </c>
      <c r="AD239" s="1513" t="n">
        <f aca="false">VLOOKUP($A239,VolatilityTable,18)</f>
        <v>0.09</v>
      </c>
      <c r="AE239" s="1513" t="n">
        <f aca="false">VLOOKUP($A239,VolatilityTable,19)</f>
        <v>0.11</v>
      </c>
      <c r="AF239" s="1514" t="n">
        <f aca="false">VLOOKUP($A239,VolatilityTable,20)</f>
        <v>0.13</v>
      </c>
      <c r="AG239" s="1513" t="n">
        <f aca="false">VLOOKUP($A239,VolatilityTable,22)</f>
        <v>-0.1</v>
      </c>
      <c r="AH239" s="1513" t="n">
        <f aca="false">VLOOKUP($A239,VolatilityTable,23)</f>
        <v>0.6</v>
      </c>
      <c r="AI239" s="1514" t="n">
        <f aca="false">VLOOKUP($A239,VolatilityTable,24)</f>
        <v>0.1</v>
      </c>
      <c r="AJ239" s="1513" t="n">
        <f aca="false">VLOOKUP($A239,VolatilityTable,22)</f>
        <v>-0.1</v>
      </c>
      <c r="AK239" s="1513" t="n">
        <f aca="false">VLOOKUP($A239,VolatilityTable,23)</f>
        <v>0.6</v>
      </c>
      <c r="AL239" s="1514" t="n">
        <f aca="false">VLOOKUP($A239,VolatilityTable,24)</f>
        <v>0.1</v>
      </c>
      <c r="AM239" s="1513" t="n">
        <f aca="false">VLOOKUP($A239,VolatilityTable,26)</f>
        <v>-0.01</v>
      </c>
      <c r="AN239" s="1513" t="n">
        <f aca="false">VLOOKUP($A239,VolatilityTable,27)</f>
        <v>0.16</v>
      </c>
      <c r="AO239" s="1514" t="n">
        <f aca="false">VLOOKUP($A239,VolatilityTable,28)</f>
        <v>0.01</v>
      </c>
      <c r="AP239" s="1513" t="n">
        <f aca="false">VLOOKUP($A239,VolatilityTable,26)</f>
        <v>-0.01</v>
      </c>
      <c r="AQ239" s="1513" t="n">
        <f aca="false">VLOOKUP($A239,VolatilityTable,27)</f>
        <v>0.16</v>
      </c>
      <c r="AR239" s="1515" t="n">
        <f aca="false">VLOOKUP($A239,VolatilityTable,28)</f>
        <v>0.01</v>
      </c>
      <c r="AS239" s="1581" t="n">
        <f aca="false">IF(CorrPeakOffPeakOverFlag,INDEX(CorrPeakOffPeakOver,C239),CorrPeakOffPeak)</f>
        <v>0.5</v>
      </c>
      <c r="AT239" s="594" t="e">
        <f aca="false">AX239-SUM(AU239:AW239)</f>
        <v>#VALUE!</v>
      </c>
      <c r="AU239" s="238" t="e">
        <f aca="false">IF(E239="",0,INT((F239-MOD(F239,7)-E239)/7)+1-IF(AW239,IF(WEEKDAY(D239)=7,1,0),0))</f>
        <v>#VALUE!</v>
      </c>
      <c r="AV239" s="238" t="e">
        <f aca="false">IF(E239="",0,INT((F239-MOD(F239-1,7)-E239)/7)+1-IF(AW239,IF(WEEKDAY(D239)=1,1,0),0))</f>
        <v>#VALUE!</v>
      </c>
      <c r="AW239" s="238" t="e">
        <f aca="false">IF(OR(E239="",D239="",D239&lt;BegDate,D239&gt;EndDate),0,1)</f>
        <v>#VALUE!</v>
      </c>
      <c r="AX239" s="238" t="n">
        <f aca="false">IF(E239="",0,F239-E239+1)</f>
        <v>30</v>
      </c>
      <c r="AY239" s="1582" t="n">
        <f aca="false">IF(E239="",0,MIN((1-(1-VLOOKUP(B239,MAIN!$AA$7:$AM$28,C239+1))*(1-VLOOKUP(B239,MAIN!$AA$33:$AM$54,C239+1))),1))</f>
        <v>0.03</v>
      </c>
      <c r="AZ239" s="1519" t="e">
        <v>#VALUE!</v>
      </c>
      <c r="BA239" s="1520" t="e">
        <v>#VALUE!</v>
      </c>
      <c r="BB239" s="1520" t="e">
        <v>#VALUE!</v>
      </c>
      <c r="BC239" s="1583" t="e">
        <v>#VALUE!</v>
      </c>
      <c r="BD239" s="1522" t="e">
        <v>#VALUE!</v>
      </c>
      <c r="BE239" s="1523" t="e">
        <v>#VALUE!</v>
      </c>
      <c r="BF239" s="1523" t="e">
        <v>#VALUE!</v>
      </c>
      <c r="BG239" s="1584" t="e">
        <v>#VALUE!</v>
      </c>
      <c r="BH239" s="1525" t="e">
        <v>#VALUE!</v>
      </c>
      <c r="BI239" s="1520" t="e">
        <v>#VALUE!</v>
      </c>
      <c r="BJ239" s="1520" t="e">
        <v>#VALUE!</v>
      </c>
      <c r="BK239" s="1583" t="e">
        <v>#VALUE!</v>
      </c>
      <c r="BL239" s="1522" t="e">
        <v>#VALUE!</v>
      </c>
      <c r="BM239" s="1523" t="e">
        <v>#VALUE!</v>
      </c>
      <c r="BN239" s="1523" t="e">
        <v>#VALUE!</v>
      </c>
      <c r="BO239" s="1523" t="e">
        <v>#VALUE!</v>
      </c>
      <c r="BP239" s="1525" t="e">
        <f aca="false">SUM(AZ239:BB239)</f>
        <v>#VALUE!</v>
      </c>
      <c r="BQ239" s="1529" t="e">
        <f aca="false">SUM(AZ239:BC239)</f>
        <v>#VALUE!</v>
      </c>
      <c r="BR239" s="1519" t="e">
        <f aca="false">SUM(BH239:BJ239)</f>
        <v>#VALUE!</v>
      </c>
      <c r="BS239" s="1529" t="e">
        <f aca="false">SUM(BH239:BK239)</f>
        <v>#VALUE!</v>
      </c>
      <c r="BT239" s="1316" t="n">
        <f aca="false">(IF(OVolType&lt;&gt;2,A239+14,IF(OptExpDateShift,ShiftBack(A239,OptExpDateShift,D238),A239))-DateToday)/365.25</f>
        <v>18.54893908282</v>
      </c>
      <c r="BU239" s="1585" t="e">
        <f aca="false">IF(BQ239,IF(OPriceCurve,IF(OBuySell=OCallPut,I239/(1-AY239),K239/(1-AY239)),J239/(1-AY239))*BD239,0)</f>
        <v>#VALUE!</v>
      </c>
      <c r="BV239" s="1316" t="e">
        <f aca="false">IF(BQ239,IF(OPriceCurve,IF(OBuySell=OCallPut,L239/(1-AY239),N239/(1-AY239)),M239/(1-AY239))*BE239,0)</f>
        <v>#VALUE!</v>
      </c>
      <c r="BW239" s="1316" t="e">
        <f aca="false">IF(BQ239,IF(OPriceCurve,IF(OBuySell=OCallPut,O239/(1-AY239),Q239/(1-AY239)),P239/(1-AY239))*BF239,0)</f>
        <v>#VALUE!</v>
      </c>
      <c r="BX239" s="1316" t="e">
        <f aca="false">IF(BQ239,IF(OPriceCurve,IF(OBuySell=OCallPut,R239/(1-AY239),T239/(1-AY239)),S239/(1-AY239))*BG239,0)</f>
        <v>#VALUE!</v>
      </c>
      <c r="BY239" s="1316" t="e">
        <f aca="false">IF(BP239,(BU239*AZ239+BV239*BA239+BW239*BB239)/BP239,0)</f>
        <v>#VALUE!</v>
      </c>
      <c r="BZ239" s="1316" t="e">
        <f aca="false">IF(BQ239,(BY239*BP239+BX239*BC239)/BQ239,0)</f>
        <v>#VALUE!</v>
      </c>
      <c r="CA239" s="1531" t="e">
        <f aca="false">IF(BS239,IF(OPriceCurve,IF(OBuySell=OCallPut,I239/(1-AY239),K239/(1-AY239)),J239/(1-AY239))*BL239,0)</f>
        <v>#VALUE!</v>
      </c>
      <c r="CB239" s="1316" t="e">
        <f aca="false">IF(BS239,IF(OPriceCurve,IF(OBuySell=OCallPut,L239/(1-AY239),N239/(1-AY239)),M239/(1-AY239))*BM239,0)</f>
        <v>#VALUE!</v>
      </c>
      <c r="CC239" s="1316" t="e">
        <f aca="false">IF(BS239,IF(OPriceCurve,IF(OBuySell=OCallPut,O239/(1-AY239),Q239/(1-AY239)),P239/(1-AY239))*BN239,0)</f>
        <v>#VALUE!</v>
      </c>
      <c r="CD239" s="1316" t="e">
        <f aca="false">IF(BS239,IF(OPriceCurve,IF(OBuySell=OCallPut,R239/(1-AY239),T239/(1-AY239)),S239/(1-AY239))*BO239,0)</f>
        <v>#VALUE!</v>
      </c>
      <c r="CE239" s="1316" t="e">
        <f aca="false">IF(BR239,(BU239*BH239+BV239*BI239+BW239*BJ239)/BR239,0)</f>
        <v>#VALUE!</v>
      </c>
      <c r="CF239" s="1532" t="e">
        <f aca="false">IF(BS239,(CE239*BR239+CD239*BK239)/BS239,0)</f>
        <v>#VALUE!</v>
      </c>
      <c r="CG239" s="1586" t="e">
        <f aca="false">IF(OR(BQ239,BS239),IF(OVolType&lt;&gt;2,SQRT(IF(OVolOverMonthlyPeak,OVolOverMonthlyPeak,IF(OVolCurve,IF(OBuySell,U239,W239),V239))^2*(1-15/365.25/BT239)+IF(OVolOverDailyPeak,OVolOverDailyPeak,IF(OVolCurve,IF(OBuySell,AG239,AI239),AH239))^2*15/365.25/BT239),IF(OVolOverMonthlyPeak,OVolOverMonthlyPeak,IF(OVolCurve,IF(OBuySell,U239,W239),V239))),"")</f>
        <v>#VALUE!</v>
      </c>
      <c r="CH239" s="1587" t="e">
        <f aca="false">IF(OR(BQ239,BS239),IF(OVolType&lt;&gt;2,SQRT(IF(OVolOverMonthlyPeak,OVolOverMonthlyPeak,IF(OVolCurve,IF(OBuySell,X239,Z239),Y239))^2*(1-15/365.25/BT239)+IF(OVolOverDailyPeak,OVolOverDailyPeak,IF(OVolCurve,IF(OBuySell,AJ239,AL239),AK239))^2*15/365.25/BT239),IF(OVolOverMonthlyPeak,OVolOverMonthlyPeak,IF(OVolCurve,IF(OBuySell,X239,Z239),Y239))),"")</f>
        <v>#VALUE!</v>
      </c>
      <c r="CI239" s="1587" t="e">
        <f aca="false">IF(OR(BQ239,BS239),IF(OVolType&lt;&gt;2,SQRT(IF(OVolOverMonthlyPeak,OVolOverMonthlyPeak,IF(OVolCurve,IF(OBuySell,AA239,AC239),AB239))^2*(1-15/365.25/BT239)+IF(OVolOverDailyPeak,OVolOverDailyPeak,IF(OVolCurve,IF(OBuySell,AM239,AO239),AN239))^2*15/365.25/BT239),IF(OVolOverMonthlyPeak,OVolOverMonthlyPeak,IF(OVolCurve,IF(OBuySell,AA239,AC239),AB239))),"")</f>
        <v>#VALUE!</v>
      </c>
      <c r="CJ239" s="1587" t="e">
        <f aca="false">IF(BQ239,IF(BP239,SQRT(LN(1+((BU239*AZ239)^2*(EXP(CG239^2*BT239)-1)+(BV239*BA239)^2*(EXP(CH239^2*BT239)-1)+(BW239*BB239)^2*(EXP(CI239^2*BT239)-1)+2*BU239*AZ239*BV239*BA239*(EXP(CG239*CH239*BT239)-1)+2*BV239*BA239*BW239*BB239*(EXP(CH239*CI239*BT239)-1)+2*BW239*BB239*BU239*AZ239*(EXP(CI239*CG239*BT239)-1))/(BY239*BP239)^2)/BT239),0),"")</f>
        <v>#VALUE!</v>
      </c>
      <c r="CK239" s="1587" t="e">
        <f aca="false">IF(BS239,IF(BR239,SQRT(LN(1+((CA239*BH239)^2*(EXP(CG239^2*BT239)-1)+(CB239*BI239)^2*(EXP(CH239^2*BT239)-1)+(CC239*BJ239)^2*(EXP(CI239^2*BT239)-1)+2*CA239*BH239*CB239*BI239*(EXP(CG239*CH239*BT239)-1)+2*CB239*BI239*CC239*BJ239*(EXP(CH239*CI239*BT239)-1)+2*CC239*BJ239*CA239*BH239*(EXP(CI239*CG239*BT239)-1))/(CE239*BR239)^2)/BT239),0),"")</f>
        <v>#VALUE!</v>
      </c>
      <c r="CL239" s="1587" t="e">
        <f aca="false">IF(OR(BQ239,BS239),IF(OVolType&lt;&gt;2,SQRT(IF(OVolOverMonthlyOffPeak,OVolOverMonthlyOffPeak,IF(OVolCurve,IF(OBuySell,AD239,AF239),AE239))^2*(1-15/365.25/BT239)+IF(OVolOverDailyOffPeak,OVolOverDailyOffPeak,IF(OVolCurve,IF(OBuySell,AP239,AR239),AQ239))^2*15/365.25/BT239),IF(OVolOverMonthlyOffPeak,OVolOverMonthlyOffPeak,IF(OVolCurve,IF(OBuySell,AD239,AF239),AE239))),"")</f>
        <v>#VALUE!</v>
      </c>
      <c r="CM239" s="1587" t="e">
        <f aca="false">IF(BQ239,SQRT(LN(1+((BY239*BP239)^2*(EXP(CJ239^2*BT239)-1)+(BX239*BC239)^2*(EXP(CL239^2*BT239)-1)+2*BY239*BP239*BX239*BC239*(EXP(AS239*CJ239*CL239*BT239)-1))/(BY239*BP239+BX239*BC239)^2)/BT239),"")</f>
        <v>#VALUE!</v>
      </c>
      <c r="CN239" s="1588" t="e">
        <f aca="false">IF(BS239,SQRT(LN(1+((CE239*BR239)^2*(EXP(CK239^2*BT239)-1)+(CD239*BK239)^2*(EXP(CL239^2*BT239)-1)+2*CE239*BR239*CD239*BK239*(EXP(AS239*CK239*CL239*BT239)-1))/(CE239*BR239+CD239*BK239)^2)/BT239),"")</f>
        <v>#VALUE!</v>
      </c>
      <c r="CO239" s="1531" t="e">
        <f aca="false">IF(OR(BQ239,BS239),VLOOKUP(A239,GasTable,13)*HeatRatePeak*(1+VLOOKUP($B239,HeatRateDegradation,$C239+1))/1000,0)</f>
        <v>#VALUE!</v>
      </c>
      <c r="CP239" s="1316" t="e">
        <f aca="false">IF(OR(BQ239,BS239),VLOOKUP(A239,GasTable,13)*HeatRatePeak*(1+VLOOKUP($B239,HeatRateDegradation,$C239+1))/1000,0)</f>
        <v>#VALUE!</v>
      </c>
      <c r="CQ239" s="1316" t="e">
        <f aca="false">IF(OR(BQ239,BS239),VLOOKUP(A239,GasTable,13)*IF(EV239,HeatRatePeak,HeatRateOffPeak)*(1+VLOOKUP($B239,HeatRateDegradation,$C239+1))/1000,0)</f>
        <v>#VALUE!</v>
      </c>
      <c r="CR239" s="1316" t="e">
        <f aca="false">IF(OR(BQ239,BS239),VLOOKUP(A239,GasTable,13)*IF(EW239,HeatRatePeak,HeatRateOffPeak)*(1+VLOOKUP($B239,HeatRateDegradation,$C239+1))/1000,0)</f>
        <v>#VALUE!</v>
      </c>
      <c r="CS239" s="1589" t="e">
        <f aca="false">IF(BQ239,(CO239*AZ239+CP239*BA239+CQ239*BB239+CR239*BC239)/BQ239,0)</f>
        <v>#VALUE!</v>
      </c>
      <c r="CT239" s="1316" t="e">
        <f aca="false">IF(BS239,CO239,0)</f>
        <v>#VALUE!</v>
      </c>
      <c r="CU239" s="1590" t="e">
        <f aca="false">IF(OR(BQ239,BS239),VLOOKUP(A239,GasTable,14),"")</f>
        <v>#VALUE!</v>
      </c>
      <c r="CV239" s="1568" t="e">
        <f aca="false">IF(OR(BQ239,BS239),IF(CorrPowerGasOverFlag,INDEX(CorrPowerGasOver,C239),CorrPowerGas),"")</f>
        <v>#VALUE!</v>
      </c>
      <c r="CW239" s="1316" t="e">
        <f aca="false">IF(OR($BQ239,$BS239),SpreadOptPowerMargin,0)*((1+Assumptions!$C$26)^($B239-YEAR(Assumptions!$C$17)))</f>
        <v>#VALUE!</v>
      </c>
      <c r="CX239" s="1316" t="e">
        <f aca="false">IF(OR($BQ239,$BS239),SpreadOptPowerMargin,0)*((1+Assumptions!$C$26)^($B239-YEAR(Assumptions!$C$17)))</f>
        <v>#VALUE!</v>
      </c>
      <c r="CY239" s="1316" t="e">
        <f aca="false">IF(OR($BQ239,$BS239),SpreadOptPowerMargin,0)*((1+Assumptions!$C$26)^($B239-YEAR(Assumptions!$C$17)))</f>
        <v>#VALUE!</v>
      </c>
      <c r="CZ239" s="1316" t="e">
        <f aca="false">IF(OR($BQ239,$BS239),SpreadOptPowerMargin,0)*((1+Assumptions!$C$26)^($B239-YEAR(Assumptions!$C$17)))</f>
        <v>#VALUE!</v>
      </c>
      <c r="DA239" s="1591" t="e">
        <f aca="false">IF(OR(BQ239,BS239),(CW239*(AZ239+BH239)+CX239*(BA239+BI239)+CY239*(BB239+BJ239)+CZ239*(BC239+BK239))/(BQ239+BS239),0)</f>
        <v>#VALUE!</v>
      </c>
      <c r="DB239" s="1592" t="e">
        <f aca="false">IF(OR(BQ239,BS239),CG239+IF(OVolSmile,VLOOKUP(MAX(-5,CO239+CW239-BU239),IF(OVolSmile=1,VolSmileBook,VolSmileModel),2),0),"")</f>
        <v>#VALUE!</v>
      </c>
      <c r="DC239" s="1592" t="e">
        <f aca="false">IF(OR(BQ239,BS239),CH239+IF(OVolSmile,VLOOKUP(MAX(-5,CP239+CW239-BV239),IF(OVolSmile=1,VolSmileBook,VolSmileModel),2),0),"")</f>
        <v>#VALUE!</v>
      </c>
      <c r="DD239" s="1592" t="e">
        <f aca="false">IF(OR(BQ239,BS239),CI239+IF(OVolSmile,VLOOKUP(MAX(-5,CQ239+CW239-BW239),IF(OVolSmile=1,VolSmileBook,VolSmileModel),2),0),"")</f>
        <v>#VALUE!</v>
      </c>
      <c r="DE239" s="1592" t="e">
        <f aca="false">IF(OR(BQ239,BS239),CL239+IF(OVolSmile,VLOOKUP(MAX(-5,CR239+CZ239-BX239),IF(OVolSmile=1,VolSmileBook,VolSmileModel),2),0),"")</f>
        <v>#VALUE!</v>
      </c>
      <c r="DF239" s="1592" t="e">
        <f aca="false">IF(BQ239,CM239+IF(OVolSmile,VLOOKUP(MAX(-5,CS239+DA239-BZ239),IF(OVolSmile=1,VolSmileBook,VolSmileModel),2),0),"")</f>
        <v>#VALUE!</v>
      </c>
      <c r="DG239" s="1593" t="e">
        <f aca="false">IF(BS239,CN239+IF(OVolSmile,VLOOKUP(MAX(-5,CT239+DA239-CF239),IF(OVolSmile=1,VolSmileBook,VolSmileModel),2),0),"")</f>
        <v>#VALUE!</v>
      </c>
      <c r="DH239" s="1316" t="e">
        <f aca="false">IF(AND(BU239&gt;0,CO239&gt;0,DB239&gt;0,CU239&gt;0),newSPRDOPT(BU239,CO239,CW239,0,DB239,CU239,CV239,BT239*365.25,OCallPut,0),0)</f>
        <v>#VALUE!</v>
      </c>
      <c r="DI239" s="1316" t="e">
        <f aca="false">IF(AND(BV239&gt;0,CP239&gt;0,DC239&gt;0,CU239&gt;0),newSPRDOPT(BV239,CP239,CX239,0,DC239,CU239,CV239,BT239*365.25,OCallPut,0),0)</f>
        <v>#VALUE!</v>
      </c>
      <c r="DJ239" s="1316" t="e">
        <f aca="false">IF(AND(BW239&gt;0,CQ239&gt;0,DD239&gt;0,CU239&gt;0),newSPRDOPT(BW239,CQ239,CY239,0,DD239,CU239,CV239,BT239*365.25,OCallPut,0),0)</f>
        <v>#VALUE!</v>
      </c>
      <c r="DK239" s="1316" t="e">
        <f aca="false">IF(AND(BX239&gt;0,CR239&gt;0,DE239&gt;0,CU239&gt;0),newSPRDOPT(BX239,CR239,CZ239,0,DE239,CU239,CV239,BT239*365.25,OCallPut,0),0)</f>
        <v>#VALUE!</v>
      </c>
      <c r="DL239" s="1316" t="e">
        <f aca="false">IF(OVolType,IF(AND(BZ239&gt;0,CS239&gt;0,DF239&gt;0,CU239&gt;0),newSPRDOPT(BZ239,CS239,DA239,0,DF239,CU239,CV239,BT239*365.25,OCallPut,0),0),IF(BQ239,(DH239*AZ239+DI239*BA239+DJ239*BB239+DK239*BC239)/BQ239,0))</f>
        <v>#VALUE!</v>
      </c>
      <c r="DM239" s="1316"/>
      <c r="DN239" s="1316"/>
      <c r="DO239" s="1316"/>
      <c r="DP239" s="1316"/>
      <c r="DQ239" s="1316"/>
      <c r="DR239" s="1316"/>
      <c r="DS239" s="1316"/>
      <c r="DT239" s="1316"/>
      <c r="DU239" s="1316"/>
      <c r="DV239" s="1316"/>
      <c r="DW239" s="1594" t="e">
        <f aca="false">IF(AND(BW239&gt;0,CT239&gt;0,DD239&gt;0,CU239&gt;0),newSPRDOPT(BW239,CT239,CY239,0,DD239,CU239,CV239,BT239*365.25,OCallPut,0),0)</f>
        <v>#VALUE!</v>
      </c>
      <c r="DX239" s="1316" t="e">
        <f aca="false">IF(AND(BX239&gt;0,CT239&gt;0,DE239&gt;0,CU239&gt;0),newSPRDOPT(BX239,CT239,CZ239,0,DE239,CU239,CV239,BT239*365.25,OCallPut,0),0)</f>
        <v>#VALUE!</v>
      </c>
      <c r="DY239" s="1591" t="e">
        <f aca="false">IF(BS239,(DH239*BH239+DI239*BI239+DW239*BJ239+DX239*BK239)/BS239,0)</f>
        <v>#VALUE!</v>
      </c>
      <c r="DZ239" s="1551" t="e">
        <f aca="false">DH239*AZ239</f>
        <v>#VALUE!</v>
      </c>
      <c r="EA239" s="1551" t="e">
        <f aca="false">DI239*BA239</f>
        <v>#VALUE!</v>
      </c>
      <c r="EB239" s="1551" t="e">
        <f aca="false">DJ239*BB239</f>
        <v>#VALUE!</v>
      </c>
      <c r="EC239" s="1551" t="e">
        <f aca="false">DK239*BC239</f>
        <v>#VALUE!</v>
      </c>
      <c r="ED239" s="1551" t="e">
        <f aca="false">DL239*BQ239</f>
        <v>#VALUE!</v>
      </c>
      <c r="EE239" s="1595" t="e">
        <f aca="false">IF(BQ239,IF(OCallPut,IF(BU239&gt;(CO239+CW239),BU239-(CO239+CW239),0),IF((CO239+CW239)&gt;BU239,(CO239+CW239)-BU239,0))*AZ239,0)</f>
        <v>#VALUE!</v>
      </c>
      <c r="EF239" s="1596" t="e">
        <f aca="false">IF(BQ239,IF(OCallPut,IF(BV239&gt;(CP239+CX239),BV239-(CP239+CX239),0),IF((CP239+CX239)&gt;BV239,(CP239+CX239)-BV239,0))*BA239,0)</f>
        <v>#VALUE!</v>
      </c>
      <c r="EG239" s="1596" t="e">
        <f aca="false">IF(BQ239,IF(OCallPut,IF(BW239&gt;(CQ239+CY239),BW239-(CQ239+CY239),0),IF((CQ239+CY239)&gt;BW239,(CQ239+CY239)-BW239,0))*BB239,0)</f>
        <v>#VALUE!</v>
      </c>
      <c r="EH239" s="1596" t="e">
        <f aca="false">IF(BQ239,IF(OCallPut,IF(BX239&gt;(CR239+CZ239),BX239-(CR239+CZ239),0),IF((CR239+CZ239)&gt;BX239,(CR239+CZ239)-BX239,0))*BC239,0)</f>
        <v>#VALUE!</v>
      </c>
      <c r="EI239" s="1597" t="e">
        <f aca="false">IF(BQ239,IF(OVolType,IF(OCallPut,IF(BZ239&gt;(CS239+DA239),BZ239-(CS239+DA239),0),IF((CS239+DA239)&gt;BZ239,(CS239+DA239)-BZ239,0))*BQ239,SUM(EE239:EH239)),0)</f>
        <v>#VALUE!</v>
      </c>
      <c r="EJ239" s="1595" t="e">
        <f aca="false">DZ239-EE239</f>
        <v>#VALUE!</v>
      </c>
      <c r="EK239" s="1596" t="e">
        <f aca="false">EA239-EF239</f>
        <v>#VALUE!</v>
      </c>
      <c r="EL239" s="1596" t="e">
        <f aca="false">EB239-EG239</f>
        <v>#VALUE!</v>
      </c>
      <c r="EM239" s="1596" t="e">
        <f aca="false">EC239-EH239</f>
        <v>#VALUE!</v>
      </c>
      <c r="EN239" s="1597" t="e">
        <f aca="false">ED239-EI239</f>
        <v>#VALUE!</v>
      </c>
      <c r="EO239" s="1551" t="e">
        <f aca="false">DH239*BH239</f>
        <v>#VALUE!</v>
      </c>
      <c r="EP239" s="1551" t="e">
        <f aca="false">DI239*BI239</f>
        <v>#VALUE!</v>
      </c>
      <c r="EQ239" s="1551" t="e">
        <f aca="false">DW239*BJ239</f>
        <v>#VALUE!</v>
      </c>
      <c r="ER239" s="1551" t="e">
        <f aca="false">DX239*BK239</f>
        <v>#VALUE!</v>
      </c>
      <c r="ES239" s="1551" t="e">
        <f aca="false">DY239*BS239</f>
        <v>#VALUE!</v>
      </c>
      <c r="ET239" s="1566" t="e">
        <f aca="false">IF(EI239,IF(OCallPut,IF(CA239&gt;(CT239+CW239),CA239-(CT239+CW239),0),IF((CT239+CW239)&gt;CA239,(CT239+CW239)-CA239,0))*BH239,0)</f>
        <v>#VALUE!</v>
      </c>
      <c r="EU239" s="1551" t="e">
        <f aca="false">IF(EI239,IF(OCallPut,IF(CB239&gt;(CT239+CX239),CB239-(CT239+CX239),0),IF((CT239+CX239)&gt;CB239,(CT239+CX239)-CB239,0))*BI239,0)</f>
        <v>#VALUE!</v>
      </c>
      <c r="EV239" s="1551" t="e">
        <f aca="false">IF(EI239,IF(OCallPut,IF(CC239&gt;(CT239+CY239),CC239-(CT239+CY239),0),IF((CT239+CY239)&gt;CC239,(CT239+CY239)-CC239,0))*BJ239,0)</f>
        <v>#VALUE!</v>
      </c>
      <c r="EW239" s="1551" t="e">
        <f aca="false">IF(EI239,IF(OCallPut,IF(CD239&gt;(CT239+CZ239),CD239-(CT239+CZ239),0),IF((CT239+CZ239)&gt;CD239,(CT239+CZ239)-CD239,0))*BK239,0)</f>
        <v>#VALUE!</v>
      </c>
      <c r="EX239" s="1558" t="e">
        <f aca="false">IF(EI239,SUM(ET239:EW239),0)</f>
        <v>#VALUE!</v>
      </c>
      <c r="EY239" s="1551" t="e">
        <f aca="false">EO239-ET239</f>
        <v>#VALUE!</v>
      </c>
      <c r="EZ239" s="1551" t="e">
        <f aca="false">EP239-EU239</f>
        <v>#VALUE!</v>
      </c>
      <c r="FA239" s="1551" t="e">
        <f aca="false">EQ239-EV239</f>
        <v>#VALUE!</v>
      </c>
      <c r="FB239" s="1551" t="e">
        <f aca="false">ER239-EW239</f>
        <v>#VALUE!</v>
      </c>
      <c r="FC239" s="1551" t="e">
        <f aca="false">ES239-EX239</f>
        <v>#VALUE!</v>
      </c>
      <c r="FD239" s="1525" t="n">
        <f aca="false">IF(AX239,IF(VLOOKUP(C239,MAIN!$L$17:$M$28,2)="Yes",VLOOKUP(CALC!B239,MAIN!$H$17:$I$20,2),0),0)</f>
        <v>0</v>
      </c>
      <c r="FE239" s="1552" t="e">
        <f aca="false">$FD239*16*AT239*(1-$AY239)</f>
        <v>#VALUE!</v>
      </c>
      <c r="FF239" s="1553" t="e">
        <f aca="false">$FD239*16*AU239*(1-$AY239)</f>
        <v>#VALUE!</v>
      </c>
      <c r="FG239" s="1553" t="e">
        <f aca="false">$FD239*16*(AV239+AW239)*(1-$AY239)</f>
        <v>#VALUE!</v>
      </c>
      <c r="FH239" s="1554" t="n">
        <f aca="false">$FD239*8*AX239*(1-$AY239)</f>
        <v>0</v>
      </c>
      <c r="FI239" s="1555" t="n">
        <f aca="false">IF(AX239,VLOOKUP(CALC!B239,MAIN!$H$17:$K$20,4),0)</f>
        <v>0</v>
      </c>
      <c r="FJ239" s="1553" t="e">
        <f aca="false">SUM(FE239:FH239)</f>
        <v>#VALUE!</v>
      </c>
      <c r="FK239" s="1556" t="e">
        <f aca="false">FI239*FJ239</f>
        <v>#VALUE!</v>
      </c>
      <c r="FL239" s="1551" t="e">
        <f aca="false">IF($EI239&gt;0,MIN(FE239,AZ239*(1+VLOOKUP($C239,WeatherCapacityAdjustment,2))),0)</f>
        <v>#VALUE!</v>
      </c>
      <c r="FM239" s="1551" t="e">
        <f aca="false">IF($EI239&gt;0,MIN(FF239,BA239*(1+VLOOKUP($C239,WeatherCapacityAdjustment,2))),0)</f>
        <v>#VALUE!</v>
      </c>
      <c r="FN239" s="1551" t="e">
        <f aca="false">IF($EI239&gt;0,MIN(FG239,BB239*(1+VLOOKUP($C239,WeatherCapacityAdjustment,2))),0)</f>
        <v>#VALUE!</v>
      </c>
      <c r="FO239" s="1564" t="e">
        <f aca="false">IF($EI239&gt;0,MIN(FH239,BC239*(1+VLOOKUP($C239,WeatherCapacityAdjustment,3))),0)</f>
        <v>#VALUE!</v>
      </c>
      <c r="FP239" s="1551" t="e">
        <f aca="false">IF(ET239&gt;0,MIN(FE239-FL239,BH239*(1+VLOOKUP($C239,WeatherCapacityAdjustment,2))),0)</f>
        <v>#VALUE!</v>
      </c>
      <c r="FQ239" s="1551" t="e">
        <f aca="false">IF(EU239&gt;0,MIN(FF239-FM239,BI239*(1+VLOOKUP($C239,WeatherCapacityAdjustment,2))),0)</f>
        <v>#VALUE!</v>
      </c>
      <c r="FR239" s="1551" t="e">
        <f aca="false">IF(EV239&gt;0,MIN(FG239-FN239,BJ239*(1+VLOOKUP($C239,WeatherCapacityAdjustment,2))),0)</f>
        <v>#VALUE!</v>
      </c>
      <c r="FS239" s="1558" t="e">
        <f aca="false">IF(EW239&gt;0,MIN(FH239-FO239,BK239*(1+VLOOKUP($C239,WeatherCapacityAdjustment,3))),0)</f>
        <v>#VALUE!</v>
      </c>
      <c r="FT239" s="1566" t="e">
        <f aca="false">IF(AND(Assumptions!$H$71="Yes",A239&gt;=Assumptions!$H$72,A239&lt;=Assumptions!$H$73),0,IF(AND($A239&gt;=Assumptions!$C$17,$A239&lt;=Assumptions!$C$18),MAX(AZ239*(1+VLOOKUP($C239,WeatherCapacityAdjustment,2))-FL239,0),0))</f>
        <v>#VALUE!</v>
      </c>
      <c r="FU239" s="1551" t="e">
        <f aca="false">IF(AND(Assumptions!$H$71="Yes",A239&gt;=Assumptions!$H$72,A239&lt;=Assumptions!$H$73),0,IF(AND($A239&gt;=Assumptions!$C$17,$A239&lt;=Assumptions!$C$18),MAX(BA239*(1+VLOOKUP($C239,WeatherCapacityAdjustment,2))-FM239,0),0))</f>
        <v>#VALUE!</v>
      </c>
      <c r="FV239" s="1551" t="e">
        <f aca="false">IF(AND(Assumptions!$H$71="Yes",A239&gt;=Assumptions!$H$72,A239&lt;=Assumptions!$H$73),0,IF(AND($A239&gt;=Assumptions!$C$17,$A239&lt;=Assumptions!$C$18),MAX(BB239*(1+VLOOKUP($C239,WeatherCapacityAdjustment,2))-FN239,0),0))</f>
        <v>#VALUE!</v>
      </c>
      <c r="FW239" s="1564" t="e">
        <f aca="false">IF(AND(Assumptions!$H$71="Yes",A239&gt;=Assumptions!$H$72,A239&lt;=Assumptions!$H$73),0,IF(AND($A239&gt;=Assumptions!$C$17,$A239&lt;=Assumptions!$C$18),MAX(BC239*(1+VLOOKUP($C239,WeatherCapacityAdjustment,3))-FO239,0),0))</f>
        <v>#VALUE!</v>
      </c>
      <c r="FX239" s="1569" t="e">
        <f aca="false">IF(AND(Assumptions!$H$71="Yes",A239&gt;=Assumptions!$H$72,A239&lt;=Assumptions!$H$73),0,IF(ET239&gt;0,MAX(BH239*(1+VLOOKUP($C239,WeatherCapacityAdjustment,2))-FP239,0),0))</f>
        <v>#VALUE!</v>
      </c>
      <c r="FY239" s="1551" t="e">
        <f aca="false">IF(AND(Assumptions!$H$71="Yes",A239&gt;=Assumptions!$H$72,A239&lt;=Assumptions!$H$73),0,IF(EU239&gt;0,MAX(BI239*(1+VLOOKUP($C239,WeatherCapacityAdjustment,3))-FQ239,0),0))</f>
        <v>#VALUE!</v>
      </c>
      <c r="FZ239" s="1551" t="e">
        <f aca="false">IF(AND(Assumptions!$H$71="Yes",A239&gt;=Assumptions!$H$72,A239&lt;=Assumptions!$H$73),0,IF(EV239&gt;0,MAX(BJ239*(1+VLOOKUP($C239,WeatherCapacityAdjustment,2))-FR239,0),0))</f>
        <v>#VALUE!</v>
      </c>
      <c r="GA239" s="1564" t="e">
        <f aca="false">IF(AND(Assumptions!$H$71="Yes",A239&gt;=Assumptions!$H$72,A239&lt;=Assumptions!$H$73),0,IF(EW239&gt;0,MAX(BK239*(1+VLOOKUP($C239,WeatherCapacityAdjustment,2))-FS239,0),0))</f>
        <v>#VALUE!</v>
      </c>
      <c r="GB239" s="1551" t="e">
        <f aca="false">SUM(FT239:GA239)</f>
        <v>#VALUE!</v>
      </c>
      <c r="GC239" s="1563" t="e">
        <f aca="false">+IF(SUM(FT239:GA239)=0,0,(SUMPRODUCT(BU239:BX239,FT239:FW239)+SUMPRODUCT(CA239:CD239,FX239:GA239))/SUM(FT239:GA239))</f>
        <v>#VALUE!</v>
      </c>
      <c r="GD239" s="1551" t="e">
        <f aca="false">(FT239*BU239+FX239*CA239+FU239*BV239+FY239*CB239+FV239*BW239+FZ239*CC239+FW239*BX239+GA239*CD239)</f>
        <v>#VALUE!</v>
      </c>
      <c r="GE239" s="1561" t="e">
        <f aca="false">+IF(BQ239,((FL239+FM239+FT239+FU239)*HeatRatePeak/1000*(1+VLOOKUP($C239,WeatherHeatRateAdjustment,2))+(FN239+FV239)*IF(EV239&gt;0,HeatRatePeak,HeatRateOffPeak)/1000*(1+VLOOKUP($C239,WeatherHeatRateAdjustment,2))+(FO239+FW239)*IF(EW239&gt;0,HeatRatePeak,HeatRateOffPeak)/1000*(1+VLOOKUP($C239,WeatherHeatRateAdjustment,3)))*(1+VLOOKUP($B239,HeatRateDegradation,$C239+1)),0)</f>
        <v>#VALUE!</v>
      </c>
      <c r="GF239" s="1562" t="e">
        <f aca="false">IF(BQ239,((FP239+FQ239+FR239+FX239+FY239+FZ239)*HeatRatePeak/1000*(1+VLOOKUP($C239,WeatherHeatRateAdjustment,2))+(FS239+GA239)*HeatRatePeak/1000*(1+VLOOKUP($C239,WeatherHeatRateAdjustment,3)))*(1+VLOOKUP($B239,HeatRateDegradation,$C239+1)),0)</f>
        <v>#VALUE!</v>
      </c>
      <c r="GG239" s="1563" t="e">
        <f aca="false">IF(BQ239,VLOOKUP(A239,GasTable,13),0)</f>
        <v>#VALUE!</v>
      </c>
      <c r="GH239" s="1564" t="e">
        <f aca="false">(GE239+GF239)*GG239</f>
        <v>#VALUE!</v>
      </c>
      <c r="GI239" s="1569" t="e">
        <f aca="false">GB239</f>
        <v>#VALUE!</v>
      </c>
      <c r="GJ239" s="1598" t="e">
        <f aca="false">+DA239</f>
        <v>#VALUE!</v>
      </c>
      <c r="GK239" s="1558" t="e">
        <f aca="false">+GI239*GJ239</f>
        <v>#VALUE!</v>
      </c>
      <c r="GL239" s="1566" t="e">
        <f aca="false">MAX(FE239-FL239-FP239,0)</f>
        <v>#VALUE!</v>
      </c>
      <c r="GM239" s="1551" t="e">
        <f aca="false">MAX(FF239-FM239-FQ239,0)</f>
        <v>#VALUE!</v>
      </c>
      <c r="GN239" s="1551" t="e">
        <f aca="false">MAX(FG239-FN239-FR239,0)</f>
        <v>#VALUE!</v>
      </c>
      <c r="GO239" s="1564" t="e">
        <f aca="false">MAX(FH239-FO239-FS239,0)</f>
        <v>#VALUE!</v>
      </c>
      <c r="GP239" s="1551" t="e">
        <f aca="false">SUM(GL239:GO239)</f>
        <v>#VALUE!</v>
      </c>
      <c r="GQ239" s="1563" t="e">
        <f aca="false">IF(SUM(GL239:GO239)=0,0,((GL239*BU239+GM239*BV239+GN239*BW239+GO239*BX239)/SUM(GL239:GO239)))</f>
        <v>#VALUE!</v>
      </c>
      <c r="GR239" s="1558" t="e">
        <f aca="false">(GL239*BU239+GM239*BV239+GN239*BW239+GO239*BX239)</f>
        <v>#VALUE!</v>
      </c>
      <c r="GS239" s="1566" t="n">
        <f aca="false">IF($A239&gt;=BegDate,Assumptions!$C$56*24*($A240-$A239)*(1-VLOOKUP($B239,MAIN!$AA$7:$AM$28,$C239+1))*(1-VLOOKUP($B239,MAIN!$AA$33:$AM$54,$C239+1)),0)*80/168</f>
        <v>249428.571428571</v>
      </c>
      <c r="GT239" s="286" t="n">
        <f aca="false">J239</f>
        <v>58.3452874597383</v>
      </c>
      <c r="GU239" s="286" t="n">
        <f aca="false">IF($A239&gt;=BegDate,VLOOKUP($A239,GasTable,13)+Assumptions!$C$58,0)</f>
        <v>4.07064725445402</v>
      </c>
      <c r="GV239" s="286" t="n">
        <f aca="false">GU239*Assumptions!$C$57/1000</f>
        <v>29.5121925947916</v>
      </c>
      <c r="GW239" s="1558" t="n">
        <f aca="false">IF(Assumptions!$C$60="Hourly",MAX(0,GS239*(GT239-GV239)),GS239*(GT239-GV239))</f>
        <v>7191797.66202814</v>
      </c>
      <c r="GX239" s="1566" t="n">
        <f aca="false">IF($A239&gt;=BegDate,Assumptions!$C$56*24*($A240-$A239)*(1-VLOOKUP($B239,MAIN!$AA$7:$AM$28,$C239+1))*(1-VLOOKUP($B239,MAIN!$AA$33:$AM$54,$C239+1)),0)*16/168</f>
        <v>49885.7142857143</v>
      </c>
      <c r="GY239" s="286" t="n">
        <f aca="false">M239</f>
        <v>58.3452874597383</v>
      </c>
      <c r="GZ239" s="286" t="n">
        <f aca="false">IF($A239&gt;=BegDate,VLOOKUP($A239,GasTable,13)+Assumptions!$C$58,0)</f>
        <v>4.07064725445402</v>
      </c>
      <c r="HA239" s="286" t="n">
        <f aca="false">GZ239*Assumptions!$C$57/1000</f>
        <v>29.5121925947916</v>
      </c>
      <c r="HB239" s="1558" t="n">
        <f aca="false">IF(Assumptions!$C$60="Hourly",MAX(0,GX239*(GY239-HA239)),GX239*(GY239-HA239))</f>
        <v>1438359.53240563</v>
      </c>
      <c r="HC239" s="1566" t="n">
        <f aca="false">IF($A239&gt;=BegDate,Assumptions!$C$56*24*($A240-$A239)*(1-VLOOKUP($B239,MAIN!$AA$7:$AM$28,$C239+1))*(1-VLOOKUP($B239,MAIN!$AA$33:$AM$54,$C239+1)),0)*16/168</f>
        <v>49885.7142857143</v>
      </c>
      <c r="HD239" s="286" t="n">
        <f aca="false">P239</f>
        <v>35.1489973282273</v>
      </c>
      <c r="HE239" s="286" t="n">
        <f aca="false">IF($A239&gt;=BegDate,VLOOKUP($A239,GasTable,13)+Assumptions!$C$58,0)</f>
        <v>4.07064725445402</v>
      </c>
      <c r="HF239" s="286" t="n">
        <f aca="false">HE239*Assumptions!$C$57/1000</f>
        <v>29.5121925947916</v>
      </c>
      <c r="HG239" s="1558" t="n">
        <f aca="false">IF(Assumptions!$C$60="Hourly",MAX(0,HC239*(HD239-HF239)),HC239*(HD239-HF239))</f>
        <v>281196.030416536</v>
      </c>
      <c r="HH239" s="1566" t="n">
        <f aca="false">IF($A239&gt;=BegDate,Assumptions!$C$56*24*($A240-$A239)*(1-VLOOKUP($B239,MAIN!$AA$7:$AM$28,$C239+1))*(1-VLOOKUP($B239,MAIN!$AA$33:$AM$54,$C239+1)),0)*56/168</f>
        <v>174600</v>
      </c>
      <c r="HI239" s="286" t="n">
        <f aca="false">S239</f>
        <v>35.1489973282273</v>
      </c>
      <c r="HJ239" s="286" t="n">
        <f aca="false">IF($A239&gt;=BegDate,VLOOKUP($A239,GasTable,13)+Assumptions!$C$58,0)</f>
        <v>4.07064725445402</v>
      </c>
      <c r="HK239" s="286" t="n">
        <f aca="false">HJ239*Assumptions!$C$57/1000</f>
        <v>29.5121925947916</v>
      </c>
      <c r="HL239" s="1558" t="n">
        <f aca="false">IF(Assumptions!$C$60="Hourly",MAX(0,HH239*(HI239-HK239)),HH239*(HI239-HK239))</f>
        <v>984186.106457876</v>
      </c>
      <c r="HM239" s="1566" t="n">
        <f aca="false">IF(AND(Assumptions!$H$71="Yes",A239&gt;=Assumptions!$H$72,A239&lt;=Assumptions!$H$73),Assumptions!$H$74*Assumptions!$C$9*1000,0)</f>
        <v>0</v>
      </c>
      <c r="HN239" s="1551"/>
      <c r="HO239" s="1563"/>
      <c r="HP239" s="1563"/>
      <c r="HQ239" s="1563"/>
      <c r="HR239" s="1563"/>
      <c r="HS239" s="1563"/>
      <c r="HT239" s="1563"/>
      <c r="HU239" s="1563"/>
      <c r="HV239" s="1563"/>
      <c r="HW239" s="1563"/>
      <c r="HX239" s="1563"/>
      <c r="HY239" s="1563"/>
      <c r="HZ239" s="1563"/>
      <c r="IA239" s="1563"/>
      <c r="IB239" s="1563"/>
      <c r="IC239" s="1563"/>
      <c r="ID239" s="1563"/>
      <c r="IE239" s="1563"/>
      <c r="IF239" s="1563"/>
      <c r="IG239" s="1563"/>
      <c r="IH239" s="1563"/>
      <c r="II239" s="1610"/>
      <c r="IJ239" s="1309"/>
      <c r="IK239" s="1309"/>
    </row>
    <row r="240" customFormat="false" ht="12.75" hidden="false" customHeight="false" outlineLevel="0" collapsed="false">
      <c r="A240" s="1571" t="n">
        <f aca="false">EOMONTH(A239,0)+1</f>
        <v>43435</v>
      </c>
      <c r="B240" s="594" t="n">
        <f aca="false">+YEAR(A240)</f>
        <v>2018</v>
      </c>
      <c r="C240" s="238" t="n">
        <f aca="false">MONTH(A240)</f>
        <v>12</v>
      </c>
      <c r="D240" s="1572" t="e">
        <f aca="false">IF(E240="","",Holiday(B240,C240))</f>
        <v>#VALUE!</v>
      </c>
      <c r="E240" s="1573" t="n">
        <f aca="false">IF(OR(BegDate&gt;=A241,EndDate&lt;A240,AND(VolumeMonthlyOverFlag,INDEX(VolumeMonthlyOver,C240)=0),NOT(INDEX(MonthKnockOutTable,C240))),"",MAX(A240,BegDate))</f>
        <v>43435</v>
      </c>
      <c r="F240" s="1574" t="n">
        <f aca="false">IF(E240="","",MIN(A241-1,EndDate))</f>
        <v>43465</v>
      </c>
      <c r="G240" s="1575" t="n">
        <v>0</v>
      </c>
      <c r="H240" s="1576" t="n">
        <f aca="false">(1+G240/2)^(-2*(DATE(B241,C241,20)-DateToday)/365.25)</f>
        <v>1</v>
      </c>
      <c r="I240" s="1568" t="n">
        <f aca="false">IF(Assumptions!$L$25=4,VLOOKUP($A240,'Henwood Reference'!$E$9:$R$320,10),(VLOOKUP($A240,PriceTable,2,0)+IF(BasisNumber&lt;&gt;1,VLOOKUP($A240,BasisTable,2,0),0)+I$1)/(1-I$2))</f>
        <v>58.3205787996553</v>
      </c>
      <c r="J240" s="1568" t="n">
        <f aca="false">IF(Assumptions!$L$25=4,VLOOKUP($A240,'Henwood Reference'!$E$9:$R$320,10),(VLOOKUP($A240,PriceTable,3,0)+IF(BasisNumber&lt;&gt;1,VLOOKUP($A240,BasisTable,2,0),0)+J$1)/(1-J$2))</f>
        <v>58.3205787996553</v>
      </c>
      <c r="K240" s="1568" t="n">
        <f aca="false">IF(Assumptions!$L$25=4,VLOOKUP($A240,'Henwood Reference'!$E$9:$R$320,10),(VLOOKUP($A240,PriceTable,4,0)+IF(BasisNumber&lt;&gt;1,VLOOKUP($A240,BasisTable,2,0),0)+K$1)/(1-K$2))</f>
        <v>58.3205787996553</v>
      </c>
      <c r="L240" s="1523" t="n">
        <f aca="false">IF(Assumptions!$L$25=4,VLOOKUP($A240,'Henwood Reference'!$E$9:$R$320,10),(VLOOKUP($A240,PriceTableWeekend,2,0)+IF(BasisNumber&lt;&gt;1,VLOOKUP($A240,BasisTable,2,0),0)+L$1)/(1-L$2))</f>
        <v>58.3205787996553</v>
      </c>
      <c r="M240" s="1568" t="n">
        <f aca="false">IF(Assumptions!$L$25=4,VLOOKUP($A240,'Henwood Reference'!$E$9:$R$320,10),(VLOOKUP($A240,PriceTableWeekend,3,0)+IF(BasisNumber&lt;&gt;1,VLOOKUP($A240,BasisTable,2,0),0)+M$1)/(1-M$2))</f>
        <v>58.3205787996553</v>
      </c>
      <c r="N240" s="1599" t="n">
        <f aca="false">IF(Assumptions!$L$25=4,VLOOKUP($A240,'Henwood Reference'!$E$9:$R$320,10),(VLOOKUP($A240,PriceTableWeekend,4,0)+IF(BasisNumber&lt;&gt;1,VLOOKUP($A240,BasisTable,2,0),0)+N$1)/(1-N$2))</f>
        <v>58.3205787996553</v>
      </c>
      <c r="O240" s="1568" t="n">
        <f aca="false">IF(Assumptions!$L$25=4,VLOOKUP($A240,'Henwood Reference'!$E$9:$R$320,11),(VLOOKUP($A240,PriceTableWeekend,6,0)+IF(BasisNumber&lt;&gt;1,VLOOKUP($A240,BasisTable,3,0),0)+O$1)/(1-O$2))</f>
        <v>35.961240969224</v>
      </c>
      <c r="P240" s="1568" t="n">
        <f aca="false">IF(Assumptions!$L$25=4,VLOOKUP($A240,'Henwood Reference'!$E$9:$R$320,11),(VLOOKUP($A240,PriceTableWeekend,7,0)+IF(BasisNumber&lt;&gt;1,VLOOKUP($A240,BasisTable,3,0),0)+P$1)/(1-P$2))</f>
        <v>35.961240969224</v>
      </c>
      <c r="Q240" s="1599" t="n">
        <f aca="false">IF(Assumptions!$L$25=4,VLOOKUP($A240,'Henwood Reference'!$E$9:$R$320,11),(VLOOKUP($A240,PriceTableWeekend,8,0)+IF(BasisNumber&lt;&gt;1,VLOOKUP($A240,BasisTable,3,0),0)+Q$1)/(1-Q$2))</f>
        <v>35.961240969224</v>
      </c>
      <c r="R240" s="1568" t="n">
        <f aca="false">IF(Assumptions!$L$25=4,VLOOKUP($A240,'Henwood Reference'!$E$9:$R$320,11),(VLOOKUP($A240,PriceTable,6,0)+IF(BasisNumber&lt;&gt;1,VLOOKUP($A240,BasisTable,3,0),0)+R$1)/(1-R$2))</f>
        <v>35.961240969224</v>
      </c>
      <c r="S240" s="1568" t="n">
        <f aca="false">IF(Assumptions!$L$25=4,VLOOKUP($A240,'Henwood Reference'!$E$9:$R$320,11),(VLOOKUP($A240,PriceTable,7,0)+IF(BasisNumber&lt;&gt;1,VLOOKUP($A240,BasisTable,3,0),0)+S$1)/(1-S$2))</f>
        <v>35.961240969224</v>
      </c>
      <c r="T240" s="1600" t="n">
        <f aca="false">IF(Assumptions!$L$25=4,VLOOKUP($A240,'Henwood Reference'!$E$9:$R$320,11),(VLOOKUP($A240,PriceTable,8,0)+IF(BasisNumber&lt;&gt;1,VLOOKUP($A240,BasisTable,3,0),0)+T$1)/(1-T$2))</f>
        <v>35.961240969224</v>
      </c>
      <c r="U240" s="1513" t="n">
        <f aca="false">VLOOKUP($A240,VolatilityTable,14)</f>
        <v>0.09</v>
      </c>
      <c r="V240" s="1513" t="n">
        <f aca="false">VLOOKUP($A240,VolatilityTable,15)</f>
        <v>0.1</v>
      </c>
      <c r="W240" s="1514" t="n">
        <f aca="false">VLOOKUP($A240,VolatilityTable,16)</f>
        <v>0.11</v>
      </c>
      <c r="X240" s="1513" t="n">
        <f aca="false">VLOOKUP($A240,VolatilityTable,14)</f>
        <v>0.09</v>
      </c>
      <c r="Y240" s="1513" t="n">
        <f aca="false">VLOOKUP($A240,VolatilityTable,15)</f>
        <v>0.1</v>
      </c>
      <c r="Z240" s="1514" t="n">
        <f aca="false">VLOOKUP($A240,VolatilityTable,16)</f>
        <v>0.11</v>
      </c>
      <c r="AA240" s="1513" t="n">
        <f aca="false">VLOOKUP($A240,VolatilityTable,18)</f>
        <v>0.09</v>
      </c>
      <c r="AB240" s="1513" t="n">
        <f aca="false">VLOOKUP($A240,VolatilityTable,19)</f>
        <v>0.11</v>
      </c>
      <c r="AC240" s="1514" t="n">
        <f aca="false">VLOOKUP($A240,VolatilityTable,20)</f>
        <v>0.13</v>
      </c>
      <c r="AD240" s="1513" t="n">
        <f aca="false">VLOOKUP($A240,VolatilityTable,18)</f>
        <v>0.09</v>
      </c>
      <c r="AE240" s="1513" t="n">
        <f aca="false">VLOOKUP($A240,VolatilityTable,19)</f>
        <v>0.11</v>
      </c>
      <c r="AF240" s="1514" t="n">
        <f aca="false">VLOOKUP($A240,VolatilityTable,20)</f>
        <v>0.13</v>
      </c>
      <c r="AG240" s="1513" t="n">
        <f aca="false">VLOOKUP($A240,VolatilityTable,22)</f>
        <v>-0.25</v>
      </c>
      <c r="AH240" s="1513" t="n">
        <f aca="false">VLOOKUP($A240,VolatilityTable,23)</f>
        <v>0.6</v>
      </c>
      <c r="AI240" s="1514" t="n">
        <f aca="false">VLOOKUP($A240,VolatilityTable,24)</f>
        <v>0.25</v>
      </c>
      <c r="AJ240" s="1513" t="n">
        <f aca="false">VLOOKUP($A240,VolatilityTable,22)</f>
        <v>-0.25</v>
      </c>
      <c r="AK240" s="1513" t="n">
        <f aca="false">VLOOKUP($A240,VolatilityTable,23)</f>
        <v>0.6</v>
      </c>
      <c r="AL240" s="1514" t="n">
        <f aca="false">VLOOKUP($A240,VolatilityTable,24)</f>
        <v>0.25</v>
      </c>
      <c r="AM240" s="1513" t="n">
        <f aca="false">VLOOKUP($A240,VolatilityTable,26)</f>
        <v>-0.01</v>
      </c>
      <c r="AN240" s="1513" t="n">
        <f aca="false">VLOOKUP($A240,VolatilityTable,27)</f>
        <v>0.16</v>
      </c>
      <c r="AO240" s="1514" t="n">
        <f aca="false">VLOOKUP($A240,VolatilityTable,28)</f>
        <v>0.01</v>
      </c>
      <c r="AP240" s="1513" t="n">
        <f aca="false">VLOOKUP($A240,VolatilityTable,26)</f>
        <v>-0.01</v>
      </c>
      <c r="AQ240" s="1513" t="n">
        <f aca="false">VLOOKUP($A240,VolatilityTable,27)</f>
        <v>0.16</v>
      </c>
      <c r="AR240" s="1515" t="n">
        <f aca="false">VLOOKUP($A240,VolatilityTable,28)</f>
        <v>0.01</v>
      </c>
      <c r="AS240" s="1581" t="n">
        <f aca="false">IF(CorrPeakOffPeakOverFlag,INDEX(CorrPeakOffPeakOver,C240),CorrPeakOffPeak)</f>
        <v>0.5</v>
      </c>
      <c r="AT240" s="594" t="e">
        <f aca="false">AX240-SUM(AU240:AW240)</f>
        <v>#VALUE!</v>
      </c>
      <c r="AU240" s="238" t="e">
        <f aca="false">IF(E240="",0,INT((F240-MOD(F240,7)-E240)/7)+1-IF(AW240,IF(WEEKDAY(D240)=7,1,0),0))</f>
        <v>#VALUE!</v>
      </c>
      <c r="AV240" s="238" t="e">
        <f aca="false">IF(E240="",0,INT((F240-MOD(F240-1,7)-E240)/7)+1-IF(AW240,IF(WEEKDAY(D240)=1,1,0),0))</f>
        <v>#VALUE!</v>
      </c>
      <c r="AW240" s="238" t="e">
        <f aca="false">IF(OR(E240="",D240="",D240&lt;BegDate,D240&gt;EndDate),0,1)</f>
        <v>#VALUE!</v>
      </c>
      <c r="AX240" s="238" t="n">
        <f aca="false">IF(E240="",0,F240-E240+1)</f>
        <v>31</v>
      </c>
      <c r="AY240" s="1582" t="n">
        <f aca="false">IF(E240="",0,MIN((1-(1-VLOOKUP(B240,MAIN!$AA$7:$AM$28,C240+1))*(1-VLOOKUP(B240,MAIN!$AA$33:$AM$54,C240+1))),1))</f>
        <v>0.03</v>
      </c>
      <c r="AZ240" s="1519" t="e">
        <v>#VALUE!</v>
      </c>
      <c r="BA240" s="1520" t="e">
        <v>#VALUE!</v>
      </c>
      <c r="BB240" s="1520" t="e">
        <v>#VALUE!</v>
      </c>
      <c r="BC240" s="1583" t="e">
        <v>#VALUE!</v>
      </c>
      <c r="BD240" s="1522" t="e">
        <v>#VALUE!</v>
      </c>
      <c r="BE240" s="1523" t="e">
        <v>#VALUE!</v>
      </c>
      <c r="BF240" s="1523" t="e">
        <v>#VALUE!</v>
      </c>
      <c r="BG240" s="1584" t="e">
        <v>#VALUE!</v>
      </c>
      <c r="BH240" s="1525" t="e">
        <v>#VALUE!</v>
      </c>
      <c r="BI240" s="1520" t="e">
        <v>#VALUE!</v>
      </c>
      <c r="BJ240" s="1520" t="e">
        <v>#VALUE!</v>
      </c>
      <c r="BK240" s="1583" t="e">
        <v>#VALUE!</v>
      </c>
      <c r="BL240" s="1522" t="e">
        <v>#VALUE!</v>
      </c>
      <c r="BM240" s="1523" t="e">
        <v>#VALUE!</v>
      </c>
      <c r="BN240" s="1523" t="e">
        <v>#VALUE!</v>
      </c>
      <c r="BO240" s="1523" t="e">
        <v>#VALUE!</v>
      </c>
      <c r="BP240" s="1525" t="e">
        <f aca="false">SUM(AZ240:BB240)</f>
        <v>#VALUE!</v>
      </c>
      <c r="BQ240" s="1529" t="e">
        <f aca="false">SUM(AZ240:BC240)</f>
        <v>#VALUE!</v>
      </c>
      <c r="BR240" s="1519" t="e">
        <f aca="false">SUM(BH240:BJ240)</f>
        <v>#VALUE!</v>
      </c>
      <c r="BS240" s="1529" t="e">
        <f aca="false">SUM(BH240:BK240)</f>
        <v>#VALUE!</v>
      </c>
      <c r="BT240" s="1316" t="n">
        <f aca="false">(IF(OVolType&lt;&gt;2,A240+14,IF(OptExpDateShift,ShiftBack(A240,OptExpDateShift,D239),A240))-DateToday)/365.25</f>
        <v>18.631074606434</v>
      </c>
      <c r="BU240" s="1585" t="e">
        <f aca="false">IF(BQ240,IF(OPriceCurve,IF(OBuySell=OCallPut,I240/(1-AY240),K240/(1-AY240)),J240/(1-AY240))*BD240,0)</f>
        <v>#VALUE!</v>
      </c>
      <c r="BV240" s="1316" t="e">
        <f aca="false">IF(BQ240,IF(OPriceCurve,IF(OBuySell=OCallPut,L240/(1-AY240),N240/(1-AY240)),M240/(1-AY240))*BE240,0)</f>
        <v>#VALUE!</v>
      </c>
      <c r="BW240" s="1316" t="e">
        <f aca="false">IF(BQ240,IF(OPriceCurve,IF(OBuySell=OCallPut,O240/(1-AY240),Q240/(1-AY240)),P240/(1-AY240))*BF240,0)</f>
        <v>#VALUE!</v>
      </c>
      <c r="BX240" s="1316" t="e">
        <f aca="false">IF(BQ240,IF(OPriceCurve,IF(OBuySell=OCallPut,R240/(1-AY240),T240/(1-AY240)),S240/(1-AY240))*BG240,0)</f>
        <v>#VALUE!</v>
      </c>
      <c r="BY240" s="1316" t="e">
        <f aca="false">IF(BP240,(BU240*AZ240+BV240*BA240+BW240*BB240)/BP240,0)</f>
        <v>#VALUE!</v>
      </c>
      <c r="BZ240" s="1316" t="e">
        <f aca="false">IF(BQ240,(BY240*BP240+BX240*BC240)/BQ240,0)</f>
        <v>#VALUE!</v>
      </c>
      <c r="CA240" s="1531" t="e">
        <f aca="false">IF(BS240,IF(OPriceCurve,IF(OBuySell=OCallPut,I240/(1-AY240),K240/(1-AY240)),J240/(1-AY240))*BL240,0)</f>
        <v>#VALUE!</v>
      </c>
      <c r="CB240" s="1316" t="e">
        <f aca="false">IF(BS240,IF(OPriceCurve,IF(OBuySell=OCallPut,L240/(1-AY240),N240/(1-AY240)),M240/(1-AY240))*BM240,0)</f>
        <v>#VALUE!</v>
      </c>
      <c r="CC240" s="1316" t="e">
        <f aca="false">IF(BS240,IF(OPriceCurve,IF(OBuySell=OCallPut,O240/(1-AY240),Q240/(1-AY240)),P240/(1-AY240))*BN240,0)</f>
        <v>#VALUE!</v>
      </c>
      <c r="CD240" s="1316" t="e">
        <f aca="false">IF(BS240,IF(OPriceCurve,IF(OBuySell=OCallPut,R240/(1-AY240),T240/(1-AY240)),S240/(1-AY240))*BO240,0)</f>
        <v>#VALUE!</v>
      </c>
      <c r="CE240" s="1316" t="e">
        <f aca="false">IF(BR240,(BU240*BH240+BV240*BI240+BW240*BJ240)/BR240,0)</f>
        <v>#VALUE!</v>
      </c>
      <c r="CF240" s="1532" t="e">
        <f aca="false">IF(BS240,(CE240*BR240+CD240*BK240)/BS240,0)</f>
        <v>#VALUE!</v>
      </c>
      <c r="CG240" s="1586" t="e">
        <f aca="false">IF(OR(BQ240,BS240),IF(OVolType&lt;&gt;2,SQRT(IF(OVolOverMonthlyPeak,OVolOverMonthlyPeak,IF(OVolCurve,IF(OBuySell,U240,W240),V240))^2*(1-15/365.25/BT240)+IF(OVolOverDailyPeak,OVolOverDailyPeak,IF(OVolCurve,IF(OBuySell,AG240,AI240),AH240))^2*15/365.25/BT240),IF(OVolOverMonthlyPeak,OVolOverMonthlyPeak,IF(OVolCurve,IF(OBuySell,U240,W240),V240))),"")</f>
        <v>#VALUE!</v>
      </c>
      <c r="CH240" s="1587" t="e">
        <f aca="false">IF(OR(BQ240,BS240),IF(OVolType&lt;&gt;2,SQRT(IF(OVolOverMonthlyPeak,OVolOverMonthlyPeak,IF(OVolCurve,IF(OBuySell,X240,Z240),Y240))^2*(1-15/365.25/BT240)+IF(OVolOverDailyPeak,OVolOverDailyPeak,IF(OVolCurve,IF(OBuySell,AJ240,AL240),AK240))^2*15/365.25/BT240),IF(OVolOverMonthlyPeak,OVolOverMonthlyPeak,IF(OVolCurve,IF(OBuySell,X240,Z240),Y240))),"")</f>
        <v>#VALUE!</v>
      </c>
      <c r="CI240" s="1587" t="e">
        <f aca="false">IF(OR(BQ240,BS240),IF(OVolType&lt;&gt;2,SQRT(IF(OVolOverMonthlyPeak,OVolOverMonthlyPeak,IF(OVolCurve,IF(OBuySell,AA240,AC240),AB240))^2*(1-15/365.25/BT240)+IF(OVolOverDailyPeak,OVolOverDailyPeak,IF(OVolCurve,IF(OBuySell,AM240,AO240),AN240))^2*15/365.25/BT240),IF(OVolOverMonthlyPeak,OVolOverMonthlyPeak,IF(OVolCurve,IF(OBuySell,AA240,AC240),AB240))),"")</f>
        <v>#VALUE!</v>
      </c>
      <c r="CJ240" s="1587" t="e">
        <f aca="false">IF(BQ240,IF(BP240,SQRT(LN(1+((BU240*AZ240)^2*(EXP(CG240^2*BT240)-1)+(BV240*BA240)^2*(EXP(CH240^2*BT240)-1)+(BW240*BB240)^2*(EXP(CI240^2*BT240)-1)+2*BU240*AZ240*BV240*BA240*(EXP(CG240*CH240*BT240)-1)+2*BV240*BA240*BW240*BB240*(EXP(CH240*CI240*BT240)-1)+2*BW240*BB240*BU240*AZ240*(EXP(CI240*CG240*BT240)-1))/(BY240*BP240)^2)/BT240),0),"")</f>
        <v>#VALUE!</v>
      </c>
      <c r="CK240" s="1587" t="e">
        <f aca="false">IF(BS240,IF(BR240,SQRT(LN(1+((CA240*BH240)^2*(EXP(CG240^2*BT240)-1)+(CB240*BI240)^2*(EXP(CH240^2*BT240)-1)+(CC240*BJ240)^2*(EXP(CI240^2*BT240)-1)+2*CA240*BH240*CB240*BI240*(EXP(CG240*CH240*BT240)-1)+2*CB240*BI240*CC240*BJ240*(EXP(CH240*CI240*BT240)-1)+2*CC240*BJ240*CA240*BH240*(EXP(CI240*CG240*BT240)-1))/(CE240*BR240)^2)/BT240),0),"")</f>
        <v>#VALUE!</v>
      </c>
      <c r="CL240" s="1587" t="e">
        <f aca="false">IF(OR(BQ240,BS240),IF(OVolType&lt;&gt;2,SQRT(IF(OVolOverMonthlyOffPeak,OVolOverMonthlyOffPeak,IF(OVolCurve,IF(OBuySell,AD240,AF240),AE240))^2*(1-15/365.25/BT240)+IF(OVolOverDailyOffPeak,OVolOverDailyOffPeak,IF(OVolCurve,IF(OBuySell,AP240,AR240),AQ240))^2*15/365.25/BT240),IF(OVolOverMonthlyOffPeak,OVolOverMonthlyOffPeak,IF(OVolCurve,IF(OBuySell,AD240,AF240),AE240))),"")</f>
        <v>#VALUE!</v>
      </c>
      <c r="CM240" s="1587" t="e">
        <f aca="false">IF(BQ240,SQRT(LN(1+((BY240*BP240)^2*(EXP(CJ240^2*BT240)-1)+(BX240*BC240)^2*(EXP(CL240^2*BT240)-1)+2*BY240*BP240*BX240*BC240*(EXP(AS240*CJ240*CL240*BT240)-1))/(BY240*BP240+BX240*BC240)^2)/BT240),"")</f>
        <v>#VALUE!</v>
      </c>
      <c r="CN240" s="1588" t="e">
        <f aca="false">IF(BS240,SQRT(LN(1+((CE240*BR240)^2*(EXP(CK240^2*BT240)-1)+(CD240*BK240)^2*(EXP(CL240^2*BT240)-1)+2*CE240*BR240*CD240*BK240*(EXP(AS240*CK240*CL240*BT240)-1))/(CE240*BR240+CD240*BK240)^2)/BT240),"")</f>
        <v>#VALUE!</v>
      </c>
      <c r="CO240" s="1531" t="e">
        <f aca="false">IF(OR(BQ240,BS240),VLOOKUP(A240,GasTable,13)*HeatRatePeak*(1+VLOOKUP($B240,HeatRateDegradation,$C240+1))/1000,0)</f>
        <v>#VALUE!</v>
      </c>
      <c r="CP240" s="1316" t="e">
        <f aca="false">IF(OR(BQ240,BS240),VLOOKUP(A240,GasTable,13)*HeatRatePeak*(1+VLOOKUP($B240,HeatRateDegradation,$C240+1))/1000,0)</f>
        <v>#VALUE!</v>
      </c>
      <c r="CQ240" s="1316" t="e">
        <f aca="false">IF(OR(BQ240,BS240),VLOOKUP(A240,GasTable,13)*IF(EV240,HeatRatePeak,HeatRateOffPeak)*(1+VLOOKUP($B240,HeatRateDegradation,$C240+1))/1000,0)</f>
        <v>#VALUE!</v>
      </c>
      <c r="CR240" s="1316" t="e">
        <f aca="false">IF(OR(BQ240,BS240),VLOOKUP(A240,GasTable,13)*IF(EW240,HeatRatePeak,HeatRateOffPeak)*(1+VLOOKUP($B240,HeatRateDegradation,$C240+1))/1000,0)</f>
        <v>#VALUE!</v>
      </c>
      <c r="CS240" s="1589" t="e">
        <f aca="false">IF(BQ240,(CO240*AZ240+CP240*BA240+CQ240*BB240+CR240*BC240)/BQ240,0)</f>
        <v>#VALUE!</v>
      </c>
      <c r="CT240" s="1316" t="e">
        <f aca="false">IF(BS240,CO240,0)</f>
        <v>#VALUE!</v>
      </c>
      <c r="CU240" s="1590" t="e">
        <f aca="false">IF(OR(BQ240,BS240),VLOOKUP(A240,GasTable,14),"")</f>
        <v>#VALUE!</v>
      </c>
      <c r="CV240" s="1568" t="e">
        <f aca="false">IF(OR(BQ240,BS240),IF(CorrPowerGasOverFlag,INDEX(CorrPowerGasOver,C240),CorrPowerGas),"")</f>
        <v>#VALUE!</v>
      </c>
      <c r="CW240" s="1316" t="e">
        <f aca="false">IF(OR($BQ240,$BS240),SpreadOptPowerMargin,0)*((1+Assumptions!$C$26)^($B240-YEAR(Assumptions!$C$17)))</f>
        <v>#VALUE!</v>
      </c>
      <c r="CX240" s="1316" t="e">
        <f aca="false">IF(OR($BQ240,$BS240),SpreadOptPowerMargin,0)*((1+Assumptions!$C$26)^($B240-YEAR(Assumptions!$C$17)))</f>
        <v>#VALUE!</v>
      </c>
      <c r="CY240" s="1316" t="e">
        <f aca="false">IF(OR($BQ240,$BS240),SpreadOptPowerMargin,0)*((1+Assumptions!$C$26)^($B240-YEAR(Assumptions!$C$17)))</f>
        <v>#VALUE!</v>
      </c>
      <c r="CZ240" s="1316" t="e">
        <f aca="false">IF(OR($BQ240,$BS240),SpreadOptPowerMargin,0)*((1+Assumptions!$C$26)^($B240-YEAR(Assumptions!$C$17)))</f>
        <v>#VALUE!</v>
      </c>
      <c r="DA240" s="1591" t="e">
        <f aca="false">IF(OR(BQ240,BS240),(CW240*(AZ240+BH240)+CX240*(BA240+BI240)+CY240*(BB240+BJ240)+CZ240*(BC240+BK240))/(BQ240+BS240),0)</f>
        <v>#VALUE!</v>
      </c>
      <c r="DB240" s="1592" t="e">
        <f aca="false">IF(OR(BQ240,BS240),CG240+IF(OVolSmile,VLOOKUP(MAX(-5,CO240+CW240-BU240),IF(OVolSmile=1,VolSmileBook,VolSmileModel),2),0),"")</f>
        <v>#VALUE!</v>
      </c>
      <c r="DC240" s="1592" t="e">
        <f aca="false">IF(OR(BQ240,BS240),CH240+IF(OVolSmile,VLOOKUP(MAX(-5,CP240+CW240-BV240),IF(OVolSmile=1,VolSmileBook,VolSmileModel),2),0),"")</f>
        <v>#VALUE!</v>
      </c>
      <c r="DD240" s="1592" t="e">
        <f aca="false">IF(OR(BQ240,BS240),CI240+IF(OVolSmile,VLOOKUP(MAX(-5,CQ240+CW240-BW240),IF(OVolSmile=1,VolSmileBook,VolSmileModel),2),0),"")</f>
        <v>#VALUE!</v>
      </c>
      <c r="DE240" s="1592" t="e">
        <f aca="false">IF(OR(BQ240,BS240),CL240+IF(OVolSmile,VLOOKUP(MAX(-5,CR240+CZ240-BX240),IF(OVolSmile=1,VolSmileBook,VolSmileModel),2),0),"")</f>
        <v>#VALUE!</v>
      </c>
      <c r="DF240" s="1592" t="e">
        <f aca="false">IF(BQ240,CM240+IF(OVolSmile,VLOOKUP(MAX(-5,CS240+DA240-BZ240),IF(OVolSmile=1,VolSmileBook,VolSmileModel),2),0),"")</f>
        <v>#VALUE!</v>
      </c>
      <c r="DG240" s="1593" t="e">
        <f aca="false">IF(BS240,CN240+IF(OVolSmile,VLOOKUP(MAX(-5,CT240+DA240-CF240),IF(OVolSmile=1,VolSmileBook,VolSmileModel),2),0),"")</f>
        <v>#VALUE!</v>
      </c>
      <c r="DH240" s="1316" t="e">
        <f aca="false">IF(AND(BU240&gt;0,CO240&gt;0,DB240&gt;0,CU240&gt;0),newSPRDOPT(BU240,CO240,CW240,0,DB240,CU240,CV240,BT240*365.25,OCallPut,0),0)</f>
        <v>#VALUE!</v>
      </c>
      <c r="DI240" s="1316" t="e">
        <f aca="false">IF(AND(BV240&gt;0,CP240&gt;0,DC240&gt;0,CU240&gt;0),newSPRDOPT(BV240,CP240,CX240,0,DC240,CU240,CV240,BT240*365.25,OCallPut,0),0)</f>
        <v>#VALUE!</v>
      </c>
      <c r="DJ240" s="1316" t="e">
        <f aca="false">IF(AND(BW240&gt;0,CQ240&gt;0,DD240&gt;0,CU240&gt;0),newSPRDOPT(BW240,CQ240,CY240,0,DD240,CU240,CV240,BT240*365.25,OCallPut,0),0)</f>
        <v>#VALUE!</v>
      </c>
      <c r="DK240" s="1316" t="e">
        <f aca="false">IF(AND(BX240&gt;0,CR240&gt;0,DE240&gt;0,CU240&gt;0),newSPRDOPT(BX240,CR240,CZ240,0,DE240,CU240,CV240,BT240*365.25,OCallPut,0),0)</f>
        <v>#VALUE!</v>
      </c>
      <c r="DL240" s="1316" t="e">
        <f aca="false">IF(OVolType,IF(AND(BZ240&gt;0,CS240&gt;0,DF240&gt;0,CU240&gt;0),newSPRDOPT(BZ240,CS240,DA240,0,DF240,CU240,CV240,BT240*365.25,OCallPut,0),0),IF(BQ240,(DH240*AZ240+DI240*BA240+DJ240*BB240+DK240*BC240)/BQ240,0))</f>
        <v>#VALUE!</v>
      </c>
      <c r="DM240" s="1316"/>
      <c r="DN240" s="1316"/>
      <c r="DO240" s="1316"/>
      <c r="DP240" s="1316"/>
      <c r="DQ240" s="1316"/>
      <c r="DR240" s="1316"/>
      <c r="DS240" s="1316"/>
      <c r="DT240" s="1316"/>
      <c r="DU240" s="1316"/>
      <c r="DV240" s="1316"/>
      <c r="DW240" s="1594" t="e">
        <f aca="false">IF(AND(BW240&gt;0,CT240&gt;0,DD240&gt;0,CU240&gt;0),newSPRDOPT(BW240,CT240,CY240,0,DD240,CU240,CV240,BT240*365.25,OCallPut,0),0)</f>
        <v>#VALUE!</v>
      </c>
      <c r="DX240" s="1316" t="e">
        <f aca="false">IF(AND(BX240&gt;0,CT240&gt;0,DE240&gt;0,CU240&gt;0),newSPRDOPT(BX240,CT240,CZ240,0,DE240,CU240,CV240,BT240*365.25,OCallPut,0),0)</f>
        <v>#VALUE!</v>
      </c>
      <c r="DY240" s="1591" t="e">
        <f aca="false">IF(BS240,(DH240*BH240+DI240*BI240+DW240*BJ240+DX240*BK240)/BS240,0)</f>
        <v>#VALUE!</v>
      </c>
      <c r="DZ240" s="1551" t="e">
        <f aca="false">DH240*AZ240</f>
        <v>#VALUE!</v>
      </c>
      <c r="EA240" s="1551" t="e">
        <f aca="false">DI240*BA240</f>
        <v>#VALUE!</v>
      </c>
      <c r="EB240" s="1551" t="e">
        <f aca="false">DJ240*BB240</f>
        <v>#VALUE!</v>
      </c>
      <c r="EC240" s="1551" t="e">
        <f aca="false">DK240*BC240</f>
        <v>#VALUE!</v>
      </c>
      <c r="ED240" s="1551" t="e">
        <f aca="false">DL240*BQ240</f>
        <v>#VALUE!</v>
      </c>
      <c r="EE240" s="1595" t="e">
        <f aca="false">IF(BQ240,IF(OCallPut,IF(BU240&gt;(CO240+CW240),BU240-(CO240+CW240),0),IF((CO240+CW240)&gt;BU240,(CO240+CW240)-BU240,0))*AZ240,0)</f>
        <v>#VALUE!</v>
      </c>
      <c r="EF240" s="1596" t="e">
        <f aca="false">IF(BQ240,IF(OCallPut,IF(BV240&gt;(CP240+CX240),BV240-(CP240+CX240),0),IF((CP240+CX240)&gt;BV240,(CP240+CX240)-BV240,0))*BA240,0)</f>
        <v>#VALUE!</v>
      </c>
      <c r="EG240" s="1596" t="e">
        <f aca="false">IF(BQ240,IF(OCallPut,IF(BW240&gt;(CQ240+CY240),BW240-(CQ240+CY240),0),IF((CQ240+CY240)&gt;BW240,(CQ240+CY240)-BW240,0))*BB240,0)</f>
        <v>#VALUE!</v>
      </c>
      <c r="EH240" s="1596" t="e">
        <f aca="false">IF(BQ240,IF(OCallPut,IF(BX240&gt;(CR240+CZ240),BX240-(CR240+CZ240),0),IF((CR240+CZ240)&gt;BX240,(CR240+CZ240)-BX240,0))*BC240,0)</f>
        <v>#VALUE!</v>
      </c>
      <c r="EI240" s="1597" t="e">
        <f aca="false">IF(BQ240,IF(OVolType,IF(OCallPut,IF(BZ240&gt;(CS240+DA240),BZ240-(CS240+DA240),0),IF((CS240+DA240)&gt;BZ240,(CS240+DA240)-BZ240,0))*BQ240,SUM(EE240:EH240)),0)</f>
        <v>#VALUE!</v>
      </c>
      <c r="EJ240" s="1595" t="e">
        <f aca="false">DZ240-EE240</f>
        <v>#VALUE!</v>
      </c>
      <c r="EK240" s="1596" t="e">
        <f aca="false">EA240-EF240</f>
        <v>#VALUE!</v>
      </c>
      <c r="EL240" s="1596" t="e">
        <f aca="false">EB240-EG240</f>
        <v>#VALUE!</v>
      </c>
      <c r="EM240" s="1596" t="e">
        <f aca="false">EC240-EH240</f>
        <v>#VALUE!</v>
      </c>
      <c r="EN240" s="1597" t="e">
        <f aca="false">ED240-EI240</f>
        <v>#VALUE!</v>
      </c>
      <c r="EO240" s="1551" t="e">
        <f aca="false">DH240*BH240</f>
        <v>#VALUE!</v>
      </c>
      <c r="EP240" s="1551" t="e">
        <f aca="false">DI240*BI240</f>
        <v>#VALUE!</v>
      </c>
      <c r="EQ240" s="1551" t="e">
        <f aca="false">DW240*BJ240</f>
        <v>#VALUE!</v>
      </c>
      <c r="ER240" s="1551" t="e">
        <f aca="false">DX240*BK240</f>
        <v>#VALUE!</v>
      </c>
      <c r="ES240" s="1551" t="e">
        <f aca="false">DY240*BS240</f>
        <v>#VALUE!</v>
      </c>
      <c r="ET240" s="1566" t="e">
        <f aca="false">IF(EI240,IF(OCallPut,IF(CA240&gt;(CT240+CW240),CA240-(CT240+CW240),0),IF((CT240+CW240)&gt;CA240,(CT240+CW240)-CA240,0))*BH240,0)</f>
        <v>#VALUE!</v>
      </c>
      <c r="EU240" s="1551" t="e">
        <f aca="false">IF(EI240,IF(OCallPut,IF(CB240&gt;(CT240+CX240),CB240-(CT240+CX240),0),IF((CT240+CX240)&gt;CB240,(CT240+CX240)-CB240,0))*BI240,0)</f>
        <v>#VALUE!</v>
      </c>
      <c r="EV240" s="1551" t="e">
        <f aca="false">IF(EI240,IF(OCallPut,IF(CC240&gt;(CT240+CY240),CC240-(CT240+CY240),0),IF((CT240+CY240)&gt;CC240,(CT240+CY240)-CC240,0))*BJ240,0)</f>
        <v>#VALUE!</v>
      </c>
      <c r="EW240" s="1551" t="e">
        <f aca="false">IF(EI240,IF(OCallPut,IF(CD240&gt;(CT240+CZ240),CD240-(CT240+CZ240),0),IF((CT240+CZ240)&gt;CD240,(CT240+CZ240)-CD240,0))*BK240,0)</f>
        <v>#VALUE!</v>
      </c>
      <c r="EX240" s="1558" t="e">
        <f aca="false">IF(EI240,SUM(ET240:EW240),0)</f>
        <v>#VALUE!</v>
      </c>
      <c r="EY240" s="1551" t="e">
        <f aca="false">EO240-ET240</f>
        <v>#VALUE!</v>
      </c>
      <c r="EZ240" s="1551" t="e">
        <f aca="false">EP240-EU240</f>
        <v>#VALUE!</v>
      </c>
      <c r="FA240" s="1551" t="e">
        <f aca="false">EQ240-EV240</f>
        <v>#VALUE!</v>
      </c>
      <c r="FB240" s="1551" t="e">
        <f aca="false">ER240-EW240</f>
        <v>#VALUE!</v>
      </c>
      <c r="FC240" s="1551" t="e">
        <f aca="false">ES240-EX240</f>
        <v>#VALUE!</v>
      </c>
      <c r="FD240" s="1525" t="n">
        <f aca="false">IF(AX240,IF(VLOOKUP(C240,MAIN!$L$17:$M$28,2)="Yes",VLOOKUP(CALC!B240,MAIN!$H$17:$I$20,2),0),0)</f>
        <v>0</v>
      </c>
      <c r="FE240" s="1552" t="e">
        <f aca="false">$FD240*16*AT240*(1-$AY240)</f>
        <v>#VALUE!</v>
      </c>
      <c r="FF240" s="1553" t="e">
        <f aca="false">$FD240*16*AU240*(1-$AY240)</f>
        <v>#VALUE!</v>
      </c>
      <c r="FG240" s="1553" t="e">
        <f aca="false">$FD240*16*(AV240+AW240)*(1-$AY240)</f>
        <v>#VALUE!</v>
      </c>
      <c r="FH240" s="1554" t="n">
        <f aca="false">$FD240*8*AX240*(1-$AY240)</f>
        <v>0</v>
      </c>
      <c r="FI240" s="1555" t="n">
        <f aca="false">IF(AX240,VLOOKUP(CALC!B240,MAIN!$H$17:$K$20,4),0)</f>
        <v>0</v>
      </c>
      <c r="FJ240" s="1553" t="e">
        <f aca="false">SUM(FE240:FH240)</f>
        <v>#VALUE!</v>
      </c>
      <c r="FK240" s="1556" t="e">
        <f aca="false">FI240*FJ240</f>
        <v>#VALUE!</v>
      </c>
      <c r="FL240" s="1551" t="e">
        <f aca="false">IF($EI240&gt;0,MIN(FE240,AZ240*(1+VLOOKUP($C240,WeatherCapacityAdjustment,2))),0)</f>
        <v>#VALUE!</v>
      </c>
      <c r="FM240" s="1551" t="e">
        <f aca="false">IF($EI240&gt;0,MIN(FF240,BA240*(1+VLOOKUP($C240,WeatherCapacityAdjustment,2))),0)</f>
        <v>#VALUE!</v>
      </c>
      <c r="FN240" s="1551" t="e">
        <f aca="false">IF($EI240&gt;0,MIN(FG240,BB240*(1+VLOOKUP($C240,WeatherCapacityAdjustment,2))),0)</f>
        <v>#VALUE!</v>
      </c>
      <c r="FO240" s="1564" t="e">
        <f aca="false">IF($EI240&gt;0,MIN(FH240,BC240*(1+VLOOKUP($C240,WeatherCapacityAdjustment,3))),0)</f>
        <v>#VALUE!</v>
      </c>
      <c r="FP240" s="1551" t="e">
        <f aca="false">IF(ET240&gt;0,MIN(FE240-FL240,BH240*(1+VLOOKUP($C240,WeatherCapacityAdjustment,2))),0)</f>
        <v>#VALUE!</v>
      </c>
      <c r="FQ240" s="1551" t="e">
        <f aca="false">IF(EU240&gt;0,MIN(FF240-FM240,BI240*(1+VLOOKUP($C240,WeatherCapacityAdjustment,2))),0)</f>
        <v>#VALUE!</v>
      </c>
      <c r="FR240" s="1551" t="e">
        <f aca="false">IF(EV240&gt;0,MIN(FG240-FN240,BJ240*(1+VLOOKUP($C240,WeatherCapacityAdjustment,2))),0)</f>
        <v>#VALUE!</v>
      </c>
      <c r="FS240" s="1558" t="e">
        <f aca="false">IF(EW240&gt;0,MIN(FH240-FO240,BK240*(1+VLOOKUP($C240,WeatherCapacityAdjustment,3))),0)</f>
        <v>#VALUE!</v>
      </c>
      <c r="FT240" s="1566" t="e">
        <f aca="false">IF(AND(Assumptions!$H$71="Yes",A240&gt;=Assumptions!$H$72,A240&lt;=Assumptions!$H$73),0,IF(AND($A240&gt;=Assumptions!$C$17,$A240&lt;=Assumptions!$C$18),MAX(AZ240*(1+VLOOKUP($C240,WeatherCapacityAdjustment,2))-FL240,0),0))</f>
        <v>#VALUE!</v>
      </c>
      <c r="FU240" s="1551" t="e">
        <f aca="false">IF(AND(Assumptions!$H$71="Yes",A240&gt;=Assumptions!$H$72,A240&lt;=Assumptions!$H$73),0,IF(AND($A240&gt;=Assumptions!$C$17,$A240&lt;=Assumptions!$C$18),MAX(BA240*(1+VLOOKUP($C240,WeatherCapacityAdjustment,2))-FM240,0),0))</f>
        <v>#VALUE!</v>
      </c>
      <c r="FV240" s="1551" t="e">
        <f aca="false">IF(AND(Assumptions!$H$71="Yes",A240&gt;=Assumptions!$H$72,A240&lt;=Assumptions!$H$73),0,IF(AND($A240&gt;=Assumptions!$C$17,$A240&lt;=Assumptions!$C$18),MAX(BB240*(1+VLOOKUP($C240,WeatherCapacityAdjustment,2))-FN240,0),0))</f>
        <v>#VALUE!</v>
      </c>
      <c r="FW240" s="1564" t="e">
        <f aca="false">IF(AND(Assumptions!$H$71="Yes",A240&gt;=Assumptions!$H$72,A240&lt;=Assumptions!$H$73),0,IF(AND($A240&gt;=Assumptions!$C$17,$A240&lt;=Assumptions!$C$18),MAX(BC240*(1+VLOOKUP($C240,WeatherCapacityAdjustment,3))-FO240,0),0))</f>
        <v>#VALUE!</v>
      </c>
      <c r="FX240" s="1569" t="e">
        <f aca="false">IF(AND(Assumptions!$H$71="Yes",A240&gt;=Assumptions!$H$72,A240&lt;=Assumptions!$H$73),0,IF(ET240&gt;0,MAX(BH240*(1+VLOOKUP($C240,WeatherCapacityAdjustment,2))-FP240,0),0))</f>
        <v>#VALUE!</v>
      </c>
      <c r="FY240" s="1551" t="e">
        <f aca="false">IF(AND(Assumptions!$H$71="Yes",A240&gt;=Assumptions!$H$72,A240&lt;=Assumptions!$H$73),0,IF(EU240&gt;0,MAX(BI240*(1+VLOOKUP($C240,WeatherCapacityAdjustment,3))-FQ240,0),0))</f>
        <v>#VALUE!</v>
      </c>
      <c r="FZ240" s="1551" t="e">
        <f aca="false">IF(AND(Assumptions!$H$71="Yes",A240&gt;=Assumptions!$H$72,A240&lt;=Assumptions!$H$73),0,IF(EV240&gt;0,MAX(BJ240*(1+VLOOKUP($C240,WeatherCapacityAdjustment,2))-FR240,0),0))</f>
        <v>#VALUE!</v>
      </c>
      <c r="GA240" s="1564" t="e">
        <f aca="false">IF(AND(Assumptions!$H$71="Yes",A240&gt;=Assumptions!$H$72,A240&lt;=Assumptions!$H$73),0,IF(EW240&gt;0,MAX(BK240*(1+VLOOKUP($C240,WeatherCapacityAdjustment,2))-FS240,0),0))</f>
        <v>#VALUE!</v>
      </c>
      <c r="GB240" s="1551" t="e">
        <f aca="false">SUM(FT240:GA240)</f>
        <v>#VALUE!</v>
      </c>
      <c r="GC240" s="1563" t="e">
        <f aca="false">+IF(SUM(FT240:GA240)=0,0,(SUMPRODUCT(BU240:BX240,FT240:FW240)+SUMPRODUCT(CA240:CD240,FX240:GA240))/SUM(FT240:GA240))</f>
        <v>#VALUE!</v>
      </c>
      <c r="GD240" s="1551" t="e">
        <f aca="false">(FT240*BU240+FX240*CA240+FU240*BV240+FY240*CB240+FV240*BW240+FZ240*CC240+FW240*BX240+GA240*CD240)</f>
        <v>#VALUE!</v>
      </c>
      <c r="GE240" s="1561" t="e">
        <f aca="false">+IF(BQ240,((FL240+FM240+FT240+FU240)*HeatRatePeak/1000*(1+VLOOKUP($C240,WeatherHeatRateAdjustment,2))+(FN240+FV240)*IF(EV240&gt;0,HeatRatePeak,HeatRateOffPeak)/1000*(1+VLOOKUP($C240,WeatherHeatRateAdjustment,2))+(FO240+FW240)*IF(EW240&gt;0,HeatRatePeak,HeatRateOffPeak)/1000*(1+VLOOKUP($C240,WeatherHeatRateAdjustment,3)))*(1+VLOOKUP($B240,HeatRateDegradation,$C240+1)),0)</f>
        <v>#VALUE!</v>
      </c>
      <c r="GF240" s="1562" t="e">
        <f aca="false">IF(BQ240,((FP240+FQ240+FR240+FX240+FY240+FZ240)*HeatRatePeak/1000*(1+VLOOKUP($C240,WeatherHeatRateAdjustment,2))+(FS240+GA240)*HeatRatePeak/1000*(1+VLOOKUP($C240,WeatherHeatRateAdjustment,3)))*(1+VLOOKUP($B240,HeatRateDegradation,$C240+1)),0)</f>
        <v>#VALUE!</v>
      </c>
      <c r="GG240" s="1563" t="e">
        <f aca="false">IF(BQ240,VLOOKUP(A240,GasTable,13),0)</f>
        <v>#VALUE!</v>
      </c>
      <c r="GH240" s="1564" t="e">
        <f aca="false">(GE240+GF240)*GG240</f>
        <v>#VALUE!</v>
      </c>
      <c r="GI240" s="1569" t="e">
        <f aca="false">GB240</f>
        <v>#VALUE!</v>
      </c>
      <c r="GJ240" s="1598" t="e">
        <f aca="false">+DA240</f>
        <v>#VALUE!</v>
      </c>
      <c r="GK240" s="1558" t="e">
        <f aca="false">+GI240*GJ240</f>
        <v>#VALUE!</v>
      </c>
      <c r="GL240" s="1566" t="e">
        <f aca="false">MAX(FE240-FL240-FP240,0)</f>
        <v>#VALUE!</v>
      </c>
      <c r="GM240" s="1551" t="e">
        <f aca="false">MAX(FF240-FM240-FQ240,0)</f>
        <v>#VALUE!</v>
      </c>
      <c r="GN240" s="1551" t="e">
        <f aca="false">MAX(FG240-FN240-FR240,0)</f>
        <v>#VALUE!</v>
      </c>
      <c r="GO240" s="1564" t="e">
        <f aca="false">MAX(FH240-FO240-FS240,0)</f>
        <v>#VALUE!</v>
      </c>
      <c r="GP240" s="1551" t="e">
        <f aca="false">SUM(GL240:GO240)</f>
        <v>#VALUE!</v>
      </c>
      <c r="GQ240" s="1563" t="e">
        <f aca="false">IF(SUM(GL240:GO240)=0,0,((GL240*BU240+GM240*BV240+GN240*BW240+GO240*BX240)/SUM(GL240:GO240)))</f>
        <v>#VALUE!</v>
      </c>
      <c r="GR240" s="1558" t="e">
        <f aca="false">(GL240*BU240+GM240*BV240+GN240*BW240+GO240*BX240)</f>
        <v>#VALUE!</v>
      </c>
      <c r="GS240" s="1566" t="n">
        <f aca="false">IF($A240&gt;=BegDate,Assumptions!$C$56*24*($A241-$A240)*(1-VLOOKUP($B240,MAIN!$AA$7:$AM$28,$C240+1))*(1-VLOOKUP($B240,MAIN!$AA$33:$AM$54,$C240+1)),0)*80/168</f>
        <v>257742.857142857</v>
      </c>
      <c r="GT240" s="286" t="n">
        <f aca="false">J240</f>
        <v>58.3205787996553</v>
      </c>
      <c r="GU240" s="286" t="n">
        <f aca="false">IF($A240&gt;=BegDate,VLOOKUP($A240,GasTable,13)+Assumptions!$C$58,0)</f>
        <v>4.23689573297053</v>
      </c>
      <c r="GV240" s="286" t="n">
        <f aca="false">GU240*Assumptions!$C$57/1000</f>
        <v>30.7174940640363</v>
      </c>
      <c r="GW240" s="1558" t="n">
        <f aca="false">IF(Assumptions!$C$60="Hourly",MAX(0,GS240*(GT240-GV240)),GS240*(GT240-GV240))</f>
        <v>7114497.92571481</v>
      </c>
      <c r="GX240" s="1566" t="n">
        <f aca="false">IF($A240&gt;=BegDate,Assumptions!$C$56*24*($A241-$A240)*(1-VLOOKUP($B240,MAIN!$AA$7:$AM$28,$C240+1))*(1-VLOOKUP($B240,MAIN!$AA$33:$AM$54,$C240+1)),0)*16/168</f>
        <v>51548.5714285714</v>
      </c>
      <c r="GY240" s="286" t="n">
        <f aca="false">M240</f>
        <v>58.3205787996553</v>
      </c>
      <c r="GZ240" s="286" t="n">
        <f aca="false">IF($A240&gt;=BegDate,VLOOKUP($A240,GasTable,13)+Assumptions!$C$58,0)</f>
        <v>4.23689573297053</v>
      </c>
      <c r="HA240" s="286" t="n">
        <f aca="false">GZ240*Assumptions!$C$57/1000</f>
        <v>30.7174940640363</v>
      </c>
      <c r="HB240" s="1558" t="n">
        <f aca="false">IF(Assumptions!$C$60="Hourly",MAX(0,GX240*(GY240-HA240)),GX240*(GY240-HA240))</f>
        <v>1422899.58514296</v>
      </c>
      <c r="HC240" s="1566" t="n">
        <f aca="false">IF($A240&gt;=BegDate,Assumptions!$C$56*24*($A241-$A240)*(1-VLOOKUP($B240,MAIN!$AA$7:$AM$28,$C240+1))*(1-VLOOKUP($B240,MAIN!$AA$33:$AM$54,$C240+1)),0)*16/168</f>
        <v>51548.5714285714</v>
      </c>
      <c r="HD240" s="286" t="n">
        <f aca="false">P240</f>
        <v>35.961240969224</v>
      </c>
      <c r="HE240" s="286" t="n">
        <f aca="false">IF($A240&gt;=BegDate,VLOOKUP($A240,GasTable,13)+Assumptions!$C$58,0)</f>
        <v>4.23689573297053</v>
      </c>
      <c r="HF240" s="286" t="n">
        <f aca="false">HE240*Assumptions!$C$57/1000</f>
        <v>30.7174940640363</v>
      </c>
      <c r="HG240" s="1558" t="n">
        <f aca="false">IF(Assumptions!$C$60="Hourly",MAX(0,HC240*(HD240-HF240)),HC240*(HD240-HF240))</f>
        <v>270307.661895414</v>
      </c>
      <c r="HH240" s="1566" t="n">
        <f aca="false">IF($A240&gt;=BegDate,Assumptions!$C$56*24*($A241-$A240)*(1-VLOOKUP($B240,MAIN!$AA$7:$AM$28,$C240+1))*(1-VLOOKUP($B240,MAIN!$AA$33:$AM$54,$C240+1)),0)*56/168</f>
        <v>180420</v>
      </c>
      <c r="HI240" s="286" t="n">
        <f aca="false">S240</f>
        <v>35.961240969224</v>
      </c>
      <c r="HJ240" s="286" t="n">
        <f aca="false">IF($A240&gt;=BegDate,VLOOKUP($A240,GasTable,13)+Assumptions!$C$58,0)</f>
        <v>4.23689573297053</v>
      </c>
      <c r="HK240" s="286" t="n">
        <f aca="false">HJ240*Assumptions!$C$57/1000</f>
        <v>30.7174940640363</v>
      </c>
      <c r="HL240" s="1558" t="n">
        <f aca="false">IF(Assumptions!$C$60="Hourly",MAX(0,HH240*(HI240-HK240)),HH240*(HI240-HK240))</f>
        <v>946076.816633951</v>
      </c>
      <c r="HM240" s="1566" t="n">
        <f aca="false">IF(AND(Assumptions!$H$71="Yes",A240&gt;=Assumptions!$H$72,A240&lt;=Assumptions!$H$73),Assumptions!$H$74*Assumptions!$C$9*1000,0)</f>
        <v>0</v>
      </c>
      <c r="HN240" s="1551"/>
      <c r="HO240" s="1563"/>
      <c r="HP240" s="1563"/>
      <c r="HQ240" s="1563"/>
      <c r="HR240" s="1563"/>
      <c r="HS240" s="1563"/>
      <c r="HT240" s="1563"/>
      <c r="HU240" s="1563"/>
      <c r="HV240" s="1563"/>
      <c r="HW240" s="1563"/>
      <c r="HX240" s="1563"/>
      <c r="HY240" s="1563"/>
      <c r="HZ240" s="1563"/>
      <c r="IA240" s="1563"/>
      <c r="IB240" s="1563"/>
      <c r="IC240" s="1563"/>
      <c r="ID240" s="1563"/>
      <c r="IE240" s="1563"/>
      <c r="IF240" s="1563"/>
      <c r="IG240" s="1563"/>
      <c r="IH240" s="1563"/>
      <c r="II240" s="1610"/>
      <c r="IJ240" s="1309"/>
      <c r="IK240" s="1309"/>
    </row>
    <row r="241" customFormat="false" ht="12.75" hidden="false" customHeight="false" outlineLevel="0" collapsed="false">
      <c r="A241" s="1571" t="n">
        <f aca="false">EOMONTH(A240,0)+1</f>
        <v>43466</v>
      </c>
      <c r="B241" s="594" t="n">
        <f aca="false">+YEAR(A241)</f>
        <v>2019</v>
      </c>
      <c r="C241" s="238" t="n">
        <f aca="false">MONTH(A241)</f>
        <v>1</v>
      </c>
      <c r="D241" s="1572" t="e">
        <f aca="false">IF(E241="","",Holiday(B241,C241))</f>
        <v>#VALUE!</v>
      </c>
      <c r="E241" s="1573" t="n">
        <f aca="false">IF(OR(BegDate&gt;=A242,EndDate&lt;A241,AND(VolumeMonthlyOverFlag,INDEX(VolumeMonthlyOver,C241)=0),NOT(INDEX(MonthKnockOutTable,C241))),"",MAX(A241,BegDate))</f>
        <v>43466</v>
      </c>
      <c r="F241" s="1574" t="n">
        <f aca="false">IF(E241="","",MIN(A242-1,EndDate))</f>
        <v>43496</v>
      </c>
      <c r="G241" s="1575" t="n">
        <v>0</v>
      </c>
      <c r="H241" s="1576" t="n">
        <f aca="false">(1+G241/2)^(-2*(DATE(B242,C242,20)-DateToday)/365.25)</f>
        <v>1</v>
      </c>
      <c r="I241" s="1568" t="n">
        <f aca="false">IF(Assumptions!$L$25=4,VLOOKUP($A241,'Henwood Reference'!$E$9:$R$320,10),(VLOOKUP($A241,PriceTable,2,0)+IF(BasisNumber&lt;&gt;1,VLOOKUP($A241,BasisTable,2,0),0)+I$1)/(1-I$2))</f>
        <v>63.0142215865727</v>
      </c>
      <c r="J241" s="1568" t="n">
        <f aca="false">IF(Assumptions!$L$25=4,VLOOKUP($A241,'Henwood Reference'!$E$9:$R$320,10),(VLOOKUP($A241,PriceTable,3,0)+IF(BasisNumber&lt;&gt;1,VLOOKUP($A241,BasisTable,2,0),0)+J$1)/(1-J$2))</f>
        <v>63.0142215865727</v>
      </c>
      <c r="K241" s="1568" t="n">
        <f aca="false">IF(Assumptions!$L$25=4,VLOOKUP($A241,'Henwood Reference'!$E$9:$R$320,10),(VLOOKUP($A241,PriceTable,4,0)+IF(BasisNumber&lt;&gt;1,VLOOKUP($A241,BasisTable,2,0),0)+K$1)/(1-K$2))</f>
        <v>63.0142215865727</v>
      </c>
      <c r="L241" s="1523" t="n">
        <f aca="false">IF(Assumptions!$L$25=4,VLOOKUP($A241,'Henwood Reference'!$E$9:$R$320,10),(VLOOKUP($A241,PriceTableWeekend,2,0)+IF(BasisNumber&lt;&gt;1,VLOOKUP($A241,BasisTable,2,0),0)+L$1)/(1-L$2))</f>
        <v>63.0142215865727</v>
      </c>
      <c r="M241" s="1568" t="n">
        <f aca="false">IF(Assumptions!$L$25=4,VLOOKUP($A241,'Henwood Reference'!$E$9:$R$320,10),(VLOOKUP($A241,PriceTableWeekend,3,0)+IF(BasisNumber&lt;&gt;1,VLOOKUP($A241,BasisTable,2,0),0)+M$1)/(1-M$2))</f>
        <v>63.0142215865727</v>
      </c>
      <c r="N241" s="1599" t="n">
        <f aca="false">IF(Assumptions!$L$25=4,VLOOKUP($A241,'Henwood Reference'!$E$9:$R$320,10),(VLOOKUP($A241,PriceTableWeekend,4,0)+IF(BasisNumber&lt;&gt;1,VLOOKUP($A241,BasisTable,2,0),0)+N$1)/(1-N$2))</f>
        <v>63.0142215865727</v>
      </c>
      <c r="O241" s="1568" t="n">
        <f aca="false">IF(Assumptions!$L$25=4,VLOOKUP($A241,'Henwood Reference'!$E$9:$R$320,11),(VLOOKUP($A241,PriceTableWeekend,6,0)+IF(BasisNumber&lt;&gt;1,VLOOKUP($A241,BasisTable,3,0),0)+O$1)/(1-O$2))</f>
        <v>34.8472146090995</v>
      </c>
      <c r="P241" s="1568" t="n">
        <f aca="false">IF(Assumptions!$L$25=4,VLOOKUP($A241,'Henwood Reference'!$E$9:$R$320,11),(VLOOKUP($A241,PriceTableWeekend,7,0)+IF(BasisNumber&lt;&gt;1,VLOOKUP($A241,BasisTable,3,0),0)+P$1)/(1-P$2))</f>
        <v>34.8472146090995</v>
      </c>
      <c r="Q241" s="1599" t="n">
        <f aca="false">IF(Assumptions!$L$25=4,VLOOKUP($A241,'Henwood Reference'!$E$9:$R$320,11),(VLOOKUP($A241,PriceTableWeekend,8,0)+IF(BasisNumber&lt;&gt;1,VLOOKUP($A241,BasisTable,3,0),0)+Q$1)/(1-Q$2))</f>
        <v>34.8472146090995</v>
      </c>
      <c r="R241" s="1568" t="n">
        <f aca="false">IF(Assumptions!$L$25=4,VLOOKUP($A241,'Henwood Reference'!$E$9:$R$320,11),(VLOOKUP($A241,PriceTable,6,0)+IF(BasisNumber&lt;&gt;1,VLOOKUP($A241,BasisTable,3,0),0)+R$1)/(1-R$2))</f>
        <v>34.8472146090995</v>
      </c>
      <c r="S241" s="1568" t="n">
        <f aca="false">IF(Assumptions!$L$25=4,VLOOKUP($A241,'Henwood Reference'!$E$9:$R$320,11),(VLOOKUP($A241,PriceTable,7,0)+IF(BasisNumber&lt;&gt;1,VLOOKUP($A241,BasisTable,3,0),0)+S$1)/(1-S$2))</f>
        <v>34.8472146090995</v>
      </c>
      <c r="T241" s="1600" t="n">
        <f aca="false">IF(Assumptions!$L$25=4,VLOOKUP($A241,'Henwood Reference'!$E$9:$R$320,11),(VLOOKUP($A241,PriceTable,8,0)+IF(BasisNumber&lt;&gt;1,VLOOKUP($A241,BasisTable,3,0),0)+T$1)/(1-T$2))</f>
        <v>34.8472146090995</v>
      </c>
      <c r="U241" s="1513" t="n">
        <f aca="false">VLOOKUP($A241,VolatilityTable,14)</f>
        <v>0.09</v>
      </c>
      <c r="V241" s="1513" t="n">
        <f aca="false">VLOOKUP($A241,VolatilityTable,15)</f>
        <v>0.1</v>
      </c>
      <c r="W241" s="1514" t="n">
        <f aca="false">VLOOKUP($A241,VolatilityTable,16)</f>
        <v>0.11</v>
      </c>
      <c r="X241" s="1513" t="n">
        <f aca="false">VLOOKUP($A241,VolatilityTable,14)</f>
        <v>0.09</v>
      </c>
      <c r="Y241" s="1513" t="n">
        <f aca="false">VLOOKUP($A241,VolatilityTable,15)</f>
        <v>0.1</v>
      </c>
      <c r="Z241" s="1514" t="n">
        <f aca="false">VLOOKUP($A241,VolatilityTable,16)</f>
        <v>0.11</v>
      </c>
      <c r="AA241" s="1513" t="n">
        <f aca="false">VLOOKUP($A241,VolatilityTable,18)</f>
        <v>0.09</v>
      </c>
      <c r="AB241" s="1513" t="n">
        <f aca="false">VLOOKUP($A241,VolatilityTable,19)</f>
        <v>0.11</v>
      </c>
      <c r="AC241" s="1514" t="n">
        <f aca="false">VLOOKUP($A241,VolatilityTable,20)</f>
        <v>0.13</v>
      </c>
      <c r="AD241" s="1513" t="n">
        <f aca="false">VLOOKUP($A241,VolatilityTable,18)</f>
        <v>0.09</v>
      </c>
      <c r="AE241" s="1513" t="n">
        <f aca="false">VLOOKUP($A241,VolatilityTable,19)</f>
        <v>0.11</v>
      </c>
      <c r="AF241" s="1514" t="n">
        <f aca="false">VLOOKUP($A241,VolatilityTable,20)</f>
        <v>0.13</v>
      </c>
      <c r="AG241" s="1513" t="n">
        <f aca="false">VLOOKUP($A241,VolatilityTable,22)</f>
        <v>-0.25</v>
      </c>
      <c r="AH241" s="1513" t="n">
        <f aca="false">VLOOKUP($A241,VolatilityTable,23)</f>
        <v>0.6</v>
      </c>
      <c r="AI241" s="1514" t="n">
        <f aca="false">VLOOKUP($A241,VolatilityTable,24)</f>
        <v>0.25</v>
      </c>
      <c r="AJ241" s="1513" t="n">
        <f aca="false">VLOOKUP($A241,VolatilityTable,22)</f>
        <v>-0.25</v>
      </c>
      <c r="AK241" s="1513" t="n">
        <f aca="false">VLOOKUP($A241,VolatilityTable,23)</f>
        <v>0.6</v>
      </c>
      <c r="AL241" s="1514" t="n">
        <f aca="false">VLOOKUP($A241,VolatilityTable,24)</f>
        <v>0.25</v>
      </c>
      <c r="AM241" s="1513" t="n">
        <f aca="false">VLOOKUP($A241,VolatilityTable,26)</f>
        <v>-0.01</v>
      </c>
      <c r="AN241" s="1513" t="n">
        <f aca="false">VLOOKUP($A241,VolatilityTable,27)</f>
        <v>0.16</v>
      </c>
      <c r="AO241" s="1514" t="n">
        <f aca="false">VLOOKUP($A241,VolatilityTable,28)</f>
        <v>0.01</v>
      </c>
      <c r="AP241" s="1513" t="n">
        <f aca="false">VLOOKUP($A241,VolatilityTable,26)</f>
        <v>-0.01</v>
      </c>
      <c r="AQ241" s="1513" t="n">
        <f aca="false">VLOOKUP($A241,VolatilityTable,27)</f>
        <v>0.16</v>
      </c>
      <c r="AR241" s="1515" t="n">
        <f aca="false">VLOOKUP($A241,VolatilityTable,28)</f>
        <v>0.01</v>
      </c>
      <c r="AS241" s="1581" t="n">
        <f aca="false">IF(CorrPeakOffPeakOverFlag,INDEX(CorrPeakOffPeakOver,C241),CorrPeakOffPeak)</f>
        <v>0.5</v>
      </c>
      <c r="AT241" s="594" t="e">
        <f aca="false">AX241-SUM(AU241:AW241)</f>
        <v>#VALUE!</v>
      </c>
      <c r="AU241" s="238" t="e">
        <f aca="false">IF(E241="",0,INT((F241-MOD(F241,7)-E241)/7)+1-IF(AW241,IF(WEEKDAY(D241)=7,1,0),0))</f>
        <v>#VALUE!</v>
      </c>
      <c r="AV241" s="238" t="e">
        <f aca="false">IF(E241="",0,INT((F241-MOD(F241-1,7)-E241)/7)+1-IF(AW241,IF(WEEKDAY(D241)=1,1,0),0))</f>
        <v>#VALUE!</v>
      </c>
      <c r="AW241" s="238" t="e">
        <f aca="false">IF(OR(E241="",D241="",D241&lt;BegDate,D241&gt;EndDate),0,1)</f>
        <v>#VALUE!</v>
      </c>
      <c r="AX241" s="238" t="n">
        <f aca="false">IF(E241="",0,F241-E241+1)</f>
        <v>31</v>
      </c>
      <c r="AY241" s="1582" t="n">
        <f aca="false">IF(E241="",0,MIN((1-(1-VLOOKUP(B241,MAIN!$AA$7:$AM$28,C241+1))*(1-VLOOKUP(B241,MAIN!$AA$33:$AM$54,C241+1))),1))</f>
        <v>0.03</v>
      </c>
      <c r="AZ241" s="1519" t="e">
        <v>#VALUE!</v>
      </c>
      <c r="BA241" s="1520" t="e">
        <v>#VALUE!</v>
      </c>
      <c r="BB241" s="1520" t="e">
        <v>#VALUE!</v>
      </c>
      <c r="BC241" s="1583" t="e">
        <v>#VALUE!</v>
      </c>
      <c r="BD241" s="1522" t="e">
        <v>#VALUE!</v>
      </c>
      <c r="BE241" s="1523" t="e">
        <v>#VALUE!</v>
      </c>
      <c r="BF241" s="1523" t="e">
        <v>#VALUE!</v>
      </c>
      <c r="BG241" s="1584" t="e">
        <v>#VALUE!</v>
      </c>
      <c r="BH241" s="1525" t="e">
        <v>#VALUE!</v>
      </c>
      <c r="BI241" s="1520" t="e">
        <v>#VALUE!</v>
      </c>
      <c r="BJ241" s="1520" t="e">
        <v>#VALUE!</v>
      </c>
      <c r="BK241" s="1583" t="e">
        <v>#VALUE!</v>
      </c>
      <c r="BL241" s="1522" t="e">
        <v>#VALUE!</v>
      </c>
      <c r="BM241" s="1523" t="e">
        <v>#VALUE!</v>
      </c>
      <c r="BN241" s="1523" t="e">
        <v>#VALUE!</v>
      </c>
      <c r="BO241" s="1523" t="e">
        <v>#VALUE!</v>
      </c>
      <c r="BP241" s="1525" t="e">
        <f aca="false">SUM(AZ241:BB241)</f>
        <v>#VALUE!</v>
      </c>
      <c r="BQ241" s="1529" t="e">
        <f aca="false">SUM(AZ241:BC241)</f>
        <v>#VALUE!</v>
      </c>
      <c r="BR241" s="1519" t="e">
        <f aca="false">SUM(BH241:BJ241)</f>
        <v>#VALUE!</v>
      </c>
      <c r="BS241" s="1529" t="e">
        <f aca="false">SUM(BH241:BK241)</f>
        <v>#VALUE!</v>
      </c>
      <c r="BT241" s="1316" t="n">
        <f aca="false">(IF(OVolType&lt;&gt;2,A241+14,IF(OptExpDateShift,ShiftBack(A241,OptExpDateShift,D240),A241))-DateToday)/365.25</f>
        <v>18.715947980835</v>
      </c>
      <c r="BU241" s="1585" t="e">
        <f aca="false">IF(BQ241,IF(OPriceCurve,IF(OBuySell=OCallPut,I241/(1-AY241),K241/(1-AY241)),J241/(1-AY241))*BD241,0)</f>
        <v>#VALUE!</v>
      </c>
      <c r="BV241" s="1316" t="e">
        <f aca="false">IF(BQ241,IF(OPriceCurve,IF(OBuySell=OCallPut,L241/(1-AY241),N241/(1-AY241)),M241/(1-AY241))*BE241,0)</f>
        <v>#VALUE!</v>
      </c>
      <c r="BW241" s="1316" t="e">
        <f aca="false">IF(BQ241,IF(OPriceCurve,IF(OBuySell=OCallPut,O241/(1-AY241),Q241/(1-AY241)),P241/(1-AY241))*BF241,0)</f>
        <v>#VALUE!</v>
      </c>
      <c r="BX241" s="1316" t="e">
        <f aca="false">IF(BQ241,IF(OPriceCurve,IF(OBuySell=OCallPut,R241/(1-AY241),T241/(1-AY241)),S241/(1-AY241))*BG241,0)</f>
        <v>#VALUE!</v>
      </c>
      <c r="BY241" s="1316" t="e">
        <f aca="false">IF(BP241,(BU241*AZ241+BV241*BA241+BW241*BB241)/BP241,0)</f>
        <v>#VALUE!</v>
      </c>
      <c r="BZ241" s="1316" t="e">
        <f aca="false">IF(BQ241,(BY241*BP241+BX241*BC241)/BQ241,0)</f>
        <v>#VALUE!</v>
      </c>
      <c r="CA241" s="1531" t="e">
        <f aca="false">IF(BS241,IF(OPriceCurve,IF(OBuySell=OCallPut,I241/(1-AY241),K241/(1-AY241)),J241/(1-AY241))*BL241,0)</f>
        <v>#VALUE!</v>
      </c>
      <c r="CB241" s="1316" t="e">
        <f aca="false">IF(BS241,IF(OPriceCurve,IF(OBuySell=OCallPut,L241/(1-AY241),N241/(1-AY241)),M241/(1-AY241))*BM241,0)</f>
        <v>#VALUE!</v>
      </c>
      <c r="CC241" s="1316" t="e">
        <f aca="false">IF(BS241,IF(OPriceCurve,IF(OBuySell=OCallPut,O241/(1-AY241),Q241/(1-AY241)),P241/(1-AY241))*BN241,0)</f>
        <v>#VALUE!</v>
      </c>
      <c r="CD241" s="1316" t="e">
        <f aca="false">IF(BS241,IF(OPriceCurve,IF(OBuySell=OCallPut,R241/(1-AY241),T241/(1-AY241)),S241/(1-AY241))*BO241,0)</f>
        <v>#VALUE!</v>
      </c>
      <c r="CE241" s="1316" t="e">
        <f aca="false">IF(BR241,(BU241*BH241+BV241*BI241+BW241*BJ241)/BR241,0)</f>
        <v>#VALUE!</v>
      </c>
      <c r="CF241" s="1532" t="e">
        <f aca="false">IF(BS241,(CE241*BR241+CD241*BK241)/BS241,0)</f>
        <v>#VALUE!</v>
      </c>
      <c r="CG241" s="1586" t="e">
        <f aca="false">IF(OR(BQ241,BS241),IF(OVolType&lt;&gt;2,SQRT(IF(OVolOverMonthlyPeak,OVolOverMonthlyPeak,IF(OVolCurve,IF(OBuySell,U241,W241),V241))^2*(1-15/365.25/BT241)+IF(OVolOverDailyPeak,OVolOverDailyPeak,IF(OVolCurve,IF(OBuySell,AG241,AI241),AH241))^2*15/365.25/BT241),IF(OVolOverMonthlyPeak,OVolOverMonthlyPeak,IF(OVolCurve,IF(OBuySell,U241,W241),V241))),"")</f>
        <v>#VALUE!</v>
      </c>
      <c r="CH241" s="1587" t="e">
        <f aca="false">IF(OR(BQ241,BS241),IF(OVolType&lt;&gt;2,SQRT(IF(OVolOverMonthlyPeak,OVolOverMonthlyPeak,IF(OVolCurve,IF(OBuySell,X241,Z241),Y241))^2*(1-15/365.25/BT241)+IF(OVolOverDailyPeak,OVolOverDailyPeak,IF(OVolCurve,IF(OBuySell,AJ241,AL241),AK241))^2*15/365.25/BT241),IF(OVolOverMonthlyPeak,OVolOverMonthlyPeak,IF(OVolCurve,IF(OBuySell,X241,Z241),Y241))),"")</f>
        <v>#VALUE!</v>
      </c>
      <c r="CI241" s="1587" t="e">
        <f aca="false">IF(OR(BQ241,BS241),IF(OVolType&lt;&gt;2,SQRT(IF(OVolOverMonthlyPeak,OVolOverMonthlyPeak,IF(OVolCurve,IF(OBuySell,AA241,AC241),AB241))^2*(1-15/365.25/BT241)+IF(OVolOverDailyPeak,OVolOverDailyPeak,IF(OVolCurve,IF(OBuySell,AM241,AO241),AN241))^2*15/365.25/BT241),IF(OVolOverMonthlyPeak,OVolOverMonthlyPeak,IF(OVolCurve,IF(OBuySell,AA241,AC241),AB241))),"")</f>
        <v>#VALUE!</v>
      </c>
      <c r="CJ241" s="1587" t="e">
        <f aca="false">IF(BQ241,IF(BP241,SQRT(LN(1+((BU241*AZ241)^2*(EXP(CG241^2*BT241)-1)+(BV241*BA241)^2*(EXP(CH241^2*BT241)-1)+(BW241*BB241)^2*(EXP(CI241^2*BT241)-1)+2*BU241*AZ241*BV241*BA241*(EXP(CG241*CH241*BT241)-1)+2*BV241*BA241*BW241*BB241*(EXP(CH241*CI241*BT241)-1)+2*BW241*BB241*BU241*AZ241*(EXP(CI241*CG241*BT241)-1))/(BY241*BP241)^2)/BT241),0),"")</f>
        <v>#VALUE!</v>
      </c>
      <c r="CK241" s="1587" t="e">
        <f aca="false">IF(BS241,IF(BR241,SQRT(LN(1+((CA241*BH241)^2*(EXP(CG241^2*BT241)-1)+(CB241*BI241)^2*(EXP(CH241^2*BT241)-1)+(CC241*BJ241)^2*(EXP(CI241^2*BT241)-1)+2*CA241*BH241*CB241*BI241*(EXP(CG241*CH241*BT241)-1)+2*CB241*BI241*CC241*BJ241*(EXP(CH241*CI241*BT241)-1)+2*CC241*BJ241*CA241*BH241*(EXP(CI241*CG241*BT241)-1))/(CE241*BR241)^2)/BT241),0),"")</f>
        <v>#VALUE!</v>
      </c>
      <c r="CL241" s="1587" t="e">
        <f aca="false">IF(OR(BQ241,BS241),IF(OVolType&lt;&gt;2,SQRT(IF(OVolOverMonthlyOffPeak,OVolOverMonthlyOffPeak,IF(OVolCurve,IF(OBuySell,AD241,AF241),AE241))^2*(1-15/365.25/BT241)+IF(OVolOverDailyOffPeak,OVolOverDailyOffPeak,IF(OVolCurve,IF(OBuySell,AP241,AR241),AQ241))^2*15/365.25/BT241),IF(OVolOverMonthlyOffPeak,OVolOverMonthlyOffPeak,IF(OVolCurve,IF(OBuySell,AD241,AF241),AE241))),"")</f>
        <v>#VALUE!</v>
      </c>
      <c r="CM241" s="1587" t="e">
        <f aca="false">IF(BQ241,SQRT(LN(1+((BY241*BP241)^2*(EXP(CJ241^2*BT241)-1)+(BX241*BC241)^2*(EXP(CL241^2*BT241)-1)+2*BY241*BP241*BX241*BC241*(EXP(AS241*CJ241*CL241*BT241)-1))/(BY241*BP241+BX241*BC241)^2)/BT241),"")</f>
        <v>#VALUE!</v>
      </c>
      <c r="CN241" s="1588" t="e">
        <f aca="false">IF(BS241,SQRT(LN(1+((CE241*BR241)^2*(EXP(CK241^2*BT241)-1)+(CD241*BK241)^2*(EXP(CL241^2*BT241)-1)+2*CE241*BR241*CD241*BK241*(EXP(AS241*CK241*CL241*BT241)-1))/(CE241*BR241+CD241*BK241)^2)/BT241),"")</f>
        <v>#VALUE!</v>
      </c>
      <c r="CO241" s="1531" t="e">
        <f aca="false">IF(OR(BQ241,BS241),VLOOKUP(A241,GasTable,13)*HeatRatePeak*(1+VLOOKUP($B241,HeatRateDegradation,$C241+1))/1000,0)</f>
        <v>#VALUE!</v>
      </c>
      <c r="CP241" s="1316" t="e">
        <f aca="false">IF(OR(BQ241,BS241),VLOOKUP(A241,GasTable,13)*HeatRatePeak*(1+VLOOKUP($B241,HeatRateDegradation,$C241+1))/1000,0)</f>
        <v>#VALUE!</v>
      </c>
      <c r="CQ241" s="1316" t="e">
        <f aca="false">IF(OR(BQ241,BS241),VLOOKUP(A241,GasTable,13)*IF(EV241,HeatRatePeak,HeatRateOffPeak)*(1+VLOOKUP($B241,HeatRateDegradation,$C241+1))/1000,0)</f>
        <v>#VALUE!</v>
      </c>
      <c r="CR241" s="1316" t="e">
        <f aca="false">IF(OR(BQ241,BS241),VLOOKUP(A241,GasTable,13)*IF(EW241,HeatRatePeak,HeatRateOffPeak)*(1+VLOOKUP($B241,HeatRateDegradation,$C241+1))/1000,0)</f>
        <v>#VALUE!</v>
      </c>
      <c r="CS241" s="1589" t="e">
        <f aca="false">IF(BQ241,(CO241*AZ241+CP241*BA241+CQ241*BB241+CR241*BC241)/BQ241,0)</f>
        <v>#VALUE!</v>
      </c>
      <c r="CT241" s="1316" t="e">
        <f aca="false">IF(BS241,CO241,0)</f>
        <v>#VALUE!</v>
      </c>
      <c r="CU241" s="1590" t="e">
        <f aca="false">IF(OR(BQ241,BS241),VLOOKUP(A241,GasTable,14),"")</f>
        <v>#VALUE!</v>
      </c>
      <c r="CV241" s="1568" t="e">
        <f aca="false">IF(OR(BQ241,BS241),IF(CorrPowerGasOverFlag,INDEX(CorrPowerGasOver,C241),CorrPowerGas),"")</f>
        <v>#VALUE!</v>
      </c>
      <c r="CW241" s="1316" t="e">
        <f aca="false">IF(OR($BQ241,$BS241),SpreadOptPowerMargin,0)*((1+Assumptions!$C$26)^($B241-YEAR(Assumptions!$C$17)))</f>
        <v>#VALUE!</v>
      </c>
      <c r="CX241" s="1316" t="e">
        <f aca="false">IF(OR($BQ241,$BS241),SpreadOptPowerMargin,0)*((1+Assumptions!$C$26)^($B241-YEAR(Assumptions!$C$17)))</f>
        <v>#VALUE!</v>
      </c>
      <c r="CY241" s="1316" t="e">
        <f aca="false">IF(OR($BQ241,$BS241),SpreadOptPowerMargin,0)*((1+Assumptions!$C$26)^($B241-YEAR(Assumptions!$C$17)))</f>
        <v>#VALUE!</v>
      </c>
      <c r="CZ241" s="1316" t="e">
        <f aca="false">IF(OR($BQ241,$BS241),SpreadOptPowerMargin,0)*((1+Assumptions!$C$26)^($B241-YEAR(Assumptions!$C$17)))</f>
        <v>#VALUE!</v>
      </c>
      <c r="DA241" s="1591" t="e">
        <f aca="false">IF(OR(BQ241,BS241),(CW241*(AZ241+BH241)+CX241*(BA241+BI241)+CY241*(BB241+BJ241)+CZ241*(BC241+BK241))/(BQ241+BS241),0)</f>
        <v>#VALUE!</v>
      </c>
      <c r="DB241" s="1592" t="e">
        <f aca="false">IF(OR(BQ241,BS241),CG241+IF(OVolSmile,VLOOKUP(MAX(-5,CO241+CW241-BU241),IF(OVolSmile=1,VolSmileBook,VolSmileModel),2),0),"")</f>
        <v>#VALUE!</v>
      </c>
      <c r="DC241" s="1592" t="e">
        <f aca="false">IF(OR(BQ241,BS241),CH241+IF(OVolSmile,VLOOKUP(MAX(-5,CP241+CW241-BV241),IF(OVolSmile=1,VolSmileBook,VolSmileModel),2),0),"")</f>
        <v>#VALUE!</v>
      </c>
      <c r="DD241" s="1592" t="e">
        <f aca="false">IF(OR(BQ241,BS241),CI241+IF(OVolSmile,VLOOKUP(MAX(-5,CQ241+CW241-BW241),IF(OVolSmile=1,VolSmileBook,VolSmileModel),2),0),"")</f>
        <v>#VALUE!</v>
      </c>
      <c r="DE241" s="1592" t="e">
        <f aca="false">IF(OR(BQ241,BS241),CL241+IF(OVolSmile,VLOOKUP(MAX(-5,CR241+CZ241-BX241),IF(OVolSmile=1,VolSmileBook,VolSmileModel),2),0),"")</f>
        <v>#VALUE!</v>
      </c>
      <c r="DF241" s="1592" t="e">
        <f aca="false">IF(BQ241,CM241+IF(OVolSmile,VLOOKUP(MAX(-5,CS241+DA241-BZ241),IF(OVolSmile=1,VolSmileBook,VolSmileModel),2),0),"")</f>
        <v>#VALUE!</v>
      </c>
      <c r="DG241" s="1593" t="e">
        <f aca="false">IF(BS241,CN241+IF(OVolSmile,VLOOKUP(MAX(-5,CT241+DA241-CF241),IF(OVolSmile=1,VolSmileBook,VolSmileModel),2),0),"")</f>
        <v>#VALUE!</v>
      </c>
      <c r="DH241" s="1316" t="e">
        <f aca="false">IF(AND(BU241&gt;0,CO241&gt;0,DB241&gt;0,CU241&gt;0),newSPRDOPT(BU241,CO241,CW241,0,DB241,CU241,CV241,BT241*365.25,OCallPut,0),0)</f>
        <v>#VALUE!</v>
      </c>
      <c r="DI241" s="1316" t="e">
        <f aca="false">IF(AND(BV241&gt;0,CP241&gt;0,DC241&gt;0,CU241&gt;0),newSPRDOPT(BV241,CP241,CX241,0,DC241,CU241,CV241,BT241*365.25,OCallPut,0),0)</f>
        <v>#VALUE!</v>
      </c>
      <c r="DJ241" s="1316" t="e">
        <f aca="false">IF(AND(BW241&gt;0,CQ241&gt;0,DD241&gt;0,CU241&gt;0),newSPRDOPT(BW241,CQ241,CY241,0,DD241,CU241,CV241,BT241*365.25,OCallPut,0),0)</f>
        <v>#VALUE!</v>
      </c>
      <c r="DK241" s="1316" t="e">
        <f aca="false">IF(AND(BX241&gt;0,CR241&gt;0,DE241&gt;0,CU241&gt;0),newSPRDOPT(BX241,CR241,CZ241,0,DE241,CU241,CV241,BT241*365.25,OCallPut,0),0)</f>
        <v>#VALUE!</v>
      </c>
      <c r="DL241" s="1316" t="e">
        <f aca="false">IF(OVolType,IF(AND(BZ241&gt;0,CS241&gt;0,DF241&gt;0,CU241&gt;0),newSPRDOPT(BZ241,CS241,DA241,0,DF241,CU241,CV241,BT241*365.25,OCallPut,0),0),IF(BQ241,(DH241*AZ241+DI241*BA241+DJ241*BB241+DK241*BC241)/BQ241,0))</f>
        <v>#VALUE!</v>
      </c>
      <c r="DM241" s="1316"/>
      <c r="DN241" s="1316"/>
      <c r="DO241" s="1316"/>
      <c r="DP241" s="1316"/>
      <c r="DQ241" s="1316"/>
      <c r="DR241" s="1316"/>
      <c r="DS241" s="1316"/>
      <c r="DT241" s="1316"/>
      <c r="DU241" s="1316"/>
      <c r="DV241" s="1316"/>
      <c r="DW241" s="1594" t="e">
        <f aca="false">IF(AND(BW241&gt;0,CT241&gt;0,DD241&gt;0,CU241&gt;0),newSPRDOPT(BW241,CT241,CY241,0,DD241,CU241,CV241,BT241*365.25,OCallPut,0),0)</f>
        <v>#VALUE!</v>
      </c>
      <c r="DX241" s="1316" t="e">
        <f aca="false">IF(AND(BX241&gt;0,CT241&gt;0,DE241&gt;0,CU241&gt;0),newSPRDOPT(BX241,CT241,CZ241,0,DE241,CU241,CV241,BT241*365.25,OCallPut,0),0)</f>
        <v>#VALUE!</v>
      </c>
      <c r="DY241" s="1591" t="e">
        <f aca="false">IF(BS241,(DH241*BH241+DI241*BI241+DW241*BJ241+DX241*BK241)/BS241,0)</f>
        <v>#VALUE!</v>
      </c>
      <c r="DZ241" s="1551" t="e">
        <f aca="false">DH241*AZ241</f>
        <v>#VALUE!</v>
      </c>
      <c r="EA241" s="1551" t="e">
        <f aca="false">DI241*BA241</f>
        <v>#VALUE!</v>
      </c>
      <c r="EB241" s="1551" t="e">
        <f aca="false">DJ241*BB241</f>
        <v>#VALUE!</v>
      </c>
      <c r="EC241" s="1551" t="e">
        <f aca="false">DK241*BC241</f>
        <v>#VALUE!</v>
      </c>
      <c r="ED241" s="1551" t="e">
        <f aca="false">DL241*BQ241</f>
        <v>#VALUE!</v>
      </c>
      <c r="EE241" s="1595" t="e">
        <f aca="false">IF(BQ241,IF(OCallPut,IF(BU241&gt;(CO241+CW241),BU241-(CO241+CW241),0),IF((CO241+CW241)&gt;BU241,(CO241+CW241)-BU241,0))*AZ241,0)</f>
        <v>#VALUE!</v>
      </c>
      <c r="EF241" s="1596" t="e">
        <f aca="false">IF(BQ241,IF(OCallPut,IF(BV241&gt;(CP241+CX241),BV241-(CP241+CX241),0),IF((CP241+CX241)&gt;BV241,(CP241+CX241)-BV241,0))*BA241,0)</f>
        <v>#VALUE!</v>
      </c>
      <c r="EG241" s="1596" t="e">
        <f aca="false">IF(BQ241,IF(OCallPut,IF(BW241&gt;(CQ241+CY241),BW241-(CQ241+CY241),0),IF((CQ241+CY241)&gt;BW241,(CQ241+CY241)-BW241,0))*BB241,0)</f>
        <v>#VALUE!</v>
      </c>
      <c r="EH241" s="1596" t="e">
        <f aca="false">IF(BQ241,IF(OCallPut,IF(BX241&gt;(CR241+CZ241),BX241-(CR241+CZ241),0),IF((CR241+CZ241)&gt;BX241,(CR241+CZ241)-BX241,0))*BC241,0)</f>
        <v>#VALUE!</v>
      </c>
      <c r="EI241" s="1597" t="e">
        <f aca="false">IF(BQ241,IF(OVolType,IF(OCallPut,IF(BZ241&gt;(CS241+DA241),BZ241-(CS241+DA241),0),IF((CS241+DA241)&gt;BZ241,(CS241+DA241)-BZ241,0))*BQ241,SUM(EE241:EH241)),0)</f>
        <v>#VALUE!</v>
      </c>
      <c r="EJ241" s="1595" t="e">
        <f aca="false">DZ241-EE241</f>
        <v>#VALUE!</v>
      </c>
      <c r="EK241" s="1596" t="e">
        <f aca="false">EA241-EF241</f>
        <v>#VALUE!</v>
      </c>
      <c r="EL241" s="1596" t="e">
        <f aca="false">EB241-EG241</f>
        <v>#VALUE!</v>
      </c>
      <c r="EM241" s="1596" t="e">
        <f aca="false">EC241-EH241</f>
        <v>#VALUE!</v>
      </c>
      <c r="EN241" s="1597" t="e">
        <f aca="false">ED241-EI241</f>
        <v>#VALUE!</v>
      </c>
      <c r="EO241" s="1551" t="e">
        <f aca="false">DH241*BH241</f>
        <v>#VALUE!</v>
      </c>
      <c r="EP241" s="1551" t="e">
        <f aca="false">DI241*BI241</f>
        <v>#VALUE!</v>
      </c>
      <c r="EQ241" s="1551" t="e">
        <f aca="false">DW241*BJ241</f>
        <v>#VALUE!</v>
      </c>
      <c r="ER241" s="1551" t="e">
        <f aca="false">DX241*BK241</f>
        <v>#VALUE!</v>
      </c>
      <c r="ES241" s="1551" t="e">
        <f aca="false">DY241*BS241</f>
        <v>#VALUE!</v>
      </c>
      <c r="ET241" s="1566" t="e">
        <f aca="false">IF(EI241,IF(OCallPut,IF(CA241&gt;(CT241+CW241),CA241-(CT241+CW241),0),IF((CT241+CW241)&gt;CA241,(CT241+CW241)-CA241,0))*BH241,0)</f>
        <v>#VALUE!</v>
      </c>
      <c r="EU241" s="1551" t="e">
        <f aca="false">IF(EI241,IF(OCallPut,IF(CB241&gt;(CT241+CX241),CB241-(CT241+CX241),0),IF((CT241+CX241)&gt;CB241,(CT241+CX241)-CB241,0))*BI241,0)</f>
        <v>#VALUE!</v>
      </c>
      <c r="EV241" s="1551" t="e">
        <f aca="false">IF(EI241,IF(OCallPut,IF(CC241&gt;(CT241+CY241),CC241-(CT241+CY241),0),IF((CT241+CY241)&gt;CC241,(CT241+CY241)-CC241,0))*BJ241,0)</f>
        <v>#VALUE!</v>
      </c>
      <c r="EW241" s="1551" t="e">
        <f aca="false">IF(EI241,IF(OCallPut,IF(CD241&gt;(CT241+CZ241),CD241-(CT241+CZ241),0),IF((CT241+CZ241)&gt;CD241,(CT241+CZ241)-CD241,0))*BK241,0)</f>
        <v>#VALUE!</v>
      </c>
      <c r="EX241" s="1558" t="e">
        <f aca="false">IF(EI241,SUM(ET241:EW241),0)</f>
        <v>#VALUE!</v>
      </c>
      <c r="EY241" s="1551" t="e">
        <f aca="false">EO241-ET241</f>
        <v>#VALUE!</v>
      </c>
      <c r="EZ241" s="1551" t="e">
        <f aca="false">EP241-EU241</f>
        <v>#VALUE!</v>
      </c>
      <c r="FA241" s="1551" t="e">
        <f aca="false">EQ241-EV241</f>
        <v>#VALUE!</v>
      </c>
      <c r="FB241" s="1551" t="e">
        <f aca="false">ER241-EW241</f>
        <v>#VALUE!</v>
      </c>
      <c r="FC241" s="1551" t="e">
        <f aca="false">ES241-EX241</f>
        <v>#VALUE!</v>
      </c>
      <c r="FD241" s="1525" t="n">
        <f aca="false">IF(AX241,IF(VLOOKUP(C241,MAIN!$L$17:$M$28,2)="Yes",VLOOKUP(CALC!B241,MAIN!$H$17:$I$20,2),0),0)</f>
        <v>0</v>
      </c>
      <c r="FE241" s="1552" t="e">
        <f aca="false">$FD241*16*AT241*(1-$AY241)</f>
        <v>#VALUE!</v>
      </c>
      <c r="FF241" s="1553" t="e">
        <f aca="false">$FD241*16*AU241*(1-$AY241)</f>
        <v>#VALUE!</v>
      </c>
      <c r="FG241" s="1553" t="e">
        <f aca="false">$FD241*16*(AV241+AW241)*(1-$AY241)</f>
        <v>#VALUE!</v>
      </c>
      <c r="FH241" s="1554" t="n">
        <f aca="false">$FD241*8*AX241*(1-$AY241)</f>
        <v>0</v>
      </c>
      <c r="FI241" s="1555" t="n">
        <f aca="false">IF(AX241,VLOOKUP(CALC!B241,MAIN!$H$17:$K$20,4),0)</f>
        <v>0</v>
      </c>
      <c r="FJ241" s="1553" t="e">
        <f aca="false">SUM(FE241:FH241)</f>
        <v>#VALUE!</v>
      </c>
      <c r="FK241" s="1556" t="e">
        <f aca="false">FI241*FJ241</f>
        <v>#VALUE!</v>
      </c>
      <c r="FL241" s="1551" t="e">
        <f aca="false">IF($EI241&gt;0,MIN(FE241,AZ241*(1+VLOOKUP($C241,WeatherCapacityAdjustment,2))),0)</f>
        <v>#VALUE!</v>
      </c>
      <c r="FM241" s="1551" t="e">
        <f aca="false">IF($EI241&gt;0,MIN(FF241,BA241*(1+VLOOKUP($C241,WeatherCapacityAdjustment,2))),0)</f>
        <v>#VALUE!</v>
      </c>
      <c r="FN241" s="1551" t="e">
        <f aca="false">IF($EI241&gt;0,MIN(FG241,BB241*(1+VLOOKUP($C241,WeatherCapacityAdjustment,2))),0)</f>
        <v>#VALUE!</v>
      </c>
      <c r="FO241" s="1564" t="e">
        <f aca="false">IF($EI241&gt;0,MIN(FH241,BC241*(1+VLOOKUP($C241,WeatherCapacityAdjustment,3))),0)</f>
        <v>#VALUE!</v>
      </c>
      <c r="FP241" s="1551" t="e">
        <f aca="false">IF(ET241&gt;0,MIN(FE241-FL241,BH241*(1+VLOOKUP($C241,WeatherCapacityAdjustment,2))),0)</f>
        <v>#VALUE!</v>
      </c>
      <c r="FQ241" s="1551" t="e">
        <f aca="false">IF(EU241&gt;0,MIN(FF241-FM241,BI241*(1+VLOOKUP($C241,WeatherCapacityAdjustment,2))),0)</f>
        <v>#VALUE!</v>
      </c>
      <c r="FR241" s="1551" t="e">
        <f aca="false">IF(EV241&gt;0,MIN(FG241-FN241,BJ241*(1+VLOOKUP($C241,WeatherCapacityAdjustment,2))),0)</f>
        <v>#VALUE!</v>
      </c>
      <c r="FS241" s="1558" t="e">
        <f aca="false">IF(EW241&gt;0,MIN(FH241-FO241,BK241*(1+VLOOKUP($C241,WeatherCapacityAdjustment,3))),0)</f>
        <v>#VALUE!</v>
      </c>
      <c r="FT241" s="1566" t="e">
        <f aca="false">IF(AND(Assumptions!$H$71="Yes",A241&gt;=Assumptions!$H$72,A241&lt;=Assumptions!$H$73),0,IF(AND($A241&gt;=Assumptions!$C$17,$A241&lt;=Assumptions!$C$18),MAX(AZ241*(1+VLOOKUP($C241,WeatherCapacityAdjustment,2))-FL241,0),0))</f>
        <v>#VALUE!</v>
      </c>
      <c r="FU241" s="1551" t="e">
        <f aca="false">IF(AND(Assumptions!$H$71="Yes",A241&gt;=Assumptions!$H$72,A241&lt;=Assumptions!$H$73),0,IF(AND($A241&gt;=Assumptions!$C$17,$A241&lt;=Assumptions!$C$18),MAX(BA241*(1+VLOOKUP($C241,WeatherCapacityAdjustment,2))-FM241,0),0))</f>
        <v>#VALUE!</v>
      </c>
      <c r="FV241" s="1551" t="e">
        <f aca="false">IF(AND(Assumptions!$H$71="Yes",A241&gt;=Assumptions!$H$72,A241&lt;=Assumptions!$H$73),0,IF(AND($A241&gt;=Assumptions!$C$17,$A241&lt;=Assumptions!$C$18),MAX(BB241*(1+VLOOKUP($C241,WeatherCapacityAdjustment,2))-FN241,0),0))</f>
        <v>#VALUE!</v>
      </c>
      <c r="FW241" s="1564" t="e">
        <f aca="false">IF(AND(Assumptions!$H$71="Yes",A241&gt;=Assumptions!$H$72,A241&lt;=Assumptions!$H$73),0,IF(AND($A241&gt;=Assumptions!$C$17,$A241&lt;=Assumptions!$C$18),MAX(BC241*(1+VLOOKUP($C241,WeatherCapacityAdjustment,3))-FO241,0),0))</f>
        <v>#VALUE!</v>
      </c>
      <c r="FX241" s="1569" t="e">
        <f aca="false">IF(AND(Assumptions!$H$71="Yes",A241&gt;=Assumptions!$H$72,A241&lt;=Assumptions!$H$73),0,IF(ET241&gt;0,MAX(BH241*(1+VLOOKUP($C241,WeatherCapacityAdjustment,2))-FP241,0),0))</f>
        <v>#VALUE!</v>
      </c>
      <c r="FY241" s="1551" t="e">
        <f aca="false">IF(AND(Assumptions!$H$71="Yes",A241&gt;=Assumptions!$H$72,A241&lt;=Assumptions!$H$73),0,IF(EU241&gt;0,MAX(BI241*(1+VLOOKUP($C241,WeatherCapacityAdjustment,3))-FQ241,0),0))</f>
        <v>#VALUE!</v>
      </c>
      <c r="FZ241" s="1551" t="e">
        <f aca="false">IF(AND(Assumptions!$H$71="Yes",A241&gt;=Assumptions!$H$72,A241&lt;=Assumptions!$H$73),0,IF(EV241&gt;0,MAX(BJ241*(1+VLOOKUP($C241,WeatherCapacityAdjustment,2))-FR241,0),0))</f>
        <v>#VALUE!</v>
      </c>
      <c r="GA241" s="1564" t="e">
        <f aca="false">IF(AND(Assumptions!$H$71="Yes",A241&gt;=Assumptions!$H$72,A241&lt;=Assumptions!$H$73),0,IF(EW241&gt;0,MAX(BK241*(1+VLOOKUP($C241,WeatherCapacityAdjustment,2))-FS241,0),0))</f>
        <v>#VALUE!</v>
      </c>
      <c r="GB241" s="1551" t="e">
        <f aca="false">SUM(FT241:GA241)</f>
        <v>#VALUE!</v>
      </c>
      <c r="GC241" s="1563" t="e">
        <f aca="false">+IF(SUM(FT241:GA241)=0,0,(SUMPRODUCT(BU241:BX241,FT241:FW241)+SUMPRODUCT(CA241:CD241,FX241:GA241))/SUM(FT241:GA241))</f>
        <v>#VALUE!</v>
      </c>
      <c r="GD241" s="1551" t="e">
        <f aca="false">(FT241*BU241+FX241*CA241+FU241*BV241+FY241*CB241+FV241*BW241+FZ241*CC241+FW241*BX241+GA241*CD241)</f>
        <v>#VALUE!</v>
      </c>
      <c r="GE241" s="1561" t="e">
        <f aca="false">+IF(BQ241,((FL241+FM241+FT241+FU241)*HeatRatePeak/1000*(1+VLOOKUP($C241,WeatherHeatRateAdjustment,2))+(FN241+FV241)*IF(EV241&gt;0,HeatRatePeak,HeatRateOffPeak)/1000*(1+VLOOKUP($C241,WeatherHeatRateAdjustment,2))+(FO241+FW241)*IF(EW241&gt;0,HeatRatePeak,HeatRateOffPeak)/1000*(1+VLOOKUP($C241,WeatherHeatRateAdjustment,3)))*(1+VLOOKUP($B241,HeatRateDegradation,$C241+1)),0)</f>
        <v>#VALUE!</v>
      </c>
      <c r="GF241" s="1562" t="e">
        <f aca="false">IF(BQ241,((FP241+FQ241+FR241+FX241+FY241+FZ241)*HeatRatePeak/1000*(1+VLOOKUP($C241,WeatherHeatRateAdjustment,2))+(FS241+GA241)*HeatRatePeak/1000*(1+VLOOKUP($C241,WeatherHeatRateAdjustment,3)))*(1+VLOOKUP($B241,HeatRateDegradation,$C241+1)),0)</f>
        <v>#VALUE!</v>
      </c>
      <c r="GG241" s="1563" t="e">
        <f aca="false">IF(BQ241,VLOOKUP(A241,GasTable,13),0)</f>
        <v>#VALUE!</v>
      </c>
      <c r="GH241" s="1564" t="e">
        <f aca="false">(GE241+GF241)*GG241</f>
        <v>#VALUE!</v>
      </c>
      <c r="GI241" s="1569" t="e">
        <f aca="false">GB241</f>
        <v>#VALUE!</v>
      </c>
      <c r="GJ241" s="1598" t="e">
        <f aca="false">+DA241</f>
        <v>#VALUE!</v>
      </c>
      <c r="GK241" s="1558" t="e">
        <f aca="false">+GI241*GJ241</f>
        <v>#VALUE!</v>
      </c>
      <c r="GL241" s="1566" t="e">
        <f aca="false">MAX(FE241-FL241-FP241,0)</f>
        <v>#VALUE!</v>
      </c>
      <c r="GM241" s="1551" t="e">
        <f aca="false">MAX(FF241-FM241-FQ241,0)</f>
        <v>#VALUE!</v>
      </c>
      <c r="GN241" s="1551" t="e">
        <f aca="false">MAX(FG241-FN241-FR241,0)</f>
        <v>#VALUE!</v>
      </c>
      <c r="GO241" s="1564" t="e">
        <f aca="false">MAX(FH241-FO241-FS241,0)</f>
        <v>#VALUE!</v>
      </c>
      <c r="GP241" s="1551" t="e">
        <f aca="false">SUM(GL241:GO241)</f>
        <v>#VALUE!</v>
      </c>
      <c r="GQ241" s="1563" t="e">
        <f aca="false">IF(SUM(GL241:GO241)=0,0,((GL241*BU241+GM241*BV241+GN241*BW241+GO241*BX241)/SUM(GL241:GO241)))</f>
        <v>#VALUE!</v>
      </c>
      <c r="GR241" s="1558" t="e">
        <f aca="false">(GL241*BU241+GM241*BV241+GN241*BW241+GO241*BX241)</f>
        <v>#VALUE!</v>
      </c>
      <c r="GS241" s="1566" t="n">
        <f aca="false">IF($A241&gt;=BegDate,Assumptions!$C$56*24*($A242-$A241)*(1-VLOOKUP($B241,MAIN!$AA$7:$AM$28,$C241+1))*(1-VLOOKUP($B241,MAIN!$AA$33:$AM$54,$C241+1)),0)*80/168</f>
        <v>257742.857142857</v>
      </c>
      <c r="GT241" s="286" t="n">
        <f aca="false">J241</f>
        <v>63.0142215865727</v>
      </c>
      <c r="GU241" s="286" t="n">
        <f aca="false">IF($A241&gt;=BegDate,VLOOKUP($A241,GasTable,13)+Assumptions!$C$58,0)</f>
        <v>4.11484269039313</v>
      </c>
      <c r="GV241" s="286" t="n">
        <f aca="false">GU241*Assumptions!$C$57/1000</f>
        <v>29.8326095053502</v>
      </c>
      <c r="GW241" s="1558" t="n">
        <f aca="false">IF(Assumptions!$C$60="Hourly",MAX(0,GS241*(GT241-GV241)),GS241*(GT241-GV241))</f>
        <v>8552323.50242024</v>
      </c>
      <c r="GX241" s="1566" t="n">
        <f aca="false">IF($A241&gt;=BegDate,Assumptions!$C$56*24*($A242-$A241)*(1-VLOOKUP($B241,MAIN!$AA$7:$AM$28,$C241+1))*(1-VLOOKUP($B241,MAIN!$AA$33:$AM$54,$C241+1)),0)*16/168</f>
        <v>51548.5714285714</v>
      </c>
      <c r="GY241" s="286" t="n">
        <f aca="false">M241</f>
        <v>63.0142215865727</v>
      </c>
      <c r="GZ241" s="286" t="n">
        <f aca="false">IF($A241&gt;=BegDate,VLOOKUP($A241,GasTable,13)+Assumptions!$C$58,0)</f>
        <v>4.11484269039313</v>
      </c>
      <c r="HA241" s="286" t="n">
        <f aca="false">GZ241*Assumptions!$C$57/1000</f>
        <v>29.8326095053502</v>
      </c>
      <c r="HB241" s="1558" t="n">
        <f aca="false">IF(Assumptions!$C$60="Hourly",MAX(0,GX241*(GY241-HA241)),GX241*(GY241-HA241))</f>
        <v>1710464.70048405</v>
      </c>
      <c r="HC241" s="1566" t="n">
        <f aca="false">IF($A241&gt;=BegDate,Assumptions!$C$56*24*($A242-$A241)*(1-VLOOKUP($B241,MAIN!$AA$7:$AM$28,$C241+1))*(1-VLOOKUP($B241,MAIN!$AA$33:$AM$54,$C241+1)),0)*16/168</f>
        <v>51548.5714285714</v>
      </c>
      <c r="HD241" s="286" t="n">
        <f aca="false">P241</f>
        <v>34.8472146090995</v>
      </c>
      <c r="HE241" s="286" t="n">
        <f aca="false">IF($A241&gt;=BegDate,VLOOKUP($A241,GasTable,13)+Assumptions!$C$58,0)</f>
        <v>4.11484269039313</v>
      </c>
      <c r="HF241" s="286" t="n">
        <f aca="false">HE241*Assumptions!$C$57/1000</f>
        <v>29.8326095053502</v>
      </c>
      <c r="HG241" s="1558" t="n">
        <f aca="false">IF(Assumptions!$C$60="Hourly",MAX(0,HC241*(HD241-HF241)),HC241*(HD241-HF241))</f>
        <v>258495.729376699</v>
      </c>
      <c r="HH241" s="1566" t="n">
        <f aca="false">IF($A241&gt;=BegDate,Assumptions!$C$56*24*($A242-$A241)*(1-VLOOKUP($B241,MAIN!$AA$7:$AM$28,$C241+1))*(1-VLOOKUP($B241,MAIN!$AA$33:$AM$54,$C241+1)),0)*56/168</f>
        <v>180420</v>
      </c>
      <c r="HI241" s="286" t="n">
        <f aca="false">S241</f>
        <v>34.8472146090995</v>
      </c>
      <c r="HJ241" s="286" t="n">
        <f aca="false">IF($A241&gt;=BegDate,VLOOKUP($A241,GasTable,13)+Assumptions!$C$58,0)</f>
        <v>4.11484269039313</v>
      </c>
      <c r="HK241" s="286" t="n">
        <f aca="false">HJ241*Assumptions!$C$57/1000</f>
        <v>29.8326095053502</v>
      </c>
      <c r="HL241" s="1558" t="n">
        <f aca="false">IF(Assumptions!$C$60="Hourly",MAX(0,HH241*(HI241-HK241)),HH241*(HI241-HK241))</f>
        <v>904735.052818447</v>
      </c>
      <c r="HM241" s="1566" t="n">
        <f aca="false">IF(AND(Assumptions!$H$71="Yes",A241&gt;=Assumptions!$H$72,A241&lt;=Assumptions!$H$73),Assumptions!$H$74*Assumptions!$C$9*1000,0)</f>
        <v>0</v>
      </c>
      <c r="HN241" s="1551"/>
      <c r="HO241" s="1563"/>
      <c r="HP241" s="1563"/>
      <c r="HQ241" s="1563"/>
      <c r="HR241" s="1563"/>
      <c r="HS241" s="1563"/>
      <c r="HT241" s="1563"/>
      <c r="HU241" s="1563"/>
      <c r="HV241" s="1563"/>
      <c r="HW241" s="1563"/>
      <c r="HX241" s="1563"/>
      <c r="HY241" s="1563"/>
      <c r="HZ241" s="1563"/>
      <c r="IA241" s="1563"/>
      <c r="IB241" s="1563"/>
      <c r="IC241" s="1563"/>
      <c r="ID241" s="1563"/>
      <c r="IE241" s="1563"/>
      <c r="IF241" s="1563"/>
      <c r="IG241" s="1563"/>
      <c r="IH241" s="1563"/>
      <c r="II241" s="1610"/>
      <c r="IJ241" s="1309"/>
      <c r="IK241" s="1309"/>
    </row>
    <row r="242" customFormat="false" ht="12.75" hidden="false" customHeight="false" outlineLevel="0" collapsed="false">
      <c r="A242" s="1571" t="n">
        <f aca="false">EOMONTH(A241,0)+1</f>
        <v>43497</v>
      </c>
      <c r="B242" s="594" t="n">
        <f aca="false">+YEAR(A242)</f>
        <v>2019</v>
      </c>
      <c r="C242" s="238" t="n">
        <f aca="false">MONTH(A242)</f>
        <v>2</v>
      </c>
      <c r="D242" s="1572" t="e">
        <f aca="false">IF(E242="","",Holiday(B242,C242))</f>
        <v>#VALUE!</v>
      </c>
      <c r="E242" s="1573" t="n">
        <f aca="false">IF(OR(BegDate&gt;=A243,EndDate&lt;A242,AND(VolumeMonthlyOverFlag,INDEX(VolumeMonthlyOver,C242)=0),NOT(INDEX(MonthKnockOutTable,C242))),"",MAX(A242,BegDate))</f>
        <v>43497</v>
      </c>
      <c r="F242" s="1574" t="n">
        <f aca="false">IF(E242="","",MIN(A243-1,EndDate))</f>
        <v>43524</v>
      </c>
      <c r="G242" s="1575" t="n">
        <v>0</v>
      </c>
      <c r="H242" s="1576" t="n">
        <f aca="false">(1+G242/2)^(-2*(DATE(B243,C243,20)-DateToday)/365.25)</f>
        <v>1</v>
      </c>
      <c r="I242" s="1568" t="n">
        <f aca="false">IF(Assumptions!$L$25=4,VLOOKUP($A242,'Henwood Reference'!$E$9:$R$320,10),(VLOOKUP($A242,PriceTable,2,0)+IF(BasisNumber&lt;&gt;1,VLOOKUP($A242,BasisTable,2,0),0)+I$1)/(1-I$2))</f>
        <v>54.0256966520762</v>
      </c>
      <c r="J242" s="1568" t="n">
        <f aca="false">IF(Assumptions!$L$25=4,VLOOKUP($A242,'Henwood Reference'!$E$9:$R$320,10),(VLOOKUP($A242,PriceTable,3,0)+IF(BasisNumber&lt;&gt;1,VLOOKUP($A242,BasisTable,2,0),0)+J$1)/(1-J$2))</f>
        <v>54.0256966520762</v>
      </c>
      <c r="K242" s="1568" t="n">
        <f aca="false">IF(Assumptions!$L$25=4,VLOOKUP($A242,'Henwood Reference'!$E$9:$R$320,10),(VLOOKUP($A242,PriceTable,4,0)+IF(BasisNumber&lt;&gt;1,VLOOKUP($A242,BasisTable,2,0),0)+K$1)/(1-K$2))</f>
        <v>54.0256966520762</v>
      </c>
      <c r="L242" s="1523" t="n">
        <f aca="false">IF(Assumptions!$L$25=4,VLOOKUP($A242,'Henwood Reference'!$E$9:$R$320,10),(VLOOKUP($A242,PriceTableWeekend,2,0)+IF(BasisNumber&lt;&gt;1,VLOOKUP($A242,BasisTable,2,0),0)+L$1)/(1-L$2))</f>
        <v>54.0256966520762</v>
      </c>
      <c r="M242" s="1568" t="n">
        <f aca="false">IF(Assumptions!$L$25=4,VLOOKUP($A242,'Henwood Reference'!$E$9:$R$320,10),(VLOOKUP($A242,PriceTableWeekend,3,0)+IF(BasisNumber&lt;&gt;1,VLOOKUP($A242,BasisTable,2,0),0)+M$1)/(1-M$2))</f>
        <v>54.0256966520762</v>
      </c>
      <c r="N242" s="1599" t="n">
        <f aca="false">IF(Assumptions!$L$25=4,VLOOKUP($A242,'Henwood Reference'!$E$9:$R$320,10),(VLOOKUP($A242,PriceTableWeekend,4,0)+IF(BasisNumber&lt;&gt;1,VLOOKUP($A242,BasisTable,2,0),0)+N$1)/(1-N$2))</f>
        <v>54.0256966520762</v>
      </c>
      <c r="O242" s="1568" t="n">
        <f aca="false">IF(Assumptions!$L$25=4,VLOOKUP($A242,'Henwood Reference'!$E$9:$R$320,11),(VLOOKUP($A242,PriceTableWeekend,6,0)+IF(BasisNumber&lt;&gt;1,VLOOKUP($A242,BasisTable,3,0),0)+O$1)/(1-O$2))</f>
        <v>29.8682710647512</v>
      </c>
      <c r="P242" s="1568" t="n">
        <f aca="false">IF(Assumptions!$L$25=4,VLOOKUP($A242,'Henwood Reference'!$E$9:$R$320,11),(VLOOKUP($A242,PriceTableWeekend,7,0)+IF(BasisNumber&lt;&gt;1,VLOOKUP($A242,BasisTable,3,0),0)+P$1)/(1-P$2))</f>
        <v>29.8682710647512</v>
      </c>
      <c r="Q242" s="1599" t="n">
        <f aca="false">IF(Assumptions!$L$25=4,VLOOKUP($A242,'Henwood Reference'!$E$9:$R$320,11),(VLOOKUP($A242,PriceTableWeekend,8,0)+IF(BasisNumber&lt;&gt;1,VLOOKUP($A242,BasisTable,3,0),0)+Q$1)/(1-Q$2))</f>
        <v>29.8682710647512</v>
      </c>
      <c r="R242" s="1568" t="n">
        <f aca="false">IF(Assumptions!$L$25=4,VLOOKUP($A242,'Henwood Reference'!$E$9:$R$320,11),(VLOOKUP($A242,PriceTable,6,0)+IF(BasisNumber&lt;&gt;1,VLOOKUP($A242,BasisTable,3,0),0)+R$1)/(1-R$2))</f>
        <v>29.8682710647512</v>
      </c>
      <c r="S242" s="1568" t="n">
        <f aca="false">IF(Assumptions!$L$25=4,VLOOKUP($A242,'Henwood Reference'!$E$9:$R$320,11),(VLOOKUP($A242,PriceTable,7,0)+IF(BasisNumber&lt;&gt;1,VLOOKUP($A242,BasisTable,3,0),0)+S$1)/(1-S$2))</f>
        <v>29.8682710647512</v>
      </c>
      <c r="T242" s="1600" t="n">
        <f aca="false">IF(Assumptions!$L$25=4,VLOOKUP($A242,'Henwood Reference'!$E$9:$R$320,11),(VLOOKUP($A242,PriceTable,8,0)+IF(BasisNumber&lt;&gt;1,VLOOKUP($A242,BasisTable,3,0),0)+T$1)/(1-T$2))</f>
        <v>29.8682710647512</v>
      </c>
      <c r="U242" s="1513" t="n">
        <f aca="false">VLOOKUP($A242,VolatilityTable,14)</f>
        <v>0.09</v>
      </c>
      <c r="V242" s="1513" t="n">
        <f aca="false">VLOOKUP($A242,VolatilityTable,15)</f>
        <v>0.1</v>
      </c>
      <c r="W242" s="1514" t="n">
        <f aca="false">VLOOKUP($A242,VolatilityTable,16)</f>
        <v>0.11</v>
      </c>
      <c r="X242" s="1513" t="n">
        <f aca="false">VLOOKUP($A242,VolatilityTable,14)</f>
        <v>0.09</v>
      </c>
      <c r="Y242" s="1513" t="n">
        <f aca="false">VLOOKUP($A242,VolatilityTable,15)</f>
        <v>0.1</v>
      </c>
      <c r="Z242" s="1514" t="n">
        <f aca="false">VLOOKUP($A242,VolatilityTable,16)</f>
        <v>0.11</v>
      </c>
      <c r="AA242" s="1513" t="n">
        <f aca="false">VLOOKUP($A242,VolatilityTable,18)</f>
        <v>0.09</v>
      </c>
      <c r="AB242" s="1513" t="n">
        <f aca="false">VLOOKUP($A242,VolatilityTable,19)</f>
        <v>0.11</v>
      </c>
      <c r="AC242" s="1514" t="n">
        <f aca="false">VLOOKUP($A242,VolatilityTable,20)</f>
        <v>0.13</v>
      </c>
      <c r="AD242" s="1513" t="n">
        <f aca="false">VLOOKUP($A242,VolatilityTable,18)</f>
        <v>0.09</v>
      </c>
      <c r="AE242" s="1513" t="n">
        <f aca="false">VLOOKUP($A242,VolatilityTable,19)</f>
        <v>0.11</v>
      </c>
      <c r="AF242" s="1514" t="n">
        <f aca="false">VLOOKUP($A242,VolatilityTable,20)</f>
        <v>0.13</v>
      </c>
      <c r="AG242" s="1513" t="n">
        <f aca="false">VLOOKUP($A242,VolatilityTable,22)</f>
        <v>-0.25</v>
      </c>
      <c r="AH242" s="1513" t="n">
        <f aca="false">VLOOKUP($A242,VolatilityTable,23)</f>
        <v>0.65</v>
      </c>
      <c r="AI242" s="1514" t="n">
        <f aca="false">VLOOKUP($A242,VolatilityTable,24)</f>
        <v>0.25</v>
      </c>
      <c r="AJ242" s="1513" t="n">
        <f aca="false">VLOOKUP($A242,VolatilityTable,22)</f>
        <v>-0.25</v>
      </c>
      <c r="AK242" s="1513" t="n">
        <f aca="false">VLOOKUP($A242,VolatilityTable,23)</f>
        <v>0.65</v>
      </c>
      <c r="AL242" s="1514" t="n">
        <f aca="false">VLOOKUP($A242,VolatilityTable,24)</f>
        <v>0.25</v>
      </c>
      <c r="AM242" s="1513" t="n">
        <f aca="false">VLOOKUP($A242,VolatilityTable,26)</f>
        <v>-0.01</v>
      </c>
      <c r="AN242" s="1513" t="n">
        <f aca="false">VLOOKUP($A242,VolatilityTable,27)</f>
        <v>0.16</v>
      </c>
      <c r="AO242" s="1514" t="n">
        <f aca="false">VLOOKUP($A242,VolatilityTable,28)</f>
        <v>0.01</v>
      </c>
      <c r="AP242" s="1513" t="n">
        <f aca="false">VLOOKUP($A242,VolatilityTable,26)</f>
        <v>-0.01</v>
      </c>
      <c r="AQ242" s="1513" t="n">
        <f aca="false">VLOOKUP($A242,VolatilityTable,27)</f>
        <v>0.16</v>
      </c>
      <c r="AR242" s="1515" t="n">
        <f aca="false">VLOOKUP($A242,VolatilityTable,28)</f>
        <v>0.01</v>
      </c>
      <c r="AS242" s="1581" t="n">
        <f aca="false">IF(CorrPeakOffPeakOverFlag,INDEX(CorrPeakOffPeakOver,C242),CorrPeakOffPeak)</f>
        <v>0.5</v>
      </c>
      <c r="AT242" s="594" t="e">
        <f aca="false">AX242-SUM(AU242:AW242)</f>
        <v>#VALUE!</v>
      </c>
      <c r="AU242" s="238" t="e">
        <f aca="false">IF(E242="",0,INT((F242-MOD(F242,7)-E242)/7)+1-IF(AW242,IF(WEEKDAY(D242)=7,1,0),0))</f>
        <v>#VALUE!</v>
      </c>
      <c r="AV242" s="238" t="e">
        <f aca="false">IF(E242="",0,INT((F242-MOD(F242-1,7)-E242)/7)+1-IF(AW242,IF(WEEKDAY(D242)=1,1,0),0))</f>
        <v>#VALUE!</v>
      </c>
      <c r="AW242" s="238" t="e">
        <f aca="false">IF(OR(E242="",D242="",D242&lt;BegDate,D242&gt;EndDate),0,1)</f>
        <v>#VALUE!</v>
      </c>
      <c r="AX242" s="238" t="n">
        <f aca="false">IF(E242="",0,F242-E242+1)</f>
        <v>28</v>
      </c>
      <c r="AY242" s="1582" t="n">
        <f aca="false">IF(E242="",0,MIN((1-(1-VLOOKUP(B242,MAIN!$AA$7:$AM$28,C242+1))*(1-VLOOKUP(B242,MAIN!$AA$33:$AM$54,C242+1))),1))</f>
        <v>0.03</v>
      </c>
      <c r="AZ242" s="1519" t="e">
        <v>#VALUE!</v>
      </c>
      <c r="BA242" s="1520" t="e">
        <v>#VALUE!</v>
      </c>
      <c r="BB242" s="1520" t="e">
        <v>#VALUE!</v>
      </c>
      <c r="BC242" s="1583" t="e">
        <v>#VALUE!</v>
      </c>
      <c r="BD242" s="1522" t="e">
        <v>#VALUE!</v>
      </c>
      <c r="BE242" s="1523" t="e">
        <v>#VALUE!</v>
      </c>
      <c r="BF242" s="1523" t="e">
        <v>#VALUE!</v>
      </c>
      <c r="BG242" s="1584" t="e">
        <v>#VALUE!</v>
      </c>
      <c r="BH242" s="1525" t="e">
        <v>#VALUE!</v>
      </c>
      <c r="BI242" s="1520" t="e">
        <v>#VALUE!</v>
      </c>
      <c r="BJ242" s="1520" t="e">
        <v>#VALUE!</v>
      </c>
      <c r="BK242" s="1583" t="e">
        <v>#VALUE!</v>
      </c>
      <c r="BL242" s="1522" t="e">
        <v>#VALUE!</v>
      </c>
      <c r="BM242" s="1523" t="e">
        <v>#VALUE!</v>
      </c>
      <c r="BN242" s="1523" t="e">
        <v>#VALUE!</v>
      </c>
      <c r="BO242" s="1523" t="e">
        <v>#VALUE!</v>
      </c>
      <c r="BP242" s="1525" t="e">
        <f aca="false">SUM(AZ242:BB242)</f>
        <v>#VALUE!</v>
      </c>
      <c r="BQ242" s="1529" t="e">
        <f aca="false">SUM(AZ242:BC242)</f>
        <v>#VALUE!</v>
      </c>
      <c r="BR242" s="1519" t="e">
        <f aca="false">SUM(BH242:BJ242)</f>
        <v>#VALUE!</v>
      </c>
      <c r="BS242" s="1529" t="e">
        <f aca="false">SUM(BH242:BK242)</f>
        <v>#VALUE!</v>
      </c>
      <c r="BT242" s="1316" t="n">
        <f aca="false">(IF(OVolType&lt;&gt;2,A242+14,IF(OptExpDateShift,ShiftBack(A242,OptExpDateShift,D241),A242))-DateToday)/365.25</f>
        <v>18.8008213552361</v>
      </c>
      <c r="BU242" s="1585" t="e">
        <f aca="false">IF(BQ242,IF(OPriceCurve,IF(OBuySell=OCallPut,I242/(1-AY242),K242/(1-AY242)),J242/(1-AY242))*BD242,0)</f>
        <v>#VALUE!</v>
      </c>
      <c r="BV242" s="1316" t="e">
        <f aca="false">IF(BQ242,IF(OPriceCurve,IF(OBuySell=OCallPut,L242/(1-AY242),N242/(1-AY242)),M242/(1-AY242))*BE242,0)</f>
        <v>#VALUE!</v>
      </c>
      <c r="BW242" s="1316" t="e">
        <f aca="false">IF(BQ242,IF(OPriceCurve,IF(OBuySell=OCallPut,O242/(1-AY242),Q242/(1-AY242)),P242/(1-AY242))*BF242,0)</f>
        <v>#VALUE!</v>
      </c>
      <c r="BX242" s="1316" t="e">
        <f aca="false">IF(BQ242,IF(OPriceCurve,IF(OBuySell=OCallPut,R242/(1-AY242),T242/(1-AY242)),S242/(1-AY242))*BG242,0)</f>
        <v>#VALUE!</v>
      </c>
      <c r="BY242" s="1316" t="e">
        <f aca="false">IF(BP242,(BU242*AZ242+BV242*BA242+BW242*BB242)/BP242,0)</f>
        <v>#VALUE!</v>
      </c>
      <c r="BZ242" s="1316" t="e">
        <f aca="false">IF(BQ242,(BY242*BP242+BX242*BC242)/BQ242,0)</f>
        <v>#VALUE!</v>
      </c>
      <c r="CA242" s="1531" t="e">
        <f aca="false">IF(BS242,IF(OPriceCurve,IF(OBuySell=OCallPut,I242/(1-AY242),K242/(1-AY242)),J242/(1-AY242))*BL242,0)</f>
        <v>#VALUE!</v>
      </c>
      <c r="CB242" s="1316" t="e">
        <f aca="false">IF(BS242,IF(OPriceCurve,IF(OBuySell=OCallPut,L242/(1-AY242),N242/(1-AY242)),M242/(1-AY242))*BM242,0)</f>
        <v>#VALUE!</v>
      </c>
      <c r="CC242" s="1316" t="e">
        <f aca="false">IF(BS242,IF(OPriceCurve,IF(OBuySell=OCallPut,O242/(1-AY242),Q242/(1-AY242)),P242/(1-AY242))*BN242,0)</f>
        <v>#VALUE!</v>
      </c>
      <c r="CD242" s="1316" t="e">
        <f aca="false">IF(BS242,IF(OPriceCurve,IF(OBuySell=OCallPut,R242/(1-AY242),T242/(1-AY242)),S242/(1-AY242))*BO242,0)</f>
        <v>#VALUE!</v>
      </c>
      <c r="CE242" s="1316" t="e">
        <f aca="false">IF(BR242,(BU242*BH242+BV242*BI242+BW242*BJ242)/BR242,0)</f>
        <v>#VALUE!</v>
      </c>
      <c r="CF242" s="1532" t="e">
        <f aca="false">IF(BS242,(CE242*BR242+CD242*BK242)/BS242,0)</f>
        <v>#VALUE!</v>
      </c>
      <c r="CG242" s="1586" t="e">
        <f aca="false">IF(OR(BQ242,BS242),IF(OVolType&lt;&gt;2,SQRT(IF(OVolOverMonthlyPeak,OVolOverMonthlyPeak,IF(OVolCurve,IF(OBuySell,U242,W242),V242))^2*(1-15/365.25/BT242)+IF(OVolOverDailyPeak,OVolOverDailyPeak,IF(OVolCurve,IF(OBuySell,AG242,AI242),AH242))^2*15/365.25/BT242),IF(OVolOverMonthlyPeak,OVolOverMonthlyPeak,IF(OVolCurve,IF(OBuySell,U242,W242),V242))),"")</f>
        <v>#VALUE!</v>
      </c>
      <c r="CH242" s="1587" t="e">
        <f aca="false">IF(OR(BQ242,BS242),IF(OVolType&lt;&gt;2,SQRT(IF(OVolOverMonthlyPeak,OVolOverMonthlyPeak,IF(OVolCurve,IF(OBuySell,X242,Z242),Y242))^2*(1-15/365.25/BT242)+IF(OVolOverDailyPeak,OVolOverDailyPeak,IF(OVolCurve,IF(OBuySell,AJ242,AL242),AK242))^2*15/365.25/BT242),IF(OVolOverMonthlyPeak,OVolOverMonthlyPeak,IF(OVolCurve,IF(OBuySell,X242,Z242),Y242))),"")</f>
        <v>#VALUE!</v>
      </c>
      <c r="CI242" s="1587" t="e">
        <f aca="false">IF(OR(BQ242,BS242),IF(OVolType&lt;&gt;2,SQRT(IF(OVolOverMonthlyPeak,OVolOverMonthlyPeak,IF(OVolCurve,IF(OBuySell,AA242,AC242),AB242))^2*(1-15/365.25/BT242)+IF(OVolOverDailyPeak,OVolOverDailyPeak,IF(OVolCurve,IF(OBuySell,AM242,AO242),AN242))^2*15/365.25/BT242),IF(OVolOverMonthlyPeak,OVolOverMonthlyPeak,IF(OVolCurve,IF(OBuySell,AA242,AC242),AB242))),"")</f>
        <v>#VALUE!</v>
      </c>
      <c r="CJ242" s="1587" t="e">
        <f aca="false">IF(BQ242,IF(BP242,SQRT(LN(1+((BU242*AZ242)^2*(EXP(CG242^2*BT242)-1)+(BV242*BA242)^2*(EXP(CH242^2*BT242)-1)+(BW242*BB242)^2*(EXP(CI242^2*BT242)-1)+2*BU242*AZ242*BV242*BA242*(EXP(CG242*CH242*BT242)-1)+2*BV242*BA242*BW242*BB242*(EXP(CH242*CI242*BT242)-1)+2*BW242*BB242*BU242*AZ242*(EXP(CI242*CG242*BT242)-1))/(BY242*BP242)^2)/BT242),0),"")</f>
        <v>#VALUE!</v>
      </c>
      <c r="CK242" s="1587" t="e">
        <f aca="false">IF(BS242,IF(BR242,SQRT(LN(1+((CA242*BH242)^2*(EXP(CG242^2*BT242)-1)+(CB242*BI242)^2*(EXP(CH242^2*BT242)-1)+(CC242*BJ242)^2*(EXP(CI242^2*BT242)-1)+2*CA242*BH242*CB242*BI242*(EXP(CG242*CH242*BT242)-1)+2*CB242*BI242*CC242*BJ242*(EXP(CH242*CI242*BT242)-1)+2*CC242*BJ242*CA242*BH242*(EXP(CI242*CG242*BT242)-1))/(CE242*BR242)^2)/BT242),0),"")</f>
        <v>#VALUE!</v>
      </c>
      <c r="CL242" s="1587" t="e">
        <f aca="false">IF(OR(BQ242,BS242),IF(OVolType&lt;&gt;2,SQRT(IF(OVolOverMonthlyOffPeak,OVolOverMonthlyOffPeak,IF(OVolCurve,IF(OBuySell,AD242,AF242),AE242))^2*(1-15/365.25/BT242)+IF(OVolOverDailyOffPeak,OVolOverDailyOffPeak,IF(OVolCurve,IF(OBuySell,AP242,AR242),AQ242))^2*15/365.25/BT242),IF(OVolOverMonthlyOffPeak,OVolOverMonthlyOffPeak,IF(OVolCurve,IF(OBuySell,AD242,AF242),AE242))),"")</f>
        <v>#VALUE!</v>
      </c>
      <c r="CM242" s="1587" t="e">
        <f aca="false">IF(BQ242,SQRT(LN(1+((BY242*BP242)^2*(EXP(CJ242^2*BT242)-1)+(BX242*BC242)^2*(EXP(CL242^2*BT242)-1)+2*BY242*BP242*BX242*BC242*(EXP(AS242*CJ242*CL242*BT242)-1))/(BY242*BP242+BX242*BC242)^2)/BT242),"")</f>
        <v>#VALUE!</v>
      </c>
      <c r="CN242" s="1588" t="e">
        <f aca="false">IF(BS242,SQRT(LN(1+((CE242*BR242)^2*(EXP(CK242^2*BT242)-1)+(CD242*BK242)^2*(EXP(CL242^2*BT242)-1)+2*CE242*BR242*CD242*BK242*(EXP(AS242*CK242*CL242*BT242)-1))/(CE242*BR242+CD242*BK242)^2)/BT242),"")</f>
        <v>#VALUE!</v>
      </c>
      <c r="CO242" s="1531" t="e">
        <f aca="false">IF(OR(BQ242,BS242),VLOOKUP(A242,GasTable,13)*HeatRatePeak*(1+VLOOKUP($B242,HeatRateDegradation,$C242+1))/1000,0)</f>
        <v>#VALUE!</v>
      </c>
      <c r="CP242" s="1316" t="e">
        <f aca="false">IF(OR(BQ242,BS242),VLOOKUP(A242,GasTable,13)*HeatRatePeak*(1+VLOOKUP($B242,HeatRateDegradation,$C242+1))/1000,0)</f>
        <v>#VALUE!</v>
      </c>
      <c r="CQ242" s="1316" t="e">
        <f aca="false">IF(OR(BQ242,BS242),VLOOKUP(A242,GasTable,13)*IF(EV242,HeatRatePeak,HeatRateOffPeak)*(1+VLOOKUP($B242,HeatRateDegradation,$C242+1))/1000,0)</f>
        <v>#VALUE!</v>
      </c>
      <c r="CR242" s="1316" t="e">
        <f aca="false">IF(OR(BQ242,BS242),VLOOKUP(A242,GasTable,13)*IF(EW242,HeatRatePeak,HeatRateOffPeak)*(1+VLOOKUP($B242,HeatRateDegradation,$C242+1))/1000,0)</f>
        <v>#VALUE!</v>
      </c>
      <c r="CS242" s="1589" t="e">
        <f aca="false">IF(BQ242,(CO242*AZ242+CP242*BA242+CQ242*BB242+CR242*BC242)/BQ242,0)</f>
        <v>#VALUE!</v>
      </c>
      <c r="CT242" s="1316" t="e">
        <f aca="false">IF(BS242,CO242,0)</f>
        <v>#VALUE!</v>
      </c>
      <c r="CU242" s="1590" t="e">
        <f aca="false">IF(OR(BQ242,BS242),VLOOKUP(A242,GasTable,14),"")</f>
        <v>#VALUE!</v>
      </c>
      <c r="CV242" s="1568" t="e">
        <f aca="false">IF(OR(BQ242,BS242),IF(CorrPowerGasOverFlag,INDEX(CorrPowerGasOver,C242),CorrPowerGas),"")</f>
        <v>#VALUE!</v>
      </c>
      <c r="CW242" s="1316" t="e">
        <f aca="false">IF(OR($BQ242,$BS242),SpreadOptPowerMargin,0)*((1+Assumptions!$C$26)^($B242-YEAR(Assumptions!$C$17)))</f>
        <v>#VALUE!</v>
      </c>
      <c r="CX242" s="1316" t="e">
        <f aca="false">IF(OR($BQ242,$BS242),SpreadOptPowerMargin,0)*((1+Assumptions!$C$26)^($B242-YEAR(Assumptions!$C$17)))</f>
        <v>#VALUE!</v>
      </c>
      <c r="CY242" s="1316" t="e">
        <f aca="false">IF(OR($BQ242,$BS242),SpreadOptPowerMargin,0)*((1+Assumptions!$C$26)^($B242-YEAR(Assumptions!$C$17)))</f>
        <v>#VALUE!</v>
      </c>
      <c r="CZ242" s="1316" t="e">
        <f aca="false">IF(OR($BQ242,$BS242),SpreadOptPowerMargin,0)*((1+Assumptions!$C$26)^($B242-YEAR(Assumptions!$C$17)))</f>
        <v>#VALUE!</v>
      </c>
      <c r="DA242" s="1591" t="e">
        <f aca="false">IF(OR(BQ242,BS242),(CW242*(AZ242+BH242)+CX242*(BA242+BI242)+CY242*(BB242+BJ242)+CZ242*(BC242+BK242))/(BQ242+BS242),0)</f>
        <v>#VALUE!</v>
      </c>
      <c r="DB242" s="1592" t="e">
        <f aca="false">IF(OR(BQ242,BS242),CG242+IF(OVolSmile,VLOOKUP(MAX(-5,CO242+CW242-BU242),IF(OVolSmile=1,VolSmileBook,VolSmileModel),2),0),"")</f>
        <v>#VALUE!</v>
      </c>
      <c r="DC242" s="1592" t="e">
        <f aca="false">IF(OR(BQ242,BS242),CH242+IF(OVolSmile,VLOOKUP(MAX(-5,CP242+CW242-BV242),IF(OVolSmile=1,VolSmileBook,VolSmileModel),2),0),"")</f>
        <v>#VALUE!</v>
      </c>
      <c r="DD242" s="1592" t="e">
        <f aca="false">IF(OR(BQ242,BS242),CI242+IF(OVolSmile,VLOOKUP(MAX(-5,CQ242+CW242-BW242),IF(OVolSmile=1,VolSmileBook,VolSmileModel),2),0),"")</f>
        <v>#VALUE!</v>
      </c>
      <c r="DE242" s="1592" t="e">
        <f aca="false">IF(OR(BQ242,BS242),CL242+IF(OVolSmile,VLOOKUP(MAX(-5,CR242+CZ242-BX242),IF(OVolSmile=1,VolSmileBook,VolSmileModel),2),0),"")</f>
        <v>#VALUE!</v>
      </c>
      <c r="DF242" s="1592" t="e">
        <f aca="false">IF(BQ242,CM242+IF(OVolSmile,VLOOKUP(MAX(-5,CS242+DA242-BZ242),IF(OVolSmile=1,VolSmileBook,VolSmileModel),2),0),"")</f>
        <v>#VALUE!</v>
      </c>
      <c r="DG242" s="1593" t="e">
        <f aca="false">IF(BS242,CN242+IF(OVolSmile,VLOOKUP(MAX(-5,CT242+DA242-CF242),IF(OVolSmile=1,VolSmileBook,VolSmileModel),2),0),"")</f>
        <v>#VALUE!</v>
      </c>
      <c r="DH242" s="1316" t="e">
        <f aca="false">IF(AND(BU242&gt;0,CO242&gt;0,DB242&gt;0,CU242&gt;0),newSPRDOPT(BU242,CO242,CW242,0,DB242,CU242,CV242,BT242*365.25,OCallPut,0),0)</f>
        <v>#VALUE!</v>
      </c>
      <c r="DI242" s="1316" t="e">
        <f aca="false">IF(AND(BV242&gt;0,CP242&gt;0,DC242&gt;0,CU242&gt;0),newSPRDOPT(BV242,CP242,CX242,0,DC242,CU242,CV242,BT242*365.25,OCallPut,0),0)</f>
        <v>#VALUE!</v>
      </c>
      <c r="DJ242" s="1316" t="e">
        <f aca="false">IF(AND(BW242&gt;0,CQ242&gt;0,DD242&gt;0,CU242&gt;0),newSPRDOPT(BW242,CQ242,CY242,0,DD242,CU242,CV242,BT242*365.25,OCallPut,0),0)</f>
        <v>#VALUE!</v>
      </c>
      <c r="DK242" s="1316" t="e">
        <f aca="false">IF(AND(BX242&gt;0,CR242&gt;0,DE242&gt;0,CU242&gt;0),newSPRDOPT(BX242,CR242,CZ242,0,DE242,CU242,CV242,BT242*365.25,OCallPut,0),0)</f>
        <v>#VALUE!</v>
      </c>
      <c r="DL242" s="1316" t="e">
        <f aca="false">IF(OVolType,IF(AND(BZ242&gt;0,CS242&gt;0,DF242&gt;0,CU242&gt;0),newSPRDOPT(BZ242,CS242,DA242,0,DF242,CU242,CV242,BT242*365.25,OCallPut,0),0),IF(BQ242,(DH242*AZ242+DI242*BA242+DJ242*BB242+DK242*BC242)/BQ242,0))</f>
        <v>#VALUE!</v>
      </c>
      <c r="DM242" s="1316"/>
      <c r="DN242" s="1316"/>
      <c r="DO242" s="1316"/>
      <c r="DP242" s="1316"/>
      <c r="DQ242" s="1316"/>
      <c r="DR242" s="1316"/>
      <c r="DS242" s="1316"/>
      <c r="DT242" s="1316"/>
      <c r="DU242" s="1316"/>
      <c r="DV242" s="1316"/>
      <c r="DW242" s="1594" t="e">
        <f aca="false">IF(AND(BW242&gt;0,CT242&gt;0,DD242&gt;0,CU242&gt;0),newSPRDOPT(BW242,CT242,CY242,0,DD242,CU242,CV242,BT242*365.25,OCallPut,0),0)</f>
        <v>#VALUE!</v>
      </c>
      <c r="DX242" s="1316" t="e">
        <f aca="false">IF(AND(BX242&gt;0,CT242&gt;0,DE242&gt;0,CU242&gt;0),newSPRDOPT(BX242,CT242,CZ242,0,DE242,CU242,CV242,BT242*365.25,OCallPut,0),0)</f>
        <v>#VALUE!</v>
      </c>
      <c r="DY242" s="1591" t="e">
        <f aca="false">IF(BS242,(DH242*BH242+DI242*BI242+DW242*BJ242+DX242*BK242)/BS242,0)</f>
        <v>#VALUE!</v>
      </c>
      <c r="DZ242" s="1551" t="e">
        <f aca="false">DH242*AZ242</f>
        <v>#VALUE!</v>
      </c>
      <c r="EA242" s="1551" t="e">
        <f aca="false">DI242*BA242</f>
        <v>#VALUE!</v>
      </c>
      <c r="EB242" s="1551" t="e">
        <f aca="false">DJ242*BB242</f>
        <v>#VALUE!</v>
      </c>
      <c r="EC242" s="1551" t="e">
        <f aca="false">DK242*BC242</f>
        <v>#VALUE!</v>
      </c>
      <c r="ED242" s="1551" t="e">
        <f aca="false">DL242*BQ242</f>
        <v>#VALUE!</v>
      </c>
      <c r="EE242" s="1595" t="e">
        <f aca="false">IF(BQ242,IF(OCallPut,IF(BU242&gt;(CO242+CW242),BU242-(CO242+CW242),0),IF((CO242+CW242)&gt;BU242,(CO242+CW242)-BU242,0))*AZ242,0)</f>
        <v>#VALUE!</v>
      </c>
      <c r="EF242" s="1596" t="e">
        <f aca="false">IF(BQ242,IF(OCallPut,IF(BV242&gt;(CP242+CX242),BV242-(CP242+CX242),0),IF((CP242+CX242)&gt;BV242,(CP242+CX242)-BV242,0))*BA242,0)</f>
        <v>#VALUE!</v>
      </c>
      <c r="EG242" s="1596" t="e">
        <f aca="false">IF(BQ242,IF(OCallPut,IF(BW242&gt;(CQ242+CY242),BW242-(CQ242+CY242),0),IF((CQ242+CY242)&gt;BW242,(CQ242+CY242)-BW242,0))*BB242,0)</f>
        <v>#VALUE!</v>
      </c>
      <c r="EH242" s="1596" t="e">
        <f aca="false">IF(BQ242,IF(OCallPut,IF(BX242&gt;(CR242+CZ242),BX242-(CR242+CZ242),0),IF((CR242+CZ242)&gt;BX242,(CR242+CZ242)-BX242,0))*BC242,0)</f>
        <v>#VALUE!</v>
      </c>
      <c r="EI242" s="1597" t="e">
        <f aca="false">IF(BQ242,IF(OVolType,IF(OCallPut,IF(BZ242&gt;(CS242+DA242),BZ242-(CS242+DA242),0),IF((CS242+DA242)&gt;BZ242,(CS242+DA242)-BZ242,0))*BQ242,SUM(EE242:EH242)),0)</f>
        <v>#VALUE!</v>
      </c>
      <c r="EJ242" s="1595" t="e">
        <f aca="false">DZ242-EE242</f>
        <v>#VALUE!</v>
      </c>
      <c r="EK242" s="1596" t="e">
        <f aca="false">EA242-EF242</f>
        <v>#VALUE!</v>
      </c>
      <c r="EL242" s="1596" t="e">
        <f aca="false">EB242-EG242</f>
        <v>#VALUE!</v>
      </c>
      <c r="EM242" s="1596" t="e">
        <f aca="false">EC242-EH242</f>
        <v>#VALUE!</v>
      </c>
      <c r="EN242" s="1597" t="e">
        <f aca="false">ED242-EI242</f>
        <v>#VALUE!</v>
      </c>
      <c r="EO242" s="1551" t="e">
        <f aca="false">DH242*BH242</f>
        <v>#VALUE!</v>
      </c>
      <c r="EP242" s="1551" t="e">
        <f aca="false">DI242*BI242</f>
        <v>#VALUE!</v>
      </c>
      <c r="EQ242" s="1551" t="e">
        <f aca="false">DW242*BJ242</f>
        <v>#VALUE!</v>
      </c>
      <c r="ER242" s="1551" t="e">
        <f aca="false">DX242*BK242</f>
        <v>#VALUE!</v>
      </c>
      <c r="ES242" s="1551" t="e">
        <f aca="false">DY242*BS242</f>
        <v>#VALUE!</v>
      </c>
      <c r="ET242" s="1566" t="e">
        <f aca="false">IF(EI242,IF(OCallPut,IF(CA242&gt;(CT242+CW242),CA242-(CT242+CW242),0),IF((CT242+CW242)&gt;CA242,(CT242+CW242)-CA242,0))*BH242,0)</f>
        <v>#VALUE!</v>
      </c>
      <c r="EU242" s="1551" t="e">
        <f aca="false">IF(EI242,IF(OCallPut,IF(CB242&gt;(CT242+CX242),CB242-(CT242+CX242),0),IF((CT242+CX242)&gt;CB242,(CT242+CX242)-CB242,0))*BI242,0)</f>
        <v>#VALUE!</v>
      </c>
      <c r="EV242" s="1551" t="e">
        <f aca="false">IF(EI242,IF(OCallPut,IF(CC242&gt;(CT242+CY242),CC242-(CT242+CY242),0),IF((CT242+CY242)&gt;CC242,(CT242+CY242)-CC242,0))*BJ242,0)</f>
        <v>#VALUE!</v>
      </c>
      <c r="EW242" s="1551" t="e">
        <f aca="false">IF(EI242,IF(OCallPut,IF(CD242&gt;(CT242+CZ242),CD242-(CT242+CZ242),0),IF((CT242+CZ242)&gt;CD242,(CT242+CZ242)-CD242,0))*BK242,0)</f>
        <v>#VALUE!</v>
      </c>
      <c r="EX242" s="1558" t="e">
        <f aca="false">IF(EI242,SUM(ET242:EW242),0)</f>
        <v>#VALUE!</v>
      </c>
      <c r="EY242" s="1551" t="e">
        <f aca="false">EO242-ET242</f>
        <v>#VALUE!</v>
      </c>
      <c r="EZ242" s="1551" t="e">
        <f aca="false">EP242-EU242</f>
        <v>#VALUE!</v>
      </c>
      <c r="FA242" s="1551" t="e">
        <f aca="false">EQ242-EV242</f>
        <v>#VALUE!</v>
      </c>
      <c r="FB242" s="1551" t="e">
        <f aca="false">ER242-EW242</f>
        <v>#VALUE!</v>
      </c>
      <c r="FC242" s="1551" t="e">
        <f aca="false">ES242-EX242</f>
        <v>#VALUE!</v>
      </c>
      <c r="FD242" s="1525" t="n">
        <f aca="false">IF(AX242,IF(VLOOKUP(C242,MAIN!$L$17:$M$28,2)="Yes",VLOOKUP(CALC!B242,MAIN!$H$17:$I$20,2),0),0)</f>
        <v>0</v>
      </c>
      <c r="FE242" s="1552" t="e">
        <f aca="false">$FD242*16*AT242*(1-$AY242)</f>
        <v>#VALUE!</v>
      </c>
      <c r="FF242" s="1553" t="e">
        <f aca="false">$FD242*16*AU242*(1-$AY242)</f>
        <v>#VALUE!</v>
      </c>
      <c r="FG242" s="1553" t="e">
        <f aca="false">$FD242*16*(AV242+AW242)*(1-$AY242)</f>
        <v>#VALUE!</v>
      </c>
      <c r="FH242" s="1554" t="n">
        <f aca="false">$FD242*8*AX242*(1-$AY242)</f>
        <v>0</v>
      </c>
      <c r="FI242" s="1555" t="n">
        <f aca="false">IF(AX242,VLOOKUP(CALC!B242,MAIN!$H$17:$K$20,4),0)</f>
        <v>0</v>
      </c>
      <c r="FJ242" s="1553" t="e">
        <f aca="false">SUM(FE242:FH242)</f>
        <v>#VALUE!</v>
      </c>
      <c r="FK242" s="1556" t="e">
        <f aca="false">FI242*FJ242</f>
        <v>#VALUE!</v>
      </c>
      <c r="FL242" s="1551" t="e">
        <f aca="false">IF($EI242&gt;0,MIN(FE242,AZ242*(1+VLOOKUP($C242,WeatherCapacityAdjustment,2))),0)</f>
        <v>#VALUE!</v>
      </c>
      <c r="FM242" s="1551" t="e">
        <f aca="false">IF($EI242&gt;0,MIN(FF242,BA242*(1+VLOOKUP($C242,WeatherCapacityAdjustment,2))),0)</f>
        <v>#VALUE!</v>
      </c>
      <c r="FN242" s="1551" t="e">
        <f aca="false">IF($EI242&gt;0,MIN(FG242,BB242*(1+VLOOKUP($C242,WeatherCapacityAdjustment,2))),0)</f>
        <v>#VALUE!</v>
      </c>
      <c r="FO242" s="1564" t="e">
        <f aca="false">IF($EI242&gt;0,MIN(FH242,BC242*(1+VLOOKUP($C242,WeatherCapacityAdjustment,3))),0)</f>
        <v>#VALUE!</v>
      </c>
      <c r="FP242" s="1551" t="e">
        <f aca="false">IF(ET242&gt;0,MIN(FE242-FL242,BH242*(1+VLOOKUP($C242,WeatherCapacityAdjustment,2))),0)</f>
        <v>#VALUE!</v>
      </c>
      <c r="FQ242" s="1551" t="e">
        <f aca="false">IF(EU242&gt;0,MIN(FF242-FM242,BI242*(1+VLOOKUP($C242,WeatherCapacityAdjustment,2))),0)</f>
        <v>#VALUE!</v>
      </c>
      <c r="FR242" s="1551" t="e">
        <f aca="false">IF(EV242&gt;0,MIN(FG242-FN242,BJ242*(1+VLOOKUP($C242,WeatherCapacityAdjustment,2))),0)</f>
        <v>#VALUE!</v>
      </c>
      <c r="FS242" s="1558" t="e">
        <f aca="false">IF(EW242&gt;0,MIN(FH242-FO242,BK242*(1+VLOOKUP($C242,WeatherCapacityAdjustment,3))),0)</f>
        <v>#VALUE!</v>
      </c>
      <c r="FT242" s="1566" t="e">
        <f aca="false">IF(AND(Assumptions!$H$71="Yes",A242&gt;=Assumptions!$H$72,A242&lt;=Assumptions!$H$73),0,IF(AND($A242&gt;=Assumptions!$C$17,$A242&lt;=Assumptions!$C$18),MAX(AZ242*(1+VLOOKUP($C242,WeatherCapacityAdjustment,2))-FL242,0),0))</f>
        <v>#VALUE!</v>
      </c>
      <c r="FU242" s="1551" t="e">
        <f aca="false">IF(AND(Assumptions!$H$71="Yes",A242&gt;=Assumptions!$H$72,A242&lt;=Assumptions!$H$73),0,IF(AND($A242&gt;=Assumptions!$C$17,$A242&lt;=Assumptions!$C$18),MAX(BA242*(1+VLOOKUP($C242,WeatherCapacityAdjustment,2))-FM242,0),0))</f>
        <v>#VALUE!</v>
      </c>
      <c r="FV242" s="1551" t="e">
        <f aca="false">IF(AND(Assumptions!$H$71="Yes",A242&gt;=Assumptions!$H$72,A242&lt;=Assumptions!$H$73),0,IF(AND($A242&gt;=Assumptions!$C$17,$A242&lt;=Assumptions!$C$18),MAX(BB242*(1+VLOOKUP($C242,WeatherCapacityAdjustment,2))-FN242,0),0))</f>
        <v>#VALUE!</v>
      </c>
      <c r="FW242" s="1564" t="e">
        <f aca="false">IF(AND(Assumptions!$H$71="Yes",A242&gt;=Assumptions!$H$72,A242&lt;=Assumptions!$H$73),0,IF(AND($A242&gt;=Assumptions!$C$17,$A242&lt;=Assumptions!$C$18),MAX(BC242*(1+VLOOKUP($C242,WeatherCapacityAdjustment,3))-FO242,0),0))</f>
        <v>#VALUE!</v>
      </c>
      <c r="FX242" s="1569" t="e">
        <f aca="false">IF(AND(Assumptions!$H$71="Yes",A242&gt;=Assumptions!$H$72,A242&lt;=Assumptions!$H$73),0,IF(ET242&gt;0,MAX(BH242*(1+VLOOKUP($C242,WeatherCapacityAdjustment,2))-FP242,0),0))</f>
        <v>#VALUE!</v>
      </c>
      <c r="FY242" s="1551" t="e">
        <f aca="false">IF(AND(Assumptions!$H$71="Yes",A242&gt;=Assumptions!$H$72,A242&lt;=Assumptions!$H$73),0,IF(EU242&gt;0,MAX(BI242*(1+VLOOKUP($C242,WeatherCapacityAdjustment,3))-FQ242,0),0))</f>
        <v>#VALUE!</v>
      </c>
      <c r="FZ242" s="1551" t="e">
        <f aca="false">IF(AND(Assumptions!$H$71="Yes",A242&gt;=Assumptions!$H$72,A242&lt;=Assumptions!$H$73),0,IF(EV242&gt;0,MAX(BJ242*(1+VLOOKUP($C242,WeatherCapacityAdjustment,2))-FR242,0),0))</f>
        <v>#VALUE!</v>
      </c>
      <c r="GA242" s="1564" t="e">
        <f aca="false">IF(AND(Assumptions!$H$71="Yes",A242&gt;=Assumptions!$H$72,A242&lt;=Assumptions!$H$73),0,IF(EW242&gt;0,MAX(BK242*(1+VLOOKUP($C242,WeatherCapacityAdjustment,2))-FS242,0),0))</f>
        <v>#VALUE!</v>
      </c>
      <c r="GB242" s="1551" t="e">
        <f aca="false">SUM(FT242:GA242)</f>
        <v>#VALUE!</v>
      </c>
      <c r="GC242" s="1563" t="e">
        <f aca="false">+IF(SUM(FT242:GA242)=0,0,(SUMPRODUCT(BU242:BX242,FT242:FW242)+SUMPRODUCT(CA242:CD242,FX242:GA242))/SUM(FT242:GA242))</f>
        <v>#VALUE!</v>
      </c>
      <c r="GD242" s="1551" t="e">
        <f aca="false">(FT242*BU242+FX242*CA242+FU242*BV242+FY242*CB242+FV242*BW242+FZ242*CC242+FW242*BX242+GA242*CD242)</f>
        <v>#VALUE!</v>
      </c>
      <c r="GE242" s="1561" t="e">
        <f aca="false">+IF(BQ242,((FL242+FM242+FT242+FU242)*HeatRatePeak/1000*(1+VLOOKUP($C242,WeatherHeatRateAdjustment,2))+(FN242+FV242)*IF(EV242&gt;0,HeatRatePeak,HeatRateOffPeak)/1000*(1+VLOOKUP($C242,WeatherHeatRateAdjustment,2))+(FO242+FW242)*IF(EW242&gt;0,HeatRatePeak,HeatRateOffPeak)/1000*(1+VLOOKUP($C242,WeatherHeatRateAdjustment,3)))*(1+VLOOKUP($B242,HeatRateDegradation,$C242+1)),0)</f>
        <v>#VALUE!</v>
      </c>
      <c r="GF242" s="1562" t="e">
        <f aca="false">IF(BQ242,((FP242+FQ242+FR242+FX242+FY242+FZ242)*HeatRatePeak/1000*(1+VLOOKUP($C242,WeatherHeatRateAdjustment,2))+(FS242+GA242)*HeatRatePeak/1000*(1+VLOOKUP($C242,WeatherHeatRateAdjustment,3)))*(1+VLOOKUP($B242,HeatRateDegradation,$C242+1)),0)</f>
        <v>#VALUE!</v>
      </c>
      <c r="GG242" s="1563" t="e">
        <f aca="false">IF(BQ242,VLOOKUP(A242,GasTable,13),0)</f>
        <v>#VALUE!</v>
      </c>
      <c r="GH242" s="1564" t="e">
        <f aca="false">(GE242+GF242)*GG242</f>
        <v>#VALUE!</v>
      </c>
      <c r="GI242" s="1569" t="e">
        <f aca="false">GB242</f>
        <v>#VALUE!</v>
      </c>
      <c r="GJ242" s="1598" t="e">
        <f aca="false">+DA242</f>
        <v>#VALUE!</v>
      </c>
      <c r="GK242" s="1558" t="e">
        <f aca="false">+GI242*GJ242</f>
        <v>#VALUE!</v>
      </c>
      <c r="GL242" s="1566" t="e">
        <f aca="false">MAX(FE242-FL242-FP242,0)</f>
        <v>#VALUE!</v>
      </c>
      <c r="GM242" s="1551" t="e">
        <f aca="false">MAX(FF242-FM242-FQ242,0)</f>
        <v>#VALUE!</v>
      </c>
      <c r="GN242" s="1551" t="e">
        <f aca="false">MAX(FG242-FN242-FR242,0)</f>
        <v>#VALUE!</v>
      </c>
      <c r="GO242" s="1564" t="e">
        <f aca="false">MAX(FH242-FO242-FS242,0)</f>
        <v>#VALUE!</v>
      </c>
      <c r="GP242" s="1551" t="e">
        <f aca="false">SUM(GL242:GO242)</f>
        <v>#VALUE!</v>
      </c>
      <c r="GQ242" s="1563" t="e">
        <f aca="false">IF(SUM(GL242:GO242)=0,0,((GL242*BU242+GM242*BV242+GN242*BW242+GO242*BX242)/SUM(GL242:GO242)))</f>
        <v>#VALUE!</v>
      </c>
      <c r="GR242" s="1558" t="e">
        <f aca="false">(GL242*BU242+GM242*BV242+GN242*BW242+GO242*BX242)</f>
        <v>#VALUE!</v>
      </c>
      <c r="GS242" s="1566" t="n">
        <f aca="false">IF($A242&gt;=BegDate,Assumptions!$C$56*24*($A243-$A242)*(1-VLOOKUP($B242,MAIN!$AA$7:$AM$28,$C242+1))*(1-VLOOKUP($B242,MAIN!$AA$33:$AM$54,$C242+1)),0)*80/168</f>
        <v>232800</v>
      </c>
      <c r="GT242" s="286" t="n">
        <f aca="false">J242</f>
        <v>54.0256966520762</v>
      </c>
      <c r="GU242" s="286" t="n">
        <f aca="false">IF($A242&gt;=BegDate,VLOOKUP($A242,GasTable,13)+Assumptions!$C$58,0)</f>
        <v>3.79415735978535</v>
      </c>
      <c r="GV242" s="286" t="n">
        <f aca="false">GU242*Assumptions!$C$57/1000</f>
        <v>27.5076408584438</v>
      </c>
      <c r="GW242" s="1558" t="n">
        <f aca="false">IF(Assumptions!$C$60="Hourly",MAX(0,GS242*(GT242-GV242)),GS242*(GT242-GV242))</f>
        <v>6173403.38875761</v>
      </c>
      <c r="GX242" s="1566" t="n">
        <f aca="false">IF($A242&gt;=BegDate,Assumptions!$C$56*24*($A243-$A242)*(1-VLOOKUP($B242,MAIN!$AA$7:$AM$28,$C242+1))*(1-VLOOKUP($B242,MAIN!$AA$33:$AM$54,$C242+1)),0)*16/168</f>
        <v>46560</v>
      </c>
      <c r="GY242" s="286" t="n">
        <f aca="false">M242</f>
        <v>54.0256966520762</v>
      </c>
      <c r="GZ242" s="286" t="n">
        <f aca="false">IF($A242&gt;=BegDate,VLOOKUP($A242,GasTable,13)+Assumptions!$C$58,0)</f>
        <v>3.79415735978535</v>
      </c>
      <c r="HA242" s="286" t="n">
        <f aca="false">GZ242*Assumptions!$C$57/1000</f>
        <v>27.5076408584438</v>
      </c>
      <c r="HB242" s="1558" t="n">
        <f aca="false">IF(Assumptions!$C$60="Hourly",MAX(0,GX242*(GY242-HA242)),GX242*(GY242-HA242))</f>
        <v>1234680.67775152</v>
      </c>
      <c r="HC242" s="1566" t="n">
        <f aca="false">IF($A242&gt;=BegDate,Assumptions!$C$56*24*($A243-$A242)*(1-VLOOKUP($B242,MAIN!$AA$7:$AM$28,$C242+1))*(1-VLOOKUP($B242,MAIN!$AA$33:$AM$54,$C242+1)),0)*16/168</f>
        <v>46560</v>
      </c>
      <c r="HD242" s="286" t="n">
        <f aca="false">P242</f>
        <v>29.8682710647512</v>
      </c>
      <c r="HE242" s="286" t="n">
        <f aca="false">IF($A242&gt;=BegDate,VLOOKUP($A242,GasTable,13)+Assumptions!$C$58,0)</f>
        <v>3.79415735978535</v>
      </c>
      <c r="HF242" s="286" t="n">
        <f aca="false">HE242*Assumptions!$C$57/1000</f>
        <v>27.5076408584438</v>
      </c>
      <c r="HG242" s="1558" t="n">
        <f aca="false">IF(Assumptions!$C$60="Hourly",MAX(0,HC242*(HD242-HF242)),HC242*(HD242-HF242))</f>
        <v>109910.942405672</v>
      </c>
      <c r="HH242" s="1566" t="n">
        <f aca="false">IF($A242&gt;=BegDate,Assumptions!$C$56*24*($A243-$A242)*(1-VLOOKUP($B242,MAIN!$AA$7:$AM$28,$C242+1))*(1-VLOOKUP($B242,MAIN!$AA$33:$AM$54,$C242+1)),0)*56/168</f>
        <v>162960</v>
      </c>
      <c r="HI242" s="286" t="n">
        <f aca="false">S242</f>
        <v>29.8682710647512</v>
      </c>
      <c r="HJ242" s="286" t="n">
        <f aca="false">IF($A242&gt;=BegDate,VLOOKUP($A242,GasTable,13)+Assumptions!$C$58,0)</f>
        <v>3.79415735978535</v>
      </c>
      <c r="HK242" s="286" t="n">
        <f aca="false">HJ242*Assumptions!$C$57/1000</f>
        <v>27.5076408584438</v>
      </c>
      <c r="HL242" s="1558" t="n">
        <f aca="false">IF(Assumptions!$C$60="Hourly",MAX(0,HH242*(HI242-HK242)),HH242*(HI242-HK242))</f>
        <v>384688.298419851</v>
      </c>
      <c r="HM242" s="1566" t="n">
        <f aca="false">IF(AND(Assumptions!$H$71="Yes",A242&gt;=Assumptions!$H$72,A242&lt;=Assumptions!$H$73),Assumptions!$H$74*Assumptions!$C$9*1000,0)</f>
        <v>0</v>
      </c>
      <c r="HN242" s="1551"/>
      <c r="HO242" s="1563"/>
      <c r="HP242" s="1563"/>
      <c r="HQ242" s="1563"/>
      <c r="HR242" s="1563"/>
      <c r="HS242" s="1563"/>
      <c r="HT242" s="1563"/>
      <c r="HU242" s="1563"/>
      <c r="HV242" s="1563"/>
      <c r="HW242" s="1563"/>
      <c r="HX242" s="1563"/>
      <c r="HY242" s="1563"/>
      <c r="HZ242" s="1563"/>
      <c r="IA242" s="1563"/>
      <c r="IB242" s="1563"/>
      <c r="IC242" s="1563"/>
      <c r="ID242" s="1563"/>
      <c r="IE242" s="1563"/>
      <c r="IF242" s="1563"/>
      <c r="IG242" s="1563"/>
      <c r="IH242" s="1563"/>
      <c r="II242" s="1610"/>
      <c r="IJ242" s="1309"/>
      <c r="IK242" s="1309"/>
    </row>
    <row r="243" customFormat="false" ht="12.75" hidden="false" customHeight="false" outlineLevel="0" collapsed="false">
      <c r="A243" s="1571" t="n">
        <f aca="false">EOMONTH(A242,0)+1</f>
        <v>43525</v>
      </c>
      <c r="B243" s="594" t="n">
        <f aca="false">+YEAR(A243)</f>
        <v>2019</v>
      </c>
      <c r="C243" s="238" t="n">
        <f aca="false">MONTH(A243)</f>
        <v>3</v>
      </c>
      <c r="D243" s="1572" t="e">
        <f aca="false">IF(E243="","",Holiday(B243,C243))</f>
        <v>#VALUE!</v>
      </c>
      <c r="E243" s="1573" t="n">
        <f aca="false">IF(OR(BegDate&gt;=A244,EndDate&lt;A243,AND(VolumeMonthlyOverFlag,INDEX(VolumeMonthlyOver,C243)=0),NOT(INDEX(MonthKnockOutTable,C243))),"",MAX(A243,BegDate))</f>
        <v>43525</v>
      </c>
      <c r="F243" s="1574" t="n">
        <f aca="false">IF(E243="","",MIN(A244-1,EndDate))</f>
        <v>43555</v>
      </c>
      <c r="G243" s="1575" t="n">
        <v>0</v>
      </c>
      <c r="H243" s="1576" t="n">
        <f aca="false">(1+G243/2)^(-2*(DATE(B244,C244,20)-DateToday)/365.25)</f>
        <v>1</v>
      </c>
      <c r="I243" s="1568" t="n">
        <f aca="false">IF(Assumptions!$L$25=4,VLOOKUP($A243,'Henwood Reference'!$E$9:$R$320,10),(VLOOKUP($A243,PriceTable,2,0)+IF(BasisNumber&lt;&gt;1,VLOOKUP($A243,BasisTable,2,0),0)+I$1)/(1-I$2))</f>
        <v>43.742940671906</v>
      </c>
      <c r="J243" s="1568" t="n">
        <f aca="false">IF(Assumptions!$L$25=4,VLOOKUP($A243,'Henwood Reference'!$E$9:$R$320,10),(VLOOKUP($A243,PriceTable,3,0)+IF(BasisNumber&lt;&gt;1,VLOOKUP($A243,BasisTable,2,0),0)+J$1)/(1-J$2))</f>
        <v>43.742940671906</v>
      </c>
      <c r="K243" s="1568" t="n">
        <f aca="false">IF(Assumptions!$L$25=4,VLOOKUP($A243,'Henwood Reference'!$E$9:$R$320,10),(VLOOKUP($A243,PriceTable,4,0)+IF(BasisNumber&lt;&gt;1,VLOOKUP($A243,BasisTable,2,0),0)+K$1)/(1-K$2))</f>
        <v>43.742940671906</v>
      </c>
      <c r="L243" s="1523" t="n">
        <f aca="false">IF(Assumptions!$L$25=4,VLOOKUP($A243,'Henwood Reference'!$E$9:$R$320,10),(VLOOKUP($A243,PriceTableWeekend,2,0)+IF(BasisNumber&lt;&gt;1,VLOOKUP($A243,BasisTable,2,0),0)+L$1)/(1-L$2))</f>
        <v>43.742940671906</v>
      </c>
      <c r="M243" s="1568" t="n">
        <f aca="false">IF(Assumptions!$L$25=4,VLOOKUP($A243,'Henwood Reference'!$E$9:$R$320,10),(VLOOKUP($A243,PriceTableWeekend,3,0)+IF(BasisNumber&lt;&gt;1,VLOOKUP($A243,BasisTable,2,0),0)+M$1)/(1-M$2))</f>
        <v>43.742940671906</v>
      </c>
      <c r="N243" s="1599" t="n">
        <f aca="false">IF(Assumptions!$L$25=4,VLOOKUP($A243,'Henwood Reference'!$E$9:$R$320,10),(VLOOKUP($A243,PriceTableWeekend,4,0)+IF(BasisNumber&lt;&gt;1,VLOOKUP($A243,BasisTable,2,0),0)+N$1)/(1-N$2))</f>
        <v>43.742940671906</v>
      </c>
      <c r="O243" s="1568" t="n">
        <f aca="false">IF(Assumptions!$L$25=4,VLOOKUP($A243,'Henwood Reference'!$E$9:$R$320,11),(VLOOKUP($A243,PriceTableWeekend,6,0)+IF(BasisNumber&lt;&gt;1,VLOOKUP($A243,BasisTable,3,0),0)+O$1)/(1-O$2))</f>
        <v>29.060760631819</v>
      </c>
      <c r="P243" s="1568" t="n">
        <f aca="false">IF(Assumptions!$L$25=4,VLOOKUP($A243,'Henwood Reference'!$E$9:$R$320,11),(VLOOKUP($A243,PriceTableWeekend,7,0)+IF(BasisNumber&lt;&gt;1,VLOOKUP($A243,BasisTable,3,0),0)+P$1)/(1-P$2))</f>
        <v>29.060760631819</v>
      </c>
      <c r="Q243" s="1599" t="n">
        <f aca="false">IF(Assumptions!$L$25=4,VLOOKUP($A243,'Henwood Reference'!$E$9:$R$320,11),(VLOOKUP($A243,PriceTableWeekend,8,0)+IF(BasisNumber&lt;&gt;1,VLOOKUP($A243,BasisTable,3,0),0)+Q$1)/(1-Q$2))</f>
        <v>29.060760631819</v>
      </c>
      <c r="R243" s="1568" t="n">
        <f aca="false">IF(Assumptions!$L$25=4,VLOOKUP($A243,'Henwood Reference'!$E$9:$R$320,11),(VLOOKUP($A243,PriceTable,6,0)+IF(BasisNumber&lt;&gt;1,VLOOKUP($A243,BasisTable,3,0),0)+R$1)/(1-R$2))</f>
        <v>29.060760631819</v>
      </c>
      <c r="S243" s="1568" t="n">
        <f aca="false">IF(Assumptions!$L$25=4,VLOOKUP($A243,'Henwood Reference'!$E$9:$R$320,11),(VLOOKUP($A243,PriceTable,7,0)+IF(BasisNumber&lt;&gt;1,VLOOKUP($A243,BasisTable,3,0),0)+S$1)/(1-S$2))</f>
        <v>29.060760631819</v>
      </c>
      <c r="T243" s="1600" t="n">
        <f aca="false">IF(Assumptions!$L$25=4,VLOOKUP($A243,'Henwood Reference'!$E$9:$R$320,11),(VLOOKUP($A243,PriceTable,8,0)+IF(BasisNumber&lt;&gt;1,VLOOKUP($A243,BasisTable,3,0),0)+T$1)/(1-T$2))</f>
        <v>29.060760631819</v>
      </c>
      <c r="U243" s="1513" t="n">
        <f aca="false">VLOOKUP($A243,VolatilityTable,14)</f>
        <v>0.09</v>
      </c>
      <c r="V243" s="1513" t="n">
        <f aca="false">VLOOKUP($A243,VolatilityTable,15)</f>
        <v>0.1</v>
      </c>
      <c r="W243" s="1514" t="n">
        <f aca="false">VLOOKUP($A243,VolatilityTable,16)</f>
        <v>0.11</v>
      </c>
      <c r="X243" s="1513" t="n">
        <f aca="false">VLOOKUP($A243,VolatilityTable,14)</f>
        <v>0.09</v>
      </c>
      <c r="Y243" s="1513" t="n">
        <f aca="false">VLOOKUP($A243,VolatilityTable,15)</f>
        <v>0.1</v>
      </c>
      <c r="Z243" s="1514" t="n">
        <f aca="false">VLOOKUP($A243,VolatilityTable,16)</f>
        <v>0.11</v>
      </c>
      <c r="AA243" s="1513" t="n">
        <f aca="false">VLOOKUP($A243,VolatilityTable,18)</f>
        <v>0.09</v>
      </c>
      <c r="AB243" s="1513" t="n">
        <f aca="false">VLOOKUP($A243,VolatilityTable,19)</f>
        <v>0.11</v>
      </c>
      <c r="AC243" s="1514" t="n">
        <f aca="false">VLOOKUP($A243,VolatilityTable,20)</f>
        <v>0.13</v>
      </c>
      <c r="AD243" s="1513" t="n">
        <f aca="false">VLOOKUP($A243,VolatilityTable,18)</f>
        <v>0.09</v>
      </c>
      <c r="AE243" s="1513" t="n">
        <f aca="false">VLOOKUP($A243,VolatilityTable,19)</f>
        <v>0.11</v>
      </c>
      <c r="AF243" s="1514" t="n">
        <f aca="false">VLOOKUP($A243,VolatilityTable,20)</f>
        <v>0.13</v>
      </c>
      <c r="AG243" s="1513" t="n">
        <f aca="false">VLOOKUP($A243,VolatilityTable,22)</f>
        <v>-0.1</v>
      </c>
      <c r="AH243" s="1513" t="n">
        <f aca="false">VLOOKUP($A243,VolatilityTable,23)</f>
        <v>0.65</v>
      </c>
      <c r="AI243" s="1514" t="n">
        <f aca="false">VLOOKUP($A243,VolatilityTable,24)</f>
        <v>0.1</v>
      </c>
      <c r="AJ243" s="1513" t="n">
        <f aca="false">VLOOKUP($A243,VolatilityTable,22)</f>
        <v>-0.1</v>
      </c>
      <c r="AK243" s="1513" t="n">
        <f aca="false">VLOOKUP($A243,VolatilityTable,23)</f>
        <v>0.65</v>
      </c>
      <c r="AL243" s="1514" t="n">
        <f aca="false">VLOOKUP($A243,VolatilityTable,24)</f>
        <v>0.1</v>
      </c>
      <c r="AM243" s="1513" t="n">
        <f aca="false">VLOOKUP($A243,VolatilityTable,26)</f>
        <v>-0.01</v>
      </c>
      <c r="AN243" s="1513" t="n">
        <f aca="false">VLOOKUP($A243,VolatilityTable,27)</f>
        <v>0.16</v>
      </c>
      <c r="AO243" s="1514" t="n">
        <f aca="false">VLOOKUP($A243,VolatilityTable,28)</f>
        <v>0.01</v>
      </c>
      <c r="AP243" s="1513" t="n">
        <f aca="false">VLOOKUP($A243,VolatilityTable,26)</f>
        <v>-0.01</v>
      </c>
      <c r="AQ243" s="1513" t="n">
        <f aca="false">VLOOKUP($A243,VolatilityTable,27)</f>
        <v>0.16</v>
      </c>
      <c r="AR243" s="1515" t="n">
        <f aca="false">VLOOKUP($A243,VolatilityTable,28)</f>
        <v>0.01</v>
      </c>
      <c r="AS243" s="1581" t="n">
        <f aca="false">IF(CorrPeakOffPeakOverFlag,INDEX(CorrPeakOffPeakOver,C243),CorrPeakOffPeak)</f>
        <v>0.5</v>
      </c>
      <c r="AT243" s="594" t="e">
        <f aca="false">AX243-SUM(AU243:AW243)</f>
        <v>#VALUE!</v>
      </c>
      <c r="AU243" s="238" t="e">
        <f aca="false">IF(E243="",0,INT((F243-MOD(F243,7)-E243)/7)+1-IF(AW243,IF(WEEKDAY(D243)=7,1,0),0))</f>
        <v>#VALUE!</v>
      </c>
      <c r="AV243" s="238" t="e">
        <f aca="false">IF(E243="",0,INT((F243-MOD(F243-1,7)-E243)/7)+1-IF(AW243,IF(WEEKDAY(D243)=1,1,0),0))</f>
        <v>#VALUE!</v>
      </c>
      <c r="AW243" s="238" t="e">
        <f aca="false">IF(OR(E243="",D243="",D243&lt;BegDate,D243&gt;EndDate),0,1)</f>
        <v>#VALUE!</v>
      </c>
      <c r="AX243" s="238" t="n">
        <f aca="false">IF(E243="",0,F243-E243+1)</f>
        <v>31</v>
      </c>
      <c r="AY243" s="1582" t="n">
        <f aca="false">IF(E243="",0,MIN((1-(1-VLOOKUP(B243,MAIN!$AA$7:$AM$28,C243+1))*(1-VLOOKUP(B243,MAIN!$AA$33:$AM$54,C243+1))),1))</f>
        <v>0.03</v>
      </c>
      <c r="AZ243" s="1519" t="e">
        <v>#VALUE!</v>
      </c>
      <c r="BA243" s="1520" t="e">
        <v>#VALUE!</v>
      </c>
      <c r="BB243" s="1520" t="e">
        <v>#VALUE!</v>
      </c>
      <c r="BC243" s="1583" t="e">
        <v>#VALUE!</v>
      </c>
      <c r="BD243" s="1522" t="e">
        <v>#VALUE!</v>
      </c>
      <c r="BE243" s="1523" t="e">
        <v>#VALUE!</v>
      </c>
      <c r="BF243" s="1523" t="e">
        <v>#VALUE!</v>
      </c>
      <c r="BG243" s="1584" t="e">
        <v>#VALUE!</v>
      </c>
      <c r="BH243" s="1525" t="e">
        <v>#VALUE!</v>
      </c>
      <c r="BI243" s="1520" t="e">
        <v>#VALUE!</v>
      </c>
      <c r="BJ243" s="1520" t="e">
        <v>#VALUE!</v>
      </c>
      <c r="BK243" s="1583" t="e">
        <v>#VALUE!</v>
      </c>
      <c r="BL243" s="1522" t="e">
        <v>#VALUE!</v>
      </c>
      <c r="BM243" s="1523" t="e">
        <v>#VALUE!</v>
      </c>
      <c r="BN243" s="1523" t="e">
        <v>#VALUE!</v>
      </c>
      <c r="BO243" s="1523" t="e">
        <v>#VALUE!</v>
      </c>
      <c r="BP243" s="1525" t="e">
        <f aca="false">SUM(AZ243:BB243)</f>
        <v>#VALUE!</v>
      </c>
      <c r="BQ243" s="1529" t="e">
        <f aca="false">SUM(AZ243:BC243)</f>
        <v>#VALUE!</v>
      </c>
      <c r="BR243" s="1519" t="e">
        <f aca="false">SUM(BH243:BJ243)</f>
        <v>#VALUE!</v>
      </c>
      <c r="BS243" s="1529" t="e">
        <f aca="false">SUM(BH243:BK243)</f>
        <v>#VALUE!</v>
      </c>
      <c r="BT243" s="1316" t="n">
        <f aca="false">(IF(OVolType&lt;&gt;2,A243+14,IF(OptExpDateShift,ShiftBack(A243,OptExpDateShift,D242),A243))-DateToday)/365.25</f>
        <v>18.8774811772758</v>
      </c>
      <c r="BU243" s="1585" t="e">
        <f aca="false">IF(BQ243,IF(OPriceCurve,IF(OBuySell=OCallPut,I243/(1-AY243),K243/(1-AY243)),J243/(1-AY243))*BD243,0)</f>
        <v>#VALUE!</v>
      </c>
      <c r="BV243" s="1316" t="e">
        <f aca="false">IF(BQ243,IF(OPriceCurve,IF(OBuySell=OCallPut,L243/(1-AY243),N243/(1-AY243)),M243/(1-AY243))*BE243,0)</f>
        <v>#VALUE!</v>
      </c>
      <c r="BW243" s="1316" t="e">
        <f aca="false">IF(BQ243,IF(OPriceCurve,IF(OBuySell=OCallPut,O243/(1-AY243),Q243/(1-AY243)),P243/(1-AY243))*BF243,0)</f>
        <v>#VALUE!</v>
      </c>
      <c r="BX243" s="1316" t="e">
        <f aca="false">IF(BQ243,IF(OPriceCurve,IF(OBuySell=OCallPut,R243/(1-AY243),T243/(1-AY243)),S243/(1-AY243))*BG243,0)</f>
        <v>#VALUE!</v>
      </c>
      <c r="BY243" s="1316" t="e">
        <f aca="false">IF(BP243,(BU243*AZ243+BV243*BA243+BW243*BB243)/BP243,0)</f>
        <v>#VALUE!</v>
      </c>
      <c r="BZ243" s="1316" t="e">
        <f aca="false">IF(BQ243,(BY243*BP243+BX243*BC243)/BQ243,0)</f>
        <v>#VALUE!</v>
      </c>
      <c r="CA243" s="1531" t="e">
        <f aca="false">IF(BS243,IF(OPriceCurve,IF(OBuySell=OCallPut,I243/(1-AY243),K243/(1-AY243)),J243/(1-AY243))*BL243,0)</f>
        <v>#VALUE!</v>
      </c>
      <c r="CB243" s="1316" t="e">
        <f aca="false">IF(BS243,IF(OPriceCurve,IF(OBuySell=OCallPut,L243/(1-AY243),N243/(1-AY243)),M243/(1-AY243))*BM243,0)</f>
        <v>#VALUE!</v>
      </c>
      <c r="CC243" s="1316" t="e">
        <f aca="false">IF(BS243,IF(OPriceCurve,IF(OBuySell=OCallPut,O243/(1-AY243),Q243/(1-AY243)),P243/(1-AY243))*BN243,0)</f>
        <v>#VALUE!</v>
      </c>
      <c r="CD243" s="1316" t="e">
        <f aca="false">IF(BS243,IF(OPriceCurve,IF(OBuySell=OCallPut,R243/(1-AY243),T243/(1-AY243)),S243/(1-AY243))*BO243,0)</f>
        <v>#VALUE!</v>
      </c>
      <c r="CE243" s="1316" t="e">
        <f aca="false">IF(BR243,(BU243*BH243+BV243*BI243+BW243*BJ243)/BR243,0)</f>
        <v>#VALUE!</v>
      </c>
      <c r="CF243" s="1532" t="e">
        <f aca="false">IF(BS243,(CE243*BR243+CD243*BK243)/BS243,0)</f>
        <v>#VALUE!</v>
      </c>
      <c r="CG243" s="1586" t="e">
        <f aca="false">IF(OR(BQ243,BS243),IF(OVolType&lt;&gt;2,SQRT(IF(OVolOverMonthlyPeak,OVolOverMonthlyPeak,IF(OVolCurve,IF(OBuySell,U243,W243),V243))^2*(1-15/365.25/BT243)+IF(OVolOverDailyPeak,OVolOverDailyPeak,IF(OVolCurve,IF(OBuySell,AG243,AI243),AH243))^2*15/365.25/BT243),IF(OVolOverMonthlyPeak,OVolOverMonthlyPeak,IF(OVolCurve,IF(OBuySell,U243,W243),V243))),"")</f>
        <v>#VALUE!</v>
      </c>
      <c r="CH243" s="1587" t="e">
        <f aca="false">IF(OR(BQ243,BS243),IF(OVolType&lt;&gt;2,SQRT(IF(OVolOverMonthlyPeak,OVolOverMonthlyPeak,IF(OVolCurve,IF(OBuySell,X243,Z243),Y243))^2*(1-15/365.25/BT243)+IF(OVolOverDailyPeak,OVolOverDailyPeak,IF(OVolCurve,IF(OBuySell,AJ243,AL243),AK243))^2*15/365.25/BT243),IF(OVolOverMonthlyPeak,OVolOverMonthlyPeak,IF(OVolCurve,IF(OBuySell,X243,Z243),Y243))),"")</f>
        <v>#VALUE!</v>
      </c>
      <c r="CI243" s="1587" t="e">
        <f aca="false">IF(OR(BQ243,BS243),IF(OVolType&lt;&gt;2,SQRT(IF(OVolOverMonthlyPeak,OVolOverMonthlyPeak,IF(OVolCurve,IF(OBuySell,AA243,AC243),AB243))^2*(1-15/365.25/BT243)+IF(OVolOverDailyPeak,OVolOverDailyPeak,IF(OVolCurve,IF(OBuySell,AM243,AO243),AN243))^2*15/365.25/BT243),IF(OVolOverMonthlyPeak,OVolOverMonthlyPeak,IF(OVolCurve,IF(OBuySell,AA243,AC243),AB243))),"")</f>
        <v>#VALUE!</v>
      </c>
      <c r="CJ243" s="1587" t="e">
        <f aca="false">IF(BQ243,IF(BP243,SQRT(LN(1+((BU243*AZ243)^2*(EXP(CG243^2*BT243)-1)+(BV243*BA243)^2*(EXP(CH243^2*BT243)-1)+(BW243*BB243)^2*(EXP(CI243^2*BT243)-1)+2*BU243*AZ243*BV243*BA243*(EXP(CG243*CH243*BT243)-1)+2*BV243*BA243*BW243*BB243*(EXP(CH243*CI243*BT243)-1)+2*BW243*BB243*BU243*AZ243*(EXP(CI243*CG243*BT243)-1))/(BY243*BP243)^2)/BT243),0),"")</f>
        <v>#VALUE!</v>
      </c>
      <c r="CK243" s="1587" t="e">
        <f aca="false">IF(BS243,IF(BR243,SQRT(LN(1+((CA243*BH243)^2*(EXP(CG243^2*BT243)-1)+(CB243*BI243)^2*(EXP(CH243^2*BT243)-1)+(CC243*BJ243)^2*(EXP(CI243^2*BT243)-1)+2*CA243*BH243*CB243*BI243*(EXP(CG243*CH243*BT243)-1)+2*CB243*BI243*CC243*BJ243*(EXP(CH243*CI243*BT243)-1)+2*CC243*BJ243*CA243*BH243*(EXP(CI243*CG243*BT243)-1))/(CE243*BR243)^2)/BT243),0),"")</f>
        <v>#VALUE!</v>
      </c>
      <c r="CL243" s="1587" t="e">
        <f aca="false">IF(OR(BQ243,BS243),IF(OVolType&lt;&gt;2,SQRT(IF(OVolOverMonthlyOffPeak,OVolOverMonthlyOffPeak,IF(OVolCurve,IF(OBuySell,AD243,AF243),AE243))^2*(1-15/365.25/BT243)+IF(OVolOverDailyOffPeak,OVolOverDailyOffPeak,IF(OVolCurve,IF(OBuySell,AP243,AR243),AQ243))^2*15/365.25/BT243),IF(OVolOverMonthlyOffPeak,OVolOverMonthlyOffPeak,IF(OVolCurve,IF(OBuySell,AD243,AF243),AE243))),"")</f>
        <v>#VALUE!</v>
      </c>
      <c r="CM243" s="1587" t="e">
        <f aca="false">IF(BQ243,SQRT(LN(1+((BY243*BP243)^2*(EXP(CJ243^2*BT243)-1)+(BX243*BC243)^2*(EXP(CL243^2*BT243)-1)+2*BY243*BP243*BX243*BC243*(EXP(AS243*CJ243*CL243*BT243)-1))/(BY243*BP243+BX243*BC243)^2)/BT243),"")</f>
        <v>#VALUE!</v>
      </c>
      <c r="CN243" s="1588" t="e">
        <f aca="false">IF(BS243,SQRT(LN(1+((CE243*BR243)^2*(EXP(CK243^2*BT243)-1)+(CD243*BK243)^2*(EXP(CL243^2*BT243)-1)+2*CE243*BR243*CD243*BK243*(EXP(AS243*CK243*CL243*BT243)-1))/(CE243*BR243+CD243*BK243)^2)/BT243),"")</f>
        <v>#VALUE!</v>
      </c>
      <c r="CO243" s="1531" t="e">
        <f aca="false">IF(OR(BQ243,BS243),VLOOKUP(A243,GasTable,13)*HeatRatePeak*(1+VLOOKUP($B243,HeatRateDegradation,$C243+1))/1000,0)</f>
        <v>#VALUE!</v>
      </c>
      <c r="CP243" s="1316" t="e">
        <f aca="false">IF(OR(BQ243,BS243),VLOOKUP(A243,GasTable,13)*HeatRatePeak*(1+VLOOKUP($B243,HeatRateDegradation,$C243+1))/1000,0)</f>
        <v>#VALUE!</v>
      </c>
      <c r="CQ243" s="1316" t="e">
        <f aca="false">IF(OR(BQ243,BS243),VLOOKUP(A243,GasTable,13)*IF(EV243,HeatRatePeak,HeatRateOffPeak)*(1+VLOOKUP($B243,HeatRateDegradation,$C243+1))/1000,0)</f>
        <v>#VALUE!</v>
      </c>
      <c r="CR243" s="1316" t="e">
        <f aca="false">IF(OR(BQ243,BS243),VLOOKUP(A243,GasTable,13)*IF(EW243,HeatRatePeak,HeatRateOffPeak)*(1+VLOOKUP($B243,HeatRateDegradation,$C243+1))/1000,0)</f>
        <v>#VALUE!</v>
      </c>
      <c r="CS243" s="1589" t="e">
        <f aca="false">IF(BQ243,(CO243*AZ243+CP243*BA243+CQ243*BB243+CR243*BC243)/BQ243,0)</f>
        <v>#VALUE!</v>
      </c>
      <c r="CT243" s="1316" t="e">
        <f aca="false">IF(BS243,CO243,0)</f>
        <v>#VALUE!</v>
      </c>
      <c r="CU243" s="1590" t="e">
        <f aca="false">IF(OR(BQ243,BS243),VLOOKUP(A243,GasTable,14),"")</f>
        <v>#VALUE!</v>
      </c>
      <c r="CV243" s="1568" t="e">
        <f aca="false">IF(OR(BQ243,BS243),IF(CorrPowerGasOverFlag,INDEX(CorrPowerGasOver,C243),CorrPowerGas),"")</f>
        <v>#VALUE!</v>
      </c>
      <c r="CW243" s="1316" t="e">
        <f aca="false">IF(OR($BQ243,$BS243),SpreadOptPowerMargin,0)*((1+Assumptions!$C$26)^($B243-YEAR(Assumptions!$C$17)))</f>
        <v>#VALUE!</v>
      </c>
      <c r="CX243" s="1316" t="e">
        <f aca="false">IF(OR($BQ243,$BS243),SpreadOptPowerMargin,0)*((1+Assumptions!$C$26)^($B243-YEAR(Assumptions!$C$17)))</f>
        <v>#VALUE!</v>
      </c>
      <c r="CY243" s="1316" t="e">
        <f aca="false">IF(OR($BQ243,$BS243),SpreadOptPowerMargin,0)*((1+Assumptions!$C$26)^($B243-YEAR(Assumptions!$C$17)))</f>
        <v>#VALUE!</v>
      </c>
      <c r="CZ243" s="1316" t="e">
        <f aca="false">IF(OR($BQ243,$BS243),SpreadOptPowerMargin,0)*((1+Assumptions!$C$26)^($B243-YEAR(Assumptions!$C$17)))</f>
        <v>#VALUE!</v>
      </c>
      <c r="DA243" s="1591" t="e">
        <f aca="false">IF(OR(BQ243,BS243),(CW243*(AZ243+BH243)+CX243*(BA243+BI243)+CY243*(BB243+BJ243)+CZ243*(BC243+BK243))/(BQ243+BS243),0)</f>
        <v>#VALUE!</v>
      </c>
      <c r="DB243" s="1592" t="e">
        <f aca="false">IF(OR(BQ243,BS243),CG243+IF(OVolSmile,VLOOKUP(MAX(-5,CO243+CW243-BU243),IF(OVolSmile=1,VolSmileBook,VolSmileModel),2),0),"")</f>
        <v>#VALUE!</v>
      </c>
      <c r="DC243" s="1592" t="e">
        <f aca="false">IF(OR(BQ243,BS243),CH243+IF(OVolSmile,VLOOKUP(MAX(-5,CP243+CW243-BV243),IF(OVolSmile=1,VolSmileBook,VolSmileModel),2),0),"")</f>
        <v>#VALUE!</v>
      </c>
      <c r="DD243" s="1592" t="e">
        <f aca="false">IF(OR(BQ243,BS243),CI243+IF(OVolSmile,VLOOKUP(MAX(-5,CQ243+CW243-BW243),IF(OVolSmile=1,VolSmileBook,VolSmileModel),2),0),"")</f>
        <v>#VALUE!</v>
      </c>
      <c r="DE243" s="1592" t="e">
        <f aca="false">IF(OR(BQ243,BS243),CL243+IF(OVolSmile,VLOOKUP(MAX(-5,CR243+CZ243-BX243),IF(OVolSmile=1,VolSmileBook,VolSmileModel),2),0),"")</f>
        <v>#VALUE!</v>
      </c>
      <c r="DF243" s="1592" t="e">
        <f aca="false">IF(BQ243,CM243+IF(OVolSmile,VLOOKUP(MAX(-5,CS243+DA243-BZ243),IF(OVolSmile=1,VolSmileBook,VolSmileModel),2),0),"")</f>
        <v>#VALUE!</v>
      </c>
      <c r="DG243" s="1593" t="e">
        <f aca="false">IF(BS243,CN243+IF(OVolSmile,VLOOKUP(MAX(-5,CT243+DA243-CF243),IF(OVolSmile=1,VolSmileBook,VolSmileModel),2),0),"")</f>
        <v>#VALUE!</v>
      </c>
      <c r="DH243" s="1316" t="e">
        <f aca="false">IF(AND(BU243&gt;0,CO243&gt;0,DB243&gt;0,CU243&gt;0),newSPRDOPT(BU243,CO243,CW243,0,DB243,CU243,CV243,BT243*365.25,OCallPut,0),0)</f>
        <v>#VALUE!</v>
      </c>
      <c r="DI243" s="1316" t="e">
        <f aca="false">IF(AND(BV243&gt;0,CP243&gt;0,DC243&gt;0,CU243&gt;0),newSPRDOPT(BV243,CP243,CX243,0,DC243,CU243,CV243,BT243*365.25,OCallPut,0),0)</f>
        <v>#VALUE!</v>
      </c>
      <c r="DJ243" s="1316" t="e">
        <f aca="false">IF(AND(BW243&gt;0,CQ243&gt;0,DD243&gt;0,CU243&gt;0),newSPRDOPT(BW243,CQ243,CY243,0,DD243,CU243,CV243,BT243*365.25,OCallPut,0),0)</f>
        <v>#VALUE!</v>
      </c>
      <c r="DK243" s="1316" t="e">
        <f aca="false">IF(AND(BX243&gt;0,CR243&gt;0,DE243&gt;0,CU243&gt;0),newSPRDOPT(BX243,CR243,CZ243,0,DE243,CU243,CV243,BT243*365.25,OCallPut,0),0)</f>
        <v>#VALUE!</v>
      </c>
      <c r="DL243" s="1316" t="e">
        <f aca="false">IF(OVolType,IF(AND(BZ243&gt;0,CS243&gt;0,DF243&gt;0,CU243&gt;0),newSPRDOPT(BZ243,CS243,DA243,0,DF243,CU243,CV243,BT243*365.25,OCallPut,0),0),IF(BQ243,(DH243*AZ243+DI243*BA243+DJ243*BB243+DK243*BC243)/BQ243,0))</f>
        <v>#VALUE!</v>
      </c>
      <c r="DM243" s="1316"/>
      <c r="DN243" s="1316"/>
      <c r="DO243" s="1316"/>
      <c r="DP243" s="1316"/>
      <c r="DQ243" s="1316"/>
      <c r="DR243" s="1316"/>
      <c r="DS243" s="1316"/>
      <c r="DT243" s="1316"/>
      <c r="DU243" s="1316"/>
      <c r="DV243" s="1316"/>
      <c r="DW243" s="1594" t="e">
        <f aca="false">IF(AND(BW243&gt;0,CT243&gt;0,DD243&gt;0,CU243&gt;0),newSPRDOPT(BW243,CT243,CY243,0,DD243,CU243,CV243,BT243*365.25,OCallPut,0),0)</f>
        <v>#VALUE!</v>
      </c>
      <c r="DX243" s="1316" t="e">
        <f aca="false">IF(AND(BX243&gt;0,CT243&gt;0,DE243&gt;0,CU243&gt;0),newSPRDOPT(BX243,CT243,CZ243,0,DE243,CU243,CV243,BT243*365.25,OCallPut,0),0)</f>
        <v>#VALUE!</v>
      </c>
      <c r="DY243" s="1591" t="e">
        <f aca="false">IF(BS243,(DH243*BH243+DI243*BI243+DW243*BJ243+DX243*BK243)/BS243,0)</f>
        <v>#VALUE!</v>
      </c>
      <c r="DZ243" s="1551" t="e">
        <f aca="false">DH243*AZ243</f>
        <v>#VALUE!</v>
      </c>
      <c r="EA243" s="1551" t="e">
        <f aca="false">DI243*BA243</f>
        <v>#VALUE!</v>
      </c>
      <c r="EB243" s="1551" t="e">
        <f aca="false">DJ243*BB243</f>
        <v>#VALUE!</v>
      </c>
      <c r="EC243" s="1551" t="e">
        <f aca="false">DK243*BC243</f>
        <v>#VALUE!</v>
      </c>
      <c r="ED243" s="1551" t="e">
        <f aca="false">DL243*BQ243</f>
        <v>#VALUE!</v>
      </c>
      <c r="EE243" s="1595" t="e">
        <f aca="false">IF(BQ243,IF(OCallPut,IF(BU243&gt;(CO243+CW243),BU243-(CO243+CW243),0),IF((CO243+CW243)&gt;BU243,(CO243+CW243)-BU243,0))*AZ243,0)</f>
        <v>#VALUE!</v>
      </c>
      <c r="EF243" s="1596" t="e">
        <f aca="false">IF(BQ243,IF(OCallPut,IF(BV243&gt;(CP243+CX243),BV243-(CP243+CX243),0),IF((CP243+CX243)&gt;BV243,(CP243+CX243)-BV243,0))*BA243,0)</f>
        <v>#VALUE!</v>
      </c>
      <c r="EG243" s="1596" t="e">
        <f aca="false">IF(BQ243,IF(OCallPut,IF(BW243&gt;(CQ243+CY243),BW243-(CQ243+CY243),0),IF((CQ243+CY243)&gt;BW243,(CQ243+CY243)-BW243,0))*BB243,0)</f>
        <v>#VALUE!</v>
      </c>
      <c r="EH243" s="1596" t="e">
        <f aca="false">IF(BQ243,IF(OCallPut,IF(BX243&gt;(CR243+CZ243),BX243-(CR243+CZ243),0),IF((CR243+CZ243)&gt;BX243,(CR243+CZ243)-BX243,0))*BC243,0)</f>
        <v>#VALUE!</v>
      </c>
      <c r="EI243" s="1597" t="e">
        <f aca="false">IF(BQ243,IF(OVolType,IF(OCallPut,IF(BZ243&gt;(CS243+DA243),BZ243-(CS243+DA243),0),IF((CS243+DA243)&gt;BZ243,(CS243+DA243)-BZ243,0))*BQ243,SUM(EE243:EH243)),0)</f>
        <v>#VALUE!</v>
      </c>
      <c r="EJ243" s="1595" t="e">
        <f aca="false">DZ243-EE243</f>
        <v>#VALUE!</v>
      </c>
      <c r="EK243" s="1596" t="e">
        <f aca="false">EA243-EF243</f>
        <v>#VALUE!</v>
      </c>
      <c r="EL243" s="1596" t="e">
        <f aca="false">EB243-EG243</f>
        <v>#VALUE!</v>
      </c>
      <c r="EM243" s="1596" t="e">
        <f aca="false">EC243-EH243</f>
        <v>#VALUE!</v>
      </c>
      <c r="EN243" s="1597" t="e">
        <f aca="false">ED243-EI243</f>
        <v>#VALUE!</v>
      </c>
      <c r="EO243" s="1551" t="e">
        <f aca="false">DH243*BH243</f>
        <v>#VALUE!</v>
      </c>
      <c r="EP243" s="1551" t="e">
        <f aca="false">DI243*BI243</f>
        <v>#VALUE!</v>
      </c>
      <c r="EQ243" s="1551" t="e">
        <f aca="false">DW243*BJ243</f>
        <v>#VALUE!</v>
      </c>
      <c r="ER243" s="1551" t="e">
        <f aca="false">DX243*BK243</f>
        <v>#VALUE!</v>
      </c>
      <c r="ES243" s="1551" t="e">
        <f aca="false">DY243*BS243</f>
        <v>#VALUE!</v>
      </c>
      <c r="ET243" s="1566" t="e">
        <f aca="false">IF(EI243,IF(OCallPut,IF(CA243&gt;(CT243+CW243),CA243-(CT243+CW243),0),IF((CT243+CW243)&gt;CA243,(CT243+CW243)-CA243,0))*BH243,0)</f>
        <v>#VALUE!</v>
      </c>
      <c r="EU243" s="1551" t="e">
        <f aca="false">IF(EI243,IF(OCallPut,IF(CB243&gt;(CT243+CX243),CB243-(CT243+CX243),0),IF((CT243+CX243)&gt;CB243,(CT243+CX243)-CB243,0))*BI243,0)</f>
        <v>#VALUE!</v>
      </c>
      <c r="EV243" s="1551" t="e">
        <f aca="false">IF(EI243,IF(OCallPut,IF(CC243&gt;(CT243+CY243),CC243-(CT243+CY243),0),IF((CT243+CY243)&gt;CC243,(CT243+CY243)-CC243,0))*BJ243,0)</f>
        <v>#VALUE!</v>
      </c>
      <c r="EW243" s="1551" t="e">
        <f aca="false">IF(EI243,IF(OCallPut,IF(CD243&gt;(CT243+CZ243),CD243-(CT243+CZ243),0),IF((CT243+CZ243)&gt;CD243,(CT243+CZ243)-CD243,0))*BK243,0)</f>
        <v>#VALUE!</v>
      </c>
      <c r="EX243" s="1558" t="e">
        <f aca="false">IF(EI243,SUM(ET243:EW243),0)</f>
        <v>#VALUE!</v>
      </c>
      <c r="EY243" s="1551" t="e">
        <f aca="false">EO243-ET243</f>
        <v>#VALUE!</v>
      </c>
      <c r="EZ243" s="1551" t="e">
        <f aca="false">EP243-EU243</f>
        <v>#VALUE!</v>
      </c>
      <c r="FA243" s="1551" t="e">
        <f aca="false">EQ243-EV243</f>
        <v>#VALUE!</v>
      </c>
      <c r="FB243" s="1551" t="e">
        <f aca="false">ER243-EW243</f>
        <v>#VALUE!</v>
      </c>
      <c r="FC243" s="1551" t="e">
        <f aca="false">ES243-EX243</f>
        <v>#VALUE!</v>
      </c>
      <c r="FD243" s="1525" t="n">
        <f aca="false">IF(AX243,IF(VLOOKUP(C243,MAIN!$L$17:$M$28,2)="Yes",VLOOKUP(CALC!B243,MAIN!$H$17:$I$20,2),0),0)</f>
        <v>0</v>
      </c>
      <c r="FE243" s="1552" t="e">
        <f aca="false">$FD243*16*AT243*(1-$AY243)</f>
        <v>#VALUE!</v>
      </c>
      <c r="FF243" s="1553" t="e">
        <f aca="false">$FD243*16*AU243*(1-$AY243)</f>
        <v>#VALUE!</v>
      </c>
      <c r="FG243" s="1553" t="e">
        <f aca="false">$FD243*16*(AV243+AW243)*(1-$AY243)</f>
        <v>#VALUE!</v>
      </c>
      <c r="FH243" s="1554" t="n">
        <f aca="false">$FD243*8*AX243*(1-$AY243)</f>
        <v>0</v>
      </c>
      <c r="FI243" s="1555" t="n">
        <f aca="false">IF(AX243,VLOOKUP(CALC!B243,MAIN!$H$17:$K$20,4),0)</f>
        <v>0</v>
      </c>
      <c r="FJ243" s="1553" t="e">
        <f aca="false">SUM(FE243:FH243)</f>
        <v>#VALUE!</v>
      </c>
      <c r="FK243" s="1556" t="e">
        <f aca="false">FI243*FJ243</f>
        <v>#VALUE!</v>
      </c>
      <c r="FL243" s="1551" t="e">
        <f aca="false">IF($EI243&gt;0,MIN(FE243,AZ243*(1+VLOOKUP($C243,WeatherCapacityAdjustment,2))),0)</f>
        <v>#VALUE!</v>
      </c>
      <c r="FM243" s="1551" t="e">
        <f aca="false">IF($EI243&gt;0,MIN(FF243,BA243*(1+VLOOKUP($C243,WeatherCapacityAdjustment,2))),0)</f>
        <v>#VALUE!</v>
      </c>
      <c r="FN243" s="1551" t="e">
        <f aca="false">IF($EI243&gt;0,MIN(FG243,BB243*(1+VLOOKUP($C243,WeatherCapacityAdjustment,2))),0)</f>
        <v>#VALUE!</v>
      </c>
      <c r="FO243" s="1564" t="e">
        <f aca="false">IF($EI243&gt;0,MIN(FH243,BC243*(1+VLOOKUP($C243,WeatherCapacityAdjustment,3))),0)</f>
        <v>#VALUE!</v>
      </c>
      <c r="FP243" s="1551" t="e">
        <f aca="false">IF(ET243&gt;0,MIN(FE243-FL243,BH243*(1+VLOOKUP($C243,WeatherCapacityAdjustment,2))),0)</f>
        <v>#VALUE!</v>
      </c>
      <c r="FQ243" s="1551" t="e">
        <f aca="false">IF(EU243&gt;0,MIN(FF243-FM243,BI243*(1+VLOOKUP($C243,WeatherCapacityAdjustment,2))),0)</f>
        <v>#VALUE!</v>
      </c>
      <c r="FR243" s="1551" t="e">
        <f aca="false">IF(EV243&gt;0,MIN(FG243-FN243,BJ243*(1+VLOOKUP($C243,WeatherCapacityAdjustment,2))),0)</f>
        <v>#VALUE!</v>
      </c>
      <c r="FS243" s="1558" t="e">
        <f aca="false">IF(EW243&gt;0,MIN(FH243-FO243,BK243*(1+VLOOKUP($C243,WeatherCapacityAdjustment,3))),0)</f>
        <v>#VALUE!</v>
      </c>
      <c r="FT243" s="1566" t="e">
        <f aca="false">IF(AND(Assumptions!$H$71="Yes",A243&gt;=Assumptions!$H$72,A243&lt;=Assumptions!$H$73),0,IF(AND($A243&gt;=Assumptions!$C$17,$A243&lt;=Assumptions!$C$18),MAX(AZ243*(1+VLOOKUP($C243,WeatherCapacityAdjustment,2))-FL243,0),0))</f>
        <v>#VALUE!</v>
      </c>
      <c r="FU243" s="1551" t="e">
        <f aca="false">IF(AND(Assumptions!$H$71="Yes",A243&gt;=Assumptions!$H$72,A243&lt;=Assumptions!$H$73),0,IF(AND($A243&gt;=Assumptions!$C$17,$A243&lt;=Assumptions!$C$18),MAX(BA243*(1+VLOOKUP($C243,WeatherCapacityAdjustment,2))-FM243,0),0))</f>
        <v>#VALUE!</v>
      </c>
      <c r="FV243" s="1551" t="e">
        <f aca="false">IF(AND(Assumptions!$H$71="Yes",A243&gt;=Assumptions!$H$72,A243&lt;=Assumptions!$H$73),0,IF(AND($A243&gt;=Assumptions!$C$17,$A243&lt;=Assumptions!$C$18),MAX(BB243*(1+VLOOKUP($C243,WeatherCapacityAdjustment,2))-FN243,0),0))</f>
        <v>#VALUE!</v>
      </c>
      <c r="FW243" s="1564" t="e">
        <f aca="false">IF(AND(Assumptions!$H$71="Yes",A243&gt;=Assumptions!$H$72,A243&lt;=Assumptions!$H$73),0,IF(AND($A243&gt;=Assumptions!$C$17,$A243&lt;=Assumptions!$C$18),MAX(BC243*(1+VLOOKUP($C243,WeatherCapacityAdjustment,3))-FO243,0),0))</f>
        <v>#VALUE!</v>
      </c>
      <c r="FX243" s="1569" t="e">
        <f aca="false">IF(AND(Assumptions!$H$71="Yes",A243&gt;=Assumptions!$H$72,A243&lt;=Assumptions!$H$73),0,IF(ET243&gt;0,MAX(BH243*(1+VLOOKUP($C243,WeatherCapacityAdjustment,2))-FP243,0),0))</f>
        <v>#VALUE!</v>
      </c>
      <c r="FY243" s="1551" t="e">
        <f aca="false">IF(AND(Assumptions!$H$71="Yes",A243&gt;=Assumptions!$H$72,A243&lt;=Assumptions!$H$73),0,IF(EU243&gt;0,MAX(BI243*(1+VLOOKUP($C243,WeatherCapacityAdjustment,3))-FQ243,0),0))</f>
        <v>#VALUE!</v>
      </c>
      <c r="FZ243" s="1551" t="e">
        <f aca="false">IF(AND(Assumptions!$H$71="Yes",A243&gt;=Assumptions!$H$72,A243&lt;=Assumptions!$H$73),0,IF(EV243&gt;0,MAX(BJ243*(1+VLOOKUP($C243,WeatherCapacityAdjustment,2))-FR243,0),0))</f>
        <v>#VALUE!</v>
      </c>
      <c r="GA243" s="1564" t="e">
        <f aca="false">IF(AND(Assumptions!$H$71="Yes",A243&gt;=Assumptions!$H$72,A243&lt;=Assumptions!$H$73),0,IF(EW243&gt;0,MAX(BK243*(1+VLOOKUP($C243,WeatherCapacityAdjustment,2))-FS243,0),0))</f>
        <v>#VALUE!</v>
      </c>
      <c r="GB243" s="1551" t="e">
        <f aca="false">SUM(FT243:GA243)</f>
        <v>#VALUE!</v>
      </c>
      <c r="GC243" s="1563" t="e">
        <f aca="false">+IF(SUM(FT243:GA243)=0,0,(SUMPRODUCT(BU243:BX243,FT243:FW243)+SUMPRODUCT(CA243:CD243,FX243:GA243))/SUM(FT243:GA243))</f>
        <v>#VALUE!</v>
      </c>
      <c r="GD243" s="1551" t="e">
        <f aca="false">(FT243*BU243+FX243*CA243+FU243*BV243+FY243*CB243+FV243*BW243+FZ243*CC243+FW243*BX243+GA243*CD243)</f>
        <v>#VALUE!</v>
      </c>
      <c r="GE243" s="1561" t="e">
        <f aca="false">+IF(BQ243,((FL243+FM243+FT243+FU243)*HeatRatePeak/1000*(1+VLOOKUP($C243,WeatherHeatRateAdjustment,2))+(FN243+FV243)*IF(EV243&gt;0,HeatRatePeak,HeatRateOffPeak)/1000*(1+VLOOKUP($C243,WeatherHeatRateAdjustment,2))+(FO243+FW243)*IF(EW243&gt;0,HeatRatePeak,HeatRateOffPeak)/1000*(1+VLOOKUP($C243,WeatherHeatRateAdjustment,3)))*(1+VLOOKUP($B243,HeatRateDegradation,$C243+1)),0)</f>
        <v>#VALUE!</v>
      </c>
      <c r="GF243" s="1562" t="e">
        <f aca="false">IF(BQ243,((FP243+FQ243+FR243+FX243+FY243+FZ243)*HeatRatePeak/1000*(1+VLOOKUP($C243,WeatherHeatRateAdjustment,2))+(FS243+GA243)*HeatRatePeak/1000*(1+VLOOKUP($C243,WeatherHeatRateAdjustment,3)))*(1+VLOOKUP($B243,HeatRateDegradation,$C243+1)),0)</f>
        <v>#VALUE!</v>
      </c>
      <c r="GG243" s="1563" t="e">
        <f aca="false">IF(BQ243,VLOOKUP(A243,GasTable,13),0)</f>
        <v>#VALUE!</v>
      </c>
      <c r="GH243" s="1564" t="e">
        <f aca="false">(GE243+GF243)*GG243</f>
        <v>#VALUE!</v>
      </c>
      <c r="GI243" s="1569" t="e">
        <f aca="false">GB243</f>
        <v>#VALUE!</v>
      </c>
      <c r="GJ243" s="1598" t="e">
        <f aca="false">+DA243</f>
        <v>#VALUE!</v>
      </c>
      <c r="GK243" s="1558" t="e">
        <f aca="false">+GI243*GJ243</f>
        <v>#VALUE!</v>
      </c>
      <c r="GL243" s="1566" t="e">
        <f aca="false">MAX(FE243-FL243-FP243,0)</f>
        <v>#VALUE!</v>
      </c>
      <c r="GM243" s="1551" t="e">
        <f aca="false">MAX(FF243-FM243-FQ243,0)</f>
        <v>#VALUE!</v>
      </c>
      <c r="GN243" s="1551" t="e">
        <f aca="false">MAX(FG243-FN243-FR243,0)</f>
        <v>#VALUE!</v>
      </c>
      <c r="GO243" s="1564" t="e">
        <f aca="false">MAX(FH243-FO243-FS243,0)</f>
        <v>#VALUE!</v>
      </c>
      <c r="GP243" s="1551" t="e">
        <f aca="false">SUM(GL243:GO243)</f>
        <v>#VALUE!</v>
      </c>
      <c r="GQ243" s="1563" t="e">
        <f aca="false">IF(SUM(GL243:GO243)=0,0,((GL243*BU243+GM243*BV243+GN243*BW243+GO243*BX243)/SUM(GL243:GO243)))</f>
        <v>#VALUE!</v>
      </c>
      <c r="GR243" s="1558" t="e">
        <f aca="false">(GL243*BU243+GM243*BV243+GN243*BW243+GO243*BX243)</f>
        <v>#VALUE!</v>
      </c>
      <c r="GS243" s="1566" t="n">
        <f aca="false">IF($A243&gt;=BegDate,Assumptions!$C$56*24*($A244-$A243)*(1-VLOOKUP($B243,MAIN!$AA$7:$AM$28,$C243+1))*(1-VLOOKUP($B243,MAIN!$AA$33:$AM$54,$C243+1)),0)*80/168</f>
        <v>257742.857142857</v>
      </c>
      <c r="GT243" s="286" t="n">
        <f aca="false">J243</f>
        <v>43.742940671906</v>
      </c>
      <c r="GU243" s="286" t="n">
        <f aca="false">IF($A243&gt;=BegDate,VLOOKUP($A243,GasTable,13)+Assumptions!$C$58,0)</f>
        <v>3.58502748669687</v>
      </c>
      <c r="GV243" s="286" t="n">
        <f aca="false">GU243*Assumptions!$C$57/1000</f>
        <v>25.9914492785523</v>
      </c>
      <c r="GW243" s="1558" t="n">
        <f aca="false">IF(Assumptions!$C$60="Hourly",MAX(0,GS243*(GT243-GV243)),GS243*(GT243-GV243))</f>
        <v>4575320.1102698</v>
      </c>
      <c r="GX243" s="1566" t="n">
        <f aca="false">IF($A243&gt;=BegDate,Assumptions!$C$56*24*($A244-$A243)*(1-VLOOKUP($B243,MAIN!$AA$7:$AM$28,$C243+1))*(1-VLOOKUP($B243,MAIN!$AA$33:$AM$54,$C243+1)),0)*16/168</f>
        <v>51548.5714285714</v>
      </c>
      <c r="GY243" s="286" t="n">
        <f aca="false">M243</f>
        <v>43.742940671906</v>
      </c>
      <c r="GZ243" s="286" t="n">
        <f aca="false">IF($A243&gt;=BegDate,VLOOKUP($A243,GasTable,13)+Assumptions!$C$58,0)</f>
        <v>3.58502748669687</v>
      </c>
      <c r="HA243" s="286" t="n">
        <f aca="false">GZ243*Assumptions!$C$57/1000</f>
        <v>25.9914492785523</v>
      </c>
      <c r="HB243" s="1558" t="n">
        <f aca="false">IF(Assumptions!$C$60="Hourly",MAX(0,GX243*(GY243-HA243)),GX243*(GY243-HA243))</f>
        <v>915064.02205396</v>
      </c>
      <c r="HC243" s="1566" t="n">
        <f aca="false">IF($A243&gt;=BegDate,Assumptions!$C$56*24*($A244-$A243)*(1-VLOOKUP($B243,MAIN!$AA$7:$AM$28,$C243+1))*(1-VLOOKUP($B243,MAIN!$AA$33:$AM$54,$C243+1)),0)*16/168</f>
        <v>51548.5714285714</v>
      </c>
      <c r="HD243" s="286" t="n">
        <f aca="false">P243</f>
        <v>29.060760631819</v>
      </c>
      <c r="HE243" s="286" t="n">
        <f aca="false">IF($A243&gt;=BegDate,VLOOKUP($A243,GasTable,13)+Assumptions!$C$58,0)</f>
        <v>3.58502748669687</v>
      </c>
      <c r="HF243" s="286" t="n">
        <f aca="false">HE243*Assumptions!$C$57/1000</f>
        <v>25.9914492785523</v>
      </c>
      <c r="HG243" s="1558" t="n">
        <f aca="false">IF(Assumptions!$C$60="Hourly",MAX(0,HC243*(HD243-HF243)),HC243*(HD243-HF243))</f>
        <v>158218.615530394</v>
      </c>
      <c r="HH243" s="1566" t="n">
        <f aca="false">IF($A243&gt;=BegDate,Assumptions!$C$56*24*($A244-$A243)*(1-VLOOKUP($B243,MAIN!$AA$7:$AM$28,$C243+1))*(1-VLOOKUP($B243,MAIN!$AA$33:$AM$54,$C243+1)),0)*56/168</f>
        <v>180420</v>
      </c>
      <c r="HI243" s="286" t="n">
        <f aca="false">S243</f>
        <v>29.060760631819</v>
      </c>
      <c r="HJ243" s="286" t="n">
        <f aca="false">IF($A243&gt;=BegDate,VLOOKUP($A243,GasTable,13)+Assumptions!$C$58,0)</f>
        <v>3.58502748669687</v>
      </c>
      <c r="HK243" s="286" t="n">
        <f aca="false">HJ243*Assumptions!$C$57/1000</f>
        <v>25.9914492785523</v>
      </c>
      <c r="HL243" s="1558" t="n">
        <f aca="false">IF(Assumptions!$C$60="Hourly",MAX(0,HH243*(HI243-HK243)),HH243*(HI243-HK243))</f>
        <v>553765.154356378</v>
      </c>
      <c r="HM243" s="1566" t="n">
        <f aca="false">IF(AND(Assumptions!$H$71="Yes",A243&gt;=Assumptions!$H$72,A243&lt;=Assumptions!$H$73),Assumptions!$H$74*Assumptions!$C$9*1000,0)</f>
        <v>0</v>
      </c>
      <c r="HN243" s="1551"/>
      <c r="HO243" s="1563"/>
      <c r="HP243" s="1563"/>
      <c r="HQ243" s="1563"/>
      <c r="HR243" s="1563"/>
      <c r="HS243" s="1563"/>
      <c r="HT243" s="1563"/>
      <c r="HU243" s="1563"/>
      <c r="HV243" s="1563"/>
      <c r="HW243" s="1563"/>
      <c r="HX243" s="1563"/>
      <c r="HY243" s="1563"/>
      <c r="HZ243" s="1563"/>
      <c r="IA243" s="1563"/>
      <c r="IB243" s="1563"/>
      <c r="IC243" s="1563"/>
      <c r="ID243" s="1563"/>
      <c r="IE243" s="1563"/>
      <c r="IF243" s="1563"/>
      <c r="IG243" s="1563"/>
      <c r="IH243" s="1563"/>
      <c r="II243" s="1610"/>
      <c r="IJ243" s="1309"/>
      <c r="IK243" s="1309"/>
    </row>
    <row r="244" customFormat="false" ht="12.75" hidden="false" customHeight="false" outlineLevel="0" collapsed="false">
      <c r="A244" s="1571" t="n">
        <f aca="false">EOMONTH(A243,0)+1</f>
        <v>43556</v>
      </c>
      <c r="B244" s="594" t="n">
        <f aca="false">+YEAR(A244)</f>
        <v>2019</v>
      </c>
      <c r="C244" s="238" t="n">
        <f aca="false">MONTH(A244)</f>
        <v>4</v>
      </c>
      <c r="D244" s="1572" t="e">
        <f aca="false">IF(E244="","",Holiday(B244,C244))</f>
        <v>#VALUE!</v>
      </c>
      <c r="E244" s="1573" t="n">
        <f aca="false">IF(OR(BegDate&gt;=A245,EndDate&lt;A244,AND(VolumeMonthlyOverFlag,INDEX(VolumeMonthlyOver,C244)=0),NOT(INDEX(MonthKnockOutTable,C244))),"",MAX(A244,BegDate))</f>
        <v>43556</v>
      </c>
      <c r="F244" s="1574" t="n">
        <f aca="false">IF(E244="","",MIN(A245-1,EndDate))</f>
        <v>43585</v>
      </c>
      <c r="G244" s="1575" t="n">
        <v>0</v>
      </c>
      <c r="H244" s="1576" t="n">
        <f aca="false">(1+G244/2)^(-2*(DATE(B245,C245,20)-DateToday)/365.25)</f>
        <v>1</v>
      </c>
      <c r="I244" s="1568" t="n">
        <f aca="false">IF(Assumptions!$L$25=4,VLOOKUP($A244,'Henwood Reference'!$E$9:$R$320,10),(VLOOKUP($A244,PriceTable,2,0)+IF(BasisNumber&lt;&gt;1,VLOOKUP($A244,BasisTable,2,0),0)+I$1)/(1-I$2))</f>
        <v>42.355765073425</v>
      </c>
      <c r="J244" s="1568" t="n">
        <f aca="false">IF(Assumptions!$L$25=4,VLOOKUP($A244,'Henwood Reference'!$E$9:$R$320,10),(VLOOKUP($A244,PriceTable,3,0)+IF(BasisNumber&lt;&gt;1,VLOOKUP($A244,BasisTable,2,0),0)+J$1)/(1-J$2))</f>
        <v>42.355765073425</v>
      </c>
      <c r="K244" s="1568" t="n">
        <f aca="false">IF(Assumptions!$L$25=4,VLOOKUP($A244,'Henwood Reference'!$E$9:$R$320,10),(VLOOKUP($A244,PriceTable,4,0)+IF(BasisNumber&lt;&gt;1,VLOOKUP($A244,BasisTable,2,0),0)+K$1)/(1-K$2))</f>
        <v>42.355765073425</v>
      </c>
      <c r="L244" s="1523" t="n">
        <f aca="false">IF(Assumptions!$L$25=4,VLOOKUP($A244,'Henwood Reference'!$E$9:$R$320,10),(VLOOKUP($A244,PriceTableWeekend,2,0)+IF(BasisNumber&lt;&gt;1,VLOOKUP($A244,BasisTable,2,0),0)+L$1)/(1-L$2))</f>
        <v>42.355765073425</v>
      </c>
      <c r="M244" s="1568" t="n">
        <f aca="false">IF(Assumptions!$L$25=4,VLOOKUP($A244,'Henwood Reference'!$E$9:$R$320,10),(VLOOKUP($A244,PriceTableWeekend,3,0)+IF(BasisNumber&lt;&gt;1,VLOOKUP($A244,BasisTable,2,0),0)+M$1)/(1-M$2))</f>
        <v>42.355765073425</v>
      </c>
      <c r="N244" s="1599" t="n">
        <f aca="false">IF(Assumptions!$L$25=4,VLOOKUP($A244,'Henwood Reference'!$E$9:$R$320,10),(VLOOKUP($A244,PriceTableWeekend,4,0)+IF(BasisNumber&lt;&gt;1,VLOOKUP($A244,BasisTable,2,0),0)+N$1)/(1-N$2))</f>
        <v>42.355765073425</v>
      </c>
      <c r="O244" s="1568" t="n">
        <f aca="false">IF(Assumptions!$L$25=4,VLOOKUP($A244,'Henwood Reference'!$E$9:$R$320,11),(VLOOKUP($A244,PriceTableWeekend,6,0)+IF(BasisNumber&lt;&gt;1,VLOOKUP($A244,BasisTable,3,0),0)+O$1)/(1-O$2))</f>
        <v>28.9624258776734</v>
      </c>
      <c r="P244" s="1568" t="n">
        <f aca="false">IF(Assumptions!$L$25=4,VLOOKUP($A244,'Henwood Reference'!$E$9:$R$320,11),(VLOOKUP($A244,PriceTableWeekend,7,0)+IF(BasisNumber&lt;&gt;1,VLOOKUP($A244,BasisTable,3,0),0)+P$1)/(1-P$2))</f>
        <v>28.9624258776734</v>
      </c>
      <c r="Q244" s="1599" t="n">
        <f aca="false">IF(Assumptions!$L$25=4,VLOOKUP($A244,'Henwood Reference'!$E$9:$R$320,11),(VLOOKUP($A244,PriceTableWeekend,8,0)+IF(BasisNumber&lt;&gt;1,VLOOKUP($A244,BasisTable,3,0),0)+Q$1)/(1-Q$2))</f>
        <v>28.9624258776734</v>
      </c>
      <c r="R244" s="1568" t="n">
        <f aca="false">IF(Assumptions!$L$25=4,VLOOKUP($A244,'Henwood Reference'!$E$9:$R$320,11),(VLOOKUP($A244,PriceTable,6,0)+IF(BasisNumber&lt;&gt;1,VLOOKUP($A244,BasisTable,3,0),0)+R$1)/(1-R$2))</f>
        <v>28.9624258776734</v>
      </c>
      <c r="S244" s="1568" t="n">
        <f aca="false">IF(Assumptions!$L$25=4,VLOOKUP($A244,'Henwood Reference'!$E$9:$R$320,11),(VLOOKUP($A244,PriceTable,7,0)+IF(BasisNumber&lt;&gt;1,VLOOKUP($A244,BasisTable,3,0),0)+S$1)/(1-S$2))</f>
        <v>28.9624258776734</v>
      </c>
      <c r="T244" s="1600" t="n">
        <f aca="false">IF(Assumptions!$L$25=4,VLOOKUP($A244,'Henwood Reference'!$E$9:$R$320,11),(VLOOKUP($A244,PriceTable,8,0)+IF(BasisNumber&lt;&gt;1,VLOOKUP($A244,BasisTable,3,0),0)+T$1)/(1-T$2))</f>
        <v>28.9624258776734</v>
      </c>
      <c r="U244" s="1513" t="n">
        <f aca="false">VLOOKUP($A244,VolatilityTable,14)</f>
        <v>0.09</v>
      </c>
      <c r="V244" s="1513" t="n">
        <f aca="false">VLOOKUP($A244,VolatilityTable,15)</f>
        <v>0.1</v>
      </c>
      <c r="W244" s="1514" t="n">
        <f aca="false">VLOOKUP($A244,VolatilityTable,16)</f>
        <v>0.11</v>
      </c>
      <c r="X244" s="1513" t="n">
        <f aca="false">VLOOKUP($A244,VolatilityTable,14)</f>
        <v>0.09</v>
      </c>
      <c r="Y244" s="1513" t="n">
        <f aca="false">VLOOKUP($A244,VolatilityTable,15)</f>
        <v>0.1</v>
      </c>
      <c r="Z244" s="1514" t="n">
        <f aca="false">VLOOKUP($A244,VolatilityTable,16)</f>
        <v>0.11</v>
      </c>
      <c r="AA244" s="1513" t="n">
        <f aca="false">VLOOKUP($A244,VolatilityTable,18)</f>
        <v>0.09</v>
      </c>
      <c r="AB244" s="1513" t="n">
        <f aca="false">VLOOKUP($A244,VolatilityTable,19)</f>
        <v>0.11</v>
      </c>
      <c r="AC244" s="1514" t="n">
        <f aca="false">VLOOKUP($A244,VolatilityTable,20)</f>
        <v>0.13</v>
      </c>
      <c r="AD244" s="1513" t="n">
        <f aca="false">VLOOKUP($A244,VolatilityTable,18)</f>
        <v>0.09</v>
      </c>
      <c r="AE244" s="1513" t="n">
        <f aca="false">VLOOKUP($A244,VolatilityTable,19)</f>
        <v>0.11</v>
      </c>
      <c r="AF244" s="1514" t="n">
        <f aca="false">VLOOKUP($A244,VolatilityTable,20)</f>
        <v>0.13</v>
      </c>
      <c r="AG244" s="1513" t="n">
        <f aca="false">VLOOKUP($A244,VolatilityTable,22)</f>
        <v>-0.1</v>
      </c>
      <c r="AH244" s="1513" t="n">
        <f aca="false">VLOOKUP($A244,VolatilityTable,23)</f>
        <v>0.65</v>
      </c>
      <c r="AI244" s="1514" t="n">
        <f aca="false">VLOOKUP($A244,VolatilityTable,24)</f>
        <v>0.1</v>
      </c>
      <c r="AJ244" s="1513" t="n">
        <f aca="false">VLOOKUP($A244,VolatilityTable,22)</f>
        <v>-0.1</v>
      </c>
      <c r="AK244" s="1513" t="n">
        <f aca="false">VLOOKUP($A244,VolatilityTable,23)</f>
        <v>0.65</v>
      </c>
      <c r="AL244" s="1514" t="n">
        <f aca="false">VLOOKUP($A244,VolatilityTable,24)</f>
        <v>0.1</v>
      </c>
      <c r="AM244" s="1513" t="n">
        <f aca="false">VLOOKUP($A244,VolatilityTable,26)</f>
        <v>-0.01</v>
      </c>
      <c r="AN244" s="1513" t="n">
        <f aca="false">VLOOKUP($A244,VolatilityTable,27)</f>
        <v>0.16</v>
      </c>
      <c r="AO244" s="1514" t="n">
        <f aca="false">VLOOKUP($A244,VolatilityTable,28)</f>
        <v>0.01</v>
      </c>
      <c r="AP244" s="1513" t="n">
        <f aca="false">VLOOKUP($A244,VolatilityTable,26)</f>
        <v>-0.01</v>
      </c>
      <c r="AQ244" s="1513" t="n">
        <f aca="false">VLOOKUP($A244,VolatilityTable,27)</f>
        <v>0.16</v>
      </c>
      <c r="AR244" s="1515" t="n">
        <f aca="false">VLOOKUP($A244,VolatilityTable,28)</f>
        <v>0.01</v>
      </c>
      <c r="AS244" s="1581" t="n">
        <f aca="false">IF(CorrPeakOffPeakOverFlag,INDEX(CorrPeakOffPeakOver,C244),CorrPeakOffPeak)</f>
        <v>0.5</v>
      </c>
      <c r="AT244" s="594" t="e">
        <f aca="false">AX244-SUM(AU244:AW244)</f>
        <v>#VALUE!</v>
      </c>
      <c r="AU244" s="238" t="e">
        <f aca="false">IF(E244="",0,INT((F244-MOD(F244,7)-E244)/7)+1-IF(AW244,IF(WEEKDAY(D244)=7,1,0),0))</f>
        <v>#VALUE!</v>
      </c>
      <c r="AV244" s="238" t="e">
        <f aca="false">IF(E244="",0,INT((F244-MOD(F244-1,7)-E244)/7)+1-IF(AW244,IF(WEEKDAY(D244)=1,1,0),0))</f>
        <v>#VALUE!</v>
      </c>
      <c r="AW244" s="238" t="e">
        <f aca="false">IF(OR(E244="",D244="",D244&lt;BegDate,D244&gt;EndDate),0,1)</f>
        <v>#VALUE!</v>
      </c>
      <c r="AX244" s="238" t="n">
        <f aca="false">IF(E244="",0,F244-E244+1)</f>
        <v>30</v>
      </c>
      <c r="AY244" s="1582" t="n">
        <f aca="false">IF(E244="",0,MIN((1-(1-VLOOKUP(B244,MAIN!$AA$7:$AM$28,C244+1))*(1-VLOOKUP(B244,MAIN!$AA$33:$AM$54,C244+1))),1))</f>
        <v>0.127</v>
      </c>
      <c r="AZ244" s="1519" t="e">
        <v>#VALUE!</v>
      </c>
      <c r="BA244" s="1520" t="e">
        <v>#VALUE!</v>
      </c>
      <c r="BB244" s="1520" t="e">
        <v>#VALUE!</v>
      </c>
      <c r="BC244" s="1583" t="e">
        <v>#VALUE!</v>
      </c>
      <c r="BD244" s="1522" t="e">
        <v>#VALUE!</v>
      </c>
      <c r="BE244" s="1523" t="e">
        <v>#VALUE!</v>
      </c>
      <c r="BF244" s="1523" t="e">
        <v>#VALUE!</v>
      </c>
      <c r="BG244" s="1584" t="e">
        <v>#VALUE!</v>
      </c>
      <c r="BH244" s="1525" t="e">
        <v>#VALUE!</v>
      </c>
      <c r="BI244" s="1520" t="e">
        <v>#VALUE!</v>
      </c>
      <c r="BJ244" s="1520" t="e">
        <v>#VALUE!</v>
      </c>
      <c r="BK244" s="1583" t="e">
        <v>#VALUE!</v>
      </c>
      <c r="BL244" s="1522" t="e">
        <v>#VALUE!</v>
      </c>
      <c r="BM244" s="1523" t="e">
        <v>#VALUE!</v>
      </c>
      <c r="BN244" s="1523" t="e">
        <v>#VALUE!</v>
      </c>
      <c r="BO244" s="1523" t="e">
        <v>#VALUE!</v>
      </c>
      <c r="BP244" s="1525" t="e">
        <f aca="false">SUM(AZ244:BB244)</f>
        <v>#VALUE!</v>
      </c>
      <c r="BQ244" s="1529" t="e">
        <f aca="false">SUM(AZ244:BC244)</f>
        <v>#VALUE!</v>
      </c>
      <c r="BR244" s="1519" t="e">
        <f aca="false">SUM(BH244:BJ244)</f>
        <v>#VALUE!</v>
      </c>
      <c r="BS244" s="1529" t="e">
        <f aca="false">SUM(BH244:BK244)</f>
        <v>#VALUE!</v>
      </c>
      <c r="BT244" s="1316" t="n">
        <f aca="false">(IF(OVolType&lt;&gt;2,A244+14,IF(OptExpDateShift,ShiftBack(A244,OptExpDateShift,D243),A244))-DateToday)/365.25</f>
        <v>18.9623545516769</v>
      </c>
      <c r="BU244" s="1585" t="e">
        <f aca="false">IF(BQ244,IF(OPriceCurve,IF(OBuySell=OCallPut,I244/(1-AY244),K244/(1-AY244)),J244/(1-AY244))*BD244,0)</f>
        <v>#VALUE!</v>
      </c>
      <c r="BV244" s="1316" t="e">
        <f aca="false">IF(BQ244,IF(OPriceCurve,IF(OBuySell=OCallPut,L244/(1-AY244),N244/(1-AY244)),M244/(1-AY244))*BE244,0)</f>
        <v>#VALUE!</v>
      </c>
      <c r="BW244" s="1316" t="e">
        <f aca="false">IF(BQ244,IF(OPriceCurve,IF(OBuySell=OCallPut,O244/(1-AY244),Q244/(1-AY244)),P244/(1-AY244))*BF244,0)</f>
        <v>#VALUE!</v>
      </c>
      <c r="BX244" s="1316" t="e">
        <f aca="false">IF(BQ244,IF(OPriceCurve,IF(OBuySell=OCallPut,R244/(1-AY244),T244/(1-AY244)),S244/(1-AY244))*BG244,0)</f>
        <v>#VALUE!</v>
      </c>
      <c r="BY244" s="1316" t="e">
        <f aca="false">IF(BP244,(BU244*AZ244+BV244*BA244+BW244*BB244)/BP244,0)</f>
        <v>#VALUE!</v>
      </c>
      <c r="BZ244" s="1316" t="e">
        <f aca="false">IF(BQ244,(BY244*BP244+BX244*BC244)/BQ244,0)</f>
        <v>#VALUE!</v>
      </c>
      <c r="CA244" s="1531" t="e">
        <f aca="false">IF(BS244,IF(OPriceCurve,IF(OBuySell=OCallPut,I244/(1-AY244),K244/(1-AY244)),J244/(1-AY244))*BL244,0)</f>
        <v>#VALUE!</v>
      </c>
      <c r="CB244" s="1316" t="e">
        <f aca="false">IF(BS244,IF(OPriceCurve,IF(OBuySell=OCallPut,L244/(1-AY244),N244/(1-AY244)),M244/(1-AY244))*BM244,0)</f>
        <v>#VALUE!</v>
      </c>
      <c r="CC244" s="1316" t="e">
        <f aca="false">IF(BS244,IF(OPriceCurve,IF(OBuySell=OCallPut,O244/(1-AY244),Q244/(1-AY244)),P244/(1-AY244))*BN244,0)</f>
        <v>#VALUE!</v>
      </c>
      <c r="CD244" s="1316" t="e">
        <f aca="false">IF(BS244,IF(OPriceCurve,IF(OBuySell=OCallPut,R244/(1-AY244),T244/(1-AY244)),S244/(1-AY244))*BO244,0)</f>
        <v>#VALUE!</v>
      </c>
      <c r="CE244" s="1316" t="e">
        <f aca="false">IF(BR244,(BU244*BH244+BV244*BI244+BW244*BJ244)/BR244,0)</f>
        <v>#VALUE!</v>
      </c>
      <c r="CF244" s="1532" t="e">
        <f aca="false">IF(BS244,(CE244*BR244+CD244*BK244)/BS244,0)</f>
        <v>#VALUE!</v>
      </c>
      <c r="CG244" s="1586" t="e">
        <f aca="false">IF(OR(BQ244,BS244),IF(OVolType&lt;&gt;2,SQRT(IF(OVolOverMonthlyPeak,OVolOverMonthlyPeak,IF(OVolCurve,IF(OBuySell,U244,W244),V244))^2*(1-15/365.25/BT244)+IF(OVolOverDailyPeak,OVolOverDailyPeak,IF(OVolCurve,IF(OBuySell,AG244,AI244),AH244))^2*15/365.25/BT244),IF(OVolOverMonthlyPeak,OVolOverMonthlyPeak,IF(OVolCurve,IF(OBuySell,U244,W244),V244))),"")</f>
        <v>#VALUE!</v>
      </c>
      <c r="CH244" s="1587" t="e">
        <f aca="false">IF(OR(BQ244,BS244),IF(OVolType&lt;&gt;2,SQRT(IF(OVolOverMonthlyPeak,OVolOverMonthlyPeak,IF(OVolCurve,IF(OBuySell,X244,Z244),Y244))^2*(1-15/365.25/BT244)+IF(OVolOverDailyPeak,OVolOverDailyPeak,IF(OVolCurve,IF(OBuySell,AJ244,AL244),AK244))^2*15/365.25/BT244),IF(OVolOverMonthlyPeak,OVolOverMonthlyPeak,IF(OVolCurve,IF(OBuySell,X244,Z244),Y244))),"")</f>
        <v>#VALUE!</v>
      </c>
      <c r="CI244" s="1587" t="e">
        <f aca="false">IF(OR(BQ244,BS244),IF(OVolType&lt;&gt;2,SQRT(IF(OVolOverMonthlyPeak,OVolOverMonthlyPeak,IF(OVolCurve,IF(OBuySell,AA244,AC244),AB244))^2*(1-15/365.25/BT244)+IF(OVolOverDailyPeak,OVolOverDailyPeak,IF(OVolCurve,IF(OBuySell,AM244,AO244),AN244))^2*15/365.25/BT244),IF(OVolOverMonthlyPeak,OVolOverMonthlyPeak,IF(OVolCurve,IF(OBuySell,AA244,AC244),AB244))),"")</f>
        <v>#VALUE!</v>
      </c>
      <c r="CJ244" s="1587" t="e">
        <f aca="false">IF(BQ244,IF(BP244,SQRT(LN(1+((BU244*AZ244)^2*(EXP(CG244^2*BT244)-1)+(BV244*BA244)^2*(EXP(CH244^2*BT244)-1)+(BW244*BB244)^2*(EXP(CI244^2*BT244)-1)+2*BU244*AZ244*BV244*BA244*(EXP(CG244*CH244*BT244)-1)+2*BV244*BA244*BW244*BB244*(EXP(CH244*CI244*BT244)-1)+2*BW244*BB244*BU244*AZ244*(EXP(CI244*CG244*BT244)-1))/(BY244*BP244)^2)/BT244),0),"")</f>
        <v>#VALUE!</v>
      </c>
      <c r="CK244" s="1587" t="e">
        <f aca="false">IF(BS244,IF(BR244,SQRT(LN(1+((CA244*BH244)^2*(EXP(CG244^2*BT244)-1)+(CB244*BI244)^2*(EXP(CH244^2*BT244)-1)+(CC244*BJ244)^2*(EXP(CI244^2*BT244)-1)+2*CA244*BH244*CB244*BI244*(EXP(CG244*CH244*BT244)-1)+2*CB244*BI244*CC244*BJ244*(EXP(CH244*CI244*BT244)-1)+2*CC244*BJ244*CA244*BH244*(EXP(CI244*CG244*BT244)-1))/(CE244*BR244)^2)/BT244),0),"")</f>
        <v>#VALUE!</v>
      </c>
      <c r="CL244" s="1587" t="e">
        <f aca="false">IF(OR(BQ244,BS244),IF(OVolType&lt;&gt;2,SQRT(IF(OVolOverMonthlyOffPeak,OVolOverMonthlyOffPeak,IF(OVolCurve,IF(OBuySell,AD244,AF244),AE244))^2*(1-15/365.25/BT244)+IF(OVolOverDailyOffPeak,OVolOverDailyOffPeak,IF(OVolCurve,IF(OBuySell,AP244,AR244),AQ244))^2*15/365.25/BT244),IF(OVolOverMonthlyOffPeak,OVolOverMonthlyOffPeak,IF(OVolCurve,IF(OBuySell,AD244,AF244),AE244))),"")</f>
        <v>#VALUE!</v>
      </c>
      <c r="CM244" s="1587" t="e">
        <f aca="false">IF(BQ244,SQRT(LN(1+((BY244*BP244)^2*(EXP(CJ244^2*BT244)-1)+(BX244*BC244)^2*(EXP(CL244^2*BT244)-1)+2*BY244*BP244*BX244*BC244*(EXP(AS244*CJ244*CL244*BT244)-1))/(BY244*BP244+BX244*BC244)^2)/BT244),"")</f>
        <v>#VALUE!</v>
      </c>
      <c r="CN244" s="1588" t="e">
        <f aca="false">IF(BS244,SQRT(LN(1+((CE244*BR244)^2*(EXP(CK244^2*BT244)-1)+(CD244*BK244)^2*(EXP(CL244^2*BT244)-1)+2*CE244*BR244*CD244*BK244*(EXP(AS244*CK244*CL244*BT244)-1))/(CE244*BR244+CD244*BK244)^2)/BT244),"")</f>
        <v>#VALUE!</v>
      </c>
      <c r="CO244" s="1531" t="e">
        <f aca="false">IF(OR(BQ244,BS244),VLOOKUP(A244,GasTable,13)*HeatRatePeak*(1+VLOOKUP($B244,HeatRateDegradation,$C244+1))/1000,0)</f>
        <v>#VALUE!</v>
      </c>
      <c r="CP244" s="1316" t="e">
        <f aca="false">IF(OR(BQ244,BS244),VLOOKUP(A244,GasTable,13)*HeatRatePeak*(1+VLOOKUP($B244,HeatRateDegradation,$C244+1))/1000,0)</f>
        <v>#VALUE!</v>
      </c>
      <c r="CQ244" s="1316" t="e">
        <f aca="false">IF(OR(BQ244,BS244),VLOOKUP(A244,GasTable,13)*IF(EV244,HeatRatePeak,HeatRateOffPeak)*(1+VLOOKUP($B244,HeatRateDegradation,$C244+1))/1000,0)</f>
        <v>#VALUE!</v>
      </c>
      <c r="CR244" s="1316" t="e">
        <f aca="false">IF(OR(BQ244,BS244),VLOOKUP(A244,GasTable,13)*IF(EW244,HeatRatePeak,HeatRateOffPeak)*(1+VLOOKUP($B244,HeatRateDegradation,$C244+1))/1000,0)</f>
        <v>#VALUE!</v>
      </c>
      <c r="CS244" s="1589" t="e">
        <f aca="false">IF(BQ244,(CO244*AZ244+CP244*BA244+CQ244*BB244+CR244*BC244)/BQ244,0)</f>
        <v>#VALUE!</v>
      </c>
      <c r="CT244" s="1316" t="e">
        <f aca="false">IF(BS244,CO244,0)</f>
        <v>#VALUE!</v>
      </c>
      <c r="CU244" s="1590" t="e">
        <f aca="false">IF(OR(BQ244,BS244),VLOOKUP(A244,GasTable,14),"")</f>
        <v>#VALUE!</v>
      </c>
      <c r="CV244" s="1568" t="e">
        <f aca="false">IF(OR(BQ244,BS244),IF(CorrPowerGasOverFlag,INDEX(CorrPowerGasOver,C244),CorrPowerGas),"")</f>
        <v>#VALUE!</v>
      </c>
      <c r="CW244" s="1316" t="e">
        <f aca="false">IF(OR($BQ244,$BS244),SpreadOptPowerMargin,0)*((1+Assumptions!$C$26)^($B244-YEAR(Assumptions!$C$17)))</f>
        <v>#VALUE!</v>
      </c>
      <c r="CX244" s="1316" t="e">
        <f aca="false">IF(OR($BQ244,$BS244),SpreadOptPowerMargin,0)*((1+Assumptions!$C$26)^($B244-YEAR(Assumptions!$C$17)))</f>
        <v>#VALUE!</v>
      </c>
      <c r="CY244" s="1316" t="e">
        <f aca="false">IF(OR($BQ244,$BS244),SpreadOptPowerMargin,0)*((1+Assumptions!$C$26)^($B244-YEAR(Assumptions!$C$17)))</f>
        <v>#VALUE!</v>
      </c>
      <c r="CZ244" s="1316" t="e">
        <f aca="false">IF(OR($BQ244,$BS244),SpreadOptPowerMargin,0)*((1+Assumptions!$C$26)^($B244-YEAR(Assumptions!$C$17)))</f>
        <v>#VALUE!</v>
      </c>
      <c r="DA244" s="1591" t="e">
        <f aca="false">IF(OR(BQ244,BS244),(CW244*(AZ244+BH244)+CX244*(BA244+BI244)+CY244*(BB244+BJ244)+CZ244*(BC244+BK244))/(BQ244+BS244),0)</f>
        <v>#VALUE!</v>
      </c>
      <c r="DB244" s="1592" t="e">
        <f aca="false">IF(OR(BQ244,BS244),CG244+IF(OVolSmile,VLOOKUP(MAX(-5,CO244+CW244-BU244),IF(OVolSmile=1,VolSmileBook,VolSmileModel),2),0),"")</f>
        <v>#VALUE!</v>
      </c>
      <c r="DC244" s="1592" t="e">
        <f aca="false">IF(OR(BQ244,BS244),CH244+IF(OVolSmile,VLOOKUP(MAX(-5,CP244+CW244-BV244),IF(OVolSmile=1,VolSmileBook,VolSmileModel),2),0),"")</f>
        <v>#VALUE!</v>
      </c>
      <c r="DD244" s="1592" t="e">
        <f aca="false">IF(OR(BQ244,BS244),CI244+IF(OVolSmile,VLOOKUP(MAX(-5,CQ244+CW244-BW244),IF(OVolSmile=1,VolSmileBook,VolSmileModel),2),0),"")</f>
        <v>#VALUE!</v>
      </c>
      <c r="DE244" s="1592" t="e">
        <f aca="false">IF(OR(BQ244,BS244),CL244+IF(OVolSmile,VLOOKUP(MAX(-5,CR244+CZ244-BX244),IF(OVolSmile=1,VolSmileBook,VolSmileModel),2),0),"")</f>
        <v>#VALUE!</v>
      </c>
      <c r="DF244" s="1592" t="e">
        <f aca="false">IF(BQ244,CM244+IF(OVolSmile,VLOOKUP(MAX(-5,CS244+DA244-BZ244),IF(OVolSmile=1,VolSmileBook,VolSmileModel),2),0),"")</f>
        <v>#VALUE!</v>
      </c>
      <c r="DG244" s="1593" t="e">
        <f aca="false">IF(BS244,CN244+IF(OVolSmile,VLOOKUP(MAX(-5,CT244+DA244-CF244),IF(OVolSmile=1,VolSmileBook,VolSmileModel),2),0),"")</f>
        <v>#VALUE!</v>
      </c>
      <c r="DH244" s="1316" t="e">
        <f aca="false">IF(AND(BU244&gt;0,CO244&gt;0,DB244&gt;0,CU244&gt;0),newSPRDOPT(BU244,CO244,CW244,0,DB244,CU244,CV244,BT244*365.25,OCallPut,0),0)</f>
        <v>#VALUE!</v>
      </c>
      <c r="DI244" s="1316" t="e">
        <f aca="false">IF(AND(BV244&gt;0,CP244&gt;0,DC244&gt;0,CU244&gt;0),newSPRDOPT(BV244,CP244,CX244,0,DC244,CU244,CV244,BT244*365.25,OCallPut,0),0)</f>
        <v>#VALUE!</v>
      </c>
      <c r="DJ244" s="1316" t="e">
        <f aca="false">IF(AND(BW244&gt;0,CQ244&gt;0,DD244&gt;0,CU244&gt;0),newSPRDOPT(BW244,CQ244,CY244,0,DD244,CU244,CV244,BT244*365.25,OCallPut,0),0)</f>
        <v>#VALUE!</v>
      </c>
      <c r="DK244" s="1316" t="e">
        <f aca="false">IF(AND(BX244&gt;0,CR244&gt;0,DE244&gt;0,CU244&gt;0),newSPRDOPT(BX244,CR244,CZ244,0,DE244,CU244,CV244,BT244*365.25,OCallPut,0),0)</f>
        <v>#VALUE!</v>
      </c>
      <c r="DL244" s="1316" t="e">
        <f aca="false">IF(OVolType,IF(AND(BZ244&gt;0,CS244&gt;0,DF244&gt;0,CU244&gt;0),newSPRDOPT(BZ244,CS244,DA244,0,DF244,CU244,CV244,BT244*365.25,OCallPut,0),0),IF(BQ244,(DH244*AZ244+DI244*BA244+DJ244*BB244+DK244*BC244)/BQ244,0))</f>
        <v>#VALUE!</v>
      </c>
      <c r="DM244" s="1316"/>
      <c r="DN244" s="1316"/>
      <c r="DO244" s="1316"/>
      <c r="DP244" s="1316"/>
      <c r="DQ244" s="1316"/>
      <c r="DR244" s="1316"/>
      <c r="DS244" s="1316"/>
      <c r="DT244" s="1316"/>
      <c r="DU244" s="1316"/>
      <c r="DV244" s="1316"/>
      <c r="DW244" s="1594" t="e">
        <f aca="false">IF(AND(BW244&gt;0,CT244&gt;0,DD244&gt;0,CU244&gt;0),newSPRDOPT(BW244,CT244,CY244,0,DD244,CU244,CV244,BT244*365.25,OCallPut,0),0)</f>
        <v>#VALUE!</v>
      </c>
      <c r="DX244" s="1316" t="e">
        <f aca="false">IF(AND(BX244&gt;0,CT244&gt;0,DE244&gt;0,CU244&gt;0),newSPRDOPT(BX244,CT244,CZ244,0,DE244,CU244,CV244,BT244*365.25,OCallPut,0),0)</f>
        <v>#VALUE!</v>
      </c>
      <c r="DY244" s="1591" t="e">
        <f aca="false">IF(BS244,(DH244*BH244+DI244*BI244+DW244*BJ244+DX244*BK244)/BS244,0)</f>
        <v>#VALUE!</v>
      </c>
      <c r="DZ244" s="1551" t="e">
        <f aca="false">DH244*AZ244</f>
        <v>#VALUE!</v>
      </c>
      <c r="EA244" s="1551" t="e">
        <f aca="false">DI244*BA244</f>
        <v>#VALUE!</v>
      </c>
      <c r="EB244" s="1551" t="e">
        <f aca="false">DJ244*BB244</f>
        <v>#VALUE!</v>
      </c>
      <c r="EC244" s="1551" t="e">
        <f aca="false">DK244*BC244</f>
        <v>#VALUE!</v>
      </c>
      <c r="ED244" s="1551" t="e">
        <f aca="false">DL244*BQ244</f>
        <v>#VALUE!</v>
      </c>
      <c r="EE244" s="1595" t="e">
        <f aca="false">IF(BQ244,IF(OCallPut,IF(BU244&gt;(CO244+CW244),BU244-(CO244+CW244),0),IF((CO244+CW244)&gt;BU244,(CO244+CW244)-BU244,0))*AZ244,0)</f>
        <v>#VALUE!</v>
      </c>
      <c r="EF244" s="1596" t="e">
        <f aca="false">IF(BQ244,IF(OCallPut,IF(BV244&gt;(CP244+CX244),BV244-(CP244+CX244),0),IF((CP244+CX244)&gt;BV244,(CP244+CX244)-BV244,0))*BA244,0)</f>
        <v>#VALUE!</v>
      </c>
      <c r="EG244" s="1596" t="e">
        <f aca="false">IF(BQ244,IF(OCallPut,IF(BW244&gt;(CQ244+CY244),BW244-(CQ244+CY244),0),IF((CQ244+CY244)&gt;BW244,(CQ244+CY244)-BW244,0))*BB244,0)</f>
        <v>#VALUE!</v>
      </c>
      <c r="EH244" s="1596" t="e">
        <f aca="false">IF(BQ244,IF(OCallPut,IF(BX244&gt;(CR244+CZ244),BX244-(CR244+CZ244),0),IF((CR244+CZ244)&gt;BX244,(CR244+CZ244)-BX244,0))*BC244,0)</f>
        <v>#VALUE!</v>
      </c>
      <c r="EI244" s="1597" t="e">
        <f aca="false">IF(BQ244,IF(OVolType,IF(OCallPut,IF(BZ244&gt;(CS244+DA244),BZ244-(CS244+DA244),0),IF((CS244+DA244)&gt;BZ244,(CS244+DA244)-BZ244,0))*BQ244,SUM(EE244:EH244)),0)</f>
        <v>#VALUE!</v>
      </c>
      <c r="EJ244" s="1595" t="e">
        <f aca="false">DZ244-EE244</f>
        <v>#VALUE!</v>
      </c>
      <c r="EK244" s="1596" t="e">
        <f aca="false">EA244-EF244</f>
        <v>#VALUE!</v>
      </c>
      <c r="EL244" s="1596" t="e">
        <f aca="false">EB244-EG244</f>
        <v>#VALUE!</v>
      </c>
      <c r="EM244" s="1596" t="e">
        <f aca="false">EC244-EH244</f>
        <v>#VALUE!</v>
      </c>
      <c r="EN244" s="1597" t="e">
        <f aca="false">ED244-EI244</f>
        <v>#VALUE!</v>
      </c>
      <c r="EO244" s="1551" t="e">
        <f aca="false">DH244*BH244</f>
        <v>#VALUE!</v>
      </c>
      <c r="EP244" s="1551" t="e">
        <f aca="false">DI244*BI244</f>
        <v>#VALUE!</v>
      </c>
      <c r="EQ244" s="1551" t="e">
        <f aca="false">DW244*BJ244</f>
        <v>#VALUE!</v>
      </c>
      <c r="ER244" s="1551" t="e">
        <f aca="false">DX244*BK244</f>
        <v>#VALUE!</v>
      </c>
      <c r="ES244" s="1551" t="e">
        <f aca="false">DY244*BS244</f>
        <v>#VALUE!</v>
      </c>
      <c r="ET244" s="1566" t="e">
        <f aca="false">IF(EI244,IF(OCallPut,IF(CA244&gt;(CT244+CW244),CA244-(CT244+CW244),0),IF((CT244+CW244)&gt;CA244,(CT244+CW244)-CA244,0))*BH244,0)</f>
        <v>#VALUE!</v>
      </c>
      <c r="EU244" s="1551" t="e">
        <f aca="false">IF(EI244,IF(OCallPut,IF(CB244&gt;(CT244+CX244),CB244-(CT244+CX244),0),IF((CT244+CX244)&gt;CB244,(CT244+CX244)-CB244,0))*BI244,0)</f>
        <v>#VALUE!</v>
      </c>
      <c r="EV244" s="1551" t="e">
        <f aca="false">IF(EI244,IF(OCallPut,IF(CC244&gt;(CT244+CY244),CC244-(CT244+CY244),0),IF((CT244+CY244)&gt;CC244,(CT244+CY244)-CC244,0))*BJ244,0)</f>
        <v>#VALUE!</v>
      </c>
      <c r="EW244" s="1551" t="e">
        <f aca="false">IF(EI244,IF(OCallPut,IF(CD244&gt;(CT244+CZ244),CD244-(CT244+CZ244),0),IF((CT244+CZ244)&gt;CD244,(CT244+CZ244)-CD244,0))*BK244,0)</f>
        <v>#VALUE!</v>
      </c>
      <c r="EX244" s="1558" t="e">
        <f aca="false">IF(EI244,SUM(ET244:EW244),0)</f>
        <v>#VALUE!</v>
      </c>
      <c r="EY244" s="1551" t="e">
        <f aca="false">EO244-ET244</f>
        <v>#VALUE!</v>
      </c>
      <c r="EZ244" s="1551" t="e">
        <f aca="false">EP244-EU244</f>
        <v>#VALUE!</v>
      </c>
      <c r="FA244" s="1551" t="e">
        <f aca="false">EQ244-EV244</f>
        <v>#VALUE!</v>
      </c>
      <c r="FB244" s="1551" t="e">
        <f aca="false">ER244-EW244</f>
        <v>#VALUE!</v>
      </c>
      <c r="FC244" s="1551" t="e">
        <f aca="false">ES244-EX244</f>
        <v>#VALUE!</v>
      </c>
      <c r="FD244" s="1525" t="n">
        <f aca="false">IF(AX244,IF(VLOOKUP(C244,MAIN!$L$17:$M$28,2)="Yes",VLOOKUP(CALC!B244,MAIN!$H$17:$I$20,2),0),0)</f>
        <v>0</v>
      </c>
      <c r="FE244" s="1552" t="e">
        <f aca="false">$FD244*16*AT244*(1-$AY244)</f>
        <v>#VALUE!</v>
      </c>
      <c r="FF244" s="1553" t="e">
        <f aca="false">$FD244*16*AU244*(1-$AY244)</f>
        <v>#VALUE!</v>
      </c>
      <c r="FG244" s="1553" t="e">
        <f aca="false">$FD244*16*(AV244+AW244)*(1-$AY244)</f>
        <v>#VALUE!</v>
      </c>
      <c r="FH244" s="1554" t="n">
        <f aca="false">$FD244*8*AX244*(1-$AY244)</f>
        <v>0</v>
      </c>
      <c r="FI244" s="1555" t="n">
        <f aca="false">IF(AX244,VLOOKUP(CALC!B244,MAIN!$H$17:$K$20,4),0)</f>
        <v>0</v>
      </c>
      <c r="FJ244" s="1553" t="e">
        <f aca="false">SUM(FE244:FH244)</f>
        <v>#VALUE!</v>
      </c>
      <c r="FK244" s="1556" t="e">
        <f aca="false">FI244*FJ244</f>
        <v>#VALUE!</v>
      </c>
      <c r="FL244" s="1551" t="e">
        <f aca="false">IF($EI244&gt;0,MIN(FE244,AZ244*(1+VLOOKUP($C244,WeatherCapacityAdjustment,2))),0)</f>
        <v>#VALUE!</v>
      </c>
      <c r="FM244" s="1551" t="e">
        <f aca="false">IF($EI244&gt;0,MIN(FF244,BA244*(1+VLOOKUP($C244,WeatherCapacityAdjustment,2))),0)</f>
        <v>#VALUE!</v>
      </c>
      <c r="FN244" s="1551" t="e">
        <f aca="false">IF($EI244&gt;0,MIN(FG244,BB244*(1+VLOOKUP($C244,WeatherCapacityAdjustment,2))),0)</f>
        <v>#VALUE!</v>
      </c>
      <c r="FO244" s="1564" t="e">
        <f aca="false">IF($EI244&gt;0,MIN(FH244,BC244*(1+VLOOKUP($C244,WeatherCapacityAdjustment,3))),0)</f>
        <v>#VALUE!</v>
      </c>
      <c r="FP244" s="1551" t="e">
        <f aca="false">IF(ET244&gt;0,MIN(FE244-FL244,BH244*(1+VLOOKUP($C244,WeatherCapacityAdjustment,2))),0)</f>
        <v>#VALUE!</v>
      </c>
      <c r="FQ244" s="1551" t="e">
        <f aca="false">IF(EU244&gt;0,MIN(FF244-FM244,BI244*(1+VLOOKUP($C244,WeatherCapacityAdjustment,2))),0)</f>
        <v>#VALUE!</v>
      </c>
      <c r="FR244" s="1551" t="e">
        <f aca="false">IF(EV244&gt;0,MIN(FG244-FN244,BJ244*(1+VLOOKUP($C244,WeatherCapacityAdjustment,2))),0)</f>
        <v>#VALUE!</v>
      </c>
      <c r="FS244" s="1558" t="e">
        <f aca="false">IF(EW244&gt;0,MIN(FH244-FO244,BK244*(1+VLOOKUP($C244,WeatherCapacityAdjustment,3))),0)</f>
        <v>#VALUE!</v>
      </c>
      <c r="FT244" s="1566" t="e">
        <f aca="false">IF(AND(Assumptions!$H$71="Yes",A244&gt;=Assumptions!$H$72,A244&lt;=Assumptions!$H$73),0,IF(AND($A244&gt;=Assumptions!$C$17,$A244&lt;=Assumptions!$C$18),MAX(AZ244*(1+VLOOKUP($C244,WeatherCapacityAdjustment,2))-FL244,0),0))</f>
        <v>#VALUE!</v>
      </c>
      <c r="FU244" s="1551" t="e">
        <f aca="false">IF(AND(Assumptions!$H$71="Yes",A244&gt;=Assumptions!$H$72,A244&lt;=Assumptions!$H$73),0,IF(AND($A244&gt;=Assumptions!$C$17,$A244&lt;=Assumptions!$C$18),MAX(BA244*(1+VLOOKUP($C244,WeatherCapacityAdjustment,2))-FM244,0),0))</f>
        <v>#VALUE!</v>
      </c>
      <c r="FV244" s="1551" t="e">
        <f aca="false">IF(AND(Assumptions!$H$71="Yes",A244&gt;=Assumptions!$H$72,A244&lt;=Assumptions!$H$73),0,IF(AND($A244&gt;=Assumptions!$C$17,$A244&lt;=Assumptions!$C$18),MAX(BB244*(1+VLOOKUP($C244,WeatherCapacityAdjustment,2))-FN244,0),0))</f>
        <v>#VALUE!</v>
      </c>
      <c r="FW244" s="1564" t="e">
        <f aca="false">IF(AND(Assumptions!$H$71="Yes",A244&gt;=Assumptions!$H$72,A244&lt;=Assumptions!$H$73),0,IF(AND($A244&gt;=Assumptions!$C$17,$A244&lt;=Assumptions!$C$18),MAX(BC244*(1+VLOOKUP($C244,WeatherCapacityAdjustment,3))-FO244,0),0))</f>
        <v>#VALUE!</v>
      </c>
      <c r="FX244" s="1569" t="e">
        <f aca="false">IF(AND(Assumptions!$H$71="Yes",A244&gt;=Assumptions!$H$72,A244&lt;=Assumptions!$H$73),0,IF(ET244&gt;0,MAX(BH244*(1+VLOOKUP($C244,WeatherCapacityAdjustment,2))-FP244,0),0))</f>
        <v>#VALUE!</v>
      </c>
      <c r="FY244" s="1551" t="e">
        <f aca="false">IF(AND(Assumptions!$H$71="Yes",A244&gt;=Assumptions!$H$72,A244&lt;=Assumptions!$H$73),0,IF(EU244&gt;0,MAX(BI244*(1+VLOOKUP($C244,WeatherCapacityAdjustment,3))-FQ244,0),0))</f>
        <v>#VALUE!</v>
      </c>
      <c r="FZ244" s="1551" t="e">
        <f aca="false">IF(AND(Assumptions!$H$71="Yes",A244&gt;=Assumptions!$H$72,A244&lt;=Assumptions!$H$73),0,IF(EV244&gt;0,MAX(BJ244*(1+VLOOKUP($C244,WeatherCapacityAdjustment,2))-FR244,0),0))</f>
        <v>#VALUE!</v>
      </c>
      <c r="GA244" s="1564" t="e">
        <f aca="false">IF(AND(Assumptions!$H$71="Yes",A244&gt;=Assumptions!$H$72,A244&lt;=Assumptions!$H$73),0,IF(EW244&gt;0,MAX(BK244*(1+VLOOKUP($C244,WeatherCapacityAdjustment,2))-FS244,0),0))</f>
        <v>#VALUE!</v>
      </c>
      <c r="GB244" s="1551" t="e">
        <f aca="false">SUM(FT244:GA244)</f>
        <v>#VALUE!</v>
      </c>
      <c r="GC244" s="1563" t="e">
        <f aca="false">+IF(SUM(FT244:GA244)=0,0,(SUMPRODUCT(BU244:BX244,FT244:FW244)+SUMPRODUCT(CA244:CD244,FX244:GA244))/SUM(FT244:GA244))</f>
        <v>#VALUE!</v>
      </c>
      <c r="GD244" s="1551" t="e">
        <f aca="false">(FT244*BU244+FX244*CA244+FU244*BV244+FY244*CB244+FV244*BW244+FZ244*CC244+FW244*BX244+GA244*CD244)</f>
        <v>#VALUE!</v>
      </c>
      <c r="GE244" s="1561" t="e">
        <f aca="false">+IF(BQ244,((FL244+FM244+FT244+FU244)*HeatRatePeak/1000*(1+VLOOKUP($C244,WeatherHeatRateAdjustment,2))+(FN244+FV244)*IF(EV244&gt;0,HeatRatePeak,HeatRateOffPeak)/1000*(1+VLOOKUP($C244,WeatherHeatRateAdjustment,2))+(FO244+FW244)*IF(EW244&gt;0,HeatRatePeak,HeatRateOffPeak)/1000*(1+VLOOKUP($C244,WeatherHeatRateAdjustment,3)))*(1+VLOOKUP($B244,HeatRateDegradation,$C244+1)),0)</f>
        <v>#VALUE!</v>
      </c>
      <c r="GF244" s="1562" t="e">
        <f aca="false">IF(BQ244,((FP244+FQ244+FR244+FX244+FY244+FZ244)*HeatRatePeak/1000*(1+VLOOKUP($C244,WeatherHeatRateAdjustment,2))+(FS244+GA244)*HeatRatePeak/1000*(1+VLOOKUP($C244,WeatherHeatRateAdjustment,3)))*(1+VLOOKUP($B244,HeatRateDegradation,$C244+1)),0)</f>
        <v>#VALUE!</v>
      </c>
      <c r="GG244" s="1563" t="e">
        <f aca="false">IF(BQ244,VLOOKUP(A244,GasTable,13),0)</f>
        <v>#VALUE!</v>
      </c>
      <c r="GH244" s="1564" t="e">
        <f aca="false">(GE244+GF244)*GG244</f>
        <v>#VALUE!</v>
      </c>
      <c r="GI244" s="1569" t="e">
        <f aca="false">GB244</f>
        <v>#VALUE!</v>
      </c>
      <c r="GJ244" s="1598" t="e">
        <f aca="false">+DA244</f>
        <v>#VALUE!</v>
      </c>
      <c r="GK244" s="1558" t="e">
        <f aca="false">+GI244*GJ244</f>
        <v>#VALUE!</v>
      </c>
      <c r="GL244" s="1566" t="e">
        <f aca="false">MAX(FE244-FL244-FP244,0)</f>
        <v>#VALUE!</v>
      </c>
      <c r="GM244" s="1551" t="e">
        <f aca="false">MAX(FF244-FM244-FQ244,0)</f>
        <v>#VALUE!</v>
      </c>
      <c r="GN244" s="1551" t="e">
        <f aca="false">MAX(FG244-FN244-FR244,0)</f>
        <v>#VALUE!</v>
      </c>
      <c r="GO244" s="1564" t="e">
        <f aca="false">MAX(FH244-FO244-FS244,0)</f>
        <v>#VALUE!</v>
      </c>
      <c r="GP244" s="1551" t="e">
        <f aca="false">SUM(GL244:GO244)</f>
        <v>#VALUE!</v>
      </c>
      <c r="GQ244" s="1563" t="e">
        <f aca="false">IF(SUM(GL244:GO244)=0,0,((GL244*BU244+GM244*BV244+GN244*BW244+GO244*BX244)/SUM(GL244:GO244)))</f>
        <v>#VALUE!</v>
      </c>
      <c r="GR244" s="1558" t="e">
        <f aca="false">(GL244*BU244+GM244*BV244+GN244*BW244+GO244*BX244)</f>
        <v>#VALUE!</v>
      </c>
      <c r="GS244" s="1566" t="n">
        <f aca="false">IF($A244&gt;=BegDate,Assumptions!$C$56*24*($A245-$A244)*(1-VLOOKUP($B244,MAIN!$AA$7:$AM$28,$C244+1))*(1-VLOOKUP($B244,MAIN!$AA$33:$AM$54,$C244+1)),0)*80/168</f>
        <v>224485.714285714</v>
      </c>
      <c r="GT244" s="286" t="n">
        <f aca="false">J244</f>
        <v>42.355765073425</v>
      </c>
      <c r="GU244" s="286" t="n">
        <f aca="false">IF($A244&gt;=BegDate,VLOOKUP($A244,GasTable,13)+Assumptions!$C$58,0)</f>
        <v>3.47163436601663</v>
      </c>
      <c r="GV244" s="286" t="n">
        <f aca="false">GU244*Assumptions!$C$57/1000</f>
        <v>25.1693491536206</v>
      </c>
      <c r="GW244" s="1558" t="n">
        <f aca="false">IF(Assumptions!$C$60="Hourly",MAX(0,GS244*(GT244-GV244)),GS244*(GT244-GV244))</f>
        <v>3858104.85376867</v>
      </c>
      <c r="GX244" s="1566" t="n">
        <f aca="false">IF($A244&gt;=BegDate,Assumptions!$C$56*24*($A245-$A244)*(1-VLOOKUP($B244,MAIN!$AA$7:$AM$28,$C244+1))*(1-VLOOKUP($B244,MAIN!$AA$33:$AM$54,$C244+1)),0)*16/168</f>
        <v>44897.1428571429</v>
      </c>
      <c r="GY244" s="286" t="n">
        <f aca="false">M244</f>
        <v>42.355765073425</v>
      </c>
      <c r="GZ244" s="286" t="n">
        <f aca="false">IF($A244&gt;=BegDate,VLOOKUP($A244,GasTable,13)+Assumptions!$C$58,0)</f>
        <v>3.47163436601663</v>
      </c>
      <c r="HA244" s="286" t="n">
        <f aca="false">GZ244*Assumptions!$C$57/1000</f>
        <v>25.1693491536206</v>
      </c>
      <c r="HB244" s="1558" t="n">
        <f aca="false">IF(Assumptions!$C$60="Hourly",MAX(0,GX244*(GY244-HA244)),GX244*(GY244-HA244))</f>
        <v>771620.970753733</v>
      </c>
      <c r="HC244" s="1566" t="n">
        <f aca="false">IF($A244&gt;=BegDate,Assumptions!$C$56*24*($A245-$A244)*(1-VLOOKUP($B244,MAIN!$AA$7:$AM$28,$C244+1))*(1-VLOOKUP($B244,MAIN!$AA$33:$AM$54,$C244+1)),0)*16/168</f>
        <v>44897.1428571429</v>
      </c>
      <c r="HD244" s="286" t="n">
        <f aca="false">P244</f>
        <v>28.9624258776734</v>
      </c>
      <c r="HE244" s="286" t="n">
        <f aca="false">IF($A244&gt;=BegDate,VLOOKUP($A244,GasTable,13)+Assumptions!$C$58,0)</f>
        <v>3.47163436601663</v>
      </c>
      <c r="HF244" s="286" t="n">
        <f aca="false">HE244*Assumptions!$C$57/1000</f>
        <v>25.1693491536206</v>
      </c>
      <c r="HG244" s="1558" t="n">
        <f aca="false">IF(Assumptions!$C$60="Hourly",MAX(0,HC244*(HD244-HF244)),HC244*(HD244-HF244))</f>
        <v>170298.307547904</v>
      </c>
      <c r="HH244" s="1566" t="n">
        <f aca="false">IF($A244&gt;=BegDate,Assumptions!$C$56*24*($A245-$A244)*(1-VLOOKUP($B244,MAIN!$AA$7:$AM$28,$C244+1))*(1-VLOOKUP($B244,MAIN!$AA$33:$AM$54,$C244+1)),0)*56/168</f>
        <v>157140</v>
      </c>
      <c r="HI244" s="286" t="n">
        <f aca="false">S244</f>
        <v>28.9624258776734</v>
      </c>
      <c r="HJ244" s="286" t="n">
        <f aca="false">IF($A244&gt;=BegDate,VLOOKUP($A244,GasTable,13)+Assumptions!$C$58,0)</f>
        <v>3.47163436601663</v>
      </c>
      <c r="HK244" s="286" t="n">
        <f aca="false">HJ244*Assumptions!$C$57/1000</f>
        <v>25.1693491536206</v>
      </c>
      <c r="HL244" s="1558" t="n">
        <f aca="false">IF(Assumptions!$C$60="Hourly",MAX(0,HH244*(HI244-HK244)),HH244*(HI244-HK244))</f>
        <v>596044.076417664</v>
      </c>
      <c r="HM244" s="1566" t="n">
        <f aca="false">IF(AND(Assumptions!$H$71="Yes",A244&gt;=Assumptions!$H$72,A244&lt;=Assumptions!$H$73),Assumptions!$H$74*Assumptions!$C$9*1000,0)</f>
        <v>0</v>
      </c>
      <c r="HN244" s="1551"/>
      <c r="HO244" s="1563"/>
      <c r="HP244" s="1563"/>
      <c r="HQ244" s="1563"/>
      <c r="HR244" s="1563"/>
      <c r="HS244" s="1563"/>
      <c r="HT244" s="1563"/>
      <c r="HU244" s="1563"/>
      <c r="HV244" s="1563"/>
      <c r="HW244" s="1563"/>
      <c r="HX244" s="1563"/>
      <c r="HY244" s="1563"/>
      <c r="HZ244" s="1563"/>
      <c r="IA244" s="1563"/>
      <c r="IB244" s="1563"/>
      <c r="IC244" s="1563"/>
      <c r="ID244" s="1563"/>
      <c r="IE244" s="1563"/>
      <c r="IF244" s="1563"/>
      <c r="IG244" s="1563"/>
      <c r="IH244" s="1563"/>
      <c r="II244" s="1610"/>
      <c r="IJ244" s="1309"/>
      <c r="IK244" s="1309"/>
    </row>
    <row r="245" customFormat="false" ht="12.75" hidden="false" customHeight="false" outlineLevel="0" collapsed="false">
      <c r="A245" s="1571" t="n">
        <f aca="false">EOMONTH(A244,0)+1</f>
        <v>43586</v>
      </c>
      <c r="B245" s="594" t="n">
        <f aca="false">+YEAR(A245)</f>
        <v>2019</v>
      </c>
      <c r="C245" s="238" t="n">
        <f aca="false">MONTH(A245)</f>
        <v>5</v>
      </c>
      <c r="D245" s="1572" t="e">
        <f aca="false">IF(E245="","",Holiday(B245,C245))</f>
        <v>#VALUE!</v>
      </c>
      <c r="E245" s="1573" t="n">
        <f aca="false">IF(OR(BegDate&gt;=A246,EndDate&lt;A245,AND(VolumeMonthlyOverFlag,INDEX(VolumeMonthlyOver,C245)=0),NOT(INDEX(MonthKnockOutTable,C245))),"",MAX(A245,BegDate))</f>
        <v>43586</v>
      </c>
      <c r="F245" s="1574" t="n">
        <f aca="false">IF(E245="","",MIN(A246-1,EndDate))</f>
        <v>43616</v>
      </c>
      <c r="G245" s="1575" t="n">
        <v>0</v>
      </c>
      <c r="H245" s="1576" t="n">
        <f aca="false">(1+G245/2)^(-2*(DATE(B246,C246,20)-DateToday)/365.25)</f>
        <v>1</v>
      </c>
      <c r="I245" s="1568" t="n">
        <f aca="false">IF(Assumptions!$L$25=4,VLOOKUP($A245,'Henwood Reference'!$E$9:$R$320,10),(VLOOKUP($A245,PriceTable,2,0)+IF(BasisNumber&lt;&gt;1,VLOOKUP($A245,BasisTable,2,0),0)+I$1)/(1-I$2))</f>
        <v>47.295374716115</v>
      </c>
      <c r="J245" s="1568" t="n">
        <f aca="false">IF(Assumptions!$L$25=4,VLOOKUP($A245,'Henwood Reference'!$E$9:$R$320,10),(VLOOKUP($A245,PriceTable,3,0)+IF(BasisNumber&lt;&gt;1,VLOOKUP($A245,BasisTable,2,0),0)+J$1)/(1-J$2))</f>
        <v>47.295374716115</v>
      </c>
      <c r="K245" s="1568" t="n">
        <f aca="false">IF(Assumptions!$L$25=4,VLOOKUP($A245,'Henwood Reference'!$E$9:$R$320,10),(VLOOKUP($A245,PriceTable,4,0)+IF(BasisNumber&lt;&gt;1,VLOOKUP($A245,BasisTable,2,0),0)+K$1)/(1-K$2))</f>
        <v>47.295374716115</v>
      </c>
      <c r="L245" s="1523" t="n">
        <f aca="false">IF(Assumptions!$L$25=4,VLOOKUP($A245,'Henwood Reference'!$E$9:$R$320,10),(VLOOKUP($A245,PriceTableWeekend,2,0)+IF(BasisNumber&lt;&gt;1,VLOOKUP($A245,BasisTable,2,0),0)+L$1)/(1-L$2))</f>
        <v>47.295374716115</v>
      </c>
      <c r="M245" s="1568" t="n">
        <f aca="false">IF(Assumptions!$L$25=4,VLOOKUP($A245,'Henwood Reference'!$E$9:$R$320,10),(VLOOKUP($A245,PriceTableWeekend,3,0)+IF(BasisNumber&lt;&gt;1,VLOOKUP($A245,BasisTable,2,0),0)+M$1)/(1-M$2))</f>
        <v>47.295374716115</v>
      </c>
      <c r="N245" s="1599" t="n">
        <f aca="false">IF(Assumptions!$L$25=4,VLOOKUP($A245,'Henwood Reference'!$E$9:$R$320,10),(VLOOKUP($A245,PriceTableWeekend,4,0)+IF(BasisNumber&lt;&gt;1,VLOOKUP($A245,BasisTable,2,0),0)+N$1)/(1-N$2))</f>
        <v>47.295374716115</v>
      </c>
      <c r="O245" s="1568" t="n">
        <f aca="false">IF(Assumptions!$L$25=4,VLOOKUP($A245,'Henwood Reference'!$E$9:$R$320,11),(VLOOKUP($A245,PriceTableWeekend,6,0)+IF(BasisNumber&lt;&gt;1,VLOOKUP($A245,BasisTable,3,0),0)+O$1)/(1-O$2))</f>
        <v>29.3952444770314</v>
      </c>
      <c r="P245" s="1568" t="n">
        <f aca="false">IF(Assumptions!$L$25=4,VLOOKUP($A245,'Henwood Reference'!$E$9:$R$320,11),(VLOOKUP($A245,PriceTableWeekend,7,0)+IF(BasisNumber&lt;&gt;1,VLOOKUP($A245,BasisTable,3,0),0)+P$1)/(1-P$2))</f>
        <v>29.3952444770314</v>
      </c>
      <c r="Q245" s="1599" t="n">
        <f aca="false">IF(Assumptions!$L$25=4,VLOOKUP($A245,'Henwood Reference'!$E$9:$R$320,11),(VLOOKUP($A245,PriceTableWeekend,8,0)+IF(BasisNumber&lt;&gt;1,VLOOKUP($A245,BasisTable,3,0),0)+Q$1)/(1-Q$2))</f>
        <v>29.3952444770314</v>
      </c>
      <c r="R245" s="1568" t="n">
        <f aca="false">IF(Assumptions!$L$25=4,VLOOKUP($A245,'Henwood Reference'!$E$9:$R$320,11),(VLOOKUP($A245,PriceTable,6,0)+IF(BasisNumber&lt;&gt;1,VLOOKUP($A245,BasisTable,3,0),0)+R$1)/(1-R$2))</f>
        <v>29.3952444770314</v>
      </c>
      <c r="S245" s="1568" t="n">
        <f aca="false">IF(Assumptions!$L$25=4,VLOOKUP($A245,'Henwood Reference'!$E$9:$R$320,11),(VLOOKUP($A245,PriceTable,7,0)+IF(BasisNumber&lt;&gt;1,VLOOKUP($A245,BasisTable,3,0),0)+S$1)/(1-S$2))</f>
        <v>29.3952444770314</v>
      </c>
      <c r="T245" s="1600" t="n">
        <f aca="false">IF(Assumptions!$L$25=4,VLOOKUP($A245,'Henwood Reference'!$E$9:$R$320,11),(VLOOKUP($A245,PriceTable,8,0)+IF(BasisNumber&lt;&gt;1,VLOOKUP($A245,BasisTable,3,0),0)+T$1)/(1-T$2))</f>
        <v>29.3952444770314</v>
      </c>
      <c r="U245" s="1513" t="n">
        <f aca="false">VLOOKUP($A245,VolatilityTable,14)</f>
        <v>0.09</v>
      </c>
      <c r="V245" s="1513" t="n">
        <f aca="false">VLOOKUP($A245,VolatilityTable,15)</f>
        <v>0.1</v>
      </c>
      <c r="W245" s="1514" t="n">
        <f aca="false">VLOOKUP($A245,VolatilityTable,16)</f>
        <v>0.11</v>
      </c>
      <c r="X245" s="1513" t="n">
        <f aca="false">VLOOKUP($A245,VolatilityTable,14)</f>
        <v>0.09</v>
      </c>
      <c r="Y245" s="1513" t="n">
        <f aca="false">VLOOKUP($A245,VolatilityTable,15)</f>
        <v>0.1</v>
      </c>
      <c r="Z245" s="1514" t="n">
        <f aca="false">VLOOKUP($A245,VolatilityTable,16)</f>
        <v>0.11</v>
      </c>
      <c r="AA245" s="1513" t="n">
        <f aca="false">VLOOKUP($A245,VolatilityTable,18)</f>
        <v>0.09</v>
      </c>
      <c r="AB245" s="1513" t="n">
        <f aca="false">VLOOKUP($A245,VolatilityTable,19)</f>
        <v>0.11</v>
      </c>
      <c r="AC245" s="1514" t="n">
        <f aca="false">VLOOKUP($A245,VolatilityTable,20)</f>
        <v>0.13</v>
      </c>
      <c r="AD245" s="1513" t="n">
        <f aca="false">VLOOKUP($A245,VolatilityTable,18)</f>
        <v>0.09</v>
      </c>
      <c r="AE245" s="1513" t="n">
        <f aca="false">VLOOKUP($A245,VolatilityTable,19)</f>
        <v>0.11</v>
      </c>
      <c r="AF245" s="1514" t="n">
        <f aca="false">VLOOKUP($A245,VolatilityTable,20)</f>
        <v>0.13</v>
      </c>
      <c r="AG245" s="1513" t="n">
        <f aca="false">VLOOKUP($A245,VolatilityTable,22)</f>
        <v>-0.1</v>
      </c>
      <c r="AH245" s="1513" t="n">
        <f aca="false">VLOOKUP($A245,VolatilityTable,23)</f>
        <v>0.65</v>
      </c>
      <c r="AI245" s="1514" t="n">
        <f aca="false">VLOOKUP($A245,VolatilityTable,24)</f>
        <v>0.1</v>
      </c>
      <c r="AJ245" s="1513" t="n">
        <f aca="false">VLOOKUP($A245,VolatilityTable,22)</f>
        <v>-0.1</v>
      </c>
      <c r="AK245" s="1513" t="n">
        <f aca="false">VLOOKUP($A245,VolatilityTable,23)</f>
        <v>0.65</v>
      </c>
      <c r="AL245" s="1514" t="n">
        <f aca="false">VLOOKUP($A245,VolatilityTable,24)</f>
        <v>0.1</v>
      </c>
      <c r="AM245" s="1513" t="n">
        <f aca="false">VLOOKUP($A245,VolatilityTable,26)</f>
        <v>-0.01</v>
      </c>
      <c r="AN245" s="1513" t="n">
        <f aca="false">VLOOKUP($A245,VolatilityTable,27)</f>
        <v>0.16</v>
      </c>
      <c r="AO245" s="1514" t="n">
        <f aca="false">VLOOKUP($A245,VolatilityTable,28)</f>
        <v>0.01</v>
      </c>
      <c r="AP245" s="1513" t="n">
        <f aca="false">VLOOKUP($A245,VolatilityTable,26)</f>
        <v>-0.01</v>
      </c>
      <c r="AQ245" s="1513" t="n">
        <f aca="false">VLOOKUP($A245,VolatilityTable,27)</f>
        <v>0.16</v>
      </c>
      <c r="AR245" s="1515" t="n">
        <f aca="false">VLOOKUP($A245,VolatilityTable,28)</f>
        <v>0.01</v>
      </c>
      <c r="AS245" s="1581" t="n">
        <f aca="false">IF(CorrPeakOffPeakOverFlag,INDEX(CorrPeakOffPeakOver,C245),CorrPeakOffPeak)</f>
        <v>0.5</v>
      </c>
      <c r="AT245" s="594" t="e">
        <f aca="false">AX245-SUM(AU245:AW245)</f>
        <v>#VALUE!</v>
      </c>
      <c r="AU245" s="238" t="e">
        <f aca="false">IF(E245="",0,INT((F245-MOD(F245,7)-E245)/7)+1-IF(AW245,IF(WEEKDAY(D245)=7,1,0),0))</f>
        <v>#VALUE!</v>
      </c>
      <c r="AV245" s="238" t="e">
        <f aca="false">IF(E245="",0,INT((F245-MOD(F245-1,7)-E245)/7)+1-IF(AW245,IF(WEEKDAY(D245)=1,1,0),0))</f>
        <v>#VALUE!</v>
      </c>
      <c r="AW245" s="238" t="e">
        <f aca="false">IF(OR(E245="",D245="",D245&lt;BegDate,D245&gt;EndDate),0,1)</f>
        <v>#VALUE!</v>
      </c>
      <c r="AX245" s="238" t="n">
        <f aca="false">IF(E245="",0,F245-E245+1)</f>
        <v>31</v>
      </c>
      <c r="AY245" s="1582" t="n">
        <f aca="false">IF(E245="",0,MIN((1-(1-VLOOKUP(B245,MAIN!$AA$7:$AM$28,C245+1))*(1-VLOOKUP(B245,MAIN!$AA$33:$AM$54,C245+1))),1))</f>
        <v>0.03</v>
      </c>
      <c r="AZ245" s="1519" t="e">
        <v>#VALUE!</v>
      </c>
      <c r="BA245" s="1520" t="e">
        <v>#VALUE!</v>
      </c>
      <c r="BB245" s="1520" t="e">
        <v>#VALUE!</v>
      </c>
      <c r="BC245" s="1583" t="e">
        <v>#VALUE!</v>
      </c>
      <c r="BD245" s="1522" t="e">
        <v>#VALUE!</v>
      </c>
      <c r="BE245" s="1523" t="e">
        <v>#VALUE!</v>
      </c>
      <c r="BF245" s="1523" t="e">
        <v>#VALUE!</v>
      </c>
      <c r="BG245" s="1584" t="e">
        <v>#VALUE!</v>
      </c>
      <c r="BH245" s="1525" t="e">
        <v>#VALUE!</v>
      </c>
      <c r="BI245" s="1520" t="e">
        <v>#VALUE!</v>
      </c>
      <c r="BJ245" s="1520" t="e">
        <v>#VALUE!</v>
      </c>
      <c r="BK245" s="1583" t="e">
        <v>#VALUE!</v>
      </c>
      <c r="BL245" s="1522" t="e">
        <v>#VALUE!</v>
      </c>
      <c r="BM245" s="1523" t="e">
        <v>#VALUE!</v>
      </c>
      <c r="BN245" s="1523" t="e">
        <v>#VALUE!</v>
      </c>
      <c r="BO245" s="1523" t="e">
        <v>#VALUE!</v>
      </c>
      <c r="BP245" s="1525" t="e">
        <f aca="false">SUM(AZ245:BB245)</f>
        <v>#VALUE!</v>
      </c>
      <c r="BQ245" s="1529" t="e">
        <f aca="false">SUM(AZ245:BC245)</f>
        <v>#VALUE!</v>
      </c>
      <c r="BR245" s="1519" t="e">
        <f aca="false">SUM(BH245:BJ245)</f>
        <v>#VALUE!</v>
      </c>
      <c r="BS245" s="1529" t="e">
        <f aca="false">SUM(BH245:BK245)</f>
        <v>#VALUE!</v>
      </c>
      <c r="BT245" s="1316" t="n">
        <f aca="false">(IF(OVolType&lt;&gt;2,A245+14,IF(OptExpDateShift,ShiftBack(A245,OptExpDateShift,D244),A245))-DateToday)/365.25</f>
        <v>19.0444900752909</v>
      </c>
      <c r="BU245" s="1585" t="e">
        <f aca="false">IF(BQ245,IF(OPriceCurve,IF(OBuySell=OCallPut,I245/(1-AY245),K245/(1-AY245)),J245/(1-AY245))*BD245,0)</f>
        <v>#VALUE!</v>
      </c>
      <c r="BV245" s="1316" t="e">
        <f aca="false">IF(BQ245,IF(OPriceCurve,IF(OBuySell=OCallPut,L245/(1-AY245),N245/(1-AY245)),M245/(1-AY245))*BE245,0)</f>
        <v>#VALUE!</v>
      </c>
      <c r="BW245" s="1316" t="e">
        <f aca="false">IF(BQ245,IF(OPriceCurve,IF(OBuySell=OCallPut,O245/(1-AY245),Q245/(1-AY245)),P245/(1-AY245))*BF245,0)</f>
        <v>#VALUE!</v>
      </c>
      <c r="BX245" s="1316" t="e">
        <f aca="false">IF(BQ245,IF(OPriceCurve,IF(OBuySell=OCallPut,R245/(1-AY245),T245/(1-AY245)),S245/(1-AY245))*BG245,0)</f>
        <v>#VALUE!</v>
      </c>
      <c r="BY245" s="1316" t="e">
        <f aca="false">IF(BP245,(BU245*AZ245+BV245*BA245+BW245*BB245)/BP245,0)</f>
        <v>#VALUE!</v>
      </c>
      <c r="BZ245" s="1316" t="e">
        <f aca="false">IF(BQ245,(BY245*BP245+BX245*BC245)/BQ245,0)</f>
        <v>#VALUE!</v>
      </c>
      <c r="CA245" s="1531" t="e">
        <f aca="false">IF(BS245,IF(OPriceCurve,IF(OBuySell=OCallPut,I245/(1-AY245),K245/(1-AY245)),J245/(1-AY245))*BL245,0)</f>
        <v>#VALUE!</v>
      </c>
      <c r="CB245" s="1316" t="e">
        <f aca="false">IF(BS245,IF(OPriceCurve,IF(OBuySell=OCallPut,L245/(1-AY245),N245/(1-AY245)),M245/(1-AY245))*BM245,0)</f>
        <v>#VALUE!</v>
      </c>
      <c r="CC245" s="1316" t="e">
        <f aca="false">IF(BS245,IF(OPriceCurve,IF(OBuySell=OCallPut,O245/(1-AY245),Q245/(1-AY245)),P245/(1-AY245))*BN245,0)</f>
        <v>#VALUE!</v>
      </c>
      <c r="CD245" s="1316" t="e">
        <f aca="false">IF(BS245,IF(OPriceCurve,IF(OBuySell=OCallPut,R245/(1-AY245),T245/(1-AY245)),S245/(1-AY245))*BO245,0)</f>
        <v>#VALUE!</v>
      </c>
      <c r="CE245" s="1316" t="e">
        <f aca="false">IF(BR245,(BU245*BH245+BV245*BI245+BW245*BJ245)/BR245,0)</f>
        <v>#VALUE!</v>
      </c>
      <c r="CF245" s="1532" t="e">
        <f aca="false">IF(BS245,(CE245*BR245+CD245*BK245)/BS245,0)</f>
        <v>#VALUE!</v>
      </c>
      <c r="CG245" s="1586" t="e">
        <f aca="false">IF(OR(BQ245,BS245),IF(OVolType&lt;&gt;2,SQRT(IF(OVolOverMonthlyPeak,OVolOverMonthlyPeak,IF(OVolCurve,IF(OBuySell,U245,W245),V245))^2*(1-15/365.25/BT245)+IF(OVolOverDailyPeak,OVolOverDailyPeak,IF(OVolCurve,IF(OBuySell,AG245,AI245),AH245))^2*15/365.25/BT245),IF(OVolOverMonthlyPeak,OVolOverMonthlyPeak,IF(OVolCurve,IF(OBuySell,U245,W245),V245))),"")</f>
        <v>#VALUE!</v>
      </c>
      <c r="CH245" s="1587" t="e">
        <f aca="false">IF(OR(BQ245,BS245),IF(OVolType&lt;&gt;2,SQRT(IF(OVolOverMonthlyPeak,OVolOverMonthlyPeak,IF(OVolCurve,IF(OBuySell,X245,Z245),Y245))^2*(1-15/365.25/BT245)+IF(OVolOverDailyPeak,OVolOverDailyPeak,IF(OVolCurve,IF(OBuySell,AJ245,AL245),AK245))^2*15/365.25/BT245),IF(OVolOverMonthlyPeak,OVolOverMonthlyPeak,IF(OVolCurve,IF(OBuySell,X245,Z245),Y245))),"")</f>
        <v>#VALUE!</v>
      </c>
      <c r="CI245" s="1587" t="e">
        <f aca="false">IF(OR(BQ245,BS245),IF(OVolType&lt;&gt;2,SQRT(IF(OVolOverMonthlyPeak,OVolOverMonthlyPeak,IF(OVolCurve,IF(OBuySell,AA245,AC245),AB245))^2*(1-15/365.25/BT245)+IF(OVolOverDailyPeak,OVolOverDailyPeak,IF(OVolCurve,IF(OBuySell,AM245,AO245),AN245))^2*15/365.25/BT245),IF(OVolOverMonthlyPeak,OVolOverMonthlyPeak,IF(OVolCurve,IF(OBuySell,AA245,AC245),AB245))),"")</f>
        <v>#VALUE!</v>
      </c>
      <c r="CJ245" s="1587" t="e">
        <f aca="false">IF(BQ245,IF(BP245,SQRT(LN(1+((BU245*AZ245)^2*(EXP(CG245^2*BT245)-1)+(BV245*BA245)^2*(EXP(CH245^2*BT245)-1)+(BW245*BB245)^2*(EXP(CI245^2*BT245)-1)+2*BU245*AZ245*BV245*BA245*(EXP(CG245*CH245*BT245)-1)+2*BV245*BA245*BW245*BB245*(EXP(CH245*CI245*BT245)-1)+2*BW245*BB245*BU245*AZ245*(EXP(CI245*CG245*BT245)-1))/(BY245*BP245)^2)/BT245),0),"")</f>
        <v>#VALUE!</v>
      </c>
      <c r="CK245" s="1587" t="e">
        <f aca="false">IF(BS245,IF(BR245,SQRT(LN(1+((CA245*BH245)^2*(EXP(CG245^2*BT245)-1)+(CB245*BI245)^2*(EXP(CH245^2*BT245)-1)+(CC245*BJ245)^2*(EXP(CI245^2*BT245)-1)+2*CA245*BH245*CB245*BI245*(EXP(CG245*CH245*BT245)-1)+2*CB245*BI245*CC245*BJ245*(EXP(CH245*CI245*BT245)-1)+2*CC245*BJ245*CA245*BH245*(EXP(CI245*CG245*BT245)-1))/(CE245*BR245)^2)/BT245),0),"")</f>
        <v>#VALUE!</v>
      </c>
      <c r="CL245" s="1587" t="e">
        <f aca="false">IF(OR(BQ245,BS245),IF(OVolType&lt;&gt;2,SQRT(IF(OVolOverMonthlyOffPeak,OVolOverMonthlyOffPeak,IF(OVolCurve,IF(OBuySell,AD245,AF245),AE245))^2*(1-15/365.25/BT245)+IF(OVolOverDailyOffPeak,OVolOverDailyOffPeak,IF(OVolCurve,IF(OBuySell,AP245,AR245),AQ245))^2*15/365.25/BT245),IF(OVolOverMonthlyOffPeak,OVolOverMonthlyOffPeak,IF(OVolCurve,IF(OBuySell,AD245,AF245),AE245))),"")</f>
        <v>#VALUE!</v>
      </c>
      <c r="CM245" s="1587" t="e">
        <f aca="false">IF(BQ245,SQRT(LN(1+((BY245*BP245)^2*(EXP(CJ245^2*BT245)-1)+(BX245*BC245)^2*(EXP(CL245^2*BT245)-1)+2*BY245*BP245*BX245*BC245*(EXP(AS245*CJ245*CL245*BT245)-1))/(BY245*BP245+BX245*BC245)^2)/BT245),"")</f>
        <v>#VALUE!</v>
      </c>
      <c r="CN245" s="1588" t="e">
        <f aca="false">IF(BS245,SQRT(LN(1+((CE245*BR245)^2*(EXP(CK245^2*BT245)-1)+(CD245*BK245)^2*(EXP(CL245^2*BT245)-1)+2*CE245*BR245*CD245*BK245*(EXP(AS245*CK245*CL245*BT245)-1))/(CE245*BR245+CD245*BK245)^2)/BT245),"")</f>
        <v>#VALUE!</v>
      </c>
      <c r="CO245" s="1531" t="e">
        <f aca="false">IF(OR(BQ245,BS245),VLOOKUP(A245,GasTable,13)*HeatRatePeak*(1+VLOOKUP($B245,HeatRateDegradation,$C245+1))/1000,0)</f>
        <v>#VALUE!</v>
      </c>
      <c r="CP245" s="1316" t="e">
        <f aca="false">IF(OR(BQ245,BS245),VLOOKUP(A245,GasTable,13)*HeatRatePeak*(1+VLOOKUP($B245,HeatRateDegradation,$C245+1))/1000,0)</f>
        <v>#VALUE!</v>
      </c>
      <c r="CQ245" s="1316" t="e">
        <f aca="false">IF(OR(BQ245,BS245),VLOOKUP(A245,GasTable,13)*IF(EV245,HeatRatePeak,HeatRateOffPeak)*(1+VLOOKUP($B245,HeatRateDegradation,$C245+1))/1000,0)</f>
        <v>#VALUE!</v>
      </c>
      <c r="CR245" s="1316" t="e">
        <f aca="false">IF(OR(BQ245,BS245),VLOOKUP(A245,GasTable,13)*IF(EW245,HeatRatePeak,HeatRateOffPeak)*(1+VLOOKUP($B245,HeatRateDegradation,$C245+1))/1000,0)</f>
        <v>#VALUE!</v>
      </c>
      <c r="CS245" s="1589" t="e">
        <f aca="false">IF(BQ245,(CO245*AZ245+CP245*BA245+CQ245*BB245+CR245*BC245)/BQ245,0)</f>
        <v>#VALUE!</v>
      </c>
      <c r="CT245" s="1316" t="e">
        <f aca="false">IF(BS245,CO245,0)</f>
        <v>#VALUE!</v>
      </c>
      <c r="CU245" s="1590" t="e">
        <f aca="false">IF(OR(BQ245,BS245),VLOOKUP(A245,GasTable,14),"")</f>
        <v>#VALUE!</v>
      </c>
      <c r="CV245" s="1568" t="e">
        <f aca="false">IF(OR(BQ245,BS245),IF(CorrPowerGasOverFlag,INDEX(CorrPowerGasOver,C245),CorrPowerGas),"")</f>
        <v>#VALUE!</v>
      </c>
      <c r="CW245" s="1316" t="e">
        <f aca="false">IF(OR($BQ245,$BS245),SpreadOptPowerMargin,0)*((1+Assumptions!$C$26)^($B245-YEAR(Assumptions!$C$17)))</f>
        <v>#VALUE!</v>
      </c>
      <c r="CX245" s="1316" t="e">
        <f aca="false">IF(OR($BQ245,$BS245),SpreadOptPowerMargin,0)*((1+Assumptions!$C$26)^($B245-YEAR(Assumptions!$C$17)))</f>
        <v>#VALUE!</v>
      </c>
      <c r="CY245" s="1316" t="e">
        <f aca="false">IF(OR($BQ245,$BS245),SpreadOptPowerMargin,0)*((1+Assumptions!$C$26)^($B245-YEAR(Assumptions!$C$17)))</f>
        <v>#VALUE!</v>
      </c>
      <c r="CZ245" s="1316" t="e">
        <f aca="false">IF(OR($BQ245,$BS245),SpreadOptPowerMargin,0)*((1+Assumptions!$C$26)^($B245-YEAR(Assumptions!$C$17)))</f>
        <v>#VALUE!</v>
      </c>
      <c r="DA245" s="1591" t="e">
        <f aca="false">IF(OR(BQ245,BS245),(CW245*(AZ245+BH245)+CX245*(BA245+BI245)+CY245*(BB245+BJ245)+CZ245*(BC245+BK245))/(BQ245+BS245),0)</f>
        <v>#VALUE!</v>
      </c>
      <c r="DB245" s="1592" t="e">
        <f aca="false">IF(OR(BQ245,BS245),CG245+IF(OVolSmile,VLOOKUP(MAX(-5,CO245+CW245-BU245),IF(OVolSmile=1,VolSmileBook,VolSmileModel),2),0),"")</f>
        <v>#VALUE!</v>
      </c>
      <c r="DC245" s="1592" t="e">
        <f aca="false">IF(OR(BQ245,BS245),CH245+IF(OVolSmile,VLOOKUP(MAX(-5,CP245+CW245-BV245),IF(OVolSmile=1,VolSmileBook,VolSmileModel),2),0),"")</f>
        <v>#VALUE!</v>
      </c>
      <c r="DD245" s="1592" t="e">
        <f aca="false">IF(OR(BQ245,BS245),CI245+IF(OVolSmile,VLOOKUP(MAX(-5,CQ245+CW245-BW245),IF(OVolSmile=1,VolSmileBook,VolSmileModel),2),0),"")</f>
        <v>#VALUE!</v>
      </c>
      <c r="DE245" s="1592" t="e">
        <f aca="false">IF(OR(BQ245,BS245),CL245+IF(OVolSmile,VLOOKUP(MAX(-5,CR245+CZ245-BX245),IF(OVolSmile=1,VolSmileBook,VolSmileModel),2),0),"")</f>
        <v>#VALUE!</v>
      </c>
      <c r="DF245" s="1592" t="e">
        <f aca="false">IF(BQ245,CM245+IF(OVolSmile,VLOOKUP(MAX(-5,CS245+DA245-BZ245),IF(OVolSmile=1,VolSmileBook,VolSmileModel),2),0),"")</f>
        <v>#VALUE!</v>
      </c>
      <c r="DG245" s="1593" t="e">
        <f aca="false">IF(BS245,CN245+IF(OVolSmile,VLOOKUP(MAX(-5,CT245+DA245-CF245),IF(OVolSmile=1,VolSmileBook,VolSmileModel),2),0),"")</f>
        <v>#VALUE!</v>
      </c>
      <c r="DH245" s="1316" t="e">
        <f aca="false">IF(AND(BU245&gt;0,CO245&gt;0,DB245&gt;0,CU245&gt;0),newSPRDOPT(BU245,CO245,CW245,0,DB245,CU245,CV245,BT245*365.25,OCallPut,0),0)</f>
        <v>#VALUE!</v>
      </c>
      <c r="DI245" s="1316" t="e">
        <f aca="false">IF(AND(BV245&gt;0,CP245&gt;0,DC245&gt;0,CU245&gt;0),newSPRDOPT(BV245,CP245,CX245,0,DC245,CU245,CV245,BT245*365.25,OCallPut,0),0)</f>
        <v>#VALUE!</v>
      </c>
      <c r="DJ245" s="1316" t="e">
        <f aca="false">IF(AND(BW245&gt;0,CQ245&gt;0,DD245&gt;0,CU245&gt;0),newSPRDOPT(BW245,CQ245,CY245,0,DD245,CU245,CV245,BT245*365.25,OCallPut,0),0)</f>
        <v>#VALUE!</v>
      </c>
      <c r="DK245" s="1316" t="e">
        <f aca="false">IF(AND(BX245&gt;0,CR245&gt;0,DE245&gt;0,CU245&gt;0),newSPRDOPT(BX245,CR245,CZ245,0,DE245,CU245,CV245,BT245*365.25,OCallPut,0),0)</f>
        <v>#VALUE!</v>
      </c>
      <c r="DL245" s="1316" t="e">
        <f aca="false">IF(OVolType,IF(AND(BZ245&gt;0,CS245&gt;0,DF245&gt;0,CU245&gt;0),newSPRDOPT(BZ245,CS245,DA245,0,DF245,CU245,CV245,BT245*365.25,OCallPut,0),0),IF(BQ245,(DH245*AZ245+DI245*BA245+DJ245*BB245+DK245*BC245)/BQ245,0))</f>
        <v>#VALUE!</v>
      </c>
      <c r="DM245" s="1316"/>
      <c r="DN245" s="1316"/>
      <c r="DO245" s="1316"/>
      <c r="DP245" s="1316"/>
      <c r="DQ245" s="1316"/>
      <c r="DR245" s="1316"/>
      <c r="DS245" s="1316"/>
      <c r="DT245" s="1316"/>
      <c r="DU245" s="1316"/>
      <c r="DV245" s="1316"/>
      <c r="DW245" s="1594" t="e">
        <f aca="false">IF(AND(BW245&gt;0,CT245&gt;0,DD245&gt;0,CU245&gt;0),newSPRDOPT(BW245,CT245,CY245,0,DD245,CU245,CV245,BT245*365.25,OCallPut,0),0)</f>
        <v>#VALUE!</v>
      </c>
      <c r="DX245" s="1316" t="e">
        <f aca="false">IF(AND(BX245&gt;0,CT245&gt;0,DE245&gt;0,CU245&gt;0),newSPRDOPT(BX245,CT245,CZ245,0,DE245,CU245,CV245,BT245*365.25,OCallPut,0),0)</f>
        <v>#VALUE!</v>
      </c>
      <c r="DY245" s="1591" t="e">
        <f aca="false">IF(BS245,(DH245*BH245+DI245*BI245+DW245*BJ245+DX245*BK245)/BS245,0)</f>
        <v>#VALUE!</v>
      </c>
      <c r="DZ245" s="1551" t="e">
        <f aca="false">DH245*AZ245</f>
        <v>#VALUE!</v>
      </c>
      <c r="EA245" s="1551" t="e">
        <f aca="false">DI245*BA245</f>
        <v>#VALUE!</v>
      </c>
      <c r="EB245" s="1551" t="e">
        <f aca="false">DJ245*BB245</f>
        <v>#VALUE!</v>
      </c>
      <c r="EC245" s="1551" t="e">
        <f aca="false">DK245*BC245</f>
        <v>#VALUE!</v>
      </c>
      <c r="ED245" s="1551" t="e">
        <f aca="false">DL245*BQ245</f>
        <v>#VALUE!</v>
      </c>
      <c r="EE245" s="1595" t="e">
        <f aca="false">IF(BQ245,IF(OCallPut,IF(BU245&gt;(CO245+CW245),BU245-(CO245+CW245),0),IF((CO245+CW245)&gt;BU245,(CO245+CW245)-BU245,0))*AZ245,0)</f>
        <v>#VALUE!</v>
      </c>
      <c r="EF245" s="1596" t="e">
        <f aca="false">IF(BQ245,IF(OCallPut,IF(BV245&gt;(CP245+CX245),BV245-(CP245+CX245),0),IF((CP245+CX245)&gt;BV245,(CP245+CX245)-BV245,0))*BA245,0)</f>
        <v>#VALUE!</v>
      </c>
      <c r="EG245" s="1596" t="e">
        <f aca="false">IF(BQ245,IF(OCallPut,IF(BW245&gt;(CQ245+CY245),BW245-(CQ245+CY245),0),IF((CQ245+CY245)&gt;BW245,(CQ245+CY245)-BW245,0))*BB245,0)</f>
        <v>#VALUE!</v>
      </c>
      <c r="EH245" s="1596" t="e">
        <f aca="false">IF(BQ245,IF(OCallPut,IF(BX245&gt;(CR245+CZ245),BX245-(CR245+CZ245),0),IF((CR245+CZ245)&gt;BX245,(CR245+CZ245)-BX245,0))*BC245,0)</f>
        <v>#VALUE!</v>
      </c>
      <c r="EI245" s="1597" t="e">
        <f aca="false">IF(BQ245,IF(OVolType,IF(OCallPut,IF(BZ245&gt;(CS245+DA245),BZ245-(CS245+DA245),0),IF((CS245+DA245)&gt;BZ245,(CS245+DA245)-BZ245,0))*BQ245,SUM(EE245:EH245)),0)</f>
        <v>#VALUE!</v>
      </c>
      <c r="EJ245" s="1595" t="e">
        <f aca="false">DZ245-EE245</f>
        <v>#VALUE!</v>
      </c>
      <c r="EK245" s="1596" t="e">
        <f aca="false">EA245-EF245</f>
        <v>#VALUE!</v>
      </c>
      <c r="EL245" s="1596" t="e">
        <f aca="false">EB245-EG245</f>
        <v>#VALUE!</v>
      </c>
      <c r="EM245" s="1596" t="e">
        <f aca="false">EC245-EH245</f>
        <v>#VALUE!</v>
      </c>
      <c r="EN245" s="1597" t="e">
        <f aca="false">ED245-EI245</f>
        <v>#VALUE!</v>
      </c>
      <c r="EO245" s="1551" t="e">
        <f aca="false">DH245*BH245</f>
        <v>#VALUE!</v>
      </c>
      <c r="EP245" s="1551" t="e">
        <f aca="false">DI245*BI245</f>
        <v>#VALUE!</v>
      </c>
      <c r="EQ245" s="1551" t="e">
        <f aca="false">DW245*BJ245</f>
        <v>#VALUE!</v>
      </c>
      <c r="ER245" s="1551" t="e">
        <f aca="false">DX245*BK245</f>
        <v>#VALUE!</v>
      </c>
      <c r="ES245" s="1551" t="e">
        <f aca="false">DY245*BS245</f>
        <v>#VALUE!</v>
      </c>
      <c r="ET245" s="1566" t="e">
        <f aca="false">IF(EI245,IF(OCallPut,IF(CA245&gt;(CT245+CW245),CA245-(CT245+CW245),0),IF((CT245+CW245)&gt;CA245,(CT245+CW245)-CA245,0))*BH245,0)</f>
        <v>#VALUE!</v>
      </c>
      <c r="EU245" s="1551" t="e">
        <f aca="false">IF(EI245,IF(OCallPut,IF(CB245&gt;(CT245+CX245),CB245-(CT245+CX245),0),IF((CT245+CX245)&gt;CB245,(CT245+CX245)-CB245,0))*BI245,0)</f>
        <v>#VALUE!</v>
      </c>
      <c r="EV245" s="1551" t="e">
        <f aca="false">IF(EI245,IF(OCallPut,IF(CC245&gt;(CT245+CY245),CC245-(CT245+CY245),0),IF((CT245+CY245)&gt;CC245,(CT245+CY245)-CC245,0))*BJ245,0)</f>
        <v>#VALUE!</v>
      </c>
      <c r="EW245" s="1551" t="e">
        <f aca="false">IF(EI245,IF(OCallPut,IF(CD245&gt;(CT245+CZ245),CD245-(CT245+CZ245),0),IF((CT245+CZ245)&gt;CD245,(CT245+CZ245)-CD245,0))*BK245,0)</f>
        <v>#VALUE!</v>
      </c>
      <c r="EX245" s="1558" t="e">
        <f aca="false">IF(EI245,SUM(ET245:EW245),0)</f>
        <v>#VALUE!</v>
      </c>
      <c r="EY245" s="1551" t="e">
        <f aca="false">EO245-ET245</f>
        <v>#VALUE!</v>
      </c>
      <c r="EZ245" s="1551" t="e">
        <f aca="false">EP245-EU245</f>
        <v>#VALUE!</v>
      </c>
      <c r="FA245" s="1551" t="e">
        <f aca="false">EQ245-EV245</f>
        <v>#VALUE!</v>
      </c>
      <c r="FB245" s="1551" t="e">
        <f aca="false">ER245-EW245</f>
        <v>#VALUE!</v>
      </c>
      <c r="FC245" s="1551" t="e">
        <f aca="false">ES245-EX245</f>
        <v>#VALUE!</v>
      </c>
      <c r="FD245" s="1525" t="n">
        <f aca="false">IF(AX245,IF(VLOOKUP(C245,MAIN!$L$17:$M$28,2)="Yes",VLOOKUP(CALC!B245,MAIN!$H$17:$I$20,2),0),0)</f>
        <v>0</v>
      </c>
      <c r="FE245" s="1552" t="e">
        <f aca="false">$FD245*16*AT245*(1-$AY245)</f>
        <v>#VALUE!</v>
      </c>
      <c r="FF245" s="1553" t="e">
        <f aca="false">$FD245*16*AU245*(1-$AY245)</f>
        <v>#VALUE!</v>
      </c>
      <c r="FG245" s="1553" t="e">
        <f aca="false">$FD245*16*(AV245+AW245)*(1-$AY245)</f>
        <v>#VALUE!</v>
      </c>
      <c r="FH245" s="1554" t="n">
        <f aca="false">$FD245*8*AX245*(1-$AY245)</f>
        <v>0</v>
      </c>
      <c r="FI245" s="1555" t="n">
        <f aca="false">IF(AX245,VLOOKUP(CALC!B245,MAIN!$H$17:$K$20,4),0)</f>
        <v>0</v>
      </c>
      <c r="FJ245" s="1553" t="e">
        <f aca="false">SUM(FE245:FH245)</f>
        <v>#VALUE!</v>
      </c>
      <c r="FK245" s="1556" t="e">
        <f aca="false">FI245*FJ245</f>
        <v>#VALUE!</v>
      </c>
      <c r="FL245" s="1551" t="e">
        <f aca="false">IF($EI245&gt;0,MIN(FE245,AZ245*(1+VLOOKUP($C245,WeatherCapacityAdjustment,2))),0)</f>
        <v>#VALUE!</v>
      </c>
      <c r="FM245" s="1551" t="e">
        <f aca="false">IF($EI245&gt;0,MIN(FF245,BA245*(1+VLOOKUP($C245,WeatherCapacityAdjustment,2))),0)</f>
        <v>#VALUE!</v>
      </c>
      <c r="FN245" s="1551" t="e">
        <f aca="false">IF($EI245&gt;0,MIN(FG245,BB245*(1+VLOOKUP($C245,WeatherCapacityAdjustment,2))),0)</f>
        <v>#VALUE!</v>
      </c>
      <c r="FO245" s="1564" t="e">
        <f aca="false">IF($EI245&gt;0,MIN(FH245,BC245*(1+VLOOKUP($C245,WeatherCapacityAdjustment,3))),0)</f>
        <v>#VALUE!</v>
      </c>
      <c r="FP245" s="1551" t="e">
        <f aca="false">IF(ET245&gt;0,MIN(FE245-FL245,BH245*(1+VLOOKUP($C245,WeatherCapacityAdjustment,2))),0)</f>
        <v>#VALUE!</v>
      </c>
      <c r="FQ245" s="1551" t="e">
        <f aca="false">IF(EU245&gt;0,MIN(FF245-FM245,BI245*(1+VLOOKUP($C245,WeatherCapacityAdjustment,2))),0)</f>
        <v>#VALUE!</v>
      </c>
      <c r="FR245" s="1551" t="e">
        <f aca="false">IF(EV245&gt;0,MIN(FG245-FN245,BJ245*(1+VLOOKUP($C245,WeatherCapacityAdjustment,2))),0)</f>
        <v>#VALUE!</v>
      </c>
      <c r="FS245" s="1558" t="e">
        <f aca="false">IF(EW245&gt;0,MIN(FH245-FO245,BK245*(1+VLOOKUP($C245,WeatherCapacityAdjustment,3))),0)</f>
        <v>#VALUE!</v>
      </c>
      <c r="FT245" s="1566" t="e">
        <f aca="false">IF(AND(Assumptions!$H$71="Yes",A245&gt;=Assumptions!$H$72,A245&lt;=Assumptions!$H$73),0,IF(AND($A245&gt;=Assumptions!$C$17,$A245&lt;=Assumptions!$C$18),MAX(AZ245*(1+VLOOKUP($C245,WeatherCapacityAdjustment,2))-FL245,0),0))</f>
        <v>#VALUE!</v>
      </c>
      <c r="FU245" s="1551" t="e">
        <f aca="false">IF(AND(Assumptions!$H$71="Yes",A245&gt;=Assumptions!$H$72,A245&lt;=Assumptions!$H$73),0,IF(AND($A245&gt;=Assumptions!$C$17,$A245&lt;=Assumptions!$C$18),MAX(BA245*(1+VLOOKUP($C245,WeatherCapacityAdjustment,2))-FM245,0),0))</f>
        <v>#VALUE!</v>
      </c>
      <c r="FV245" s="1551" t="e">
        <f aca="false">IF(AND(Assumptions!$H$71="Yes",A245&gt;=Assumptions!$H$72,A245&lt;=Assumptions!$H$73),0,IF(AND($A245&gt;=Assumptions!$C$17,$A245&lt;=Assumptions!$C$18),MAX(BB245*(1+VLOOKUP($C245,WeatherCapacityAdjustment,2))-FN245,0),0))</f>
        <v>#VALUE!</v>
      </c>
      <c r="FW245" s="1564" t="e">
        <f aca="false">IF(AND(Assumptions!$H$71="Yes",A245&gt;=Assumptions!$H$72,A245&lt;=Assumptions!$H$73),0,IF(AND($A245&gt;=Assumptions!$C$17,$A245&lt;=Assumptions!$C$18),MAX(BC245*(1+VLOOKUP($C245,WeatherCapacityAdjustment,3))-FO245,0),0))</f>
        <v>#VALUE!</v>
      </c>
      <c r="FX245" s="1569" t="e">
        <f aca="false">IF(AND(Assumptions!$H$71="Yes",A245&gt;=Assumptions!$H$72,A245&lt;=Assumptions!$H$73),0,IF(ET245&gt;0,MAX(BH245*(1+VLOOKUP($C245,WeatherCapacityAdjustment,2))-FP245,0),0))</f>
        <v>#VALUE!</v>
      </c>
      <c r="FY245" s="1551" t="e">
        <f aca="false">IF(AND(Assumptions!$H$71="Yes",A245&gt;=Assumptions!$H$72,A245&lt;=Assumptions!$H$73),0,IF(EU245&gt;0,MAX(BI245*(1+VLOOKUP($C245,WeatherCapacityAdjustment,3))-FQ245,0),0))</f>
        <v>#VALUE!</v>
      </c>
      <c r="FZ245" s="1551" t="e">
        <f aca="false">IF(AND(Assumptions!$H$71="Yes",A245&gt;=Assumptions!$H$72,A245&lt;=Assumptions!$H$73),0,IF(EV245&gt;0,MAX(BJ245*(1+VLOOKUP($C245,WeatherCapacityAdjustment,2))-FR245,0),0))</f>
        <v>#VALUE!</v>
      </c>
      <c r="GA245" s="1564" t="e">
        <f aca="false">IF(AND(Assumptions!$H$71="Yes",A245&gt;=Assumptions!$H$72,A245&lt;=Assumptions!$H$73),0,IF(EW245&gt;0,MAX(BK245*(1+VLOOKUP($C245,WeatherCapacityAdjustment,2))-FS245,0),0))</f>
        <v>#VALUE!</v>
      </c>
      <c r="GB245" s="1551" t="e">
        <f aca="false">SUM(FT245:GA245)</f>
        <v>#VALUE!</v>
      </c>
      <c r="GC245" s="1563" t="e">
        <f aca="false">+IF(SUM(FT245:GA245)=0,0,(SUMPRODUCT(BU245:BX245,FT245:FW245)+SUMPRODUCT(CA245:CD245,FX245:GA245))/SUM(FT245:GA245))</f>
        <v>#VALUE!</v>
      </c>
      <c r="GD245" s="1551" t="e">
        <f aca="false">(FT245*BU245+FX245*CA245+FU245*BV245+FY245*CB245+FV245*BW245+FZ245*CC245+FW245*BX245+GA245*CD245)</f>
        <v>#VALUE!</v>
      </c>
      <c r="GE245" s="1561" t="e">
        <f aca="false">+IF(BQ245,((FL245+FM245+FT245+FU245)*HeatRatePeak/1000*(1+VLOOKUP($C245,WeatherHeatRateAdjustment,2))+(FN245+FV245)*IF(EV245&gt;0,HeatRatePeak,HeatRateOffPeak)/1000*(1+VLOOKUP($C245,WeatherHeatRateAdjustment,2))+(FO245+FW245)*IF(EW245&gt;0,HeatRatePeak,HeatRateOffPeak)/1000*(1+VLOOKUP($C245,WeatherHeatRateAdjustment,3)))*(1+VLOOKUP($B245,HeatRateDegradation,$C245+1)),0)</f>
        <v>#VALUE!</v>
      </c>
      <c r="GF245" s="1562" t="e">
        <f aca="false">IF(BQ245,((FP245+FQ245+FR245+FX245+FY245+FZ245)*HeatRatePeak/1000*(1+VLOOKUP($C245,WeatherHeatRateAdjustment,2))+(FS245+GA245)*HeatRatePeak/1000*(1+VLOOKUP($C245,WeatherHeatRateAdjustment,3)))*(1+VLOOKUP($B245,HeatRateDegradation,$C245+1)),0)</f>
        <v>#VALUE!</v>
      </c>
      <c r="GG245" s="1563" t="e">
        <f aca="false">IF(BQ245,VLOOKUP(A245,GasTable,13),0)</f>
        <v>#VALUE!</v>
      </c>
      <c r="GH245" s="1564" t="e">
        <f aca="false">(GE245+GF245)*GG245</f>
        <v>#VALUE!</v>
      </c>
      <c r="GI245" s="1569" t="e">
        <f aca="false">GB245</f>
        <v>#VALUE!</v>
      </c>
      <c r="GJ245" s="1598" t="e">
        <f aca="false">+DA245</f>
        <v>#VALUE!</v>
      </c>
      <c r="GK245" s="1558" t="e">
        <f aca="false">+GI245*GJ245</f>
        <v>#VALUE!</v>
      </c>
      <c r="GL245" s="1566" t="e">
        <f aca="false">MAX(FE245-FL245-FP245,0)</f>
        <v>#VALUE!</v>
      </c>
      <c r="GM245" s="1551" t="e">
        <f aca="false">MAX(FF245-FM245-FQ245,0)</f>
        <v>#VALUE!</v>
      </c>
      <c r="GN245" s="1551" t="e">
        <f aca="false">MAX(FG245-FN245-FR245,0)</f>
        <v>#VALUE!</v>
      </c>
      <c r="GO245" s="1564" t="e">
        <f aca="false">MAX(FH245-FO245-FS245,0)</f>
        <v>#VALUE!</v>
      </c>
      <c r="GP245" s="1551" t="e">
        <f aca="false">SUM(GL245:GO245)</f>
        <v>#VALUE!</v>
      </c>
      <c r="GQ245" s="1563" t="e">
        <f aca="false">IF(SUM(GL245:GO245)=0,0,((GL245*BU245+GM245*BV245+GN245*BW245+GO245*BX245)/SUM(GL245:GO245)))</f>
        <v>#VALUE!</v>
      </c>
      <c r="GR245" s="1558" t="e">
        <f aca="false">(GL245*BU245+GM245*BV245+GN245*BW245+GO245*BX245)</f>
        <v>#VALUE!</v>
      </c>
      <c r="GS245" s="1566" t="n">
        <f aca="false">IF($A245&gt;=BegDate,Assumptions!$C$56*24*($A246-$A245)*(1-VLOOKUP($B245,MAIN!$AA$7:$AM$28,$C245+1))*(1-VLOOKUP($B245,MAIN!$AA$33:$AM$54,$C245+1)),0)*80/168</f>
        <v>257742.857142857</v>
      </c>
      <c r="GT245" s="286" t="n">
        <f aca="false">J245</f>
        <v>47.295374716115</v>
      </c>
      <c r="GU245" s="286" t="n">
        <f aca="false">IF($A245&gt;=BegDate,VLOOKUP($A245,GasTable,13)+Assumptions!$C$58,0)</f>
        <v>3.43985290312701</v>
      </c>
      <c r="GV245" s="286" t="n">
        <f aca="false">GU245*Assumptions!$C$57/1000</f>
        <v>24.9389335476708</v>
      </c>
      <c r="GW245" s="1558" t="n">
        <f aca="false">IF(Assumptions!$C$60="Hourly",MAX(0,GS245*(GT245-GV245)),GS245*(GT245-GV245))</f>
        <v>5762213.022301</v>
      </c>
      <c r="GX245" s="1566" t="n">
        <f aca="false">IF($A245&gt;=BegDate,Assumptions!$C$56*24*($A246-$A245)*(1-VLOOKUP($B245,MAIN!$AA$7:$AM$28,$C245+1))*(1-VLOOKUP($B245,MAIN!$AA$33:$AM$54,$C245+1)),0)*16/168</f>
        <v>51548.5714285714</v>
      </c>
      <c r="GY245" s="286" t="n">
        <f aca="false">M245</f>
        <v>47.295374716115</v>
      </c>
      <c r="GZ245" s="286" t="n">
        <f aca="false">IF($A245&gt;=BegDate,VLOOKUP($A245,GasTable,13)+Assumptions!$C$58,0)</f>
        <v>3.43985290312701</v>
      </c>
      <c r="HA245" s="286" t="n">
        <f aca="false">GZ245*Assumptions!$C$57/1000</f>
        <v>24.9389335476708</v>
      </c>
      <c r="HB245" s="1558" t="n">
        <f aca="false">IF(Assumptions!$C$60="Hourly",MAX(0,GX245*(GY245-HA245)),GX245*(GY245-HA245))</f>
        <v>1152442.6044602</v>
      </c>
      <c r="HC245" s="1566" t="n">
        <f aca="false">IF($A245&gt;=BegDate,Assumptions!$C$56*24*($A246-$A245)*(1-VLOOKUP($B245,MAIN!$AA$7:$AM$28,$C245+1))*(1-VLOOKUP($B245,MAIN!$AA$33:$AM$54,$C245+1)),0)*16/168</f>
        <v>51548.5714285714</v>
      </c>
      <c r="HD245" s="286" t="n">
        <f aca="false">P245</f>
        <v>29.3952444770314</v>
      </c>
      <c r="HE245" s="286" t="n">
        <f aca="false">IF($A245&gt;=BegDate,VLOOKUP($A245,GasTable,13)+Assumptions!$C$58,0)</f>
        <v>3.43985290312701</v>
      </c>
      <c r="HF245" s="286" t="n">
        <f aca="false">HE245*Assumptions!$C$57/1000</f>
        <v>24.9389335476708</v>
      </c>
      <c r="HG245" s="1558" t="n">
        <f aca="false">IF(Assumptions!$C$60="Hourly",MAX(0,HC245*(HD245-HF245)),HC245*(HD245-HF245))</f>
        <v>229716.462250068</v>
      </c>
      <c r="HH245" s="1566" t="n">
        <f aca="false">IF($A245&gt;=BegDate,Assumptions!$C$56*24*($A246-$A245)*(1-VLOOKUP($B245,MAIN!$AA$7:$AM$28,$C245+1))*(1-VLOOKUP($B245,MAIN!$AA$33:$AM$54,$C245+1)),0)*56/168</f>
        <v>180420</v>
      </c>
      <c r="HI245" s="286" t="n">
        <f aca="false">S245</f>
        <v>29.3952444770314</v>
      </c>
      <c r="HJ245" s="286" t="n">
        <f aca="false">IF($A245&gt;=BegDate,VLOOKUP($A245,GasTable,13)+Assumptions!$C$58,0)</f>
        <v>3.43985290312701</v>
      </c>
      <c r="HK245" s="286" t="n">
        <f aca="false">HJ245*Assumptions!$C$57/1000</f>
        <v>24.9389335476708</v>
      </c>
      <c r="HL245" s="1558" t="n">
        <f aca="false">IF(Assumptions!$C$60="Hourly",MAX(0,HH245*(HI245-HK245)),HH245*(HI245-HK245))</f>
        <v>804007.617875238</v>
      </c>
      <c r="HM245" s="1566" t="n">
        <f aca="false">IF(AND(Assumptions!$H$71="Yes",A245&gt;=Assumptions!$H$72,A245&lt;=Assumptions!$H$73),Assumptions!$H$74*Assumptions!$C$9*1000,0)</f>
        <v>0</v>
      </c>
      <c r="HN245" s="1551"/>
      <c r="HO245" s="1563"/>
      <c r="HP245" s="1563"/>
      <c r="HQ245" s="1563"/>
      <c r="HR245" s="1563"/>
      <c r="HS245" s="1563"/>
      <c r="HT245" s="1563"/>
      <c r="HU245" s="1563"/>
      <c r="HV245" s="1563"/>
      <c r="HW245" s="1563"/>
      <c r="HX245" s="1563"/>
      <c r="HY245" s="1563"/>
      <c r="HZ245" s="1563"/>
      <c r="IA245" s="1563"/>
      <c r="IB245" s="1563"/>
      <c r="IC245" s="1563"/>
      <c r="ID245" s="1563"/>
      <c r="IE245" s="1563"/>
      <c r="IF245" s="1563"/>
      <c r="IG245" s="1563"/>
      <c r="IH245" s="1563"/>
      <c r="II245" s="1610"/>
      <c r="IJ245" s="1309"/>
      <c r="IK245" s="1309"/>
    </row>
    <row r="246" customFormat="false" ht="12.75" hidden="false" customHeight="false" outlineLevel="0" collapsed="false">
      <c r="A246" s="1571" t="n">
        <f aca="false">EOMONTH(A245,0)+1</f>
        <v>43617</v>
      </c>
      <c r="B246" s="594" t="n">
        <f aca="false">+YEAR(A246)</f>
        <v>2019</v>
      </c>
      <c r="C246" s="238" t="n">
        <f aca="false">MONTH(A246)</f>
        <v>6</v>
      </c>
      <c r="D246" s="1572" t="e">
        <f aca="false">IF(E246="","",Holiday(B246,C246))</f>
        <v>#VALUE!</v>
      </c>
      <c r="E246" s="1573" t="n">
        <f aca="false">IF(OR(BegDate&gt;=A247,EndDate&lt;A246,AND(VolumeMonthlyOverFlag,INDEX(VolumeMonthlyOver,C246)=0),NOT(INDEX(MonthKnockOutTable,C246))),"",MAX(A246,BegDate))</f>
        <v>43617</v>
      </c>
      <c r="F246" s="1574" t="n">
        <f aca="false">IF(E246="","",MIN(A247-1,EndDate))</f>
        <v>43646</v>
      </c>
      <c r="G246" s="1575" t="n">
        <v>0</v>
      </c>
      <c r="H246" s="1576" t="n">
        <f aca="false">(1+G246/2)^(-2*(DATE(B247,C247,20)-DateToday)/365.25)</f>
        <v>1</v>
      </c>
      <c r="I246" s="1568" t="n">
        <f aca="false">IF(Assumptions!$L$25=4,VLOOKUP($A246,'Henwood Reference'!$E$9:$R$320,10),(VLOOKUP($A246,PriceTable,2,0)+IF(BasisNumber&lt;&gt;1,VLOOKUP($A246,BasisTable,2,0),0)+I$1)/(1-I$2))</f>
        <v>47.5874653562068</v>
      </c>
      <c r="J246" s="1568" t="n">
        <f aca="false">IF(Assumptions!$L$25=4,VLOOKUP($A246,'Henwood Reference'!$E$9:$R$320,10),(VLOOKUP($A246,PriceTable,3,0)+IF(BasisNumber&lt;&gt;1,VLOOKUP($A246,BasisTable,2,0),0)+J$1)/(1-J$2))</f>
        <v>47.5874653562068</v>
      </c>
      <c r="K246" s="1568" t="n">
        <f aca="false">IF(Assumptions!$L$25=4,VLOOKUP($A246,'Henwood Reference'!$E$9:$R$320,10),(VLOOKUP($A246,PriceTable,4,0)+IF(BasisNumber&lt;&gt;1,VLOOKUP($A246,BasisTable,2,0),0)+K$1)/(1-K$2))</f>
        <v>47.5874653562068</v>
      </c>
      <c r="L246" s="1523" t="n">
        <f aca="false">IF(Assumptions!$L$25=4,VLOOKUP($A246,'Henwood Reference'!$E$9:$R$320,10),(VLOOKUP($A246,PriceTableWeekend,2,0)+IF(BasisNumber&lt;&gt;1,VLOOKUP($A246,BasisTable,2,0),0)+L$1)/(1-L$2))</f>
        <v>47.5874653562068</v>
      </c>
      <c r="M246" s="1568" t="n">
        <f aca="false">IF(Assumptions!$L$25=4,VLOOKUP($A246,'Henwood Reference'!$E$9:$R$320,10),(VLOOKUP($A246,PriceTableWeekend,3,0)+IF(BasisNumber&lt;&gt;1,VLOOKUP($A246,BasisTable,2,0),0)+M$1)/(1-M$2))</f>
        <v>47.5874653562068</v>
      </c>
      <c r="N246" s="1599" t="n">
        <f aca="false">IF(Assumptions!$L$25=4,VLOOKUP($A246,'Henwood Reference'!$E$9:$R$320,10),(VLOOKUP($A246,PriceTableWeekend,4,0)+IF(BasisNumber&lt;&gt;1,VLOOKUP($A246,BasisTable,2,0),0)+N$1)/(1-N$2))</f>
        <v>47.5874653562068</v>
      </c>
      <c r="O246" s="1568" t="n">
        <f aca="false">IF(Assumptions!$L$25=4,VLOOKUP($A246,'Henwood Reference'!$E$9:$R$320,11),(VLOOKUP($A246,PriceTableWeekend,6,0)+IF(BasisNumber&lt;&gt;1,VLOOKUP($A246,BasisTable,3,0),0)+O$1)/(1-O$2))</f>
        <v>28.0768303658938</v>
      </c>
      <c r="P246" s="1568" t="n">
        <f aca="false">IF(Assumptions!$L$25=4,VLOOKUP($A246,'Henwood Reference'!$E$9:$R$320,11),(VLOOKUP($A246,PriceTableWeekend,7,0)+IF(BasisNumber&lt;&gt;1,VLOOKUP($A246,BasisTable,3,0),0)+P$1)/(1-P$2))</f>
        <v>28.0768303658938</v>
      </c>
      <c r="Q246" s="1599" t="n">
        <f aca="false">IF(Assumptions!$L$25=4,VLOOKUP($A246,'Henwood Reference'!$E$9:$R$320,11),(VLOOKUP($A246,PriceTableWeekend,8,0)+IF(BasisNumber&lt;&gt;1,VLOOKUP($A246,BasisTable,3,0),0)+Q$1)/(1-Q$2))</f>
        <v>28.0768303658938</v>
      </c>
      <c r="R246" s="1568" t="n">
        <f aca="false">IF(Assumptions!$L$25=4,VLOOKUP($A246,'Henwood Reference'!$E$9:$R$320,11),(VLOOKUP($A246,PriceTable,6,0)+IF(BasisNumber&lt;&gt;1,VLOOKUP($A246,BasisTable,3,0),0)+R$1)/(1-R$2))</f>
        <v>28.0768303658938</v>
      </c>
      <c r="S246" s="1568" t="n">
        <f aca="false">IF(Assumptions!$L$25=4,VLOOKUP($A246,'Henwood Reference'!$E$9:$R$320,11),(VLOOKUP($A246,PriceTable,7,0)+IF(BasisNumber&lt;&gt;1,VLOOKUP($A246,BasisTable,3,0),0)+S$1)/(1-S$2))</f>
        <v>28.0768303658938</v>
      </c>
      <c r="T246" s="1600" t="n">
        <f aca="false">IF(Assumptions!$L$25=4,VLOOKUP($A246,'Henwood Reference'!$E$9:$R$320,11),(VLOOKUP($A246,PriceTable,8,0)+IF(BasisNumber&lt;&gt;1,VLOOKUP($A246,BasisTable,3,0),0)+T$1)/(1-T$2))</f>
        <v>28.0768303658938</v>
      </c>
      <c r="U246" s="1513" t="n">
        <f aca="false">VLOOKUP($A246,VolatilityTable,14)</f>
        <v>0.09</v>
      </c>
      <c r="V246" s="1513" t="n">
        <f aca="false">VLOOKUP($A246,VolatilityTable,15)</f>
        <v>0.1</v>
      </c>
      <c r="W246" s="1514" t="n">
        <f aca="false">VLOOKUP($A246,VolatilityTable,16)</f>
        <v>0.11</v>
      </c>
      <c r="X246" s="1513" t="n">
        <f aca="false">VLOOKUP($A246,VolatilityTable,14)</f>
        <v>0.09</v>
      </c>
      <c r="Y246" s="1513" t="n">
        <f aca="false">VLOOKUP($A246,VolatilityTable,15)</f>
        <v>0.1</v>
      </c>
      <c r="Z246" s="1514" t="n">
        <f aca="false">VLOOKUP($A246,VolatilityTable,16)</f>
        <v>0.11</v>
      </c>
      <c r="AA246" s="1513" t="n">
        <f aca="false">VLOOKUP($A246,VolatilityTable,18)</f>
        <v>0.09</v>
      </c>
      <c r="AB246" s="1513" t="n">
        <f aca="false">VLOOKUP($A246,VolatilityTable,19)</f>
        <v>0.11</v>
      </c>
      <c r="AC246" s="1514" t="n">
        <f aca="false">VLOOKUP($A246,VolatilityTable,20)</f>
        <v>0.13</v>
      </c>
      <c r="AD246" s="1513" t="n">
        <f aca="false">VLOOKUP($A246,VolatilityTable,18)</f>
        <v>0.09</v>
      </c>
      <c r="AE246" s="1513" t="n">
        <f aca="false">VLOOKUP($A246,VolatilityTable,19)</f>
        <v>0.11</v>
      </c>
      <c r="AF246" s="1514" t="n">
        <f aca="false">VLOOKUP($A246,VolatilityTable,20)</f>
        <v>0.13</v>
      </c>
      <c r="AG246" s="1513" t="n">
        <f aca="false">VLOOKUP($A246,VolatilityTable,22)</f>
        <v>-0.35</v>
      </c>
      <c r="AH246" s="1513" t="n">
        <f aca="false">VLOOKUP($A246,VolatilityTable,23)</f>
        <v>0.65</v>
      </c>
      <c r="AI246" s="1514" t="n">
        <f aca="false">VLOOKUP($A246,VolatilityTable,24)</f>
        <v>0.2</v>
      </c>
      <c r="AJ246" s="1513" t="n">
        <f aca="false">VLOOKUP($A246,VolatilityTable,22)</f>
        <v>-0.35</v>
      </c>
      <c r="AK246" s="1513" t="n">
        <f aca="false">VLOOKUP($A246,VolatilityTable,23)</f>
        <v>0.65</v>
      </c>
      <c r="AL246" s="1514" t="n">
        <f aca="false">VLOOKUP($A246,VolatilityTable,24)</f>
        <v>0.2</v>
      </c>
      <c r="AM246" s="1513" t="n">
        <f aca="false">VLOOKUP($A246,VolatilityTable,26)</f>
        <v>-0.01</v>
      </c>
      <c r="AN246" s="1513" t="n">
        <f aca="false">VLOOKUP($A246,VolatilityTable,27)</f>
        <v>0.16</v>
      </c>
      <c r="AO246" s="1514" t="n">
        <f aca="false">VLOOKUP($A246,VolatilityTable,28)</f>
        <v>0.01</v>
      </c>
      <c r="AP246" s="1513" t="n">
        <f aca="false">VLOOKUP($A246,VolatilityTable,26)</f>
        <v>-0.01</v>
      </c>
      <c r="AQ246" s="1513" t="n">
        <f aca="false">VLOOKUP($A246,VolatilityTable,27)</f>
        <v>0.16</v>
      </c>
      <c r="AR246" s="1515" t="n">
        <f aca="false">VLOOKUP($A246,VolatilityTable,28)</f>
        <v>0.01</v>
      </c>
      <c r="AS246" s="1581" t="n">
        <f aca="false">IF(CorrPeakOffPeakOverFlag,INDEX(CorrPeakOffPeakOver,C246),CorrPeakOffPeak)</f>
        <v>0.5</v>
      </c>
      <c r="AT246" s="594" t="e">
        <f aca="false">AX246-SUM(AU246:AW246)</f>
        <v>#VALUE!</v>
      </c>
      <c r="AU246" s="238" t="e">
        <f aca="false">IF(E246="",0,INT((F246-MOD(F246,7)-E246)/7)+1-IF(AW246,IF(WEEKDAY(D246)=7,1,0),0))</f>
        <v>#VALUE!</v>
      </c>
      <c r="AV246" s="238" t="e">
        <f aca="false">IF(E246="",0,INT((F246-MOD(F246-1,7)-E246)/7)+1-IF(AW246,IF(WEEKDAY(D246)=1,1,0),0))</f>
        <v>#VALUE!</v>
      </c>
      <c r="AW246" s="238" t="e">
        <f aca="false">IF(OR(E246="",D246="",D246&lt;BegDate,D246&gt;EndDate),0,1)</f>
        <v>#VALUE!</v>
      </c>
      <c r="AX246" s="238" t="n">
        <f aca="false">IF(E246="",0,F246-E246+1)</f>
        <v>30</v>
      </c>
      <c r="AY246" s="1582" t="n">
        <f aca="false">IF(E246="",0,MIN((1-(1-VLOOKUP(B246,MAIN!$AA$7:$AM$28,C246+1))*(1-VLOOKUP(B246,MAIN!$AA$33:$AM$54,C246+1))),1))</f>
        <v>0.03</v>
      </c>
      <c r="AZ246" s="1519" t="e">
        <v>#VALUE!</v>
      </c>
      <c r="BA246" s="1520" t="e">
        <v>#VALUE!</v>
      </c>
      <c r="BB246" s="1520" t="e">
        <v>#VALUE!</v>
      </c>
      <c r="BC246" s="1583" t="e">
        <v>#VALUE!</v>
      </c>
      <c r="BD246" s="1522" t="e">
        <v>#VALUE!</v>
      </c>
      <c r="BE246" s="1523" t="e">
        <v>#VALUE!</v>
      </c>
      <c r="BF246" s="1523" t="e">
        <v>#VALUE!</v>
      </c>
      <c r="BG246" s="1584" t="e">
        <v>#VALUE!</v>
      </c>
      <c r="BH246" s="1525" t="e">
        <v>#VALUE!</v>
      </c>
      <c r="BI246" s="1520" t="e">
        <v>#VALUE!</v>
      </c>
      <c r="BJ246" s="1520" t="e">
        <v>#VALUE!</v>
      </c>
      <c r="BK246" s="1583" t="e">
        <v>#VALUE!</v>
      </c>
      <c r="BL246" s="1522" t="e">
        <v>#VALUE!</v>
      </c>
      <c r="BM246" s="1523" t="e">
        <v>#VALUE!</v>
      </c>
      <c r="BN246" s="1523" t="e">
        <v>#VALUE!</v>
      </c>
      <c r="BO246" s="1523" t="e">
        <v>#VALUE!</v>
      </c>
      <c r="BP246" s="1525" t="e">
        <f aca="false">SUM(AZ246:BB246)</f>
        <v>#VALUE!</v>
      </c>
      <c r="BQ246" s="1529" t="e">
        <f aca="false">SUM(AZ246:BC246)</f>
        <v>#VALUE!</v>
      </c>
      <c r="BR246" s="1519" t="e">
        <f aca="false">SUM(BH246:BJ246)</f>
        <v>#VALUE!</v>
      </c>
      <c r="BS246" s="1529" t="e">
        <f aca="false">SUM(BH246:BK246)</f>
        <v>#VALUE!</v>
      </c>
      <c r="BT246" s="1316" t="n">
        <f aca="false">(IF(OVolType&lt;&gt;2,A246+14,IF(OptExpDateShift,ShiftBack(A246,OptExpDateShift,D245),A246))-DateToday)/365.25</f>
        <v>19.129363449692</v>
      </c>
      <c r="BU246" s="1585" t="e">
        <f aca="false">IF(BQ246,IF(OPriceCurve,IF(OBuySell=OCallPut,I246/(1-AY246),K246/(1-AY246)),J246/(1-AY246))*BD246,0)</f>
        <v>#VALUE!</v>
      </c>
      <c r="BV246" s="1316" t="e">
        <f aca="false">IF(BQ246,IF(OPriceCurve,IF(OBuySell=OCallPut,L246/(1-AY246),N246/(1-AY246)),M246/(1-AY246))*BE246,0)</f>
        <v>#VALUE!</v>
      </c>
      <c r="BW246" s="1316" t="e">
        <f aca="false">IF(BQ246,IF(OPriceCurve,IF(OBuySell=OCallPut,O246/(1-AY246),Q246/(1-AY246)),P246/(1-AY246))*BF246,0)</f>
        <v>#VALUE!</v>
      </c>
      <c r="BX246" s="1316" t="e">
        <f aca="false">IF(BQ246,IF(OPriceCurve,IF(OBuySell=OCallPut,R246/(1-AY246),T246/(1-AY246)),S246/(1-AY246))*BG246,0)</f>
        <v>#VALUE!</v>
      </c>
      <c r="BY246" s="1316" t="e">
        <f aca="false">IF(BP246,(BU246*AZ246+BV246*BA246+BW246*BB246)/BP246,0)</f>
        <v>#VALUE!</v>
      </c>
      <c r="BZ246" s="1316" t="e">
        <f aca="false">IF(BQ246,(BY246*BP246+BX246*BC246)/BQ246,0)</f>
        <v>#VALUE!</v>
      </c>
      <c r="CA246" s="1531" t="e">
        <f aca="false">IF(BS246,IF(OPriceCurve,IF(OBuySell=OCallPut,I246/(1-AY246),K246/(1-AY246)),J246/(1-AY246))*BL246,0)</f>
        <v>#VALUE!</v>
      </c>
      <c r="CB246" s="1316" t="e">
        <f aca="false">IF(BS246,IF(OPriceCurve,IF(OBuySell=OCallPut,L246/(1-AY246),N246/(1-AY246)),M246/(1-AY246))*BM246,0)</f>
        <v>#VALUE!</v>
      </c>
      <c r="CC246" s="1316" t="e">
        <f aca="false">IF(BS246,IF(OPriceCurve,IF(OBuySell=OCallPut,O246/(1-AY246),Q246/(1-AY246)),P246/(1-AY246))*BN246,0)</f>
        <v>#VALUE!</v>
      </c>
      <c r="CD246" s="1316" t="e">
        <f aca="false">IF(BS246,IF(OPriceCurve,IF(OBuySell=OCallPut,R246/(1-AY246),T246/(1-AY246)),S246/(1-AY246))*BO246,0)</f>
        <v>#VALUE!</v>
      </c>
      <c r="CE246" s="1316" t="e">
        <f aca="false">IF(BR246,(BU246*BH246+BV246*BI246+BW246*BJ246)/BR246,0)</f>
        <v>#VALUE!</v>
      </c>
      <c r="CF246" s="1532" t="e">
        <f aca="false">IF(BS246,(CE246*BR246+CD246*BK246)/BS246,0)</f>
        <v>#VALUE!</v>
      </c>
      <c r="CG246" s="1586" t="e">
        <f aca="false">IF(OR(BQ246,BS246),IF(OVolType&lt;&gt;2,SQRT(IF(OVolOverMonthlyPeak,OVolOverMonthlyPeak,IF(OVolCurve,IF(OBuySell,U246,W246),V246))^2*(1-15/365.25/BT246)+IF(OVolOverDailyPeak,OVolOverDailyPeak,IF(OVolCurve,IF(OBuySell,AG246,AI246),AH246))^2*15/365.25/BT246),IF(OVolOverMonthlyPeak,OVolOverMonthlyPeak,IF(OVolCurve,IF(OBuySell,U246,W246),V246))),"")</f>
        <v>#VALUE!</v>
      </c>
      <c r="CH246" s="1587" t="e">
        <f aca="false">IF(OR(BQ246,BS246),IF(OVolType&lt;&gt;2,SQRT(IF(OVolOverMonthlyPeak,OVolOverMonthlyPeak,IF(OVolCurve,IF(OBuySell,X246,Z246),Y246))^2*(1-15/365.25/BT246)+IF(OVolOverDailyPeak,OVolOverDailyPeak,IF(OVolCurve,IF(OBuySell,AJ246,AL246),AK246))^2*15/365.25/BT246),IF(OVolOverMonthlyPeak,OVolOverMonthlyPeak,IF(OVolCurve,IF(OBuySell,X246,Z246),Y246))),"")</f>
        <v>#VALUE!</v>
      </c>
      <c r="CI246" s="1587" t="e">
        <f aca="false">IF(OR(BQ246,BS246),IF(OVolType&lt;&gt;2,SQRT(IF(OVolOverMonthlyPeak,OVolOverMonthlyPeak,IF(OVolCurve,IF(OBuySell,AA246,AC246),AB246))^2*(1-15/365.25/BT246)+IF(OVolOverDailyPeak,OVolOverDailyPeak,IF(OVolCurve,IF(OBuySell,AM246,AO246),AN246))^2*15/365.25/BT246),IF(OVolOverMonthlyPeak,OVolOverMonthlyPeak,IF(OVolCurve,IF(OBuySell,AA246,AC246),AB246))),"")</f>
        <v>#VALUE!</v>
      </c>
      <c r="CJ246" s="1587" t="e">
        <f aca="false">IF(BQ246,IF(BP246,SQRT(LN(1+((BU246*AZ246)^2*(EXP(CG246^2*BT246)-1)+(BV246*BA246)^2*(EXP(CH246^2*BT246)-1)+(BW246*BB246)^2*(EXP(CI246^2*BT246)-1)+2*BU246*AZ246*BV246*BA246*(EXP(CG246*CH246*BT246)-1)+2*BV246*BA246*BW246*BB246*(EXP(CH246*CI246*BT246)-1)+2*BW246*BB246*BU246*AZ246*(EXP(CI246*CG246*BT246)-1))/(BY246*BP246)^2)/BT246),0),"")</f>
        <v>#VALUE!</v>
      </c>
      <c r="CK246" s="1587" t="e">
        <f aca="false">IF(BS246,IF(BR246,SQRT(LN(1+((CA246*BH246)^2*(EXP(CG246^2*BT246)-1)+(CB246*BI246)^2*(EXP(CH246^2*BT246)-1)+(CC246*BJ246)^2*(EXP(CI246^2*BT246)-1)+2*CA246*BH246*CB246*BI246*(EXP(CG246*CH246*BT246)-1)+2*CB246*BI246*CC246*BJ246*(EXP(CH246*CI246*BT246)-1)+2*CC246*BJ246*CA246*BH246*(EXP(CI246*CG246*BT246)-1))/(CE246*BR246)^2)/BT246),0),"")</f>
        <v>#VALUE!</v>
      </c>
      <c r="CL246" s="1587" t="e">
        <f aca="false">IF(OR(BQ246,BS246),IF(OVolType&lt;&gt;2,SQRT(IF(OVolOverMonthlyOffPeak,OVolOverMonthlyOffPeak,IF(OVolCurve,IF(OBuySell,AD246,AF246),AE246))^2*(1-15/365.25/BT246)+IF(OVolOverDailyOffPeak,OVolOverDailyOffPeak,IF(OVolCurve,IF(OBuySell,AP246,AR246),AQ246))^2*15/365.25/BT246),IF(OVolOverMonthlyOffPeak,OVolOverMonthlyOffPeak,IF(OVolCurve,IF(OBuySell,AD246,AF246),AE246))),"")</f>
        <v>#VALUE!</v>
      </c>
      <c r="CM246" s="1587" t="e">
        <f aca="false">IF(BQ246,SQRT(LN(1+((BY246*BP246)^2*(EXP(CJ246^2*BT246)-1)+(BX246*BC246)^2*(EXP(CL246^2*BT246)-1)+2*BY246*BP246*BX246*BC246*(EXP(AS246*CJ246*CL246*BT246)-1))/(BY246*BP246+BX246*BC246)^2)/BT246),"")</f>
        <v>#VALUE!</v>
      </c>
      <c r="CN246" s="1588" t="e">
        <f aca="false">IF(BS246,SQRT(LN(1+((CE246*BR246)^2*(EXP(CK246^2*BT246)-1)+(CD246*BK246)^2*(EXP(CL246^2*BT246)-1)+2*CE246*BR246*CD246*BK246*(EXP(AS246*CK246*CL246*BT246)-1))/(CE246*BR246+CD246*BK246)^2)/BT246),"")</f>
        <v>#VALUE!</v>
      </c>
      <c r="CO246" s="1531" t="e">
        <f aca="false">IF(OR(BQ246,BS246),VLOOKUP(A246,GasTable,13)*HeatRatePeak*(1+VLOOKUP($B246,HeatRateDegradation,$C246+1))/1000,0)</f>
        <v>#VALUE!</v>
      </c>
      <c r="CP246" s="1316" t="e">
        <f aca="false">IF(OR(BQ246,BS246),VLOOKUP(A246,GasTable,13)*HeatRatePeak*(1+VLOOKUP($B246,HeatRateDegradation,$C246+1))/1000,0)</f>
        <v>#VALUE!</v>
      </c>
      <c r="CQ246" s="1316" t="e">
        <f aca="false">IF(OR(BQ246,BS246),VLOOKUP(A246,GasTable,13)*IF(EV246,HeatRatePeak,HeatRateOffPeak)*(1+VLOOKUP($B246,HeatRateDegradation,$C246+1))/1000,0)</f>
        <v>#VALUE!</v>
      </c>
      <c r="CR246" s="1316" t="e">
        <f aca="false">IF(OR(BQ246,BS246),VLOOKUP(A246,GasTable,13)*IF(EW246,HeatRatePeak,HeatRateOffPeak)*(1+VLOOKUP($B246,HeatRateDegradation,$C246+1))/1000,0)</f>
        <v>#VALUE!</v>
      </c>
      <c r="CS246" s="1589" t="e">
        <f aca="false">IF(BQ246,(CO246*AZ246+CP246*BA246+CQ246*BB246+CR246*BC246)/BQ246,0)</f>
        <v>#VALUE!</v>
      </c>
      <c r="CT246" s="1316" t="e">
        <f aca="false">IF(BS246,CO246,0)</f>
        <v>#VALUE!</v>
      </c>
      <c r="CU246" s="1590" t="e">
        <f aca="false">IF(OR(BQ246,BS246),VLOOKUP(A246,GasTable,14),"")</f>
        <v>#VALUE!</v>
      </c>
      <c r="CV246" s="1568" t="e">
        <f aca="false">IF(OR(BQ246,BS246),IF(CorrPowerGasOverFlag,INDEX(CorrPowerGasOver,C246),CorrPowerGas),"")</f>
        <v>#VALUE!</v>
      </c>
      <c r="CW246" s="1316" t="e">
        <f aca="false">IF(OR($BQ246,$BS246),SpreadOptPowerMargin,0)*((1+Assumptions!$C$26)^($B246-YEAR(Assumptions!$C$17)))</f>
        <v>#VALUE!</v>
      </c>
      <c r="CX246" s="1316" t="e">
        <f aca="false">IF(OR($BQ246,$BS246),SpreadOptPowerMargin,0)*((1+Assumptions!$C$26)^($B246-YEAR(Assumptions!$C$17)))</f>
        <v>#VALUE!</v>
      </c>
      <c r="CY246" s="1316" t="e">
        <f aca="false">IF(OR($BQ246,$BS246),SpreadOptPowerMargin,0)*((1+Assumptions!$C$26)^($B246-YEAR(Assumptions!$C$17)))</f>
        <v>#VALUE!</v>
      </c>
      <c r="CZ246" s="1316" t="e">
        <f aca="false">IF(OR($BQ246,$BS246),SpreadOptPowerMargin,0)*((1+Assumptions!$C$26)^($B246-YEAR(Assumptions!$C$17)))</f>
        <v>#VALUE!</v>
      </c>
      <c r="DA246" s="1591" t="e">
        <f aca="false">IF(OR(BQ246,BS246),(CW246*(AZ246+BH246)+CX246*(BA246+BI246)+CY246*(BB246+BJ246)+CZ246*(BC246+BK246))/(BQ246+BS246),0)</f>
        <v>#VALUE!</v>
      </c>
      <c r="DB246" s="1592" t="e">
        <f aca="false">IF(OR(BQ246,BS246),CG246+IF(OVolSmile,VLOOKUP(MAX(-5,CO246+CW246-BU246),IF(OVolSmile=1,VolSmileBook,VolSmileModel),2),0),"")</f>
        <v>#VALUE!</v>
      </c>
      <c r="DC246" s="1592" t="e">
        <f aca="false">IF(OR(BQ246,BS246),CH246+IF(OVolSmile,VLOOKUP(MAX(-5,CP246+CW246-BV246),IF(OVolSmile=1,VolSmileBook,VolSmileModel),2),0),"")</f>
        <v>#VALUE!</v>
      </c>
      <c r="DD246" s="1592" t="e">
        <f aca="false">IF(OR(BQ246,BS246),CI246+IF(OVolSmile,VLOOKUP(MAX(-5,CQ246+CW246-BW246),IF(OVolSmile=1,VolSmileBook,VolSmileModel),2),0),"")</f>
        <v>#VALUE!</v>
      </c>
      <c r="DE246" s="1592" t="e">
        <f aca="false">IF(OR(BQ246,BS246),CL246+IF(OVolSmile,VLOOKUP(MAX(-5,CR246+CZ246-BX246),IF(OVolSmile=1,VolSmileBook,VolSmileModel),2),0),"")</f>
        <v>#VALUE!</v>
      </c>
      <c r="DF246" s="1592" t="e">
        <f aca="false">IF(BQ246,CM246+IF(OVolSmile,VLOOKUP(MAX(-5,CS246+DA246-BZ246),IF(OVolSmile=1,VolSmileBook,VolSmileModel),2),0),"")</f>
        <v>#VALUE!</v>
      </c>
      <c r="DG246" s="1593" t="e">
        <f aca="false">IF(BS246,CN246+IF(OVolSmile,VLOOKUP(MAX(-5,CT246+DA246-CF246),IF(OVolSmile=1,VolSmileBook,VolSmileModel),2),0),"")</f>
        <v>#VALUE!</v>
      </c>
      <c r="DH246" s="1316" t="e">
        <f aca="false">IF(AND(BU246&gt;0,CO246&gt;0,DB246&gt;0,CU246&gt;0),newSPRDOPT(BU246,CO246,CW246,0,DB246,CU246,CV246,BT246*365.25,OCallPut,0),0)</f>
        <v>#VALUE!</v>
      </c>
      <c r="DI246" s="1316" t="e">
        <f aca="false">IF(AND(BV246&gt;0,CP246&gt;0,DC246&gt;0,CU246&gt;0),newSPRDOPT(BV246,CP246,CX246,0,DC246,CU246,CV246,BT246*365.25,OCallPut,0),0)</f>
        <v>#VALUE!</v>
      </c>
      <c r="DJ246" s="1316" t="e">
        <f aca="false">IF(AND(BW246&gt;0,CQ246&gt;0,DD246&gt;0,CU246&gt;0),newSPRDOPT(BW246,CQ246,CY246,0,DD246,CU246,CV246,BT246*365.25,OCallPut,0),0)</f>
        <v>#VALUE!</v>
      </c>
      <c r="DK246" s="1316" t="e">
        <f aca="false">IF(AND(BX246&gt;0,CR246&gt;0,DE246&gt;0,CU246&gt;0),newSPRDOPT(BX246,CR246,CZ246,0,DE246,CU246,CV246,BT246*365.25,OCallPut,0),0)</f>
        <v>#VALUE!</v>
      </c>
      <c r="DL246" s="1316" t="e">
        <f aca="false">IF(OVolType,IF(AND(BZ246&gt;0,CS246&gt;0,DF246&gt;0,CU246&gt;0),newSPRDOPT(BZ246,CS246,DA246,0,DF246,CU246,CV246,BT246*365.25,OCallPut,0),0),IF(BQ246,(DH246*AZ246+DI246*BA246+DJ246*BB246+DK246*BC246)/BQ246,0))</f>
        <v>#VALUE!</v>
      </c>
      <c r="DM246" s="1316"/>
      <c r="DN246" s="1316"/>
      <c r="DO246" s="1316"/>
      <c r="DP246" s="1316"/>
      <c r="DQ246" s="1316"/>
      <c r="DR246" s="1316"/>
      <c r="DS246" s="1316"/>
      <c r="DT246" s="1316"/>
      <c r="DU246" s="1316"/>
      <c r="DV246" s="1316"/>
      <c r="DW246" s="1594" t="e">
        <f aca="false">IF(AND(BW246&gt;0,CT246&gt;0,DD246&gt;0,CU246&gt;0),newSPRDOPT(BW246,CT246,CY246,0,DD246,CU246,CV246,BT246*365.25,OCallPut,0),0)</f>
        <v>#VALUE!</v>
      </c>
      <c r="DX246" s="1316" t="e">
        <f aca="false">IF(AND(BX246&gt;0,CT246&gt;0,DE246&gt;0,CU246&gt;0),newSPRDOPT(BX246,CT246,CZ246,0,DE246,CU246,CV246,BT246*365.25,OCallPut,0),0)</f>
        <v>#VALUE!</v>
      </c>
      <c r="DY246" s="1591" t="e">
        <f aca="false">IF(BS246,(DH246*BH246+DI246*BI246+DW246*BJ246+DX246*BK246)/BS246,0)</f>
        <v>#VALUE!</v>
      </c>
      <c r="DZ246" s="1551" t="e">
        <f aca="false">DH246*AZ246</f>
        <v>#VALUE!</v>
      </c>
      <c r="EA246" s="1551" t="e">
        <f aca="false">DI246*BA246</f>
        <v>#VALUE!</v>
      </c>
      <c r="EB246" s="1551" t="e">
        <f aca="false">DJ246*BB246</f>
        <v>#VALUE!</v>
      </c>
      <c r="EC246" s="1551" t="e">
        <f aca="false">DK246*BC246</f>
        <v>#VALUE!</v>
      </c>
      <c r="ED246" s="1551" t="e">
        <f aca="false">DL246*BQ246</f>
        <v>#VALUE!</v>
      </c>
      <c r="EE246" s="1595" t="e">
        <f aca="false">IF(BQ246,IF(OCallPut,IF(BU246&gt;(CO246+CW246),BU246-(CO246+CW246),0),IF((CO246+CW246)&gt;BU246,(CO246+CW246)-BU246,0))*AZ246,0)</f>
        <v>#VALUE!</v>
      </c>
      <c r="EF246" s="1596" t="e">
        <f aca="false">IF(BQ246,IF(OCallPut,IF(BV246&gt;(CP246+CX246),BV246-(CP246+CX246),0),IF((CP246+CX246)&gt;BV246,(CP246+CX246)-BV246,0))*BA246,0)</f>
        <v>#VALUE!</v>
      </c>
      <c r="EG246" s="1596" t="e">
        <f aca="false">IF(BQ246,IF(OCallPut,IF(BW246&gt;(CQ246+CY246),BW246-(CQ246+CY246),0),IF((CQ246+CY246)&gt;BW246,(CQ246+CY246)-BW246,0))*BB246,0)</f>
        <v>#VALUE!</v>
      </c>
      <c r="EH246" s="1596" t="e">
        <f aca="false">IF(BQ246,IF(OCallPut,IF(BX246&gt;(CR246+CZ246),BX246-(CR246+CZ246),0),IF((CR246+CZ246)&gt;BX246,(CR246+CZ246)-BX246,0))*BC246,0)</f>
        <v>#VALUE!</v>
      </c>
      <c r="EI246" s="1597" t="e">
        <f aca="false">IF(BQ246,IF(OVolType,IF(OCallPut,IF(BZ246&gt;(CS246+DA246),BZ246-(CS246+DA246),0),IF((CS246+DA246)&gt;BZ246,(CS246+DA246)-BZ246,0))*BQ246,SUM(EE246:EH246)),0)</f>
        <v>#VALUE!</v>
      </c>
      <c r="EJ246" s="1595" t="e">
        <f aca="false">DZ246-EE246</f>
        <v>#VALUE!</v>
      </c>
      <c r="EK246" s="1596" t="e">
        <f aca="false">EA246-EF246</f>
        <v>#VALUE!</v>
      </c>
      <c r="EL246" s="1596" t="e">
        <f aca="false">EB246-EG246</f>
        <v>#VALUE!</v>
      </c>
      <c r="EM246" s="1596" t="e">
        <f aca="false">EC246-EH246</f>
        <v>#VALUE!</v>
      </c>
      <c r="EN246" s="1597" t="e">
        <f aca="false">ED246-EI246</f>
        <v>#VALUE!</v>
      </c>
      <c r="EO246" s="1551" t="e">
        <f aca="false">DH246*BH246</f>
        <v>#VALUE!</v>
      </c>
      <c r="EP246" s="1551" t="e">
        <f aca="false">DI246*BI246</f>
        <v>#VALUE!</v>
      </c>
      <c r="EQ246" s="1551" t="e">
        <f aca="false">DW246*BJ246</f>
        <v>#VALUE!</v>
      </c>
      <c r="ER246" s="1551" t="e">
        <f aca="false">DX246*BK246</f>
        <v>#VALUE!</v>
      </c>
      <c r="ES246" s="1551" t="e">
        <f aca="false">DY246*BS246</f>
        <v>#VALUE!</v>
      </c>
      <c r="ET246" s="1566" t="e">
        <f aca="false">IF(EI246,IF(OCallPut,IF(CA246&gt;(CT246+CW246),CA246-(CT246+CW246),0),IF((CT246+CW246)&gt;CA246,(CT246+CW246)-CA246,0))*BH246,0)</f>
        <v>#VALUE!</v>
      </c>
      <c r="EU246" s="1551" t="e">
        <f aca="false">IF(EI246,IF(OCallPut,IF(CB246&gt;(CT246+CX246),CB246-(CT246+CX246),0),IF((CT246+CX246)&gt;CB246,(CT246+CX246)-CB246,0))*BI246,0)</f>
        <v>#VALUE!</v>
      </c>
      <c r="EV246" s="1551" t="e">
        <f aca="false">IF(EI246,IF(OCallPut,IF(CC246&gt;(CT246+CY246),CC246-(CT246+CY246),0),IF((CT246+CY246)&gt;CC246,(CT246+CY246)-CC246,0))*BJ246,0)</f>
        <v>#VALUE!</v>
      </c>
      <c r="EW246" s="1551" t="e">
        <f aca="false">IF(EI246,IF(OCallPut,IF(CD246&gt;(CT246+CZ246),CD246-(CT246+CZ246),0),IF((CT246+CZ246)&gt;CD246,(CT246+CZ246)-CD246,0))*BK246,0)</f>
        <v>#VALUE!</v>
      </c>
      <c r="EX246" s="1558" t="e">
        <f aca="false">IF(EI246,SUM(ET246:EW246),0)</f>
        <v>#VALUE!</v>
      </c>
      <c r="EY246" s="1551" t="e">
        <f aca="false">EO246-ET246</f>
        <v>#VALUE!</v>
      </c>
      <c r="EZ246" s="1551" t="e">
        <f aca="false">EP246-EU246</f>
        <v>#VALUE!</v>
      </c>
      <c r="FA246" s="1551" t="e">
        <f aca="false">EQ246-EV246</f>
        <v>#VALUE!</v>
      </c>
      <c r="FB246" s="1551" t="e">
        <f aca="false">ER246-EW246</f>
        <v>#VALUE!</v>
      </c>
      <c r="FC246" s="1551" t="e">
        <f aca="false">ES246-EX246</f>
        <v>#VALUE!</v>
      </c>
      <c r="FD246" s="1525" t="n">
        <f aca="false">IF(AX246,IF(VLOOKUP(C246,MAIN!$L$17:$M$28,2)="Yes",VLOOKUP(CALC!B246,MAIN!$H$17:$I$20,2),0),0)</f>
        <v>0</v>
      </c>
      <c r="FE246" s="1552" t="e">
        <f aca="false">$FD246*16*AT246*(1-$AY246)</f>
        <v>#VALUE!</v>
      </c>
      <c r="FF246" s="1553" t="e">
        <f aca="false">$FD246*16*AU246*(1-$AY246)</f>
        <v>#VALUE!</v>
      </c>
      <c r="FG246" s="1553" t="e">
        <f aca="false">$FD246*16*(AV246+AW246)*(1-$AY246)</f>
        <v>#VALUE!</v>
      </c>
      <c r="FH246" s="1554" t="n">
        <f aca="false">$FD246*8*AX246*(1-$AY246)</f>
        <v>0</v>
      </c>
      <c r="FI246" s="1555" t="n">
        <f aca="false">IF(AX246,VLOOKUP(CALC!B246,MAIN!$H$17:$K$20,4),0)</f>
        <v>0</v>
      </c>
      <c r="FJ246" s="1553" t="e">
        <f aca="false">SUM(FE246:FH246)</f>
        <v>#VALUE!</v>
      </c>
      <c r="FK246" s="1556" t="e">
        <f aca="false">FI246*FJ246</f>
        <v>#VALUE!</v>
      </c>
      <c r="FL246" s="1551" t="e">
        <f aca="false">IF($EI246&gt;0,MIN(FE246,AZ246*(1+VLOOKUP($C246,WeatherCapacityAdjustment,2))),0)</f>
        <v>#VALUE!</v>
      </c>
      <c r="FM246" s="1551" t="e">
        <f aca="false">IF($EI246&gt;0,MIN(FF246,BA246*(1+VLOOKUP($C246,WeatherCapacityAdjustment,2))),0)</f>
        <v>#VALUE!</v>
      </c>
      <c r="FN246" s="1551" t="e">
        <f aca="false">IF($EI246&gt;0,MIN(FG246,BB246*(1+VLOOKUP($C246,WeatherCapacityAdjustment,2))),0)</f>
        <v>#VALUE!</v>
      </c>
      <c r="FO246" s="1564" t="e">
        <f aca="false">IF($EI246&gt;0,MIN(FH246,BC246*(1+VLOOKUP($C246,WeatherCapacityAdjustment,3))),0)</f>
        <v>#VALUE!</v>
      </c>
      <c r="FP246" s="1551" t="e">
        <f aca="false">IF(ET246&gt;0,MIN(FE246-FL246,BH246*(1+VLOOKUP($C246,WeatherCapacityAdjustment,2))),0)</f>
        <v>#VALUE!</v>
      </c>
      <c r="FQ246" s="1551" t="e">
        <f aca="false">IF(EU246&gt;0,MIN(FF246-FM246,BI246*(1+VLOOKUP($C246,WeatherCapacityAdjustment,2))),0)</f>
        <v>#VALUE!</v>
      </c>
      <c r="FR246" s="1551" t="e">
        <f aca="false">IF(EV246&gt;0,MIN(FG246-FN246,BJ246*(1+VLOOKUP($C246,WeatherCapacityAdjustment,2))),0)</f>
        <v>#VALUE!</v>
      </c>
      <c r="FS246" s="1558" t="e">
        <f aca="false">IF(EW246&gt;0,MIN(FH246-FO246,BK246*(1+VLOOKUP($C246,WeatherCapacityAdjustment,3))),0)</f>
        <v>#VALUE!</v>
      </c>
      <c r="FT246" s="1566" t="e">
        <f aca="false">IF(AND(Assumptions!$H$71="Yes",A246&gt;=Assumptions!$H$72,A246&lt;=Assumptions!$H$73),0,IF(AND($A246&gt;=Assumptions!$C$17,$A246&lt;=Assumptions!$C$18),MAX(AZ246*(1+VLOOKUP($C246,WeatherCapacityAdjustment,2))-FL246,0),0))</f>
        <v>#VALUE!</v>
      </c>
      <c r="FU246" s="1551" t="e">
        <f aca="false">IF(AND(Assumptions!$H$71="Yes",A246&gt;=Assumptions!$H$72,A246&lt;=Assumptions!$H$73),0,IF(AND($A246&gt;=Assumptions!$C$17,$A246&lt;=Assumptions!$C$18),MAX(BA246*(1+VLOOKUP($C246,WeatherCapacityAdjustment,2))-FM246,0),0))</f>
        <v>#VALUE!</v>
      </c>
      <c r="FV246" s="1551" t="e">
        <f aca="false">IF(AND(Assumptions!$H$71="Yes",A246&gt;=Assumptions!$H$72,A246&lt;=Assumptions!$H$73),0,IF(AND($A246&gt;=Assumptions!$C$17,$A246&lt;=Assumptions!$C$18),MAX(BB246*(1+VLOOKUP($C246,WeatherCapacityAdjustment,2))-FN246,0),0))</f>
        <v>#VALUE!</v>
      </c>
      <c r="FW246" s="1564" t="e">
        <f aca="false">IF(AND(Assumptions!$H$71="Yes",A246&gt;=Assumptions!$H$72,A246&lt;=Assumptions!$H$73),0,IF(AND($A246&gt;=Assumptions!$C$17,$A246&lt;=Assumptions!$C$18),MAX(BC246*(1+VLOOKUP($C246,WeatherCapacityAdjustment,3))-FO246,0),0))</f>
        <v>#VALUE!</v>
      </c>
      <c r="FX246" s="1569" t="e">
        <f aca="false">IF(AND(Assumptions!$H$71="Yes",A246&gt;=Assumptions!$H$72,A246&lt;=Assumptions!$H$73),0,IF(ET246&gt;0,MAX(BH246*(1+VLOOKUP($C246,WeatherCapacityAdjustment,2))-FP246,0),0))</f>
        <v>#VALUE!</v>
      </c>
      <c r="FY246" s="1551" t="e">
        <f aca="false">IF(AND(Assumptions!$H$71="Yes",A246&gt;=Assumptions!$H$72,A246&lt;=Assumptions!$H$73),0,IF(EU246&gt;0,MAX(BI246*(1+VLOOKUP($C246,WeatherCapacityAdjustment,3))-FQ246,0),0))</f>
        <v>#VALUE!</v>
      </c>
      <c r="FZ246" s="1551" t="e">
        <f aca="false">IF(AND(Assumptions!$H$71="Yes",A246&gt;=Assumptions!$H$72,A246&lt;=Assumptions!$H$73),0,IF(EV246&gt;0,MAX(BJ246*(1+VLOOKUP($C246,WeatherCapacityAdjustment,2))-FR246,0),0))</f>
        <v>#VALUE!</v>
      </c>
      <c r="GA246" s="1564" t="e">
        <f aca="false">IF(AND(Assumptions!$H$71="Yes",A246&gt;=Assumptions!$H$72,A246&lt;=Assumptions!$H$73),0,IF(EW246&gt;0,MAX(BK246*(1+VLOOKUP($C246,WeatherCapacityAdjustment,2))-FS246,0),0))</f>
        <v>#VALUE!</v>
      </c>
      <c r="GB246" s="1551" t="e">
        <f aca="false">SUM(FT246:GA246)</f>
        <v>#VALUE!</v>
      </c>
      <c r="GC246" s="1563" t="e">
        <f aca="false">+IF(SUM(FT246:GA246)=0,0,(SUMPRODUCT(BU246:BX246,FT246:FW246)+SUMPRODUCT(CA246:CD246,FX246:GA246))/SUM(FT246:GA246))</f>
        <v>#VALUE!</v>
      </c>
      <c r="GD246" s="1551" t="e">
        <f aca="false">(FT246*BU246+FX246*CA246+FU246*BV246+FY246*CB246+FV246*BW246+FZ246*CC246+FW246*BX246+GA246*CD246)</f>
        <v>#VALUE!</v>
      </c>
      <c r="GE246" s="1561" t="e">
        <f aca="false">+IF(BQ246,((FL246+FM246+FT246+FU246)*HeatRatePeak/1000*(1+VLOOKUP($C246,WeatherHeatRateAdjustment,2))+(FN246+FV246)*IF(EV246&gt;0,HeatRatePeak,HeatRateOffPeak)/1000*(1+VLOOKUP($C246,WeatherHeatRateAdjustment,2))+(FO246+FW246)*IF(EW246&gt;0,HeatRatePeak,HeatRateOffPeak)/1000*(1+VLOOKUP($C246,WeatherHeatRateAdjustment,3)))*(1+VLOOKUP($B246,HeatRateDegradation,$C246+1)),0)</f>
        <v>#VALUE!</v>
      </c>
      <c r="GF246" s="1562" t="e">
        <f aca="false">IF(BQ246,((FP246+FQ246+FR246+FX246+FY246+FZ246)*HeatRatePeak/1000*(1+VLOOKUP($C246,WeatherHeatRateAdjustment,2))+(FS246+GA246)*HeatRatePeak/1000*(1+VLOOKUP($C246,WeatherHeatRateAdjustment,3)))*(1+VLOOKUP($B246,HeatRateDegradation,$C246+1)),0)</f>
        <v>#VALUE!</v>
      </c>
      <c r="GG246" s="1563" t="e">
        <f aca="false">IF(BQ246,VLOOKUP(A246,GasTable,13),0)</f>
        <v>#VALUE!</v>
      </c>
      <c r="GH246" s="1564" t="e">
        <f aca="false">(GE246+GF246)*GG246</f>
        <v>#VALUE!</v>
      </c>
      <c r="GI246" s="1569" t="e">
        <f aca="false">GB246</f>
        <v>#VALUE!</v>
      </c>
      <c r="GJ246" s="1598" t="e">
        <f aca="false">+DA246</f>
        <v>#VALUE!</v>
      </c>
      <c r="GK246" s="1558" t="e">
        <f aca="false">+GI246*GJ246</f>
        <v>#VALUE!</v>
      </c>
      <c r="GL246" s="1566" t="e">
        <f aca="false">MAX(FE246-FL246-FP246,0)</f>
        <v>#VALUE!</v>
      </c>
      <c r="GM246" s="1551" t="e">
        <f aca="false">MAX(FF246-FM246-FQ246,0)</f>
        <v>#VALUE!</v>
      </c>
      <c r="GN246" s="1551" t="e">
        <f aca="false">MAX(FG246-FN246-FR246,0)</f>
        <v>#VALUE!</v>
      </c>
      <c r="GO246" s="1564" t="e">
        <f aca="false">MAX(FH246-FO246-FS246,0)</f>
        <v>#VALUE!</v>
      </c>
      <c r="GP246" s="1551" t="e">
        <f aca="false">SUM(GL246:GO246)</f>
        <v>#VALUE!</v>
      </c>
      <c r="GQ246" s="1563" t="e">
        <f aca="false">IF(SUM(GL246:GO246)=0,0,((GL246*BU246+GM246*BV246+GN246*BW246+GO246*BX246)/SUM(GL246:GO246)))</f>
        <v>#VALUE!</v>
      </c>
      <c r="GR246" s="1558" t="e">
        <f aca="false">(GL246*BU246+GM246*BV246+GN246*BW246+GO246*BX246)</f>
        <v>#VALUE!</v>
      </c>
      <c r="GS246" s="1566" t="n">
        <f aca="false">IF($A246&gt;=BegDate,Assumptions!$C$56*24*($A247-$A246)*(1-VLOOKUP($B246,MAIN!$AA$7:$AM$28,$C246+1))*(1-VLOOKUP($B246,MAIN!$AA$33:$AM$54,$C246+1)),0)*80/168</f>
        <v>249428.571428571</v>
      </c>
      <c r="GT246" s="286" t="n">
        <f aca="false">J246</f>
        <v>47.5874653562068</v>
      </c>
      <c r="GU246" s="286" t="n">
        <f aca="false">IF($A246&gt;=BegDate,VLOOKUP($A246,GasTable,13)+Assumptions!$C$58,0)</f>
        <v>3.47555800341041</v>
      </c>
      <c r="GV246" s="286" t="n">
        <f aca="false">GU246*Assumptions!$C$57/1000</f>
        <v>25.1977955247255</v>
      </c>
      <c r="GW246" s="1558" t="n">
        <f aca="false">IF(Assumptions!$C$60="Hourly",MAX(0,GS246*(GT246-GV246)),GS246*(GT246-GV246))</f>
        <v>5584623.36082378</v>
      </c>
      <c r="GX246" s="1566" t="n">
        <f aca="false">IF($A246&gt;=BegDate,Assumptions!$C$56*24*($A247-$A246)*(1-VLOOKUP($B246,MAIN!$AA$7:$AM$28,$C246+1))*(1-VLOOKUP($B246,MAIN!$AA$33:$AM$54,$C246+1)),0)*16/168</f>
        <v>49885.7142857143</v>
      </c>
      <c r="GY246" s="286" t="n">
        <f aca="false">M246</f>
        <v>47.5874653562068</v>
      </c>
      <c r="GZ246" s="286" t="n">
        <f aca="false">IF($A246&gt;=BegDate,VLOOKUP($A246,GasTable,13)+Assumptions!$C$58,0)</f>
        <v>3.47555800341041</v>
      </c>
      <c r="HA246" s="286" t="n">
        <f aca="false">GZ246*Assumptions!$C$57/1000</f>
        <v>25.1977955247255</v>
      </c>
      <c r="HB246" s="1558" t="n">
        <f aca="false">IF(Assumptions!$C$60="Hourly",MAX(0,GX246*(GY246-HA246)),GX246*(GY246-HA246))</f>
        <v>1116924.67216476</v>
      </c>
      <c r="HC246" s="1566" t="n">
        <f aca="false">IF($A246&gt;=BegDate,Assumptions!$C$56*24*($A247-$A246)*(1-VLOOKUP($B246,MAIN!$AA$7:$AM$28,$C246+1))*(1-VLOOKUP($B246,MAIN!$AA$33:$AM$54,$C246+1)),0)*16/168</f>
        <v>49885.7142857143</v>
      </c>
      <c r="HD246" s="286" t="n">
        <f aca="false">P246</f>
        <v>28.0768303658938</v>
      </c>
      <c r="HE246" s="286" t="n">
        <f aca="false">IF($A246&gt;=BegDate,VLOOKUP($A246,GasTable,13)+Assumptions!$C$58,0)</f>
        <v>3.47555800341041</v>
      </c>
      <c r="HF246" s="286" t="n">
        <f aca="false">HE246*Assumptions!$C$57/1000</f>
        <v>25.1977955247255</v>
      </c>
      <c r="HG246" s="1558" t="n">
        <f aca="false">IF(Assumptions!$C$60="Hourly",MAX(0,HC246*(HD246-HF246)),HC246*(HD246-HF246))</f>
        <v>143622.709505138</v>
      </c>
      <c r="HH246" s="1566" t="n">
        <f aca="false">IF($A246&gt;=BegDate,Assumptions!$C$56*24*($A247-$A246)*(1-VLOOKUP($B246,MAIN!$AA$7:$AM$28,$C246+1))*(1-VLOOKUP($B246,MAIN!$AA$33:$AM$54,$C246+1)),0)*56/168</f>
        <v>174600</v>
      </c>
      <c r="HI246" s="286" t="n">
        <f aca="false">S246</f>
        <v>28.0768303658938</v>
      </c>
      <c r="HJ246" s="286" t="n">
        <f aca="false">IF($A246&gt;=BegDate,VLOOKUP($A246,GasTable,13)+Assumptions!$C$58,0)</f>
        <v>3.47555800341041</v>
      </c>
      <c r="HK246" s="286" t="n">
        <f aca="false">HJ246*Assumptions!$C$57/1000</f>
        <v>25.1977955247255</v>
      </c>
      <c r="HL246" s="1558" t="n">
        <f aca="false">IF(Assumptions!$C$60="Hourly",MAX(0,HH246*(HI246-HK246)),HH246*(HI246-HK246))</f>
        <v>502679.483267983</v>
      </c>
      <c r="HM246" s="1566" t="n">
        <f aca="false">IF(AND(Assumptions!$H$71="Yes",A246&gt;=Assumptions!$H$72,A246&lt;=Assumptions!$H$73),Assumptions!$H$74*Assumptions!$C$9*1000,0)</f>
        <v>0</v>
      </c>
      <c r="HN246" s="1551"/>
      <c r="HO246" s="1563"/>
      <c r="HP246" s="1563"/>
      <c r="HQ246" s="1563"/>
      <c r="HR246" s="1563"/>
      <c r="HS246" s="1563"/>
      <c r="HT246" s="1563"/>
      <c r="HU246" s="1563"/>
      <c r="HV246" s="1563"/>
      <c r="HW246" s="1563"/>
      <c r="HX246" s="1563"/>
      <c r="HY246" s="1563"/>
      <c r="HZ246" s="1563"/>
      <c r="IA246" s="1563"/>
      <c r="IB246" s="1563"/>
      <c r="IC246" s="1563"/>
      <c r="ID246" s="1563"/>
      <c r="IE246" s="1563"/>
      <c r="IF246" s="1563"/>
      <c r="IG246" s="1563"/>
      <c r="IH246" s="1563"/>
      <c r="II246" s="1610"/>
      <c r="IJ246" s="1309"/>
      <c r="IK246" s="1309"/>
    </row>
    <row r="247" customFormat="false" ht="12.75" hidden="false" customHeight="false" outlineLevel="0" collapsed="false">
      <c r="A247" s="1571" t="n">
        <f aca="false">EOMONTH(A246,0)+1</f>
        <v>43647</v>
      </c>
      <c r="B247" s="594" t="n">
        <f aca="false">+YEAR(A247)</f>
        <v>2019</v>
      </c>
      <c r="C247" s="238" t="n">
        <f aca="false">MONTH(A247)</f>
        <v>7</v>
      </c>
      <c r="D247" s="1572" t="e">
        <f aca="false">IF(E247="","",Holiday(B247,C247))</f>
        <v>#VALUE!</v>
      </c>
      <c r="E247" s="1573" t="n">
        <f aca="false">IF(OR(BegDate&gt;=A248,EndDate&lt;A247,AND(VolumeMonthlyOverFlag,INDEX(VolumeMonthlyOver,C247)=0),NOT(INDEX(MonthKnockOutTable,C247))),"",MAX(A247,BegDate))</f>
        <v>43647</v>
      </c>
      <c r="F247" s="1574" t="n">
        <f aca="false">IF(E247="","",MIN(A248-1,EndDate))</f>
        <v>43677</v>
      </c>
      <c r="G247" s="1575" t="n">
        <v>0</v>
      </c>
      <c r="H247" s="1576" t="n">
        <f aca="false">(1+G247/2)^(-2*(DATE(B248,C248,20)-DateToday)/365.25)</f>
        <v>1</v>
      </c>
      <c r="I247" s="1568" t="n">
        <f aca="false">IF(Assumptions!$L$25=4,VLOOKUP($A247,'Henwood Reference'!$E$9:$R$320,10),(VLOOKUP($A247,PriceTable,2,0)+IF(BasisNumber&lt;&gt;1,VLOOKUP($A247,BasisTable,2,0),0)+I$1)/(1-I$2))</f>
        <v>70.705310490816</v>
      </c>
      <c r="J247" s="1568" t="n">
        <f aca="false">IF(Assumptions!$L$25=4,VLOOKUP($A247,'Henwood Reference'!$E$9:$R$320,10),(VLOOKUP($A247,PriceTable,3,0)+IF(BasisNumber&lt;&gt;1,VLOOKUP($A247,BasisTable,2,0),0)+J$1)/(1-J$2))</f>
        <v>70.705310490816</v>
      </c>
      <c r="K247" s="1568" t="n">
        <f aca="false">IF(Assumptions!$L$25=4,VLOOKUP($A247,'Henwood Reference'!$E$9:$R$320,10),(VLOOKUP($A247,PriceTable,4,0)+IF(BasisNumber&lt;&gt;1,VLOOKUP($A247,BasisTable,2,0),0)+K$1)/(1-K$2))</f>
        <v>70.705310490816</v>
      </c>
      <c r="L247" s="1523" t="n">
        <f aca="false">IF(Assumptions!$L$25=4,VLOOKUP($A247,'Henwood Reference'!$E$9:$R$320,10),(VLOOKUP($A247,PriceTableWeekend,2,0)+IF(BasisNumber&lt;&gt;1,VLOOKUP($A247,BasisTable,2,0),0)+L$1)/(1-L$2))</f>
        <v>70.705310490816</v>
      </c>
      <c r="M247" s="1568" t="n">
        <f aca="false">IF(Assumptions!$L$25=4,VLOOKUP($A247,'Henwood Reference'!$E$9:$R$320,10),(VLOOKUP($A247,PriceTableWeekend,3,0)+IF(BasisNumber&lt;&gt;1,VLOOKUP($A247,BasisTable,2,0),0)+M$1)/(1-M$2))</f>
        <v>70.705310490816</v>
      </c>
      <c r="N247" s="1599" t="n">
        <f aca="false">IF(Assumptions!$L$25=4,VLOOKUP($A247,'Henwood Reference'!$E$9:$R$320,10),(VLOOKUP($A247,PriceTableWeekend,4,0)+IF(BasisNumber&lt;&gt;1,VLOOKUP($A247,BasisTable,2,0),0)+N$1)/(1-N$2))</f>
        <v>70.705310490816</v>
      </c>
      <c r="O247" s="1568" t="n">
        <f aca="false">IF(Assumptions!$L$25=4,VLOOKUP($A247,'Henwood Reference'!$E$9:$R$320,11),(VLOOKUP($A247,PriceTableWeekend,6,0)+IF(BasisNumber&lt;&gt;1,VLOOKUP($A247,BasisTable,3,0),0)+O$1)/(1-O$2))</f>
        <v>33.1430368994764</v>
      </c>
      <c r="P247" s="1568" t="n">
        <f aca="false">IF(Assumptions!$L$25=4,VLOOKUP($A247,'Henwood Reference'!$E$9:$R$320,11),(VLOOKUP($A247,PriceTableWeekend,7,0)+IF(BasisNumber&lt;&gt;1,VLOOKUP($A247,BasisTable,3,0),0)+P$1)/(1-P$2))</f>
        <v>33.1430368994764</v>
      </c>
      <c r="Q247" s="1599" t="n">
        <f aca="false">IF(Assumptions!$L$25=4,VLOOKUP($A247,'Henwood Reference'!$E$9:$R$320,11),(VLOOKUP($A247,PriceTableWeekend,8,0)+IF(BasisNumber&lt;&gt;1,VLOOKUP($A247,BasisTable,3,0),0)+Q$1)/(1-Q$2))</f>
        <v>33.1430368994764</v>
      </c>
      <c r="R247" s="1568" t="n">
        <f aca="false">IF(Assumptions!$L$25=4,VLOOKUP($A247,'Henwood Reference'!$E$9:$R$320,11),(VLOOKUP($A247,PriceTable,6,0)+IF(BasisNumber&lt;&gt;1,VLOOKUP($A247,BasisTable,3,0),0)+R$1)/(1-R$2))</f>
        <v>33.1430368994764</v>
      </c>
      <c r="S247" s="1568" t="n">
        <f aca="false">IF(Assumptions!$L$25=4,VLOOKUP($A247,'Henwood Reference'!$E$9:$R$320,11),(VLOOKUP($A247,PriceTable,7,0)+IF(BasisNumber&lt;&gt;1,VLOOKUP($A247,BasisTable,3,0),0)+S$1)/(1-S$2))</f>
        <v>33.1430368994764</v>
      </c>
      <c r="T247" s="1600" t="n">
        <f aca="false">IF(Assumptions!$L$25=4,VLOOKUP($A247,'Henwood Reference'!$E$9:$R$320,11),(VLOOKUP($A247,PriceTable,8,0)+IF(BasisNumber&lt;&gt;1,VLOOKUP($A247,BasisTable,3,0),0)+T$1)/(1-T$2))</f>
        <v>33.1430368994764</v>
      </c>
      <c r="U247" s="1513" t="n">
        <f aca="false">VLOOKUP($A247,VolatilityTable,14)</f>
        <v>0.09</v>
      </c>
      <c r="V247" s="1513" t="n">
        <f aca="false">VLOOKUP($A247,VolatilityTable,15)</f>
        <v>0.1</v>
      </c>
      <c r="W247" s="1514" t="n">
        <f aca="false">VLOOKUP($A247,VolatilityTable,16)</f>
        <v>0.11</v>
      </c>
      <c r="X247" s="1513" t="n">
        <f aca="false">VLOOKUP($A247,VolatilityTable,14)</f>
        <v>0.09</v>
      </c>
      <c r="Y247" s="1513" t="n">
        <f aca="false">VLOOKUP($A247,VolatilityTable,15)</f>
        <v>0.1</v>
      </c>
      <c r="Z247" s="1514" t="n">
        <f aca="false">VLOOKUP($A247,VolatilityTable,16)</f>
        <v>0.11</v>
      </c>
      <c r="AA247" s="1513" t="n">
        <f aca="false">VLOOKUP($A247,VolatilityTable,18)</f>
        <v>0.09</v>
      </c>
      <c r="AB247" s="1513" t="n">
        <f aca="false">VLOOKUP($A247,VolatilityTable,19)</f>
        <v>0.11</v>
      </c>
      <c r="AC247" s="1514" t="n">
        <f aca="false">VLOOKUP($A247,VolatilityTable,20)</f>
        <v>0.13</v>
      </c>
      <c r="AD247" s="1513" t="n">
        <f aca="false">VLOOKUP($A247,VolatilityTable,18)</f>
        <v>0.09</v>
      </c>
      <c r="AE247" s="1513" t="n">
        <f aca="false">VLOOKUP($A247,VolatilityTable,19)</f>
        <v>0.11</v>
      </c>
      <c r="AF247" s="1514" t="n">
        <f aca="false">VLOOKUP($A247,VolatilityTable,20)</f>
        <v>0.13</v>
      </c>
      <c r="AG247" s="1513" t="n">
        <f aca="false">VLOOKUP($A247,VolatilityTable,22)</f>
        <v>-0.35</v>
      </c>
      <c r="AH247" s="1513" t="n">
        <f aca="false">VLOOKUP($A247,VolatilityTable,23)</f>
        <v>0.65</v>
      </c>
      <c r="AI247" s="1514" t="n">
        <f aca="false">VLOOKUP($A247,VolatilityTable,24)</f>
        <v>0.35</v>
      </c>
      <c r="AJ247" s="1513" t="n">
        <f aca="false">VLOOKUP($A247,VolatilityTable,22)</f>
        <v>-0.35</v>
      </c>
      <c r="AK247" s="1513" t="n">
        <f aca="false">VLOOKUP($A247,VolatilityTable,23)</f>
        <v>0.65</v>
      </c>
      <c r="AL247" s="1514" t="n">
        <f aca="false">VLOOKUP($A247,VolatilityTable,24)</f>
        <v>0.35</v>
      </c>
      <c r="AM247" s="1513" t="n">
        <f aca="false">VLOOKUP($A247,VolatilityTable,26)</f>
        <v>-0.01</v>
      </c>
      <c r="AN247" s="1513" t="n">
        <f aca="false">VLOOKUP($A247,VolatilityTable,27)</f>
        <v>0.16</v>
      </c>
      <c r="AO247" s="1514" t="n">
        <f aca="false">VLOOKUP($A247,VolatilityTable,28)</f>
        <v>0.01</v>
      </c>
      <c r="AP247" s="1513" t="n">
        <f aca="false">VLOOKUP($A247,VolatilityTable,26)</f>
        <v>-0.01</v>
      </c>
      <c r="AQ247" s="1513" t="n">
        <f aca="false">VLOOKUP($A247,VolatilityTable,27)</f>
        <v>0.16</v>
      </c>
      <c r="AR247" s="1515" t="n">
        <f aca="false">VLOOKUP($A247,VolatilityTable,28)</f>
        <v>0.01</v>
      </c>
      <c r="AS247" s="1581" t="n">
        <f aca="false">IF(CorrPeakOffPeakOverFlag,INDEX(CorrPeakOffPeakOver,C247),CorrPeakOffPeak)</f>
        <v>0.5</v>
      </c>
      <c r="AT247" s="594" t="e">
        <f aca="false">AX247-SUM(AU247:AW247)</f>
        <v>#VALUE!</v>
      </c>
      <c r="AU247" s="238" t="e">
        <f aca="false">IF(E247="",0,INT((F247-MOD(F247,7)-E247)/7)+1-IF(AW247,IF(WEEKDAY(D247)=7,1,0),0))</f>
        <v>#VALUE!</v>
      </c>
      <c r="AV247" s="238" t="e">
        <f aca="false">IF(E247="",0,INT((F247-MOD(F247-1,7)-E247)/7)+1-IF(AW247,IF(WEEKDAY(D247)=1,1,0),0))</f>
        <v>#VALUE!</v>
      </c>
      <c r="AW247" s="238" t="e">
        <f aca="false">IF(OR(E247="",D247="",D247&lt;BegDate,D247&gt;EndDate),0,1)</f>
        <v>#VALUE!</v>
      </c>
      <c r="AX247" s="238" t="n">
        <f aca="false">IF(E247="",0,F247-E247+1)</f>
        <v>31</v>
      </c>
      <c r="AY247" s="1582" t="n">
        <f aca="false">IF(E247="",0,MIN((1-(1-VLOOKUP(B247,MAIN!$AA$7:$AM$28,C247+1))*(1-VLOOKUP(B247,MAIN!$AA$33:$AM$54,C247+1))),1))</f>
        <v>0.03</v>
      </c>
      <c r="AZ247" s="1519" t="e">
        <v>#VALUE!</v>
      </c>
      <c r="BA247" s="1520" t="e">
        <v>#VALUE!</v>
      </c>
      <c r="BB247" s="1520" t="e">
        <v>#VALUE!</v>
      </c>
      <c r="BC247" s="1583" t="e">
        <v>#VALUE!</v>
      </c>
      <c r="BD247" s="1522" t="e">
        <v>#VALUE!</v>
      </c>
      <c r="BE247" s="1523" t="e">
        <v>#VALUE!</v>
      </c>
      <c r="BF247" s="1523" t="e">
        <v>#VALUE!</v>
      </c>
      <c r="BG247" s="1584" t="e">
        <v>#VALUE!</v>
      </c>
      <c r="BH247" s="1525" t="e">
        <v>#VALUE!</v>
      </c>
      <c r="BI247" s="1520" t="e">
        <v>#VALUE!</v>
      </c>
      <c r="BJ247" s="1520" t="e">
        <v>#VALUE!</v>
      </c>
      <c r="BK247" s="1583" t="e">
        <v>#VALUE!</v>
      </c>
      <c r="BL247" s="1522" t="e">
        <v>#VALUE!</v>
      </c>
      <c r="BM247" s="1523" t="e">
        <v>#VALUE!</v>
      </c>
      <c r="BN247" s="1523" t="e">
        <v>#VALUE!</v>
      </c>
      <c r="BO247" s="1523" t="e">
        <v>#VALUE!</v>
      </c>
      <c r="BP247" s="1525" t="e">
        <f aca="false">SUM(AZ247:BB247)</f>
        <v>#VALUE!</v>
      </c>
      <c r="BQ247" s="1529" t="e">
        <f aca="false">SUM(AZ247:BC247)</f>
        <v>#VALUE!</v>
      </c>
      <c r="BR247" s="1519" t="e">
        <f aca="false">SUM(BH247:BJ247)</f>
        <v>#VALUE!</v>
      </c>
      <c r="BS247" s="1529" t="e">
        <f aca="false">SUM(BH247:BK247)</f>
        <v>#VALUE!</v>
      </c>
      <c r="BT247" s="1316" t="n">
        <f aca="false">(IF(OVolType&lt;&gt;2,A247+14,IF(OptExpDateShift,ShiftBack(A247,OptExpDateShift,D246),A247))-DateToday)/365.25</f>
        <v>19.211498973306</v>
      </c>
      <c r="BU247" s="1585" t="e">
        <f aca="false">IF(BQ247,IF(OPriceCurve,IF(OBuySell=OCallPut,I247/(1-AY247),K247/(1-AY247)),J247/(1-AY247))*BD247,0)</f>
        <v>#VALUE!</v>
      </c>
      <c r="BV247" s="1316" t="e">
        <f aca="false">IF(BQ247,IF(OPriceCurve,IF(OBuySell=OCallPut,L247/(1-AY247),N247/(1-AY247)),M247/(1-AY247))*BE247,0)</f>
        <v>#VALUE!</v>
      </c>
      <c r="BW247" s="1316" t="e">
        <f aca="false">IF(BQ247,IF(OPriceCurve,IF(OBuySell=OCallPut,O247/(1-AY247),Q247/(1-AY247)),P247/(1-AY247))*BF247,0)</f>
        <v>#VALUE!</v>
      </c>
      <c r="BX247" s="1316" t="e">
        <f aca="false">IF(BQ247,IF(OPriceCurve,IF(OBuySell=OCallPut,R247/(1-AY247),T247/(1-AY247)),S247/(1-AY247))*BG247,0)</f>
        <v>#VALUE!</v>
      </c>
      <c r="BY247" s="1316" t="e">
        <f aca="false">IF(BP247,(BU247*AZ247+BV247*BA247+BW247*BB247)/BP247,0)</f>
        <v>#VALUE!</v>
      </c>
      <c r="BZ247" s="1316" t="e">
        <f aca="false">IF(BQ247,(BY247*BP247+BX247*BC247)/BQ247,0)</f>
        <v>#VALUE!</v>
      </c>
      <c r="CA247" s="1531" t="e">
        <f aca="false">IF(BS247,IF(OPriceCurve,IF(OBuySell=OCallPut,I247/(1-AY247),K247/(1-AY247)),J247/(1-AY247))*BL247,0)</f>
        <v>#VALUE!</v>
      </c>
      <c r="CB247" s="1316" t="e">
        <f aca="false">IF(BS247,IF(OPriceCurve,IF(OBuySell=OCallPut,L247/(1-AY247),N247/(1-AY247)),M247/(1-AY247))*BM247,0)</f>
        <v>#VALUE!</v>
      </c>
      <c r="CC247" s="1316" t="e">
        <f aca="false">IF(BS247,IF(OPriceCurve,IF(OBuySell=OCallPut,O247/(1-AY247),Q247/(1-AY247)),P247/(1-AY247))*BN247,0)</f>
        <v>#VALUE!</v>
      </c>
      <c r="CD247" s="1316" t="e">
        <f aca="false">IF(BS247,IF(OPriceCurve,IF(OBuySell=OCallPut,R247/(1-AY247),T247/(1-AY247)),S247/(1-AY247))*BO247,0)</f>
        <v>#VALUE!</v>
      </c>
      <c r="CE247" s="1316" t="e">
        <f aca="false">IF(BR247,(BU247*BH247+BV247*BI247+BW247*BJ247)/BR247,0)</f>
        <v>#VALUE!</v>
      </c>
      <c r="CF247" s="1532" t="e">
        <f aca="false">IF(BS247,(CE247*BR247+CD247*BK247)/BS247,0)</f>
        <v>#VALUE!</v>
      </c>
      <c r="CG247" s="1586" t="e">
        <f aca="false">IF(OR(BQ247,BS247),IF(OVolType&lt;&gt;2,SQRT(IF(OVolOverMonthlyPeak,OVolOverMonthlyPeak,IF(OVolCurve,IF(OBuySell,U247,W247),V247))^2*(1-15/365.25/BT247)+IF(OVolOverDailyPeak,OVolOverDailyPeak,IF(OVolCurve,IF(OBuySell,AG247,AI247),AH247))^2*15/365.25/BT247),IF(OVolOverMonthlyPeak,OVolOverMonthlyPeak,IF(OVolCurve,IF(OBuySell,U247,W247),V247))),"")</f>
        <v>#VALUE!</v>
      </c>
      <c r="CH247" s="1587" t="e">
        <f aca="false">IF(OR(BQ247,BS247),IF(OVolType&lt;&gt;2,SQRT(IF(OVolOverMonthlyPeak,OVolOverMonthlyPeak,IF(OVolCurve,IF(OBuySell,X247,Z247),Y247))^2*(1-15/365.25/BT247)+IF(OVolOverDailyPeak,OVolOverDailyPeak,IF(OVolCurve,IF(OBuySell,AJ247,AL247),AK247))^2*15/365.25/BT247),IF(OVolOverMonthlyPeak,OVolOverMonthlyPeak,IF(OVolCurve,IF(OBuySell,X247,Z247),Y247))),"")</f>
        <v>#VALUE!</v>
      </c>
      <c r="CI247" s="1587" t="e">
        <f aca="false">IF(OR(BQ247,BS247),IF(OVolType&lt;&gt;2,SQRT(IF(OVolOverMonthlyPeak,OVolOverMonthlyPeak,IF(OVolCurve,IF(OBuySell,AA247,AC247),AB247))^2*(1-15/365.25/BT247)+IF(OVolOverDailyPeak,OVolOverDailyPeak,IF(OVolCurve,IF(OBuySell,AM247,AO247),AN247))^2*15/365.25/BT247),IF(OVolOverMonthlyPeak,OVolOverMonthlyPeak,IF(OVolCurve,IF(OBuySell,AA247,AC247),AB247))),"")</f>
        <v>#VALUE!</v>
      </c>
      <c r="CJ247" s="1587" t="e">
        <f aca="false">IF(BQ247,IF(BP247,SQRT(LN(1+((BU247*AZ247)^2*(EXP(CG247^2*BT247)-1)+(BV247*BA247)^2*(EXP(CH247^2*BT247)-1)+(BW247*BB247)^2*(EXP(CI247^2*BT247)-1)+2*BU247*AZ247*BV247*BA247*(EXP(CG247*CH247*BT247)-1)+2*BV247*BA247*BW247*BB247*(EXP(CH247*CI247*BT247)-1)+2*BW247*BB247*BU247*AZ247*(EXP(CI247*CG247*BT247)-1))/(BY247*BP247)^2)/BT247),0),"")</f>
        <v>#VALUE!</v>
      </c>
      <c r="CK247" s="1587" t="e">
        <f aca="false">IF(BS247,IF(BR247,SQRT(LN(1+((CA247*BH247)^2*(EXP(CG247^2*BT247)-1)+(CB247*BI247)^2*(EXP(CH247^2*BT247)-1)+(CC247*BJ247)^2*(EXP(CI247^2*BT247)-1)+2*CA247*BH247*CB247*BI247*(EXP(CG247*CH247*BT247)-1)+2*CB247*BI247*CC247*BJ247*(EXP(CH247*CI247*BT247)-1)+2*CC247*BJ247*CA247*BH247*(EXP(CI247*CG247*BT247)-1))/(CE247*BR247)^2)/BT247),0),"")</f>
        <v>#VALUE!</v>
      </c>
      <c r="CL247" s="1587" t="e">
        <f aca="false">IF(OR(BQ247,BS247),IF(OVolType&lt;&gt;2,SQRT(IF(OVolOverMonthlyOffPeak,OVolOverMonthlyOffPeak,IF(OVolCurve,IF(OBuySell,AD247,AF247),AE247))^2*(1-15/365.25/BT247)+IF(OVolOverDailyOffPeak,OVolOverDailyOffPeak,IF(OVolCurve,IF(OBuySell,AP247,AR247),AQ247))^2*15/365.25/BT247),IF(OVolOverMonthlyOffPeak,OVolOverMonthlyOffPeak,IF(OVolCurve,IF(OBuySell,AD247,AF247),AE247))),"")</f>
        <v>#VALUE!</v>
      </c>
      <c r="CM247" s="1587" t="e">
        <f aca="false">IF(BQ247,SQRT(LN(1+((BY247*BP247)^2*(EXP(CJ247^2*BT247)-1)+(BX247*BC247)^2*(EXP(CL247^2*BT247)-1)+2*BY247*BP247*BX247*BC247*(EXP(AS247*CJ247*CL247*BT247)-1))/(BY247*BP247+BX247*BC247)^2)/BT247),"")</f>
        <v>#VALUE!</v>
      </c>
      <c r="CN247" s="1588" t="e">
        <f aca="false">IF(BS247,SQRT(LN(1+((CE247*BR247)^2*(EXP(CK247^2*BT247)-1)+(CD247*BK247)^2*(EXP(CL247^2*BT247)-1)+2*CE247*BR247*CD247*BK247*(EXP(AS247*CK247*CL247*BT247)-1))/(CE247*BR247+CD247*BK247)^2)/BT247),"")</f>
        <v>#VALUE!</v>
      </c>
      <c r="CO247" s="1531" t="e">
        <f aca="false">IF(OR(BQ247,BS247),VLOOKUP(A247,GasTable,13)*HeatRatePeak*(1+VLOOKUP($B247,HeatRateDegradation,$C247+1))/1000,0)</f>
        <v>#VALUE!</v>
      </c>
      <c r="CP247" s="1316" t="e">
        <f aca="false">IF(OR(BQ247,BS247),VLOOKUP(A247,GasTable,13)*HeatRatePeak*(1+VLOOKUP($B247,HeatRateDegradation,$C247+1))/1000,0)</f>
        <v>#VALUE!</v>
      </c>
      <c r="CQ247" s="1316" t="e">
        <f aca="false">IF(OR(BQ247,BS247),VLOOKUP(A247,GasTable,13)*IF(EV247,HeatRatePeak,HeatRateOffPeak)*(1+VLOOKUP($B247,HeatRateDegradation,$C247+1))/1000,0)</f>
        <v>#VALUE!</v>
      </c>
      <c r="CR247" s="1316" t="e">
        <f aca="false">IF(OR(BQ247,BS247),VLOOKUP(A247,GasTable,13)*IF(EW247,HeatRatePeak,HeatRateOffPeak)*(1+VLOOKUP($B247,HeatRateDegradation,$C247+1))/1000,0)</f>
        <v>#VALUE!</v>
      </c>
      <c r="CS247" s="1589" t="e">
        <f aca="false">IF(BQ247,(CO247*AZ247+CP247*BA247+CQ247*BB247+CR247*BC247)/BQ247,0)</f>
        <v>#VALUE!</v>
      </c>
      <c r="CT247" s="1316" t="e">
        <f aca="false">IF(BS247,CO247,0)</f>
        <v>#VALUE!</v>
      </c>
      <c r="CU247" s="1590" t="e">
        <f aca="false">IF(OR(BQ247,BS247),VLOOKUP(A247,GasTable,14),"")</f>
        <v>#VALUE!</v>
      </c>
      <c r="CV247" s="1568" t="e">
        <f aca="false">IF(OR(BQ247,BS247),IF(CorrPowerGasOverFlag,INDEX(CorrPowerGasOver,C247),CorrPowerGas),"")</f>
        <v>#VALUE!</v>
      </c>
      <c r="CW247" s="1316" t="e">
        <f aca="false">IF(OR($BQ247,$BS247),SpreadOptPowerMargin,0)*((1+Assumptions!$C$26)^($B247-YEAR(Assumptions!$C$17)))</f>
        <v>#VALUE!</v>
      </c>
      <c r="CX247" s="1316" t="e">
        <f aca="false">IF(OR($BQ247,$BS247),SpreadOptPowerMargin,0)*((1+Assumptions!$C$26)^($B247-YEAR(Assumptions!$C$17)))</f>
        <v>#VALUE!</v>
      </c>
      <c r="CY247" s="1316" t="e">
        <f aca="false">IF(OR($BQ247,$BS247),SpreadOptPowerMargin,0)*((1+Assumptions!$C$26)^($B247-YEAR(Assumptions!$C$17)))</f>
        <v>#VALUE!</v>
      </c>
      <c r="CZ247" s="1316" t="e">
        <f aca="false">IF(OR($BQ247,$BS247),SpreadOptPowerMargin,0)*((1+Assumptions!$C$26)^($B247-YEAR(Assumptions!$C$17)))</f>
        <v>#VALUE!</v>
      </c>
      <c r="DA247" s="1591" t="e">
        <f aca="false">IF(OR(BQ247,BS247),(CW247*(AZ247+BH247)+CX247*(BA247+BI247)+CY247*(BB247+BJ247)+CZ247*(BC247+BK247))/(BQ247+BS247),0)</f>
        <v>#VALUE!</v>
      </c>
      <c r="DB247" s="1592" t="e">
        <f aca="false">IF(OR(BQ247,BS247),CG247+IF(OVolSmile,VLOOKUP(MAX(-5,CO247+CW247-BU247),IF(OVolSmile=1,VolSmileBook,VolSmileModel),2),0),"")</f>
        <v>#VALUE!</v>
      </c>
      <c r="DC247" s="1592" t="e">
        <f aca="false">IF(OR(BQ247,BS247),CH247+IF(OVolSmile,VLOOKUP(MAX(-5,CP247+CW247-BV247),IF(OVolSmile=1,VolSmileBook,VolSmileModel),2),0),"")</f>
        <v>#VALUE!</v>
      </c>
      <c r="DD247" s="1592" t="e">
        <f aca="false">IF(OR(BQ247,BS247),CI247+IF(OVolSmile,VLOOKUP(MAX(-5,CQ247+CW247-BW247),IF(OVolSmile=1,VolSmileBook,VolSmileModel),2),0),"")</f>
        <v>#VALUE!</v>
      </c>
      <c r="DE247" s="1592" t="e">
        <f aca="false">IF(OR(BQ247,BS247),CL247+IF(OVolSmile,VLOOKUP(MAX(-5,CR247+CZ247-BX247),IF(OVolSmile=1,VolSmileBook,VolSmileModel),2),0),"")</f>
        <v>#VALUE!</v>
      </c>
      <c r="DF247" s="1592" t="e">
        <f aca="false">IF(BQ247,CM247+IF(OVolSmile,VLOOKUP(MAX(-5,CS247+DA247-BZ247),IF(OVolSmile=1,VolSmileBook,VolSmileModel),2),0),"")</f>
        <v>#VALUE!</v>
      </c>
      <c r="DG247" s="1593" t="e">
        <f aca="false">IF(BS247,CN247+IF(OVolSmile,VLOOKUP(MAX(-5,CT247+DA247-CF247),IF(OVolSmile=1,VolSmileBook,VolSmileModel),2),0),"")</f>
        <v>#VALUE!</v>
      </c>
      <c r="DH247" s="1316" t="e">
        <f aca="false">IF(AND(BU247&gt;0,CO247&gt;0,DB247&gt;0,CU247&gt;0),newSPRDOPT(BU247,CO247,CW247,0,DB247,CU247,CV247,BT247*365.25,OCallPut,0),0)</f>
        <v>#VALUE!</v>
      </c>
      <c r="DI247" s="1316" t="e">
        <f aca="false">IF(AND(BV247&gt;0,CP247&gt;0,DC247&gt;0,CU247&gt;0),newSPRDOPT(BV247,CP247,CX247,0,DC247,CU247,CV247,BT247*365.25,OCallPut,0),0)</f>
        <v>#VALUE!</v>
      </c>
      <c r="DJ247" s="1316" t="e">
        <f aca="false">IF(AND(BW247&gt;0,CQ247&gt;0,DD247&gt;0,CU247&gt;0),newSPRDOPT(BW247,CQ247,CY247,0,DD247,CU247,CV247,BT247*365.25,OCallPut,0),0)</f>
        <v>#VALUE!</v>
      </c>
      <c r="DK247" s="1316" t="e">
        <f aca="false">IF(AND(BX247&gt;0,CR247&gt;0,DE247&gt;0,CU247&gt;0),newSPRDOPT(BX247,CR247,CZ247,0,DE247,CU247,CV247,BT247*365.25,OCallPut,0),0)</f>
        <v>#VALUE!</v>
      </c>
      <c r="DL247" s="1316" t="e">
        <f aca="false">IF(OVolType,IF(AND(BZ247&gt;0,CS247&gt;0,DF247&gt;0,CU247&gt;0),newSPRDOPT(BZ247,CS247,DA247,0,DF247,CU247,CV247,BT247*365.25,OCallPut,0),0),IF(BQ247,(DH247*AZ247+DI247*BA247+DJ247*BB247+DK247*BC247)/BQ247,0))</f>
        <v>#VALUE!</v>
      </c>
      <c r="DM247" s="1316"/>
      <c r="DN247" s="1316"/>
      <c r="DO247" s="1316"/>
      <c r="DP247" s="1316"/>
      <c r="DQ247" s="1316"/>
      <c r="DR247" s="1316"/>
      <c r="DS247" s="1316"/>
      <c r="DT247" s="1316"/>
      <c r="DU247" s="1316"/>
      <c r="DV247" s="1316"/>
      <c r="DW247" s="1594" t="e">
        <f aca="false">IF(AND(BW247&gt;0,CT247&gt;0,DD247&gt;0,CU247&gt;0),newSPRDOPT(BW247,CT247,CY247,0,DD247,CU247,CV247,BT247*365.25,OCallPut,0),0)</f>
        <v>#VALUE!</v>
      </c>
      <c r="DX247" s="1316" t="e">
        <f aca="false">IF(AND(BX247&gt;0,CT247&gt;0,DE247&gt;0,CU247&gt;0),newSPRDOPT(BX247,CT247,CZ247,0,DE247,CU247,CV247,BT247*365.25,OCallPut,0),0)</f>
        <v>#VALUE!</v>
      </c>
      <c r="DY247" s="1591" t="e">
        <f aca="false">IF(BS247,(DH247*BH247+DI247*BI247+DW247*BJ247+DX247*BK247)/BS247,0)</f>
        <v>#VALUE!</v>
      </c>
      <c r="DZ247" s="1551" t="e">
        <f aca="false">DH247*AZ247</f>
        <v>#VALUE!</v>
      </c>
      <c r="EA247" s="1551" t="e">
        <f aca="false">DI247*BA247</f>
        <v>#VALUE!</v>
      </c>
      <c r="EB247" s="1551" t="e">
        <f aca="false">DJ247*BB247</f>
        <v>#VALUE!</v>
      </c>
      <c r="EC247" s="1551" t="e">
        <f aca="false">DK247*BC247</f>
        <v>#VALUE!</v>
      </c>
      <c r="ED247" s="1551" t="e">
        <f aca="false">DL247*BQ247</f>
        <v>#VALUE!</v>
      </c>
      <c r="EE247" s="1595" t="e">
        <f aca="false">IF(BQ247,IF(OCallPut,IF(BU247&gt;(CO247+CW247),BU247-(CO247+CW247),0),IF((CO247+CW247)&gt;BU247,(CO247+CW247)-BU247,0))*AZ247,0)</f>
        <v>#VALUE!</v>
      </c>
      <c r="EF247" s="1596" t="e">
        <f aca="false">IF(BQ247,IF(OCallPut,IF(BV247&gt;(CP247+CX247),BV247-(CP247+CX247),0),IF((CP247+CX247)&gt;BV247,(CP247+CX247)-BV247,0))*BA247,0)</f>
        <v>#VALUE!</v>
      </c>
      <c r="EG247" s="1596" t="e">
        <f aca="false">IF(BQ247,IF(OCallPut,IF(BW247&gt;(CQ247+CY247),BW247-(CQ247+CY247),0),IF((CQ247+CY247)&gt;BW247,(CQ247+CY247)-BW247,0))*BB247,0)</f>
        <v>#VALUE!</v>
      </c>
      <c r="EH247" s="1596" t="e">
        <f aca="false">IF(BQ247,IF(OCallPut,IF(BX247&gt;(CR247+CZ247),BX247-(CR247+CZ247),0),IF((CR247+CZ247)&gt;BX247,(CR247+CZ247)-BX247,0))*BC247,0)</f>
        <v>#VALUE!</v>
      </c>
      <c r="EI247" s="1597" t="e">
        <f aca="false">IF(BQ247,IF(OVolType,IF(OCallPut,IF(BZ247&gt;(CS247+DA247),BZ247-(CS247+DA247),0),IF((CS247+DA247)&gt;BZ247,(CS247+DA247)-BZ247,0))*BQ247,SUM(EE247:EH247)),0)</f>
        <v>#VALUE!</v>
      </c>
      <c r="EJ247" s="1595" t="e">
        <f aca="false">DZ247-EE247</f>
        <v>#VALUE!</v>
      </c>
      <c r="EK247" s="1596" t="e">
        <f aca="false">EA247-EF247</f>
        <v>#VALUE!</v>
      </c>
      <c r="EL247" s="1596" t="e">
        <f aca="false">EB247-EG247</f>
        <v>#VALUE!</v>
      </c>
      <c r="EM247" s="1596" t="e">
        <f aca="false">EC247-EH247</f>
        <v>#VALUE!</v>
      </c>
      <c r="EN247" s="1597" t="e">
        <f aca="false">ED247-EI247</f>
        <v>#VALUE!</v>
      </c>
      <c r="EO247" s="1551" t="e">
        <f aca="false">DH247*BH247</f>
        <v>#VALUE!</v>
      </c>
      <c r="EP247" s="1551" t="e">
        <f aca="false">DI247*BI247</f>
        <v>#VALUE!</v>
      </c>
      <c r="EQ247" s="1551" t="e">
        <f aca="false">DW247*BJ247</f>
        <v>#VALUE!</v>
      </c>
      <c r="ER247" s="1551" t="e">
        <f aca="false">DX247*BK247</f>
        <v>#VALUE!</v>
      </c>
      <c r="ES247" s="1551" t="e">
        <f aca="false">DY247*BS247</f>
        <v>#VALUE!</v>
      </c>
      <c r="ET247" s="1566" t="e">
        <f aca="false">IF(EI247,IF(OCallPut,IF(CA247&gt;(CT247+CW247),CA247-(CT247+CW247),0),IF((CT247+CW247)&gt;CA247,(CT247+CW247)-CA247,0))*BH247,0)</f>
        <v>#VALUE!</v>
      </c>
      <c r="EU247" s="1551" t="e">
        <f aca="false">IF(EI247,IF(OCallPut,IF(CB247&gt;(CT247+CX247),CB247-(CT247+CX247),0),IF((CT247+CX247)&gt;CB247,(CT247+CX247)-CB247,0))*BI247,0)</f>
        <v>#VALUE!</v>
      </c>
      <c r="EV247" s="1551" t="e">
        <f aca="false">IF(EI247,IF(OCallPut,IF(CC247&gt;(CT247+CY247),CC247-(CT247+CY247),0),IF((CT247+CY247)&gt;CC247,(CT247+CY247)-CC247,0))*BJ247,0)</f>
        <v>#VALUE!</v>
      </c>
      <c r="EW247" s="1551" t="e">
        <f aca="false">IF(EI247,IF(OCallPut,IF(CD247&gt;(CT247+CZ247),CD247-(CT247+CZ247),0),IF((CT247+CZ247)&gt;CD247,(CT247+CZ247)-CD247,0))*BK247,0)</f>
        <v>#VALUE!</v>
      </c>
      <c r="EX247" s="1558" t="e">
        <f aca="false">IF(EI247,SUM(ET247:EW247),0)</f>
        <v>#VALUE!</v>
      </c>
      <c r="EY247" s="1551" t="e">
        <f aca="false">EO247-ET247</f>
        <v>#VALUE!</v>
      </c>
      <c r="EZ247" s="1551" t="e">
        <f aca="false">EP247-EU247</f>
        <v>#VALUE!</v>
      </c>
      <c r="FA247" s="1551" t="e">
        <f aca="false">EQ247-EV247</f>
        <v>#VALUE!</v>
      </c>
      <c r="FB247" s="1551" t="e">
        <f aca="false">ER247-EW247</f>
        <v>#VALUE!</v>
      </c>
      <c r="FC247" s="1551" t="e">
        <f aca="false">ES247-EX247</f>
        <v>#VALUE!</v>
      </c>
      <c r="FD247" s="1525" t="n">
        <f aca="false">IF(AX247,IF(VLOOKUP(C247,MAIN!$L$17:$M$28,2)="Yes",VLOOKUP(CALC!B247,MAIN!$H$17:$I$20,2),0),0)</f>
        <v>0</v>
      </c>
      <c r="FE247" s="1552" t="e">
        <f aca="false">$FD247*16*AT247*(1-$AY247)</f>
        <v>#VALUE!</v>
      </c>
      <c r="FF247" s="1553" t="e">
        <f aca="false">$FD247*16*AU247*(1-$AY247)</f>
        <v>#VALUE!</v>
      </c>
      <c r="FG247" s="1553" t="e">
        <f aca="false">$FD247*16*(AV247+AW247)*(1-$AY247)</f>
        <v>#VALUE!</v>
      </c>
      <c r="FH247" s="1554" t="n">
        <f aca="false">$FD247*8*AX247*(1-$AY247)</f>
        <v>0</v>
      </c>
      <c r="FI247" s="1555" t="n">
        <f aca="false">IF(AX247,VLOOKUP(CALC!B247,MAIN!$H$17:$K$20,4),0)</f>
        <v>0</v>
      </c>
      <c r="FJ247" s="1553" t="e">
        <f aca="false">SUM(FE247:FH247)</f>
        <v>#VALUE!</v>
      </c>
      <c r="FK247" s="1556" t="e">
        <f aca="false">FI247*FJ247</f>
        <v>#VALUE!</v>
      </c>
      <c r="FL247" s="1551" t="e">
        <f aca="false">IF($EI247&gt;0,MIN(FE247,AZ247*(1+VLOOKUP($C247,WeatherCapacityAdjustment,2))),0)</f>
        <v>#VALUE!</v>
      </c>
      <c r="FM247" s="1551" t="e">
        <f aca="false">IF($EI247&gt;0,MIN(FF247,BA247*(1+VLOOKUP($C247,WeatherCapacityAdjustment,2))),0)</f>
        <v>#VALUE!</v>
      </c>
      <c r="FN247" s="1551" t="e">
        <f aca="false">IF($EI247&gt;0,MIN(FG247,BB247*(1+VLOOKUP($C247,WeatherCapacityAdjustment,2))),0)</f>
        <v>#VALUE!</v>
      </c>
      <c r="FO247" s="1564" t="e">
        <f aca="false">IF($EI247&gt;0,MIN(FH247,BC247*(1+VLOOKUP($C247,WeatherCapacityAdjustment,3))),0)</f>
        <v>#VALUE!</v>
      </c>
      <c r="FP247" s="1551" t="e">
        <f aca="false">IF(ET247&gt;0,MIN(FE247-FL247,BH247*(1+VLOOKUP($C247,WeatherCapacityAdjustment,2))),0)</f>
        <v>#VALUE!</v>
      </c>
      <c r="FQ247" s="1551" t="e">
        <f aca="false">IF(EU247&gt;0,MIN(FF247-FM247,BI247*(1+VLOOKUP($C247,WeatherCapacityAdjustment,2))),0)</f>
        <v>#VALUE!</v>
      </c>
      <c r="FR247" s="1551" t="e">
        <f aca="false">IF(EV247&gt;0,MIN(FG247-FN247,BJ247*(1+VLOOKUP($C247,WeatherCapacityAdjustment,2))),0)</f>
        <v>#VALUE!</v>
      </c>
      <c r="FS247" s="1558" t="e">
        <f aca="false">IF(EW247&gt;0,MIN(FH247-FO247,BK247*(1+VLOOKUP($C247,WeatherCapacityAdjustment,3))),0)</f>
        <v>#VALUE!</v>
      </c>
      <c r="FT247" s="1566" t="e">
        <f aca="false">IF(AND(Assumptions!$H$71="Yes",A247&gt;=Assumptions!$H$72,A247&lt;=Assumptions!$H$73),0,IF(AND($A247&gt;=Assumptions!$C$17,$A247&lt;=Assumptions!$C$18),MAX(AZ247*(1+VLOOKUP($C247,WeatherCapacityAdjustment,2))-FL247,0),0))</f>
        <v>#VALUE!</v>
      </c>
      <c r="FU247" s="1551" t="e">
        <f aca="false">IF(AND(Assumptions!$H$71="Yes",A247&gt;=Assumptions!$H$72,A247&lt;=Assumptions!$H$73),0,IF(AND($A247&gt;=Assumptions!$C$17,$A247&lt;=Assumptions!$C$18),MAX(BA247*(1+VLOOKUP($C247,WeatherCapacityAdjustment,2))-FM247,0),0))</f>
        <v>#VALUE!</v>
      </c>
      <c r="FV247" s="1551" t="e">
        <f aca="false">IF(AND(Assumptions!$H$71="Yes",A247&gt;=Assumptions!$H$72,A247&lt;=Assumptions!$H$73),0,IF(AND($A247&gt;=Assumptions!$C$17,$A247&lt;=Assumptions!$C$18),MAX(BB247*(1+VLOOKUP($C247,WeatherCapacityAdjustment,2))-FN247,0),0))</f>
        <v>#VALUE!</v>
      </c>
      <c r="FW247" s="1564" t="e">
        <f aca="false">IF(AND(Assumptions!$H$71="Yes",A247&gt;=Assumptions!$H$72,A247&lt;=Assumptions!$H$73),0,IF(AND($A247&gt;=Assumptions!$C$17,$A247&lt;=Assumptions!$C$18),MAX(BC247*(1+VLOOKUP($C247,WeatherCapacityAdjustment,3))-FO247,0),0))</f>
        <v>#VALUE!</v>
      </c>
      <c r="FX247" s="1569" t="e">
        <f aca="false">IF(AND(Assumptions!$H$71="Yes",A247&gt;=Assumptions!$H$72,A247&lt;=Assumptions!$H$73),0,IF(ET247&gt;0,MAX(BH247*(1+VLOOKUP($C247,WeatherCapacityAdjustment,2))-FP247,0),0))</f>
        <v>#VALUE!</v>
      </c>
      <c r="FY247" s="1551" t="e">
        <f aca="false">IF(AND(Assumptions!$H$71="Yes",A247&gt;=Assumptions!$H$72,A247&lt;=Assumptions!$H$73),0,IF(EU247&gt;0,MAX(BI247*(1+VLOOKUP($C247,WeatherCapacityAdjustment,3))-FQ247,0),0))</f>
        <v>#VALUE!</v>
      </c>
      <c r="FZ247" s="1551" t="e">
        <f aca="false">IF(AND(Assumptions!$H$71="Yes",A247&gt;=Assumptions!$H$72,A247&lt;=Assumptions!$H$73),0,IF(EV247&gt;0,MAX(BJ247*(1+VLOOKUP($C247,WeatherCapacityAdjustment,2))-FR247,0),0))</f>
        <v>#VALUE!</v>
      </c>
      <c r="GA247" s="1564" t="e">
        <f aca="false">IF(AND(Assumptions!$H$71="Yes",A247&gt;=Assumptions!$H$72,A247&lt;=Assumptions!$H$73),0,IF(EW247&gt;0,MAX(BK247*(1+VLOOKUP($C247,WeatherCapacityAdjustment,2))-FS247,0),0))</f>
        <v>#VALUE!</v>
      </c>
      <c r="GB247" s="1551" t="e">
        <f aca="false">SUM(FT247:GA247)</f>
        <v>#VALUE!</v>
      </c>
      <c r="GC247" s="1563" t="e">
        <f aca="false">+IF(SUM(FT247:GA247)=0,0,(SUMPRODUCT(BU247:BX247,FT247:FW247)+SUMPRODUCT(CA247:CD247,FX247:GA247))/SUM(FT247:GA247))</f>
        <v>#VALUE!</v>
      </c>
      <c r="GD247" s="1551" t="e">
        <f aca="false">(FT247*BU247+FX247*CA247+FU247*BV247+FY247*CB247+FV247*BW247+FZ247*CC247+FW247*BX247+GA247*CD247)</f>
        <v>#VALUE!</v>
      </c>
      <c r="GE247" s="1561" t="e">
        <f aca="false">+IF(BQ247,((FL247+FM247+FT247+FU247)*HeatRatePeak/1000*(1+VLOOKUP($C247,WeatherHeatRateAdjustment,2))+(FN247+FV247)*IF(EV247&gt;0,HeatRatePeak,HeatRateOffPeak)/1000*(1+VLOOKUP($C247,WeatherHeatRateAdjustment,2))+(FO247+FW247)*IF(EW247&gt;0,HeatRatePeak,HeatRateOffPeak)/1000*(1+VLOOKUP($C247,WeatherHeatRateAdjustment,3)))*(1+VLOOKUP($B247,HeatRateDegradation,$C247+1)),0)</f>
        <v>#VALUE!</v>
      </c>
      <c r="GF247" s="1562" t="e">
        <f aca="false">IF(BQ247,((FP247+FQ247+FR247+FX247+FY247+FZ247)*HeatRatePeak/1000*(1+VLOOKUP($C247,WeatherHeatRateAdjustment,2))+(FS247+GA247)*HeatRatePeak/1000*(1+VLOOKUP($C247,WeatherHeatRateAdjustment,3)))*(1+VLOOKUP($B247,HeatRateDegradation,$C247+1)),0)</f>
        <v>#VALUE!</v>
      </c>
      <c r="GG247" s="1563" t="e">
        <f aca="false">IF(BQ247,VLOOKUP(A247,GasTable,13),0)</f>
        <v>#VALUE!</v>
      </c>
      <c r="GH247" s="1564" t="e">
        <f aca="false">(GE247+GF247)*GG247</f>
        <v>#VALUE!</v>
      </c>
      <c r="GI247" s="1569" t="e">
        <f aca="false">GB247</f>
        <v>#VALUE!</v>
      </c>
      <c r="GJ247" s="1598" t="e">
        <f aca="false">+DA247</f>
        <v>#VALUE!</v>
      </c>
      <c r="GK247" s="1558" t="e">
        <f aca="false">+GI247*GJ247</f>
        <v>#VALUE!</v>
      </c>
      <c r="GL247" s="1566" t="e">
        <f aca="false">MAX(FE247-FL247-FP247,0)</f>
        <v>#VALUE!</v>
      </c>
      <c r="GM247" s="1551" t="e">
        <f aca="false">MAX(FF247-FM247-FQ247,0)</f>
        <v>#VALUE!</v>
      </c>
      <c r="GN247" s="1551" t="e">
        <f aca="false">MAX(FG247-FN247-FR247,0)</f>
        <v>#VALUE!</v>
      </c>
      <c r="GO247" s="1564" t="e">
        <f aca="false">MAX(FH247-FO247-FS247,0)</f>
        <v>#VALUE!</v>
      </c>
      <c r="GP247" s="1551" t="e">
        <f aca="false">SUM(GL247:GO247)</f>
        <v>#VALUE!</v>
      </c>
      <c r="GQ247" s="1563" t="e">
        <f aca="false">IF(SUM(GL247:GO247)=0,0,((GL247*BU247+GM247*BV247+GN247*BW247+GO247*BX247)/SUM(GL247:GO247)))</f>
        <v>#VALUE!</v>
      </c>
      <c r="GR247" s="1558" t="e">
        <f aca="false">(GL247*BU247+GM247*BV247+GN247*BW247+GO247*BX247)</f>
        <v>#VALUE!</v>
      </c>
      <c r="GS247" s="1566" t="n">
        <f aca="false">IF($A247&gt;=BegDate,Assumptions!$C$56*24*($A248-$A247)*(1-VLOOKUP($B247,MAIN!$AA$7:$AM$28,$C247+1))*(1-VLOOKUP($B247,MAIN!$AA$33:$AM$54,$C247+1)),0)*80/168</f>
        <v>257742.857142857</v>
      </c>
      <c r="GT247" s="286" t="n">
        <f aca="false">J247</f>
        <v>70.705310490816</v>
      </c>
      <c r="GU247" s="286" t="n">
        <f aca="false">IF($A247&gt;=BegDate,VLOOKUP($A247,GasTable,13)+Assumptions!$C$58,0)</f>
        <v>3.56462457224922</v>
      </c>
      <c r="GV247" s="286" t="n">
        <f aca="false">GU247*Assumptions!$C$57/1000</f>
        <v>25.8435281488068</v>
      </c>
      <c r="GW247" s="1558" t="n">
        <f aca="false">IF(Assumptions!$C$60="Hourly",MAX(0,GS247*(GT247-GV247)),GS247*(GT247-GV247))</f>
        <v>11562803.9573504</v>
      </c>
      <c r="GX247" s="1566" t="n">
        <f aca="false">IF($A247&gt;=BegDate,Assumptions!$C$56*24*($A248-$A247)*(1-VLOOKUP($B247,MAIN!$AA$7:$AM$28,$C247+1))*(1-VLOOKUP($B247,MAIN!$AA$33:$AM$54,$C247+1)),0)*16/168</f>
        <v>51548.5714285714</v>
      </c>
      <c r="GY247" s="286" t="n">
        <f aca="false">M247</f>
        <v>70.705310490816</v>
      </c>
      <c r="GZ247" s="286" t="n">
        <f aca="false">IF($A247&gt;=BegDate,VLOOKUP($A247,GasTable,13)+Assumptions!$C$58,0)</f>
        <v>3.56462457224922</v>
      </c>
      <c r="HA247" s="286" t="n">
        <f aca="false">GZ247*Assumptions!$C$57/1000</f>
        <v>25.8435281488068</v>
      </c>
      <c r="HB247" s="1558" t="n">
        <f aca="false">IF(Assumptions!$C$60="Hourly",MAX(0,GX247*(GY247-HA247)),GX247*(GY247-HA247))</f>
        <v>2312560.79147008</v>
      </c>
      <c r="HC247" s="1566" t="n">
        <f aca="false">IF($A247&gt;=BegDate,Assumptions!$C$56*24*($A248-$A247)*(1-VLOOKUP($B247,MAIN!$AA$7:$AM$28,$C247+1))*(1-VLOOKUP($B247,MAIN!$AA$33:$AM$54,$C247+1)),0)*16/168</f>
        <v>51548.5714285714</v>
      </c>
      <c r="HD247" s="286" t="n">
        <f aca="false">P247</f>
        <v>33.1430368994764</v>
      </c>
      <c r="HE247" s="286" t="n">
        <f aca="false">IF($A247&gt;=BegDate,VLOOKUP($A247,GasTable,13)+Assumptions!$C$58,0)</f>
        <v>3.56462457224922</v>
      </c>
      <c r="HF247" s="286" t="n">
        <f aca="false">HE247*Assumptions!$C$57/1000</f>
        <v>25.8435281488068</v>
      </c>
      <c r="HG247" s="1558" t="n">
        <f aca="false">IF(Assumptions!$C$60="Hourly",MAX(0,HC247*(HD247-HF247)),HC247*(HD247-HF247))</f>
        <v>376279.248227374</v>
      </c>
      <c r="HH247" s="1566" t="n">
        <f aca="false">IF($A247&gt;=BegDate,Assumptions!$C$56*24*($A248-$A247)*(1-VLOOKUP($B247,MAIN!$AA$7:$AM$28,$C247+1))*(1-VLOOKUP($B247,MAIN!$AA$33:$AM$54,$C247+1)),0)*56/168</f>
        <v>180420</v>
      </c>
      <c r="HI247" s="286" t="n">
        <f aca="false">S247</f>
        <v>33.1430368994764</v>
      </c>
      <c r="HJ247" s="286" t="n">
        <f aca="false">IF($A247&gt;=BegDate,VLOOKUP($A247,GasTable,13)+Assumptions!$C$58,0)</f>
        <v>3.56462457224922</v>
      </c>
      <c r="HK247" s="286" t="n">
        <f aca="false">HJ247*Assumptions!$C$57/1000</f>
        <v>25.8435281488068</v>
      </c>
      <c r="HL247" s="1558" t="n">
        <f aca="false">IF(Assumptions!$C$60="Hourly",MAX(0,HH247*(HI247-HK247)),HH247*(HI247-HK247))</f>
        <v>1316977.36879581</v>
      </c>
      <c r="HM247" s="1566" t="n">
        <f aca="false">IF(AND(Assumptions!$H$71="Yes",A247&gt;=Assumptions!$H$72,A247&lt;=Assumptions!$H$73),Assumptions!$H$74*Assumptions!$C$9*1000,0)</f>
        <v>0</v>
      </c>
      <c r="HN247" s="1551"/>
      <c r="HO247" s="1563"/>
      <c r="HP247" s="1563"/>
      <c r="HQ247" s="1563"/>
      <c r="HR247" s="1563"/>
      <c r="HS247" s="1563"/>
      <c r="HT247" s="1563"/>
      <c r="HU247" s="1563"/>
      <c r="HV247" s="1563"/>
      <c r="HW247" s="1563"/>
      <c r="HX247" s="1563"/>
      <c r="HY247" s="1563"/>
      <c r="HZ247" s="1563"/>
      <c r="IA247" s="1563"/>
      <c r="IB247" s="1563"/>
      <c r="IC247" s="1563"/>
      <c r="ID247" s="1563"/>
      <c r="IE247" s="1563"/>
      <c r="IF247" s="1563"/>
      <c r="IG247" s="1563"/>
      <c r="IH247" s="1563"/>
      <c r="II247" s="1610"/>
      <c r="IJ247" s="1309"/>
      <c r="IK247" s="1309"/>
    </row>
    <row r="248" customFormat="false" ht="12.75" hidden="false" customHeight="false" outlineLevel="0" collapsed="false">
      <c r="A248" s="1571" t="n">
        <f aca="false">EOMONTH(A247,0)+1</f>
        <v>43678</v>
      </c>
      <c r="B248" s="594" t="n">
        <f aca="false">+YEAR(A248)</f>
        <v>2019</v>
      </c>
      <c r="C248" s="238" t="n">
        <f aca="false">MONTH(A248)</f>
        <v>8</v>
      </c>
      <c r="D248" s="1572" t="e">
        <f aca="false">IF(E248="","",Holiday(B248,C248))</f>
        <v>#VALUE!</v>
      </c>
      <c r="E248" s="1573" t="n">
        <f aca="false">IF(OR(BegDate&gt;=A249,EndDate&lt;A248,AND(VolumeMonthlyOverFlag,INDEX(VolumeMonthlyOver,C248)=0),NOT(INDEX(MonthKnockOutTable,C248))),"",MAX(A248,BegDate))</f>
        <v>43678</v>
      </c>
      <c r="F248" s="1574" t="n">
        <f aca="false">IF(E248="","",MIN(A249-1,EndDate))</f>
        <v>43708</v>
      </c>
      <c r="G248" s="1575" t="n">
        <v>0</v>
      </c>
      <c r="H248" s="1576" t="n">
        <f aca="false">(1+G248/2)^(-2*(DATE(B249,C249,20)-DateToday)/365.25)</f>
        <v>1</v>
      </c>
      <c r="I248" s="1568" t="n">
        <f aca="false">IF(Assumptions!$L$25=4,VLOOKUP($A248,'Henwood Reference'!$E$9:$R$320,10),(VLOOKUP($A248,PriceTable,2,0)+IF(BasisNumber&lt;&gt;1,VLOOKUP($A248,BasisTable,2,0),0)+I$1)/(1-I$2))</f>
        <v>85.5320061992176</v>
      </c>
      <c r="J248" s="1568" t="n">
        <f aca="false">IF(Assumptions!$L$25=4,VLOOKUP($A248,'Henwood Reference'!$E$9:$R$320,10),(VLOOKUP($A248,PriceTable,3,0)+IF(BasisNumber&lt;&gt;1,VLOOKUP($A248,BasisTable,2,0),0)+J$1)/(1-J$2))</f>
        <v>85.5320061992176</v>
      </c>
      <c r="K248" s="1568" t="n">
        <f aca="false">IF(Assumptions!$L$25=4,VLOOKUP($A248,'Henwood Reference'!$E$9:$R$320,10),(VLOOKUP($A248,PriceTable,4,0)+IF(BasisNumber&lt;&gt;1,VLOOKUP($A248,BasisTable,2,0),0)+K$1)/(1-K$2))</f>
        <v>85.5320061992176</v>
      </c>
      <c r="L248" s="1523" t="n">
        <f aca="false">IF(Assumptions!$L$25=4,VLOOKUP($A248,'Henwood Reference'!$E$9:$R$320,10),(VLOOKUP($A248,PriceTableWeekend,2,0)+IF(BasisNumber&lt;&gt;1,VLOOKUP($A248,BasisTable,2,0),0)+L$1)/(1-L$2))</f>
        <v>85.5320061992176</v>
      </c>
      <c r="M248" s="1568" t="n">
        <f aca="false">IF(Assumptions!$L$25=4,VLOOKUP($A248,'Henwood Reference'!$E$9:$R$320,10),(VLOOKUP($A248,PriceTableWeekend,3,0)+IF(BasisNumber&lt;&gt;1,VLOOKUP($A248,BasisTable,2,0),0)+M$1)/(1-M$2))</f>
        <v>85.5320061992176</v>
      </c>
      <c r="N248" s="1599" t="n">
        <f aca="false">IF(Assumptions!$L$25=4,VLOOKUP($A248,'Henwood Reference'!$E$9:$R$320,10),(VLOOKUP($A248,PriceTableWeekend,4,0)+IF(BasisNumber&lt;&gt;1,VLOOKUP($A248,BasisTable,2,0),0)+N$1)/(1-N$2))</f>
        <v>85.5320061992176</v>
      </c>
      <c r="O248" s="1568" t="n">
        <f aca="false">IF(Assumptions!$L$25=4,VLOOKUP($A248,'Henwood Reference'!$E$9:$R$320,11),(VLOOKUP($A248,PriceTableWeekend,6,0)+IF(BasisNumber&lt;&gt;1,VLOOKUP($A248,BasisTable,3,0),0)+O$1)/(1-O$2))</f>
        <v>37.0024210577371</v>
      </c>
      <c r="P248" s="1568" t="n">
        <f aca="false">IF(Assumptions!$L$25=4,VLOOKUP($A248,'Henwood Reference'!$E$9:$R$320,11),(VLOOKUP($A248,PriceTableWeekend,7,0)+IF(BasisNumber&lt;&gt;1,VLOOKUP($A248,BasisTable,3,0),0)+P$1)/(1-P$2))</f>
        <v>37.0024210577371</v>
      </c>
      <c r="Q248" s="1599" t="n">
        <f aca="false">IF(Assumptions!$L$25=4,VLOOKUP($A248,'Henwood Reference'!$E$9:$R$320,11),(VLOOKUP($A248,PriceTableWeekend,8,0)+IF(BasisNumber&lt;&gt;1,VLOOKUP($A248,BasisTable,3,0),0)+Q$1)/(1-Q$2))</f>
        <v>37.0024210577371</v>
      </c>
      <c r="R248" s="1568" t="n">
        <f aca="false">IF(Assumptions!$L$25=4,VLOOKUP($A248,'Henwood Reference'!$E$9:$R$320,11),(VLOOKUP($A248,PriceTable,6,0)+IF(BasisNumber&lt;&gt;1,VLOOKUP($A248,BasisTable,3,0),0)+R$1)/(1-R$2))</f>
        <v>37.0024210577371</v>
      </c>
      <c r="S248" s="1568" t="n">
        <f aca="false">IF(Assumptions!$L$25=4,VLOOKUP($A248,'Henwood Reference'!$E$9:$R$320,11),(VLOOKUP($A248,PriceTable,7,0)+IF(BasisNumber&lt;&gt;1,VLOOKUP($A248,BasisTable,3,0),0)+S$1)/(1-S$2))</f>
        <v>37.0024210577371</v>
      </c>
      <c r="T248" s="1600" t="n">
        <f aca="false">IF(Assumptions!$L$25=4,VLOOKUP($A248,'Henwood Reference'!$E$9:$R$320,11),(VLOOKUP($A248,PriceTable,8,0)+IF(BasisNumber&lt;&gt;1,VLOOKUP($A248,BasisTable,3,0),0)+T$1)/(1-T$2))</f>
        <v>37.0024210577371</v>
      </c>
      <c r="U248" s="1513" t="n">
        <f aca="false">VLOOKUP($A248,VolatilityTable,14)</f>
        <v>0.09</v>
      </c>
      <c r="V248" s="1513" t="n">
        <f aca="false">VLOOKUP($A248,VolatilityTable,15)</f>
        <v>0.1</v>
      </c>
      <c r="W248" s="1514" t="n">
        <f aca="false">VLOOKUP($A248,VolatilityTable,16)</f>
        <v>0.11</v>
      </c>
      <c r="X248" s="1513" t="n">
        <f aca="false">VLOOKUP($A248,VolatilityTable,14)</f>
        <v>0.09</v>
      </c>
      <c r="Y248" s="1513" t="n">
        <f aca="false">VLOOKUP($A248,VolatilityTable,15)</f>
        <v>0.1</v>
      </c>
      <c r="Z248" s="1514" t="n">
        <f aca="false">VLOOKUP($A248,VolatilityTable,16)</f>
        <v>0.11</v>
      </c>
      <c r="AA248" s="1513" t="n">
        <f aca="false">VLOOKUP($A248,VolatilityTable,18)</f>
        <v>0.09</v>
      </c>
      <c r="AB248" s="1513" t="n">
        <f aca="false">VLOOKUP($A248,VolatilityTable,19)</f>
        <v>0.11</v>
      </c>
      <c r="AC248" s="1514" t="n">
        <f aca="false">VLOOKUP($A248,VolatilityTable,20)</f>
        <v>0.13</v>
      </c>
      <c r="AD248" s="1513" t="n">
        <f aca="false">VLOOKUP($A248,VolatilityTable,18)</f>
        <v>0.09</v>
      </c>
      <c r="AE248" s="1513" t="n">
        <f aca="false">VLOOKUP($A248,VolatilityTable,19)</f>
        <v>0.11</v>
      </c>
      <c r="AF248" s="1514" t="n">
        <f aca="false">VLOOKUP($A248,VolatilityTable,20)</f>
        <v>0.13</v>
      </c>
      <c r="AG248" s="1513" t="n">
        <f aca="false">VLOOKUP($A248,VolatilityTable,22)</f>
        <v>-0.35</v>
      </c>
      <c r="AH248" s="1513" t="n">
        <f aca="false">VLOOKUP($A248,VolatilityTable,23)</f>
        <v>3</v>
      </c>
      <c r="AI248" s="1514" t="n">
        <f aca="false">VLOOKUP($A248,VolatilityTable,24)</f>
        <v>0.35</v>
      </c>
      <c r="AJ248" s="1513" t="n">
        <f aca="false">VLOOKUP($A248,VolatilityTable,22)</f>
        <v>-0.35</v>
      </c>
      <c r="AK248" s="1513" t="n">
        <f aca="false">VLOOKUP($A248,VolatilityTable,23)</f>
        <v>3</v>
      </c>
      <c r="AL248" s="1514" t="n">
        <f aca="false">VLOOKUP($A248,VolatilityTable,24)</f>
        <v>0.35</v>
      </c>
      <c r="AM248" s="1513" t="n">
        <f aca="false">VLOOKUP($A248,VolatilityTable,26)</f>
        <v>-0.01</v>
      </c>
      <c r="AN248" s="1513" t="n">
        <f aca="false">VLOOKUP($A248,VolatilityTable,27)</f>
        <v>0.16</v>
      </c>
      <c r="AO248" s="1514" t="n">
        <f aca="false">VLOOKUP($A248,VolatilityTable,28)</f>
        <v>0.01</v>
      </c>
      <c r="AP248" s="1513" t="n">
        <f aca="false">VLOOKUP($A248,VolatilityTable,26)</f>
        <v>-0.01</v>
      </c>
      <c r="AQ248" s="1513" t="n">
        <f aca="false">VLOOKUP($A248,VolatilityTable,27)</f>
        <v>0.16</v>
      </c>
      <c r="AR248" s="1515" t="n">
        <f aca="false">VLOOKUP($A248,VolatilityTable,28)</f>
        <v>0.01</v>
      </c>
      <c r="AS248" s="1581" t="n">
        <f aca="false">IF(CorrPeakOffPeakOverFlag,INDEX(CorrPeakOffPeakOver,C248),CorrPeakOffPeak)</f>
        <v>0.5</v>
      </c>
      <c r="AT248" s="594" t="e">
        <f aca="false">AX248-SUM(AU248:AW248)</f>
        <v>#VALUE!</v>
      </c>
      <c r="AU248" s="238" t="e">
        <f aca="false">IF(E248="",0,INT((F248-MOD(F248,7)-E248)/7)+1-IF(AW248,IF(WEEKDAY(D248)=7,1,0),0))</f>
        <v>#VALUE!</v>
      </c>
      <c r="AV248" s="238" t="e">
        <f aca="false">IF(E248="",0,INT((F248-MOD(F248-1,7)-E248)/7)+1-IF(AW248,IF(WEEKDAY(D248)=1,1,0),0))</f>
        <v>#VALUE!</v>
      </c>
      <c r="AW248" s="238" t="e">
        <f aca="false">IF(OR(E248="",D248="",D248&lt;BegDate,D248&gt;EndDate),0,1)</f>
        <v>#VALUE!</v>
      </c>
      <c r="AX248" s="238" t="n">
        <f aca="false">IF(E248="",0,F248-E248+1)</f>
        <v>31</v>
      </c>
      <c r="AY248" s="1582" t="n">
        <f aca="false">IF(E248="",0,MIN((1-(1-VLOOKUP(B248,MAIN!$AA$7:$AM$28,C248+1))*(1-VLOOKUP(B248,MAIN!$AA$33:$AM$54,C248+1))),1))</f>
        <v>0.03</v>
      </c>
      <c r="AZ248" s="1519" t="e">
        <v>#VALUE!</v>
      </c>
      <c r="BA248" s="1520" t="e">
        <v>#VALUE!</v>
      </c>
      <c r="BB248" s="1520" t="e">
        <v>#VALUE!</v>
      </c>
      <c r="BC248" s="1583" t="e">
        <v>#VALUE!</v>
      </c>
      <c r="BD248" s="1522" t="e">
        <v>#VALUE!</v>
      </c>
      <c r="BE248" s="1523" t="e">
        <v>#VALUE!</v>
      </c>
      <c r="BF248" s="1523" t="e">
        <v>#VALUE!</v>
      </c>
      <c r="BG248" s="1584" t="e">
        <v>#VALUE!</v>
      </c>
      <c r="BH248" s="1525" t="e">
        <v>#VALUE!</v>
      </c>
      <c r="BI248" s="1520" t="e">
        <v>#VALUE!</v>
      </c>
      <c r="BJ248" s="1520" t="e">
        <v>#VALUE!</v>
      </c>
      <c r="BK248" s="1583" t="e">
        <v>#VALUE!</v>
      </c>
      <c r="BL248" s="1522" t="e">
        <v>#VALUE!</v>
      </c>
      <c r="BM248" s="1523" t="e">
        <v>#VALUE!</v>
      </c>
      <c r="BN248" s="1523" t="e">
        <v>#VALUE!</v>
      </c>
      <c r="BO248" s="1523" t="e">
        <v>#VALUE!</v>
      </c>
      <c r="BP248" s="1525" t="e">
        <f aca="false">SUM(AZ248:BB248)</f>
        <v>#VALUE!</v>
      </c>
      <c r="BQ248" s="1529" t="e">
        <f aca="false">SUM(AZ248:BC248)</f>
        <v>#VALUE!</v>
      </c>
      <c r="BR248" s="1519" t="e">
        <f aca="false">SUM(BH248:BJ248)</f>
        <v>#VALUE!</v>
      </c>
      <c r="BS248" s="1529" t="e">
        <f aca="false">SUM(BH248:BK248)</f>
        <v>#VALUE!</v>
      </c>
      <c r="BT248" s="1316" t="n">
        <f aca="false">(IF(OVolType&lt;&gt;2,A248+14,IF(OptExpDateShift,ShiftBack(A248,OptExpDateShift,D247),A248))-DateToday)/365.25</f>
        <v>19.2963723477071</v>
      </c>
      <c r="BU248" s="1585" t="e">
        <f aca="false">IF(BQ248,IF(OPriceCurve,IF(OBuySell=OCallPut,I248/(1-AY248),K248/(1-AY248)),J248/(1-AY248))*BD248,0)</f>
        <v>#VALUE!</v>
      </c>
      <c r="BV248" s="1316" t="e">
        <f aca="false">IF(BQ248,IF(OPriceCurve,IF(OBuySell=OCallPut,L248/(1-AY248),N248/(1-AY248)),M248/(1-AY248))*BE248,0)</f>
        <v>#VALUE!</v>
      </c>
      <c r="BW248" s="1316" t="e">
        <f aca="false">IF(BQ248,IF(OPriceCurve,IF(OBuySell=OCallPut,O248/(1-AY248),Q248/(1-AY248)),P248/(1-AY248))*BF248,0)</f>
        <v>#VALUE!</v>
      </c>
      <c r="BX248" s="1316" t="e">
        <f aca="false">IF(BQ248,IF(OPriceCurve,IF(OBuySell=OCallPut,R248/(1-AY248),T248/(1-AY248)),S248/(1-AY248))*BG248,0)</f>
        <v>#VALUE!</v>
      </c>
      <c r="BY248" s="1316" t="e">
        <f aca="false">IF(BP248,(BU248*AZ248+BV248*BA248+BW248*BB248)/BP248,0)</f>
        <v>#VALUE!</v>
      </c>
      <c r="BZ248" s="1316" t="e">
        <f aca="false">IF(BQ248,(BY248*BP248+BX248*BC248)/BQ248,0)</f>
        <v>#VALUE!</v>
      </c>
      <c r="CA248" s="1531" t="e">
        <f aca="false">IF(BS248,IF(OPriceCurve,IF(OBuySell=OCallPut,I248/(1-AY248),K248/(1-AY248)),J248/(1-AY248))*BL248,0)</f>
        <v>#VALUE!</v>
      </c>
      <c r="CB248" s="1316" t="e">
        <f aca="false">IF(BS248,IF(OPriceCurve,IF(OBuySell=OCallPut,L248/(1-AY248),N248/(1-AY248)),M248/(1-AY248))*BM248,0)</f>
        <v>#VALUE!</v>
      </c>
      <c r="CC248" s="1316" t="e">
        <f aca="false">IF(BS248,IF(OPriceCurve,IF(OBuySell=OCallPut,O248/(1-AY248),Q248/(1-AY248)),P248/(1-AY248))*BN248,0)</f>
        <v>#VALUE!</v>
      </c>
      <c r="CD248" s="1316" t="e">
        <f aca="false">IF(BS248,IF(OPriceCurve,IF(OBuySell=OCallPut,R248/(1-AY248),T248/(1-AY248)),S248/(1-AY248))*BO248,0)</f>
        <v>#VALUE!</v>
      </c>
      <c r="CE248" s="1316" t="e">
        <f aca="false">IF(BR248,(BU248*BH248+BV248*BI248+BW248*BJ248)/BR248,0)</f>
        <v>#VALUE!</v>
      </c>
      <c r="CF248" s="1532" t="e">
        <f aca="false">IF(BS248,(CE248*BR248+CD248*BK248)/BS248,0)</f>
        <v>#VALUE!</v>
      </c>
      <c r="CG248" s="1586" t="e">
        <f aca="false">IF(OR(BQ248,BS248),IF(OVolType&lt;&gt;2,SQRT(IF(OVolOverMonthlyPeak,OVolOverMonthlyPeak,IF(OVolCurve,IF(OBuySell,U248,W248),V248))^2*(1-15/365.25/BT248)+IF(OVolOverDailyPeak,OVolOverDailyPeak,IF(OVolCurve,IF(OBuySell,AG248,AI248),AH248))^2*15/365.25/BT248),IF(OVolOverMonthlyPeak,OVolOverMonthlyPeak,IF(OVolCurve,IF(OBuySell,U248,W248),V248))),"")</f>
        <v>#VALUE!</v>
      </c>
      <c r="CH248" s="1587" t="e">
        <f aca="false">IF(OR(BQ248,BS248),IF(OVolType&lt;&gt;2,SQRT(IF(OVolOverMonthlyPeak,OVolOverMonthlyPeak,IF(OVolCurve,IF(OBuySell,X248,Z248),Y248))^2*(1-15/365.25/BT248)+IF(OVolOverDailyPeak,OVolOverDailyPeak,IF(OVolCurve,IF(OBuySell,AJ248,AL248),AK248))^2*15/365.25/BT248),IF(OVolOverMonthlyPeak,OVolOverMonthlyPeak,IF(OVolCurve,IF(OBuySell,X248,Z248),Y248))),"")</f>
        <v>#VALUE!</v>
      </c>
      <c r="CI248" s="1587" t="e">
        <f aca="false">IF(OR(BQ248,BS248),IF(OVolType&lt;&gt;2,SQRT(IF(OVolOverMonthlyPeak,OVolOverMonthlyPeak,IF(OVolCurve,IF(OBuySell,AA248,AC248),AB248))^2*(1-15/365.25/BT248)+IF(OVolOverDailyPeak,OVolOverDailyPeak,IF(OVolCurve,IF(OBuySell,AM248,AO248),AN248))^2*15/365.25/BT248),IF(OVolOverMonthlyPeak,OVolOverMonthlyPeak,IF(OVolCurve,IF(OBuySell,AA248,AC248),AB248))),"")</f>
        <v>#VALUE!</v>
      </c>
      <c r="CJ248" s="1587" t="e">
        <f aca="false">IF(BQ248,IF(BP248,SQRT(LN(1+((BU248*AZ248)^2*(EXP(CG248^2*BT248)-1)+(BV248*BA248)^2*(EXP(CH248^2*BT248)-1)+(BW248*BB248)^2*(EXP(CI248^2*BT248)-1)+2*BU248*AZ248*BV248*BA248*(EXP(CG248*CH248*BT248)-1)+2*BV248*BA248*BW248*BB248*(EXP(CH248*CI248*BT248)-1)+2*BW248*BB248*BU248*AZ248*(EXP(CI248*CG248*BT248)-1))/(BY248*BP248)^2)/BT248),0),"")</f>
        <v>#VALUE!</v>
      </c>
      <c r="CK248" s="1587" t="e">
        <f aca="false">IF(BS248,IF(BR248,SQRT(LN(1+((CA248*BH248)^2*(EXP(CG248^2*BT248)-1)+(CB248*BI248)^2*(EXP(CH248^2*BT248)-1)+(CC248*BJ248)^2*(EXP(CI248^2*BT248)-1)+2*CA248*BH248*CB248*BI248*(EXP(CG248*CH248*BT248)-1)+2*CB248*BI248*CC248*BJ248*(EXP(CH248*CI248*BT248)-1)+2*CC248*BJ248*CA248*BH248*(EXP(CI248*CG248*BT248)-1))/(CE248*BR248)^2)/BT248),0),"")</f>
        <v>#VALUE!</v>
      </c>
      <c r="CL248" s="1587" t="e">
        <f aca="false">IF(OR(BQ248,BS248),IF(OVolType&lt;&gt;2,SQRT(IF(OVolOverMonthlyOffPeak,OVolOverMonthlyOffPeak,IF(OVolCurve,IF(OBuySell,AD248,AF248),AE248))^2*(1-15/365.25/BT248)+IF(OVolOverDailyOffPeak,OVolOverDailyOffPeak,IF(OVolCurve,IF(OBuySell,AP248,AR248),AQ248))^2*15/365.25/BT248),IF(OVolOverMonthlyOffPeak,OVolOverMonthlyOffPeak,IF(OVolCurve,IF(OBuySell,AD248,AF248),AE248))),"")</f>
        <v>#VALUE!</v>
      </c>
      <c r="CM248" s="1587" t="e">
        <f aca="false">IF(BQ248,SQRT(LN(1+((BY248*BP248)^2*(EXP(CJ248^2*BT248)-1)+(BX248*BC248)^2*(EXP(CL248^2*BT248)-1)+2*BY248*BP248*BX248*BC248*(EXP(AS248*CJ248*CL248*BT248)-1))/(BY248*BP248+BX248*BC248)^2)/BT248),"")</f>
        <v>#VALUE!</v>
      </c>
      <c r="CN248" s="1588" t="e">
        <f aca="false">IF(BS248,SQRT(LN(1+((CE248*BR248)^2*(EXP(CK248^2*BT248)-1)+(CD248*BK248)^2*(EXP(CL248^2*BT248)-1)+2*CE248*BR248*CD248*BK248*(EXP(AS248*CK248*CL248*BT248)-1))/(CE248*BR248+CD248*BK248)^2)/BT248),"")</f>
        <v>#VALUE!</v>
      </c>
      <c r="CO248" s="1531" t="e">
        <f aca="false">IF(OR(BQ248,BS248),VLOOKUP(A248,GasTable,13)*HeatRatePeak*(1+VLOOKUP($B248,HeatRateDegradation,$C248+1))/1000,0)</f>
        <v>#VALUE!</v>
      </c>
      <c r="CP248" s="1316" t="e">
        <f aca="false">IF(OR(BQ248,BS248),VLOOKUP(A248,GasTable,13)*HeatRatePeak*(1+VLOOKUP($B248,HeatRateDegradation,$C248+1))/1000,0)</f>
        <v>#VALUE!</v>
      </c>
      <c r="CQ248" s="1316" t="e">
        <f aca="false">IF(OR(BQ248,BS248),VLOOKUP(A248,GasTable,13)*IF(EV248,HeatRatePeak,HeatRateOffPeak)*(1+VLOOKUP($B248,HeatRateDegradation,$C248+1))/1000,0)</f>
        <v>#VALUE!</v>
      </c>
      <c r="CR248" s="1316" t="e">
        <f aca="false">IF(OR(BQ248,BS248),VLOOKUP(A248,GasTable,13)*IF(EW248,HeatRatePeak,HeatRateOffPeak)*(1+VLOOKUP($B248,HeatRateDegradation,$C248+1))/1000,0)</f>
        <v>#VALUE!</v>
      </c>
      <c r="CS248" s="1589" t="e">
        <f aca="false">IF(BQ248,(CO248*AZ248+CP248*BA248+CQ248*BB248+CR248*BC248)/BQ248,0)</f>
        <v>#VALUE!</v>
      </c>
      <c r="CT248" s="1316" t="e">
        <f aca="false">IF(BS248,CO248,0)</f>
        <v>#VALUE!</v>
      </c>
      <c r="CU248" s="1590" t="e">
        <f aca="false">IF(OR(BQ248,BS248),VLOOKUP(A248,GasTable,14),"")</f>
        <v>#VALUE!</v>
      </c>
      <c r="CV248" s="1568" t="e">
        <f aca="false">IF(OR(BQ248,BS248),IF(CorrPowerGasOverFlag,INDEX(CorrPowerGasOver,C248),CorrPowerGas),"")</f>
        <v>#VALUE!</v>
      </c>
      <c r="CW248" s="1316" t="e">
        <f aca="false">IF(OR($BQ248,$BS248),SpreadOptPowerMargin,0)*((1+Assumptions!$C$26)^($B248-YEAR(Assumptions!$C$17)))</f>
        <v>#VALUE!</v>
      </c>
      <c r="CX248" s="1316" t="e">
        <f aca="false">IF(OR($BQ248,$BS248),SpreadOptPowerMargin,0)*((1+Assumptions!$C$26)^($B248-YEAR(Assumptions!$C$17)))</f>
        <v>#VALUE!</v>
      </c>
      <c r="CY248" s="1316" t="e">
        <f aca="false">IF(OR($BQ248,$BS248),SpreadOptPowerMargin,0)*((1+Assumptions!$C$26)^($B248-YEAR(Assumptions!$C$17)))</f>
        <v>#VALUE!</v>
      </c>
      <c r="CZ248" s="1316" t="e">
        <f aca="false">IF(OR($BQ248,$BS248),SpreadOptPowerMargin,0)*((1+Assumptions!$C$26)^($B248-YEAR(Assumptions!$C$17)))</f>
        <v>#VALUE!</v>
      </c>
      <c r="DA248" s="1591" t="e">
        <f aca="false">IF(OR(BQ248,BS248),(CW248*(AZ248+BH248)+CX248*(BA248+BI248)+CY248*(BB248+BJ248)+CZ248*(BC248+BK248))/(BQ248+BS248),0)</f>
        <v>#VALUE!</v>
      </c>
      <c r="DB248" s="1592" t="e">
        <f aca="false">IF(OR(BQ248,BS248),CG248+IF(OVolSmile,VLOOKUP(MAX(-5,CO248+CW248-BU248),IF(OVolSmile=1,VolSmileBook,VolSmileModel),2),0),"")</f>
        <v>#VALUE!</v>
      </c>
      <c r="DC248" s="1592" t="e">
        <f aca="false">IF(OR(BQ248,BS248),CH248+IF(OVolSmile,VLOOKUP(MAX(-5,CP248+CW248-BV248),IF(OVolSmile=1,VolSmileBook,VolSmileModel),2),0),"")</f>
        <v>#VALUE!</v>
      </c>
      <c r="DD248" s="1592" t="e">
        <f aca="false">IF(OR(BQ248,BS248),CI248+IF(OVolSmile,VLOOKUP(MAX(-5,CQ248+CW248-BW248),IF(OVolSmile=1,VolSmileBook,VolSmileModel),2),0),"")</f>
        <v>#VALUE!</v>
      </c>
      <c r="DE248" s="1592" t="e">
        <f aca="false">IF(OR(BQ248,BS248),CL248+IF(OVolSmile,VLOOKUP(MAX(-5,CR248+CZ248-BX248),IF(OVolSmile=1,VolSmileBook,VolSmileModel),2),0),"")</f>
        <v>#VALUE!</v>
      </c>
      <c r="DF248" s="1592" t="e">
        <f aca="false">IF(BQ248,CM248+IF(OVolSmile,VLOOKUP(MAX(-5,CS248+DA248-BZ248),IF(OVolSmile=1,VolSmileBook,VolSmileModel),2),0),"")</f>
        <v>#VALUE!</v>
      </c>
      <c r="DG248" s="1593" t="e">
        <f aca="false">IF(BS248,CN248+IF(OVolSmile,VLOOKUP(MAX(-5,CT248+DA248-CF248),IF(OVolSmile=1,VolSmileBook,VolSmileModel),2),0),"")</f>
        <v>#VALUE!</v>
      </c>
      <c r="DH248" s="1316" t="e">
        <f aca="false">IF(AND(BU248&gt;0,CO248&gt;0,DB248&gt;0,CU248&gt;0),newSPRDOPT(BU248,CO248,CW248,0,DB248,CU248,CV248,BT248*365.25,OCallPut,0),0)</f>
        <v>#VALUE!</v>
      </c>
      <c r="DI248" s="1316" t="e">
        <f aca="false">IF(AND(BV248&gt;0,CP248&gt;0,DC248&gt;0,CU248&gt;0),newSPRDOPT(BV248,CP248,CX248,0,DC248,CU248,CV248,BT248*365.25,OCallPut,0),0)</f>
        <v>#VALUE!</v>
      </c>
      <c r="DJ248" s="1316" t="e">
        <f aca="false">IF(AND(BW248&gt;0,CQ248&gt;0,DD248&gt;0,CU248&gt;0),newSPRDOPT(BW248,CQ248,CY248,0,DD248,CU248,CV248,BT248*365.25,OCallPut,0),0)</f>
        <v>#VALUE!</v>
      </c>
      <c r="DK248" s="1316" t="e">
        <f aca="false">IF(AND(BX248&gt;0,CR248&gt;0,DE248&gt;0,CU248&gt;0),newSPRDOPT(BX248,CR248,CZ248,0,DE248,CU248,CV248,BT248*365.25,OCallPut,0),0)</f>
        <v>#VALUE!</v>
      </c>
      <c r="DL248" s="1316" t="e">
        <f aca="false">IF(OVolType,IF(AND(BZ248&gt;0,CS248&gt;0,DF248&gt;0,CU248&gt;0),newSPRDOPT(BZ248,CS248,DA248,0,DF248,CU248,CV248,BT248*365.25,OCallPut,0),0),IF(BQ248,(DH248*AZ248+DI248*BA248+DJ248*BB248+DK248*BC248)/BQ248,0))</f>
        <v>#VALUE!</v>
      </c>
      <c r="DM248" s="1316"/>
      <c r="DN248" s="1316"/>
      <c r="DO248" s="1316"/>
      <c r="DP248" s="1316"/>
      <c r="DQ248" s="1316"/>
      <c r="DR248" s="1316"/>
      <c r="DS248" s="1316"/>
      <c r="DT248" s="1316"/>
      <c r="DU248" s="1316"/>
      <c r="DV248" s="1316"/>
      <c r="DW248" s="1594" t="e">
        <f aca="false">IF(AND(BW248&gt;0,CT248&gt;0,DD248&gt;0,CU248&gt;0),newSPRDOPT(BW248,CT248,CY248,0,DD248,CU248,CV248,BT248*365.25,OCallPut,0),0)</f>
        <v>#VALUE!</v>
      </c>
      <c r="DX248" s="1316" t="e">
        <f aca="false">IF(AND(BX248&gt;0,CT248&gt;0,DE248&gt;0,CU248&gt;0),newSPRDOPT(BX248,CT248,CZ248,0,DE248,CU248,CV248,BT248*365.25,OCallPut,0),0)</f>
        <v>#VALUE!</v>
      </c>
      <c r="DY248" s="1591" t="e">
        <f aca="false">IF(BS248,(DH248*BH248+DI248*BI248+DW248*BJ248+DX248*BK248)/BS248,0)</f>
        <v>#VALUE!</v>
      </c>
      <c r="DZ248" s="1551" t="e">
        <f aca="false">DH248*AZ248</f>
        <v>#VALUE!</v>
      </c>
      <c r="EA248" s="1551" t="e">
        <f aca="false">DI248*BA248</f>
        <v>#VALUE!</v>
      </c>
      <c r="EB248" s="1551" t="e">
        <f aca="false">DJ248*BB248</f>
        <v>#VALUE!</v>
      </c>
      <c r="EC248" s="1551" t="e">
        <f aca="false">DK248*BC248</f>
        <v>#VALUE!</v>
      </c>
      <c r="ED248" s="1551" t="e">
        <f aca="false">DL248*BQ248</f>
        <v>#VALUE!</v>
      </c>
      <c r="EE248" s="1595" t="e">
        <f aca="false">IF(BQ248,IF(OCallPut,IF(BU248&gt;(CO248+CW248),BU248-(CO248+CW248),0),IF((CO248+CW248)&gt;BU248,(CO248+CW248)-BU248,0))*AZ248,0)</f>
        <v>#VALUE!</v>
      </c>
      <c r="EF248" s="1596" t="e">
        <f aca="false">IF(BQ248,IF(OCallPut,IF(BV248&gt;(CP248+CX248),BV248-(CP248+CX248),0),IF((CP248+CX248)&gt;BV248,(CP248+CX248)-BV248,0))*BA248,0)</f>
        <v>#VALUE!</v>
      </c>
      <c r="EG248" s="1596" t="e">
        <f aca="false">IF(BQ248,IF(OCallPut,IF(BW248&gt;(CQ248+CY248),BW248-(CQ248+CY248),0),IF((CQ248+CY248)&gt;BW248,(CQ248+CY248)-BW248,0))*BB248,0)</f>
        <v>#VALUE!</v>
      </c>
      <c r="EH248" s="1596" t="e">
        <f aca="false">IF(BQ248,IF(OCallPut,IF(BX248&gt;(CR248+CZ248),BX248-(CR248+CZ248),0),IF((CR248+CZ248)&gt;BX248,(CR248+CZ248)-BX248,0))*BC248,0)</f>
        <v>#VALUE!</v>
      </c>
      <c r="EI248" s="1597" t="e">
        <f aca="false">IF(BQ248,IF(OVolType,IF(OCallPut,IF(BZ248&gt;(CS248+DA248),BZ248-(CS248+DA248),0),IF((CS248+DA248)&gt;BZ248,(CS248+DA248)-BZ248,0))*BQ248,SUM(EE248:EH248)),0)</f>
        <v>#VALUE!</v>
      </c>
      <c r="EJ248" s="1595" t="e">
        <f aca="false">DZ248-EE248</f>
        <v>#VALUE!</v>
      </c>
      <c r="EK248" s="1596" t="e">
        <f aca="false">EA248-EF248</f>
        <v>#VALUE!</v>
      </c>
      <c r="EL248" s="1596" t="e">
        <f aca="false">EB248-EG248</f>
        <v>#VALUE!</v>
      </c>
      <c r="EM248" s="1596" t="e">
        <f aca="false">EC248-EH248</f>
        <v>#VALUE!</v>
      </c>
      <c r="EN248" s="1597" t="e">
        <f aca="false">ED248-EI248</f>
        <v>#VALUE!</v>
      </c>
      <c r="EO248" s="1551" t="e">
        <f aca="false">DH248*BH248</f>
        <v>#VALUE!</v>
      </c>
      <c r="EP248" s="1551" t="e">
        <f aca="false">DI248*BI248</f>
        <v>#VALUE!</v>
      </c>
      <c r="EQ248" s="1551" t="e">
        <f aca="false">DW248*BJ248</f>
        <v>#VALUE!</v>
      </c>
      <c r="ER248" s="1551" t="e">
        <f aca="false">DX248*BK248</f>
        <v>#VALUE!</v>
      </c>
      <c r="ES248" s="1551" t="e">
        <f aca="false">DY248*BS248</f>
        <v>#VALUE!</v>
      </c>
      <c r="ET248" s="1566" t="e">
        <f aca="false">IF(EI248,IF(OCallPut,IF(CA248&gt;(CT248+CW248),CA248-(CT248+CW248),0),IF((CT248+CW248)&gt;CA248,(CT248+CW248)-CA248,0))*BH248,0)</f>
        <v>#VALUE!</v>
      </c>
      <c r="EU248" s="1551" t="e">
        <f aca="false">IF(EI248,IF(OCallPut,IF(CB248&gt;(CT248+CX248),CB248-(CT248+CX248),0),IF((CT248+CX248)&gt;CB248,(CT248+CX248)-CB248,0))*BI248,0)</f>
        <v>#VALUE!</v>
      </c>
      <c r="EV248" s="1551" t="e">
        <f aca="false">IF(EI248,IF(OCallPut,IF(CC248&gt;(CT248+CY248),CC248-(CT248+CY248),0),IF((CT248+CY248)&gt;CC248,(CT248+CY248)-CC248,0))*BJ248,0)</f>
        <v>#VALUE!</v>
      </c>
      <c r="EW248" s="1551" t="e">
        <f aca="false">IF(EI248,IF(OCallPut,IF(CD248&gt;(CT248+CZ248),CD248-(CT248+CZ248),0),IF((CT248+CZ248)&gt;CD248,(CT248+CZ248)-CD248,0))*BK248,0)</f>
        <v>#VALUE!</v>
      </c>
      <c r="EX248" s="1558" t="e">
        <f aca="false">IF(EI248,SUM(ET248:EW248),0)</f>
        <v>#VALUE!</v>
      </c>
      <c r="EY248" s="1551" t="e">
        <f aca="false">EO248-ET248</f>
        <v>#VALUE!</v>
      </c>
      <c r="EZ248" s="1551" t="e">
        <f aca="false">EP248-EU248</f>
        <v>#VALUE!</v>
      </c>
      <c r="FA248" s="1551" t="e">
        <f aca="false">EQ248-EV248</f>
        <v>#VALUE!</v>
      </c>
      <c r="FB248" s="1551" t="e">
        <f aca="false">ER248-EW248</f>
        <v>#VALUE!</v>
      </c>
      <c r="FC248" s="1551" t="e">
        <f aca="false">ES248-EX248</f>
        <v>#VALUE!</v>
      </c>
      <c r="FD248" s="1525" t="n">
        <f aca="false">IF(AX248,IF(VLOOKUP(C248,MAIN!$L$17:$M$28,2)="Yes",VLOOKUP(CALC!B248,MAIN!$H$17:$I$20,2),0),0)</f>
        <v>0</v>
      </c>
      <c r="FE248" s="1552" t="e">
        <f aca="false">$FD248*16*AT248*(1-$AY248)</f>
        <v>#VALUE!</v>
      </c>
      <c r="FF248" s="1553" t="e">
        <f aca="false">$FD248*16*AU248*(1-$AY248)</f>
        <v>#VALUE!</v>
      </c>
      <c r="FG248" s="1553" t="e">
        <f aca="false">$FD248*16*(AV248+AW248)*(1-$AY248)</f>
        <v>#VALUE!</v>
      </c>
      <c r="FH248" s="1554" t="n">
        <f aca="false">$FD248*8*AX248*(1-$AY248)</f>
        <v>0</v>
      </c>
      <c r="FI248" s="1555" t="n">
        <f aca="false">IF(AX248,VLOOKUP(CALC!B248,MAIN!$H$17:$K$20,4),0)</f>
        <v>0</v>
      </c>
      <c r="FJ248" s="1553" t="e">
        <f aca="false">SUM(FE248:FH248)</f>
        <v>#VALUE!</v>
      </c>
      <c r="FK248" s="1556" t="e">
        <f aca="false">FI248*FJ248</f>
        <v>#VALUE!</v>
      </c>
      <c r="FL248" s="1551" t="e">
        <f aca="false">IF($EI248&gt;0,MIN(FE248,AZ248*(1+VLOOKUP($C248,WeatherCapacityAdjustment,2))),0)</f>
        <v>#VALUE!</v>
      </c>
      <c r="FM248" s="1551" t="e">
        <f aca="false">IF($EI248&gt;0,MIN(FF248,BA248*(1+VLOOKUP($C248,WeatherCapacityAdjustment,2))),0)</f>
        <v>#VALUE!</v>
      </c>
      <c r="FN248" s="1551" t="e">
        <f aca="false">IF($EI248&gt;0,MIN(FG248,BB248*(1+VLOOKUP($C248,WeatherCapacityAdjustment,2))),0)</f>
        <v>#VALUE!</v>
      </c>
      <c r="FO248" s="1564" t="e">
        <f aca="false">IF($EI248&gt;0,MIN(FH248,BC248*(1+VLOOKUP($C248,WeatherCapacityAdjustment,3))),0)</f>
        <v>#VALUE!</v>
      </c>
      <c r="FP248" s="1551" t="e">
        <f aca="false">IF(ET248&gt;0,MIN(FE248-FL248,BH248*(1+VLOOKUP($C248,WeatherCapacityAdjustment,2))),0)</f>
        <v>#VALUE!</v>
      </c>
      <c r="FQ248" s="1551" t="e">
        <f aca="false">IF(EU248&gt;0,MIN(FF248-FM248,BI248*(1+VLOOKUP($C248,WeatherCapacityAdjustment,2))),0)</f>
        <v>#VALUE!</v>
      </c>
      <c r="FR248" s="1551" t="e">
        <f aca="false">IF(EV248&gt;0,MIN(FG248-FN248,BJ248*(1+VLOOKUP($C248,WeatherCapacityAdjustment,2))),0)</f>
        <v>#VALUE!</v>
      </c>
      <c r="FS248" s="1558" t="e">
        <f aca="false">IF(EW248&gt;0,MIN(FH248-FO248,BK248*(1+VLOOKUP($C248,WeatherCapacityAdjustment,3))),0)</f>
        <v>#VALUE!</v>
      </c>
      <c r="FT248" s="1566" t="e">
        <f aca="false">IF(AND(Assumptions!$H$71="Yes",A248&gt;=Assumptions!$H$72,A248&lt;=Assumptions!$H$73),0,IF(AND($A248&gt;=Assumptions!$C$17,$A248&lt;=Assumptions!$C$18),MAX(AZ248*(1+VLOOKUP($C248,WeatherCapacityAdjustment,2))-FL248,0),0))</f>
        <v>#VALUE!</v>
      </c>
      <c r="FU248" s="1551" t="e">
        <f aca="false">IF(AND(Assumptions!$H$71="Yes",A248&gt;=Assumptions!$H$72,A248&lt;=Assumptions!$H$73),0,IF(AND($A248&gt;=Assumptions!$C$17,$A248&lt;=Assumptions!$C$18),MAX(BA248*(1+VLOOKUP($C248,WeatherCapacityAdjustment,2))-FM248,0),0))</f>
        <v>#VALUE!</v>
      </c>
      <c r="FV248" s="1551" t="e">
        <f aca="false">IF(AND(Assumptions!$H$71="Yes",A248&gt;=Assumptions!$H$72,A248&lt;=Assumptions!$H$73),0,IF(AND($A248&gt;=Assumptions!$C$17,$A248&lt;=Assumptions!$C$18),MAX(BB248*(1+VLOOKUP($C248,WeatherCapacityAdjustment,2))-FN248,0),0))</f>
        <v>#VALUE!</v>
      </c>
      <c r="FW248" s="1564" t="e">
        <f aca="false">IF(AND(Assumptions!$H$71="Yes",A248&gt;=Assumptions!$H$72,A248&lt;=Assumptions!$H$73),0,IF(AND($A248&gt;=Assumptions!$C$17,$A248&lt;=Assumptions!$C$18),MAX(BC248*(1+VLOOKUP($C248,WeatherCapacityAdjustment,3))-FO248,0),0))</f>
        <v>#VALUE!</v>
      </c>
      <c r="FX248" s="1569" t="e">
        <f aca="false">IF(AND(Assumptions!$H$71="Yes",A248&gt;=Assumptions!$H$72,A248&lt;=Assumptions!$H$73),0,IF(ET248&gt;0,MAX(BH248*(1+VLOOKUP($C248,WeatherCapacityAdjustment,2))-FP248,0),0))</f>
        <v>#VALUE!</v>
      </c>
      <c r="FY248" s="1551" t="e">
        <f aca="false">IF(AND(Assumptions!$H$71="Yes",A248&gt;=Assumptions!$H$72,A248&lt;=Assumptions!$H$73),0,IF(EU248&gt;0,MAX(BI248*(1+VLOOKUP($C248,WeatherCapacityAdjustment,3))-FQ248,0),0))</f>
        <v>#VALUE!</v>
      </c>
      <c r="FZ248" s="1551" t="e">
        <f aca="false">IF(AND(Assumptions!$H$71="Yes",A248&gt;=Assumptions!$H$72,A248&lt;=Assumptions!$H$73),0,IF(EV248&gt;0,MAX(BJ248*(1+VLOOKUP($C248,WeatherCapacityAdjustment,2))-FR248,0),0))</f>
        <v>#VALUE!</v>
      </c>
      <c r="GA248" s="1564" t="e">
        <f aca="false">IF(AND(Assumptions!$H$71="Yes",A248&gt;=Assumptions!$H$72,A248&lt;=Assumptions!$H$73),0,IF(EW248&gt;0,MAX(BK248*(1+VLOOKUP($C248,WeatherCapacityAdjustment,2))-FS248,0),0))</f>
        <v>#VALUE!</v>
      </c>
      <c r="GB248" s="1551" t="e">
        <f aca="false">SUM(FT248:GA248)</f>
        <v>#VALUE!</v>
      </c>
      <c r="GC248" s="1563" t="e">
        <f aca="false">+IF(SUM(FT248:GA248)=0,0,(SUMPRODUCT(BU248:BX248,FT248:FW248)+SUMPRODUCT(CA248:CD248,FX248:GA248))/SUM(FT248:GA248))</f>
        <v>#VALUE!</v>
      </c>
      <c r="GD248" s="1551" t="e">
        <f aca="false">(FT248*BU248+FX248*CA248+FU248*BV248+FY248*CB248+FV248*BW248+FZ248*CC248+FW248*BX248+GA248*CD248)</f>
        <v>#VALUE!</v>
      </c>
      <c r="GE248" s="1561" t="e">
        <f aca="false">+IF(BQ248,((FL248+FM248+FT248+FU248)*HeatRatePeak/1000*(1+VLOOKUP($C248,WeatherHeatRateAdjustment,2))+(FN248+FV248)*IF(EV248&gt;0,HeatRatePeak,HeatRateOffPeak)/1000*(1+VLOOKUP($C248,WeatherHeatRateAdjustment,2))+(FO248+FW248)*IF(EW248&gt;0,HeatRatePeak,HeatRateOffPeak)/1000*(1+VLOOKUP($C248,WeatherHeatRateAdjustment,3)))*(1+VLOOKUP($B248,HeatRateDegradation,$C248+1)),0)</f>
        <v>#VALUE!</v>
      </c>
      <c r="GF248" s="1562" t="e">
        <f aca="false">IF(BQ248,((FP248+FQ248+FR248+FX248+FY248+FZ248)*HeatRatePeak/1000*(1+VLOOKUP($C248,WeatherHeatRateAdjustment,2))+(FS248+GA248)*HeatRatePeak/1000*(1+VLOOKUP($C248,WeatherHeatRateAdjustment,3)))*(1+VLOOKUP($B248,HeatRateDegradation,$C248+1)),0)</f>
        <v>#VALUE!</v>
      </c>
      <c r="GG248" s="1563" t="e">
        <f aca="false">IF(BQ248,VLOOKUP(A248,GasTable,13),0)</f>
        <v>#VALUE!</v>
      </c>
      <c r="GH248" s="1564" t="e">
        <f aca="false">(GE248+GF248)*GG248</f>
        <v>#VALUE!</v>
      </c>
      <c r="GI248" s="1569" t="e">
        <f aca="false">GB248</f>
        <v>#VALUE!</v>
      </c>
      <c r="GJ248" s="1598" t="e">
        <f aca="false">+DA248</f>
        <v>#VALUE!</v>
      </c>
      <c r="GK248" s="1558" t="e">
        <f aca="false">+GI248*GJ248</f>
        <v>#VALUE!</v>
      </c>
      <c r="GL248" s="1566" t="e">
        <f aca="false">MAX(FE248-FL248-FP248,0)</f>
        <v>#VALUE!</v>
      </c>
      <c r="GM248" s="1551" t="e">
        <f aca="false">MAX(FF248-FM248-FQ248,0)</f>
        <v>#VALUE!</v>
      </c>
      <c r="GN248" s="1551" t="e">
        <f aca="false">MAX(FG248-FN248-FR248,0)</f>
        <v>#VALUE!</v>
      </c>
      <c r="GO248" s="1564" t="e">
        <f aca="false">MAX(FH248-FO248-FS248,0)</f>
        <v>#VALUE!</v>
      </c>
      <c r="GP248" s="1551" t="e">
        <f aca="false">SUM(GL248:GO248)</f>
        <v>#VALUE!</v>
      </c>
      <c r="GQ248" s="1563" t="e">
        <f aca="false">IF(SUM(GL248:GO248)=0,0,((GL248*BU248+GM248*BV248+GN248*BW248+GO248*BX248)/SUM(GL248:GO248)))</f>
        <v>#VALUE!</v>
      </c>
      <c r="GR248" s="1558" t="e">
        <f aca="false">(GL248*BU248+GM248*BV248+GN248*BW248+GO248*BX248)</f>
        <v>#VALUE!</v>
      </c>
      <c r="GS248" s="1566" t="n">
        <f aca="false">IF($A248&gt;=BegDate,Assumptions!$C$56*24*($A249-$A248)*(1-VLOOKUP($B248,MAIN!$AA$7:$AM$28,$C248+1))*(1-VLOOKUP($B248,MAIN!$AA$33:$AM$54,$C248+1)),0)*80/168</f>
        <v>257742.857142857</v>
      </c>
      <c r="GT248" s="286" t="n">
        <f aca="false">J248</f>
        <v>85.5320061992176</v>
      </c>
      <c r="GU248" s="286" t="n">
        <f aca="false">IF($A248&gt;=BegDate,VLOOKUP($A248,GasTable,13)+Assumptions!$C$58,0)</f>
        <v>3.69292751502583</v>
      </c>
      <c r="GV248" s="286" t="n">
        <f aca="false">GU248*Assumptions!$C$57/1000</f>
        <v>26.7737244839373</v>
      </c>
      <c r="GW248" s="1558" t="n">
        <f aca="false">IF(Assumptions!$C$60="Hourly",MAX(0,GS248*(GT248-GV248)),GS248*(GT248-GV248))</f>
        <v>15144527.4101013</v>
      </c>
      <c r="GX248" s="1566" t="n">
        <f aca="false">IF($A248&gt;=BegDate,Assumptions!$C$56*24*($A249-$A248)*(1-VLOOKUP($B248,MAIN!$AA$7:$AM$28,$C248+1))*(1-VLOOKUP($B248,MAIN!$AA$33:$AM$54,$C248+1)),0)*16/168</f>
        <v>51548.5714285714</v>
      </c>
      <c r="GY248" s="286" t="n">
        <f aca="false">M248</f>
        <v>85.5320061992176</v>
      </c>
      <c r="GZ248" s="286" t="n">
        <f aca="false">IF($A248&gt;=BegDate,VLOOKUP($A248,GasTable,13)+Assumptions!$C$58,0)</f>
        <v>3.69292751502583</v>
      </c>
      <c r="HA248" s="286" t="n">
        <f aca="false">GZ248*Assumptions!$C$57/1000</f>
        <v>26.7737244839373</v>
      </c>
      <c r="HB248" s="1558" t="n">
        <f aca="false">IF(Assumptions!$C$60="Hourly",MAX(0,GX248*(GY248-HA248)),GX248*(GY248-HA248))</f>
        <v>3028905.48202025</v>
      </c>
      <c r="HC248" s="1566" t="n">
        <f aca="false">IF($A248&gt;=BegDate,Assumptions!$C$56*24*($A249-$A248)*(1-VLOOKUP($B248,MAIN!$AA$7:$AM$28,$C248+1))*(1-VLOOKUP($B248,MAIN!$AA$33:$AM$54,$C248+1)),0)*16/168</f>
        <v>51548.5714285714</v>
      </c>
      <c r="HD248" s="286" t="n">
        <f aca="false">P248</f>
        <v>37.0024210577371</v>
      </c>
      <c r="HE248" s="286" t="n">
        <f aca="false">IF($A248&gt;=BegDate,VLOOKUP($A248,GasTable,13)+Assumptions!$C$58,0)</f>
        <v>3.69292751502583</v>
      </c>
      <c r="HF248" s="286" t="n">
        <f aca="false">HE248*Assumptions!$C$57/1000</f>
        <v>26.7737244839373</v>
      </c>
      <c r="HG248" s="1558" t="n">
        <f aca="false">IF(Assumptions!$C$60="Hourly",MAX(0,HC248*(HD248-HF248)),HC248*(HD248-HF248))</f>
        <v>527274.695955704</v>
      </c>
      <c r="HH248" s="1566" t="n">
        <f aca="false">IF($A248&gt;=BegDate,Assumptions!$C$56*24*($A249-$A248)*(1-VLOOKUP($B248,MAIN!$AA$7:$AM$28,$C248+1))*(1-VLOOKUP($B248,MAIN!$AA$33:$AM$54,$C248+1)),0)*56/168</f>
        <v>180420</v>
      </c>
      <c r="HI248" s="286" t="n">
        <f aca="false">S248</f>
        <v>37.0024210577371</v>
      </c>
      <c r="HJ248" s="286" t="n">
        <f aca="false">IF($A248&gt;=BegDate,VLOOKUP($A248,GasTable,13)+Assumptions!$C$58,0)</f>
        <v>3.69292751502583</v>
      </c>
      <c r="HK248" s="286" t="n">
        <f aca="false">HJ248*Assumptions!$C$57/1000</f>
        <v>26.7737244839373</v>
      </c>
      <c r="HL248" s="1558" t="n">
        <f aca="false">IF(Assumptions!$C$60="Hourly",MAX(0,HH248*(HI248-HK248)),HH248*(HI248-HK248))</f>
        <v>1845461.43584497</v>
      </c>
      <c r="HM248" s="1566" t="n">
        <f aca="false">IF(AND(Assumptions!$H$71="Yes",A248&gt;=Assumptions!$H$72,A248&lt;=Assumptions!$H$73),Assumptions!$H$74*Assumptions!$C$9*1000,0)</f>
        <v>0</v>
      </c>
      <c r="HN248" s="1551"/>
      <c r="HO248" s="1563"/>
      <c r="HP248" s="1563"/>
      <c r="HQ248" s="1563"/>
      <c r="HR248" s="1563"/>
      <c r="HS248" s="1563"/>
      <c r="HT248" s="1563"/>
      <c r="HU248" s="1563"/>
      <c r="HV248" s="1563"/>
      <c r="HW248" s="1563"/>
      <c r="HX248" s="1563"/>
      <c r="HY248" s="1563"/>
      <c r="HZ248" s="1563"/>
      <c r="IA248" s="1563"/>
      <c r="IB248" s="1563"/>
      <c r="IC248" s="1563"/>
      <c r="ID248" s="1563"/>
      <c r="IE248" s="1563"/>
      <c r="IF248" s="1563"/>
      <c r="IG248" s="1563"/>
      <c r="IH248" s="1563"/>
      <c r="II248" s="1610"/>
      <c r="IJ248" s="1309"/>
      <c r="IK248" s="1309"/>
    </row>
    <row r="249" customFormat="false" ht="12.75" hidden="false" customHeight="false" outlineLevel="0" collapsed="false">
      <c r="A249" s="1571" t="n">
        <f aca="false">EOMONTH(A248,0)+1</f>
        <v>43709</v>
      </c>
      <c r="B249" s="594" t="n">
        <f aca="false">+YEAR(A249)</f>
        <v>2019</v>
      </c>
      <c r="C249" s="238" t="n">
        <f aca="false">MONTH(A249)</f>
        <v>9</v>
      </c>
      <c r="D249" s="1572" t="e">
        <f aca="false">IF(E249="","",Holiday(B249,C249))</f>
        <v>#VALUE!</v>
      </c>
      <c r="E249" s="1573" t="n">
        <f aca="false">IF(OR(BegDate&gt;=A250,EndDate&lt;A249,AND(VolumeMonthlyOverFlag,INDEX(VolumeMonthlyOver,C249)=0),NOT(INDEX(MonthKnockOutTable,C249))),"",MAX(A249,BegDate))</f>
        <v>43709</v>
      </c>
      <c r="F249" s="1574" t="n">
        <f aca="false">IF(E249="","",MIN(A250-1,EndDate))</f>
        <v>43738</v>
      </c>
      <c r="G249" s="1575" t="n">
        <v>0</v>
      </c>
      <c r="H249" s="1576" t="n">
        <f aca="false">(1+G249/2)^(-2*(DATE(B250,C250,20)-DateToday)/365.25)</f>
        <v>1</v>
      </c>
      <c r="I249" s="1568" t="n">
        <f aca="false">IF(Assumptions!$L$25=4,VLOOKUP($A249,'Henwood Reference'!$E$9:$R$320,10),(VLOOKUP($A249,PriceTable,2,0)+IF(BasisNumber&lt;&gt;1,VLOOKUP($A249,BasisTable,2,0),0)+I$1)/(1-I$2))</f>
        <v>72.7889875108825</v>
      </c>
      <c r="J249" s="1568" t="n">
        <f aca="false">IF(Assumptions!$L$25=4,VLOOKUP($A249,'Henwood Reference'!$E$9:$R$320,10),(VLOOKUP($A249,PriceTable,3,0)+IF(BasisNumber&lt;&gt;1,VLOOKUP($A249,BasisTable,2,0),0)+J$1)/(1-J$2))</f>
        <v>72.7889875108825</v>
      </c>
      <c r="K249" s="1568" t="n">
        <f aca="false">IF(Assumptions!$L$25=4,VLOOKUP($A249,'Henwood Reference'!$E$9:$R$320,10),(VLOOKUP($A249,PriceTable,4,0)+IF(BasisNumber&lt;&gt;1,VLOOKUP($A249,BasisTable,2,0),0)+K$1)/(1-K$2))</f>
        <v>72.7889875108825</v>
      </c>
      <c r="L249" s="1523" t="n">
        <f aca="false">IF(Assumptions!$L$25=4,VLOOKUP($A249,'Henwood Reference'!$E$9:$R$320,10),(VLOOKUP($A249,PriceTableWeekend,2,0)+IF(BasisNumber&lt;&gt;1,VLOOKUP($A249,BasisTable,2,0),0)+L$1)/(1-L$2))</f>
        <v>72.7889875108825</v>
      </c>
      <c r="M249" s="1568" t="n">
        <f aca="false">IF(Assumptions!$L$25=4,VLOOKUP($A249,'Henwood Reference'!$E$9:$R$320,10),(VLOOKUP($A249,PriceTableWeekend,3,0)+IF(BasisNumber&lt;&gt;1,VLOOKUP($A249,BasisTable,2,0),0)+M$1)/(1-M$2))</f>
        <v>72.7889875108825</v>
      </c>
      <c r="N249" s="1599" t="n">
        <f aca="false">IF(Assumptions!$L$25=4,VLOOKUP($A249,'Henwood Reference'!$E$9:$R$320,10),(VLOOKUP($A249,PriceTableWeekend,4,0)+IF(BasisNumber&lt;&gt;1,VLOOKUP($A249,BasisTable,2,0),0)+N$1)/(1-N$2))</f>
        <v>72.7889875108825</v>
      </c>
      <c r="O249" s="1568" t="n">
        <f aca="false">IF(Assumptions!$L$25=4,VLOOKUP($A249,'Henwood Reference'!$E$9:$R$320,11),(VLOOKUP($A249,PriceTableWeekend,6,0)+IF(BasisNumber&lt;&gt;1,VLOOKUP($A249,BasisTable,3,0),0)+O$1)/(1-O$2))</f>
        <v>34.9660904007777</v>
      </c>
      <c r="P249" s="1568" t="n">
        <f aca="false">IF(Assumptions!$L$25=4,VLOOKUP($A249,'Henwood Reference'!$E$9:$R$320,11),(VLOOKUP($A249,PriceTableWeekend,7,0)+IF(BasisNumber&lt;&gt;1,VLOOKUP($A249,BasisTable,3,0),0)+P$1)/(1-P$2))</f>
        <v>34.9660904007777</v>
      </c>
      <c r="Q249" s="1599" t="n">
        <f aca="false">IF(Assumptions!$L$25=4,VLOOKUP($A249,'Henwood Reference'!$E$9:$R$320,11),(VLOOKUP($A249,PriceTableWeekend,8,0)+IF(BasisNumber&lt;&gt;1,VLOOKUP($A249,BasisTable,3,0),0)+Q$1)/(1-Q$2))</f>
        <v>34.9660904007777</v>
      </c>
      <c r="R249" s="1568" t="n">
        <f aca="false">IF(Assumptions!$L$25=4,VLOOKUP($A249,'Henwood Reference'!$E$9:$R$320,11),(VLOOKUP($A249,PriceTable,6,0)+IF(BasisNumber&lt;&gt;1,VLOOKUP($A249,BasisTable,3,0),0)+R$1)/(1-R$2))</f>
        <v>34.9660904007777</v>
      </c>
      <c r="S249" s="1568" t="n">
        <f aca="false">IF(Assumptions!$L$25=4,VLOOKUP($A249,'Henwood Reference'!$E$9:$R$320,11),(VLOOKUP($A249,PriceTable,7,0)+IF(BasisNumber&lt;&gt;1,VLOOKUP($A249,BasisTable,3,0),0)+S$1)/(1-S$2))</f>
        <v>34.9660904007777</v>
      </c>
      <c r="T249" s="1600" t="n">
        <f aca="false">IF(Assumptions!$L$25=4,VLOOKUP($A249,'Henwood Reference'!$E$9:$R$320,11),(VLOOKUP($A249,PriceTable,8,0)+IF(BasisNumber&lt;&gt;1,VLOOKUP($A249,BasisTable,3,0),0)+T$1)/(1-T$2))</f>
        <v>34.9660904007777</v>
      </c>
      <c r="U249" s="1513" t="n">
        <f aca="false">VLOOKUP($A249,VolatilityTable,14)</f>
        <v>0.09</v>
      </c>
      <c r="V249" s="1513" t="n">
        <f aca="false">VLOOKUP($A249,VolatilityTable,15)</f>
        <v>0.1</v>
      </c>
      <c r="W249" s="1514" t="n">
        <f aca="false">VLOOKUP($A249,VolatilityTable,16)</f>
        <v>0.11</v>
      </c>
      <c r="X249" s="1513" t="n">
        <f aca="false">VLOOKUP($A249,VolatilityTable,14)</f>
        <v>0.09</v>
      </c>
      <c r="Y249" s="1513" t="n">
        <f aca="false">VLOOKUP($A249,VolatilityTable,15)</f>
        <v>0.1</v>
      </c>
      <c r="Z249" s="1514" t="n">
        <f aca="false">VLOOKUP($A249,VolatilityTable,16)</f>
        <v>0.11</v>
      </c>
      <c r="AA249" s="1513" t="n">
        <f aca="false">VLOOKUP($A249,VolatilityTable,18)</f>
        <v>0.09</v>
      </c>
      <c r="AB249" s="1513" t="n">
        <f aca="false">VLOOKUP($A249,VolatilityTable,19)</f>
        <v>0.11</v>
      </c>
      <c r="AC249" s="1514" t="n">
        <f aca="false">VLOOKUP($A249,VolatilityTable,20)</f>
        <v>0.13</v>
      </c>
      <c r="AD249" s="1513" t="n">
        <f aca="false">VLOOKUP($A249,VolatilityTable,18)</f>
        <v>0.09</v>
      </c>
      <c r="AE249" s="1513" t="n">
        <f aca="false">VLOOKUP($A249,VolatilityTable,19)</f>
        <v>0.11</v>
      </c>
      <c r="AF249" s="1514" t="n">
        <f aca="false">VLOOKUP($A249,VolatilityTable,20)</f>
        <v>0.13</v>
      </c>
      <c r="AG249" s="1513" t="n">
        <f aca="false">VLOOKUP($A249,VolatilityTable,22)</f>
        <v>-0.35</v>
      </c>
      <c r="AH249" s="1513" t="n">
        <f aca="false">VLOOKUP($A249,VolatilityTable,23)</f>
        <v>3</v>
      </c>
      <c r="AI249" s="1514" t="n">
        <f aca="false">VLOOKUP($A249,VolatilityTable,24)</f>
        <v>0.2</v>
      </c>
      <c r="AJ249" s="1513" t="n">
        <f aca="false">VLOOKUP($A249,VolatilityTable,22)</f>
        <v>-0.35</v>
      </c>
      <c r="AK249" s="1513" t="n">
        <f aca="false">VLOOKUP($A249,VolatilityTable,23)</f>
        <v>3</v>
      </c>
      <c r="AL249" s="1514" t="n">
        <f aca="false">VLOOKUP($A249,VolatilityTable,24)</f>
        <v>0.2</v>
      </c>
      <c r="AM249" s="1513" t="n">
        <f aca="false">VLOOKUP($A249,VolatilityTable,26)</f>
        <v>-0.01</v>
      </c>
      <c r="AN249" s="1513" t="n">
        <f aca="false">VLOOKUP($A249,VolatilityTable,27)</f>
        <v>0.16</v>
      </c>
      <c r="AO249" s="1514" t="n">
        <f aca="false">VLOOKUP($A249,VolatilityTable,28)</f>
        <v>0.01</v>
      </c>
      <c r="AP249" s="1513" t="n">
        <f aca="false">VLOOKUP($A249,VolatilityTable,26)</f>
        <v>-0.01</v>
      </c>
      <c r="AQ249" s="1513" t="n">
        <f aca="false">VLOOKUP($A249,VolatilityTable,27)</f>
        <v>0.16</v>
      </c>
      <c r="AR249" s="1515" t="n">
        <f aca="false">VLOOKUP($A249,VolatilityTable,28)</f>
        <v>0.01</v>
      </c>
      <c r="AS249" s="1581" t="n">
        <f aca="false">IF(CorrPeakOffPeakOverFlag,INDEX(CorrPeakOffPeakOver,C249),CorrPeakOffPeak)</f>
        <v>0.5</v>
      </c>
      <c r="AT249" s="594" t="e">
        <f aca="false">AX249-SUM(AU249:AW249)</f>
        <v>#VALUE!</v>
      </c>
      <c r="AU249" s="238" t="e">
        <f aca="false">IF(E249="",0,INT((F249-MOD(F249,7)-E249)/7)+1-IF(AW249,IF(WEEKDAY(D249)=7,1,0),0))</f>
        <v>#VALUE!</v>
      </c>
      <c r="AV249" s="238" t="e">
        <f aca="false">IF(E249="",0,INT((F249-MOD(F249-1,7)-E249)/7)+1-IF(AW249,IF(WEEKDAY(D249)=1,1,0),0))</f>
        <v>#VALUE!</v>
      </c>
      <c r="AW249" s="238" t="e">
        <f aca="false">IF(OR(E249="",D249="",D249&lt;BegDate,D249&gt;EndDate),0,1)</f>
        <v>#VALUE!</v>
      </c>
      <c r="AX249" s="238" t="n">
        <f aca="false">IF(E249="",0,F249-E249+1)</f>
        <v>30</v>
      </c>
      <c r="AY249" s="1582" t="n">
        <f aca="false">IF(E249="",0,MIN((1-(1-VLOOKUP(B249,MAIN!$AA$7:$AM$28,C249+1))*(1-VLOOKUP(B249,MAIN!$AA$33:$AM$54,C249+1))),1))</f>
        <v>0.03</v>
      </c>
      <c r="AZ249" s="1519" t="e">
        <v>#VALUE!</v>
      </c>
      <c r="BA249" s="1520" t="e">
        <v>#VALUE!</v>
      </c>
      <c r="BB249" s="1520" t="e">
        <v>#VALUE!</v>
      </c>
      <c r="BC249" s="1583" t="e">
        <v>#VALUE!</v>
      </c>
      <c r="BD249" s="1522" t="e">
        <v>#VALUE!</v>
      </c>
      <c r="BE249" s="1523" t="e">
        <v>#VALUE!</v>
      </c>
      <c r="BF249" s="1523" t="e">
        <v>#VALUE!</v>
      </c>
      <c r="BG249" s="1584" t="e">
        <v>#VALUE!</v>
      </c>
      <c r="BH249" s="1525" t="e">
        <v>#VALUE!</v>
      </c>
      <c r="BI249" s="1520" t="e">
        <v>#VALUE!</v>
      </c>
      <c r="BJ249" s="1520" t="e">
        <v>#VALUE!</v>
      </c>
      <c r="BK249" s="1583" t="e">
        <v>#VALUE!</v>
      </c>
      <c r="BL249" s="1522" t="e">
        <v>#VALUE!</v>
      </c>
      <c r="BM249" s="1523" t="e">
        <v>#VALUE!</v>
      </c>
      <c r="BN249" s="1523" t="e">
        <v>#VALUE!</v>
      </c>
      <c r="BO249" s="1523" t="e">
        <v>#VALUE!</v>
      </c>
      <c r="BP249" s="1525" t="e">
        <f aca="false">SUM(AZ249:BB249)</f>
        <v>#VALUE!</v>
      </c>
      <c r="BQ249" s="1529" t="e">
        <f aca="false">SUM(AZ249:BC249)</f>
        <v>#VALUE!</v>
      </c>
      <c r="BR249" s="1519" t="e">
        <f aca="false">SUM(BH249:BJ249)</f>
        <v>#VALUE!</v>
      </c>
      <c r="BS249" s="1529" t="e">
        <f aca="false">SUM(BH249:BK249)</f>
        <v>#VALUE!</v>
      </c>
      <c r="BT249" s="1316" t="n">
        <f aca="false">(IF(OVolType&lt;&gt;2,A249+14,IF(OptExpDateShift,ShiftBack(A249,OptExpDateShift,D248),A249))-DateToday)/365.25</f>
        <v>19.3812457221081</v>
      </c>
      <c r="BU249" s="1585" t="e">
        <f aca="false">IF(BQ249,IF(OPriceCurve,IF(OBuySell=OCallPut,I249/(1-AY249),K249/(1-AY249)),J249/(1-AY249))*BD249,0)</f>
        <v>#VALUE!</v>
      </c>
      <c r="BV249" s="1316" t="e">
        <f aca="false">IF(BQ249,IF(OPriceCurve,IF(OBuySell=OCallPut,L249/(1-AY249),N249/(1-AY249)),M249/(1-AY249))*BE249,0)</f>
        <v>#VALUE!</v>
      </c>
      <c r="BW249" s="1316" t="e">
        <f aca="false">IF(BQ249,IF(OPriceCurve,IF(OBuySell=OCallPut,O249/(1-AY249),Q249/(1-AY249)),P249/(1-AY249))*BF249,0)</f>
        <v>#VALUE!</v>
      </c>
      <c r="BX249" s="1316" t="e">
        <f aca="false">IF(BQ249,IF(OPriceCurve,IF(OBuySell=OCallPut,R249/(1-AY249),T249/(1-AY249)),S249/(1-AY249))*BG249,0)</f>
        <v>#VALUE!</v>
      </c>
      <c r="BY249" s="1316" t="e">
        <f aca="false">IF(BP249,(BU249*AZ249+BV249*BA249+BW249*BB249)/BP249,0)</f>
        <v>#VALUE!</v>
      </c>
      <c r="BZ249" s="1316" t="e">
        <f aca="false">IF(BQ249,(BY249*BP249+BX249*BC249)/BQ249,0)</f>
        <v>#VALUE!</v>
      </c>
      <c r="CA249" s="1531" t="e">
        <f aca="false">IF(BS249,IF(OPriceCurve,IF(OBuySell=OCallPut,I249/(1-AY249),K249/(1-AY249)),J249/(1-AY249))*BL249,0)</f>
        <v>#VALUE!</v>
      </c>
      <c r="CB249" s="1316" t="e">
        <f aca="false">IF(BS249,IF(OPriceCurve,IF(OBuySell=OCallPut,L249/(1-AY249),N249/(1-AY249)),M249/(1-AY249))*BM249,0)</f>
        <v>#VALUE!</v>
      </c>
      <c r="CC249" s="1316" t="e">
        <f aca="false">IF(BS249,IF(OPriceCurve,IF(OBuySell=OCallPut,O249/(1-AY249),Q249/(1-AY249)),P249/(1-AY249))*BN249,0)</f>
        <v>#VALUE!</v>
      </c>
      <c r="CD249" s="1316" t="e">
        <f aca="false">IF(BS249,IF(OPriceCurve,IF(OBuySell=OCallPut,R249/(1-AY249),T249/(1-AY249)),S249/(1-AY249))*BO249,0)</f>
        <v>#VALUE!</v>
      </c>
      <c r="CE249" s="1316" t="e">
        <f aca="false">IF(BR249,(BU249*BH249+BV249*BI249+BW249*BJ249)/BR249,0)</f>
        <v>#VALUE!</v>
      </c>
      <c r="CF249" s="1532" t="e">
        <f aca="false">IF(BS249,(CE249*BR249+CD249*BK249)/BS249,0)</f>
        <v>#VALUE!</v>
      </c>
      <c r="CG249" s="1586" t="e">
        <f aca="false">IF(OR(BQ249,BS249),IF(OVolType&lt;&gt;2,SQRT(IF(OVolOverMonthlyPeak,OVolOverMonthlyPeak,IF(OVolCurve,IF(OBuySell,U249,W249),V249))^2*(1-15/365.25/BT249)+IF(OVolOverDailyPeak,OVolOverDailyPeak,IF(OVolCurve,IF(OBuySell,AG249,AI249),AH249))^2*15/365.25/BT249),IF(OVolOverMonthlyPeak,OVolOverMonthlyPeak,IF(OVolCurve,IF(OBuySell,U249,W249),V249))),"")</f>
        <v>#VALUE!</v>
      </c>
      <c r="CH249" s="1587" t="e">
        <f aca="false">IF(OR(BQ249,BS249),IF(OVolType&lt;&gt;2,SQRT(IF(OVolOverMonthlyPeak,OVolOverMonthlyPeak,IF(OVolCurve,IF(OBuySell,X249,Z249),Y249))^2*(1-15/365.25/BT249)+IF(OVolOverDailyPeak,OVolOverDailyPeak,IF(OVolCurve,IF(OBuySell,AJ249,AL249),AK249))^2*15/365.25/BT249),IF(OVolOverMonthlyPeak,OVolOverMonthlyPeak,IF(OVolCurve,IF(OBuySell,X249,Z249),Y249))),"")</f>
        <v>#VALUE!</v>
      </c>
      <c r="CI249" s="1587" t="e">
        <f aca="false">IF(OR(BQ249,BS249),IF(OVolType&lt;&gt;2,SQRT(IF(OVolOverMonthlyPeak,OVolOverMonthlyPeak,IF(OVolCurve,IF(OBuySell,AA249,AC249),AB249))^2*(1-15/365.25/BT249)+IF(OVolOverDailyPeak,OVolOverDailyPeak,IF(OVolCurve,IF(OBuySell,AM249,AO249),AN249))^2*15/365.25/BT249),IF(OVolOverMonthlyPeak,OVolOverMonthlyPeak,IF(OVolCurve,IF(OBuySell,AA249,AC249),AB249))),"")</f>
        <v>#VALUE!</v>
      </c>
      <c r="CJ249" s="1587" t="e">
        <f aca="false">IF(BQ249,IF(BP249,SQRT(LN(1+((BU249*AZ249)^2*(EXP(CG249^2*BT249)-1)+(BV249*BA249)^2*(EXP(CH249^2*BT249)-1)+(BW249*BB249)^2*(EXP(CI249^2*BT249)-1)+2*BU249*AZ249*BV249*BA249*(EXP(CG249*CH249*BT249)-1)+2*BV249*BA249*BW249*BB249*(EXP(CH249*CI249*BT249)-1)+2*BW249*BB249*BU249*AZ249*(EXP(CI249*CG249*BT249)-1))/(BY249*BP249)^2)/BT249),0),"")</f>
        <v>#VALUE!</v>
      </c>
      <c r="CK249" s="1587" t="e">
        <f aca="false">IF(BS249,IF(BR249,SQRT(LN(1+((CA249*BH249)^2*(EXP(CG249^2*BT249)-1)+(CB249*BI249)^2*(EXP(CH249^2*BT249)-1)+(CC249*BJ249)^2*(EXP(CI249^2*BT249)-1)+2*CA249*BH249*CB249*BI249*(EXP(CG249*CH249*BT249)-1)+2*CB249*BI249*CC249*BJ249*(EXP(CH249*CI249*BT249)-1)+2*CC249*BJ249*CA249*BH249*(EXP(CI249*CG249*BT249)-1))/(CE249*BR249)^2)/BT249),0),"")</f>
        <v>#VALUE!</v>
      </c>
      <c r="CL249" s="1587" t="e">
        <f aca="false">IF(OR(BQ249,BS249),IF(OVolType&lt;&gt;2,SQRT(IF(OVolOverMonthlyOffPeak,OVolOverMonthlyOffPeak,IF(OVolCurve,IF(OBuySell,AD249,AF249),AE249))^2*(1-15/365.25/BT249)+IF(OVolOverDailyOffPeak,OVolOverDailyOffPeak,IF(OVolCurve,IF(OBuySell,AP249,AR249),AQ249))^2*15/365.25/BT249),IF(OVolOverMonthlyOffPeak,OVolOverMonthlyOffPeak,IF(OVolCurve,IF(OBuySell,AD249,AF249),AE249))),"")</f>
        <v>#VALUE!</v>
      </c>
      <c r="CM249" s="1587" t="e">
        <f aca="false">IF(BQ249,SQRT(LN(1+((BY249*BP249)^2*(EXP(CJ249^2*BT249)-1)+(BX249*BC249)^2*(EXP(CL249^2*BT249)-1)+2*BY249*BP249*BX249*BC249*(EXP(AS249*CJ249*CL249*BT249)-1))/(BY249*BP249+BX249*BC249)^2)/BT249),"")</f>
        <v>#VALUE!</v>
      </c>
      <c r="CN249" s="1588" t="e">
        <f aca="false">IF(BS249,SQRT(LN(1+((CE249*BR249)^2*(EXP(CK249^2*BT249)-1)+(CD249*BK249)^2*(EXP(CL249^2*BT249)-1)+2*CE249*BR249*CD249*BK249*(EXP(AS249*CK249*CL249*BT249)-1))/(CE249*BR249+CD249*BK249)^2)/BT249),"")</f>
        <v>#VALUE!</v>
      </c>
      <c r="CO249" s="1531" t="e">
        <f aca="false">IF(OR(BQ249,BS249),VLOOKUP(A249,GasTable,13)*HeatRatePeak*(1+VLOOKUP($B249,HeatRateDegradation,$C249+1))/1000,0)</f>
        <v>#VALUE!</v>
      </c>
      <c r="CP249" s="1316" t="e">
        <f aca="false">IF(OR(BQ249,BS249),VLOOKUP(A249,GasTable,13)*HeatRatePeak*(1+VLOOKUP($B249,HeatRateDegradation,$C249+1))/1000,0)</f>
        <v>#VALUE!</v>
      </c>
      <c r="CQ249" s="1316" t="e">
        <f aca="false">IF(OR(BQ249,BS249),VLOOKUP(A249,GasTable,13)*IF(EV249,HeatRatePeak,HeatRateOffPeak)*(1+VLOOKUP($B249,HeatRateDegradation,$C249+1))/1000,0)</f>
        <v>#VALUE!</v>
      </c>
      <c r="CR249" s="1316" t="e">
        <f aca="false">IF(OR(BQ249,BS249),VLOOKUP(A249,GasTable,13)*IF(EW249,HeatRatePeak,HeatRateOffPeak)*(1+VLOOKUP($B249,HeatRateDegradation,$C249+1))/1000,0)</f>
        <v>#VALUE!</v>
      </c>
      <c r="CS249" s="1589" t="e">
        <f aca="false">IF(BQ249,(CO249*AZ249+CP249*BA249+CQ249*BB249+CR249*BC249)/BQ249,0)</f>
        <v>#VALUE!</v>
      </c>
      <c r="CT249" s="1316" t="e">
        <f aca="false">IF(BS249,CO249,0)</f>
        <v>#VALUE!</v>
      </c>
      <c r="CU249" s="1590" t="e">
        <f aca="false">IF(OR(BQ249,BS249),VLOOKUP(A249,GasTable,14),"")</f>
        <v>#VALUE!</v>
      </c>
      <c r="CV249" s="1568" t="e">
        <f aca="false">IF(OR(BQ249,BS249),IF(CorrPowerGasOverFlag,INDEX(CorrPowerGasOver,C249),CorrPowerGas),"")</f>
        <v>#VALUE!</v>
      </c>
      <c r="CW249" s="1316" t="e">
        <f aca="false">IF(OR($BQ249,$BS249),SpreadOptPowerMargin,0)*((1+Assumptions!$C$26)^($B249-YEAR(Assumptions!$C$17)))</f>
        <v>#VALUE!</v>
      </c>
      <c r="CX249" s="1316" t="e">
        <f aca="false">IF(OR($BQ249,$BS249),SpreadOptPowerMargin,0)*((1+Assumptions!$C$26)^($B249-YEAR(Assumptions!$C$17)))</f>
        <v>#VALUE!</v>
      </c>
      <c r="CY249" s="1316" t="e">
        <f aca="false">IF(OR($BQ249,$BS249),SpreadOptPowerMargin,0)*((1+Assumptions!$C$26)^($B249-YEAR(Assumptions!$C$17)))</f>
        <v>#VALUE!</v>
      </c>
      <c r="CZ249" s="1316" t="e">
        <f aca="false">IF(OR($BQ249,$BS249),SpreadOptPowerMargin,0)*((1+Assumptions!$C$26)^($B249-YEAR(Assumptions!$C$17)))</f>
        <v>#VALUE!</v>
      </c>
      <c r="DA249" s="1591" t="e">
        <f aca="false">IF(OR(BQ249,BS249),(CW249*(AZ249+BH249)+CX249*(BA249+BI249)+CY249*(BB249+BJ249)+CZ249*(BC249+BK249))/(BQ249+BS249),0)</f>
        <v>#VALUE!</v>
      </c>
      <c r="DB249" s="1592" t="e">
        <f aca="false">IF(OR(BQ249,BS249),CG249+IF(OVolSmile,VLOOKUP(MAX(-5,CO249+CW249-BU249),IF(OVolSmile=1,VolSmileBook,VolSmileModel),2),0),"")</f>
        <v>#VALUE!</v>
      </c>
      <c r="DC249" s="1592" t="e">
        <f aca="false">IF(OR(BQ249,BS249),CH249+IF(OVolSmile,VLOOKUP(MAX(-5,CP249+CW249-BV249),IF(OVolSmile=1,VolSmileBook,VolSmileModel),2),0),"")</f>
        <v>#VALUE!</v>
      </c>
      <c r="DD249" s="1592" t="e">
        <f aca="false">IF(OR(BQ249,BS249),CI249+IF(OVolSmile,VLOOKUP(MAX(-5,CQ249+CW249-BW249),IF(OVolSmile=1,VolSmileBook,VolSmileModel),2),0),"")</f>
        <v>#VALUE!</v>
      </c>
      <c r="DE249" s="1592" t="e">
        <f aca="false">IF(OR(BQ249,BS249),CL249+IF(OVolSmile,VLOOKUP(MAX(-5,CR249+CZ249-BX249),IF(OVolSmile=1,VolSmileBook,VolSmileModel),2),0),"")</f>
        <v>#VALUE!</v>
      </c>
      <c r="DF249" s="1592" t="e">
        <f aca="false">IF(BQ249,CM249+IF(OVolSmile,VLOOKUP(MAX(-5,CS249+DA249-BZ249),IF(OVolSmile=1,VolSmileBook,VolSmileModel),2),0),"")</f>
        <v>#VALUE!</v>
      </c>
      <c r="DG249" s="1593" t="e">
        <f aca="false">IF(BS249,CN249+IF(OVolSmile,VLOOKUP(MAX(-5,CT249+DA249-CF249),IF(OVolSmile=1,VolSmileBook,VolSmileModel),2),0),"")</f>
        <v>#VALUE!</v>
      </c>
      <c r="DH249" s="1316" t="e">
        <f aca="false">IF(AND(BU249&gt;0,CO249&gt;0,DB249&gt;0,CU249&gt;0),newSPRDOPT(BU249,CO249,CW249,0,DB249,CU249,CV249,BT249*365.25,OCallPut,0),0)</f>
        <v>#VALUE!</v>
      </c>
      <c r="DI249" s="1316" t="e">
        <f aca="false">IF(AND(BV249&gt;0,CP249&gt;0,DC249&gt;0,CU249&gt;0),newSPRDOPT(BV249,CP249,CX249,0,DC249,CU249,CV249,BT249*365.25,OCallPut,0),0)</f>
        <v>#VALUE!</v>
      </c>
      <c r="DJ249" s="1316" t="e">
        <f aca="false">IF(AND(BW249&gt;0,CQ249&gt;0,DD249&gt;0,CU249&gt;0),newSPRDOPT(BW249,CQ249,CY249,0,DD249,CU249,CV249,BT249*365.25,OCallPut,0),0)</f>
        <v>#VALUE!</v>
      </c>
      <c r="DK249" s="1316" t="e">
        <f aca="false">IF(AND(BX249&gt;0,CR249&gt;0,DE249&gt;0,CU249&gt;0),newSPRDOPT(BX249,CR249,CZ249,0,DE249,CU249,CV249,BT249*365.25,OCallPut,0),0)</f>
        <v>#VALUE!</v>
      </c>
      <c r="DL249" s="1316" t="e">
        <f aca="false">IF(OVolType,IF(AND(BZ249&gt;0,CS249&gt;0,DF249&gt;0,CU249&gt;0),newSPRDOPT(BZ249,CS249,DA249,0,DF249,CU249,CV249,BT249*365.25,OCallPut,0),0),IF(BQ249,(DH249*AZ249+DI249*BA249+DJ249*BB249+DK249*BC249)/BQ249,0))</f>
        <v>#VALUE!</v>
      </c>
      <c r="DM249" s="1316"/>
      <c r="DN249" s="1316"/>
      <c r="DO249" s="1316"/>
      <c r="DP249" s="1316"/>
      <c r="DQ249" s="1316"/>
      <c r="DR249" s="1316"/>
      <c r="DS249" s="1316"/>
      <c r="DT249" s="1316"/>
      <c r="DU249" s="1316"/>
      <c r="DV249" s="1316"/>
      <c r="DW249" s="1594" t="e">
        <f aca="false">IF(AND(BW249&gt;0,CT249&gt;0,DD249&gt;0,CU249&gt;0),newSPRDOPT(BW249,CT249,CY249,0,DD249,CU249,CV249,BT249*365.25,OCallPut,0),0)</f>
        <v>#VALUE!</v>
      </c>
      <c r="DX249" s="1316" t="e">
        <f aca="false">IF(AND(BX249&gt;0,CT249&gt;0,DE249&gt;0,CU249&gt;0),newSPRDOPT(BX249,CT249,CZ249,0,DE249,CU249,CV249,BT249*365.25,OCallPut,0),0)</f>
        <v>#VALUE!</v>
      </c>
      <c r="DY249" s="1591" t="e">
        <f aca="false">IF(BS249,(DH249*BH249+DI249*BI249+DW249*BJ249+DX249*BK249)/BS249,0)</f>
        <v>#VALUE!</v>
      </c>
      <c r="DZ249" s="1551" t="e">
        <f aca="false">DH249*AZ249</f>
        <v>#VALUE!</v>
      </c>
      <c r="EA249" s="1551" t="e">
        <f aca="false">DI249*BA249</f>
        <v>#VALUE!</v>
      </c>
      <c r="EB249" s="1551" t="e">
        <f aca="false">DJ249*BB249</f>
        <v>#VALUE!</v>
      </c>
      <c r="EC249" s="1551" t="e">
        <f aca="false">DK249*BC249</f>
        <v>#VALUE!</v>
      </c>
      <c r="ED249" s="1551" t="e">
        <f aca="false">DL249*BQ249</f>
        <v>#VALUE!</v>
      </c>
      <c r="EE249" s="1595" t="e">
        <f aca="false">IF(BQ249,IF(OCallPut,IF(BU249&gt;(CO249+CW249),BU249-(CO249+CW249),0),IF((CO249+CW249)&gt;BU249,(CO249+CW249)-BU249,0))*AZ249,0)</f>
        <v>#VALUE!</v>
      </c>
      <c r="EF249" s="1596" t="e">
        <f aca="false">IF(BQ249,IF(OCallPut,IF(BV249&gt;(CP249+CX249),BV249-(CP249+CX249),0),IF((CP249+CX249)&gt;BV249,(CP249+CX249)-BV249,0))*BA249,0)</f>
        <v>#VALUE!</v>
      </c>
      <c r="EG249" s="1596" t="e">
        <f aca="false">IF(BQ249,IF(OCallPut,IF(BW249&gt;(CQ249+CY249),BW249-(CQ249+CY249),0),IF((CQ249+CY249)&gt;BW249,(CQ249+CY249)-BW249,0))*BB249,0)</f>
        <v>#VALUE!</v>
      </c>
      <c r="EH249" s="1596" t="e">
        <f aca="false">IF(BQ249,IF(OCallPut,IF(BX249&gt;(CR249+CZ249),BX249-(CR249+CZ249),0),IF((CR249+CZ249)&gt;BX249,(CR249+CZ249)-BX249,0))*BC249,0)</f>
        <v>#VALUE!</v>
      </c>
      <c r="EI249" s="1597" t="e">
        <f aca="false">IF(BQ249,IF(OVolType,IF(OCallPut,IF(BZ249&gt;(CS249+DA249),BZ249-(CS249+DA249),0),IF((CS249+DA249)&gt;BZ249,(CS249+DA249)-BZ249,0))*BQ249,SUM(EE249:EH249)),0)</f>
        <v>#VALUE!</v>
      </c>
      <c r="EJ249" s="1595" t="e">
        <f aca="false">DZ249-EE249</f>
        <v>#VALUE!</v>
      </c>
      <c r="EK249" s="1596" t="e">
        <f aca="false">EA249-EF249</f>
        <v>#VALUE!</v>
      </c>
      <c r="EL249" s="1596" t="e">
        <f aca="false">EB249-EG249</f>
        <v>#VALUE!</v>
      </c>
      <c r="EM249" s="1596" t="e">
        <f aca="false">EC249-EH249</f>
        <v>#VALUE!</v>
      </c>
      <c r="EN249" s="1597" t="e">
        <f aca="false">ED249-EI249</f>
        <v>#VALUE!</v>
      </c>
      <c r="EO249" s="1551" t="e">
        <f aca="false">DH249*BH249</f>
        <v>#VALUE!</v>
      </c>
      <c r="EP249" s="1551" t="e">
        <f aca="false">DI249*BI249</f>
        <v>#VALUE!</v>
      </c>
      <c r="EQ249" s="1551" t="e">
        <f aca="false">DW249*BJ249</f>
        <v>#VALUE!</v>
      </c>
      <c r="ER249" s="1551" t="e">
        <f aca="false">DX249*BK249</f>
        <v>#VALUE!</v>
      </c>
      <c r="ES249" s="1551" t="e">
        <f aca="false">DY249*BS249</f>
        <v>#VALUE!</v>
      </c>
      <c r="ET249" s="1566" t="e">
        <f aca="false">IF(EI249,IF(OCallPut,IF(CA249&gt;(CT249+CW249),CA249-(CT249+CW249),0),IF((CT249+CW249)&gt;CA249,(CT249+CW249)-CA249,0))*BH249,0)</f>
        <v>#VALUE!</v>
      </c>
      <c r="EU249" s="1551" t="e">
        <f aca="false">IF(EI249,IF(OCallPut,IF(CB249&gt;(CT249+CX249),CB249-(CT249+CX249),0),IF((CT249+CX249)&gt;CB249,(CT249+CX249)-CB249,0))*BI249,0)</f>
        <v>#VALUE!</v>
      </c>
      <c r="EV249" s="1551" t="e">
        <f aca="false">IF(EI249,IF(OCallPut,IF(CC249&gt;(CT249+CY249),CC249-(CT249+CY249),0),IF((CT249+CY249)&gt;CC249,(CT249+CY249)-CC249,0))*BJ249,0)</f>
        <v>#VALUE!</v>
      </c>
      <c r="EW249" s="1551" t="e">
        <f aca="false">IF(EI249,IF(OCallPut,IF(CD249&gt;(CT249+CZ249),CD249-(CT249+CZ249),0),IF((CT249+CZ249)&gt;CD249,(CT249+CZ249)-CD249,0))*BK249,0)</f>
        <v>#VALUE!</v>
      </c>
      <c r="EX249" s="1558" t="e">
        <f aca="false">IF(EI249,SUM(ET249:EW249),0)</f>
        <v>#VALUE!</v>
      </c>
      <c r="EY249" s="1551" t="e">
        <f aca="false">EO249-ET249</f>
        <v>#VALUE!</v>
      </c>
      <c r="EZ249" s="1551" t="e">
        <f aca="false">EP249-EU249</f>
        <v>#VALUE!</v>
      </c>
      <c r="FA249" s="1551" t="e">
        <f aca="false">EQ249-EV249</f>
        <v>#VALUE!</v>
      </c>
      <c r="FB249" s="1551" t="e">
        <f aca="false">ER249-EW249</f>
        <v>#VALUE!</v>
      </c>
      <c r="FC249" s="1551" t="e">
        <f aca="false">ES249-EX249</f>
        <v>#VALUE!</v>
      </c>
      <c r="FD249" s="1525" t="n">
        <f aca="false">IF(AX249,IF(VLOOKUP(C249,MAIN!$L$17:$M$28,2)="Yes",VLOOKUP(CALC!B249,MAIN!$H$17:$I$20,2),0),0)</f>
        <v>0</v>
      </c>
      <c r="FE249" s="1552" t="e">
        <f aca="false">$FD249*16*AT249*(1-$AY249)</f>
        <v>#VALUE!</v>
      </c>
      <c r="FF249" s="1553" t="e">
        <f aca="false">$FD249*16*AU249*(1-$AY249)</f>
        <v>#VALUE!</v>
      </c>
      <c r="FG249" s="1553" t="e">
        <f aca="false">$FD249*16*(AV249+AW249)*(1-$AY249)</f>
        <v>#VALUE!</v>
      </c>
      <c r="FH249" s="1554" t="n">
        <f aca="false">$FD249*8*AX249*(1-$AY249)</f>
        <v>0</v>
      </c>
      <c r="FI249" s="1555" t="n">
        <f aca="false">IF(AX249,VLOOKUP(CALC!B249,MAIN!$H$17:$K$20,4),0)</f>
        <v>0</v>
      </c>
      <c r="FJ249" s="1553" t="e">
        <f aca="false">SUM(FE249:FH249)</f>
        <v>#VALUE!</v>
      </c>
      <c r="FK249" s="1556" t="e">
        <f aca="false">FI249*FJ249</f>
        <v>#VALUE!</v>
      </c>
      <c r="FL249" s="1551" t="e">
        <f aca="false">IF($EI249&gt;0,MIN(FE249,AZ249*(1+VLOOKUP($C249,WeatherCapacityAdjustment,2))),0)</f>
        <v>#VALUE!</v>
      </c>
      <c r="FM249" s="1551" t="e">
        <f aca="false">IF($EI249&gt;0,MIN(FF249,BA249*(1+VLOOKUP($C249,WeatherCapacityAdjustment,2))),0)</f>
        <v>#VALUE!</v>
      </c>
      <c r="FN249" s="1551" t="e">
        <f aca="false">IF($EI249&gt;0,MIN(FG249,BB249*(1+VLOOKUP($C249,WeatherCapacityAdjustment,2))),0)</f>
        <v>#VALUE!</v>
      </c>
      <c r="FO249" s="1564" t="e">
        <f aca="false">IF($EI249&gt;0,MIN(FH249,BC249*(1+VLOOKUP($C249,WeatherCapacityAdjustment,3))),0)</f>
        <v>#VALUE!</v>
      </c>
      <c r="FP249" s="1551" t="e">
        <f aca="false">IF(ET249&gt;0,MIN(FE249-FL249,BH249*(1+VLOOKUP($C249,WeatherCapacityAdjustment,2))),0)</f>
        <v>#VALUE!</v>
      </c>
      <c r="FQ249" s="1551" t="e">
        <f aca="false">IF(EU249&gt;0,MIN(FF249-FM249,BI249*(1+VLOOKUP($C249,WeatherCapacityAdjustment,2))),0)</f>
        <v>#VALUE!</v>
      </c>
      <c r="FR249" s="1551" t="e">
        <f aca="false">IF(EV249&gt;0,MIN(FG249-FN249,BJ249*(1+VLOOKUP($C249,WeatherCapacityAdjustment,2))),0)</f>
        <v>#VALUE!</v>
      </c>
      <c r="FS249" s="1558" t="e">
        <f aca="false">IF(EW249&gt;0,MIN(FH249-FO249,BK249*(1+VLOOKUP($C249,WeatherCapacityAdjustment,3))),0)</f>
        <v>#VALUE!</v>
      </c>
      <c r="FT249" s="1566" t="e">
        <f aca="false">IF(AND(Assumptions!$H$71="Yes",A249&gt;=Assumptions!$H$72,A249&lt;=Assumptions!$H$73),0,IF(AND($A249&gt;=Assumptions!$C$17,$A249&lt;=Assumptions!$C$18),MAX(AZ249*(1+VLOOKUP($C249,WeatherCapacityAdjustment,2))-FL249,0),0))</f>
        <v>#VALUE!</v>
      </c>
      <c r="FU249" s="1551" t="e">
        <f aca="false">IF(AND(Assumptions!$H$71="Yes",A249&gt;=Assumptions!$H$72,A249&lt;=Assumptions!$H$73),0,IF(AND($A249&gt;=Assumptions!$C$17,$A249&lt;=Assumptions!$C$18),MAX(BA249*(1+VLOOKUP($C249,WeatherCapacityAdjustment,2))-FM249,0),0))</f>
        <v>#VALUE!</v>
      </c>
      <c r="FV249" s="1551" t="e">
        <f aca="false">IF(AND(Assumptions!$H$71="Yes",A249&gt;=Assumptions!$H$72,A249&lt;=Assumptions!$H$73),0,IF(AND($A249&gt;=Assumptions!$C$17,$A249&lt;=Assumptions!$C$18),MAX(BB249*(1+VLOOKUP($C249,WeatherCapacityAdjustment,2))-FN249,0),0))</f>
        <v>#VALUE!</v>
      </c>
      <c r="FW249" s="1564" t="e">
        <f aca="false">IF(AND(Assumptions!$H$71="Yes",A249&gt;=Assumptions!$H$72,A249&lt;=Assumptions!$H$73),0,IF(AND($A249&gt;=Assumptions!$C$17,$A249&lt;=Assumptions!$C$18),MAX(BC249*(1+VLOOKUP($C249,WeatherCapacityAdjustment,3))-FO249,0),0))</f>
        <v>#VALUE!</v>
      </c>
      <c r="FX249" s="1569" t="e">
        <f aca="false">IF(AND(Assumptions!$H$71="Yes",A249&gt;=Assumptions!$H$72,A249&lt;=Assumptions!$H$73),0,IF(ET249&gt;0,MAX(BH249*(1+VLOOKUP($C249,WeatherCapacityAdjustment,2))-FP249,0),0))</f>
        <v>#VALUE!</v>
      </c>
      <c r="FY249" s="1551" t="e">
        <f aca="false">IF(AND(Assumptions!$H$71="Yes",A249&gt;=Assumptions!$H$72,A249&lt;=Assumptions!$H$73),0,IF(EU249&gt;0,MAX(BI249*(1+VLOOKUP($C249,WeatherCapacityAdjustment,3))-FQ249,0),0))</f>
        <v>#VALUE!</v>
      </c>
      <c r="FZ249" s="1551" t="e">
        <f aca="false">IF(AND(Assumptions!$H$71="Yes",A249&gt;=Assumptions!$H$72,A249&lt;=Assumptions!$H$73),0,IF(EV249&gt;0,MAX(BJ249*(1+VLOOKUP($C249,WeatherCapacityAdjustment,2))-FR249,0),0))</f>
        <v>#VALUE!</v>
      </c>
      <c r="GA249" s="1564" t="e">
        <f aca="false">IF(AND(Assumptions!$H$71="Yes",A249&gt;=Assumptions!$H$72,A249&lt;=Assumptions!$H$73),0,IF(EW249&gt;0,MAX(BK249*(1+VLOOKUP($C249,WeatherCapacityAdjustment,2))-FS249,0),0))</f>
        <v>#VALUE!</v>
      </c>
      <c r="GB249" s="1551" t="e">
        <f aca="false">SUM(FT249:GA249)</f>
        <v>#VALUE!</v>
      </c>
      <c r="GC249" s="1563" t="e">
        <f aca="false">+IF(SUM(FT249:GA249)=0,0,(SUMPRODUCT(BU249:BX249,FT249:FW249)+SUMPRODUCT(CA249:CD249,FX249:GA249))/SUM(FT249:GA249))</f>
        <v>#VALUE!</v>
      </c>
      <c r="GD249" s="1551" t="e">
        <f aca="false">(FT249*BU249+FX249*CA249+FU249*BV249+FY249*CB249+FV249*BW249+FZ249*CC249+FW249*BX249+GA249*CD249)</f>
        <v>#VALUE!</v>
      </c>
      <c r="GE249" s="1561" t="e">
        <f aca="false">+IF(BQ249,((FL249+FM249+FT249+FU249)*HeatRatePeak/1000*(1+VLOOKUP($C249,WeatherHeatRateAdjustment,2))+(FN249+FV249)*IF(EV249&gt;0,HeatRatePeak,HeatRateOffPeak)/1000*(1+VLOOKUP($C249,WeatherHeatRateAdjustment,2))+(FO249+FW249)*IF(EW249&gt;0,HeatRatePeak,HeatRateOffPeak)/1000*(1+VLOOKUP($C249,WeatherHeatRateAdjustment,3)))*(1+VLOOKUP($B249,HeatRateDegradation,$C249+1)),0)</f>
        <v>#VALUE!</v>
      </c>
      <c r="GF249" s="1562" t="e">
        <f aca="false">IF(BQ249,((FP249+FQ249+FR249+FX249+FY249+FZ249)*HeatRatePeak/1000*(1+VLOOKUP($C249,WeatherHeatRateAdjustment,2))+(FS249+GA249)*HeatRatePeak/1000*(1+VLOOKUP($C249,WeatherHeatRateAdjustment,3)))*(1+VLOOKUP($B249,HeatRateDegradation,$C249+1)),0)</f>
        <v>#VALUE!</v>
      </c>
      <c r="GG249" s="1563" t="e">
        <f aca="false">IF(BQ249,VLOOKUP(A249,GasTable,13),0)</f>
        <v>#VALUE!</v>
      </c>
      <c r="GH249" s="1564" t="e">
        <f aca="false">(GE249+GF249)*GG249</f>
        <v>#VALUE!</v>
      </c>
      <c r="GI249" s="1569" t="e">
        <f aca="false">GB249</f>
        <v>#VALUE!</v>
      </c>
      <c r="GJ249" s="1598" t="e">
        <f aca="false">+DA249</f>
        <v>#VALUE!</v>
      </c>
      <c r="GK249" s="1558" t="e">
        <f aca="false">+GI249*GJ249</f>
        <v>#VALUE!</v>
      </c>
      <c r="GL249" s="1566" t="e">
        <f aca="false">MAX(FE249-FL249-FP249,0)</f>
        <v>#VALUE!</v>
      </c>
      <c r="GM249" s="1551" t="e">
        <f aca="false">MAX(FF249-FM249-FQ249,0)</f>
        <v>#VALUE!</v>
      </c>
      <c r="GN249" s="1551" t="e">
        <f aca="false">MAX(FG249-FN249-FR249,0)</f>
        <v>#VALUE!</v>
      </c>
      <c r="GO249" s="1564" t="e">
        <f aca="false">MAX(FH249-FO249-FS249,0)</f>
        <v>#VALUE!</v>
      </c>
      <c r="GP249" s="1551" t="e">
        <f aca="false">SUM(GL249:GO249)</f>
        <v>#VALUE!</v>
      </c>
      <c r="GQ249" s="1563" t="e">
        <f aca="false">IF(SUM(GL249:GO249)=0,0,((GL249*BU249+GM249*BV249+GN249*BW249+GO249*BX249)/SUM(GL249:GO249)))</f>
        <v>#VALUE!</v>
      </c>
      <c r="GR249" s="1558" t="e">
        <f aca="false">(GL249*BU249+GM249*BV249+GN249*BW249+GO249*BX249)</f>
        <v>#VALUE!</v>
      </c>
      <c r="GS249" s="1566" t="n">
        <f aca="false">IF($A249&gt;=BegDate,Assumptions!$C$56*24*($A250-$A249)*(1-VLOOKUP($B249,MAIN!$AA$7:$AM$28,$C249+1))*(1-VLOOKUP($B249,MAIN!$AA$33:$AM$54,$C249+1)),0)*80/168</f>
        <v>249428.571428571</v>
      </c>
      <c r="GT249" s="286" t="n">
        <f aca="false">J249</f>
        <v>72.7889875108825</v>
      </c>
      <c r="GU249" s="286" t="n">
        <f aca="false">IF($A249&gt;=BegDate,VLOOKUP($A249,GasTable,13)+Assumptions!$C$58,0)</f>
        <v>3.84634173712263</v>
      </c>
      <c r="GV249" s="286" t="n">
        <f aca="false">GU249*Assumptions!$C$57/1000</f>
        <v>27.8859775941391</v>
      </c>
      <c r="GW249" s="1558" t="n">
        <f aca="false">IF(Assumptions!$C$60="Hourly",MAX(0,GS249*(GT249-GV249)),GS249*(GT249-GV249))</f>
        <v>11200093.6163763</v>
      </c>
      <c r="GX249" s="1566" t="n">
        <f aca="false">IF($A249&gt;=BegDate,Assumptions!$C$56*24*($A250-$A249)*(1-VLOOKUP($B249,MAIN!$AA$7:$AM$28,$C249+1))*(1-VLOOKUP($B249,MAIN!$AA$33:$AM$54,$C249+1)),0)*16/168</f>
        <v>49885.7142857143</v>
      </c>
      <c r="GY249" s="286" t="n">
        <f aca="false">M249</f>
        <v>72.7889875108825</v>
      </c>
      <c r="GZ249" s="286" t="n">
        <f aca="false">IF($A249&gt;=BegDate,VLOOKUP($A249,GasTable,13)+Assumptions!$C$58,0)</f>
        <v>3.84634173712263</v>
      </c>
      <c r="HA249" s="286" t="n">
        <f aca="false">GZ249*Assumptions!$C$57/1000</f>
        <v>27.8859775941391</v>
      </c>
      <c r="HB249" s="1558" t="n">
        <f aca="false">IF(Assumptions!$C$60="Hourly",MAX(0,GX249*(GY249-HA249)),GX249*(GY249-HA249))</f>
        <v>2240018.72327526</v>
      </c>
      <c r="HC249" s="1566" t="n">
        <f aca="false">IF($A249&gt;=BegDate,Assumptions!$C$56*24*($A250-$A249)*(1-VLOOKUP($B249,MAIN!$AA$7:$AM$28,$C249+1))*(1-VLOOKUP($B249,MAIN!$AA$33:$AM$54,$C249+1)),0)*16/168</f>
        <v>49885.7142857143</v>
      </c>
      <c r="HD249" s="286" t="n">
        <f aca="false">P249</f>
        <v>34.9660904007777</v>
      </c>
      <c r="HE249" s="286" t="n">
        <f aca="false">IF($A249&gt;=BegDate,VLOOKUP($A249,GasTable,13)+Assumptions!$C$58,0)</f>
        <v>3.84634173712263</v>
      </c>
      <c r="HF249" s="286" t="n">
        <f aca="false">HE249*Assumptions!$C$57/1000</f>
        <v>27.8859775941391</v>
      </c>
      <c r="HG249" s="1558" t="n">
        <f aca="false">IF(Assumptions!$C$60="Hourly",MAX(0,HC249*(HD249-HF249)),HC249*(HD249-HF249))</f>
        <v>353196.484582603</v>
      </c>
      <c r="HH249" s="1566" t="n">
        <f aca="false">IF($A249&gt;=BegDate,Assumptions!$C$56*24*($A250-$A249)*(1-VLOOKUP($B249,MAIN!$AA$7:$AM$28,$C249+1))*(1-VLOOKUP($B249,MAIN!$AA$33:$AM$54,$C249+1)),0)*56/168</f>
        <v>174600</v>
      </c>
      <c r="HI249" s="286" t="n">
        <f aca="false">S249</f>
        <v>34.9660904007777</v>
      </c>
      <c r="HJ249" s="286" t="n">
        <f aca="false">IF($A249&gt;=BegDate,VLOOKUP($A249,GasTable,13)+Assumptions!$C$58,0)</f>
        <v>3.84634173712263</v>
      </c>
      <c r="HK249" s="286" t="n">
        <f aca="false">HJ249*Assumptions!$C$57/1000</f>
        <v>27.8859775941391</v>
      </c>
      <c r="HL249" s="1558" t="n">
        <f aca="false">IF(Assumptions!$C$60="Hourly",MAX(0,HH249*(HI249-HK249)),HH249*(HI249-HK249))</f>
        <v>1236187.69603911</v>
      </c>
      <c r="HM249" s="1566" t="n">
        <f aca="false">IF(AND(Assumptions!$H$71="Yes",A249&gt;=Assumptions!$H$72,A249&lt;=Assumptions!$H$73),Assumptions!$H$74*Assumptions!$C$9*1000,0)</f>
        <v>0</v>
      </c>
      <c r="HN249" s="1551"/>
      <c r="HO249" s="1563"/>
      <c r="HP249" s="1563"/>
      <c r="HQ249" s="1563"/>
      <c r="HR249" s="1563"/>
      <c r="HS249" s="1563"/>
      <c r="HT249" s="1563"/>
      <c r="HU249" s="1563"/>
      <c r="HV249" s="1563"/>
      <c r="HW249" s="1563"/>
      <c r="HX249" s="1563"/>
      <c r="HY249" s="1563"/>
      <c r="HZ249" s="1563"/>
      <c r="IA249" s="1563"/>
      <c r="IB249" s="1563"/>
      <c r="IC249" s="1563"/>
      <c r="ID249" s="1563"/>
      <c r="IE249" s="1563"/>
      <c r="IF249" s="1563"/>
      <c r="IG249" s="1563"/>
      <c r="IH249" s="1563"/>
      <c r="II249" s="1610"/>
      <c r="IJ249" s="1309"/>
      <c r="IK249" s="1309"/>
    </row>
    <row r="250" customFormat="false" ht="12.75" hidden="false" customHeight="false" outlineLevel="0" collapsed="false">
      <c r="A250" s="1571" t="n">
        <f aca="false">EOMONTH(A249,0)+1</f>
        <v>43739</v>
      </c>
      <c r="B250" s="594" t="n">
        <f aca="false">+YEAR(A250)</f>
        <v>2019</v>
      </c>
      <c r="C250" s="238" t="n">
        <f aca="false">MONTH(A250)</f>
        <v>10</v>
      </c>
      <c r="D250" s="1572" t="e">
        <f aca="false">IF(E250="","",Holiday(B250,C250))</f>
        <v>#VALUE!</v>
      </c>
      <c r="E250" s="1573" t="n">
        <f aca="false">IF(OR(BegDate&gt;=A251,EndDate&lt;A250,AND(VolumeMonthlyOverFlag,INDEX(VolumeMonthlyOver,C250)=0),NOT(INDEX(MonthKnockOutTable,C250))),"",MAX(A250,BegDate))</f>
        <v>43739</v>
      </c>
      <c r="F250" s="1574" t="n">
        <f aca="false">IF(E250="","",MIN(A251-1,EndDate))</f>
        <v>43769</v>
      </c>
      <c r="G250" s="1575" t="n">
        <v>0</v>
      </c>
      <c r="H250" s="1576" t="n">
        <f aca="false">(1+G250/2)^(-2*(DATE(B251,C251,20)-DateToday)/365.25)</f>
        <v>1</v>
      </c>
      <c r="I250" s="1568" t="n">
        <f aca="false">IF(Assumptions!$L$25=4,VLOOKUP($A250,'Henwood Reference'!$E$9:$R$320,10),(VLOOKUP($A250,PriceTable,2,0)+IF(BasisNumber&lt;&gt;1,VLOOKUP($A250,BasisTable,2,0),0)+I$1)/(1-I$2))</f>
        <v>58.944473894999</v>
      </c>
      <c r="J250" s="1568" t="n">
        <f aca="false">IF(Assumptions!$L$25=4,VLOOKUP($A250,'Henwood Reference'!$E$9:$R$320,10),(VLOOKUP($A250,PriceTable,3,0)+IF(BasisNumber&lt;&gt;1,VLOOKUP($A250,BasisTable,2,0),0)+J$1)/(1-J$2))</f>
        <v>58.944473894999</v>
      </c>
      <c r="K250" s="1568" t="n">
        <f aca="false">IF(Assumptions!$L$25=4,VLOOKUP($A250,'Henwood Reference'!$E$9:$R$320,10),(VLOOKUP($A250,PriceTable,4,0)+IF(BasisNumber&lt;&gt;1,VLOOKUP($A250,BasisTable,2,0),0)+K$1)/(1-K$2))</f>
        <v>58.944473894999</v>
      </c>
      <c r="L250" s="1523" t="n">
        <f aca="false">IF(Assumptions!$L$25=4,VLOOKUP($A250,'Henwood Reference'!$E$9:$R$320,10),(VLOOKUP($A250,PriceTableWeekend,2,0)+IF(BasisNumber&lt;&gt;1,VLOOKUP($A250,BasisTable,2,0),0)+L$1)/(1-L$2))</f>
        <v>58.944473894999</v>
      </c>
      <c r="M250" s="1568" t="n">
        <f aca="false">IF(Assumptions!$L$25=4,VLOOKUP($A250,'Henwood Reference'!$E$9:$R$320,10),(VLOOKUP($A250,PriceTableWeekend,3,0)+IF(BasisNumber&lt;&gt;1,VLOOKUP($A250,BasisTable,2,0),0)+M$1)/(1-M$2))</f>
        <v>58.944473894999</v>
      </c>
      <c r="N250" s="1599" t="n">
        <f aca="false">IF(Assumptions!$L$25=4,VLOOKUP($A250,'Henwood Reference'!$E$9:$R$320,10),(VLOOKUP($A250,PriceTableWeekend,4,0)+IF(BasisNumber&lt;&gt;1,VLOOKUP($A250,BasisTable,2,0),0)+N$1)/(1-N$2))</f>
        <v>58.944473894999</v>
      </c>
      <c r="O250" s="1568" t="n">
        <f aca="false">IF(Assumptions!$L$25=4,VLOOKUP($A250,'Henwood Reference'!$E$9:$R$320,11),(VLOOKUP($A250,PriceTableWeekend,6,0)+IF(BasisNumber&lt;&gt;1,VLOOKUP($A250,BasisTable,3,0),0)+O$1)/(1-O$2))</f>
        <v>32.8607068942405</v>
      </c>
      <c r="P250" s="1568" t="n">
        <f aca="false">IF(Assumptions!$L$25=4,VLOOKUP($A250,'Henwood Reference'!$E$9:$R$320,11),(VLOOKUP($A250,PriceTableWeekend,7,0)+IF(BasisNumber&lt;&gt;1,VLOOKUP($A250,BasisTable,3,0),0)+P$1)/(1-P$2))</f>
        <v>32.8607068942405</v>
      </c>
      <c r="Q250" s="1599" t="n">
        <f aca="false">IF(Assumptions!$L$25=4,VLOOKUP($A250,'Henwood Reference'!$E$9:$R$320,11),(VLOOKUP($A250,PriceTableWeekend,8,0)+IF(BasisNumber&lt;&gt;1,VLOOKUP($A250,BasisTable,3,0),0)+Q$1)/(1-Q$2))</f>
        <v>32.8607068942405</v>
      </c>
      <c r="R250" s="1568" t="n">
        <f aca="false">IF(Assumptions!$L$25=4,VLOOKUP($A250,'Henwood Reference'!$E$9:$R$320,11),(VLOOKUP($A250,PriceTable,6,0)+IF(BasisNumber&lt;&gt;1,VLOOKUP($A250,BasisTable,3,0),0)+R$1)/(1-R$2))</f>
        <v>32.8607068942405</v>
      </c>
      <c r="S250" s="1568" t="n">
        <f aca="false">IF(Assumptions!$L$25=4,VLOOKUP($A250,'Henwood Reference'!$E$9:$R$320,11),(VLOOKUP($A250,PriceTable,7,0)+IF(BasisNumber&lt;&gt;1,VLOOKUP($A250,BasisTable,3,0),0)+S$1)/(1-S$2))</f>
        <v>32.8607068942405</v>
      </c>
      <c r="T250" s="1600" t="n">
        <f aca="false">IF(Assumptions!$L$25=4,VLOOKUP($A250,'Henwood Reference'!$E$9:$R$320,11),(VLOOKUP($A250,PriceTable,8,0)+IF(BasisNumber&lt;&gt;1,VLOOKUP($A250,BasisTable,3,0),0)+T$1)/(1-T$2))</f>
        <v>32.8607068942405</v>
      </c>
      <c r="U250" s="1513" t="n">
        <f aca="false">VLOOKUP($A250,VolatilityTable,14)</f>
        <v>0.09</v>
      </c>
      <c r="V250" s="1513" t="n">
        <f aca="false">VLOOKUP($A250,VolatilityTable,15)</f>
        <v>0.1</v>
      </c>
      <c r="W250" s="1514" t="n">
        <f aca="false">VLOOKUP($A250,VolatilityTable,16)</f>
        <v>0.11</v>
      </c>
      <c r="X250" s="1513" t="n">
        <f aca="false">VLOOKUP($A250,VolatilityTable,14)</f>
        <v>0.09</v>
      </c>
      <c r="Y250" s="1513" t="n">
        <f aca="false">VLOOKUP($A250,VolatilityTable,15)</f>
        <v>0.1</v>
      </c>
      <c r="Z250" s="1514" t="n">
        <f aca="false">VLOOKUP($A250,VolatilityTable,16)</f>
        <v>0.11</v>
      </c>
      <c r="AA250" s="1513" t="n">
        <f aca="false">VLOOKUP($A250,VolatilityTable,18)</f>
        <v>0.09</v>
      </c>
      <c r="AB250" s="1513" t="n">
        <f aca="false">VLOOKUP($A250,VolatilityTable,19)</f>
        <v>0.11</v>
      </c>
      <c r="AC250" s="1514" t="n">
        <f aca="false">VLOOKUP($A250,VolatilityTable,20)</f>
        <v>0.13</v>
      </c>
      <c r="AD250" s="1513" t="n">
        <f aca="false">VLOOKUP($A250,VolatilityTable,18)</f>
        <v>0.09</v>
      </c>
      <c r="AE250" s="1513" t="n">
        <f aca="false">VLOOKUP($A250,VolatilityTable,19)</f>
        <v>0.11</v>
      </c>
      <c r="AF250" s="1514" t="n">
        <f aca="false">VLOOKUP($A250,VolatilityTable,20)</f>
        <v>0.13</v>
      </c>
      <c r="AG250" s="1513" t="n">
        <f aca="false">VLOOKUP($A250,VolatilityTable,22)</f>
        <v>-0.1</v>
      </c>
      <c r="AH250" s="1513" t="n">
        <f aca="false">VLOOKUP($A250,VolatilityTable,23)</f>
        <v>3</v>
      </c>
      <c r="AI250" s="1514" t="n">
        <f aca="false">VLOOKUP($A250,VolatilityTable,24)</f>
        <v>0.1</v>
      </c>
      <c r="AJ250" s="1513" t="n">
        <f aca="false">VLOOKUP($A250,VolatilityTable,22)</f>
        <v>-0.1</v>
      </c>
      <c r="AK250" s="1513" t="n">
        <f aca="false">VLOOKUP($A250,VolatilityTable,23)</f>
        <v>3</v>
      </c>
      <c r="AL250" s="1514" t="n">
        <f aca="false">VLOOKUP($A250,VolatilityTable,24)</f>
        <v>0.1</v>
      </c>
      <c r="AM250" s="1513" t="n">
        <f aca="false">VLOOKUP($A250,VolatilityTable,26)</f>
        <v>-0.01</v>
      </c>
      <c r="AN250" s="1513" t="n">
        <f aca="false">VLOOKUP($A250,VolatilityTable,27)</f>
        <v>0.16</v>
      </c>
      <c r="AO250" s="1514" t="n">
        <f aca="false">VLOOKUP($A250,VolatilityTable,28)</f>
        <v>0.01</v>
      </c>
      <c r="AP250" s="1513" t="n">
        <f aca="false">VLOOKUP($A250,VolatilityTable,26)</f>
        <v>-0.01</v>
      </c>
      <c r="AQ250" s="1513" t="n">
        <f aca="false">VLOOKUP($A250,VolatilityTable,27)</f>
        <v>0.16</v>
      </c>
      <c r="AR250" s="1515" t="n">
        <f aca="false">VLOOKUP($A250,VolatilityTable,28)</f>
        <v>0.01</v>
      </c>
      <c r="AS250" s="1581" t="n">
        <f aca="false">IF(CorrPeakOffPeakOverFlag,INDEX(CorrPeakOffPeakOver,C250),CorrPeakOffPeak)</f>
        <v>0.5</v>
      </c>
      <c r="AT250" s="594" t="e">
        <f aca="false">AX250-SUM(AU250:AW250)</f>
        <v>#VALUE!</v>
      </c>
      <c r="AU250" s="238" t="e">
        <f aca="false">IF(E250="",0,INT((F250-MOD(F250,7)-E250)/7)+1-IF(AW250,IF(WEEKDAY(D250)=7,1,0),0))</f>
        <v>#VALUE!</v>
      </c>
      <c r="AV250" s="238" t="e">
        <f aca="false">IF(E250="",0,INT((F250-MOD(F250-1,7)-E250)/7)+1-IF(AW250,IF(WEEKDAY(D250)=1,1,0),0))</f>
        <v>#VALUE!</v>
      </c>
      <c r="AW250" s="238" t="e">
        <f aca="false">IF(OR(E250="",D250="",D250&lt;BegDate,D250&gt;EndDate),0,1)</f>
        <v>#VALUE!</v>
      </c>
      <c r="AX250" s="238" t="n">
        <f aca="false">IF(E250="",0,F250-E250+1)</f>
        <v>31</v>
      </c>
      <c r="AY250" s="1582" t="n">
        <f aca="false">IF(E250="",0,MIN((1-(1-VLOOKUP(B250,MAIN!$AA$7:$AM$28,C250+1))*(1-VLOOKUP(B250,MAIN!$AA$33:$AM$54,C250+1))),1))</f>
        <v>0.03</v>
      </c>
      <c r="AZ250" s="1519" t="e">
        <v>#VALUE!</v>
      </c>
      <c r="BA250" s="1520" t="e">
        <v>#VALUE!</v>
      </c>
      <c r="BB250" s="1520" t="e">
        <v>#VALUE!</v>
      </c>
      <c r="BC250" s="1583" t="e">
        <v>#VALUE!</v>
      </c>
      <c r="BD250" s="1522" t="e">
        <v>#VALUE!</v>
      </c>
      <c r="BE250" s="1523" t="e">
        <v>#VALUE!</v>
      </c>
      <c r="BF250" s="1523" t="e">
        <v>#VALUE!</v>
      </c>
      <c r="BG250" s="1584" t="e">
        <v>#VALUE!</v>
      </c>
      <c r="BH250" s="1525" t="e">
        <v>#VALUE!</v>
      </c>
      <c r="BI250" s="1520" t="e">
        <v>#VALUE!</v>
      </c>
      <c r="BJ250" s="1520" t="e">
        <v>#VALUE!</v>
      </c>
      <c r="BK250" s="1583" t="e">
        <v>#VALUE!</v>
      </c>
      <c r="BL250" s="1522" t="e">
        <v>#VALUE!</v>
      </c>
      <c r="BM250" s="1523" t="e">
        <v>#VALUE!</v>
      </c>
      <c r="BN250" s="1523" t="e">
        <v>#VALUE!</v>
      </c>
      <c r="BO250" s="1523" t="e">
        <v>#VALUE!</v>
      </c>
      <c r="BP250" s="1525" t="e">
        <f aca="false">SUM(AZ250:BB250)</f>
        <v>#VALUE!</v>
      </c>
      <c r="BQ250" s="1529" t="e">
        <f aca="false">SUM(AZ250:BC250)</f>
        <v>#VALUE!</v>
      </c>
      <c r="BR250" s="1519" t="e">
        <f aca="false">SUM(BH250:BJ250)</f>
        <v>#VALUE!</v>
      </c>
      <c r="BS250" s="1529" t="e">
        <f aca="false">SUM(BH250:BK250)</f>
        <v>#VALUE!</v>
      </c>
      <c r="BT250" s="1316" t="n">
        <f aca="false">(IF(OVolType&lt;&gt;2,A250+14,IF(OptExpDateShift,ShiftBack(A250,OptExpDateShift,D249),A250))-DateToday)/365.25</f>
        <v>19.4633812457221</v>
      </c>
      <c r="BU250" s="1585" t="e">
        <f aca="false">IF(BQ250,IF(OPriceCurve,IF(OBuySell=OCallPut,I250/(1-AY250),K250/(1-AY250)),J250/(1-AY250))*BD250,0)</f>
        <v>#VALUE!</v>
      </c>
      <c r="BV250" s="1316" t="e">
        <f aca="false">IF(BQ250,IF(OPriceCurve,IF(OBuySell=OCallPut,L250/(1-AY250),N250/(1-AY250)),M250/(1-AY250))*BE250,0)</f>
        <v>#VALUE!</v>
      </c>
      <c r="BW250" s="1316" t="e">
        <f aca="false">IF(BQ250,IF(OPriceCurve,IF(OBuySell=OCallPut,O250/(1-AY250),Q250/(1-AY250)),P250/(1-AY250))*BF250,0)</f>
        <v>#VALUE!</v>
      </c>
      <c r="BX250" s="1316" t="e">
        <f aca="false">IF(BQ250,IF(OPriceCurve,IF(OBuySell=OCallPut,R250/(1-AY250),T250/(1-AY250)),S250/(1-AY250))*BG250,0)</f>
        <v>#VALUE!</v>
      </c>
      <c r="BY250" s="1316" t="e">
        <f aca="false">IF(BP250,(BU250*AZ250+BV250*BA250+BW250*BB250)/BP250,0)</f>
        <v>#VALUE!</v>
      </c>
      <c r="BZ250" s="1316" t="e">
        <f aca="false">IF(BQ250,(BY250*BP250+BX250*BC250)/BQ250,0)</f>
        <v>#VALUE!</v>
      </c>
      <c r="CA250" s="1531" t="e">
        <f aca="false">IF(BS250,IF(OPriceCurve,IF(OBuySell=OCallPut,I250/(1-AY250),K250/(1-AY250)),J250/(1-AY250))*BL250,0)</f>
        <v>#VALUE!</v>
      </c>
      <c r="CB250" s="1316" t="e">
        <f aca="false">IF(BS250,IF(OPriceCurve,IF(OBuySell=OCallPut,L250/(1-AY250),N250/(1-AY250)),M250/(1-AY250))*BM250,0)</f>
        <v>#VALUE!</v>
      </c>
      <c r="CC250" s="1316" t="e">
        <f aca="false">IF(BS250,IF(OPriceCurve,IF(OBuySell=OCallPut,O250/(1-AY250),Q250/(1-AY250)),P250/(1-AY250))*BN250,0)</f>
        <v>#VALUE!</v>
      </c>
      <c r="CD250" s="1316" t="e">
        <f aca="false">IF(BS250,IF(OPriceCurve,IF(OBuySell=OCallPut,R250/(1-AY250),T250/(1-AY250)),S250/(1-AY250))*BO250,0)</f>
        <v>#VALUE!</v>
      </c>
      <c r="CE250" s="1316" t="e">
        <f aca="false">IF(BR250,(BU250*BH250+BV250*BI250+BW250*BJ250)/BR250,0)</f>
        <v>#VALUE!</v>
      </c>
      <c r="CF250" s="1532" t="e">
        <f aca="false">IF(BS250,(CE250*BR250+CD250*BK250)/BS250,0)</f>
        <v>#VALUE!</v>
      </c>
      <c r="CG250" s="1586" t="e">
        <f aca="false">IF(OR(BQ250,BS250),IF(OVolType&lt;&gt;2,SQRT(IF(OVolOverMonthlyPeak,OVolOverMonthlyPeak,IF(OVolCurve,IF(OBuySell,U250,W250),V250))^2*(1-15/365.25/BT250)+IF(OVolOverDailyPeak,OVolOverDailyPeak,IF(OVolCurve,IF(OBuySell,AG250,AI250),AH250))^2*15/365.25/BT250),IF(OVolOverMonthlyPeak,OVolOverMonthlyPeak,IF(OVolCurve,IF(OBuySell,U250,W250),V250))),"")</f>
        <v>#VALUE!</v>
      </c>
      <c r="CH250" s="1587" t="e">
        <f aca="false">IF(OR(BQ250,BS250),IF(OVolType&lt;&gt;2,SQRT(IF(OVolOverMonthlyPeak,OVolOverMonthlyPeak,IF(OVolCurve,IF(OBuySell,X250,Z250),Y250))^2*(1-15/365.25/BT250)+IF(OVolOverDailyPeak,OVolOverDailyPeak,IF(OVolCurve,IF(OBuySell,AJ250,AL250),AK250))^2*15/365.25/BT250),IF(OVolOverMonthlyPeak,OVolOverMonthlyPeak,IF(OVolCurve,IF(OBuySell,X250,Z250),Y250))),"")</f>
        <v>#VALUE!</v>
      </c>
      <c r="CI250" s="1587" t="e">
        <f aca="false">IF(OR(BQ250,BS250),IF(OVolType&lt;&gt;2,SQRT(IF(OVolOverMonthlyPeak,OVolOverMonthlyPeak,IF(OVolCurve,IF(OBuySell,AA250,AC250),AB250))^2*(1-15/365.25/BT250)+IF(OVolOverDailyPeak,OVolOverDailyPeak,IF(OVolCurve,IF(OBuySell,AM250,AO250),AN250))^2*15/365.25/BT250),IF(OVolOverMonthlyPeak,OVolOverMonthlyPeak,IF(OVolCurve,IF(OBuySell,AA250,AC250),AB250))),"")</f>
        <v>#VALUE!</v>
      </c>
      <c r="CJ250" s="1587" t="e">
        <f aca="false">IF(BQ250,IF(BP250,SQRT(LN(1+((BU250*AZ250)^2*(EXP(CG250^2*BT250)-1)+(BV250*BA250)^2*(EXP(CH250^2*BT250)-1)+(BW250*BB250)^2*(EXP(CI250^2*BT250)-1)+2*BU250*AZ250*BV250*BA250*(EXP(CG250*CH250*BT250)-1)+2*BV250*BA250*BW250*BB250*(EXP(CH250*CI250*BT250)-1)+2*BW250*BB250*BU250*AZ250*(EXP(CI250*CG250*BT250)-1))/(BY250*BP250)^2)/BT250),0),"")</f>
        <v>#VALUE!</v>
      </c>
      <c r="CK250" s="1587" t="e">
        <f aca="false">IF(BS250,IF(BR250,SQRT(LN(1+((CA250*BH250)^2*(EXP(CG250^2*BT250)-1)+(CB250*BI250)^2*(EXP(CH250^2*BT250)-1)+(CC250*BJ250)^2*(EXP(CI250^2*BT250)-1)+2*CA250*BH250*CB250*BI250*(EXP(CG250*CH250*BT250)-1)+2*CB250*BI250*CC250*BJ250*(EXP(CH250*CI250*BT250)-1)+2*CC250*BJ250*CA250*BH250*(EXP(CI250*CG250*BT250)-1))/(CE250*BR250)^2)/BT250),0),"")</f>
        <v>#VALUE!</v>
      </c>
      <c r="CL250" s="1587" t="e">
        <f aca="false">IF(OR(BQ250,BS250),IF(OVolType&lt;&gt;2,SQRT(IF(OVolOverMonthlyOffPeak,OVolOverMonthlyOffPeak,IF(OVolCurve,IF(OBuySell,AD250,AF250),AE250))^2*(1-15/365.25/BT250)+IF(OVolOverDailyOffPeak,OVolOverDailyOffPeak,IF(OVolCurve,IF(OBuySell,AP250,AR250),AQ250))^2*15/365.25/BT250),IF(OVolOverMonthlyOffPeak,OVolOverMonthlyOffPeak,IF(OVolCurve,IF(OBuySell,AD250,AF250),AE250))),"")</f>
        <v>#VALUE!</v>
      </c>
      <c r="CM250" s="1587" t="e">
        <f aca="false">IF(BQ250,SQRT(LN(1+((BY250*BP250)^2*(EXP(CJ250^2*BT250)-1)+(BX250*BC250)^2*(EXP(CL250^2*BT250)-1)+2*BY250*BP250*BX250*BC250*(EXP(AS250*CJ250*CL250*BT250)-1))/(BY250*BP250+BX250*BC250)^2)/BT250),"")</f>
        <v>#VALUE!</v>
      </c>
      <c r="CN250" s="1588" t="e">
        <f aca="false">IF(BS250,SQRT(LN(1+((CE250*BR250)^2*(EXP(CK250^2*BT250)-1)+(CD250*BK250)^2*(EXP(CL250^2*BT250)-1)+2*CE250*BR250*CD250*BK250*(EXP(AS250*CK250*CL250*BT250)-1))/(CE250*BR250+CD250*BK250)^2)/BT250),"")</f>
        <v>#VALUE!</v>
      </c>
      <c r="CO250" s="1531" t="e">
        <f aca="false">IF(OR(BQ250,BS250),VLOOKUP(A250,GasTable,13)*HeatRatePeak*(1+VLOOKUP($B250,HeatRateDegradation,$C250+1))/1000,0)</f>
        <v>#VALUE!</v>
      </c>
      <c r="CP250" s="1316" t="e">
        <f aca="false">IF(OR(BQ250,BS250),VLOOKUP(A250,GasTable,13)*HeatRatePeak*(1+VLOOKUP($B250,HeatRateDegradation,$C250+1))/1000,0)</f>
        <v>#VALUE!</v>
      </c>
      <c r="CQ250" s="1316" t="e">
        <f aca="false">IF(OR(BQ250,BS250),VLOOKUP(A250,GasTable,13)*IF(EV250,HeatRatePeak,HeatRateOffPeak)*(1+VLOOKUP($B250,HeatRateDegradation,$C250+1))/1000,0)</f>
        <v>#VALUE!</v>
      </c>
      <c r="CR250" s="1316" t="e">
        <f aca="false">IF(OR(BQ250,BS250),VLOOKUP(A250,GasTable,13)*IF(EW250,HeatRatePeak,HeatRateOffPeak)*(1+VLOOKUP($B250,HeatRateDegradation,$C250+1))/1000,0)</f>
        <v>#VALUE!</v>
      </c>
      <c r="CS250" s="1589" t="e">
        <f aca="false">IF(BQ250,(CO250*AZ250+CP250*BA250+CQ250*BB250+CR250*BC250)/BQ250,0)</f>
        <v>#VALUE!</v>
      </c>
      <c r="CT250" s="1316" t="e">
        <f aca="false">IF(BS250,CO250,0)</f>
        <v>#VALUE!</v>
      </c>
      <c r="CU250" s="1590" t="e">
        <f aca="false">IF(OR(BQ250,BS250),VLOOKUP(A250,GasTable,14),"")</f>
        <v>#VALUE!</v>
      </c>
      <c r="CV250" s="1568" t="e">
        <f aca="false">IF(OR(BQ250,BS250),IF(CorrPowerGasOverFlag,INDEX(CorrPowerGasOver,C250),CorrPowerGas),"")</f>
        <v>#VALUE!</v>
      </c>
      <c r="CW250" s="1316" t="e">
        <f aca="false">IF(OR($BQ250,$BS250),SpreadOptPowerMargin,0)*((1+Assumptions!$C$26)^($B250-YEAR(Assumptions!$C$17)))</f>
        <v>#VALUE!</v>
      </c>
      <c r="CX250" s="1316" t="e">
        <f aca="false">IF(OR($BQ250,$BS250),SpreadOptPowerMargin,0)*((1+Assumptions!$C$26)^($B250-YEAR(Assumptions!$C$17)))</f>
        <v>#VALUE!</v>
      </c>
      <c r="CY250" s="1316" t="e">
        <f aca="false">IF(OR($BQ250,$BS250),SpreadOptPowerMargin,0)*((1+Assumptions!$C$26)^($B250-YEAR(Assumptions!$C$17)))</f>
        <v>#VALUE!</v>
      </c>
      <c r="CZ250" s="1316" t="e">
        <f aca="false">IF(OR($BQ250,$BS250),SpreadOptPowerMargin,0)*((1+Assumptions!$C$26)^($B250-YEAR(Assumptions!$C$17)))</f>
        <v>#VALUE!</v>
      </c>
      <c r="DA250" s="1591" t="e">
        <f aca="false">IF(OR(BQ250,BS250),(CW250*(AZ250+BH250)+CX250*(BA250+BI250)+CY250*(BB250+BJ250)+CZ250*(BC250+BK250))/(BQ250+BS250),0)</f>
        <v>#VALUE!</v>
      </c>
      <c r="DB250" s="1592" t="e">
        <f aca="false">IF(OR(BQ250,BS250),CG250+IF(OVolSmile,VLOOKUP(MAX(-5,CO250+CW250-BU250),IF(OVolSmile=1,VolSmileBook,VolSmileModel),2),0),"")</f>
        <v>#VALUE!</v>
      </c>
      <c r="DC250" s="1592" t="e">
        <f aca="false">IF(OR(BQ250,BS250),CH250+IF(OVolSmile,VLOOKUP(MAX(-5,CP250+CW250-BV250),IF(OVolSmile=1,VolSmileBook,VolSmileModel),2),0),"")</f>
        <v>#VALUE!</v>
      </c>
      <c r="DD250" s="1592" t="e">
        <f aca="false">IF(OR(BQ250,BS250),CI250+IF(OVolSmile,VLOOKUP(MAX(-5,CQ250+CW250-BW250),IF(OVolSmile=1,VolSmileBook,VolSmileModel),2),0),"")</f>
        <v>#VALUE!</v>
      </c>
      <c r="DE250" s="1592" t="e">
        <f aca="false">IF(OR(BQ250,BS250),CL250+IF(OVolSmile,VLOOKUP(MAX(-5,CR250+CZ250-BX250),IF(OVolSmile=1,VolSmileBook,VolSmileModel),2),0),"")</f>
        <v>#VALUE!</v>
      </c>
      <c r="DF250" s="1592" t="e">
        <f aca="false">IF(BQ250,CM250+IF(OVolSmile,VLOOKUP(MAX(-5,CS250+DA250-BZ250),IF(OVolSmile=1,VolSmileBook,VolSmileModel),2),0),"")</f>
        <v>#VALUE!</v>
      </c>
      <c r="DG250" s="1593" t="e">
        <f aca="false">IF(BS250,CN250+IF(OVolSmile,VLOOKUP(MAX(-5,CT250+DA250-CF250),IF(OVolSmile=1,VolSmileBook,VolSmileModel),2),0),"")</f>
        <v>#VALUE!</v>
      </c>
      <c r="DH250" s="1316" t="e">
        <f aca="false">IF(AND(BU250&gt;0,CO250&gt;0,DB250&gt;0,CU250&gt;0),newSPRDOPT(BU250,CO250,CW250,0,DB250,CU250,CV250,BT250*365.25,OCallPut,0),0)</f>
        <v>#VALUE!</v>
      </c>
      <c r="DI250" s="1316" t="e">
        <f aca="false">IF(AND(BV250&gt;0,CP250&gt;0,DC250&gt;0,CU250&gt;0),newSPRDOPT(BV250,CP250,CX250,0,DC250,CU250,CV250,BT250*365.25,OCallPut,0),0)</f>
        <v>#VALUE!</v>
      </c>
      <c r="DJ250" s="1316" t="e">
        <f aca="false">IF(AND(BW250&gt;0,CQ250&gt;0,DD250&gt;0,CU250&gt;0),newSPRDOPT(BW250,CQ250,CY250,0,DD250,CU250,CV250,BT250*365.25,OCallPut,0),0)</f>
        <v>#VALUE!</v>
      </c>
      <c r="DK250" s="1316" t="e">
        <f aca="false">IF(AND(BX250&gt;0,CR250&gt;0,DE250&gt;0,CU250&gt;0),newSPRDOPT(BX250,CR250,CZ250,0,DE250,CU250,CV250,BT250*365.25,OCallPut,0),0)</f>
        <v>#VALUE!</v>
      </c>
      <c r="DL250" s="1316" t="e">
        <f aca="false">IF(OVolType,IF(AND(BZ250&gt;0,CS250&gt;0,DF250&gt;0,CU250&gt;0),newSPRDOPT(BZ250,CS250,DA250,0,DF250,CU250,CV250,BT250*365.25,OCallPut,0),0),IF(BQ250,(DH250*AZ250+DI250*BA250+DJ250*BB250+DK250*BC250)/BQ250,0))</f>
        <v>#VALUE!</v>
      </c>
      <c r="DM250" s="1316"/>
      <c r="DN250" s="1316"/>
      <c r="DO250" s="1316"/>
      <c r="DP250" s="1316"/>
      <c r="DQ250" s="1316"/>
      <c r="DR250" s="1316"/>
      <c r="DS250" s="1316"/>
      <c r="DT250" s="1316"/>
      <c r="DU250" s="1316"/>
      <c r="DV250" s="1316"/>
      <c r="DW250" s="1594" t="e">
        <f aca="false">IF(AND(BW250&gt;0,CT250&gt;0,DD250&gt;0,CU250&gt;0),newSPRDOPT(BW250,CT250,CY250,0,DD250,CU250,CV250,BT250*365.25,OCallPut,0),0)</f>
        <v>#VALUE!</v>
      </c>
      <c r="DX250" s="1316" t="e">
        <f aca="false">IF(AND(BX250&gt;0,CT250&gt;0,DE250&gt;0,CU250&gt;0),newSPRDOPT(BX250,CT250,CZ250,0,DE250,CU250,CV250,BT250*365.25,OCallPut,0),0)</f>
        <v>#VALUE!</v>
      </c>
      <c r="DY250" s="1591" t="e">
        <f aca="false">IF(BS250,(DH250*BH250+DI250*BI250+DW250*BJ250+DX250*BK250)/BS250,0)</f>
        <v>#VALUE!</v>
      </c>
      <c r="DZ250" s="1551" t="e">
        <f aca="false">DH250*AZ250</f>
        <v>#VALUE!</v>
      </c>
      <c r="EA250" s="1551" t="e">
        <f aca="false">DI250*BA250</f>
        <v>#VALUE!</v>
      </c>
      <c r="EB250" s="1551" t="e">
        <f aca="false">DJ250*BB250</f>
        <v>#VALUE!</v>
      </c>
      <c r="EC250" s="1551" t="e">
        <f aca="false">DK250*BC250</f>
        <v>#VALUE!</v>
      </c>
      <c r="ED250" s="1551" t="e">
        <f aca="false">DL250*BQ250</f>
        <v>#VALUE!</v>
      </c>
      <c r="EE250" s="1595" t="e">
        <f aca="false">IF(BQ250,IF(OCallPut,IF(BU250&gt;(CO250+CW250),BU250-(CO250+CW250),0),IF((CO250+CW250)&gt;BU250,(CO250+CW250)-BU250,0))*AZ250,0)</f>
        <v>#VALUE!</v>
      </c>
      <c r="EF250" s="1596" t="e">
        <f aca="false">IF(BQ250,IF(OCallPut,IF(BV250&gt;(CP250+CX250),BV250-(CP250+CX250),0),IF((CP250+CX250)&gt;BV250,(CP250+CX250)-BV250,0))*BA250,0)</f>
        <v>#VALUE!</v>
      </c>
      <c r="EG250" s="1596" t="e">
        <f aca="false">IF(BQ250,IF(OCallPut,IF(BW250&gt;(CQ250+CY250),BW250-(CQ250+CY250),0),IF((CQ250+CY250)&gt;BW250,(CQ250+CY250)-BW250,0))*BB250,0)</f>
        <v>#VALUE!</v>
      </c>
      <c r="EH250" s="1596" t="e">
        <f aca="false">IF(BQ250,IF(OCallPut,IF(BX250&gt;(CR250+CZ250),BX250-(CR250+CZ250),0),IF((CR250+CZ250)&gt;BX250,(CR250+CZ250)-BX250,0))*BC250,0)</f>
        <v>#VALUE!</v>
      </c>
      <c r="EI250" s="1597" t="e">
        <f aca="false">IF(BQ250,IF(OVolType,IF(OCallPut,IF(BZ250&gt;(CS250+DA250),BZ250-(CS250+DA250),0),IF((CS250+DA250)&gt;BZ250,(CS250+DA250)-BZ250,0))*BQ250,SUM(EE250:EH250)),0)</f>
        <v>#VALUE!</v>
      </c>
      <c r="EJ250" s="1595" t="e">
        <f aca="false">DZ250-EE250</f>
        <v>#VALUE!</v>
      </c>
      <c r="EK250" s="1596" t="e">
        <f aca="false">EA250-EF250</f>
        <v>#VALUE!</v>
      </c>
      <c r="EL250" s="1596" t="e">
        <f aca="false">EB250-EG250</f>
        <v>#VALUE!</v>
      </c>
      <c r="EM250" s="1596" t="e">
        <f aca="false">EC250-EH250</f>
        <v>#VALUE!</v>
      </c>
      <c r="EN250" s="1597" t="e">
        <f aca="false">ED250-EI250</f>
        <v>#VALUE!</v>
      </c>
      <c r="EO250" s="1551" t="e">
        <f aca="false">DH250*BH250</f>
        <v>#VALUE!</v>
      </c>
      <c r="EP250" s="1551" t="e">
        <f aca="false">DI250*BI250</f>
        <v>#VALUE!</v>
      </c>
      <c r="EQ250" s="1551" t="e">
        <f aca="false">DW250*BJ250</f>
        <v>#VALUE!</v>
      </c>
      <c r="ER250" s="1551" t="e">
        <f aca="false">DX250*BK250</f>
        <v>#VALUE!</v>
      </c>
      <c r="ES250" s="1551" t="e">
        <f aca="false">DY250*BS250</f>
        <v>#VALUE!</v>
      </c>
      <c r="ET250" s="1566" t="e">
        <f aca="false">IF(EI250,IF(OCallPut,IF(CA250&gt;(CT250+CW250),CA250-(CT250+CW250),0),IF((CT250+CW250)&gt;CA250,(CT250+CW250)-CA250,0))*BH250,0)</f>
        <v>#VALUE!</v>
      </c>
      <c r="EU250" s="1551" t="e">
        <f aca="false">IF(EI250,IF(OCallPut,IF(CB250&gt;(CT250+CX250),CB250-(CT250+CX250),0),IF((CT250+CX250)&gt;CB250,(CT250+CX250)-CB250,0))*BI250,0)</f>
        <v>#VALUE!</v>
      </c>
      <c r="EV250" s="1551" t="e">
        <f aca="false">IF(EI250,IF(OCallPut,IF(CC250&gt;(CT250+CY250),CC250-(CT250+CY250),0),IF((CT250+CY250)&gt;CC250,(CT250+CY250)-CC250,0))*BJ250,0)</f>
        <v>#VALUE!</v>
      </c>
      <c r="EW250" s="1551" t="e">
        <f aca="false">IF(EI250,IF(OCallPut,IF(CD250&gt;(CT250+CZ250),CD250-(CT250+CZ250),0),IF((CT250+CZ250)&gt;CD250,(CT250+CZ250)-CD250,0))*BK250,0)</f>
        <v>#VALUE!</v>
      </c>
      <c r="EX250" s="1558" t="e">
        <f aca="false">IF(EI250,SUM(ET250:EW250),0)</f>
        <v>#VALUE!</v>
      </c>
      <c r="EY250" s="1551" t="e">
        <f aca="false">EO250-ET250</f>
        <v>#VALUE!</v>
      </c>
      <c r="EZ250" s="1551" t="e">
        <f aca="false">EP250-EU250</f>
        <v>#VALUE!</v>
      </c>
      <c r="FA250" s="1551" t="e">
        <f aca="false">EQ250-EV250</f>
        <v>#VALUE!</v>
      </c>
      <c r="FB250" s="1551" t="e">
        <f aca="false">ER250-EW250</f>
        <v>#VALUE!</v>
      </c>
      <c r="FC250" s="1551" t="e">
        <f aca="false">ES250-EX250</f>
        <v>#VALUE!</v>
      </c>
      <c r="FD250" s="1525" t="n">
        <f aca="false">IF(AX250,IF(VLOOKUP(C250,MAIN!$L$17:$M$28,2)="Yes",VLOOKUP(CALC!B250,MAIN!$H$17:$I$20,2),0),0)</f>
        <v>0</v>
      </c>
      <c r="FE250" s="1552" t="e">
        <f aca="false">$FD250*16*AT250*(1-$AY250)</f>
        <v>#VALUE!</v>
      </c>
      <c r="FF250" s="1553" t="e">
        <f aca="false">$FD250*16*AU250*(1-$AY250)</f>
        <v>#VALUE!</v>
      </c>
      <c r="FG250" s="1553" t="e">
        <f aca="false">$FD250*16*(AV250+AW250)*(1-$AY250)</f>
        <v>#VALUE!</v>
      </c>
      <c r="FH250" s="1554" t="n">
        <f aca="false">$FD250*8*AX250*(1-$AY250)</f>
        <v>0</v>
      </c>
      <c r="FI250" s="1555" t="n">
        <f aca="false">IF(AX250,VLOOKUP(CALC!B250,MAIN!$H$17:$K$20,4),0)</f>
        <v>0</v>
      </c>
      <c r="FJ250" s="1553" t="e">
        <f aca="false">SUM(FE250:FH250)</f>
        <v>#VALUE!</v>
      </c>
      <c r="FK250" s="1556" t="e">
        <f aca="false">FI250*FJ250</f>
        <v>#VALUE!</v>
      </c>
      <c r="FL250" s="1551" t="e">
        <f aca="false">IF($EI250&gt;0,MIN(FE250,AZ250*(1+VLOOKUP($C250,WeatherCapacityAdjustment,2))),0)</f>
        <v>#VALUE!</v>
      </c>
      <c r="FM250" s="1551" t="e">
        <f aca="false">IF($EI250&gt;0,MIN(FF250,BA250*(1+VLOOKUP($C250,WeatherCapacityAdjustment,2))),0)</f>
        <v>#VALUE!</v>
      </c>
      <c r="FN250" s="1551" t="e">
        <f aca="false">IF($EI250&gt;0,MIN(FG250,BB250*(1+VLOOKUP($C250,WeatherCapacityAdjustment,2))),0)</f>
        <v>#VALUE!</v>
      </c>
      <c r="FO250" s="1564" t="e">
        <f aca="false">IF($EI250&gt;0,MIN(FH250,BC250*(1+VLOOKUP($C250,WeatherCapacityAdjustment,3))),0)</f>
        <v>#VALUE!</v>
      </c>
      <c r="FP250" s="1551" t="e">
        <f aca="false">IF(ET250&gt;0,MIN(FE250-FL250,BH250*(1+VLOOKUP($C250,WeatherCapacityAdjustment,2))),0)</f>
        <v>#VALUE!</v>
      </c>
      <c r="FQ250" s="1551" t="e">
        <f aca="false">IF(EU250&gt;0,MIN(FF250-FM250,BI250*(1+VLOOKUP($C250,WeatherCapacityAdjustment,2))),0)</f>
        <v>#VALUE!</v>
      </c>
      <c r="FR250" s="1551" t="e">
        <f aca="false">IF(EV250&gt;0,MIN(FG250-FN250,BJ250*(1+VLOOKUP($C250,WeatherCapacityAdjustment,2))),0)</f>
        <v>#VALUE!</v>
      </c>
      <c r="FS250" s="1558" t="e">
        <f aca="false">IF(EW250&gt;0,MIN(FH250-FO250,BK250*(1+VLOOKUP($C250,WeatherCapacityAdjustment,3))),0)</f>
        <v>#VALUE!</v>
      </c>
      <c r="FT250" s="1566" t="e">
        <f aca="false">IF(AND(Assumptions!$H$71="Yes",A250&gt;=Assumptions!$H$72,A250&lt;=Assumptions!$H$73),0,IF(AND($A250&gt;=Assumptions!$C$17,$A250&lt;=Assumptions!$C$18),MAX(AZ250*(1+VLOOKUP($C250,WeatherCapacityAdjustment,2))-FL250,0),0))</f>
        <v>#VALUE!</v>
      </c>
      <c r="FU250" s="1551" t="e">
        <f aca="false">IF(AND(Assumptions!$H$71="Yes",A250&gt;=Assumptions!$H$72,A250&lt;=Assumptions!$H$73),0,IF(AND($A250&gt;=Assumptions!$C$17,$A250&lt;=Assumptions!$C$18),MAX(BA250*(1+VLOOKUP($C250,WeatherCapacityAdjustment,2))-FM250,0),0))</f>
        <v>#VALUE!</v>
      </c>
      <c r="FV250" s="1551" t="e">
        <f aca="false">IF(AND(Assumptions!$H$71="Yes",A250&gt;=Assumptions!$H$72,A250&lt;=Assumptions!$H$73),0,IF(AND($A250&gt;=Assumptions!$C$17,$A250&lt;=Assumptions!$C$18),MAX(BB250*(1+VLOOKUP($C250,WeatherCapacityAdjustment,2))-FN250,0),0))</f>
        <v>#VALUE!</v>
      </c>
      <c r="FW250" s="1564" t="e">
        <f aca="false">IF(AND(Assumptions!$H$71="Yes",A250&gt;=Assumptions!$H$72,A250&lt;=Assumptions!$H$73),0,IF(AND($A250&gt;=Assumptions!$C$17,$A250&lt;=Assumptions!$C$18),MAX(BC250*(1+VLOOKUP($C250,WeatherCapacityAdjustment,3))-FO250,0),0))</f>
        <v>#VALUE!</v>
      </c>
      <c r="FX250" s="1569" t="e">
        <f aca="false">IF(AND(Assumptions!$H$71="Yes",A250&gt;=Assumptions!$H$72,A250&lt;=Assumptions!$H$73),0,IF(ET250&gt;0,MAX(BH250*(1+VLOOKUP($C250,WeatherCapacityAdjustment,2))-FP250,0),0))</f>
        <v>#VALUE!</v>
      </c>
      <c r="FY250" s="1551" t="e">
        <f aca="false">IF(AND(Assumptions!$H$71="Yes",A250&gt;=Assumptions!$H$72,A250&lt;=Assumptions!$H$73),0,IF(EU250&gt;0,MAX(BI250*(1+VLOOKUP($C250,WeatherCapacityAdjustment,3))-FQ250,0),0))</f>
        <v>#VALUE!</v>
      </c>
      <c r="FZ250" s="1551" t="e">
        <f aca="false">IF(AND(Assumptions!$H$71="Yes",A250&gt;=Assumptions!$H$72,A250&lt;=Assumptions!$H$73),0,IF(EV250&gt;0,MAX(BJ250*(1+VLOOKUP($C250,WeatherCapacityAdjustment,2))-FR250,0),0))</f>
        <v>#VALUE!</v>
      </c>
      <c r="GA250" s="1564" t="e">
        <f aca="false">IF(AND(Assumptions!$H$71="Yes",A250&gt;=Assumptions!$H$72,A250&lt;=Assumptions!$H$73),0,IF(EW250&gt;0,MAX(BK250*(1+VLOOKUP($C250,WeatherCapacityAdjustment,2))-FS250,0),0))</f>
        <v>#VALUE!</v>
      </c>
      <c r="GB250" s="1551" t="e">
        <f aca="false">SUM(FT250:GA250)</f>
        <v>#VALUE!</v>
      </c>
      <c r="GC250" s="1563" t="e">
        <f aca="false">+IF(SUM(FT250:GA250)=0,0,(SUMPRODUCT(BU250:BX250,FT250:FW250)+SUMPRODUCT(CA250:CD250,FX250:GA250))/SUM(FT250:GA250))</f>
        <v>#VALUE!</v>
      </c>
      <c r="GD250" s="1551" t="e">
        <f aca="false">(FT250*BU250+FX250*CA250+FU250*BV250+FY250*CB250+FV250*BW250+FZ250*CC250+FW250*BX250+GA250*CD250)</f>
        <v>#VALUE!</v>
      </c>
      <c r="GE250" s="1561" t="e">
        <f aca="false">+IF(BQ250,((FL250+FM250+FT250+FU250)*HeatRatePeak/1000*(1+VLOOKUP($C250,WeatherHeatRateAdjustment,2))+(FN250+FV250)*IF(EV250&gt;0,HeatRatePeak,HeatRateOffPeak)/1000*(1+VLOOKUP($C250,WeatherHeatRateAdjustment,2))+(FO250+FW250)*IF(EW250&gt;0,HeatRatePeak,HeatRateOffPeak)/1000*(1+VLOOKUP($C250,WeatherHeatRateAdjustment,3)))*(1+VLOOKUP($B250,HeatRateDegradation,$C250+1)),0)</f>
        <v>#VALUE!</v>
      </c>
      <c r="GF250" s="1562" t="e">
        <f aca="false">IF(BQ250,((FP250+FQ250+FR250+FX250+FY250+FZ250)*HeatRatePeak/1000*(1+VLOOKUP($C250,WeatherHeatRateAdjustment,2))+(FS250+GA250)*HeatRatePeak/1000*(1+VLOOKUP($C250,WeatherHeatRateAdjustment,3)))*(1+VLOOKUP($B250,HeatRateDegradation,$C250+1)),0)</f>
        <v>#VALUE!</v>
      </c>
      <c r="GG250" s="1563" t="e">
        <f aca="false">IF(BQ250,VLOOKUP(A250,GasTable,13),0)</f>
        <v>#VALUE!</v>
      </c>
      <c r="GH250" s="1564" t="e">
        <f aca="false">(GE250+GF250)*GG250</f>
        <v>#VALUE!</v>
      </c>
      <c r="GI250" s="1569" t="e">
        <f aca="false">GB250</f>
        <v>#VALUE!</v>
      </c>
      <c r="GJ250" s="1598" t="e">
        <f aca="false">+DA250</f>
        <v>#VALUE!</v>
      </c>
      <c r="GK250" s="1558" t="e">
        <f aca="false">+GI250*GJ250</f>
        <v>#VALUE!</v>
      </c>
      <c r="GL250" s="1566" t="e">
        <f aca="false">MAX(FE250-FL250-FP250,0)</f>
        <v>#VALUE!</v>
      </c>
      <c r="GM250" s="1551" t="e">
        <f aca="false">MAX(FF250-FM250-FQ250,0)</f>
        <v>#VALUE!</v>
      </c>
      <c r="GN250" s="1551" t="e">
        <f aca="false">MAX(FG250-FN250-FR250,0)</f>
        <v>#VALUE!</v>
      </c>
      <c r="GO250" s="1564" t="e">
        <f aca="false">MAX(FH250-FO250-FS250,0)</f>
        <v>#VALUE!</v>
      </c>
      <c r="GP250" s="1551" t="e">
        <f aca="false">SUM(GL250:GO250)</f>
        <v>#VALUE!</v>
      </c>
      <c r="GQ250" s="1563" t="e">
        <f aca="false">IF(SUM(GL250:GO250)=0,0,((GL250*BU250+GM250*BV250+GN250*BW250+GO250*BX250)/SUM(GL250:GO250)))</f>
        <v>#VALUE!</v>
      </c>
      <c r="GR250" s="1558" t="e">
        <f aca="false">(GL250*BU250+GM250*BV250+GN250*BW250+GO250*BX250)</f>
        <v>#VALUE!</v>
      </c>
      <c r="GS250" s="1566" t="n">
        <f aca="false">IF($A250&gt;=BegDate,Assumptions!$C$56*24*($A251-$A250)*(1-VLOOKUP($B250,MAIN!$AA$7:$AM$28,$C250+1))*(1-VLOOKUP($B250,MAIN!$AA$33:$AM$54,$C250+1)),0)*80/168</f>
        <v>257742.857142857</v>
      </c>
      <c r="GT250" s="286" t="n">
        <f aca="false">J250</f>
        <v>58.944473894999</v>
      </c>
      <c r="GU250" s="286" t="n">
        <f aca="false">IF($A250&gt;=BegDate,VLOOKUP($A250,GasTable,13)+Assumptions!$C$58,0)</f>
        <v>4.01074214392202</v>
      </c>
      <c r="GV250" s="286" t="n">
        <f aca="false">GU250*Assumptions!$C$57/1000</f>
        <v>29.0778805434346</v>
      </c>
      <c r="GW250" s="1558" t="n">
        <f aca="false">IF(Assumptions!$C$60="Hourly",MAX(0,GS250*(GT250-GV250)),GS250*(GT250-GV250))</f>
        <v>7697901.10355607</v>
      </c>
      <c r="GX250" s="1566" t="n">
        <f aca="false">IF($A250&gt;=BegDate,Assumptions!$C$56*24*($A251-$A250)*(1-VLOOKUP($B250,MAIN!$AA$7:$AM$28,$C250+1))*(1-VLOOKUP($B250,MAIN!$AA$33:$AM$54,$C250+1)),0)*16/168</f>
        <v>51548.5714285714</v>
      </c>
      <c r="GY250" s="286" t="n">
        <f aca="false">M250</f>
        <v>58.944473894999</v>
      </c>
      <c r="GZ250" s="286" t="n">
        <f aca="false">IF($A250&gt;=BegDate,VLOOKUP($A250,GasTable,13)+Assumptions!$C$58,0)</f>
        <v>4.01074214392202</v>
      </c>
      <c r="HA250" s="286" t="n">
        <f aca="false">GZ250*Assumptions!$C$57/1000</f>
        <v>29.0778805434346</v>
      </c>
      <c r="HB250" s="1558" t="n">
        <f aca="false">IF(Assumptions!$C$60="Hourly",MAX(0,GX250*(GY250-HA250)),GX250*(GY250-HA250))</f>
        <v>1539580.22071121</v>
      </c>
      <c r="HC250" s="1566" t="n">
        <f aca="false">IF($A250&gt;=BegDate,Assumptions!$C$56*24*($A251-$A250)*(1-VLOOKUP($B250,MAIN!$AA$7:$AM$28,$C250+1))*(1-VLOOKUP($B250,MAIN!$AA$33:$AM$54,$C250+1)),0)*16/168</f>
        <v>51548.5714285714</v>
      </c>
      <c r="HD250" s="286" t="n">
        <f aca="false">P250</f>
        <v>32.8607068942405</v>
      </c>
      <c r="HE250" s="286" t="n">
        <f aca="false">IF($A250&gt;=BegDate,VLOOKUP($A250,GasTable,13)+Assumptions!$C$58,0)</f>
        <v>4.01074214392202</v>
      </c>
      <c r="HF250" s="286" t="n">
        <f aca="false">HE250*Assumptions!$C$57/1000</f>
        <v>29.0778805434346</v>
      </c>
      <c r="HG250" s="1558" t="n">
        <f aca="false">IF(Assumptions!$C$60="Hourly",MAX(0,HC250*(HD250-HF250)),HC250*(HD250-HF250))</f>
        <v>194999.294346402</v>
      </c>
      <c r="HH250" s="1566" t="n">
        <f aca="false">IF($A250&gt;=BegDate,Assumptions!$C$56*24*($A251-$A250)*(1-VLOOKUP($B250,MAIN!$AA$7:$AM$28,$C250+1))*(1-VLOOKUP($B250,MAIN!$AA$33:$AM$54,$C250+1)),0)*56/168</f>
        <v>180420</v>
      </c>
      <c r="HI250" s="286" t="n">
        <f aca="false">S250</f>
        <v>32.8607068942405</v>
      </c>
      <c r="HJ250" s="286" t="n">
        <f aca="false">IF($A250&gt;=BegDate,VLOOKUP($A250,GasTable,13)+Assumptions!$C$58,0)</f>
        <v>4.01074214392202</v>
      </c>
      <c r="HK250" s="286" t="n">
        <f aca="false">HJ250*Assumptions!$C$57/1000</f>
        <v>29.0778805434346</v>
      </c>
      <c r="HL250" s="1558" t="n">
        <f aca="false">IF(Assumptions!$C$60="Hourly",MAX(0,HH250*(HI250-HK250)),HH250*(HI250-HK250))</f>
        <v>682497.530212405</v>
      </c>
      <c r="HM250" s="1566" t="n">
        <f aca="false">IF(AND(Assumptions!$H$71="Yes",A250&gt;=Assumptions!$H$72,A250&lt;=Assumptions!$H$73),Assumptions!$H$74*Assumptions!$C$9*1000,0)</f>
        <v>0</v>
      </c>
      <c r="HN250" s="1551"/>
      <c r="HO250" s="1563"/>
      <c r="HP250" s="1563"/>
      <c r="HQ250" s="1563"/>
      <c r="HR250" s="1563"/>
      <c r="HS250" s="1563"/>
      <c r="HT250" s="1563"/>
      <c r="HU250" s="1563"/>
      <c r="HV250" s="1563"/>
      <c r="HW250" s="1563"/>
      <c r="HX250" s="1563"/>
      <c r="HY250" s="1563"/>
      <c r="HZ250" s="1563"/>
      <c r="IA250" s="1563"/>
      <c r="IB250" s="1563"/>
      <c r="IC250" s="1563"/>
      <c r="ID250" s="1563"/>
      <c r="IE250" s="1563"/>
      <c r="IF250" s="1563"/>
      <c r="IG250" s="1563"/>
      <c r="IH250" s="1563"/>
      <c r="II250" s="1610"/>
      <c r="IJ250" s="1309"/>
      <c r="IK250" s="1309"/>
    </row>
    <row r="251" customFormat="false" ht="12.75" hidden="false" customHeight="false" outlineLevel="0" collapsed="false">
      <c r="A251" s="1571" t="n">
        <f aca="false">EOMONTH(A250,0)+1</f>
        <v>43770</v>
      </c>
      <c r="B251" s="594" t="n">
        <f aca="false">+YEAR(A251)</f>
        <v>2019</v>
      </c>
      <c r="C251" s="238" t="n">
        <f aca="false">MONTH(A251)</f>
        <v>11</v>
      </c>
      <c r="D251" s="1572" t="e">
        <f aca="false">IF(E251="","",Holiday(B251,C251))</f>
        <v>#VALUE!</v>
      </c>
      <c r="E251" s="1573" t="n">
        <f aca="false">IF(OR(BegDate&gt;=A252,EndDate&lt;A251,AND(VolumeMonthlyOverFlag,INDEX(VolumeMonthlyOver,C251)=0),NOT(INDEX(MonthKnockOutTable,C251))),"",MAX(A251,BegDate))</f>
        <v>43770</v>
      </c>
      <c r="F251" s="1574" t="n">
        <f aca="false">IF(E251="","",MIN(A252-1,EndDate))</f>
        <v>43799</v>
      </c>
      <c r="G251" s="1575" t="n">
        <v>0</v>
      </c>
      <c r="H251" s="1576" t="n">
        <f aca="false">(1+G251/2)^(-2*(DATE(B252,C252,20)-DateToday)/365.25)</f>
        <v>1</v>
      </c>
      <c r="I251" s="1568" t="n">
        <f aca="false">IF(Assumptions!$L$25=4,VLOOKUP($A251,'Henwood Reference'!$E$9:$R$320,10),(VLOOKUP($A251,PriceTable,2,0)+IF(BasisNumber&lt;&gt;1,VLOOKUP($A251,BasisTable,2,0),0)+I$1)/(1-I$2))</f>
        <v>62.0503953148283</v>
      </c>
      <c r="J251" s="1568" t="n">
        <f aca="false">IF(Assumptions!$L$25=4,VLOOKUP($A251,'Henwood Reference'!$E$9:$R$320,10),(VLOOKUP($A251,PriceTable,3,0)+IF(BasisNumber&lt;&gt;1,VLOOKUP($A251,BasisTable,2,0),0)+J$1)/(1-J$2))</f>
        <v>62.0503953148283</v>
      </c>
      <c r="K251" s="1568" t="n">
        <f aca="false">IF(Assumptions!$L$25=4,VLOOKUP($A251,'Henwood Reference'!$E$9:$R$320,10),(VLOOKUP($A251,PriceTable,4,0)+IF(BasisNumber&lt;&gt;1,VLOOKUP($A251,BasisTable,2,0),0)+K$1)/(1-K$2))</f>
        <v>62.0503953148283</v>
      </c>
      <c r="L251" s="1523" t="n">
        <f aca="false">IF(Assumptions!$L$25=4,VLOOKUP($A251,'Henwood Reference'!$E$9:$R$320,10),(VLOOKUP($A251,PriceTableWeekend,2,0)+IF(BasisNumber&lt;&gt;1,VLOOKUP($A251,BasisTable,2,0),0)+L$1)/(1-L$2))</f>
        <v>62.0503953148283</v>
      </c>
      <c r="M251" s="1568" t="n">
        <f aca="false">IF(Assumptions!$L$25=4,VLOOKUP($A251,'Henwood Reference'!$E$9:$R$320,10),(VLOOKUP($A251,PriceTableWeekend,3,0)+IF(BasisNumber&lt;&gt;1,VLOOKUP($A251,BasisTable,2,0),0)+M$1)/(1-M$2))</f>
        <v>62.0503953148283</v>
      </c>
      <c r="N251" s="1599" t="n">
        <f aca="false">IF(Assumptions!$L$25=4,VLOOKUP($A251,'Henwood Reference'!$E$9:$R$320,10),(VLOOKUP($A251,PriceTableWeekend,4,0)+IF(BasisNumber&lt;&gt;1,VLOOKUP($A251,BasisTable,2,0),0)+N$1)/(1-N$2))</f>
        <v>62.0503953148283</v>
      </c>
      <c r="O251" s="1568" t="n">
        <f aca="false">IF(Assumptions!$L$25=4,VLOOKUP($A251,'Henwood Reference'!$E$9:$R$320,11),(VLOOKUP($A251,PriceTableWeekend,6,0)+IF(BasisNumber&lt;&gt;1,VLOOKUP($A251,BasisTable,3,0),0)+O$1)/(1-O$2))</f>
        <v>35.1515424630405</v>
      </c>
      <c r="P251" s="1568" t="n">
        <f aca="false">IF(Assumptions!$L$25=4,VLOOKUP($A251,'Henwood Reference'!$E$9:$R$320,11),(VLOOKUP($A251,PriceTableWeekend,7,0)+IF(BasisNumber&lt;&gt;1,VLOOKUP($A251,BasisTable,3,0),0)+P$1)/(1-P$2))</f>
        <v>35.1515424630405</v>
      </c>
      <c r="Q251" s="1599" t="n">
        <f aca="false">IF(Assumptions!$L$25=4,VLOOKUP($A251,'Henwood Reference'!$E$9:$R$320,11),(VLOOKUP($A251,PriceTableWeekend,8,0)+IF(BasisNumber&lt;&gt;1,VLOOKUP($A251,BasisTable,3,0),0)+Q$1)/(1-Q$2))</f>
        <v>35.1515424630405</v>
      </c>
      <c r="R251" s="1568" t="n">
        <f aca="false">IF(Assumptions!$L$25=4,VLOOKUP($A251,'Henwood Reference'!$E$9:$R$320,11),(VLOOKUP($A251,PriceTable,6,0)+IF(BasisNumber&lt;&gt;1,VLOOKUP($A251,BasisTable,3,0),0)+R$1)/(1-R$2))</f>
        <v>35.1515424630405</v>
      </c>
      <c r="S251" s="1568" t="n">
        <f aca="false">IF(Assumptions!$L$25=4,VLOOKUP($A251,'Henwood Reference'!$E$9:$R$320,11),(VLOOKUP($A251,PriceTable,7,0)+IF(BasisNumber&lt;&gt;1,VLOOKUP($A251,BasisTable,3,0),0)+S$1)/(1-S$2))</f>
        <v>35.1515424630405</v>
      </c>
      <c r="T251" s="1600" t="n">
        <f aca="false">IF(Assumptions!$L$25=4,VLOOKUP($A251,'Henwood Reference'!$E$9:$R$320,11),(VLOOKUP($A251,PriceTable,8,0)+IF(BasisNumber&lt;&gt;1,VLOOKUP($A251,BasisTable,3,0),0)+T$1)/(1-T$2))</f>
        <v>35.1515424630405</v>
      </c>
      <c r="U251" s="1513" t="n">
        <f aca="false">VLOOKUP($A251,VolatilityTable,14)</f>
        <v>0.09</v>
      </c>
      <c r="V251" s="1513" t="n">
        <f aca="false">VLOOKUP($A251,VolatilityTable,15)</f>
        <v>0.1</v>
      </c>
      <c r="W251" s="1514" t="n">
        <f aca="false">VLOOKUP($A251,VolatilityTable,16)</f>
        <v>0.11</v>
      </c>
      <c r="X251" s="1513" t="n">
        <f aca="false">VLOOKUP($A251,VolatilityTable,14)</f>
        <v>0.09</v>
      </c>
      <c r="Y251" s="1513" t="n">
        <f aca="false">VLOOKUP($A251,VolatilityTable,15)</f>
        <v>0.1</v>
      </c>
      <c r="Z251" s="1514" t="n">
        <f aca="false">VLOOKUP($A251,VolatilityTable,16)</f>
        <v>0.11</v>
      </c>
      <c r="AA251" s="1513" t="n">
        <f aca="false">VLOOKUP($A251,VolatilityTable,18)</f>
        <v>0.09</v>
      </c>
      <c r="AB251" s="1513" t="n">
        <f aca="false">VLOOKUP($A251,VolatilityTable,19)</f>
        <v>0.11</v>
      </c>
      <c r="AC251" s="1514" t="n">
        <f aca="false">VLOOKUP($A251,VolatilityTable,20)</f>
        <v>0.13</v>
      </c>
      <c r="AD251" s="1513" t="n">
        <f aca="false">VLOOKUP($A251,VolatilityTable,18)</f>
        <v>0.09</v>
      </c>
      <c r="AE251" s="1513" t="n">
        <f aca="false">VLOOKUP($A251,VolatilityTable,19)</f>
        <v>0.11</v>
      </c>
      <c r="AF251" s="1514" t="n">
        <f aca="false">VLOOKUP($A251,VolatilityTable,20)</f>
        <v>0.13</v>
      </c>
      <c r="AG251" s="1513" t="n">
        <f aca="false">VLOOKUP($A251,VolatilityTable,22)</f>
        <v>-0.1</v>
      </c>
      <c r="AH251" s="1513" t="n">
        <f aca="false">VLOOKUP($A251,VolatilityTable,23)</f>
        <v>0.6</v>
      </c>
      <c r="AI251" s="1514" t="n">
        <f aca="false">VLOOKUP($A251,VolatilityTable,24)</f>
        <v>0.1</v>
      </c>
      <c r="AJ251" s="1513" t="n">
        <f aca="false">VLOOKUP($A251,VolatilityTable,22)</f>
        <v>-0.1</v>
      </c>
      <c r="AK251" s="1513" t="n">
        <f aca="false">VLOOKUP($A251,VolatilityTable,23)</f>
        <v>0.6</v>
      </c>
      <c r="AL251" s="1514" t="n">
        <f aca="false">VLOOKUP($A251,VolatilityTable,24)</f>
        <v>0.1</v>
      </c>
      <c r="AM251" s="1513" t="n">
        <f aca="false">VLOOKUP($A251,VolatilityTable,26)</f>
        <v>-0.01</v>
      </c>
      <c r="AN251" s="1513" t="n">
        <f aca="false">VLOOKUP($A251,VolatilityTable,27)</f>
        <v>0.16</v>
      </c>
      <c r="AO251" s="1514" t="n">
        <f aca="false">VLOOKUP($A251,VolatilityTable,28)</f>
        <v>0.01</v>
      </c>
      <c r="AP251" s="1513" t="n">
        <f aca="false">VLOOKUP($A251,VolatilityTable,26)</f>
        <v>-0.01</v>
      </c>
      <c r="AQ251" s="1513" t="n">
        <f aca="false">VLOOKUP($A251,VolatilityTable,27)</f>
        <v>0.16</v>
      </c>
      <c r="AR251" s="1515" t="n">
        <f aca="false">VLOOKUP($A251,VolatilityTable,28)</f>
        <v>0.01</v>
      </c>
      <c r="AS251" s="1581" t="n">
        <f aca="false">IF(CorrPeakOffPeakOverFlag,INDEX(CorrPeakOffPeakOver,C251),CorrPeakOffPeak)</f>
        <v>0.5</v>
      </c>
      <c r="AT251" s="594" t="e">
        <f aca="false">AX251-SUM(AU251:AW251)</f>
        <v>#VALUE!</v>
      </c>
      <c r="AU251" s="238" t="e">
        <f aca="false">IF(E251="",0,INT((F251-MOD(F251,7)-E251)/7)+1-IF(AW251,IF(WEEKDAY(D251)=7,1,0),0))</f>
        <v>#VALUE!</v>
      </c>
      <c r="AV251" s="238" t="e">
        <f aca="false">IF(E251="",0,INT((F251-MOD(F251-1,7)-E251)/7)+1-IF(AW251,IF(WEEKDAY(D251)=1,1,0),0))</f>
        <v>#VALUE!</v>
      </c>
      <c r="AW251" s="238" t="e">
        <f aca="false">IF(OR(E251="",D251="",D251&lt;BegDate,D251&gt;EndDate),0,1)</f>
        <v>#VALUE!</v>
      </c>
      <c r="AX251" s="238" t="n">
        <f aca="false">IF(E251="",0,F251-E251+1)</f>
        <v>30</v>
      </c>
      <c r="AY251" s="1582" t="n">
        <f aca="false">IF(E251="",0,MIN((1-(1-VLOOKUP(B251,MAIN!$AA$7:$AM$28,C251+1))*(1-VLOOKUP(B251,MAIN!$AA$33:$AM$54,C251+1))),1))</f>
        <v>0.03</v>
      </c>
      <c r="AZ251" s="1519" t="e">
        <v>#VALUE!</v>
      </c>
      <c r="BA251" s="1520" t="e">
        <v>#VALUE!</v>
      </c>
      <c r="BB251" s="1520" t="e">
        <v>#VALUE!</v>
      </c>
      <c r="BC251" s="1583" t="e">
        <v>#VALUE!</v>
      </c>
      <c r="BD251" s="1522" t="e">
        <v>#VALUE!</v>
      </c>
      <c r="BE251" s="1523" t="e">
        <v>#VALUE!</v>
      </c>
      <c r="BF251" s="1523" t="e">
        <v>#VALUE!</v>
      </c>
      <c r="BG251" s="1584" t="e">
        <v>#VALUE!</v>
      </c>
      <c r="BH251" s="1525" t="e">
        <v>#VALUE!</v>
      </c>
      <c r="BI251" s="1520" t="e">
        <v>#VALUE!</v>
      </c>
      <c r="BJ251" s="1520" t="e">
        <v>#VALUE!</v>
      </c>
      <c r="BK251" s="1583" t="e">
        <v>#VALUE!</v>
      </c>
      <c r="BL251" s="1522" t="e">
        <v>#VALUE!</v>
      </c>
      <c r="BM251" s="1523" t="e">
        <v>#VALUE!</v>
      </c>
      <c r="BN251" s="1523" t="e">
        <v>#VALUE!</v>
      </c>
      <c r="BO251" s="1523" t="e">
        <v>#VALUE!</v>
      </c>
      <c r="BP251" s="1525" t="e">
        <f aca="false">SUM(AZ251:BB251)</f>
        <v>#VALUE!</v>
      </c>
      <c r="BQ251" s="1529" t="e">
        <f aca="false">SUM(AZ251:BC251)</f>
        <v>#VALUE!</v>
      </c>
      <c r="BR251" s="1519" t="e">
        <f aca="false">SUM(BH251:BJ251)</f>
        <v>#VALUE!</v>
      </c>
      <c r="BS251" s="1529" t="e">
        <f aca="false">SUM(BH251:BK251)</f>
        <v>#VALUE!</v>
      </c>
      <c r="BT251" s="1316" t="n">
        <f aca="false">(IF(OVolType&lt;&gt;2,A251+14,IF(OptExpDateShift,ShiftBack(A251,OptExpDateShift,D250),A251))-DateToday)/365.25</f>
        <v>19.5482546201232</v>
      </c>
      <c r="BU251" s="1585" t="e">
        <f aca="false">IF(BQ251,IF(OPriceCurve,IF(OBuySell=OCallPut,I251/(1-AY251),K251/(1-AY251)),J251/(1-AY251))*BD251,0)</f>
        <v>#VALUE!</v>
      </c>
      <c r="BV251" s="1316" t="e">
        <f aca="false">IF(BQ251,IF(OPriceCurve,IF(OBuySell=OCallPut,L251/(1-AY251),N251/(1-AY251)),M251/(1-AY251))*BE251,0)</f>
        <v>#VALUE!</v>
      </c>
      <c r="BW251" s="1316" t="e">
        <f aca="false">IF(BQ251,IF(OPriceCurve,IF(OBuySell=OCallPut,O251/(1-AY251),Q251/(1-AY251)),P251/(1-AY251))*BF251,0)</f>
        <v>#VALUE!</v>
      </c>
      <c r="BX251" s="1316" t="e">
        <f aca="false">IF(BQ251,IF(OPriceCurve,IF(OBuySell=OCallPut,R251/(1-AY251),T251/(1-AY251)),S251/(1-AY251))*BG251,0)</f>
        <v>#VALUE!</v>
      </c>
      <c r="BY251" s="1316" t="e">
        <f aca="false">IF(BP251,(BU251*AZ251+BV251*BA251+BW251*BB251)/BP251,0)</f>
        <v>#VALUE!</v>
      </c>
      <c r="BZ251" s="1316" t="e">
        <f aca="false">IF(BQ251,(BY251*BP251+BX251*BC251)/BQ251,0)</f>
        <v>#VALUE!</v>
      </c>
      <c r="CA251" s="1531" t="e">
        <f aca="false">IF(BS251,IF(OPriceCurve,IF(OBuySell=OCallPut,I251/(1-AY251),K251/(1-AY251)),J251/(1-AY251))*BL251,0)</f>
        <v>#VALUE!</v>
      </c>
      <c r="CB251" s="1316" t="e">
        <f aca="false">IF(BS251,IF(OPriceCurve,IF(OBuySell=OCallPut,L251/(1-AY251),N251/(1-AY251)),M251/(1-AY251))*BM251,0)</f>
        <v>#VALUE!</v>
      </c>
      <c r="CC251" s="1316" t="e">
        <f aca="false">IF(BS251,IF(OPriceCurve,IF(OBuySell=OCallPut,O251/(1-AY251),Q251/(1-AY251)),P251/(1-AY251))*BN251,0)</f>
        <v>#VALUE!</v>
      </c>
      <c r="CD251" s="1316" t="e">
        <f aca="false">IF(BS251,IF(OPriceCurve,IF(OBuySell=OCallPut,R251/(1-AY251),T251/(1-AY251)),S251/(1-AY251))*BO251,0)</f>
        <v>#VALUE!</v>
      </c>
      <c r="CE251" s="1316" t="e">
        <f aca="false">IF(BR251,(BU251*BH251+BV251*BI251+BW251*BJ251)/BR251,0)</f>
        <v>#VALUE!</v>
      </c>
      <c r="CF251" s="1532" t="e">
        <f aca="false">IF(BS251,(CE251*BR251+CD251*BK251)/BS251,0)</f>
        <v>#VALUE!</v>
      </c>
      <c r="CG251" s="1586" t="e">
        <f aca="false">IF(OR(BQ251,BS251),IF(OVolType&lt;&gt;2,SQRT(IF(OVolOverMonthlyPeak,OVolOverMonthlyPeak,IF(OVolCurve,IF(OBuySell,U251,W251),V251))^2*(1-15/365.25/BT251)+IF(OVolOverDailyPeak,OVolOverDailyPeak,IF(OVolCurve,IF(OBuySell,AG251,AI251),AH251))^2*15/365.25/BT251),IF(OVolOverMonthlyPeak,OVolOverMonthlyPeak,IF(OVolCurve,IF(OBuySell,U251,W251),V251))),"")</f>
        <v>#VALUE!</v>
      </c>
      <c r="CH251" s="1587" t="e">
        <f aca="false">IF(OR(BQ251,BS251),IF(OVolType&lt;&gt;2,SQRT(IF(OVolOverMonthlyPeak,OVolOverMonthlyPeak,IF(OVolCurve,IF(OBuySell,X251,Z251),Y251))^2*(1-15/365.25/BT251)+IF(OVolOverDailyPeak,OVolOverDailyPeak,IF(OVolCurve,IF(OBuySell,AJ251,AL251),AK251))^2*15/365.25/BT251),IF(OVolOverMonthlyPeak,OVolOverMonthlyPeak,IF(OVolCurve,IF(OBuySell,X251,Z251),Y251))),"")</f>
        <v>#VALUE!</v>
      </c>
      <c r="CI251" s="1587" t="e">
        <f aca="false">IF(OR(BQ251,BS251),IF(OVolType&lt;&gt;2,SQRT(IF(OVolOverMonthlyPeak,OVolOverMonthlyPeak,IF(OVolCurve,IF(OBuySell,AA251,AC251),AB251))^2*(1-15/365.25/BT251)+IF(OVolOverDailyPeak,OVolOverDailyPeak,IF(OVolCurve,IF(OBuySell,AM251,AO251),AN251))^2*15/365.25/BT251),IF(OVolOverMonthlyPeak,OVolOverMonthlyPeak,IF(OVolCurve,IF(OBuySell,AA251,AC251),AB251))),"")</f>
        <v>#VALUE!</v>
      </c>
      <c r="CJ251" s="1587" t="e">
        <f aca="false">IF(BQ251,IF(BP251,SQRT(LN(1+((BU251*AZ251)^2*(EXP(CG251^2*BT251)-1)+(BV251*BA251)^2*(EXP(CH251^2*BT251)-1)+(BW251*BB251)^2*(EXP(CI251^2*BT251)-1)+2*BU251*AZ251*BV251*BA251*(EXP(CG251*CH251*BT251)-1)+2*BV251*BA251*BW251*BB251*(EXP(CH251*CI251*BT251)-1)+2*BW251*BB251*BU251*AZ251*(EXP(CI251*CG251*BT251)-1))/(BY251*BP251)^2)/BT251),0),"")</f>
        <v>#VALUE!</v>
      </c>
      <c r="CK251" s="1587" t="e">
        <f aca="false">IF(BS251,IF(BR251,SQRT(LN(1+((CA251*BH251)^2*(EXP(CG251^2*BT251)-1)+(CB251*BI251)^2*(EXP(CH251^2*BT251)-1)+(CC251*BJ251)^2*(EXP(CI251^2*BT251)-1)+2*CA251*BH251*CB251*BI251*(EXP(CG251*CH251*BT251)-1)+2*CB251*BI251*CC251*BJ251*(EXP(CH251*CI251*BT251)-1)+2*CC251*BJ251*CA251*BH251*(EXP(CI251*CG251*BT251)-1))/(CE251*BR251)^2)/BT251),0),"")</f>
        <v>#VALUE!</v>
      </c>
      <c r="CL251" s="1587" t="e">
        <f aca="false">IF(OR(BQ251,BS251),IF(OVolType&lt;&gt;2,SQRT(IF(OVolOverMonthlyOffPeak,OVolOverMonthlyOffPeak,IF(OVolCurve,IF(OBuySell,AD251,AF251),AE251))^2*(1-15/365.25/BT251)+IF(OVolOverDailyOffPeak,OVolOverDailyOffPeak,IF(OVolCurve,IF(OBuySell,AP251,AR251),AQ251))^2*15/365.25/BT251),IF(OVolOverMonthlyOffPeak,OVolOverMonthlyOffPeak,IF(OVolCurve,IF(OBuySell,AD251,AF251),AE251))),"")</f>
        <v>#VALUE!</v>
      </c>
      <c r="CM251" s="1587" t="e">
        <f aca="false">IF(BQ251,SQRT(LN(1+((BY251*BP251)^2*(EXP(CJ251^2*BT251)-1)+(BX251*BC251)^2*(EXP(CL251^2*BT251)-1)+2*BY251*BP251*BX251*BC251*(EXP(AS251*CJ251*CL251*BT251)-1))/(BY251*BP251+BX251*BC251)^2)/BT251),"")</f>
        <v>#VALUE!</v>
      </c>
      <c r="CN251" s="1588" t="e">
        <f aca="false">IF(BS251,SQRT(LN(1+((CE251*BR251)^2*(EXP(CK251^2*BT251)-1)+(CD251*BK251)^2*(EXP(CL251^2*BT251)-1)+2*CE251*BR251*CD251*BK251*(EXP(AS251*CK251*CL251*BT251)-1))/(CE251*BR251+CD251*BK251)^2)/BT251),"")</f>
        <v>#VALUE!</v>
      </c>
      <c r="CO251" s="1531" t="e">
        <f aca="false">IF(OR(BQ251,BS251),VLOOKUP(A251,GasTable,13)*HeatRatePeak*(1+VLOOKUP($B251,HeatRateDegradation,$C251+1))/1000,0)</f>
        <v>#VALUE!</v>
      </c>
      <c r="CP251" s="1316" t="e">
        <f aca="false">IF(OR(BQ251,BS251),VLOOKUP(A251,GasTable,13)*HeatRatePeak*(1+VLOOKUP($B251,HeatRateDegradation,$C251+1))/1000,0)</f>
        <v>#VALUE!</v>
      </c>
      <c r="CQ251" s="1316" t="e">
        <f aca="false">IF(OR(BQ251,BS251),VLOOKUP(A251,GasTable,13)*IF(EV251,HeatRatePeak,HeatRateOffPeak)*(1+VLOOKUP($B251,HeatRateDegradation,$C251+1))/1000,0)</f>
        <v>#VALUE!</v>
      </c>
      <c r="CR251" s="1316" t="e">
        <f aca="false">IF(OR(BQ251,BS251),VLOOKUP(A251,GasTable,13)*IF(EW251,HeatRatePeak,HeatRateOffPeak)*(1+VLOOKUP($B251,HeatRateDegradation,$C251+1))/1000,0)</f>
        <v>#VALUE!</v>
      </c>
      <c r="CS251" s="1589" t="e">
        <f aca="false">IF(BQ251,(CO251*AZ251+CP251*BA251+CQ251*BB251+CR251*BC251)/BQ251,0)</f>
        <v>#VALUE!</v>
      </c>
      <c r="CT251" s="1316" t="e">
        <f aca="false">IF(BS251,CO251,0)</f>
        <v>#VALUE!</v>
      </c>
      <c r="CU251" s="1590" t="e">
        <f aca="false">IF(OR(BQ251,BS251),VLOOKUP(A251,GasTable,14),"")</f>
        <v>#VALUE!</v>
      </c>
      <c r="CV251" s="1568" t="e">
        <f aca="false">IF(OR(BQ251,BS251),IF(CorrPowerGasOverFlag,INDEX(CorrPowerGasOver,C251),CorrPowerGas),"")</f>
        <v>#VALUE!</v>
      </c>
      <c r="CW251" s="1316" t="e">
        <f aca="false">IF(OR($BQ251,$BS251),SpreadOptPowerMargin,0)*((1+Assumptions!$C$26)^($B251-YEAR(Assumptions!$C$17)))</f>
        <v>#VALUE!</v>
      </c>
      <c r="CX251" s="1316" t="e">
        <f aca="false">IF(OR($BQ251,$BS251),SpreadOptPowerMargin,0)*((1+Assumptions!$C$26)^($B251-YEAR(Assumptions!$C$17)))</f>
        <v>#VALUE!</v>
      </c>
      <c r="CY251" s="1316" t="e">
        <f aca="false">IF(OR($BQ251,$BS251),SpreadOptPowerMargin,0)*((1+Assumptions!$C$26)^($B251-YEAR(Assumptions!$C$17)))</f>
        <v>#VALUE!</v>
      </c>
      <c r="CZ251" s="1316" t="e">
        <f aca="false">IF(OR($BQ251,$BS251),SpreadOptPowerMargin,0)*((1+Assumptions!$C$26)^($B251-YEAR(Assumptions!$C$17)))</f>
        <v>#VALUE!</v>
      </c>
      <c r="DA251" s="1591" t="e">
        <f aca="false">IF(OR(BQ251,BS251),(CW251*(AZ251+BH251)+CX251*(BA251+BI251)+CY251*(BB251+BJ251)+CZ251*(BC251+BK251))/(BQ251+BS251),0)</f>
        <v>#VALUE!</v>
      </c>
      <c r="DB251" s="1592" t="e">
        <f aca="false">IF(OR(BQ251,BS251),CG251+IF(OVolSmile,VLOOKUP(MAX(-5,CO251+CW251-BU251),IF(OVolSmile=1,VolSmileBook,VolSmileModel),2),0),"")</f>
        <v>#VALUE!</v>
      </c>
      <c r="DC251" s="1592" t="e">
        <f aca="false">IF(OR(BQ251,BS251),CH251+IF(OVolSmile,VLOOKUP(MAX(-5,CP251+CW251-BV251),IF(OVolSmile=1,VolSmileBook,VolSmileModel),2),0),"")</f>
        <v>#VALUE!</v>
      </c>
      <c r="DD251" s="1592" t="e">
        <f aca="false">IF(OR(BQ251,BS251),CI251+IF(OVolSmile,VLOOKUP(MAX(-5,CQ251+CW251-BW251),IF(OVolSmile=1,VolSmileBook,VolSmileModel),2),0),"")</f>
        <v>#VALUE!</v>
      </c>
      <c r="DE251" s="1592" t="e">
        <f aca="false">IF(OR(BQ251,BS251),CL251+IF(OVolSmile,VLOOKUP(MAX(-5,CR251+CZ251-BX251),IF(OVolSmile=1,VolSmileBook,VolSmileModel),2),0),"")</f>
        <v>#VALUE!</v>
      </c>
      <c r="DF251" s="1592" t="e">
        <f aca="false">IF(BQ251,CM251+IF(OVolSmile,VLOOKUP(MAX(-5,CS251+DA251-BZ251),IF(OVolSmile=1,VolSmileBook,VolSmileModel),2),0),"")</f>
        <v>#VALUE!</v>
      </c>
      <c r="DG251" s="1593" t="e">
        <f aca="false">IF(BS251,CN251+IF(OVolSmile,VLOOKUP(MAX(-5,CT251+DA251-CF251),IF(OVolSmile=1,VolSmileBook,VolSmileModel),2),0),"")</f>
        <v>#VALUE!</v>
      </c>
      <c r="DH251" s="1316" t="e">
        <f aca="false">IF(AND(BU251&gt;0,CO251&gt;0,DB251&gt;0,CU251&gt;0),newSPRDOPT(BU251,CO251,CW251,0,DB251,CU251,CV251,BT251*365.25,OCallPut,0),0)</f>
        <v>#VALUE!</v>
      </c>
      <c r="DI251" s="1316" t="e">
        <f aca="false">IF(AND(BV251&gt;0,CP251&gt;0,DC251&gt;0,CU251&gt;0),newSPRDOPT(BV251,CP251,CX251,0,DC251,CU251,CV251,BT251*365.25,OCallPut,0),0)</f>
        <v>#VALUE!</v>
      </c>
      <c r="DJ251" s="1316" t="e">
        <f aca="false">IF(AND(BW251&gt;0,CQ251&gt;0,DD251&gt;0,CU251&gt;0),newSPRDOPT(BW251,CQ251,CY251,0,DD251,CU251,CV251,BT251*365.25,OCallPut,0),0)</f>
        <v>#VALUE!</v>
      </c>
      <c r="DK251" s="1316" t="e">
        <f aca="false">IF(AND(BX251&gt;0,CR251&gt;0,DE251&gt;0,CU251&gt;0),newSPRDOPT(BX251,CR251,CZ251,0,DE251,CU251,CV251,BT251*365.25,OCallPut,0),0)</f>
        <v>#VALUE!</v>
      </c>
      <c r="DL251" s="1316" t="e">
        <f aca="false">IF(OVolType,IF(AND(BZ251&gt;0,CS251&gt;0,DF251&gt;0,CU251&gt;0),newSPRDOPT(BZ251,CS251,DA251,0,DF251,CU251,CV251,BT251*365.25,OCallPut,0),0),IF(BQ251,(DH251*AZ251+DI251*BA251+DJ251*BB251+DK251*BC251)/BQ251,0))</f>
        <v>#VALUE!</v>
      </c>
      <c r="DM251" s="1316"/>
      <c r="DN251" s="1316"/>
      <c r="DO251" s="1316"/>
      <c r="DP251" s="1316"/>
      <c r="DQ251" s="1316"/>
      <c r="DR251" s="1316"/>
      <c r="DS251" s="1316"/>
      <c r="DT251" s="1316"/>
      <c r="DU251" s="1316"/>
      <c r="DV251" s="1316"/>
      <c r="DW251" s="1594" t="e">
        <f aca="false">IF(AND(BW251&gt;0,CT251&gt;0,DD251&gt;0,CU251&gt;0),newSPRDOPT(BW251,CT251,CY251,0,DD251,CU251,CV251,BT251*365.25,OCallPut,0),0)</f>
        <v>#VALUE!</v>
      </c>
      <c r="DX251" s="1316" t="e">
        <f aca="false">IF(AND(BX251&gt;0,CT251&gt;0,DE251&gt;0,CU251&gt;0),newSPRDOPT(BX251,CT251,CZ251,0,DE251,CU251,CV251,BT251*365.25,OCallPut,0),0)</f>
        <v>#VALUE!</v>
      </c>
      <c r="DY251" s="1591" t="e">
        <f aca="false">IF(BS251,(DH251*BH251+DI251*BI251+DW251*BJ251+DX251*BK251)/BS251,0)</f>
        <v>#VALUE!</v>
      </c>
      <c r="DZ251" s="1551" t="e">
        <f aca="false">DH251*AZ251</f>
        <v>#VALUE!</v>
      </c>
      <c r="EA251" s="1551" t="e">
        <f aca="false">DI251*BA251</f>
        <v>#VALUE!</v>
      </c>
      <c r="EB251" s="1551" t="e">
        <f aca="false">DJ251*BB251</f>
        <v>#VALUE!</v>
      </c>
      <c r="EC251" s="1551" t="e">
        <f aca="false">DK251*BC251</f>
        <v>#VALUE!</v>
      </c>
      <c r="ED251" s="1551" t="e">
        <f aca="false">DL251*BQ251</f>
        <v>#VALUE!</v>
      </c>
      <c r="EE251" s="1595" t="e">
        <f aca="false">IF(BQ251,IF(OCallPut,IF(BU251&gt;(CO251+CW251),BU251-(CO251+CW251),0),IF((CO251+CW251)&gt;BU251,(CO251+CW251)-BU251,0))*AZ251,0)</f>
        <v>#VALUE!</v>
      </c>
      <c r="EF251" s="1596" t="e">
        <f aca="false">IF(BQ251,IF(OCallPut,IF(BV251&gt;(CP251+CX251),BV251-(CP251+CX251),0),IF((CP251+CX251)&gt;BV251,(CP251+CX251)-BV251,0))*BA251,0)</f>
        <v>#VALUE!</v>
      </c>
      <c r="EG251" s="1596" t="e">
        <f aca="false">IF(BQ251,IF(OCallPut,IF(BW251&gt;(CQ251+CY251),BW251-(CQ251+CY251),0),IF((CQ251+CY251)&gt;BW251,(CQ251+CY251)-BW251,0))*BB251,0)</f>
        <v>#VALUE!</v>
      </c>
      <c r="EH251" s="1596" t="e">
        <f aca="false">IF(BQ251,IF(OCallPut,IF(BX251&gt;(CR251+CZ251),BX251-(CR251+CZ251),0),IF((CR251+CZ251)&gt;BX251,(CR251+CZ251)-BX251,0))*BC251,0)</f>
        <v>#VALUE!</v>
      </c>
      <c r="EI251" s="1597" t="e">
        <f aca="false">IF(BQ251,IF(OVolType,IF(OCallPut,IF(BZ251&gt;(CS251+DA251),BZ251-(CS251+DA251),0),IF((CS251+DA251)&gt;BZ251,(CS251+DA251)-BZ251,0))*BQ251,SUM(EE251:EH251)),0)</f>
        <v>#VALUE!</v>
      </c>
      <c r="EJ251" s="1595" t="e">
        <f aca="false">DZ251-EE251</f>
        <v>#VALUE!</v>
      </c>
      <c r="EK251" s="1596" t="e">
        <f aca="false">EA251-EF251</f>
        <v>#VALUE!</v>
      </c>
      <c r="EL251" s="1596" t="e">
        <f aca="false">EB251-EG251</f>
        <v>#VALUE!</v>
      </c>
      <c r="EM251" s="1596" t="e">
        <f aca="false">EC251-EH251</f>
        <v>#VALUE!</v>
      </c>
      <c r="EN251" s="1597" t="e">
        <f aca="false">ED251-EI251</f>
        <v>#VALUE!</v>
      </c>
      <c r="EO251" s="1551" t="e">
        <f aca="false">DH251*BH251</f>
        <v>#VALUE!</v>
      </c>
      <c r="EP251" s="1551" t="e">
        <f aca="false">DI251*BI251</f>
        <v>#VALUE!</v>
      </c>
      <c r="EQ251" s="1551" t="e">
        <f aca="false">DW251*BJ251</f>
        <v>#VALUE!</v>
      </c>
      <c r="ER251" s="1551" t="e">
        <f aca="false">DX251*BK251</f>
        <v>#VALUE!</v>
      </c>
      <c r="ES251" s="1551" t="e">
        <f aca="false">DY251*BS251</f>
        <v>#VALUE!</v>
      </c>
      <c r="ET251" s="1566" t="e">
        <f aca="false">IF(EI251,IF(OCallPut,IF(CA251&gt;(CT251+CW251),CA251-(CT251+CW251),0),IF((CT251+CW251)&gt;CA251,(CT251+CW251)-CA251,0))*BH251,0)</f>
        <v>#VALUE!</v>
      </c>
      <c r="EU251" s="1551" t="e">
        <f aca="false">IF(EI251,IF(OCallPut,IF(CB251&gt;(CT251+CX251),CB251-(CT251+CX251),0),IF((CT251+CX251)&gt;CB251,(CT251+CX251)-CB251,0))*BI251,0)</f>
        <v>#VALUE!</v>
      </c>
      <c r="EV251" s="1551" t="e">
        <f aca="false">IF(EI251,IF(OCallPut,IF(CC251&gt;(CT251+CY251),CC251-(CT251+CY251),0),IF((CT251+CY251)&gt;CC251,(CT251+CY251)-CC251,0))*BJ251,0)</f>
        <v>#VALUE!</v>
      </c>
      <c r="EW251" s="1551" t="e">
        <f aca="false">IF(EI251,IF(OCallPut,IF(CD251&gt;(CT251+CZ251),CD251-(CT251+CZ251),0),IF((CT251+CZ251)&gt;CD251,(CT251+CZ251)-CD251,0))*BK251,0)</f>
        <v>#VALUE!</v>
      </c>
      <c r="EX251" s="1558" t="e">
        <f aca="false">IF(EI251,SUM(ET251:EW251),0)</f>
        <v>#VALUE!</v>
      </c>
      <c r="EY251" s="1551" t="e">
        <f aca="false">EO251-ET251</f>
        <v>#VALUE!</v>
      </c>
      <c r="EZ251" s="1551" t="e">
        <f aca="false">EP251-EU251</f>
        <v>#VALUE!</v>
      </c>
      <c r="FA251" s="1551" t="e">
        <f aca="false">EQ251-EV251</f>
        <v>#VALUE!</v>
      </c>
      <c r="FB251" s="1551" t="e">
        <f aca="false">ER251-EW251</f>
        <v>#VALUE!</v>
      </c>
      <c r="FC251" s="1551" t="e">
        <f aca="false">ES251-EX251</f>
        <v>#VALUE!</v>
      </c>
      <c r="FD251" s="1525" t="n">
        <f aca="false">IF(AX251,IF(VLOOKUP(C251,MAIN!$L$17:$M$28,2)="Yes",VLOOKUP(CALC!B251,MAIN!$H$17:$I$20,2),0),0)</f>
        <v>0</v>
      </c>
      <c r="FE251" s="1552" t="e">
        <f aca="false">$FD251*16*AT251*(1-$AY251)</f>
        <v>#VALUE!</v>
      </c>
      <c r="FF251" s="1553" t="e">
        <f aca="false">$FD251*16*AU251*(1-$AY251)</f>
        <v>#VALUE!</v>
      </c>
      <c r="FG251" s="1553" t="e">
        <f aca="false">$FD251*16*(AV251+AW251)*(1-$AY251)</f>
        <v>#VALUE!</v>
      </c>
      <c r="FH251" s="1554" t="n">
        <f aca="false">$FD251*8*AX251*(1-$AY251)</f>
        <v>0</v>
      </c>
      <c r="FI251" s="1555" t="n">
        <f aca="false">IF(AX251,VLOOKUP(CALC!B251,MAIN!$H$17:$K$20,4),0)</f>
        <v>0</v>
      </c>
      <c r="FJ251" s="1553" t="e">
        <f aca="false">SUM(FE251:FH251)</f>
        <v>#VALUE!</v>
      </c>
      <c r="FK251" s="1556" t="e">
        <f aca="false">FI251*FJ251</f>
        <v>#VALUE!</v>
      </c>
      <c r="FL251" s="1551" t="e">
        <f aca="false">IF($EI251&gt;0,MIN(FE251,AZ251*(1+VLOOKUP($C251,WeatherCapacityAdjustment,2))),0)</f>
        <v>#VALUE!</v>
      </c>
      <c r="FM251" s="1551" t="e">
        <f aca="false">IF($EI251&gt;0,MIN(FF251,BA251*(1+VLOOKUP($C251,WeatherCapacityAdjustment,2))),0)</f>
        <v>#VALUE!</v>
      </c>
      <c r="FN251" s="1551" t="e">
        <f aca="false">IF($EI251&gt;0,MIN(FG251,BB251*(1+VLOOKUP($C251,WeatherCapacityAdjustment,2))),0)</f>
        <v>#VALUE!</v>
      </c>
      <c r="FO251" s="1564" t="e">
        <f aca="false">IF($EI251&gt;0,MIN(FH251,BC251*(1+VLOOKUP($C251,WeatherCapacityAdjustment,3))),0)</f>
        <v>#VALUE!</v>
      </c>
      <c r="FP251" s="1551" t="e">
        <f aca="false">IF(ET251&gt;0,MIN(FE251-FL251,BH251*(1+VLOOKUP($C251,WeatherCapacityAdjustment,2))),0)</f>
        <v>#VALUE!</v>
      </c>
      <c r="FQ251" s="1551" t="e">
        <f aca="false">IF(EU251&gt;0,MIN(FF251-FM251,BI251*(1+VLOOKUP($C251,WeatherCapacityAdjustment,2))),0)</f>
        <v>#VALUE!</v>
      </c>
      <c r="FR251" s="1551" t="e">
        <f aca="false">IF(EV251&gt;0,MIN(FG251-FN251,BJ251*(1+VLOOKUP($C251,WeatherCapacityAdjustment,2))),0)</f>
        <v>#VALUE!</v>
      </c>
      <c r="FS251" s="1558" t="e">
        <f aca="false">IF(EW251&gt;0,MIN(FH251-FO251,BK251*(1+VLOOKUP($C251,WeatherCapacityAdjustment,3))),0)</f>
        <v>#VALUE!</v>
      </c>
      <c r="FT251" s="1566" t="e">
        <f aca="false">IF(AND(Assumptions!$H$71="Yes",A251&gt;=Assumptions!$H$72,A251&lt;=Assumptions!$H$73),0,IF(AND($A251&gt;=Assumptions!$C$17,$A251&lt;=Assumptions!$C$18),MAX(AZ251*(1+VLOOKUP($C251,WeatherCapacityAdjustment,2))-FL251,0),0))</f>
        <v>#VALUE!</v>
      </c>
      <c r="FU251" s="1551" t="e">
        <f aca="false">IF(AND(Assumptions!$H$71="Yes",A251&gt;=Assumptions!$H$72,A251&lt;=Assumptions!$H$73),0,IF(AND($A251&gt;=Assumptions!$C$17,$A251&lt;=Assumptions!$C$18),MAX(BA251*(1+VLOOKUP($C251,WeatherCapacityAdjustment,2))-FM251,0),0))</f>
        <v>#VALUE!</v>
      </c>
      <c r="FV251" s="1551" t="e">
        <f aca="false">IF(AND(Assumptions!$H$71="Yes",A251&gt;=Assumptions!$H$72,A251&lt;=Assumptions!$H$73),0,IF(AND($A251&gt;=Assumptions!$C$17,$A251&lt;=Assumptions!$C$18),MAX(BB251*(1+VLOOKUP($C251,WeatherCapacityAdjustment,2))-FN251,0),0))</f>
        <v>#VALUE!</v>
      </c>
      <c r="FW251" s="1564" t="e">
        <f aca="false">IF(AND(Assumptions!$H$71="Yes",A251&gt;=Assumptions!$H$72,A251&lt;=Assumptions!$H$73),0,IF(AND($A251&gt;=Assumptions!$C$17,$A251&lt;=Assumptions!$C$18),MAX(BC251*(1+VLOOKUP($C251,WeatherCapacityAdjustment,3))-FO251,0),0))</f>
        <v>#VALUE!</v>
      </c>
      <c r="FX251" s="1569" t="e">
        <f aca="false">IF(AND(Assumptions!$H$71="Yes",A251&gt;=Assumptions!$H$72,A251&lt;=Assumptions!$H$73),0,IF(ET251&gt;0,MAX(BH251*(1+VLOOKUP($C251,WeatherCapacityAdjustment,2))-FP251,0),0))</f>
        <v>#VALUE!</v>
      </c>
      <c r="FY251" s="1551" t="e">
        <f aca="false">IF(AND(Assumptions!$H$71="Yes",A251&gt;=Assumptions!$H$72,A251&lt;=Assumptions!$H$73),0,IF(EU251&gt;0,MAX(BI251*(1+VLOOKUP($C251,WeatherCapacityAdjustment,3))-FQ251,0),0))</f>
        <v>#VALUE!</v>
      </c>
      <c r="FZ251" s="1551" t="e">
        <f aca="false">IF(AND(Assumptions!$H$71="Yes",A251&gt;=Assumptions!$H$72,A251&lt;=Assumptions!$H$73),0,IF(EV251&gt;0,MAX(BJ251*(1+VLOOKUP($C251,WeatherCapacityAdjustment,2))-FR251,0),0))</f>
        <v>#VALUE!</v>
      </c>
      <c r="GA251" s="1564" t="e">
        <f aca="false">IF(AND(Assumptions!$H$71="Yes",A251&gt;=Assumptions!$H$72,A251&lt;=Assumptions!$H$73),0,IF(EW251&gt;0,MAX(BK251*(1+VLOOKUP($C251,WeatherCapacityAdjustment,2))-FS251,0),0))</f>
        <v>#VALUE!</v>
      </c>
      <c r="GB251" s="1551" t="e">
        <f aca="false">SUM(FT251:GA251)</f>
        <v>#VALUE!</v>
      </c>
      <c r="GC251" s="1563" t="e">
        <f aca="false">+IF(SUM(FT251:GA251)=0,0,(SUMPRODUCT(BU251:BX251,FT251:FW251)+SUMPRODUCT(CA251:CD251,FX251:GA251))/SUM(FT251:GA251))</f>
        <v>#VALUE!</v>
      </c>
      <c r="GD251" s="1551" t="e">
        <f aca="false">(FT251*BU251+FX251*CA251+FU251*BV251+FY251*CB251+FV251*BW251+FZ251*CC251+FW251*BX251+GA251*CD251)</f>
        <v>#VALUE!</v>
      </c>
      <c r="GE251" s="1561" t="e">
        <f aca="false">+IF(BQ251,((FL251+FM251+FT251+FU251)*HeatRatePeak/1000*(1+VLOOKUP($C251,WeatherHeatRateAdjustment,2))+(FN251+FV251)*IF(EV251&gt;0,HeatRatePeak,HeatRateOffPeak)/1000*(1+VLOOKUP($C251,WeatherHeatRateAdjustment,2))+(FO251+FW251)*IF(EW251&gt;0,HeatRatePeak,HeatRateOffPeak)/1000*(1+VLOOKUP($C251,WeatherHeatRateAdjustment,3)))*(1+VLOOKUP($B251,HeatRateDegradation,$C251+1)),0)</f>
        <v>#VALUE!</v>
      </c>
      <c r="GF251" s="1562" t="e">
        <f aca="false">IF(BQ251,((FP251+FQ251+FR251+FX251+FY251+FZ251)*HeatRatePeak/1000*(1+VLOOKUP($C251,WeatherHeatRateAdjustment,2))+(FS251+GA251)*HeatRatePeak/1000*(1+VLOOKUP($C251,WeatherHeatRateAdjustment,3)))*(1+VLOOKUP($B251,HeatRateDegradation,$C251+1)),0)</f>
        <v>#VALUE!</v>
      </c>
      <c r="GG251" s="1563" t="e">
        <f aca="false">IF(BQ251,VLOOKUP(A251,GasTable,13),0)</f>
        <v>#VALUE!</v>
      </c>
      <c r="GH251" s="1564" t="e">
        <f aca="false">(GE251+GF251)*GG251</f>
        <v>#VALUE!</v>
      </c>
      <c r="GI251" s="1569" t="e">
        <f aca="false">GB251</f>
        <v>#VALUE!</v>
      </c>
      <c r="GJ251" s="1598" t="e">
        <f aca="false">+DA251</f>
        <v>#VALUE!</v>
      </c>
      <c r="GK251" s="1558" t="e">
        <f aca="false">+GI251*GJ251</f>
        <v>#VALUE!</v>
      </c>
      <c r="GL251" s="1566" t="e">
        <f aca="false">MAX(FE251-FL251-FP251,0)</f>
        <v>#VALUE!</v>
      </c>
      <c r="GM251" s="1551" t="e">
        <f aca="false">MAX(FF251-FM251-FQ251,0)</f>
        <v>#VALUE!</v>
      </c>
      <c r="GN251" s="1551" t="e">
        <f aca="false">MAX(FG251-FN251-FR251,0)</f>
        <v>#VALUE!</v>
      </c>
      <c r="GO251" s="1564" t="e">
        <f aca="false">MAX(FH251-FO251-FS251,0)</f>
        <v>#VALUE!</v>
      </c>
      <c r="GP251" s="1551" t="e">
        <f aca="false">SUM(GL251:GO251)</f>
        <v>#VALUE!</v>
      </c>
      <c r="GQ251" s="1563" t="e">
        <f aca="false">IF(SUM(GL251:GO251)=0,0,((GL251*BU251+GM251*BV251+GN251*BW251+GO251*BX251)/SUM(GL251:GO251)))</f>
        <v>#VALUE!</v>
      </c>
      <c r="GR251" s="1558" t="e">
        <f aca="false">(GL251*BU251+GM251*BV251+GN251*BW251+GO251*BX251)</f>
        <v>#VALUE!</v>
      </c>
      <c r="GS251" s="1566" t="n">
        <f aca="false">IF($A251&gt;=BegDate,Assumptions!$C$56*24*($A252-$A251)*(1-VLOOKUP($B251,MAIN!$AA$7:$AM$28,$C251+1))*(1-VLOOKUP($B251,MAIN!$AA$33:$AM$54,$C251+1)),0)*80/168</f>
        <v>249428.571428571</v>
      </c>
      <c r="GT251" s="286" t="n">
        <f aca="false">J251</f>
        <v>62.0503953148283</v>
      </c>
      <c r="GU251" s="286" t="n">
        <f aca="false">IF($A251&gt;=BegDate,VLOOKUP($A251,GasTable,13)+Assumptions!$C$58,0)</f>
        <v>4.17200364080638</v>
      </c>
      <c r="GV251" s="286" t="n">
        <f aca="false">GU251*Assumptions!$C$57/1000</f>
        <v>30.2470263958462</v>
      </c>
      <c r="GW251" s="1558" t="n">
        <f aca="false">IF(Assumptions!$C$60="Hourly",MAX(0,GS251*(GT251-GV251)),GS251*(GT251-GV251))</f>
        <v>7932668.87607752</v>
      </c>
      <c r="GX251" s="1566" t="n">
        <f aca="false">IF($A251&gt;=BegDate,Assumptions!$C$56*24*($A252-$A251)*(1-VLOOKUP($B251,MAIN!$AA$7:$AM$28,$C251+1))*(1-VLOOKUP($B251,MAIN!$AA$33:$AM$54,$C251+1)),0)*16/168</f>
        <v>49885.7142857143</v>
      </c>
      <c r="GY251" s="286" t="n">
        <f aca="false">M251</f>
        <v>62.0503953148283</v>
      </c>
      <c r="GZ251" s="286" t="n">
        <f aca="false">IF($A251&gt;=BegDate,VLOOKUP($A251,GasTable,13)+Assumptions!$C$58,0)</f>
        <v>4.17200364080638</v>
      </c>
      <c r="HA251" s="286" t="n">
        <f aca="false">GZ251*Assumptions!$C$57/1000</f>
        <v>30.2470263958462</v>
      </c>
      <c r="HB251" s="1558" t="n">
        <f aca="false">IF(Assumptions!$C$60="Hourly",MAX(0,GX251*(GY251-HA251)),GX251*(GY251-HA251))</f>
        <v>1586533.77521551</v>
      </c>
      <c r="HC251" s="1566" t="n">
        <f aca="false">IF($A251&gt;=BegDate,Assumptions!$C$56*24*($A252-$A251)*(1-VLOOKUP($B251,MAIN!$AA$7:$AM$28,$C251+1))*(1-VLOOKUP($B251,MAIN!$AA$33:$AM$54,$C251+1)),0)*16/168</f>
        <v>49885.7142857143</v>
      </c>
      <c r="HD251" s="286" t="n">
        <f aca="false">P251</f>
        <v>35.1515424630405</v>
      </c>
      <c r="HE251" s="286" t="n">
        <f aca="false">IF($A251&gt;=BegDate,VLOOKUP($A251,GasTable,13)+Assumptions!$C$58,0)</f>
        <v>4.17200364080638</v>
      </c>
      <c r="HF251" s="286" t="n">
        <f aca="false">HE251*Assumptions!$C$57/1000</f>
        <v>30.2470263958462</v>
      </c>
      <c r="HG251" s="1558" t="n">
        <f aca="false">IF(Assumptions!$C$60="Hourly",MAX(0,HC251*(HD251-HF251)),HC251*(HD251-HF251))</f>
        <v>244665.287237749</v>
      </c>
      <c r="HH251" s="1566" t="n">
        <f aca="false">IF($A251&gt;=BegDate,Assumptions!$C$56*24*($A252-$A251)*(1-VLOOKUP($B251,MAIN!$AA$7:$AM$28,$C251+1))*(1-VLOOKUP($B251,MAIN!$AA$33:$AM$54,$C251+1)),0)*56/168</f>
        <v>174600</v>
      </c>
      <c r="HI251" s="286" t="n">
        <f aca="false">S251</f>
        <v>35.1515424630405</v>
      </c>
      <c r="HJ251" s="286" t="n">
        <f aca="false">IF($A251&gt;=BegDate,VLOOKUP($A251,GasTable,13)+Assumptions!$C$58,0)</f>
        <v>4.17200364080638</v>
      </c>
      <c r="HK251" s="286" t="n">
        <f aca="false">HJ251*Assumptions!$C$57/1000</f>
        <v>30.2470263958462</v>
      </c>
      <c r="HL251" s="1558" t="n">
        <f aca="false">IF(Assumptions!$C$60="Hourly",MAX(0,HH251*(HI251-HK251)),HH251*(HI251-HK251))</f>
        <v>856328.505332121</v>
      </c>
      <c r="HM251" s="1566" t="n">
        <f aca="false">IF(AND(Assumptions!$H$71="Yes",A251&gt;=Assumptions!$H$72,A251&lt;=Assumptions!$H$73),Assumptions!$H$74*Assumptions!$C$9*1000,0)</f>
        <v>0</v>
      </c>
      <c r="HN251" s="1551"/>
      <c r="HO251" s="1563"/>
      <c r="HP251" s="1563"/>
      <c r="HQ251" s="1563"/>
      <c r="HR251" s="1563"/>
      <c r="HS251" s="1563"/>
      <c r="HT251" s="1563"/>
      <c r="HU251" s="1563"/>
      <c r="HV251" s="1563"/>
      <c r="HW251" s="1563"/>
      <c r="HX251" s="1563"/>
      <c r="HY251" s="1563"/>
      <c r="HZ251" s="1563"/>
      <c r="IA251" s="1563"/>
      <c r="IB251" s="1563"/>
      <c r="IC251" s="1563"/>
      <c r="ID251" s="1563"/>
      <c r="IE251" s="1563"/>
      <c r="IF251" s="1563"/>
      <c r="IG251" s="1563"/>
      <c r="IH251" s="1563"/>
      <c r="II251" s="1610"/>
      <c r="IJ251" s="1309"/>
      <c r="IK251" s="1309"/>
    </row>
    <row r="252" customFormat="false" ht="12.75" hidden="false" customHeight="false" outlineLevel="0" collapsed="false">
      <c r="A252" s="1571" t="n">
        <f aca="false">EOMONTH(A251,0)+1</f>
        <v>43800</v>
      </c>
      <c r="B252" s="594" t="n">
        <f aca="false">+YEAR(A252)</f>
        <v>2019</v>
      </c>
      <c r="C252" s="238" t="n">
        <f aca="false">MONTH(A252)</f>
        <v>12</v>
      </c>
      <c r="D252" s="1572" t="e">
        <f aca="false">IF(E252="","",Holiday(B252,C252))</f>
        <v>#VALUE!</v>
      </c>
      <c r="E252" s="1573" t="n">
        <f aca="false">IF(OR(BegDate&gt;=A253,EndDate&lt;A252,AND(VolumeMonthlyOverFlag,INDEX(VolumeMonthlyOver,C252)=0),NOT(INDEX(MonthKnockOutTable,C252))),"",MAX(A252,BegDate))</f>
        <v>43800</v>
      </c>
      <c r="F252" s="1574" t="n">
        <f aca="false">IF(E252="","",MIN(A253-1,EndDate))</f>
        <v>43830</v>
      </c>
      <c r="G252" s="1575" t="n">
        <v>0</v>
      </c>
      <c r="H252" s="1576" t="n">
        <f aca="false">(1+G252/2)^(-2*(DATE(B253,C253,20)-DateToday)/365.25)</f>
        <v>1</v>
      </c>
      <c r="I252" s="1568" t="n">
        <f aca="false">IF(Assumptions!$L$25=4,VLOOKUP($A252,'Henwood Reference'!$E$9:$R$320,10),(VLOOKUP($A252,PriceTable,2,0)+IF(BasisNumber&lt;&gt;1,VLOOKUP($A252,BasisTable,2,0),0)+I$1)/(1-I$2))</f>
        <v>58.3401886206345</v>
      </c>
      <c r="J252" s="1568" t="n">
        <f aca="false">IF(Assumptions!$L$25=4,VLOOKUP($A252,'Henwood Reference'!$E$9:$R$320,10),(VLOOKUP($A252,PriceTable,3,0)+IF(BasisNumber&lt;&gt;1,VLOOKUP($A252,BasisTable,2,0),0)+J$1)/(1-J$2))</f>
        <v>58.3401886206345</v>
      </c>
      <c r="K252" s="1568" t="n">
        <f aca="false">IF(Assumptions!$L$25=4,VLOOKUP($A252,'Henwood Reference'!$E$9:$R$320,10),(VLOOKUP($A252,PriceTable,4,0)+IF(BasisNumber&lt;&gt;1,VLOOKUP($A252,BasisTable,2,0),0)+K$1)/(1-K$2))</f>
        <v>58.3401886206345</v>
      </c>
      <c r="L252" s="1523" t="n">
        <f aca="false">IF(Assumptions!$L$25=4,VLOOKUP($A252,'Henwood Reference'!$E$9:$R$320,10),(VLOOKUP($A252,PriceTableWeekend,2,0)+IF(BasisNumber&lt;&gt;1,VLOOKUP($A252,BasisTable,2,0),0)+L$1)/(1-L$2))</f>
        <v>58.3401886206345</v>
      </c>
      <c r="M252" s="1568" t="n">
        <f aca="false">IF(Assumptions!$L$25=4,VLOOKUP($A252,'Henwood Reference'!$E$9:$R$320,10),(VLOOKUP($A252,PriceTableWeekend,3,0)+IF(BasisNumber&lt;&gt;1,VLOOKUP($A252,BasisTable,2,0),0)+M$1)/(1-M$2))</f>
        <v>58.3401886206345</v>
      </c>
      <c r="N252" s="1599" t="n">
        <f aca="false">IF(Assumptions!$L$25=4,VLOOKUP($A252,'Henwood Reference'!$E$9:$R$320,10),(VLOOKUP($A252,PriceTableWeekend,4,0)+IF(BasisNumber&lt;&gt;1,VLOOKUP($A252,BasisTable,2,0),0)+N$1)/(1-N$2))</f>
        <v>58.3401886206345</v>
      </c>
      <c r="O252" s="1568" t="n">
        <f aca="false">IF(Assumptions!$L$25=4,VLOOKUP($A252,'Henwood Reference'!$E$9:$R$320,11),(VLOOKUP($A252,PriceTableWeekend,6,0)+IF(BasisNumber&lt;&gt;1,VLOOKUP($A252,BasisTable,3,0),0)+O$1)/(1-O$2))</f>
        <v>36.5889780469737</v>
      </c>
      <c r="P252" s="1568" t="n">
        <f aca="false">IF(Assumptions!$L$25=4,VLOOKUP($A252,'Henwood Reference'!$E$9:$R$320,11),(VLOOKUP($A252,PriceTableWeekend,7,0)+IF(BasisNumber&lt;&gt;1,VLOOKUP($A252,BasisTable,3,0),0)+P$1)/(1-P$2))</f>
        <v>36.5889780469737</v>
      </c>
      <c r="Q252" s="1599" t="n">
        <f aca="false">IF(Assumptions!$L$25=4,VLOOKUP($A252,'Henwood Reference'!$E$9:$R$320,11),(VLOOKUP($A252,PriceTableWeekend,8,0)+IF(BasisNumber&lt;&gt;1,VLOOKUP($A252,BasisTable,3,0),0)+Q$1)/(1-Q$2))</f>
        <v>36.5889780469737</v>
      </c>
      <c r="R252" s="1568" t="n">
        <f aca="false">IF(Assumptions!$L$25=4,VLOOKUP($A252,'Henwood Reference'!$E$9:$R$320,11),(VLOOKUP($A252,PriceTable,6,0)+IF(BasisNumber&lt;&gt;1,VLOOKUP($A252,BasisTable,3,0),0)+R$1)/(1-R$2))</f>
        <v>36.5889780469737</v>
      </c>
      <c r="S252" s="1568" t="n">
        <f aca="false">IF(Assumptions!$L$25=4,VLOOKUP($A252,'Henwood Reference'!$E$9:$R$320,11),(VLOOKUP($A252,PriceTable,7,0)+IF(BasisNumber&lt;&gt;1,VLOOKUP($A252,BasisTable,3,0),0)+S$1)/(1-S$2))</f>
        <v>36.5889780469737</v>
      </c>
      <c r="T252" s="1600" t="n">
        <f aca="false">IF(Assumptions!$L$25=4,VLOOKUP($A252,'Henwood Reference'!$E$9:$R$320,11),(VLOOKUP($A252,PriceTable,8,0)+IF(BasisNumber&lt;&gt;1,VLOOKUP($A252,BasisTable,3,0),0)+T$1)/(1-T$2))</f>
        <v>36.5889780469737</v>
      </c>
      <c r="U252" s="1513" t="n">
        <f aca="false">VLOOKUP($A252,VolatilityTable,14)</f>
        <v>0.09</v>
      </c>
      <c r="V252" s="1513" t="n">
        <f aca="false">VLOOKUP($A252,VolatilityTable,15)</f>
        <v>0.1</v>
      </c>
      <c r="W252" s="1514" t="n">
        <f aca="false">VLOOKUP($A252,VolatilityTable,16)</f>
        <v>0.11</v>
      </c>
      <c r="X252" s="1513" t="n">
        <f aca="false">VLOOKUP($A252,VolatilityTable,14)</f>
        <v>0.09</v>
      </c>
      <c r="Y252" s="1513" t="n">
        <f aca="false">VLOOKUP($A252,VolatilityTable,15)</f>
        <v>0.1</v>
      </c>
      <c r="Z252" s="1514" t="n">
        <f aca="false">VLOOKUP($A252,VolatilityTable,16)</f>
        <v>0.11</v>
      </c>
      <c r="AA252" s="1513" t="n">
        <f aca="false">VLOOKUP($A252,VolatilityTable,18)</f>
        <v>0.09</v>
      </c>
      <c r="AB252" s="1513" t="n">
        <f aca="false">VLOOKUP($A252,VolatilityTable,19)</f>
        <v>0.11</v>
      </c>
      <c r="AC252" s="1514" t="n">
        <f aca="false">VLOOKUP($A252,VolatilityTable,20)</f>
        <v>0.13</v>
      </c>
      <c r="AD252" s="1513" t="n">
        <f aca="false">VLOOKUP($A252,VolatilityTable,18)</f>
        <v>0.09</v>
      </c>
      <c r="AE252" s="1513" t="n">
        <f aca="false">VLOOKUP($A252,VolatilityTable,19)</f>
        <v>0.11</v>
      </c>
      <c r="AF252" s="1514" t="n">
        <f aca="false">VLOOKUP($A252,VolatilityTable,20)</f>
        <v>0.13</v>
      </c>
      <c r="AG252" s="1513" t="n">
        <f aca="false">VLOOKUP($A252,VolatilityTable,22)</f>
        <v>-0.25</v>
      </c>
      <c r="AH252" s="1513" t="n">
        <f aca="false">VLOOKUP($A252,VolatilityTable,23)</f>
        <v>0.6</v>
      </c>
      <c r="AI252" s="1514" t="n">
        <f aca="false">VLOOKUP($A252,VolatilityTable,24)</f>
        <v>0.25</v>
      </c>
      <c r="AJ252" s="1513" t="n">
        <f aca="false">VLOOKUP($A252,VolatilityTable,22)</f>
        <v>-0.25</v>
      </c>
      <c r="AK252" s="1513" t="n">
        <f aca="false">VLOOKUP($A252,VolatilityTable,23)</f>
        <v>0.6</v>
      </c>
      <c r="AL252" s="1514" t="n">
        <f aca="false">VLOOKUP($A252,VolatilityTable,24)</f>
        <v>0.25</v>
      </c>
      <c r="AM252" s="1513" t="n">
        <f aca="false">VLOOKUP($A252,VolatilityTable,26)</f>
        <v>-0.01</v>
      </c>
      <c r="AN252" s="1513" t="n">
        <f aca="false">VLOOKUP($A252,VolatilityTable,27)</f>
        <v>0.16</v>
      </c>
      <c r="AO252" s="1514" t="n">
        <f aca="false">VLOOKUP($A252,VolatilityTable,28)</f>
        <v>0.01</v>
      </c>
      <c r="AP252" s="1513" t="n">
        <f aca="false">VLOOKUP($A252,VolatilityTable,26)</f>
        <v>-0.01</v>
      </c>
      <c r="AQ252" s="1513" t="n">
        <f aca="false">VLOOKUP($A252,VolatilityTable,27)</f>
        <v>0.16</v>
      </c>
      <c r="AR252" s="1515" t="n">
        <f aca="false">VLOOKUP($A252,VolatilityTable,28)</f>
        <v>0.01</v>
      </c>
      <c r="AS252" s="1581" t="n">
        <f aca="false">IF(CorrPeakOffPeakOverFlag,INDEX(CorrPeakOffPeakOver,C252),CorrPeakOffPeak)</f>
        <v>0.5</v>
      </c>
      <c r="AT252" s="594" t="e">
        <f aca="false">AX252-SUM(AU252:AW252)</f>
        <v>#VALUE!</v>
      </c>
      <c r="AU252" s="238" t="e">
        <f aca="false">IF(E252="",0,INT((F252-MOD(F252,7)-E252)/7)+1-IF(AW252,IF(WEEKDAY(D252)=7,1,0),0))</f>
        <v>#VALUE!</v>
      </c>
      <c r="AV252" s="238" t="e">
        <f aca="false">IF(E252="",0,INT((F252-MOD(F252-1,7)-E252)/7)+1-IF(AW252,IF(WEEKDAY(D252)=1,1,0),0))</f>
        <v>#VALUE!</v>
      </c>
      <c r="AW252" s="238" t="e">
        <f aca="false">IF(OR(E252="",D252="",D252&lt;BegDate,D252&gt;EndDate),0,1)</f>
        <v>#VALUE!</v>
      </c>
      <c r="AX252" s="238" t="n">
        <f aca="false">IF(E252="",0,F252-E252+1)</f>
        <v>31</v>
      </c>
      <c r="AY252" s="1582" t="n">
        <f aca="false">IF(E252="",0,MIN((1-(1-VLOOKUP(B252,MAIN!$AA$7:$AM$28,C252+1))*(1-VLOOKUP(B252,MAIN!$AA$33:$AM$54,C252+1))),1))</f>
        <v>0.03</v>
      </c>
      <c r="AZ252" s="1519" t="e">
        <v>#VALUE!</v>
      </c>
      <c r="BA252" s="1520" t="e">
        <v>#VALUE!</v>
      </c>
      <c r="BB252" s="1520" t="e">
        <v>#VALUE!</v>
      </c>
      <c r="BC252" s="1583" t="e">
        <v>#VALUE!</v>
      </c>
      <c r="BD252" s="1522" t="e">
        <v>#VALUE!</v>
      </c>
      <c r="BE252" s="1523" t="e">
        <v>#VALUE!</v>
      </c>
      <c r="BF252" s="1523" t="e">
        <v>#VALUE!</v>
      </c>
      <c r="BG252" s="1584" t="e">
        <v>#VALUE!</v>
      </c>
      <c r="BH252" s="1525" t="e">
        <v>#VALUE!</v>
      </c>
      <c r="BI252" s="1520" t="e">
        <v>#VALUE!</v>
      </c>
      <c r="BJ252" s="1520" t="e">
        <v>#VALUE!</v>
      </c>
      <c r="BK252" s="1583" t="e">
        <v>#VALUE!</v>
      </c>
      <c r="BL252" s="1522" t="e">
        <v>#VALUE!</v>
      </c>
      <c r="BM252" s="1523" t="e">
        <v>#VALUE!</v>
      </c>
      <c r="BN252" s="1523" t="e">
        <v>#VALUE!</v>
      </c>
      <c r="BO252" s="1523" t="e">
        <v>#VALUE!</v>
      </c>
      <c r="BP252" s="1525" t="e">
        <f aca="false">SUM(AZ252:BB252)</f>
        <v>#VALUE!</v>
      </c>
      <c r="BQ252" s="1529" t="e">
        <f aca="false">SUM(AZ252:BC252)</f>
        <v>#VALUE!</v>
      </c>
      <c r="BR252" s="1519" t="e">
        <f aca="false">SUM(BH252:BJ252)</f>
        <v>#VALUE!</v>
      </c>
      <c r="BS252" s="1529" t="e">
        <f aca="false">SUM(BH252:BK252)</f>
        <v>#VALUE!</v>
      </c>
      <c r="BT252" s="1316" t="n">
        <f aca="false">(IF(OVolType&lt;&gt;2,A252+14,IF(OptExpDateShift,ShiftBack(A252,OptExpDateShift,D251),A252))-DateToday)/365.25</f>
        <v>19.6303901437372</v>
      </c>
      <c r="BU252" s="1585" t="e">
        <f aca="false">IF(BQ252,IF(OPriceCurve,IF(OBuySell=OCallPut,I252/(1-AY252),K252/(1-AY252)),J252/(1-AY252))*BD252,0)</f>
        <v>#VALUE!</v>
      </c>
      <c r="BV252" s="1316" t="e">
        <f aca="false">IF(BQ252,IF(OPriceCurve,IF(OBuySell=OCallPut,L252/(1-AY252),N252/(1-AY252)),M252/(1-AY252))*BE252,0)</f>
        <v>#VALUE!</v>
      </c>
      <c r="BW252" s="1316" t="e">
        <f aca="false">IF(BQ252,IF(OPriceCurve,IF(OBuySell=OCallPut,O252/(1-AY252),Q252/(1-AY252)),P252/(1-AY252))*BF252,0)</f>
        <v>#VALUE!</v>
      </c>
      <c r="BX252" s="1316" t="e">
        <f aca="false">IF(BQ252,IF(OPriceCurve,IF(OBuySell=OCallPut,R252/(1-AY252),T252/(1-AY252)),S252/(1-AY252))*BG252,0)</f>
        <v>#VALUE!</v>
      </c>
      <c r="BY252" s="1316" t="e">
        <f aca="false">IF(BP252,(BU252*AZ252+BV252*BA252+BW252*BB252)/BP252,0)</f>
        <v>#VALUE!</v>
      </c>
      <c r="BZ252" s="1316" t="e">
        <f aca="false">IF(BQ252,(BY252*BP252+BX252*BC252)/BQ252,0)</f>
        <v>#VALUE!</v>
      </c>
      <c r="CA252" s="1531" t="e">
        <f aca="false">IF(BS252,IF(OPriceCurve,IF(OBuySell=OCallPut,I252/(1-AY252),K252/(1-AY252)),J252/(1-AY252))*BL252,0)</f>
        <v>#VALUE!</v>
      </c>
      <c r="CB252" s="1316" t="e">
        <f aca="false">IF(BS252,IF(OPriceCurve,IF(OBuySell=OCallPut,L252/(1-AY252),N252/(1-AY252)),M252/(1-AY252))*BM252,0)</f>
        <v>#VALUE!</v>
      </c>
      <c r="CC252" s="1316" t="e">
        <f aca="false">IF(BS252,IF(OPriceCurve,IF(OBuySell=OCallPut,O252/(1-AY252),Q252/(1-AY252)),P252/(1-AY252))*BN252,0)</f>
        <v>#VALUE!</v>
      </c>
      <c r="CD252" s="1316" t="e">
        <f aca="false">IF(BS252,IF(OPriceCurve,IF(OBuySell=OCallPut,R252/(1-AY252),T252/(1-AY252)),S252/(1-AY252))*BO252,0)</f>
        <v>#VALUE!</v>
      </c>
      <c r="CE252" s="1316" t="e">
        <f aca="false">IF(BR252,(BU252*BH252+BV252*BI252+BW252*BJ252)/BR252,0)</f>
        <v>#VALUE!</v>
      </c>
      <c r="CF252" s="1532" t="e">
        <f aca="false">IF(BS252,(CE252*BR252+CD252*BK252)/BS252,0)</f>
        <v>#VALUE!</v>
      </c>
      <c r="CG252" s="1586" t="e">
        <f aca="false">IF(OR(BQ252,BS252),IF(OVolType&lt;&gt;2,SQRT(IF(OVolOverMonthlyPeak,OVolOverMonthlyPeak,IF(OVolCurve,IF(OBuySell,U252,W252),V252))^2*(1-15/365.25/BT252)+IF(OVolOverDailyPeak,OVolOverDailyPeak,IF(OVolCurve,IF(OBuySell,AG252,AI252),AH252))^2*15/365.25/BT252),IF(OVolOverMonthlyPeak,OVolOverMonthlyPeak,IF(OVolCurve,IF(OBuySell,U252,W252),V252))),"")</f>
        <v>#VALUE!</v>
      </c>
      <c r="CH252" s="1587" t="e">
        <f aca="false">IF(OR(BQ252,BS252),IF(OVolType&lt;&gt;2,SQRT(IF(OVolOverMonthlyPeak,OVolOverMonthlyPeak,IF(OVolCurve,IF(OBuySell,X252,Z252),Y252))^2*(1-15/365.25/BT252)+IF(OVolOverDailyPeak,OVolOverDailyPeak,IF(OVolCurve,IF(OBuySell,AJ252,AL252),AK252))^2*15/365.25/BT252),IF(OVolOverMonthlyPeak,OVolOverMonthlyPeak,IF(OVolCurve,IF(OBuySell,X252,Z252),Y252))),"")</f>
        <v>#VALUE!</v>
      </c>
      <c r="CI252" s="1587" t="e">
        <f aca="false">IF(OR(BQ252,BS252),IF(OVolType&lt;&gt;2,SQRT(IF(OVolOverMonthlyPeak,OVolOverMonthlyPeak,IF(OVolCurve,IF(OBuySell,AA252,AC252),AB252))^2*(1-15/365.25/BT252)+IF(OVolOverDailyPeak,OVolOverDailyPeak,IF(OVolCurve,IF(OBuySell,AM252,AO252),AN252))^2*15/365.25/BT252),IF(OVolOverMonthlyPeak,OVolOverMonthlyPeak,IF(OVolCurve,IF(OBuySell,AA252,AC252),AB252))),"")</f>
        <v>#VALUE!</v>
      </c>
      <c r="CJ252" s="1587" t="e">
        <f aca="false">IF(BQ252,IF(BP252,SQRT(LN(1+((BU252*AZ252)^2*(EXP(CG252^2*BT252)-1)+(BV252*BA252)^2*(EXP(CH252^2*BT252)-1)+(BW252*BB252)^2*(EXP(CI252^2*BT252)-1)+2*BU252*AZ252*BV252*BA252*(EXP(CG252*CH252*BT252)-1)+2*BV252*BA252*BW252*BB252*(EXP(CH252*CI252*BT252)-1)+2*BW252*BB252*BU252*AZ252*(EXP(CI252*CG252*BT252)-1))/(BY252*BP252)^2)/BT252),0),"")</f>
        <v>#VALUE!</v>
      </c>
      <c r="CK252" s="1587" t="e">
        <f aca="false">IF(BS252,IF(BR252,SQRT(LN(1+((CA252*BH252)^2*(EXP(CG252^2*BT252)-1)+(CB252*BI252)^2*(EXP(CH252^2*BT252)-1)+(CC252*BJ252)^2*(EXP(CI252^2*BT252)-1)+2*CA252*BH252*CB252*BI252*(EXP(CG252*CH252*BT252)-1)+2*CB252*BI252*CC252*BJ252*(EXP(CH252*CI252*BT252)-1)+2*CC252*BJ252*CA252*BH252*(EXP(CI252*CG252*BT252)-1))/(CE252*BR252)^2)/BT252),0),"")</f>
        <v>#VALUE!</v>
      </c>
      <c r="CL252" s="1587" t="e">
        <f aca="false">IF(OR(BQ252,BS252),IF(OVolType&lt;&gt;2,SQRT(IF(OVolOverMonthlyOffPeak,OVolOverMonthlyOffPeak,IF(OVolCurve,IF(OBuySell,AD252,AF252),AE252))^2*(1-15/365.25/BT252)+IF(OVolOverDailyOffPeak,OVolOverDailyOffPeak,IF(OVolCurve,IF(OBuySell,AP252,AR252),AQ252))^2*15/365.25/BT252),IF(OVolOverMonthlyOffPeak,OVolOverMonthlyOffPeak,IF(OVolCurve,IF(OBuySell,AD252,AF252),AE252))),"")</f>
        <v>#VALUE!</v>
      </c>
      <c r="CM252" s="1587" t="e">
        <f aca="false">IF(BQ252,SQRT(LN(1+((BY252*BP252)^2*(EXP(CJ252^2*BT252)-1)+(BX252*BC252)^2*(EXP(CL252^2*BT252)-1)+2*BY252*BP252*BX252*BC252*(EXP(AS252*CJ252*CL252*BT252)-1))/(BY252*BP252+BX252*BC252)^2)/BT252),"")</f>
        <v>#VALUE!</v>
      </c>
      <c r="CN252" s="1588" t="e">
        <f aca="false">IF(BS252,SQRT(LN(1+((CE252*BR252)^2*(EXP(CK252^2*BT252)-1)+(CD252*BK252)^2*(EXP(CL252^2*BT252)-1)+2*CE252*BR252*CD252*BK252*(EXP(AS252*CK252*CL252*BT252)-1))/(CE252*BR252+CD252*BK252)^2)/BT252),"")</f>
        <v>#VALUE!</v>
      </c>
      <c r="CO252" s="1531" t="e">
        <f aca="false">IF(OR(BQ252,BS252),VLOOKUP(A252,GasTable,13)*HeatRatePeak*(1+VLOOKUP($B252,HeatRateDegradation,$C252+1))/1000,0)</f>
        <v>#VALUE!</v>
      </c>
      <c r="CP252" s="1316" t="e">
        <f aca="false">IF(OR(BQ252,BS252),VLOOKUP(A252,GasTable,13)*HeatRatePeak*(1+VLOOKUP($B252,HeatRateDegradation,$C252+1))/1000,0)</f>
        <v>#VALUE!</v>
      </c>
      <c r="CQ252" s="1316" t="e">
        <f aca="false">IF(OR(BQ252,BS252),VLOOKUP(A252,GasTable,13)*IF(EV252,HeatRatePeak,HeatRateOffPeak)*(1+VLOOKUP($B252,HeatRateDegradation,$C252+1))/1000,0)</f>
        <v>#VALUE!</v>
      </c>
      <c r="CR252" s="1316" t="e">
        <f aca="false">IF(OR(BQ252,BS252),VLOOKUP(A252,GasTable,13)*IF(EW252,HeatRatePeak,HeatRateOffPeak)*(1+VLOOKUP($B252,HeatRateDegradation,$C252+1))/1000,0)</f>
        <v>#VALUE!</v>
      </c>
      <c r="CS252" s="1589" t="e">
        <f aca="false">IF(BQ252,(CO252*AZ252+CP252*BA252+CQ252*BB252+CR252*BC252)/BQ252,0)</f>
        <v>#VALUE!</v>
      </c>
      <c r="CT252" s="1316" t="e">
        <f aca="false">IF(BS252,CO252,0)</f>
        <v>#VALUE!</v>
      </c>
      <c r="CU252" s="1590" t="e">
        <f aca="false">IF(OR(BQ252,BS252),VLOOKUP(A252,GasTable,14),"")</f>
        <v>#VALUE!</v>
      </c>
      <c r="CV252" s="1568" t="e">
        <f aca="false">IF(OR(BQ252,BS252),IF(CorrPowerGasOverFlag,INDEX(CorrPowerGasOver,C252),CorrPowerGas),"")</f>
        <v>#VALUE!</v>
      </c>
      <c r="CW252" s="1316" t="e">
        <f aca="false">IF(OR($BQ252,$BS252),SpreadOptPowerMargin,0)*((1+Assumptions!$C$26)^($B252-YEAR(Assumptions!$C$17)))</f>
        <v>#VALUE!</v>
      </c>
      <c r="CX252" s="1316" t="e">
        <f aca="false">IF(OR($BQ252,$BS252),SpreadOptPowerMargin,0)*((1+Assumptions!$C$26)^($B252-YEAR(Assumptions!$C$17)))</f>
        <v>#VALUE!</v>
      </c>
      <c r="CY252" s="1316" t="e">
        <f aca="false">IF(OR($BQ252,$BS252),SpreadOptPowerMargin,0)*((1+Assumptions!$C$26)^($B252-YEAR(Assumptions!$C$17)))</f>
        <v>#VALUE!</v>
      </c>
      <c r="CZ252" s="1316" t="e">
        <f aca="false">IF(OR($BQ252,$BS252),SpreadOptPowerMargin,0)*((1+Assumptions!$C$26)^($B252-YEAR(Assumptions!$C$17)))</f>
        <v>#VALUE!</v>
      </c>
      <c r="DA252" s="1591" t="e">
        <f aca="false">IF(OR(BQ252,BS252),(CW252*(AZ252+BH252)+CX252*(BA252+BI252)+CY252*(BB252+BJ252)+CZ252*(BC252+BK252))/(BQ252+BS252),0)</f>
        <v>#VALUE!</v>
      </c>
      <c r="DB252" s="1592" t="e">
        <f aca="false">IF(OR(BQ252,BS252),CG252+IF(OVolSmile,VLOOKUP(MAX(-5,CO252+CW252-BU252),IF(OVolSmile=1,VolSmileBook,VolSmileModel),2),0),"")</f>
        <v>#VALUE!</v>
      </c>
      <c r="DC252" s="1592" t="e">
        <f aca="false">IF(OR(BQ252,BS252),CH252+IF(OVolSmile,VLOOKUP(MAX(-5,CP252+CW252-BV252),IF(OVolSmile=1,VolSmileBook,VolSmileModel),2),0),"")</f>
        <v>#VALUE!</v>
      </c>
      <c r="DD252" s="1592" t="e">
        <f aca="false">IF(OR(BQ252,BS252),CI252+IF(OVolSmile,VLOOKUP(MAX(-5,CQ252+CW252-BW252),IF(OVolSmile=1,VolSmileBook,VolSmileModel),2),0),"")</f>
        <v>#VALUE!</v>
      </c>
      <c r="DE252" s="1592" t="e">
        <f aca="false">IF(OR(BQ252,BS252),CL252+IF(OVolSmile,VLOOKUP(MAX(-5,CR252+CZ252-BX252),IF(OVolSmile=1,VolSmileBook,VolSmileModel),2),0),"")</f>
        <v>#VALUE!</v>
      </c>
      <c r="DF252" s="1592" t="e">
        <f aca="false">IF(BQ252,CM252+IF(OVolSmile,VLOOKUP(MAX(-5,CS252+DA252-BZ252),IF(OVolSmile=1,VolSmileBook,VolSmileModel),2),0),"")</f>
        <v>#VALUE!</v>
      </c>
      <c r="DG252" s="1593" t="e">
        <f aca="false">IF(BS252,CN252+IF(OVolSmile,VLOOKUP(MAX(-5,CT252+DA252-CF252),IF(OVolSmile=1,VolSmileBook,VolSmileModel),2),0),"")</f>
        <v>#VALUE!</v>
      </c>
      <c r="DH252" s="1316" t="e">
        <f aca="false">IF(AND(BU252&gt;0,CO252&gt;0,DB252&gt;0,CU252&gt;0),newSPRDOPT(BU252,CO252,CW252,0,DB252,CU252,CV252,BT252*365.25,OCallPut,0),0)</f>
        <v>#VALUE!</v>
      </c>
      <c r="DI252" s="1316" t="e">
        <f aca="false">IF(AND(BV252&gt;0,CP252&gt;0,DC252&gt;0,CU252&gt;0),newSPRDOPT(BV252,CP252,CX252,0,DC252,CU252,CV252,BT252*365.25,OCallPut,0),0)</f>
        <v>#VALUE!</v>
      </c>
      <c r="DJ252" s="1316" t="e">
        <f aca="false">IF(AND(BW252&gt;0,CQ252&gt;0,DD252&gt;0,CU252&gt;0),newSPRDOPT(BW252,CQ252,CY252,0,DD252,CU252,CV252,BT252*365.25,OCallPut,0),0)</f>
        <v>#VALUE!</v>
      </c>
      <c r="DK252" s="1316" t="e">
        <f aca="false">IF(AND(BX252&gt;0,CR252&gt;0,DE252&gt;0,CU252&gt;0),newSPRDOPT(BX252,CR252,CZ252,0,DE252,CU252,CV252,BT252*365.25,OCallPut,0),0)</f>
        <v>#VALUE!</v>
      </c>
      <c r="DL252" s="1316" t="e">
        <f aca="false">IF(OVolType,IF(AND(BZ252&gt;0,CS252&gt;0,DF252&gt;0,CU252&gt;0),newSPRDOPT(BZ252,CS252,DA252,0,DF252,CU252,CV252,BT252*365.25,OCallPut,0),0),IF(BQ252,(DH252*AZ252+DI252*BA252+DJ252*BB252+DK252*BC252)/BQ252,0))</f>
        <v>#VALUE!</v>
      </c>
      <c r="DM252" s="1316"/>
      <c r="DN252" s="1316"/>
      <c r="DO252" s="1316"/>
      <c r="DP252" s="1316"/>
      <c r="DQ252" s="1316"/>
      <c r="DR252" s="1316"/>
      <c r="DS252" s="1316"/>
      <c r="DT252" s="1316"/>
      <c r="DU252" s="1316"/>
      <c r="DV252" s="1316"/>
      <c r="DW252" s="1594" t="e">
        <f aca="false">IF(AND(BW252&gt;0,CT252&gt;0,DD252&gt;0,CU252&gt;0),newSPRDOPT(BW252,CT252,CY252,0,DD252,CU252,CV252,BT252*365.25,OCallPut,0),0)</f>
        <v>#VALUE!</v>
      </c>
      <c r="DX252" s="1316" t="e">
        <f aca="false">IF(AND(BX252&gt;0,CT252&gt;0,DE252&gt;0,CU252&gt;0),newSPRDOPT(BX252,CT252,CZ252,0,DE252,CU252,CV252,BT252*365.25,OCallPut,0),0)</f>
        <v>#VALUE!</v>
      </c>
      <c r="DY252" s="1591" t="e">
        <f aca="false">IF(BS252,(DH252*BH252+DI252*BI252+DW252*BJ252+DX252*BK252)/BS252,0)</f>
        <v>#VALUE!</v>
      </c>
      <c r="DZ252" s="1551" t="e">
        <f aca="false">DH252*AZ252</f>
        <v>#VALUE!</v>
      </c>
      <c r="EA252" s="1551" t="e">
        <f aca="false">DI252*BA252</f>
        <v>#VALUE!</v>
      </c>
      <c r="EB252" s="1551" t="e">
        <f aca="false">DJ252*BB252</f>
        <v>#VALUE!</v>
      </c>
      <c r="EC252" s="1551" t="e">
        <f aca="false">DK252*BC252</f>
        <v>#VALUE!</v>
      </c>
      <c r="ED252" s="1551" t="e">
        <f aca="false">DL252*BQ252</f>
        <v>#VALUE!</v>
      </c>
      <c r="EE252" s="1595" t="e">
        <f aca="false">IF(BQ252,IF(OCallPut,IF(BU252&gt;(CO252+CW252),BU252-(CO252+CW252),0),IF((CO252+CW252)&gt;BU252,(CO252+CW252)-BU252,0))*AZ252,0)</f>
        <v>#VALUE!</v>
      </c>
      <c r="EF252" s="1596" t="e">
        <f aca="false">IF(BQ252,IF(OCallPut,IF(BV252&gt;(CP252+CX252),BV252-(CP252+CX252),0),IF((CP252+CX252)&gt;BV252,(CP252+CX252)-BV252,0))*BA252,0)</f>
        <v>#VALUE!</v>
      </c>
      <c r="EG252" s="1596" t="e">
        <f aca="false">IF(BQ252,IF(OCallPut,IF(BW252&gt;(CQ252+CY252),BW252-(CQ252+CY252),0),IF((CQ252+CY252)&gt;BW252,(CQ252+CY252)-BW252,0))*BB252,0)</f>
        <v>#VALUE!</v>
      </c>
      <c r="EH252" s="1596" t="e">
        <f aca="false">IF(BQ252,IF(OCallPut,IF(BX252&gt;(CR252+CZ252),BX252-(CR252+CZ252),0),IF((CR252+CZ252)&gt;BX252,(CR252+CZ252)-BX252,0))*BC252,0)</f>
        <v>#VALUE!</v>
      </c>
      <c r="EI252" s="1597" t="e">
        <f aca="false">IF(BQ252,IF(OVolType,IF(OCallPut,IF(BZ252&gt;(CS252+DA252),BZ252-(CS252+DA252),0),IF((CS252+DA252)&gt;BZ252,(CS252+DA252)-BZ252,0))*BQ252,SUM(EE252:EH252)),0)</f>
        <v>#VALUE!</v>
      </c>
      <c r="EJ252" s="1595" t="e">
        <f aca="false">DZ252-EE252</f>
        <v>#VALUE!</v>
      </c>
      <c r="EK252" s="1596" t="e">
        <f aca="false">EA252-EF252</f>
        <v>#VALUE!</v>
      </c>
      <c r="EL252" s="1596" t="e">
        <f aca="false">EB252-EG252</f>
        <v>#VALUE!</v>
      </c>
      <c r="EM252" s="1596" t="e">
        <f aca="false">EC252-EH252</f>
        <v>#VALUE!</v>
      </c>
      <c r="EN252" s="1597" t="e">
        <f aca="false">ED252-EI252</f>
        <v>#VALUE!</v>
      </c>
      <c r="EO252" s="1551" t="e">
        <f aca="false">DH252*BH252</f>
        <v>#VALUE!</v>
      </c>
      <c r="EP252" s="1551" t="e">
        <f aca="false">DI252*BI252</f>
        <v>#VALUE!</v>
      </c>
      <c r="EQ252" s="1551" t="e">
        <f aca="false">DW252*BJ252</f>
        <v>#VALUE!</v>
      </c>
      <c r="ER252" s="1551" t="e">
        <f aca="false">DX252*BK252</f>
        <v>#VALUE!</v>
      </c>
      <c r="ES252" s="1551" t="e">
        <f aca="false">DY252*BS252</f>
        <v>#VALUE!</v>
      </c>
      <c r="ET252" s="1566" t="e">
        <f aca="false">IF(EI252,IF(OCallPut,IF(CA252&gt;(CT252+CW252),CA252-(CT252+CW252),0),IF((CT252+CW252)&gt;CA252,(CT252+CW252)-CA252,0))*BH252,0)</f>
        <v>#VALUE!</v>
      </c>
      <c r="EU252" s="1551" t="e">
        <f aca="false">IF(EI252,IF(OCallPut,IF(CB252&gt;(CT252+CX252),CB252-(CT252+CX252),0),IF((CT252+CX252)&gt;CB252,(CT252+CX252)-CB252,0))*BI252,0)</f>
        <v>#VALUE!</v>
      </c>
      <c r="EV252" s="1551" t="e">
        <f aca="false">IF(EI252,IF(OCallPut,IF(CC252&gt;(CT252+CY252),CC252-(CT252+CY252),0),IF((CT252+CY252)&gt;CC252,(CT252+CY252)-CC252,0))*BJ252,0)</f>
        <v>#VALUE!</v>
      </c>
      <c r="EW252" s="1551" t="e">
        <f aca="false">IF(EI252,IF(OCallPut,IF(CD252&gt;(CT252+CZ252),CD252-(CT252+CZ252),0),IF((CT252+CZ252)&gt;CD252,(CT252+CZ252)-CD252,0))*BK252,0)</f>
        <v>#VALUE!</v>
      </c>
      <c r="EX252" s="1558" t="e">
        <f aca="false">IF(EI252,SUM(ET252:EW252),0)</f>
        <v>#VALUE!</v>
      </c>
      <c r="EY252" s="1551" t="e">
        <f aca="false">EO252-ET252</f>
        <v>#VALUE!</v>
      </c>
      <c r="EZ252" s="1551" t="e">
        <f aca="false">EP252-EU252</f>
        <v>#VALUE!</v>
      </c>
      <c r="FA252" s="1551" t="e">
        <f aca="false">EQ252-EV252</f>
        <v>#VALUE!</v>
      </c>
      <c r="FB252" s="1551" t="e">
        <f aca="false">ER252-EW252</f>
        <v>#VALUE!</v>
      </c>
      <c r="FC252" s="1551" t="e">
        <f aca="false">ES252-EX252</f>
        <v>#VALUE!</v>
      </c>
      <c r="FD252" s="1525" t="n">
        <f aca="false">IF(AX252,IF(VLOOKUP(C252,MAIN!$L$17:$M$28,2)="Yes",VLOOKUP(CALC!B252,MAIN!$H$17:$I$20,2),0),0)</f>
        <v>0</v>
      </c>
      <c r="FE252" s="1552" t="e">
        <f aca="false">$FD252*16*AT252*(1-$AY252)</f>
        <v>#VALUE!</v>
      </c>
      <c r="FF252" s="1553" t="e">
        <f aca="false">$FD252*16*AU252*(1-$AY252)</f>
        <v>#VALUE!</v>
      </c>
      <c r="FG252" s="1553" t="e">
        <f aca="false">$FD252*16*(AV252+AW252)*(1-$AY252)</f>
        <v>#VALUE!</v>
      </c>
      <c r="FH252" s="1554" t="n">
        <f aca="false">$FD252*8*AX252*(1-$AY252)</f>
        <v>0</v>
      </c>
      <c r="FI252" s="1555" t="n">
        <f aca="false">IF(AX252,VLOOKUP(CALC!B252,MAIN!$H$17:$K$20,4),0)</f>
        <v>0</v>
      </c>
      <c r="FJ252" s="1553" t="e">
        <f aca="false">SUM(FE252:FH252)</f>
        <v>#VALUE!</v>
      </c>
      <c r="FK252" s="1556" t="e">
        <f aca="false">FI252*FJ252</f>
        <v>#VALUE!</v>
      </c>
      <c r="FL252" s="1551" t="e">
        <f aca="false">IF($EI252&gt;0,MIN(FE252,AZ252*(1+VLOOKUP($C252,WeatherCapacityAdjustment,2))),0)</f>
        <v>#VALUE!</v>
      </c>
      <c r="FM252" s="1551" t="e">
        <f aca="false">IF($EI252&gt;0,MIN(FF252,BA252*(1+VLOOKUP($C252,WeatherCapacityAdjustment,2))),0)</f>
        <v>#VALUE!</v>
      </c>
      <c r="FN252" s="1551" t="e">
        <f aca="false">IF($EI252&gt;0,MIN(FG252,BB252*(1+VLOOKUP($C252,WeatherCapacityAdjustment,2))),0)</f>
        <v>#VALUE!</v>
      </c>
      <c r="FO252" s="1564" t="e">
        <f aca="false">IF($EI252&gt;0,MIN(FH252,BC252*(1+VLOOKUP($C252,WeatherCapacityAdjustment,3))),0)</f>
        <v>#VALUE!</v>
      </c>
      <c r="FP252" s="1551" t="e">
        <f aca="false">IF(ET252&gt;0,MIN(FE252-FL252,BH252*(1+VLOOKUP($C252,WeatherCapacityAdjustment,2))),0)</f>
        <v>#VALUE!</v>
      </c>
      <c r="FQ252" s="1551" t="e">
        <f aca="false">IF(EU252&gt;0,MIN(FF252-FM252,BI252*(1+VLOOKUP($C252,WeatherCapacityAdjustment,2))),0)</f>
        <v>#VALUE!</v>
      </c>
      <c r="FR252" s="1551" t="e">
        <f aca="false">IF(EV252&gt;0,MIN(FG252-FN252,BJ252*(1+VLOOKUP($C252,WeatherCapacityAdjustment,2))),0)</f>
        <v>#VALUE!</v>
      </c>
      <c r="FS252" s="1558" t="e">
        <f aca="false">IF(EW252&gt;0,MIN(FH252-FO252,BK252*(1+VLOOKUP($C252,WeatherCapacityAdjustment,3))),0)</f>
        <v>#VALUE!</v>
      </c>
      <c r="FT252" s="1566" t="e">
        <f aca="false">IF(AND(Assumptions!$H$71="Yes",A252&gt;=Assumptions!$H$72,A252&lt;=Assumptions!$H$73),0,IF(AND($A252&gt;=Assumptions!$C$17,$A252&lt;=Assumptions!$C$18),MAX(AZ252*(1+VLOOKUP($C252,WeatherCapacityAdjustment,2))-FL252,0),0))</f>
        <v>#VALUE!</v>
      </c>
      <c r="FU252" s="1551" t="e">
        <f aca="false">IF(AND(Assumptions!$H$71="Yes",A252&gt;=Assumptions!$H$72,A252&lt;=Assumptions!$H$73),0,IF(AND($A252&gt;=Assumptions!$C$17,$A252&lt;=Assumptions!$C$18),MAX(BA252*(1+VLOOKUP($C252,WeatherCapacityAdjustment,2))-FM252,0),0))</f>
        <v>#VALUE!</v>
      </c>
      <c r="FV252" s="1551" t="e">
        <f aca="false">IF(AND(Assumptions!$H$71="Yes",A252&gt;=Assumptions!$H$72,A252&lt;=Assumptions!$H$73),0,IF(AND($A252&gt;=Assumptions!$C$17,$A252&lt;=Assumptions!$C$18),MAX(BB252*(1+VLOOKUP($C252,WeatherCapacityAdjustment,2))-FN252,0),0))</f>
        <v>#VALUE!</v>
      </c>
      <c r="FW252" s="1564" t="e">
        <f aca="false">IF(AND(Assumptions!$H$71="Yes",A252&gt;=Assumptions!$H$72,A252&lt;=Assumptions!$H$73),0,IF(AND($A252&gt;=Assumptions!$C$17,$A252&lt;=Assumptions!$C$18),MAX(BC252*(1+VLOOKUP($C252,WeatherCapacityAdjustment,3))-FO252,0),0))</f>
        <v>#VALUE!</v>
      </c>
      <c r="FX252" s="1569" t="e">
        <f aca="false">IF(AND(Assumptions!$H$71="Yes",A252&gt;=Assumptions!$H$72,A252&lt;=Assumptions!$H$73),0,IF(ET252&gt;0,MAX(BH252*(1+VLOOKUP($C252,WeatherCapacityAdjustment,2))-FP252,0),0))</f>
        <v>#VALUE!</v>
      </c>
      <c r="FY252" s="1551" t="e">
        <f aca="false">IF(AND(Assumptions!$H$71="Yes",A252&gt;=Assumptions!$H$72,A252&lt;=Assumptions!$H$73),0,IF(EU252&gt;0,MAX(BI252*(1+VLOOKUP($C252,WeatherCapacityAdjustment,3))-FQ252,0),0))</f>
        <v>#VALUE!</v>
      </c>
      <c r="FZ252" s="1551" t="e">
        <f aca="false">IF(AND(Assumptions!$H$71="Yes",A252&gt;=Assumptions!$H$72,A252&lt;=Assumptions!$H$73),0,IF(EV252&gt;0,MAX(BJ252*(1+VLOOKUP($C252,WeatherCapacityAdjustment,2))-FR252,0),0))</f>
        <v>#VALUE!</v>
      </c>
      <c r="GA252" s="1564" t="e">
        <f aca="false">IF(AND(Assumptions!$H$71="Yes",A252&gt;=Assumptions!$H$72,A252&lt;=Assumptions!$H$73),0,IF(EW252&gt;0,MAX(BK252*(1+VLOOKUP($C252,WeatherCapacityAdjustment,2))-FS252,0),0))</f>
        <v>#VALUE!</v>
      </c>
      <c r="GB252" s="1551" t="e">
        <f aca="false">SUM(FT252:GA252)</f>
        <v>#VALUE!</v>
      </c>
      <c r="GC252" s="1563" t="e">
        <f aca="false">+IF(SUM(FT252:GA252)=0,0,(SUMPRODUCT(BU252:BX252,FT252:FW252)+SUMPRODUCT(CA252:CD252,FX252:GA252))/SUM(FT252:GA252))</f>
        <v>#VALUE!</v>
      </c>
      <c r="GD252" s="1551" t="e">
        <f aca="false">(FT252*BU252+FX252*CA252+FU252*BV252+FY252*CB252+FV252*BW252+FZ252*CC252+FW252*BX252+GA252*CD252)</f>
        <v>#VALUE!</v>
      </c>
      <c r="GE252" s="1561" t="e">
        <f aca="false">+IF(BQ252,((FL252+FM252+FT252+FU252)*HeatRatePeak/1000*(1+VLOOKUP($C252,WeatherHeatRateAdjustment,2))+(FN252+FV252)*IF(EV252&gt;0,HeatRatePeak,HeatRateOffPeak)/1000*(1+VLOOKUP($C252,WeatherHeatRateAdjustment,2))+(FO252+FW252)*IF(EW252&gt;0,HeatRatePeak,HeatRateOffPeak)/1000*(1+VLOOKUP($C252,WeatherHeatRateAdjustment,3)))*(1+VLOOKUP($B252,HeatRateDegradation,$C252+1)),0)</f>
        <v>#VALUE!</v>
      </c>
      <c r="GF252" s="1562" t="e">
        <f aca="false">IF(BQ252,((FP252+FQ252+FR252+FX252+FY252+FZ252)*HeatRatePeak/1000*(1+VLOOKUP($C252,WeatherHeatRateAdjustment,2))+(FS252+GA252)*HeatRatePeak/1000*(1+VLOOKUP($C252,WeatherHeatRateAdjustment,3)))*(1+VLOOKUP($B252,HeatRateDegradation,$C252+1)),0)</f>
        <v>#VALUE!</v>
      </c>
      <c r="GG252" s="1563" t="e">
        <f aca="false">IF(BQ252,VLOOKUP(A252,GasTable,13),0)</f>
        <v>#VALUE!</v>
      </c>
      <c r="GH252" s="1564" t="e">
        <f aca="false">(GE252+GF252)*GG252</f>
        <v>#VALUE!</v>
      </c>
      <c r="GI252" s="1569" t="e">
        <f aca="false">GB252</f>
        <v>#VALUE!</v>
      </c>
      <c r="GJ252" s="1598" t="e">
        <f aca="false">+DA252</f>
        <v>#VALUE!</v>
      </c>
      <c r="GK252" s="1558" t="e">
        <f aca="false">+GI252*GJ252</f>
        <v>#VALUE!</v>
      </c>
      <c r="GL252" s="1566" t="e">
        <f aca="false">MAX(FE252-FL252-FP252,0)</f>
        <v>#VALUE!</v>
      </c>
      <c r="GM252" s="1551" t="e">
        <f aca="false">MAX(FF252-FM252-FQ252,0)</f>
        <v>#VALUE!</v>
      </c>
      <c r="GN252" s="1551" t="e">
        <f aca="false">MAX(FG252-FN252-FR252,0)</f>
        <v>#VALUE!</v>
      </c>
      <c r="GO252" s="1564" t="e">
        <f aca="false">MAX(FH252-FO252-FS252,0)</f>
        <v>#VALUE!</v>
      </c>
      <c r="GP252" s="1551" t="e">
        <f aca="false">SUM(GL252:GO252)</f>
        <v>#VALUE!</v>
      </c>
      <c r="GQ252" s="1563" t="e">
        <f aca="false">IF(SUM(GL252:GO252)=0,0,((GL252*BU252+GM252*BV252+GN252*BW252+GO252*BX252)/SUM(GL252:GO252)))</f>
        <v>#VALUE!</v>
      </c>
      <c r="GR252" s="1558" t="e">
        <f aca="false">(GL252*BU252+GM252*BV252+GN252*BW252+GO252*BX252)</f>
        <v>#VALUE!</v>
      </c>
      <c r="GS252" s="1566" t="n">
        <f aca="false">IF($A252&gt;=BegDate,Assumptions!$C$56*24*($A253-$A252)*(1-VLOOKUP($B252,MAIN!$AA$7:$AM$28,$C252+1))*(1-VLOOKUP($B252,MAIN!$AA$33:$AM$54,$C252+1)),0)*80/168</f>
        <v>257742.857142857</v>
      </c>
      <c r="GT252" s="286" t="n">
        <f aca="false">J252</f>
        <v>58.3401886206345</v>
      </c>
      <c r="GU252" s="286" t="n">
        <f aca="false">IF($A252&gt;=BegDate,VLOOKUP($A252,GasTable,13)+Assumptions!$C$58,0)</f>
        <v>4.34239159493099</v>
      </c>
      <c r="GV252" s="286" t="n">
        <f aca="false">GU252*Assumptions!$C$57/1000</f>
        <v>31.4823390632497</v>
      </c>
      <c r="GW252" s="1558" t="n">
        <f aca="false">IF(Assumptions!$C$60="Hourly",MAX(0,GS252*(GT252-GV252)),GS252*(GT252-GV252))</f>
        <v>6922418.88163338</v>
      </c>
      <c r="GX252" s="1566" t="n">
        <f aca="false">IF($A252&gt;=BegDate,Assumptions!$C$56*24*($A253-$A252)*(1-VLOOKUP($B252,MAIN!$AA$7:$AM$28,$C252+1))*(1-VLOOKUP($B252,MAIN!$AA$33:$AM$54,$C252+1)),0)*16/168</f>
        <v>51548.5714285714</v>
      </c>
      <c r="GY252" s="286" t="n">
        <f aca="false">M252</f>
        <v>58.3401886206345</v>
      </c>
      <c r="GZ252" s="286" t="n">
        <f aca="false">IF($A252&gt;=BegDate,VLOOKUP($A252,GasTable,13)+Assumptions!$C$58,0)</f>
        <v>4.34239159493099</v>
      </c>
      <c r="HA252" s="286" t="n">
        <f aca="false">GZ252*Assumptions!$C$57/1000</f>
        <v>31.4823390632497</v>
      </c>
      <c r="HB252" s="1558" t="n">
        <f aca="false">IF(Assumptions!$C$60="Hourly",MAX(0,GX252*(GY252-HA252)),GX252*(GY252-HA252))</f>
        <v>1384483.77632668</v>
      </c>
      <c r="HC252" s="1566" t="n">
        <f aca="false">IF($A252&gt;=BegDate,Assumptions!$C$56*24*($A253-$A252)*(1-VLOOKUP($B252,MAIN!$AA$7:$AM$28,$C252+1))*(1-VLOOKUP($B252,MAIN!$AA$33:$AM$54,$C252+1)),0)*16/168</f>
        <v>51548.5714285714</v>
      </c>
      <c r="HD252" s="286" t="n">
        <f aca="false">P252</f>
        <v>36.5889780469737</v>
      </c>
      <c r="HE252" s="286" t="n">
        <f aca="false">IF($A252&gt;=BegDate,VLOOKUP($A252,GasTable,13)+Assumptions!$C$58,0)</f>
        <v>4.34239159493099</v>
      </c>
      <c r="HF252" s="286" t="n">
        <f aca="false">HE252*Assumptions!$C$57/1000</f>
        <v>31.4823390632497</v>
      </c>
      <c r="HG252" s="1558" t="n">
        <f aca="false">IF(Assumptions!$C$60="Hourly",MAX(0,HC252*(HD252-HF252)),HC252*(HD252-HF252))</f>
        <v>263239.944412423</v>
      </c>
      <c r="HH252" s="1566" t="n">
        <f aca="false">IF($A252&gt;=BegDate,Assumptions!$C$56*24*($A253-$A252)*(1-VLOOKUP($B252,MAIN!$AA$7:$AM$28,$C252+1))*(1-VLOOKUP($B252,MAIN!$AA$33:$AM$54,$C252+1)),0)*56/168</f>
        <v>180420</v>
      </c>
      <c r="HI252" s="286" t="n">
        <f aca="false">S252</f>
        <v>36.5889780469737</v>
      </c>
      <c r="HJ252" s="286" t="n">
        <f aca="false">IF($A252&gt;=BegDate,VLOOKUP($A252,GasTable,13)+Assumptions!$C$58,0)</f>
        <v>4.34239159493099</v>
      </c>
      <c r="HK252" s="286" t="n">
        <f aca="false">HJ252*Assumptions!$C$57/1000</f>
        <v>31.4823390632497</v>
      </c>
      <c r="HL252" s="1558" t="n">
        <f aca="false">IF(Assumptions!$C$60="Hourly",MAX(0,HH252*(HI252-HK252)),HH252*(HI252-HK252))</f>
        <v>921339.80544348</v>
      </c>
      <c r="HM252" s="1566" t="n">
        <f aca="false">IF(AND(Assumptions!$H$71="Yes",A252&gt;=Assumptions!$H$72,A252&lt;=Assumptions!$H$73),Assumptions!$H$74*Assumptions!$C$9*1000,0)</f>
        <v>0</v>
      </c>
      <c r="HN252" s="1551"/>
      <c r="HO252" s="1563"/>
      <c r="HP252" s="1563"/>
      <c r="HQ252" s="1563"/>
      <c r="HR252" s="1563"/>
      <c r="HS252" s="1563"/>
      <c r="HT252" s="1563"/>
      <c r="HU252" s="1563"/>
      <c r="HV252" s="1563"/>
      <c r="HW252" s="1563"/>
      <c r="HX252" s="1563"/>
      <c r="HY252" s="1563"/>
      <c r="HZ252" s="1563"/>
      <c r="IA252" s="1563"/>
      <c r="IB252" s="1563"/>
      <c r="IC252" s="1563"/>
      <c r="ID252" s="1563"/>
      <c r="IE252" s="1563"/>
      <c r="IF252" s="1563"/>
      <c r="IG252" s="1563"/>
      <c r="IH252" s="1563"/>
      <c r="II252" s="1610"/>
      <c r="IJ252" s="1309"/>
      <c r="IK252" s="1309"/>
    </row>
    <row r="253" customFormat="false" ht="12.75" hidden="false" customHeight="false" outlineLevel="0" collapsed="false">
      <c r="A253" s="1571" t="n">
        <f aca="false">EOMONTH(A252,0)+1</f>
        <v>43831</v>
      </c>
      <c r="B253" s="594" t="n">
        <f aca="false">+YEAR(A253)</f>
        <v>2020</v>
      </c>
      <c r="C253" s="238" t="n">
        <f aca="false">MONTH(A253)</f>
        <v>1</v>
      </c>
      <c r="D253" s="1572" t="e">
        <f aca="false">IF(E253="","",Holiday(B253,C253))</f>
        <v>#VALUE!</v>
      </c>
      <c r="E253" s="1573" t="n">
        <f aca="false">IF(OR(BegDate&gt;=A254,EndDate&lt;A253,AND(VolumeMonthlyOverFlag,INDEX(VolumeMonthlyOver,C253)=0),NOT(INDEX(MonthKnockOutTable,C253))),"",MAX(A253,BegDate))</f>
        <v>43831</v>
      </c>
      <c r="F253" s="1574" t="n">
        <f aca="false">IF(E253="","",MIN(A254-1,EndDate))</f>
        <v>43861</v>
      </c>
      <c r="G253" s="1575" t="n">
        <v>0</v>
      </c>
      <c r="H253" s="1576" t="n">
        <f aca="false">(1+G253/2)^(-2*(DATE(B254,C254,20)-DateToday)/365.25)</f>
        <v>1</v>
      </c>
      <c r="I253" s="1568" t="n">
        <f aca="false">IF(Assumptions!$L$25=4,VLOOKUP($A253,'Henwood Reference'!$E$9:$R$320,10),(VLOOKUP($A253,PriceTable,2,0)+IF(BasisNumber&lt;&gt;1,VLOOKUP($A253,BasisTable,2,0),0)+I$1)/(1-I$2))</f>
        <v>61.4289167550056</v>
      </c>
      <c r="J253" s="1568" t="n">
        <f aca="false">IF(Assumptions!$L$25=4,VLOOKUP($A253,'Henwood Reference'!$E$9:$R$320,10),(VLOOKUP($A253,PriceTable,3,0)+IF(BasisNumber&lt;&gt;1,VLOOKUP($A253,BasisTable,2,0),0)+J$1)/(1-J$2))</f>
        <v>61.4289167550056</v>
      </c>
      <c r="K253" s="1568" t="n">
        <f aca="false">IF(Assumptions!$L$25=4,VLOOKUP($A253,'Henwood Reference'!$E$9:$R$320,10),(VLOOKUP($A253,PriceTable,4,0)+IF(BasisNumber&lt;&gt;1,VLOOKUP($A253,BasisTable,2,0),0)+K$1)/(1-K$2))</f>
        <v>61.4289167550056</v>
      </c>
      <c r="L253" s="1523" t="n">
        <f aca="false">IF(Assumptions!$L$25=4,VLOOKUP($A253,'Henwood Reference'!$E$9:$R$320,10),(VLOOKUP($A253,PriceTableWeekend,2,0)+IF(BasisNumber&lt;&gt;1,VLOOKUP($A253,BasisTable,2,0),0)+L$1)/(1-L$2))</f>
        <v>61.4289167550056</v>
      </c>
      <c r="M253" s="1568" t="n">
        <f aca="false">IF(Assumptions!$L$25=4,VLOOKUP($A253,'Henwood Reference'!$E$9:$R$320,10),(VLOOKUP($A253,PriceTableWeekend,3,0)+IF(BasisNumber&lt;&gt;1,VLOOKUP($A253,BasisTable,2,0),0)+M$1)/(1-M$2))</f>
        <v>61.4289167550056</v>
      </c>
      <c r="N253" s="1599" t="n">
        <f aca="false">IF(Assumptions!$L$25=4,VLOOKUP($A253,'Henwood Reference'!$E$9:$R$320,10),(VLOOKUP($A253,PriceTableWeekend,4,0)+IF(BasisNumber&lt;&gt;1,VLOOKUP($A253,BasisTable,2,0),0)+N$1)/(1-N$2))</f>
        <v>61.4289167550056</v>
      </c>
      <c r="O253" s="1568" t="n">
        <f aca="false">IF(Assumptions!$L$25=4,VLOOKUP($A253,'Henwood Reference'!$E$9:$R$320,11),(VLOOKUP($A253,PriceTableWeekend,6,0)+IF(BasisNumber&lt;&gt;1,VLOOKUP($A253,BasisTable,3,0),0)+O$1)/(1-O$2))</f>
        <v>34.6221285420769</v>
      </c>
      <c r="P253" s="1568" t="n">
        <f aca="false">IF(Assumptions!$L$25=4,VLOOKUP($A253,'Henwood Reference'!$E$9:$R$320,11),(VLOOKUP($A253,PriceTableWeekend,7,0)+IF(BasisNumber&lt;&gt;1,VLOOKUP($A253,BasisTable,3,0),0)+P$1)/(1-P$2))</f>
        <v>34.6221285420769</v>
      </c>
      <c r="Q253" s="1599" t="n">
        <f aca="false">IF(Assumptions!$L$25=4,VLOOKUP($A253,'Henwood Reference'!$E$9:$R$320,11),(VLOOKUP($A253,PriceTableWeekend,8,0)+IF(BasisNumber&lt;&gt;1,VLOOKUP($A253,BasisTable,3,0),0)+Q$1)/(1-Q$2))</f>
        <v>34.6221285420769</v>
      </c>
      <c r="R253" s="1568" t="n">
        <f aca="false">IF(Assumptions!$L$25=4,VLOOKUP($A253,'Henwood Reference'!$E$9:$R$320,11),(VLOOKUP($A253,PriceTable,6,0)+IF(BasisNumber&lt;&gt;1,VLOOKUP($A253,BasisTable,3,0),0)+R$1)/(1-R$2))</f>
        <v>34.6221285420769</v>
      </c>
      <c r="S253" s="1568" t="n">
        <f aca="false">IF(Assumptions!$L$25=4,VLOOKUP($A253,'Henwood Reference'!$E$9:$R$320,11),(VLOOKUP($A253,PriceTable,7,0)+IF(BasisNumber&lt;&gt;1,VLOOKUP($A253,BasisTable,3,0),0)+S$1)/(1-S$2))</f>
        <v>34.6221285420769</v>
      </c>
      <c r="T253" s="1600" t="n">
        <f aca="false">IF(Assumptions!$L$25=4,VLOOKUP($A253,'Henwood Reference'!$E$9:$R$320,11),(VLOOKUP($A253,PriceTable,8,0)+IF(BasisNumber&lt;&gt;1,VLOOKUP($A253,BasisTable,3,0),0)+T$1)/(1-T$2))</f>
        <v>34.6221285420769</v>
      </c>
      <c r="U253" s="1513" t="n">
        <f aca="false">VLOOKUP($A253,VolatilityTable,14)</f>
        <v>0.09</v>
      </c>
      <c r="V253" s="1513" t="n">
        <f aca="false">VLOOKUP($A253,VolatilityTable,15)</f>
        <v>0.1</v>
      </c>
      <c r="W253" s="1514" t="n">
        <f aca="false">VLOOKUP($A253,VolatilityTable,16)</f>
        <v>0.11</v>
      </c>
      <c r="X253" s="1513" t="n">
        <f aca="false">VLOOKUP($A253,VolatilityTable,14)</f>
        <v>0.09</v>
      </c>
      <c r="Y253" s="1513" t="n">
        <f aca="false">VLOOKUP($A253,VolatilityTable,15)</f>
        <v>0.1</v>
      </c>
      <c r="Z253" s="1514" t="n">
        <f aca="false">VLOOKUP($A253,VolatilityTable,16)</f>
        <v>0.11</v>
      </c>
      <c r="AA253" s="1513" t="n">
        <f aca="false">VLOOKUP($A253,VolatilityTable,18)</f>
        <v>0.09</v>
      </c>
      <c r="AB253" s="1513" t="n">
        <f aca="false">VLOOKUP($A253,VolatilityTable,19)</f>
        <v>0.11</v>
      </c>
      <c r="AC253" s="1514" t="n">
        <f aca="false">VLOOKUP($A253,VolatilityTable,20)</f>
        <v>0.13</v>
      </c>
      <c r="AD253" s="1513" t="n">
        <f aca="false">VLOOKUP($A253,VolatilityTable,18)</f>
        <v>0.09</v>
      </c>
      <c r="AE253" s="1513" t="n">
        <f aca="false">VLOOKUP($A253,VolatilityTable,19)</f>
        <v>0.11</v>
      </c>
      <c r="AF253" s="1514" t="n">
        <f aca="false">VLOOKUP($A253,VolatilityTable,20)</f>
        <v>0.13</v>
      </c>
      <c r="AG253" s="1513" t="n">
        <f aca="false">VLOOKUP($A253,VolatilityTable,22)</f>
        <v>-0.25</v>
      </c>
      <c r="AH253" s="1513" t="n">
        <f aca="false">VLOOKUP($A253,VolatilityTable,23)</f>
        <v>0.6</v>
      </c>
      <c r="AI253" s="1514" t="n">
        <f aca="false">VLOOKUP($A253,VolatilityTable,24)</f>
        <v>0.25</v>
      </c>
      <c r="AJ253" s="1513" t="n">
        <f aca="false">VLOOKUP($A253,VolatilityTable,22)</f>
        <v>-0.25</v>
      </c>
      <c r="AK253" s="1513" t="n">
        <f aca="false">VLOOKUP($A253,VolatilityTable,23)</f>
        <v>0.6</v>
      </c>
      <c r="AL253" s="1514" t="n">
        <f aca="false">VLOOKUP($A253,VolatilityTable,24)</f>
        <v>0.25</v>
      </c>
      <c r="AM253" s="1513" t="n">
        <f aca="false">VLOOKUP($A253,VolatilityTable,26)</f>
        <v>-0.01</v>
      </c>
      <c r="AN253" s="1513" t="n">
        <f aca="false">VLOOKUP($A253,VolatilityTable,27)</f>
        <v>0.16</v>
      </c>
      <c r="AO253" s="1514" t="n">
        <f aca="false">VLOOKUP($A253,VolatilityTable,28)</f>
        <v>0.01</v>
      </c>
      <c r="AP253" s="1513" t="n">
        <f aca="false">VLOOKUP($A253,VolatilityTable,26)</f>
        <v>-0.01</v>
      </c>
      <c r="AQ253" s="1513" t="n">
        <f aca="false">VLOOKUP($A253,VolatilityTable,27)</f>
        <v>0.16</v>
      </c>
      <c r="AR253" s="1515" t="n">
        <f aca="false">VLOOKUP($A253,VolatilityTable,28)</f>
        <v>0.01</v>
      </c>
      <c r="AS253" s="1581" t="n">
        <f aca="false">IF(CorrPeakOffPeakOverFlag,INDEX(CorrPeakOffPeakOver,C253),CorrPeakOffPeak)</f>
        <v>0.5</v>
      </c>
      <c r="AT253" s="594" t="e">
        <f aca="false">AX253-SUM(AU253:AW253)</f>
        <v>#VALUE!</v>
      </c>
      <c r="AU253" s="238" t="e">
        <f aca="false">IF(E253="",0,INT((F253-MOD(F253,7)-E253)/7)+1-IF(AW253,IF(WEEKDAY(D253)=7,1,0),0))</f>
        <v>#VALUE!</v>
      </c>
      <c r="AV253" s="238" t="e">
        <f aca="false">IF(E253="",0,INT((F253-MOD(F253-1,7)-E253)/7)+1-IF(AW253,IF(WEEKDAY(D253)=1,1,0),0))</f>
        <v>#VALUE!</v>
      </c>
      <c r="AW253" s="238" t="e">
        <f aca="false">IF(OR(E253="",D253="",D253&lt;BegDate,D253&gt;EndDate),0,1)</f>
        <v>#VALUE!</v>
      </c>
      <c r="AX253" s="238" t="n">
        <f aca="false">IF(E253="",0,F253-E253+1)</f>
        <v>31</v>
      </c>
      <c r="AY253" s="1582" t="n">
        <f aca="false">IF(E253="",0,MIN((1-(1-VLOOKUP(B253,MAIN!$AA$7:$AM$28,C253+1))*(1-VLOOKUP(B253,MAIN!$AA$33:$AM$54,C253+1))),1))</f>
        <v>0.03</v>
      </c>
      <c r="AZ253" s="1519" t="e">
        <v>#VALUE!</v>
      </c>
      <c r="BA253" s="1520" t="e">
        <v>#VALUE!</v>
      </c>
      <c r="BB253" s="1520" t="e">
        <v>#VALUE!</v>
      </c>
      <c r="BC253" s="1583" t="e">
        <v>#VALUE!</v>
      </c>
      <c r="BD253" s="1522" t="e">
        <v>#VALUE!</v>
      </c>
      <c r="BE253" s="1523" t="e">
        <v>#VALUE!</v>
      </c>
      <c r="BF253" s="1523" t="e">
        <v>#VALUE!</v>
      </c>
      <c r="BG253" s="1584" t="e">
        <v>#VALUE!</v>
      </c>
      <c r="BH253" s="1525" t="e">
        <v>#VALUE!</v>
      </c>
      <c r="BI253" s="1520" t="e">
        <v>#VALUE!</v>
      </c>
      <c r="BJ253" s="1520" t="e">
        <v>#VALUE!</v>
      </c>
      <c r="BK253" s="1583" t="e">
        <v>#VALUE!</v>
      </c>
      <c r="BL253" s="1522" t="e">
        <v>#VALUE!</v>
      </c>
      <c r="BM253" s="1523" t="e">
        <v>#VALUE!</v>
      </c>
      <c r="BN253" s="1523" t="e">
        <v>#VALUE!</v>
      </c>
      <c r="BO253" s="1523" t="e">
        <v>#VALUE!</v>
      </c>
      <c r="BP253" s="1525" t="e">
        <f aca="false">SUM(AZ253:BB253)</f>
        <v>#VALUE!</v>
      </c>
      <c r="BQ253" s="1529" t="e">
        <f aca="false">SUM(AZ253:BC253)</f>
        <v>#VALUE!</v>
      </c>
      <c r="BR253" s="1519" t="e">
        <f aca="false">SUM(BH253:BJ253)</f>
        <v>#VALUE!</v>
      </c>
      <c r="BS253" s="1529" t="e">
        <f aca="false">SUM(BH253:BK253)</f>
        <v>#VALUE!</v>
      </c>
      <c r="BT253" s="1316" t="n">
        <f aca="false">(IF(OVolType&lt;&gt;2,A253+14,IF(OptExpDateShift,ShiftBack(A253,OptExpDateShift,D252),A253))-DateToday)/365.25</f>
        <v>19.7152635181383</v>
      </c>
      <c r="BU253" s="1585" t="e">
        <f aca="false">IF(BQ253,IF(OPriceCurve,IF(OBuySell=OCallPut,I253/(1-AY253),K253/(1-AY253)),J253/(1-AY253))*BD253,0)</f>
        <v>#VALUE!</v>
      </c>
      <c r="BV253" s="1316" t="e">
        <f aca="false">IF(BQ253,IF(OPriceCurve,IF(OBuySell=OCallPut,L253/(1-AY253),N253/(1-AY253)),M253/(1-AY253))*BE253,0)</f>
        <v>#VALUE!</v>
      </c>
      <c r="BW253" s="1316" t="e">
        <f aca="false">IF(BQ253,IF(OPriceCurve,IF(OBuySell=OCallPut,O253/(1-AY253),Q253/(1-AY253)),P253/(1-AY253))*BF253,0)</f>
        <v>#VALUE!</v>
      </c>
      <c r="BX253" s="1316" t="e">
        <f aca="false">IF(BQ253,IF(OPriceCurve,IF(OBuySell=OCallPut,R253/(1-AY253),T253/(1-AY253)),S253/(1-AY253))*BG253,0)</f>
        <v>#VALUE!</v>
      </c>
      <c r="BY253" s="1316" t="e">
        <f aca="false">IF(BP253,(BU253*AZ253+BV253*BA253+BW253*BB253)/BP253,0)</f>
        <v>#VALUE!</v>
      </c>
      <c r="BZ253" s="1316" t="e">
        <f aca="false">IF(BQ253,(BY253*BP253+BX253*BC253)/BQ253,0)</f>
        <v>#VALUE!</v>
      </c>
      <c r="CA253" s="1531" t="e">
        <f aca="false">IF(BS253,IF(OPriceCurve,IF(OBuySell=OCallPut,I253/(1-AY253),K253/(1-AY253)),J253/(1-AY253))*BL253,0)</f>
        <v>#VALUE!</v>
      </c>
      <c r="CB253" s="1316" t="e">
        <f aca="false">IF(BS253,IF(OPriceCurve,IF(OBuySell=OCallPut,L253/(1-AY253),N253/(1-AY253)),M253/(1-AY253))*BM253,0)</f>
        <v>#VALUE!</v>
      </c>
      <c r="CC253" s="1316" t="e">
        <f aca="false">IF(BS253,IF(OPriceCurve,IF(OBuySell=OCallPut,O253/(1-AY253),Q253/(1-AY253)),P253/(1-AY253))*BN253,0)</f>
        <v>#VALUE!</v>
      </c>
      <c r="CD253" s="1316" t="e">
        <f aca="false">IF(BS253,IF(OPriceCurve,IF(OBuySell=OCallPut,R253/(1-AY253),T253/(1-AY253)),S253/(1-AY253))*BO253,0)</f>
        <v>#VALUE!</v>
      </c>
      <c r="CE253" s="1316" t="e">
        <f aca="false">IF(BR253,(BU253*BH253+BV253*BI253+BW253*BJ253)/BR253,0)</f>
        <v>#VALUE!</v>
      </c>
      <c r="CF253" s="1532" t="e">
        <f aca="false">IF(BS253,(CE253*BR253+CD253*BK253)/BS253,0)</f>
        <v>#VALUE!</v>
      </c>
      <c r="CG253" s="1586" t="e">
        <f aca="false">IF(OR(BQ253,BS253),IF(OVolType&lt;&gt;2,SQRT(IF(OVolOverMonthlyPeak,OVolOverMonthlyPeak,IF(OVolCurve,IF(OBuySell,U253,W253),V253))^2*(1-15/365.25/BT253)+IF(OVolOverDailyPeak,OVolOverDailyPeak,IF(OVolCurve,IF(OBuySell,AG253,AI253),AH253))^2*15/365.25/BT253),IF(OVolOverMonthlyPeak,OVolOverMonthlyPeak,IF(OVolCurve,IF(OBuySell,U253,W253),V253))),"")</f>
        <v>#VALUE!</v>
      </c>
      <c r="CH253" s="1587" t="e">
        <f aca="false">IF(OR(BQ253,BS253),IF(OVolType&lt;&gt;2,SQRT(IF(OVolOverMonthlyPeak,OVolOverMonthlyPeak,IF(OVolCurve,IF(OBuySell,X253,Z253),Y253))^2*(1-15/365.25/BT253)+IF(OVolOverDailyPeak,OVolOverDailyPeak,IF(OVolCurve,IF(OBuySell,AJ253,AL253),AK253))^2*15/365.25/BT253),IF(OVolOverMonthlyPeak,OVolOverMonthlyPeak,IF(OVolCurve,IF(OBuySell,X253,Z253),Y253))),"")</f>
        <v>#VALUE!</v>
      </c>
      <c r="CI253" s="1587" t="e">
        <f aca="false">IF(OR(BQ253,BS253),IF(OVolType&lt;&gt;2,SQRT(IF(OVolOverMonthlyPeak,OVolOverMonthlyPeak,IF(OVolCurve,IF(OBuySell,AA253,AC253),AB253))^2*(1-15/365.25/BT253)+IF(OVolOverDailyPeak,OVolOverDailyPeak,IF(OVolCurve,IF(OBuySell,AM253,AO253),AN253))^2*15/365.25/BT253),IF(OVolOverMonthlyPeak,OVolOverMonthlyPeak,IF(OVolCurve,IF(OBuySell,AA253,AC253),AB253))),"")</f>
        <v>#VALUE!</v>
      </c>
      <c r="CJ253" s="1587" t="e">
        <f aca="false">IF(BQ253,IF(BP253,SQRT(LN(1+((BU253*AZ253)^2*(EXP(CG253^2*BT253)-1)+(BV253*BA253)^2*(EXP(CH253^2*BT253)-1)+(BW253*BB253)^2*(EXP(CI253^2*BT253)-1)+2*BU253*AZ253*BV253*BA253*(EXP(CG253*CH253*BT253)-1)+2*BV253*BA253*BW253*BB253*(EXP(CH253*CI253*BT253)-1)+2*BW253*BB253*BU253*AZ253*(EXP(CI253*CG253*BT253)-1))/(BY253*BP253)^2)/BT253),0),"")</f>
        <v>#VALUE!</v>
      </c>
      <c r="CK253" s="1587" t="e">
        <f aca="false">IF(BS253,IF(BR253,SQRT(LN(1+((CA253*BH253)^2*(EXP(CG253^2*BT253)-1)+(CB253*BI253)^2*(EXP(CH253^2*BT253)-1)+(CC253*BJ253)^2*(EXP(CI253^2*BT253)-1)+2*CA253*BH253*CB253*BI253*(EXP(CG253*CH253*BT253)-1)+2*CB253*BI253*CC253*BJ253*(EXP(CH253*CI253*BT253)-1)+2*CC253*BJ253*CA253*BH253*(EXP(CI253*CG253*BT253)-1))/(CE253*BR253)^2)/BT253),0),"")</f>
        <v>#VALUE!</v>
      </c>
      <c r="CL253" s="1587" t="e">
        <f aca="false">IF(OR(BQ253,BS253),IF(OVolType&lt;&gt;2,SQRT(IF(OVolOverMonthlyOffPeak,OVolOverMonthlyOffPeak,IF(OVolCurve,IF(OBuySell,AD253,AF253),AE253))^2*(1-15/365.25/BT253)+IF(OVolOverDailyOffPeak,OVolOverDailyOffPeak,IF(OVolCurve,IF(OBuySell,AP253,AR253),AQ253))^2*15/365.25/BT253),IF(OVolOverMonthlyOffPeak,OVolOverMonthlyOffPeak,IF(OVolCurve,IF(OBuySell,AD253,AF253),AE253))),"")</f>
        <v>#VALUE!</v>
      </c>
      <c r="CM253" s="1587" t="e">
        <f aca="false">IF(BQ253,SQRT(LN(1+((BY253*BP253)^2*(EXP(CJ253^2*BT253)-1)+(BX253*BC253)^2*(EXP(CL253^2*BT253)-1)+2*BY253*BP253*BX253*BC253*(EXP(AS253*CJ253*CL253*BT253)-1))/(BY253*BP253+BX253*BC253)^2)/BT253),"")</f>
        <v>#VALUE!</v>
      </c>
      <c r="CN253" s="1588" t="e">
        <f aca="false">IF(BS253,SQRT(LN(1+((CE253*BR253)^2*(EXP(CK253^2*BT253)-1)+(CD253*BK253)^2*(EXP(CL253^2*BT253)-1)+2*CE253*BR253*CD253*BK253*(EXP(AS253*CK253*CL253*BT253)-1))/(CE253*BR253+CD253*BK253)^2)/BT253),"")</f>
        <v>#VALUE!</v>
      </c>
      <c r="CO253" s="1531" t="e">
        <f aca="false">IF(OR(BQ253,BS253),VLOOKUP(A253,GasTable,13)*HeatRatePeak*(1+VLOOKUP($B253,HeatRateDegradation,$C253+1))/1000,0)</f>
        <v>#VALUE!</v>
      </c>
      <c r="CP253" s="1316" t="e">
        <f aca="false">IF(OR(BQ253,BS253),VLOOKUP(A253,GasTable,13)*HeatRatePeak*(1+VLOOKUP($B253,HeatRateDegradation,$C253+1))/1000,0)</f>
        <v>#VALUE!</v>
      </c>
      <c r="CQ253" s="1316" t="e">
        <f aca="false">IF(OR(BQ253,BS253),VLOOKUP(A253,GasTable,13)*IF(EV253,HeatRatePeak,HeatRateOffPeak)*(1+VLOOKUP($B253,HeatRateDegradation,$C253+1))/1000,0)</f>
        <v>#VALUE!</v>
      </c>
      <c r="CR253" s="1316" t="e">
        <f aca="false">IF(OR(BQ253,BS253),VLOOKUP(A253,GasTable,13)*IF(EW253,HeatRatePeak,HeatRateOffPeak)*(1+VLOOKUP($B253,HeatRateDegradation,$C253+1))/1000,0)</f>
        <v>#VALUE!</v>
      </c>
      <c r="CS253" s="1589" t="e">
        <f aca="false">IF(BQ253,(CO253*AZ253+CP253*BA253+CQ253*BB253+CR253*BC253)/BQ253,0)</f>
        <v>#VALUE!</v>
      </c>
      <c r="CT253" s="1316" t="e">
        <f aca="false">IF(BS253,CO253,0)</f>
        <v>#VALUE!</v>
      </c>
      <c r="CU253" s="1590" t="e">
        <f aca="false">IF(OR(BQ253,BS253),VLOOKUP(A253,GasTable,14),"")</f>
        <v>#VALUE!</v>
      </c>
      <c r="CV253" s="1568" t="e">
        <f aca="false">IF(OR(BQ253,BS253),IF(CorrPowerGasOverFlag,INDEX(CorrPowerGasOver,C253),CorrPowerGas),"")</f>
        <v>#VALUE!</v>
      </c>
      <c r="CW253" s="1316" t="e">
        <f aca="false">IF(OR($BQ253,$BS253),SpreadOptPowerMargin,0)*((1+Assumptions!$C$26)^($B253-YEAR(Assumptions!$C$17)))</f>
        <v>#VALUE!</v>
      </c>
      <c r="CX253" s="1316" t="e">
        <f aca="false">IF(OR($BQ253,$BS253),SpreadOptPowerMargin,0)*((1+Assumptions!$C$26)^($B253-YEAR(Assumptions!$C$17)))</f>
        <v>#VALUE!</v>
      </c>
      <c r="CY253" s="1316" t="e">
        <f aca="false">IF(OR($BQ253,$BS253),SpreadOptPowerMargin,0)*((1+Assumptions!$C$26)^($B253-YEAR(Assumptions!$C$17)))</f>
        <v>#VALUE!</v>
      </c>
      <c r="CZ253" s="1316" t="e">
        <f aca="false">IF(OR($BQ253,$BS253),SpreadOptPowerMargin,0)*((1+Assumptions!$C$26)^($B253-YEAR(Assumptions!$C$17)))</f>
        <v>#VALUE!</v>
      </c>
      <c r="DA253" s="1591" t="e">
        <f aca="false">IF(OR(BQ253,BS253),(CW253*(AZ253+BH253)+CX253*(BA253+BI253)+CY253*(BB253+BJ253)+CZ253*(BC253+BK253))/(BQ253+BS253),0)</f>
        <v>#VALUE!</v>
      </c>
      <c r="DB253" s="1592" t="e">
        <f aca="false">IF(OR(BQ253,BS253),CG253+IF(OVolSmile,VLOOKUP(MAX(-5,CO253+CW253-BU253),IF(OVolSmile=1,VolSmileBook,VolSmileModel),2),0),"")</f>
        <v>#VALUE!</v>
      </c>
      <c r="DC253" s="1592" t="e">
        <f aca="false">IF(OR(BQ253,BS253),CH253+IF(OVolSmile,VLOOKUP(MAX(-5,CP253+CW253-BV253),IF(OVolSmile=1,VolSmileBook,VolSmileModel),2),0),"")</f>
        <v>#VALUE!</v>
      </c>
      <c r="DD253" s="1592" t="e">
        <f aca="false">IF(OR(BQ253,BS253),CI253+IF(OVolSmile,VLOOKUP(MAX(-5,CQ253+CW253-BW253),IF(OVolSmile=1,VolSmileBook,VolSmileModel),2),0),"")</f>
        <v>#VALUE!</v>
      </c>
      <c r="DE253" s="1592" t="e">
        <f aca="false">IF(OR(BQ253,BS253),CL253+IF(OVolSmile,VLOOKUP(MAX(-5,CR253+CZ253-BX253),IF(OVolSmile=1,VolSmileBook,VolSmileModel),2),0),"")</f>
        <v>#VALUE!</v>
      </c>
      <c r="DF253" s="1592" t="e">
        <f aca="false">IF(BQ253,CM253+IF(OVolSmile,VLOOKUP(MAX(-5,CS253+DA253-BZ253),IF(OVolSmile=1,VolSmileBook,VolSmileModel),2),0),"")</f>
        <v>#VALUE!</v>
      </c>
      <c r="DG253" s="1593" t="e">
        <f aca="false">IF(BS253,CN253+IF(OVolSmile,VLOOKUP(MAX(-5,CT253+DA253-CF253),IF(OVolSmile=1,VolSmileBook,VolSmileModel),2),0),"")</f>
        <v>#VALUE!</v>
      </c>
      <c r="DH253" s="1316" t="e">
        <f aca="false">IF(AND(BU253&gt;0,CO253&gt;0,DB253&gt;0,CU253&gt;0),newSPRDOPT(BU253,CO253,CW253,0,DB253,CU253,CV253,BT253*365.25,OCallPut,0),0)</f>
        <v>#VALUE!</v>
      </c>
      <c r="DI253" s="1316" t="e">
        <f aca="false">IF(AND(BV253&gt;0,CP253&gt;0,DC253&gt;0,CU253&gt;0),newSPRDOPT(BV253,CP253,CX253,0,DC253,CU253,CV253,BT253*365.25,OCallPut,0),0)</f>
        <v>#VALUE!</v>
      </c>
      <c r="DJ253" s="1316" t="e">
        <f aca="false">IF(AND(BW253&gt;0,CQ253&gt;0,DD253&gt;0,CU253&gt;0),newSPRDOPT(BW253,CQ253,CY253,0,DD253,CU253,CV253,BT253*365.25,OCallPut,0),0)</f>
        <v>#VALUE!</v>
      </c>
      <c r="DK253" s="1316" t="e">
        <f aca="false">IF(AND(BX253&gt;0,CR253&gt;0,DE253&gt;0,CU253&gt;0),newSPRDOPT(BX253,CR253,CZ253,0,DE253,CU253,CV253,BT253*365.25,OCallPut,0),0)</f>
        <v>#VALUE!</v>
      </c>
      <c r="DL253" s="1316" t="e">
        <f aca="false">IF(OVolType,IF(AND(BZ253&gt;0,CS253&gt;0,DF253&gt;0,CU253&gt;0),newSPRDOPT(BZ253,CS253,DA253,0,DF253,CU253,CV253,BT253*365.25,OCallPut,0),0),IF(BQ253,(DH253*AZ253+DI253*BA253+DJ253*BB253+DK253*BC253)/BQ253,0))</f>
        <v>#VALUE!</v>
      </c>
      <c r="DM253" s="1316"/>
      <c r="DN253" s="1316"/>
      <c r="DO253" s="1316"/>
      <c r="DP253" s="1316"/>
      <c r="DQ253" s="1316"/>
      <c r="DR253" s="1316"/>
      <c r="DS253" s="1316"/>
      <c r="DT253" s="1316"/>
      <c r="DU253" s="1316"/>
      <c r="DV253" s="1316"/>
      <c r="DW253" s="1594" t="e">
        <f aca="false">IF(AND(BW253&gt;0,CT253&gt;0,DD253&gt;0,CU253&gt;0),newSPRDOPT(BW253,CT253,CY253,0,DD253,CU253,CV253,BT253*365.25,OCallPut,0),0)</f>
        <v>#VALUE!</v>
      </c>
      <c r="DX253" s="1316" t="e">
        <f aca="false">IF(AND(BX253&gt;0,CT253&gt;0,DE253&gt;0,CU253&gt;0),newSPRDOPT(BX253,CT253,CZ253,0,DE253,CU253,CV253,BT253*365.25,OCallPut,0),0)</f>
        <v>#VALUE!</v>
      </c>
      <c r="DY253" s="1591" t="e">
        <f aca="false">IF(BS253,(DH253*BH253+DI253*BI253+DW253*BJ253+DX253*BK253)/BS253,0)</f>
        <v>#VALUE!</v>
      </c>
      <c r="DZ253" s="1551" t="e">
        <f aca="false">DH253*AZ253</f>
        <v>#VALUE!</v>
      </c>
      <c r="EA253" s="1551" t="e">
        <f aca="false">DI253*BA253</f>
        <v>#VALUE!</v>
      </c>
      <c r="EB253" s="1551" t="e">
        <f aca="false">DJ253*BB253</f>
        <v>#VALUE!</v>
      </c>
      <c r="EC253" s="1551" t="e">
        <f aca="false">DK253*BC253</f>
        <v>#VALUE!</v>
      </c>
      <c r="ED253" s="1551" t="e">
        <f aca="false">DL253*BQ253</f>
        <v>#VALUE!</v>
      </c>
      <c r="EE253" s="1595" t="e">
        <f aca="false">IF(BQ253,IF(OCallPut,IF(BU253&gt;(CO253+CW253),BU253-(CO253+CW253),0),IF((CO253+CW253)&gt;BU253,(CO253+CW253)-BU253,0))*AZ253,0)</f>
        <v>#VALUE!</v>
      </c>
      <c r="EF253" s="1596" t="e">
        <f aca="false">IF(BQ253,IF(OCallPut,IF(BV253&gt;(CP253+CX253),BV253-(CP253+CX253),0),IF((CP253+CX253)&gt;BV253,(CP253+CX253)-BV253,0))*BA253,0)</f>
        <v>#VALUE!</v>
      </c>
      <c r="EG253" s="1596" t="e">
        <f aca="false">IF(BQ253,IF(OCallPut,IF(BW253&gt;(CQ253+CY253),BW253-(CQ253+CY253),0),IF((CQ253+CY253)&gt;BW253,(CQ253+CY253)-BW253,0))*BB253,0)</f>
        <v>#VALUE!</v>
      </c>
      <c r="EH253" s="1596" t="e">
        <f aca="false">IF(BQ253,IF(OCallPut,IF(BX253&gt;(CR253+CZ253),BX253-(CR253+CZ253),0),IF((CR253+CZ253)&gt;BX253,(CR253+CZ253)-BX253,0))*BC253,0)</f>
        <v>#VALUE!</v>
      </c>
      <c r="EI253" s="1597" t="e">
        <f aca="false">IF(BQ253,IF(OVolType,IF(OCallPut,IF(BZ253&gt;(CS253+DA253),BZ253-(CS253+DA253),0),IF((CS253+DA253)&gt;BZ253,(CS253+DA253)-BZ253,0))*BQ253,SUM(EE253:EH253)),0)</f>
        <v>#VALUE!</v>
      </c>
      <c r="EJ253" s="1595" t="e">
        <f aca="false">DZ253-EE253</f>
        <v>#VALUE!</v>
      </c>
      <c r="EK253" s="1596" t="e">
        <f aca="false">EA253-EF253</f>
        <v>#VALUE!</v>
      </c>
      <c r="EL253" s="1596" t="e">
        <f aca="false">EB253-EG253</f>
        <v>#VALUE!</v>
      </c>
      <c r="EM253" s="1596" t="e">
        <f aca="false">EC253-EH253</f>
        <v>#VALUE!</v>
      </c>
      <c r="EN253" s="1597" t="e">
        <f aca="false">ED253-EI253</f>
        <v>#VALUE!</v>
      </c>
      <c r="EO253" s="1551" t="e">
        <f aca="false">DH253*BH253</f>
        <v>#VALUE!</v>
      </c>
      <c r="EP253" s="1551" t="e">
        <f aca="false">DI253*BI253</f>
        <v>#VALUE!</v>
      </c>
      <c r="EQ253" s="1551" t="e">
        <f aca="false">DW253*BJ253</f>
        <v>#VALUE!</v>
      </c>
      <c r="ER253" s="1551" t="e">
        <f aca="false">DX253*BK253</f>
        <v>#VALUE!</v>
      </c>
      <c r="ES253" s="1551" t="e">
        <f aca="false">DY253*BS253</f>
        <v>#VALUE!</v>
      </c>
      <c r="ET253" s="1566" t="e">
        <f aca="false">IF(EI253,IF(OCallPut,IF(CA253&gt;(CT253+CW253),CA253-(CT253+CW253),0),IF((CT253+CW253)&gt;CA253,(CT253+CW253)-CA253,0))*BH253,0)</f>
        <v>#VALUE!</v>
      </c>
      <c r="EU253" s="1551" t="e">
        <f aca="false">IF(EI253,IF(OCallPut,IF(CB253&gt;(CT253+CX253),CB253-(CT253+CX253),0),IF((CT253+CX253)&gt;CB253,(CT253+CX253)-CB253,0))*BI253,0)</f>
        <v>#VALUE!</v>
      </c>
      <c r="EV253" s="1551" t="e">
        <f aca="false">IF(EI253,IF(OCallPut,IF(CC253&gt;(CT253+CY253),CC253-(CT253+CY253),0),IF((CT253+CY253)&gt;CC253,(CT253+CY253)-CC253,0))*BJ253,0)</f>
        <v>#VALUE!</v>
      </c>
      <c r="EW253" s="1551" t="e">
        <f aca="false">IF(EI253,IF(OCallPut,IF(CD253&gt;(CT253+CZ253),CD253-(CT253+CZ253),0),IF((CT253+CZ253)&gt;CD253,(CT253+CZ253)-CD253,0))*BK253,0)</f>
        <v>#VALUE!</v>
      </c>
      <c r="EX253" s="1558" t="e">
        <f aca="false">IF(EI253,SUM(ET253:EW253),0)</f>
        <v>#VALUE!</v>
      </c>
      <c r="EY253" s="1551" t="e">
        <f aca="false">EO253-ET253</f>
        <v>#VALUE!</v>
      </c>
      <c r="EZ253" s="1551" t="e">
        <f aca="false">EP253-EU253</f>
        <v>#VALUE!</v>
      </c>
      <c r="FA253" s="1551" t="e">
        <f aca="false">EQ253-EV253</f>
        <v>#VALUE!</v>
      </c>
      <c r="FB253" s="1551" t="e">
        <f aca="false">ER253-EW253</f>
        <v>#VALUE!</v>
      </c>
      <c r="FC253" s="1551" t="e">
        <f aca="false">ES253-EX253</f>
        <v>#VALUE!</v>
      </c>
      <c r="FD253" s="1525" t="n">
        <f aca="false">IF(AX253,IF(VLOOKUP(C253,MAIN!$L$17:$M$28,2)="Yes",VLOOKUP(CALC!B253,MAIN!$H$17:$I$20,2),0),0)</f>
        <v>0</v>
      </c>
      <c r="FE253" s="1552" t="e">
        <f aca="false">$FD253*16*AT253*(1-$AY253)</f>
        <v>#VALUE!</v>
      </c>
      <c r="FF253" s="1553" t="e">
        <f aca="false">$FD253*16*AU253*(1-$AY253)</f>
        <v>#VALUE!</v>
      </c>
      <c r="FG253" s="1553" t="e">
        <f aca="false">$FD253*16*(AV253+AW253)*(1-$AY253)</f>
        <v>#VALUE!</v>
      </c>
      <c r="FH253" s="1554" t="n">
        <f aca="false">$FD253*8*AX253*(1-$AY253)</f>
        <v>0</v>
      </c>
      <c r="FI253" s="1555" t="n">
        <f aca="false">IF(AX253,VLOOKUP(CALC!B253,MAIN!$H$17:$K$20,4),0)</f>
        <v>0</v>
      </c>
      <c r="FJ253" s="1553" t="e">
        <f aca="false">SUM(FE253:FH253)</f>
        <v>#VALUE!</v>
      </c>
      <c r="FK253" s="1556" t="e">
        <f aca="false">FI253*FJ253</f>
        <v>#VALUE!</v>
      </c>
      <c r="FL253" s="1551" t="e">
        <f aca="false">IF($EI253&gt;0,MIN(FE253,AZ253*(1+VLOOKUP($C253,WeatherCapacityAdjustment,2))),0)</f>
        <v>#VALUE!</v>
      </c>
      <c r="FM253" s="1551" t="e">
        <f aca="false">IF($EI253&gt;0,MIN(FF253,BA253*(1+VLOOKUP($C253,WeatherCapacityAdjustment,2))),0)</f>
        <v>#VALUE!</v>
      </c>
      <c r="FN253" s="1551" t="e">
        <f aca="false">IF($EI253&gt;0,MIN(FG253,BB253*(1+VLOOKUP($C253,WeatherCapacityAdjustment,2))),0)</f>
        <v>#VALUE!</v>
      </c>
      <c r="FO253" s="1564" t="e">
        <f aca="false">IF($EI253&gt;0,MIN(FH253,BC253*(1+VLOOKUP($C253,WeatherCapacityAdjustment,3))),0)</f>
        <v>#VALUE!</v>
      </c>
      <c r="FP253" s="1551" t="e">
        <f aca="false">IF(ET253&gt;0,MIN(FE253-FL253,BH253*(1+VLOOKUP($C253,WeatherCapacityAdjustment,2))),0)</f>
        <v>#VALUE!</v>
      </c>
      <c r="FQ253" s="1551" t="e">
        <f aca="false">IF(EU253&gt;0,MIN(FF253-FM253,BI253*(1+VLOOKUP($C253,WeatherCapacityAdjustment,2))),0)</f>
        <v>#VALUE!</v>
      </c>
      <c r="FR253" s="1551" t="e">
        <f aca="false">IF(EV253&gt;0,MIN(FG253-FN253,BJ253*(1+VLOOKUP($C253,WeatherCapacityAdjustment,2))),0)</f>
        <v>#VALUE!</v>
      </c>
      <c r="FS253" s="1558" t="e">
        <f aca="false">IF(EW253&gt;0,MIN(FH253-FO253,BK253*(1+VLOOKUP($C253,WeatherCapacityAdjustment,3))),0)</f>
        <v>#VALUE!</v>
      </c>
      <c r="FT253" s="1566" t="e">
        <f aca="false">IF(AND(Assumptions!$H$71="Yes",A253&gt;=Assumptions!$H$72,A253&lt;=Assumptions!$H$73),0,IF(AND($A253&gt;=Assumptions!$C$17,$A253&lt;=Assumptions!$C$18),MAX(AZ253*(1+VLOOKUP($C253,WeatherCapacityAdjustment,2))-FL253,0),0))</f>
        <v>#VALUE!</v>
      </c>
      <c r="FU253" s="1551" t="e">
        <f aca="false">IF(AND(Assumptions!$H$71="Yes",A253&gt;=Assumptions!$H$72,A253&lt;=Assumptions!$H$73),0,IF(AND($A253&gt;=Assumptions!$C$17,$A253&lt;=Assumptions!$C$18),MAX(BA253*(1+VLOOKUP($C253,WeatherCapacityAdjustment,2))-FM253,0),0))</f>
        <v>#VALUE!</v>
      </c>
      <c r="FV253" s="1551" t="e">
        <f aca="false">IF(AND(Assumptions!$H$71="Yes",A253&gt;=Assumptions!$H$72,A253&lt;=Assumptions!$H$73),0,IF(AND($A253&gt;=Assumptions!$C$17,$A253&lt;=Assumptions!$C$18),MAX(BB253*(1+VLOOKUP($C253,WeatherCapacityAdjustment,2))-FN253,0),0))</f>
        <v>#VALUE!</v>
      </c>
      <c r="FW253" s="1564" t="e">
        <f aca="false">IF(AND(Assumptions!$H$71="Yes",A253&gt;=Assumptions!$H$72,A253&lt;=Assumptions!$H$73),0,IF(AND($A253&gt;=Assumptions!$C$17,$A253&lt;=Assumptions!$C$18),MAX(BC253*(1+VLOOKUP($C253,WeatherCapacityAdjustment,3))-FO253,0),0))</f>
        <v>#VALUE!</v>
      </c>
      <c r="FX253" s="1569" t="e">
        <f aca="false">IF(AND(Assumptions!$H$71="Yes",A253&gt;=Assumptions!$H$72,A253&lt;=Assumptions!$H$73),0,IF(ET253&gt;0,MAX(BH253*(1+VLOOKUP($C253,WeatherCapacityAdjustment,2))-FP253,0),0))</f>
        <v>#VALUE!</v>
      </c>
      <c r="FY253" s="1551" t="e">
        <f aca="false">IF(AND(Assumptions!$H$71="Yes",A253&gt;=Assumptions!$H$72,A253&lt;=Assumptions!$H$73),0,IF(EU253&gt;0,MAX(BI253*(1+VLOOKUP($C253,WeatherCapacityAdjustment,3))-FQ253,0),0))</f>
        <v>#VALUE!</v>
      </c>
      <c r="FZ253" s="1551" t="e">
        <f aca="false">IF(AND(Assumptions!$H$71="Yes",A253&gt;=Assumptions!$H$72,A253&lt;=Assumptions!$H$73),0,IF(EV253&gt;0,MAX(BJ253*(1+VLOOKUP($C253,WeatherCapacityAdjustment,2))-FR253,0),0))</f>
        <v>#VALUE!</v>
      </c>
      <c r="GA253" s="1564" t="e">
        <f aca="false">IF(AND(Assumptions!$H$71="Yes",A253&gt;=Assumptions!$H$72,A253&lt;=Assumptions!$H$73),0,IF(EW253&gt;0,MAX(BK253*(1+VLOOKUP($C253,WeatherCapacityAdjustment,2))-FS253,0),0))</f>
        <v>#VALUE!</v>
      </c>
      <c r="GB253" s="1551" t="e">
        <f aca="false">SUM(FT253:GA253)</f>
        <v>#VALUE!</v>
      </c>
      <c r="GC253" s="1563" t="e">
        <f aca="false">+IF(SUM(FT253:GA253)=0,0,(SUMPRODUCT(BU253:BX253,FT253:FW253)+SUMPRODUCT(CA253:CD253,FX253:GA253))/SUM(FT253:GA253))</f>
        <v>#VALUE!</v>
      </c>
      <c r="GD253" s="1551" t="e">
        <f aca="false">(FT253*BU253+FX253*CA253+FU253*BV253+FY253*CB253+FV253*BW253+FZ253*CC253+FW253*BX253+GA253*CD253)</f>
        <v>#VALUE!</v>
      </c>
      <c r="GE253" s="1561" t="e">
        <f aca="false">+IF(BQ253,((FL253+FM253+FT253+FU253)*HeatRatePeak/1000*(1+VLOOKUP($C253,WeatherHeatRateAdjustment,2))+(FN253+FV253)*IF(EV253&gt;0,HeatRatePeak,HeatRateOffPeak)/1000*(1+VLOOKUP($C253,WeatherHeatRateAdjustment,2))+(FO253+FW253)*IF(EW253&gt;0,HeatRatePeak,HeatRateOffPeak)/1000*(1+VLOOKUP($C253,WeatherHeatRateAdjustment,3)))*(1+VLOOKUP($B253,HeatRateDegradation,$C253+1)),0)</f>
        <v>#VALUE!</v>
      </c>
      <c r="GF253" s="1562" t="e">
        <f aca="false">IF(BQ253,((FP253+FQ253+FR253+FX253+FY253+FZ253)*HeatRatePeak/1000*(1+VLOOKUP($C253,WeatherHeatRateAdjustment,2))+(FS253+GA253)*HeatRatePeak/1000*(1+VLOOKUP($C253,WeatherHeatRateAdjustment,3)))*(1+VLOOKUP($B253,HeatRateDegradation,$C253+1)),0)</f>
        <v>#VALUE!</v>
      </c>
      <c r="GG253" s="1563" t="e">
        <f aca="false">IF(BQ253,VLOOKUP(A253,GasTable,13),0)</f>
        <v>#VALUE!</v>
      </c>
      <c r="GH253" s="1564" t="e">
        <f aca="false">(GE253+GF253)*GG253</f>
        <v>#VALUE!</v>
      </c>
      <c r="GI253" s="1569" t="e">
        <f aca="false">GB253</f>
        <v>#VALUE!</v>
      </c>
      <c r="GJ253" s="1598" t="e">
        <f aca="false">+DA253</f>
        <v>#VALUE!</v>
      </c>
      <c r="GK253" s="1558" t="e">
        <f aca="false">+GI253*GJ253</f>
        <v>#VALUE!</v>
      </c>
      <c r="GL253" s="1566" t="e">
        <f aca="false">MAX(FE253-FL253-FP253,0)</f>
        <v>#VALUE!</v>
      </c>
      <c r="GM253" s="1551" t="e">
        <f aca="false">MAX(FF253-FM253-FQ253,0)</f>
        <v>#VALUE!</v>
      </c>
      <c r="GN253" s="1551" t="e">
        <f aca="false">MAX(FG253-FN253-FR253,0)</f>
        <v>#VALUE!</v>
      </c>
      <c r="GO253" s="1564" t="e">
        <f aca="false">MAX(FH253-FO253-FS253,0)</f>
        <v>#VALUE!</v>
      </c>
      <c r="GP253" s="1551" t="e">
        <f aca="false">SUM(GL253:GO253)</f>
        <v>#VALUE!</v>
      </c>
      <c r="GQ253" s="1563" t="e">
        <f aca="false">IF(SUM(GL253:GO253)=0,0,((GL253*BU253+GM253*BV253+GN253*BW253+GO253*BX253)/SUM(GL253:GO253)))</f>
        <v>#VALUE!</v>
      </c>
      <c r="GR253" s="1558" t="e">
        <f aca="false">(GL253*BU253+GM253*BV253+GN253*BW253+GO253*BX253)</f>
        <v>#VALUE!</v>
      </c>
      <c r="GS253" s="1566" t="n">
        <f aca="false">IF($A253&gt;=BegDate,Assumptions!$C$56*24*($A254-$A253)*(1-VLOOKUP($B253,MAIN!$AA$7:$AM$28,$C253+1))*(1-VLOOKUP($B253,MAIN!$AA$33:$AM$54,$C253+1)),0)*80/168</f>
        <v>257742.857142857</v>
      </c>
      <c r="GT253" s="286" t="n">
        <f aca="false">J253</f>
        <v>61.4289167550056</v>
      </c>
      <c r="GU253" s="286" t="n">
        <f aca="false">IF($A253&gt;=BegDate,VLOOKUP($A253,GasTable,13)+Assumptions!$C$58,0)</f>
        <v>4.26150841309138</v>
      </c>
      <c r="GV253" s="286" t="n">
        <f aca="false">GU253*Assumptions!$C$57/1000</f>
        <v>30.8959359949125</v>
      </c>
      <c r="GW253" s="1558" t="n">
        <f aca="false">IF(Assumptions!$C$60="Hourly",MAX(0,GS253*(GT253-GV253)),GS253*(GT253-GV253))</f>
        <v>7869657.69819427</v>
      </c>
      <c r="GX253" s="1566" t="n">
        <f aca="false">IF($A253&gt;=BegDate,Assumptions!$C$56*24*($A254-$A253)*(1-VLOOKUP($B253,MAIN!$AA$7:$AM$28,$C253+1))*(1-VLOOKUP($B253,MAIN!$AA$33:$AM$54,$C253+1)),0)*16/168</f>
        <v>51548.5714285714</v>
      </c>
      <c r="GY253" s="286" t="n">
        <f aca="false">M253</f>
        <v>61.4289167550056</v>
      </c>
      <c r="GZ253" s="286" t="n">
        <f aca="false">IF($A253&gt;=BegDate,VLOOKUP($A253,GasTable,13)+Assumptions!$C$58,0)</f>
        <v>4.26150841309138</v>
      </c>
      <c r="HA253" s="286" t="n">
        <f aca="false">GZ253*Assumptions!$C$57/1000</f>
        <v>30.8959359949125</v>
      </c>
      <c r="HB253" s="1558" t="n">
        <f aca="false">IF(Assumptions!$C$60="Hourly",MAX(0,GX253*(GY253-HA253)),GX253*(GY253-HA253))</f>
        <v>1573931.53963885</v>
      </c>
      <c r="HC253" s="1566" t="n">
        <f aca="false">IF($A253&gt;=BegDate,Assumptions!$C$56*24*($A254-$A253)*(1-VLOOKUP($B253,MAIN!$AA$7:$AM$28,$C253+1))*(1-VLOOKUP($B253,MAIN!$AA$33:$AM$54,$C253+1)),0)*16/168</f>
        <v>51548.5714285714</v>
      </c>
      <c r="HD253" s="286" t="n">
        <f aca="false">P253</f>
        <v>34.6221285420769</v>
      </c>
      <c r="HE253" s="286" t="n">
        <f aca="false">IF($A253&gt;=BegDate,VLOOKUP($A253,GasTable,13)+Assumptions!$C$58,0)</f>
        <v>4.26150841309138</v>
      </c>
      <c r="HF253" s="286" t="n">
        <f aca="false">HE253*Assumptions!$C$57/1000</f>
        <v>30.8959359949125</v>
      </c>
      <c r="HG253" s="1558" t="n">
        <f aca="false">IF(Assumptions!$C$60="Hourly",MAX(0,HC253*(HD253-HF253)),HC253*(HD253-HF253))</f>
        <v>192079.902674112</v>
      </c>
      <c r="HH253" s="1566" t="n">
        <f aca="false">IF($A253&gt;=BegDate,Assumptions!$C$56*24*($A254-$A253)*(1-VLOOKUP($B253,MAIN!$AA$7:$AM$28,$C253+1))*(1-VLOOKUP($B253,MAIN!$AA$33:$AM$54,$C253+1)),0)*56/168</f>
        <v>180420</v>
      </c>
      <c r="HI253" s="286" t="n">
        <f aca="false">S253</f>
        <v>34.6221285420769</v>
      </c>
      <c r="HJ253" s="286" t="n">
        <f aca="false">IF($A253&gt;=BegDate,VLOOKUP($A253,GasTable,13)+Assumptions!$C$58,0)</f>
        <v>4.26150841309138</v>
      </c>
      <c r="HK253" s="286" t="n">
        <f aca="false">HJ253*Assumptions!$C$57/1000</f>
        <v>30.8959359949125</v>
      </c>
      <c r="HL253" s="1558" t="n">
        <f aca="false">IF(Assumptions!$C$60="Hourly",MAX(0,HH253*(HI253-HK253)),HH253*(HI253-HK253))</f>
        <v>672279.659359393</v>
      </c>
      <c r="HM253" s="1566" t="n">
        <f aca="false">IF(AND(Assumptions!$H$71="Yes",A253&gt;=Assumptions!$H$72,A253&lt;=Assumptions!$H$73),Assumptions!$H$74*Assumptions!$C$9*1000,0)</f>
        <v>0</v>
      </c>
      <c r="HN253" s="1551"/>
      <c r="HO253" s="1563"/>
      <c r="HP253" s="1563"/>
      <c r="HQ253" s="1563"/>
      <c r="HR253" s="1563"/>
      <c r="HS253" s="1563"/>
      <c r="HT253" s="1563"/>
      <c r="HU253" s="1563"/>
      <c r="HV253" s="1563"/>
      <c r="HW253" s="1563"/>
      <c r="HX253" s="1563"/>
      <c r="HY253" s="1563"/>
      <c r="HZ253" s="1563"/>
      <c r="IA253" s="1563"/>
      <c r="IB253" s="1563"/>
      <c r="IC253" s="1563"/>
      <c r="ID253" s="1563"/>
      <c r="IE253" s="1563"/>
      <c r="IF253" s="1563"/>
      <c r="IG253" s="1563"/>
      <c r="IH253" s="1563"/>
      <c r="II253" s="1610"/>
      <c r="IJ253" s="1309"/>
      <c r="IK253" s="1309"/>
    </row>
    <row r="254" customFormat="false" ht="12.75" hidden="false" customHeight="false" outlineLevel="0" collapsed="false">
      <c r="A254" s="1571" t="n">
        <f aca="false">EOMONTH(A253,0)+1</f>
        <v>43862</v>
      </c>
      <c r="B254" s="594" t="n">
        <f aca="false">+YEAR(A254)</f>
        <v>2020</v>
      </c>
      <c r="C254" s="238" t="n">
        <f aca="false">MONTH(A254)</f>
        <v>2</v>
      </c>
      <c r="D254" s="1572" t="e">
        <f aca="false">IF(E254="","",Holiday(B254,C254))</f>
        <v>#VALUE!</v>
      </c>
      <c r="E254" s="1573" t="n">
        <f aca="false">IF(OR(BegDate&gt;=A255,EndDate&lt;A254,AND(VolumeMonthlyOverFlag,INDEX(VolumeMonthlyOver,C254)=0),NOT(INDEX(MonthKnockOutTable,C254))),"",MAX(A254,BegDate))</f>
        <v>43862</v>
      </c>
      <c r="F254" s="1574" t="n">
        <f aca="false">IF(E254="","",MIN(A255-1,EndDate))</f>
        <v>43890</v>
      </c>
      <c r="G254" s="1575" t="n">
        <v>0</v>
      </c>
      <c r="H254" s="1576" t="n">
        <f aca="false">(1+G254/2)^(-2*(DATE(B255,C255,20)-DateToday)/365.25)</f>
        <v>1</v>
      </c>
      <c r="I254" s="1568" t="n">
        <f aca="false">IF(Assumptions!$L$25=4,VLOOKUP($A254,'Henwood Reference'!$E$9:$R$320,10),(VLOOKUP($A254,PriceTable,2,0)+IF(BasisNumber&lt;&gt;1,VLOOKUP($A254,BasisTable,2,0),0)+I$1)/(1-I$2))</f>
        <v>46.0307868641799</v>
      </c>
      <c r="J254" s="1568" t="n">
        <f aca="false">IF(Assumptions!$L$25=4,VLOOKUP($A254,'Henwood Reference'!$E$9:$R$320,10),(VLOOKUP($A254,PriceTable,3,0)+IF(BasisNumber&lt;&gt;1,VLOOKUP($A254,BasisTable,2,0),0)+J$1)/(1-J$2))</f>
        <v>46.0307868641799</v>
      </c>
      <c r="K254" s="1568" t="n">
        <f aca="false">IF(Assumptions!$L$25=4,VLOOKUP($A254,'Henwood Reference'!$E$9:$R$320,10),(VLOOKUP($A254,PriceTable,4,0)+IF(BasisNumber&lt;&gt;1,VLOOKUP($A254,BasisTable,2,0),0)+K$1)/(1-K$2))</f>
        <v>46.0307868641799</v>
      </c>
      <c r="L254" s="1523" t="n">
        <f aca="false">IF(Assumptions!$L$25=4,VLOOKUP($A254,'Henwood Reference'!$E$9:$R$320,10),(VLOOKUP($A254,PriceTableWeekend,2,0)+IF(BasisNumber&lt;&gt;1,VLOOKUP($A254,BasisTable,2,0),0)+L$1)/(1-L$2))</f>
        <v>46.0307868641799</v>
      </c>
      <c r="M254" s="1568" t="n">
        <f aca="false">IF(Assumptions!$L$25=4,VLOOKUP($A254,'Henwood Reference'!$E$9:$R$320,10),(VLOOKUP($A254,PriceTableWeekend,3,0)+IF(BasisNumber&lt;&gt;1,VLOOKUP($A254,BasisTable,2,0),0)+M$1)/(1-M$2))</f>
        <v>46.0307868641799</v>
      </c>
      <c r="N254" s="1599" t="n">
        <f aca="false">IF(Assumptions!$L$25=4,VLOOKUP($A254,'Henwood Reference'!$E$9:$R$320,10),(VLOOKUP($A254,PriceTableWeekend,4,0)+IF(BasisNumber&lt;&gt;1,VLOOKUP($A254,BasisTable,2,0),0)+N$1)/(1-N$2))</f>
        <v>46.0307868641799</v>
      </c>
      <c r="O254" s="1568" t="n">
        <f aca="false">IF(Assumptions!$L$25=4,VLOOKUP($A254,'Henwood Reference'!$E$9:$R$320,11),(VLOOKUP($A254,PriceTableWeekend,6,0)+IF(BasisNumber&lt;&gt;1,VLOOKUP($A254,BasisTable,3,0),0)+O$1)/(1-O$2))</f>
        <v>28.6298970730546</v>
      </c>
      <c r="P254" s="1568" t="n">
        <f aca="false">IF(Assumptions!$L$25=4,VLOOKUP($A254,'Henwood Reference'!$E$9:$R$320,11),(VLOOKUP($A254,PriceTableWeekend,7,0)+IF(BasisNumber&lt;&gt;1,VLOOKUP($A254,BasisTable,3,0),0)+P$1)/(1-P$2))</f>
        <v>28.6298970730546</v>
      </c>
      <c r="Q254" s="1599" t="n">
        <f aca="false">IF(Assumptions!$L$25=4,VLOOKUP($A254,'Henwood Reference'!$E$9:$R$320,11),(VLOOKUP($A254,PriceTableWeekend,8,0)+IF(BasisNumber&lt;&gt;1,VLOOKUP($A254,BasisTable,3,0),0)+Q$1)/(1-Q$2))</f>
        <v>28.6298970730546</v>
      </c>
      <c r="R254" s="1568" t="n">
        <f aca="false">IF(Assumptions!$L$25=4,VLOOKUP($A254,'Henwood Reference'!$E$9:$R$320,11),(VLOOKUP($A254,PriceTable,6,0)+IF(BasisNumber&lt;&gt;1,VLOOKUP($A254,BasisTable,3,0),0)+R$1)/(1-R$2))</f>
        <v>28.6298970730546</v>
      </c>
      <c r="S254" s="1568" t="n">
        <f aca="false">IF(Assumptions!$L$25=4,VLOOKUP($A254,'Henwood Reference'!$E$9:$R$320,11),(VLOOKUP($A254,PriceTable,7,0)+IF(BasisNumber&lt;&gt;1,VLOOKUP($A254,BasisTable,3,0),0)+S$1)/(1-S$2))</f>
        <v>28.6298970730546</v>
      </c>
      <c r="T254" s="1600" t="n">
        <f aca="false">IF(Assumptions!$L$25=4,VLOOKUP($A254,'Henwood Reference'!$E$9:$R$320,11),(VLOOKUP($A254,PriceTable,8,0)+IF(BasisNumber&lt;&gt;1,VLOOKUP($A254,BasisTable,3,0),0)+T$1)/(1-T$2))</f>
        <v>28.6298970730546</v>
      </c>
      <c r="U254" s="1513" t="n">
        <f aca="false">VLOOKUP($A254,VolatilityTable,14)</f>
        <v>0.09</v>
      </c>
      <c r="V254" s="1513" t="n">
        <f aca="false">VLOOKUP($A254,VolatilityTable,15)</f>
        <v>0.1</v>
      </c>
      <c r="W254" s="1514" t="n">
        <f aca="false">VLOOKUP($A254,VolatilityTable,16)</f>
        <v>0.11</v>
      </c>
      <c r="X254" s="1513" t="n">
        <f aca="false">VLOOKUP($A254,VolatilityTable,14)</f>
        <v>0.09</v>
      </c>
      <c r="Y254" s="1513" t="n">
        <f aca="false">VLOOKUP($A254,VolatilityTable,15)</f>
        <v>0.1</v>
      </c>
      <c r="Z254" s="1514" t="n">
        <f aca="false">VLOOKUP($A254,VolatilityTable,16)</f>
        <v>0.11</v>
      </c>
      <c r="AA254" s="1513" t="n">
        <f aca="false">VLOOKUP($A254,VolatilityTable,18)</f>
        <v>0.09</v>
      </c>
      <c r="AB254" s="1513" t="n">
        <f aca="false">VLOOKUP($A254,VolatilityTable,19)</f>
        <v>0.11</v>
      </c>
      <c r="AC254" s="1514" t="n">
        <f aca="false">VLOOKUP($A254,VolatilityTable,20)</f>
        <v>0.13</v>
      </c>
      <c r="AD254" s="1513" t="n">
        <f aca="false">VLOOKUP($A254,VolatilityTable,18)</f>
        <v>0.09</v>
      </c>
      <c r="AE254" s="1513" t="n">
        <f aca="false">VLOOKUP($A254,VolatilityTable,19)</f>
        <v>0.11</v>
      </c>
      <c r="AF254" s="1514" t="n">
        <f aca="false">VLOOKUP($A254,VolatilityTable,20)</f>
        <v>0.13</v>
      </c>
      <c r="AG254" s="1513" t="n">
        <f aca="false">VLOOKUP($A254,VolatilityTable,22)</f>
        <v>-0.25</v>
      </c>
      <c r="AH254" s="1513" t="n">
        <f aca="false">VLOOKUP($A254,VolatilityTable,23)</f>
        <v>0.65</v>
      </c>
      <c r="AI254" s="1514" t="n">
        <f aca="false">VLOOKUP($A254,VolatilityTable,24)</f>
        <v>0.25</v>
      </c>
      <c r="AJ254" s="1513" t="n">
        <f aca="false">VLOOKUP($A254,VolatilityTable,22)</f>
        <v>-0.25</v>
      </c>
      <c r="AK254" s="1513" t="n">
        <f aca="false">VLOOKUP($A254,VolatilityTable,23)</f>
        <v>0.65</v>
      </c>
      <c r="AL254" s="1514" t="n">
        <f aca="false">VLOOKUP($A254,VolatilityTable,24)</f>
        <v>0.25</v>
      </c>
      <c r="AM254" s="1513" t="n">
        <f aca="false">VLOOKUP($A254,VolatilityTable,26)</f>
        <v>-0.01</v>
      </c>
      <c r="AN254" s="1513" t="n">
        <f aca="false">VLOOKUP($A254,VolatilityTable,27)</f>
        <v>0.16</v>
      </c>
      <c r="AO254" s="1514" t="n">
        <f aca="false">VLOOKUP($A254,VolatilityTable,28)</f>
        <v>0.01</v>
      </c>
      <c r="AP254" s="1513" t="n">
        <f aca="false">VLOOKUP($A254,VolatilityTable,26)</f>
        <v>-0.01</v>
      </c>
      <c r="AQ254" s="1513" t="n">
        <f aca="false">VLOOKUP($A254,VolatilityTable,27)</f>
        <v>0.16</v>
      </c>
      <c r="AR254" s="1515" t="n">
        <f aca="false">VLOOKUP($A254,VolatilityTable,28)</f>
        <v>0.01</v>
      </c>
      <c r="AS254" s="1581" t="n">
        <f aca="false">IF(CorrPeakOffPeakOverFlag,INDEX(CorrPeakOffPeakOver,C254),CorrPeakOffPeak)</f>
        <v>0.5</v>
      </c>
      <c r="AT254" s="594" t="e">
        <f aca="false">AX254-SUM(AU254:AW254)</f>
        <v>#VALUE!</v>
      </c>
      <c r="AU254" s="238" t="e">
        <f aca="false">IF(E254="",0,INT((F254-MOD(F254,7)-E254)/7)+1-IF(AW254,IF(WEEKDAY(D254)=7,1,0),0))</f>
        <v>#VALUE!</v>
      </c>
      <c r="AV254" s="238" t="e">
        <f aca="false">IF(E254="",0,INT((F254-MOD(F254-1,7)-E254)/7)+1-IF(AW254,IF(WEEKDAY(D254)=1,1,0),0))</f>
        <v>#VALUE!</v>
      </c>
      <c r="AW254" s="238" t="e">
        <f aca="false">IF(OR(E254="",D254="",D254&lt;BegDate,D254&gt;EndDate),0,1)</f>
        <v>#VALUE!</v>
      </c>
      <c r="AX254" s="238" t="n">
        <f aca="false">IF(E254="",0,F254-E254+1)</f>
        <v>29</v>
      </c>
      <c r="AY254" s="1582" t="n">
        <f aca="false">IF(E254="",0,MIN((1-(1-VLOOKUP(B254,MAIN!$AA$7:$AM$28,C254+1))*(1-VLOOKUP(B254,MAIN!$AA$33:$AM$54,C254+1))),1))</f>
        <v>0.03</v>
      </c>
      <c r="AZ254" s="1519" t="e">
        <v>#VALUE!</v>
      </c>
      <c r="BA254" s="1520" t="e">
        <v>#VALUE!</v>
      </c>
      <c r="BB254" s="1520" t="e">
        <v>#VALUE!</v>
      </c>
      <c r="BC254" s="1583" t="e">
        <v>#VALUE!</v>
      </c>
      <c r="BD254" s="1522" t="e">
        <v>#VALUE!</v>
      </c>
      <c r="BE254" s="1523" t="e">
        <v>#VALUE!</v>
      </c>
      <c r="BF254" s="1523" t="e">
        <v>#VALUE!</v>
      </c>
      <c r="BG254" s="1584" t="e">
        <v>#VALUE!</v>
      </c>
      <c r="BH254" s="1525" t="e">
        <v>#VALUE!</v>
      </c>
      <c r="BI254" s="1520" t="e">
        <v>#VALUE!</v>
      </c>
      <c r="BJ254" s="1520" t="e">
        <v>#VALUE!</v>
      </c>
      <c r="BK254" s="1583" t="e">
        <v>#VALUE!</v>
      </c>
      <c r="BL254" s="1522" t="e">
        <v>#VALUE!</v>
      </c>
      <c r="BM254" s="1523" t="e">
        <v>#VALUE!</v>
      </c>
      <c r="BN254" s="1523" t="e">
        <v>#VALUE!</v>
      </c>
      <c r="BO254" s="1523" t="e">
        <v>#VALUE!</v>
      </c>
      <c r="BP254" s="1525" t="e">
        <f aca="false">SUM(AZ254:BB254)</f>
        <v>#VALUE!</v>
      </c>
      <c r="BQ254" s="1529" t="e">
        <f aca="false">SUM(AZ254:BC254)</f>
        <v>#VALUE!</v>
      </c>
      <c r="BR254" s="1519" t="e">
        <f aca="false">SUM(BH254:BJ254)</f>
        <v>#VALUE!</v>
      </c>
      <c r="BS254" s="1529" t="e">
        <f aca="false">SUM(BH254:BK254)</f>
        <v>#VALUE!</v>
      </c>
      <c r="BT254" s="1316" t="n">
        <f aca="false">(IF(OVolType&lt;&gt;2,A254+14,IF(OptExpDateShift,ShiftBack(A254,OptExpDateShift,D253),A254))-DateToday)/365.25</f>
        <v>19.8001368925394</v>
      </c>
      <c r="BU254" s="1585" t="e">
        <f aca="false">IF(BQ254,IF(OPriceCurve,IF(OBuySell=OCallPut,I254/(1-AY254),K254/(1-AY254)),J254/(1-AY254))*BD254,0)</f>
        <v>#VALUE!</v>
      </c>
      <c r="BV254" s="1316" t="e">
        <f aca="false">IF(BQ254,IF(OPriceCurve,IF(OBuySell=OCallPut,L254/(1-AY254),N254/(1-AY254)),M254/(1-AY254))*BE254,0)</f>
        <v>#VALUE!</v>
      </c>
      <c r="BW254" s="1316" t="e">
        <f aca="false">IF(BQ254,IF(OPriceCurve,IF(OBuySell=OCallPut,O254/(1-AY254),Q254/(1-AY254)),P254/(1-AY254))*BF254,0)</f>
        <v>#VALUE!</v>
      </c>
      <c r="BX254" s="1316" t="e">
        <f aca="false">IF(BQ254,IF(OPriceCurve,IF(OBuySell=OCallPut,R254/(1-AY254),T254/(1-AY254)),S254/(1-AY254))*BG254,0)</f>
        <v>#VALUE!</v>
      </c>
      <c r="BY254" s="1316" t="e">
        <f aca="false">IF(BP254,(BU254*AZ254+BV254*BA254+BW254*BB254)/BP254,0)</f>
        <v>#VALUE!</v>
      </c>
      <c r="BZ254" s="1316" t="e">
        <f aca="false">IF(BQ254,(BY254*BP254+BX254*BC254)/BQ254,0)</f>
        <v>#VALUE!</v>
      </c>
      <c r="CA254" s="1531" t="e">
        <f aca="false">IF(BS254,IF(OPriceCurve,IF(OBuySell=OCallPut,I254/(1-AY254),K254/(1-AY254)),J254/(1-AY254))*BL254,0)</f>
        <v>#VALUE!</v>
      </c>
      <c r="CB254" s="1316" t="e">
        <f aca="false">IF(BS254,IF(OPriceCurve,IF(OBuySell=OCallPut,L254/(1-AY254),N254/(1-AY254)),M254/(1-AY254))*BM254,0)</f>
        <v>#VALUE!</v>
      </c>
      <c r="CC254" s="1316" t="e">
        <f aca="false">IF(BS254,IF(OPriceCurve,IF(OBuySell=OCallPut,O254/(1-AY254),Q254/(1-AY254)),P254/(1-AY254))*BN254,0)</f>
        <v>#VALUE!</v>
      </c>
      <c r="CD254" s="1316" t="e">
        <f aca="false">IF(BS254,IF(OPriceCurve,IF(OBuySell=OCallPut,R254/(1-AY254),T254/(1-AY254)),S254/(1-AY254))*BO254,0)</f>
        <v>#VALUE!</v>
      </c>
      <c r="CE254" s="1316" t="e">
        <f aca="false">IF(BR254,(BU254*BH254+BV254*BI254+BW254*BJ254)/BR254,0)</f>
        <v>#VALUE!</v>
      </c>
      <c r="CF254" s="1532" t="e">
        <f aca="false">IF(BS254,(CE254*BR254+CD254*BK254)/BS254,0)</f>
        <v>#VALUE!</v>
      </c>
      <c r="CG254" s="1586" t="e">
        <f aca="false">IF(OR(BQ254,BS254),IF(OVolType&lt;&gt;2,SQRT(IF(OVolOverMonthlyPeak,OVolOverMonthlyPeak,IF(OVolCurve,IF(OBuySell,U254,W254),V254))^2*(1-15/365.25/BT254)+IF(OVolOverDailyPeak,OVolOverDailyPeak,IF(OVolCurve,IF(OBuySell,AG254,AI254),AH254))^2*15/365.25/BT254),IF(OVolOverMonthlyPeak,OVolOverMonthlyPeak,IF(OVolCurve,IF(OBuySell,U254,W254),V254))),"")</f>
        <v>#VALUE!</v>
      </c>
      <c r="CH254" s="1587" t="e">
        <f aca="false">IF(OR(BQ254,BS254),IF(OVolType&lt;&gt;2,SQRT(IF(OVolOverMonthlyPeak,OVolOverMonthlyPeak,IF(OVolCurve,IF(OBuySell,X254,Z254),Y254))^2*(1-15/365.25/BT254)+IF(OVolOverDailyPeak,OVolOverDailyPeak,IF(OVolCurve,IF(OBuySell,AJ254,AL254),AK254))^2*15/365.25/BT254),IF(OVolOverMonthlyPeak,OVolOverMonthlyPeak,IF(OVolCurve,IF(OBuySell,X254,Z254),Y254))),"")</f>
        <v>#VALUE!</v>
      </c>
      <c r="CI254" s="1587" t="e">
        <f aca="false">IF(OR(BQ254,BS254),IF(OVolType&lt;&gt;2,SQRT(IF(OVolOverMonthlyPeak,OVolOverMonthlyPeak,IF(OVolCurve,IF(OBuySell,AA254,AC254),AB254))^2*(1-15/365.25/BT254)+IF(OVolOverDailyPeak,OVolOverDailyPeak,IF(OVolCurve,IF(OBuySell,AM254,AO254),AN254))^2*15/365.25/BT254),IF(OVolOverMonthlyPeak,OVolOverMonthlyPeak,IF(OVolCurve,IF(OBuySell,AA254,AC254),AB254))),"")</f>
        <v>#VALUE!</v>
      </c>
      <c r="CJ254" s="1587" t="e">
        <f aca="false">IF(BQ254,IF(BP254,SQRT(LN(1+((BU254*AZ254)^2*(EXP(CG254^2*BT254)-1)+(BV254*BA254)^2*(EXP(CH254^2*BT254)-1)+(BW254*BB254)^2*(EXP(CI254^2*BT254)-1)+2*BU254*AZ254*BV254*BA254*(EXP(CG254*CH254*BT254)-1)+2*BV254*BA254*BW254*BB254*(EXP(CH254*CI254*BT254)-1)+2*BW254*BB254*BU254*AZ254*(EXP(CI254*CG254*BT254)-1))/(BY254*BP254)^2)/BT254),0),"")</f>
        <v>#VALUE!</v>
      </c>
      <c r="CK254" s="1587" t="e">
        <f aca="false">IF(BS254,IF(BR254,SQRT(LN(1+((CA254*BH254)^2*(EXP(CG254^2*BT254)-1)+(CB254*BI254)^2*(EXP(CH254^2*BT254)-1)+(CC254*BJ254)^2*(EXP(CI254^2*BT254)-1)+2*CA254*BH254*CB254*BI254*(EXP(CG254*CH254*BT254)-1)+2*CB254*BI254*CC254*BJ254*(EXP(CH254*CI254*BT254)-1)+2*CC254*BJ254*CA254*BH254*(EXP(CI254*CG254*BT254)-1))/(CE254*BR254)^2)/BT254),0),"")</f>
        <v>#VALUE!</v>
      </c>
      <c r="CL254" s="1587" t="e">
        <f aca="false">IF(OR(BQ254,BS254),IF(OVolType&lt;&gt;2,SQRT(IF(OVolOverMonthlyOffPeak,OVolOverMonthlyOffPeak,IF(OVolCurve,IF(OBuySell,AD254,AF254),AE254))^2*(1-15/365.25/BT254)+IF(OVolOverDailyOffPeak,OVolOverDailyOffPeak,IF(OVolCurve,IF(OBuySell,AP254,AR254),AQ254))^2*15/365.25/BT254),IF(OVolOverMonthlyOffPeak,OVolOverMonthlyOffPeak,IF(OVolCurve,IF(OBuySell,AD254,AF254),AE254))),"")</f>
        <v>#VALUE!</v>
      </c>
      <c r="CM254" s="1587" t="e">
        <f aca="false">IF(BQ254,SQRT(LN(1+((BY254*BP254)^2*(EXP(CJ254^2*BT254)-1)+(BX254*BC254)^2*(EXP(CL254^2*BT254)-1)+2*BY254*BP254*BX254*BC254*(EXP(AS254*CJ254*CL254*BT254)-1))/(BY254*BP254+BX254*BC254)^2)/BT254),"")</f>
        <v>#VALUE!</v>
      </c>
      <c r="CN254" s="1588" t="e">
        <f aca="false">IF(BS254,SQRT(LN(1+((CE254*BR254)^2*(EXP(CK254^2*BT254)-1)+(CD254*BK254)^2*(EXP(CL254^2*BT254)-1)+2*CE254*BR254*CD254*BK254*(EXP(AS254*CK254*CL254*BT254)-1))/(CE254*BR254+CD254*BK254)^2)/BT254),"")</f>
        <v>#VALUE!</v>
      </c>
      <c r="CO254" s="1531" t="e">
        <f aca="false">IF(OR(BQ254,BS254),VLOOKUP(A254,GasTable,13)*HeatRatePeak*(1+VLOOKUP($B254,HeatRateDegradation,$C254+1))/1000,0)</f>
        <v>#VALUE!</v>
      </c>
      <c r="CP254" s="1316" t="e">
        <f aca="false">IF(OR(BQ254,BS254),VLOOKUP(A254,GasTable,13)*HeatRatePeak*(1+VLOOKUP($B254,HeatRateDegradation,$C254+1))/1000,0)</f>
        <v>#VALUE!</v>
      </c>
      <c r="CQ254" s="1316" t="e">
        <f aca="false">IF(OR(BQ254,BS254),VLOOKUP(A254,GasTable,13)*IF(EV254,HeatRatePeak,HeatRateOffPeak)*(1+VLOOKUP($B254,HeatRateDegradation,$C254+1))/1000,0)</f>
        <v>#VALUE!</v>
      </c>
      <c r="CR254" s="1316" t="e">
        <f aca="false">IF(OR(BQ254,BS254),VLOOKUP(A254,GasTable,13)*IF(EW254,HeatRatePeak,HeatRateOffPeak)*(1+VLOOKUP($B254,HeatRateDegradation,$C254+1))/1000,0)</f>
        <v>#VALUE!</v>
      </c>
      <c r="CS254" s="1589" t="e">
        <f aca="false">IF(BQ254,(CO254*AZ254+CP254*BA254+CQ254*BB254+CR254*BC254)/BQ254,0)</f>
        <v>#VALUE!</v>
      </c>
      <c r="CT254" s="1316" t="e">
        <f aca="false">IF(BS254,CO254,0)</f>
        <v>#VALUE!</v>
      </c>
      <c r="CU254" s="1590" t="e">
        <f aca="false">IF(OR(BQ254,BS254),VLOOKUP(A254,GasTable,14),"")</f>
        <v>#VALUE!</v>
      </c>
      <c r="CV254" s="1568" t="e">
        <f aca="false">IF(OR(BQ254,BS254),IF(CorrPowerGasOverFlag,INDEX(CorrPowerGasOver,C254),CorrPowerGas),"")</f>
        <v>#VALUE!</v>
      </c>
      <c r="CW254" s="1316" t="e">
        <f aca="false">IF(OR($BQ254,$BS254),SpreadOptPowerMargin,0)*((1+Assumptions!$C$26)^($B254-YEAR(Assumptions!$C$17)))</f>
        <v>#VALUE!</v>
      </c>
      <c r="CX254" s="1316" t="e">
        <f aca="false">IF(OR($BQ254,$BS254),SpreadOptPowerMargin,0)*((1+Assumptions!$C$26)^($B254-YEAR(Assumptions!$C$17)))</f>
        <v>#VALUE!</v>
      </c>
      <c r="CY254" s="1316" t="e">
        <f aca="false">IF(OR($BQ254,$BS254),SpreadOptPowerMargin,0)*((1+Assumptions!$C$26)^($B254-YEAR(Assumptions!$C$17)))</f>
        <v>#VALUE!</v>
      </c>
      <c r="CZ254" s="1316" t="e">
        <f aca="false">IF(OR($BQ254,$BS254),SpreadOptPowerMargin,0)*((1+Assumptions!$C$26)^($B254-YEAR(Assumptions!$C$17)))</f>
        <v>#VALUE!</v>
      </c>
      <c r="DA254" s="1591" t="e">
        <f aca="false">IF(OR(BQ254,BS254),(CW254*(AZ254+BH254)+CX254*(BA254+BI254)+CY254*(BB254+BJ254)+CZ254*(BC254+BK254))/(BQ254+BS254),0)</f>
        <v>#VALUE!</v>
      </c>
      <c r="DB254" s="1592" t="e">
        <f aca="false">IF(OR(BQ254,BS254),CG254+IF(OVolSmile,VLOOKUP(MAX(-5,CO254+CW254-BU254),IF(OVolSmile=1,VolSmileBook,VolSmileModel),2),0),"")</f>
        <v>#VALUE!</v>
      </c>
      <c r="DC254" s="1592" t="e">
        <f aca="false">IF(OR(BQ254,BS254),CH254+IF(OVolSmile,VLOOKUP(MAX(-5,CP254+CW254-BV254),IF(OVolSmile=1,VolSmileBook,VolSmileModel),2),0),"")</f>
        <v>#VALUE!</v>
      </c>
      <c r="DD254" s="1592" t="e">
        <f aca="false">IF(OR(BQ254,BS254),CI254+IF(OVolSmile,VLOOKUP(MAX(-5,CQ254+CW254-BW254),IF(OVolSmile=1,VolSmileBook,VolSmileModel),2),0),"")</f>
        <v>#VALUE!</v>
      </c>
      <c r="DE254" s="1592" t="e">
        <f aca="false">IF(OR(BQ254,BS254),CL254+IF(OVolSmile,VLOOKUP(MAX(-5,CR254+CZ254-BX254),IF(OVolSmile=1,VolSmileBook,VolSmileModel),2),0),"")</f>
        <v>#VALUE!</v>
      </c>
      <c r="DF254" s="1592" t="e">
        <f aca="false">IF(BQ254,CM254+IF(OVolSmile,VLOOKUP(MAX(-5,CS254+DA254-BZ254),IF(OVolSmile=1,VolSmileBook,VolSmileModel),2),0),"")</f>
        <v>#VALUE!</v>
      </c>
      <c r="DG254" s="1593" t="e">
        <f aca="false">IF(BS254,CN254+IF(OVolSmile,VLOOKUP(MAX(-5,CT254+DA254-CF254),IF(OVolSmile=1,VolSmileBook,VolSmileModel),2),0),"")</f>
        <v>#VALUE!</v>
      </c>
      <c r="DH254" s="1316" t="e">
        <f aca="false">IF(AND(BU254&gt;0,CO254&gt;0,DB254&gt;0,CU254&gt;0),newSPRDOPT(BU254,CO254,CW254,0,DB254,CU254,CV254,BT254*365.25,OCallPut,0),0)</f>
        <v>#VALUE!</v>
      </c>
      <c r="DI254" s="1316" t="e">
        <f aca="false">IF(AND(BV254&gt;0,CP254&gt;0,DC254&gt;0,CU254&gt;0),newSPRDOPT(BV254,CP254,CX254,0,DC254,CU254,CV254,BT254*365.25,OCallPut,0),0)</f>
        <v>#VALUE!</v>
      </c>
      <c r="DJ254" s="1316" t="e">
        <f aca="false">IF(AND(BW254&gt;0,CQ254&gt;0,DD254&gt;0,CU254&gt;0),newSPRDOPT(BW254,CQ254,CY254,0,DD254,CU254,CV254,BT254*365.25,OCallPut,0),0)</f>
        <v>#VALUE!</v>
      </c>
      <c r="DK254" s="1316" t="e">
        <f aca="false">IF(AND(BX254&gt;0,CR254&gt;0,DE254&gt;0,CU254&gt;0),newSPRDOPT(BX254,CR254,CZ254,0,DE254,CU254,CV254,BT254*365.25,OCallPut,0),0)</f>
        <v>#VALUE!</v>
      </c>
      <c r="DL254" s="1316" t="e">
        <f aca="false">IF(OVolType,IF(AND(BZ254&gt;0,CS254&gt;0,DF254&gt;0,CU254&gt;0),newSPRDOPT(BZ254,CS254,DA254,0,DF254,CU254,CV254,BT254*365.25,OCallPut,0),0),IF(BQ254,(DH254*AZ254+DI254*BA254+DJ254*BB254+DK254*BC254)/BQ254,0))</f>
        <v>#VALUE!</v>
      </c>
      <c r="DM254" s="1316"/>
      <c r="DN254" s="1316"/>
      <c r="DO254" s="1316"/>
      <c r="DP254" s="1316"/>
      <c r="DQ254" s="1316"/>
      <c r="DR254" s="1316"/>
      <c r="DS254" s="1316"/>
      <c r="DT254" s="1316"/>
      <c r="DU254" s="1316"/>
      <c r="DV254" s="1316"/>
      <c r="DW254" s="1594" t="e">
        <f aca="false">IF(AND(BW254&gt;0,CT254&gt;0,DD254&gt;0,CU254&gt;0),newSPRDOPT(BW254,CT254,CY254,0,DD254,CU254,CV254,BT254*365.25,OCallPut,0),0)</f>
        <v>#VALUE!</v>
      </c>
      <c r="DX254" s="1316" t="e">
        <f aca="false">IF(AND(BX254&gt;0,CT254&gt;0,DE254&gt;0,CU254&gt;0),newSPRDOPT(BX254,CT254,CZ254,0,DE254,CU254,CV254,BT254*365.25,OCallPut,0),0)</f>
        <v>#VALUE!</v>
      </c>
      <c r="DY254" s="1591" t="e">
        <f aca="false">IF(BS254,(DH254*BH254+DI254*BI254+DW254*BJ254+DX254*BK254)/BS254,0)</f>
        <v>#VALUE!</v>
      </c>
      <c r="DZ254" s="1551" t="e">
        <f aca="false">DH254*AZ254</f>
        <v>#VALUE!</v>
      </c>
      <c r="EA254" s="1551" t="e">
        <f aca="false">DI254*BA254</f>
        <v>#VALUE!</v>
      </c>
      <c r="EB254" s="1551" t="e">
        <f aca="false">DJ254*BB254</f>
        <v>#VALUE!</v>
      </c>
      <c r="EC254" s="1551" t="e">
        <f aca="false">DK254*BC254</f>
        <v>#VALUE!</v>
      </c>
      <c r="ED254" s="1551" t="e">
        <f aca="false">DL254*BQ254</f>
        <v>#VALUE!</v>
      </c>
      <c r="EE254" s="1595" t="e">
        <f aca="false">IF(BQ254,IF(OCallPut,IF(BU254&gt;(CO254+CW254),BU254-(CO254+CW254),0),IF((CO254+CW254)&gt;BU254,(CO254+CW254)-BU254,0))*AZ254,0)</f>
        <v>#VALUE!</v>
      </c>
      <c r="EF254" s="1596" t="e">
        <f aca="false">IF(BQ254,IF(OCallPut,IF(BV254&gt;(CP254+CX254),BV254-(CP254+CX254),0),IF((CP254+CX254)&gt;BV254,(CP254+CX254)-BV254,0))*BA254,0)</f>
        <v>#VALUE!</v>
      </c>
      <c r="EG254" s="1596" t="e">
        <f aca="false">IF(BQ254,IF(OCallPut,IF(BW254&gt;(CQ254+CY254),BW254-(CQ254+CY254),0),IF((CQ254+CY254)&gt;BW254,(CQ254+CY254)-BW254,0))*BB254,0)</f>
        <v>#VALUE!</v>
      </c>
      <c r="EH254" s="1596" t="e">
        <f aca="false">IF(BQ254,IF(OCallPut,IF(BX254&gt;(CR254+CZ254),BX254-(CR254+CZ254),0),IF((CR254+CZ254)&gt;BX254,(CR254+CZ254)-BX254,0))*BC254,0)</f>
        <v>#VALUE!</v>
      </c>
      <c r="EI254" s="1597" t="e">
        <f aca="false">IF(BQ254,IF(OVolType,IF(OCallPut,IF(BZ254&gt;(CS254+DA254),BZ254-(CS254+DA254),0),IF((CS254+DA254)&gt;BZ254,(CS254+DA254)-BZ254,0))*BQ254,SUM(EE254:EH254)),0)</f>
        <v>#VALUE!</v>
      </c>
      <c r="EJ254" s="1595" t="e">
        <f aca="false">DZ254-EE254</f>
        <v>#VALUE!</v>
      </c>
      <c r="EK254" s="1596" t="e">
        <f aca="false">EA254-EF254</f>
        <v>#VALUE!</v>
      </c>
      <c r="EL254" s="1596" t="e">
        <f aca="false">EB254-EG254</f>
        <v>#VALUE!</v>
      </c>
      <c r="EM254" s="1596" t="e">
        <f aca="false">EC254-EH254</f>
        <v>#VALUE!</v>
      </c>
      <c r="EN254" s="1597" t="e">
        <f aca="false">ED254-EI254</f>
        <v>#VALUE!</v>
      </c>
      <c r="EO254" s="1551" t="e">
        <f aca="false">DH254*BH254</f>
        <v>#VALUE!</v>
      </c>
      <c r="EP254" s="1551" t="e">
        <f aca="false">DI254*BI254</f>
        <v>#VALUE!</v>
      </c>
      <c r="EQ254" s="1551" t="e">
        <f aca="false">DW254*BJ254</f>
        <v>#VALUE!</v>
      </c>
      <c r="ER254" s="1551" t="e">
        <f aca="false">DX254*BK254</f>
        <v>#VALUE!</v>
      </c>
      <c r="ES254" s="1551" t="e">
        <f aca="false">DY254*BS254</f>
        <v>#VALUE!</v>
      </c>
      <c r="ET254" s="1566" t="e">
        <f aca="false">IF(EI254,IF(OCallPut,IF(CA254&gt;(CT254+CW254),CA254-(CT254+CW254),0),IF((CT254+CW254)&gt;CA254,(CT254+CW254)-CA254,0))*BH254,0)</f>
        <v>#VALUE!</v>
      </c>
      <c r="EU254" s="1551" t="e">
        <f aca="false">IF(EI254,IF(OCallPut,IF(CB254&gt;(CT254+CX254),CB254-(CT254+CX254),0),IF((CT254+CX254)&gt;CB254,(CT254+CX254)-CB254,0))*BI254,0)</f>
        <v>#VALUE!</v>
      </c>
      <c r="EV254" s="1551" t="e">
        <f aca="false">IF(EI254,IF(OCallPut,IF(CC254&gt;(CT254+CY254),CC254-(CT254+CY254),0),IF((CT254+CY254)&gt;CC254,(CT254+CY254)-CC254,0))*BJ254,0)</f>
        <v>#VALUE!</v>
      </c>
      <c r="EW254" s="1551" t="e">
        <f aca="false">IF(EI254,IF(OCallPut,IF(CD254&gt;(CT254+CZ254),CD254-(CT254+CZ254),0),IF((CT254+CZ254)&gt;CD254,(CT254+CZ254)-CD254,0))*BK254,0)</f>
        <v>#VALUE!</v>
      </c>
      <c r="EX254" s="1558" t="e">
        <f aca="false">IF(EI254,SUM(ET254:EW254),0)</f>
        <v>#VALUE!</v>
      </c>
      <c r="EY254" s="1551" t="e">
        <f aca="false">EO254-ET254</f>
        <v>#VALUE!</v>
      </c>
      <c r="EZ254" s="1551" t="e">
        <f aca="false">EP254-EU254</f>
        <v>#VALUE!</v>
      </c>
      <c r="FA254" s="1551" t="e">
        <f aca="false">EQ254-EV254</f>
        <v>#VALUE!</v>
      </c>
      <c r="FB254" s="1551" t="e">
        <f aca="false">ER254-EW254</f>
        <v>#VALUE!</v>
      </c>
      <c r="FC254" s="1551" t="e">
        <f aca="false">ES254-EX254</f>
        <v>#VALUE!</v>
      </c>
      <c r="FD254" s="1525" t="n">
        <f aca="false">IF(AX254,IF(VLOOKUP(C254,MAIN!$L$17:$M$28,2)="Yes",VLOOKUP(CALC!B254,MAIN!$H$17:$I$20,2),0),0)</f>
        <v>0</v>
      </c>
      <c r="FE254" s="1552" t="e">
        <f aca="false">$FD254*16*AT254*(1-$AY254)</f>
        <v>#VALUE!</v>
      </c>
      <c r="FF254" s="1553" t="e">
        <f aca="false">$FD254*16*AU254*(1-$AY254)</f>
        <v>#VALUE!</v>
      </c>
      <c r="FG254" s="1553" t="e">
        <f aca="false">$FD254*16*(AV254+AW254)*(1-$AY254)</f>
        <v>#VALUE!</v>
      </c>
      <c r="FH254" s="1554" t="n">
        <f aca="false">$FD254*8*AX254*(1-$AY254)</f>
        <v>0</v>
      </c>
      <c r="FI254" s="1555" t="n">
        <f aca="false">IF(AX254,VLOOKUP(CALC!B254,MAIN!$H$17:$K$20,4),0)</f>
        <v>0</v>
      </c>
      <c r="FJ254" s="1553" t="e">
        <f aca="false">SUM(FE254:FH254)</f>
        <v>#VALUE!</v>
      </c>
      <c r="FK254" s="1556" t="e">
        <f aca="false">FI254*FJ254</f>
        <v>#VALUE!</v>
      </c>
      <c r="FL254" s="1551" t="e">
        <f aca="false">IF($EI254&gt;0,MIN(FE254,AZ254*(1+VLOOKUP($C254,WeatherCapacityAdjustment,2))),0)</f>
        <v>#VALUE!</v>
      </c>
      <c r="FM254" s="1551" t="e">
        <f aca="false">IF($EI254&gt;0,MIN(FF254,BA254*(1+VLOOKUP($C254,WeatherCapacityAdjustment,2))),0)</f>
        <v>#VALUE!</v>
      </c>
      <c r="FN254" s="1551" t="e">
        <f aca="false">IF($EI254&gt;0,MIN(FG254,BB254*(1+VLOOKUP($C254,WeatherCapacityAdjustment,2))),0)</f>
        <v>#VALUE!</v>
      </c>
      <c r="FO254" s="1564" t="e">
        <f aca="false">IF($EI254&gt;0,MIN(FH254,BC254*(1+VLOOKUP($C254,WeatherCapacityAdjustment,3))),0)</f>
        <v>#VALUE!</v>
      </c>
      <c r="FP254" s="1551" t="e">
        <f aca="false">IF(ET254&gt;0,MIN(FE254-FL254,BH254*(1+VLOOKUP($C254,WeatherCapacityAdjustment,2))),0)</f>
        <v>#VALUE!</v>
      </c>
      <c r="FQ254" s="1551" t="e">
        <f aca="false">IF(EU254&gt;0,MIN(FF254-FM254,BI254*(1+VLOOKUP($C254,WeatherCapacityAdjustment,2))),0)</f>
        <v>#VALUE!</v>
      </c>
      <c r="FR254" s="1551" t="e">
        <f aca="false">IF(EV254&gt;0,MIN(FG254-FN254,BJ254*(1+VLOOKUP($C254,WeatherCapacityAdjustment,2))),0)</f>
        <v>#VALUE!</v>
      </c>
      <c r="FS254" s="1558" t="e">
        <f aca="false">IF(EW254&gt;0,MIN(FH254-FO254,BK254*(1+VLOOKUP($C254,WeatherCapacityAdjustment,3))),0)</f>
        <v>#VALUE!</v>
      </c>
      <c r="FT254" s="1566" t="e">
        <f aca="false">IF(AND(Assumptions!$H$71="Yes",A254&gt;=Assumptions!$H$72,A254&lt;=Assumptions!$H$73),0,IF(AND($A254&gt;=Assumptions!$C$17,$A254&lt;=Assumptions!$C$18),MAX(AZ254*(1+VLOOKUP($C254,WeatherCapacityAdjustment,2))-FL254,0),0))</f>
        <v>#VALUE!</v>
      </c>
      <c r="FU254" s="1551" t="e">
        <f aca="false">IF(AND(Assumptions!$H$71="Yes",A254&gt;=Assumptions!$H$72,A254&lt;=Assumptions!$H$73),0,IF(AND($A254&gt;=Assumptions!$C$17,$A254&lt;=Assumptions!$C$18),MAX(BA254*(1+VLOOKUP($C254,WeatherCapacityAdjustment,2))-FM254,0),0))</f>
        <v>#VALUE!</v>
      </c>
      <c r="FV254" s="1551" t="e">
        <f aca="false">IF(AND(Assumptions!$H$71="Yes",A254&gt;=Assumptions!$H$72,A254&lt;=Assumptions!$H$73),0,IF(AND($A254&gt;=Assumptions!$C$17,$A254&lt;=Assumptions!$C$18),MAX(BB254*(1+VLOOKUP($C254,WeatherCapacityAdjustment,2))-FN254,0),0))</f>
        <v>#VALUE!</v>
      </c>
      <c r="FW254" s="1564" t="e">
        <f aca="false">IF(AND(Assumptions!$H$71="Yes",A254&gt;=Assumptions!$H$72,A254&lt;=Assumptions!$H$73),0,IF(AND($A254&gt;=Assumptions!$C$17,$A254&lt;=Assumptions!$C$18),MAX(BC254*(1+VLOOKUP($C254,WeatherCapacityAdjustment,3))-FO254,0),0))</f>
        <v>#VALUE!</v>
      </c>
      <c r="FX254" s="1569" t="e">
        <f aca="false">IF(AND(Assumptions!$H$71="Yes",A254&gt;=Assumptions!$H$72,A254&lt;=Assumptions!$H$73),0,IF(ET254&gt;0,MAX(BH254*(1+VLOOKUP($C254,WeatherCapacityAdjustment,2))-FP254,0),0))</f>
        <v>#VALUE!</v>
      </c>
      <c r="FY254" s="1551" t="e">
        <f aca="false">IF(AND(Assumptions!$H$71="Yes",A254&gt;=Assumptions!$H$72,A254&lt;=Assumptions!$H$73),0,IF(EU254&gt;0,MAX(BI254*(1+VLOOKUP($C254,WeatherCapacityAdjustment,3))-FQ254,0),0))</f>
        <v>#VALUE!</v>
      </c>
      <c r="FZ254" s="1551" t="e">
        <f aca="false">IF(AND(Assumptions!$H$71="Yes",A254&gt;=Assumptions!$H$72,A254&lt;=Assumptions!$H$73),0,IF(EV254&gt;0,MAX(BJ254*(1+VLOOKUP($C254,WeatherCapacityAdjustment,2))-FR254,0),0))</f>
        <v>#VALUE!</v>
      </c>
      <c r="GA254" s="1564" t="e">
        <f aca="false">IF(AND(Assumptions!$H$71="Yes",A254&gt;=Assumptions!$H$72,A254&lt;=Assumptions!$H$73),0,IF(EW254&gt;0,MAX(BK254*(1+VLOOKUP($C254,WeatherCapacityAdjustment,2))-FS254,0),0))</f>
        <v>#VALUE!</v>
      </c>
      <c r="GB254" s="1551" t="e">
        <f aca="false">SUM(FT254:GA254)</f>
        <v>#VALUE!</v>
      </c>
      <c r="GC254" s="1563" t="e">
        <f aca="false">+IF(SUM(FT254:GA254)=0,0,(SUMPRODUCT(BU254:BX254,FT254:FW254)+SUMPRODUCT(CA254:CD254,FX254:GA254))/SUM(FT254:GA254))</f>
        <v>#VALUE!</v>
      </c>
      <c r="GD254" s="1551" t="e">
        <f aca="false">(FT254*BU254+FX254*CA254+FU254*BV254+FY254*CB254+FV254*BW254+FZ254*CC254+FW254*BX254+GA254*CD254)</f>
        <v>#VALUE!</v>
      </c>
      <c r="GE254" s="1561" t="e">
        <f aca="false">+IF(BQ254,((FL254+FM254+FT254+FU254)*HeatRatePeak/1000*(1+VLOOKUP($C254,WeatherHeatRateAdjustment,2))+(FN254+FV254)*IF(EV254&gt;0,HeatRatePeak,HeatRateOffPeak)/1000*(1+VLOOKUP($C254,WeatherHeatRateAdjustment,2))+(FO254+FW254)*IF(EW254&gt;0,HeatRatePeak,HeatRateOffPeak)/1000*(1+VLOOKUP($C254,WeatherHeatRateAdjustment,3)))*(1+VLOOKUP($B254,HeatRateDegradation,$C254+1)),0)</f>
        <v>#VALUE!</v>
      </c>
      <c r="GF254" s="1562" t="e">
        <f aca="false">IF(BQ254,((FP254+FQ254+FR254+FX254+FY254+FZ254)*HeatRatePeak/1000*(1+VLOOKUP($C254,WeatherHeatRateAdjustment,2))+(FS254+GA254)*HeatRatePeak/1000*(1+VLOOKUP($C254,WeatherHeatRateAdjustment,3)))*(1+VLOOKUP($B254,HeatRateDegradation,$C254+1)),0)</f>
        <v>#VALUE!</v>
      </c>
      <c r="GG254" s="1563" t="e">
        <f aca="false">IF(BQ254,VLOOKUP(A254,GasTable,13),0)</f>
        <v>#VALUE!</v>
      </c>
      <c r="GH254" s="1564" t="e">
        <f aca="false">(GE254+GF254)*GG254</f>
        <v>#VALUE!</v>
      </c>
      <c r="GI254" s="1569" t="e">
        <f aca="false">GB254</f>
        <v>#VALUE!</v>
      </c>
      <c r="GJ254" s="1598" t="e">
        <f aca="false">+DA254</f>
        <v>#VALUE!</v>
      </c>
      <c r="GK254" s="1558" t="e">
        <f aca="false">+GI254*GJ254</f>
        <v>#VALUE!</v>
      </c>
      <c r="GL254" s="1566" t="e">
        <f aca="false">MAX(FE254-FL254-FP254,0)</f>
        <v>#VALUE!</v>
      </c>
      <c r="GM254" s="1551" t="e">
        <f aca="false">MAX(FF254-FM254-FQ254,0)</f>
        <v>#VALUE!</v>
      </c>
      <c r="GN254" s="1551" t="e">
        <f aca="false">MAX(FG254-FN254-FR254,0)</f>
        <v>#VALUE!</v>
      </c>
      <c r="GO254" s="1564" t="e">
        <f aca="false">MAX(FH254-FO254-FS254,0)</f>
        <v>#VALUE!</v>
      </c>
      <c r="GP254" s="1551" t="e">
        <f aca="false">SUM(GL254:GO254)</f>
        <v>#VALUE!</v>
      </c>
      <c r="GQ254" s="1563" t="e">
        <f aca="false">IF(SUM(GL254:GO254)=0,0,((GL254*BU254+GM254*BV254+GN254*BW254+GO254*BX254)/SUM(GL254:GO254)))</f>
        <v>#VALUE!</v>
      </c>
      <c r="GR254" s="1558" t="e">
        <f aca="false">(GL254*BU254+GM254*BV254+GN254*BW254+GO254*BX254)</f>
        <v>#VALUE!</v>
      </c>
      <c r="GS254" s="1566" t="n">
        <f aca="false">IF($A254&gt;=BegDate,Assumptions!$C$56*24*($A255-$A254)*(1-VLOOKUP($B254,MAIN!$AA$7:$AM$28,$C254+1))*(1-VLOOKUP($B254,MAIN!$AA$33:$AM$54,$C254+1)),0)*80/168</f>
        <v>241114.285714286</v>
      </c>
      <c r="GT254" s="286" t="n">
        <f aca="false">J254</f>
        <v>46.0307868641799</v>
      </c>
      <c r="GU254" s="286" t="n">
        <f aca="false">IF($A254&gt;=BegDate,VLOOKUP($A254,GasTable,13)+Assumptions!$C$58,0)</f>
        <v>3.92939286526483</v>
      </c>
      <c r="GV254" s="286" t="n">
        <f aca="false">GU254*Assumptions!$C$57/1000</f>
        <v>28.48809827317</v>
      </c>
      <c r="GW254" s="1558" t="n">
        <f aca="false">IF(Assumptions!$C$60="Hourly",MAX(0,GS254*(GT254-GV254)),GS254*(GT254-GV254))</f>
        <v>4229792.8291295</v>
      </c>
      <c r="GX254" s="1566" t="n">
        <f aca="false">IF($A254&gt;=BegDate,Assumptions!$C$56*24*($A255-$A254)*(1-VLOOKUP($B254,MAIN!$AA$7:$AM$28,$C254+1))*(1-VLOOKUP($B254,MAIN!$AA$33:$AM$54,$C254+1)),0)*16/168</f>
        <v>48222.8571428571</v>
      </c>
      <c r="GY254" s="286" t="n">
        <f aca="false">M254</f>
        <v>46.0307868641799</v>
      </c>
      <c r="GZ254" s="286" t="n">
        <f aca="false">IF($A254&gt;=BegDate,VLOOKUP($A254,GasTable,13)+Assumptions!$C$58,0)</f>
        <v>3.92939286526483</v>
      </c>
      <c r="HA254" s="286" t="n">
        <f aca="false">GZ254*Assumptions!$C$57/1000</f>
        <v>28.48809827317</v>
      </c>
      <c r="HB254" s="1558" t="n">
        <f aca="false">IF(Assumptions!$C$60="Hourly",MAX(0,GX254*(GY254-HA254)),GX254*(GY254-HA254))</f>
        <v>845958.5658259</v>
      </c>
      <c r="HC254" s="1566" t="n">
        <f aca="false">IF($A254&gt;=BegDate,Assumptions!$C$56*24*($A255-$A254)*(1-VLOOKUP($B254,MAIN!$AA$7:$AM$28,$C254+1))*(1-VLOOKUP($B254,MAIN!$AA$33:$AM$54,$C254+1)),0)*16/168</f>
        <v>48222.8571428571</v>
      </c>
      <c r="HD254" s="286" t="n">
        <f aca="false">P254</f>
        <v>28.6298970730546</v>
      </c>
      <c r="HE254" s="286" t="n">
        <f aca="false">IF($A254&gt;=BegDate,VLOOKUP($A254,GasTable,13)+Assumptions!$C$58,0)</f>
        <v>3.92939286526483</v>
      </c>
      <c r="HF254" s="286" t="n">
        <f aca="false">HE254*Assumptions!$C$57/1000</f>
        <v>28.48809827317</v>
      </c>
      <c r="HG254" s="1558" t="n">
        <f aca="false">IF(Assumptions!$C$60="Hourly",MAX(0,HC254*(HD254-HF254)),HC254*(HD254-HF254))</f>
        <v>6837.94326986198</v>
      </c>
      <c r="HH254" s="1566" t="n">
        <f aca="false">IF($A254&gt;=BegDate,Assumptions!$C$56*24*($A255-$A254)*(1-VLOOKUP($B254,MAIN!$AA$7:$AM$28,$C254+1))*(1-VLOOKUP($B254,MAIN!$AA$33:$AM$54,$C254+1)),0)*56/168</f>
        <v>168780</v>
      </c>
      <c r="HI254" s="286" t="n">
        <f aca="false">S254</f>
        <v>28.6298970730546</v>
      </c>
      <c r="HJ254" s="286" t="n">
        <f aca="false">IF($A254&gt;=BegDate,VLOOKUP($A254,GasTable,13)+Assumptions!$C$58,0)</f>
        <v>3.92939286526483</v>
      </c>
      <c r="HK254" s="286" t="n">
        <f aca="false">HJ254*Assumptions!$C$57/1000</f>
        <v>28.48809827317</v>
      </c>
      <c r="HL254" s="1558" t="n">
        <f aca="false">IF(Assumptions!$C$60="Hourly",MAX(0,HH254*(HI254-HK254)),HH254*(HI254-HK254))</f>
        <v>23932.8014445169</v>
      </c>
      <c r="HM254" s="1566" t="n">
        <f aca="false">IF(AND(Assumptions!$H$71="Yes",A254&gt;=Assumptions!$H$72,A254&lt;=Assumptions!$H$73),Assumptions!$H$74*Assumptions!$C$9*1000,0)</f>
        <v>0</v>
      </c>
      <c r="HN254" s="1551"/>
      <c r="HO254" s="1563"/>
      <c r="HP254" s="1563"/>
      <c r="HQ254" s="1563"/>
      <c r="HR254" s="1563"/>
      <c r="HS254" s="1563"/>
      <c r="HT254" s="1563"/>
      <c r="HU254" s="1563"/>
      <c r="HV254" s="1563"/>
      <c r="HW254" s="1563"/>
      <c r="HX254" s="1563"/>
      <c r="HY254" s="1563"/>
      <c r="HZ254" s="1563"/>
      <c r="IA254" s="1563"/>
      <c r="IB254" s="1563"/>
      <c r="IC254" s="1563"/>
      <c r="ID254" s="1563"/>
      <c r="IE254" s="1563"/>
      <c r="IF254" s="1563"/>
      <c r="IG254" s="1563"/>
      <c r="IH254" s="1563"/>
      <c r="II254" s="1610"/>
      <c r="IJ254" s="1309"/>
      <c r="IK254" s="1309"/>
    </row>
    <row r="255" customFormat="false" ht="12.75" hidden="false" customHeight="false" outlineLevel="0" collapsed="false">
      <c r="A255" s="1571" t="n">
        <f aca="false">EOMONTH(A254,0)+1</f>
        <v>43891</v>
      </c>
      <c r="B255" s="594" t="n">
        <f aca="false">+YEAR(A255)</f>
        <v>2020</v>
      </c>
      <c r="C255" s="238" t="n">
        <f aca="false">MONTH(A255)</f>
        <v>3</v>
      </c>
      <c r="D255" s="1572" t="e">
        <f aca="false">IF(E255="","",Holiday(B255,C255))</f>
        <v>#VALUE!</v>
      </c>
      <c r="E255" s="1573" t="n">
        <f aca="false">IF(OR(BegDate&gt;=A256,EndDate&lt;A255,AND(VolumeMonthlyOverFlag,INDEX(VolumeMonthlyOver,C255)=0),NOT(INDEX(MonthKnockOutTable,C255))),"",MAX(A255,BegDate))</f>
        <v>43891</v>
      </c>
      <c r="F255" s="1574" t="n">
        <f aca="false">IF(E255="","",MIN(A256-1,EndDate))</f>
        <v>43921</v>
      </c>
      <c r="G255" s="1575" t="n">
        <v>0</v>
      </c>
      <c r="H255" s="1576" t="n">
        <f aca="false">(1+G255/2)^(-2*(DATE(B256,C256,20)-DateToday)/365.25)</f>
        <v>1</v>
      </c>
      <c r="I255" s="1568" t="n">
        <f aca="false">IF(Assumptions!$L$25=4,VLOOKUP($A255,'Henwood Reference'!$E$9:$R$320,10),(VLOOKUP($A255,PriceTable,2,0)+IF(BasisNumber&lt;&gt;1,VLOOKUP($A255,BasisTable,2,0),0)+I$1)/(1-I$2))</f>
        <v>44.1902924195211</v>
      </c>
      <c r="J255" s="1568" t="n">
        <f aca="false">IF(Assumptions!$L$25=4,VLOOKUP($A255,'Henwood Reference'!$E$9:$R$320,10),(VLOOKUP($A255,PriceTable,3,0)+IF(BasisNumber&lt;&gt;1,VLOOKUP($A255,BasisTable,2,0),0)+J$1)/(1-J$2))</f>
        <v>44.1902924195211</v>
      </c>
      <c r="K255" s="1568" t="n">
        <f aca="false">IF(Assumptions!$L$25=4,VLOOKUP($A255,'Henwood Reference'!$E$9:$R$320,10),(VLOOKUP($A255,PriceTable,4,0)+IF(BasisNumber&lt;&gt;1,VLOOKUP($A255,BasisTable,2,0),0)+K$1)/(1-K$2))</f>
        <v>44.1902924195211</v>
      </c>
      <c r="L255" s="1523" t="n">
        <f aca="false">IF(Assumptions!$L$25=4,VLOOKUP($A255,'Henwood Reference'!$E$9:$R$320,10),(VLOOKUP($A255,PriceTableWeekend,2,0)+IF(BasisNumber&lt;&gt;1,VLOOKUP($A255,BasisTable,2,0),0)+L$1)/(1-L$2))</f>
        <v>44.1902924195211</v>
      </c>
      <c r="M255" s="1568" t="n">
        <f aca="false">IF(Assumptions!$L$25=4,VLOOKUP($A255,'Henwood Reference'!$E$9:$R$320,10),(VLOOKUP($A255,PriceTableWeekend,3,0)+IF(BasisNumber&lt;&gt;1,VLOOKUP($A255,BasisTable,2,0),0)+M$1)/(1-M$2))</f>
        <v>44.1902924195211</v>
      </c>
      <c r="N255" s="1599" t="n">
        <f aca="false">IF(Assumptions!$L$25=4,VLOOKUP($A255,'Henwood Reference'!$E$9:$R$320,10),(VLOOKUP($A255,PriceTableWeekend,4,0)+IF(BasisNumber&lt;&gt;1,VLOOKUP($A255,BasisTable,2,0),0)+N$1)/(1-N$2))</f>
        <v>44.1902924195211</v>
      </c>
      <c r="O255" s="1568" t="n">
        <f aca="false">IF(Assumptions!$L$25=4,VLOOKUP($A255,'Henwood Reference'!$E$9:$R$320,11),(VLOOKUP($A255,PriceTableWeekend,6,0)+IF(BasisNumber&lt;&gt;1,VLOOKUP($A255,BasisTable,3,0),0)+O$1)/(1-O$2))</f>
        <v>30.6706972266912</v>
      </c>
      <c r="P255" s="1568" t="n">
        <f aca="false">IF(Assumptions!$L$25=4,VLOOKUP($A255,'Henwood Reference'!$E$9:$R$320,11),(VLOOKUP($A255,PriceTableWeekend,7,0)+IF(BasisNumber&lt;&gt;1,VLOOKUP($A255,BasisTable,3,0),0)+P$1)/(1-P$2))</f>
        <v>30.6706972266912</v>
      </c>
      <c r="Q255" s="1599" t="n">
        <f aca="false">IF(Assumptions!$L$25=4,VLOOKUP($A255,'Henwood Reference'!$E$9:$R$320,11),(VLOOKUP($A255,PriceTableWeekend,8,0)+IF(BasisNumber&lt;&gt;1,VLOOKUP($A255,BasisTable,3,0),0)+Q$1)/(1-Q$2))</f>
        <v>30.6706972266912</v>
      </c>
      <c r="R255" s="1568" t="n">
        <f aca="false">IF(Assumptions!$L$25=4,VLOOKUP($A255,'Henwood Reference'!$E$9:$R$320,11),(VLOOKUP($A255,PriceTable,6,0)+IF(BasisNumber&lt;&gt;1,VLOOKUP($A255,BasisTable,3,0),0)+R$1)/(1-R$2))</f>
        <v>30.6706972266912</v>
      </c>
      <c r="S255" s="1568" t="n">
        <f aca="false">IF(Assumptions!$L$25=4,VLOOKUP($A255,'Henwood Reference'!$E$9:$R$320,11),(VLOOKUP($A255,PriceTable,7,0)+IF(BasisNumber&lt;&gt;1,VLOOKUP($A255,BasisTable,3,0),0)+S$1)/(1-S$2))</f>
        <v>30.6706972266912</v>
      </c>
      <c r="T255" s="1600" t="n">
        <f aca="false">IF(Assumptions!$L$25=4,VLOOKUP($A255,'Henwood Reference'!$E$9:$R$320,11),(VLOOKUP($A255,PriceTable,8,0)+IF(BasisNumber&lt;&gt;1,VLOOKUP($A255,BasisTable,3,0),0)+T$1)/(1-T$2))</f>
        <v>30.6706972266912</v>
      </c>
      <c r="U255" s="1513" t="n">
        <f aca="false">VLOOKUP($A255,VolatilityTable,14)</f>
        <v>0.09</v>
      </c>
      <c r="V255" s="1513" t="n">
        <f aca="false">VLOOKUP($A255,VolatilityTable,15)</f>
        <v>0.1</v>
      </c>
      <c r="W255" s="1514" t="n">
        <f aca="false">VLOOKUP($A255,VolatilityTable,16)</f>
        <v>0.11</v>
      </c>
      <c r="X255" s="1513" t="n">
        <f aca="false">VLOOKUP($A255,VolatilityTable,14)</f>
        <v>0.09</v>
      </c>
      <c r="Y255" s="1513" t="n">
        <f aca="false">VLOOKUP($A255,VolatilityTable,15)</f>
        <v>0.1</v>
      </c>
      <c r="Z255" s="1514" t="n">
        <f aca="false">VLOOKUP($A255,VolatilityTable,16)</f>
        <v>0.11</v>
      </c>
      <c r="AA255" s="1513" t="n">
        <f aca="false">VLOOKUP($A255,VolatilityTable,18)</f>
        <v>0.09</v>
      </c>
      <c r="AB255" s="1513" t="n">
        <f aca="false">VLOOKUP($A255,VolatilityTable,19)</f>
        <v>0.11</v>
      </c>
      <c r="AC255" s="1514" t="n">
        <f aca="false">VLOOKUP($A255,VolatilityTable,20)</f>
        <v>0.13</v>
      </c>
      <c r="AD255" s="1513" t="n">
        <f aca="false">VLOOKUP($A255,VolatilityTable,18)</f>
        <v>0.09</v>
      </c>
      <c r="AE255" s="1513" t="n">
        <f aca="false">VLOOKUP($A255,VolatilityTable,19)</f>
        <v>0.11</v>
      </c>
      <c r="AF255" s="1514" t="n">
        <f aca="false">VLOOKUP($A255,VolatilityTable,20)</f>
        <v>0.13</v>
      </c>
      <c r="AG255" s="1513" t="n">
        <f aca="false">VLOOKUP($A255,VolatilityTable,22)</f>
        <v>-0.1</v>
      </c>
      <c r="AH255" s="1513" t="n">
        <f aca="false">VLOOKUP($A255,VolatilityTable,23)</f>
        <v>0.65</v>
      </c>
      <c r="AI255" s="1514" t="n">
        <f aca="false">VLOOKUP($A255,VolatilityTable,24)</f>
        <v>0.1</v>
      </c>
      <c r="AJ255" s="1513" t="n">
        <f aca="false">VLOOKUP($A255,VolatilityTable,22)</f>
        <v>-0.1</v>
      </c>
      <c r="AK255" s="1513" t="n">
        <f aca="false">VLOOKUP($A255,VolatilityTable,23)</f>
        <v>0.65</v>
      </c>
      <c r="AL255" s="1514" t="n">
        <f aca="false">VLOOKUP($A255,VolatilityTable,24)</f>
        <v>0.1</v>
      </c>
      <c r="AM255" s="1513" t="n">
        <f aca="false">VLOOKUP($A255,VolatilityTable,26)</f>
        <v>-0.01</v>
      </c>
      <c r="AN255" s="1513" t="n">
        <f aca="false">VLOOKUP($A255,VolatilityTable,27)</f>
        <v>0.16</v>
      </c>
      <c r="AO255" s="1514" t="n">
        <f aca="false">VLOOKUP($A255,VolatilityTable,28)</f>
        <v>0.01</v>
      </c>
      <c r="AP255" s="1513" t="n">
        <f aca="false">VLOOKUP($A255,VolatilityTable,26)</f>
        <v>-0.01</v>
      </c>
      <c r="AQ255" s="1513" t="n">
        <f aca="false">VLOOKUP($A255,VolatilityTable,27)</f>
        <v>0.16</v>
      </c>
      <c r="AR255" s="1515" t="n">
        <f aca="false">VLOOKUP($A255,VolatilityTable,28)</f>
        <v>0.01</v>
      </c>
      <c r="AS255" s="1581" t="n">
        <f aca="false">IF(CorrPeakOffPeakOverFlag,INDEX(CorrPeakOffPeakOver,C255),CorrPeakOffPeak)</f>
        <v>0.5</v>
      </c>
      <c r="AT255" s="594" t="e">
        <f aca="false">AX255-SUM(AU255:AW255)</f>
        <v>#VALUE!</v>
      </c>
      <c r="AU255" s="238" t="e">
        <f aca="false">IF(E255="",0,INT((F255-MOD(F255,7)-E255)/7)+1-IF(AW255,IF(WEEKDAY(D255)=7,1,0),0))</f>
        <v>#VALUE!</v>
      </c>
      <c r="AV255" s="238" t="e">
        <f aca="false">IF(E255="",0,INT((F255-MOD(F255-1,7)-E255)/7)+1-IF(AW255,IF(WEEKDAY(D255)=1,1,0),0))</f>
        <v>#VALUE!</v>
      </c>
      <c r="AW255" s="238" t="e">
        <f aca="false">IF(OR(E255="",D255="",D255&lt;BegDate,D255&gt;EndDate),0,1)</f>
        <v>#VALUE!</v>
      </c>
      <c r="AX255" s="238" t="n">
        <f aca="false">IF(E255="",0,F255-E255+1)</f>
        <v>31</v>
      </c>
      <c r="AY255" s="1582" t="n">
        <f aca="false">IF(E255="",0,MIN((1-(1-VLOOKUP(B255,MAIN!$AA$7:$AM$28,C255+1))*(1-VLOOKUP(B255,MAIN!$AA$33:$AM$54,C255+1))),1))</f>
        <v>0.03</v>
      </c>
      <c r="AZ255" s="1519" t="e">
        <v>#VALUE!</v>
      </c>
      <c r="BA255" s="1520" t="e">
        <v>#VALUE!</v>
      </c>
      <c r="BB255" s="1520" t="e">
        <v>#VALUE!</v>
      </c>
      <c r="BC255" s="1583" t="e">
        <v>#VALUE!</v>
      </c>
      <c r="BD255" s="1522" t="e">
        <v>#VALUE!</v>
      </c>
      <c r="BE255" s="1523" t="e">
        <v>#VALUE!</v>
      </c>
      <c r="BF255" s="1523" t="e">
        <v>#VALUE!</v>
      </c>
      <c r="BG255" s="1584" t="e">
        <v>#VALUE!</v>
      </c>
      <c r="BH255" s="1525" t="e">
        <v>#VALUE!</v>
      </c>
      <c r="BI255" s="1520" t="e">
        <v>#VALUE!</v>
      </c>
      <c r="BJ255" s="1520" t="e">
        <v>#VALUE!</v>
      </c>
      <c r="BK255" s="1583" t="e">
        <v>#VALUE!</v>
      </c>
      <c r="BL255" s="1522" t="e">
        <v>#VALUE!</v>
      </c>
      <c r="BM255" s="1523" t="e">
        <v>#VALUE!</v>
      </c>
      <c r="BN255" s="1523" t="e">
        <v>#VALUE!</v>
      </c>
      <c r="BO255" s="1523" t="e">
        <v>#VALUE!</v>
      </c>
      <c r="BP255" s="1525" t="e">
        <f aca="false">SUM(AZ255:BB255)</f>
        <v>#VALUE!</v>
      </c>
      <c r="BQ255" s="1529" t="e">
        <f aca="false">SUM(AZ255:BC255)</f>
        <v>#VALUE!</v>
      </c>
      <c r="BR255" s="1519" t="e">
        <f aca="false">SUM(BH255:BJ255)</f>
        <v>#VALUE!</v>
      </c>
      <c r="BS255" s="1529" t="e">
        <f aca="false">SUM(BH255:BK255)</f>
        <v>#VALUE!</v>
      </c>
      <c r="BT255" s="1316" t="n">
        <f aca="false">(IF(OVolType&lt;&gt;2,A255+14,IF(OptExpDateShift,ShiftBack(A255,OptExpDateShift,D254),A255))-DateToday)/365.25</f>
        <v>19.8795345653662</v>
      </c>
      <c r="BU255" s="1585" t="e">
        <f aca="false">IF(BQ255,IF(OPriceCurve,IF(OBuySell=OCallPut,I255/(1-AY255),K255/(1-AY255)),J255/(1-AY255))*BD255,0)</f>
        <v>#VALUE!</v>
      </c>
      <c r="BV255" s="1316" t="e">
        <f aca="false">IF(BQ255,IF(OPriceCurve,IF(OBuySell=OCallPut,L255/(1-AY255),N255/(1-AY255)),M255/(1-AY255))*BE255,0)</f>
        <v>#VALUE!</v>
      </c>
      <c r="BW255" s="1316" t="e">
        <f aca="false">IF(BQ255,IF(OPriceCurve,IF(OBuySell=OCallPut,O255/(1-AY255),Q255/(1-AY255)),P255/(1-AY255))*BF255,0)</f>
        <v>#VALUE!</v>
      </c>
      <c r="BX255" s="1316" t="e">
        <f aca="false">IF(BQ255,IF(OPriceCurve,IF(OBuySell=OCallPut,R255/(1-AY255),T255/(1-AY255)),S255/(1-AY255))*BG255,0)</f>
        <v>#VALUE!</v>
      </c>
      <c r="BY255" s="1316" t="e">
        <f aca="false">IF(BP255,(BU255*AZ255+BV255*BA255+BW255*BB255)/BP255,0)</f>
        <v>#VALUE!</v>
      </c>
      <c r="BZ255" s="1316" t="e">
        <f aca="false">IF(BQ255,(BY255*BP255+BX255*BC255)/BQ255,0)</f>
        <v>#VALUE!</v>
      </c>
      <c r="CA255" s="1531" t="e">
        <f aca="false">IF(BS255,IF(OPriceCurve,IF(OBuySell=OCallPut,I255/(1-AY255),K255/(1-AY255)),J255/(1-AY255))*BL255,0)</f>
        <v>#VALUE!</v>
      </c>
      <c r="CB255" s="1316" t="e">
        <f aca="false">IF(BS255,IF(OPriceCurve,IF(OBuySell=OCallPut,L255/(1-AY255),N255/(1-AY255)),M255/(1-AY255))*BM255,0)</f>
        <v>#VALUE!</v>
      </c>
      <c r="CC255" s="1316" t="e">
        <f aca="false">IF(BS255,IF(OPriceCurve,IF(OBuySell=OCallPut,O255/(1-AY255),Q255/(1-AY255)),P255/(1-AY255))*BN255,0)</f>
        <v>#VALUE!</v>
      </c>
      <c r="CD255" s="1316" t="e">
        <f aca="false">IF(BS255,IF(OPriceCurve,IF(OBuySell=OCallPut,R255/(1-AY255),T255/(1-AY255)),S255/(1-AY255))*BO255,0)</f>
        <v>#VALUE!</v>
      </c>
      <c r="CE255" s="1316" t="e">
        <f aca="false">IF(BR255,(BU255*BH255+BV255*BI255+BW255*BJ255)/BR255,0)</f>
        <v>#VALUE!</v>
      </c>
      <c r="CF255" s="1532" t="e">
        <f aca="false">IF(BS255,(CE255*BR255+CD255*BK255)/BS255,0)</f>
        <v>#VALUE!</v>
      </c>
      <c r="CG255" s="1586" t="e">
        <f aca="false">IF(OR(BQ255,BS255),IF(OVolType&lt;&gt;2,SQRT(IF(OVolOverMonthlyPeak,OVolOverMonthlyPeak,IF(OVolCurve,IF(OBuySell,U255,W255),V255))^2*(1-15/365.25/BT255)+IF(OVolOverDailyPeak,OVolOverDailyPeak,IF(OVolCurve,IF(OBuySell,AG255,AI255),AH255))^2*15/365.25/BT255),IF(OVolOverMonthlyPeak,OVolOverMonthlyPeak,IF(OVolCurve,IF(OBuySell,U255,W255),V255))),"")</f>
        <v>#VALUE!</v>
      </c>
      <c r="CH255" s="1587" t="e">
        <f aca="false">IF(OR(BQ255,BS255),IF(OVolType&lt;&gt;2,SQRT(IF(OVolOverMonthlyPeak,OVolOverMonthlyPeak,IF(OVolCurve,IF(OBuySell,X255,Z255),Y255))^2*(1-15/365.25/BT255)+IF(OVolOverDailyPeak,OVolOverDailyPeak,IF(OVolCurve,IF(OBuySell,AJ255,AL255),AK255))^2*15/365.25/BT255),IF(OVolOverMonthlyPeak,OVolOverMonthlyPeak,IF(OVolCurve,IF(OBuySell,X255,Z255),Y255))),"")</f>
        <v>#VALUE!</v>
      </c>
      <c r="CI255" s="1587" t="e">
        <f aca="false">IF(OR(BQ255,BS255),IF(OVolType&lt;&gt;2,SQRT(IF(OVolOverMonthlyPeak,OVolOverMonthlyPeak,IF(OVolCurve,IF(OBuySell,AA255,AC255),AB255))^2*(1-15/365.25/BT255)+IF(OVolOverDailyPeak,OVolOverDailyPeak,IF(OVolCurve,IF(OBuySell,AM255,AO255),AN255))^2*15/365.25/BT255),IF(OVolOverMonthlyPeak,OVolOverMonthlyPeak,IF(OVolCurve,IF(OBuySell,AA255,AC255),AB255))),"")</f>
        <v>#VALUE!</v>
      </c>
      <c r="CJ255" s="1587" t="e">
        <f aca="false">IF(BQ255,IF(BP255,SQRT(LN(1+((BU255*AZ255)^2*(EXP(CG255^2*BT255)-1)+(BV255*BA255)^2*(EXP(CH255^2*BT255)-1)+(BW255*BB255)^2*(EXP(CI255^2*BT255)-1)+2*BU255*AZ255*BV255*BA255*(EXP(CG255*CH255*BT255)-1)+2*BV255*BA255*BW255*BB255*(EXP(CH255*CI255*BT255)-1)+2*BW255*BB255*BU255*AZ255*(EXP(CI255*CG255*BT255)-1))/(BY255*BP255)^2)/BT255),0),"")</f>
        <v>#VALUE!</v>
      </c>
      <c r="CK255" s="1587" t="e">
        <f aca="false">IF(BS255,IF(BR255,SQRT(LN(1+((CA255*BH255)^2*(EXP(CG255^2*BT255)-1)+(CB255*BI255)^2*(EXP(CH255^2*BT255)-1)+(CC255*BJ255)^2*(EXP(CI255^2*BT255)-1)+2*CA255*BH255*CB255*BI255*(EXP(CG255*CH255*BT255)-1)+2*CB255*BI255*CC255*BJ255*(EXP(CH255*CI255*BT255)-1)+2*CC255*BJ255*CA255*BH255*(EXP(CI255*CG255*BT255)-1))/(CE255*BR255)^2)/BT255),0),"")</f>
        <v>#VALUE!</v>
      </c>
      <c r="CL255" s="1587" t="e">
        <f aca="false">IF(OR(BQ255,BS255),IF(OVolType&lt;&gt;2,SQRT(IF(OVolOverMonthlyOffPeak,OVolOverMonthlyOffPeak,IF(OVolCurve,IF(OBuySell,AD255,AF255),AE255))^2*(1-15/365.25/BT255)+IF(OVolOverDailyOffPeak,OVolOverDailyOffPeak,IF(OVolCurve,IF(OBuySell,AP255,AR255),AQ255))^2*15/365.25/BT255),IF(OVolOverMonthlyOffPeak,OVolOverMonthlyOffPeak,IF(OVolCurve,IF(OBuySell,AD255,AF255),AE255))),"")</f>
        <v>#VALUE!</v>
      </c>
      <c r="CM255" s="1587" t="e">
        <f aca="false">IF(BQ255,SQRT(LN(1+((BY255*BP255)^2*(EXP(CJ255^2*BT255)-1)+(BX255*BC255)^2*(EXP(CL255^2*BT255)-1)+2*BY255*BP255*BX255*BC255*(EXP(AS255*CJ255*CL255*BT255)-1))/(BY255*BP255+BX255*BC255)^2)/BT255),"")</f>
        <v>#VALUE!</v>
      </c>
      <c r="CN255" s="1588" t="e">
        <f aca="false">IF(BS255,SQRT(LN(1+((CE255*BR255)^2*(EXP(CK255^2*BT255)-1)+(CD255*BK255)^2*(EXP(CL255^2*BT255)-1)+2*CE255*BR255*CD255*BK255*(EXP(AS255*CK255*CL255*BT255)-1))/(CE255*BR255+CD255*BK255)^2)/BT255),"")</f>
        <v>#VALUE!</v>
      </c>
      <c r="CO255" s="1531" t="e">
        <f aca="false">IF(OR(BQ255,BS255),VLOOKUP(A255,GasTable,13)*HeatRatePeak*(1+VLOOKUP($B255,HeatRateDegradation,$C255+1))/1000,0)</f>
        <v>#VALUE!</v>
      </c>
      <c r="CP255" s="1316" t="e">
        <f aca="false">IF(OR(BQ255,BS255),VLOOKUP(A255,GasTable,13)*HeatRatePeak*(1+VLOOKUP($B255,HeatRateDegradation,$C255+1))/1000,0)</f>
        <v>#VALUE!</v>
      </c>
      <c r="CQ255" s="1316" t="e">
        <f aca="false">IF(OR(BQ255,BS255),VLOOKUP(A255,GasTable,13)*IF(EV255,HeatRatePeak,HeatRateOffPeak)*(1+VLOOKUP($B255,HeatRateDegradation,$C255+1))/1000,0)</f>
        <v>#VALUE!</v>
      </c>
      <c r="CR255" s="1316" t="e">
        <f aca="false">IF(OR(BQ255,BS255),VLOOKUP(A255,GasTable,13)*IF(EW255,HeatRatePeak,HeatRateOffPeak)*(1+VLOOKUP($B255,HeatRateDegradation,$C255+1))/1000,0)</f>
        <v>#VALUE!</v>
      </c>
      <c r="CS255" s="1589" t="e">
        <f aca="false">IF(BQ255,(CO255*AZ255+CP255*BA255+CQ255*BB255+CR255*BC255)/BQ255,0)</f>
        <v>#VALUE!</v>
      </c>
      <c r="CT255" s="1316" t="e">
        <f aca="false">IF(BS255,CO255,0)</f>
        <v>#VALUE!</v>
      </c>
      <c r="CU255" s="1590" t="e">
        <f aca="false">IF(OR(BQ255,BS255),VLOOKUP(A255,GasTable,14),"")</f>
        <v>#VALUE!</v>
      </c>
      <c r="CV255" s="1568" t="e">
        <f aca="false">IF(OR(BQ255,BS255),IF(CorrPowerGasOverFlag,INDEX(CorrPowerGasOver,C255),CorrPowerGas),"")</f>
        <v>#VALUE!</v>
      </c>
      <c r="CW255" s="1316" t="e">
        <f aca="false">IF(OR($BQ255,$BS255),SpreadOptPowerMargin,0)*((1+Assumptions!$C$26)^($B255-YEAR(Assumptions!$C$17)))</f>
        <v>#VALUE!</v>
      </c>
      <c r="CX255" s="1316" t="e">
        <f aca="false">IF(OR($BQ255,$BS255),SpreadOptPowerMargin,0)*((1+Assumptions!$C$26)^($B255-YEAR(Assumptions!$C$17)))</f>
        <v>#VALUE!</v>
      </c>
      <c r="CY255" s="1316" t="e">
        <f aca="false">IF(OR($BQ255,$BS255),SpreadOptPowerMargin,0)*((1+Assumptions!$C$26)^($B255-YEAR(Assumptions!$C$17)))</f>
        <v>#VALUE!</v>
      </c>
      <c r="CZ255" s="1316" t="e">
        <f aca="false">IF(OR($BQ255,$BS255),SpreadOptPowerMargin,0)*((1+Assumptions!$C$26)^($B255-YEAR(Assumptions!$C$17)))</f>
        <v>#VALUE!</v>
      </c>
      <c r="DA255" s="1591" t="e">
        <f aca="false">IF(OR(BQ255,BS255),(CW255*(AZ255+BH255)+CX255*(BA255+BI255)+CY255*(BB255+BJ255)+CZ255*(BC255+BK255))/(BQ255+BS255),0)</f>
        <v>#VALUE!</v>
      </c>
      <c r="DB255" s="1592" t="e">
        <f aca="false">IF(OR(BQ255,BS255),CG255+IF(OVolSmile,VLOOKUP(MAX(-5,CO255+CW255-BU255),IF(OVolSmile=1,VolSmileBook,VolSmileModel),2),0),"")</f>
        <v>#VALUE!</v>
      </c>
      <c r="DC255" s="1592" t="e">
        <f aca="false">IF(OR(BQ255,BS255),CH255+IF(OVolSmile,VLOOKUP(MAX(-5,CP255+CW255-BV255),IF(OVolSmile=1,VolSmileBook,VolSmileModel),2),0),"")</f>
        <v>#VALUE!</v>
      </c>
      <c r="DD255" s="1592" t="e">
        <f aca="false">IF(OR(BQ255,BS255),CI255+IF(OVolSmile,VLOOKUP(MAX(-5,CQ255+CW255-BW255),IF(OVolSmile=1,VolSmileBook,VolSmileModel),2),0),"")</f>
        <v>#VALUE!</v>
      </c>
      <c r="DE255" s="1592" t="e">
        <f aca="false">IF(OR(BQ255,BS255),CL255+IF(OVolSmile,VLOOKUP(MAX(-5,CR255+CZ255-BX255),IF(OVolSmile=1,VolSmileBook,VolSmileModel),2),0),"")</f>
        <v>#VALUE!</v>
      </c>
      <c r="DF255" s="1592" t="e">
        <f aca="false">IF(BQ255,CM255+IF(OVolSmile,VLOOKUP(MAX(-5,CS255+DA255-BZ255),IF(OVolSmile=1,VolSmileBook,VolSmileModel),2),0),"")</f>
        <v>#VALUE!</v>
      </c>
      <c r="DG255" s="1593" t="e">
        <f aca="false">IF(BS255,CN255+IF(OVolSmile,VLOOKUP(MAX(-5,CT255+DA255-CF255),IF(OVolSmile=1,VolSmileBook,VolSmileModel),2),0),"")</f>
        <v>#VALUE!</v>
      </c>
      <c r="DH255" s="1316" t="e">
        <f aca="false">IF(AND(BU255&gt;0,CO255&gt;0,DB255&gt;0,CU255&gt;0),newSPRDOPT(BU255,CO255,CW255,0,DB255,CU255,CV255,BT255*365.25,OCallPut,0),0)</f>
        <v>#VALUE!</v>
      </c>
      <c r="DI255" s="1316" t="e">
        <f aca="false">IF(AND(BV255&gt;0,CP255&gt;0,DC255&gt;0,CU255&gt;0),newSPRDOPT(BV255,CP255,CX255,0,DC255,CU255,CV255,BT255*365.25,OCallPut,0),0)</f>
        <v>#VALUE!</v>
      </c>
      <c r="DJ255" s="1316" t="e">
        <f aca="false">IF(AND(BW255&gt;0,CQ255&gt;0,DD255&gt;0,CU255&gt;0),newSPRDOPT(BW255,CQ255,CY255,0,DD255,CU255,CV255,BT255*365.25,OCallPut,0),0)</f>
        <v>#VALUE!</v>
      </c>
      <c r="DK255" s="1316" t="e">
        <f aca="false">IF(AND(BX255&gt;0,CR255&gt;0,DE255&gt;0,CU255&gt;0),newSPRDOPT(BX255,CR255,CZ255,0,DE255,CU255,CV255,BT255*365.25,OCallPut,0),0)</f>
        <v>#VALUE!</v>
      </c>
      <c r="DL255" s="1316" t="e">
        <f aca="false">IF(OVolType,IF(AND(BZ255&gt;0,CS255&gt;0,DF255&gt;0,CU255&gt;0),newSPRDOPT(BZ255,CS255,DA255,0,DF255,CU255,CV255,BT255*365.25,OCallPut,0),0),IF(BQ255,(DH255*AZ255+DI255*BA255+DJ255*BB255+DK255*BC255)/BQ255,0))</f>
        <v>#VALUE!</v>
      </c>
      <c r="DM255" s="1316"/>
      <c r="DN255" s="1316"/>
      <c r="DO255" s="1316"/>
      <c r="DP255" s="1316"/>
      <c r="DQ255" s="1316"/>
      <c r="DR255" s="1316"/>
      <c r="DS255" s="1316"/>
      <c r="DT255" s="1316"/>
      <c r="DU255" s="1316"/>
      <c r="DV255" s="1316"/>
      <c r="DW255" s="1594" t="e">
        <f aca="false">IF(AND(BW255&gt;0,CT255&gt;0,DD255&gt;0,CU255&gt;0),newSPRDOPT(BW255,CT255,CY255,0,DD255,CU255,CV255,BT255*365.25,OCallPut,0),0)</f>
        <v>#VALUE!</v>
      </c>
      <c r="DX255" s="1316" t="e">
        <f aca="false">IF(AND(BX255&gt;0,CT255&gt;0,DE255&gt;0,CU255&gt;0),newSPRDOPT(BX255,CT255,CZ255,0,DE255,CU255,CV255,BT255*365.25,OCallPut,0),0)</f>
        <v>#VALUE!</v>
      </c>
      <c r="DY255" s="1591" t="e">
        <f aca="false">IF(BS255,(DH255*BH255+DI255*BI255+DW255*BJ255+DX255*BK255)/BS255,0)</f>
        <v>#VALUE!</v>
      </c>
      <c r="DZ255" s="1551" t="e">
        <f aca="false">DH255*AZ255</f>
        <v>#VALUE!</v>
      </c>
      <c r="EA255" s="1551" t="e">
        <f aca="false">DI255*BA255</f>
        <v>#VALUE!</v>
      </c>
      <c r="EB255" s="1551" t="e">
        <f aca="false">DJ255*BB255</f>
        <v>#VALUE!</v>
      </c>
      <c r="EC255" s="1551" t="e">
        <f aca="false">DK255*BC255</f>
        <v>#VALUE!</v>
      </c>
      <c r="ED255" s="1551" t="e">
        <f aca="false">DL255*BQ255</f>
        <v>#VALUE!</v>
      </c>
      <c r="EE255" s="1595" t="e">
        <f aca="false">IF(BQ255,IF(OCallPut,IF(BU255&gt;(CO255+CW255),BU255-(CO255+CW255),0),IF((CO255+CW255)&gt;BU255,(CO255+CW255)-BU255,0))*AZ255,0)</f>
        <v>#VALUE!</v>
      </c>
      <c r="EF255" s="1596" t="e">
        <f aca="false">IF(BQ255,IF(OCallPut,IF(BV255&gt;(CP255+CX255),BV255-(CP255+CX255),0),IF((CP255+CX255)&gt;BV255,(CP255+CX255)-BV255,0))*BA255,0)</f>
        <v>#VALUE!</v>
      </c>
      <c r="EG255" s="1596" t="e">
        <f aca="false">IF(BQ255,IF(OCallPut,IF(BW255&gt;(CQ255+CY255),BW255-(CQ255+CY255),0),IF((CQ255+CY255)&gt;BW255,(CQ255+CY255)-BW255,0))*BB255,0)</f>
        <v>#VALUE!</v>
      </c>
      <c r="EH255" s="1596" t="e">
        <f aca="false">IF(BQ255,IF(OCallPut,IF(BX255&gt;(CR255+CZ255),BX255-(CR255+CZ255),0),IF((CR255+CZ255)&gt;BX255,(CR255+CZ255)-BX255,0))*BC255,0)</f>
        <v>#VALUE!</v>
      </c>
      <c r="EI255" s="1597" t="e">
        <f aca="false">IF(BQ255,IF(OVolType,IF(OCallPut,IF(BZ255&gt;(CS255+DA255),BZ255-(CS255+DA255),0),IF((CS255+DA255)&gt;BZ255,(CS255+DA255)-BZ255,0))*BQ255,SUM(EE255:EH255)),0)</f>
        <v>#VALUE!</v>
      </c>
      <c r="EJ255" s="1595" t="e">
        <f aca="false">DZ255-EE255</f>
        <v>#VALUE!</v>
      </c>
      <c r="EK255" s="1596" t="e">
        <f aca="false">EA255-EF255</f>
        <v>#VALUE!</v>
      </c>
      <c r="EL255" s="1596" t="e">
        <f aca="false">EB255-EG255</f>
        <v>#VALUE!</v>
      </c>
      <c r="EM255" s="1596" t="e">
        <f aca="false">EC255-EH255</f>
        <v>#VALUE!</v>
      </c>
      <c r="EN255" s="1597" t="e">
        <f aca="false">ED255-EI255</f>
        <v>#VALUE!</v>
      </c>
      <c r="EO255" s="1551" t="e">
        <f aca="false">DH255*BH255</f>
        <v>#VALUE!</v>
      </c>
      <c r="EP255" s="1551" t="e">
        <f aca="false">DI255*BI255</f>
        <v>#VALUE!</v>
      </c>
      <c r="EQ255" s="1551" t="e">
        <f aca="false">DW255*BJ255</f>
        <v>#VALUE!</v>
      </c>
      <c r="ER255" s="1551" t="e">
        <f aca="false">DX255*BK255</f>
        <v>#VALUE!</v>
      </c>
      <c r="ES255" s="1551" t="e">
        <f aca="false">DY255*BS255</f>
        <v>#VALUE!</v>
      </c>
      <c r="ET255" s="1566" t="e">
        <f aca="false">IF(EI255,IF(OCallPut,IF(CA255&gt;(CT255+CW255),CA255-(CT255+CW255),0),IF((CT255+CW255)&gt;CA255,(CT255+CW255)-CA255,0))*BH255,0)</f>
        <v>#VALUE!</v>
      </c>
      <c r="EU255" s="1551" t="e">
        <f aca="false">IF(EI255,IF(OCallPut,IF(CB255&gt;(CT255+CX255),CB255-(CT255+CX255),0),IF((CT255+CX255)&gt;CB255,(CT255+CX255)-CB255,0))*BI255,0)</f>
        <v>#VALUE!</v>
      </c>
      <c r="EV255" s="1551" t="e">
        <f aca="false">IF(EI255,IF(OCallPut,IF(CC255&gt;(CT255+CY255),CC255-(CT255+CY255),0),IF((CT255+CY255)&gt;CC255,(CT255+CY255)-CC255,0))*BJ255,0)</f>
        <v>#VALUE!</v>
      </c>
      <c r="EW255" s="1551" t="e">
        <f aca="false">IF(EI255,IF(OCallPut,IF(CD255&gt;(CT255+CZ255),CD255-(CT255+CZ255),0),IF((CT255+CZ255)&gt;CD255,(CT255+CZ255)-CD255,0))*BK255,0)</f>
        <v>#VALUE!</v>
      </c>
      <c r="EX255" s="1558" t="e">
        <f aca="false">IF(EI255,SUM(ET255:EW255),0)</f>
        <v>#VALUE!</v>
      </c>
      <c r="EY255" s="1551" t="e">
        <f aca="false">EO255-ET255</f>
        <v>#VALUE!</v>
      </c>
      <c r="EZ255" s="1551" t="e">
        <f aca="false">EP255-EU255</f>
        <v>#VALUE!</v>
      </c>
      <c r="FA255" s="1551" t="e">
        <f aca="false">EQ255-EV255</f>
        <v>#VALUE!</v>
      </c>
      <c r="FB255" s="1551" t="e">
        <f aca="false">ER255-EW255</f>
        <v>#VALUE!</v>
      </c>
      <c r="FC255" s="1551" t="e">
        <f aca="false">ES255-EX255</f>
        <v>#VALUE!</v>
      </c>
      <c r="FD255" s="1525" t="n">
        <f aca="false">IF(AX255,IF(VLOOKUP(C255,MAIN!$L$17:$M$28,2)="Yes",VLOOKUP(CALC!B255,MAIN!$H$17:$I$20,2),0),0)</f>
        <v>0</v>
      </c>
      <c r="FE255" s="1552" t="e">
        <f aca="false">$FD255*16*AT255*(1-$AY255)</f>
        <v>#VALUE!</v>
      </c>
      <c r="FF255" s="1553" t="e">
        <f aca="false">$FD255*16*AU255*(1-$AY255)</f>
        <v>#VALUE!</v>
      </c>
      <c r="FG255" s="1553" t="e">
        <f aca="false">$FD255*16*(AV255+AW255)*(1-$AY255)</f>
        <v>#VALUE!</v>
      </c>
      <c r="FH255" s="1554" t="n">
        <f aca="false">$FD255*8*AX255*(1-$AY255)</f>
        <v>0</v>
      </c>
      <c r="FI255" s="1555" t="n">
        <f aca="false">IF(AX255,VLOOKUP(CALC!B255,MAIN!$H$17:$K$20,4),0)</f>
        <v>0</v>
      </c>
      <c r="FJ255" s="1553" t="e">
        <f aca="false">SUM(FE255:FH255)</f>
        <v>#VALUE!</v>
      </c>
      <c r="FK255" s="1556" t="e">
        <f aca="false">FI255*FJ255</f>
        <v>#VALUE!</v>
      </c>
      <c r="FL255" s="1551" t="e">
        <f aca="false">IF($EI255&gt;0,MIN(FE255,AZ255*(1+VLOOKUP($C255,WeatherCapacityAdjustment,2))),0)</f>
        <v>#VALUE!</v>
      </c>
      <c r="FM255" s="1551" t="e">
        <f aca="false">IF($EI255&gt;0,MIN(FF255,BA255*(1+VLOOKUP($C255,WeatherCapacityAdjustment,2))),0)</f>
        <v>#VALUE!</v>
      </c>
      <c r="FN255" s="1551" t="e">
        <f aca="false">IF($EI255&gt;0,MIN(FG255,BB255*(1+VLOOKUP($C255,WeatherCapacityAdjustment,2))),0)</f>
        <v>#VALUE!</v>
      </c>
      <c r="FO255" s="1564" t="e">
        <f aca="false">IF($EI255&gt;0,MIN(FH255,BC255*(1+VLOOKUP($C255,WeatherCapacityAdjustment,3))),0)</f>
        <v>#VALUE!</v>
      </c>
      <c r="FP255" s="1551" t="e">
        <f aca="false">IF(ET255&gt;0,MIN(FE255-FL255,BH255*(1+VLOOKUP($C255,WeatherCapacityAdjustment,2))),0)</f>
        <v>#VALUE!</v>
      </c>
      <c r="FQ255" s="1551" t="e">
        <f aca="false">IF(EU255&gt;0,MIN(FF255-FM255,BI255*(1+VLOOKUP($C255,WeatherCapacityAdjustment,2))),0)</f>
        <v>#VALUE!</v>
      </c>
      <c r="FR255" s="1551" t="e">
        <f aca="false">IF(EV255&gt;0,MIN(FG255-FN255,BJ255*(1+VLOOKUP($C255,WeatherCapacityAdjustment,2))),0)</f>
        <v>#VALUE!</v>
      </c>
      <c r="FS255" s="1558" t="e">
        <f aca="false">IF(EW255&gt;0,MIN(FH255-FO255,BK255*(1+VLOOKUP($C255,WeatherCapacityAdjustment,3))),0)</f>
        <v>#VALUE!</v>
      </c>
      <c r="FT255" s="1566" t="e">
        <f aca="false">IF(AND(Assumptions!$H$71="Yes",A255&gt;=Assumptions!$H$72,A255&lt;=Assumptions!$H$73),0,IF(AND($A255&gt;=Assumptions!$C$17,$A255&lt;=Assumptions!$C$18),MAX(AZ255*(1+VLOOKUP($C255,WeatherCapacityAdjustment,2))-FL255,0),0))</f>
        <v>#VALUE!</v>
      </c>
      <c r="FU255" s="1551" t="e">
        <f aca="false">IF(AND(Assumptions!$H$71="Yes",A255&gt;=Assumptions!$H$72,A255&lt;=Assumptions!$H$73),0,IF(AND($A255&gt;=Assumptions!$C$17,$A255&lt;=Assumptions!$C$18),MAX(BA255*(1+VLOOKUP($C255,WeatherCapacityAdjustment,2))-FM255,0),0))</f>
        <v>#VALUE!</v>
      </c>
      <c r="FV255" s="1551" t="e">
        <f aca="false">IF(AND(Assumptions!$H$71="Yes",A255&gt;=Assumptions!$H$72,A255&lt;=Assumptions!$H$73),0,IF(AND($A255&gt;=Assumptions!$C$17,$A255&lt;=Assumptions!$C$18),MAX(BB255*(1+VLOOKUP($C255,WeatherCapacityAdjustment,2))-FN255,0),0))</f>
        <v>#VALUE!</v>
      </c>
      <c r="FW255" s="1564" t="e">
        <f aca="false">IF(AND(Assumptions!$H$71="Yes",A255&gt;=Assumptions!$H$72,A255&lt;=Assumptions!$H$73),0,IF(AND($A255&gt;=Assumptions!$C$17,$A255&lt;=Assumptions!$C$18),MAX(BC255*(1+VLOOKUP($C255,WeatherCapacityAdjustment,3))-FO255,0),0))</f>
        <v>#VALUE!</v>
      </c>
      <c r="FX255" s="1569" t="e">
        <f aca="false">IF(AND(Assumptions!$H$71="Yes",A255&gt;=Assumptions!$H$72,A255&lt;=Assumptions!$H$73),0,IF(ET255&gt;0,MAX(BH255*(1+VLOOKUP($C255,WeatherCapacityAdjustment,2))-FP255,0),0))</f>
        <v>#VALUE!</v>
      </c>
      <c r="FY255" s="1551" t="e">
        <f aca="false">IF(AND(Assumptions!$H$71="Yes",A255&gt;=Assumptions!$H$72,A255&lt;=Assumptions!$H$73),0,IF(EU255&gt;0,MAX(BI255*(1+VLOOKUP($C255,WeatherCapacityAdjustment,3))-FQ255,0),0))</f>
        <v>#VALUE!</v>
      </c>
      <c r="FZ255" s="1551" t="e">
        <f aca="false">IF(AND(Assumptions!$H$71="Yes",A255&gt;=Assumptions!$H$72,A255&lt;=Assumptions!$H$73),0,IF(EV255&gt;0,MAX(BJ255*(1+VLOOKUP($C255,WeatherCapacityAdjustment,2))-FR255,0),0))</f>
        <v>#VALUE!</v>
      </c>
      <c r="GA255" s="1564" t="e">
        <f aca="false">IF(AND(Assumptions!$H$71="Yes",A255&gt;=Assumptions!$H$72,A255&lt;=Assumptions!$H$73),0,IF(EW255&gt;0,MAX(BK255*(1+VLOOKUP($C255,WeatherCapacityAdjustment,2))-FS255,0),0))</f>
        <v>#VALUE!</v>
      </c>
      <c r="GB255" s="1551" t="e">
        <f aca="false">SUM(FT255:GA255)</f>
        <v>#VALUE!</v>
      </c>
      <c r="GC255" s="1563" t="e">
        <f aca="false">+IF(SUM(FT255:GA255)=0,0,(SUMPRODUCT(BU255:BX255,FT255:FW255)+SUMPRODUCT(CA255:CD255,FX255:GA255))/SUM(FT255:GA255))</f>
        <v>#VALUE!</v>
      </c>
      <c r="GD255" s="1551" t="e">
        <f aca="false">(FT255*BU255+FX255*CA255+FU255*BV255+FY255*CB255+FV255*BW255+FZ255*CC255+FW255*BX255+GA255*CD255)</f>
        <v>#VALUE!</v>
      </c>
      <c r="GE255" s="1561" t="e">
        <f aca="false">+IF(BQ255,((FL255+FM255+FT255+FU255)*HeatRatePeak/1000*(1+VLOOKUP($C255,WeatherHeatRateAdjustment,2))+(FN255+FV255)*IF(EV255&gt;0,HeatRatePeak,HeatRateOffPeak)/1000*(1+VLOOKUP($C255,WeatherHeatRateAdjustment,2))+(FO255+FW255)*IF(EW255&gt;0,HeatRatePeak,HeatRateOffPeak)/1000*(1+VLOOKUP($C255,WeatherHeatRateAdjustment,3)))*(1+VLOOKUP($B255,HeatRateDegradation,$C255+1)),0)</f>
        <v>#VALUE!</v>
      </c>
      <c r="GF255" s="1562" t="e">
        <f aca="false">IF(BQ255,((FP255+FQ255+FR255+FX255+FY255+FZ255)*HeatRatePeak/1000*(1+VLOOKUP($C255,WeatherHeatRateAdjustment,2))+(FS255+GA255)*HeatRatePeak/1000*(1+VLOOKUP($C255,WeatherHeatRateAdjustment,3)))*(1+VLOOKUP($B255,HeatRateDegradation,$C255+1)),0)</f>
        <v>#VALUE!</v>
      </c>
      <c r="GG255" s="1563" t="e">
        <f aca="false">IF(BQ255,VLOOKUP(A255,GasTable,13),0)</f>
        <v>#VALUE!</v>
      </c>
      <c r="GH255" s="1564" t="e">
        <f aca="false">(GE255+GF255)*GG255</f>
        <v>#VALUE!</v>
      </c>
      <c r="GI255" s="1569" t="e">
        <f aca="false">GB255</f>
        <v>#VALUE!</v>
      </c>
      <c r="GJ255" s="1598" t="e">
        <f aca="false">+DA255</f>
        <v>#VALUE!</v>
      </c>
      <c r="GK255" s="1558" t="e">
        <f aca="false">+GI255*GJ255</f>
        <v>#VALUE!</v>
      </c>
      <c r="GL255" s="1566" t="e">
        <f aca="false">MAX(FE255-FL255-FP255,0)</f>
        <v>#VALUE!</v>
      </c>
      <c r="GM255" s="1551" t="e">
        <f aca="false">MAX(FF255-FM255-FQ255,0)</f>
        <v>#VALUE!</v>
      </c>
      <c r="GN255" s="1551" t="e">
        <f aca="false">MAX(FG255-FN255-FR255,0)</f>
        <v>#VALUE!</v>
      </c>
      <c r="GO255" s="1564" t="e">
        <f aca="false">MAX(FH255-FO255-FS255,0)</f>
        <v>#VALUE!</v>
      </c>
      <c r="GP255" s="1551" t="e">
        <f aca="false">SUM(GL255:GO255)</f>
        <v>#VALUE!</v>
      </c>
      <c r="GQ255" s="1563" t="e">
        <f aca="false">IF(SUM(GL255:GO255)=0,0,((GL255*BU255+GM255*BV255+GN255*BW255+GO255*BX255)/SUM(GL255:GO255)))</f>
        <v>#VALUE!</v>
      </c>
      <c r="GR255" s="1558" t="e">
        <f aca="false">(GL255*BU255+GM255*BV255+GN255*BW255+GO255*BX255)</f>
        <v>#VALUE!</v>
      </c>
      <c r="GS255" s="1566" t="n">
        <f aca="false">IF($A255&gt;=BegDate,Assumptions!$C$56*24*($A256-$A255)*(1-VLOOKUP($B255,MAIN!$AA$7:$AM$28,$C255+1))*(1-VLOOKUP($B255,MAIN!$AA$33:$AM$54,$C255+1)),0)*80/168</f>
        <v>257742.857142857</v>
      </c>
      <c r="GT255" s="286" t="n">
        <f aca="false">J255</f>
        <v>44.1902924195211</v>
      </c>
      <c r="GU255" s="286" t="n">
        <f aca="false">IF($A255&gt;=BegDate,VLOOKUP($A255,GasTable,13)+Assumptions!$C$58,0)</f>
        <v>3.71280895655892</v>
      </c>
      <c r="GV255" s="286" t="n">
        <f aca="false">GU255*Assumptions!$C$57/1000</f>
        <v>26.9178649350521</v>
      </c>
      <c r="GW255" s="1558" t="n">
        <f aca="false">IF(Assumptions!$C$60="Hourly",MAX(0,GS255*(GT255-GV255)),GS255*(GT255-GV255))</f>
        <v>4451844.80963984</v>
      </c>
      <c r="GX255" s="1566" t="n">
        <f aca="false">IF($A255&gt;=BegDate,Assumptions!$C$56*24*($A256-$A255)*(1-VLOOKUP($B255,MAIN!$AA$7:$AM$28,$C255+1))*(1-VLOOKUP($B255,MAIN!$AA$33:$AM$54,$C255+1)),0)*16/168</f>
        <v>51548.5714285714</v>
      </c>
      <c r="GY255" s="286" t="n">
        <f aca="false">M255</f>
        <v>44.1902924195211</v>
      </c>
      <c r="GZ255" s="286" t="n">
        <f aca="false">IF($A255&gt;=BegDate,VLOOKUP($A255,GasTable,13)+Assumptions!$C$58,0)</f>
        <v>3.71280895655892</v>
      </c>
      <c r="HA255" s="286" t="n">
        <f aca="false">GZ255*Assumptions!$C$57/1000</f>
        <v>26.9178649350521</v>
      </c>
      <c r="HB255" s="1558" t="n">
        <f aca="false">IF(Assumptions!$C$60="Hourly",MAX(0,GX255*(GY255-HA255)),GX255*(GY255-HA255))</f>
        <v>890368.961927968</v>
      </c>
      <c r="HC255" s="1566" t="n">
        <f aca="false">IF($A255&gt;=BegDate,Assumptions!$C$56*24*($A256-$A255)*(1-VLOOKUP($B255,MAIN!$AA$7:$AM$28,$C255+1))*(1-VLOOKUP($B255,MAIN!$AA$33:$AM$54,$C255+1)),0)*16/168</f>
        <v>51548.5714285714</v>
      </c>
      <c r="HD255" s="286" t="n">
        <f aca="false">P255</f>
        <v>30.6706972266912</v>
      </c>
      <c r="HE255" s="286" t="n">
        <f aca="false">IF($A255&gt;=BegDate,VLOOKUP($A255,GasTable,13)+Assumptions!$C$58,0)</f>
        <v>3.71280895655892</v>
      </c>
      <c r="HF255" s="286" t="n">
        <f aca="false">HE255*Assumptions!$C$57/1000</f>
        <v>26.9178649350521</v>
      </c>
      <c r="HG255" s="1558" t="n">
        <f aca="false">IF(Assumptions!$C$60="Hourly",MAX(0,HC255*(HD255-HF255)),HC255*(HD255-HF255))</f>
        <v>193453.143445007</v>
      </c>
      <c r="HH255" s="1566" t="n">
        <f aca="false">IF($A255&gt;=BegDate,Assumptions!$C$56*24*($A256-$A255)*(1-VLOOKUP($B255,MAIN!$AA$7:$AM$28,$C255+1))*(1-VLOOKUP($B255,MAIN!$AA$33:$AM$54,$C255+1)),0)*56/168</f>
        <v>180420</v>
      </c>
      <c r="HI255" s="286" t="n">
        <f aca="false">S255</f>
        <v>30.6706972266912</v>
      </c>
      <c r="HJ255" s="286" t="n">
        <f aca="false">IF($A255&gt;=BegDate,VLOOKUP($A255,GasTable,13)+Assumptions!$C$58,0)</f>
        <v>3.71280895655892</v>
      </c>
      <c r="HK255" s="286" t="n">
        <f aca="false">HJ255*Assumptions!$C$57/1000</f>
        <v>26.9178649350521</v>
      </c>
      <c r="HL255" s="1558" t="n">
        <f aca="false">IF(Assumptions!$C$60="Hourly",MAX(0,HH255*(HI255-HK255)),HH255*(HI255-HK255))</f>
        <v>677086.002057524</v>
      </c>
      <c r="HM255" s="1566" t="n">
        <f aca="false">IF(AND(Assumptions!$H$71="Yes",A255&gt;=Assumptions!$H$72,A255&lt;=Assumptions!$H$73),Assumptions!$H$74*Assumptions!$C$9*1000,0)</f>
        <v>0</v>
      </c>
      <c r="HN255" s="1551"/>
      <c r="HO255" s="1563"/>
      <c r="HP255" s="1563"/>
      <c r="HQ255" s="1563"/>
      <c r="HR255" s="1563"/>
      <c r="HS255" s="1563"/>
      <c r="HT255" s="1563"/>
      <c r="HU255" s="1563"/>
      <c r="HV255" s="1563"/>
      <c r="HW255" s="1563"/>
      <c r="HX255" s="1563"/>
      <c r="HY255" s="1563"/>
      <c r="HZ255" s="1563"/>
      <c r="IA255" s="1563"/>
      <c r="IB255" s="1563"/>
      <c r="IC255" s="1563"/>
      <c r="ID255" s="1563"/>
      <c r="IE255" s="1563"/>
      <c r="IF255" s="1563"/>
      <c r="IG255" s="1563"/>
      <c r="IH255" s="1563"/>
      <c r="II255" s="1610"/>
      <c r="IJ255" s="1309"/>
      <c r="IK255" s="1309"/>
    </row>
    <row r="256" customFormat="false" ht="12.75" hidden="false" customHeight="false" outlineLevel="0" collapsed="false">
      <c r="A256" s="1571" t="n">
        <f aca="false">EOMONTH(A255,0)+1</f>
        <v>43922</v>
      </c>
      <c r="B256" s="594" t="n">
        <f aca="false">+YEAR(A256)</f>
        <v>2020</v>
      </c>
      <c r="C256" s="238" t="n">
        <f aca="false">MONTH(A256)</f>
        <v>4</v>
      </c>
      <c r="D256" s="1572" t="e">
        <f aca="false">IF(E256="","",Holiday(B256,C256))</f>
        <v>#VALUE!</v>
      </c>
      <c r="E256" s="1573" t="n">
        <f aca="false">IF(OR(BegDate&gt;=A257,EndDate&lt;A256,AND(VolumeMonthlyOverFlag,INDEX(VolumeMonthlyOver,C256)=0),NOT(INDEX(MonthKnockOutTable,C256))),"",MAX(A256,BegDate))</f>
        <v>43922</v>
      </c>
      <c r="F256" s="1574" t="n">
        <f aca="false">IF(E256="","",MIN(A257-1,EndDate))</f>
        <v>43951</v>
      </c>
      <c r="G256" s="1575" t="n">
        <v>0</v>
      </c>
      <c r="H256" s="1576" t="n">
        <f aca="false">(1+G256/2)^(-2*(DATE(B257,C257,20)-DateToday)/365.25)</f>
        <v>1</v>
      </c>
      <c r="I256" s="1568" t="n">
        <f aca="false">IF(Assumptions!$L$25=4,VLOOKUP($A256,'Henwood Reference'!$E$9:$R$320,10),(VLOOKUP($A256,PriceTable,2,0)+IF(BasisNumber&lt;&gt;1,VLOOKUP($A256,BasisTable,2,0),0)+I$1)/(1-I$2))</f>
        <v>42.8533855473594</v>
      </c>
      <c r="J256" s="1568" t="n">
        <f aca="false">IF(Assumptions!$L$25=4,VLOOKUP($A256,'Henwood Reference'!$E$9:$R$320,10),(VLOOKUP($A256,PriceTable,3,0)+IF(BasisNumber&lt;&gt;1,VLOOKUP($A256,BasisTable,2,0),0)+J$1)/(1-J$2))</f>
        <v>42.8533855473594</v>
      </c>
      <c r="K256" s="1568" t="n">
        <f aca="false">IF(Assumptions!$L$25=4,VLOOKUP($A256,'Henwood Reference'!$E$9:$R$320,10),(VLOOKUP($A256,PriceTable,4,0)+IF(BasisNumber&lt;&gt;1,VLOOKUP($A256,BasisTable,2,0),0)+K$1)/(1-K$2))</f>
        <v>42.8533855473594</v>
      </c>
      <c r="L256" s="1523" t="n">
        <f aca="false">IF(Assumptions!$L$25=4,VLOOKUP($A256,'Henwood Reference'!$E$9:$R$320,10),(VLOOKUP($A256,PriceTableWeekend,2,0)+IF(BasisNumber&lt;&gt;1,VLOOKUP($A256,BasisTable,2,0),0)+L$1)/(1-L$2))</f>
        <v>42.8533855473594</v>
      </c>
      <c r="M256" s="1568" t="n">
        <f aca="false">IF(Assumptions!$L$25=4,VLOOKUP($A256,'Henwood Reference'!$E$9:$R$320,10),(VLOOKUP($A256,PriceTableWeekend,3,0)+IF(BasisNumber&lt;&gt;1,VLOOKUP($A256,BasisTable,2,0),0)+M$1)/(1-M$2))</f>
        <v>42.8533855473594</v>
      </c>
      <c r="N256" s="1599" t="n">
        <f aca="false">IF(Assumptions!$L$25=4,VLOOKUP($A256,'Henwood Reference'!$E$9:$R$320,10),(VLOOKUP($A256,PriceTableWeekend,4,0)+IF(BasisNumber&lt;&gt;1,VLOOKUP($A256,BasisTable,2,0),0)+N$1)/(1-N$2))</f>
        <v>42.8533855473594</v>
      </c>
      <c r="O256" s="1568" t="n">
        <f aca="false">IF(Assumptions!$L$25=4,VLOOKUP($A256,'Henwood Reference'!$E$9:$R$320,11),(VLOOKUP($A256,PriceTableWeekend,6,0)+IF(BasisNumber&lt;&gt;1,VLOOKUP($A256,BasisTable,3,0),0)+O$1)/(1-O$2))</f>
        <v>29.8798760225516</v>
      </c>
      <c r="P256" s="1568" t="n">
        <f aca="false">IF(Assumptions!$L$25=4,VLOOKUP($A256,'Henwood Reference'!$E$9:$R$320,11),(VLOOKUP($A256,PriceTableWeekend,7,0)+IF(BasisNumber&lt;&gt;1,VLOOKUP($A256,BasisTable,3,0),0)+P$1)/(1-P$2))</f>
        <v>29.8798760225516</v>
      </c>
      <c r="Q256" s="1599" t="n">
        <f aca="false">IF(Assumptions!$L$25=4,VLOOKUP($A256,'Henwood Reference'!$E$9:$R$320,11),(VLOOKUP($A256,PriceTableWeekend,8,0)+IF(BasisNumber&lt;&gt;1,VLOOKUP($A256,BasisTable,3,0),0)+Q$1)/(1-Q$2))</f>
        <v>29.8798760225516</v>
      </c>
      <c r="R256" s="1568" t="n">
        <f aca="false">IF(Assumptions!$L$25=4,VLOOKUP($A256,'Henwood Reference'!$E$9:$R$320,11),(VLOOKUP($A256,PriceTable,6,0)+IF(BasisNumber&lt;&gt;1,VLOOKUP($A256,BasisTable,3,0),0)+R$1)/(1-R$2))</f>
        <v>29.8798760225516</v>
      </c>
      <c r="S256" s="1568" t="n">
        <f aca="false">IF(Assumptions!$L$25=4,VLOOKUP($A256,'Henwood Reference'!$E$9:$R$320,11),(VLOOKUP($A256,PriceTable,7,0)+IF(BasisNumber&lt;&gt;1,VLOOKUP($A256,BasisTable,3,0),0)+S$1)/(1-S$2))</f>
        <v>29.8798760225516</v>
      </c>
      <c r="T256" s="1600" t="n">
        <f aca="false">IF(Assumptions!$L$25=4,VLOOKUP($A256,'Henwood Reference'!$E$9:$R$320,11),(VLOOKUP($A256,PriceTable,8,0)+IF(BasisNumber&lt;&gt;1,VLOOKUP($A256,BasisTable,3,0),0)+T$1)/(1-T$2))</f>
        <v>29.8798760225516</v>
      </c>
      <c r="U256" s="1513" t="n">
        <f aca="false">VLOOKUP($A256,VolatilityTable,14)</f>
        <v>0.09</v>
      </c>
      <c r="V256" s="1513" t="n">
        <f aca="false">VLOOKUP($A256,VolatilityTable,15)</f>
        <v>0.1</v>
      </c>
      <c r="W256" s="1514" t="n">
        <f aca="false">VLOOKUP($A256,VolatilityTable,16)</f>
        <v>0.11</v>
      </c>
      <c r="X256" s="1513" t="n">
        <f aca="false">VLOOKUP($A256,VolatilityTable,14)</f>
        <v>0.09</v>
      </c>
      <c r="Y256" s="1513" t="n">
        <f aca="false">VLOOKUP($A256,VolatilityTable,15)</f>
        <v>0.1</v>
      </c>
      <c r="Z256" s="1514" t="n">
        <f aca="false">VLOOKUP($A256,VolatilityTable,16)</f>
        <v>0.11</v>
      </c>
      <c r="AA256" s="1513" t="n">
        <f aca="false">VLOOKUP($A256,VolatilityTable,18)</f>
        <v>0.09</v>
      </c>
      <c r="AB256" s="1513" t="n">
        <f aca="false">VLOOKUP($A256,VolatilityTable,19)</f>
        <v>0.11</v>
      </c>
      <c r="AC256" s="1514" t="n">
        <f aca="false">VLOOKUP($A256,VolatilityTable,20)</f>
        <v>0.13</v>
      </c>
      <c r="AD256" s="1513" t="n">
        <f aca="false">VLOOKUP($A256,VolatilityTable,18)</f>
        <v>0.09</v>
      </c>
      <c r="AE256" s="1513" t="n">
        <f aca="false">VLOOKUP($A256,VolatilityTable,19)</f>
        <v>0.11</v>
      </c>
      <c r="AF256" s="1514" t="n">
        <f aca="false">VLOOKUP($A256,VolatilityTable,20)</f>
        <v>0.13</v>
      </c>
      <c r="AG256" s="1513" t="n">
        <f aca="false">VLOOKUP($A256,VolatilityTable,22)</f>
        <v>-0.1</v>
      </c>
      <c r="AH256" s="1513" t="n">
        <f aca="false">VLOOKUP($A256,VolatilityTable,23)</f>
        <v>0.65</v>
      </c>
      <c r="AI256" s="1514" t="n">
        <f aca="false">VLOOKUP($A256,VolatilityTable,24)</f>
        <v>0.1</v>
      </c>
      <c r="AJ256" s="1513" t="n">
        <f aca="false">VLOOKUP($A256,VolatilityTable,22)</f>
        <v>-0.1</v>
      </c>
      <c r="AK256" s="1513" t="n">
        <f aca="false">VLOOKUP($A256,VolatilityTable,23)</f>
        <v>0.65</v>
      </c>
      <c r="AL256" s="1514" t="n">
        <f aca="false">VLOOKUP($A256,VolatilityTable,24)</f>
        <v>0.1</v>
      </c>
      <c r="AM256" s="1513" t="n">
        <f aca="false">VLOOKUP($A256,VolatilityTable,26)</f>
        <v>-0.01</v>
      </c>
      <c r="AN256" s="1513" t="n">
        <f aca="false">VLOOKUP($A256,VolatilityTable,27)</f>
        <v>0.16</v>
      </c>
      <c r="AO256" s="1514" t="n">
        <f aca="false">VLOOKUP($A256,VolatilityTable,28)</f>
        <v>0.01</v>
      </c>
      <c r="AP256" s="1513" t="n">
        <f aca="false">VLOOKUP($A256,VolatilityTable,26)</f>
        <v>-0.01</v>
      </c>
      <c r="AQ256" s="1513" t="n">
        <f aca="false">VLOOKUP($A256,VolatilityTable,27)</f>
        <v>0.16</v>
      </c>
      <c r="AR256" s="1515" t="n">
        <f aca="false">VLOOKUP($A256,VolatilityTable,28)</f>
        <v>0.01</v>
      </c>
      <c r="AS256" s="1581" t="n">
        <f aca="false">IF(CorrPeakOffPeakOverFlag,INDEX(CorrPeakOffPeakOver,C256),CorrPeakOffPeak)</f>
        <v>0.5</v>
      </c>
      <c r="AT256" s="594" t="e">
        <f aca="false">AX256-SUM(AU256:AW256)</f>
        <v>#VALUE!</v>
      </c>
      <c r="AU256" s="238" t="e">
        <f aca="false">IF(E256="",0,INT((F256-MOD(F256,7)-E256)/7)+1-IF(AW256,IF(WEEKDAY(D256)=7,1,0),0))</f>
        <v>#VALUE!</v>
      </c>
      <c r="AV256" s="238" t="e">
        <f aca="false">IF(E256="",0,INT((F256-MOD(F256-1,7)-E256)/7)+1-IF(AW256,IF(WEEKDAY(D256)=1,1,0),0))</f>
        <v>#VALUE!</v>
      </c>
      <c r="AW256" s="238" t="e">
        <f aca="false">IF(OR(E256="",D256="",D256&lt;BegDate,D256&gt;EndDate),0,1)</f>
        <v>#VALUE!</v>
      </c>
      <c r="AX256" s="238" t="n">
        <f aca="false">IF(E256="",0,F256-E256+1)</f>
        <v>30</v>
      </c>
      <c r="AY256" s="1582" t="n">
        <f aca="false">IF(E256="",0,MIN((1-(1-VLOOKUP(B256,MAIN!$AA$7:$AM$28,C256+1))*(1-VLOOKUP(B256,MAIN!$AA$33:$AM$54,C256+1))),1))</f>
        <v>0.127</v>
      </c>
      <c r="AZ256" s="1519" t="e">
        <v>#VALUE!</v>
      </c>
      <c r="BA256" s="1520" t="e">
        <v>#VALUE!</v>
      </c>
      <c r="BB256" s="1520" t="e">
        <v>#VALUE!</v>
      </c>
      <c r="BC256" s="1583" t="e">
        <v>#VALUE!</v>
      </c>
      <c r="BD256" s="1522" t="e">
        <v>#VALUE!</v>
      </c>
      <c r="BE256" s="1523" t="e">
        <v>#VALUE!</v>
      </c>
      <c r="BF256" s="1523" t="e">
        <v>#VALUE!</v>
      </c>
      <c r="BG256" s="1584" t="e">
        <v>#VALUE!</v>
      </c>
      <c r="BH256" s="1525" t="e">
        <v>#VALUE!</v>
      </c>
      <c r="BI256" s="1520" t="e">
        <v>#VALUE!</v>
      </c>
      <c r="BJ256" s="1520" t="e">
        <v>#VALUE!</v>
      </c>
      <c r="BK256" s="1583" t="e">
        <v>#VALUE!</v>
      </c>
      <c r="BL256" s="1522" t="e">
        <v>#VALUE!</v>
      </c>
      <c r="BM256" s="1523" t="e">
        <v>#VALUE!</v>
      </c>
      <c r="BN256" s="1523" t="e">
        <v>#VALUE!</v>
      </c>
      <c r="BO256" s="1523" t="e">
        <v>#VALUE!</v>
      </c>
      <c r="BP256" s="1525" t="e">
        <f aca="false">SUM(AZ256:BB256)</f>
        <v>#VALUE!</v>
      </c>
      <c r="BQ256" s="1529" t="e">
        <f aca="false">SUM(AZ256:BC256)</f>
        <v>#VALUE!</v>
      </c>
      <c r="BR256" s="1519" t="e">
        <f aca="false">SUM(BH256:BJ256)</f>
        <v>#VALUE!</v>
      </c>
      <c r="BS256" s="1529" t="e">
        <f aca="false">SUM(BH256:BK256)</f>
        <v>#VALUE!</v>
      </c>
      <c r="BT256" s="1316" t="n">
        <f aca="false">(IF(OVolType&lt;&gt;2,A256+14,IF(OptExpDateShift,ShiftBack(A256,OptExpDateShift,D255),A256))-DateToday)/365.25</f>
        <v>19.9644079397673</v>
      </c>
      <c r="BU256" s="1585" t="e">
        <f aca="false">IF(BQ256,IF(OPriceCurve,IF(OBuySell=OCallPut,I256/(1-AY256),K256/(1-AY256)),J256/(1-AY256))*BD256,0)</f>
        <v>#VALUE!</v>
      </c>
      <c r="BV256" s="1316" t="e">
        <f aca="false">IF(BQ256,IF(OPriceCurve,IF(OBuySell=OCallPut,L256/(1-AY256),N256/(1-AY256)),M256/(1-AY256))*BE256,0)</f>
        <v>#VALUE!</v>
      </c>
      <c r="BW256" s="1316" t="e">
        <f aca="false">IF(BQ256,IF(OPriceCurve,IF(OBuySell=OCallPut,O256/(1-AY256),Q256/(1-AY256)),P256/(1-AY256))*BF256,0)</f>
        <v>#VALUE!</v>
      </c>
      <c r="BX256" s="1316" t="e">
        <f aca="false">IF(BQ256,IF(OPriceCurve,IF(OBuySell=OCallPut,R256/(1-AY256),T256/(1-AY256)),S256/(1-AY256))*BG256,0)</f>
        <v>#VALUE!</v>
      </c>
      <c r="BY256" s="1316" t="e">
        <f aca="false">IF(BP256,(BU256*AZ256+BV256*BA256+BW256*BB256)/BP256,0)</f>
        <v>#VALUE!</v>
      </c>
      <c r="BZ256" s="1316" t="e">
        <f aca="false">IF(BQ256,(BY256*BP256+BX256*BC256)/BQ256,0)</f>
        <v>#VALUE!</v>
      </c>
      <c r="CA256" s="1531" t="e">
        <f aca="false">IF(BS256,IF(OPriceCurve,IF(OBuySell=OCallPut,I256/(1-AY256),K256/(1-AY256)),J256/(1-AY256))*BL256,0)</f>
        <v>#VALUE!</v>
      </c>
      <c r="CB256" s="1316" t="e">
        <f aca="false">IF(BS256,IF(OPriceCurve,IF(OBuySell=OCallPut,L256/(1-AY256),N256/(1-AY256)),M256/(1-AY256))*BM256,0)</f>
        <v>#VALUE!</v>
      </c>
      <c r="CC256" s="1316" t="e">
        <f aca="false">IF(BS256,IF(OPriceCurve,IF(OBuySell=OCallPut,O256/(1-AY256),Q256/(1-AY256)),P256/(1-AY256))*BN256,0)</f>
        <v>#VALUE!</v>
      </c>
      <c r="CD256" s="1316" t="e">
        <f aca="false">IF(BS256,IF(OPriceCurve,IF(OBuySell=OCallPut,R256/(1-AY256),T256/(1-AY256)),S256/(1-AY256))*BO256,0)</f>
        <v>#VALUE!</v>
      </c>
      <c r="CE256" s="1316" t="e">
        <f aca="false">IF(BR256,(BU256*BH256+BV256*BI256+BW256*BJ256)/BR256,0)</f>
        <v>#VALUE!</v>
      </c>
      <c r="CF256" s="1532" t="e">
        <f aca="false">IF(BS256,(CE256*BR256+CD256*BK256)/BS256,0)</f>
        <v>#VALUE!</v>
      </c>
      <c r="CG256" s="1586" t="e">
        <f aca="false">IF(OR(BQ256,BS256),IF(OVolType&lt;&gt;2,SQRT(IF(OVolOverMonthlyPeak,OVolOverMonthlyPeak,IF(OVolCurve,IF(OBuySell,U256,W256),V256))^2*(1-15/365.25/BT256)+IF(OVolOverDailyPeak,OVolOverDailyPeak,IF(OVolCurve,IF(OBuySell,AG256,AI256),AH256))^2*15/365.25/BT256),IF(OVolOverMonthlyPeak,OVolOverMonthlyPeak,IF(OVolCurve,IF(OBuySell,U256,W256),V256))),"")</f>
        <v>#VALUE!</v>
      </c>
      <c r="CH256" s="1587" t="e">
        <f aca="false">IF(OR(BQ256,BS256),IF(OVolType&lt;&gt;2,SQRT(IF(OVolOverMonthlyPeak,OVolOverMonthlyPeak,IF(OVolCurve,IF(OBuySell,X256,Z256),Y256))^2*(1-15/365.25/BT256)+IF(OVolOverDailyPeak,OVolOverDailyPeak,IF(OVolCurve,IF(OBuySell,AJ256,AL256),AK256))^2*15/365.25/BT256),IF(OVolOverMonthlyPeak,OVolOverMonthlyPeak,IF(OVolCurve,IF(OBuySell,X256,Z256),Y256))),"")</f>
        <v>#VALUE!</v>
      </c>
      <c r="CI256" s="1587" t="e">
        <f aca="false">IF(OR(BQ256,BS256),IF(OVolType&lt;&gt;2,SQRT(IF(OVolOverMonthlyPeak,OVolOverMonthlyPeak,IF(OVolCurve,IF(OBuySell,AA256,AC256),AB256))^2*(1-15/365.25/BT256)+IF(OVolOverDailyPeak,OVolOverDailyPeak,IF(OVolCurve,IF(OBuySell,AM256,AO256),AN256))^2*15/365.25/BT256),IF(OVolOverMonthlyPeak,OVolOverMonthlyPeak,IF(OVolCurve,IF(OBuySell,AA256,AC256),AB256))),"")</f>
        <v>#VALUE!</v>
      </c>
      <c r="CJ256" s="1587" t="e">
        <f aca="false">IF(BQ256,IF(BP256,SQRT(LN(1+((BU256*AZ256)^2*(EXP(CG256^2*BT256)-1)+(BV256*BA256)^2*(EXP(CH256^2*BT256)-1)+(BW256*BB256)^2*(EXP(CI256^2*BT256)-1)+2*BU256*AZ256*BV256*BA256*(EXP(CG256*CH256*BT256)-1)+2*BV256*BA256*BW256*BB256*(EXP(CH256*CI256*BT256)-1)+2*BW256*BB256*BU256*AZ256*(EXP(CI256*CG256*BT256)-1))/(BY256*BP256)^2)/BT256),0),"")</f>
        <v>#VALUE!</v>
      </c>
      <c r="CK256" s="1587" t="e">
        <f aca="false">IF(BS256,IF(BR256,SQRT(LN(1+((CA256*BH256)^2*(EXP(CG256^2*BT256)-1)+(CB256*BI256)^2*(EXP(CH256^2*BT256)-1)+(CC256*BJ256)^2*(EXP(CI256^2*BT256)-1)+2*CA256*BH256*CB256*BI256*(EXP(CG256*CH256*BT256)-1)+2*CB256*BI256*CC256*BJ256*(EXP(CH256*CI256*BT256)-1)+2*CC256*BJ256*CA256*BH256*(EXP(CI256*CG256*BT256)-1))/(CE256*BR256)^2)/BT256),0),"")</f>
        <v>#VALUE!</v>
      </c>
      <c r="CL256" s="1587" t="e">
        <f aca="false">IF(OR(BQ256,BS256),IF(OVolType&lt;&gt;2,SQRT(IF(OVolOverMonthlyOffPeak,OVolOverMonthlyOffPeak,IF(OVolCurve,IF(OBuySell,AD256,AF256),AE256))^2*(1-15/365.25/BT256)+IF(OVolOverDailyOffPeak,OVolOverDailyOffPeak,IF(OVolCurve,IF(OBuySell,AP256,AR256),AQ256))^2*15/365.25/BT256),IF(OVolOverMonthlyOffPeak,OVolOverMonthlyOffPeak,IF(OVolCurve,IF(OBuySell,AD256,AF256),AE256))),"")</f>
        <v>#VALUE!</v>
      </c>
      <c r="CM256" s="1587" t="e">
        <f aca="false">IF(BQ256,SQRT(LN(1+((BY256*BP256)^2*(EXP(CJ256^2*BT256)-1)+(BX256*BC256)^2*(EXP(CL256^2*BT256)-1)+2*BY256*BP256*BX256*BC256*(EXP(AS256*CJ256*CL256*BT256)-1))/(BY256*BP256+BX256*BC256)^2)/BT256),"")</f>
        <v>#VALUE!</v>
      </c>
      <c r="CN256" s="1588" t="e">
        <f aca="false">IF(BS256,SQRT(LN(1+((CE256*BR256)^2*(EXP(CK256^2*BT256)-1)+(CD256*BK256)^2*(EXP(CL256^2*BT256)-1)+2*CE256*BR256*CD256*BK256*(EXP(AS256*CK256*CL256*BT256)-1))/(CE256*BR256+CD256*BK256)^2)/BT256),"")</f>
        <v>#VALUE!</v>
      </c>
      <c r="CO256" s="1531" t="e">
        <f aca="false">IF(OR(BQ256,BS256),VLOOKUP(A256,GasTable,13)*HeatRatePeak*(1+VLOOKUP($B256,HeatRateDegradation,$C256+1))/1000,0)</f>
        <v>#VALUE!</v>
      </c>
      <c r="CP256" s="1316" t="e">
        <f aca="false">IF(OR(BQ256,BS256),VLOOKUP(A256,GasTable,13)*HeatRatePeak*(1+VLOOKUP($B256,HeatRateDegradation,$C256+1))/1000,0)</f>
        <v>#VALUE!</v>
      </c>
      <c r="CQ256" s="1316" t="e">
        <f aca="false">IF(OR(BQ256,BS256),VLOOKUP(A256,GasTable,13)*IF(EV256,HeatRatePeak,HeatRateOffPeak)*(1+VLOOKUP($B256,HeatRateDegradation,$C256+1))/1000,0)</f>
        <v>#VALUE!</v>
      </c>
      <c r="CR256" s="1316" t="e">
        <f aca="false">IF(OR(BQ256,BS256),VLOOKUP(A256,GasTable,13)*IF(EW256,HeatRatePeak,HeatRateOffPeak)*(1+VLOOKUP($B256,HeatRateDegradation,$C256+1))/1000,0)</f>
        <v>#VALUE!</v>
      </c>
      <c r="CS256" s="1589" t="e">
        <f aca="false">IF(BQ256,(CO256*AZ256+CP256*BA256+CQ256*BB256+CR256*BC256)/BQ256,0)</f>
        <v>#VALUE!</v>
      </c>
      <c r="CT256" s="1316" t="e">
        <f aca="false">IF(BS256,CO256,0)</f>
        <v>#VALUE!</v>
      </c>
      <c r="CU256" s="1590" t="e">
        <f aca="false">IF(OR(BQ256,BS256),VLOOKUP(A256,GasTable,14),"")</f>
        <v>#VALUE!</v>
      </c>
      <c r="CV256" s="1568" t="e">
        <f aca="false">IF(OR(BQ256,BS256),IF(CorrPowerGasOverFlag,INDEX(CorrPowerGasOver,C256),CorrPowerGas),"")</f>
        <v>#VALUE!</v>
      </c>
      <c r="CW256" s="1316" t="e">
        <f aca="false">IF(OR($BQ256,$BS256),SpreadOptPowerMargin,0)*((1+Assumptions!$C$26)^($B256-YEAR(Assumptions!$C$17)))</f>
        <v>#VALUE!</v>
      </c>
      <c r="CX256" s="1316" t="e">
        <f aca="false">IF(OR($BQ256,$BS256),SpreadOptPowerMargin,0)*((1+Assumptions!$C$26)^($B256-YEAR(Assumptions!$C$17)))</f>
        <v>#VALUE!</v>
      </c>
      <c r="CY256" s="1316" t="e">
        <f aca="false">IF(OR($BQ256,$BS256),SpreadOptPowerMargin,0)*((1+Assumptions!$C$26)^($B256-YEAR(Assumptions!$C$17)))</f>
        <v>#VALUE!</v>
      </c>
      <c r="CZ256" s="1316" t="e">
        <f aca="false">IF(OR($BQ256,$BS256),SpreadOptPowerMargin,0)*((1+Assumptions!$C$26)^($B256-YEAR(Assumptions!$C$17)))</f>
        <v>#VALUE!</v>
      </c>
      <c r="DA256" s="1591" t="e">
        <f aca="false">IF(OR(BQ256,BS256),(CW256*(AZ256+BH256)+CX256*(BA256+BI256)+CY256*(BB256+BJ256)+CZ256*(BC256+BK256))/(BQ256+BS256),0)</f>
        <v>#VALUE!</v>
      </c>
      <c r="DB256" s="1592" t="e">
        <f aca="false">IF(OR(BQ256,BS256),CG256+IF(OVolSmile,VLOOKUP(MAX(-5,CO256+CW256-BU256),IF(OVolSmile=1,VolSmileBook,VolSmileModel),2),0),"")</f>
        <v>#VALUE!</v>
      </c>
      <c r="DC256" s="1592" t="e">
        <f aca="false">IF(OR(BQ256,BS256),CH256+IF(OVolSmile,VLOOKUP(MAX(-5,CP256+CW256-BV256),IF(OVolSmile=1,VolSmileBook,VolSmileModel),2),0),"")</f>
        <v>#VALUE!</v>
      </c>
      <c r="DD256" s="1592" t="e">
        <f aca="false">IF(OR(BQ256,BS256),CI256+IF(OVolSmile,VLOOKUP(MAX(-5,CQ256+CW256-BW256),IF(OVolSmile=1,VolSmileBook,VolSmileModel),2),0),"")</f>
        <v>#VALUE!</v>
      </c>
      <c r="DE256" s="1592" t="e">
        <f aca="false">IF(OR(BQ256,BS256),CL256+IF(OVolSmile,VLOOKUP(MAX(-5,CR256+CZ256-BX256),IF(OVolSmile=1,VolSmileBook,VolSmileModel),2),0),"")</f>
        <v>#VALUE!</v>
      </c>
      <c r="DF256" s="1592" t="e">
        <f aca="false">IF(BQ256,CM256+IF(OVolSmile,VLOOKUP(MAX(-5,CS256+DA256-BZ256),IF(OVolSmile=1,VolSmileBook,VolSmileModel),2),0),"")</f>
        <v>#VALUE!</v>
      </c>
      <c r="DG256" s="1593" t="e">
        <f aca="false">IF(BS256,CN256+IF(OVolSmile,VLOOKUP(MAX(-5,CT256+DA256-CF256),IF(OVolSmile=1,VolSmileBook,VolSmileModel),2),0),"")</f>
        <v>#VALUE!</v>
      </c>
      <c r="DH256" s="1316" t="e">
        <f aca="false">IF(AND(BU256&gt;0,CO256&gt;0,DB256&gt;0,CU256&gt;0),newSPRDOPT(BU256,CO256,CW256,0,DB256,CU256,CV256,BT256*365.25,OCallPut,0),0)</f>
        <v>#VALUE!</v>
      </c>
      <c r="DI256" s="1316" t="e">
        <f aca="false">IF(AND(BV256&gt;0,CP256&gt;0,DC256&gt;0,CU256&gt;0),newSPRDOPT(BV256,CP256,CX256,0,DC256,CU256,CV256,BT256*365.25,OCallPut,0),0)</f>
        <v>#VALUE!</v>
      </c>
      <c r="DJ256" s="1316" t="e">
        <f aca="false">IF(AND(BW256&gt;0,CQ256&gt;0,DD256&gt;0,CU256&gt;0),newSPRDOPT(BW256,CQ256,CY256,0,DD256,CU256,CV256,BT256*365.25,OCallPut,0),0)</f>
        <v>#VALUE!</v>
      </c>
      <c r="DK256" s="1316" t="e">
        <f aca="false">IF(AND(BX256&gt;0,CR256&gt;0,DE256&gt;0,CU256&gt;0),newSPRDOPT(BX256,CR256,CZ256,0,DE256,CU256,CV256,BT256*365.25,OCallPut,0),0)</f>
        <v>#VALUE!</v>
      </c>
      <c r="DL256" s="1316" t="e">
        <f aca="false">IF(OVolType,IF(AND(BZ256&gt;0,CS256&gt;0,DF256&gt;0,CU256&gt;0),newSPRDOPT(BZ256,CS256,DA256,0,DF256,CU256,CV256,BT256*365.25,OCallPut,0),0),IF(BQ256,(DH256*AZ256+DI256*BA256+DJ256*BB256+DK256*BC256)/BQ256,0))</f>
        <v>#VALUE!</v>
      </c>
      <c r="DM256" s="1316"/>
      <c r="DN256" s="1316"/>
      <c r="DO256" s="1316"/>
      <c r="DP256" s="1316"/>
      <c r="DQ256" s="1316"/>
      <c r="DR256" s="1316"/>
      <c r="DS256" s="1316"/>
      <c r="DT256" s="1316"/>
      <c r="DU256" s="1316"/>
      <c r="DV256" s="1316"/>
      <c r="DW256" s="1594" t="e">
        <f aca="false">IF(AND(BW256&gt;0,CT256&gt;0,DD256&gt;0,CU256&gt;0),newSPRDOPT(BW256,CT256,CY256,0,DD256,CU256,CV256,BT256*365.25,OCallPut,0),0)</f>
        <v>#VALUE!</v>
      </c>
      <c r="DX256" s="1316" t="e">
        <f aca="false">IF(AND(BX256&gt;0,CT256&gt;0,DE256&gt;0,CU256&gt;0),newSPRDOPT(BX256,CT256,CZ256,0,DE256,CU256,CV256,BT256*365.25,OCallPut,0),0)</f>
        <v>#VALUE!</v>
      </c>
      <c r="DY256" s="1591" t="e">
        <f aca="false">IF(BS256,(DH256*BH256+DI256*BI256+DW256*BJ256+DX256*BK256)/BS256,0)</f>
        <v>#VALUE!</v>
      </c>
      <c r="DZ256" s="1551" t="e">
        <f aca="false">DH256*AZ256</f>
        <v>#VALUE!</v>
      </c>
      <c r="EA256" s="1551" t="e">
        <f aca="false">DI256*BA256</f>
        <v>#VALUE!</v>
      </c>
      <c r="EB256" s="1551" t="e">
        <f aca="false">DJ256*BB256</f>
        <v>#VALUE!</v>
      </c>
      <c r="EC256" s="1551" t="e">
        <f aca="false">DK256*BC256</f>
        <v>#VALUE!</v>
      </c>
      <c r="ED256" s="1551" t="e">
        <f aca="false">DL256*BQ256</f>
        <v>#VALUE!</v>
      </c>
      <c r="EE256" s="1595" t="e">
        <f aca="false">IF(BQ256,IF(OCallPut,IF(BU256&gt;(CO256+CW256),BU256-(CO256+CW256),0),IF((CO256+CW256)&gt;BU256,(CO256+CW256)-BU256,0))*AZ256,0)</f>
        <v>#VALUE!</v>
      </c>
      <c r="EF256" s="1596" t="e">
        <f aca="false">IF(BQ256,IF(OCallPut,IF(BV256&gt;(CP256+CX256),BV256-(CP256+CX256),0),IF((CP256+CX256)&gt;BV256,(CP256+CX256)-BV256,0))*BA256,0)</f>
        <v>#VALUE!</v>
      </c>
      <c r="EG256" s="1596" t="e">
        <f aca="false">IF(BQ256,IF(OCallPut,IF(BW256&gt;(CQ256+CY256),BW256-(CQ256+CY256),0),IF((CQ256+CY256)&gt;BW256,(CQ256+CY256)-BW256,0))*BB256,0)</f>
        <v>#VALUE!</v>
      </c>
      <c r="EH256" s="1596" t="e">
        <f aca="false">IF(BQ256,IF(OCallPut,IF(BX256&gt;(CR256+CZ256),BX256-(CR256+CZ256),0),IF((CR256+CZ256)&gt;BX256,(CR256+CZ256)-BX256,0))*BC256,0)</f>
        <v>#VALUE!</v>
      </c>
      <c r="EI256" s="1597" t="e">
        <f aca="false">IF(BQ256,IF(OVolType,IF(OCallPut,IF(BZ256&gt;(CS256+DA256),BZ256-(CS256+DA256),0),IF((CS256+DA256)&gt;BZ256,(CS256+DA256)-BZ256,0))*BQ256,SUM(EE256:EH256)),0)</f>
        <v>#VALUE!</v>
      </c>
      <c r="EJ256" s="1595" t="e">
        <f aca="false">DZ256-EE256</f>
        <v>#VALUE!</v>
      </c>
      <c r="EK256" s="1596" t="e">
        <f aca="false">EA256-EF256</f>
        <v>#VALUE!</v>
      </c>
      <c r="EL256" s="1596" t="e">
        <f aca="false">EB256-EG256</f>
        <v>#VALUE!</v>
      </c>
      <c r="EM256" s="1596" t="e">
        <f aca="false">EC256-EH256</f>
        <v>#VALUE!</v>
      </c>
      <c r="EN256" s="1597" t="e">
        <f aca="false">ED256-EI256</f>
        <v>#VALUE!</v>
      </c>
      <c r="EO256" s="1551" t="e">
        <f aca="false">DH256*BH256</f>
        <v>#VALUE!</v>
      </c>
      <c r="EP256" s="1551" t="e">
        <f aca="false">DI256*BI256</f>
        <v>#VALUE!</v>
      </c>
      <c r="EQ256" s="1551" t="e">
        <f aca="false">DW256*BJ256</f>
        <v>#VALUE!</v>
      </c>
      <c r="ER256" s="1551" t="e">
        <f aca="false">DX256*BK256</f>
        <v>#VALUE!</v>
      </c>
      <c r="ES256" s="1551" t="e">
        <f aca="false">DY256*BS256</f>
        <v>#VALUE!</v>
      </c>
      <c r="ET256" s="1566" t="e">
        <f aca="false">IF(EI256,IF(OCallPut,IF(CA256&gt;(CT256+CW256),CA256-(CT256+CW256),0),IF((CT256+CW256)&gt;CA256,(CT256+CW256)-CA256,0))*BH256,0)</f>
        <v>#VALUE!</v>
      </c>
      <c r="EU256" s="1551" t="e">
        <f aca="false">IF(EI256,IF(OCallPut,IF(CB256&gt;(CT256+CX256),CB256-(CT256+CX256),0),IF((CT256+CX256)&gt;CB256,(CT256+CX256)-CB256,0))*BI256,0)</f>
        <v>#VALUE!</v>
      </c>
      <c r="EV256" s="1551" t="e">
        <f aca="false">IF(EI256,IF(OCallPut,IF(CC256&gt;(CT256+CY256),CC256-(CT256+CY256),0),IF((CT256+CY256)&gt;CC256,(CT256+CY256)-CC256,0))*BJ256,0)</f>
        <v>#VALUE!</v>
      </c>
      <c r="EW256" s="1551" t="e">
        <f aca="false">IF(EI256,IF(OCallPut,IF(CD256&gt;(CT256+CZ256),CD256-(CT256+CZ256),0),IF((CT256+CZ256)&gt;CD256,(CT256+CZ256)-CD256,0))*BK256,0)</f>
        <v>#VALUE!</v>
      </c>
      <c r="EX256" s="1558" t="e">
        <f aca="false">IF(EI256,SUM(ET256:EW256),0)</f>
        <v>#VALUE!</v>
      </c>
      <c r="EY256" s="1551" t="e">
        <f aca="false">EO256-ET256</f>
        <v>#VALUE!</v>
      </c>
      <c r="EZ256" s="1551" t="e">
        <f aca="false">EP256-EU256</f>
        <v>#VALUE!</v>
      </c>
      <c r="FA256" s="1551" t="e">
        <f aca="false">EQ256-EV256</f>
        <v>#VALUE!</v>
      </c>
      <c r="FB256" s="1551" t="e">
        <f aca="false">ER256-EW256</f>
        <v>#VALUE!</v>
      </c>
      <c r="FC256" s="1551" t="e">
        <f aca="false">ES256-EX256</f>
        <v>#VALUE!</v>
      </c>
      <c r="FD256" s="1525" t="n">
        <f aca="false">IF(AX256,IF(VLOOKUP(C256,MAIN!$L$17:$M$28,2)="Yes",VLOOKUP(CALC!B256,MAIN!$H$17:$I$20,2),0),0)</f>
        <v>0</v>
      </c>
      <c r="FE256" s="1552" t="e">
        <f aca="false">$FD256*16*AT256*(1-$AY256)</f>
        <v>#VALUE!</v>
      </c>
      <c r="FF256" s="1553" t="e">
        <f aca="false">$FD256*16*AU256*(1-$AY256)</f>
        <v>#VALUE!</v>
      </c>
      <c r="FG256" s="1553" t="e">
        <f aca="false">$FD256*16*(AV256+AW256)*(1-$AY256)</f>
        <v>#VALUE!</v>
      </c>
      <c r="FH256" s="1554" t="n">
        <f aca="false">$FD256*8*AX256*(1-$AY256)</f>
        <v>0</v>
      </c>
      <c r="FI256" s="1555" t="n">
        <f aca="false">IF(AX256,VLOOKUP(CALC!B256,MAIN!$H$17:$K$20,4),0)</f>
        <v>0</v>
      </c>
      <c r="FJ256" s="1553" t="e">
        <f aca="false">SUM(FE256:FH256)</f>
        <v>#VALUE!</v>
      </c>
      <c r="FK256" s="1556" t="e">
        <f aca="false">FI256*FJ256</f>
        <v>#VALUE!</v>
      </c>
      <c r="FL256" s="1551" t="e">
        <f aca="false">IF($EI256&gt;0,MIN(FE256,AZ256*(1+VLOOKUP($C256,WeatherCapacityAdjustment,2))),0)</f>
        <v>#VALUE!</v>
      </c>
      <c r="FM256" s="1551" t="e">
        <f aca="false">IF($EI256&gt;0,MIN(FF256,BA256*(1+VLOOKUP($C256,WeatherCapacityAdjustment,2))),0)</f>
        <v>#VALUE!</v>
      </c>
      <c r="FN256" s="1551" t="e">
        <f aca="false">IF($EI256&gt;0,MIN(FG256,BB256*(1+VLOOKUP($C256,WeatherCapacityAdjustment,2))),0)</f>
        <v>#VALUE!</v>
      </c>
      <c r="FO256" s="1564" t="e">
        <f aca="false">IF($EI256&gt;0,MIN(FH256,BC256*(1+VLOOKUP($C256,WeatherCapacityAdjustment,3))),0)</f>
        <v>#VALUE!</v>
      </c>
      <c r="FP256" s="1551" t="e">
        <f aca="false">IF(ET256&gt;0,MIN(FE256-FL256,BH256*(1+VLOOKUP($C256,WeatherCapacityAdjustment,2))),0)</f>
        <v>#VALUE!</v>
      </c>
      <c r="FQ256" s="1551" t="e">
        <f aca="false">IF(EU256&gt;0,MIN(FF256-FM256,BI256*(1+VLOOKUP($C256,WeatherCapacityAdjustment,2))),0)</f>
        <v>#VALUE!</v>
      </c>
      <c r="FR256" s="1551" t="e">
        <f aca="false">IF(EV256&gt;0,MIN(FG256-FN256,BJ256*(1+VLOOKUP($C256,WeatherCapacityAdjustment,2))),0)</f>
        <v>#VALUE!</v>
      </c>
      <c r="FS256" s="1558" t="e">
        <f aca="false">IF(EW256&gt;0,MIN(FH256-FO256,BK256*(1+VLOOKUP($C256,WeatherCapacityAdjustment,3))),0)</f>
        <v>#VALUE!</v>
      </c>
      <c r="FT256" s="1566" t="e">
        <f aca="false">IF(AND(Assumptions!$H$71="Yes",A256&gt;=Assumptions!$H$72,A256&lt;=Assumptions!$H$73),0,IF(AND($A256&gt;=Assumptions!$C$17,$A256&lt;=Assumptions!$C$18),MAX(AZ256*(1+VLOOKUP($C256,WeatherCapacityAdjustment,2))-FL256,0),0))</f>
        <v>#VALUE!</v>
      </c>
      <c r="FU256" s="1551" t="e">
        <f aca="false">IF(AND(Assumptions!$H$71="Yes",A256&gt;=Assumptions!$H$72,A256&lt;=Assumptions!$H$73),0,IF(AND($A256&gt;=Assumptions!$C$17,$A256&lt;=Assumptions!$C$18),MAX(BA256*(1+VLOOKUP($C256,WeatherCapacityAdjustment,2))-FM256,0),0))</f>
        <v>#VALUE!</v>
      </c>
      <c r="FV256" s="1551" t="e">
        <f aca="false">IF(AND(Assumptions!$H$71="Yes",A256&gt;=Assumptions!$H$72,A256&lt;=Assumptions!$H$73),0,IF(AND($A256&gt;=Assumptions!$C$17,$A256&lt;=Assumptions!$C$18),MAX(BB256*(1+VLOOKUP($C256,WeatherCapacityAdjustment,2))-FN256,0),0))</f>
        <v>#VALUE!</v>
      </c>
      <c r="FW256" s="1564" t="e">
        <f aca="false">IF(AND(Assumptions!$H$71="Yes",A256&gt;=Assumptions!$H$72,A256&lt;=Assumptions!$H$73),0,IF(AND($A256&gt;=Assumptions!$C$17,$A256&lt;=Assumptions!$C$18),MAX(BC256*(1+VLOOKUP($C256,WeatherCapacityAdjustment,3))-FO256,0),0))</f>
        <v>#VALUE!</v>
      </c>
      <c r="FX256" s="1569" t="e">
        <f aca="false">IF(AND(Assumptions!$H$71="Yes",A256&gt;=Assumptions!$H$72,A256&lt;=Assumptions!$H$73),0,IF(ET256&gt;0,MAX(BH256*(1+VLOOKUP($C256,WeatherCapacityAdjustment,2))-FP256,0),0))</f>
        <v>#VALUE!</v>
      </c>
      <c r="FY256" s="1551" t="e">
        <f aca="false">IF(AND(Assumptions!$H$71="Yes",A256&gt;=Assumptions!$H$72,A256&lt;=Assumptions!$H$73),0,IF(EU256&gt;0,MAX(BI256*(1+VLOOKUP($C256,WeatherCapacityAdjustment,3))-FQ256,0),0))</f>
        <v>#VALUE!</v>
      </c>
      <c r="FZ256" s="1551" t="e">
        <f aca="false">IF(AND(Assumptions!$H$71="Yes",A256&gt;=Assumptions!$H$72,A256&lt;=Assumptions!$H$73),0,IF(EV256&gt;0,MAX(BJ256*(1+VLOOKUP($C256,WeatherCapacityAdjustment,2))-FR256,0),0))</f>
        <v>#VALUE!</v>
      </c>
      <c r="GA256" s="1564" t="e">
        <f aca="false">IF(AND(Assumptions!$H$71="Yes",A256&gt;=Assumptions!$H$72,A256&lt;=Assumptions!$H$73),0,IF(EW256&gt;0,MAX(BK256*(1+VLOOKUP($C256,WeatherCapacityAdjustment,2))-FS256,0),0))</f>
        <v>#VALUE!</v>
      </c>
      <c r="GB256" s="1551" t="e">
        <f aca="false">SUM(FT256:GA256)</f>
        <v>#VALUE!</v>
      </c>
      <c r="GC256" s="1563" t="e">
        <f aca="false">+IF(SUM(FT256:GA256)=0,0,(SUMPRODUCT(BU256:BX256,FT256:FW256)+SUMPRODUCT(CA256:CD256,FX256:GA256))/SUM(FT256:GA256))</f>
        <v>#VALUE!</v>
      </c>
      <c r="GD256" s="1551" t="e">
        <f aca="false">(FT256*BU256+FX256*CA256+FU256*BV256+FY256*CB256+FV256*BW256+FZ256*CC256+FW256*BX256+GA256*CD256)</f>
        <v>#VALUE!</v>
      </c>
      <c r="GE256" s="1561" t="e">
        <f aca="false">+IF(BQ256,((FL256+FM256+FT256+FU256)*HeatRatePeak/1000*(1+VLOOKUP($C256,WeatherHeatRateAdjustment,2))+(FN256+FV256)*IF(EV256&gt;0,HeatRatePeak,HeatRateOffPeak)/1000*(1+VLOOKUP($C256,WeatherHeatRateAdjustment,2))+(FO256+FW256)*IF(EW256&gt;0,HeatRatePeak,HeatRateOffPeak)/1000*(1+VLOOKUP($C256,WeatherHeatRateAdjustment,3)))*(1+VLOOKUP($B256,HeatRateDegradation,$C256+1)),0)</f>
        <v>#VALUE!</v>
      </c>
      <c r="GF256" s="1562" t="e">
        <f aca="false">IF(BQ256,((FP256+FQ256+FR256+FX256+FY256+FZ256)*HeatRatePeak/1000*(1+VLOOKUP($C256,WeatherHeatRateAdjustment,2))+(FS256+GA256)*HeatRatePeak/1000*(1+VLOOKUP($C256,WeatherHeatRateAdjustment,3)))*(1+VLOOKUP($B256,HeatRateDegradation,$C256+1)),0)</f>
        <v>#VALUE!</v>
      </c>
      <c r="GG256" s="1563" t="e">
        <f aca="false">IF(BQ256,VLOOKUP(A256,GasTable,13),0)</f>
        <v>#VALUE!</v>
      </c>
      <c r="GH256" s="1564" t="e">
        <f aca="false">(GE256+GF256)*GG256</f>
        <v>#VALUE!</v>
      </c>
      <c r="GI256" s="1569" t="e">
        <f aca="false">GB256</f>
        <v>#VALUE!</v>
      </c>
      <c r="GJ256" s="1598" t="e">
        <f aca="false">+DA256</f>
        <v>#VALUE!</v>
      </c>
      <c r="GK256" s="1558" t="e">
        <f aca="false">+GI256*GJ256</f>
        <v>#VALUE!</v>
      </c>
      <c r="GL256" s="1566" t="e">
        <f aca="false">MAX(FE256-FL256-FP256,0)</f>
        <v>#VALUE!</v>
      </c>
      <c r="GM256" s="1551" t="e">
        <f aca="false">MAX(FF256-FM256-FQ256,0)</f>
        <v>#VALUE!</v>
      </c>
      <c r="GN256" s="1551" t="e">
        <f aca="false">MAX(FG256-FN256-FR256,0)</f>
        <v>#VALUE!</v>
      </c>
      <c r="GO256" s="1564" t="e">
        <f aca="false">MAX(FH256-FO256-FS256,0)</f>
        <v>#VALUE!</v>
      </c>
      <c r="GP256" s="1551" t="e">
        <f aca="false">SUM(GL256:GO256)</f>
        <v>#VALUE!</v>
      </c>
      <c r="GQ256" s="1563" t="e">
        <f aca="false">IF(SUM(GL256:GO256)=0,0,((GL256*BU256+GM256*BV256+GN256*BW256+GO256*BX256)/SUM(GL256:GO256)))</f>
        <v>#VALUE!</v>
      </c>
      <c r="GR256" s="1558" t="e">
        <f aca="false">(GL256*BU256+GM256*BV256+GN256*BW256+GO256*BX256)</f>
        <v>#VALUE!</v>
      </c>
      <c r="GS256" s="1566" t="n">
        <f aca="false">IF($A256&gt;=BegDate,Assumptions!$C$56*24*($A257-$A256)*(1-VLOOKUP($B256,MAIN!$AA$7:$AM$28,$C256+1))*(1-VLOOKUP($B256,MAIN!$AA$33:$AM$54,$C256+1)),0)*80/168</f>
        <v>224485.714285714</v>
      </c>
      <c r="GT256" s="286" t="n">
        <f aca="false">J256</f>
        <v>42.8533855473594</v>
      </c>
      <c r="GU256" s="286" t="n">
        <f aca="false">IF($A256&gt;=BegDate,VLOOKUP($A256,GasTable,13)+Assumptions!$C$58,0)</f>
        <v>3.59537415427748</v>
      </c>
      <c r="GV256" s="286" t="n">
        <f aca="false">GU256*Assumptions!$C$57/1000</f>
        <v>26.0664626185117</v>
      </c>
      <c r="GW256" s="1558" t="n">
        <f aca="false">IF(Assumptions!$C$60="Hourly",MAX(0,GS256*(GT256-GV256)),GS256*(GT256-GV256))</f>
        <v>3768424.38434161</v>
      </c>
      <c r="GX256" s="1566" t="n">
        <f aca="false">IF($A256&gt;=BegDate,Assumptions!$C$56*24*($A257-$A256)*(1-VLOOKUP($B256,MAIN!$AA$7:$AM$28,$C256+1))*(1-VLOOKUP($B256,MAIN!$AA$33:$AM$54,$C256+1)),0)*16/168</f>
        <v>44897.1428571429</v>
      </c>
      <c r="GY256" s="286" t="n">
        <f aca="false">M256</f>
        <v>42.8533855473594</v>
      </c>
      <c r="GZ256" s="286" t="n">
        <f aca="false">IF($A256&gt;=BegDate,VLOOKUP($A256,GasTable,13)+Assumptions!$C$58,0)</f>
        <v>3.59537415427748</v>
      </c>
      <c r="HA256" s="286" t="n">
        <f aca="false">GZ256*Assumptions!$C$57/1000</f>
        <v>26.0664626185117</v>
      </c>
      <c r="HB256" s="1558" t="n">
        <f aca="false">IF(Assumptions!$C$60="Hourly",MAX(0,GX256*(GY256-HA256)),GX256*(GY256-HA256))</f>
        <v>753684.876868321</v>
      </c>
      <c r="HC256" s="1566" t="n">
        <f aca="false">IF($A256&gt;=BegDate,Assumptions!$C$56*24*($A257-$A256)*(1-VLOOKUP($B256,MAIN!$AA$7:$AM$28,$C256+1))*(1-VLOOKUP($B256,MAIN!$AA$33:$AM$54,$C256+1)),0)*16/168</f>
        <v>44897.1428571429</v>
      </c>
      <c r="HD256" s="286" t="n">
        <f aca="false">P256</f>
        <v>29.8798760225516</v>
      </c>
      <c r="HE256" s="286" t="n">
        <f aca="false">IF($A256&gt;=BegDate,VLOOKUP($A256,GasTable,13)+Assumptions!$C$58,0)</f>
        <v>3.59537415427748</v>
      </c>
      <c r="HF256" s="286" t="n">
        <f aca="false">HE256*Assumptions!$C$57/1000</f>
        <v>26.0664626185117</v>
      </c>
      <c r="HG256" s="1558" t="n">
        <f aca="false">IF(Assumptions!$C$60="Hourly",MAX(0,HC256*(HD256-HF256)),HC256*(HD256-HF256))</f>
        <v>171211.366374521</v>
      </c>
      <c r="HH256" s="1566" t="n">
        <f aca="false">IF($A256&gt;=BegDate,Assumptions!$C$56*24*($A257-$A256)*(1-VLOOKUP($B256,MAIN!$AA$7:$AM$28,$C256+1))*(1-VLOOKUP($B256,MAIN!$AA$33:$AM$54,$C256+1)),0)*56/168</f>
        <v>157140</v>
      </c>
      <c r="HI256" s="286" t="n">
        <f aca="false">S256</f>
        <v>29.8798760225516</v>
      </c>
      <c r="HJ256" s="286" t="n">
        <f aca="false">IF($A256&gt;=BegDate,VLOOKUP($A256,GasTable,13)+Assumptions!$C$58,0)</f>
        <v>3.59537415427748</v>
      </c>
      <c r="HK256" s="286" t="n">
        <f aca="false">HJ256*Assumptions!$C$57/1000</f>
        <v>26.0664626185117</v>
      </c>
      <c r="HL256" s="1558" t="n">
        <f aca="false">IF(Assumptions!$C$60="Hourly",MAX(0,HH256*(HI256-HK256)),HH256*(HI256-HK256))</f>
        <v>599239.782310823</v>
      </c>
      <c r="HM256" s="1566" t="n">
        <f aca="false">IF(AND(Assumptions!$H$71="Yes",A256&gt;=Assumptions!$H$72,A256&lt;=Assumptions!$H$73),Assumptions!$H$74*Assumptions!$C$9*1000,0)</f>
        <v>0</v>
      </c>
      <c r="HN256" s="1551"/>
      <c r="HO256" s="1563"/>
      <c r="HP256" s="1563"/>
      <c r="HQ256" s="1563"/>
      <c r="HR256" s="1563"/>
      <c r="HS256" s="1563"/>
      <c r="HT256" s="1563"/>
      <c r="HU256" s="1563"/>
      <c r="HV256" s="1563"/>
      <c r="HW256" s="1563"/>
      <c r="HX256" s="1563"/>
      <c r="HY256" s="1563"/>
      <c r="HZ256" s="1563"/>
      <c r="IA256" s="1563"/>
      <c r="IB256" s="1563"/>
      <c r="IC256" s="1563"/>
      <c r="ID256" s="1563"/>
      <c r="IE256" s="1563"/>
      <c r="IF256" s="1563"/>
      <c r="IG256" s="1563"/>
      <c r="IH256" s="1563"/>
      <c r="II256" s="1610"/>
      <c r="IJ256" s="1309"/>
      <c r="IK256" s="1309"/>
    </row>
    <row r="257" customFormat="false" ht="12.75" hidden="false" customHeight="false" outlineLevel="0" collapsed="false">
      <c r="A257" s="1571" t="n">
        <f aca="false">EOMONTH(A256,0)+1</f>
        <v>43952</v>
      </c>
      <c r="B257" s="594" t="n">
        <f aca="false">+YEAR(A257)</f>
        <v>2020</v>
      </c>
      <c r="C257" s="238" t="n">
        <f aca="false">MONTH(A257)</f>
        <v>5</v>
      </c>
      <c r="D257" s="1572" t="e">
        <f aca="false">IF(E257="","",Holiday(B257,C257))</f>
        <v>#VALUE!</v>
      </c>
      <c r="E257" s="1573" t="n">
        <f aca="false">IF(OR(BegDate&gt;=A258,EndDate&lt;A257,AND(VolumeMonthlyOverFlag,INDEX(VolumeMonthlyOver,C257)=0),NOT(INDEX(MonthKnockOutTable,C257))),"",MAX(A257,BegDate))</f>
        <v>43952</v>
      </c>
      <c r="F257" s="1574" t="n">
        <f aca="false">IF(E257="","",MIN(A258-1,EndDate))</f>
        <v>43982</v>
      </c>
      <c r="G257" s="1575" t="n">
        <v>0</v>
      </c>
      <c r="H257" s="1576" t="n">
        <f aca="false">(1+G257/2)^(-2*(DATE(B258,C258,20)-DateToday)/365.25)</f>
        <v>1</v>
      </c>
      <c r="I257" s="1568" t="n">
        <f aca="false">IF(Assumptions!$L$25=4,VLOOKUP($A257,'Henwood Reference'!$E$9:$R$320,10),(VLOOKUP($A257,PriceTable,2,0)+IF(BasisNumber&lt;&gt;1,VLOOKUP($A257,BasisTable,2,0),0)+I$1)/(1-I$2))</f>
        <v>49.7461011383446</v>
      </c>
      <c r="J257" s="1568" t="n">
        <f aca="false">IF(Assumptions!$L$25=4,VLOOKUP($A257,'Henwood Reference'!$E$9:$R$320,10),(VLOOKUP($A257,PriceTable,3,0)+IF(BasisNumber&lt;&gt;1,VLOOKUP($A257,BasisTable,2,0),0)+J$1)/(1-J$2))</f>
        <v>49.7461011383446</v>
      </c>
      <c r="K257" s="1568" t="n">
        <f aca="false">IF(Assumptions!$L$25=4,VLOOKUP($A257,'Henwood Reference'!$E$9:$R$320,10),(VLOOKUP($A257,PriceTable,4,0)+IF(BasisNumber&lt;&gt;1,VLOOKUP($A257,BasisTable,2,0),0)+K$1)/(1-K$2))</f>
        <v>49.7461011383446</v>
      </c>
      <c r="L257" s="1523" t="n">
        <f aca="false">IF(Assumptions!$L$25=4,VLOOKUP($A257,'Henwood Reference'!$E$9:$R$320,10),(VLOOKUP($A257,PriceTableWeekend,2,0)+IF(BasisNumber&lt;&gt;1,VLOOKUP($A257,BasisTable,2,0),0)+L$1)/(1-L$2))</f>
        <v>49.7461011383446</v>
      </c>
      <c r="M257" s="1568" t="n">
        <f aca="false">IF(Assumptions!$L$25=4,VLOOKUP($A257,'Henwood Reference'!$E$9:$R$320,10),(VLOOKUP($A257,PriceTableWeekend,3,0)+IF(BasisNumber&lt;&gt;1,VLOOKUP($A257,BasisTable,2,0),0)+M$1)/(1-M$2))</f>
        <v>49.7461011383446</v>
      </c>
      <c r="N257" s="1599" t="n">
        <f aca="false">IF(Assumptions!$L$25=4,VLOOKUP($A257,'Henwood Reference'!$E$9:$R$320,10),(VLOOKUP($A257,PriceTableWeekend,4,0)+IF(BasisNumber&lt;&gt;1,VLOOKUP($A257,BasisTable,2,0),0)+N$1)/(1-N$2))</f>
        <v>49.7461011383446</v>
      </c>
      <c r="O257" s="1568" t="n">
        <f aca="false">IF(Assumptions!$L$25=4,VLOOKUP($A257,'Henwood Reference'!$E$9:$R$320,11),(VLOOKUP($A257,PriceTableWeekend,6,0)+IF(BasisNumber&lt;&gt;1,VLOOKUP($A257,BasisTable,3,0),0)+O$1)/(1-O$2))</f>
        <v>29.7346989619645</v>
      </c>
      <c r="P257" s="1568" t="n">
        <f aca="false">IF(Assumptions!$L$25=4,VLOOKUP($A257,'Henwood Reference'!$E$9:$R$320,11),(VLOOKUP($A257,PriceTableWeekend,7,0)+IF(BasisNumber&lt;&gt;1,VLOOKUP($A257,BasisTable,3,0),0)+P$1)/(1-P$2))</f>
        <v>29.7346989619645</v>
      </c>
      <c r="Q257" s="1599" t="n">
        <f aca="false">IF(Assumptions!$L$25=4,VLOOKUP($A257,'Henwood Reference'!$E$9:$R$320,11),(VLOOKUP($A257,PriceTableWeekend,8,0)+IF(BasisNumber&lt;&gt;1,VLOOKUP($A257,BasisTable,3,0),0)+Q$1)/(1-Q$2))</f>
        <v>29.7346989619645</v>
      </c>
      <c r="R257" s="1568" t="n">
        <f aca="false">IF(Assumptions!$L$25=4,VLOOKUP($A257,'Henwood Reference'!$E$9:$R$320,11),(VLOOKUP($A257,PriceTable,6,0)+IF(BasisNumber&lt;&gt;1,VLOOKUP($A257,BasisTable,3,0),0)+R$1)/(1-R$2))</f>
        <v>29.7346989619645</v>
      </c>
      <c r="S257" s="1568" t="n">
        <f aca="false">IF(Assumptions!$L$25=4,VLOOKUP($A257,'Henwood Reference'!$E$9:$R$320,11),(VLOOKUP($A257,PriceTable,7,0)+IF(BasisNumber&lt;&gt;1,VLOOKUP($A257,BasisTable,3,0),0)+S$1)/(1-S$2))</f>
        <v>29.7346989619645</v>
      </c>
      <c r="T257" s="1600" t="n">
        <f aca="false">IF(Assumptions!$L$25=4,VLOOKUP($A257,'Henwood Reference'!$E$9:$R$320,11),(VLOOKUP($A257,PriceTable,8,0)+IF(BasisNumber&lt;&gt;1,VLOOKUP($A257,BasisTable,3,0),0)+T$1)/(1-T$2))</f>
        <v>29.7346989619645</v>
      </c>
      <c r="U257" s="1513" t="n">
        <f aca="false">VLOOKUP($A257,VolatilityTable,14)</f>
        <v>0.09</v>
      </c>
      <c r="V257" s="1513" t="n">
        <f aca="false">VLOOKUP($A257,VolatilityTable,15)</f>
        <v>0.1</v>
      </c>
      <c r="W257" s="1514" t="n">
        <f aca="false">VLOOKUP($A257,VolatilityTable,16)</f>
        <v>0.11</v>
      </c>
      <c r="X257" s="1513" t="n">
        <f aca="false">VLOOKUP($A257,VolatilityTable,14)</f>
        <v>0.09</v>
      </c>
      <c r="Y257" s="1513" t="n">
        <f aca="false">VLOOKUP($A257,VolatilityTable,15)</f>
        <v>0.1</v>
      </c>
      <c r="Z257" s="1514" t="n">
        <f aca="false">VLOOKUP($A257,VolatilityTable,16)</f>
        <v>0.11</v>
      </c>
      <c r="AA257" s="1513" t="n">
        <f aca="false">VLOOKUP($A257,VolatilityTable,18)</f>
        <v>0.09</v>
      </c>
      <c r="AB257" s="1513" t="n">
        <f aca="false">VLOOKUP($A257,VolatilityTable,19)</f>
        <v>0.11</v>
      </c>
      <c r="AC257" s="1514" t="n">
        <f aca="false">VLOOKUP($A257,VolatilityTable,20)</f>
        <v>0.13</v>
      </c>
      <c r="AD257" s="1513" t="n">
        <f aca="false">VLOOKUP($A257,VolatilityTable,18)</f>
        <v>0.09</v>
      </c>
      <c r="AE257" s="1513" t="n">
        <f aca="false">VLOOKUP($A257,VolatilityTable,19)</f>
        <v>0.11</v>
      </c>
      <c r="AF257" s="1514" t="n">
        <f aca="false">VLOOKUP($A257,VolatilityTable,20)</f>
        <v>0.13</v>
      </c>
      <c r="AG257" s="1513" t="n">
        <f aca="false">VLOOKUP($A257,VolatilityTable,22)</f>
        <v>-0.1</v>
      </c>
      <c r="AH257" s="1513" t="n">
        <f aca="false">VLOOKUP($A257,VolatilityTable,23)</f>
        <v>0.65</v>
      </c>
      <c r="AI257" s="1514" t="n">
        <f aca="false">VLOOKUP($A257,VolatilityTable,24)</f>
        <v>0.1</v>
      </c>
      <c r="AJ257" s="1513" t="n">
        <f aca="false">VLOOKUP($A257,VolatilityTable,22)</f>
        <v>-0.1</v>
      </c>
      <c r="AK257" s="1513" t="n">
        <f aca="false">VLOOKUP($A257,VolatilityTable,23)</f>
        <v>0.65</v>
      </c>
      <c r="AL257" s="1514" t="n">
        <f aca="false">VLOOKUP($A257,VolatilityTable,24)</f>
        <v>0.1</v>
      </c>
      <c r="AM257" s="1513" t="n">
        <f aca="false">VLOOKUP($A257,VolatilityTable,26)</f>
        <v>-0.01</v>
      </c>
      <c r="AN257" s="1513" t="n">
        <f aca="false">VLOOKUP($A257,VolatilityTable,27)</f>
        <v>0.16</v>
      </c>
      <c r="AO257" s="1514" t="n">
        <f aca="false">VLOOKUP($A257,VolatilityTable,28)</f>
        <v>0.01</v>
      </c>
      <c r="AP257" s="1513" t="n">
        <f aca="false">VLOOKUP($A257,VolatilityTable,26)</f>
        <v>-0.01</v>
      </c>
      <c r="AQ257" s="1513" t="n">
        <f aca="false">VLOOKUP($A257,VolatilityTable,27)</f>
        <v>0.16</v>
      </c>
      <c r="AR257" s="1515" t="n">
        <f aca="false">VLOOKUP($A257,VolatilityTable,28)</f>
        <v>0.01</v>
      </c>
      <c r="AS257" s="1581" t="n">
        <f aca="false">IF(CorrPeakOffPeakOverFlag,INDEX(CorrPeakOffPeakOver,C257),CorrPeakOffPeak)</f>
        <v>0.5</v>
      </c>
      <c r="AT257" s="594" t="e">
        <f aca="false">AX257-SUM(AU257:AW257)</f>
        <v>#VALUE!</v>
      </c>
      <c r="AU257" s="238" t="e">
        <f aca="false">IF(E257="",0,INT((F257-MOD(F257,7)-E257)/7)+1-IF(AW257,IF(WEEKDAY(D257)=7,1,0),0))</f>
        <v>#VALUE!</v>
      </c>
      <c r="AV257" s="238" t="e">
        <f aca="false">IF(E257="",0,INT((F257-MOD(F257-1,7)-E257)/7)+1-IF(AW257,IF(WEEKDAY(D257)=1,1,0),0))</f>
        <v>#VALUE!</v>
      </c>
      <c r="AW257" s="238" t="e">
        <f aca="false">IF(OR(E257="",D257="",D257&lt;BegDate,D257&gt;EndDate),0,1)</f>
        <v>#VALUE!</v>
      </c>
      <c r="AX257" s="238" t="n">
        <f aca="false">IF(E257="",0,F257-E257+1)</f>
        <v>31</v>
      </c>
      <c r="AY257" s="1582" t="n">
        <f aca="false">IF(E257="",0,MIN((1-(1-VLOOKUP(B257,MAIN!$AA$7:$AM$28,C257+1))*(1-VLOOKUP(B257,MAIN!$AA$33:$AM$54,C257+1))),1))</f>
        <v>0.03</v>
      </c>
      <c r="AZ257" s="1519" t="e">
        <v>#VALUE!</v>
      </c>
      <c r="BA257" s="1520" t="e">
        <v>#VALUE!</v>
      </c>
      <c r="BB257" s="1520" t="e">
        <v>#VALUE!</v>
      </c>
      <c r="BC257" s="1583" t="e">
        <v>#VALUE!</v>
      </c>
      <c r="BD257" s="1522" t="e">
        <v>#VALUE!</v>
      </c>
      <c r="BE257" s="1523" t="e">
        <v>#VALUE!</v>
      </c>
      <c r="BF257" s="1523" t="e">
        <v>#VALUE!</v>
      </c>
      <c r="BG257" s="1584" t="e">
        <v>#VALUE!</v>
      </c>
      <c r="BH257" s="1525" t="e">
        <v>#VALUE!</v>
      </c>
      <c r="BI257" s="1520" t="e">
        <v>#VALUE!</v>
      </c>
      <c r="BJ257" s="1520" t="e">
        <v>#VALUE!</v>
      </c>
      <c r="BK257" s="1583" t="e">
        <v>#VALUE!</v>
      </c>
      <c r="BL257" s="1522" t="e">
        <v>#VALUE!</v>
      </c>
      <c r="BM257" s="1523" t="e">
        <v>#VALUE!</v>
      </c>
      <c r="BN257" s="1523" t="e">
        <v>#VALUE!</v>
      </c>
      <c r="BO257" s="1523" t="e">
        <v>#VALUE!</v>
      </c>
      <c r="BP257" s="1525" t="e">
        <f aca="false">SUM(AZ257:BB257)</f>
        <v>#VALUE!</v>
      </c>
      <c r="BQ257" s="1529" t="e">
        <f aca="false">SUM(AZ257:BC257)</f>
        <v>#VALUE!</v>
      </c>
      <c r="BR257" s="1519" t="e">
        <f aca="false">SUM(BH257:BJ257)</f>
        <v>#VALUE!</v>
      </c>
      <c r="BS257" s="1529" t="e">
        <f aca="false">SUM(BH257:BK257)</f>
        <v>#VALUE!</v>
      </c>
      <c r="BT257" s="1316" t="n">
        <f aca="false">(IF(OVolType&lt;&gt;2,A257+14,IF(OptExpDateShift,ShiftBack(A257,OptExpDateShift,D256),A257))-DateToday)/365.25</f>
        <v>20.0465434633812</v>
      </c>
      <c r="BU257" s="1585" t="e">
        <f aca="false">IF(BQ257,IF(OPriceCurve,IF(OBuySell=OCallPut,I257/(1-AY257),K257/(1-AY257)),J257/(1-AY257))*BD257,0)</f>
        <v>#VALUE!</v>
      </c>
      <c r="BV257" s="1316" t="e">
        <f aca="false">IF(BQ257,IF(OPriceCurve,IF(OBuySell=OCallPut,L257/(1-AY257),N257/(1-AY257)),M257/(1-AY257))*BE257,0)</f>
        <v>#VALUE!</v>
      </c>
      <c r="BW257" s="1316" t="e">
        <f aca="false">IF(BQ257,IF(OPriceCurve,IF(OBuySell=OCallPut,O257/(1-AY257),Q257/(1-AY257)),P257/(1-AY257))*BF257,0)</f>
        <v>#VALUE!</v>
      </c>
      <c r="BX257" s="1316" t="e">
        <f aca="false">IF(BQ257,IF(OPriceCurve,IF(OBuySell=OCallPut,R257/(1-AY257),T257/(1-AY257)),S257/(1-AY257))*BG257,0)</f>
        <v>#VALUE!</v>
      </c>
      <c r="BY257" s="1316" t="e">
        <f aca="false">IF(BP257,(BU257*AZ257+BV257*BA257+BW257*BB257)/BP257,0)</f>
        <v>#VALUE!</v>
      </c>
      <c r="BZ257" s="1316" t="e">
        <f aca="false">IF(BQ257,(BY257*BP257+BX257*BC257)/BQ257,0)</f>
        <v>#VALUE!</v>
      </c>
      <c r="CA257" s="1531" t="e">
        <f aca="false">IF(BS257,IF(OPriceCurve,IF(OBuySell=OCallPut,I257/(1-AY257),K257/(1-AY257)),J257/(1-AY257))*BL257,0)</f>
        <v>#VALUE!</v>
      </c>
      <c r="CB257" s="1316" t="e">
        <f aca="false">IF(BS257,IF(OPriceCurve,IF(OBuySell=OCallPut,L257/(1-AY257),N257/(1-AY257)),M257/(1-AY257))*BM257,0)</f>
        <v>#VALUE!</v>
      </c>
      <c r="CC257" s="1316" t="e">
        <f aca="false">IF(BS257,IF(OPriceCurve,IF(OBuySell=OCallPut,O257/(1-AY257),Q257/(1-AY257)),P257/(1-AY257))*BN257,0)</f>
        <v>#VALUE!</v>
      </c>
      <c r="CD257" s="1316" t="e">
        <f aca="false">IF(BS257,IF(OPriceCurve,IF(OBuySell=OCallPut,R257/(1-AY257),T257/(1-AY257)),S257/(1-AY257))*BO257,0)</f>
        <v>#VALUE!</v>
      </c>
      <c r="CE257" s="1316" t="e">
        <f aca="false">IF(BR257,(BU257*BH257+BV257*BI257+BW257*BJ257)/BR257,0)</f>
        <v>#VALUE!</v>
      </c>
      <c r="CF257" s="1532" t="e">
        <f aca="false">IF(BS257,(CE257*BR257+CD257*BK257)/BS257,0)</f>
        <v>#VALUE!</v>
      </c>
      <c r="CG257" s="1586" t="e">
        <f aca="false">IF(OR(BQ257,BS257),IF(OVolType&lt;&gt;2,SQRT(IF(OVolOverMonthlyPeak,OVolOverMonthlyPeak,IF(OVolCurve,IF(OBuySell,U257,W257),V257))^2*(1-15/365.25/BT257)+IF(OVolOverDailyPeak,OVolOverDailyPeak,IF(OVolCurve,IF(OBuySell,AG257,AI257),AH257))^2*15/365.25/BT257),IF(OVolOverMonthlyPeak,OVolOverMonthlyPeak,IF(OVolCurve,IF(OBuySell,U257,W257),V257))),"")</f>
        <v>#VALUE!</v>
      </c>
      <c r="CH257" s="1587" t="e">
        <f aca="false">IF(OR(BQ257,BS257),IF(OVolType&lt;&gt;2,SQRT(IF(OVolOverMonthlyPeak,OVolOverMonthlyPeak,IF(OVolCurve,IF(OBuySell,X257,Z257),Y257))^2*(1-15/365.25/BT257)+IF(OVolOverDailyPeak,OVolOverDailyPeak,IF(OVolCurve,IF(OBuySell,AJ257,AL257),AK257))^2*15/365.25/BT257),IF(OVolOverMonthlyPeak,OVolOverMonthlyPeak,IF(OVolCurve,IF(OBuySell,X257,Z257),Y257))),"")</f>
        <v>#VALUE!</v>
      </c>
      <c r="CI257" s="1587" t="e">
        <f aca="false">IF(OR(BQ257,BS257),IF(OVolType&lt;&gt;2,SQRT(IF(OVolOverMonthlyPeak,OVolOverMonthlyPeak,IF(OVolCurve,IF(OBuySell,AA257,AC257),AB257))^2*(1-15/365.25/BT257)+IF(OVolOverDailyPeak,OVolOverDailyPeak,IF(OVolCurve,IF(OBuySell,AM257,AO257),AN257))^2*15/365.25/BT257),IF(OVolOverMonthlyPeak,OVolOverMonthlyPeak,IF(OVolCurve,IF(OBuySell,AA257,AC257),AB257))),"")</f>
        <v>#VALUE!</v>
      </c>
      <c r="CJ257" s="1587" t="e">
        <f aca="false">IF(BQ257,IF(BP257,SQRT(LN(1+((BU257*AZ257)^2*(EXP(CG257^2*BT257)-1)+(BV257*BA257)^2*(EXP(CH257^2*BT257)-1)+(BW257*BB257)^2*(EXP(CI257^2*BT257)-1)+2*BU257*AZ257*BV257*BA257*(EXP(CG257*CH257*BT257)-1)+2*BV257*BA257*BW257*BB257*(EXP(CH257*CI257*BT257)-1)+2*BW257*BB257*BU257*AZ257*(EXP(CI257*CG257*BT257)-1))/(BY257*BP257)^2)/BT257),0),"")</f>
        <v>#VALUE!</v>
      </c>
      <c r="CK257" s="1587" t="e">
        <f aca="false">IF(BS257,IF(BR257,SQRT(LN(1+((CA257*BH257)^2*(EXP(CG257^2*BT257)-1)+(CB257*BI257)^2*(EXP(CH257^2*BT257)-1)+(CC257*BJ257)^2*(EXP(CI257^2*BT257)-1)+2*CA257*BH257*CB257*BI257*(EXP(CG257*CH257*BT257)-1)+2*CB257*BI257*CC257*BJ257*(EXP(CH257*CI257*BT257)-1)+2*CC257*BJ257*CA257*BH257*(EXP(CI257*CG257*BT257)-1))/(CE257*BR257)^2)/BT257),0),"")</f>
        <v>#VALUE!</v>
      </c>
      <c r="CL257" s="1587" t="e">
        <f aca="false">IF(OR(BQ257,BS257),IF(OVolType&lt;&gt;2,SQRT(IF(OVolOverMonthlyOffPeak,OVolOverMonthlyOffPeak,IF(OVolCurve,IF(OBuySell,AD257,AF257),AE257))^2*(1-15/365.25/BT257)+IF(OVolOverDailyOffPeak,OVolOverDailyOffPeak,IF(OVolCurve,IF(OBuySell,AP257,AR257),AQ257))^2*15/365.25/BT257),IF(OVolOverMonthlyOffPeak,OVolOverMonthlyOffPeak,IF(OVolCurve,IF(OBuySell,AD257,AF257),AE257))),"")</f>
        <v>#VALUE!</v>
      </c>
      <c r="CM257" s="1587" t="e">
        <f aca="false">IF(BQ257,SQRT(LN(1+((BY257*BP257)^2*(EXP(CJ257^2*BT257)-1)+(BX257*BC257)^2*(EXP(CL257^2*BT257)-1)+2*BY257*BP257*BX257*BC257*(EXP(AS257*CJ257*CL257*BT257)-1))/(BY257*BP257+BX257*BC257)^2)/BT257),"")</f>
        <v>#VALUE!</v>
      </c>
      <c r="CN257" s="1588" t="e">
        <f aca="false">IF(BS257,SQRT(LN(1+((CE257*BR257)^2*(EXP(CK257^2*BT257)-1)+(CD257*BK257)^2*(EXP(CL257^2*BT257)-1)+2*CE257*BR257*CD257*BK257*(EXP(AS257*CK257*CL257*BT257)-1))/(CE257*BR257+CD257*BK257)^2)/BT257),"")</f>
        <v>#VALUE!</v>
      </c>
      <c r="CO257" s="1531" t="e">
        <f aca="false">IF(OR(BQ257,BS257),VLOOKUP(A257,GasTable,13)*HeatRatePeak*(1+VLOOKUP($B257,HeatRateDegradation,$C257+1))/1000,0)</f>
        <v>#VALUE!</v>
      </c>
      <c r="CP257" s="1316" t="e">
        <f aca="false">IF(OR(BQ257,BS257),VLOOKUP(A257,GasTable,13)*HeatRatePeak*(1+VLOOKUP($B257,HeatRateDegradation,$C257+1))/1000,0)</f>
        <v>#VALUE!</v>
      </c>
      <c r="CQ257" s="1316" t="e">
        <f aca="false">IF(OR(BQ257,BS257),VLOOKUP(A257,GasTable,13)*IF(EV257,HeatRatePeak,HeatRateOffPeak)*(1+VLOOKUP($B257,HeatRateDegradation,$C257+1))/1000,0)</f>
        <v>#VALUE!</v>
      </c>
      <c r="CR257" s="1316" t="e">
        <f aca="false">IF(OR(BQ257,BS257),VLOOKUP(A257,GasTable,13)*IF(EW257,HeatRatePeak,HeatRateOffPeak)*(1+VLOOKUP($B257,HeatRateDegradation,$C257+1))/1000,0)</f>
        <v>#VALUE!</v>
      </c>
      <c r="CS257" s="1589" t="e">
        <f aca="false">IF(BQ257,(CO257*AZ257+CP257*BA257+CQ257*BB257+CR257*BC257)/BQ257,0)</f>
        <v>#VALUE!</v>
      </c>
      <c r="CT257" s="1316" t="e">
        <f aca="false">IF(BS257,CO257,0)</f>
        <v>#VALUE!</v>
      </c>
      <c r="CU257" s="1590" t="e">
        <f aca="false">IF(OR(BQ257,BS257),VLOOKUP(A257,GasTable,14),"")</f>
        <v>#VALUE!</v>
      </c>
      <c r="CV257" s="1568" t="e">
        <f aca="false">IF(OR(BQ257,BS257),IF(CorrPowerGasOverFlag,INDEX(CorrPowerGasOver,C257),CorrPowerGas),"")</f>
        <v>#VALUE!</v>
      </c>
      <c r="CW257" s="1316" t="e">
        <f aca="false">IF(OR($BQ257,$BS257),SpreadOptPowerMargin,0)*((1+Assumptions!$C$26)^($B257-YEAR(Assumptions!$C$17)))</f>
        <v>#VALUE!</v>
      </c>
      <c r="CX257" s="1316" t="e">
        <f aca="false">IF(OR($BQ257,$BS257),SpreadOptPowerMargin,0)*((1+Assumptions!$C$26)^($B257-YEAR(Assumptions!$C$17)))</f>
        <v>#VALUE!</v>
      </c>
      <c r="CY257" s="1316" t="e">
        <f aca="false">IF(OR($BQ257,$BS257),SpreadOptPowerMargin,0)*((1+Assumptions!$C$26)^($B257-YEAR(Assumptions!$C$17)))</f>
        <v>#VALUE!</v>
      </c>
      <c r="CZ257" s="1316" t="e">
        <f aca="false">IF(OR($BQ257,$BS257),SpreadOptPowerMargin,0)*((1+Assumptions!$C$26)^($B257-YEAR(Assumptions!$C$17)))</f>
        <v>#VALUE!</v>
      </c>
      <c r="DA257" s="1591" t="e">
        <f aca="false">IF(OR(BQ257,BS257),(CW257*(AZ257+BH257)+CX257*(BA257+BI257)+CY257*(BB257+BJ257)+CZ257*(BC257+BK257))/(BQ257+BS257),0)</f>
        <v>#VALUE!</v>
      </c>
      <c r="DB257" s="1592" t="e">
        <f aca="false">IF(OR(BQ257,BS257),CG257+IF(OVolSmile,VLOOKUP(MAX(-5,CO257+CW257-BU257),IF(OVolSmile=1,VolSmileBook,VolSmileModel),2),0),"")</f>
        <v>#VALUE!</v>
      </c>
      <c r="DC257" s="1592" t="e">
        <f aca="false">IF(OR(BQ257,BS257),CH257+IF(OVolSmile,VLOOKUP(MAX(-5,CP257+CW257-BV257),IF(OVolSmile=1,VolSmileBook,VolSmileModel),2),0),"")</f>
        <v>#VALUE!</v>
      </c>
      <c r="DD257" s="1592" t="e">
        <f aca="false">IF(OR(BQ257,BS257),CI257+IF(OVolSmile,VLOOKUP(MAX(-5,CQ257+CW257-BW257),IF(OVolSmile=1,VolSmileBook,VolSmileModel),2),0),"")</f>
        <v>#VALUE!</v>
      </c>
      <c r="DE257" s="1592" t="e">
        <f aca="false">IF(OR(BQ257,BS257),CL257+IF(OVolSmile,VLOOKUP(MAX(-5,CR257+CZ257-BX257),IF(OVolSmile=1,VolSmileBook,VolSmileModel),2),0),"")</f>
        <v>#VALUE!</v>
      </c>
      <c r="DF257" s="1592" t="e">
        <f aca="false">IF(BQ257,CM257+IF(OVolSmile,VLOOKUP(MAX(-5,CS257+DA257-BZ257),IF(OVolSmile=1,VolSmileBook,VolSmileModel),2),0),"")</f>
        <v>#VALUE!</v>
      </c>
      <c r="DG257" s="1593" t="e">
        <f aca="false">IF(BS257,CN257+IF(OVolSmile,VLOOKUP(MAX(-5,CT257+DA257-CF257),IF(OVolSmile=1,VolSmileBook,VolSmileModel),2),0),"")</f>
        <v>#VALUE!</v>
      </c>
      <c r="DH257" s="1316" t="e">
        <f aca="false">IF(AND(BU257&gt;0,CO257&gt;0,DB257&gt;0,CU257&gt;0),newSPRDOPT(BU257,CO257,CW257,0,DB257,CU257,CV257,BT257*365.25,OCallPut,0),0)</f>
        <v>#VALUE!</v>
      </c>
      <c r="DI257" s="1316" t="e">
        <f aca="false">IF(AND(BV257&gt;0,CP257&gt;0,DC257&gt;0,CU257&gt;0),newSPRDOPT(BV257,CP257,CX257,0,DC257,CU257,CV257,BT257*365.25,OCallPut,0),0)</f>
        <v>#VALUE!</v>
      </c>
      <c r="DJ257" s="1316" t="e">
        <f aca="false">IF(AND(BW257&gt;0,CQ257&gt;0,DD257&gt;0,CU257&gt;0),newSPRDOPT(BW257,CQ257,CY257,0,DD257,CU257,CV257,BT257*365.25,OCallPut,0),0)</f>
        <v>#VALUE!</v>
      </c>
      <c r="DK257" s="1316" t="e">
        <f aca="false">IF(AND(BX257&gt;0,CR257&gt;0,DE257&gt;0,CU257&gt;0),newSPRDOPT(BX257,CR257,CZ257,0,DE257,CU257,CV257,BT257*365.25,OCallPut,0),0)</f>
        <v>#VALUE!</v>
      </c>
      <c r="DL257" s="1316" t="e">
        <f aca="false">IF(OVolType,IF(AND(BZ257&gt;0,CS257&gt;0,DF257&gt;0,CU257&gt;0),newSPRDOPT(BZ257,CS257,DA257,0,DF257,CU257,CV257,BT257*365.25,OCallPut,0),0),IF(BQ257,(DH257*AZ257+DI257*BA257+DJ257*BB257+DK257*BC257)/BQ257,0))</f>
        <v>#VALUE!</v>
      </c>
      <c r="DM257" s="1316"/>
      <c r="DN257" s="1316"/>
      <c r="DO257" s="1316"/>
      <c r="DP257" s="1316"/>
      <c r="DQ257" s="1316"/>
      <c r="DR257" s="1316"/>
      <c r="DS257" s="1316"/>
      <c r="DT257" s="1316"/>
      <c r="DU257" s="1316"/>
      <c r="DV257" s="1316"/>
      <c r="DW257" s="1594" t="e">
        <f aca="false">IF(AND(BW257&gt;0,CT257&gt;0,DD257&gt;0,CU257&gt;0),newSPRDOPT(BW257,CT257,CY257,0,DD257,CU257,CV257,BT257*365.25,OCallPut,0),0)</f>
        <v>#VALUE!</v>
      </c>
      <c r="DX257" s="1316" t="e">
        <f aca="false">IF(AND(BX257&gt;0,CT257&gt;0,DE257&gt;0,CU257&gt;0),newSPRDOPT(BX257,CT257,CZ257,0,DE257,CU257,CV257,BT257*365.25,OCallPut,0),0)</f>
        <v>#VALUE!</v>
      </c>
      <c r="DY257" s="1591" t="e">
        <f aca="false">IF(BS257,(DH257*BH257+DI257*BI257+DW257*BJ257+DX257*BK257)/BS257,0)</f>
        <v>#VALUE!</v>
      </c>
      <c r="DZ257" s="1551" t="e">
        <f aca="false">DH257*AZ257</f>
        <v>#VALUE!</v>
      </c>
      <c r="EA257" s="1551" t="e">
        <f aca="false">DI257*BA257</f>
        <v>#VALUE!</v>
      </c>
      <c r="EB257" s="1551" t="e">
        <f aca="false">DJ257*BB257</f>
        <v>#VALUE!</v>
      </c>
      <c r="EC257" s="1551" t="e">
        <f aca="false">DK257*BC257</f>
        <v>#VALUE!</v>
      </c>
      <c r="ED257" s="1551" t="e">
        <f aca="false">DL257*BQ257</f>
        <v>#VALUE!</v>
      </c>
      <c r="EE257" s="1595" t="e">
        <f aca="false">IF(BQ257,IF(OCallPut,IF(BU257&gt;(CO257+CW257),BU257-(CO257+CW257),0),IF((CO257+CW257)&gt;BU257,(CO257+CW257)-BU257,0))*AZ257,0)</f>
        <v>#VALUE!</v>
      </c>
      <c r="EF257" s="1596" t="e">
        <f aca="false">IF(BQ257,IF(OCallPut,IF(BV257&gt;(CP257+CX257),BV257-(CP257+CX257),0),IF((CP257+CX257)&gt;BV257,(CP257+CX257)-BV257,0))*BA257,0)</f>
        <v>#VALUE!</v>
      </c>
      <c r="EG257" s="1596" t="e">
        <f aca="false">IF(BQ257,IF(OCallPut,IF(BW257&gt;(CQ257+CY257),BW257-(CQ257+CY257),0),IF((CQ257+CY257)&gt;BW257,(CQ257+CY257)-BW257,0))*BB257,0)</f>
        <v>#VALUE!</v>
      </c>
      <c r="EH257" s="1596" t="e">
        <f aca="false">IF(BQ257,IF(OCallPut,IF(BX257&gt;(CR257+CZ257),BX257-(CR257+CZ257),0),IF((CR257+CZ257)&gt;BX257,(CR257+CZ257)-BX257,0))*BC257,0)</f>
        <v>#VALUE!</v>
      </c>
      <c r="EI257" s="1597" t="e">
        <f aca="false">IF(BQ257,IF(OVolType,IF(OCallPut,IF(BZ257&gt;(CS257+DA257),BZ257-(CS257+DA257),0),IF((CS257+DA257)&gt;BZ257,(CS257+DA257)-BZ257,0))*BQ257,SUM(EE257:EH257)),0)</f>
        <v>#VALUE!</v>
      </c>
      <c r="EJ257" s="1595" t="e">
        <f aca="false">DZ257-EE257</f>
        <v>#VALUE!</v>
      </c>
      <c r="EK257" s="1596" t="e">
        <f aca="false">EA257-EF257</f>
        <v>#VALUE!</v>
      </c>
      <c r="EL257" s="1596" t="e">
        <f aca="false">EB257-EG257</f>
        <v>#VALUE!</v>
      </c>
      <c r="EM257" s="1596" t="e">
        <f aca="false">EC257-EH257</f>
        <v>#VALUE!</v>
      </c>
      <c r="EN257" s="1597" t="e">
        <f aca="false">ED257-EI257</f>
        <v>#VALUE!</v>
      </c>
      <c r="EO257" s="1551" t="e">
        <f aca="false">DH257*BH257</f>
        <v>#VALUE!</v>
      </c>
      <c r="EP257" s="1551" t="e">
        <f aca="false">DI257*BI257</f>
        <v>#VALUE!</v>
      </c>
      <c r="EQ257" s="1551" t="e">
        <f aca="false">DW257*BJ257</f>
        <v>#VALUE!</v>
      </c>
      <c r="ER257" s="1551" t="e">
        <f aca="false">DX257*BK257</f>
        <v>#VALUE!</v>
      </c>
      <c r="ES257" s="1551" t="e">
        <f aca="false">DY257*BS257</f>
        <v>#VALUE!</v>
      </c>
      <c r="ET257" s="1566" t="e">
        <f aca="false">IF(EI257,IF(OCallPut,IF(CA257&gt;(CT257+CW257),CA257-(CT257+CW257),0),IF((CT257+CW257)&gt;CA257,(CT257+CW257)-CA257,0))*BH257,0)</f>
        <v>#VALUE!</v>
      </c>
      <c r="EU257" s="1551" t="e">
        <f aca="false">IF(EI257,IF(OCallPut,IF(CB257&gt;(CT257+CX257),CB257-(CT257+CX257),0),IF((CT257+CX257)&gt;CB257,(CT257+CX257)-CB257,0))*BI257,0)</f>
        <v>#VALUE!</v>
      </c>
      <c r="EV257" s="1551" t="e">
        <f aca="false">IF(EI257,IF(OCallPut,IF(CC257&gt;(CT257+CY257),CC257-(CT257+CY257),0),IF((CT257+CY257)&gt;CC257,(CT257+CY257)-CC257,0))*BJ257,0)</f>
        <v>#VALUE!</v>
      </c>
      <c r="EW257" s="1551" t="e">
        <f aca="false">IF(EI257,IF(OCallPut,IF(CD257&gt;(CT257+CZ257),CD257-(CT257+CZ257),0),IF((CT257+CZ257)&gt;CD257,(CT257+CZ257)-CD257,0))*BK257,0)</f>
        <v>#VALUE!</v>
      </c>
      <c r="EX257" s="1558" t="e">
        <f aca="false">IF(EI257,SUM(ET257:EW257),0)</f>
        <v>#VALUE!</v>
      </c>
      <c r="EY257" s="1551" t="e">
        <f aca="false">EO257-ET257</f>
        <v>#VALUE!</v>
      </c>
      <c r="EZ257" s="1551" t="e">
        <f aca="false">EP257-EU257</f>
        <v>#VALUE!</v>
      </c>
      <c r="FA257" s="1551" t="e">
        <f aca="false">EQ257-EV257</f>
        <v>#VALUE!</v>
      </c>
      <c r="FB257" s="1551" t="e">
        <f aca="false">ER257-EW257</f>
        <v>#VALUE!</v>
      </c>
      <c r="FC257" s="1551" t="e">
        <f aca="false">ES257-EX257</f>
        <v>#VALUE!</v>
      </c>
      <c r="FD257" s="1525" t="n">
        <f aca="false">IF(AX257,IF(VLOOKUP(C257,MAIN!$L$17:$M$28,2)="Yes",VLOOKUP(CALC!B257,MAIN!$H$17:$I$20,2),0),0)</f>
        <v>0</v>
      </c>
      <c r="FE257" s="1552" t="e">
        <f aca="false">$FD257*16*AT257*(1-$AY257)</f>
        <v>#VALUE!</v>
      </c>
      <c r="FF257" s="1553" t="e">
        <f aca="false">$FD257*16*AU257*(1-$AY257)</f>
        <v>#VALUE!</v>
      </c>
      <c r="FG257" s="1553" t="e">
        <f aca="false">$FD257*16*(AV257+AW257)*(1-$AY257)</f>
        <v>#VALUE!</v>
      </c>
      <c r="FH257" s="1554" t="n">
        <f aca="false">$FD257*8*AX257*(1-$AY257)</f>
        <v>0</v>
      </c>
      <c r="FI257" s="1555" t="n">
        <f aca="false">IF(AX257,VLOOKUP(CALC!B257,MAIN!$H$17:$K$20,4),0)</f>
        <v>0</v>
      </c>
      <c r="FJ257" s="1553" t="e">
        <f aca="false">SUM(FE257:FH257)</f>
        <v>#VALUE!</v>
      </c>
      <c r="FK257" s="1556" t="e">
        <f aca="false">FI257*FJ257</f>
        <v>#VALUE!</v>
      </c>
      <c r="FL257" s="1551" t="e">
        <f aca="false">IF($EI257&gt;0,MIN(FE257,AZ257*(1+VLOOKUP($C257,WeatherCapacityAdjustment,2))),0)</f>
        <v>#VALUE!</v>
      </c>
      <c r="FM257" s="1551" t="e">
        <f aca="false">IF($EI257&gt;0,MIN(FF257,BA257*(1+VLOOKUP($C257,WeatherCapacityAdjustment,2))),0)</f>
        <v>#VALUE!</v>
      </c>
      <c r="FN257" s="1551" t="e">
        <f aca="false">IF($EI257&gt;0,MIN(FG257,BB257*(1+VLOOKUP($C257,WeatherCapacityAdjustment,2))),0)</f>
        <v>#VALUE!</v>
      </c>
      <c r="FO257" s="1564" t="e">
        <f aca="false">IF($EI257&gt;0,MIN(FH257,BC257*(1+VLOOKUP($C257,WeatherCapacityAdjustment,3))),0)</f>
        <v>#VALUE!</v>
      </c>
      <c r="FP257" s="1551" t="e">
        <f aca="false">IF(ET257&gt;0,MIN(FE257-FL257,BH257*(1+VLOOKUP($C257,WeatherCapacityAdjustment,2))),0)</f>
        <v>#VALUE!</v>
      </c>
      <c r="FQ257" s="1551" t="e">
        <f aca="false">IF(EU257&gt;0,MIN(FF257-FM257,BI257*(1+VLOOKUP($C257,WeatherCapacityAdjustment,2))),0)</f>
        <v>#VALUE!</v>
      </c>
      <c r="FR257" s="1551" t="e">
        <f aca="false">IF(EV257&gt;0,MIN(FG257-FN257,BJ257*(1+VLOOKUP($C257,WeatherCapacityAdjustment,2))),0)</f>
        <v>#VALUE!</v>
      </c>
      <c r="FS257" s="1558" t="e">
        <f aca="false">IF(EW257&gt;0,MIN(FH257-FO257,BK257*(1+VLOOKUP($C257,WeatherCapacityAdjustment,3))),0)</f>
        <v>#VALUE!</v>
      </c>
      <c r="FT257" s="1566" t="e">
        <f aca="false">IF(AND(Assumptions!$H$71="Yes",A257&gt;=Assumptions!$H$72,A257&lt;=Assumptions!$H$73),0,IF(AND($A257&gt;=Assumptions!$C$17,$A257&lt;=Assumptions!$C$18),MAX(AZ257*(1+VLOOKUP($C257,WeatherCapacityAdjustment,2))-FL257,0),0))</f>
        <v>#VALUE!</v>
      </c>
      <c r="FU257" s="1551" t="e">
        <f aca="false">IF(AND(Assumptions!$H$71="Yes",A257&gt;=Assumptions!$H$72,A257&lt;=Assumptions!$H$73),0,IF(AND($A257&gt;=Assumptions!$C$17,$A257&lt;=Assumptions!$C$18),MAX(BA257*(1+VLOOKUP($C257,WeatherCapacityAdjustment,2))-FM257,0),0))</f>
        <v>#VALUE!</v>
      </c>
      <c r="FV257" s="1551" t="e">
        <f aca="false">IF(AND(Assumptions!$H$71="Yes",A257&gt;=Assumptions!$H$72,A257&lt;=Assumptions!$H$73),0,IF(AND($A257&gt;=Assumptions!$C$17,$A257&lt;=Assumptions!$C$18),MAX(BB257*(1+VLOOKUP($C257,WeatherCapacityAdjustment,2))-FN257,0),0))</f>
        <v>#VALUE!</v>
      </c>
      <c r="FW257" s="1564" t="e">
        <f aca="false">IF(AND(Assumptions!$H$71="Yes",A257&gt;=Assumptions!$H$72,A257&lt;=Assumptions!$H$73),0,IF(AND($A257&gt;=Assumptions!$C$17,$A257&lt;=Assumptions!$C$18),MAX(BC257*(1+VLOOKUP($C257,WeatherCapacityAdjustment,3))-FO257,0),0))</f>
        <v>#VALUE!</v>
      </c>
      <c r="FX257" s="1569" t="e">
        <f aca="false">IF(AND(Assumptions!$H$71="Yes",A257&gt;=Assumptions!$H$72,A257&lt;=Assumptions!$H$73),0,IF(ET257&gt;0,MAX(BH257*(1+VLOOKUP($C257,WeatherCapacityAdjustment,2))-FP257,0),0))</f>
        <v>#VALUE!</v>
      </c>
      <c r="FY257" s="1551" t="e">
        <f aca="false">IF(AND(Assumptions!$H$71="Yes",A257&gt;=Assumptions!$H$72,A257&lt;=Assumptions!$H$73),0,IF(EU257&gt;0,MAX(BI257*(1+VLOOKUP($C257,WeatherCapacityAdjustment,3))-FQ257,0),0))</f>
        <v>#VALUE!</v>
      </c>
      <c r="FZ257" s="1551" t="e">
        <f aca="false">IF(AND(Assumptions!$H$71="Yes",A257&gt;=Assumptions!$H$72,A257&lt;=Assumptions!$H$73),0,IF(EV257&gt;0,MAX(BJ257*(1+VLOOKUP($C257,WeatherCapacityAdjustment,2))-FR257,0),0))</f>
        <v>#VALUE!</v>
      </c>
      <c r="GA257" s="1564" t="e">
        <f aca="false">IF(AND(Assumptions!$H$71="Yes",A257&gt;=Assumptions!$H$72,A257&lt;=Assumptions!$H$73),0,IF(EW257&gt;0,MAX(BK257*(1+VLOOKUP($C257,WeatherCapacityAdjustment,2))-FS257,0),0))</f>
        <v>#VALUE!</v>
      </c>
      <c r="GB257" s="1551" t="e">
        <f aca="false">SUM(FT257:GA257)</f>
        <v>#VALUE!</v>
      </c>
      <c r="GC257" s="1563" t="e">
        <f aca="false">+IF(SUM(FT257:GA257)=0,0,(SUMPRODUCT(BU257:BX257,FT257:FW257)+SUMPRODUCT(CA257:CD257,FX257:GA257))/SUM(FT257:GA257))</f>
        <v>#VALUE!</v>
      </c>
      <c r="GD257" s="1551" t="e">
        <f aca="false">(FT257*BU257+FX257*CA257+FU257*BV257+FY257*CB257+FV257*BW257+FZ257*CC257+FW257*BX257+GA257*CD257)</f>
        <v>#VALUE!</v>
      </c>
      <c r="GE257" s="1561" t="e">
        <f aca="false">+IF(BQ257,((FL257+FM257+FT257+FU257)*HeatRatePeak/1000*(1+VLOOKUP($C257,WeatherHeatRateAdjustment,2))+(FN257+FV257)*IF(EV257&gt;0,HeatRatePeak,HeatRateOffPeak)/1000*(1+VLOOKUP($C257,WeatherHeatRateAdjustment,2))+(FO257+FW257)*IF(EW257&gt;0,HeatRatePeak,HeatRateOffPeak)/1000*(1+VLOOKUP($C257,WeatherHeatRateAdjustment,3)))*(1+VLOOKUP($B257,HeatRateDegradation,$C257+1)),0)</f>
        <v>#VALUE!</v>
      </c>
      <c r="GF257" s="1562" t="e">
        <f aca="false">IF(BQ257,((FP257+FQ257+FR257+FX257+FY257+FZ257)*HeatRatePeak/1000*(1+VLOOKUP($C257,WeatherHeatRateAdjustment,2))+(FS257+GA257)*HeatRatePeak/1000*(1+VLOOKUP($C257,WeatherHeatRateAdjustment,3)))*(1+VLOOKUP($B257,HeatRateDegradation,$C257+1)),0)</f>
        <v>#VALUE!</v>
      </c>
      <c r="GG257" s="1563" t="e">
        <f aca="false">IF(BQ257,VLOOKUP(A257,GasTable,13),0)</f>
        <v>#VALUE!</v>
      </c>
      <c r="GH257" s="1564" t="e">
        <f aca="false">(GE257+GF257)*GG257</f>
        <v>#VALUE!</v>
      </c>
      <c r="GI257" s="1569" t="e">
        <f aca="false">GB257</f>
        <v>#VALUE!</v>
      </c>
      <c r="GJ257" s="1598" t="e">
        <f aca="false">+DA257</f>
        <v>#VALUE!</v>
      </c>
      <c r="GK257" s="1558" t="e">
        <f aca="false">+GI257*GJ257</f>
        <v>#VALUE!</v>
      </c>
      <c r="GL257" s="1566" t="e">
        <f aca="false">MAX(FE257-FL257-FP257,0)</f>
        <v>#VALUE!</v>
      </c>
      <c r="GM257" s="1551" t="e">
        <f aca="false">MAX(FF257-FM257-FQ257,0)</f>
        <v>#VALUE!</v>
      </c>
      <c r="GN257" s="1551" t="e">
        <f aca="false">MAX(FG257-FN257-FR257,0)</f>
        <v>#VALUE!</v>
      </c>
      <c r="GO257" s="1564" t="e">
        <f aca="false">MAX(FH257-FO257-FS257,0)</f>
        <v>#VALUE!</v>
      </c>
      <c r="GP257" s="1551" t="e">
        <f aca="false">SUM(GL257:GO257)</f>
        <v>#VALUE!</v>
      </c>
      <c r="GQ257" s="1563" t="e">
        <f aca="false">IF(SUM(GL257:GO257)=0,0,((GL257*BU257+GM257*BV257+GN257*BW257+GO257*BX257)/SUM(GL257:GO257)))</f>
        <v>#VALUE!</v>
      </c>
      <c r="GR257" s="1558" t="e">
        <f aca="false">(GL257*BU257+GM257*BV257+GN257*BW257+GO257*BX257)</f>
        <v>#VALUE!</v>
      </c>
      <c r="GS257" s="1566" t="n">
        <f aca="false">IF($A257&gt;=BegDate,Assumptions!$C$56*24*($A258-$A257)*(1-VLOOKUP($B257,MAIN!$AA$7:$AM$28,$C257+1))*(1-VLOOKUP($B257,MAIN!$AA$33:$AM$54,$C257+1)),0)*80/168</f>
        <v>257742.857142857</v>
      </c>
      <c r="GT257" s="286" t="n">
        <f aca="false">J257</f>
        <v>49.7461011383446</v>
      </c>
      <c r="GU257" s="286" t="n">
        <f aca="false">IF($A257&gt;=BegDate,VLOOKUP($A257,GasTable,13)+Assumptions!$C$58,0)</f>
        <v>3.56245990173493</v>
      </c>
      <c r="GV257" s="286" t="n">
        <f aca="false">GU257*Assumptions!$C$57/1000</f>
        <v>25.8278342875782</v>
      </c>
      <c r="GW257" s="1558" t="n">
        <f aca="false">IF(Assumptions!$C$60="Hourly",MAX(0,GS257*(GT257-GV257)),GS257*(GT257-GV257))</f>
        <v>6164762.43602181</v>
      </c>
      <c r="GX257" s="1566" t="n">
        <f aca="false">IF($A257&gt;=BegDate,Assumptions!$C$56*24*($A258-$A257)*(1-VLOOKUP($B257,MAIN!$AA$7:$AM$28,$C257+1))*(1-VLOOKUP($B257,MAIN!$AA$33:$AM$54,$C257+1)),0)*16/168</f>
        <v>51548.5714285714</v>
      </c>
      <c r="GY257" s="286" t="n">
        <f aca="false">M257</f>
        <v>49.7461011383446</v>
      </c>
      <c r="GZ257" s="286" t="n">
        <f aca="false">IF($A257&gt;=BegDate,VLOOKUP($A257,GasTable,13)+Assumptions!$C$58,0)</f>
        <v>3.56245990173493</v>
      </c>
      <c r="HA257" s="286" t="n">
        <f aca="false">GZ257*Assumptions!$C$57/1000</f>
        <v>25.8278342875782</v>
      </c>
      <c r="HB257" s="1558" t="n">
        <f aca="false">IF(Assumptions!$C$60="Hourly",MAX(0,GX257*(GY257-HA257)),GX257*(GY257-HA257))</f>
        <v>1232952.48720436</v>
      </c>
      <c r="HC257" s="1566" t="n">
        <f aca="false">IF($A257&gt;=BegDate,Assumptions!$C$56*24*($A258-$A257)*(1-VLOOKUP($B257,MAIN!$AA$7:$AM$28,$C257+1))*(1-VLOOKUP($B257,MAIN!$AA$33:$AM$54,$C257+1)),0)*16/168</f>
        <v>51548.5714285714</v>
      </c>
      <c r="HD257" s="286" t="n">
        <f aca="false">P257</f>
        <v>29.7346989619645</v>
      </c>
      <c r="HE257" s="286" t="n">
        <f aca="false">IF($A257&gt;=BegDate,VLOOKUP($A257,GasTable,13)+Assumptions!$C$58,0)</f>
        <v>3.56245990173493</v>
      </c>
      <c r="HF257" s="286" t="n">
        <f aca="false">HE257*Assumptions!$C$57/1000</f>
        <v>25.8278342875782</v>
      </c>
      <c r="HG257" s="1558" t="n">
        <f aca="false">IF(Assumptions!$C$60="Hourly",MAX(0,HC257*(HD257-HF257)),HC257*(HD257-HF257))</f>
        <v>201393.292729362</v>
      </c>
      <c r="HH257" s="1566" t="n">
        <f aca="false">IF($A257&gt;=BegDate,Assumptions!$C$56*24*($A258-$A257)*(1-VLOOKUP($B257,MAIN!$AA$7:$AM$28,$C257+1))*(1-VLOOKUP($B257,MAIN!$AA$33:$AM$54,$C257+1)),0)*56/168</f>
        <v>180420</v>
      </c>
      <c r="HI257" s="286" t="n">
        <f aca="false">S257</f>
        <v>29.7346989619645</v>
      </c>
      <c r="HJ257" s="286" t="n">
        <f aca="false">IF($A257&gt;=BegDate,VLOOKUP($A257,GasTable,13)+Assumptions!$C$58,0)</f>
        <v>3.56245990173493</v>
      </c>
      <c r="HK257" s="286" t="n">
        <f aca="false">HJ257*Assumptions!$C$57/1000</f>
        <v>25.8278342875782</v>
      </c>
      <c r="HL257" s="1558" t="n">
        <f aca="false">IF(Assumptions!$C$60="Hourly",MAX(0,HH257*(HI257-HK257)),HH257*(HI257-HK257))</f>
        <v>704876.524552768</v>
      </c>
      <c r="HM257" s="1566" t="n">
        <f aca="false">IF(AND(Assumptions!$H$71="Yes",A257&gt;=Assumptions!$H$72,A257&lt;=Assumptions!$H$73),Assumptions!$H$74*Assumptions!$C$9*1000,0)</f>
        <v>0</v>
      </c>
      <c r="HN257" s="1551"/>
      <c r="HO257" s="1563"/>
      <c r="HP257" s="1563"/>
      <c r="HQ257" s="1563"/>
      <c r="HR257" s="1563"/>
      <c r="HS257" s="1563"/>
      <c r="HT257" s="1563"/>
      <c r="HU257" s="1563"/>
      <c r="HV257" s="1563"/>
      <c r="HW257" s="1563"/>
      <c r="HX257" s="1563"/>
      <c r="HY257" s="1563"/>
      <c r="HZ257" s="1563"/>
      <c r="IA257" s="1563"/>
      <c r="IB257" s="1563"/>
      <c r="IC257" s="1563"/>
      <c r="ID257" s="1563"/>
      <c r="IE257" s="1563"/>
      <c r="IF257" s="1563"/>
      <c r="IG257" s="1563"/>
      <c r="IH257" s="1563"/>
      <c r="II257" s="1610"/>
      <c r="IJ257" s="1309"/>
      <c r="IK257" s="1309"/>
    </row>
    <row r="258" customFormat="false" ht="12.75" hidden="false" customHeight="false" outlineLevel="0" collapsed="false">
      <c r="A258" s="1571" t="n">
        <f aca="false">EOMONTH(A257,0)+1</f>
        <v>43983</v>
      </c>
      <c r="B258" s="594" t="n">
        <f aca="false">+YEAR(A258)</f>
        <v>2020</v>
      </c>
      <c r="C258" s="238" t="n">
        <f aca="false">MONTH(A258)</f>
        <v>6</v>
      </c>
      <c r="D258" s="1572" t="e">
        <f aca="false">IF(E258="","",Holiday(B258,C258))</f>
        <v>#VALUE!</v>
      </c>
      <c r="E258" s="1573" t="n">
        <f aca="false">IF(OR(BegDate&gt;=A259,EndDate&lt;A258,AND(VolumeMonthlyOverFlag,INDEX(VolumeMonthlyOver,C258)=0),NOT(INDEX(MonthKnockOutTable,C258))),"",MAX(A258,BegDate))</f>
        <v>43983</v>
      </c>
      <c r="F258" s="1574" t="n">
        <f aca="false">IF(E258="","",MIN(A259-1,EndDate))</f>
        <v>44012</v>
      </c>
      <c r="G258" s="1575" t="n">
        <v>0</v>
      </c>
      <c r="H258" s="1576" t="n">
        <f aca="false">(1+G258/2)^(-2*(DATE(B259,C259,20)-DateToday)/365.25)</f>
        <v>1</v>
      </c>
      <c r="I258" s="1568" t="n">
        <f aca="false">IF(Assumptions!$L$25=4,VLOOKUP($A258,'Henwood Reference'!$E$9:$R$320,10),(VLOOKUP($A258,PriceTable,2,0)+IF(BasisNumber&lt;&gt;1,VLOOKUP($A258,BasisTable,2,0),0)+I$1)/(1-I$2))</f>
        <v>48.2861578217958</v>
      </c>
      <c r="J258" s="1568" t="n">
        <f aca="false">IF(Assumptions!$L$25=4,VLOOKUP($A258,'Henwood Reference'!$E$9:$R$320,10),(VLOOKUP($A258,PriceTable,3,0)+IF(BasisNumber&lt;&gt;1,VLOOKUP($A258,BasisTable,2,0),0)+J$1)/(1-J$2))</f>
        <v>48.2861578217958</v>
      </c>
      <c r="K258" s="1568" t="n">
        <f aca="false">IF(Assumptions!$L$25=4,VLOOKUP($A258,'Henwood Reference'!$E$9:$R$320,10),(VLOOKUP($A258,PriceTable,4,0)+IF(BasisNumber&lt;&gt;1,VLOOKUP($A258,BasisTable,2,0),0)+K$1)/(1-K$2))</f>
        <v>48.2861578217958</v>
      </c>
      <c r="L258" s="1523" t="n">
        <f aca="false">IF(Assumptions!$L$25=4,VLOOKUP($A258,'Henwood Reference'!$E$9:$R$320,10),(VLOOKUP($A258,PriceTableWeekend,2,0)+IF(BasisNumber&lt;&gt;1,VLOOKUP($A258,BasisTable,2,0),0)+L$1)/(1-L$2))</f>
        <v>48.2861578217958</v>
      </c>
      <c r="M258" s="1568" t="n">
        <f aca="false">IF(Assumptions!$L$25=4,VLOOKUP($A258,'Henwood Reference'!$E$9:$R$320,10),(VLOOKUP($A258,PriceTableWeekend,3,0)+IF(BasisNumber&lt;&gt;1,VLOOKUP($A258,BasisTable,2,0),0)+M$1)/(1-M$2))</f>
        <v>48.2861578217958</v>
      </c>
      <c r="N258" s="1599" t="n">
        <f aca="false">IF(Assumptions!$L$25=4,VLOOKUP($A258,'Henwood Reference'!$E$9:$R$320,10),(VLOOKUP($A258,PriceTableWeekend,4,0)+IF(BasisNumber&lt;&gt;1,VLOOKUP($A258,BasisTable,2,0),0)+N$1)/(1-N$2))</f>
        <v>48.2861578217958</v>
      </c>
      <c r="O258" s="1568" t="n">
        <f aca="false">IF(Assumptions!$L$25=4,VLOOKUP($A258,'Henwood Reference'!$E$9:$R$320,11),(VLOOKUP($A258,PriceTableWeekend,6,0)+IF(BasisNumber&lt;&gt;1,VLOOKUP($A258,BasisTable,3,0),0)+O$1)/(1-O$2))</f>
        <v>29.0030184641847</v>
      </c>
      <c r="P258" s="1568" t="n">
        <f aca="false">IF(Assumptions!$L$25=4,VLOOKUP($A258,'Henwood Reference'!$E$9:$R$320,11),(VLOOKUP($A258,PriceTableWeekend,7,0)+IF(BasisNumber&lt;&gt;1,VLOOKUP($A258,BasisTable,3,0),0)+P$1)/(1-P$2))</f>
        <v>29.0030184641847</v>
      </c>
      <c r="Q258" s="1599" t="n">
        <f aca="false">IF(Assumptions!$L$25=4,VLOOKUP($A258,'Henwood Reference'!$E$9:$R$320,11),(VLOOKUP($A258,PriceTableWeekend,8,0)+IF(BasisNumber&lt;&gt;1,VLOOKUP($A258,BasisTable,3,0),0)+Q$1)/(1-Q$2))</f>
        <v>29.0030184641847</v>
      </c>
      <c r="R258" s="1568" t="n">
        <f aca="false">IF(Assumptions!$L$25=4,VLOOKUP($A258,'Henwood Reference'!$E$9:$R$320,11),(VLOOKUP($A258,PriceTable,6,0)+IF(BasisNumber&lt;&gt;1,VLOOKUP($A258,BasisTable,3,0),0)+R$1)/(1-R$2))</f>
        <v>29.0030184641847</v>
      </c>
      <c r="S258" s="1568" t="n">
        <f aca="false">IF(Assumptions!$L$25=4,VLOOKUP($A258,'Henwood Reference'!$E$9:$R$320,11),(VLOOKUP($A258,PriceTable,7,0)+IF(BasisNumber&lt;&gt;1,VLOOKUP($A258,BasisTable,3,0),0)+S$1)/(1-S$2))</f>
        <v>29.0030184641847</v>
      </c>
      <c r="T258" s="1600" t="n">
        <f aca="false">IF(Assumptions!$L$25=4,VLOOKUP($A258,'Henwood Reference'!$E$9:$R$320,11),(VLOOKUP($A258,PriceTable,8,0)+IF(BasisNumber&lt;&gt;1,VLOOKUP($A258,BasisTable,3,0),0)+T$1)/(1-T$2))</f>
        <v>29.0030184641847</v>
      </c>
      <c r="U258" s="1513" t="n">
        <f aca="false">VLOOKUP($A258,VolatilityTable,14)</f>
        <v>0.09</v>
      </c>
      <c r="V258" s="1513" t="n">
        <f aca="false">VLOOKUP($A258,VolatilityTable,15)</f>
        <v>0.1</v>
      </c>
      <c r="W258" s="1514" t="n">
        <f aca="false">VLOOKUP($A258,VolatilityTable,16)</f>
        <v>0.11</v>
      </c>
      <c r="X258" s="1513" t="n">
        <f aca="false">VLOOKUP($A258,VolatilityTable,14)</f>
        <v>0.09</v>
      </c>
      <c r="Y258" s="1513" t="n">
        <f aca="false">VLOOKUP($A258,VolatilityTable,15)</f>
        <v>0.1</v>
      </c>
      <c r="Z258" s="1514" t="n">
        <f aca="false">VLOOKUP($A258,VolatilityTable,16)</f>
        <v>0.11</v>
      </c>
      <c r="AA258" s="1513" t="n">
        <f aca="false">VLOOKUP($A258,VolatilityTable,18)</f>
        <v>0.09</v>
      </c>
      <c r="AB258" s="1513" t="n">
        <f aca="false">VLOOKUP($A258,VolatilityTable,19)</f>
        <v>0.11</v>
      </c>
      <c r="AC258" s="1514" t="n">
        <f aca="false">VLOOKUP($A258,VolatilityTable,20)</f>
        <v>0.13</v>
      </c>
      <c r="AD258" s="1513" t="n">
        <f aca="false">VLOOKUP($A258,VolatilityTable,18)</f>
        <v>0.09</v>
      </c>
      <c r="AE258" s="1513" t="n">
        <f aca="false">VLOOKUP($A258,VolatilityTable,19)</f>
        <v>0.11</v>
      </c>
      <c r="AF258" s="1514" t="n">
        <f aca="false">VLOOKUP($A258,VolatilityTable,20)</f>
        <v>0.13</v>
      </c>
      <c r="AG258" s="1513" t="n">
        <f aca="false">VLOOKUP($A258,VolatilityTable,22)</f>
        <v>-0.35</v>
      </c>
      <c r="AH258" s="1513" t="n">
        <f aca="false">VLOOKUP($A258,VolatilityTable,23)</f>
        <v>0.65</v>
      </c>
      <c r="AI258" s="1514" t="n">
        <f aca="false">VLOOKUP($A258,VolatilityTable,24)</f>
        <v>0.2</v>
      </c>
      <c r="AJ258" s="1513" t="n">
        <f aca="false">VLOOKUP($A258,VolatilityTable,22)</f>
        <v>-0.35</v>
      </c>
      <c r="AK258" s="1513" t="n">
        <f aca="false">VLOOKUP($A258,VolatilityTable,23)</f>
        <v>0.65</v>
      </c>
      <c r="AL258" s="1514" t="n">
        <f aca="false">VLOOKUP($A258,VolatilityTable,24)</f>
        <v>0.2</v>
      </c>
      <c r="AM258" s="1513" t="n">
        <f aca="false">VLOOKUP($A258,VolatilityTable,26)</f>
        <v>-0.01</v>
      </c>
      <c r="AN258" s="1513" t="n">
        <f aca="false">VLOOKUP($A258,VolatilityTable,27)</f>
        <v>0.16</v>
      </c>
      <c r="AO258" s="1514" t="n">
        <f aca="false">VLOOKUP($A258,VolatilityTable,28)</f>
        <v>0.01</v>
      </c>
      <c r="AP258" s="1513" t="n">
        <f aca="false">VLOOKUP($A258,VolatilityTable,26)</f>
        <v>-0.01</v>
      </c>
      <c r="AQ258" s="1513" t="n">
        <f aca="false">VLOOKUP($A258,VolatilityTable,27)</f>
        <v>0.16</v>
      </c>
      <c r="AR258" s="1515" t="n">
        <f aca="false">VLOOKUP($A258,VolatilityTable,28)</f>
        <v>0.01</v>
      </c>
      <c r="AS258" s="1581" t="n">
        <f aca="false">IF(CorrPeakOffPeakOverFlag,INDEX(CorrPeakOffPeakOver,C258),CorrPeakOffPeak)</f>
        <v>0.5</v>
      </c>
      <c r="AT258" s="594" t="e">
        <f aca="false">AX258-SUM(AU258:AW258)</f>
        <v>#VALUE!</v>
      </c>
      <c r="AU258" s="238" t="e">
        <f aca="false">IF(E258="",0,INT((F258-MOD(F258,7)-E258)/7)+1-IF(AW258,IF(WEEKDAY(D258)=7,1,0),0))</f>
        <v>#VALUE!</v>
      </c>
      <c r="AV258" s="238" t="e">
        <f aca="false">IF(E258="",0,INT((F258-MOD(F258-1,7)-E258)/7)+1-IF(AW258,IF(WEEKDAY(D258)=1,1,0),0))</f>
        <v>#VALUE!</v>
      </c>
      <c r="AW258" s="238" t="e">
        <f aca="false">IF(OR(E258="",D258="",D258&lt;BegDate,D258&gt;EndDate),0,1)</f>
        <v>#VALUE!</v>
      </c>
      <c r="AX258" s="238" t="n">
        <f aca="false">IF(E258="",0,F258-E258+1)</f>
        <v>30</v>
      </c>
      <c r="AY258" s="1582" t="n">
        <f aca="false">IF(E258="",0,MIN((1-(1-VLOOKUP(B258,MAIN!$AA$7:$AM$28,C258+1))*(1-VLOOKUP(B258,MAIN!$AA$33:$AM$54,C258+1))),1))</f>
        <v>0.03</v>
      </c>
      <c r="AZ258" s="1519" t="e">
        <v>#VALUE!</v>
      </c>
      <c r="BA258" s="1520" t="e">
        <v>#VALUE!</v>
      </c>
      <c r="BB258" s="1520" t="e">
        <v>#VALUE!</v>
      </c>
      <c r="BC258" s="1583" t="e">
        <v>#VALUE!</v>
      </c>
      <c r="BD258" s="1522" t="e">
        <v>#VALUE!</v>
      </c>
      <c r="BE258" s="1523" t="e">
        <v>#VALUE!</v>
      </c>
      <c r="BF258" s="1523" t="e">
        <v>#VALUE!</v>
      </c>
      <c r="BG258" s="1584" t="e">
        <v>#VALUE!</v>
      </c>
      <c r="BH258" s="1525" t="e">
        <v>#VALUE!</v>
      </c>
      <c r="BI258" s="1520" t="e">
        <v>#VALUE!</v>
      </c>
      <c r="BJ258" s="1520" t="e">
        <v>#VALUE!</v>
      </c>
      <c r="BK258" s="1583" t="e">
        <v>#VALUE!</v>
      </c>
      <c r="BL258" s="1522" t="e">
        <v>#VALUE!</v>
      </c>
      <c r="BM258" s="1523" t="e">
        <v>#VALUE!</v>
      </c>
      <c r="BN258" s="1523" t="e">
        <v>#VALUE!</v>
      </c>
      <c r="BO258" s="1523" t="e">
        <v>#VALUE!</v>
      </c>
      <c r="BP258" s="1525" t="e">
        <f aca="false">SUM(AZ258:BB258)</f>
        <v>#VALUE!</v>
      </c>
      <c r="BQ258" s="1529" t="e">
        <f aca="false">SUM(AZ258:BC258)</f>
        <v>#VALUE!</v>
      </c>
      <c r="BR258" s="1519" t="e">
        <f aca="false">SUM(BH258:BJ258)</f>
        <v>#VALUE!</v>
      </c>
      <c r="BS258" s="1529" t="e">
        <f aca="false">SUM(BH258:BK258)</f>
        <v>#VALUE!</v>
      </c>
      <c r="BT258" s="1316" t="n">
        <f aca="false">(IF(OVolType&lt;&gt;2,A258+14,IF(OptExpDateShift,ShiftBack(A258,OptExpDateShift,D257),A258))-DateToday)/365.25</f>
        <v>20.1314168377823</v>
      </c>
      <c r="BU258" s="1585" t="e">
        <f aca="false">IF(BQ258,IF(OPriceCurve,IF(OBuySell=OCallPut,I258/(1-AY258),K258/(1-AY258)),J258/(1-AY258))*BD258,0)</f>
        <v>#VALUE!</v>
      </c>
      <c r="BV258" s="1316" t="e">
        <f aca="false">IF(BQ258,IF(OPriceCurve,IF(OBuySell=OCallPut,L258/(1-AY258),N258/(1-AY258)),M258/(1-AY258))*BE258,0)</f>
        <v>#VALUE!</v>
      </c>
      <c r="BW258" s="1316" t="e">
        <f aca="false">IF(BQ258,IF(OPriceCurve,IF(OBuySell=OCallPut,O258/(1-AY258),Q258/(1-AY258)),P258/(1-AY258))*BF258,0)</f>
        <v>#VALUE!</v>
      </c>
      <c r="BX258" s="1316" t="e">
        <f aca="false">IF(BQ258,IF(OPriceCurve,IF(OBuySell=OCallPut,R258/(1-AY258),T258/(1-AY258)),S258/(1-AY258))*BG258,0)</f>
        <v>#VALUE!</v>
      </c>
      <c r="BY258" s="1316" t="e">
        <f aca="false">IF(BP258,(BU258*AZ258+BV258*BA258+BW258*BB258)/BP258,0)</f>
        <v>#VALUE!</v>
      </c>
      <c r="BZ258" s="1316" t="e">
        <f aca="false">IF(BQ258,(BY258*BP258+BX258*BC258)/BQ258,0)</f>
        <v>#VALUE!</v>
      </c>
      <c r="CA258" s="1531" t="e">
        <f aca="false">IF(BS258,IF(OPriceCurve,IF(OBuySell=OCallPut,I258/(1-AY258),K258/(1-AY258)),J258/(1-AY258))*BL258,0)</f>
        <v>#VALUE!</v>
      </c>
      <c r="CB258" s="1316" t="e">
        <f aca="false">IF(BS258,IF(OPriceCurve,IF(OBuySell=OCallPut,L258/(1-AY258),N258/(1-AY258)),M258/(1-AY258))*BM258,0)</f>
        <v>#VALUE!</v>
      </c>
      <c r="CC258" s="1316" t="e">
        <f aca="false">IF(BS258,IF(OPriceCurve,IF(OBuySell=OCallPut,O258/(1-AY258),Q258/(1-AY258)),P258/(1-AY258))*BN258,0)</f>
        <v>#VALUE!</v>
      </c>
      <c r="CD258" s="1316" t="e">
        <f aca="false">IF(BS258,IF(OPriceCurve,IF(OBuySell=OCallPut,R258/(1-AY258),T258/(1-AY258)),S258/(1-AY258))*BO258,0)</f>
        <v>#VALUE!</v>
      </c>
      <c r="CE258" s="1316" t="e">
        <f aca="false">IF(BR258,(BU258*BH258+BV258*BI258+BW258*BJ258)/BR258,0)</f>
        <v>#VALUE!</v>
      </c>
      <c r="CF258" s="1532" t="e">
        <f aca="false">IF(BS258,(CE258*BR258+CD258*BK258)/BS258,0)</f>
        <v>#VALUE!</v>
      </c>
      <c r="CG258" s="1586" t="e">
        <f aca="false">IF(OR(BQ258,BS258),IF(OVolType&lt;&gt;2,SQRT(IF(OVolOverMonthlyPeak,OVolOverMonthlyPeak,IF(OVolCurve,IF(OBuySell,U258,W258),V258))^2*(1-15/365.25/BT258)+IF(OVolOverDailyPeak,OVolOverDailyPeak,IF(OVolCurve,IF(OBuySell,AG258,AI258),AH258))^2*15/365.25/BT258),IF(OVolOverMonthlyPeak,OVolOverMonthlyPeak,IF(OVolCurve,IF(OBuySell,U258,W258),V258))),"")</f>
        <v>#VALUE!</v>
      </c>
      <c r="CH258" s="1587" t="e">
        <f aca="false">IF(OR(BQ258,BS258),IF(OVolType&lt;&gt;2,SQRT(IF(OVolOverMonthlyPeak,OVolOverMonthlyPeak,IF(OVolCurve,IF(OBuySell,X258,Z258),Y258))^2*(1-15/365.25/BT258)+IF(OVolOverDailyPeak,OVolOverDailyPeak,IF(OVolCurve,IF(OBuySell,AJ258,AL258),AK258))^2*15/365.25/BT258),IF(OVolOverMonthlyPeak,OVolOverMonthlyPeak,IF(OVolCurve,IF(OBuySell,X258,Z258),Y258))),"")</f>
        <v>#VALUE!</v>
      </c>
      <c r="CI258" s="1587" t="e">
        <f aca="false">IF(OR(BQ258,BS258),IF(OVolType&lt;&gt;2,SQRT(IF(OVolOverMonthlyPeak,OVolOverMonthlyPeak,IF(OVolCurve,IF(OBuySell,AA258,AC258),AB258))^2*(1-15/365.25/BT258)+IF(OVolOverDailyPeak,OVolOverDailyPeak,IF(OVolCurve,IF(OBuySell,AM258,AO258),AN258))^2*15/365.25/BT258),IF(OVolOverMonthlyPeak,OVolOverMonthlyPeak,IF(OVolCurve,IF(OBuySell,AA258,AC258),AB258))),"")</f>
        <v>#VALUE!</v>
      </c>
      <c r="CJ258" s="1587" t="e">
        <f aca="false">IF(BQ258,IF(BP258,SQRT(LN(1+((BU258*AZ258)^2*(EXP(CG258^2*BT258)-1)+(BV258*BA258)^2*(EXP(CH258^2*BT258)-1)+(BW258*BB258)^2*(EXP(CI258^2*BT258)-1)+2*BU258*AZ258*BV258*BA258*(EXP(CG258*CH258*BT258)-1)+2*BV258*BA258*BW258*BB258*(EXP(CH258*CI258*BT258)-1)+2*BW258*BB258*BU258*AZ258*(EXP(CI258*CG258*BT258)-1))/(BY258*BP258)^2)/BT258),0),"")</f>
        <v>#VALUE!</v>
      </c>
      <c r="CK258" s="1587" t="e">
        <f aca="false">IF(BS258,IF(BR258,SQRT(LN(1+((CA258*BH258)^2*(EXP(CG258^2*BT258)-1)+(CB258*BI258)^2*(EXP(CH258^2*BT258)-1)+(CC258*BJ258)^2*(EXP(CI258^2*BT258)-1)+2*CA258*BH258*CB258*BI258*(EXP(CG258*CH258*BT258)-1)+2*CB258*BI258*CC258*BJ258*(EXP(CH258*CI258*BT258)-1)+2*CC258*BJ258*CA258*BH258*(EXP(CI258*CG258*BT258)-1))/(CE258*BR258)^2)/BT258),0),"")</f>
        <v>#VALUE!</v>
      </c>
      <c r="CL258" s="1587" t="e">
        <f aca="false">IF(OR(BQ258,BS258),IF(OVolType&lt;&gt;2,SQRT(IF(OVolOverMonthlyOffPeak,OVolOverMonthlyOffPeak,IF(OVolCurve,IF(OBuySell,AD258,AF258),AE258))^2*(1-15/365.25/BT258)+IF(OVolOverDailyOffPeak,OVolOverDailyOffPeak,IF(OVolCurve,IF(OBuySell,AP258,AR258),AQ258))^2*15/365.25/BT258),IF(OVolOverMonthlyOffPeak,OVolOverMonthlyOffPeak,IF(OVolCurve,IF(OBuySell,AD258,AF258),AE258))),"")</f>
        <v>#VALUE!</v>
      </c>
      <c r="CM258" s="1587" t="e">
        <f aca="false">IF(BQ258,SQRT(LN(1+((BY258*BP258)^2*(EXP(CJ258^2*BT258)-1)+(BX258*BC258)^2*(EXP(CL258^2*BT258)-1)+2*BY258*BP258*BX258*BC258*(EXP(AS258*CJ258*CL258*BT258)-1))/(BY258*BP258+BX258*BC258)^2)/BT258),"")</f>
        <v>#VALUE!</v>
      </c>
      <c r="CN258" s="1588" t="e">
        <f aca="false">IF(BS258,SQRT(LN(1+((CE258*BR258)^2*(EXP(CK258^2*BT258)-1)+(CD258*BK258)^2*(EXP(CL258^2*BT258)-1)+2*CE258*BR258*CD258*BK258*(EXP(AS258*CK258*CL258*BT258)-1))/(CE258*BR258+CD258*BK258)^2)/BT258),"")</f>
        <v>#VALUE!</v>
      </c>
      <c r="CO258" s="1531" t="e">
        <f aca="false">IF(OR(BQ258,BS258),VLOOKUP(A258,GasTable,13)*HeatRatePeak*(1+VLOOKUP($B258,HeatRateDegradation,$C258+1))/1000,0)</f>
        <v>#VALUE!</v>
      </c>
      <c r="CP258" s="1316" t="e">
        <f aca="false">IF(OR(BQ258,BS258),VLOOKUP(A258,GasTable,13)*HeatRatePeak*(1+VLOOKUP($B258,HeatRateDegradation,$C258+1))/1000,0)</f>
        <v>#VALUE!</v>
      </c>
      <c r="CQ258" s="1316" t="e">
        <f aca="false">IF(OR(BQ258,BS258),VLOOKUP(A258,GasTable,13)*IF(EV258,HeatRatePeak,HeatRateOffPeak)*(1+VLOOKUP($B258,HeatRateDegradation,$C258+1))/1000,0)</f>
        <v>#VALUE!</v>
      </c>
      <c r="CR258" s="1316" t="e">
        <f aca="false">IF(OR(BQ258,BS258),VLOOKUP(A258,GasTable,13)*IF(EW258,HeatRatePeak,HeatRateOffPeak)*(1+VLOOKUP($B258,HeatRateDegradation,$C258+1))/1000,0)</f>
        <v>#VALUE!</v>
      </c>
      <c r="CS258" s="1589" t="e">
        <f aca="false">IF(BQ258,(CO258*AZ258+CP258*BA258+CQ258*BB258+CR258*BC258)/BQ258,0)</f>
        <v>#VALUE!</v>
      </c>
      <c r="CT258" s="1316" t="e">
        <f aca="false">IF(BS258,CO258,0)</f>
        <v>#VALUE!</v>
      </c>
      <c r="CU258" s="1590" t="e">
        <f aca="false">IF(OR(BQ258,BS258),VLOOKUP(A258,GasTable,14),"")</f>
        <v>#VALUE!</v>
      </c>
      <c r="CV258" s="1568" t="e">
        <f aca="false">IF(OR(BQ258,BS258),IF(CorrPowerGasOverFlag,INDEX(CorrPowerGasOver,C258),CorrPowerGas),"")</f>
        <v>#VALUE!</v>
      </c>
      <c r="CW258" s="1316" t="e">
        <f aca="false">IF(OR($BQ258,$BS258),SpreadOptPowerMargin,0)*((1+Assumptions!$C$26)^($B258-YEAR(Assumptions!$C$17)))</f>
        <v>#VALUE!</v>
      </c>
      <c r="CX258" s="1316" t="e">
        <f aca="false">IF(OR($BQ258,$BS258),SpreadOptPowerMargin,0)*((1+Assumptions!$C$26)^($B258-YEAR(Assumptions!$C$17)))</f>
        <v>#VALUE!</v>
      </c>
      <c r="CY258" s="1316" t="e">
        <f aca="false">IF(OR($BQ258,$BS258),SpreadOptPowerMargin,0)*((1+Assumptions!$C$26)^($B258-YEAR(Assumptions!$C$17)))</f>
        <v>#VALUE!</v>
      </c>
      <c r="CZ258" s="1316" t="e">
        <f aca="false">IF(OR($BQ258,$BS258),SpreadOptPowerMargin,0)*((1+Assumptions!$C$26)^($B258-YEAR(Assumptions!$C$17)))</f>
        <v>#VALUE!</v>
      </c>
      <c r="DA258" s="1591" t="e">
        <f aca="false">IF(OR(BQ258,BS258),(CW258*(AZ258+BH258)+CX258*(BA258+BI258)+CY258*(BB258+BJ258)+CZ258*(BC258+BK258))/(BQ258+BS258),0)</f>
        <v>#VALUE!</v>
      </c>
      <c r="DB258" s="1592" t="e">
        <f aca="false">IF(OR(BQ258,BS258),CG258+IF(OVolSmile,VLOOKUP(MAX(-5,CO258+CW258-BU258),IF(OVolSmile=1,VolSmileBook,VolSmileModel),2),0),"")</f>
        <v>#VALUE!</v>
      </c>
      <c r="DC258" s="1592" t="e">
        <f aca="false">IF(OR(BQ258,BS258),CH258+IF(OVolSmile,VLOOKUP(MAX(-5,CP258+CW258-BV258),IF(OVolSmile=1,VolSmileBook,VolSmileModel),2),0),"")</f>
        <v>#VALUE!</v>
      </c>
      <c r="DD258" s="1592" t="e">
        <f aca="false">IF(OR(BQ258,BS258),CI258+IF(OVolSmile,VLOOKUP(MAX(-5,CQ258+CW258-BW258),IF(OVolSmile=1,VolSmileBook,VolSmileModel),2),0),"")</f>
        <v>#VALUE!</v>
      </c>
      <c r="DE258" s="1592" t="e">
        <f aca="false">IF(OR(BQ258,BS258),CL258+IF(OVolSmile,VLOOKUP(MAX(-5,CR258+CZ258-BX258),IF(OVolSmile=1,VolSmileBook,VolSmileModel),2),0),"")</f>
        <v>#VALUE!</v>
      </c>
      <c r="DF258" s="1592" t="e">
        <f aca="false">IF(BQ258,CM258+IF(OVolSmile,VLOOKUP(MAX(-5,CS258+DA258-BZ258),IF(OVolSmile=1,VolSmileBook,VolSmileModel),2),0),"")</f>
        <v>#VALUE!</v>
      </c>
      <c r="DG258" s="1593" t="e">
        <f aca="false">IF(BS258,CN258+IF(OVolSmile,VLOOKUP(MAX(-5,CT258+DA258-CF258),IF(OVolSmile=1,VolSmileBook,VolSmileModel),2),0),"")</f>
        <v>#VALUE!</v>
      </c>
      <c r="DH258" s="1316" t="e">
        <f aca="false">IF(AND(BU258&gt;0,CO258&gt;0,DB258&gt;0,CU258&gt;0),newSPRDOPT(BU258,CO258,CW258,0,DB258,CU258,CV258,BT258*365.25,OCallPut,0),0)</f>
        <v>#VALUE!</v>
      </c>
      <c r="DI258" s="1316" t="e">
        <f aca="false">IF(AND(BV258&gt;0,CP258&gt;0,DC258&gt;0,CU258&gt;0),newSPRDOPT(BV258,CP258,CX258,0,DC258,CU258,CV258,BT258*365.25,OCallPut,0),0)</f>
        <v>#VALUE!</v>
      </c>
      <c r="DJ258" s="1316" t="e">
        <f aca="false">IF(AND(BW258&gt;0,CQ258&gt;0,DD258&gt;0,CU258&gt;0),newSPRDOPT(BW258,CQ258,CY258,0,DD258,CU258,CV258,BT258*365.25,OCallPut,0),0)</f>
        <v>#VALUE!</v>
      </c>
      <c r="DK258" s="1316" t="e">
        <f aca="false">IF(AND(BX258&gt;0,CR258&gt;0,DE258&gt;0,CU258&gt;0),newSPRDOPT(BX258,CR258,CZ258,0,DE258,CU258,CV258,BT258*365.25,OCallPut,0),0)</f>
        <v>#VALUE!</v>
      </c>
      <c r="DL258" s="1316" t="e">
        <f aca="false">IF(OVolType,IF(AND(BZ258&gt;0,CS258&gt;0,DF258&gt;0,CU258&gt;0),newSPRDOPT(BZ258,CS258,DA258,0,DF258,CU258,CV258,BT258*365.25,OCallPut,0),0),IF(BQ258,(DH258*AZ258+DI258*BA258+DJ258*BB258+DK258*BC258)/BQ258,0))</f>
        <v>#VALUE!</v>
      </c>
      <c r="DM258" s="1316"/>
      <c r="DN258" s="1316"/>
      <c r="DO258" s="1316"/>
      <c r="DP258" s="1316"/>
      <c r="DQ258" s="1316"/>
      <c r="DR258" s="1316"/>
      <c r="DS258" s="1316"/>
      <c r="DT258" s="1316"/>
      <c r="DU258" s="1316"/>
      <c r="DV258" s="1316"/>
      <c r="DW258" s="1594" t="e">
        <f aca="false">IF(AND(BW258&gt;0,CT258&gt;0,DD258&gt;0,CU258&gt;0),newSPRDOPT(BW258,CT258,CY258,0,DD258,CU258,CV258,BT258*365.25,OCallPut,0),0)</f>
        <v>#VALUE!</v>
      </c>
      <c r="DX258" s="1316" t="e">
        <f aca="false">IF(AND(BX258&gt;0,CT258&gt;0,DE258&gt;0,CU258&gt;0),newSPRDOPT(BX258,CT258,CZ258,0,DE258,CU258,CV258,BT258*365.25,OCallPut,0),0)</f>
        <v>#VALUE!</v>
      </c>
      <c r="DY258" s="1591" t="e">
        <f aca="false">IF(BS258,(DH258*BH258+DI258*BI258+DW258*BJ258+DX258*BK258)/BS258,0)</f>
        <v>#VALUE!</v>
      </c>
      <c r="DZ258" s="1551" t="e">
        <f aca="false">DH258*AZ258</f>
        <v>#VALUE!</v>
      </c>
      <c r="EA258" s="1551" t="e">
        <f aca="false">DI258*BA258</f>
        <v>#VALUE!</v>
      </c>
      <c r="EB258" s="1551" t="e">
        <f aca="false">DJ258*BB258</f>
        <v>#VALUE!</v>
      </c>
      <c r="EC258" s="1551" t="e">
        <f aca="false">DK258*BC258</f>
        <v>#VALUE!</v>
      </c>
      <c r="ED258" s="1551" t="e">
        <f aca="false">DL258*BQ258</f>
        <v>#VALUE!</v>
      </c>
      <c r="EE258" s="1595" t="e">
        <f aca="false">IF(BQ258,IF(OCallPut,IF(BU258&gt;(CO258+CW258),BU258-(CO258+CW258),0),IF((CO258+CW258)&gt;BU258,(CO258+CW258)-BU258,0))*AZ258,0)</f>
        <v>#VALUE!</v>
      </c>
      <c r="EF258" s="1596" t="e">
        <f aca="false">IF(BQ258,IF(OCallPut,IF(BV258&gt;(CP258+CX258),BV258-(CP258+CX258),0),IF((CP258+CX258)&gt;BV258,(CP258+CX258)-BV258,0))*BA258,0)</f>
        <v>#VALUE!</v>
      </c>
      <c r="EG258" s="1596" t="e">
        <f aca="false">IF(BQ258,IF(OCallPut,IF(BW258&gt;(CQ258+CY258),BW258-(CQ258+CY258),0),IF((CQ258+CY258)&gt;BW258,(CQ258+CY258)-BW258,0))*BB258,0)</f>
        <v>#VALUE!</v>
      </c>
      <c r="EH258" s="1596" t="e">
        <f aca="false">IF(BQ258,IF(OCallPut,IF(BX258&gt;(CR258+CZ258),BX258-(CR258+CZ258),0),IF((CR258+CZ258)&gt;BX258,(CR258+CZ258)-BX258,0))*BC258,0)</f>
        <v>#VALUE!</v>
      </c>
      <c r="EI258" s="1597" t="e">
        <f aca="false">IF(BQ258,IF(OVolType,IF(OCallPut,IF(BZ258&gt;(CS258+DA258),BZ258-(CS258+DA258),0),IF((CS258+DA258)&gt;BZ258,(CS258+DA258)-BZ258,0))*BQ258,SUM(EE258:EH258)),0)</f>
        <v>#VALUE!</v>
      </c>
      <c r="EJ258" s="1595" t="e">
        <f aca="false">DZ258-EE258</f>
        <v>#VALUE!</v>
      </c>
      <c r="EK258" s="1596" t="e">
        <f aca="false">EA258-EF258</f>
        <v>#VALUE!</v>
      </c>
      <c r="EL258" s="1596" t="e">
        <f aca="false">EB258-EG258</f>
        <v>#VALUE!</v>
      </c>
      <c r="EM258" s="1596" t="e">
        <f aca="false">EC258-EH258</f>
        <v>#VALUE!</v>
      </c>
      <c r="EN258" s="1597" t="e">
        <f aca="false">ED258-EI258</f>
        <v>#VALUE!</v>
      </c>
      <c r="EO258" s="1551" t="e">
        <f aca="false">DH258*BH258</f>
        <v>#VALUE!</v>
      </c>
      <c r="EP258" s="1551" t="e">
        <f aca="false">DI258*BI258</f>
        <v>#VALUE!</v>
      </c>
      <c r="EQ258" s="1551" t="e">
        <f aca="false">DW258*BJ258</f>
        <v>#VALUE!</v>
      </c>
      <c r="ER258" s="1551" t="e">
        <f aca="false">DX258*BK258</f>
        <v>#VALUE!</v>
      </c>
      <c r="ES258" s="1551" t="e">
        <f aca="false">DY258*BS258</f>
        <v>#VALUE!</v>
      </c>
      <c r="ET258" s="1566" t="e">
        <f aca="false">IF(EI258,IF(OCallPut,IF(CA258&gt;(CT258+CW258),CA258-(CT258+CW258),0),IF((CT258+CW258)&gt;CA258,(CT258+CW258)-CA258,0))*BH258,0)</f>
        <v>#VALUE!</v>
      </c>
      <c r="EU258" s="1551" t="e">
        <f aca="false">IF(EI258,IF(OCallPut,IF(CB258&gt;(CT258+CX258),CB258-(CT258+CX258),0),IF((CT258+CX258)&gt;CB258,(CT258+CX258)-CB258,0))*BI258,0)</f>
        <v>#VALUE!</v>
      </c>
      <c r="EV258" s="1551" t="e">
        <f aca="false">IF(EI258,IF(OCallPut,IF(CC258&gt;(CT258+CY258),CC258-(CT258+CY258),0),IF((CT258+CY258)&gt;CC258,(CT258+CY258)-CC258,0))*BJ258,0)</f>
        <v>#VALUE!</v>
      </c>
      <c r="EW258" s="1551" t="e">
        <f aca="false">IF(EI258,IF(OCallPut,IF(CD258&gt;(CT258+CZ258),CD258-(CT258+CZ258),0),IF((CT258+CZ258)&gt;CD258,(CT258+CZ258)-CD258,0))*BK258,0)</f>
        <v>#VALUE!</v>
      </c>
      <c r="EX258" s="1558" t="e">
        <f aca="false">IF(EI258,SUM(ET258:EW258),0)</f>
        <v>#VALUE!</v>
      </c>
      <c r="EY258" s="1551" t="e">
        <f aca="false">EO258-ET258</f>
        <v>#VALUE!</v>
      </c>
      <c r="EZ258" s="1551" t="e">
        <f aca="false">EP258-EU258</f>
        <v>#VALUE!</v>
      </c>
      <c r="FA258" s="1551" t="e">
        <f aca="false">EQ258-EV258</f>
        <v>#VALUE!</v>
      </c>
      <c r="FB258" s="1551" t="e">
        <f aca="false">ER258-EW258</f>
        <v>#VALUE!</v>
      </c>
      <c r="FC258" s="1551" t="e">
        <f aca="false">ES258-EX258</f>
        <v>#VALUE!</v>
      </c>
      <c r="FD258" s="1525" t="n">
        <f aca="false">IF(AX258,IF(VLOOKUP(C258,MAIN!$L$17:$M$28,2)="Yes",VLOOKUP(CALC!B258,MAIN!$H$17:$I$20,2),0),0)</f>
        <v>0</v>
      </c>
      <c r="FE258" s="1552" t="e">
        <f aca="false">$FD258*16*AT258*(1-$AY258)</f>
        <v>#VALUE!</v>
      </c>
      <c r="FF258" s="1553" t="e">
        <f aca="false">$FD258*16*AU258*(1-$AY258)</f>
        <v>#VALUE!</v>
      </c>
      <c r="FG258" s="1553" t="e">
        <f aca="false">$FD258*16*(AV258+AW258)*(1-$AY258)</f>
        <v>#VALUE!</v>
      </c>
      <c r="FH258" s="1554" t="n">
        <f aca="false">$FD258*8*AX258*(1-$AY258)</f>
        <v>0</v>
      </c>
      <c r="FI258" s="1555" t="n">
        <f aca="false">IF(AX258,VLOOKUP(CALC!B258,MAIN!$H$17:$K$20,4),0)</f>
        <v>0</v>
      </c>
      <c r="FJ258" s="1553" t="e">
        <f aca="false">SUM(FE258:FH258)</f>
        <v>#VALUE!</v>
      </c>
      <c r="FK258" s="1556" t="e">
        <f aca="false">FI258*FJ258</f>
        <v>#VALUE!</v>
      </c>
      <c r="FL258" s="1551" t="e">
        <f aca="false">IF($EI258&gt;0,MIN(FE258,AZ258*(1+VLOOKUP($C258,WeatherCapacityAdjustment,2))),0)</f>
        <v>#VALUE!</v>
      </c>
      <c r="FM258" s="1551" t="e">
        <f aca="false">IF($EI258&gt;0,MIN(FF258,BA258*(1+VLOOKUP($C258,WeatherCapacityAdjustment,2))),0)</f>
        <v>#VALUE!</v>
      </c>
      <c r="FN258" s="1551" t="e">
        <f aca="false">IF($EI258&gt;0,MIN(FG258,BB258*(1+VLOOKUP($C258,WeatherCapacityAdjustment,2))),0)</f>
        <v>#VALUE!</v>
      </c>
      <c r="FO258" s="1564" t="e">
        <f aca="false">IF($EI258&gt;0,MIN(FH258,BC258*(1+VLOOKUP($C258,WeatherCapacityAdjustment,3))),0)</f>
        <v>#VALUE!</v>
      </c>
      <c r="FP258" s="1551" t="e">
        <f aca="false">IF(ET258&gt;0,MIN(FE258-FL258,BH258*(1+VLOOKUP($C258,WeatherCapacityAdjustment,2))),0)</f>
        <v>#VALUE!</v>
      </c>
      <c r="FQ258" s="1551" t="e">
        <f aca="false">IF(EU258&gt;0,MIN(FF258-FM258,BI258*(1+VLOOKUP($C258,WeatherCapacityAdjustment,2))),0)</f>
        <v>#VALUE!</v>
      </c>
      <c r="FR258" s="1551" t="e">
        <f aca="false">IF(EV258&gt;0,MIN(FG258-FN258,BJ258*(1+VLOOKUP($C258,WeatherCapacityAdjustment,2))),0)</f>
        <v>#VALUE!</v>
      </c>
      <c r="FS258" s="1558" t="e">
        <f aca="false">IF(EW258&gt;0,MIN(FH258-FO258,BK258*(1+VLOOKUP($C258,WeatherCapacityAdjustment,3))),0)</f>
        <v>#VALUE!</v>
      </c>
      <c r="FT258" s="1566" t="e">
        <f aca="false">IF(AND(Assumptions!$H$71="Yes",A258&gt;=Assumptions!$H$72,A258&lt;=Assumptions!$H$73),0,IF(AND($A258&gt;=Assumptions!$C$17,$A258&lt;=Assumptions!$C$18),MAX(AZ258*(1+VLOOKUP($C258,WeatherCapacityAdjustment,2))-FL258,0),0))</f>
        <v>#VALUE!</v>
      </c>
      <c r="FU258" s="1551" t="e">
        <f aca="false">IF(AND(Assumptions!$H$71="Yes",A258&gt;=Assumptions!$H$72,A258&lt;=Assumptions!$H$73),0,IF(AND($A258&gt;=Assumptions!$C$17,$A258&lt;=Assumptions!$C$18),MAX(BA258*(1+VLOOKUP($C258,WeatherCapacityAdjustment,2))-FM258,0),0))</f>
        <v>#VALUE!</v>
      </c>
      <c r="FV258" s="1551" t="e">
        <f aca="false">IF(AND(Assumptions!$H$71="Yes",A258&gt;=Assumptions!$H$72,A258&lt;=Assumptions!$H$73),0,IF(AND($A258&gt;=Assumptions!$C$17,$A258&lt;=Assumptions!$C$18),MAX(BB258*(1+VLOOKUP($C258,WeatherCapacityAdjustment,2))-FN258,0),0))</f>
        <v>#VALUE!</v>
      </c>
      <c r="FW258" s="1564" t="e">
        <f aca="false">IF(AND(Assumptions!$H$71="Yes",A258&gt;=Assumptions!$H$72,A258&lt;=Assumptions!$H$73),0,IF(AND($A258&gt;=Assumptions!$C$17,$A258&lt;=Assumptions!$C$18),MAX(BC258*(1+VLOOKUP($C258,WeatherCapacityAdjustment,3))-FO258,0),0))</f>
        <v>#VALUE!</v>
      </c>
      <c r="FX258" s="1569" t="e">
        <f aca="false">IF(AND(Assumptions!$H$71="Yes",A258&gt;=Assumptions!$H$72,A258&lt;=Assumptions!$H$73),0,IF(ET258&gt;0,MAX(BH258*(1+VLOOKUP($C258,WeatherCapacityAdjustment,2))-FP258,0),0))</f>
        <v>#VALUE!</v>
      </c>
      <c r="FY258" s="1551" t="e">
        <f aca="false">IF(AND(Assumptions!$H$71="Yes",A258&gt;=Assumptions!$H$72,A258&lt;=Assumptions!$H$73),0,IF(EU258&gt;0,MAX(BI258*(1+VLOOKUP($C258,WeatherCapacityAdjustment,3))-FQ258,0),0))</f>
        <v>#VALUE!</v>
      </c>
      <c r="FZ258" s="1551" t="e">
        <f aca="false">IF(AND(Assumptions!$H$71="Yes",A258&gt;=Assumptions!$H$72,A258&lt;=Assumptions!$H$73),0,IF(EV258&gt;0,MAX(BJ258*(1+VLOOKUP($C258,WeatherCapacityAdjustment,2))-FR258,0),0))</f>
        <v>#VALUE!</v>
      </c>
      <c r="GA258" s="1564" t="e">
        <f aca="false">IF(AND(Assumptions!$H$71="Yes",A258&gt;=Assumptions!$H$72,A258&lt;=Assumptions!$H$73),0,IF(EW258&gt;0,MAX(BK258*(1+VLOOKUP($C258,WeatherCapacityAdjustment,2))-FS258,0),0))</f>
        <v>#VALUE!</v>
      </c>
      <c r="GB258" s="1551" t="e">
        <f aca="false">SUM(FT258:GA258)</f>
        <v>#VALUE!</v>
      </c>
      <c r="GC258" s="1563" t="e">
        <f aca="false">+IF(SUM(FT258:GA258)=0,0,(SUMPRODUCT(BU258:BX258,FT258:FW258)+SUMPRODUCT(CA258:CD258,FX258:GA258))/SUM(FT258:GA258))</f>
        <v>#VALUE!</v>
      </c>
      <c r="GD258" s="1551" t="e">
        <f aca="false">(FT258*BU258+FX258*CA258+FU258*BV258+FY258*CB258+FV258*BW258+FZ258*CC258+FW258*BX258+GA258*CD258)</f>
        <v>#VALUE!</v>
      </c>
      <c r="GE258" s="1561" t="e">
        <f aca="false">+IF(BQ258,((FL258+FM258+FT258+FU258)*HeatRatePeak/1000*(1+VLOOKUP($C258,WeatherHeatRateAdjustment,2))+(FN258+FV258)*IF(EV258&gt;0,HeatRatePeak,HeatRateOffPeak)/1000*(1+VLOOKUP($C258,WeatherHeatRateAdjustment,2))+(FO258+FW258)*IF(EW258&gt;0,HeatRatePeak,HeatRateOffPeak)/1000*(1+VLOOKUP($C258,WeatherHeatRateAdjustment,3)))*(1+VLOOKUP($B258,HeatRateDegradation,$C258+1)),0)</f>
        <v>#VALUE!</v>
      </c>
      <c r="GF258" s="1562" t="e">
        <f aca="false">IF(BQ258,((FP258+FQ258+FR258+FX258+FY258+FZ258)*HeatRatePeak/1000*(1+VLOOKUP($C258,WeatherHeatRateAdjustment,2))+(FS258+GA258)*HeatRatePeak/1000*(1+VLOOKUP($C258,WeatherHeatRateAdjustment,3)))*(1+VLOOKUP($B258,HeatRateDegradation,$C258+1)),0)</f>
        <v>#VALUE!</v>
      </c>
      <c r="GG258" s="1563" t="e">
        <f aca="false">IF(BQ258,VLOOKUP(A258,GasTable,13),0)</f>
        <v>#VALUE!</v>
      </c>
      <c r="GH258" s="1564" t="e">
        <f aca="false">(GE258+GF258)*GG258</f>
        <v>#VALUE!</v>
      </c>
      <c r="GI258" s="1569" t="e">
        <f aca="false">GB258</f>
        <v>#VALUE!</v>
      </c>
      <c r="GJ258" s="1598" t="e">
        <f aca="false">+DA258</f>
        <v>#VALUE!</v>
      </c>
      <c r="GK258" s="1558" t="e">
        <f aca="false">+GI258*GJ258</f>
        <v>#VALUE!</v>
      </c>
      <c r="GL258" s="1566" t="e">
        <f aca="false">MAX(FE258-FL258-FP258,0)</f>
        <v>#VALUE!</v>
      </c>
      <c r="GM258" s="1551" t="e">
        <f aca="false">MAX(FF258-FM258-FQ258,0)</f>
        <v>#VALUE!</v>
      </c>
      <c r="GN258" s="1551" t="e">
        <f aca="false">MAX(FG258-FN258-FR258,0)</f>
        <v>#VALUE!</v>
      </c>
      <c r="GO258" s="1564" t="e">
        <f aca="false">MAX(FH258-FO258-FS258,0)</f>
        <v>#VALUE!</v>
      </c>
      <c r="GP258" s="1551" t="e">
        <f aca="false">SUM(GL258:GO258)</f>
        <v>#VALUE!</v>
      </c>
      <c r="GQ258" s="1563" t="e">
        <f aca="false">IF(SUM(GL258:GO258)=0,0,((GL258*BU258+GM258*BV258+GN258*BW258+GO258*BX258)/SUM(GL258:GO258)))</f>
        <v>#VALUE!</v>
      </c>
      <c r="GR258" s="1558" t="e">
        <f aca="false">(GL258*BU258+GM258*BV258+GN258*BW258+GO258*BX258)</f>
        <v>#VALUE!</v>
      </c>
      <c r="GS258" s="1566" t="n">
        <f aca="false">IF($A258&gt;=BegDate,Assumptions!$C$56*24*($A259-$A258)*(1-VLOOKUP($B258,MAIN!$AA$7:$AM$28,$C258+1))*(1-VLOOKUP($B258,MAIN!$AA$33:$AM$54,$C258+1)),0)*80/168</f>
        <v>249428.571428571</v>
      </c>
      <c r="GT258" s="286" t="n">
        <f aca="false">J258</f>
        <v>48.2861578217958</v>
      </c>
      <c r="GU258" s="286" t="n">
        <f aca="false">IF($A258&gt;=BegDate,VLOOKUP($A258,GasTable,13)+Assumptions!$C$58,0)</f>
        <v>3.59943764224569</v>
      </c>
      <c r="GV258" s="286" t="n">
        <f aca="false">GU258*Assumptions!$C$57/1000</f>
        <v>26.0959229062813</v>
      </c>
      <c r="GW258" s="1558" t="n">
        <f aca="false">IF(Assumptions!$C$60="Hourly",MAX(0,GS258*(GT258-GV258)),GS258*(GT258-GV258))</f>
        <v>5534878.5946412</v>
      </c>
      <c r="GX258" s="1566" t="n">
        <f aca="false">IF($A258&gt;=BegDate,Assumptions!$C$56*24*($A259-$A258)*(1-VLOOKUP($B258,MAIN!$AA$7:$AM$28,$C258+1))*(1-VLOOKUP($B258,MAIN!$AA$33:$AM$54,$C258+1)),0)*16/168</f>
        <v>49885.7142857143</v>
      </c>
      <c r="GY258" s="286" t="n">
        <f aca="false">M258</f>
        <v>48.2861578217958</v>
      </c>
      <c r="GZ258" s="286" t="n">
        <f aca="false">IF($A258&gt;=BegDate,VLOOKUP($A258,GasTable,13)+Assumptions!$C$58,0)</f>
        <v>3.59943764224569</v>
      </c>
      <c r="HA258" s="286" t="n">
        <f aca="false">GZ258*Assumptions!$C$57/1000</f>
        <v>26.0959229062813</v>
      </c>
      <c r="HB258" s="1558" t="n">
        <f aca="false">IF(Assumptions!$C$60="Hourly",MAX(0,GX258*(GY258-HA258)),GX258*(GY258-HA258))</f>
        <v>1106975.71892824</v>
      </c>
      <c r="HC258" s="1566" t="n">
        <f aca="false">IF($A258&gt;=BegDate,Assumptions!$C$56*24*($A259-$A258)*(1-VLOOKUP($B258,MAIN!$AA$7:$AM$28,$C258+1))*(1-VLOOKUP($B258,MAIN!$AA$33:$AM$54,$C258+1)),0)*16/168</f>
        <v>49885.7142857143</v>
      </c>
      <c r="HD258" s="286" t="n">
        <f aca="false">P258</f>
        <v>29.0030184641847</v>
      </c>
      <c r="HE258" s="286" t="n">
        <f aca="false">IF($A258&gt;=BegDate,VLOOKUP($A258,GasTable,13)+Assumptions!$C$58,0)</f>
        <v>3.59943764224569</v>
      </c>
      <c r="HF258" s="286" t="n">
        <f aca="false">HE258*Assumptions!$C$57/1000</f>
        <v>26.0959229062813</v>
      </c>
      <c r="HG258" s="1558" t="n">
        <f aca="false">IF(Assumptions!$C$60="Hourly",MAX(0,HC258*(HD258-HF258)),HC258*(HD258-HF258))</f>
        <v>145022.538402841</v>
      </c>
      <c r="HH258" s="1566" t="n">
        <f aca="false">IF($A258&gt;=BegDate,Assumptions!$C$56*24*($A259-$A258)*(1-VLOOKUP($B258,MAIN!$AA$7:$AM$28,$C258+1))*(1-VLOOKUP($B258,MAIN!$AA$33:$AM$54,$C258+1)),0)*56/168</f>
        <v>174600</v>
      </c>
      <c r="HI258" s="286" t="n">
        <f aca="false">S258</f>
        <v>29.0030184641847</v>
      </c>
      <c r="HJ258" s="286" t="n">
        <f aca="false">IF($A258&gt;=BegDate,VLOOKUP($A258,GasTable,13)+Assumptions!$C$58,0)</f>
        <v>3.59943764224569</v>
      </c>
      <c r="HK258" s="286" t="n">
        <f aca="false">HJ258*Assumptions!$C$57/1000</f>
        <v>26.0959229062813</v>
      </c>
      <c r="HL258" s="1558" t="n">
        <f aca="false">IF(Assumptions!$C$60="Hourly",MAX(0,HH258*(HI258-HK258)),HH258*(HI258-HK258))</f>
        <v>507578.884409944</v>
      </c>
      <c r="HM258" s="1566" t="n">
        <f aca="false">IF(AND(Assumptions!$H$71="Yes",A258&gt;=Assumptions!$H$72,A258&lt;=Assumptions!$H$73),Assumptions!$H$74*Assumptions!$C$9*1000,0)</f>
        <v>0</v>
      </c>
      <c r="HN258" s="1551"/>
      <c r="HO258" s="1563"/>
      <c r="HP258" s="1563"/>
      <c r="HQ258" s="1563"/>
      <c r="HR258" s="1563"/>
      <c r="HS258" s="1563"/>
      <c r="HT258" s="1563"/>
      <c r="HU258" s="1563"/>
      <c r="HV258" s="1563"/>
      <c r="HW258" s="1563"/>
      <c r="HX258" s="1563"/>
      <c r="HY258" s="1563"/>
      <c r="HZ258" s="1563"/>
      <c r="IA258" s="1563"/>
      <c r="IB258" s="1563"/>
      <c r="IC258" s="1563"/>
      <c r="ID258" s="1563"/>
      <c r="IE258" s="1563"/>
      <c r="IF258" s="1563"/>
      <c r="IG258" s="1563"/>
      <c r="IH258" s="1563"/>
      <c r="II258" s="1610"/>
      <c r="IJ258" s="1309"/>
      <c r="IK258" s="1309"/>
    </row>
    <row r="259" customFormat="false" ht="12.75" hidden="false" customHeight="false" outlineLevel="0" collapsed="false">
      <c r="A259" s="1571" t="n">
        <f aca="false">EOMONTH(A258,0)+1</f>
        <v>44013</v>
      </c>
      <c r="B259" s="594" t="n">
        <f aca="false">+YEAR(A259)</f>
        <v>2020</v>
      </c>
      <c r="C259" s="238" t="n">
        <f aca="false">MONTH(A259)</f>
        <v>7</v>
      </c>
      <c r="D259" s="1572" t="e">
        <f aca="false">IF(E259="","",Holiday(B259,C259))</f>
        <v>#VALUE!</v>
      </c>
      <c r="E259" s="1573" t="n">
        <f aca="false">IF(OR(BegDate&gt;=A260,EndDate&lt;A259,AND(VolumeMonthlyOverFlag,INDEX(VolumeMonthlyOver,C259)=0),NOT(INDEX(MonthKnockOutTable,C259))),"",MAX(A259,BegDate))</f>
        <v>44013</v>
      </c>
      <c r="F259" s="1574" t="n">
        <f aca="false">IF(E259="","",MIN(A260-1,EndDate))</f>
        <v>44043</v>
      </c>
      <c r="G259" s="1575" t="n">
        <v>0</v>
      </c>
      <c r="H259" s="1576" t="n">
        <f aca="false">(1+G259/2)^(-2*(DATE(B260,C260,20)-DateToday)/365.25)</f>
        <v>1</v>
      </c>
      <c r="I259" s="1568" t="n">
        <f aca="false">IF(Assumptions!$L$25=4,VLOOKUP($A259,'Henwood Reference'!$E$9:$R$320,10),(VLOOKUP($A259,PriceTable,2,0)+IF(BasisNumber&lt;&gt;1,VLOOKUP($A259,BasisTable,2,0),0)+I$1)/(1-I$2))</f>
        <v>71.6837369241314</v>
      </c>
      <c r="J259" s="1568" t="n">
        <f aca="false">IF(Assumptions!$L$25=4,VLOOKUP($A259,'Henwood Reference'!$E$9:$R$320,10),(VLOOKUP($A259,PriceTable,3,0)+IF(BasisNumber&lt;&gt;1,VLOOKUP($A259,BasisTable,2,0),0)+J$1)/(1-J$2))</f>
        <v>71.6837369241314</v>
      </c>
      <c r="K259" s="1568" t="n">
        <f aca="false">IF(Assumptions!$L$25=4,VLOOKUP($A259,'Henwood Reference'!$E$9:$R$320,10),(VLOOKUP($A259,PriceTable,4,0)+IF(BasisNumber&lt;&gt;1,VLOOKUP($A259,BasisTable,2,0),0)+K$1)/(1-K$2))</f>
        <v>71.6837369241314</v>
      </c>
      <c r="L259" s="1523" t="n">
        <f aca="false">IF(Assumptions!$L$25=4,VLOOKUP($A259,'Henwood Reference'!$E$9:$R$320,10),(VLOOKUP($A259,PriceTableWeekend,2,0)+IF(BasisNumber&lt;&gt;1,VLOOKUP($A259,BasisTable,2,0),0)+L$1)/(1-L$2))</f>
        <v>71.6837369241314</v>
      </c>
      <c r="M259" s="1568" t="n">
        <f aca="false">IF(Assumptions!$L$25=4,VLOOKUP($A259,'Henwood Reference'!$E$9:$R$320,10),(VLOOKUP($A259,PriceTableWeekend,3,0)+IF(BasisNumber&lt;&gt;1,VLOOKUP($A259,BasisTable,2,0),0)+M$1)/(1-M$2))</f>
        <v>71.6837369241314</v>
      </c>
      <c r="N259" s="1599" t="n">
        <f aca="false">IF(Assumptions!$L$25=4,VLOOKUP($A259,'Henwood Reference'!$E$9:$R$320,10),(VLOOKUP($A259,PriceTableWeekend,4,0)+IF(BasisNumber&lt;&gt;1,VLOOKUP($A259,BasisTable,2,0),0)+N$1)/(1-N$2))</f>
        <v>71.6837369241314</v>
      </c>
      <c r="O259" s="1568" t="n">
        <f aca="false">IF(Assumptions!$L$25=4,VLOOKUP($A259,'Henwood Reference'!$E$9:$R$320,11),(VLOOKUP($A259,PriceTableWeekend,6,0)+IF(BasisNumber&lt;&gt;1,VLOOKUP($A259,BasisTable,3,0),0)+O$1)/(1-O$2))</f>
        <v>34.1861515760968</v>
      </c>
      <c r="P259" s="1568" t="n">
        <f aca="false">IF(Assumptions!$L$25=4,VLOOKUP($A259,'Henwood Reference'!$E$9:$R$320,11),(VLOOKUP($A259,PriceTableWeekend,7,0)+IF(BasisNumber&lt;&gt;1,VLOOKUP($A259,BasisTable,3,0),0)+P$1)/(1-P$2))</f>
        <v>34.1861515760968</v>
      </c>
      <c r="Q259" s="1599" t="n">
        <f aca="false">IF(Assumptions!$L$25=4,VLOOKUP($A259,'Henwood Reference'!$E$9:$R$320,11),(VLOOKUP($A259,PriceTableWeekend,8,0)+IF(BasisNumber&lt;&gt;1,VLOOKUP($A259,BasisTable,3,0),0)+Q$1)/(1-Q$2))</f>
        <v>34.1861515760968</v>
      </c>
      <c r="R259" s="1568" t="n">
        <f aca="false">IF(Assumptions!$L$25=4,VLOOKUP($A259,'Henwood Reference'!$E$9:$R$320,11),(VLOOKUP($A259,PriceTable,6,0)+IF(BasisNumber&lt;&gt;1,VLOOKUP($A259,BasisTable,3,0),0)+R$1)/(1-R$2))</f>
        <v>34.1861515760968</v>
      </c>
      <c r="S259" s="1568" t="n">
        <f aca="false">IF(Assumptions!$L$25=4,VLOOKUP($A259,'Henwood Reference'!$E$9:$R$320,11),(VLOOKUP($A259,PriceTable,7,0)+IF(BasisNumber&lt;&gt;1,VLOOKUP($A259,BasisTable,3,0),0)+S$1)/(1-S$2))</f>
        <v>34.1861515760968</v>
      </c>
      <c r="T259" s="1600" t="n">
        <f aca="false">IF(Assumptions!$L$25=4,VLOOKUP($A259,'Henwood Reference'!$E$9:$R$320,11),(VLOOKUP($A259,PriceTable,8,0)+IF(BasisNumber&lt;&gt;1,VLOOKUP($A259,BasisTable,3,0),0)+T$1)/(1-T$2))</f>
        <v>34.1861515760968</v>
      </c>
      <c r="U259" s="1513" t="n">
        <f aca="false">VLOOKUP($A259,VolatilityTable,14)</f>
        <v>0.09</v>
      </c>
      <c r="V259" s="1513" t="n">
        <f aca="false">VLOOKUP($A259,VolatilityTable,15)</f>
        <v>0.1</v>
      </c>
      <c r="W259" s="1514" t="n">
        <f aca="false">VLOOKUP($A259,VolatilityTable,16)</f>
        <v>0.11</v>
      </c>
      <c r="X259" s="1513" t="n">
        <f aca="false">VLOOKUP($A259,VolatilityTable,14)</f>
        <v>0.09</v>
      </c>
      <c r="Y259" s="1513" t="n">
        <f aca="false">VLOOKUP($A259,VolatilityTable,15)</f>
        <v>0.1</v>
      </c>
      <c r="Z259" s="1514" t="n">
        <f aca="false">VLOOKUP($A259,VolatilityTable,16)</f>
        <v>0.11</v>
      </c>
      <c r="AA259" s="1513" t="n">
        <f aca="false">VLOOKUP($A259,VolatilityTable,18)</f>
        <v>0.09</v>
      </c>
      <c r="AB259" s="1513" t="n">
        <f aca="false">VLOOKUP($A259,VolatilityTable,19)</f>
        <v>0.11</v>
      </c>
      <c r="AC259" s="1514" t="n">
        <f aca="false">VLOOKUP($A259,VolatilityTable,20)</f>
        <v>0.13</v>
      </c>
      <c r="AD259" s="1513" t="n">
        <f aca="false">VLOOKUP($A259,VolatilityTable,18)</f>
        <v>0.09</v>
      </c>
      <c r="AE259" s="1513" t="n">
        <f aca="false">VLOOKUP($A259,VolatilityTable,19)</f>
        <v>0.11</v>
      </c>
      <c r="AF259" s="1514" t="n">
        <f aca="false">VLOOKUP($A259,VolatilityTable,20)</f>
        <v>0.13</v>
      </c>
      <c r="AG259" s="1513" t="n">
        <f aca="false">VLOOKUP($A259,VolatilityTable,22)</f>
        <v>-0.35</v>
      </c>
      <c r="AH259" s="1513" t="n">
        <f aca="false">VLOOKUP($A259,VolatilityTable,23)</f>
        <v>0.65</v>
      </c>
      <c r="AI259" s="1514" t="n">
        <f aca="false">VLOOKUP($A259,VolatilityTable,24)</f>
        <v>0.35</v>
      </c>
      <c r="AJ259" s="1513" t="n">
        <f aca="false">VLOOKUP($A259,VolatilityTable,22)</f>
        <v>-0.35</v>
      </c>
      <c r="AK259" s="1513" t="n">
        <f aca="false">VLOOKUP($A259,VolatilityTable,23)</f>
        <v>0.65</v>
      </c>
      <c r="AL259" s="1514" t="n">
        <f aca="false">VLOOKUP($A259,VolatilityTable,24)</f>
        <v>0.35</v>
      </c>
      <c r="AM259" s="1513" t="n">
        <f aca="false">VLOOKUP($A259,VolatilityTable,26)</f>
        <v>-0.01</v>
      </c>
      <c r="AN259" s="1513" t="n">
        <f aca="false">VLOOKUP($A259,VolatilityTable,27)</f>
        <v>0.16</v>
      </c>
      <c r="AO259" s="1514" t="n">
        <f aca="false">VLOOKUP($A259,VolatilityTable,28)</f>
        <v>0.01</v>
      </c>
      <c r="AP259" s="1513" t="n">
        <f aca="false">VLOOKUP($A259,VolatilityTable,26)</f>
        <v>-0.01</v>
      </c>
      <c r="AQ259" s="1513" t="n">
        <f aca="false">VLOOKUP($A259,VolatilityTable,27)</f>
        <v>0.16</v>
      </c>
      <c r="AR259" s="1515" t="n">
        <f aca="false">VLOOKUP($A259,VolatilityTable,28)</f>
        <v>0.01</v>
      </c>
      <c r="AS259" s="1581" t="n">
        <f aca="false">IF(CorrPeakOffPeakOverFlag,INDEX(CorrPeakOffPeakOver,C259),CorrPeakOffPeak)</f>
        <v>0.5</v>
      </c>
      <c r="AT259" s="594" t="e">
        <f aca="false">AX259-SUM(AU259:AW259)</f>
        <v>#VALUE!</v>
      </c>
      <c r="AU259" s="238" t="e">
        <f aca="false">IF(E259="",0,INT((F259-MOD(F259,7)-E259)/7)+1-IF(AW259,IF(WEEKDAY(D259)=7,1,0),0))</f>
        <v>#VALUE!</v>
      </c>
      <c r="AV259" s="238" t="e">
        <f aca="false">IF(E259="",0,INT((F259-MOD(F259-1,7)-E259)/7)+1-IF(AW259,IF(WEEKDAY(D259)=1,1,0),0))</f>
        <v>#VALUE!</v>
      </c>
      <c r="AW259" s="238" t="e">
        <f aca="false">IF(OR(E259="",D259="",D259&lt;BegDate,D259&gt;EndDate),0,1)</f>
        <v>#VALUE!</v>
      </c>
      <c r="AX259" s="238" t="n">
        <f aca="false">IF(E259="",0,F259-E259+1)</f>
        <v>31</v>
      </c>
      <c r="AY259" s="1582" t="n">
        <f aca="false">IF(E259="",0,MIN((1-(1-VLOOKUP(B259,MAIN!$AA$7:$AM$28,C259+1))*(1-VLOOKUP(B259,MAIN!$AA$33:$AM$54,C259+1))),1))</f>
        <v>0.03</v>
      </c>
      <c r="AZ259" s="1519" t="e">
        <v>#VALUE!</v>
      </c>
      <c r="BA259" s="1520" t="e">
        <v>#VALUE!</v>
      </c>
      <c r="BB259" s="1520" t="e">
        <v>#VALUE!</v>
      </c>
      <c r="BC259" s="1583" t="e">
        <v>#VALUE!</v>
      </c>
      <c r="BD259" s="1522" t="e">
        <v>#VALUE!</v>
      </c>
      <c r="BE259" s="1523" t="e">
        <v>#VALUE!</v>
      </c>
      <c r="BF259" s="1523" t="e">
        <v>#VALUE!</v>
      </c>
      <c r="BG259" s="1584" t="e">
        <v>#VALUE!</v>
      </c>
      <c r="BH259" s="1525" t="e">
        <v>#VALUE!</v>
      </c>
      <c r="BI259" s="1520" t="e">
        <v>#VALUE!</v>
      </c>
      <c r="BJ259" s="1520" t="e">
        <v>#VALUE!</v>
      </c>
      <c r="BK259" s="1583" t="e">
        <v>#VALUE!</v>
      </c>
      <c r="BL259" s="1522" t="e">
        <v>#VALUE!</v>
      </c>
      <c r="BM259" s="1523" t="e">
        <v>#VALUE!</v>
      </c>
      <c r="BN259" s="1523" t="e">
        <v>#VALUE!</v>
      </c>
      <c r="BO259" s="1523" t="e">
        <v>#VALUE!</v>
      </c>
      <c r="BP259" s="1525" t="e">
        <f aca="false">SUM(AZ259:BB259)</f>
        <v>#VALUE!</v>
      </c>
      <c r="BQ259" s="1529" t="e">
        <f aca="false">SUM(AZ259:BC259)</f>
        <v>#VALUE!</v>
      </c>
      <c r="BR259" s="1519" t="e">
        <f aca="false">SUM(BH259:BJ259)</f>
        <v>#VALUE!</v>
      </c>
      <c r="BS259" s="1529" t="e">
        <f aca="false">SUM(BH259:BK259)</f>
        <v>#VALUE!</v>
      </c>
      <c r="BT259" s="1316" t="n">
        <f aca="false">(IF(OVolType&lt;&gt;2,A259+14,IF(OptExpDateShift,ShiftBack(A259,OptExpDateShift,D258),A259))-DateToday)/365.25</f>
        <v>20.2135523613963</v>
      </c>
      <c r="BU259" s="1585" t="e">
        <f aca="false">IF(BQ259,IF(OPriceCurve,IF(OBuySell=OCallPut,I259/(1-AY259),K259/(1-AY259)),J259/(1-AY259))*BD259,0)</f>
        <v>#VALUE!</v>
      </c>
      <c r="BV259" s="1316" t="e">
        <f aca="false">IF(BQ259,IF(OPriceCurve,IF(OBuySell=OCallPut,L259/(1-AY259),N259/(1-AY259)),M259/(1-AY259))*BE259,0)</f>
        <v>#VALUE!</v>
      </c>
      <c r="BW259" s="1316" t="e">
        <f aca="false">IF(BQ259,IF(OPriceCurve,IF(OBuySell=OCallPut,O259/(1-AY259),Q259/(1-AY259)),P259/(1-AY259))*BF259,0)</f>
        <v>#VALUE!</v>
      </c>
      <c r="BX259" s="1316" t="e">
        <f aca="false">IF(BQ259,IF(OPriceCurve,IF(OBuySell=OCallPut,R259/(1-AY259),T259/(1-AY259)),S259/(1-AY259))*BG259,0)</f>
        <v>#VALUE!</v>
      </c>
      <c r="BY259" s="1316" t="e">
        <f aca="false">IF(BP259,(BU259*AZ259+BV259*BA259+BW259*BB259)/BP259,0)</f>
        <v>#VALUE!</v>
      </c>
      <c r="BZ259" s="1316" t="e">
        <f aca="false">IF(BQ259,(BY259*BP259+BX259*BC259)/BQ259,0)</f>
        <v>#VALUE!</v>
      </c>
      <c r="CA259" s="1531" t="e">
        <f aca="false">IF(BS259,IF(OPriceCurve,IF(OBuySell=OCallPut,I259/(1-AY259),K259/(1-AY259)),J259/(1-AY259))*BL259,0)</f>
        <v>#VALUE!</v>
      </c>
      <c r="CB259" s="1316" t="e">
        <f aca="false">IF(BS259,IF(OPriceCurve,IF(OBuySell=OCallPut,L259/(1-AY259),N259/(1-AY259)),M259/(1-AY259))*BM259,0)</f>
        <v>#VALUE!</v>
      </c>
      <c r="CC259" s="1316" t="e">
        <f aca="false">IF(BS259,IF(OPriceCurve,IF(OBuySell=OCallPut,O259/(1-AY259),Q259/(1-AY259)),P259/(1-AY259))*BN259,0)</f>
        <v>#VALUE!</v>
      </c>
      <c r="CD259" s="1316" t="e">
        <f aca="false">IF(BS259,IF(OPriceCurve,IF(OBuySell=OCallPut,R259/(1-AY259),T259/(1-AY259)),S259/(1-AY259))*BO259,0)</f>
        <v>#VALUE!</v>
      </c>
      <c r="CE259" s="1316" t="e">
        <f aca="false">IF(BR259,(BU259*BH259+BV259*BI259+BW259*BJ259)/BR259,0)</f>
        <v>#VALUE!</v>
      </c>
      <c r="CF259" s="1532" t="e">
        <f aca="false">IF(BS259,(CE259*BR259+CD259*BK259)/BS259,0)</f>
        <v>#VALUE!</v>
      </c>
      <c r="CG259" s="1586" t="e">
        <f aca="false">IF(OR(BQ259,BS259),IF(OVolType&lt;&gt;2,SQRT(IF(OVolOverMonthlyPeak,OVolOverMonthlyPeak,IF(OVolCurve,IF(OBuySell,U259,W259),V259))^2*(1-15/365.25/BT259)+IF(OVolOverDailyPeak,OVolOverDailyPeak,IF(OVolCurve,IF(OBuySell,AG259,AI259),AH259))^2*15/365.25/BT259),IF(OVolOverMonthlyPeak,OVolOverMonthlyPeak,IF(OVolCurve,IF(OBuySell,U259,W259),V259))),"")</f>
        <v>#VALUE!</v>
      </c>
      <c r="CH259" s="1587" t="e">
        <f aca="false">IF(OR(BQ259,BS259),IF(OVolType&lt;&gt;2,SQRT(IF(OVolOverMonthlyPeak,OVolOverMonthlyPeak,IF(OVolCurve,IF(OBuySell,X259,Z259),Y259))^2*(1-15/365.25/BT259)+IF(OVolOverDailyPeak,OVolOverDailyPeak,IF(OVolCurve,IF(OBuySell,AJ259,AL259),AK259))^2*15/365.25/BT259),IF(OVolOverMonthlyPeak,OVolOverMonthlyPeak,IF(OVolCurve,IF(OBuySell,X259,Z259),Y259))),"")</f>
        <v>#VALUE!</v>
      </c>
      <c r="CI259" s="1587" t="e">
        <f aca="false">IF(OR(BQ259,BS259),IF(OVolType&lt;&gt;2,SQRT(IF(OVolOverMonthlyPeak,OVolOverMonthlyPeak,IF(OVolCurve,IF(OBuySell,AA259,AC259),AB259))^2*(1-15/365.25/BT259)+IF(OVolOverDailyPeak,OVolOverDailyPeak,IF(OVolCurve,IF(OBuySell,AM259,AO259),AN259))^2*15/365.25/BT259),IF(OVolOverMonthlyPeak,OVolOverMonthlyPeak,IF(OVolCurve,IF(OBuySell,AA259,AC259),AB259))),"")</f>
        <v>#VALUE!</v>
      </c>
      <c r="CJ259" s="1587" t="e">
        <f aca="false">IF(BQ259,IF(BP259,SQRT(LN(1+((BU259*AZ259)^2*(EXP(CG259^2*BT259)-1)+(BV259*BA259)^2*(EXP(CH259^2*BT259)-1)+(BW259*BB259)^2*(EXP(CI259^2*BT259)-1)+2*BU259*AZ259*BV259*BA259*(EXP(CG259*CH259*BT259)-1)+2*BV259*BA259*BW259*BB259*(EXP(CH259*CI259*BT259)-1)+2*BW259*BB259*BU259*AZ259*(EXP(CI259*CG259*BT259)-1))/(BY259*BP259)^2)/BT259),0),"")</f>
        <v>#VALUE!</v>
      </c>
      <c r="CK259" s="1587" t="e">
        <f aca="false">IF(BS259,IF(BR259,SQRT(LN(1+((CA259*BH259)^2*(EXP(CG259^2*BT259)-1)+(CB259*BI259)^2*(EXP(CH259^2*BT259)-1)+(CC259*BJ259)^2*(EXP(CI259^2*BT259)-1)+2*CA259*BH259*CB259*BI259*(EXP(CG259*CH259*BT259)-1)+2*CB259*BI259*CC259*BJ259*(EXP(CH259*CI259*BT259)-1)+2*CC259*BJ259*CA259*BH259*(EXP(CI259*CG259*BT259)-1))/(CE259*BR259)^2)/BT259),0),"")</f>
        <v>#VALUE!</v>
      </c>
      <c r="CL259" s="1587" t="e">
        <f aca="false">IF(OR(BQ259,BS259),IF(OVolType&lt;&gt;2,SQRT(IF(OVolOverMonthlyOffPeak,OVolOverMonthlyOffPeak,IF(OVolCurve,IF(OBuySell,AD259,AF259),AE259))^2*(1-15/365.25/BT259)+IF(OVolOverDailyOffPeak,OVolOverDailyOffPeak,IF(OVolCurve,IF(OBuySell,AP259,AR259),AQ259))^2*15/365.25/BT259),IF(OVolOverMonthlyOffPeak,OVolOverMonthlyOffPeak,IF(OVolCurve,IF(OBuySell,AD259,AF259),AE259))),"")</f>
        <v>#VALUE!</v>
      </c>
      <c r="CM259" s="1587" t="e">
        <f aca="false">IF(BQ259,SQRT(LN(1+((BY259*BP259)^2*(EXP(CJ259^2*BT259)-1)+(BX259*BC259)^2*(EXP(CL259^2*BT259)-1)+2*BY259*BP259*BX259*BC259*(EXP(AS259*CJ259*CL259*BT259)-1))/(BY259*BP259+BX259*BC259)^2)/BT259),"")</f>
        <v>#VALUE!</v>
      </c>
      <c r="CN259" s="1588" t="e">
        <f aca="false">IF(BS259,SQRT(LN(1+((CE259*BR259)^2*(EXP(CK259^2*BT259)-1)+(CD259*BK259)^2*(EXP(CL259^2*BT259)-1)+2*CE259*BR259*CD259*BK259*(EXP(AS259*CK259*CL259*BT259)-1))/(CE259*BR259+CD259*BK259)^2)/BT259),"")</f>
        <v>#VALUE!</v>
      </c>
      <c r="CO259" s="1531" t="e">
        <f aca="false">IF(OR(BQ259,BS259),VLOOKUP(A259,GasTable,13)*HeatRatePeak*(1+VLOOKUP($B259,HeatRateDegradation,$C259+1))/1000,0)</f>
        <v>#VALUE!</v>
      </c>
      <c r="CP259" s="1316" t="e">
        <f aca="false">IF(OR(BQ259,BS259),VLOOKUP(A259,GasTable,13)*HeatRatePeak*(1+VLOOKUP($B259,HeatRateDegradation,$C259+1))/1000,0)</f>
        <v>#VALUE!</v>
      </c>
      <c r="CQ259" s="1316" t="e">
        <f aca="false">IF(OR(BQ259,BS259),VLOOKUP(A259,GasTable,13)*IF(EV259,HeatRatePeak,HeatRateOffPeak)*(1+VLOOKUP($B259,HeatRateDegradation,$C259+1))/1000,0)</f>
        <v>#VALUE!</v>
      </c>
      <c r="CR259" s="1316" t="e">
        <f aca="false">IF(OR(BQ259,BS259),VLOOKUP(A259,GasTable,13)*IF(EW259,HeatRatePeak,HeatRateOffPeak)*(1+VLOOKUP($B259,HeatRateDegradation,$C259+1))/1000,0)</f>
        <v>#VALUE!</v>
      </c>
      <c r="CS259" s="1589" t="e">
        <f aca="false">IF(BQ259,(CO259*AZ259+CP259*BA259+CQ259*BB259+CR259*BC259)/BQ259,0)</f>
        <v>#VALUE!</v>
      </c>
      <c r="CT259" s="1316" t="e">
        <f aca="false">IF(BS259,CO259,0)</f>
        <v>#VALUE!</v>
      </c>
      <c r="CU259" s="1590" t="e">
        <f aca="false">IF(OR(BQ259,BS259),VLOOKUP(A259,GasTable,14),"")</f>
        <v>#VALUE!</v>
      </c>
      <c r="CV259" s="1568" t="e">
        <f aca="false">IF(OR(BQ259,BS259),IF(CorrPowerGasOverFlag,INDEX(CorrPowerGasOver,C259),CorrPowerGas),"")</f>
        <v>#VALUE!</v>
      </c>
      <c r="CW259" s="1316" t="e">
        <f aca="false">IF(OR($BQ259,$BS259),SpreadOptPowerMargin,0)*((1+Assumptions!$C$26)^($B259-YEAR(Assumptions!$C$17)))</f>
        <v>#VALUE!</v>
      </c>
      <c r="CX259" s="1316" t="e">
        <f aca="false">IF(OR($BQ259,$BS259),SpreadOptPowerMargin,0)*((1+Assumptions!$C$26)^($B259-YEAR(Assumptions!$C$17)))</f>
        <v>#VALUE!</v>
      </c>
      <c r="CY259" s="1316" t="e">
        <f aca="false">IF(OR($BQ259,$BS259),SpreadOptPowerMargin,0)*((1+Assumptions!$C$26)^($B259-YEAR(Assumptions!$C$17)))</f>
        <v>#VALUE!</v>
      </c>
      <c r="CZ259" s="1316" t="e">
        <f aca="false">IF(OR($BQ259,$BS259),SpreadOptPowerMargin,0)*((1+Assumptions!$C$26)^($B259-YEAR(Assumptions!$C$17)))</f>
        <v>#VALUE!</v>
      </c>
      <c r="DA259" s="1591" t="e">
        <f aca="false">IF(OR(BQ259,BS259),(CW259*(AZ259+BH259)+CX259*(BA259+BI259)+CY259*(BB259+BJ259)+CZ259*(BC259+BK259))/(BQ259+BS259),0)</f>
        <v>#VALUE!</v>
      </c>
      <c r="DB259" s="1592" t="e">
        <f aca="false">IF(OR(BQ259,BS259),CG259+IF(OVolSmile,VLOOKUP(MAX(-5,CO259+CW259-BU259),IF(OVolSmile=1,VolSmileBook,VolSmileModel),2),0),"")</f>
        <v>#VALUE!</v>
      </c>
      <c r="DC259" s="1592" t="e">
        <f aca="false">IF(OR(BQ259,BS259),CH259+IF(OVolSmile,VLOOKUP(MAX(-5,CP259+CW259-BV259),IF(OVolSmile=1,VolSmileBook,VolSmileModel),2),0),"")</f>
        <v>#VALUE!</v>
      </c>
      <c r="DD259" s="1592" t="e">
        <f aca="false">IF(OR(BQ259,BS259),CI259+IF(OVolSmile,VLOOKUP(MAX(-5,CQ259+CW259-BW259),IF(OVolSmile=1,VolSmileBook,VolSmileModel),2),0),"")</f>
        <v>#VALUE!</v>
      </c>
      <c r="DE259" s="1592" t="e">
        <f aca="false">IF(OR(BQ259,BS259),CL259+IF(OVolSmile,VLOOKUP(MAX(-5,CR259+CZ259-BX259),IF(OVolSmile=1,VolSmileBook,VolSmileModel),2),0),"")</f>
        <v>#VALUE!</v>
      </c>
      <c r="DF259" s="1592" t="e">
        <f aca="false">IF(BQ259,CM259+IF(OVolSmile,VLOOKUP(MAX(-5,CS259+DA259-BZ259),IF(OVolSmile=1,VolSmileBook,VolSmileModel),2),0),"")</f>
        <v>#VALUE!</v>
      </c>
      <c r="DG259" s="1593" t="e">
        <f aca="false">IF(BS259,CN259+IF(OVolSmile,VLOOKUP(MAX(-5,CT259+DA259-CF259),IF(OVolSmile=1,VolSmileBook,VolSmileModel),2),0),"")</f>
        <v>#VALUE!</v>
      </c>
      <c r="DH259" s="1316" t="e">
        <f aca="false">IF(AND(BU259&gt;0,CO259&gt;0,DB259&gt;0,CU259&gt;0),newSPRDOPT(BU259,CO259,CW259,0,DB259,CU259,CV259,BT259*365.25,OCallPut,0),0)</f>
        <v>#VALUE!</v>
      </c>
      <c r="DI259" s="1316" t="e">
        <f aca="false">IF(AND(BV259&gt;0,CP259&gt;0,DC259&gt;0,CU259&gt;0),newSPRDOPT(BV259,CP259,CX259,0,DC259,CU259,CV259,BT259*365.25,OCallPut,0),0)</f>
        <v>#VALUE!</v>
      </c>
      <c r="DJ259" s="1316" t="e">
        <f aca="false">IF(AND(BW259&gt;0,CQ259&gt;0,DD259&gt;0,CU259&gt;0),newSPRDOPT(BW259,CQ259,CY259,0,DD259,CU259,CV259,BT259*365.25,OCallPut,0),0)</f>
        <v>#VALUE!</v>
      </c>
      <c r="DK259" s="1316" t="e">
        <f aca="false">IF(AND(BX259&gt;0,CR259&gt;0,DE259&gt;0,CU259&gt;0),newSPRDOPT(BX259,CR259,CZ259,0,DE259,CU259,CV259,BT259*365.25,OCallPut,0),0)</f>
        <v>#VALUE!</v>
      </c>
      <c r="DL259" s="1316" t="e">
        <f aca="false">IF(OVolType,IF(AND(BZ259&gt;0,CS259&gt;0,DF259&gt;0,CU259&gt;0),newSPRDOPT(BZ259,CS259,DA259,0,DF259,CU259,CV259,BT259*365.25,OCallPut,0),0),IF(BQ259,(DH259*AZ259+DI259*BA259+DJ259*BB259+DK259*BC259)/BQ259,0))</f>
        <v>#VALUE!</v>
      </c>
      <c r="DM259" s="1316"/>
      <c r="DN259" s="1316"/>
      <c r="DO259" s="1316"/>
      <c r="DP259" s="1316"/>
      <c r="DQ259" s="1316"/>
      <c r="DR259" s="1316"/>
      <c r="DS259" s="1316"/>
      <c r="DT259" s="1316"/>
      <c r="DU259" s="1316"/>
      <c r="DV259" s="1316"/>
      <c r="DW259" s="1594" t="e">
        <f aca="false">IF(AND(BW259&gt;0,CT259&gt;0,DD259&gt;0,CU259&gt;0),newSPRDOPT(BW259,CT259,CY259,0,DD259,CU259,CV259,BT259*365.25,OCallPut,0),0)</f>
        <v>#VALUE!</v>
      </c>
      <c r="DX259" s="1316" t="e">
        <f aca="false">IF(AND(BX259&gt;0,CT259&gt;0,DE259&gt;0,CU259&gt;0),newSPRDOPT(BX259,CT259,CZ259,0,DE259,CU259,CV259,BT259*365.25,OCallPut,0),0)</f>
        <v>#VALUE!</v>
      </c>
      <c r="DY259" s="1591" t="e">
        <f aca="false">IF(BS259,(DH259*BH259+DI259*BI259+DW259*BJ259+DX259*BK259)/BS259,0)</f>
        <v>#VALUE!</v>
      </c>
      <c r="DZ259" s="1551" t="e">
        <f aca="false">DH259*AZ259</f>
        <v>#VALUE!</v>
      </c>
      <c r="EA259" s="1551" t="e">
        <f aca="false">DI259*BA259</f>
        <v>#VALUE!</v>
      </c>
      <c r="EB259" s="1551" t="e">
        <f aca="false">DJ259*BB259</f>
        <v>#VALUE!</v>
      </c>
      <c r="EC259" s="1551" t="e">
        <f aca="false">DK259*BC259</f>
        <v>#VALUE!</v>
      </c>
      <c r="ED259" s="1551" t="e">
        <f aca="false">DL259*BQ259</f>
        <v>#VALUE!</v>
      </c>
      <c r="EE259" s="1595" t="e">
        <f aca="false">IF(BQ259,IF(OCallPut,IF(BU259&gt;(CO259+CW259),BU259-(CO259+CW259),0),IF((CO259+CW259)&gt;BU259,(CO259+CW259)-BU259,0))*AZ259,0)</f>
        <v>#VALUE!</v>
      </c>
      <c r="EF259" s="1596" t="e">
        <f aca="false">IF(BQ259,IF(OCallPut,IF(BV259&gt;(CP259+CX259),BV259-(CP259+CX259),0),IF((CP259+CX259)&gt;BV259,(CP259+CX259)-BV259,0))*BA259,0)</f>
        <v>#VALUE!</v>
      </c>
      <c r="EG259" s="1596" t="e">
        <f aca="false">IF(BQ259,IF(OCallPut,IF(BW259&gt;(CQ259+CY259),BW259-(CQ259+CY259),0),IF((CQ259+CY259)&gt;BW259,(CQ259+CY259)-BW259,0))*BB259,0)</f>
        <v>#VALUE!</v>
      </c>
      <c r="EH259" s="1596" t="e">
        <f aca="false">IF(BQ259,IF(OCallPut,IF(BX259&gt;(CR259+CZ259),BX259-(CR259+CZ259),0),IF((CR259+CZ259)&gt;BX259,(CR259+CZ259)-BX259,0))*BC259,0)</f>
        <v>#VALUE!</v>
      </c>
      <c r="EI259" s="1597" t="e">
        <f aca="false">IF(BQ259,IF(OVolType,IF(OCallPut,IF(BZ259&gt;(CS259+DA259),BZ259-(CS259+DA259),0),IF((CS259+DA259)&gt;BZ259,(CS259+DA259)-BZ259,0))*BQ259,SUM(EE259:EH259)),0)</f>
        <v>#VALUE!</v>
      </c>
      <c r="EJ259" s="1595" t="e">
        <f aca="false">DZ259-EE259</f>
        <v>#VALUE!</v>
      </c>
      <c r="EK259" s="1596" t="e">
        <f aca="false">EA259-EF259</f>
        <v>#VALUE!</v>
      </c>
      <c r="EL259" s="1596" t="e">
        <f aca="false">EB259-EG259</f>
        <v>#VALUE!</v>
      </c>
      <c r="EM259" s="1596" t="e">
        <f aca="false">EC259-EH259</f>
        <v>#VALUE!</v>
      </c>
      <c r="EN259" s="1597" t="e">
        <f aca="false">ED259-EI259</f>
        <v>#VALUE!</v>
      </c>
      <c r="EO259" s="1551" t="e">
        <f aca="false">DH259*BH259</f>
        <v>#VALUE!</v>
      </c>
      <c r="EP259" s="1551" t="e">
        <f aca="false">DI259*BI259</f>
        <v>#VALUE!</v>
      </c>
      <c r="EQ259" s="1551" t="e">
        <f aca="false">DW259*BJ259</f>
        <v>#VALUE!</v>
      </c>
      <c r="ER259" s="1551" t="e">
        <f aca="false">DX259*BK259</f>
        <v>#VALUE!</v>
      </c>
      <c r="ES259" s="1551" t="e">
        <f aca="false">DY259*BS259</f>
        <v>#VALUE!</v>
      </c>
      <c r="ET259" s="1566" t="e">
        <f aca="false">IF(EI259,IF(OCallPut,IF(CA259&gt;(CT259+CW259),CA259-(CT259+CW259),0),IF((CT259+CW259)&gt;CA259,(CT259+CW259)-CA259,0))*BH259,0)</f>
        <v>#VALUE!</v>
      </c>
      <c r="EU259" s="1551" t="e">
        <f aca="false">IF(EI259,IF(OCallPut,IF(CB259&gt;(CT259+CX259),CB259-(CT259+CX259),0),IF((CT259+CX259)&gt;CB259,(CT259+CX259)-CB259,0))*BI259,0)</f>
        <v>#VALUE!</v>
      </c>
      <c r="EV259" s="1551" t="e">
        <f aca="false">IF(EI259,IF(OCallPut,IF(CC259&gt;(CT259+CY259),CC259-(CT259+CY259),0),IF((CT259+CY259)&gt;CC259,(CT259+CY259)-CC259,0))*BJ259,0)</f>
        <v>#VALUE!</v>
      </c>
      <c r="EW259" s="1551" t="e">
        <f aca="false">IF(EI259,IF(OCallPut,IF(CD259&gt;(CT259+CZ259),CD259-(CT259+CZ259),0),IF((CT259+CZ259)&gt;CD259,(CT259+CZ259)-CD259,0))*BK259,0)</f>
        <v>#VALUE!</v>
      </c>
      <c r="EX259" s="1558" t="e">
        <f aca="false">IF(EI259,SUM(ET259:EW259),0)</f>
        <v>#VALUE!</v>
      </c>
      <c r="EY259" s="1551" t="e">
        <f aca="false">EO259-ET259</f>
        <v>#VALUE!</v>
      </c>
      <c r="EZ259" s="1551" t="e">
        <f aca="false">EP259-EU259</f>
        <v>#VALUE!</v>
      </c>
      <c r="FA259" s="1551" t="e">
        <f aca="false">EQ259-EV259</f>
        <v>#VALUE!</v>
      </c>
      <c r="FB259" s="1551" t="e">
        <f aca="false">ER259-EW259</f>
        <v>#VALUE!</v>
      </c>
      <c r="FC259" s="1551" t="e">
        <f aca="false">ES259-EX259</f>
        <v>#VALUE!</v>
      </c>
      <c r="FD259" s="1525" t="n">
        <f aca="false">IF(AX259,IF(VLOOKUP(C259,MAIN!$L$17:$M$28,2)="Yes",VLOOKUP(CALC!B259,MAIN!$H$17:$I$20,2),0),0)</f>
        <v>0</v>
      </c>
      <c r="FE259" s="1552" t="e">
        <f aca="false">$FD259*16*AT259*(1-$AY259)</f>
        <v>#VALUE!</v>
      </c>
      <c r="FF259" s="1553" t="e">
        <f aca="false">$FD259*16*AU259*(1-$AY259)</f>
        <v>#VALUE!</v>
      </c>
      <c r="FG259" s="1553" t="e">
        <f aca="false">$FD259*16*(AV259+AW259)*(1-$AY259)</f>
        <v>#VALUE!</v>
      </c>
      <c r="FH259" s="1554" t="n">
        <f aca="false">$FD259*8*AX259*(1-$AY259)</f>
        <v>0</v>
      </c>
      <c r="FI259" s="1555" t="n">
        <f aca="false">IF(AX259,VLOOKUP(CALC!B259,MAIN!$H$17:$K$20,4),0)</f>
        <v>0</v>
      </c>
      <c r="FJ259" s="1553" t="e">
        <f aca="false">SUM(FE259:FH259)</f>
        <v>#VALUE!</v>
      </c>
      <c r="FK259" s="1556" t="e">
        <f aca="false">FI259*FJ259</f>
        <v>#VALUE!</v>
      </c>
      <c r="FL259" s="1551" t="e">
        <f aca="false">IF($EI259&gt;0,MIN(FE259,AZ259*(1+VLOOKUP($C259,WeatherCapacityAdjustment,2))),0)</f>
        <v>#VALUE!</v>
      </c>
      <c r="FM259" s="1551" t="e">
        <f aca="false">IF($EI259&gt;0,MIN(FF259,BA259*(1+VLOOKUP($C259,WeatherCapacityAdjustment,2))),0)</f>
        <v>#VALUE!</v>
      </c>
      <c r="FN259" s="1551" t="e">
        <f aca="false">IF($EI259&gt;0,MIN(FG259,BB259*(1+VLOOKUP($C259,WeatherCapacityAdjustment,2))),0)</f>
        <v>#VALUE!</v>
      </c>
      <c r="FO259" s="1564" t="e">
        <f aca="false">IF($EI259&gt;0,MIN(FH259,BC259*(1+VLOOKUP($C259,WeatherCapacityAdjustment,3))),0)</f>
        <v>#VALUE!</v>
      </c>
      <c r="FP259" s="1551" t="e">
        <f aca="false">IF(ET259&gt;0,MIN(FE259-FL259,BH259*(1+VLOOKUP($C259,WeatherCapacityAdjustment,2))),0)</f>
        <v>#VALUE!</v>
      </c>
      <c r="FQ259" s="1551" t="e">
        <f aca="false">IF(EU259&gt;0,MIN(FF259-FM259,BI259*(1+VLOOKUP($C259,WeatherCapacityAdjustment,2))),0)</f>
        <v>#VALUE!</v>
      </c>
      <c r="FR259" s="1551" t="e">
        <f aca="false">IF(EV259&gt;0,MIN(FG259-FN259,BJ259*(1+VLOOKUP($C259,WeatherCapacityAdjustment,2))),0)</f>
        <v>#VALUE!</v>
      </c>
      <c r="FS259" s="1558" t="e">
        <f aca="false">IF(EW259&gt;0,MIN(FH259-FO259,BK259*(1+VLOOKUP($C259,WeatherCapacityAdjustment,3))),0)</f>
        <v>#VALUE!</v>
      </c>
      <c r="FT259" s="1566" t="e">
        <f aca="false">IF(AND(Assumptions!$H$71="Yes",A259&gt;=Assumptions!$H$72,A259&lt;=Assumptions!$H$73),0,IF(AND($A259&gt;=Assumptions!$C$17,$A259&lt;=Assumptions!$C$18),MAX(AZ259*(1+VLOOKUP($C259,WeatherCapacityAdjustment,2))-FL259,0),0))</f>
        <v>#VALUE!</v>
      </c>
      <c r="FU259" s="1551" t="e">
        <f aca="false">IF(AND(Assumptions!$H$71="Yes",A259&gt;=Assumptions!$H$72,A259&lt;=Assumptions!$H$73),0,IF(AND($A259&gt;=Assumptions!$C$17,$A259&lt;=Assumptions!$C$18),MAX(BA259*(1+VLOOKUP($C259,WeatherCapacityAdjustment,2))-FM259,0),0))</f>
        <v>#VALUE!</v>
      </c>
      <c r="FV259" s="1551" t="e">
        <f aca="false">IF(AND(Assumptions!$H$71="Yes",A259&gt;=Assumptions!$H$72,A259&lt;=Assumptions!$H$73),0,IF(AND($A259&gt;=Assumptions!$C$17,$A259&lt;=Assumptions!$C$18),MAX(BB259*(1+VLOOKUP($C259,WeatherCapacityAdjustment,2))-FN259,0),0))</f>
        <v>#VALUE!</v>
      </c>
      <c r="FW259" s="1564" t="e">
        <f aca="false">IF(AND(Assumptions!$H$71="Yes",A259&gt;=Assumptions!$H$72,A259&lt;=Assumptions!$H$73),0,IF(AND($A259&gt;=Assumptions!$C$17,$A259&lt;=Assumptions!$C$18),MAX(BC259*(1+VLOOKUP($C259,WeatherCapacityAdjustment,3))-FO259,0),0))</f>
        <v>#VALUE!</v>
      </c>
      <c r="FX259" s="1569" t="e">
        <f aca="false">IF(AND(Assumptions!$H$71="Yes",A259&gt;=Assumptions!$H$72,A259&lt;=Assumptions!$H$73),0,IF(ET259&gt;0,MAX(BH259*(1+VLOOKUP($C259,WeatherCapacityAdjustment,2))-FP259,0),0))</f>
        <v>#VALUE!</v>
      </c>
      <c r="FY259" s="1551" t="e">
        <f aca="false">IF(AND(Assumptions!$H$71="Yes",A259&gt;=Assumptions!$H$72,A259&lt;=Assumptions!$H$73),0,IF(EU259&gt;0,MAX(BI259*(1+VLOOKUP($C259,WeatherCapacityAdjustment,3))-FQ259,0),0))</f>
        <v>#VALUE!</v>
      </c>
      <c r="FZ259" s="1551" t="e">
        <f aca="false">IF(AND(Assumptions!$H$71="Yes",A259&gt;=Assumptions!$H$72,A259&lt;=Assumptions!$H$73),0,IF(EV259&gt;0,MAX(BJ259*(1+VLOOKUP($C259,WeatherCapacityAdjustment,2))-FR259,0),0))</f>
        <v>#VALUE!</v>
      </c>
      <c r="GA259" s="1564" t="e">
        <f aca="false">IF(AND(Assumptions!$H$71="Yes",A259&gt;=Assumptions!$H$72,A259&lt;=Assumptions!$H$73),0,IF(EW259&gt;0,MAX(BK259*(1+VLOOKUP($C259,WeatherCapacityAdjustment,2))-FS259,0),0))</f>
        <v>#VALUE!</v>
      </c>
      <c r="GB259" s="1551" t="e">
        <f aca="false">SUM(FT259:GA259)</f>
        <v>#VALUE!</v>
      </c>
      <c r="GC259" s="1563" t="e">
        <f aca="false">+IF(SUM(FT259:GA259)=0,0,(SUMPRODUCT(BU259:BX259,FT259:FW259)+SUMPRODUCT(CA259:CD259,FX259:GA259))/SUM(FT259:GA259))</f>
        <v>#VALUE!</v>
      </c>
      <c r="GD259" s="1551" t="e">
        <f aca="false">(FT259*BU259+FX259*CA259+FU259*BV259+FY259*CB259+FV259*BW259+FZ259*CC259+FW259*BX259+GA259*CD259)</f>
        <v>#VALUE!</v>
      </c>
      <c r="GE259" s="1561" t="e">
        <f aca="false">+IF(BQ259,((FL259+FM259+FT259+FU259)*HeatRatePeak/1000*(1+VLOOKUP($C259,WeatherHeatRateAdjustment,2))+(FN259+FV259)*IF(EV259&gt;0,HeatRatePeak,HeatRateOffPeak)/1000*(1+VLOOKUP($C259,WeatherHeatRateAdjustment,2))+(FO259+FW259)*IF(EW259&gt;0,HeatRatePeak,HeatRateOffPeak)/1000*(1+VLOOKUP($C259,WeatherHeatRateAdjustment,3)))*(1+VLOOKUP($B259,HeatRateDegradation,$C259+1)),0)</f>
        <v>#VALUE!</v>
      </c>
      <c r="GF259" s="1562" t="e">
        <f aca="false">IF(BQ259,((FP259+FQ259+FR259+FX259+FY259+FZ259)*HeatRatePeak/1000*(1+VLOOKUP($C259,WeatherHeatRateAdjustment,2))+(FS259+GA259)*HeatRatePeak/1000*(1+VLOOKUP($C259,WeatherHeatRateAdjustment,3)))*(1+VLOOKUP($B259,HeatRateDegradation,$C259+1)),0)</f>
        <v>#VALUE!</v>
      </c>
      <c r="GG259" s="1563" t="e">
        <f aca="false">IF(BQ259,VLOOKUP(A259,GasTable,13),0)</f>
        <v>#VALUE!</v>
      </c>
      <c r="GH259" s="1564" t="e">
        <f aca="false">(GE259+GF259)*GG259</f>
        <v>#VALUE!</v>
      </c>
      <c r="GI259" s="1569" t="e">
        <f aca="false">GB259</f>
        <v>#VALUE!</v>
      </c>
      <c r="GJ259" s="1598" t="e">
        <f aca="false">+DA259</f>
        <v>#VALUE!</v>
      </c>
      <c r="GK259" s="1558" t="e">
        <f aca="false">+GI259*GJ259</f>
        <v>#VALUE!</v>
      </c>
      <c r="GL259" s="1566" t="e">
        <f aca="false">MAX(FE259-FL259-FP259,0)</f>
        <v>#VALUE!</v>
      </c>
      <c r="GM259" s="1551" t="e">
        <f aca="false">MAX(FF259-FM259-FQ259,0)</f>
        <v>#VALUE!</v>
      </c>
      <c r="GN259" s="1551" t="e">
        <f aca="false">MAX(FG259-FN259-FR259,0)</f>
        <v>#VALUE!</v>
      </c>
      <c r="GO259" s="1564" t="e">
        <f aca="false">MAX(FH259-FO259-FS259,0)</f>
        <v>#VALUE!</v>
      </c>
      <c r="GP259" s="1551" t="e">
        <f aca="false">SUM(GL259:GO259)</f>
        <v>#VALUE!</v>
      </c>
      <c r="GQ259" s="1563" t="e">
        <f aca="false">IF(SUM(GL259:GO259)=0,0,((GL259*BU259+GM259*BV259+GN259*BW259+GO259*BX259)/SUM(GL259:GO259)))</f>
        <v>#VALUE!</v>
      </c>
      <c r="GR259" s="1558" t="e">
        <f aca="false">(GL259*BU259+GM259*BV259+GN259*BW259+GO259*BX259)</f>
        <v>#VALUE!</v>
      </c>
      <c r="GS259" s="1566" t="n">
        <f aca="false">IF($A259&gt;=BegDate,Assumptions!$C$56*24*($A260-$A259)*(1-VLOOKUP($B259,MAIN!$AA$7:$AM$28,$C259+1))*(1-VLOOKUP($B259,MAIN!$AA$33:$AM$54,$C259+1)),0)*80/168</f>
        <v>257742.857142857</v>
      </c>
      <c r="GT259" s="286" t="n">
        <f aca="false">J259</f>
        <v>71.6837369241314</v>
      </c>
      <c r="GU259" s="286" t="n">
        <f aca="false">IF($A259&gt;=BegDate,VLOOKUP($A259,GasTable,13)+Assumptions!$C$58,0)</f>
        <v>3.69167881912419</v>
      </c>
      <c r="GV259" s="286" t="n">
        <f aca="false">GU259*Assumptions!$C$57/1000</f>
        <v>26.7646714386504</v>
      </c>
      <c r="GW259" s="1558" t="n">
        <f aca="false">IF(Assumptions!$C$60="Hourly",MAX(0,GS259*(GT259-GV259)),GS259*(GT259-GV259))</f>
        <v>11577568.278415</v>
      </c>
      <c r="GX259" s="1566" t="n">
        <f aca="false">IF($A259&gt;=BegDate,Assumptions!$C$56*24*($A260-$A259)*(1-VLOOKUP($B259,MAIN!$AA$7:$AM$28,$C259+1))*(1-VLOOKUP($B259,MAIN!$AA$33:$AM$54,$C259+1)),0)*16/168</f>
        <v>51548.5714285714</v>
      </c>
      <c r="GY259" s="286" t="n">
        <f aca="false">M259</f>
        <v>71.6837369241314</v>
      </c>
      <c r="GZ259" s="286" t="n">
        <f aca="false">IF($A259&gt;=BegDate,VLOOKUP($A259,GasTable,13)+Assumptions!$C$58,0)</f>
        <v>3.69167881912419</v>
      </c>
      <c r="HA259" s="286" t="n">
        <f aca="false">GZ259*Assumptions!$C$57/1000</f>
        <v>26.7646714386504</v>
      </c>
      <c r="HB259" s="1558" t="n">
        <f aca="false">IF(Assumptions!$C$60="Hourly",MAX(0,GX259*(GY259-HA259)),GX259*(GY259-HA259))</f>
        <v>2315513.655683</v>
      </c>
      <c r="HC259" s="1566" t="n">
        <f aca="false">IF($A259&gt;=BegDate,Assumptions!$C$56*24*($A260-$A259)*(1-VLOOKUP($B259,MAIN!$AA$7:$AM$28,$C259+1))*(1-VLOOKUP($B259,MAIN!$AA$33:$AM$54,$C259+1)),0)*16/168</f>
        <v>51548.5714285714</v>
      </c>
      <c r="HD259" s="286" t="n">
        <f aca="false">P259</f>
        <v>34.1861515760968</v>
      </c>
      <c r="HE259" s="286" t="n">
        <f aca="false">IF($A259&gt;=BegDate,VLOOKUP($A259,GasTable,13)+Assumptions!$C$58,0)</f>
        <v>3.69167881912419</v>
      </c>
      <c r="HF259" s="286" t="n">
        <f aca="false">HE259*Assumptions!$C$57/1000</f>
        <v>26.7646714386504</v>
      </c>
      <c r="HG259" s="1558" t="n">
        <f aca="false">IF(Assumptions!$C$60="Hourly",MAX(0,HC259*(HD259-HF259)),HC259*(HD259-HF259))</f>
        <v>382566.698970881</v>
      </c>
      <c r="HH259" s="1566" t="n">
        <f aca="false">IF($A259&gt;=BegDate,Assumptions!$C$56*24*($A260-$A259)*(1-VLOOKUP($B259,MAIN!$AA$7:$AM$28,$C259+1))*(1-VLOOKUP($B259,MAIN!$AA$33:$AM$54,$C259+1)),0)*56/168</f>
        <v>180420</v>
      </c>
      <c r="HI259" s="286" t="n">
        <f aca="false">S259</f>
        <v>34.1861515760968</v>
      </c>
      <c r="HJ259" s="286" t="n">
        <f aca="false">IF($A259&gt;=BegDate,VLOOKUP($A259,GasTable,13)+Assumptions!$C$58,0)</f>
        <v>3.69167881912419</v>
      </c>
      <c r="HK259" s="286" t="n">
        <f aca="false">HJ259*Assumptions!$C$57/1000</f>
        <v>26.7646714386504</v>
      </c>
      <c r="HL259" s="1558" t="n">
        <f aca="false">IF(Assumptions!$C$60="Hourly",MAX(0,HH259*(HI259-HK259)),HH259*(HI259-HK259))</f>
        <v>1338983.44639808</v>
      </c>
      <c r="HM259" s="1566" t="n">
        <f aca="false">IF(AND(Assumptions!$H$71="Yes",A259&gt;=Assumptions!$H$72,A259&lt;=Assumptions!$H$73),Assumptions!$H$74*Assumptions!$C$9*1000,0)</f>
        <v>0</v>
      </c>
      <c r="HN259" s="1551"/>
      <c r="HO259" s="1563"/>
      <c r="HP259" s="1563"/>
      <c r="HQ259" s="1563"/>
      <c r="HR259" s="1563"/>
      <c r="HS259" s="1563"/>
      <c r="HT259" s="1563"/>
      <c r="HU259" s="1563"/>
      <c r="HV259" s="1563"/>
      <c r="HW259" s="1563"/>
      <c r="HX259" s="1563"/>
      <c r="HY259" s="1563"/>
      <c r="HZ259" s="1563"/>
      <c r="IA259" s="1563"/>
      <c r="IB259" s="1563"/>
      <c r="IC259" s="1563"/>
      <c r="ID259" s="1563"/>
      <c r="IE259" s="1563"/>
      <c r="IF259" s="1563"/>
      <c r="IG259" s="1563"/>
      <c r="IH259" s="1563"/>
      <c r="II259" s="1610"/>
      <c r="IJ259" s="1309"/>
      <c r="IK259" s="1309"/>
    </row>
    <row r="260" customFormat="false" ht="12.75" hidden="false" customHeight="false" outlineLevel="0" collapsed="false">
      <c r="A260" s="1571" t="n">
        <f aca="false">EOMONTH(A259,0)+1</f>
        <v>44044</v>
      </c>
      <c r="B260" s="594" t="n">
        <f aca="false">+YEAR(A260)</f>
        <v>2020</v>
      </c>
      <c r="C260" s="238" t="n">
        <f aca="false">MONTH(A260)</f>
        <v>8</v>
      </c>
      <c r="D260" s="1572" t="e">
        <f aca="false">IF(E260="","",Holiday(B260,C260))</f>
        <v>#VALUE!</v>
      </c>
      <c r="E260" s="1573" t="n">
        <f aca="false">IF(OR(BegDate&gt;=A261,EndDate&lt;A260,AND(VolumeMonthlyOverFlag,INDEX(VolumeMonthlyOver,C260)=0),NOT(INDEX(MonthKnockOutTable,C260))),"",MAX(A260,BegDate))</f>
        <v>44044</v>
      </c>
      <c r="F260" s="1574" t="n">
        <f aca="false">IF(E260="","",MIN(A261-1,EndDate))</f>
        <v>44074</v>
      </c>
      <c r="G260" s="1575" t="n">
        <v>0</v>
      </c>
      <c r="H260" s="1576" t="n">
        <f aca="false">(1+G260/2)^(-2*(DATE(B261,C261,20)-DateToday)/365.25)</f>
        <v>1</v>
      </c>
      <c r="I260" s="1568" t="n">
        <f aca="false">IF(Assumptions!$L$25=4,VLOOKUP($A260,'Henwood Reference'!$E$9:$R$320,10),(VLOOKUP($A260,PriceTable,2,0)+IF(BasisNumber&lt;&gt;1,VLOOKUP($A260,BasisTable,2,0),0)+I$1)/(1-I$2))</f>
        <v>88.9510400443583</v>
      </c>
      <c r="J260" s="1568" t="n">
        <f aca="false">IF(Assumptions!$L$25=4,VLOOKUP($A260,'Henwood Reference'!$E$9:$R$320,10),(VLOOKUP($A260,PriceTable,3,0)+IF(BasisNumber&lt;&gt;1,VLOOKUP($A260,BasisTable,2,0),0)+J$1)/(1-J$2))</f>
        <v>88.9510400443583</v>
      </c>
      <c r="K260" s="1568" t="n">
        <f aca="false">IF(Assumptions!$L$25=4,VLOOKUP($A260,'Henwood Reference'!$E$9:$R$320,10),(VLOOKUP($A260,PriceTable,4,0)+IF(BasisNumber&lt;&gt;1,VLOOKUP($A260,BasisTable,2,0),0)+K$1)/(1-K$2))</f>
        <v>88.9510400443583</v>
      </c>
      <c r="L260" s="1523" t="n">
        <f aca="false">IF(Assumptions!$L$25=4,VLOOKUP($A260,'Henwood Reference'!$E$9:$R$320,10),(VLOOKUP($A260,PriceTableWeekend,2,0)+IF(BasisNumber&lt;&gt;1,VLOOKUP($A260,BasisTable,2,0),0)+L$1)/(1-L$2))</f>
        <v>88.9510400443583</v>
      </c>
      <c r="M260" s="1568" t="n">
        <f aca="false">IF(Assumptions!$L$25=4,VLOOKUP($A260,'Henwood Reference'!$E$9:$R$320,10),(VLOOKUP($A260,PriceTableWeekend,3,0)+IF(BasisNumber&lt;&gt;1,VLOOKUP($A260,BasisTable,2,0),0)+M$1)/(1-M$2))</f>
        <v>88.9510400443583</v>
      </c>
      <c r="N260" s="1599" t="n">
        <f aca="false">IF(Assumptions!$L$25=4,VLOOKUP($A260,'Henwood Reference'!$E$9:$R$320,10),(VLOOKUP($A260,PriceTableWeekend,4,0)+IF(BasisNumber&lt;&gt;1,VLOOKUP($A260,BasisTable,2,0),0)+N$1)/(1-N$2))</f>
        <v>88.9510400443583</v>
      </c>
      <c r="O260" s="1568" t="n">
        <f aca="false">IF(Assumptions!$L$25=4,VLOOKUP($A260,'Henwood Reference'!$E$9:$R$320,11),(VLOOKUP($A260,PriceTableWeekend,6,0)+IF(BasisNumber&lt;&gt;1,VLOOKUP($A260,BasisTable,3,0),0)+O$1)/(1-O$2))</f>
        <v>36.5485107462232</v>
      </c>
      <c r="P260" s="1568" t="n">
        <f aca="false">IF(Assumptions!$L$25=4,VLOOKUP($A260,'Henwood Reference'!$E$9:$R$320,11),(VLOOKUP($A260,PriceTableWeekend,7,0)+IF(BasisNumber&lt;&gt;1,VLOOKUP($A260,BasisTable,3,0),0)+P$1)/(1-P$2))</f>
        <v>36.5485107462232</v>
      </c>
      <c r="Q260" s="1599" t="n">
        <f aca="false">IF(Assumptions!$L$25=4,VLOOKUP($A260,'Henwood Reference'!$E$9:$R$320,11),(VLOOKUP($A260,PriceTableWeekend,8,0)+IF(BasisNumber&lt;&gt;1,VLOOKUP($A260,BasisTable,3,0),0)+Q$1)/(1-Q$2))</f>
        <v>36.5485107462232</v>
      </c>
      <c r="R260" s="1568" t="n">
        <f aca="false">IF(Assumptions!$L$25=4,VLOOKUP($A260,'Henwood Reference'!$E$9:$R$320,11),(VLOOKUP($A260,PriceTable,6,0)+IF(BasisNumber&lt;&gt;1,VLOOKUP($A260,BasisTable,3,0),0)+R$1)/(1-R$2))</f>
        <v>36.5485107462232</v>
      </c>
      <c r="S260" s="1568" t="n">
        <f aca="false">IF(Assumptions!$L$25=4,VLOOKUP($A260,'Henwood Reference'!$E$9:$R$320,11),(VLOOKUP($A260,PriceTable,7,0)+IF(BasisNumber&lt;&gt;1,VLOOKUP($A260,BasisTable,3,0),0)+S$1)/(1-S$2))</f>
        <v>36.5485107462232</v>
      </c>
      <c r="T260" s="1600" t="n">
        <f aca="false">IF(Assumptions!$L$25=4,VLOOKUP($A260,'Henwood Reference'!$E$9:$R$320,11),(VLOOKUP($A260,PriceTable,8,0)+IF(BasisNumber&lt;&gt;1,VLOOKUP($A260,BasisTable,3,0),0)+T$1)/(1-T$2))</f>
        <v>36.5485107462232</v>
      </c>
      <c r="U260" s="1513" t="n">
        <f aca="false">VLOOKUP($A260,VolatilityTable,14)</f>
        <v>0.09</v>
      </c>
      <c r="V260" s="1513" t="n">
        <f aca="false">VLOOKUP($A260,VolatilityTable,15)</f>
        <v>0.1</v>
      </c>
      <c r="W260" s="1514" t="n">
        <f aca="false">VLOOKUP($A260,VolatilityTable,16)</f>
        <v>0.11</v>
      </c>
      <c r="X260" s="1513" t="n">
        <f aca="false">VLOOKUP($A260,VolatilityTable,14)</f>
        <v>0.09</v>
      </c>
      <c r="Y260" s="1513" t="n">
        <f aca="false">VLOOKUP($A260,VolatilityTable,15)</f>
        <v>0.1</v>
      </c>
      <c r="Z260" s="1514" t="n">
        <f aca="false">VLOOKUP($A260,VolatilityTable,16)</f>
        <v>0.11</v>
      </c>
      <c r="AA260" s="1513" t="n">
        <f aca="false">VLOOKUP($A260,VolatilityTable,18)</f>
        <v>0.09</v>
      </c>
      <c r="AB260" s="1513" t="n">
        <f aca="false">VLOOKUP($A260,VolatilityTable,19)</f>
        <v>0.11</v>
      </c>
      <c r="AC260" s="1514" t="n">
        <f aca="false">VLOOKUP($A260,VolatilityTable,20)</f>
        <v>0.13</v>
      </c>
      <c r="AD260" s="1513" t="n">
        <f aca="false">VLOOKUP($A260,VolatilityTable,18)</f>
        <v>0.09</v>
      </c>
      <c r="AE260" s="1513" t="n">
        <f aca="false">VLOOKUP($A260,VolatilityTable,19)</f>
        <v>0.11</v>
      </c>
      <c r="AF260" s="1514" t="n">
        <f aca="false">VLOOKUP($A260,VolatilityTable,20)</f>
        <v>0.13</v>
      </c>
      <c r="AG260" s="1513" t="n">
        <f aca="false">VLOOKUP($A260,VolatilityTable,22)</f>
        <v>-0.35</v>
      </c>
      <c r="AH260" s="1513" t="n">
        <f aca="false">VLOOKUP($A260,VolatilityTable,23)</f>
        <v>3</v>
      </c>
      <c r="AI260" s="1514" t="n">
        <f aca="false">VLOOKUP($A260,VolatilityTable,24)</f>
        <v>0.35</v>
      </c>
      <c r="AJ260" s="1513" t="n">
        <f aca="false">VLOOKUP($A260,VolatilityTable,22)</f>
        <v>-0.35</v>
      </c>
      <c r="AK260" s="1513" t="n">
        <f aca="false">VLOOKUP($A260,VolatilityTable,23)</f>
        <v>3</v>
      </c>
      <c r="AL260" s="1514" t="n">
        <f aca="false">VLOOKUP($A260,VolatilityTable,24)</f>
        <v>0.35</v>
      </c>
      <c r="AM260" s="1513" t="n">
        <f aca="false">VLOOKUP($A260,VolatilityTable,26)</f>
        <v>-0.01</v>
      </c>
      <c r="AN260" s="1513" t="n">
        <f aca="false">VLOOKUP($A260,VolatilityTable,27)</f>
        <v>0.16</v>
      </c>
      <c r="AO260" s="1514" t="n">
        <f aca="false">VLOOKUP($A260,VolatilityTable,28)</f>
        <v>0.01</v>
      </c>
      <c r="AP260" s="1513" t="n">
        <f aca="false">VLOOKUP($A260,VolatilityTable,26)</f>
        <v>-0.01</v>
      </c>
      <c r="AQ260" s="1513" t="n">
        <f aca="false">VLOOKUP($A260,VolatilityTable,27)</f>
        <v>0.16</v>
      </c>
      <c r="AR260" s="1515" t="n">
        <f aca="false">VLOOKUP($A260,VolatilityTable,28)</f>
        <v>0.01</v>
      </c>
      <c r="AS260" s="1581" t="n">
        <f aca="false">IF(CorrPeakOffPeakOverFlag,INDEX(CorrPeakOffPeakOver,C260),CorrPeakOffPeak)</f>
        <v>0.5</v>
      </c>
      <c r="AT260" s="594" t="e">
        <f aca="false">AX260-SUM(AU260:AW260)</f>
        <v>#VALUE!</v>
      </c>
      <c r="AU260" s="238" t="e">
        <f aca="false">IF(E260="",0,INT((F260-MOD(F260,7)-E260)/7)+1-IF(AW260,IF(WEEKDAY(D260)=7,1,0),0))</f>
        <v>#VALUE!</v>
      </c>
      <c r="AV260" s="238" t="e">
        <f aca="false">IF(E260="",0,INT((F260-MOD(F260-1,7)-E260)/7)+1-IF(AW260,IF(WEEKDAY(D260)=1,1,0),0))</f>
        <v>#VALUE!</v>
      </c>
      <c r="AW260" s="238" t="e">
        <f aca="false">IF(OR(E260="",D260="",D260&lt;BegDate,D260&gt;EndDate),0,1)</f>
        <v>#VALUE!</v>
      </c>
      <c r="AX260" s="238" t="n">
        <f aca="false">IF(E260="",0,F260-E260+1)</f>
        <v>31</v>
      </c>
      <c r="AY260" s="1582" t="n">
        <f aca="false">IF(E260="",0,MIN((1-(1-VLOOKUP(B260,MAIN!$AA$7:$AM$28,C260+1))*(1-VLOOKUP(B260,MAIN!$AA$33:$AM$54,C260+1))),1))</f>
        <v>0.03</v>
      </c>
      <c r="AZ260" s="1519" t="e">
        <v>#VALUE!</v>
      </c>
      <c r="BA260" s="1520" t="e">
        <v>#VALUE!</v>
      </c>
      <c r="BB260" s="1520" t="e">
        <v>#VALUE!</v>
      </c>
      <c r="BC260" s="1583" t="e">
        <v>#VALUE!</v>
      </c>
      <c r="BD260" s="1522" t="e">
        <v>#VALUE!</v>
      </c>
      <c r="BE260" s="1523" t="e">
        <v>#VALUE!</v>
      </c>
      <c r="BF260" s="1523" t="e">
        <v>#VALUE!</v>
      </c>
      <c r="BG260" s="1584" t="e">
        <v>#VALUE!</v>
      </c>
      <c r="BH260" s="1525" t="e">
        <v>#VALUE!</v>
      </c>
      <c r="BI260" s="1520" t="e">
        <v>#VALUE!</v>
      </c>
      <c r="BJ260" s="1520" t="e">
        <v>#VALUE!</v>
      </c>
      <c r="BK260" s="1583" t="e">
        <v>#VALUE!</v>
      </c>
      <c r="BL260" s="1522" t="e">
        <v>#VALUE!</v>
      </c>
      <c r="BM260" s="1523" t="e">
        <v>#VALUE!</v>
      </c>
      <c r="BN260" s="1523" t="e">
        <v>#VALUE!</v>
      </c>
      <c r="BO260" s="1523" t="e">
        <v>#VALUE!</v>
      </c>
      <c r="BP260" s="1525" t="e">
        <f aca="false">SUM(AZ260:BB260)</f>
        <v>#VALUE!</v>
      </c>
      <c r="BQ260" s="1529" t="e">
        <f aca="false">SUM(AZ260:BC260)</f>
        <v>#VALUE!</v>
      </c>
      <c r="BR260" s="1519" t="e">
        <f aca="false">SUM(BH260:BJ260)</f>
        <v>#VALUE!</v>
      </c>
      <c r="BS260" s="1529" t="e">
        <f aca="false">SUM(BH260:BK260)</f>
        <v>#VALUE!</v>
      </c>
      <c r="BT260" s="1316" t="n">
        <f aca="false">(IF(OVolType&lt;&gt;2,A260+14,IF(OptExpDateShift,ShiftBack(A260,OptExpDateShift,D259),A260))-DateToday)/365.25</f>
        <v>20.2984257357974</v>
      </c>
      <c r="BU260" s="1585" t="e">
        <f aca="false">IF(BQ260,IF(OPriceCurve,IF(OBuySell=OCallPut,I260/(1-AY260),K260/(1-AY260)),J260/(1-AY260))*BD260,0)</f>
        <v>#VALUE!</v>
      </c>
      <c r="BV260" s="1316" t="e">
        <f aca="false">IF(BQ260,IF(OPriceCurve,IF(OBuySell=OCallPut,L260/(1-AY260),N260/(1-AY260)),M260/(1-AY260))*BE260,0)</f>
        <v>#VALUE!</v>
      </c>
      <c r="BW260" s="1316" t="e">
        <f aca="false">IF(BQ260,IF(OPriceCurve,IF(OBuySell=OCallPut,O260/(1-AY260),Q260/(1-AY260)),P260/(1-AY260))*BF260,0)</f>
        <v>#VALUE!</v>
      </c>
      <c r="BX260" s="1316" t="e">
        <f aca="false">IF(BQ260,IF(OPriceCurve,IF(OBuySell=OCallPut,R260/(1-AY260),T260/(1-AY260)),S260/(1-AY260))*BG260,0)</f>
        <v>#VALUE!</v>
      </c>
      <c r="BY260" s="1316" t="e">
        <f aca="false">IF(BP260,(BU260*AZ260+BV260*BA260+BW260*BB260)/BP260,0)</f>
        <v>#VALUE!</v>
      </c>
      <c r="BZ260" s="1316" t="e">
        <f aca="false">IF(BQ260,(BY260*BP260+BX260*BC260)/BQ260,0)</f>
        <v>#VALUE!</v>
      </c>
      <c r="CA260" s="1531" t="e">
        <f aca="false">IF(BS260,IF(OPriceCurve,IF(OBuySell=OCallPut,I260/(1-AY260),K260/(1-AY260)),J260/(1-AY260))*BL260,0)</f>
        <v>#VALUE!</v>
      </c>
      <c r="CB260" s="1316" t="e">
        <f aca="false">IF(BS260,IF(OPriceCurve,IF(OBuySell=OCallPut,L260/(1-AY260),N260/(1-AY260)),M260/(1-AY260))*BM260,0)</f>
        <v>#VALUE!</v>
      </c>
      <c r="CC260" s="1316" t="e">
        <f aca="false">IF(BS260,IF(OPriceCurve,IF(OBuySell=OCallPut,O260/(1-AY260),Q260/(1-AY260)),P260/(1-AY260))*BN260,0)</f>
        <v>#VALUE!</v>
      </c>
      <c r="CD260" s="1316" t="e">
        <f aca="false">IF(BS260,IF(OPriceCurve,IF(OBuySell=OCallPut,R260/(1-AY260),T260/(1-AY260)),S260/(1-AY260))*BO260,0)</f>
        <v>#VALUE!</v>
      </c>
      <c r="CE260" s="1316" t="e">
        <f aca="false">IF(BR260,(BU260*BH260+BV260*BI260+BW260*BJ260)/BR260,0)</f>
        <v>#VALUE!</v>
      </c>
      <c r="CF260" s="1532" t="e">
        <f aca="false">IF(BS260,(CE260*BR260+CD260*BK260)/BS260,0)</f>
        <v>#VALUE!</v>
      </c>
      <c r="CG260" s="1586" t="e">
        <f aca="false">IF(OR(BQ260,BS260),IF(OVolType&lt;&gt;2,SQRT(IF(OVolOverMonthlyPeak,OVolOverMonthlyPeak,IF(OVolCurve,IF(OBuySell,U260,W260),V260))^2*(1-15/365.25/BT260)+IF(OVolOverDailyPeak,OVolOverDailyPeak,IF(OVolCurve,IF(OBuySell,AG260,AI260),AH260))^2*15/365.25/BT260),IF(OVolOverMonthlyPeak,OVolOverMonthlyPeak,IF(OVolCurve,IF(OBuySell,U260,W260),V260))),"")</f>
        <v>#VALUE!</v>
      </c>
      <c r="CH260" s="1587" t="e">
        <f aca="false">IF(OR(BQ260,BS260),IF(OVolType&lt;&gt;2,SQRT(IF(OVolOverMonthlyPeak,OVolOverMonthlyPeak,IF(OVolCurve,IF(OBuySell,X260,Z260),Y260))^2*(1-15/365.25/BT260)+IF(OVolOverDailyPeak,OVolOverDailyPeak,IF(OVolCurve,IF(OBuySell,AJ260,AL260),AK260))^2*15/365.25/BT260),IF(OVolOverMonthlyPeak,OVolOverMonthlyPeak,IF(OVolCurve,IF(OBuySell,X260,Z260),Y260))),"")</f>
        <v>#VALUE!</v>
      </c>
      <c r="CI260" s="1587" t="e">
        <f aca="false">IF(OR(BQ260,BS260),IF(OVolType&lt;&gt;2,SQRT(IF(OVolOverMonthlyPeak,OVolOverMonthlyPeak,IF(OVolCurve,IF(OBuySell,AA260,AC260),AB260))^2*(1-15/365.25/BT260)+IF(OVolOverDailyPeak,OVolOverDailyPeak,IF(OVolCurve,IF(OBuySell,AM260,AO260),AN260))^2*15/365.25/BT260),IF(OVolOverMonthlyPeak,OVolOverMonthlyPeak,IF(OVolCurve,IF(OBuySell,AA260,AC260),AB260))),"")</f>
        <v>#VALUE!</v>
      </c>
      <c r="CJ260" s="1587" t="e">
        <f aca="false">IF(BQ260,IF(BP260,SQRT(LN(1+((BU260*AZ260)^2*(EXP(CG260^2*BT260)-1)+(BV260*BA260)^2*(EXP(CH260^2*BT260)-1)+(BW260*BB260)^2*(EXP(CI260^2*BT260)-1)+2*BU260*AZ260*BV260*BA260*(EXP(CG260*CH260*BT260)-1)+2*BV260*BA260*BW260*BB260*(EXP(CH260*CI260*BT260)-1)+2*BW260*BB260*BU260*AZ260*(EXP(CI260*CG260*BT260)-1))/(BY260*BP260)^2)/BT260),0),"")</f>
        <v>#VALUE!</v>
      </c>
      <c r="CK260" s="1587" t="e">
        <f aca="false">IF(BS260,IF(BR260,SQRT(LN(1+((CA260*BH260)^2*(EXP(CG260^2*BT260)-1)+(CB260*BI260)^2*(EXP(CH260^2*BT260)-1)+(CC260*BJ260)^2*(EXP(CI260^2*BT260)-1)+2*CA260*BH260*CB260*BI260*(EXP(CG260*CH260*BT260)-1)+2*CB260*BI260*CC260*BJ260*(EXP(CH260*CI260*BT260)-1)+2*CC260*BJ260*CA260*BH260*(EXP(CI260*CG260*BT260)-1))/(CE260*BR260)^2)/BT260),0),"")</f>
        <v>#VALUE!</v>
      </c>
      <c r="CL260" s="1587" t="e">
        <f aca="false">IF(OR(BQ260,BS260),IF(OVolType&lt;&gt;2,SQRT(IF(OVolOverMonthlyOffPeak,OVolOverMonthlyOffPeak,IF(OVolCurve,IF(OBuySell,AD260,AF260),AE260))^2*(1-15/365.25/BT260)+IF(OVolOverDailyOffPeak,OVolOverDailyOffPeak,IF(OVolCurve,IF(OBuySell,AP260,AR260),AQ260))^2*15/365.25/BT260),IF(OVolOverMonthlyOffPeak,OVolOverMonthlyOffPeak,IF(OVolCurve,IF(OBuySell,AD260,AF260),AE260))),"")</f>
        <v>#VALUE!</v>
      </c>
      <c r="CM260" s="1587" t="e">
        <f aca="false">IF(BQ260,SQRT(LN(1+((BY260*BP260)^2*(EXP(CJ260^2*BT260)-1)+(BX260*BC260)^2*(EXP(CL260^2*BT260)-1)+2*BY260*BP260*BX260*BC260*(EXP(AS260*CJ260*CL260*BT260)-1))/(BY260*BP260+BX260*BC260)^2)/BT260),"")</f>
        <v>#VALUE!</v>
      </c>
      <c r="CN260" s="1588" t="e">
        <f aca="false">IF(BS260,SQRT(LN(1+((CE260*BR260)^2*(EXP(CK260^2*BT260)-1)+(CD260*BK260)^2*(EXP(CL260^2*BT260)-1)+2*CE260*BR260*CD260*BK260*(EXP(AS260*CK260*CL260*BT260)-1))/(CE260*BR260+CD260*BK260)^2)/BT260),"")</f>
        <v>#VALUE!</v>
      </c>
      <c r="CO260" s="1531" t="e">
        <f aca="false">IF(OR(BQ260,BS260),VLOOKUP(A260,GasTable,13)*HeatRatePeak*(1+VLOOKUP($B260,HeatRateDegradation,$C260+1))/1000,0)</f>
        <v>#VALUE!</v>
      </c>
      <c r="CP260" s="1316" t="e">
        <f aca="false">IF(OR(BQ260,BS260),VLOOKUP(A260,GasTable,13)*HeatRatePeak*(1+VLOOKUP($B260,HeatRateDegradation,$C260+1))/1000,0)</f>
        <v>#VALUE!</v>
      </c>
      <c r="CQ260" s="1316" t="e">
        <f aca="false">IF(OR(BQ260,BS260),VLOOKUP(A260,GasTable,13)*IF(EV260,HeatRatePeak,HeatRateOffPeak)*(1+VLOOKUP($B260,HeatRateDegradation,$C260+1))/1000,0)</f>
        <v>#VALUE!</v>
      </c>
      <c r="CR260" s="1316" t="e">
        <f aca="false">IF(OR(BQ260,BS260),VLOOKUP(A260,GasTable,13)*IF(EW260,HeatRatePeak,HeatRateOffPeak)*(1+VLOOKUP($B260,HeatRateDegradation,$C260+1))/1000,0)</f>
        <v>#VALUE!</v>
      </c>
      <c r="CS260" s="1589" t="e">
        <f aca="false">IF(BQ260,(CO260*AZ260+CP260*BA260+CQ260*BB260+CR260*BC260)/BQ260,0)</f>
        <v>#VALUE!</v>
      </c>
      <c r="CT260" s="1316" t="e">
        <f aca="false">IF(BS260,CO260,0)</f>
        <v>#VALUE!</v>
      </c>
      <c r="CU260" s="1590" t="e">
        <f aca="false">IF(OR(BQ260,BS260),VLOOKUP(A260,GasTable,14),"")</f>
        <v>#VALUE!</v>
      </c>
      <c r="CV260" s="1568" t="e">
        <f aca="false">IF(OR(BQ260,BS260),IF(CorrPowerGasOverFlag,INDEX(CorrPowerGasOver,C260),CorrPowerGas),"")</f>
        <v>#VALUE!</v>
      </c>
      <c r="CW260" s="1316" t="e">
        <f aca="false">IF(OR($BQ260,$BS260),SpreadOptPowerMargin,0)*((1+Assumptions!$C$26)^($B260-YEAR(Assumptions!$C$17)))</f>
        <v>#VALUE!</v>
      </c>
      <c r="CX260" s="1316" t="e">
        <f aca="false">IF(OR($BQ260,$BS260),SpreadOptPowerMargin,0)*((1+Assumptions!$C$26)^($B260-YEAR(Assumptions!$C$17)))</f>
        <v>#VALUE!</v>
      </c>
      <c r="CY260" s="1316" t="e">
        <f aca="false">IF(OR($BQ260,$BS260),SpreadOptPowerMargin,0)*((1+Assumptions!$C$26)^($B260-YEAR(Assumptions!$C$17)))</f>
        <v>#VALUE!</v>
      </c>
      <c r="CZ260" s="1316" t="e">
        <f aca="false">IF(OR($BQ260,$BS260),SpreadOptPowerMargin,0)*((1+Assumptions!$C$26)^($B260-YEAR(Assumptions!$C$17)))</f>
        <v>#VALUE!</v>
      </c>
      <c r="DA260" s="1591" t="e">
        <f aca="false">IF(OR(BQ260,BS260),(CW260*(AZ260+BH260)+CX260*(BA260+BI260)+CY260*(BB260+BJ260)+CZ260*(BC260+BK260))/(BQ260+BS260),0)</f>
        <v>#VALUE!</v>
      </c>
      <c r="DB260" s="1592" t="e">
        <f aca="false">IF(OR(BQ260,BS260),CG260+IF(OVolSmile,VLOOKUP(MAX(-5,CO260+CW260-BU260),IF(OVolSmile=1,VolSmileBook,VolSmileModel),2),0),"")</f>
        <v>#VALUE!</v>
      </c>
      <c r="DC260" s="1592" t="e">
        <f aca="false">IF(OR(BQ260,BS260),CH260+IF(OVolSmile,VLOOKUP(MAX(-5,CP260+CW260-BV260),IF(OVolSmile=1,VolSmileBook,VolSmileModel),2),0),"")</f>
        <v>#VALUE!</v>
      </c>
      <c r="DD260" s="1592" t="e">
        <f aca="false">IF(OR(BQ260,BS260),CI260+IF(OVolSmile,VLOOKUP(MAX(-5,CQ260+CW260-BW260),IF(OVolSmile=1,VolSmileBook,VolSmileModel),2),0),"")</f>
        <v>#VALUE!</v>
      </c>
      <c r="DE260" s="1592" t="e">
        <f aca="false">IF(OR(BQ260,BS260),CL260+IF(OVolSmile,VLOOKUP(MAX(-5,CR260+CZ260-BX260),IF(OVolSmile=1,VolSmileBook,VolSmileModel),2),0),"")</f>
        <v>#VALUE!</v>
      </c>
      <c r="DF260" s="1592" t="e">
        <f aca="false">IF(BQ260,CM260+IF(OVolSmile,VLOOKUP(MAX(-5,CS260+DA260-BZ260),IF(OVolSmile=1,VolSmileBook,VolSmileModel),2),0),"")</f>
        <v>#VALUE!</v>
      </c>
      <c r="DG260" s="1593" t="e">
        <f aca="false">IF(BS260,CN260+IF(OVolSmile,VLOOKUP(MAX(-5,CT260+DA260-CF260),IF(OVolSmile=1,VolSmileBook,VolSmileModel),2),0),"")</f>
        <v>#VALUE!</v>
      </c>
      <c r="DH260" s="1316" t="e">
        <f aca="false">IF(AND(BU260&gt;0,CO260&gt;0,DB260&gt;0,CU260&gt;0),newSPRDOPT(BU260,CO260,CW260,0,DB260,CU260,CV260,BT260*365.25,OCallPut,0),0)</f>
        <v>#VALUE!</v>
      </c>
      <c r="DI260" s="1316" t="e">
        <f aca="false">IF(AND(BV260&gt;0,CP260&gt;0,DC260&gt;0,CU260&gt;0),newSPRDOPT(BV260,CP260,CX260,0,DC260,CU260,CV260,BT260*365.25,OCallPut,0),0)</f>
        <v>#VALUE!</v>
      </c>
      <c r="DJ260" s="1316" t="e">
        <f aca="false">IF(AND(BW260&gt;0,CQ260&gt;0,DD260&gt;0,CU260&gt;0),newSPRDOPT(BW260,CQ260,CY260,0,DD260,CU260,CV260,BT260*365.25,OCallPut,0),0)</f>
        <v>#VALUE!</v>
      </c>
      <c r="DK260" s="1316" t="e">
        <f aca="false">IF(AND(BX260&gt;0,CR260&gt;0,DE260&gt;0,CU260&gt;0),newSPRDOPT(BX260,CR260,CZ260,0,DE260,CU260,CV260,BT260*365.25,OCallPut,0),0)</f>
        <v>#VALUE!</v>
      </c>
      <c r="DL260" s="1316" t="e">
        <f aca="false">IF(OVolType,IF(AND(BZ260&gt;0,CS260&gt;0,DF260&gt;0,CU260&gt;0),newSPRDOPT(BZ260,CS260,DA260,0,DF260,CU260,CV260,BT260*365.25,OCallPut,0),0),IF(BQ260,(DH260*AZ260+DI260*BA260+DJ260*BB260+DK260*BC260)/BQ260,0))</f>
        <v>#VALUE!</v>
      </c>
      <c r="DM260" s="1316"/>
      <c r="DN260" s="1316"/>
      <c r="DO260" s="1316"/>
      <c r="DP260" s="1316"/>
      <c r="DQ260" s="1316"/>
      <c r="DR260" s="1316"/>
      <c r="DS260" s="1316"/>
      <c r="DT260" s="1316"/>
      <c r="DU260" s="1316"/>
      <c r="DV260" s="1316"/>
      <c r="DW260" s="1594" t="e">
        <f aca="false">IF(AND(BW260&gt;0,CT260&gt;0,DD260&gt;0,CU260&gt;0),newSPRDOPT(BW260,CT260,CY260,0,DD260,CU260,CV260,BT260*365.25,OCallPut,0),0)</f>
        <v>#VALUE!</v>
      </c>
      <c r="DX260" s="1316" t="e">
        <f aca="false">IF(AND(BX260&gt;0,CT260&gt;0,DE260&gt;0,CU260&gt;0),newSPRDOPT(BX260,CT260,CZ260,0,DE260,CU260,CV260,BT260*365.25,OCallPut,0),0)</f>
        <v>#VALUE!</v>
      </c>
      <c r="DY260" s="1591" t="e">
        <f aca="false">IF(BS260,(DH260*BH260+DI260*BI260+DW260*BJ260+DX260*BK260)/BS260,0)</f>
        <v>#VALUE!</v>
      </c>
      <c r="DZ260" s="1551" t="e">
        <f aca="false">DH260*AZ260</f>
        <v>#VALUE!</v>
      </c>
      <c r="EA260" s="1551" t="e">
        <f aca="false">DI260*BA260</f>
        <v>#VALUE!</v>
      </c>
      <c r="EB260" s="1551" t="e">
        <f aca="false">DJ260*BB260</f>
        <v>#VALUE!</v>
      </c>
      <c r="EC260" s="1551" t="e">
        <f aca="false">DK260*BC260</f>
        <v>#VALUE!</v>
      </c>
      <c r="ED260" s="1551" t="e">
        <f aca="false">DL260*BQ260</f>
        <v>#VALUE!</v>
      </c>
      <c r="EE260" s="1595" t="e">
        <f aca="false">IF(BQ260,IF(OCallPut,IF(BU260&gt;(CO260+CW260),BU260-(CO260+CW260),0),IF((CO260+CW260)&gt;BU260,(CO260+CW260)-BU260,0))*AZ260,0)</f>
        <v>#VALUE!</v>
      </c>
      <c r="EF260" s="1596" t="e">
        <f aca="false">IF(BQ260,IF(OCallPut,IF(BV260&gt;(CP260+CX260),BV260-(CP260+CX260),0),IF((CP260+CX260)&gt;BV260,(CP260+CX260)-BV260,0))*BA260,0)</f>
        <v>#VALUE!</v>
      </c>
      <c r="EG260" s="1596" t="e">
        <f aca="false">IF(BQ260,IF(OCallPut,IF(BW260&gt;(CQ260+CY260),BW260-(CQ260+CY260),0),IF((CQ260+CY260)&gt;BW260,(CQ260+CY260)-BW260,0))*BB260,0)</f>
        <v>#VALUE!</v>
      </c>
      <c r="EH260" s="1596" t="e">
        <f aca="false">IF(BQ260,IF(OCallPut,IF(BX260&gt;(CR260+CZ260),BX260-(CR260+CZ260),0),IF((CR260+CZ260)&gt;BX260,(CR260+CZ260)-BX260,0))*BC260,0)</f>
        <v>#VALUE!</v>
      </c>
      <c r="EI260" s="1597" t="e">
        <f aca="false">IF(BQ260,IF(OVolType,IF(OCallPut,IF(BZ260&gt;(CS260+DA260),BZ260-(CS260+DA260),0),IF((CS260+DA260)&gt;BZ260,(CS260+DA260)-BZ260,0))*BQ260,SUM(EE260:EH260)),0)</f>
        <v>#VALUE!</v>
      </c>
      <c r="EJ260" s="1595" t="e">
        <f aca="false">DZ260-EE260</f>
        <v>#VALUE!</v>
      </c>
      <c r="EK260" s="1596" t="e">
        <f aca="false">EA260-EF260</f>
        <v>#VALUE!</v>
      </c>
      <c r="EL260" s="1596" t="e">
        <f aca="false">EB260-EG260</f>
        <v>#VALUE!</v>
      </c>
      <c r="EM260" s="1596" t="e">
        <f aca="false">EC260-EH260</f>
        <v>#VALUE!</v>
      </c>
      <c r="EN260" s="1597" t="e">
        <f aca="false">ED260-EI260</f>
        <v>#VALUE!</v>
      </c>
      <c r="EO260" s="1551" t="e">
        <f aca="false">DH260*BH260</f>
        <v>#VALUE!</v>
      </c>
      <c r="EP260" s="1551" t="e">
        <f aca="false">DI260*BI260</f>
        <v>#VALUE!</v>
      </c>
      <c r="EQ260" s="1551" t="e">
        <f aca="false">DW260*BJ260</f>
        <v>#VALUE!</v>
      </c>
      <c r="ER260" s="1551" t="e">
        <f aca="false">DX260*BK260</f>
        <v>#VALUE!</v>
      </c>
      <c r="ES260" s="1551" t="e">
        <f aca="false">DY260*BS260</f>
        <v>#VALUE!</v>
      </c>
      <c r="ET260" s="1566" t="e">
        <f aca="false">IF(EI260,IF(OCallPut,IF(CA260&gt;(CT260+CW260),CA260-(CT260+CW260),0),IF((CT260+CW260)&gt;CA260,(CT260+CW260)-CA260,0))*BH260,0)</f>
        <v>#VALUE!</v>
      </c>
      <c r="EU260" s="1551" t="e">
        <f aca="false">IF(EI260,IF(OCallPut,IF(CB260&gt;(CT260+CX260),CB260-(CT260+CX260),0),IF((CT260+CX260)&gt;CB260,(CT260+CX260)-CB260,0))*BI260,0)</f>
        <v>#VALUE!</v>
      </c>
      <c r="EV260" s="1551" t="e">
        <f aca="false">IF(EI260,IF(OCallPut,IF(CC260&gt;(CT260+CY260),CC260-(CT260+CY260),0),IF((CT260+CY260)&gt;CC260,(CT260+CY260)-CC260,0))*BJ260,0)</f>
        <v>#VALUE!</v>
      </c>
      <c r="EW260" s="1551" t="e">
        <f aca="false">IF(EI260,IF(OCallPut,IF(CD260&gt;(CT260+CZ260),CD260-(CT260+CZ260),0),IF((CT260+CZ260)&gt;CD260,(CT260+CZ260)-CD260,0))*BK260,0)</f>
        <v>#VALUE!</v>
      </c>
      <c r="EX260" s="1558" t="e">
        <f aca="false">IF(EI260,SUM(ET260:EW260),0)</f>
        <v>#VALUE!</v>
      </c>
      <c r="EY260" s="1551" t="e">
        <f aca="false">EO260-ET260</f>
        <v>#VALUE!</v>
      </c>
      <c r="EZ260" s="1551" t="e">
        <f aca="false">EP260-EU260</f>
        <v>#VALUE!</v>
      </c>
      <c r="FA260" s="1551" t="e">
        <f aca="false">EQ260-EV260</f>
        <v>#VALUE!</v>
      </c>
      <c r="FB260" s="1551" t="e">
        <f aca="false">ER260-EW260</f>
        <v>#VALUE!</v>
      </c>
      <c r="FC260" s="1551" t="e">
        <f aca="false">ES260-EX260</f>
        <v>#VALUE!</v>
      </c>
      <c r="FD260" s="1525" t="n">
        <f aca="false">IF(AX260,IF(VLOOKUP(C260,MAIN!$L$17:$M$28,2)="Yes",VLOOKUP(CALC!B260,MAIN!$H$17:$I$20,2),0),0)</f>
        <v>0</v>
      </c>
      <c r="FE260" s="1552" t="e">
        <f aca="false">$FD260*16*AT260*(1-$AY260)</f>
        <v>#VALUE!</v>
      </c>
      <c r="FF260" s="1553" t="e">
        <f aca="false">$FD260*16*AU260*(1-$AY260)</f>
        <v>#VALUE!</v>
      </c>
      <c r="FG260" s="1553" t="e">
        <f aca="false">$FD260*16*(AV260+AW260)*(1-$AY260)</f>
        <v>#VALUE!</v>
      </c>
      <c r="FH260" s="1554" t="n">
        <f aca="false">$FD260*8*AX260*(1-$AY260)</f>
        <v>0</v>
      </c>
      <c r="FI260" s="1555" t="n">
        <f aca="false">IF(AX260,VLOOKUP(CALC!B260,MAIN!$H$17:$K$20,4),0)</f>
        <v>0</v>
      </c>
      <c r="FJ260" s="1553" t="e">
        <f aca="false">SUM(FE260:FH260)</f>
        <v>#VALUE!</v>
      </c>
      <c r="FK260" s="1556" t="e">
        <f aca="false">FI260*FJ260</f>
        <v>#VALUE!</v>
      </c>
      <c r="FL260" s="1551" t="e">
        <f aca="false">IF($EI260&gt;0,MIN(FE260,AZ260*(1+VLOOKUP($C260,WeatherCapacityAdjustment,2))),0)</f>
        <v>#VALUE!</v>
      </c>
      <c r="FM260" s="1551" t="e">
        <f aca="false">IF($EI260&gt;0,MIN(FF260,BA260*(1+VLOOKUP($C260,WeatherCapacityAdjustment,2))),0)</f>
        <v>#VALUE!</v>
      </c>
      <c r="FN260" s="1551" t="e">
        <f aca="false">IF($EI260&gt;0,MIN(FG260,BB260*(1+VLOOKUP($C260,WeatherCapacityAdjustment,2))),0)</f>
        <v>#VALUE!</v>
      </c>
      <c r="FO260" s="1564" t="e">
        <f aca="false">IF($EI260&gt;0,MIN(FH260,BC260*(1+VLOOKUP($C260,WeatherCapacityAdjustment,3))),0)</f>
        <v>#VALUE!</v>
      </c>
      <c r="FP260" s="1551" t="e">
        <f aca="false">IF(ET260&gt;0,MIN(FE260-FL260,BH260*(1+VLOOKUP($C260,WeatherCapacityAdjustment,2))),0)</f>
        <v>#VALUE!</v>
      </c>
      <c r="FQ260" s="1551" t="e">
        <f aca="false">IF(EU260&gt;0,MIN(FF260-FM260,BI260*(1+VLOOKUP($C260,WeatherCapacityAdjustment,2))),0)</f>
        <v>#VALUE!</v>
      </c>
      <c r="FR260" s="1551" t="e">
        <f aca="false">IF(EV260&gt;0,MIN(FG260-FN260,BJ260*(1+VLOOKUP($C260,WeatherCapacityAdjustment,2))),0)</f>
        <v>#VALUE!</v>
      </c>
      <c r="FS260" s="1558" t="e">
        <f aca="false">IF(EW260&gt;0,MIN(FH260-FO260,BK260*(1+VLOOKUP($C260,WeatherCapacityAdjustment,3))),0)</f>
        <v>#VALUE!</v>
      </c>
      <c r="FT260" s="1566" t="e">
        <f aca="false">IF(AND(Assumptions!$H$71="Yes",A260&gt;=Assumptions!$H$72,A260&lt;=Assumptions!$H$73),0,IF(AND($A260&gt;=Assumptions!$C$17,$A260&lt;=Assumptions!$C$18),MAX(AZ260*(1+VLOOKUP($C260,WeatherCapacityAdjustment,2))-FL260,0),0))</f>
        <v>#VALUE!</v>
      </c>
      <c r="FU260" s="1551" t="e">
        <f aca="false">IF(AND(Assumptions!$H$71="Yes",A260&gt;=Assumptions!$H$72,A260&lt;=Assumptions!$H$73),0,IF(AND($A260&gt;=Assumptions!$C$17,$A260&lt;=Assumptions!$C$18),MAX(BA260*(1+VLOOKUP($C260,WeatherCapacityAdjustment,2))-FM260,0),0))</f>
        <v>#VALUE!</v>
      </c>
      <c r="FV260" s="1551" t="e">
        <f aca="false">IF(AND(Assumptions!$H$71="Yes",A260&gt;=Assumptions!$H$72,A260&lt;=Assumptions!$H$73),0,IF(AND($A260&gt;=Assumptions!$C$17,$A260&lt;=Assumptions!$C$18),MAX(BB260*(1+VLOOKUP($C260,WeatherCapacityAdjustment,2))-FN260,0),0))</f>
        <v>#VALUE!</v>
      </c>
      <c r="FW260" s="1564" t="e">
        <f aca="false">IF(AND(Assumptions!$H$71="Yes",A260&gt;=Assumptions!$H$72,A260&lt;=Assumptions!$H$73),0,IF(AND($A260&gt;=Assumptions!$C$17,$A260&lt;=Assumptions!$C$18),MAX(BC260*(1+VLOOKUP($C260,WeatherCapacityAdjustment,3))-FO260,0),0))</f>
        <v>#VALUE!</v>
      </c>
      <c r="FX260" s="1569" t="e">
        <f aca="false">IF(AND(Assumptions!$H$71="Yes",A260&gt;=Assumptions!$H$72,A260&lt;=Assumptions!$H$73),0,IF(ET260&gt;0,MAX(BH260*(1+VLOOKUP($C260,WeatherCapacityAdjustment,2))-FP260,0),0))</f>
        <v>#VALUE!</v>
      </c>
      <c r="FY260" s="1551" t="e">
        <f aca="false">IF(AND(Assumptions!$H$71="Yes",A260&gt;=Assumptions!$H$72,A260&lt;=Assumptions!$H$73),0,IF(EU260&gt;0,MAX(BI260*(1+VLOOKUP($C260,WeatherCapacityAdjustment,3))-FQ260,0),0))</f>
        <v>#VALUE!</v>
      </c>
      <c r="FZ260" s="1551" t="e">
        <f aca="false">IF(AND(Assumptions!$H$71="Yes",A260&gt;=Assumptions!$H$72,A260&lt;=Assumptions!$H$73),0,IF(EV260&gt;0,MAX(BJ260*(1+VLOOKUP($C260,WeatherCapacityAdjustment,2))-FR260,0),0))</f>
        <v>#VALUE!</v>
      </c>
      <c r="GA260" s="1564" t="e">
        <f aca="false">IF(AND(Assumptions!$H$71="Yes",A260&gt;=Assumptions!$H$72,A260&lt;=Assumptions!$H$73),0,IF(EW260&gt;0,MAX(BK260*(1+VLOOKUP($C260,WeatherCapacityAdjustment,2))-FS260,0),0))</f>
        <v>#VALUE!</v>
      </c>
      <c r="GB260" s="1551" t="e">
        <f aca="false">SUM(FT260:GA260)</f>
        <v>#VALUE!</v>
      </c>
      <c r="GC260" s="1563" t="e">
        <f aca="false">+IF(SUM(FT260:GA260)=0,0,(SUMPRODUCT(BU260:BX260,FT260:FW260)+SUMPRODUCT(CA260:CD260,FX260:GA260))/SUM(FT260:GA260))</f>
        <v>#VALUE!</v>
      </c>
      <c r="GD260" s="1551" t="e">
        <f aca="false">(FT260*BU260+FX260*CA260+FU260*BV260+FY260*CB260+FV260*BW260+FZ260*CC260+FW260*BX260+GA260*CD260)</f>
        <v>#VALUE!</v>
      </c>
      <c r="GE260" s="1561" t="e">
        <f aca="false">+IF(BQ260,((FL260+FM260+FT260+FU260)*HeatRatePeak/1000*(1+VLOOKUP($C260,WeatherHeatRateAdjustment,2))+(FN260+FV260)*IF(EV260&gt;0,HeatRatePeak,HeatRateOffPeak)/1000*(1+VLOOKUP($C260,WeatherHeatRateAdjustment,2))+(FO260+FW260)*IF(EW260&gt;0,HeatRatePeak,HeatRateOffPeak)/1000*(1+VLOOKUP($C260,WeatherHeatRateAdjustment,3)))*(1+VLOOKUP($B260,HeatRateDegradation,$C260+1)),0)</f>
        <v>#VALUE!</v>
      </c>
      <c r="GF260" s="1562" t="e">
        <f aca="false">IF(BQ260,((FP260+FQ260+FR260+FX260+FY260+FZ260)*HeatRatePeak/1000*(1+VLOOKUP($C260,WeatherHeatRateAdjustment,2))+(FS260+GA260)*HeatRatePeak/1000*(1+VLOOKUP($C260,WeatherHeatRateAdjustment,3)))*(1+VLOOKUP($B260,HeatRateDegradation,$C260+1)),0)</f>
        <v>#VALUE!</v>
      </c>
      <c r="GG260" s="1563" t="e">
        <f aca="false">IF(BQ260,VLOOKUP(A260,GasTable,13),0)</f>
        <v>#VALUE!</v>
      </c>
      <c r="GH260" s="1564" t="e">
        <f aca="false">(GE260+GF260)*GG260</f>
        <v>#VALUE!</v>
      </c>
      <c r="GI260" s="1569" t="e">
        <f aca="false">GB260</f>
        <v>#VALUE!</v>
      </c>
      <c r="GJ260" s="1598" t="e">
        <f aca="false">+DA260</f>
        <v>#VALUE!</v>
      </c>
      <c r="GK260" s="1558" t="e">
        <f aca="false">+GI260*GJ260</f>
        <v>#VALUE!</v>
      </c>
      <c r="GL260" s="1566" t="e">
        <f aca="false">MAX(FE260-FL260-FP260,0)</f>
        <v>#VALUE!</v>
      </c>
      <c r="GM260" s="1551" t="e">
        <f aca="false">MAX(FF260-FM260-FQ260,0)</f>
        <v>#VALUE!</v>
      </c>
      <c r="GN260" s="1551" t="e">
        <f aca="false">MAX(FG260-FN260-FR260,0)</f>
        <v>#VALUE!</v>
      </c>
      <c r="GO260" s="1564" t="e">
        <f aca="false">MAX(FH260-FO260-FS260,0)</f>
        <v>#VALUE!</v>
      </c>
      <c r="GP260" s="1551" t="e">
        <f aca="false">SUM(GL260:GO260)</f>
        <v>#VALUE!</v>
      </c>
      <c r="GQ260" s="1563" t="e">
        <f aca="false">IF(SUM(GL260:GO260)=0,0,((GL260*BU260+GM260*BV260+GN260*BW260+GO260*BX260)/SUM(GL260:GO260)))</f>
        <v>#VALUE!</v>
      </c>
      <c r="GR260" s="1558" t="e">
        <f aca="false">(GL260*BU260+GM260*BV260+GN260*BW260+GO260*BX260)</f>
        <v>#VALUE!</v>
      </c>
      <c r="GS260" s="1566" t="n">
        <f aca="false">IF($A260&gt;=BegDate,Assumptions!$C$56*24*($A261-$A260)*(1-VLOOKUP($B260,MAIN!$AA$7:$AM$28,$C260+1))*(1-VLOOKUP($B260,MAIN!$AA$33:$AM$54,$C260+1)),0)*80/168</f>
        <v>257742.857142857</v>
      </c>
      <c r="GT260" s="286" t="n">
        <f aca="false">J260</f>
        <v>88.9510400443583</v>
      </c>
      <c r="GU260" s="286" t="n">
        <f aca="false">IF($A260&gt;=BegDate,VLOOKUP($A260,GasTable,13)+Assumptions!$C$58,0)</f>
        <v>3.82455487568486</v>
      </c>
      <c r="GV260" s="286" t="n">
        <f aca="false">GU260*Assumptions!$C$57/1000</f>
        <v>27.7280228487152</v>
      </c>
      <c r="GW260" s="1558" t="n">
        <f aca="false">IF(Assumptions!$C$60="Hourly",MAX(0,GS260*(GT260-GV260)),GS260*(GT260-GV260))</f>
        <v>15779795.3749113</v>
      </c>
      <c r="GX260" s="1566" t="n">
        <f aca="false">IF($A260&gt;=BegDate,Assumptions!$C$56*24*($A261-$A260)*(1-VLOOKUP($B260,MAIN!$AA$7:$AM$28,$C260+1))*(1-VLOOKUP($B260,MAIN!$AA$33:$AM$54,$C260+1)),0)*16/168</f>
        <v>51548.5714285714</v>
      </c>
      <c r="GY260" s="286" t="n">
        <f aca="false">M260</f>
        <v>88.9510400443583</v>
      </c>
      <c r="GZ260" s="286" t="n">
        <f aca="false">IF($A260&gt;=BegDate,VLOOKUP($A260,GasTable,13)+Assumptions!$C$58,0)</f>
        <v>3.82455487568486</v>
      </c>
      <c r="HA260" s="286" t="n">
        <f aca="false">GZ260*Assumptions!$C$57/1000</f>
        <v>27.7280228487152</v>
      </c>
      <c r="HB260" s="1558" t="n">
        <f aca="false">IF(Assumptions!$C$60="Hourly",MAX(0,GX260*(GY260-HA260)),GX260*(GY260-HA260))</f>
        <v>3155959.07498226</v>
      </c>
      <c r="HC260" s="1566" t="n">
        <f aca="false">IF($A260&gt;=BegDate,Assumptions!$C$56*24*($A261-$A260)*(1-VLOOKUP($B260,MAIN!$AA$7:$AM$28,$C260+1))*(1-VLOOKUP($B260,MAIN!$AA$33:$AM$54,$C260+1)),0)*16/168</f>
        <v>51548.5714285714</v>
      </c>
      <c r="HD260" s="286" t="n">
        <f aca="false">P260</f>
        <v>36.5485107462232</v>
      </c>
      <c r="HE260" s="286" t="n">
        <f aca="false">IF($A260&gt;=BegDate,VLOOKUP($A260,GasTable,13)+Assumptions!$C$58,0)</f>
        <v>3.82455487568486</v>
      </c>
      <c r="HF260" s="286" t="n">
        <f aca="false">HE260*Assumptions!$C$57/1000</f>
        <v>27.7280228487152</v>
      </c>
      <c r="HG260" s="1558" t="n">
        <f aca="false">IF(Assumptions!$C$60="Hourly",MAX(0,HC260*(HD260-HF260)),HC260*(HD260-HF260))</f>
        <v>454683.550419541</v>
      </c>
      <c r="HH260" s="1566" t="n">
        <f aca="false">IF($A260&gt;=BegDate,Assumptions!$C$56*24*($A261-$A260)*(1-VLOOKUP($B260,MAIN!$AA$7:$AM$28,$C260+1))*(1-VLOOKUP($B260,MAIN!$AA$33:$AM$54,$C260+1)),0)*56/168</f>
        <v>180420</v>
      </c>
      <c r="HI260" s="286" t="n">
        <f aca="false">S260</f>
        <v>36.5485107462232</v>
      </c>
      <c r="HJ260" s="286" t="n">
        <f aca="false">IF($A260&gt;=BegDate,VLOOKUP($A260,GasTable,13)+Assumptions!$C$58,0)</f>
        <v>3.82455487568486</v>
      </c>
      <c r="HK260" s="286" t="n">
        <f aca="false">HJ260*Assumptions!$C$57/1000</f>
        <v>27.7280228487152</v>
      </c>
      <c r="HL260" s="1558" t="n">
        <f aca="false">IF(Assumptions!$C$60="Hourly",MAX(0,HH260*(HI260-HK260)),HH260*(HI260-HK260))</f>
        <v>1591392.42646839</v>
      </c>
      <c r="HM260" s="1566" t="n">
        <f aca="false">IF(AND(Assumptions!$H$71="Yes",A260&gt;=Assumptions!$H$72,A260&lt;=Assumptions!$H$73),Assumptions!$H$74*Assumptions!$C$9*1000,0)</f>
        <v>0</v>
      </c>
      <c r="HN260" s="1551"/>
      <c r="HO260" s="1563"/>
      <c r="HP260" s="1563"/>
      <c r="HQ260" s="1563"/>
      <c r="HR260" s="1563"/>
      <c r="HS260" s="1563"/>
      <c r="HT260" s="1563"/>
      <c r="HU260" s="1563"/>
      <c r="HV260" s="1563"/>
      <c r="HW260" s="1563"/>
      <c r="HX260" s="1563"/>
      <c r="HY260" s="1563"/>
      <c r="HZ260" s="1563"/>
      <c r="IA260" s="1563"/>
      <c r="IB260" s="1563"/>
      <c r="IC260" s="1563"/>
      <c r="ID260" s="1563"/>
      <c r="IE260" s="1563"/>
      <c r="IF260" s="1563"/>
      <c r="IG260" s="1563"/>
      <c r="IH260" s="1563"/>
      <c r="II260" s="1610"/>
      <c r="IJ260" s="1309"/>
      <c r="IK260" s="1309"/>
    </row>
    <row r="261" customFormat="false" ht="12.75" hidden="false" customHeight="false" outlineLevel="0" collapsed="false">
      <c r="A261" s="1571" t="n">
        <f aca="false">EOMONTH(A260,0)+1</f>
        <v>44075</v>
      </c>
      <c r="B261" s="594" t="n">
        <f aca="false">+YEAR(A261)</f>
        <v>2020</v>
      </c>
      <c r="C261" s="238" t="n">
        <f aca="false">MONTH(A261)</f>
        <v>9</v>
      </c>
      <c r="D261" s="1572" t="e">
        <f aca="false">IF(E261="","",Holiday(B261,C261))</f>
        <v>#VALUE!</v>
      </c>
      <c r="E261" s="1573" t="n">
        <f aca="false">IF(OR(BegDate&gt;=A262,EndDate&lt;A261,AND(VolumeMonthlyOverFlag,INDEX(VolumeMonthlyOver,C261)=0),NOT(INDEX(MonthKnockOutTable,C261))),"",MAX(A261,BegDate))</f>
        <v>44075</v>
      </c>
      <c r="F261" s="1574" t="n">
        <f aca="false">IF(E261="","",MIN(A262-1,EndDate))</f>
        <v>44104</v>
      </c>
      <c r="G261" s="1575" t="n">
        <v>0</v>
      </c>
      <c r="H261" s="1576" t="n">
        <f aca="false">(1+G261/2)^(-2*(DATE(B262,C262,20)-DateToday)/365.25)</f>
        <v>1</v>
      </c>
      <c r="I261" s="1568" t="n">
        <f aca="false">IF(Assumptions!$L$25=4,VLOOKUP($A261,'Henwood Reference'!$E$9:$R$320,10),(VLOOKUP($A261,PriceTable,2,0)+IF(BasisNumber&lt;&gt;1,VLOOKUP($A261,BasisTable,2,0),0)+I$1)/(1-I$2))</f>
        <v>74.7009531116655</v>
      </c>
      <c r="J261" s="1568" t="n">
        <f aca="false">IF(Assumptions!$L$25=4,VLOOKUP($A261,'Henwood Reference'!$E$9:$R$320,10),(VLOOKUP($A261,PriceTable,3,0)+IF(BasisNumber&lt;&gt;1,VLOOKUP($A261,BasisTable,2,0),0)+J$1)/(1-J$2))</f>
        <v>74.7009531116655</v>
      </c>
      <c r="K261" s="1568" t="n">
        <f aca="false">IF(Assumptions!$L$25=4,VLOOKUP($A261,'Henwood Reference'!$E$9:$R$320,10),(VLOOKUP($A261,PriceTable,4,0)+IF(BasisNumber&lt;&gt;1,VLOOKUP($A261,BasisTable,2,0),0)+K$1)/(1-K$2))</f>
        <v>74.7009531116655</v>
      </c>
      <c r="L261" s="1523" t="n">
        <f aca="false">IF(Assumptions!$L$25=4,VLOOKUP($A261,'Henwood Reference'!$E$9:$R$320,10),(VLOOKUP($A261,PriceTableWeekend,2,0)+IF(BasisNumber&lt;&gt;1,VLOOKUP($A261,BasisTable,2,0),0)+L$1)/(1-L$2))</f>
        <v>74.7009531116655</v>
      </c>
      <c r="M261" s="1568" t="n">
        <f aca="false">IF(Assumptions!$L$25=4,VLOOKUP($A261,'Henwood Reference'!$E$9:$R$320,10),(VLOOKUP($A261,PriceTableWeekend,3,0)+IF(BasisNumber&lt;&gt;1,VLOOKUP($A261,BasisTable,2,0),0)+M$1)/(1-M$2))</f>
        <v>74.7009531116655</v>
      </c>
      <c r="N261" s="1599" t="n">
        <f aca="false">IF(Assumptions!$L$25=4,VLOOKUP($A261,'Henwood Reference'!$E$9:$R$320,10),(VLOOKUP($A261,PriceTableWeekend,4,0)+IF(BasisNumber&lt;&gt;1,VLOOKUP($A261,BasisTable,2,0),0)+N$1)/(1-N$2))</f>
        <v>74.7009531116655</v>
      </c>
      <c r="O261" s="1568" t="n">
        <f aca="false">IF(Assumptions!$L$25=4,VLOOKUP($A261,'Henwood Reference'!$E$9:$R$320,11),(VLOOKUP($A261,PriceTableWeekend,6,0)+IF(BasisNumber&lt;&gt;1,VLOOKUP($A261,BasisTable,3,0),0)+O$1)/(1-O$2))</f>
        <v>35.1808447629647</v>
      </c>
      <c r="P261" s="1568" t="n">
        <f aca="false">IF(Assumptions!$L$25=4,VLOOKUP($A261,'Henwood Reference'!$E$9:$R$320,11),(VLOOKUP($A261,PriceTableWeekend,7,0)+IF(BasisNumber&lt;&gt;1,VLOOKUP($A261,BasisTable,3,0),0)+P$1)/(1-P$2))</f>
        <v>35.1808447629647</v>
      </c>
      <c r="Q261" s="1599" t="n">
        <f aca="false">IF(Assumptions!$L$25=4,VLOOKUP($A261,'Henwood Reference'!$E$9:$R$320,11),(VLOOKUP($A261,PriceTableWeekend,8,0)+IF(BasisNumber&lt;&gt;1,VLOOKUP($A261,BasisTable,3,0),0)+Q$1)/(1-Q$2))</f>
        <v>35.1808447629647</v>
      </c>
      <c r="R261" s="1568" t="n">
        <f aca="false">IF(Assumptions!$L$25=4,VLOOKUP($A261,'Henwood Reference'!$E$9:$R$320,11),(VLOOKUP($A261,PriceTable,6,0)+IF(BasisNumber&lt;&gt;1,VLOOKUP($A261,BasisTable,3,0),0)+R$1)/(1-R$2))</f>
        <v>35.1808447629647</v>
      </c>
      <c r="S261" s="1568" t="n">
        <f aca="false">IF(Assumptions!$L$25=4,VLOOKUP($A261,'Henwood Reference'!$E$9:$R$320,11),(VLOOKUP($A261,PriceTable,7,0)+IF(BasisNumber&lt;&gt;1,VLOOKUP($A261,BasisTable,3,0),0)+S$1)/(1-S$2))</f>
        <v>35.1808447629647</v>
      </c>
      <c r="T261" s="1600" t="n">
        <f aca="false">IF(Assumptions!$L$25=4,VLOOKUP($A261,'Henwood Reference'!$E$9:$R$320,11),(VLOOKUP($A261,PriceTable,8,0)+IF(BasisNumber&lt;&gt;1,VLOOKUP($A261,BasisTable,3,0),0)+T$1)/(1-T$2))</f>
        <v>35.1808447629647</v>
      </c>
      <c r="U261" s="1513" t="n">
        <f aca="false">VLOOKUP($A261,VolatilityTable,14)</f>
        <v>0.09</v>
      </c>
      <c r="V261" s="1513" t="n">
        <f aca="false">VLOOKUP($A261,VolatilityTable,15)</f>
        <v>0.1</v>
      </c>
      <c r="W261" s="1514" t="n">
        <f aca="false">VLOOKUP($A261,VolatilityTable,16)</f>
        <v>0.11</v>
      </c>
      <c r="X261" s="1513" t="n">
        <f aca="false">VLOOKUP($A261,VolatilityTable,14)</f>
        <v>0.09</v>
      </c>
      <c r="Y261" s="1513" t="n">
        <f aca="false">VLOOKUP($A261,VolatilityTable,15)</f>
        <v>0.1</v>
      </c>
      <c r="Z261" s="1514" t="n">
        <f aca="false">VLOOKUP($A261,VolatilityTable,16)</f>
        <v>0.11</v>
      </c>
      <c r="AA261" s="1513" t="n">
        <f aca="false">VLOOKUP($A261,VolatilityTable,18)</f>
        <v>0.09</v>
      </c>
      <c r="AB261" s="1513" t="n">
        <f aca="false">VLOOKUP($A261,VolatilityTable,19)</f>
        <v>0.11</v>
      </c>
      <c r="AC261" s="1514" t="n">
        <f aca="false">VLOOKUP($A261,VolatilityTable,20)</f>
        <v>0.13</v>
      </c>
      <c r="AD261" s="1513" t="n">
        <f aca="false">VLOOKUP($A261,VolatilityTable,18)</f>
        <v>0.09</v>
      </c>
      <c r="AE261" s="1513" t="n">
        <f aca="false">VLOOKUP($A261,VolatilityTable,19)</f>
        <v>0.11</v>
      </c>
      <c r="AF261" s="1514" t="n">
        <f aca="false">VLOOKUP($A261,VolatilityTable,20)</f>
        <v>0.13</v>
      </c>
      <c r="AG261" s="1513" t="n">
        <f aca="false">VLOOKUP($A261,VolatilityTable,22)</f>
        <v>-0.35</v>
      </c>
      <c r="AH261" s="1513" t="n">
        <f aca="false">VLOOKUP($A261,VolatilityTable,23)</f>
        <v>3</v>
      </c>
      <c r="AI261" s="1514" t="n">
        <f aca="false">VLOOKUP($A261,VolatilityTable,24)</f>
        <v>0.2</v>
      </c>
      <c r="AJ261" s="1513" t="n">
        <f aca="false">VLOOKUP($A261,VolatilityTable,22)</f>
        <v>-0.35</v>
      </c>
      <c r="AK261" s="1513" t="n">
        <f aca="false">VLOOKUP($A261,VolatilityTable,23)</f>
        <v>3</v>
      </c>
      <c r="AL261" s="1514" t="n">
        <f aca="false">VLOOKUP($A261,VolatilityTable,24)</f>
        <v>0.2</v>
      </c>
      <c r="AM261" s="1513" t="n">
        <f aca="false">VLOOKUP($A261,VolatilityTable,26)</f>
        <v>-0.01</v>
      </c>
      <c r="AN261" s="1513" t="n">
        <f aca="false">VLOOKUP($A261,VolatilityTable,27)</f>
        <v>0.16</v>
      </c>
      <c r="AO261" s="1514" t="n">
        <f aca="false">VLOOKUP($A261,VolatilityTable,28)</f>
        <v>0.01</v>
      </c>
      <c r="AP261" s="1513" t="n">
        <f aca="false">VLOOKUP($A261,VolatilityTable,26)</f>
        <v>-0.01</v>
      </c>
      <c r="AQ261" s="1513" t="n">
        <f aca="false">VLOOKUP($A261,VolatilityTable,27)</f>
        <v>0.16</v>
      </c>
      <c r="AR261" s="1515" t="n">
        <f aca="false">VLOOKUP($A261,VolatilityTable,28)</f>
        <v>0.01</v>
      </c>
      <c r="AS261" s="1581" t="n">
        <f aca="false">IF(CorrPeakOffPeakOverFlag,INDEX(CorrPeakOffPeakOver,C261),CorrPeakOffPeak)</f>
        <v>0.5</v>
      </c>
      <c r="AT261" s="594" t="e">
        <f aca="false">AX261-SUM(AU261:AW261)</f>
        <v>#VALUE!</v>
      </c>
      <c r="AU261" s="238" t="e">
        <f aca="false">IF(E261="",0,INT((F261-MOD(F261,7)-E261)/7)+1-IF(AW261,IF(WEEKDAY(D261)=7,1,0),0))</f>
        <v>#VALUE!</v>
      </c>
      <c r="AV261" s="238" t="e">
        <f aca="false">IF(E261="",0,INT((F261-MOD(F261-1,7)-E261)/7)+1-IF(AW261,IF(WEEKDAY(D261)=1,1,0),0))</f>
        <v>#VALUE!</v>
      </c>
      <c r="AW261" s="238" t="e">
        <f aca="false">IF(OR(E261="",D261="",D261&lt;BegDate,D261&gt;EndDate),0,1)</f>
        <v>#VALUE!</v>
      </c>
      <c r="AX261" s="238" t="n">
        <f aca="false">IF(E261="",0,F261-E261+1)</f>
        <v>30</v>
      </c>
      <c r="AY261" s="1582" t="n">
        <f aca="false">IF(E261="",0,MIN((1-(1-VLOOKUP(B261,MAIN!$AA$7:$AM$28,C261+1))*(1-VLOOKUP(B261,MAIN!$AA$33:$AM$54,C261+1))),1))</f>
        <v>0.03</v>
      </c>
      <c r="AZ261" s="1519" t="e">
        <v>#VALUE!</v>
      </c>
      <c r="BA261" s="1520" t="e">
        <v>#VALUE!</v>
      </c>
      <c r="BB261" s="1520" t="e">
        <v>#VALUE!</v>
      </c>
      <c r="BC261" s="1583" t="e">
        <v>#VALUE!</v>
      </c>
      <c r="BD261" s="1522" t="e">
        <v>#VALUE!</v>
      </c>
      <c r="BE261" s="1523" t="e">
        <v>#VALUE!</v>
      </c>
      <c r="BF261" s="1523" t="e">
        <v>#VALUE!</v>
      </c>
      <c r="BG261" s="1584" t="e">
        <v>#VALUE!</v>
      </c>
      <c r="BH261" s="1525" t="e">
        <v>#VALUE!</v>
      </c>
      <c r="BI261" s="1520" t="e">
        <v>#VALUE!</v>
      </c>
      <c r="BJ261" s="1520" t="e">
        <v>#VALUE!</v>
      </c>
      <c r="BK261" s="1583" t="e">
        <v>#VALUE!</v>
      </c>
      <c r="BL261" s="1522" t="e">
        <v>#VALUE!</v>
      </c>
      <c r="BM261" s="1523" t="e">
        <v>#VALUE!</v>
      </c>
      <c r="BN261" s="1523" t="e">
        <v>#VALUE!</v>
      </c>
      <c r="BO261" s="1523" t="e">
        <v>#VALUE!</v>
      </c>
      <c r="BP261" s="1525" t="e">
        <f aca="false">SUM(AZ261:BB261)</f>
        <v>#VALUE!</v>
      </c>
      <c r="BQ261" s="1529" t="e">
        <f aca="false">SUM(AZ261:BC261)</f>
        <v>#VALUE!</v>
      </c>
      <c r="BR261" s="1519" t="e">
        <f aca="false">SUM(BH261:BJ261)</f>
        <v>#VALUE!</v>
      </c>
      <c r="BS261" s="1529" t="e">
        <f aca="false">SUM(BH261:BK261)</f>
        <v>#VALUE!</v>
      </c>
      <c r="BT261" s="1316" t="n">
        <f aca="false">(IF(OVolType&lt;&gt;2,A261+14,IF(OptExpDateShift,ShiftBack(A261,OptExpDateShift,D260),A261))-DateToday)/365.25</f>
        <v>20.3832991101985</v>
      </c>
      <c r="BU261" s="1585" t="e">
        <f aca="false">IF(BQ261,IF(OPriceCurve,IF(OBuySell=OCallPut,I261/(1-AY261),K261/(1-AY261)),J261/(1-AY261))*BD261,0)</f>
        <v>#VALUE!</v>
      </c>
      <c r="BV261" s="1316" t="e">
        <f aca="false">IF(BQ261,IF(OPriceCurve,IF(OBuySell=OCallPut,L261/(1-AY261),N261/(1-AY261)),M261/(1-AY261))*BE261,0)</f>
        <v>#VALUE!</v>
      </c>
      <c r="BW261" s="1316" t="e">
        <f aca="false">IF(BQ261,IF(OPriceCurve,IF(OBuySell=OCallPut,O261/(1-AY261),Q261/(1-AY261)),P261/(1-AY261))*BF261,0)</f>
        <v>#VALUE!</v>
      </c>
      <c r="BX261" s="1316" t="e">
        <f aca="false">IF(BQ261,IF(OPriceCurve,IF(OBuySell=OCallPut,R261/(1-AY261),T261/(1-AY261)),S261/(1-AY261))*BG261,0)</f>
        <v>#VALUE!</v>
      </c>
      <c r="BY261" s="1316" t="e">
        <f aca="false">IF(BP261,(BU261*AZ261+BV261*BA261+BW261*BB261)/BP261,0)</f>
        <v>#VALUE!</v>
      </c>
      <c r="BZ261" s="1316" t="e">
        <f aca="false">IF(BQ261,(BY261*BP261+BX261*BC261)/BQ261,0)</f>
        <v>#VALUE!</v>
      </c>
      <c r="CA261" s="1531" t="e">
        <f aca="false">IF(BS261,IF(OPriceCurve,IF(OBuySell=OCallPut,I261/(1-AY261),K261/(1-AY261)),J261/(1-AY261))*BL261,0)</f>
        <v>#VALUE!</v>
      </c>
      <c r="CB261" s="1316" t="e">
        <f aca="false">IF(BS261,IF(OPriceCurve,IF(OBuySell=OCallPut,L261/(1-AY261),N261/(1-AY261)),M261/(1-AY261))*BM261,0)</f>
        <v>#VALUE!</v>
      </c>
      <c r="CC261" s="1316" t="e">
        <f aca="false">IF(BS261,IF(OPriceCurve,IF(OBuySell=OCallPut,O261/(1-AY261),Q261/(1-AY261)),P261/(1-AY261))*BN261,0)</f>
        <v>#VALUE!</v>
      </c>
      <c r="CD261" s="1316" t="e">
        <f aca="false">IF(BS261,IF(OPriceCurve,IF(OBuySell=OCallPut,R261/(1-AY261),T261/(1-AY261)),S261/(1-AY261))*BO261,0)</f>
        <v>#VALUE!</v>
      </c>
      <c r="CE261" s="1316" t="e">
        <f aca="false">IF(BR261,(BU261*BH261+BV261*BI261+BW261*BJ261)/BR261,0)</f>
        <v>#VALUE!</v>
      </c>
      <c r="CF261" s="1532" t="e">
        <f aca="false">IF(BS261,(CE261*BR261+CD261*BK261)/BS261,0)</f>
        <v>#VALUE!</v>
      </c>
      <c r="CG261" s="1586" t="e">
        <f aca="false">IF(OR(BQ261,BS261),IF(OVolType&lt;&gt;2,SQRT(IF(OVolOverMonthlyPeak,OVolOverMonthlyPeak,IF(OVolCurve,IF(OBuySell,U261,W261),V261))^2*(1-15/365.25/BT261)+IF(OVolOverDailyPeak,OVolOverDailyPeak,IF(OVolCurve,IF(OBuySell,AG261,AI261),AH261))^2*15/365.25/BT261),IF(OVolOverMonthlyPeak,OVolOverMonthlyPeak,IF(OVolCurve,IF(OBuySell,U261,W261),V261))),"")</f>
        <v>#VALUE!</v>
      </c>
      <c r="CH261" s="1587" t="e">
        <f aca="false">IF(OR(BQ261,BS261),IF(OVolType&lt;&gt;2,SQRT(IF(OVolOverMonthlyPeak,OVolOverMonthlyPeak,IF(OVolCurve,IF(OBuySell,X261,Z261),Y261))^2*(1-15/365.25/BT261)+IF(OVolOverDailyPeak,OVolOverDailyPeak,IF(OVolCurve,IF(OBuySell,AJ261,AL261),AK261))^2*15/365.25/BT261),IF(OVolOverMonthlyPeak,OVolOverMonthlyPeak,IF(OVolCurve,IF(OBuySell,X261,Z261),Y261))),"")</f>
        <v>#VALUE!</v>
      </c>
      <c r="CI261" s="1587" t="e">
        <f aca="false">IF(OR(BQ261,BS261),IF(OVolType&lt;&gt;2,SQRT(IF(OVolOverMonthlyPeak,OVolOverMonthlyPeak,IF(OVolCurve,IF(OBuySell,AA261,AC261),AB261))^2*(1-15/365.25/BT261)+IF(OVolOverDailyPeak,OVolOverDailyPeak,IF(OVolCurve,IF(OBuySell,AM261,AO261),AN261))^2*15/365.25/BT261),IF(OVolOverMonthlyPeak,OVolOverMonthlyPeak,IF(OVolCurve,IF(OBuySell,AA261,AC261),AB261))),"")</f>
        <v>#VALUE!</v>
      </c>
      <c r="CJ261" s="1587" t="e">
        <f aca="false">IF(BQ261,IF(BP261,SQRT(LN(1+((BU261*AZ261)^2*(EXP(CG261^2*BT261)-1)+(BV261*BA261)^2*(EXP(CH261^2*BT261)-1)+(BW261*BB261)^2*(EXP(CI261^2*BT261)-1)+2*BU261*AZ261*BV261*BA261*(EXP(CG261*CH261*BT261)-1)+2*BV261*BA261*BW261*BB261*(EXP(CH261*CI261*BT261)-1)+2*BW261*BB261*BU261*AZ261*(EXP(CI261*CG261*BT261)-1))/(BY261*BP261)^2)/BT261),0),"")</f>
        <v>#VALUE!</v>
      </c>
      <c r="CK261" s="1587" t="e">
        <f aca="false">IF(BS261,IF(BR261,SQRT(LN(1+((CA261*BH261)^2*(EXP(CG261^2*BT261)-1)+(CB261*BI261)^2*(EXP(CH261^2*BT261)-1)+(CC261*BJ261)^2*(EXP(CI261^2*BT261)-1)+2*CA261*BH261*CB261*BI261*(EXP(CG261*CH261*BT261)-1)+2*CB261*BI261*CC261*BJ261*(EXP(CH261*CI261*BT261)-1)+2*CC261*BJ261*CA261*BH261*(EXP(CI261*CG261*BT261)-1))/(CE261*BR261)^2)/BT261),0),"")</f>
        <v>#VALUE!</v>
      </c>
      <c r="CL261" s="1587" t="e">
        <f aca="false">IF(OR(BQ261,BS261),IF(OVolType&lt;&gt;2,SQRT(IF(OVolOverMonthlyOffPeak,OVolOverMonthlyOffPeak,IF(OVolCurve,IF(OBuySell,AD261,AF261),AE261))^2*(1-15/365.25/BT261)+IF(OVolOverDailyOffPeak,OVolOverDailyOffPeak,IF(OVolCurve,IF(OBuySell,AP261,AR261),AQ261))^2*15/365.25/BT261),IF(OVolOverMonthlyOffPeak,OVolOverMonthlyOffPeak,IF(OVolCurve,IF(OBuySell,AD261,AF261),AE261))),"")</f>
        <v>#VALUE!</v>
      </c>
      <c r="CM261" s="1587" t="e">
        <f aca="false">IF(BQ261,SQRT(LN(1+((BY261*BP261)^2*(EXP(CJ261^2*BT261)-1)+(BX261*BC261)^2*(EXP(CL261^2*BT261)-1)+2*BY261*BP261*BX261*BC261*(EXP(AS261*CJ261*CL261*BT261)-1))/(BY261*BP261+BX261*BC261)^2)/BT261),"")</f>
        <v>#VALUE!</v>
      </c>
      <c r="CN261" s="1588" t="e">
        <f aca="false">IF(BS261,SQRT(LN(1+((CE261*BR261)^2*(EXP(CK261^2*BT261)-1)+(CD261*BK261)^2*(EXP(CL261^2*BT261)-1)+2*CE261*BR261*CD261*BK261*(EXP(AS261*CK261*CL261*BT261)-1))/(CE261*BR261+CD261*BK261)^2)/BT261),"")</f>
        <v>#VALUE!</v>
      </c>
      <c r="CO261" s="1531" t="e">
        <f aca="false">IF(OR(BQ261,BS261),VLOOKUP(A261,GasTable,13)*HeatRatePeak*(1+VLOOKUP($B261,HeatRateDegradation,$C261+1))/1000,0)</f>
        <v>#VALUE!</v>
      </c>
      <c r="CP261" s="1316" t="e">
        <f aca="false">IF(OR(BQ261,BS261),VLOOKUP(A261,GasTable,13)*HeatRatePeak*(1+VLOOKUP($B261,HeatRateDegradation,$C261+1))/1000,0)</f>
        <v>#VALUE!</v>
      </c>
      <c r="CQ261" s="1316" t="e">
        <f aca="false">IF(OR(BQ261,BS261),VLOOKUP(A261,GasTable,13)*IF(EV261,HeatRatePeak,HeatRateOffPeak)*(1+VLOOKUP($B261,HeatRateDegradation,$C261+1))/1000,0)</f>
        <v>#VALUE!</v>
      </c>
      <c r="CR261" s="1316" t="e">
        <f aca="false">IF(OR(BQ261,BS261),VLOOKUP(A261,GasTable,13)*IF(EW261,HeatRatePeak,HeatRateOffPeak)*(1+VLOOKUP($B261,HeatRateDegradation,$C261+1))/1000,0)</f>
        <v>#VALUE!</v>
      </c>
      <c r="CS261" s="1589" t="e">
        <f aca="false">IF(BQ261,(CO261*AZ261+CP261*BA261+CQ261*BB261+CR261*BC261)/BQ261,0)</f>
        <v>#VALUE!</v>
      </c>
      <c r="CT261" s="1316" t="e">
        <f aca="false">IF(BS261,CO261,0)</f>
        <v>#VALUE!</v>
      </c>
      <c r="CU261" s="1590" t="e">
        <f aca="false">IF(OR(BQ261,BS261),VLOOKUP(A261,GasTable,14),"")</f>
        <v>#VALUE!</v>
      </c>
      <c r="CV261" s="1568" t="e">
        <f aca="false">IF(OR(BQ261,BS261),IF(CorrPowerGasOverFlag,INDEX(CorrPowerGasOver,C261),CorrPowerGas),"")</f>
        <v>#VALUE!</v>
      </c>
      <c r="CW261" s="1316" t="e">
        <f aca="false">IF(OR($BQ261,$BS261),SpreadOptPowerMargin,0)*((1+Assumptions!$C$26)^($B261-YEAR(Assumptions!$C$17)))</f>
        <v>#VALUE!</v>
      </c>
      <c r="CX261" s="1316" t="e">
        <f aca="false">IF(OR($BQ261,$BS261),SpreadOptPowerMargin,0)*((1+Assumptions!$C$26)^($B261-YEAR(Assumptions!$C$17)))</f>
        <v>#VALUE!</v>
      </c>
      <c r="CY261" s="1316" t="e">
        <f aca="false">IF(OR($BQ261,$BS261),SpreadOptPowerMargin,0)*((1+Assumptions!$C$26)^($B261-YEAR(Assumptions!$C$17)))</f>
        <v>#VALUE!</v>
      </c>
      <c r="CZ261" s="1316" t="e">
        <f aca="false">IF(OR($BQ261,$BS261),SpreadOptPowerMargin,0)*((1+Assumptions!$C$26)^($B261-YEAR(Assumptions!$C$17)))</f>
        <v>#VALUE!</v>
      </c>
      <c r="DA261" s="1591" t="e">
        <f aca="false">IF(OR(BQ261,BS261),(CW261*(AZ261+BH261)+CX261*(BA261+BI261)+CY261*(BB261+BJ261)+CZ261*(BC261+BK261))/(BQ261+BS261),0)</f>
        <v>#VALUE!</v>
      </c>
      <c r="DB261" s="1592" t="e">
        <f aca="false">IF(OR(BQ261,BS261),CG261+IF(OVolSmile,VLOOKUP(MAX(-5,CO261+CW261-BU261),IF(OVolSmile=1,VolSmileBook,VolSmileModel),2),0),"")</f>
        <v>#VALUE!</v>
      </c>
      <c r="DC261" s="1592" t="e">
        <f aca="false">IF(OR(BQ261,BS261),CH261+IF(OVolSmile,VLOOKUP(MAX(-5,CP261+CW261-BV261),IF(OVolSmile=1,VolSmileBook,VolSmileModel),2),0),"")</f>
        <v>#VALUE!</v>
      </c>
      <c r="DD261" s="1592" t="e">
        <f aca="false">IF(OR(BQ261,BS261),CI261+IF(OVolSmile,VLOOKUP(MAX(-5,CQ261+CW261-BW261),IF(OVolSmile=1,VolSmileBook,VolSmileModel),2),0),"")</f>
        <v>#VALUE!</v>
      </c>
      <c r="DE261" s="1592" t="e">
        <f aca="false">IF(OR(BQ261,BS261),CL261+IF(OVolSmile,VLOOKUP(MAX(-5,CR261+CZ261-BX261),IF(OVolSmile=1,VolSmileBook,VolSmileModel),2),0),"")</f>
        <v>#VALUE!</v>
      </c>
      <c r="DF261" s="1592" t="e">
        <f aca="false">IF(BQ261,CM261+IF(OVolSmile,VLOOKUP(MAX(-5,CS261+DA261-BZ261),IF(OVolSmile=1,VolSmileBook,VolSmileModel),2),0),"")</f>
        <v>#VALUE!</v>
      </c>
      <c r="DG261" s="1593" t="e">
        <f aca="false">IF(BS261,CN261+IF(OVolSmile,VLOOKUP(MAX(-5,CT261+DA261-CF261),IF(OVolSmile=1,VolSmileBook,VolSmileModel),2),0),"")</f>
        <v>#VALUE!</v>
      </c>
      <c r="DH261" s="1316" t="e">
        <f aca="false">IF(AND(BU261&gt;0,CO261&gt;0,DB261&gt;0,CU261&gt;0),newSPRDOPT(BU261,CO261,CW261,0,DB261,CU261,CV261,BT261*365.25,OCallPut,0),0)</f>
        <v>#VALUE!</v>
      </c>
      <c r="DI261" s="1316" t="e">
        <f aca="false">IF(AND(BV261&gt;0,CP261&gt;0,DC261&gt;0,CU261&gt;0),newSPRDOPT(BV261,CP261,CX261,0,DC261,CU261,CV261,BT261*365.25,OCallPut,0),0)</f>
        <v>#VALUE!</v>
      </c>
      <c r="DJ261" s="1316" t="e">
        <f aca="false">IF(AND(BW261&gt;0,CQ261&gt;0,DD261&gt;0,CU261&gt;0),newSPRDOPT(BW261,CQ261,CY261,0,DD261,CU261,CV261,BT261*365.25,OCallPut,0),0)</f>
        <v>#VALUE!</v>
      </c>
      <c r="DK261" s="1316" t="e">
        <f aca="false">IF(AND(BX261&gt;0,CR261&gt;0,DE261&gt;0,CU261&gt;0),newSPRDOPT(BX261,CR261,CZ261,0,DE261,CU261,CV261,BT261*365.25,OCallPut,0),0)</f>
        <v>#VALUE!</v>
      </c>
      <c r="DL261" s="1316" t="e">
        <f aca="false">IF(OVolType,IF(AND(BZ261&gt;0,CS261&gt;0,DF261&gt;0,CU261&gt;0),newSPRDOPT(BZ261,CS261,DA261,0,DF261,CU261,CV261,BT261*365.25,OCallPut,0),0),IF(BQ261,(DH261*AZ261+DI261*BA261+DJ261*BB261+DK261*BC261)/BQ261,0))</f>
        <v>#VALUE!</v>
      </c>
      <c r="DM261" s="1316"/>
      <c r="DN261" s="1316"/>
      <c r="DO261" s="1316"/>
      <c r="DP261" s="1316"/>
      <c r="DQ261" s="1316"/>
      <c r="DR261" s="1316"/>
      <c r="DS261" s="1316"/>
      <c r="DT261" s="1316"/>
      <c r="DU261" s="1316"/>
      <c r="DV261" s="1316"/>
      <c r="DW261" s="1594" t="e">
        <f aca="false">IF(AND(BW261&gt;0,CT261&gt;0,DD261&gt;0,CU261&gt;0),newSPRDOPT(BW261,CT261,CY261,0,DD261,CU261,CV261,BT261*365.25,OCallPut,0),0)</f>
        <v>#VALUE!</v>
      </c>
      <c r="DX261" s="1316" t="e">
        <f aca="false">IF(AND(BX261&gt;0,CT261&gt;0,DE261&gt;0,CU261&gt;0),newSPRDOPT(BX261,CT261,CZ261,0,DE261,CU261,CV261,BT261*365.25,OCallPut,0),0)</f>
        <v>#VALUE!</v>
      </c>
      <c r="DY261" s="1591" t="e">
        <f aca="false">IF(BS261,(DH261*BH261+DI261*BI261+DW261*BJ261+DX261*BK261)/BS261,0)</f>
        <v>#VALUE!</v>
      </c>
      <c r="DZ261" s="1551" t="e">
        <f aca="false">DH261*AZ261</f>
        <v>#VALUE!</v>
      </c>
      <c r="EA261" s="1551" t="e">
        <f aca="false">DI261*BA261</f>
        <v>#VALUE!</v>
      </c>
      <c r="EB261" s="1551" t="e">
        <f aca="false">DJ261*BB261</f>
        <v>#VALUE!</v>
      </c>
      <c r="EC261" s="1551" t="e">
        <f aca="false">DK261*BC261</f>
        <v>#VALUE!</v>
      </c>
      <c r="ED261" s="1551" t="e">
        <f aca="false">DL261*BQ261</f>
        <v>#VALUE!</v>
      </c>
      <c r="EE261" s="1595" t="e">
        <f aca="false">IF(BQ261,IF(OCallPut,IF(BU261&gt;(CO261+CW261),BU261-(CO261+CW261),0),IF((CO261+CW261)&gt;BU261,(CO261+CW261)-BU261,0))*AZ261,0)</f>
        <v>#VALUE!</v>
      </c>
      <c r="EF261" s="1596" t="e">
        <f aca="false">IF(BQ261,IF(OCallPut,IF(BV261&gt;(CP261+CX261),BV261-(CP261+CX261),0),IF((CP261+CX261)&gt;BV261,(CP261+CX261)-BV261,0))*BA261,0)</f>
        <v>#VALUE!</v>
      </c>
      <c r="EG261" s="1596" t="e">
        <f aca="false">IF(BQ261,IF(OCallPut,IF(BW261&gt;(CQ261+CY261),BW261-(CQ261+CY261),0),IF((CQ261+CY261)&gt;BW261,(CQ261+CY261)-BW261,0))*BB261,0)</f>
        <v>#VALUE!</v>
      </c>
      <c r="EH261" s="1596" t="e">
        <f aca="false">IF(BQ261,IF(OCallPut,IF(BX261&gt;(CR261+CZ261),BX261-(CR261+CZ261),0),IF((CR261+CZ261)&gt;BX261,(CR261+CZ261)-BX261,0))*BC261,0)</f>
        <v>#VALUE!</v>
      </c>
      <c r="EI261" s="1597" t="e">
        <f aca="false">IF(BQ261,IF(OVolType,IF(OCallPut,IF(BZ261&gt;(CS261+DA261),BZ261-(CS261+DA261),0),IF((CS261+DA261)&gt;BZ261,(CS261+DA261)-BZ261,0))*BQ261,SUM(EE261:EH261)),0)</f>
        <v>#VALUE!</v>
      </c>
      <c r="EJ261" s="1595" t="e">
        <f aca="false">DZ261-EE261</f>
        <v>#VALUE!</v>
      </c>
      <c r="EK261" s="1596" t="e">
        <f aca="false">EA261-EF261</f>
        <v>#VALUE!</v>
      </c>
      <c r="EL261" s="1596" t="e">
        <f aca="false">EB261-EG261</f>
        <v>#VALUE!</v>
      </c>
      <c r="EM261" s="1596" t="e">
        <f aca="false">EC261-EH261</f>
        <v>#VALUE!</v>
      </c>
      <c r="EN261" s="1597" t="e">
        <f aca="false">ED261-EI261</f>
        <v>#VALUE!</v>
      </c>
      <c r="EO261" s="1551" t="e">
        <f aca="false">DH261*BH261</f>
        <v>#VALUE!</v>
      </c>
      <c r="EP261" s="1551" t="e">
        <f aca="false">DI261*BI261</f>
        <v>#VALUE!</v>
      </c>
      <c r="EQ261" s="1551" t="e">
        <f aca="false">DW261*BJ261</f>
        <v>#VALUE!</v>
      </c>
      <c r="ER261" s="1551" t="e">
        <f aca="false">DX261*BK261</f>
        <v>#VALUE!</v>
      </c>
      <c r="ES261" s="1551" t="e">
        <f aca="false">DY261*BS261</f>
        <v>#VALUE!</v>
      </c>
      <c r="ET261" s="1566" t="e">
        <f aca="false">IF(EI261,IF(OCallPut,IF(CA261&gt;(CT261+CW261),CA261-(CT261+CW261),0),IF((CT261+CW261)&gt;CA261,(CT261+CW261)-CA261,0))*BH261,0)</f>
        <v>#VALUE!</v>
      </c>
      <c r="EU261" s="1551" t="e">
        <f aca="false">IF(EI261,IF(OCallPut,IF(CB261&gt;(CT261+CX261),CB261-(CT261+CX261),0),IF((CT261+CX261)&gt;CB261,(CT261+CX261)-CB261,0))*BI261,0)</f>
        <v>#VALUE!</v>
      </c>
      <c r="EV261" s="1551" t="e">
        <f aca="false">IF(EI261,IF(OCallPut,IF(CC261&gt;(CT261+CY261),CC261-(CT261+CY261),0),IF((CT261+CY261)&gt;CC261,(CT261+CY261)-CC261,0))*BJ261,0)</f>
        <v>#VALUE!</v>
      </c>
      <c r="EW261" s="1551" t="e">
        <f aca="false">IF(EI261,IF(OCallPut,IF(CD261&gt;(CT261+CZ261),CD261-(CT261+CZ261),0),IF((CT261+CZ261)&gt;CD261,(CT261+CZ261)-CD261,0))*BK261,0)</f>
        <v>#VALUE!</v>
      </c>
      <c r="EX261" s="1558" t="e">
        <f aca="false">IF(EI261,SUM(ET261:EW261),0)</f>
        <v>#VALUE!</v>
      </c>
      <c r="EY261" s="1551" t="e">
        <f aca="false">EO261-ET261</f>
        <v>#VALUE!</v>
      </c>
      <c r="EZ261" s="1551" t="e">
        <f aca="false">EP261-EU261</f>
        <v>#VALUE!</v>
      </c>
      <c r="FA261" s="1551" t="e">
        <f aca="false">EQ261-EV261</f>
        <v>#VALUE!</v>
      </c>
      <c r="FB261" s="1551" t="e">
        <f aca="false">ER261-EW261</f>
        <v>#VALUE!</v>
      </c>
      <c r="FC261" s="1551" t="e">
        <f aca="false">ES261-EX261</f>
        <v>#VALUE!</v>
      </c>
      <c r="FD261" s="1525" t="n">
        <f aca="false">IF(AX261,IF(VLOOKUP(C261,MAIN!$L$17:$M$28,2)="Yes",VLOOKUP(CALC!B261,MAIN!$H$17:$I$20,2),0),0)</f>
        <v>0</v>
      </c>
      <c r="FE261" s="1552" t="e">
        <f aca="false">$FD261*16*AT261*(1-$AY261)</f>
        <v>#VALUE!</v>
      </c>
      <c r="FF261" s="1553" t="e">
        <f aca="false">$FD261*16*AU261*(1-$AY261)</f>
        <v>#VALUE!</v>
      </c>
      <c r="FG261" s="1553" t="e">
        <f aca="false">$FD261*16*(AV261+AW261)*(1-$AY261)</f>
        <v>#VALUE!</v>
      </c>
      <c r="FH261" s="1554" t="n">
        <f aca="false">$FD261*8*AX261*(1-$AY261)</f>
        <v>0</v>
      </c>
      <c r="FI261" s="1555" t="n">
        <f aca="false">IF(AX261,VLOOKUP(CALC!B261,MAIN!$H$17:$K$20,4),0)</f>
        <v>0</v>
      </c>
      <c r="FJ261" s="1553" t="e">
        <f aca="false">SUM(FE261:FH261)</f>
        <v>#VALUE!</v>
      </c>
      <c r="FK261" s="1556" t="e">
        <f aca="false">FI261*FJ261</f>
        <v>#VALUE!</v>
      </c>
      <c r="FL261" s="1551" t="e">
        <f aca="false">IF($EI261&gt;0,MIN(FE261,AZ261*(1+VLOOKUP($C261,WeatherCapacityAdjustment,2))),0)</f>
        <v>#VALUE!</v>
      </c>
      <c r="FM261" s="1551" t="e">
        <f aca="false">IF($EI261&gt;0,MIN(FF261,BA261*(1+VLOOKUP($C261,WeatherCapacityAdjustment,2))),0)</f>
        <v>#VALUE!</v>
      </c>
      <c r="FN261" s="1551" t="e">
        <f aca="false">IF($EI261&gt;0,MIN(FG261,BB261*(1+VLOOKUP($C261,WeatherCapacityAdjustment,2))),0)</f>
        <v>#VALUE!</v>
      </c>
      <c r="FO261" s="1564" t="e">
        <f aca="false">IF($EI261&gt;0,MIN(FH261,BC261*(1+VLOOKUP($C261,WeatherCapacityAdjustment,3))),0)</f>
        <v>#VALUE!</v>
      </c>
      <c r="FP261" s="1551" t="e">
        <f aca="false">IF(ET261&gt;0,MIN(FE261-FL261,BH261*(1+VLOOKUP($C261,WeatherCapacityAdjustment,2))),0)</f>
        <v>#VALUE!</v>
      </c>
      <c r="FQ261" s="1551" t="e">
        <f aca="false">IF(EU261&gt;0,MIN(FF261-FM261,BI261*(1+VLOOKUP($C261,WeatherCapacityAdjustment,2))),0)</f>
        <v>#VALUE!</v>
      </c>
      <c r="FR261" s="1551" t="e">
        <f aca="false">IF(EV261&gt;0,MIN(FG261-FN261,BJ261*(1+VLOOKUP($C261,WeatherCapacityAdjustment,2))),0)</f>
        <v>#VALUE!</v>
      </c>
      <c r="FS261" s="1558" t="e">
        <f aca="false">IF(EW261&gt;0,MIN(FH261-FO261,BK261*(1+VLOOKUP($C261,WeatherCapacityAdjustment,3))),0)</f>
        <v>#VALUE!</v>
      </c>
      <c r="FT261" s="1566" t="e">
        <f aca="false">IF(AND(Assumptions!$H$71="Yes",A261&gt;=Assumptions!$H$72,A261&lt;=Assumptions!$H$73),0,IF(AND($A261&gt;=Assumptions!$C$17,$A261&lt;=Assumptions!$C$18),MAX(AZ261*(1+VLOOKUP($C261,WeatherCapacityAdjustment,2))-FL261,0),0))</f>
        <v>#VALUE!</v>
      </c>
      <c r="FU261" s="1551" t="e">
        <f aca="false">IF(AND(Assumptions!$H$71="Yes",A261&gt;=Assumptions!$H$72,A261&lt;=Assumptions!$H$73),0,IF(AND($A261&gt;=Assumptions!$C$17,$A261&lt;=Assumptions!$C$18),MAX(BA261*(1+VLOOKUP($C261,WeatherCapacityAdjustment,2))-FM261,0),0))</f>
        <v>#VALUE!</v>
      </c>
      <c r="FV261" s="1551" t="e">
        <f aca="false">IF(AND(Assumptions!$H$71="Yes",A261&gt;=Assumptions!$H$72,A261&lt;=Assumptions!$H$73),0,IF(AND($A261&gt;=Assumptions!$C$17,$A261&lt;=Assumptions!$C$18),MAX(BB261*(1+VLOOKUP($C261,WeatherCapacityAdjustment,2))-FN261,0),0))</f>
        <v>#VALUE!</v>
      </c>
      <c r="FW261" s="1564" t="e">
        <f aca="false">IF(AND(Assumptions!$H$71="Yes",A261&gt;=Assumptions!$H$72,A261&lt;=Assumptions!$H$73),0,IF(AND($A261&gt;=Assumptions!$C$17,$A261&lt;=Assumptions!$C$18),MAX(BC261*(1+VLOOKUP($C261,WeatherCapacityAdjustment,3))-FO261,0),0))</f>
        <v>#VALUE!</v>
      </c>
      <c r="FX261" s="1569" t="e">
        <f aca="false">IF(AND(Assumptions!$H$71="Yes",A261&gt;=Assumptions!$H$72,A261&lt;=Assumptions!$H$73),0,IF(ET261&gt;0,MAX(BH261*(1+VLOOKUP($C261,WeatherCapacityAdjustment,2))-FP261,0),0))</f>
        <v>#VALUE!</v>
      </c>
      <c r="FY261" s="1551" t="e">
        <f aca="false">IF(AND(Assumptions!$H$71="Yes",A261&gt;=Assumptions!$H$72,A261&lt;=Assumptions!$H$73),0,IF(EU261&gt;0,MAX(BI261*(1+VLOOKUP($C261,WeatherCapacityAdjustment,3))-FQ261,0),0))</f>
        <v>#VALUE!</v>
      </c>
      <c r="FZ261" s="1551" t="e">
        <f aca="false">IF(AND(Assumptions!$H$71="Yes",A261&gt;=Assumptions!$H$72,A261&lt;=Assumptions!$H$73),0,IF(EV261&gt;0,MAX(BJ261*(1+VLOOKUP($C261,WeatherCapacityAdjustment,2))-FR261,0),0))</f>
        <v>#VALUE!</v>
      </c>
      <c r="GA261" s="1564" t="e">
        <f aca="false">IF(AND(Assumptions!$H$71="Yes",A261&gt;=Assumptions!$H$72,A261&lt;=Assumptions!$H$73),0,IF(EW261&gt;0,MAX(BK261*(1+VLOOKUP($C261,WeatherCapacityAdjustment,2))-FS261,0),0))</f>
        <v>#VALUE!</v>
      </c>
      <c r="GB261" s="1551" t="e">
        <f aca="false">SUM(FT261:GA261)</f>
        <v>#VALUE!</v>
      </c>
      <c r="GC261" s="1563" t="e">
        <f aca="false">+IF(SUM(FT261:GA261)=0,0,(SUMPRODUCT(BU261:BX261,FT261:FW261)+SUMPRODUCT(CA261:CD261,FX261:GA261))/SUM(FT261:GA261))</f>
        <v>#VALUE!</v>
      </c>
      <c r="GD261" s="1551" t="e">
        <f aca="false">(FT261*BU261+FX261*CA261+FU261*BV261+FY261*CB261+FV261*BW261+FZ261*CC261+FW261*BX261+GA261*CD261)</f>
        <v>#VALUE!</v>
      </c>
      <c r="GE261" s="1561" t="e">
        <f aca="false">+IF(BQ261,((FL261+FM261+FT261+FU261)*HeatRatePeak/1000*(1+VLOOKUP($C261,WeatherHeatRateAdjustment,2))+(FN261+FV261)*IF(EV261&gt;0,HeatRatePeak,HeatRateOffPeak)/1000*(1+VLOOKUP($C261,WeatherHeatRateAdjustment,2))+(FO261+FW261)*IF(EW261&gt;0,HeatRatePeak,HeatRateOffPeak)/1000*(1+VLOOKUP($C261,WeatherHeatRateAdjustment,3)))*(1+VLOOKUP($B261,HeatRateDegradation,$C261+1)),0)</f>
        <v>#VALUE!</v>
      </c>
      <c r="GF261" s="1562" t="e">
        <f aca="false">IF(BQ261,((FP261+FQ261+FR261+FX261+FY261+FZ261)*HeatRatePeak/1000*(1+VLOOKUP($C261,WeatherHeatRateAdjustment,2))+(FS261+GA261)*HeatRatePeak/1000*(1+VLOOKUP($C261,WeatherHeatRateAdjustment,3)))*(1+VLOOKUP($B261,HeatRateDegradation,$C261+1)),0)</f>
        <v>#VALUE!</v>
      </c>
      <c r="GG261" s="1563" t="e">
        <f aca="false">IF(BQ261,VLOOKUP(A261,GasTable,13),0)</f>
        <v>#VALUE!</v>
      </c>
      <c r="GH261" s="1564" t="e">
        <f aca="false">(GE261+GF261)*GG261</f>
        <v>#VALUE!</v>
      </c>
      <c r="GI261" s="1569" t="e">
        <f aca="false">GB261</f>
        <v>#VALUE!</v>
      </c>
      <c r="GJ261" s="1598" t="e">
        <f aca="false">+DA261</f>
        <v>#VALUE!</v>
      </c>
      <c r="GK261" s="1558" t="e">
        <f aca="false">+GI261*GJ261</f>
        <v>#VALUE!</v>
      </c>
      <c r="GL261" s="1566" t="e">
        <f aca="false">MAX(FE261-FL261-FP261,0)</f>
        <v>#VALUE!</v>
      </c>
      <c r="GM261" s="1551" t="e">
        <f aca="false">MAX(FF261-FM261-FQ261,0)</f>
        <v>#VALUE!</v>
      </c>
      <c r="GN261" s="1551" t="e">
        <f aca="false">MAX(FG261-FN261-FR261,0)</f>
        <v>#VALUE!</v>
      </c>
      <c r="GO261" s="1564" t="e">
        <f aca="false">MAX(FH261-FO261-FS261,0)</f>
        <v>#VALUE!</v>
      </c>
      <c r="GP261" s="1551" t="e">
        <f aca="false">SUM(GL261:GO261)</f>
        <v>#VALUE!</v>
      </c>
      <c r="GQ261" s="1563" t="e">
        <f aca="false">IF(SUM(GL261:GO261)=0,0,((GL261*BU261+GM261*BV261+GN261*BW261+GO261*BX261)/SUM(GL261:GO261)))</f>
        <v>#VALUE!</v>
      </c>
      <c r="GR261" s="1558" t="e">
        <f aca="false">(GL261*BU261+GM261*BV261+GN261*BW261+GO261*BX261)</f>
        <v>#VALUE!</v>
      </c>
      <c r="GS261" s="1566" t="n">
        <f aca="false">IF($A261&gt;=BegDate,Assumptions!$C$56*24*($A262-$A261)*(1-VLOOKUP($B261,MAIN!$AA$7:$AM$28,$C261+1))*(1-VLOOKUP($B261,MAIN!$AA$33:$AM$54,$C261+1)),0)*80/168</f>
        <v>249428.571428571</v>
      </c>
      <c r="GT261" s="286" t="n">
        <f aca="false">J261</f>
        <v>74.7009531116655</v>
      </c>
      <c r="GU261" s="286" t="n">
        <f aca="false">IF($A261&gt;=BegDate,VLOOKUP($A261,GasTable,13)+Assumptions!$C$58,0)</f>
        <v>3.9834372552421</v>
      </c>
      <c r="GV261" s="286" t="n">
        <f aca="false">GU261*Assumptions!$C$57/1000</f>
        <v>28.8799201005052</v>
      </c>
      <c r="GW261" s="1558" t="n">
        <f aca="false">IF(Assumptions!$C$60="Hourly",MAX(0,GS261*(GT261-GV261)),GS261*(GT261-GV261))</f>
        <v>11429074.8053551</v>
      </c>
      <c r="GX261" s="1566" t="n">
        <f aca="false">IF($A261&gt;=BegDate,Assumptions!$C$56*24*($A262-$A261)*(1-VLOOKUP($B261,MAIN!$AA$7:$AM$28,$C261+1))*(1-VLOOKUP($B261,MAIN!$AA$33:$AM$54,$C261+1)),0)*16/168</f>
        <v>49885.7142857143</v>
      </c>
      <c r="GY261" s="286" t="n">
        <f aca="false">M261</f>
        <v>74.7009531116655</v>
      </c>
      <c r="GZ261" s="286" t="n">
        <f aca="false">IF($A261&gt;=BegDate,VLOOKUP($A261,GasTable,13)+Assumptions!$C$58,0)</f>
        <v>3.9834372552421</v>
      </c>
      <c r="HA261" s="286" t="n">
        <f aca="false">GZ261*Assumptions!$C$57/1000</f>
        <v>28.8799201005052</v>
      </c>
      <c r="HB261" s="1558" t="n">
        <f aca="false">IF(Assumptions!$C$60="Hourly",MAX(0,GX261*(GY261-HA261)),GX261*(GY261-HA261))</f>
        <v>2285814.96107102</v>
      </c>
      <c r="HC261" s="1566" t="n">
        <f aca="false">IF($A261&gt;=BegDate,Assumptions!$C$56*24*($A262-$A261)*(1-VLOOKUP($B261,MAIN!$AA$7:$AM$28,$C261+1))*(1-VLOOKUP($B261,MAIN!$AA$33:$AM$54,$C261+1)),0)*16/168</f>
        <v>49885.7142857143</v>
      </c>
      <c r="HD261" s="286" t="n">
        <f aca="false">P261</f>
        <v>35.1808447629647</v>
      </c>
      <c r="HE261" s="286" t="n">
        <f aca="false">IF($A261&gt;=BegDate,VLOOKUP($A261,GasTable,13)+Assumptions!$C$58,0)</f>
        <v>3.9834372552421</v>
      </c>
      <c r="HF261" s="286" t="n">
        <f aca="false">HE261*Assumptions!$C$57/1000</f>
        <v>28.8799201005052</v>
      </c>
      <c r="HG261" s="1558" t="n">
        <f aca="false">IF(Assumptions!$C$60="Hourly",MAX(0,HC261*(HD261-HF261)),HC261*(HD261-HF261))</f>
        <v>314326.127447266</v>
      </c>
      <c r="HH261" s="1566" t="n">
        <f aca="false">IF($A261&gt;=BegDate,Assumptions!$C$56*24*($A262-$A261)*(1-VLOOKUP($B261,MAIN!$AA$7:$AM$28,$C261+1))*(1-VLOOKUP($B261,MAIN!$AA$33:$AM$54,$C261+1)),0)*56/168</f>
        <v>174600</v>
      </c>
      <c r="HI261" s="286" t="n">
        <f aca="false">S261</f>
        <v>35.1808447629647</v>
      </c>
      <c r="HJ261" s="286" t="n">
        <f aca="false">IF($A261&gt;=BegDate,VLOOKUP($A261,GasTable,13)+Assumptions!$C$58,0)</f>
        <v>3.9834372552421</v>
      </c>
      <c r="HK261" s="286" t="n">
        <f aca="false">HJ261*Assumptions!$C$57/1000</f>
        <v>28.8799201005052</v>
      </c>
      <c r="HL261" s="1558" t="n">
        <f aca="false">IF(Assumptions!$C$60="Hourly",MAX(0,HH261*(HI261-HK261)),HH261*(HI261-HK261))</f>
        <v>1100141.44606543</v>
      </c>
      <c r="HM261" s="1566" t="n">
        <f aca="false">IF(AND(Assumptions!$H$71="Yes",A261&gt;=Assumptions!$H$72,A261&lt;=Assumptions!$H$73),Assumptions!$H$74*Assumptions!$C$9*1000,0)</f>
        <v>0</v>
      </c>
      <c r="HN261" s="1551"/>
      <c r="HO261" s="1563"/>
      <c r="HP261" s="1563"/>
      <c r="HQ261" s="1563"/>
      <c r="HR261" s="1563"/>
      <c r="HS261" s="1563"/>
      <c r="HT261" s="1563"/>
      <c r="HU261" s="1563"/>
      <c r="HV261" s="1563"/>
      <c r="HW261" s="1563"/>
      <c r="HX261" s="1563"/>
      <c r="HY261" s="1563"/>
      <c r="HZ261" s="1563"/>
      <c r="IA261" s="1563"/>
      <c r="IB261" s="1563"/>
      <c r="IC261" s="1563"/>
      <c r="ID261" s="1563"/>
      <c r="IE261" s="1563"/>
      <c r="IF261" s="1563"/>
      <c r="IG261" s="1563"/>
      <c r="IH261" s="1563"/>
      <c r="II261" s="1610"/>
      <c r="IJ261" s="1309"/>
      <c r="IK261" s="1309"/>
    </row>
    <row r="262" customFormat="false" ht="12.75" hidden="false" customHeight="false" outlineLevel="0" collapsed="false">
      <c r="A262" s="1571" t="n">
        <f aca="false">EOMONTH(A261,0)+1</f>
        <v>44105</v>
      </c>
      <c r="B262" s="594" t="n">
        <f aca="false">+YEAR(A262)</f>
        <v>2020</v>
      </c>
      <c r="C262" s="238" t="n">
        <f aca="false">MONTH(A262)</f>
        <v>10</v>
      </c>
      <c r="D262" s="1572" t="e">
        <f aca="false">IF(E262="","",Holiday(B262,C262))</f>
        <v>#VALUE!</v>
      </c>
      <c r="E262" s="1573" t="n">
        <f aca="false">IF(OR(BegDate&gt;=A263,EndDate&lt;A262,AND(VolumeMonthlyOverFlag,INDEX(VolumeMonthlyOver,C262)=0),NOT(INDEX(MonthKnockOutTable,C262))),"",MAX(A262,BegDate))</f>
        <v>44105</v>
      </c>
      <c r="F262" s="1574" t="n">
        <f aca="false">IF(E262="","",MIN(A263-1,EndDate))</f>
        <v>44135</v>
      </c>
      <c r="G262" s="1575" t="n">
        <v>0</v>
      </c>
      <c r="H262" s="1576" t="n">
        <f aca="false">(1+G262/2)^(-2*(DATE(B263,C263,20)-DateToday)/365.25)</f>
        <v>1</v>
      </c>
      <c r="I262" s="1568" t="n">
        <f aca="false">IF(Assumptions!$L$25=4,VLOOKUP($A262,'Henwood Reference'!$E$9:$R$320,10),(VLOOKUP($A262,PriceTable,2,0)+IF(BasisNumber&lt;&gt;1,VLOOKUP($A262,BasisTable,2,0),0)+I$1)/(1-I$2))</f>
        <v>60.2660143229129</v>
      </c>
      <c r="J262" s="1568" t="n">
        <f aca="false">IF(Assumptions!$L$25=4,VLOOKUP($A262,'Henwood Reference'!$E$9:$R$320,10),(VLOOKUP($A262,PriceTable,3,0)+IF(BasisNumber&lt;&gt;1,VLOOKUP($A262,BasisTable,2,0),0)+J$1)/(1-J$2))</f>
        <v>60.2660143229129</v>
      </c>
      <c r="K262" s="1568" t="n">
        <f aca="false">IF(Assumptions!$L$25=4,VLOOKUP($A262,'Henwood Reference'!$E$9:$R$320,10),(VLOOKUP($A262,PriceTable,4,0)+IF(BasisNumber&lt;&gt;1,VLOOKUP($A262,BasisTable,2,0),0)+K$1)/(1-K$2))</f>
        <v>60.2660143229129</v>
      </c>
      <c r="L262" s="1523" t="n">
        <f aca="false">IF(Assumptions!$L$25=4,VLOOKUP($A262,'Henwood Reference'!$E$9:$R$320,10),(VLOOKUP($A262,PriceTableWeekend,2,0)+IF(BasisNumber&lt;&gt;1,VLOOKUP($A262,BasisTable,2,0),0)+L$1)/(1-L$2))</f>
        <v>60.2660143229129</v>
      </c>
      <c r="M262" s="1568" t="n">
        <f aca="false">IF(Assumptions!$L$25=4,VLOOKUP($A262,'Henwood Reference'!$E$9:$R$320,10),(VLOOKUP($A262,PriceTableWeekend,3,0)+IF(BasisNumber&lt;&gt;1,VLOOKUP($A262,BasisTable,2,0),0)+M$1)/(1-M$2))</f>
        <v>60.2660143229129</v>
      </c>
      <c r="N262" s="1599" t="n">
        <f aca="false">IF(Assumptions!$L$25=4,VLOOKUP($A262,'Henwood Reference'!$E$9:$R$320,10),(VLOOKUP($A262,PriceTableWeekend,4,0)+IF(BasisNumber&lt;&gt;1,VLOOKUP($A262,BasisTable,2,0),0)+N$1)/(1-N$2))</f>
        <v>60.2660143229129</v>
      </c>
      <c r="O262" s="1568" t="n">
        <f aca="false">IF(Assumptions!$L$25=4,VLOOKUP($A262,'Henwood Reference'!$E$9:$R$320,11),(VLOOKUP($A262,PriceTableWeekend,6,0)+IF(BasisNumber&lt;&gt;1,VLOOKUP($A262,BasisTable,3,0),0)+O$1)/(1-O$2))</f>
        <v>33.5549211222852</v>
      </c>
      <c r="P262" s="1568" t="n">
        <f aca="false">IF(Assumptions!$L$25=4,VLOOKUP($A262,'Henwood Reference'!$E$9:$R$320,11),(VLOOKUP($A262,PriceTableWeekend,7,0)+IF(BasisNumber&lt;&gt;1,VLOOKUP($A262,BasisTable,3,0),0)+P$1)/(1-P$2))</f>
        <v>33.5549211222852</v>
      </c>
      <c r="Q262" s="1599" t="n">
        <f aca="false">IF(Assumptions!$L$25=4,VLOOKUP($A262,'Henwood Reference'!$E$9:$R$320,11),(VLOOKUP($A262,PriceTableWeekend,8,0)+IF(BasisNumber&lt;&gt;1,VLOOKUP($A262,BasisTable,3,0),0)+Q$1)/(1-Q$2))</f>
        <v>33.5549211222852</v>
      </c>
      <c r="R262" s="1568" t="n">
        <f aca="false">IF(Assumptions!$L$25=4,VLOOKUP($A262,'Henwood Reference'!$E$9:$R$320,11),(VLOOKUP($A262,PriceTable,6,0)+IF(BasisNumber&lt;&gt;1,VLOOKUP($A262,BasisTable,3,0),0)+R$1)/(1-R$2))</f>
        <v>33.5549211222852</v>
      </c>
      <c r="S262" s="1568" t="n">
        <f aca="false">IF(Assumptions!$L$25=4,VLOOKUP($A262,'Henwood Reference'!$E$9:$R$320,11),(VLOOKUP($A262,PriceTable,7,0)+IF(BasisNumber&lt;&gt;1,VLOOKUP($A262,BasisTable,3,0),0)+S$1)/(1-S$2))</f>
        <v>33.5549211222852</v>
      </c>
      <c r="T262" s="1600" t="n">
        <f aca="false">IF(Assumptions!$L$25=4,VLOOKUP($A262,'Henwood Reference'!$E$9:$R$320,11),(VLOOKUP($A262,PriceTable,8,0)+IF(BasisNumber&lt;&gt;1,VLOOKUP($A262,BasisTable,3,0),0)+T$1)/(1-T$2))</f>
        <v>33.5549211222852</v>
      </c>
      <c r="U262" s="1513" t="n">
        <f aca="false">VLOOKUP($A262,VolatilityTable,14)</f>
        <v>0.09</v>
      </c>
      <c r="V262" s="1513" t="n">
        <f aca="false">VLOOKUP($A262,VolatilityTable,15)</f>
        <v>0.1</v>
      </c>
      <c r="W262" s="1514" t="n">
        <f aca="false">VLOOKUP($A262,VolatilityTable,16)</f>
        <v>0.11</v>
      </c>
      <c r="X262" s="1513" t="n">
        <f aca="false">VLOOKUP($A262,VolatilityTable,14)</f>
        <v>0.09</v>
      </c>
      <c r="Y262" s="1513" t="n">
        <f aca="false">VLOOKUP($A262,VolatilityTable,15)</f>
        <v>0.1</v>
      </c>
      <c r="Z262" s="1514" t="n">
        <f aca="false">VLOOKUP($A262,VolatilityTable,16)</f>
        <v>0.11</v>
      </c>
      <c r="AA262" s="1513" t="n">
        <f aca="false">VLOOKUP($A262,VolatilityTable,18)</f>
        <v>0.09</v>
      </c>
      <c r="AB262" s="1513" t="n">
        <f aca="false">VLOOKUP($A262,VolatilityTable,19)</f>
        <v>0.11</v>
      </c>
      <c r="AC262" s="1514" t="n">
        <f aca="false">VLOOKUP($A262,VolatilityTable,20)</f>
        <v>0.13</v>
      </c>
      <c r="AD262" s="1513" t="n">
        <f aca="false">VLOOKUP($A262,VolatilityTable,18)</f>
        <v>0.09</v>
      </c>
      <c r="AE262" s="1513" t="n">
        <f aca="false">VLOOKUP($A262,VolatilityTable,19)</f>
        <v>0.11</v>
      </c>
      <c r="AF262" s="1514" t="n">
        <f aca="false">VLOOKUP($A262,VolatilityTable,20)</f>
        <v>0.13</v>
      </c>
      <c r="AG262" s="1513" t="n">
        <f aca="false">VLOOKUP($A262,VolatilityTable,22)</f>
        <v>-0.1</v>
      </c>
      <c r="AH262" s="1513" t="n">
        <f aca="false">VLOOKUP($A262,VolatilityTable,23)</f>
        <v>3</v>
      </c>
      <c r="AI262" s="1514" t="n">
        <f aca="false">VLOOKUP($A262,VolatilityTable,24)</f>
        <v>0.1</v>
      </c>
      <c r="AJ262" s="1513" t="n">
        <f aca="false">VLOOKUP($A262,VolatilityTable,22)</f>
        <v>-0.1</v>
      </c>
      <c r="AK262" s="1513" t="n">
        <f aca="false">VLOOKUP($A262,VolatilityTable,23)</f>
        <v>3</v>
      </c>
      <c r="AL262" s="1514" t="n">
        <f aca="false">VLOOKUP($A262,VolatilityTable,24)</f>
        <v>0.1</v>
      </c>
      <c r="AM262" s="1513" t="n">
        <f aca="false">VLOOKUP($A262,VolatilityTable,26)</f>
        <v>-0.01</v>
      </c>
      <c r="AN262" s="1513" t="n">
        <f aca="false">VLOOKUP($A262,VolatilityTable,27)</f>
        <v>0.16</v>
      </c>
      <c r="AO262" s="1514" t="n">
        <f aca="false">VLOOKUP($A262,VolatilityTable,28)</f>
        <v>0.01</v>
      </c>
      <c r="AP262" s="1513" t="n">
        <f aca="false">VLOOKUP($A262,VolatilityTable,26)</f>
        <v>-0.01</v>
      </c>
      <c r="AQ262" s="1513" t="n">
        <f aca="false">VLOOKUP($A262,VolatilityTable,27)</f>
        <v>0.16</v>
      </c>
      <c r="AR262" s="1515" t="n">
        <f aca="false">VLOOKUP($A262,VolatilityTable,28)</f>
        <v>0.01</v>
      </c>
      <c r="AS262" s="1581" t="n">
        <f aca="false">IF(CorrPeakOffPeakOverFlag,INDEX(CorrPeakOffPeakOver,C262),CorrPeakOffPeak)</f>
        <v>0.5</v>
      </c>
      <c r="AT262" s="594" t="e">
        <f aca="false">AX262-SUM(AU262:AW262)</f>
        <v>#VALUE!</v>
      </c>
      <c r="AU262" s="238" t="e">
        <f aca="false">IF(E262="",0,INT((F262-MOD(F262,7)-E262)/7)+1-IF(AW262,IF(WEEKDAY(D262)=7,1,0),0))</f>
        <v>#VALUE!</v>
      </c>
      <c r="AV262" s="238" t="e">
        <f aca="false">IF(E262="",0,INT((F262-MOD(F262-1,7)-E262)/7)+1-IF(AW262,IF(WEEKDAY(D262)=1,1,0),0))</f>
        <v>#VALUE!</v>
      </c>
      <c r="AW262" s="238" t="e">
        <f aca="false">IF(OR(E262="",D262="",D262&lt;BegDate,D262&gt;EndDate),0,1)</f>
        <v>#VALUE!</v>
      </c>
      <c r="AX262" s="238" t="n">
        <f aca="false">IF(E262="",0,F262-E262+1)</f>
        <v>31</v>
      </c>
      <c r="AY262" s="1582" t="n">
        <f aca="false">IF(E262="",0,MIN((1-(1-VLOOKUP(B262,MAIN!$AA$7:$AM$28,C262+1))*(1-VLOOKUP(B262,MAIN!$AA$33:$AM$54,C262+1))),1))</f>
        <v>0.03</v>
      </c>
      <c r="AZ262" s="1519" t="e">
        <v>#VALUE!</v>
      </c>
      <c r="BA262" s="1520" t="e">
        <v>#VALUE!</v>
      </c>
      <c r="BB262" s="1520" t="e">
        <v>#VALUE!</v>
      </c>
      <c r="BC262" s="1583" t="e">
        <v>#VALUE!</v>
      </c>
      <c r="BD262" s="1522" t="e">
        <v>#VALUE!</v>
      </c>
      <c r="BE262" s="1523" t="e">
        <v>#VALUE!</v>
      </c>
      <c r="BF262" s="1523" t="e">
        <v>#VALUE!</v>
      </c>
      <c r="BG262" s="1584" t="e">
        <v>#VALUE!</v>
      </c>
      <c r="BH262" s="1525" t="e">
        <v>#VALUE!</v>
      </c>
      <c r="BI262" s="1520" t="e">
        <v>#VALUE!</v>
      </c>
      <c r="BJ262" s="1520" t="e">
        <v>#VALUE!</v>
      </c>
      <c r="BK262" s="1583" t="e">
        <v>#VALUE!</v>
      </c>
      <c r="BL262" s="1522" t="e">
        <v>#VALUE!</v>
      </c>
      <c r="BM262" s="1523" t="e">
        <v>#VALUE!</v>
      </c>
      <c r="BN262" s="1523" t="e">
        <v>#VALUE!</v>
      </c>
      <c r="BO262" s="1523" t="e">
        <v>#VALUE!</v>
      </c>
      <c r="BP262" s="1525" t="e">
        <f aca="false">SUM(AZ262:BB262)</f>
        <v>#VALUE!</v>
      </c>
      <c r="BQ262" s="1529" t="e">
        <f aca="false">SUM(AZ262:BC262)</f>
        <v>#VALUE!</v>
      </c>
      <c r="BR262" s="1519" t="e">
        <f aca="false">SUM(BH262:BJ262)</f>
        <v>#VALUE!</v>
      </c>
      <c r="BS262" s="1529" t="e">
        <f aca="false">SUM(BH262:BK262)</f>
        <v>#VALUE!</v>
      </c>
      <c r="BT262" s="1316" t="n">
        <f aca="false">(IF(OVolType&lt;&gt;2,A262+14,IF(OptExpDateShift,ShiftBack(A262,OptExpDateShift,D261),A262))-DateToday)/365.25</f>
        <v>20.4654346338125</v>
      </c>
      <c r="BU262" s="1585" t="e">
        <f aca="false">IF(BQ262,IF(OPriceCurve,IF(OBuySell=OCallPut,I262/(1-AY262),K262/(1-AY262)),J262/(1-AY262))*BD262,0)</f>
        <v>#VALUE!</v>
      </c>
      <c r="BV262" s="1316" t="e">
        <f aca="false">IF(BQ262,IF(OPriceCurve,IF(OBuySell=OCallPut,L262/(1-AY262),N262/(1-AY262)),M262/(1-AY262))*BE262,0)</f>
        <v>#VALUE!</v>
      </c>
      <c r="BW262" s="1316" t="e">
        <f aca="false">IF(BQ262,IF(OPriceCurve,IF(OBuySell=OCallPut,O262/(1-AY262),Q262/(1-AY262)),P262/(1-AY262))*BF262,0)</f>
        <v>#VALUE!</v>
      </c>
      <c r="BX262" s="1316" t="e">
        <f aca="false">IF(BQ262,IF(OPriceCurve,IF(OBuySell=OCallPut,R262/(1-AY262),T262/(1-AY262)),S262/(1-AY262))*BG262,0)</f>
        <v>#VALUE!</v>
      </c>
      <c r="BY262" s="1316" t="e">
        <f aca="false">IF(BP262,(BU262*AZ262+BV262*BA262+BW262*BB262)/BP262,0)</f>
        <v>#VALUE!</v>
      </c>
      <c r="BZ262" s="1316" t="e">
        <f aca="false">IF(BQ262,(BY262*BP262+BX262*BC262)/BQ262,0)</f>
        <v>#VALUE!</v>
      </c>
      <c r="CA262" s="1531" t="e">
        <f aca="false">IF(BS262,IF(OPriceCurve,IF(OBuySell=OCallPut,I262/(1-AY262),K262/(1-AY262)),J262/(1-AY262))*BL262,0)</f>
        <v>#VALUE!</v>
      </c>
      <c r="CB262" s="1316" t="e">
        <f aca="false">IF(BS262,IF(OPriceCurve,IF(OBuySell=OCallPut,L262/(1-AY262),N262/(1-AY262)),M262/(1-AY262))*BM262,0)</f>
        <v>#VALUE!</v>
      </c>
      <c r="CC262" s="1316" t="e">
        <f aca="false">IF(BS262,IF(OPriceCurve,IF(OBuySell=OCallPut,O262/(1-AY262),Q262/(1-AY262)),P262/(1-AY262))*BN262,0)</f>
        <v>#VALUE!</v>
      </c>
      <c r="CD262" s="1316" t="e">
        <f aca="false">IF(BS262,IF(OPriceCurve,IF(OBuySell=OCallPut,R262/(1-AY262),T262/(1-AY262)),S262/(1-AY262))*BO262,0)</f>
        <v>#VALUE!</v>
      </c>
      <c r="CE262" s="1316" t="e">
        <f aca="false">IF(BR262,(BU262*BH262+BV262*BI262+BW262*BJ262)/BR262,0)</f>
        <v>#VALUE!</v>
      </c>
      <c r="CF262" s="1532" t="e">
        <f aca="false">IF(BS262,(CE262*BR262+CD262*BK262)/BS262,0)</f>
        <v>#VALUE!</v>
      </c>
      <c r="CG262" s="1586" t="e">
        <f aca="false">IF(OR(BQ262,BS262),IF(OVolType&lt;&gt;2,SQRT(IF(OVolOverMonthlyPeak,OVolOverMonthlyPeak,IF(OVolCurve,IF(OBuySell,U262,W262),V262))^2*(1-15/365.25/BT262)+IF(OVolOverDailyPeak,OVolOverDailyPeak,IF(OVolCurve,IF(OBuySell,AG262,AI262),AH262))^2*15/365.25/BT262),IF(OVolOverMonthlyPeak,OVolOverMonthlyPeak,IF(OVolCurve,IF(OBuySell,U262,W262),V262))),"")</f>
        <v>#VALUE!</v>
      </c>
      <c r="CH262" s="1587" t="e">
        <f aca="false">IF(OR(BQ262,BS262),IF(OVolType&lt;&gt;2,SQRT(IF(OVolOverMonthlyPeak,OVolOverMonthlyPeak,IF(OVolCurve,IF(OBuySell,X262,Z262),Y262))^2*(1-15/365.25/BT262)+IF(OVolOverDailyPeak,OVolOverDailyPeak,IF(OVolCurve,IF(OBuySell,AJ262,AL262),AK262))^2*15/365.25/BT262),IF(OVolOverMonthlyPeak,OVolOverMonthlyPeak,IF(OVolCurve,IF(OBuySell,X262,Z262),Y262))),"")</f>
        <v>#VALUE!</v>
      </c>
      <c r="CI262" s="1587" t="e">
        <f aca="false">IF(OR(BQ262,BS262),IF(OVolType&lt;&gt;2,SQRT(IF(OVolOverMonthlyPeak,OVolOverMonthlyPeak,IF(OVolCurve,IF(OBuySell,AA262,AC262),AB262))^2*(1-15/365.25/BT262)+IF(OVolOverDailyPeak,OVolOverDailyPeak,IF(OVolCurve,IF(OBuySell,AM262,AO262),AN262))^2*15/365.25/BT262),IF(OVolOverMonthlyPeak,OVolOverMonthlyPeak,IF(OVolCurve,IF(OBuySell,AA262,AC262),AB262))),"")</f>
        <v>#VALUE!</v>
      </c>
      <c r="CJ262" s="1587" t="e">
        <f aca="false">IF(BQ262,IF(BP262,SQRT(LN(1+((BU262*AZ262)^2*(EXP(CG262^2*BT262)-1)+(BV262*BA262)^2*(EXP(CH262^2*BT262)-1)+(BW262*BB262)^2*(EXP(CI262^2*BT262)-1)+2*BU262*AZ262*BV262*BA262*(EXP(CG262*CH262*BT262)-1)+2*BV262*BA262*BW262*BB262*(EXP(CH262*CI262*BT262)-1)+2*BW262*BB262*BU262*AZ262*(EXP(CI262*CG262*BT262)-1))/(BY262*BP262)^2)/BT262),0),"")</f>
        <v>#VALUE!</v>
      </c>
      <c r="CK262" s="1587" t="e">
        <f aca="false">IF(BS262,IF(BR262,SQRT(LN(1+((CA262*BH262)^2*(EXP(CG262^2*BT262)-1)+(CB262*BI262)^2*(EXP(CH262^2*BT262)-1)+(CC262*BJ262)^2*(EXP(CI262^2*BT262)-1)+2*CA262*BH262*CB262*BI262*(EXP(CG262*CH262*BT262)-1)+2*CB262*BI262*CC262*BJ262*(EXP(CH262*CI262*BT262)-1)+2*CC262*BJ262*CA262*BH262*(EXP(CI262*CG262*BT262)-1))/(CE262*BR262)^2)/BT262),0),"")</f>
        <v>#VALUE!</v>
      </c>
      <c r="CL262" s="1587" t="e">
        <f aca="false">IF(OR(BQ262,BS262),IF(OVolType&lt;&gt;2,SQRT(IF(OVolOverMonthlyOffPeak,OVolOverMonthlyOffPeak,IF(OVolCurve,IF(OBuySell,AD262,AF262),AE262))^2*(1-15/365.25/BT262)+IF(OVolOverDailyOffPeak,OVolOverDailyOffPeak,IF(OVolCurve,IF(OBuySell,AP262,AR262),AQ262))^2*15/365.25/BT262),IF(OVolOverMonthlyOffPeak,OVolOverMonthlyOffPeak,IF(OVolCurve,IF(OBuySell,AD262,AF262),AE262))),"")</f>
        <v>#VALUE!</v>
      </c>
      <c r="CM262" s="1587" t="e">
        <f aca="false">IF(BQ262,SQRT(LN(1+((BY262*BP262)^2*(EXP(CJ262^2*BT262)-1)+(BX262*BC262)^2*(EXP(CL262^2*BT262)-1)+2*BY262*BP262*BX262*BC262*(EXP(AS262*CJ262*CL262*BT262)-1))/(BY262*BP262+BX262*BC262)^2)/BT262),"")</f>
        <v>#VALUE!</v>
      </c>
      <c r="CN262" s="1588" t="e">
        <f aca="false">IF(BS262,SQRT(LN(1+((CE262*BR262)^2*(EXP(CK262^2*BT262)-1)+(CD262*BK262)^2*(EXP(CL262^2*BT262)-1)+2*CE262*BR262*CD262*BK262*(EXP(AS262*CK262*CL262*BT262)-1))/(CE262*BR262+CD262*BK262)^2)/BT262),"")</f>
        <v>#VALUE!</v>
      </c>
      <c r="CO262" s="1531" t="e">
        <f aca="false">IF(OR(BQ262,BS262),VLOOKUP(A262,GasTable,13)*HeatRatePeak*(1+VLOOKUP($B262,HeatRateDegradation,$C262+1))/1000,0)</f>
        <v>#VALUE!</v>
      </c>
      <c r="CP262" s="1316" t="e">
        <f aca="false">IF(OR(BQ262,BS262),VLOOKUP(A262,GasTable,13)*HeatRatePeak*(1+VLOOKUP($B262,HeatRateDegradation,$C262+1))/1000,0)</f>
        <v>#VALUE!</v>
      </c>
      <c r="CQ262" s="1316" t="e">
        <f aca="false">IF(OR(BQ262,BS262),VLOOKUP(A262,GasTable,13)*IF(EV262,HeatRatePeak,HeatRateOffPeak)*(1+VLOOKUP($B262,HeatRateDegradation,$C262+1))/1000,0)</f>
        <v>#VALUE!</v>
      </c>
      <c r="CR262" s="1316" t="e">
        <f aca="false">IF(OR(BQ262,BS262),VLOOKUP(A262,GasTable,13)*IF(EW262,HeatRatePeak,HeatRateOffPeak)*(1+VLOOKUP($B262,HeatRateDegradation,$C262+1))/1000,0)</f>
        <v>#VALUE!</v>
      </c>
      <c r="CS262" s="1589" t="e">
        <f aca="false">IF(BQ262,(CO262*AZ262+CP262*BA262+CQ262*BB262+CR262*BC262)/BQ262,0)</f>
        <v>#VALUE!</v>
      </c>
      <c r="CT262" s="1316" t="e">
        <f aca="false">IF(BS262,CO262,0)</f>
        <v>#VALUE!</v>
      </c>
      <c r="CU262" s="1590" t="e">
        <f aca="false">IF(OR(BQ262,BS262),VLOOKUP(A262,GasTable,14),"")</f>
        <v>#VALUE!</v>
      </c>
      <c r="CV262" s="1568" t="e">
        <f aca="false">IF(OR(BQ262,BS262),IF(CorrPowerGasOverFlag,INDEX(CorrPowerGasOver,C262),CorrPowerGas),"")</f>
        <v>#VALUE!</v>
      </c>
      <c r="CW262" s="1316" t="e">
        <f aca="false">IF(OR($BQ262,$BS262),SpreadOptPowerMargin,0)*((1+Assumptions!$C$26)^($B262-YEAR(Assumptions!$C$17)))</f>
        <v>#VALUE!</v>
      </c>
      <c r="CX262" s="1316" t="e">
        <f aca="false">IF(OR($BQ262,$BS262),SpreadOptPowerMargin,0)*((1+Assumptions!$C$26)^($B262-YEAR(Assumptions!$C$17)))</f>
        <v>#VALUE!</v>
      </c>
      <c r="CY262" s="1316" t="e">
        <f aca="false">IF(OR($BQ262,$BS262),SpreadOptPowerMargin,0)*((1+Assumptions!$C$26)^($B262-YEAR(Assumptions!$C$17)))</f>
        <v>#VALUE!</v>
      </c>
      <c r="CZ262" s="1316" t="e">
        <f aca="false">IF(OR($BQ262,$BS262),SpreadOptPowerMargin,0)*((1+Assumptions!$C$26)^($B262-YEAR(Assumptions!$C$17)))</f>
        <v>#VALUE!</v>
      </c>
      <c r="DA262" s="1591" t="e">
        <f aca="false">IF(OR(BQ262,BS262),(CW262*(AZ262+BH262)+CX262*(BA262+BI262)+CY262*(BB262+BJ262)+CZ262*(BC262+BK262))/(BQ262+BS262),0)</f>
        <v>#VALUE!</v>
      </c>
      <c r="DB262" s="1592" t="e">
        <f aca="false">IF(OR(BQ262,BS262),CG262+IF(OVolSmile,VLOOKUP(MAX(-5,CO262+CW262-BU262),IF(OVolSmile=1,VolSmileBook,VolSmileModel),2),0),"")</f>
        <v>#VALUE!</v>
      </c>
      <c r="DC262" s="1592" t="e">
        <f aca="false">IF(OR(BQ262,BS262),CH262+IF(OVolSmile,VLOOKUP(MAX(-5,CP262+CW262-BV262),IF(OVolSmile=1,VolSmileBook,VolSmileModel),2),0),"")</f>
        <v>#VALUE!</v>
      </c>
      <c r="DD262" s="1592" t="e">
        <f aca="false">IF(OR(BQ262,BS262),CI262+IF(OVolSmile,VLOOKUP(MAX(-5,CQ262+CW262-BW262),IF(OVolSmile=1,VolSmileBook,VolSmileModel),2),0),"")</f>
        <v>#VALUE!</v>
      </c>
      <c r="DE262" s="1592" t="e">
        <f aca="false">IF(OR(BQ262,BS262),CL262+IF(OVolSmile,VLOOKUP(MAX(-5,CR262+CZ262-BX262),IF(OVolSmile=1,VolSmileBook,VolSmileModel),2),0),"")</f>
        <v>#VALUE!</v>
      </c>
      <c r="DF262" s="1592" t="e">
        <f aca="false">IF(BQ262,CM262+IF(OVolSmile,VLOOKUP(MAX(-5,CS262+DA262-BZ262),IF(OVolSmile=1,VolSmileBook,VolSmileModel),2),0),"")</f>
        <v>#VALUE!</v>
      </c>
      <c r="DG262" s="1593" t="e">
        <f aca="false">IF(BS262,CN262+IF(OVolSmile,VLOOKUP(MAX(-5,CT262+DA262-CF262),IF(OVolSmile=1,VolSmileBook,VolSmileModel),2),0),"")</f>
        <v>#VALUE!</v>
      </c>
      <c r="DH262" s="1316" t="e">
        <f aca="false">IF(AND(BU262&gt;0,CO262&gt;0,DB262&gt;0,CU262&gt;0),newSPRDOPT(BU262,CO262,CW262,0,DB262,CU262,CV262,BT262*365.25,OCallPut,0),0)</f>
        <v>#VALUE!</v>
      </c>
      <c r="DI262" s="1316" t="e">
        <f aca="false">IF(AND(BV262&gt;0,CP262&gt;0,DC262&gt;0,CU262&gt;0),newSPRDOPT(BV262,CP262,CX262,0,DC262,CU262,CV262,BT262*365.25,OCallPut,0),0)</f>
        <v>#VALUE!</v>
      </c>
      <c r="DJ262" s="1316" t="e">
        <f aca="false">IF(AND(BW262&gt;0,CQ262&gt;0,DD262&gt;0,CU262&gt;0),newSPRDOPT(BW262,CQ262,CY262,0,DD262,CU262,CV262,BT262*365.25,OCallPut,0),0)</f>
        <v>#VALUE!</v>
      </c>
      <c r="DK262" s="1316" t="e">
        <f aca="false">IF(AND(BX262&gt;0,CR262&gt;0,DE262&gt;0,CU262&gt;0),newSPRDOPT(BX262,CR262,CZ262,0,DE262,CU262,CV262,BT262*365.25,OCallPut,0),0)</f>
        <v>#VALUE!</v>
      </c>
      <c r="DL262" s="1316" t="e">
        <f aca="false">IF(OVolType,IF(AND(BZ262&gt;0,CS262&gt;0,DF262&gt;0,CU262&gt;0),newSPRDOPT(BZ262,CS262,DA262,0,DF262,CU262,CV262,BT262*365.25,OCallPut,0),0),IF(BQ262,(DH262*AZ262+DI262*BA262+DJ262*BB262+DK262*BC262)/BQ262,0))</f>
        <v>#VALUE!</v>
      </c>
      <c r="DM262" s="1316"/>
      <c r="DN262" s="1316"/>
      <c r="DO262" s="1316"/>
      <c r="DP262" s="1316"/>
      <c r="DQ262" s="1316"/>
      <c r="DR262" s="1316"/>
      <c r="DS262" s="1316"/>
      <c r="DT262" s="1316"/>
      <c r="DU262" s="1316"/>
      <c r="DV262" s="1316"/>
      <c r="DW262" s="1594" t="e">
        <f aca="false">IF(AND(BW262&gt;0,CT262&gt;0,DD262&gt;0,CU262&gt;0),newSPRDOPT(BW262,CT262,CY262,0,DD262,CU262,CV262,BT262*365.25,OCallPut,0),0)</f>
        <v>#VALUE!</v>
      </c>
      <c r="DX262" s="1316" t="e">
        <f aca="false">IF(AND(BX262&gt;0,CT262&gt;0,DE262&gt;0,CU262&gt;0),newSPRDOPT(BX262,CT262,CZ262,0,DE262,CU262,CV262,BT262*365.25,OCallPut,0),0)</f>
        <v>#VALUE!</v>
      </c>
      <c r="DY262" s="1591" t="e">
        <f aca="false">IF(BS262,(DH262*BH262+DI262*BI262+DW262*BJ262+DX262*BK262)/BS262,0)</f>
        <v>#VALUE!</v>
      </c>
      <c r="DZ262" s="1551" t="e">
        <f aca="false">DH262*AZ262</f>
        <v>#VALUE!</v>
      </c>
      <c r="EA262" s="1551" t="e">
        <f aca="false">DI262*BA262</f>
        <v>#VALUE!</v>
      </c>
      <c r="EB262" s="1551" t="e">
        <f aca="false">DJ262*BB262</f>
        <v>#VALUE!</v>
      </c>
      <c r="EC262" s="1551" t="e">
        <f aca="false">DK262*BC262</f>
        <v>#VALUE!</v>
      </c>
      <c r="ED262" s="1551" t="e">
        <f aca="false">DL262*BQ262</f>
        <v>#VALUE!</v>
      </c>
      <c r="EE262" s="1595" t="e">
        <f aca="false">IF(BQ262,IF(OCallPut,IF(BU262&gt;(CO262+CW262),BU262-(CO262+CW262),0),IF((CO262+CW262)&gt;BU262,(CO262+CW262)-BU262,0))*AZ262,0)</f>
        <v>#VALUE!</v>
      </c>
      <c r="EF262" s="1596" t="e">
        <f aca="false">IF(BQ262,IF(OCallPut,IF(BV262&gt;(CP262+CX262),BV262-(CP262+CX262),0),IF((CP262+CX262)&gt;BV262,(CP262+CX262)-BV262,0))*BA262,0)</f>
        <v>#VALUE!</v>
      </c>
      <c r="EG262" s="1596" t="e">
        <f aca="false">IF(BQ262,IF(OCallPut,IF(BW262&gt;(CQ262+CY262),BW262-(CQ262+CY262),0),IF((CQ262+CY262)&gt;BW262,(CQ262+CY262)-BW262,0))*BB262,0)</f>
        <v>#VALUE!</v>
      </c>
      <c r="EH262" s="1596" t="e">
        <f aca="false">IF(BQ262,IF(OCallPut,IF(BX262&gt;(CR262+CZ262),BX262-(CR262+CZ262),0),IF((CR262+CZ262)&gt;BX262,(CR262+CZ262)-BX262,0))*BC262,0)</f>
        <v>#VALUE!</v>
      </c>
      <c r="EI262" s="1597" t="e">
        <f aca="false">IF(BQ262,IF(OVolType,IF(OCallPut,IF(BZ262&gt;(CS262+DA262),BZ262-(CS262+DA262),0),IF((CS262+DA262)&gt;BZ262,(CS262+DA262)-BZ262,0))*BQ262,SUM(EE262:EH262)),0)</f>
        <v>#VALUE!</v>
      </c>
      <c r="EJ262" s="1595" t="e">
        <f aca="false">DZ262-EE262</f>
        <v>#VALUE!</v>
      </c>
      <c r="EK262" s="1596" t="e">
        <f aca="false">EA262-EF262</f>
        <v>#VALUE!</v>
      </c>
      <c r="EL262" s="1596" t="e">
        <f aca="false">EB262-EG262</f>
        <v>#VALUE!</v>
      </c>
      <c r="EM262" s="1596" t="e">
        <f aca="false">EC262-EH262</f>
        <v>#VALUE!</v>
      </c>
      <c r="EN262" s="1597" t="e">
        <f aca="false">ED262-EI262</f>
        <v>#VALUE!</v>
      </c>
      <c r="EO262" s="1551" t="e">
        <f aca="false">DH262*BH262</f>
        <v>#VALUE!</v>
      </c>
      <c r="EP262" s="1551" t="e">
        <f aca="false">DI262*BI262</f>
        <v>#VALUE!</v>
      </c>
      <c r="EQ262" s="1551" t="e">
        <f aca="false">DW262*BJ262</f>
        <v>#VALUE!</v>
      </c>
      <c r="ER262" s="1551" t="e">
        <f aca="false">DX262*BK262</f>
        <v>#VALUE!</v>
      </c>
      <c r="ES262" s="1551" t="e">
        <f aca="false">DY262*BS262</f>
        <v>#VALUE!</v>
      </c>
      <c r="ET262" s="1566" t="e">
        <f aca="false">IF(EI262,IF(OCallPut,IF(CA262&gt;(CT262+CW262),CA262-(CT262+CW262),0),IF((CT262+CW262)&gt;CA262,(CT262+CW262)-CA262,0))*BH262,0)</f>
        <v>#VALUE!</v>
      </c>
      <c r="EU262" s="1551" t="e">
        <f aca="false">IF(EI262,IF(OCallPut,IF(CB262&gt;(CT262+CX262),CB262-(CT262+CX262),0),IF((CT262+CX262)&gt;CB262,(CT262+CX262)-CB262,0))*BI262,0)</f>
        <v>#VALUE!</v>
      </c>
      <c r="EV262" s="1551" t="e">
        <f aca="false">IF(EI262,IF(OCallPut,IF(CC262&gt;(CT262+CY262),CC262-(CT262+CY262),0),IF((CT262+CY262)&gt;CC262,(CT262+CY262)-CC262,0))*BJ262,0)</f>
        <v>#VALUE!</v>
      </c>
      <c r="EW262" s="1551" t="e">
        <f aca="false">IF(EI262,IF(OCallPut,IF(CD262&gt;(CT262+CZ262),CD262-(CT262+CZ262),0),IF((CT262+CZ262)&gt;CD262,(CT262+CZ262)-CD262,0))*BK262,0)</f>
        <v>#VALUE!</v>
      </c>
      <c r="EX262" s="1558" t="e">
        <f aca="false">IF(EI262,SUM(ET262:EW262),0)</f>
        <v>#VALUE!</v>
      </c>
      <c r="EY262" s="1551" t="e">
        <f aca="false">EO262-ET262</f>
        <v>#VALUE!</v>
      </c>
      <c r="EZ262" s="1551" t="e">
        <f aca="false">EP262-EU262</f>
        <v>#VALUE!</v>
      </c>
      <c r="FA262" s="1551" t="e">
        <f aca="false">EQ262-EV262</f>
        <v>#VALUE!</v>
      </c>
      <c r="FB262" s="1551" t="e">
        <f aca="false">ER262-EW262</f>
        <v>#VALUE!</v>
      </c>
      <c r="FC262" s="1551" t="e">
        <f aca="false">ES262-EX262</f>
        <v>#VALUE!</v>
      </c>
      <c r="FD262" s="1525" t="n">
        <f aca="false">IF(AX262,IF(VLOOKUP(C262,MAIN!$L$17:$M$28,2)="Yes",VLOOKUP(CALC!B262,MAIN!$H$17:$I$20,2),0),0)</f>
        <v>0</v>
      </c>
      <c r="FE262" s="1552" t="e">
        <f aca="false">$FD262*16*AT262*(1-$AY262)</f>
        <v>#VALUE!</v>
      </c>
      <c r="FF262" s="1553" t="e">
        <f aca="false">$FD262*16*AU262*(1-$AY262)</f>
        <v>#VALUE!</v>
      </c>
      <c r="FG262" s="1553" t="e">
        <f aca="false">$FD262*16*(AV262+AW262)*(1-$AY262)</f>
        <v>#VALUE!</v>
      </c>
      <c r="FH262" s="1554" t="n">
        <f aca="false">$FD262*8*AX262*(1-$AY262)</f>
        <v>0</v>
      </c>
      <c r="FI262" s="1555" t="n">
        <f aca="false">IF(AX262,VLOOKUP(CALC!B262,MAIN!$H$17:$K$20,4),0)</f>
        <v>0</v>
      </c>
      <c r="FJ262" s="1553" t="e">
        <f aca="false">SUM(FE262:FH262)</f>
        <v>#VALUE!</v>
      </c>
      <c r="FK262" s="1556" t="e">
        <f aca="false">FI262*FJ262</f>
        <v>#VALUE!</v>
      </c>
      <c r="FL262" s="1551" t="e">
        <f aca="false">IF($EI262&gt;0,MIN(FE262,AZ262*(1+VLOOKUP($C262,WeatherCapacityAdjustment,2))),0)</f>
        <v>#VALUE!</v>
      </c>
      <c r="FM262" s="1551" t="e">
        <f aca="false">IF($EI262&gt;0,MIN(FF262,BA262*(1+VLOOKUP($C262,WeatherCapacityAdjustment,2))),0)</f>
        <v>#VALUE!</v>
      </c>
      <c r="FN262" s="1551" t="e">
        <f aca="false">IF($EI262&gt;0,MIN(FG262,BB262*(1+VLOOKUP($C262,WeatherCapacityAdjustment,2))),0)</f>
        <v>#VALUE!</v>
      </c>
      <c r="FO262" s="1564" t="e">
        <f aca="false">IF($EI262&gt;0,MIN(FH262,BC262*(1+VLOOKUP($C262,WeatherCapacityAdjustment,3))),0)</f>
        <v>#VALUE!</v>
      </c>
      <c r="FP262" s="1551" t="e">
        <f aca="false">IF(ET262&gt;0,MIN(FE262-FL262,BH262*(1+VLOOKUP($C262,WeatherCapacityAdjustment,2))),0)</f>
        <v>#VALUE!</v>
      </c>
      <c r="FQ262" s="1551" t="e">
        <f aca="false">IF(EU262&gt;0,MIN(FF262-FM262,BI262*(1+VLOOKUP($C262,WeatherCapacityAdjustment,2))),0)</f>
        <v>#VALUE!</v>
      </c>
      <c r="FR262" s="1551" t="e">
        <f aca="false">IF(EV262&gt;0,MIN(FG262-FN262,BJ262*(1+VLOOKUP($C262,WeatherCapacityAdjustment,2))),0)</f>
        <v>#VALUE!</v>
      </c>
      <c r="FS262" s="1558" t="e">
        <f aca="false">IF(EW262&gt;0,MIN(FH262-FO262,BK262*(1+VLOOKUP($C262,WeatherCapacityAdjustment,3))),0)</f>
        <v>#VALUE!</v>
      </c>
      <c r="FT262" s="1566" t="e">
        <f aca="false">IF(AND(Assumptions!$H$71="Yes",A262&gt;=Assumptions!$H$72,A262&lt;=Assumptions!$H$73),0,IF(AND($A262&gt;=Assumptions!$C$17,$A262&lt;=Assumptions!$C$18),MAX(AZ262*(1+VLOOKUP($C262,WeatherCapacityAdjustment,2))-FL262,0),0))</f>
        <v>#VALUE!</v>
      </c>
      <c r="FU262" s="1551" t="e">
        <f aca="false">IF(AND(Assumptions!$H$71="Yes",A262&gt;=Assumptions!$H$72,A262&lt;=Assumptions!$H$73),0,IF(AND($A262&gt;=Assumptions!$C$17,$A262&lt;=Assumptions!$C$18),MAX(BA262*(1+VLOOKUP($C262,WeatherCapacityAdjustment,2))-FM262,0),0))</f>
        <v>#VALUE!</v>
      </c>
      <c r="FV262" s="1551" t="e">
        <f aca="false">IF(AND(Assumptions!$H$71="Yes",A262&gt;=Assumptions!$H$72,A262&lt;=Assumptions!$H$73),0,IF(AND($A262&gt;=Assumptions!$C$17,$A262&lt;=Assumptions!$C$18),MAX(BB262*(1+VLOOKUP($C262,WeatherCapacityAdjustment,2))-FN262,0),0))</f>
        <v>#VALUE!</v>
      </c>
      <c r="FW262" s="1564" t="e">
        <f aca="false">IF(AND(Assumptions!$H$71="Yes",A262&gt;=Assumptions!$H$72,A262&lt;=Assumptions!$H$73),0,IF(AND($A262&gt;=Assumptions!$C$17,$A262&lt;=Assumptions!$C$18),MAX(BC262*(1+VLOOKUP($C262,WeatherCapacityAdjustment,3))-FO262,0),0))</f>
        <v>#VALUE!</v>
      </c>
      <c r="FX262" s="1569" t="e">
        <f aca="false">IF(AND(Assumptions!$H$71="Yes",A262&gt;=Assumptions!$H$72,A262&lt;=Assumptions!$H$73),0,IF(ET262&gt;0,MAX(BH262*(1+VLOOKUP($C262,WeatherCapacityAdjustment,2))-FP262,0),0))</f>
        <v>#VALUE!</v>
      </c>
      <c r="FY262" s="1551" t="e">
        <f aca="false">IF(AND(Assumptions!$H$71="Yes",A262&gt;=Assumptions!$H$72,A262&lt;=Assumptions!$H$73),0,IF(EU262&gt;0,MAX(BI262*(1+VLOOKUP($C262,WeatherCapacityAdjustment,3))-FQ262,0),0))</f>
        <v>#VALUE!</v>
      </c>
      <c r="FZ262" s="1551" t="e">
        <f aca="false">IF(AND(Assumptions!$H$71="Yes",A262&gt;=Assumptions!$H$72,A262&lt;=Assumptions!$H$73),0,IF(EV262&gt;0,MAX(BJ262*(1+VLOOKUP($C262,WeatherCapacityAdjustment,2))-FR262,0),0))</f>
        <v>#VALUE!</v>
      </c>
      <c r="GA262" s="1564" t="e">
        <f aca="false">IF(AND(Assumptions!$H$71="Yes",A262&gt;=Assumptions!$H$72,A262&lt;=Assumptions!$H$73),0,IF(EW262&gt;0,MAX(BK262*(1+VLOOKUP($C262,WeatherCapacityAdjustment,2))-FS262,0),0))</f>
        <v>#VALUE!</v>
      </c>
      <c r="GB262" s="1551" t="e">
        <f aca="false">SUM(FT262:GA262)</f>
        <v>#VALUE!</v>
      </c>
      <c r="GC262" s="1563" t="e">
        <f aca="false">+IF(SUM(FT262:GA262)=0,0,(SUMPRODUCT(BU262:BX262,FT262:FW262)+SUMPRODUCT(CA262:CD262,FX262:GA262))/SUM(FT262:GA262))</f>
        <v>#VALUE!</v>
      </c>
      <c r="GD262" s="1551" t="e">
        <f aca="false">(FT262*BU262+FX262*CA262+FU262*BV262+FY262*CB262+FV262*BW262+FZ262*CC262+FW262*BX262+GA262*CD262)</f>
        <v>#VALUE!</v>
      </c>
      <c r="GE262" s="1561" t="e">
        <f aca="false">+IF(BQ262,((FL262+FM262+FT262+FU262)*HeatRatePeak/1000*(1+VLOOKUP($C262,WeatherHeatRateAdjustment,2))+(FN262+FV262)*IF(EV262&gt;0,HeatRatePeak,HeatRateOffPeak)/1000*(1+VLOOKUP($C262,WeatherHeatRateAdjustment,2))+(FO262+FW262)*IF(EW262&gt;0,HeatRatePeak,HeatRateOffPeak)/1000*(1+VLOOKUP($C262,WeatherHeatRateAdjustment,3)))*(1+VLOOKUP($B262,HeatRateDegradation,$C262+1)),0)</f>
        <v>#VALUE!</v>
      </c>
      <c r="GF262" s="1562" t="e">
        <f aca="false">IF(BQ262,((FP262+FQ262+FR262+FX262+FY262+FZ262)*HeatRatePeak/1000*(1+VLOOKUP($C262,WeatherHeatRateAdjustment,2))+(FS262+GA262)*HeatRatePeak/1000*(1+VLOOKUP($C262,WeatherHeatRateAdjustment,3)))*(1+VLOOKUP($B262,HeatRateDegradation,$C262+1)),0)</f>
        <v>#VALUE!</v>
      </c>
      <c r="GG262" s="1563" t="e">
        <f aca="false">IF(BQ262,VLOOKUP(A262,GasTable,13),0)</f>
        <v>#VALUE!</v>
      </c>
      <c r="GH262" s="1564" t="e">
        <f aca="false">(GE262+GF262)*GG262</f>
        <v>#VALUE!</v>
      </c>
      <c r="GI262" s="1569" t="e">
        <f aca="false">GB262</f>
        <v>#VALUE!</v>
      </c>
      <c r="GJ262" s="1598" t="e">
        <f aca="false">+DA262</f>
        <v>#VALUE!</v>
      </c>
      <c r="GK262" s="1558" t="e">
        <f aca="false">+GI262*GJ262</f>
        <v>#VALUE!</v>
      </c>
      <c r="GL262" s="1566" t="e">
        <f aca="false">MAX(FE262-FL262-FP262,0)</f>
        <v>#VALUE!</v>
      </c>
      <c r="GM262" s="1551" t="e">
        <f aca="false">MAX(FF262-FM262-FQ262,0)</f>
        <v>#VALUE!</v>
      </c>
      <c r="GN262" s="1551" t="e">
        <f aca="false">MAX(FG262-FN262-FR262,0)</f>
        <v>#VALUE!</v>
      </c>
      <c r="GO262" s="1564" t="e">
        <f aca="false">MAX(FH262-FO262-FS262,0)</f>
        <v>#VALUE!</v>
      </c>
      <c r="GP262" s="1551" t="e">
        <f aca="false">SUM(GL262:GO262)</f>
        <v>#VALUE!</v>
      </c>
      <c r="GQ262" s="1563" t="e">
        <f aca="false">IF(SUM(GL262:GO262)=0,0,((GL262*BU262+GM262*BV262+GN262*BW262+GO262*BX262)/SUM(GL262:GO262)))</f>
        <v>#VALUE!</v>
      </c>
      <c r="GR262" s="1558" t="e">
        <f aca="false">(GL262*BU262+GM262*BV262+GN262*BW262+GO262*BX262)</f>
        <v>#VALUE!</v>
      </c>
      <c r="GS262" s="1566" t="n">
        <f aca="false">IF($A262&gt;=BegDate,Assumptions!$C$56*24*($A263-$A262)*(1-VLOOKUP($B262,MAIN!$AA$7:$AM$28,$C262+1))*(1-VLOOKUP($B262,MAIN!$AA$33:$AM$54,$C262+1)),0)*80/168</f>
        <v>257742.857142857</v>
      </c>
      <c r="GT262" s="286" t="n">
        <f aca="false">J262</f>
        <v>60.2660143229129</v>
      </c>
      <c r="GU262" s="286" t="n">
        <f aca="false">IF($A262&gt;=BegDate,VLOOKUP($A262,GasTable,13)+Assumptions!$C$58,0)</f>
        <v>4.15369740111035</v>
      </c>
      <c r="GV262" s="286" t="n">
        <f aca="false">GU262*Assumptions!$C$57/1000</f>
        <v>30.11430615805</v>
      </c>
      <c r="GW262" s="1558" t="n">
        <f aca="false">IF(Assumptions!$C$60="Hourly",MAX(0,GS262*(GT262-GV262)),GS262*(GT262-GV262))</f>
        <v>7771387.41014938</v>
      </c>
      <c r="GX262" s="1566" t="n">
        <f aca="false">IF($A262&gt;=BegDate,Assumptions!$C$56*24*($A263-$A262)*(1-VLOOKUP($B262,MAIN!$AA$7:$AM$28,$C262+1))*(1-VLOOKUP($B262,MAIN!$AA$33:$AM$54,$C262+1)),0)*16/168</f>
        <v>51548.5714285714</v>
      </c>
      <c r="GY262" s="286" t="n">
        <f aca="false">M262</f>
        <v>60.2660143229129</v>
      </c>
      <c r="GZ262" s="286" t="n">
        <f aca="false">IF($A262&gt;=BegDate,VLOOKUP($A262,GasTable,13)+Assumptions!$C$58,0)</f>
        <v>4.15369740111035</v>
      </c>
      <c r="HA262" s="286" t="n">
        <f aca="false">GZ262*Assumptions!$C$57/1000</f>
        <v>30.11430615805</v>
      </c>
      <c r="HB262" s="1558" t="n">
        <f aca="false">IF(Assumptions!$C$60="Hourly",MAX(0,GX262*(GY262-HA262)),GX262*(GY262-HA262))</f>
        <v>1554277.48202988</v>
      </c>
      <c r="HC262" s="1566" t="n">
        <f aca="false">IF($A262&gt;=BegDate,Assumptions!$C$56*24*($A263-$A262)*(1-VLOOKUP($B262,MAIN!$AA$7:$AM$28,$C262+1))*(1-VLOOKUP($B262,MAIN!$AA$33:$AM$54,$C262+1)),0)*16/168</f>
        <v>51548.5714285714</v>
      </c>
      <c r="HD262" s="286" t="n">
        <f aca="false">P262</f>
        <v>33.5549211222852</v>
      </c>
      <c r="HE262" s="286" t="n">
        <f aca="false">IF($A262&gt;=BegDate,VLOOKUP($A262,GasTable,13)+Assumptions!$C$58,0)</f>
        <v>4.15369740111035</v>
      </c>
      <c r="HF262" s="286" t="n">
        <f aca="false">HE262*Assumptions!$C$57/1000</f>
        <v>30.11430615805</v>
      </c>
      <c r="HG262" s="1558" t="n">
        <f aca="false">IF(Assumptions!$C$60="Hourly",MAX(0,HC262*(HD262-HF262)),HC262*(HD262-HF262))</f>
        <v>177358.78624209</v>
      </c>
      <c r="HH262" s="1566" t="n">
        <f aca="false">IF($A262&gt;=BegDate,Assumptions!$C$56*24*($A263-$A262)*(1-VLOOKUP($B262,MAIN!$AA$7:$AM$28,$C262+1))*(1-VLOOKUP($B262,MAIN!$AA$33:$AM$54,$C262+1)),0)*56/168</f>
        <v>180420</v>
      </c>
      <c r="HI262" s="286" t="n">
        <f aca="false">S262</f>
        <v>33.5549211222852</v>
      </c>
      <c r="HJ262" s="286" t="n">
        <f aca="false">IF($A262&gt;=BegDate,VLOOKUP($A262,GasTable,13)+Assumptions!$C$58,0)</f>
        <v>4.15369740111035</v>
      </c>
      <c r="HK262" s="286" t="n">
        <f aca="false">HJ262*Assumptions!$C$57/1000</f>
        <v>30.11430615805</v>
      </c>
      <c r="HL262" s="1558" t="n">
        <f aca="false">IF(Assumptions!$C$60="Hourly",MAX(0,HH262*(HI262-HK262)),HH262*(HI262-HK262))</f>
        <v>620755.751847314</v>
      </c>
      <c r="HM262" s="1566" t="n">
        <f aca="false">IF(AND(Assumptions!$H$71="Yes",A262&gt;=Assumptions!$H$72,A262&lt;=Assumptions!$H$73),Assumptions!$H$74*Assumptions!$C$9*1000,0)</f>
        <v>0</v>
      </c>
      <c r="HN262" s="1551"/>
      <c r="HO262" s="1563"/>
      <c r="HP262" s="1563"/>
      <c r="HQ262" s="1563"/>
      <c r="HR262" s="1563"/>
      <c r="HS262" s="1563"/>
      <c r="HT262" s="1563"/>
      <c r="HU262" s="1563"/>
      <c r="HV262" s="1563"/>
      <c r="HW262" s="1563"/>
      <c r="HX262" s="1563"/>
      <c r="HY262" s="1563"/>
      <c r="HZ262" s="1563"/>
      <c r="IA262" s="1563"/>
      <c r="IB262" s="1563"/>
      <c r="IC262" s="1563"/>
      <c r="ID262" s="1563"/>
      <c r="IE262" s="1563"/>
      <c r="IF262" s="1563"/>
      <c r="IG262" s="1563"/>
      <c r="IH262" s="1563"/>
      <c r="II262" s="1610"/>
      <c r="IJ262" s="1309"/>
      <c r="IK262" s="1309"/>
    </row>
    <row r="263" customFormat="false" ht="12.75" hidden="false" customHeight="false" outlineLevel="0" collapsed="false">
      <c r="A263" s="1571" t="n">
        <f aca="false">EOMONTH(A262,0)+1</f>
        <v>44136</v>
      </c>
      <c r="B263" s="594" t="n">
        <f aca="false">+YEAR(A263)</f>
        <v>2020</v>
      </c>
      <c r="C263" s="238" t="n">
        <f aca="false">MONTH(A263)</f>
        <v>11</v>
      </c>
      <c r="D263" s="1572" t="e">
        <f aca="false">IF(E263="","",Holiday(B263,C263))</f>
        <v>#VALUE!</v>
      </c>
      <c r="E263" s="1573" t="n">
        <f aca="false">IF(OR(BegDate&gt;=A264,EndDate&lt;A263,AND(VolumeMonthlyOverFlag,INDEX(VolumeMonthlyOver,C263)=0),NOT(INDEX(MonthKnockOutTable,C263))),"",MAX(A263,BegDate))</f>
        <v>44136</v>
      </c>
      <c r="F263" s="1574" t="n">
        <f aca="false">IF(E263="","",MIN(A264-1,EndDate))</f>
        <v>44165</v>
      </c>
      <c r="G263" s="1575" t="n">
        <v>0</v>
      </c>
      <c r="H263" s="1576" t="n">
        <f aca="false">(1+G263/2)^(-2*(DATE(B264,C264,20)-DateToday)/365.25)</f>
        <v>1</v>
      </c>
      <c r="I263" s="1568" t="n">
        <f aca="false">IF(Assumptions!$L$25=4,VLOOKUP($A263,'Henwood Reference'!$E$9:$R$320,10),(VLOOKUP($A263,PriceTable,2,0)+IF(BasisNumber&lt;&gt;1,VLOOKUP($A263,BasisTable,2,0),0)+I$1)/(1-I$2))</f>
        <v>62.3616459354612</v>
      </c>
      <c r="J263" s="1568" t="n">
        <f aca="false">IF(Assumptions!$L$25=4,VLOOKUP($A263,'Henwood Reference'!$E$9:$R$320,10),(VLOOKUP($A263,PriceTable,3,0)+IF(BasisNumber&lt;&gt;1,VLOOKUP($A263,BasisTable,2,0),0)+J$1)/(1-J$2))</f>
        <v>62.3616459354612</v>
      </c>
      <c r="K263" s="1568" t="n">
        <f aca="false">IF(Assumptions!$L$25=4,VLOOKUP($A263,'Henwood Reference'!$E$9:$R$320,10),(VLOOKUP($A263,PriceTable,4,0)+IF(BasisNumber&lt;&gt;1,VLOOKUP($A263,BasisTable,2,0),0)+K$1)/(1-K$2))</f>
        <v>62.3616459354612</v>
      </c>
      <c r="L263" s="1523" t="n">
        <f aca="false">IF(Assumptions!$L$25=4,VLOOKUP($A263,'Henwood Reference'!$E$9:$R$320,10),(VLOOKUP($A263,PriceTableWeekend,2,0)+IF(BasisNumber&lt;&gt;1,VLOOKUP($A263,BasisTable,2,0),0)+L$1)/(1-L$2))</f>
        <v>62.3616459354612</v>
      </c>
      <c r="M263" s="1568" t="n">
        <f aca="false">IF(Assumptions!$L$25=4,VLOOKUP($A263,'Henwood Reference'!$E$9:$R$320,10),(VLOOKUP($A263,PriceTableWeekend,3,0)+IF(BasisNumber&lt;&gt;1,VLOOKUP($A263,BasisTable,2,0),0)+M$1)/(1-M$2))</f>
        <v>62.3616459354612</v>
      </c>
      <c r="N263" s="1599" t="n">
        <f aca="false">IF(Assumptions!$L$25=4,VLOOKUP($A263,'Henwood Reference'!$E$9:$R$320,10),(VLOOKUP($A263,PriceTableWeekend,4,0)+IF(BasisNumber&lt;&gt;1,VLOOKUP($A263,BasisTable,2,0),0)+N$1)/(1-N$2))</f>
        <v>62.3616459354612</v>
      </c>
      <c r="O263" s="1568" t="n">
        <f aca="false">IF(Assumptions!$L$25=4,VLOOKUP($A263,'Henwood Reference'!$E$9:$R$320,11),(VLOOKUP($A263,PriceTableWeekend,6,0)+IF(BasisNumber&lt;&gt;1,VLOOKUP($A263,BasisTable,3,0),0)+O$1)/(1-O$2))</f>
        <v>36.4520727602242</v>
      </c>
      <c r="P263" s="1568" t="n">
        <f aca="false">IF(Assumptions!$L$25=4,VLOOKUP($A263,'Henwood Reference'!$E$9:$R$320,11),(VLOOKUP($A263,PriceTableWeekend,7,0)+IF(BasisNumber&lt;&gt;1,VLOOKUP($A263,BasisTable,3,0),0)+P$1)/(1-P$2))</f>
        <v>36.4520727602242</v>
      </c>
      <c r="Q263" s="1599" t="n">
        <f aca="false">IF(Assumptions!$L$25=4,VLOOKUP($A263,'Henwood Reference'!$E$9:$R$320,11),(VLOOKUP($A263,PriceTableWeekend,8,0)+IF(BasisNumber&lt;&gt;1,VLOOKUP($A263,BasisTable,3,0),0)+Q$1)/(1-Q$2))</f>
        <v>36.4520727602242</v>
      </c>
      <c r="R263" s="1568" t="n">
        <f aca="false">IF(Assumptions!$L$25=4,VLOOKUP($A263,'Henwood Reference'!$E$9:$R$320,11),(VLOOKUP($A263,PriceTable,6,0)+IF(BasisNumber&lt;&gt;1,VLOOKUP($A263,BasisTable,3,0),0)+R$1)/(1-R$2))</f>
        <v>36.4520727602242</v>
      </c>
      <c r="S263" s="1568" t="n">
        <f aca="false">IF(Assumptions!$L$25=4,VLOOKUP($A263,'Henwood Reference'!$E$9:$R$320,11),(VLOOKUP($A263,PriceTable,7,0)+IF(BasisNumber&lt;&gt;1,VLOOKUP($A263,BasisTable,3,0),0)+S$1)/(1-S$2))</f>
        <v>36.4520727602242</v>
      </c>
      <c r="T263" s="1600" t="n">
        <f aca="false">IF(Assumptions!$L$25=4,VLOOKUP($A263,'Henwood Reference'!$E$9:$R$320,11),(VLOOKUP($A263,PriceTable,8,0)+IF(BasisNumber&lt;&gt;1,VLOOKUP($A263,BasisTable,3,0),0)+T$1)/(1-T$2))</f>
        <v>36.4520727602242</v>
      </c>
      <c r="U263" s="1513" t="n">
        <f aca="false">VLOOKUP($A263,VolatilityTable,14)</f>
        <v>0.09</v>
      </c>
      <c r="V263" s="1513" t="n">
        <f aca="false">VLOOKUP($A263,VolatilityTable,15)</f>
        <v>0.1</v>
      </c>
      <c r="W263" s="1514" t="n">
        <f aca="false">VLOOKUP($A263,VolatilityTable,16)</f>
        <v>0.11</v>
      </c>
      <c r="X263" s="1513" t="n">
        <f aca="false">VLOOKUP($A263,VolatilityTable,14)</f>
        <v>0.09</v>
      </c>
      <c r="Y263" s="1513" t="n">
        <f aca="false">VLOOKUP($A263,VolatilityTable,15)</f>
        <v>0.1</v>
      </c>
      <c r="Z263" s="1514" t="n">
        <f aca="false">VLOOKUP($A263,VolatilityTable,16)</f>
        <v>0.11</v>
      </c>
      <c r="AA263" s="1513" t="n">
        <f aca="false">VLOOKUP($A263,VolatilityTable,18)</f>
        <v>0.09</v>
      </c>
      <c r="AB263" s="1513" t="n">
        <f aca="false">VLOOKUP($A263,VolatilityTable,19)</f>
        <v>0.11</v>
      </c>
      <c r="AC263" s="1514" t="n">
        <f aca="false">VLOOKUP($A263,VolatilityTable,20)</f>
        <v>0.13</v>
      </c>
      <c r="AD263" s="1513" t="n">
        <f aca="false">VLOOKUP($A263,VolatilityTable,18)</f>
        <v>0.09</v>
      </c>
      <c r="AE263" s="1513" t="n">
        <f aca="false">VLOOKUP($A263,VolatilityTable,19)</f>
        <v>0.11</v>
      </c>
      <c r="AF263" s="1514" t="n">
        <f aca="false">VLOOKUP($A263,VolatilityTable,20)</f>
        <v>0.13</v>
      </c>
      <c r="AG263" s="1513" t="n">
        <f aca="false">VLOOKUP($A263,VolatilityTable,22)</f>
        <v>-0.1</v>
      </c>
      <c r="AH263" s="1513" t="n">
        <f aca="false">VLOOKUP($A263,VolatilityTable,23)</f>
        <v>0.6</v>
      </c>
      <c r="AI263" s="1514" t="n">
        <f aca="false">VLOOKUP($A263,VolatilityTable,24)</f>
        <v>0.1</v>
      </c>
      <c r="AJ263" s="1513" t="n">
        <f aca="false">VLOOKUP($A263,VolatilityTable,22)</f>
        <v>-0.1</v>
      </c>
      <c r="AK263" s="1513" t="n">
        <f aca="false">VLOOKUP($A263,VolatilityTable,23)</f>
        <v>0.6</v>
      </c>
      <c r="AL263" s="1514" t="n">
        <f aca="false">VLOOKUP($A263,VolatilityTable,24)</f>
        <v>0.1</v>
      </c>
      <c r="AM263" s="1513" t="n">
        <f aca="false">VLOOKUP($A263,VolatilityTable,26)</f>
        <v>-0.01</v>
      </c>
      <c r="AN263" s="1513" t="n">
        <f aca="false">VLOOKUP($A263,VolatilityTable,27)</f>
        <v>0.16</v>
      </c>
      <c r="AO263" s="1514" t="n">
        <f aca="false">VLOOKUP($A263,VolatilityTable,28)</f>
        <v>0.01</v>
      </c>
      <c r="AP263" s="1513" t="n">
        <f aca="false">VLOOKUP($A263,VolatilityTable,26)</f>
        <v>-0.01</v>
      </c>
      <c r="AQ263" s="1513" t="n">
        <f aca="false">VLOOKUP($A263,VolatilityTable,27)</f>
        <v>0.16</v>
      </c>
      <c r="AR263" s="1515" t="n">
        <f aca="false">VLOOKUP($A263,VolatilityTable,28)</f>
        <v>0.01</v>
      </c>
      <c r="AS263" s="1581" t="n">
        <f aca="false">IF(CorrPeakOffPeakOverFlag,INDEX(CorrPeakOffPeakOver,C263),CorrPeakOffPeak)</f>
        <v>0.5</v>
      </c>
      <c r="AT263" s="594" t="e">
        <f aca="false">AX263-SUM(AU263:AW263)</f>
        <v>#VALUE!</v>
      </c>
      <c r="AU263" s="238" t="e">
        <f aca="false">IF(E263="",0,INT((F263-MOD(F263,7)-E263)/7)+1-IF(AW263,IF(WEEKDAY(D263)=7,1,0),0))</f>
        <v>#VALUE!</v>
      </c>
      <c r="AV263" s="238" t="e">
        <f aca="false">IF(E263="",0,INT((F263-MOD(F263-1,7)-E263)/7)+1-IF(AW263,IF(WEEKDAY(D263)=1,1,0),0))</f>
        <v>#VALUE!</v>
      </c>
      <c r="AW263" s="238" t="e">
        <f aca="false">IF(OR(E263="",D263="",D263&lt;BegDate,D263&gt;EndDate),0,1)</f>
        <v>#VALUE!</v>
      </c>
      <c r="AX263" s="238" t="n">
        <f aca="false">IF(E263="",0,F263-E263+1)</f>
        <v>30</v>
      </c>
      <c r="AY263" s="1582" t="n">
        <f aca="false">IF(E263="",0,MIN((1-(1-VLOOKUP(B263,MAIN!$AA$7:$AM$28,C263+1))*(1-VLOOKUP(B263,MAIN!$AA$33:$AM$54,C263+1))),1))</f>
        <v>0.03</v>
      </c>
      <c r="AZ263" s="1519" t="e">
        <v>#VALUE!</v>
      </c>
      <c r="BA263" s="1520" t="e">
        <v>#VALUE!</v>
      </c>
      <c r="BB263" s="1520" t="e">
        <v>#VALUE!</v>
      </c>
      <c r="BC263" s="1583" t="e">
        <v>#VALUE!</v>
      </c>
      <c r="BD263" s="1522" t="e">
        <v>#VALUE!</v>
      </c>
      <c r="BE263" s="1523" t="e">
        <v>#VALUE!</v>
      </c>
      <c r="BF263" s="1523" t="e">
        <v>#VALUE!</v>
      </c>
      <c r="BG263" s="1584" t="e">
        <v>#VALUE!</v>
      </c>
      <c r="BH263" s="1525" t="e">
        <v>#VALUE!</v>
      </c>
      <c r="BI263" s="1520" t="e">
        <v>#VALUE!</v>
      </c>
      <c r="BJ263" s="1520" t="e">
        <v>#VALUE!</v>
      </c>
      <c r="BK263" s="1583" t="e">
        <v>#VALUE!</v>
      </c>
      <c r="BL263" s="1522" t="e">
        <v>#VALUE!</v>
      </c>
      <c r="BM263" s="1523" t="e">
        <v>#VALUE!</v>
      </c>
      <c r="BN263" s="1523" t="e">
        <v>#VALUE!</v>
      </c>
      <c r="BO263" s="1523" t="e">
        <v>#VALUE!</v>
      </c>
      <c r="BP263" s="1525" t="e">
        <f aca="false">SUM(AZ263:BB263)</f>
        <v>#VALUE!</v>
      </c>
      <c r="BQ263" s="1529" t="e">
        <f aca="false">SUM(AZ263:BC263)</f>
        <v>#VALUE!</v>
      </c>
      <c r="BR263" s="1519" t="e">
        <f aca="false">SUM(BH263:BJ263)</f>
        <v>#VALUE!</v>
      </c>
      <c r="BS263" s="1529" t="e">
        <f aca="false">SUM(BH263:BK263)</f>
        <v>#VALUE!</v>
      </c>
      <c r="BT263" s="1316" t="n">
        <f aca="false">(IF(OVolType&lt;&gt;2,A263+14,IF(OptExpDateShift,ShiftBack(A263,OptExpDateShift,D262),A263))-DateToday)/365.25</f>
        <v>20.5503080082136</v>
      </c>
      <c r="BU263" s="1585" t="e">
        <f aca="false">IF(BQ263,IF(OPriceCurve,IF(OBuySell=OCallPut,I263/(1-AY263),K263/(1-AY263)),J263/(1-AY263))*BD263,0)</f>
        <v>#VALUE!</v>
      </c>
      <c r="BV263" s="1316" t="e">
        <f aca="false">IF(BQ263,IF(OPriceCurve,IF(OBuySell=OCallPut,L263/(1-AY263),N263/(1-AY263)),M263/(1-AY263))*BE263,0)</f>
        <v>#VALUE!</v>
      </c>
      <c r="BW263" s="1316" t="e">
        <f aca="false">IF(BQ263,IF(OPriceCurve,IF(OBuySell=OCallPut,O263/(1-AY263),Q263/(1-AY263)),P263/(1-AY263))*BF263,0)</f>
        <v>#VALUE!</v>
      </c>
      <c r="BX263" s="1316" t="e">
        <f aca="false">IF(BQ263,IF(OPriceCurve,IF(OBuySell=OCallPut,R263/(1-AY263),T263/(1-AY263)),S263/(1-AY263))*BG263,0)</f>
        <v>#VALUE!</v>
      </c>
      <c r="BY263" s="1316" t="e">
        <f aca="false">IF(BP263,(BU263*AZ263+BV263*BA263+BW263*BB263)/BP263,0)</f>
        <v>#VALUE!</v>
      </c>
      <c r="BZ263" s="1316" t="e">
        <f aca="false">IF(BQ263,(BY263*BP263+BX263*BC263)/BQ263,0)</f>
        <v>#VALUE!</v>
      </c>
      <c r="CA263" s="1531" t="e">
        <f aca="false">IF(BS263,IF(OPriceCurve,IF(OBuySell=OCallPut,I263/(1-AY263),K263/(1-AY263)),J263/(1-AY263))*BL263,0)</f>
        <v>#VALUE!</v>
      </c>
      <c r="CB263" s="1316" t="e">
        <f aca="false">IF(BS263,IF(OPriceCurve,IF(OBuySell=OCallPut,L263/(1-AY263),N263/(1-AY263)),M263/(1-AY263))*BM263,0)</f>
        <v>#VALUE!</v>
      </c>
      <c r="CC263" s="1316" t="e">
        <f aca="false">IF(BS263,IF(OPriceCurve,IF(OBuySell=OCallPut,O263/(1-AY263),Q263/(1-AY263)),P263/(1-AY263))*BN263,0)</f>
        <v>#VALUE!</v>
      </c>
      <c r="CD263" s="1316" t="e">
        <f aca="false">IF(BS263,IF(OPriceCurve,IF(OBuySell=OCallPut,R263/(1-AY263),T263/(1-AY263)),S263/(1-AY263))*BO263,0)</f>
        <v>#VALUE!</v>
      </c>
      <c r="CE263" s="1316" t="e">
        <f aca="false">IF(BR263,(BU263*BH263+BV263*BI263+BW263*BJ263)/BR263,0)</f>
        <v>#VALUE!</v>
      </c>
      <c r="CF263" s="1532" t="e">
        <f aca="false">IF(BS263,(CE263*BR263+CD263*BK263)/BS263,0)</f>
        <v>#VALUE!</v>
      </c>
      <c r="CG263" s="1586" t="e">
        <f aca="false">IF(OR(BQ263,BS263),IF(OVolType&lt;&gt;2,SQRT(IF(OVolOverMonthlyPeak,OVolOverMonthlyPeak,IF(OVolCurve,IF(OBuySell,U263,W263),V263))^2*(1-15/365.25/BT263)+IF(OVolOverDailyPeak,OVolOverDailyPeak,IF(OVolCurve,IF(OBuySell,AG263,AI263),AH263))^2*15/365.25/BT263),IF(OVolOverMonthlyPeak,OVolOverMonthlyPeak,IF(OVolCurve,IF(OBuySell,U263,W263),V263))),"")</f>
        <v>#VALUE!</v>
      </c>
      <c r="CH263" s="1587" t="e">
        <f aca="false">IF(OR(BQ263,BS263),IF(OVolType&lt;&gt;2,SQRT(IF(OVolOverMonthlyPeak,OVolOverMonthlyPeak,IF(OVolCurve,IF(OBuySell,X263,Z263),Y263))^2*(1-15/365.25/BT263)+IF(OVolOverDailyPeak,OVolOverDailyPeak,IF(OVolCurve,IF(OBuySell,AJ263,AL263),AK263))^2*15/365.25/BT263),IF(OVolOverMonthlyPeak,OVolOverMonthlyPeak,IF(OVolCurve,IF(OBuySell,X263,Z263),Y263))),"")</f>
        <v>#VALUE!</v>
      </c>
      <c r="CI263" s="1587" t="e">
        <f aca="false">IF(OR(BQ263,BS263),IF(OVolType&lt;&gt;2,SQRT(IF(OVolOverMonthlyPeak,OVolOverMonthlyPeak,IF(OVolCurve,IF(OBuySell,AA263,AC263),AB263))^2*(1-15/365.25/BT263)+IF(OVolOverDailyPeak,OVolOverDailyPeak,IF(OVolCurve,IF(OBuySell,AM263,AO263),AN263))^2*15/365.25/BT263),IF(OVolOverMonthlyPeak,OVolOverMonthlyPeak,IF(OVolCurve,IF(OBuySell,AA263,AC263),AB263))),"")</f>
        <v>#VALUE!</v>
      </c>
      <c r="CJ263" s="1587" t="e">
        <f aca="false">IF(BQ263,IF(BP263,SQRT(LN(1+((BU263*AZ263)^2*(EXP(CG263^2*BT263)-1)+(BV263*BA263)^2*(EXP(CH263^2*BT263)-1)+(BW263*BB263)^2*(EXP(CI263^2*BT263)-1)+2*BU263*AZ263*BV263*BA263*(EXP(CG263*CH263*BT263)-1)+2*BV263*BA263*BW263*BB263*(EXP(CH263*CI263*BT263)-1)+2*BW263*BB263*BU263*AZ263*(EXP(CI263*CG263*BT263)-1))/(BY263*BP263)^2)/BT263),0),"")</f>
        <v>#VALUE!</v>
      </c>
      <c r="CK263" s="1587" t="e">
        <f aca="false">IF(BS263,IF(BR263,SQRT(LN(1+((CA263*BH263)^2*(EXP(CG263^2*BT263)-1)+(CB263*BI263)^2*(EXP(CH263^2*BT263)-1)+(CC263*BJ263)^2*(EXP(CI263^2*BT263)-1)+2*CA263*BH263*CB263*BI263*(EXP(CG263*CH263*BT263)-1)+2*CB263*BI263*CC263*BJ263*(EXP(CH263*CI263*BT263)-1)+2*CC263*BJ263*CA263*BH263*(EXP(CI263*CG263*BT263)-1))/(CE263*BR263)^2)/BT263),0),"")</f>
        <v>#VALUE!</v>
      </c>
      <c r="CL263" s="1587" t="e">
        <f aca="false">IF(OR(BQ263,BS263),IF(OVolType&lt;&gt;2,SQRT(IF(OVolOverMonthlyOffPeak,OVolOverMonthlyOffPeak,IF(OVolCurve,IF(OBuySell,AD263,AF263),AE263))^2*(1-15/365.25/BT263)+IF(OVolOverDailyOffPeak,OVolOverDailyOffPeak,IF(OVolCurve,IF(OBuySell,AP263,AR263),AQ263))^2*15/365.25/BT263),IF(OVolOverMonthlyOffPeak,OVolOverMonthlyOffPeak,IF(OVolCurve,IF(OBuySell,AD263,AF263),AE263))),"")</f>
        <v>#VALUE!</v>
      </c>
      <c r="CM263" s="1587" t="e">
        <f aca="false">IF(BQ263,SQRT(LN(1+((BY263*BP263)^2*(EXP(CJ263^2*BT263)-1)+(BX263*BC263)^2*(EXP(CL263^2*BT263)-1)+2*BY263*BP263*BX263*BC263*(EXP(AS263*CJ263*CL263*BT263)-1))/(BY263*BP263+BX263*BC263)^2)/BT263),"")</f>
        <v>#VALUE!</v>
      </c>
      <c r="CN263" s="1588" t="e">
        <f aca="false">IF(BS263,SQRT(LN(1+((CE263*BR263)^2*(EXP(CK263^2*BT263)-1)+(CD263*BK263)^2*(EXP(CL263^2*BT263)-1)+2*CE263*BR263*CD263*BK263*(EXP(AS263*CK263*CL263*BT263)-1))/(CE263*BR263+CD263*BK263)^2)/BT263),"")</f>
        <v>#VALUE!</v>
      </c>
      <c r="CO263" s="1531" t="e">
        <f aca="false">IF(OR(BQ263,BS263),VLOOKUP(A263,GasTable,13)*HeatRatePeak*(1+VLOOKUP($B263,HeatRateDegradation,$C263+1))/1000,0)</f>
        <v>#VALUE!</v>
      </c>
      <c r="CP263" s="1316" t="e">
        <f aca="false">IF(OR(BQ263,BS263),VLOOKUP(A263,GasTable,13)*HeatRatePeak*(1+VLOOKUP($B263,HeatRateDegradation,$C263+1))/1000,0)</f>
        <v>#VALUE!</v>
      </c>
      <c r="CQ263" s="1316" t="e">
        <f aca="false">IF(OR(BQ263,BS263),VLOOKUP(A263,GasTable,13)*IF(EV263,HeatRatePeak,HeatRateOffPeak)*(1+VLOOKUP($B263,HeatRateDegradation,$C263+1))/1000,0)</f>
        <v>#VALUE!</v>
      </c>
      <c r="CR263" s="1316" t="e">
        <f aca="false">IF(OR(BQ263,BS263),VLOOKUP(A263,GasTable,13)*IF(EW263,HeatRatePeak,HeatRateOffPeak)*(1+VLOOKUP($B263,HeatRateDegradation,$C263+1))/1000,0)</f>
        <v>#VALUE!</v>
      </c>
      <c r="CS263" s="1589" t="e">
        <f aca="false">IF(BQ263,(CO263*AZ263+CP263*BA263+CQ263*BB263+CR263*BC263)/BQ263,0)</f>
        <v>#VALUE!</v>
      </c>
      <c r="CT263" s="1316" t="e">
        <f aca="false">IF(BS263,CO263,0)</f>
        <v>#VALUE!</v>
      </c>
      <c r="CU263" s="1590" t="e">
        <f aca="false">IF(OR(BQ263,BS263),VLOOKUP(A263,GasTable,14),"")</f>
        <v>#VALUE!</v>
      </c>
      <c r="CV263" s="1568" t="e">
        <f aca="false">IF(OR(BQ263,BS263),IF(CorrPowerGasOverFlag,INDEX(CorrPowerGasOver,C263),CorrPowerGas),"")</f>
        <v>#VALUE!</v>
      </c>
      <c r="CW263" s="1316" t="e">
        <f aca="false">IF(OR($BQ263,$BS263),SpreadOptPowerMargin,0)*((1+Assumptions!$C$26)^($B263-YEAR(Assumptions!$C$17)))</f>
        <v>#VALUE!</v>
      </c>
      <c r="CX263" s="1316" t="e">
        <f aca="false">IF(OR($BQ263,$BS263),SpreadOptPowerMargin,0)*((1+Assumptions!$C$26)^($B263-YEAR(Assumptions!$C$17)))</f>
        <v>#VALUE!</v>
      </c>
      <c r="CY263" s="1316" t="e">
        <f aca="false">IF(OR($BQ263,$BS263),SpreadOptPowerMargin,0)*((1+Assumptions!$C$26)^($B263-YEAR(Assumptions!$C$17)))</f>
        <v>#VALUE!</v>
      </c>
      <c r="CZ263" s="1316" t="e">
        <f aca="false">IF(OR($BQ263,$BS263),SpreadOptPowerMargin,0)*((1+Assumptions!$C$26)^($B263-YEAR(Assumptions!$C$17)))</f>
        <v>#VALUE!</v>
      </c>
      <c r="DA263" s="1591" t="e">
        <f aca="false">IF(OR(BQ263,BS263),(CW263*(AZ263+BH263)+CX263*(BA263+BI263)+CY263*(BB263+BJ263)+CZ263*(BC263+BK263))/(BQ263+BS263),0)</f>
        <v>#VALUE!</v>
      </c>
      <c r="DB263" s="1592" t="e">
        <f aca="false">IF(OR(BQ263,BS263),CG263+IF(OVolSmile,VLOOKUP(MAX(-5,CO263+CW263-BU263),IF(OVolSmile=1,VolSmileBook,VolSmileModel),2),0),"")</f>
        <v>#VALUE!</v>
      </c>
      <c r="DC263" s="1592" t="e">
        <f aca="false">IF(OR(BQ263,BS263),CH263+IF(OVolSmile,VLOOKUP(MAX(-5,CP263+CW263-BV263),IF(OVolSmile=1,VolSmileBook,VolSmileModel),2),0),"")</f>
        <v>#VALUE!</v>
      </c>
      <c r="DD263" s="1592" t="e">
        <f aca="false">IF(OR(BQ263,BS263),CI263+IF(OVolSmile,VLOOKUP(MAX(-5,CQ263+CW263-BW263),IF(OVolSmile=1,VolSmileBook,VolSmileModel),2),0),"")</f>
        <v>#VALUE!</v>
      </c>
      <c r="DE263" s="1592" t="e">
        <f aca="false">IF(OR(BQ263,BS263),CL263+IF(OVolSmile,VLOOKUP(MAX(-5,CR263+CZ263-BX263),IF(OVolSmile=1,VolSmileBook,VolSmileModel),2),0),"")</f>
        <v>#VALUE!</v>
      </c>
      <c r="DF263" s="1592" t="e">
        <f aca="false">IF(BQ263,CM263+IF(OVolSmile,VLOOKUP(MAX(-5,CS263+DA263-BZ263),IF(OVolSmile=1,VolSmileBook,VolSmileModel),2),0),"")</f>
        <v>#VALUE!</v>
      </c>
      <c r="DG263" s="1593" t="e">
        <f aca="false">IF(BS263,CN263+IF(OVolSmile,VLOOKUP(MAX(-5,CT263+DA263-CF263),IF(OVolSmile=1,VolSmileBook,VolSmileModel),2),0),"")</f>
        <v>#VALUE!</v>
      </c>
      <c r="DH263" s="1316" t="e">
        <f aca="false">IF(AND(BU263&gt;0,CO263&gt;0,DB263&gt;0,CU263&gt;0),newSPRDOPT(BU263,CO263,CW263,0,DB263,CU263,CV263,BT263*365.25,OCallPut,0),0)</f>
        <v>#VALUE!</v>
      </c>
      <c r="DI263" s="1316" t="e">
        <f aca="false">IF(AND(BV263&gt;0,CP263&gt;0,DC263&gt;0,CU263&gt;0),newSPRDOPT(BV263,CP263,CX263,0,DC263,CU263,CV263,BT263*365.25,OCallPut,0),0)</f>
        <v>#VALUE!</v>
      </c>
      <c r="DJ263" s="1316" t="e">
        <f aca="false">IF(AND(BW263&gt;0,CQ263&gt;0,DD263&gt;0,CU263&gt;0),newSPRDOPT(BW263,CQ263,CY263,0,DD263,CU263,CV263,BT263*365.25,OCallPut,0),0)</f>
        <v>#VALUE!</v>
      </c>
      <c r="DK263" s="1316" t="e">
        <f aca="false">IF(AND(BX263&gt;0,CR263&gt;0,DE263&gt;0,CU263&gt;0),newSPRDOPT(BX263,CR263,CZ263,0,DE263,CU263,CV263,BT263*365.25,OCallPut,0),0)</f>
        <v>#VALUE!</v>
      </c>
      <c r="DL263" s="1316" t="e">
        <f aca="false">IF(OVolType,IF(AND(BZ263&gt;0,CS263&gt;0,DF263&gt;0,CU263&gt;0),newSPRDOPT(BZ263,CS263,DA263,0,DF263,CU263,CV263,BT263*365.25,OCallPut,0),0),IF(BQ263,(DH263*AZ263+DI263*BA263+DJ263*BB263+DK263*BC263)/BQ263,0))</f>
        <v>#VALUE!</v>
      </c>
      <c r="DM263" s="1316"/>
      <c r="DN263" s="1316"/>
      <c r="DO263" s="1316"/>
      <c r="DP263" s="1316"/>
      <c r="DQ263" s="1316"/>
      <c r="DR263" s="1316"/>
      <c r="DS263" s="1316"/>
      <c r="DT263" s="1316"/>
      <c r="DU263" s="1316"/>
      <c r="DV263" s="1316"/>
      <c r="DW263" s="1594" t="e">
        <f aca="false">IF(AND(BW263&gt;0,CT263&gt;0,DD263&gt;0,CU263&gt;0),newSPRDOPT(BW263,CT263,CY263,0,DD263,CU263,CV263,BT263*365.25,OCallPut,0),0)</f>
        <v>#VALUE!</v>
      </c>
      <c r="DX263" s="1316" t="e">
        <f aca="false">IF(AND(BX263&gt;0,CT263&gt;0,DE263&gt;0,CU263&gt;0),newSPRDOPT(BX263,CT263,CZ263,0,DE263,CU263,CV263,BT263*365.25,OCallPut,0),0)</f>
        <v>#VALUE!</v>
      </c>
      <c r="DY263" s="1591" t="e">
        <f aca="false">IF(BS263,(DH263*BH263+DI263*BI263+DW263*BJ263+DX263*BK263)/BS263,0)</f>
        <v>#VALUE!</v>
      </c>
      <c r="DZ263" s="1551" t="e">
        <f aca="false">DH263*AZ263</f>
        <v>#VALUE!</v>
      </c>
      <c r="EA263" s="1551" t="e">
        <f aca="false">DI263*BA263</f>
        <v>#VALUE!</v>
      </c>
      <c r="EB263" s="1551" t="e">
        <f aca="false">DJ263*BB263</f>
        <v>#VALUE!</v>
      </c>
      <c r="EC263" s="1551" t="e">
        <f aca="false">DK263*BC263</f>
        <v>#VALUE!</v>
      </c>
      <c r="ED263" s="1551" t="e">
        <f aca="false">DL263*BQ263</f>
        <v>#VALUE!</v>
      </c>
      <c r="EE263" s="1595" t="e">
        <f aca="false">IF(BQ263,IF(OCallPut,IF(BU263&gt;(CO263+CW263),BU263-(CO263+CW263),0),IF((CO263+CW263)&gt;BU263,(CO263+CW263)-BU263,0))*AZ263,0)</f>
        <v>#VALUE!</v>
      </c>
      <c r="EF263" s="1596" t="e">
        <f aca="false">IF(BQ263,IF(OCallPut,IF(BV263&gt;(CP263+CX263),BV263-(CP263+CX263),0),IF((CP263+CX263)&gt;BV263,(CP263+CX263)-BV263,0))*BA263,0)</f>
        <v>#VALUE!</v>
      </c>
      <c r="EG263" s="1596" t="e">
        <f aca="false">IF(BQ263,IF(OCallPut,IF(BW263&gt;(CQ263+CY263),BW263-(CQ263+CY263),0),IF((CQ263+CY263)&gt;BW263,(CQ263+CY263)-BW263,0))*BB263,0)</f>
        <v>#VALUE!</v>
      </c>
      <c r="EH263" s="1596" t="e">
        <f aca="false">IF(BQ263,IF(OCallPut,IF(BX263&gt;(CR263+CZ263),BX263-(CR263+CZ263),0),IF((CR263+CZ263)&gt;BX263,(CR263+CZ263)-BX263,0))*BC263,0)</f>
        <v>#VALUE!</v>
      </c>
      <c r="EI263" s="1597" t="e">
        <f aca="false">IF(BQ263,IF(OVolType,IF(OCallPut,IF(BZ263&gt;(CS263+DA263),BZ263-(CS263+DA263),0),IF((CS263+DA263)&gt;BZ263,(CS263+DA263)-BZ263,0))*BQ263,SUM(EE263:EH263)),0)</f>
        <v>#VALUE!</v>
      </c>
      <c r="EJ263" s="1595" t="e">
        <f aca="false">DZ263-EE263</f>
        <v>#VALUE!</v>
      </c>
      <c r="EK263" s="1596" t="e">
        <f aca="false">EA263-EF263</f>
        <v>#VALUE!</v>
      </c>
      <c r="EL263" s="1596" t="e">
        <f aca="false">EB263-EG263</f>
        <v>#VALUE!</v>
      </c>
      <c r="EM263" s="1596" t="e">
        <f aca="false">EC263-EH263</f>
        <v>#VALUE!</v>
      </c>
      <c r="EN263" s="1597" t="e">
        <f aca="false">ED263-EI263</f>
        <v>#VALUE!</v>
      </c>
      <c r="EO263" s="1551" t="e">
        <f aca="false">DH263*BH263</f>
        <v>#VALUE!</v>
      </c>
      <c r="EP263" s="1551" t="e">
        <f aca="false">DI263*BI263</f>
        <v>#VALUE!</v>
      </c>
      <c r="EQ263" s="1551" t="e">
        <f aca="false">DW263*BJ263</f>
        <v>#VALUE!</v>
      </c>
      <c r="ER263" s="1551" t="e">
        <f aca="false">DX263*BK263</f>
        <v>#VALUE!</v>
      </c>
      <c r="ES263" s="1551" t="e">
        <f aca="false">DY263*BS263</f>
        <v>#VALUE!</v>
      </c>
      <c r="ET263" s="1566" t="e">
        <f aca="false">IF(EI263,IF(OCallPut,IF(CA263&gt;(CT263+CW263),CA263-(CT263+CW263),0),IF((CT263+CW263)&gt;CA263,(CT263+CW263)-CA263,0))*BH263,0)</f>
        <v>#VALUE!</v>
      </c>
      <c r="EU263" s="1551" t="e">
        <f aca="false">IF(EI263,IF(OCallPut,IF(CB263&gt;(CT263+CX263),CB263-(CT263+CX263),0),IF((CT263+CX263)&gt;CB263,(CT263+CX263)-CB263,0))*BI263,0)</f>
        <v>#VALUE!</v>
      </c>
      <c r="EV263" s="1551" t="e">
        <f aca="false">IF(EI263,IF(OCallPut,IF(CC263&gt;(CT263+CY263),CC263-(CT263+CY263),0),IF((CT263+CY263)&gt;CC263,(CT263+CY263)-CC263,0))*BJ263,0)</f>
        <v>#VALUE!</v>
      </c>
      <c r="EW263" s="1551" t="e">
        <f aca="false">IF(EI263,IF(OCallPut,IF(CD263&gt;(CT263+CZ263),CD263-(CT263+CZ263),0),IF((CT263+CZ263)&gt;CD263,(CT263+CZ263)-CD263,0))*BK263,0)</f>
        <v>#VALUE!</v>
      </c>
      <c r="EX263" s="1558" t="e">
        <f aca="false">IF(EI263,SUM(ET263:EW263),0)</f>
        <v>#VALUE!</v>
      </c>
      <c r="EY263" s="1551" t="e">
        <f aca="false">EO263-ET263</f>
        <v>#VALUE!</v>
      </c>
      <c r="EZ263" s="1551" t="e">
        <f aca="false">EP263-EU263</f>
        <v>#VALUE!</v>
      </c>
      <c r="FA263" s="1551" t="e">
        <f aca="false">EQ263-EV263</f>
        <v>#VALUE!</v>
      </c>
      <c r="FB263" s="1551" t="e">
        <f aca="false">ER263-EW263</f>
        <v>#VALUE!</v>
      </c>
      <c r="FC263" s="1551" t="e">
        <f aca="false">ES263-EX263</f>
        <v>#VALUE!</v>
      </c>
      <c r="FD263" s="1525" t="n">
        <f aca="false">IF(AX263,IF(VLOOKUP(C263,MAIN!$L$17:$M$28,2)="Yes",VLOOKUP(CALC!B263,MAIN!$H$17:$I$20,2),0),0)</f>
        <v>0</v>
      </c>
      <c r="FE263" s="1552" t="e">
        <f aca="false">$FD263*16*AT263*(1-$AY263)</f>
        <v>#VALUE!</v>
      </c>
      <c r="FF263" s="1553" t="e">
        <f aca="false">$FD263*16*AU263*(1-$AY263)</f>
        <v>#VALUE!</v>
      </c>
      <c r="FG263" s="1553" t="e">
        <f aca="false">$FD263*16*(AV263+AW263)*(1-$AY263)</f>
        <v>#VALUE!</v>
      </c>
      <c r="FH263" s="1554" t="n">
        <f aca="false">$FD263*8*AX263*(1-$AY263)</f>
        <v>0</v>
      </c>
      <c r="FI263" s="1555" t="n">
        <f aca="false">IF(AX263,VLOOKUP(CALC!B263,MAIN!$H$17:$K$20,4),0)</f>
        <v>0</v>
      </c>
      <c r="FJ263" s="1553" t="e">
        <f aca="false">SUM(FE263:FH263)</f>
        <v>#VALUE!</v>
      </c>
      <c r="FK263" s="1556" t="e">
        <f aca="false">FI263*FJ263</f>
        <v>#VALUE!</v>
      </c>
      <c r="FL263" s="1551" t="e">
        <f aca="false">IF($EI263&gt;0,MIN(FE263,AZ263*(1+VLOOKUP($C263,WeatherCapacityAdjustment,2))),0)</f>
        <v>#VALUE!</v>
      </c>
      <c r="FM263" s="1551" t="e">
        <f aca="false">IF($EI263&gt;0,MIN(FF263,BA263*(1+VLOOKUP($C263,WeatherCapacityAdjustment,2))),0)</f>
        <v>#VALUE!</v>
      </c>
      <c r="FN263" s="1551" t="e">
        <f aca="false">IF($EI263&gt;0,MIN(FG263,BB263*(1+VLOOKUP($C263,WeatherCapacityAdjustment,2))),0)</f>
        <v>#VALUE!</v>
      </c>
      <c r="FO263" s="1564" t="e">
        <f aca="false">IF($EI263&gt;0,MIN(FH263,BC263*(1+VLOOKUP($C263,WeatherCapacityAdjustment,3))),0)</f>
        <v>#VALUE!</v>
      </c>
      <c r="FP263" s="1551" t="e">
        <f aca="false">IF(ET263&gt;0,MIN(FE263-FL263,BH263*(1+VLOOKUP($C263,WeatherCapacityAdjustment,2))),0)</f>
        <v>#VALUE!</v>
      </c>
      <c r="FQ263" s="1551" t="e">
        <f aca="false">IF(EU263&gt;0,MIN(FF263-FM263,BI263*(1+VLOOKUP($C263,WeatherCapacityAdjustment,2))),0)</f>
        <v>#VALUE!</v>
      </c>
      <c r="FR263" s="1551" t="e">
        <f aca="false">IF(EV263&gt;0,MIN(FG263-FN263,BJ263*(1+VLOOKUP($C263,WeatherCapacityAdjustment,2))),0)</f>
        <v>#VALUE!</v>
      </c>
      <c r="FS263" s="1558" t="e">
        <f aca="false">IF(EW263&gt;0,MIN(FH263-FO263,BK263*(1+VLOOKUP($C263,WeatherCapacityAdjustment,3))),0)</f>
        <v>#VALUE!</v>
      </c>
      <c r="FT263" s="1566" t="e">
        <f aca="false">IF(AND(Assumptions!$H$71="Yes",A263&gt;=Assumptions!$H$72,A263&lt;=Assumptions!$H$73),0,IF(AND($A263&gt;=Assumptions!$C$17,$A263&lt;=Assumptions!$C$18),MAX(AZ263*(1+VLOOKUP($C263,WeatherCapacityAdjustment,2))-FL263,0),0))</f>
        <v>#VALUE!</v>
      </c>
      <c r="FU263" s="1551" t="e">
        <f aca="false">IF(AND(Assumptions!$H$71="Yes",A263&gt;=Assumptions!$H$72,A263&lt;=Assumptions!$H$73),0,IF(AND($A263&gt;=Assumptions!$C$17,$A263&lt;=Assumptions!$C$18),MAX(BA263*(1+VLOOKUP($C263,WeatherCapacityAdjustment,2))-FM263,0),0))</f>
        <v>#VALUE!</v>
      </c>
      <c r="FV263" s="1551" t="e">
        <f aca="false">IF(AND(Assumptions!$H$71="Yes",A263&gt;=Assumptions!$H$72,A263&lt;=Assumptions!$H$73),0,IF(AND($A263&gt;=Assumptions!$C$17,$A263&lt;=Assumptions!$C$18),MAX(BB263*(1+VLOOKUP($C263,WeatherCapacityAdjustment,2))-FN263,0),0))</f>
        <v>#VALUE!</v>
      </c>
      <c r="FW263" s="1564" t="e">
        <f aca="false">IF(AND(Assumptions!$H$71="Yes",A263&gt;=Assumptions!$H$72,A263&lt;=Assumptions!$H$73),0,IF(AND($A263&gt;=Assumptions!$C$17,$A263&lt;=Assumptions!$C$18),MAX(BC263*(1+VLOOKUP($C263,WeatherCapacityAdjustment,3))-FO263,0),0))</f>
        <v>#VALUE!</v>
      </c>
      <c r="FX263" s="1569" t="e">
        <f aca="false">IF(AND(Assumptions!$H$71="Yes",A263&gt;=Assumptions!$H$72,A263&lt;=Assumptions!$H$73),0,IF(ET263&gt;0,MAX(BH263*(1+VLOOKUP($C263,WeatherCapacityAdjustment,2))-FP263,0),0))</f>
        <v>#VALUE!</v>
      </c>
      <c r="FY263" s="1551" t="e">
        <f aca="false">IF(AND(Assumptions!$H$71="Yes",A263&gt;=Assumptions!$H$72,A263&lt;=Assumptions!$H$73),0,IF(EU263&gt;0,MAX(BI263*(1+VLOOKUP($C263,WeatherCapacityAdjustment,3))-FQ263,0),0))</f>
        <v>#VALUE!</v>
      </c>
      <c r="FZ263" s="1551" t="e">
        <f aca="false">IF(AND(Assumptions!$H$71="Yes",A263&gt;=Assumptions!$H$72,A263&lt;=Assumptions!$H$73),0,IF(EV263&gt;0,MAX(BJ263*(1+VLOOKUP($C263,WeatherCapacityAdjustment,2))-FR263,0),0))</f>
        <v>#VALUE!</v>
      </c>
      <c r="GA263" s="1564" t="e">
        <f aca="false">IF(AND(Assumptions!$H$71="Yes",A263&gt;=Assumptions!$H$72,A263&lt;=Assumptions!$H$73),0,IF(EW263&gt;0,MAX(BK263*(1+VLOOKUP($C263,WeatherCapacityAdjustment,2))-FS263,0),0))</f>
        <v>#VALUE!</v>
      </c>
      <c r="GB263" s="1551" t="e">
        <f aca="false">SUM(FT263:GA263)</f>
        <v>#VALUE!</v>
      </c>
      <c r="GC263" s="1563" t="e">
        <f aca="false">+IF(SUM(FT263:GA263)=0,0,(SUMPRODUCT(BU263:BX263,FT263:FW263)+SUMPRODUCT(CA263:CD263,FX263:GA263))/SUM(FT263:GA263))</f>
        <v>#VALUE!</v>
      </c>
      <c r="GD263" s="1551" t="e">
        <f aca="false">(FT263*BU263+FX263*CA263+FU263*BV263+FY263*CB263+FV263*BW263+FZ263*CC263+FW263*BX263+GA263*CD263)</f>
        <v>#VALUE!</v>
      </c>
      <c r="GE263" s="1561" t="e">
        <f aca="false">+IF(BQ263,((FL263+FM263+FT263+FU263)*HeatRatePeak/1000*(1+VLOOKUP($C263,WeatherHeatRateAdjustment,2))+(FN263+FV263)*IF(EV263&gt;0,HeatRatePeak,HeatRateOffPeak)/1000*(1+VLOOKUP($C263,WeatherHeatRateAdjustment,2))+(FO263+FW263)*IF(EW263&gt;0,HeatRatePeak,HeatRateOffPeak)/1000*(1+VLOOKUP($C263,WeatherHeatRateAdjustment,3)))*(1+VLOOKUP($B263,HeatRateDegradation,$C263+1)),0)</f>
        <v>#VALUE!</v>
      </c>
      <c r="GF263" s="1562" t="e">
        <f aca="false">IF(BQ263,((FP263+FQ263+FR263+FX263+FY263+FZ263)*HeatRatePeak/1000*(1+VLOOKUP($C263,WeatherHeatRateAdjustment,2))+(FS263+GA263)*HeatRatePeak/1000*(1+VLOOKUP($C263,WeatherHeatRateAdjustment,3)))*(1+VLOOKUP($B263,HeatRateDegradation,$C263+1)),0)</f>
        <v>#VALUE!</v>
      </c>
      <c r="GG263" s="1563" t="e">
        <f aca="false">IF(BQ263,VLOOKUP(A263,GasTable,13),0)</f>
        <v>#VALUE!</v>
      </c>
      <c r="GH263" s="1564" t="e">
        <f aca="false">(GE263+GF263)*GG263</f>
        <v>#VALUE!</v>
      </c>
      <c r="GI263" s="1569" t="e">
        <f aca="false">GB263</f>
        <v>#VALUE!</v>
      </c>
      <c r="GJ263" s="1598" t="e">
        <f aca="false">+DA263</f>
        <v>#VALUE!</v>
      </c>
      <c r="GK263" s="1558" t="e">
        <f aca="false">+GI263*GJ263</f>
        <v>#VALUE!</v>
      </c>
      <c r="GL263" s="1566" t="e">
        <f aca="false">MAX(FE263-FL263-FP263,0)</f>
        <v>#VALUE!</v>
      </c>
      <c r="GM263" s="1551" t="e">
        <f aca="false">MAX(FF263-FM263-FQ263,0)</f>
        <v>#VALUE!</v>
      </c>
      <c r="GN263" s="1551" t="e">
        <f aca="false">MAX(FG263-FN263-FR263,0)</f>
        <v>#VALUE!</v>
      </c>
      <c r="GO263" s="1564" t="e">
        <f aca="false">MAX(FH263-FO263-FS263,0)</f>
        <v>#VALUE!</v>
      </c>
      <c r="GP263" s="1551" t="e">
        <f aca="false">SUM(GL263:GO263)</f>
        <v>#VALUE!</v>
      </c>
      <c r="GQ263" s="1563" t="e">
        <f aca="false">IF(SUM(GL263:GO263)=0,0,((GL263*BU263+GM263*BV263+GN263*BW263+GO263*BX263)/SUM(GL263:GO263)))</f>
        <v>#VALUE!</v>
      </c>
      <c r="GR263" s="1558" t="e">
        <f aca="false">(GL263*BU263+GM263*BV263+GN263*BW263+GO263*BX263)</f>
        <v>#VALUE!</v>
      </c>
      <c r="GS263" s="1566" t="n">
        <f aca="false">IF($A263&gt;=BegDate,Assumptions!$C$56*24*($A264-$A263)*(1-VLOOKUP($B263,MAIN!$AA$7:$AM$28,$C263+1))*(1-VLOOKUP($B263,MAIN!$AA$33:$AM$54,$C263+1)),0)*80/168</f>
        <v>249428.571428571</v>
      </c>
      <c r="GT263" s="286" t="n">
        <f aca="false">J263</f>
        <v>62.3616459354612</v>
      </c>
      <c r="GU263" s="286" t="n">
        <f aca="false">IF($A263&gt;=BegDate,VLOOKUP($A263,GasTable,13)+Assumptions!$C$58,0)</f>
        <v>4.32070675660402</v>
      </c>
      <c r="GV263" s="286" t="n">
        <f aca="false">GU263*Assumptions!$C$57/1000</f>
        <v>31.3251239853792</v>
      </c>
      <c r="GW263" s="1558" t="n">
        <f aca="false">IF(Assumptions!$C$60="Hourly",MAX(0,GS263*(GT263-GV263)),GS263*(GT263-GV263))</f>
        <v>7741395.33212046</v>
      </c>
      <c r="GX263" s="1566" t="n">
        <f aca="false">IF($A263&gt;=BegDate,Assumptions!$C$56*24*($A264-$A263)*(1-VLOOKUP($B263,MAIN!$AA$7:$AM$28,$C263+1))*(1-VLOOKUP($B263,MAIN!$AA$33:$AM$54,$C263+1)),0)*16/168</f>
        <v>49885.7142857143</v>
      </c>
      <c r="GY263" s="286" t="n">
        <f aca="false">M263</f>
        <v>62.3616459354612</v>
      </c>
      <c r="GZ263" s="286" t="n">
        <f aca="false">IF($A263&gt;=BegDate,VLOOKUP($A263,GasTable,13)+Assumptions!$C$58,0)</f>
        <v>4.32070675660402</v>
      </c>
      <c r="HA263" s="286" t="n">
        <f aca="false">GZ263*Assumptions!$C$57/1000</f>
        <v>31.3251239853792</v>
      </c>
      <c r="HB263" s="1558" t="n">
        <f aca="false">IF(Assumptions!$C$60="Hourly",MAX(0,GX263*(GY263-HA263)),GX263*(GY263-HA263))</f>
        <v>1548279.06642409</v>
      </c>
      <c r="HC263" s="1566" t="n">
        <f aca="false">IF($A263&gt;=BegDate,Assumptions!$C$56*24*($A264-$A263)*(1-VLOOKUP($B263,MAIN!$AA$7:$AM$28,$C263+1))*(1-VLOOKUP($B263,MAIN!$AA$33:$AM$54,$C263+1)),0)*16/168</f>
        <v>49885.7142857143</v>
      </c>
      <c r="HD263" s="286" t="n">
        <f aca="false">P263</f>
        <v>36.4520727602242</v>
      </c>
      <c r="HE263" s="286" t="n">
        <f aca="false">IF($A263&gt;=BegDate,VLOOKUP($A263,GasTable,13)+Assumptions!$C$58,0)</f>
        <v>4.32070675660402</v>
      </c>
      <c r="HF263" s="286" t="n">
        <f aca="false">HE263*Assumptions!$C$57/1000</f>
        <v>31.3251239853792</v>
      </c>
      <c r="HG263" s="1558" t="n">
        <f aca="false">IF(Assumptions!$C$60="Hourly",MAX(0,HC263*(HD263-HF263)),HC263*(HD263-HF263))</f>
        <v>255761.501739413</v>
      </c>
      <c r="HH263" s="1566" t="n">
        <f aca="false">IF($A263&gt;=BegDate,Assumptions!$C$56*24*($A264-$A263)*(1-VLOOKUP($B263,MAIN!$AA$7:$AM$28,$C263+1))*(1-VLOOKUP($B263,MAIN!$AA$33:$AM$54,$C263+1)),0)*56/168</f>
        <v>174600</v>
      </c>
      <c r="HI263" s="286" t="n">
        <f aca="false">S263</f>
        <v>36.4520727602242</v>
      </c>
      <c r="HJ263" s="286" t="n">
        <f aca="false">IF($A263&gt;=BegDate,VLOOKUP($A263,GasTable,13)+Assumptions!$C$58,0)</f>
        <v>4.32070675660402</v>
      </c>
      <c r="HK263" s="286" t="n">
        <f aca="false">HJ263*Assumptions!$C$57/1000</f>
        <v>31.3251239853792</v>
      </c>
      <c r="HL263" s="1558" t="n">
        <f aca="false">IF(Assumptions!$C$60="Hourly",MAX(0,HH263*(HI263-HK263)),HH263*(HI263-HK263))</f>
        <v>895165.256087947</v>
      </c>
      <c r="HM263" s="1566" t="n">
        <f aca="false">IF(AND(Assumptions!$H$71="Yes",A263&gt;=Assumptions!$H$72,A263&lt;=Assumptions!$H$73),Assumptions!$H$74*Assumptions!$C$9*1000,0)</f>
        <v>0</v>
      </c>
      <c r="HN263" s="1551"/>
      <c r="HO263" s="1563"/>
      <c r="HP263" s="1563"/>
      <c r="HQ263" s="1563"/>
      <c r="HR263" s="1563"/>
      <c r="HS263" s="1563"/>
      <c r="HT263" s="1563"/>
      <c r="HU263" s="1563"/>
      <c r="HV263" s="1563"/>
      <c r="HW263" s="1563"/>
      <c r="HX263" s="1563"/>
      <c r="HY263" s="1563"/>
      <c r="HZ263" s="1563"/>
      <c r="IA263" s="1563"/>
      <c r="IB263" s="1563"/>
      <c r="IC263" s="1563"/>
      <c r="ID263" s="1563"/>
      <c r="IE263" s="1563"/>
      <c r="IF263" s="1563"/>
      <c r="IG263" s="1563"/>
      <c r="IH263" s="1563"/>
      <c r="II263" s="1610"/>
      <c r="IJ263" s="1309"/>
      <c r="IK263" s="1309"/>
    </row>
    <row r="264" customFormat="false" ht="12.75" hidden="false" customHeight="false" outlineLevel="0" collapsed="false">
      <c r="A264" s="1571" t="n">
        <f aca="false">EOMONTH(A263,0)+1</f>
        <v>44166</v>
      </c>
      <c r="B264" s="594" t="n">
        <f aca="false">+YEAR(A264)</f>
        <v>2020</v>
      </c>
      <c r="C264" s="238" t="n">
        <f aca="false">MONTH(A264)</f>
        <v>12</v>
      </c>
      <c r="D264" s="1572" t="e">
        <f aca="false">IF(E264="","",Holiday(B264,C264))</f>
        <v>#VALUE!</v>
      </c>
      <c r="E264" s="1573" t="n">
        <f aca="false">IF(OR(BegDate&gt;=A265,EndDate&lt;A264,AND(VolumeMonthlyOverFlag,INDEX(VolumeMonthlyOver,C264)=0),NOT(INDEX(MonthKnockOutTable,C264))),"",MAX(A264,BegDate))</f>
        <v>44166</v>
      </c>
      <c r="F264" s="1574" t="n">
        <f aca="false">IF(E264="","",MIN(A265-1,EndDate))</f>
        <v>44196</v>
      </c>
      <c r="G264" s="1575" t="n">
        <v>0</v>
      </c>
      <c r="H264" s="1576" t="n">
        <f aca="false">(1+G264/2)^(-2*(DATE(B265,C265,20)-DateToday)/365.25)</f>
        <v>1</v>
      </c>
      <c r="I264" s="1568" t="n">
        <f aca="false">IF(Assumptions!$L$25=4,VLOOKUP($A264,'Henwood Reference'!$E$9:$R$320,10),(VLOOKUP($A264,PriceTable,2,0)+IF(BasisNumber&lt;&gt;1,VLOOKUP($A264,BasisTable,2,0),0)+I$1)/(1-I$2))</f>
        <v>59.3906427119421</v>
      </c>
      <c r="J264" s="1568" t="n">
        <f aca="false">IF(Assumptions!$L$25=4,VLOOKUP($A264,'Henwood Reference'!$E$9:$R$320,10),(VLOOKUP($A264,PriceTable,3,0)+IF(BasisNumber&lt;&gt;1,VLOOKUP($A264,BasisTable,2,0),0)+J$1)/(1-J$2))</f>
        <v>59.3906427119421</v>
      </c>
      <c r="K264" s="1568" t="n">
        <f aca="false">IF(Assumptions!$L$25=4,VLOOKUP($A264,'Henwood Reference'!$E$9:$R$320,10),(VLOOKUP($A264,PriceTable,4,0)+IF(BasisNumber&lt;&gt;1,VLOOKUP($A264,BasisTable,2,0),0)+K$1)/(1-K$2))</f>
        <v>59.3906427119421</v>
      </c>
      <c r="L264" s="1523" t="n">
        <f aca="false">IF(Assumptions!$L$25=4,VLOOKUP($A264,'Henwood Reference'!$E$9:$R$320,10),(VLOOKUP($A264,PriceTableWeekend,2,0)+IF(BasisNumber&lt;&gt;1,VLOOKUP($A264,BasisTable,2,0),0)+L$1)/(1-L$2))</f>
        <v>59.3906427119421</v>
      </c>
      <c r="M264" s="1568" t="n">
        <f aca="false">IF(Assumptions!$L$25=4,VLOOKUP($A264,'Henwood Reference'!$E$9:$R$320,10),(VLOOKUP($A264,PriceTableWeekend,3,0)+IF(BasisNumber&lt;&gt;1,VLOOKUP($A264,BasisTable,2,0),0)+M$1)/(1-M$2))</f>
        <v>59.3906427119421</v>
      </c>
      <c r="N264" s="1599" t="n">
        <f aca="false">IF(Assumptions!$L$25=4,VLOOKUP($A264,'Henwood Reference'!$E$9:$R$320,10),(VLOOKUP($A264,PriceTableWeekend,4,0)+IF(BasisNumber&lt;&gt;1,VLOOKUP($A264,BasisTable,2,0),0)+N$1)/(1-N$2))</f>
        <v>59.3906427119421</v>
      </c>
      <c r="O264" s="1568" t="n">
        <f aca="false">IF(Assumptions!$L$25=4,VLOOKUP($A264,'Henwood Reference'!$E$9:$R$320,11),(VLOOKUP($A264,PriceTableWeekend,6,0)+IF(BasisNumber&lt;&gt;1,VLOOKUP($A264,BasisTable,3,0),0)+O$1)/(1-O$2))</f>
        <v>37.2206047534242</v>
      </c>
      <c r="P264" s="1568" t="n">
        <f aca="false">IF(Assumptions!$L$25=4,VLOOKUP($A264,'Henwood Reference'!$E$9:$R$320,11),(VLOOKUP($A264,PriceTableWeekend,7,0)+IF(BasisNumber&lt;&gt;1,VLOOKUP($A264,BasisTable,3,0),0)+P$1)/(1-P$2))</f>
        <v>37.2206047534242</v>
      </c>
      <c r="Q264" s="1599" t="n">
        <f aca="false">IF(Assumptions!$L$25=4,VLOOKUP($A264,'Henwood Reference'!$E$9:$R$320,11),(VLOOKUP($A264,PriceTableWeekend,8,0)+IF(BasisNumber&lt;&gt;1,VLOOKUP($A264,BasisTable,3,0),0)+Q$1)/(1-Q$2))</f>
        <v>37.2206047534242</v>
      </c>
      <c r="R264" s="1568" t="n">
        <f aca="false">IF(Assumptions!$L$25=4,VLOOKUP($A264,'Henwood Reference'!$E$9:$R$320,11),(VLOOKUP($A264,PriceTable,6,0)+IF(BasisNumber&lt;&gt;1,VLOOKUP($A264,BasisTable,3,0),0)+R$1)/(1-R$2))</f>
        <v>37.2206047534242</v>
      </c>
      <c r="S264" s="1568" t="n">
        <f aca="false">IF(Assumptions!$L$25=4,VLOOKUP($A264,'Henwood Reference'!$E$9:$R$320,11),(VLOOKUP($A264,PriceTable,7,0)+IF(BasisNumber&lt;&gt;1,VLOOKUP($A264,BasisTable,3,0),0)+S$1)/(1-S$2))</f>
        <v>37.2206047534242</v>
      </c>
      <c r="T264" s="1600" t="n">
        <f aca="false">IF(Assumptions!$L$25=4,VLOOKUP($A264,'Henwood Reference'!$E$9:$R$320,11),(VLOOKUP($A264,PriceTable,8,0)+IF(BasisNumber&lt;&gt;1,VLOOKUP($A264,BasisTable,3,0),0)+T$1)/(1-T$2))</f>
        <v>37.2206047534242</v>
      </c>
      <c r="U264" s="1513" t="n">
        <f aca="false">VLOOKUP($A264,VolatilityTable,14)</f>
        <v>0.09</v>
      </c>
      <c r="V264" s="1513" t="n">
        <f aca="false">VLOOKUP($A264,VolatilityTable,15)</f>
        <v>0.1</v>
      </c>
      <c r="W264" s="1514" t="n">
        <f aca="false">VLOOKUP($A264,VolatilityTable,16)</f>
        <v>0.11</v>
      </c>
      <c r="X264" s="1513" t="n">
        <f aca="false">VLOOKUP($A264,VolatilityTable,14)</f>
        <v>0.09</v>
      </c>
      <c r="Y264" s="1513" t="n">
        <f aca="false">VLOOKUP($A264,VolatilityTable,15)</f>
        <v>0.1</v>
      </c>
      <c r="Z264" s="1514" t="n">
        <f aca="false">VLOOKUP($A264,VolatilityTable,16)</f>
        <v>0.11</v>
      </c>
      <c r="AA264" s="1513" t="n">
        <f aca="false">VLOOKUP($A264,VolatilityTable,18)</f>
        <v>0.09</v>
      </c>
      <c r="AB264" s="1513" t="n">
        <f aca="false">VLOOKUP($A264,VolatilityTable,19)</f>
        <v>0.11</v>
      </c>
      <c r="AC264" s="1514" t="n">
        <f aca="false">VLOOKUP($A264,VolatilityTable,20)</f>
        <v>0.13</v>
      </c>
      <c r="AD264" s="1513" t="n">
        <f aca="false">VLOOKUP($A264,VolatilityTable,18)</f>
        <v>0.09</v>
      </c>
      <c r="AE264" s="1513" t="n">
        <f aca="false">VLOOKUP($A264,VolatilityTable,19)</f>
        <v>0.11</v>
      </c>
      <c r="AF264" s="1514" t="n">
        <f aca="false">VLOOKUP($A264,VolatilityTable,20)</f>
        <v>0.13</v>
      </c>
      <c r="AG264" s="1513" t="n">
        <f aca="false">VLOOKUP($A264,VolatilityTable,22)</f>
        <v>-0.25</v>
      </c>
      <c r="AH264" s="1513" t="n">
        <f aca="false">VLOOKUP($A264,VolatilityTable,23)</f>
        <v>0.6</v>
      </c>
      <c r="AI264" s="1514" t="n">
        <f aca="false">VLOOKUP($A264,VolatilityTable,24)</f>
        <v>0.25</v>
      </c>
      <c r="AJ264" s="1513" t="n">
        <f aca="false">VLOOKUP($A264,VolatilityTable,22)</f>
        <v>-0.25</v>
      </c>
      <c r="AK264" s="1513" t="n">
        <f aca="false">VLOOKUP($A264,VolatilityTable,23)</f>
        <v>0.6</v>
      </c>
      <c r="AL264" s="1514" t="n">
        <f aca="false">VLOOKUP($A264,VolatilityTable,24)</f>
        <v>0.25</v>
      </c>
      <c r="AM264" s="1513" t="n">
        <f aca="false">VLOOKUP($A264,VolatilityTable,26)</f>
        <v>-0.01</v>
      </c>
      <c r="AN264" s="1513" t="n">
        <f aca="false">VLOOKUP($A264,VolatilityTable,27)</f>
        <v>0.16</v>
      </c>
      <c r="AO264" s="1514" t="n">
        <f aca="false">VLOOKUP($A264,VolatilityTable,28)</f>
        <v>0.01</v>
      </c>
      <c r="AP264" s="1513" t="n">
        <f aca="false">VLOOKUP($A264,VolatilityTable,26)</f>
        <v>-0.01</v>
      </c>
      <c r="AQ264" s="1513" t="n">
        <f aca="false">VLOOKUP($A264,VolatilityTable,27)</f>
        <v>0.16</v>
      </c>
      <c r="AR264" s="1515" t="n">
        <f aca="false">VLOOKUP($A264,VolatilityTable,28)</f>
        <v>0.01</v>
      </c>
      <c r="AS264" s="1581" t="n">
        <f aca="false">IF(CorrPeakOffPeakOverFlag,INDEX(CorrPeakOffPeakOver,C264),CorrPeakOffPeak)</f>
        <v>0.5</v>
      </c>
      <c r="AT264" s="594" t="e">
        <f aca="false">AX264-SUM(AU264:AW264)</f>
        <v>#VALUE!</v>
      </c>
      <c r="AU264" s="238" t="e">
        <f aca="false">IF(E264="",0,INT((F264-MOD(F264,7)-E264)/7)+1-IF(AW264,IF(WEEKDAY(D264)=7,1,0),0))</f>
        <v>#VALUE!</v>
      </c>
      <c r="AV264" s="238" t="e">
        <f aca="false">IF(E264="",0,INT((F264-MOD(F264-1,7)-E264)/7)+1-IF(AW264,IF(WEEKDAY(D264)=1,1,0),0))</f>
        <v>#VALUE!</v>
      </c>
      <c r="AW264" s="238" t="e">
        <f aca="false">IF(OR(E264="",D264="",D264&lt;BegDate,D264&gt;EndDate),0,1)</f>
        <v>#VALUE!</v>
      </c>
      <c r="AX264" s="238" t="n">
        <f aca="false">IF(E264="",0,F264-E264+1)</f>
        <v>31</v>
      </c>
      <c r="AY264" s="1582" t="n">
        <f aca="false">IF(E264="",0,MIN((1-(1-VLOOKUP(B264,MAIN!$AA$7:$AM$28,C264+1))*(1-VLOOKUP(B264,MAIN!$AA$33:$AM$54,C264+1))),1))</f>
        <v>0.03</v>
      </c>
      <c r="AZ264" s="1519" t="e">
        <v>#VALUE!</v>
      </c>
      <c r="BA264" s="1520" t="e">
        <v>#VALUE!</v>
      </c>
      <c r="BB264" s="1520" t="e">
        <v>#VALUE!</v>
      </c>
      <c r="BC264" s="1583" t="e">
        <v>#VALUE!</v>
      </c>
      <c r="BD264" s="1522" t="e">
        <v>#VALUE!</v>
      </c>
      <c r="BE264" s="1523" t="e">
        <v>#VALUE!</v>
      </c>
      <c r="BF264" s="1523" t="e">
        <v>#VALUE!</v>
      </c>
      <c r="BG264" s="1584" t="e">
        <v>#VALUE!</v>
      </c>
      <c r="BH264" s="1525" t="e">
        <v>#VALUE!</v>
      </c>
      <c r="BI264" s="1520" t="e">
        <v>#VALUE!</v>
      </c>
      <c r="BJ264" s="1520" t="e">
        <v>#VALUE!</v>
      </c>
      <c r="BK264" s="1583" t="e">
        <v>#VALUE!</v>
      </c>
      <c r="BL264" s="1522" t="e">
        <v>#VALUE!</v>
      </c>
      <c r="BM264" s="1523" t="e">
        <v>#VALUE!</v>
      </c>
      <c r="BN264" s="1523" t="e">
        <v>#VALUE!</v>
      </c>
      <c r="BO264" s="1523" t="e">
        <v>#VALUE!</v>
      </c>
      <c r="BP264" s="1525" t="e">
        <f aca="false">SUM(AZ264:BB264)</f>
        <v>#VALUE!</v>
      </c>
      <c r="BQ264" s="1529" t="e">
        <f aca="false">SUM(AZ264:BC264)</f>
        <v>#VALUE!</v>
      </c>
      <c r="BR264" s="1519" t="e">
        <f aca="false">SUM(BH264:BJ264)</f>
        <v>#VALUE!</v>
      </c>
      <c r="BS264" s="1529" t="e">
        <f aca="false">SUM(BH264:BK264)</f>
        <v>#VALUE!</v>
      </c>
      <c r="BT264" s="1316" t="n">
        <f aca="false">(IF(OVolType&lt;&gt;2,A264+14,IF(OptExpDateShift,ShiftBack(A264,OptExpDateShift,D263),A264))-DateToday)/365.25</f>
        <v>20.6324435318275</v>
      </c>
      <c r="BU264" s="1585" t="e">
        <f aca="false">IF(BQ264,IF(OPriceCurve,IF(OBuySell=OCallPut,I264/(1-AY264),K264/(1-AY264)),J264/(1-AY264))*BD264,0)</f>
        <v>#VALUE!</v>
      </c>
      <c r="BV264" s="1316" t="e">
        <f aca="false">IF(BQ264,IF(OPriceCurve,IF(OBuySell=OCallPut,L264/(1-AY264),N264/(1-AY264)),M264/(1-AY264))*BE264,0)</f>
        <v>#VALUE!</v>
      </c>
      <c r="BW264" s="1316" t="e">
        <f aca="false">IF(BQ264,IF(OPriceCurve,IF(OBuySell=OCallPut,O264/(1-AY264),Q264/(1-AY264)),P264/(1-AY264))*BF264,0)</f>
        <v>#VALUE!</v>
      </c>
      <c r="BX264" s="1316" t="e">
        <f aca="false">IF(BQ264,IF(OPriceCurve,IF(OBuySell=OCallPut,R264/(1-AY264),T264/(1-AY264)),S264/(1-AY264))*BG264,0)</f>
        <v>#VALUE!</v>
      </c>
      <c r="BY264" s="1316" t="e">
        <f aca="false">IF(BP264,(BU264*AZ264+BV264*BA264+BW264*BB264)/BP264,0)</f>
        <v>#VALUE!</v>
      </c>
      <c r="BZ264" s="1316" t="e">
        <f aca="false">IF(BQ264,(BY264*BP264+BX264*BC264)/BQ264,0)</f>
        <v>#VALUE!</v>
      </c>
      <c r="CA264" s="1531" t="e">
        <f aca="false">IF(BS264,IF(OPriceCurve,IF(OBuySell=OCallPut,I264/(1-AY264),K264/(1-AY264)),J264/(1-AY264))*BL264,0)</f>
        <v>#VALUE!</v>
      </c>
      <c r="CB264" s="1316" t="e">
        <f aca="false">IF(BS264,IF(OPriceCurve,IF(OBuySell=OCallPut,L264/(1-AY264),N264/(1-AY264)),M264/(1-AY264))*BM264,0)</f>
        <v>#VALUE!</v>
      </c>
      <c r="CC264" s="1316" t="e">
        <f aca="false">IF(BS264,IF(OPriceCurve,IF(OBuySell=OCallPut,O264/(1-AY264),Q264/(1-AY264)),P264/(1-AY264))*BN264,0)</f>
        <v>#VALUE!</v>
      </c>
      <c r="CD264" s="1316" t="e">
        <f aca="false">IF(BS264,IF(OPriceCurve,IF(OBuySell=OCallPut,R264/(1-AY264),T264/(1-AY264)),S264/(1-AY264))*BO264,0)</f>
        <v>#VALUE!</v>
      </c>
      <c r="CE264" s="1316" t="e">
        <f aca="false">IF(BR264,(BU264*BH264+BV264*BI264+BW264*BJ264)/BR264,0)</f>
        <v>#VALUE!</v>
      </c>
      <c r="CF264" s="1532" t="e">
        <f aca="false">IF(BS264,(CE264*BR264+CD264*BK264)/BS264,0)</f>
        <v>#VALUE!</v>
      </c>
      <c r="CG264" s="1586" t="e">
        <f aca="false">IF(OR(BQ264,BS264),IF(OVolType&lt;&gt;2,SQRT(IF(OVolOverMonthlyPeak,OVolOverMonthlyPeak,IF(OVolCurve,IF(OBuySell,U264,W264),V264))^2*(1-15/365.25/BT264)+IF(OVolOverDailyPeak,OVolOverDailyPeak,IF(OVolCurve,IF(OBuySell,AG264,AI264),AH264))^2*15/365.25/BT264),IF(OVolOverMonthlyPeak,OVolOverMonthlyPeak,IF(OVolCurve,IF(OBuySell,U264,W264),V264))),"")</f>
        <v>#VALUE!</v>
      </c>
      <c r="CH264" s="1587" t="e">
        <f aca="false">IF(OR(BQ264,BS264),IF(OVolType&lt;&gt;2,SQRT(IF(OVolOverMonthlyPeak,OVolOverMonthlyPeak,IF(OVolCurve,IF(OBuySell,X264,Z264),Y264))^2*(1-15/365.25/BT264)+IF(OVolOverDailyPeak,OVolOverDailyPeak,IF(OVolCurve,IF(OBuySell,AJ264,AL264),AK264))^2*15/365.25/BT264),IF(OVolOverMonthlyPeak,OVolOverMonthlyPeak,IF(OVolCurve,IF(OBuySell,X264,Z264),Y264))),"")</f>
        <v>#VALUE!</v>
      </c>
      <c r="CI264" s="1587" t="e">
        <f aca="false">IF(OR(BQ264,BS264),IF(OVolType&lt;&gt;2,SQRT(IF(OVolOverMonthlyPeak,OVolOverMonthlyPeak,IF(OVolCurve,IF(OBuySell,AA264,AC264),AB264))^2*(1-15/365.25/BT264)+IF(OVolOverDailyPeak,OVolOverDailyPeak,IF(OVolCurve,IF(OBuySell,AM264,AO264),AN264))^2*15/365.25/BT264),IF(OVolOverMonthlyPeak,OVolOverMonthlyPeak,IF(OVolCurve,IF(OBuySell,AA264,AC264),AB264))),"")</f>
        <v>#VALUE!</v>
      </c>
      <c r="CJ264" s="1587" t="e">
        <f aca="false">IF(BQ264,IF(BP264,SQRT(LN(1+((BU264*AZ264)^2*(EXP(CG264^2*BT264)-1)+(BV264*BA264)^2*(EXP(CH264^2*BT264)-1)+(BW264*BB264)^2*(EXP(CI264^2*BT264)-1)+2*BU264*AZ264*BV264*BA264*(EXP(CG264*CH264*BT264)-1)+2*BV264*BA264*BW264*BB264*(EXP(CH264*CI264*BT264)-1)+2*BW264*BB264*BU264*AZ264*(EXP(CI264*CG264*BT264)-1))/(BY264*BP264)^2)/BT264),0),"")</f>
        <v>#VALUE!</v>
      </c>
      <c r="CK264" s="1587" t="e">
        <f aca="false">IF(BS264,IF(BR264,SQRT(LN(1+((CA264*BH264)^2*(EXP(CG264^2*BT264)-1)+(CB264*BI264)^2*(EXP(CH264^2*BT264)-1)+(CC264*BJ264)^2*(EXP(CI264^2*BT264)-1)+2*CA264*BH264*CB264*BI264*(EXP(CG264*CH264*BT264)-1)+2*CB264*BI264*CC264*BJ264*(EXP(CH264*CI264*BT264)-1)+2*CC264*BJ264*CA264*BH264*(EXP(CI264*CG264*BT264)-1))/(CE264*BR264)^2)/BT264),0),"")</f>
        <v>#VALUE!</v>
      </c>
      <c r="CL264" s="1587" t="e">
        <f aca="false">IF(OR(BQ264,BS264),IF(OVolType&lt;&gt;2,SQRT(IF(OVolOverMonthlyOffPeak,OVolOverMonthlyOffPeak,IF(OVolCurve,IF(OBuySell,AD264,AF264),AE264))^2*(1-15/365.25/BT264)+IF(OVolOverDailyOffPeak,OVolOverDailyOffPeak,IF(OVolCurve,IF(OBuySell,AP264,AR264),AQ264))^2*15/365.25/BT264),IF(OVolOverMonthlyOffPeak,OVolOverMonthlyOffPeak,IF(OVolCurve,IF(OBuySell,AD264,AF264),AE264))),"")</f>
        <v>#VALUE!</v>
      </c>
      <c r="CM264" s="1587" t="e">
        <f aca="false">IF(BQ264,SQRT(LN(1+((BY264*BP264)^2*(EXP(CJ264^2*BT264)-1)+(BX264*BC264)^2*(EXP(CL264^2*BT264)-1)+2*BY264*BP264*BX264*BC264*(EXP(AS264*CJ264*CL264*BT264)-1))/(BY264*BP264+BX264*BC264)^2)/BT264),"")</f>
        <v>#VALUE!</v>
      </c>
      <c r="CN264" s="1588" t="e">
        <f aca="false">IF(BS264,SQRT(LN(1+((CE264*BR264)^2*(EXP(CK264^2*BT264)-1)+(CD264*BK264)^2*(EXP(CL264^2*BT264)-1)+2*CE264*BR264*CD264*BK264*(EXP(AS264*CK264*CL264*BT264)-1))/(CE264*BR264+CD264*BK264)^2)/BT264),"")</f>
        <v>#VALUE!</v>
      </c>
      <c r="CO264" s="1531" t="e">
        <f aca="false">IF(OR(BQ264,BS264),VLOOKUP(A264,GasTable,13)*HeatRatePeak*(1+VLOOKUP($B264,HeatRateDegradation,$C264+1))/1000,0)</f>
        <v>#VALUE!</v>
      </c>
      <c r="CP264" s="1316" t="e">
        <f aca="false">IF(OR(BQ264,BS264),VLOOKUP(A264,GasTable,13)*HeatRatePeak*(1+VLOOKUP($B264,HeatRateDegradation,$C264+1))/1000,0)</f>
        <v>#VALUE!</v>
      </c>
      <c r="CQ264" s="1316" t="e">
        <f aca="false">IF(OR(BQ264,BS264),VLOOKUP(A264,GasTable,13)*IF(EV264,HeatRatePeak,HeatRateOffPeak)*(1+VLOOKUP($B264,HeatRateDegradation,$C264+1))/1000,0)</f>
        <v>#VALUE!</v>
      </c>
      <c r="CR264" s="1316" t="e">
        <f aca="false">IF(OR(BQ264,BS264),VLOOKUP(A264,GasTable,13)*IF(EW264,HeatRatePeak,HeatRateOffPeak)*(1+VLOOKUP($B264,HeatRateDegradation,$C264+1))/1000,0)</f>
        <v>#VALUE!</v>
      </c>
      <c r="CS264" s="1589" t="e">
        <f aca="false">IF(BQ264,(CO264*AZ264+CP264*BA264+CQ264*BB264+CR264*BC264)/BQ264,0)</f>
        <v>#VALUE!</v>
      </c>
      <c r="CT264" s="1316" t="e">
        <f aca="false">IF(BS264,CO264,0)</f>
        <v>#VALUE!</v>
      </c>
      <c r="CU264" s="1590" t="e">
        <f aca="false">IF(OR(BQ264,BS264),VLOOKUP(A264,GasTable,14),"")</f>
        <v>#VALUE!</v>
      </c>
      <c r="CV264" s="1568" t="e">
        <f aca="false">IF(OR(BQ264,BS264),IF(CorrPowerGasOverFlag,INDEX(CorrPowerGasOver,C264),CorrPowerGas),"")</f>
        <v>#VALUE!</v>
      </c>
      <c r="CW264" s="1316" t="e">
        <f aca="false">IF(OR($BQ264,$BS264),SpreadOptPowerMargin,0)*((1+Assumptions!$C$26)^($B264-YEAR(Assumptions!$C$17)))</f>
        <v>#VALUE!</v>
      </c>
      <c r="CX264" s="1316" t="e">
        <f aca="false">IF(OR($BQ264,$BS264),SpreadOptPowerMargin,0)*((1+Assumptions!$C$26)^($B264-YEAR(Assumptions!$C$17)))</f>
        <v>#VALUE!</v>
      </c>
      <c r="CY264" s="1316" t="e">
        <f aca="false">IF(OR($BQ264,$BS264),SpreadOptPowerMargin,0)*((1+Assumptions!$C$26)^($B264-YEAR(Assumptions!$C$17)))</f>
        <v>#VALUE!</v>
      </c>
      <c r="CZ264" s="1316" t="e">
        <f aca="false">IF(OR($BQ264,$BS264),SpreadOptPowerMargin,0)*((1+Assumptions!$C$26)^($B264-YEAR(Assumptions!$C$17)))</f>
        <v>#VALUE!</v>
      </c>
      <c r="DA264" s="1591" t="e">
        <f aca="false">IF(OR(BQ264,BS264),(CW264*(AZ264+BH264)+CX264*(BA264+BI264)+CY264*(BB264+BJ264)+CZ264*(BC264+BK264))/(BQ264+BS264),0)</f>
        <v>#VALUE!</v>
      </c>
      <c r="DB264" s="1592" t="e">
        <f aca="false">IF(OR(BQ264,BS264),CG264+IF(OVolSmile,VLOOKUP(MAX(-5,CO264+CW264-BU264),IF(OVolSmile=1,VolSmileBook,VolSmileModel),2),0),"")</f>
        <v>#VALUE!</v>
      </c>
      <c r="DC264" s="1592" t="e">
        <f aca="false">IF(OR(BQ264,BS264),CH264+IF(OVolSmile,VLOOKUP(MAX(-5,CP264+CW264-BV264),IF(OVolSmile=1,VolSmileBook,VolSmileModel),2),0),"")</f>
        <v>#VALUE!</v>
      </c>
      <c r="DD264" s="1592" t="e">
        <f aca="false">IF(OR(BQ264,BS264),CI264+IF(OVolSmile,VLOOKUP(MAX(-5,CQ264+CW264-BW264),IF(OVolSmile=1,VolSmileBook,VolSmileModel),2),0),"")</f>
        <v>#VALUE!</v>
      </c>
      <c r="DE264" s="1592" t="e">
        <f aca="false">IF(OR(BQ264,BS264),CL264+IF(OVolSmile,VLOOKUP(MAX(-5,CR264+CZ264-BX264),IF(OVolSmile=1,VolSmileBook,VolSmileModel),2),0),"")</f>
        <v>#VALUE!</v>
      </c>
      <c r="DF264" s="1592" t="e">
        <f aca="false">IF(BQ264,CM264+IF(OVolSmile,VLOOKUP(MAX(-5,CS264+DA264-BZ264),IF(OVolSmile=1,VolSmileBook,VolSmileModel),2),0),"")</f>
        <v>#VALUE!</v>
      </c>
      <c r="DG264" s="1593" t="e">
        <f aca="false">IF(BS264,CN264+IF(OVolSmile,VLOOKUP(MAX(-5,CT264+DA264-CF264),IF(OVolSmile=1,VolSmileBook,VolSmileModel),2),0),"")</f>
        <v>#VALUE!</v>
      </c>
      <c r="DH264" s="1316" t="e">
        <f aca="false">IF(AND(BU264&gt;0,CO264&gt;0,DB264&gt;0,CU264&gt;0),newSPRDOPT(BU264,CO264,CW264,0,DB264,CU264,CV264,BT264*365.25,OCallPut,0),0)</f>
        <v>#VALUE!</v>
      </c>
      <c r="DI264" s="1316" t="e">
        <f aca="false">IF(AND(BV264&gt;0,CP264&gt;0,DC264&gt;0,CU264&gt;0),newSPRDOPT(BV264,CP264,CX264,0,DC264,CU264,CV264,BT264*365.25,OCallPut,0),0)</f>
        <v>#VALUE!</v>
      </c>
      <c r="DJ264" s="1316" t="e">
        <f aca="false">IF(AND(BW264&gt;0,CQ264&gt;0,DD264&gt;0,CU264&gt;0),newSPRDOPT(BW264,CQ264,CY264,0,DD264,CU264,CV264,BT264*365.25,OCallPut,0),0)</f>
        <v>#VALUE!</v>
      </c>
      <c r="DK264" s="1316" t="e">
        <f aca="false">IF(AND(BX264&gt;0,CR264&gt;0,DE264&gt;0,CU264&gt;0),newSPRDOPT(BX264,CR264,CZ264,0,DE264,CU264,CV264,BT264*365.25,OCallPut,0),0)</f>
        <v>#VALUE!</v>
      </c>
      <c r="DL264" s="1316" t="e">
        <f aca="false">IF(OVolType,IF(AND(BZ264&gt;0,CS264&gt;0,DF264&gt;0,CU264&gt;0),newSPRDOPT(BZ264,CS264,DA264,0,DF264,CU264,CV264,BT264*365.25,OCallPut,0),0),IF(BQ264,(DH264*AZ264+DI264*BA264+DJ264*BB264+DK264*BC264)/BQ264,0))</f>
        <v>#VALUE!</v>
      </c>
      <c r="DM264" s="1316"/>
      <c r="DN264" s="1316"/>
      <c r="DO264" s="1316"/>
      <c r="DP264" s="1316"/>
      <c r="DQ264" s="1316"/>
      <c r="DR264" s="1316"/>
      <c r="DS264" s="1316"/>
      <c r="DT264" s="1316"/>
      <c r="DU264" s="1316"/>
      <c r="DV264" s="1316"/>
      <c r="DW264" s="1594" t="e">
        <f aca="false">IF(AND(BW264&gt;0,CT264&gt;0,DD264&gt;0,CU264&gt;0),newSPRDOPT(BW264,CT264,CY264,0,DD264,CU264,CV264,BT264*365.25,OCallPut,0),0)</f>
        <v>#VALUE!</v>
      </c>
      <c r="DX264" s="1316" t="e">
        <f aca="false">IF(AND(BX264&gt;0,CT264&gt;0,DE264&gt;0,CU264&gt;0),newSPRDOPT(BX264,CT264,CZ264,0,DE264,CU264,CV264,BT264*365.25,OCallPut,0),0)</f>
        <v>#VALUE!</v>
      </c>
      <c r="DY264" s="1591" t="e">
        <f aca="false">IF(BS264,(DH264*BH264+DI264*BI264+DW264*BJ264+DX264*BK264)/BS264,0)</f>
        <v>#VALUE!</v>
      </c>
      <c r="DZ264" s="1551" t="e">
        <f aca="false">DH264*AZ264</f>
        <v>#VALUE!</v>
      </c>
      <c r="EA264" s="1551" t="e">
        <f aca="false">DI264*BA264</f>
        <v>#VALUE!</v>
      </c>
      <c r="EB264" s="1551" t="e">
        <f aca="false">DJ264*BB264</f>
        <v>#VALUE!</v>
      </c>
      <c r="EC264" s="1551" t="e">
        <f aca="false">DK264*BC264</f>
        <v>#VALUE!</v>
      </c>
      <c r="ED264" s="1551" t="e">
        <f aca="false">DL264*BQ264</f>
        <v>#VALUE!</v>
      </c>
      <c r="EE264" s="1595" t="e">
        <f aca="false">IF(BQ264,IF(OCallPut,IF(BU264&gt;(CO264+CW264),BU264-(CO264+CW264),0),IF((CO264+CW264)&gt;BU264,(CO264+CW264)-BU264,0))*AZ264,0)</f>
        <v>#VALUE!</v>
      </c>
      <c r="EF264" s="1596" t="e">
        <f aca="false">IF(BQ264,IF(OCallPut,IF(BV264&gt;(CP264+CX264),BV264-(CP264+CX264),0),IF((CP264+CX264)&gt;BV264,(CP264+CX264)-BV264,0))*BA264,0)</f>
        <v>#VALUE!</v>
      </c>
      <c r="EG264" s="1596" t="e">
        <f aca="false">IF(BQ264,IF(OCallPut,IF(BW264&gt;(CQ264+CY264),BW264-(CQ264+CY264),0),IF((CQ264+CY264)&gt;BW264,(CQ264+CY264)-BW264,0))*BB264,0)</f>
        <v>#VALUE!</v>
      </c>
      <c r="EH264" s="1596" t="e">
        <f aca="false">IF(BQ264,IF(OCallPut,IF(BX264&gt;(CR264+CZ264),BX264-(CR264+CZ264),0),IF((CR264+CZ264)&gt;BX264,(CR264+CZ264)-BX264,0))*BC264,0)</f>
        <v>#VALUE!</v>
      </c>
      <c r="EI264" s="1597" t="e">
        <f aca="false">IF(BQ264,IF(OVolType,IF(OCallPut,IF(BZ264&gt;(CS264+DA264),BZ264-(CS264+DA264),0),IF((CS264+DA264)&gt;BZ264,(CS264+DA264)-BZ264,0))*BQ264,SUM(EE264:EH264)),0)</f>
        <v>#VALUE!</v>
      </c>
      <c r="EJ264" s="1595" t="e">
        <f aca="false">DZ264-EE264</f>
        <v>#VALUE!</v>
      </c>
      <c r="EK264" s="1596" t="e">
        <f aca="false">EA264-EF264</f>
        <v>#VALUE!</v>
      </c>
      <c r="EL264" s="1596" t="e">
        <f aca="false">EB264-EG264</f>
        <v>#VALUE!</v>
      </c>
      <c r="EM264" s="1596" t="e">
        <f aca="false">EC264-EH264</f>
        <v>#VALUE!</v>
      </c>
      <c r="EN264" s="1597" t="e">
        <f aca="false">ED264-EI264</f>
        <v>#VALUE!</v>
      </c>
      <c r="EO264" s="1551" t="e">
        <f aca="false">DH264*BH264</f>
        <v>#VALUE!</v>
      </c>
      <c r="EP264" s="1551" t="e">
        <f aca="false">DI264*BI264</f>
        <v>#VALUE!</v>
      </c>
      <c r="EQ264" s="1551" t="e">
        <f aca="false">DW264*BJ264</f>
        <v>#VALUE!</v>
      </c>
      <c r="ER264" s="1551" t="e">
        <f aca="false">DX264*BK264</f>
        <v>#VALUE!</v>
      </c>
      <c r="ES264" s="1551" t="e">
        <f aca="false">DY264*BS264</f>
        <v>#VALUE!</v>
      </c>
      <c r="ET264" s="1566" t="e">
        <f aca="false">IF(EI264,IF(OCallPut,IF(CA264&gt;(CT264+CW264),CA264-(CT264+CW264),0),IF((CT264+CW264)&gt;CA264,(CT264+CW264)-CA264,0))*BH264,0)</f>
        <v>#VALUE!</v>
      </c>
      <c r="EU264" s="1551" t="e">
        <f aca="false">IF(EI264,IF(OCallPut,IF(CB264&gt;(CT264+CX264),CB264-(CT264+CX264),0),IF((CT264+CX264)&gt;CB264,(CT264+CX264)-CB264,0))*BI264,0)</f>
        <v>#VALUE!</v>
      </c>
      <c r="EV264" s="1551" t="e">
        <f aca="false">IF(EI264,IF(OCallPut,IF(CC264&gt;(CT264+CY264),CC264-(CT264+CY264),0),IF((CT264+CY264)&gt;CC264,(CT264+CY264)-CC264,0))*BJ264,0)</f>
        <v>#VALUE!</v>
      </c>
      <c r="EW264" s="1551" t="e">
        <f aca="false">IF(EI264,IF(OCallPut,IF(CD264&gt;(CT264+CZ264),CD264-(CT264+CZ264),0),IF((CT264+CZ264)&gt;CD264,(CT264+CZ264)-CD264,0))*BK264,0)</f>
        <v>#VALUE!</v>
      </c>
      <c r="EX264" s="1558" t="e">
        <f aca="false">IF(EI264,SUM(ET264:EW264),0)</f>
        <v>#VALUE!</v>
      </c>
      <c r="EY264" s="1551" t="e">
        <f aca="false">EO264-ET264</f>
        <v>#VALUE!</v>
      </c>
      <c r="EZ264" s="1551" t="e">
        <f aca="false">EP264-EU264</f>
        <v>#VALUE!</v>
      </c>
      <c r="FA264" s="1551" t="e">
        <f aca="false">EQ264-EV264</f>
        <v>#VALUE!</v>
      </c>
      <c r="FB264" s="1551" t="e">
        <f aca="false">ER264-EW264</f>
        <v>#VALUE!</v>
      </c>
      <c r="FC264" s="1551" t="e">
        <f aca="false">ES264-EX264</f>
        <v>#VALUE!</v>
      </c>
      <c r="FD264" s="1525" t="n">
        <f aca="false">IF(AX264,IF(VLOOKUP(C264,MAIN!$L$17:$M$28,2)="Yes",VLOOKUP(CALC!B264,MAIN!$H$17:$I$20,2),0),0)</f>
        <v>0</v>
      </c>
      <c r="FE264" s="1552" t="e">
        <f aca="false">$FD264*16*AT264*(1-$AY264)</f>
        <v>#VALUE!</v>
      </c>
      <c r="FF264" s="1553" t="e">
        <f aca="false">$FD264*16*AU264*(1-$AY264)</f>
        <v>#VALUE!</v>
      </c>
      <c r="FG264" s="1553" t="e">
        <f aca="false">$FD264*16*(AV264+AW264)*(1-$AY264)</f>
        <v>#VALUE!</v>
      </c>
      <c r="FH264" s="1554" t="n">
        <f aca="false">$FD264*8*AX264*(1-$AY264)</f>
        <v>0</v>
      </c>
      <c r="FI264" s="1555" t="n">
        <f aca="false">IF(AX264,VLOOKUP(CALC!B264,MAIN!$H$17:$K$20,4),0)</f>
        <v>0</v>
      </c>
      <c r="FJ264" s="1553" t="e">
        <f aca="false">SUM(FE264:FH264)</f>
        <v>#VALUE!</v>
      </c>
      <c r="FK264" s="1556" t="e">
        <f aca="false">FI264*FJ264</f>
        <v>#VALUE!</v>
      </c>
      <c r="FL264" s="1551" t="e">
        <f aca="false">IF($EI264&gt;0,MIN(FE264,AZ264*(1+VLOOKUP($C264,WeatherCapacityAdjustment,2))),0)</f>
        <v>#VALUE!</v>
      </c>
      <c r="FM264" s="1551" t="e">
        <f aca="false">IF($EI264&gt;0,MIN(FF264,BA264*(1+VLOOKUP($C264,WeatherCapacityAdjustment,2))),0)</f>
        <v>#VALUE!</v>
      </c>
      <c r="FN264" s="1551" t="e">
        <f aca="false">IF($EI264&gt;0,MIN(FG264,BB264*(1+VLOOKUP($C264,WeatherCapacityAdjustment,2))),0)</f>
        <v>#VALUE!</v>
      </c>
      <c r="FO264" s="1564" t="e">
        <f aca="false">IF($EI264&gt;0,MIN(FH264,BC264*(1+VLOOKUP($C264,WeatherCapacityAdjustment,3))),0)</f>
        <v>#VALUE!</v>
      </c>
      <c r="FP264" s="1551" t="e">
        <f aca="false">IF(ET264&gt;0,MIN(FE264-FL264,BH264*(1+VLOOKUP($C264,WeatherCapacityAdjustment,2))),0)</f>
        <v>#VALUE!</v>
      </c>
      <c r="FQ264" s="1551" t="e">
        <f aca="false">IF(EU264&gt;0,MIN(FF264-FM264,BI264*(1+VLOOKUP($C264,WeatherCapacityAdjustment,2))),0)</f>
        <v>#VALUE!</v>
      </c>
      <c r="FR264" s="1551" t="e">
        <f aca="false">IF(EV264&gt;0,MIN(FG264-FN264,BJ264*(1+VLOOKUP($C264,WeatherCapacityAdjustment,2))),0)</f>
        <v>#VALUE!</v>
      </c>
      <c r="FS264" s="1558" t="e">
        <f aca="false">IF(EW264&gt;0,MIN(FH264-FO264,BK264*(1+VLOOKUP($C264,WeatherCapacityAdjustment,3))),0)</f>
        <v>#VALUE!</v>
      </c>
      <c r="FT264" s="1566" t="e">
        <f aca="false">IF(AND(Assumptions!$H$71="Yes",A264&gt;=Assumptions!$H$72,A264&lt;=Assumptions!$H$73),0,IF(AND($A264&gt;=Assumptions!$C$17,$A264&lt;=Assumptions!$C$18),MAX(AZ264*(1+VLOOKUP($C264,WeatherCapacityAdjustment,2))-FL264,0),0))</f>
        <v>#VALUE!</v>
      </c>
      <c r="FU264" s="1551" t="e">
        <f aca="false">IF(AND(Assumptions!$H$71="Yes",A264&gt;=Assumptions!$H$72,A264&lt;=Assumptions!$H$73),0,IF(AND($A264&gt;=Assumptions!$C$17,$A264&lt;=Assumptions!$C$18),MAX(BA264*(1+VLOOKUP($C264,WeatherCapacityAdjustment,2))-FM264,0),0))</f>
        <v>#VALUE!</v>
      </c>
      <c r="FV264" s="1551" t="e">
        <f aca="false">IF(AND(Assumptions!$H$71="Yes",A264&gt;=Assumptions!$H$72,A264&lt;=Assumptions!$H$73),0,IF(AND($A264&gt;=Assumptions!$C$17,$A264&lt;=Assumptions!$C$18),MAX(BB264*(1+VLOOKUP($C264,WeatherCapacityAdjustment,2))-FN264,0),0))</f>
        <v>#VALUE!</v>
      </c>
      <c r="FW264" s="1564" t="e">
        <f aca="false">IF(AND(Assumptions!$H$71="Yes",A264&gt;=Assumptions!$H$72,A264&lt;=Assumptions!$H$73),0,IF(AND($A264&gt;=Assumptions!$C$17,$A264&lt;=Assumptions!$C$18),MAX(BC264*(1+VLOOKUP($C264,WeatherCapacityAdjustment,3))-FO264,0),0))</f>
        <v>#VALUE!</v>
      </c>
      <c r="FX264" s="1569" t="e">
        <f aca="false">IF(AND(Assumptions!$H$71="Yes",A264&gt;=Assumptions!$H$72,A264&lt;=Assumptions!$H$73),0,IF(ET264&gt;0,MAX(BH264*(1+VLOOKUP($C264,WeatherCapacityAdjustment,2))-FP264,0),0))</f>
        <v>#VALUE!</v>
      </c>
      <c r="FY264" s="1551" t="e">
        <f aca="false">IF(AND(Assumptions!$H$71="Yes",A264&gt;=Assumptions!$H$72,A264&lt;=Assumptions!$H$73),0,IF(EU264&gt;0,MAX(BI264*(1+VLOOKUP($C264,WeatherCapacityAdjustment,3))-FQ264,0),0))</f>
        <v>#VALUE!</v>
      </c>
      <c r="FZ264" s="1551" t="e">
        <f aca="false">IF(AND(Assumptions!$H$71="Yes",A264&gt;=Assumptions!$H$72,A264&lt;=Assumptions!$H$73),0,IF(EV264&gt;0,MAX(BJ264*(1+VLOOKUP($C264,WeatherCapacityAdjustment,2))-FR264,0),0))</f>
        <v>#VALUE!</v>
      </c>
      <c r="GA264" s="1564" t="e">
        <f aca="false">IF(AND(Assumptions!$H$71="Yes",A264&gt;=Assumptions!$H$72,A264&lt;=Assumptions!$H$73),0,IF(EW264&gt;0,MAX(BK264*(1+VLOOKUP($C264,WeatherCapacityAdjustment,2))-FS264,0),0))</f>
        <v>#VALUE!</v>
      </c>
      <c r="GB264" s="1551" t="e">
        <f aca="false">SUM(FT264:GA264)</f>
        <v>#VALUE!</v>
      </c>
      <c r="GC264" s="1563" t="e">
        <f aca="false">+IF(SUM(FT264:GA264)=0,0,(SUMPRODUCT(BU264:BX264,FT264:FW264)+SUMPRODUCT(CA264:CD264,FX264:GA264))/SUM(FT264:GA264))</f>
        <v>#VALUE!</v>
      </c>
      <c r="GD264" s="1551" t="e">
        <f aca="false">(FT264*BU264+FX264*CA264+FU264*BV264+FY264*CB264+FV264*BW264+FZ264*CC264+FW264*BX264+GA264*CD264)</f>
        <v>#VALUE!</v>
      </c>
      <c r="GE264" s="1561" t="e">
        <f aca="false">+IF(BQ264,((FL264+FM264+FT264+FU264)*HeatRatePeak/1000*(1+VLOOKUP($C264,WeatherHeatRateAdjustment,2))+(FN264+FV264)*IF(EV264&gt;0,HeatRatePeak,HeatRateOffPeak)/1000*(1+VLOOKUP($C264,WeatherHeatRateAdjustment,2))+(FO264+FW264)*IF(EW264&gt;0,HeatRatePeak,HeatRateOffPeak)/1000*(1+VLOOKUP($C264,WeatherHeatRateAdjustment,3)))*(1+VLOOKUP($B264,HeatRateDegradation,$C264+1)),0)</f>
        <v>#VALUE!</v>
      </c>
      <c r="GF264" s="1562" t="e">
        <f aca="false">IF(BQ264,((FP264+FQ264+FR264+FX264+FY264+FZ264)*HeatRatePeak/1000*(1+VLOOKUP($C264,WeatherHeatRateAdjustment,2))+(FS264+GA264)*HeatRatePeak/1000*(1+VLOOKUP($C264,WeatherHeatRateAdjustment,3)))*(1+VLOOKUP($B264,HeatRateDegradation,$C264+1)),0)</f>
        <v>#VALUE!</v>
      </c>
      <c r="GG264" s="1563" t="e">
        <f aca="false">IF(BQ264,VLOOKUP(A264,GasTable,13),0)</f>
        <v>#VALUE!</v>
      </c>
      <c r="GH264" s="1564" t="e">
        <f aca="false">(GE264+GF264)*GG264</f>
        <v>#VALUE!</v>
      </c>
      <c r="GI264" s="1569" t="e">
        <f aca="false">GB264</f>
        <v>#VALUE!</v>
      </c>
      <c r="GJ264" s="1598" t="e">
        <f aca="false">+DA264</f>
        <v>#VALUE!</v>
      </c>
      <c r="GK264" s="1558" t="e">
        <f aca="false">+GI264*GJ264</f>
        <v>#VALUE!</v>
      </c>
      <c r="GL264" s="1566" t="e">
        <f aca="false">MAX(FE264-FL264-FP264,0)</f>
        <v>#VALUE!</v>
      </c>
      <c r="GM264" s="1551" t="e">
        <f aca="false">MAX(FF264-FM264-FQ264,0)</f>
        <v>#VALUE!</v>
      </c>
      <c r="GN264" s="1551" t="e">
        <f aca="false">MAX(FG264-FN264-FR264,0)</f>
        <v>#VALUE!</v>
      </c>
      <c r="GO264" s="1564" t="e">
        <f aca="false">MAX(FH264-FO264-FS264,0)</f>
        <v>#VALUE!</v>
      </c>
      <c r="GP264" s="1551" t="e">
        <f aca="false">SUM(GL264:GO264)</f>
        <v>#VALUE!</v>
      </c>
      <c r="GQ264" s="1563" t="e">
        <f aca="false">IF(SUM(GL264:GO264)=0,0,((GL264*BU264+GM264*BV264+GN264*BW264+GO264*BX264)/SUM(GL264:GO264)))</f>
        <v>#VALUE!</v>
      </c>
      <c r="GR264" s="1558" t="e">
        <f aca="false">(GL264*BU264+GM264*BV264+GN264*BW264+GO264*BX264)</f>
        <v>#VALUE!</v>
      </c>
      <c r="GS264" s="1566" t="n">
        <f aca="false">IF($A264&gt;=BegDate,Assumptions!$C$56*24*($A265-$A264)*(1-VLOOKUP($B264,MAIN!$AA$7:$AM$28,$C264+1))*(1-VLOOKUP($B264,MAIN!$AA$33:$AM$54,$C264+1)),0)*80/168</f>
        <v>257742.857142857</v>
      </c>
      <c r="GT264" s="286" t="n">
        <f aca="false">J264</f>
        <v>59.3906427119421</v>
      </c>
      <c r="GU264" s="286" t="n">
        <f aca="false">IF($A264&gt;=BegDate,VLOOKUP($A264,GasTable,13)+Assumptions!$C$58,0)</f>
        <v>4.49716786450658</v>
      </c>
      <c r="GV264" s="286" t="n">
        <f aca="false">GU264*Assumptions!$C$57/1000</f>
        <v>32.6044670176727</v>
      </c>
      <c r="GW264" s="1558" t="n">
        <f aca="false">IF(Assumptions!$C$60="Hourly",MAX(0,GS264*(GT264-GV264)),GS264*(GT264-GV264))</f>
        <v>6903945.45537155</v>
      </c>
      <c r="GX264" s="1566" t="n">
        <f aca="false">IF($A264&gt;=BegDate,Assumptions!$C$56*24*($A265-$A264)*(1-VLOOKUP($B264,MAIN!$AA$7:$AM$28,$C264+1))*(1-VLOOKUP($B264,MAIN!$AA$33:$AM$54,$C264+1)),0)*16/168</f>
        <v>51548.5714285714</v>
      </c>
      <c r="GY264" s="286" t="n">
        <f aca="false">M264</f>
        <v>59.3906427119421</v>
      </c>
      <c r="GZ264" s="286" t="n">
        <f aca="false">IF($A264&gt;=BegDate,VLOOKUP($A264,GasTable,13)+Assumptions!$C$58,0)</f>
        <v>4.49716786450658</v>
      </c>
      <c r="HA264" s="286" t="n">
        <f aca="false">GZ264*Assumptions!$C$57/1000</f>
        <v>32.6044670176727</v>
      </c>
      <c r="HB264" s="1558" t="n">
        <f aca="false">IF(Assumptions!$C$60="Hourly",MAX(0,GX264*(GY264-HA264)),GX264*(GY264-HA264))</f>
        <v>1380789.09107431</v>
      </c>
      <c r="HC264" s="1566" t="n">
        <f aca="false">IF($A264&gt;=BegDate,Assumptions!$C$56*24*($A265-$A264)*(1-VLOOKUP($B264,MAIN!$AA$7:$AM$28,$C264+1))*(1-VLOOKUP($B264,MAIN!$AA$33:$AM$54,$C264+1)),0)*16/168</f>
        <v>51548.5714285714</v>
      </c>
      <c r="HD264" s="286" t="n">
        <f aca="false">P264</f>
        <v>37.2206047534242</v>
      </c>
      <c r="HE264" s="286" t="n">
        <f aca="false">IF($A264&gt;=BegDate,VLOOKUP($A264,GasTable,13)+Assumptions!$C$58,0)</f>
        <v>4.49716786450658</v>
      </c>
      <c r="HF264" s="286" t="n">
        <f aca="false">HE264*Assumptions!$C$57/1000</f>
        <v>32.6044670176727</v>
      </c>
      <c r="HG264" s="1558" t="n">
        <f aca="false">IF(Assumptions!$C$60="Hourly",MAX(0,HC264*(HD264-HF264)),HC264*(HD264-HF264))</f>
        <v>237955.305795513</v>
      </c>
      <c r="HH264" s="1566" t="n">
        <f aca="false">IF($A264&gt;=BegDate,Assumptions!$C$56*24*($A265-$A264)*(1-VLOOKUP($B264,MAIN!$AA$7:$AM$28,$C264+1))*(1-VLOOKUP($B264,MAIN!$AA$33:$AM$54,$C264+1)),0)*56/168</f>
        <v>180420</v>
      </c>
      <c r="HI264" s="286" t="n">
        <f aca="false">S264</f>
        <v>37.2206047534242</v>
      </c>
      <c r="HJ264" s="286" t="n">
        <f aca="false">IF($A264&gt;=BegDate,VLOOKUP($A264,GasTable,13)+Assumptions!$C$58,0)</f>
        <v>4.49716786450658</v>
      </c>
      <c r="HK264" s="286" t="n">
        <f aca="false">HJ264*Assumptions!$C$57/1000</f>
        <v>32.6044670176727</v>
      </c>
      <c r="HL264" s="1558" t="n">
        <f aca="false">IF(Assumptions!$C$60="Hourly",MAX(0,HH264*(HI264-HK264)),HH264*(HI264-HK264))</f>
        <v>832843.570284296</v>
      </c>
      <c r="HM264" s="1566" t="n">
        <f aca="false">IF(AND(Assumptions!$H$71="Yes",A264&gt;=Assumptions!$H$72,A264&lt;=Assumptions!$H$73),Assumptions!$H$74*Assumptions!$C$9*1000,0)</f>
        <v>0</v>
      </c>
      <c r="HN264" s="1551"/>
      <c r="HO264" s="1563"/>
      <c r="HP264" s="1563"/>
      <c r="HQ264" s="1563"/>
      <c r="HR264" s="1563"/>
      <c r="HS264" s="1563"/>
      <c r="HT264" s="1563"/>
      <c r="HU264" s="1563"/>
      <c r="HV264" s="1563"/>
      <c r="HW264" s="1563"/>
      <c r="HX264" s="1563"/>
      <c r="HY264" s="1563"/>
      <c r="HZ264" s="1563"/>
      <c r="IA264" s="1563"/>
      <c r="IB264" s="1563"/>
      <c r="IC264" s="1563"/>
      <c r="ID264" s="1563"/>
      <c r="IE264" s="1563"/>
      <c r="IF264" s="1563"/>
      <c r="IG264" s="1563"/>
      <c r="IH264" s="1563"/>
      <c r="II264" s="1610"/>
      <c r="IJ264" s="1309"/>
      <c r="IK264" s="1309"/>
    </row>
    <row r="265" customFormat="false" ht="12.75" hidden="false" customHeight="false" outlineLevel="0" collapsed="false">
      <c r="A265" s="1571" t="n">
        <f aca="false">EOMONTH(A264,0)+1</f>
        <v>44197</v>
      </c>
      <c r="B265" s="594" t="n">
        <f aca="false">+YEAR(A265)</f>
        <v>2021</v>
      </c>
      <c r="C265" s="238" t="n">
        <f aca="false">MONTH(A265)</f>
        <v>1</v>
      </c>
      <c r="D265" s="1572" t="e">
        <f aca="false">IF(E265="","",Holiday(B265,C265))</f>
        <v>#VALUE!</v>
      </c>
      <c r="E265" s="1573" t="n">
        <f aca="false">IF(OR(BegDate&gt;=A266,EndDate&lt;A265,AND(VolumeMonthlyOverFlag,INDEX(VolumeMonthlyOver,C265)=0),NOT(INDEX(MonthKnockOutTable,C265))),"",MAX(A265,BegDate))</f>
        <v>44197</v>
      </c>
      <c r="F265" s="1574" t="n">
        <f aca="false">IF(E265="","",MIN(A266-1,EndDate))</f>
        <v>44227</v>
      </c>
      <c r="G265" s="1575" t="n">
        <v>0</v>
      </c>
      <c r="H265" s="1576" t="n">
        <f aca="false">(1+G265/2)^(-2*(DATE(B266,C266,20)-DateToday)/365.25)</f>
        <v>1</v>
      </c>
      <c r="I265" s="1568" t="n">
        <f aca="false">IF(Assumptions!$L$25=4,VLOOKUP($A265,'Henwood Reference'!$E$9:$R$320,10),(VLOOKUP($A265,PriceTable,2,0)+IF(BasisNumber&lt;&gt;1,VLOOKUP($A265,BasisTable,2,0),0)+I$1)/(1-I$2))</f>
        <v>62.6574950901057</v>
      </c>
      <c r="J265" s="1568" t="n">
        <f aca="false">IF(Assumptions!$L$25=4,VLOOKUP($A265,'Henwood Reference'!$E$9:$R$320,10),(VLOOKUP($A265,PriceTable,3,0)+IF(BasisNumber&lt;&gt;1,VLOOKUP($A265,BasisTable,2,0),0)+J$1)/(1-J$2))</f>
        <v>62.6574950901057</v>
      </c>
      <c r="K265" s="1568" t="n">
        <f aca="false">IF(Assumptions!$L$25=4,VLOOKUP($A265,'Henwood Reference'!$E$9:$R$320,10),(VLOOKUP($A265,PriceTable,4,0)+IF(BasisNumber&lt;&gt;1,VLOOKUP($A265,BasisTable,2,0),0)+K$1)/(1-K$2))</f>
        <v>62.6574950901057</v>
      </c>
      <c r="L265" s="1523" t="n">
        <f aca="false">IF(Assumptions!$L$25=4,VLOOKUP($A265,'Henwood Reference'!$E$9:$R$320,10),(VLOOKUP($A265,PriceTableWeekend,2,0)+IF(BasisNumber&lt;&gt;1,VLOOKUP($A265,BasisTable,2,0),0)+L$1)/(1-L$2))</f>
        <v>62.6574950901057</v>
      </c>
      <c r="M265" s="1568" t="n">
        <f aca="false">IF(Assumptions!$L$25=4,VLOOKUP($A265,'Henwood Reference'!$E$9:$R$320,10),(VLOOKUP($A265,PriceTableWeekend,3,0)+IF(BasisNumber&lt;&gt;1,VLOOKUP($A265,BasisTable,2,0),0)+M$1)/(1-M$2))</f>
        <v>62.6574950901057</v>
      </c>
      <c r="N265" s="1599" t="n">
        <f aca="false">IF(Assumptions!$L$25=4,VLOOKUP($A265,'Henwood Reference'!$E$9:$R$320,10),(VLOOKUP($A265,PriceTableWeekend,4,0)+IF(BasisNumber&lt;&gt;1,VLOOKUP($A265,BasisTable,2,0),0)+N$1)/(1-N$2))</f>
        <v>62.6574950901057</v>
      </c>
      <c r="O265" s="1568" t="n">
        <f aca="false">IF(Assumptions!$L$25=4,VLOOKUP($A265,'Henwood Reference'!$E$9:$R$320,11),(VLOOKUP($A265,PriceTableWeekend,6,0)+IF(BasisNumber&lt;&gt;1,VLOOKUP($A265,BasisTable,3,0),0)+O$1)/(1-O$2))</f>
        <v>35.3145711129184</v>
      </c>
      <c r="P265" s="1568" t="n">
        <f aca="false">IF(Assumptions!$L$25=4,VLOOKUP($A265,'Henwood Reference'!$E$9:$R$320,11),(VLOOKUP($A265,PriceTableWeekend,7,0)+IF(BasisNumber&lt;&gt;1,VLOOKUP($A265,BasisTable,3,0),0)+P$1)/(1-P$2))</f>
        <v>35.3145711129184</v>
      </c>
      <c r="Q265" s="1599" t="n">
        <f aca="false">IF(Assumptions!$L$25=4,VLOOKUP($A265,'Henwood Reference'!$E$9:$R$320,11),(VLOOKUP($A265,PriceTableWeekend,8,0)+IF(BasisNumber&lt;&gt;1,VLOOKUP($A265,BasisTable,3,0),0)+Q$1)/(1-Q$2))</f>
        <v>35.3145711129184</v>
      </c>
      <c r="R265" s="1568" t="n">
        <f aca="false">IF(Assumptions!$L$25=4,VLOOKUP($A265,'Henwood Reference'!$E$9:$R$320,11),(VLOOKUP($A265,PriceTable,6,0)+IF(BasisNumber&lt;&gt;1,VLOOKUP($A265,BasisTable,3,0),0)+R$1)/(1-R$2))</f>
        <v>35.3145711129184</v>
      </c>
      <c r="S265" s="1568" t="n">
        <f aca="false">IF(Assumptions!$L$25=4,VLOOKUP($A265,'Henwood Reference'!$E$9:$R$320,11),(VLOOKUP($A265,PriceTable,7,0)+IF(BasisNumber&lt;&gt;1,VLOOKUP($A265,BasisTable,3,0),0)+S$1)/(1-S$2))</f>
        <v>35.3145711129184</v>
      </c>
      <c r="T265" s="1600" t="n">
        <f aca="false">IF(Assumptions!$L$25=4,VLOOKUP($A265,'Henwood Reference'!$E$9:$R$320,11),(VLOOKUP($A265,PriceTable,8,0)+IF(BasisNumber&lt;&gt;1,VLOOKUP($A265,BasisTable,3,0),0)+T$1)/(1-T$2))</f>
        <v>35.3145711129184</v>
      </c>
      <c r="U265" s="1513" t="n">
        <f aca="false">VLOOKUP($A265,VolatilityTable,14)</f>
        <v>0.09</v>
      </c>
      <c r="V265" s="1513" t="n">
        <f aca="false">VLOOKUP($A265,VolatilityTable,15)</f>
        <v>0.1</v>
      </c>
      <c r="W265" s="1514" t="n">
        <f aca="false">VLOOKUP($A265,VolatilityTable,16)</f>
        <v>0.11</v>
      </c>
      <c r="X265" s="1513" t="n">
        <f aca="false">VLOOKUP($A265,VolatilityTable,14)</f>
        <v>0.09</v>
      </c>
      <c r="Y265" s="1513" t="n">
        <f aca="false">VLOOKUP($A265,VolatilityTable,15)</f>
        <v>0.1</v>
      </c>
      <c r="Z265" s="1514" t="n">
        <f aca="false">VLOOKUP($A265,VolatilityTable,16)</f>
        <v>0.11</v>
      </c>
      <c r="AA265" s="1513" t="n">
        <f aca="false">VLOOKUP($A265,VolatilityTable,18)</f>
        <v>0.09</v>
      </c>
      <c r="AB265" s="1513" t="n">
        <f aca="false">VLOOKUP($A265,VolatilityTable,19)</f>
        <v>0.11</v>
      </c>
      <c r="AC265" s="1514" t="n">
        <f aca="false">VLOOKUP($A265,VolatilityTable,20)</f>
        <v>0.13</v>
      </c>
      <c r="AD265" s="1513" t="n">
        <f aca="false">VLOOKUP($A265,VolatilityTable,18)</f>
        <v>0.09</v>
      </c>
      <c r="AE265" s="1513" t="n">
        <f aca="false">VLOOKUP($A265,VolatilityTable,19)</f>
        <v>0.11</v>
      </c>
      <c r="AF265" s="1514" t="n">
        <f aca="false">VLOOKUP($A265,VolatilityTable,20)</f>
        <v>0.13</v>
      </c>
      <c r="AG265" s="1513" t="n">
        <f aca="false">VLOOKUP($A265,VolatilityTable,22)</f>
        <v>-0.25</v>
      </c>
      <c r="AH265" s="1513" t="n">
        <f aca="false">VLOOKUP($A265,VolatilityTable,23)</f>
        <v>0.6</v>
      </c>
      <c r="AI265" s="1514" t="n">
        <f aca="false">VLOOKUP($A265,VolatilityTable,24)</f>
        <v>0.25</v>
      </c>
      <c r="AJ265" s="1513" t="n">
        <f aca="false">VLOOKUP($A265,VolatilityTable,22)</f>
        <v>-0.25</v>
      </c>
      <c r="AK265" s="1513" t="n">
        <f aca="false">VLOOKUP($A265,VolatilityTable,23)</f>
        <v>0.6</v>
      </c>
      <c r="AL265" s="1514" t="n">
        <f aca="false">VLOOKUP($A265,VolatilityTable,24)</f>
        <v>0.25</v>
      </c>
      <c r="AM265" s="1513" t="n">
        <f aca="false">VLOOKUP($A265,VolatilityTable,26)</f>
        <v>-0.01</v>
      </c>
      <c r="AN265" s="1513" t="n">
        <f aca="false">VLOOKUP($A265,VolatilityTable,27)</f>
        <v>0.16</v>
      </c>
      <c r="AO265" s="1514" t="n">
        <f aca="false">VLOOKUP($A265,VolatilityTable,28)</f>
        <v>0.01</v>
      </c>
      <c r="AP265" s="1513" t="n">
        <f aca="false">VLOOKUP($A265,VolatilityTable,26)</f>
        <v>-0.01</v>
      </c>
      <c r="AQ265" s="1513" t="n">
        <f aca="false">VLOOKUP($A265,VolatilityTable,27)</f>
        <v>0.16</v>
      </c>
      <c r="AR265" s="1515" t="n">
        <f aca="false">VLOOKUP($A265,VolatilityTable,28)</f>
        <v>0.01</v>
      </c>
      <c r="AS265" s="1581" t="n">
        <f aca="false">IF(CorrPeakOffPeakOverFlag,INDEX(CorrPeakOffPeakOver,C265),CorrPeakOffPeak)</f>
        <v>0.5</v>
      </c>
      <c r="AT265" s="594" t="e">
        <f aca="false">AX265-SUM(AU265:AW265)</f>
        <v>#VALUE!</v>
      </c>
      <c r="AU265" s="238" t="e">
        <f aca="false">IF(E265="",0,INT((F265-MOD(F265,7)-E265)/7)+1-IF(AW265,IF(WEEKDAY(D265)=7,1,0),0))</f>
        <v>#VALUE!</v>
      </c>
      <c r="AV265" s="238" t="e">
        <f aca="false">IF(E265="",0,INT((F265-MOD(F265-1,7)-E265)/7)+1-IF(AW265,IF(WEEKDAY(D265)=1,1,0),0))</f>
        <v>#VALUE!</v>
      </c>
      <c r="AW265" s="238" t="e">
        <f aca="false">IF(OR(E265="",D265="",D265&lt;BegDate,D265&gt;EndDate),0,1)</f>
        <v>#VALUE!</v>
      </c>
      <c r="AX265" s="238" t="n">
        <f aca="false">IF(E265="",0,F265-E265+1)</f>
        <v>31</v>
      </c>
      <c r="AY265" s="1582" t="n">
        <f aca="false">IF(E265="",0,MIN((1-(1-VLOOKUP(B265,MAIN!$AA$7:$AM$28,C265+1))*(1-VLOOKUP(B265,MAIN!$AA$33:$AM$54,C265+1))),1))</f>
        <v>0.03</v>
      </c>
      <c r="AZ265" s="1519" t="e">
        <v>#VALUE!</v>
      </c>
      <c r="BA265" s="1520" t="e">
        <v>#VALUE!</v>
      </c>
      <c r="BB265" s="1520" t="e">
        <v>#VALUE!</v>
      </c>
      <c r="BC265" s="1583" t="e">
        <v>#VALUE!</v>
      </c>
      <c r="BD265" s="1522" t="e">
        <v>#VALUE!</v>
      </c>
      <c r="BE265" s="1523" t="e">
        <v>#VALUE!</v>
      </c>
      <c r="BF265" s="1523" t="e">
        <v>#VALUE!</v>
      </c>
      <c r="BG265" s="1584" t="e">
        <v>#VALUE!</v>
      </c>
      <c r="BH265" s="1525" t="e">
        <v>#VALUE!</v>
      </c>
      <c r="BI265" s="1520" t="e">
        <v>#VALUE!</v>
      </c>
      <c r="BJ265" s="1520" t="e">
        <v>#VALUE!</v>
      </c>
      <c r="BK265" s="1583" t="e">
        <v>#VALUE!</v>
      </c>
      <c r="BL265" s="1522" t="e">
        <v>#VALUE!</v>
      </c>
      <c r="BM265" s="1523" t="e">
        <v>#VALUE!</v>
      </c>
      <c r="BN265" s="1523" t="e">
        <v>#VALUE!</v>
      </c>
      <c r="BO265" s="1523" t="e">
        <v>#VALUE!</v>
      </c>
      <c r="BP265" s="1525" t="e">
        <f aca="false">SUM(AZ265:BB265)</f>
        <v>#VALUE!</v>
      </c>
      <c r="BQ265" s="1529" t="e">
        <f aca="false">SUM(AZ265:BC265)</f>
        <v>#VALUE!</v>
      </c>
      <c r="BR265" s="1519" t="e">
        <f aca="false">SUM(BH265:BJ265)</f>
        <v>#VALUE!</v>
      </c>
      <c r="BS265" s="1529" t="e">
        <f aca="false">SUM(BH265:BK265)</f>
        <v>#VALUE!</v>
      </c>
      <c r="BT265" s="1316" t="n">
        <f aca="false">(IF(OVolType&lt;&gt;2,A265+14,IF(OptExpDateShift,ShiftBack(A265,OptExpDateShift,D264),A265))-DateToday)/365.25</f>
        <v>20.7173169062286</v>
      </c>
      <c r="BU265" s="1585" t="e">
        <f aca="false">IF(BQ265,IF(OPriceCurve,IF(OBuySell=OCallPut,I265/(1-AY265),K265/(1-AY265)),J265/(1-AY265))*BD265,0)</f>
        <v>#VALUE!</v>
      </c>
      <c r="BV265" s="1316" t="e">
        <f aca="false">IF(BQ265,IF(OPriceCurve,IF(OBuySell=OCallPut,L265/(1-AY265),N265/(1-AY265)),M265/(1-AY265))*BE265,0)</f>
        <v>#VALUE!</v>
      </c>
      <c r="BW265" s="1316" t="e">
        <f aca="false">IF(BQ265,IF(OPriceCurve,IF(OBuySell=OCallPut,O265/(1-AY265),Q265/(1-AY265)),P265/(1-AY265))*BF265,0)</f>
        <v>#VALUE!</v>
      </c>
      <c r="BX265" s="1316" t="e">
        <f aca="false">IF(BQ265,IF(OPriceCurve,IF(OBuySell=OCallPut,R265/(1-AY265),T265/(1-AY265)),S265/(1-AY265))*BG265,0)</f>
        <v>#VALUE!</v>
      </c>
      <c r="BY265" s="1316" t="e">
        <f aca="false">IF(BP265,(BU265*AZ265+BV265*BA265+BW265*BB265)/BP265,0)</f>
        <v>#VALUE!</v>
      </c>
      <c r="BZ265" s="1316" t="e">
        <f aca="false">IF(BQ265,(BY265*BP265+BX265*BC265)/BQ265,0)</f>
        <v>#VALUE!</v>
      </c>
      <c r="CA265" s="1531" t="e">
        <f aca="false">IF(BS265,IF(OPriceCurve,IF(OBuySell=OCallPut,I265/(1-AY265),K265/(1-AY265)),J265/(1-AY265))*BL265,0)</f>
        <v>#VALUE!</v>
      </c>
      <c r="CB265" s="1316" t="e">
        <f aca="false">IF(BS265,IF(OPriceCurve,IF(OBuySell=OCallPut,L265/(1-AY265),N265/(1-AY265)),M265/(1-AY265))*BM265,0)</f>
        <v>#VALUE!</v>
      </c>
      <c r="CC265" s="1316" t="e">
        <f aca="false">IF(BS265,IF(OPriceCurve,IF(OBuySell=OCallPut,O265/(1-AY265),Q265/(1-AY265)),P265/(1-AY265))*BN265,0)</f>
        <v>#VALUE!</v>
      </c>
      <c r="CD265" s="1316" t="e">
        <f aca="false">IF(BS265,IF(OPriceCurve,IF(OBuySell=OCallPut,R265/(1-AY265),T265/(1-AY265)),S265/(1-AY265))*BO265,0)</f>
        <v>#VALUE!</v>
      </c>
      <c r="CE265" s="1316" t="e">
        <f aca="false">IF(BR265,(BU265*BH265+BV265*BI265+BW265*BJ265)/BR265,0)</f>
        <v>#VALUE!</v>
      </c>
      <c r="CF265" s="1532" t="e">
        <f aca="false">IF(BS265,(CE265*BR265+CD265*BK265)/BS265,0)</f>
        <v>#VALUE!</v>
      </c>
      <c r="CG265" s="1586" t="e">
        <f aca="false">IF(OR(BQ265,BS265),IF(OVolType&lt;&gt;2,SQRT(IF(OVolOverMonthlyPeak,OVolOverMonthlyPeak,IF(OVolCurve,IF(OBuySell,U265,W265),V265))^2*(1-15/365.25/BT265)+IF(OVolOverDailyPeak,OVolOverDailyPeak,IF(OVolCurve,IF(OBuySell,AG265,AI265),AH265))^2*15/365.25/BT265),IF(OVolOverMonthlyPeak,OVolOverMonthlyPeak,IF(OVolCurve,IF(OBuySell,U265,W265),V265))),"")</f>
        <v>#VALUE!</v>
      </c>
      <c r="CH265" s="1587" t="e">
        <f aca="false">IF(OR(BQ265,BS265),IF(OVolType&lt;&gt;2,SQRT(IF(OVolOverMonthlyPeak,OVolOverMonthlyPeak,IF(OVolCurve,IF(OBuySell,X265,Z265),Y265))^2*(1-15/365.25/BT265)+IF(OVolOverDailyPeak,OVolOverDailyPeak,IF(OVolCurve,IF(OBuySell,AJ265,AL265),AK265))^2*15/365.25/BT265),IF(OVolOverMonthlyPeak,OVolOverMonthlyPeak,IF(OVolCurve,IF(OBuySell,X265,Z265),Y265))),"")</f>
        <v>#VALUE!</v>
      </c>
      <c r="CI265" s="1587" t="e">
        <f aca="false">IF(OR(BQ265,BS265),IF(OVolType&lt;&gt;2,SQRT(IF(OVolOverMonthlyPeak,OVolOverMonthlyPeak,IF(OVolCurve,IF(OBuySell,AA265,AC265),AB265))^2*(1-15/365.25/BT265)+IF(OVolOverDailyPeak,OVolOverDailyPeak,IF(OVolCurve,IF(OBuySell,AM265,AO265),AN265))^2*15/365.25/BT265),IF(OVolOverMonthlyPeak,OVolOverMonthlyPeak,IF(OVolCurve,IF(OBuySell,AA265,AC265),AB265))),"")</f>
        <v>#VALUE!</v>
      </c>
      <c r="CJ265" s="1587" t="e">
        <f aca="false">IF(BQ265,IF(BP265,SQRT(LN(1+((BU265*AZ265)^2*(EXP(CG265^2*BT265)-1)+(BV265*BA265)^2*(EXP(CH265^2*BT265)-1)+(BW265*BB265)^2*(EXP(CI265^2*BT265)-1)+2*BU265*AZ265*BV265*BA265*(EXP(CG265*CH265*BT265)-1)+2*BV265*BA265*BW265*BB265*(EXP(CH265*CI265*BT265)-1)+2*BW265*BB265*BU265*AZ265*(EXP(CI265*CG265*BT265)-1))/(BY265*BP265)^2)/BT265),0),"")</f>
        <v>#VALUE!</v>
      </c>
      <c r="CK265" s="1587" t="e">
        <f aca="false">IF(BS265,IF(BR265,SQRT(LN(1+((CA265*BH265)^2*(EXP(CG265^2*BT265)-1)+(CB265*BI265)^2*(EXP(CH265^2*BT265)-1)+(CC265*BJ265)^2*(EXP(CI265^2*BT265)-1)+2*CA265*BH265*CB265*BI265*(EXP(CG265*CH265*BT265)-1)+2*CB265*BI265*CC265*BJ265*(EXP(CH265*CI265*BT265)-1)+2*CC265*BJ265*CA265*BH265*(EXP(CI265*CG265*BT265)-1))/(CE265*BR265)^2)/BT265),0),"")</f>
        <v>#VALUE!</v>
      </c>
      <c r="CL265" s="1587" t="e">
        <f aca="false">IF(OR(BQ265,BS265),IF(OVolType&lt;&gt;2,SQRT(IF(OVolOverMonthlyOffPeak,OVolOverMonthlyOffPeak,IF(OVolCurve,IF(OBuySell,AD265,AF265),AE265))^2*(1-15/365.25/BT265)+IF(OVolOverDailyOffPeak,OVolOverDailyOffPeak,IF(OVolCurve,IF(OBuySell,AP265,AR265),AQ265))^2*15/365.25/BT265),IF(OVolOverMonthlyOffPeak,OVolOverMonthlyOffPeak,IF(OVolCurve,IF(OBuySell,AD265,AF265),AE265))),"")</f>
        <v>#VALUE!</v>
      </c>
      <c r="CM265" s="1587" t="e">
        <f aca="false">IF(BQ265,SQRT(LN(1+((BY265*BP265)^2*(EXP(CJ265^2*BT265)-1)+(BX265*BC265)^2*(EXP(CL265^2*BT265)-1)+2*BY265*BP265*BX265*BC265*(EXP(AS265*CJ265*CL265*BT265)-1))/(BY265*BP265+BX265*BC265)^2)/BT265),"")</f>
        <v>#VALUE!</v>
      </c>
      <c r="CN265" s="1588" t="e">
        <f aca="false">IF(BS265,SQRT(LN(1+((CE265*BR265)^2*(EXP(CK265^2*BT265)-1)+(CD265*BK265)^2*(EXP(CL265^2*BT265)-1)+2*CE265*BR265*CD265*BK265*(EXP(AS265*CK265*CL265*BT265)-1))/(CE265*BR265+CD265*BK265)^2)/BT265),"")</f>
        <v>#VALUE!</v>
      </c>
      <c r="CO265" s="1531" t="e">
        <f aca="false">IF(OR(BQ265,BS265),VLOOKUP(A265,GasTable,13)*HeatRatePeak*(1+VLOOKUP($B265,HeatRateDegradation,$C265+1))/1000,0)</f>
        <v>#VALUE!</v>
      </c>
      <c r="CP265" s="1316" t="e">
        <f aca="false">IF(OR(BQ265,BS265),VLOOKUP(A265,GasTable,13)*HeatRatePeak*(1+VLOOKUP($B265,HeatRateDegradation,$C265+1))/1000,0)</f>
        <v>#VALUE!</v>
      </c>
      <c r="CQ265" s="1316" t="e">
        <f aca="false">IF(OR(BQ265,BS265),VLOOKUP(A265,GasTable,13)*IF(EV265,HeatRatePeak,HeatRateOffPeak)*(1+VLOOKUP($B265,HeatRateDegradation,$C265+1))/1000,0)</f>
        <v>#VALUE!</v>
      </c>
      <c r="CR265" s="1316" t="e">
        <f aca="false">IF(OR(BQ265,BS265),VLOOKUP(A265,GasTable,13)*IF(EW265,HeatRatePeak,HeatRateOffPeak)*(1+VLOOKUP($B265,HeatRateDegradation,$C265+1))/1000,0)</f>
        <v>#VALUE!</v>
      </c>
      <c r="CS265" s="1589" t="e">
        <f aca="false">IF(BQ265,(CO265*AZ265+CP265*BA265+CQ265*BB265+CR265*BC265)/BQ265,0)</f>
        <v>#VALUE!</v>
      </c>
      <c r="CT265" s="1316" t="e">
        <f aca="false">IF(BS265,CO265,0)</f>
        <v>#VALUE!</v>
      </c>
      <c r="CU265" s="1590" t="e">
        <f aca="false">IF(OR(BQ265,BS265),VLOOKUP(A265,GasTable,14),"")</f>
        <v>#VALUE!</v>
      </c>
      <c r="CV265" s="1568" t="e">
        <f aca="false">IF(OR(BQ265,BS265),IF(CorrPowerGasOverFlag,INDEX(CorrPowerGasOver,C265),CorrPowerGas),"")</f>
        <v>#VALUE!</v>
      </c>
      <c r="CW265" s="1316" t="e">
        <f aca="false">IF(OR($BQ265,$BS265),SpreadOptPowerMargin,0)*((1+Assumptions!$C$26)^($B265-YEAR(Assumptions!$C$17)))</f>
        <v>#VALUE!</v>
      </c>
      <c r="CX265" s="1316" t="e">
        <f aca="false">IF(OR($BQ265,$BS265),SpreadOptPowerMargin,0)*((1+Assumptions!$C$26)^($B265-YEAR(Assumptions!$C$17)))</f>
        <v>#VALUE!</v>
      </c>
      <c r="CY265" s="1316" t="e">
        <f aca="false">IF(OR($BQ265,$BS265),SpreadOptPowerMargin,0)*((1+Assumptions!$C$26)^($B265-YEAR(Assumptions!$C$17)))</f>
        <v>#VALUE!</v>
      </c>
      <c r="CZ265" s="1316" t="e">
        <f aca="false">IF(OR($BQ265,$BS265),SpreadOptPowerMargin,0)*((1+Assumptions!$C$26)^($B265-YEAR(Assumptions!$C$17)))</f>
        <v>#VALUE!</v>
      </c>
      <c r="DA265" s="1591" t="e">
        <f aca="false">IF(OR(BQ265,BS265),(CW265*(AZ265+BH265)+CX265*(BA265+BI265)+CY265*(BB265+BJ265)+CZ265*(BC265+BK265))/(BQ265+BS265),0)</f>
        <v>#VALUE!</v>
      </c>
      <c r="DB265" s="1592" t="e">
        <f aca="false">IF(OR(BQ265,BS265),CG265+IF(OVolSmile,VLOOKUP(MAX(-5,CO265+CW265-BU265),IF(OVolSmile=1,VolSmileBook,VolSmileModel),2),0),"")</f>
        <v>#VALUE!</v>
      </c>
      <c r="DC265" s="1592" t="e">
        <f aca="false">IF(OR(BQ265,BS265),CH265+IF(OVolSmile,VLOOKUP(MAX(-5,CP265+CW265-BV265),IF(OVolSmile=1,VolSmileBook,VolSmileModel),2),0),"")</f>
        <v>#VALUE!</v>
      </c>
      <c r="DD265" s="1592" t="e">
        <f aca="false">IF(OR(BQ265,BS265),CI265+IF(OVolSmile,VLOOKUP(MAX(-5,CQ265+CW265-BW265),IF(OVolSmile=1,VolSmileBook,VolSmileModel),2),0),"")</f>
        <v>#VALUE!</v>
      </c>
      <c r="DE265" s="1592" t="e">
        <f aca="false">IF(OR(BQ265,BS265),CL265+IF(OVolSmile,VLOOKUP(MAX(-5,CR265+CZ265-BX265),IF(OVolSmile=1,VolSmileBook,VolSmileModel),2),0),"")</f>
        <v>#VALUE!</v>
      </c>
      <c r="DF265" s="1592" t="e">
        <f aca="false">IF(BQ265,CM265+IF(OVolSmile,VLOOKUP(MAX(-5,CS265+DA265-BZ265),IF(OVolSmile=1,VolSmileBook,VolSmileModel),2),0),"")</f>
        <v>#VALUE!</v>
      </c>
      <c r="DG265" s="1593" t="e">
        <f aca="false">IF(BS265,CN265+IF(OVolSmile,VLOOKUP(MAX(-5,CT265+DA265-CF265),IF(OVolSmile=1,VolSmileBook,VolSmileModel),2),0),"")</f>
        <v>#VALUE!</v>
      </c>
      <c r="DH265" s="1316" t="e">
        <f aca="false">IF(AND(BU265&gt;0,CO265&gt;0,DB265&gt;0,CU265&gt;0),newSPRDOPT(BU265,CO265,CW265,0,DB265,CU265,CV265,BT265*365.25,OCallPut,0),0)</f>
        <v>#VALUE!</v>
      </c>
      <c r="DI265" s="1316" t="e">
        <f aca="false">IF(AND(BV265&gt;0,CP265&gt;0,DC265&gt;0,CU265&gt;0),newSPRDOPT(BV265,CP265,CX265,0,DC265,CU265,CV265,BT265*365.25,OCallPut,0),0)</f>
        <v>#VALUE!</v>
      </c>
      <c r="DJ265" s="1316" t="e">
        <f aca="false">IF(AND(BW265&gt;0,CQ265&gt;0,DD265&gt;0,CU265&gt;0),newSPRDOPT(BW265,CQ265,CY265,0,DD265,CU265,CV265,BT265*365.25,OCallPut,0),0)</f>
        <v>#VALUE!</v>
      </c>
      <c r="DK265" s="1316" t="e">
        <f aca="false">IF(AND(BX265&gt;0,CR265&gt;0,DE265&gt;0,CU265&gt;0),newSPRDOPT(BX265,CR265,CZ265,0,DE265,CU265,CV265,BT265*365.25,OCallPut,0),0)</f>
        <v>#VALUE!</v>
      </c>
      <c r="DL265" s="1316" t="e">
        <f aca="false">IF(OVolType,IF(AND(BZ265&gt;0,CS265&gt;0,DF265&gt;0,CU265&gt;0),newSPRDOPT(BZ265,CS265,DA265,0,DF265,CU265,CV265,BT265*365.25,OCallPut,0),0),IF(BQ265,(DH265*AZ265+DI265*BA265+DJ265*BB265+DK265*BC265)/BQ265,0))</f>
        <v>#VALUE!</v>
      </c>
      <c r="DM265" s="1316"/>
      <c r="DN265" s="1316"/>
      <c r="DO265" s="1316"/>
      <c r="DP265" s="1316"/>
      <c r="DQ265" s="1316"/>
      <c r="DR265" s="1316"/>
      <c r="DS265" s="1316"/>
      <c r="DT265" s="1316"/>
      <c r="DU265" s="1316"/>
      <c r="DV265" s="1316"/>
      <c r="DW265" s="1594" t="e">
        <f aca="false">IF(AND(BW265&gt;0,CT265&gt;0,DD265&gt;0,CU265&gt;0),newSPRDOPT(BW265,CT265,CY265,0,DD265,CU265,CV265,BT265*365.25,OCallPut,0),0)</f>
        <v>#VALUE!</v>
      </c>
      <c r="DX265" s="1316" t="e">
        <f aca="false">IF(AND(BX265&gt;0,CT265&gt;0,DE265&gt;0,CU265&gt;0),newSPRDOPT(BX265,CT265,CZ265,0,DE265,CU265,CV265,BT265*365.25,OCallPut,0),0)</f>
        <v>#VALUE!</v>
      </c>
      <c r="DY265" s="1591" t="e">
        <f aca="false">IF(BS265,(DH265*BH265+DI265*BI265+DW265*BJ265+DX265*BK265)/BS265,0)</f>
        <v>#VALUE!</v>
      </c>
      <c r="DZ265" s="1551" t="e">
        <f aca="false">DH265*AZ265</f>
        <v>#VALUE!</v>
      </c>
      <c r="EA265" s="1551" t="e">
        <f aca="false">DI265*BA265</f>
        <v>#VALUE!</v>
      </c>
      <c r="EB265" s="1551" t="e">
        <f aca="false">DJ265*BB265</f>
        <v>#VALUE!</v>
      </c>
      <c r="EC265" s="1551" t="e">
        <f aca="false">DK265*BC265</f>
        <v>#VALUE!</v>
      </c>
      <c r="ED265" s="1551" t="e">
        <f aca="false">DL265*BQ265</f>
        <v>#VALUE!</v>
      </c>
      <c r="EE265" s="1595" t="e">
        <f aca="false">IF(BQ265,IF(OCallPut,IF(BU265&gt;(CO265+CW265),BU265-(CO265+CW265),0),IF((CO265+CW265)&gt;BU265,(CO265+CW265)-BU265,0))*AZ265,0)</f>
        <v>#VALUE!</v>
      </c>
      <c r="EF265" s="1596" t="e">
        <f aca="false">IF(BQ265,IF(OCallPut,IF(BV265&gt;(CP265+CX265),BV265-(CP265+CX265),0),IF((CP265+CX265)&gt;BV265,(CP265+CX265)-BV265,0))*BA265,0)</f>
        <v>#VALUE!</v>
      </c>
      <c r="EG265" s="1596" t="e">
        <f aca="false">IF(BQ265,IF(OCallPut,IF(BW265&gt;(CQ265+CY265),BW265-(CQ265+CY265),0),IF((CQ265+CY265)&gt;BW265,(CQ265+CY265)-BW265,0))*BB265,0)</f>
        <v>#VALUE!</v>
      </c>
      <c r="EH265" s="1596" t="e">
        <f aca="false">IF(BQ265,IF(OCallPut,IF(BX265&gt;(CR265+CZ265),BX265-(CR265+CZ265),0),IF((CR265+CZ265)&gt;BX265,(CR265+CZ265)-BX265,0))*BC265,0)</f>
        <v>#VALUE!</v>
      </c>
      <c r="EI265" s="1597" t="e">
        <f aca="false">IF(BQ265,IF(OVolType,IF(OCallPut,IF(BZ265&gt;(CS265+DA265),BZ265-(CS265+DA265),0),IF((CS265+DA265)&gt;BZ265,(CS265+DA265)-BZ265,0))*BQ265,SUM(EE265:EH265)),0)</f>
        <v>#VALUE!</v>
      </c>
      <c r="EJ265" s="1595" t="e">
        <f aca="false">DZ265-EE265</f>
        <v>#VALUE!</v>
      </c>
      <c r="EK265" s="1596" t="e">
        <f aca="false">EA265-EF265</f>
        <v>#VALUE!</v>
      </c>
      <c r="EL265" s="1596" t="e">
        <f aca="false">EB265-EG265</f>
        <v>#VALUE!</v>
      </c>
      <c r="EM265" s="1596" t="e">
        <f aca="false">EC265-EH265</f>
        <v>#VALUE!</v>
      </c>
      <c r="EN265" s="1597" t="e">
        <f aca="false">ED265-EI265</f>
        <v>#VALUE!</v>
      </c>
      <c r="EO265" s="1551" t="e">
        <f aca="false">DH265*BH265</f>
        <v>#VALUE!</v>
      </c>
      <c r="EP265" s="1551" t="e">
        <f aca="false">DI265*BI265</f>
        <v>#VALUE!</v>
      </c>
      <c r="EQ265" s="1551" t="e">
        <f aca="false">DW265*BJ265</f>
        <v>#VALUE!</v>
      </c>
      <c r="ER265" s="1551" t="e">
        <f aca="false">DX265*BK265</f>
        <v>#VALUE!</v>
      </c>
      <c r="ES265" s="1551" t="e">
        <f aca="false">DY265*BS265</f>
        <v>#VALUE!</v>
      </c>
      <c r="ET265" s="1566" t="e">
        <f aca="false">IF(EI265,IF(OCallPut,IF(CA265&gt;(CT265+CW265),CA265-(CT265+CW265),0),IF((CT265+CW265)&gt;CA265,(CT265+CW265)-CA265,0))*BH265,0)</f>
        <v>#VALUE!</v>
      </c>
      <c r="EU265" s="1551" t="e">
        <f aca="false">IF(EI265,IF(OCallPut,IF(CB265&gt;(CT265+CX265),CB265-(CT265+CX265),0),IF((CT265+CX265)&gt;CB265,(CT265+CX265)-CB265,0))*BI265,0)</f>
        <v>#VALUE!</v>
      </c>
      <c r="EV265" s="1551" t="e">
        <f aca="false">IF(EI265,IF(OCallPut,IF(CC265&gt;(CT265+CY265),CC265-(CT265+CY265),0),IF((CT265+CY265)&gt;CC265,(CT265+CY265)-CC265,0))*BJ265,0)</f>
        <v>#VALUE!</v>
      </c>
      <c r="EW265" s="1551" t="e">
        <f aca="false">IF(EI265,IF(OCallPut,IF(CD265&gt;(CT265+CZ265),CD265-(CT265+CZ265),0),IF((CT265+CZ265)&gt;CD265,(CT265+CZ265)-CD265,0))*BK265,0)</f>
        <v>#VALUE!</v>
      </c>
      <c r="EX265" s="1558" t="e">
        <f aca="false">IF(EI265,SUM(ET265:EW265),0)</f>
        <v>#VALUE!</v>
      </c>
      <c r="EY265" s="1551" t="e">
        <f aca="false">EO265-ET265</f>
        <v>#VALUE!</v>
      </c>
      <c r="EZ265" s="1551" t="e">
        <f aca="false">EP265-EU265</f>
        <v>#VALUE!</v>
      </c>
      <c r="FA265" s="1551" t="e">
        <f aca="false">EQ265-EV265</f>
        <v>#VALUE!</v>
      </c>
      <c r="FB265" s="1551" t="e">
        <f aca="false">ER265-EW265</f>
        <v>#VALUE!</v>
      </c>
      <c r="FC265" s="1551" t="e">
        <f aca="false">ES265-EX265</f>
        <v>#VALUE!</v>
      </c>
      <c r="FD265" s="1525" t="n">
        <f aca="false">IF(AX265,IF(VLOOKUP(C265,MAIN!$L$17:$M$28,2)="Yes",VLOOKUP(CALC!B265,MAIN!$H$17:$I$20,2),0),0)</f>
        <v>0</v>
      </c>
      <c r="FE265" s="1552" t="e">
        <f aca="false">$FD265*16*AT265*(1-$AY265)</f>
        <v>#VALUE!</v>
      </c>
      <c r="FF265" s="1553" t="e">
        <f aca="false">$FD265*16*AU265*(1-$AY265)</f>
        <v>#VALUE!</v>
      </c>
      <c r="FG265" s="1553" t="e">
        <f aca="false">$FD265*16*(AV265+AW265)*(1-$AY265)</f>
        <v>#VALUE!</v>
      </c>
      <c r="FH265" s="1554" t="n">
        <f aca="false">$FD265*8*AX265*(1-$AY265)</f>
        <v>0</v>
      </c>
      <c r="FI265" s="1555" t="n">
        <f aca="false">IF(AX265,VLOOKUP(CALC!B265,MAIN!$H$17:$K$20,4),0)</f>
        <v>0</v>
      </c>
      <c r="FJ265" s="1553" t="e">
        <f aca="false">SUM(FE265:FH265)</f>
        <v>#VALUE!</v>
      </c>
      <c r="FK265" s="1556" t="e">
        <f aca="false">FI265*FJ265</f>
        <v>#VALUE!</v>
      </c>
      <c r="FL265" s="1551" t="e">
        <f aca="false">IF($EI265&gt;0,MIN(FE265,AZ265*(1+VLOOKUP($C265,WeatherCapacityAdjustment,2))),0)</f>
        <v>#VALUE!</v>
      </c>
      <c r="FM265" s="1551" t="e">
        <f aca="false">IF($EI265&gt;0,MIN(FF265,BA265*(1+VLOOKUP($C265,WeatherCapacityAdjustment,2))),0)</f>
        <v>#VALUE!</v>
      </c>
      <c r="FN265" s="1551" t="e">
        <f aca="false">IF($EI265&gt;0,MIN(FG265,BB265*(1+VLOOKUP($C265,WeatherCapacityAdjustment,2))),0)</f>
        <v>#VALUE!</v>
      </c>
      <c r="FO265" s="1564" t="e">
        <f aca="false">IF($EI265&gt;0,MIN(FH265,BC265*(1+VLOOKUP($C265,WeatherCapacityAdjustment,3))),0)</f>
        <v>#VALUE!</v>
      </c>
      <c r="FP265" s="1551" t="e">
        <f aca="false">IF(ET265&gt;0,MIN(FE265-FL265,BH265*(1+VLOOKUP($C265,WeatherCapacityAdjustment,2))),0)</f>
        <v>#VALUE!</v>
      </c>
      <c r="FQ265" s="1551" t="e">
        <f aca="false">IF(EU265&gt;0,MIN(FF265-FM265,BI265*(1+VLOOKUP($C265,WeatherCapacityAdjustment,2))),0)</f>
        <v>#VALUE!</v>
      </c>
      <c r="FR265" s="1551" t="e">
        <f aca="false">IF(EV265&gt;0,MIN(FG265-FN265,BJ265*(1+VLOOKUP($C265,WeatherCapacityAdjustment,2))),0)</f>
        <v>#VALUE!</v>
      </c>
      <c r="FS265" s="1558" t="e">
        <f aca="false">IF(EW265&gt;0,MIN(FH265-FO265,BK265*(1+VLOOKUP($C265,WeatherCapacityAdjustment,3))),0)</f>
        <v>#VALUE!</v>
      </c>
      <c r="FT265" s="1566" t="e">
        <f aca="false">IF(AND(Assumptions!$H$71="Yes",A265&gt;=Assumptions!$H$72,A265&lt;=Assumptions!$H$73),0,IF(AND($A265&gt;=Assumptions!$C$17,$A265&lt;=Assumptions!$C$18),MAX(AZ265*(1+VLOOKUP($C265,WeatherCapacityAdjustment,2))-FL265,0),0))</f>
        <v>#VALUE!</v>
      </c>
      <c r="FU265" s="1551" t="e">
        <f aca="false">IF(AND(Assumptions!$H$71="Yes",A265&gt;=Assumptions!$H$72,A265&lt;=Assumptions!$H$73),0,IF(AND($A265&gt;=Assumptions!$C$17,$A265&lt;=Assumptions!$C$18),MAX(BA265*(1+VLOOKUP($C265,WeatherCapacityAdjustment,2))-FM265,0),0))</f>
        <v>#VALUE!</v>
      </c>
      <c r="FV265" s="1551" t="e">
        <f aca="false">IF(AND(Assumptions!$H$71="Yes",A265&gt;=Assumptions!$H$72,A265&lt;=Assumptions!$H$73),0,IF(AND($A265&gt;=Assumptions!$C$17,$A265&lt;=Assumptions!$C$18),MAX(BB265*(1+VLOOKUP($C265,WeatherCapacityAdjustment,2))-FN265,0),0))</f>
        <v>#VALUE!</v>
      </c>
      <c r="FW265" s="1564" t="e">
        <f aca="false">IF(AND(Assumptions!$H$71="Yes",A265&gt;=Assumptions!$H$72,A265&lt;=Assumptions!$H$73),0,IF(AND($A265&gt;=Assumptions!$C$17,$A265&lt;=Assumptions!$C$18),MAX(BC265*(1+VLOOKUP($C265,WeatherCapacityAdjustment,3))-FO265,0),0))</f>
        <v>#VALUE!</v>
      </c>
      <c r="FX265" s="1569" t="e">
        <f aca="false">IF(AND(Assumptions!$H$71="Yes",A265&gt;=Assumptions!$H$72,A265&lt;=Assumptions!$H$73),0,IF(ET265&gt;0,MAX(BH265*(1+VLOOKUP($C265,WeatherCapacityAdjustment,2))-FP265,0),0))</f>
        <v>#VALUE!</v>
      </c>
      <c r="FY265" s="1551" t="e">
        <f aca="false">IF(AND(Assumptions!$H$71="Yes",A265&gt;=Assumptions!$H$72,A265&lt;=Assumptions!$H$73),0,IF(EU265&gt;0,MAX(BI265*(1+VLOOKUP($C265,WeatherCapacityAdjustment,3))-FQ265,0),0))</f>
        <v>#VALUE!</v>
      </c>
      <c r="FZ265" s="1551" t="e">
        <f aca="false">IF(AND(Assumptions!$H$71="Yes",A265&gt;=Assumptions!$H$72,A265&lt;=Assumptions!$H$73),0,IF(EV265&gt;0,MAX(BJ265*(1+VLOOKUP($C265,WeatherCapacityAdjustment,2))-FR265,0),0))</f>
        <v>#VALUE!</v>
      </c>
      <c r="GA265" s="1564" t="e">
        <f aca="false">IF(AND(Assumptions!$H$71="Yes",A265&gt;=Assumptions!$H$72,A265&lt;=Assumptions!$H$73),0,IF(EW265&gt;0,MAX(BK265*(1+VLOOKUP($C265,WeatherCapacityAdjustment,2))-FS265,0),0))</f>
        <v>#VALUE!</v>
      </c>
      <c r="GB265" s="1551" t="e">
        <f aca="false">SUM(FT265:GA265)</f>
        <v>#VALUE!</v>
      </c>
      <c r="GC265" s="1563" t="e">
        <f aca="false">+IF(SUM(FT265:GA265)=0,0,(SUMPRODUCT(BU265:BX265,FT265:FW265)+SUMPRODUCT(CA265:CD265,FX265:GA265))/SUM(FT265:GA265))</f>
        <v>#VALUE!</v>
      </c>
      <c r="GD265" s="1551" t="e">
        <f aca="false">(FT265*BU265+FX265*CA265+FU265*BV265+FY265*CB265+FV265*BW265+FZ265*CC265+FW265*BX265+GA265*CD265)</f>
        <v>#VALUE!</v>
      </c>
      <c r="GE265" s="1561" t="e">
        <f aca="false">+IF(BQ265,((FL265+FM265+FT265+FU265)*HeatRatePeak/1000*(1+VLOOKUP($C265,WeatherHeatRateAdjustment,2))+(FN265+FV265)*IF(EV265&gt;0,HeatRatePeak,HeatRateOffPeak)/1000*(1+VLOOKUP($C265,WeatherHeatRateAdjustment,2))+(FO265+FW265)*IF(EW265&gt;0,HeatRatePeak,HeatRateOffPeak)/1000*(1+VLOOKUP($C265,WeatherHeatRateAdjustment,3)))*(1+VLOOKUP($B265,HeatRateDegradation,$C265+1)),0)</f>
        <v>#VALUE!</v>
      </c>
      <c r="GF265" s="1562" t="e">
        <f aca="false">IF(BQ265,((FP265+FQ265+FR265+FX265+FY265+FZ265)*HeatRatePeak/1000*(1+VLOOKUP($C265,WeatherHeatRateAdjustment,2))+(FS265+GA265)*HeatRatePeak/1000*(1+VLOOKUP($C265,WeatherHeatRateAdjustment,3)))*(1+VLOOKUP($B265,HeatRateDegradation,$C265+1)),0)</f>
        <v>#VALUE!</v>
      </c>
      <c r="GG265" s="1563" t="e">
        <f aca="false">IF(BQ265,VLOOKUP(A265,GasTable,13),0)</f>
        <v>#VALUE!</v>
      </c>
      <c r="GH265" s="1564" t="e">
        <f aca="false">(GE265+GF265)*GG265</f>
        <v>#VALUE!</v>
      </c>
      <c r="GI265" s="1569" t="e">
        <f aca="false">GB265</f>
        <v>#VALUE!</v>
      </c>
      <c r="GJ265" s="1598" t="e">
        <f aca="false">+DA265</f>
        <v>#VALUE!</v>
      </c>
      <c r="GK265" s="1558" t="e">
        <f aca="false">+GI265*GJ265</f>
        <v>#VALUE!</v>
      </c>
      <c r="GL265" s="1566" t="e">
        <f aca="false">MAX(FE265-FL265-FP265,0)</f>
        <v>#VALUE!</v>
      </c>
      <c r="GM265" s="1551" t="e">
        <f aca="false">MAX(FF265-FM265-FQ265,0)</f>
        <v>#VALUE!</v>
      </c>
      <c r="GN265" s="1551" t="e">
        <f aca="false">MAX(FG265-FN265-FR265,0)</f>
        <v>#VALUE!</v>
      </c>
      <c r="GO265" s="1564" t="e">
        <f aca="false">MAX(FH265-FO265-FS265,0)</f>
        <v>#VALUE!</v>
      </c>
      <c r="GP265" s="1551" t="e">
        <f aca="false">SUM(GL265:GO265)</f>
        <v>#VALUE!</v>
      </c>
      <c r="GQ265" s="1563" t="e">
        <f aca="false">IF(SUM(GL265:GO265)=0,0,((GL265*BU265+GM265*BV265+GN265*BW265+GO265*BX265)/SUM(GL265:GO265)))</f>
        <v>#VALUE!</v>
      </c>
      <c r="GR265" s="1558" t="e">
        <f aca="false">(GL265*BU265+GM265*BV265+GN265*BW265+GO265*BX265)</f>
        <v>#VALUE!</v>
      </c>
      <c r="GS265" s="1566" t="n">
        <f aca="false">IF($A265&gt;=BegDate,Assumptions!$C$56*24*($A266-$A265)*(1-VLOOKUP($B265,MAIN!$AA$7:$AM$28,$C265+1))*(1-VLOOKUP($B265,MAIN!$AA$33:$AM$54,$C265+1)),0)*80/168</f>
        <v>257742.857142857</v>
      </c>
      <c r="GT265" s="286" t="n">
        <f aca="false">J265</f>
        <v>62.6574950901057</v>
      </c>
      <c r="GU265" s="286" t="n">
        <f aca="false">IF($A265&gt;=BegDate,VLOOKUP($A265,GasTable,13)+Assumptions!$C$58,0)</f>
        <v>4.34673858135321</v>
      </c>
      <c r="GV265" s="286" t="n">
        <f aca="false">GU265*Assumptions!$C$57/1000</f>
        <v>31.5138547148108</v>
      </c>
      <c r="GW265" s="1558" t="n">
        <f aca="false">IF(Assumptions!$C$60="Hourly",MAX(0,GS265*(GT265-GV265)),GS265*(GT265-GV265))</f>
        <v>8027050.85215816</v>
      </c>
      <c r="GX265" s="1566" t="n">
        <f aca="false">IF($A265&gt;=BegDate,Assumptions!$C$56*24*($A266-$A265)*(1-VLOOKUP($B265,MAIN!$AA$7:$AM$28,$C265+1))*(1-VLOOKUP($B265,MAIN!$AA$33:$AM$54,$C265+1)),0)*16/168</f>
        <v>51548.5714285714</v>
      </c>
      <c r="GY265" s="286" t="n">
        <f aca="false">M265</f>
        <v>62.6574950901057</v>
      </c>
      <c r="GZ265" s="286" t="n">
        <f aca="false">IF($A265&gt;=BegDate,VLOOKUP($A265,GasTable,13)+Assumptions!$C$58,0)</f>
        <v>4.34673858135321</v>
      </c>
      <c r="HA265" s="286" t="n">
        <f aca="false">GZ265*Assumptions!$C$57/1000</f>
        <v>31.5138547148108</v>
      </c>
      <c r="HB265" s="1558" t="n">
        <f aca="false">IF(Assumptions!$C$60="Hourly",MAX(0,GX265*(GY265-HA265)),GX265*(GY265-HA265))</f>
        <v>1605410.17043163</v>
      </c>
      <c r="HC265" s="1566" t="n">
        <f aca="false">IF($A265&gt;=BegDate,Assumptions!$C$56*24*($A266-$A265)*(1-VLOOKUP($B265,MAIN!$AA$7:$AM$28,$C265+1))*(1-VLOOKUP($B265,MAIN!$AA$33:$AM$54,$C265+1)),0)*16/168</f>
        <v>51548.5714285714</v>
      </c>
      <c r="HD265" s="286" t="n">
        <f aca="false">P265</f>
        <v>35.3145711129184</v>
      </c>
      <c r="HE265" s="286" t="n">
        <f aca="false">IF($A265&gt;=BegDate,VLOOKUP($A265,GasTable,13)+Assumptions!$C$58,0)</f>
        <v>4.34673858135321</v>
      </c>
      <c r="HF265" s="286" t="n">
        <f aca="false">HE265*Assumptions!$C$57/1000</f>
        <v>31.5138547148108</v>
      </c>
      <c r="HG265" s="1558" t="n">
        <f aca="false">IF(Assumptions!$C$60="Hourly",MAX(0,HC265*(HD265-HF265)),HC265*(HD265-HF265))</f>
        <v>195921.500727594</v>
      </c>
      <c r="HH265" s="1566" t="n">
        <f aca="false">IF($A265&gt;=BegDate,Assumptions!$C$56*24*($A266-$A265)*(1-VLOOKUP($B265,MAIN!$AA$7:$AM$28,$C265+1))*(1-VLOOKUP($B265,MAIN!$AA$33:$AM$54,$C265+1)),0)*56/168</f>
        <v>180420</v>
      </c>
      <c r="HI265" s="286" t="n">
        <f aca="false">S265</f>
        <v>35.3145711129184</v>
      </c>
      <c r="HJ265" s="286" t="n">
        <f aca="false">IF($A265&gt;=BegDate,VLOOKUP($A265,GasTable,13)+Assumptions!$C$58,0)</f>
        <v>4.34673858135321</v>
      </c>
      <c r="HK265" s="286" t="n">
        <f aca="false">HJ265*Assumptions!$C$57/1000</f>
        <v>31.5138547148108</v>
      </c>
      <c r="HL265" s="1558" t="n">
        <f aca="false">IF(Assumptions!$C$60="Hourly",MAX(0,HH265*(HI265-HK265)),HH265*(HI265-HK265))</f>
        <v>685725.25254658</v>
      </c>
      <c r="HM265" s="1566" t="n">
        <f aca="false">IF(AND(Assumptions!$H$71="Yes",A265&gt;=Assumptions!$H$72,A265&lt;=Assumptions!$H$73),Assumptions!$H$74*Assumptions!$C$9*1000,0)</f>
        <v>0</v>
      </c>
      <c r="HN265" s="1551"/>
      <c r="HO265" s="1563"/>
      <c r="HP265" s="1563"/>
      <c r="HQ265" s="1563"/>
      <c r="HR265" s="1563"/>
      <c r="HS265" s="1563"/>
      <c r="HT265" s="1563"/>
      <c r="HU265" s="1563"/>
      <c r="HV265" s="1563"/>
      <c r="HW265" s="1563"/>
      <c r="HX265" s="1563"/>
      <c r="HY265" s="1563"/>
      <c r="HZ265" s="1563"/>
      <c r="IA265" s="1563"/>
      <c r="IB265" s="1563"/>
      <c r="IC265" s="1563"/>
      <c r="ID265" s="1563"/>
      <c r="IE265" s="1563"/>
      <c r="IF265" s="1563"/>
      <c r="IG265" s="1563"/>
      <c r="IH265" s="1563"/>
      <c r="II265" s="1610"/>
      <c r="IJ265" s="1309"/>
      <c r="IK265" s="1309"/>
    </row>
    <row r="266" customFormat="false" ht="12.75" hidden="false" customHeight="false" outlineLevel="0" collapsed="false">
      <c r="A266" s="1571" t="n">
        <f aca="false">EOMONTH(A265,0)+1</f>
        <v>44228</v>
      </c>
      <c r="B266" s="594" t="n">
        <f aca="false">+YEAR(A266)</f>
        <v>2021</v>
      </c>
      <c r="C266" s="238" t="n">
        <f aca="false">MONTH(A266)</f>
        <v>2</v>
      </c>
      <c r="D266" s="1572" t="e">
        <f aca="false">IF(E266="","",Holiday(B266,C266))</f>
        <v>#VALUE!</v>
      </c>
      <c r="E266" s="1573" t="n">
        <f aca="false">IF(OR(BegDate&gt;=A267,EndDate&lt;A266,AND(VolumeMonthlyOverFlag,INDEX(VolumeMonthlyOver,C266)=0),NOT(INDEX(MonthKnockOutTable,C266))),"",MAX(A266,BegDate))</f>
        <v>44228</v>
      </c>
      <c r="F266" s="1574" t="n">
        <f aca="false">IF(E266="","",MIN(A267-1,EndDate))</f>
        <v>44255</v>
      </c>
      <c r="G266" s="1575" t="n">
        <v>0</v>
      </c>
      <c r="H266" s="1576" t="n">
        <f aca="false">(1+G266/2)^(-2*(DATE(B267,C267,20)-DateToday)/365.25)</f>
        <v>1</v>
      </c>
      <c r="I266" s="1568" t="n">
        <f aca="false">IF(Assumptions!$L$25=4,VLOOKUP($A266,'Henwood Reference'!$E$9:$R$320,10),(VLOOKUP($A266,PriceTable,2,0)+IF(BasisNumber&lt;&gt;1,VLOOKUP($A266,BasisTable,2,0),0)+I$1)/(1-I$2))</f>
        <v>46.9514026014635</v>
      </c>
      <c r="J266" s="1568" t="n">
        <f aca="false">IF(Assumptions!$L$25=4,VLOOKUP($A266,'Henwood Reference'!$E$9:$R$320,10),(VLOOKUP($A266,PriceTable,3,0)+IF(BasisNumber&lt;&gt;1,VLOOKUP($A266,BasisTable,2,0),0)+J$1)/(1-J$2))</f>
        <v>46.9514026014635</v>
      </c>
      <c r="K266" s="1568" t="n">
        <f aca="false">IF(Assumptions!$L$25=4,VLOOKUP($A266,'Henwood Reference'!$E$9:$R$320,10),(VLOOKUP($A266,PriceTable,4,0)+IF(BasisNumber&lt;&gt;1,VLOOKUP($A266,BasisTable,2,0),0)+K$1)/(1-K$2))</f>
        <v>46.9514026014635</v>
      </c>
      <c r="L266" s="1523" t="n">
        <f aca="false">IF(Assumptions!$L$25=4,VLOOKUP($A266,'Henwood Reference'!$E$9:$R$320,10),(VLOOKUP($A266,PriceTableWeekend,2,0)+IF(BasisNumber&lt;&gt;1,VLOOKUP($A266,BasisTable,2,0),0)+L$1)/(1-L$2))</f>
        <v>46.9514026014635</v>
      </c>
      <c r="M266" s="1568" t="n">
        <f aca="false">IF(Assumptions!$L$25=4,VLOOKUP($A266,'Henwood Reference'!$E$9:$R$320,10),(VLOOKUP($A266,PriceTableWeekend,3,0)+IF(BasisNumber&lt;&gt;1,VLOOKUP($A266,BasisTable,2,0),0)+M$1)/(1-M$2))</f>
        <v>46.9514026014635</v>
      </c>
      <c r="N266" s="1599" t="n">
        <f aca="false">IF(Assumptions!$L$25=4,VLOOKUP($A266,'Henwood Reference'!$E$9:$R$320,10),(VLOOKUP($A266,PriceTableWeekend,4,0)+IF(BasisNumber&lt;&gt;1,VLOOKUP($A266,BasisTable,2,0),0)+N$1)/(1-N$2))</f>
        <v>46.9514026014635</v>
      </c>
      <c r="O266" s="1568" t="n">
        <f aca="false">IF(Assumptions!$L$25=4,VLOOKUP($A266,'Henwood Reference'!$E$9:$R$320,11),(VLOOKUP($A266,PriceTableWeekend,6,0)+IF(BasisNumber&lt;&gt;1,VLOOKUP($A266,BasisTable,3,0),0)+O$1)/(1-O$2))</f>
        <v>29.2024950145157</v>
      </c>
      <c r="P266" s="1568" t="n">
        <f aca="false">IF(Assumptions!$L$25=4,VLOOKUP($A266,'Henwood Reference'!$E$9:$R$320,11),(VLOOKUP($A266,PriceTableWeekend,7,0)+IF(BasisNumber&lt;&gt;1,VLOOKUP($A266,BasisTable,3,0),0)+P$1)/(1-P$2))</f>
        <v>29.2024950145157</v>
      </c>
      <c r="Q266" s="1599" t="n">
        <f aca="false">IF(Assumptions!$L$25=4,VLOOKUP($A266,'Henwood Reference'!$E$9:$R$320,11),(VLOOKUP($A266,PriceTableWeekend,8,0)+IF(BasisNumber&lt;&gt;1,VLOOKUP($A266,BasisTable,3,0),0)+Q$1)/(1-Q$2))</f>
        <v>29.2024950145157</v>
      </c>
      <c r="R266" s="1568" t="n">
        <f aca="false">IF(Assumptions!$L$25=4,VLOOKUP($A266,'Henwood Reference'!$E$9:$R$320,11),(VLOOKUP($A266,PriceTable,6,0)+IF(BasisNumber&lt;&gt;1,VLOOKUP($A266,BasisTable,3,0),0)+R$1)/(1-R$2))</f>
        <v>29.2024950145157</v>
      </c>
      <c r="S266" s="1568" t="n">
        <f aca="false">IF(Assumptions!$L$25=4,VLOOKUP($A266,'Henwood Reference'!$E$9:$R$320,11),(VLOOKUP($A266,PriceTable,7,0)+IF(BasisNumber&lt;&gt;1,VLOOKUP($A266,BasisTable,3,0),0)+S$1)/(1-S$2))</f>
        <v>29.2024950145157</v>
      </c>
      <c r="T266" s="1600" t="n">
        <f aca="false">IF(Assumptions!$L$25=4,VLOOKUP($A266,'Henwood Reference'!$E$9:$R$320,11),(VLOOKUP($A266,PriceTable,8,0)+IF(BasisNumber&lt;&gt;1,VLOOKUP($A266,BasisTable,3,0),0)+T$1)/(1-T$2))</f>
        <v>29.2024950145157</v>
      </c>
      <c r="U266" s="1513" t="n">
        <f aca="false">VLOOKUP($A266,VolatilityTable,14)</f>
        <v>0.09</v>
      </c>
      <c r="V266" s="1513" t="n">
        <f aca="false">VLOOKUP($A266,VolatilityTable,15)</f>
        <v>0.1</v>
      </c>
      <c r="W266" s="1514" t="n">
        <f aca="false">VLOOKUP($A266,VolatilityTable,16)</f>
        <v>0.11</v>
      </c>
      <c r="X266" s="1513" t="n">
        <f aca="false">VLOOKUP($A266,VolatilityTable,14)</f>
        <v>0.09</v>
      </c>
      <c r="Y266" s="1513" t="n">
        <f aca="false">VLOOKUP($A266,VolatilityTable,15)</f>
        <v>0.1</v>
      </c>
      <c r="Z266" s="1514" t="n">
        <f aca="false">VLOOKUP($A266,VolatilityTable,16)</f>
        <v>0.11</v>
      </c>
      <c r="AA266" s="1513" t="n">
        <f aca="false">VLOOKUP($A266,VolatilityTable,18)</f>
        <v>0.09</v>
      </c>
      <c r="AB266" s="1513" t="n">
        <f aca="false">VLOOKUP($A266,VolatilityTable,19)</f>
        <v>0.11</v>
      </c>
      <c r="AC266" s="1514" t="n">
        <f aca="false">VLOOKUP($A266,VolatilityTable,20)</f>
        <v>0.13</v>
      </c>
      <c r="AD266" s="1513" t="n">
        <f aca="false">VLOOKUP($A266,VolatilityTable,18)</f>
        <v>0.09</v>
      </c>
      <c r="AE266" s="1513" t="n">
        <f aca="false">VLOOKUP($A266,VolatilityTable,19)</f>
        <v>0.11</v>
      </c>
      <c r="AF266" s="1514" t="n">
        <f aca="false">VLOOKUP($A266,VolatilityTable,20)</f>
        <v>0.13</v>
      </c>
      <c r="AG266" s="1513" t="n">
        <f aca="false">VLOOKUP($A266,VolatilityTable,22)</f>
        <v>-0.25</v>
      </c>
      <c r="AH266" s="1513" t="n">
        <f aca="false">VLOOKUP($A266,VolatilityTable,23)</f>
        <v>0.65</v>
      </c>
      <c r="AI266" s="1514" t="n">
        <f aca="false">VLOOKUP($A266,VolatilityTable,24)</f>
        <v>0.25</v>
      </c>
      <c r="AJ266" s="1513" t="n">
        <f aca="false">VLOOKUP($A266,VolatilityTable,22)</f>
        <v>-0.25</v>
      </c>
      <c r="AK266" s="1513" t="n">
        <f aca="false">VLOOKUP($A266,VolatilityTable,23)</f>
        <v>0.65</v>
      </c>
      <c r="AL266" s="1514" t="n">
        <f aca="false">VLOOKUP($A266,VolatilityTable,24)</f>
        <v>0.25</v>
      </c>
      <c r="AM266" s="1513" t="n">
        <f aca="false">VLOOKUP($A266,VolatilityTable,26)</f>
        <v>-0.01</v>
      </c>
      <c r="AN266" s="1513" t="n">
        <f aca="false">VLOOKUP($A266,VolatilityTable,27)</f>
        <v>0.16</v>
      </c>
      <c r="AO266" s="1514" t="n">
        <f aca="false">VLOOKUP($A266,VolatilityTable,28)</f>
        <v>0.01</v>
      </c>
      <c r="AP266" s="1513" t="n">
        <f aca="false">VLOOKUP($A266,VolatilityTable,26)</f>
        <v>-0.01</v>
      </c>
      <c r="AQ266" s="1513" t="n">
        <f aca="false">VLOOKUP($A266,VolatilityTable,27)</f>
        <v>0.16</v>
      </c>
      <c r="AR266" s="1515" t="n">
        <f aca="false">VLOOKUP($A266,VolatilityTable,28)</f>
        <v>0.01</v>
      </c>
      <c r="AS266" s="1581" t="n">
        <f aca="false">IF(CorrPeakOffPeakOverFlag,INDEX(CorrPeakOffPeakOver,C266),CorrPeakOffPeak)</f>
        <v>0.5</v>
      </c>
      <c r="AT266" s="594" t="e">
        <f aca="false">AX266-SUM(AU266:AW266)</f>
        <v>#VALUE!</v>
      </c>
      <c r="AU266" s="238" t="e">
        <f aca="false">IF(E266="",0,INT((F266-MOD(F266,7)-E266)/7)+1-IF(AW266,IF(WEEKDAY(D266)=7,1,0),0))</f>
        <v>#VALUE!</v>
      </c>
      <c r="AV266" s="238" t="e">
        <f aca="false">IF(E266="",0,INT((F266-MOD(F266-1,7)-E266)/7)+1-IF(AW266,IF(WEEKDAY(D266)=1,1,0),0))</f>
        <v>#VALUE!</v>
      </c>
      <c r="AW266" s="238" t="e">
        <f aca="false">IF(OR(E266="",D266="",D266&lt;BegDate,D266&gt;EndDate),0,1)</f>
        <v>#VALUE!</v>
      </c>
      <c r="AX266" s="238" t="n">
        <f aca="false">IF(E266="",0,F266-E266+1)</f>
        <v>28</v>
      </c>
      <c r="AY266" s="1582" t="n">
        <f aca="false">IF(E266="",0,MIN((1-(1-VLOOKUP(B266,MAIN!$AA$7:$AM$28,C266+1))*(1-VLOOKUP(B266,MAIN!$AA$33:$AM$54,C266+1))),1))</f>
        <v>0.03</v>
      </c>
      <c r="AZ266" s="1519" t="e">
        <v>#VALUE!</v>
      </c>
      <c r="BA266" s="1520" t="e">
        <v>#VALUE!</v>
      </c>
      <c r="BB266" s="1520" t="e">
        <v>#VALUE!</v>
      </c>
      <c r="BC266" s="1583" t="e">
        <v>#VALUE!</v>
      </c>
      <c r="BD266" s="1522" t="e">
        <v>#VALUE!</v>
      </c>
      <c r="BE266" s="1523" t="e">
        <v>#VALUE!</v>
      </c>
      <c r="BF266" s="1523" t="e">
        <v>#VALUE!</v>
      </c>
      <c r="BG266" s="1584" t="e">
        <v>#VALUE!</v>
      </c>
      <c r="BH266" s="1525" t="e">
        <v>#VALUE!</v>
      </c>
      <c r="BI266" s="1520" t="e">
        <v>#VALUE!</v>
      </c>
      <c r="BJ266" s="1520" t="e">
        <v>#VALUE!</v>
      </c>
      <c r="BK266" s="1583" t="e">
        <v>#VALUE!</v>
      </c>
      <c r="BL266" s="1522" t="e">
        <v>#VALUE!</v>
      </c>
      <c r="BM266" s="1523" t="e">
        <v>#VALUE!</v>
      </c>
      <c r="BN266" s="1523" t="e">
        <v>#VALUE!</v>
      </c>
      <c r="BO266" s="1523" t="e">
        <v>#VALUE!</v>
      </c>
      <c r="BP266" s="1525" t="e">
        <f aca="false">SUM(AZ266:BB266)</f>
        <v>#VALUE!</v>
      </c>
      <c r="BQ266" s="1529" t="e">
        <f aca="false">SUM(AZ266:BC266)</f>
        <v>#VALUE!</v>
      </c>
      <c r="BR266" s="1519" t="e">
        <f aca="false">SUM(BH266:BJ266)</f>
        <v>#VALUE!</v>
      </c>
      <c r="BS266" s="1529" t="e">
        <f aca="false">SUM(BH266:BK266)</f>
        <v>#VALUE!</v>
      </c>
      <c r="BT266" s="1316" t="n">
        <f aca="false">(IF(OVolType&lt;&gt;2,A266+14,IF(OptExpDateShift,ShiftBack(A266,OptExpDateShift,D265),A266))-DateToday)/365.25</f>
        <v>20.8021902806297</v>
      </c>
      <c r="BU266" s="1585" t="e">
        <f aca="false">IF(BQ266,IF(OPriceCurve,IF(OBuySell=OCallPut,I266/(1-AY266),K266/(1-AY266)),J266/(1-AY266))*BD266,0)</f>
        <v>#VALUE!</v>
      </c>
      <c r="BV266" s="1316" t="e">
        <f aca="false">IF(BQ266,IF(OPriceCurve,IF(OBuySell=OCallPut,L266/(1-AY266),N266/(1-AY266)),M266/(1-AY266))*BE266,0)</f>
        <v>#VALUE!</v>
      </c>
      <c r="BW266" s="1316" t="e">
        <f aca="false">IF(BQ266,IF(OPriceCurve,IF(OBuySell=OCallPut,O266/(1-AY266),Q266/(1-AY266)),P266/(1-AY266))*BF266,0)</f>
        <v>#VALUE!</v>
      </c>
      <c r="BX266" s="1316" t="e">
        <f aca="false">IF(BQ266,IF(OPriceCurve,IF(OBuySell=OCallPut,R266/(1-AY266),T266/(1-AY266)),S266/(1-AY266))*BG266,0)</f>
        <v>#VALUE!</v>
      </c>
      <c r="BY266" s="1316" t="e">
        <f aca="false">IF(BP266,(BU266*AZ266+BV266*BA266+BW266*BB266)/BP266,0)</f>
        <v>#VALUE!</v>
      </c>
      <c r="BZ266" s="1316" t="e">
        <f aca="false">IF(BQ266,(BY266*BP266+BX266*BC266)/BQ266,0)</f>
        <v>#VALUE!</v>
      </c>
      <c r="CA266" s="1531" t="e">
        <f aca="false">IF(BS266,IF(OPriceCurve,IF(OBuySell=OCallPut,I266/(1-AY266),K266/(1-AY266)),J266/(1-AY266))*BL266,0)</f>
        <v>#VALUE!</v>
      </c>
      <c r="CB266" s="1316" t="e">
        <f aca="false">IF(BS266,IF(OPriceCurve,IF(OBuySell=OCallPut,L266/(1-AY266),N266/(1-AY266)),M266/(1-AY266))*BM266,0)</f>
        <v>#VALUE!</v>
      </c>
      <c r="CC266" s="1316" t="e">
        <f aca="false">IF(BS266,IF(OPriceCurve,IF(OBuySell=OCallPut,O266/(1-AY266),Q266/(1-AY266)),P266/(1-AY266))*BN266,0)</f>
        <v>#VALUE!</v>
      </c>
      <c r="CD266" s="1316" t="e">
        <f aca="false">IF(BS266,IF(OPriceCurve,IF(OBuySell=OCallPut,R266/(1-AY266),T266/(1-AY266)),S266/(1-AY266))*BO266,0)</f>
        <v>#VALUE!</v>
      </c>
      <c r="CE266" s="1316" t="e">
        <f aca="false">IF(BR266,(BU266*BH266+BV266*BI266+BW266*BJ266)/BR266,0)</f>
        <v>#VALUE!</v>
      </c>
      <c r="CF266" s="1532" t="e">
        <f aca="false">IF(BS266,(CE266*BR266+CD266*BK266)/BS266,0)</f>
        <v>#VALUE!</v>
      </c>
      <c r="CG266" s="1586" t="e">
        <f aca="false">IF(OR(BQ266,BS266),IF(OVolType&lt;&gt;2,SQRT(IF(OVolOverMonthlyPeak,OVolOverMonthlyPeak,IF(OVolCurve,IF(OBuySell,U266,W266),V266))^2*(1-15/365.25/BT266)+IF(OVolOverDailyPeak,OVolOverDailyPeak,IF(OVolCurve,IF(OBuySell,AG266,AI266),AH266))^2*15/365.25/BT266),IF(OVolOverMonthlyPeak,OVolOverMonthlyPeak,IF(OVolCurve,IF(OBuySell,U266,W266),V266))),"")</f>
        <v>#VALUE!</v>
      </c>
      <c r="CH266" s="1587" t="e">
        <f aca="false">IF(OR(BQ266,BS266),IF(OVolType&lt;&gt;2,SQRT(IF(OVolOverMonthlyPeak,OVolOverMonthlyPeak,IF(OVolCurve,IF(OBuySell,X266,Z266),Y266))^2*(1-15/365.25/BT266)+IF(OVolOverDailyPeak,OVolOverDailyPeak,IF(OVolCurve,IF(OBuySell,AJ266,AL266),AK266))^2*15/365.25/BT266),IF(OVolOverMonthlyPeak,OVolOverMonthlyPeak,IF(OVolCurve,IF(OBuySell,X266,Z266),Y266))),"")</f>
        <v>#VALUE!</v>
      </c>
      <c r="CI266" s="1587" t="e">
        <f aca="false">IF(OR(BQ266,BS266),IF(OVolType&lt;&gt;2,SQRT(IF(OVolOverMonthlyPeak,OVolOverMonthlyPeak,IF(OVolCurve,IF(OBuySell,AA266,AC266),AB266))^2*(1-15/365.25/BT266)+IF(OVolOverDailyPeak,OVolOverDailyPeak,IF(OVolCurve,IF(OBuySell,AM266,AO266),AN266))^2*15/365.25/BT266),IF(OVolOverMonthlyPeak,OVolOverMonthlyPeak,IF(OVolCurve,IF(OBuySell,AA266,AC266),AB266))),"")</f>
        <v>#VALUE!</v>
      </c>
      <c r="CJ266" s="1587" t="e">
        <f aca="false">IF(BQ266,IF(BP266,SQRT(LN(1+((BU266*AZ266)^2*(EXP(CG266^2*BT266)-1)+(BV266*BA266)^2*(EXP(CH266^2*BT266)-1)+(BW266*BB266)^2*(EXP(CI266^2*BT266)-1)+2*BU266*AZ266*BV266*BA266*(EXP(CG266*CH266*BT266)-1)+2*BV266*BA266*BW266*BB266*(EXP(CH266*CI266*BT266)-1)+2*BW266*BB266*BU266*AZ266*(EXP(CI266*CG266*BT266)-1))/(BY266*BP266)^2)/BT266),0),"")</f>
        <v>#VALUE!</v>
      </c>
      <c r="CK266" s="1587" t="e">
        <f aca="false">IF(BS266,IF(BR266,SQRT(LN(1+((CA266*BH266)^2*(EXP(CG266^2*BT266)-1)+(CB266*BI266)^2*(EXP(CH266^2*BT266)-1)+(CC266*BJ266)^2*(EXP(CI266^2*BT266)-1)+2*CA266*BH266*CB266*BI266*(EXP(CG266*CH266*BT266)-1)+2*CB266*BI266*CC266*BJ266*(EXP(CH266*CI266*BT266)-1)+2*CC266*BJ266*CA266*BH266*(EXP(CI266*CG266*BT266)-1))/(CE266*BR266)^2)/BT266),0),"")</f>
        <v>#VALUE!</v>
      </c>
      <c r="CL266" s="1587" t="e">
        <f aca="false">IF(OR(BQ266,BS266),IF(OVolType&lt;&gt;2,SQRT(IF(OVolOverMonthlyOffPeak,OVolOverMonthlyOffPeak,IF(OVolCurve,IF(OBuySell,AD266,AF266),AE266))^2*(1-15/365.25/BT266)+IF(OVolOverDailyOffPeak,OVolOverDailyOffPeak,IF(OVolCurve,IF(OBuySell,AP266,AR266),AQ266))^2*15/365.25/BT266),IF(OVolOverMonthlyOffPeak,OVolOverMonthlyOffPeak,IF(OVolCurve,IF(OBuySell,AD266,AF266),AE266))),"")</f>
        <v>#VALUE!</v>
      </c>
      <c r="CM266" s="1587" t="e">
        <f aca="false">IF(BQ266,SQRT(LN(1+((BY266*BP266)^2*(EXP(CJ266^2*BT266)-1)+(BX266*BC266)^2*(EXP(CL266^2*BT266)-1)+2*BY266*BP266*BX266*BC266*(EXP(AS266*CJ266*CL266*BT266)-1))/(BY266*BP266+BX266*BC266)^2)/BT266),"")</f>
        <v>#VALUE!</v>
      </c>
      <c r="CN266" s="1588" t="e">
        <f aca="false">IF(BS266,SQRT(LN(1+((CE266*BR266)^2*(EXP(CK266^2*BT266)-1)+(CD266*BK266)^2*(EXP(CL266^2*BT266)-1)+2*CE266*BR266*CD266*BK266*(EXP(AS266*CK266*CL266*BT266)-1))/(CE266*BR266+CD266*BK266)^2)/BT266),"")</f>
        <v>#VALUE!</v>
      </c>
      <c r="CO266" s="1531" t="e">
        <f aca="false">IF(OR(BQ266,BS266),VLOOKUP(A266,GasTable,13)*HeatRatePeak*(1+VLOOKUP($B266,HeatRateDegradation,$C266+1))/1000,0)</f>
        <v>#VALUE!</v>
      </c>
      <c r="CP266" s="1316" t="e">
        <f aca="false">IF(OR(BQ266,BS266),VLOOKUP(A266,GasTable,13)*HeatRatePeak*(1+VLOOKUP($B266,HeatRateDegradation,$C266+1))/1000,0)</f>
        <v>#VALUE!</v>
      </c>
      <c r="CQ266" s="1316" t="e">
        <f aca="false">IF(OR(BQ266,BS266),VLOOKUP(A266,GasTable,13)*IF(EV266,HeatRatePeak,HeatRateOffPeak)*(1+VLOOKUP($B266,HeatRateDegradation,$C266+1))/1000,0)</f>
        <v>#VALUE!</v>
      </c>
      <c r="CR266" s="1316" t="e">
        <f aca="false">IF(OR(BQ266,BS266),VLOOKUP(A266,GasTable,13)*IF(EW266,HeatRatePeak,HeatRateOffPeak)*(1+VLOOKUP($B266,HeatRateDegradation,$C266+1))/1000,0)</f>
        <v>#VALUE!</v>
      </c>
      <c r="CS266" s="1589" t="e">
        <f aca="false">IF(BQ266,(CO266*AZ266+CP266*BA266+CQ266*BB266+CR266*BC266)/BQ266,0)</f>
        <v>#VALUE!</v>
      </c>
      <c r="CT266" s="1316" t="e">
        <f aca="false">IF(BS266,CO266,0)</f>
        <v>#VALUE!</v>
      </c>
      <c r="CU266" s="1590" t="e">
        <f aca="false">IF(OR(BQ266,BS266),VLOOKUP(A266,GasTable,14),"")</f>
        <v>#VALUE!</v>
      </c>
      <c r="CV266" s="1568" t="e">
        <f aca="false">IF(OR(BQ266,BS266),IF(CorrPowerGasOverFlag,INDEX(CorrPowerGasOver,C266),CorrPowerGas),"")</f>
        <v>#VALUE!</v>
      </c>
      <c r="CW266" s="1316" t="e">
        <f aca="false">IF(OR($BQ266,$BS266),SpreadOptPowerMargin,0)*((1+Assumptions!$C$26)^($B266-YEAR(Assumptions!$C$17)))</f>
        <v>#VALUE!</v>
      </c>
      <c r="CX266" s="1316" t="e">
        <f aca="false">IF(OR($BQ266,$BS266),SpreadOptPowerMargin,0)*((1+Assumptions!$C$26)^($B266-YEAR(Assumptions!$C$17)))</f>
        <v>#VALUE!</v>
      </c>
      <c r="CY266" s="1316" t="e">
        <f aca="false">IF(OR($BQ266,$BS266),SpreadOptPowerMargin,0)*((1+Assumptions!$C$26)^($B266-YEAR(Assumptions!$C$17)))</f>
        <v>#VALUE!</v>
      </c>
      <c r="CZ266" s="1316" t="e">
        <f aca="false">IF(OR($BQ266,$BS266),SpreadOptPowerMargin,0)*((1+Assumptions!$C$26)^($B266-YEAR(Assumptions!$C$17)))</f>
        <v>#VALUE!</v>
      </c>
      <c r="DA266" s="1591" t="e">
        <f aca="false">IF(OR(BQ266,BS266),(CW266*(AZ266+BH266)+CX266*(BA266+BI266)+CY266*(BB266+BJ266)+CZ266*(BC266+BK266))/(BQ266+BS266),0)</f>
        <v>#VALUE!</v>
      </c>
      <c r="DB266" s="1592" t="e">
        <f aca="false">IF(OR(BQ266,BS266),CG266+IF(OVolSmile,VLOOKUP(MAX(-5,CO266+CW266-BU266),IF(OVolSmile=1,VolSmileBook,VolSmileModel),2),0),"")</f>
        <v>#VALUE!</v>
      </c>
      <c r="DC266" s="1592" t="e">
        <f aca="false">IF(OR(BQ266,BS266),CH266+IF(OVolSmile,VLOOKUP(MAX(-5,CP266+CW266-BV266),IF(OVolSmile=1,VolSmileBook,VolSmileModel),2),0),"")</f>
        <v>#VALUE!</v>
      </c>
      <c r="DD266" s="1592" t="e">
        <f aca="false">IF(OR(BQ266,BS266),CI266+IF(OVolSmile,VLOOKUP(MAX(-5,CQ266+CW266-BW266),IF(OVolSmile=1,VolSmileBook,VolSmileModel),2),0),"")</f>
        <v>#VALUE!</v>
      </c>
      <c r="DE266" s="1592" t="e">
        <f aca="false">IF(OR(BQ266,BS266),CL266+IF(OVolSmile,VLOOKUP(MAX(-5,CR266+CZ266-BX266),IF(OVolSmile=1,VolSmileBook,VolSmileModel),2),0),"")</f>
        <v>#VALUE!</v>
      </c>
      <c r="DF266" s="1592" t="e">
        <f aca="false">IF(BQ266,CM266+IF(OVolSmile,VLOOKUP(MAX(-5,CS266+DA266-BZ266),IF(OVolSmile=1,VolSmileBook,VolSmileModel),2),0),"")</f>
        <v>#VALUE!</v>
      </c>
      <c r="DG266" s="1593" t="e">
        <f aca="false">IF(BS266,CN266+IF(OVolSmile,VLOOKUP(MAX(-5,CT266+DA266-CF266),IF(OVolSmile=1,VolSmileBook,VolSmileModel),2),0),"")</f>
        <v>#VALUE!</v>
      </c>
      <c r="DH266" s="1316" t="e">
        <f aca="false">IF(AND(BU266&gt;0,CO266&gt;0,DB266&gt;0,CU266&gt;0),newSPRDOPT(BU266,CO266,CW266,0,DB266,CU266,CV266,BT266*365.25,OCallPut,0),0)</f>
        <v>#VALUE!</v>
      </c>
      <c r="DI266" s="1316" t="e">
        <f aca="false">IF(AND(BV266&gt;0,CP266&gt;0,DC266&gt;0,CU266&gt;0),newSPRDOPT(BV266,CP266,CX266,0,DC266,CU266,CV266,BT266*365.25,OCallPut,0),0)</f>
        <v>#VALUE!</v>
      </c>
      <c r="DJ266" s="1316" t="e">
        <f aca="false">IF(AND(BW266&gt;0,CQ266&gt;0,DD266&gt;0,CU266&gt;0),newSPRDOPT(BW266,CQ266,CY266,0,DD266,CU266,CV266,BT266*365.25,OCallPut,0),0)</f>
        <v>#VALUE!</v>
      </c>
      <c r="DK266" s="1316" t="e">
        <f aca="false">IF(AND(BX266&gt;0,CR266&gt;0,DE266&gt;0,CU266&gt;0),newSPRDOPT(BX266,CR266,CZ266,0,DE266,CU266,CV266,BT266*365.25,OCallPut,0),0)</f>
        <v>#VALUE!</v>
      </c>
      <c r="DL266" s="1316" t="e">
        <f aca="false">IF(OVolType,IF(AND(BZ266&gt;0,CS266&gt;0,DF266&gt;0,CU266&gt;0),newSPRDOPT(BZ266,CS266,DA266,0,DF266,CU266,CV266,BT266*365.25,OCallPut,0),0),IF(BQ266,(DH266*AZ266+DI266*BA266+DJ266*BB266+DK266*BC266)/BQ266,0))</f>
        <v>#VALUE!</v>
      </c>
      <c r="DM266" s="1316"/>
      <c r="DN266" s="1316"/>
      <c r="DO266" s="1316"/>
      <c r="DP266" s="1316"/>
      <c r="DQ266" s="1316"/>
      <c r="DR266" s="1316"/>
      <c r="DS266" s="1316"/>
      <c r="DT266" s="1316"/>
      <c r="DU266" s="1316"/>
      <c r="DV266" s="1316"/>
      <c r="DW266" s="1594" t="e">
        <f aca="false">IF(AND(BW266&gt;0,CT266&gt;0,DD266&gt;0,CU266&gt;0),newSPRDOPT(BW266,CT266,CY266,0,DD266,CU266,CV266,BT266*365.25,OCallPut,0),0)</f>
        <v>#VALUE!</v>
      </c>
      <c r="DX266" s="1316" t="e">
        <f aca="false">IF(AND(BX266&gt;0,CT266&gt;0,DE266&gt;0,CU266&gt;0),newSPRDOPT(BX266,CT266,CZ266,0,DE266,CU266,CV266,BT266*365.25,OCallPut,0),0)</f>
        <v>#VALUE!</v>
      </c>
      <c r="DY266" s="1591" t="e">
        <f aca="false">IF(BS266,(DH266*BH266+DI266*BI266+DW266*BJ266+DX266*BK266)/BS266,0)</f>
        <v>#VALUE!</v>
      </c>
      <c r="DZ266" s="1551" t="e">
        <f aca="false">DH266*AZ266</f>
        <v>#VALUE!</v>
      </c>
      <c r="EA266" s="1551" t="e">
        <f aca="false">DI266*BA266</f>
        <v>#VALUE!</v>
      </c>
      <c r="EB266" s="1551" t="e">
        <f aca="false">DJ266*BB266</f>
        <v>#VALUE!</v>
      </c>
      <c r="EC266" s="1551" t="e">
        <f aca="false">DK266*BC266</f>
        <v>#VALUE!</v>
      </c>
      <c r="ED266" s="1551" t="e">
        <f aca="false">DL266*BQ266</f>
        <v>#VALUE!</v>
      </c>
      <c r="EE266" s="1595" t="e">
        <f aca="false">IF(BQ266,IF(OCallPut,IF(BU266&gt;(CO266+CW266),BU266-(CO266+CW266),0),IF((CO266+CW266)&gt;BU266,(CO266+CW266)-BU266,0))*AZ266,0)</f>
        <v>#VALUE!</v>
      </c>
      <c r="EF266" s="1596" t="e">
        <f aca="false">IF(BQ266,IF(OCallPut,IF(BV266&gt;(CP266+CX266),BV266-(CP266+CX266),0),IF((CP266+CX266)&gt;BV266,(CP266+CX266)-BV266,0))*BA266,0)</f>
        <v>#VALUE!</v>
      </c>
      <c r="EG266" s="1596" t="e">
        <f aca="false">IF(BQ266,IF(OCallPut,IF(BW266&gt;(CQ266+CY266),BW266-(CQ266+CY266),0),IF((CQ266+CY266)&gt;BW266,(CQ266+CY266)-BW266,0))*BB266,0)</f>
        <v>#VALUE!</v>
      </c>
      <c r="EH266" s="1596" t="e">
        <f aca="false">IF(BQ266,IF(OCallPut,IF(BX266&gt;(CR266+CZ266),BX266-(CR266+CZ266),0),IF((CR266+CZ266)&gt;BX266,(CR266+CZ266)-BX266,0))*BC266,0)</f>
        <v>#VALUE!</v>
      </c>
      <c r="EI266" s="1597" t="e">
        <f aca="false">IF(BQ266,IF(OVolType,IF(OCallPut,IF(BZ266&gt;(CS266+DA266),BZ266-(CS266+DA266),0),IF((CS266+DA266)&gt;BZ266,(CS266+DA266)-BZ266,0))*BQ266,SUM(EE266:EH266)),0)</f>
        <v>#VALUE!</v>
      </c>
      <c r="EJ266" s="1595" t="e">
        <f aca="false">DZ266-EE266</f>
        <v>#VALUE!</v>
      </c>
      <c r="EK266" s="1596" t="e">
        <f aca="false">EA266-EF266</f>
        <v>#VALUE!</v>
      </c>
      <c r="EL266" s="1596" t="e">
        <f aca="false">EB266-EG266</f>
        <v>#VALUE!</v>
      </c>
      <c r="EM266" s="1596" t="e">
        <f aca="false">EC266-EH266</f>
        <v>#VALUE!</v>
      </c>
      <c r="EN266" s="1597" t="e">
        <f aca="false">ED266-EI266</f>
        <v>#VALUE!</v>
      </c>
      <c r="EO266" s="1551" t="e">
        <f aca="false">DH266*BH266</f>
        <v>#VALUE!</v>
      </c>
      <c r="EP266" s="1551" t="e">
        <f aca="false">DI266*BI266</f>
        <v>#VALUE!</v>
      </c>
      <c r="EQ266" s="1551" t="e">
        <f aca="false">DW266*BJ266</f>
        <v>#VALUE!</v>
      </c>
      <c r="ER266" s="1551" t="e">
        <f aca="false">DX266*BK266</f>
        <v>#VALUE!</v>
      </c>
      <c r="ES266" s="1551" t="e">
        <f aca="false">DY266*BS266</f>
        <v>#VALUE!</v>
      </c>
      <c r="ET266" s="1566" t="e">
        <f aca="false">IF(EI266,IF(OCallPut,IF(CA266&gt;(CT266+CW266),CA266-(CT266+CW266),0),IF((CT266+CW266)&gt;CA266,(CT266+CW266)-CA266,0))*BH266,0)</f>
        <v>#VALUE!</v>
      </c>
      <c r="EU266" s="1551" t="e">
        <f aca="false">IF(EI266,IF(OCallPut,IF(CB266&gt;(CT266+CX266),CB266-(CT266+CX266),0),IF((CT266+CX266)&gt;CB266,(CT266+CX266)-CB266,0))*BI266,0)</f>
        <v>#VALUE!</v>
      </c>
      <c r="EV266" s="1551" t="e">
        <f aca="false">IF(EI266,IF(OCallPut,IF(CC266&gt;(CT266+CY266),CC266-(CT266+CY266),0),IF((CT266+CY266)&gt;CC266,(CT266+CY266)-CC266,0))*BJ266,0)</f>
        <v>#VALUE!</v>
      </c>
      <c r="EW266" s="1551" t="e">
        <f aca="false">IF(EI266,IF(OCallPut,IF(CD266&gt;(CT266+CZ266),CD266-(CT266+CZ266),0),IF((CT266+CZ266)&gt;CD266,(CT266+CZ266)-CD266,0))*BK266,0)</f>
        <v>#VALUE!</v>
      </c>
      <c r="EX266" s="1558" t="e">
        <f aca="false">IF(EI266,SUM(ET266:EW266),0)</f>
        <v>#VALUE!</v>
      </c>
      <c r="EY266" s="1551" t="e">
        <f aca="false">EO266-ET266</f>
        <v>#VALUE!</v>
      </c>
      <c r="EZ266" s="1551" t="e">
        <f aca="false">EP266-EU266</f>
        <v>#VALUE!</v>
      </c>
      <c r="FA266" s="1551" t="e">
        <f aca="false">EQ266-EV266</f>
        <v>#VALUE!</v>
      </c>
      <c r="FB266" s="1551" t="e">
        <f aca="false">ER266-EW266</f>
        <v>#VALUE!</v>
      </c>
      <c r="FC266" s="1551" t="e">
        <f aca="false">ES266-EX266</f>
        <v>#VALUE!</v>
      </c>
      <c r="FD266" s="1525" t="n">
        <f aca="false">IF(AX266,IF(VLOOKUP(C266,MAIN!$L$17:$M$28,2)="Yes",VLOOKUP(CALC!B266,MAIN!$H$17:$I$20,2),0),0)</f>
        <v>0</v>
      </c>
      <c r="FE266" s="1552" t="e">
        <f aca="false">$FD266*16*AT266*(1-$AY266)</f>
        <v>#VALUE!</v>
      </c>
      <c r="FF266" s="1553" t="e">
        <f aca="false">$FD266*16*AU266*(1-$AY266)</f>
        <v>#VALUE!</v>
      </c>
      <c r="FG266" s="1553" t="e">
        <f aca="false">$FD266*16*(AV266+AW266)*(1-$AY266)</f>
        <v>#VALUE!</v>
      </c>
      <c r="FH266" s="1554" t="n">
        <f aca="false">$FD266*8*AX266*(1-$AY266)</f>
        <v>0</v>
      </c>
      <c r="FI266" s="1555" t="n">
        <f aca="false">IF(AX266,VLOOKUP(CALC!B266,MAIN!$H$17:$K$20,4),0)</f>
        <v>0</v>
      </c>
      <c r="FJ266" s="1553" t="e">
        <f aca="false">SUM(FE266:FH266)</f>
        <v>#VALUE!</v>
      </c>
      <c r="FK266" s="1556" t="e">
        <f aca="false">FI266*FJ266</f>
        <v>#VALUE!</v>
      </c>
      <c r="FL266" s="1551" t="e">
        <f aca="false">IF($EI266&gt;0,MIN(FE266,AZ266*(1+VLOOKUP($C266,WeatherCapacityAdjustment,2))),0)</f>
        <v>#VALUE!</v>
      </c>
      <c r="FM266" s="1551" t="e">
        <f aca="false">IF($EI266&gt;0,MIN(FF266,BA266*(1+VLOOKUP($C266,WeatherCapacityAdjustment,2))),0)</f>
        <v>#VALUE!</v>
      </c>
      <c r="FN266" s="1551" t="e">
        <f aca="false">IF($EI266&gt;0,MIN(FG266,BB266*(1+VLOOKUP($C266,WeatherCapacityAdjustment,2))),0)</f>
        <v>#VALUE!</v>
      </c>
      <c r="FO266" s="1564" t="e">
        <f aca="false">IF($EI266&gt;0,MIN(FH266,BC266*(1+VLOOKUP($C266,WeatherCapacityAdjustment,3))),0)</f>
        <v>#VALUE!</v>
      </c>
      <c r="FP266" s="1551" t="e">
        <f aca="false">IF(ET266&gt;0,MIN(FE266-FL266,BH266*(1+VLOOKUP($C266,WeatherCapacityAdjustment,2))),0)</f>
        <v>#VALUE!</v>
      </c>
      <c r="FQ266" s="1551" t="e">
        <f aca="false">IF(EU266&gt;0,MIN(FF266-FM266,BI266*(1+VLOOKUP($C266,WeatherCapacityAdjustment,2))),0)</f>
        <v>#VALUE!</v>
      </c>
      <c r="FR266" s="1551" t="e">
        <f aca="false">IF(EV266&gt;0,MIN(FG266-FN266,BJ266*(1+VLOOKUP($C266,WeatherCapacityAdjustment,2))),0)</f>
        <v>#VALUE!</v>
      </c>
      <c r="FS266" s="1558" t="e">
        <f aca="false">IF(EW266&gt;0,MIN(FH266-FO266,BK266*(1+VLOOKUP($C266,WeatherCapacityAdjustment,3))),0)</f>
        <v>#VALUE!</v>
      </c>
      <c r="FT266" s="1566" t="e">
        <f aca="false">IF(AND(Assumptions!$H$71="Yes",A266&gt;=Assumptions!$H$72,A266&lt;=Assumptions!$H$73),0,IF(AND($A266&gt;=Assumptions!$C$17,$A266&lt;=Assumptions!$C$18),MAX(AZ266*(1+VLOOKUP($C266,WeatherCapacityAdjustment,2))-FL266,0),0))</f>
        <v>#VALUE!</v>
      </c>
      <c r="FU266" s="1551" t="e">
        <f aca="false">IF(AND(Assumptions!$H$71="Yes",A266&gt;=Assumptions!$H$72,A266&lt;=Assumptions!$H$73),0,IF(AND($A266&gt;=Assumptions!$C$17,$A266&lt;=Assumptions!$C$18),MAX(BA266*(1+VLOOKUP($C266,WeatherCapacityAdjustment,2))-FM266,0),0))</f>
        <v>#VALUE!</v>
      </c>
      <c r="FV266" s="1551" t="e">
        <f aca="false">IF(AND(Assumptions!$H$71="Yes",A266&gt;=Assumptions!$H$72,A266&lt;=Assumptions!$H$73),0,IF(AND($A266&gt;=Assumptions!$C$17,$A266&lt;=Assumptions!$C$18),MAX(BB266*(1+VLOOKUP($C266,WeatherCapacityAdjustment,2))-FN266,0),0))</f>
        <v>#VALUE!</v>
      </c>
      <c r="FW266" s="1564" t="e">
        <f aca="false">IF(AND(Assumptions!$H$71="Yes",A266&gt;=Assumptions!$H$72,A266&lt;=Assumptions!$H$73),0,IF(AND($A266&gt;=Assumptions!$C$17,$A266&lt;=Assumptions!$C$18),MAX(BC266*(1+VLOOKUP($C266,WeatherCapacityAdjustment,3))-FO266,0),0))</f>
        <v>#VALUE!</v>
      </c>
      <c r="FX266" s="1569" t="e">
        <f aca="false">IF(AND(Assumptions!$H$71="Yes",A266&gt;=Assumptions!$H$72,A266&lt;=Assumptions!$H$73),0,IF(ET266&gt;0,MAX(BH266*(1+VLOOKUP($C266,WeatherCapacityAdjustment,2))-FP266,0),0))</f>
        <v>#VALUE!</v>
      </c>
      <c r="FY266" s="1551" t="e">
        <f aca="false">IF(AND(Assumptions!$H$71="Yes",A266&gt;=Assumptions!$H$72,A266&lt;=Assumptions!$H$73),0,IF(EU266&gt;0,MAX(BI266*(1+VLOOKUP($C266,WeatherCapacityAdjustment,3))-FQ266,0),0))</f>
        <v>#VALUE!</v>
      </c>
      <c r="FZ266" s="1551" t="e">
        <f aca="false">IF(AND(Assumptions!$H$71="Yes",A266&gt;=Assumptions!$H$72,A266&lt;=Assumptions!$H$73),0,IF(EV266&gt;0,MAX(BJ266*(1+VLOOKUP($C266,WeatherCapacityAdjustment,2))-FR266,0),0))</f>
        <v>#VALUE!</v>
      </c>
      <c r="GA266" s="1564" t="e">
        <f aca="false">IF(AND(Assumptions!$H$71="Yes",A266&gt;=Assumptions!$H$72,A266&lt;=Assumptions!$H$73),0,IF(EW266&gt;0,MAX(BK266*(1+VLOOKUP($C266,WeatherCapacityAdjustment,2))-FS266,0),0))</f>
        <v>#VALUE!</v>
      </c>
      <c r="GB266" s="1551" t="e">
        <f aca="false">SUM(FT266:GA266)</f>
        <v>#VALUE!</v>
      </c>
      <c r="GC266" s="1563" t="e">
        <f aca="false">+IF(SUM(FT266:GA266)=0,0,(SUMPRODUCT(BU266:BX266,FT266:FW266)+SUMPRODUCT(CA266:CD266,FX266:GA266))/SUM(FT266:GA266))</f>
        <v>#VALUE!</v>
      </c>
      <c r="GD266" s="1551" t="e">
        <f aca="false">(FT266*BU266+FX266*CA266+FU266*BV266+FY266*CB266+FV266*BW266+FZ266*CC266+FW266*BX266+GA266*CD266)</f>
        <v>#VALUE!</v>
      </c>
      <c r="GE266" s="1561" t="e">
        <f aca="false">+IF(BQ266,((FL266+FM266+FT266+FU266)*HeatRatePeak/1000*(1+VLOOKUP($C266,WeatherHeatRateAdjustment,2))+(FN266+FV266)*IF(EV266&gt;0,HeatRatePeak,HeatRateOffPeak)/1000*(1+VLOOKUP($C266,WeatherHeatRateAdjustment,2))+(FO266+FW266)*IF(EW266&gt;0,HeatRatePeak,HeatRateOffPeak)/1000*(1+VLOOKUP($C266,WeatherHeatRateAdjustment,3)))*(1+VLOOKUP($B266,HeatRateDegradation,$C266+1)),0)</f>
        <v>#VALUE!</v>
      </c>
      <c r="GF266" s="1562" t="e">
        <f aca="false">IF(BQ266,((FP266+FQ266+FR266+FX266+FY266+FZ266)*HeatRatePeak/1000*(1+VLOOKUP($C266,WeatherHeatRateAdjustment,2))+(FS266+GA266)*HeatRatePeak/1000*(1+VLOOKUP($C266,WeatherHeatRateAdjustment,3)))*(1+VLOOKUP($B266,HeatRateDegradation,$C266+1)),0)</f>
        <v>#VALUE!</v>
      </c>
      <c r="GG266" s="1563" t="e">
        <f aca="false">IF(BQ266,VLOOKUP(A266,GasTable,13),0)</f>
        <v>#VALUE!</v>
      </c>
      <c r="GH266" s="1564" t="e">
        <f aca="false">(GE266+GF266)*GG266</f>
        <v>#VALUE!</v>
      </c>
      <c r="GI266" s="1569" t="e">
        <f aca="false">GB266</f>
        <v>#VALUE!</v>
      </c>
      <c r="GJ266" s="1598" t="e">
        <f aca="false">+DA266</f>
        <v>#VALUE!</v>
      </c>
      <c r="GK266" s="1558" t="e">
        <f aca="false">+GI266*GJ266</f>
        <v>#VALUE!</v>
      </c>
      <c r="GL266" s="1566" t="e">
        <f aca="false">MAX(FE266-FL266-FP266,0)</f>
        <v>#VALUE!</v>
      </c>
      <c r="GM266" s="1551" t="e">
        <f aca="false">MAX(FF266-FM266-FQ266,0)</f>
        <v>#VALUE!</v>
      </c>
      <c r="GN266" s="1551" t="e">
        <f aca="false">MAX(FG266-FN266-FR266,0)</f>
        <v>#VALUE!</v>
      </c>
      <c r="GO266" s="1564" t="e">
        <f aca="false">MAX(FH266-FO266-FS266,0)</f>
        <v>#VALUE!</v>
      </c>
      <c r="GP266" s="1551" t="e">
        <f aca="false">SUM(GL266:GO266)</f>
        <v>#VALUE!</v>
      </c>
      <c r="GQ266" s="1563" t="e">
        <f aca="false">IF(SUM(GL266:GO266)=0,0,((GL266*BU266+GM266*BV266+GN266*BW266+GO266*BX266)/SUM(GL266:GO266)))</f>
        <v>#VALUE!</v>
      </c>
      <c r="GR266" s="1558" t="e">
        <f aca="false">(GL266*BU266+GM266*BV266+GN266*BW266+GO266*BX266)</f>
        <v>#VALUE!</v>
      </c>
      <c r="GS266" s="1566" t="n">
        <f aca="false">IF($A266&gt;=BegDate,Assumptions!$C$56*24*($A267-$A266)*(1-VLOOKUP($B266,MAIN!$AA$7:$AM$28,$C266+1))*(1-VLOOKUP($B266,MAIN!$AA$33:$AM$54,$C266+1)),0)*80/168</f>
        <v>232800</v>
      </c>
      <c r="GT266" s="286" t="n">
        <f aca="false">J266</f>
        <v>46.9514026014635</v>
      </c>
      <c r="GU266" s="286" t="n">
        <f aca="false">IF($A266&gt;=BegDate,VLOOKUP($A266,GasTable,13)+Assumptions!$C$58,0)</f>
        <v>4.00798072257012</v>
      </c>
      <c r="GV266" s="286" t="n">
        <f aca="false">GU266*Assumptions!$C$57/1000</f>
        <v>29.0578602386334</v>
      </c>
      <c r="GW266" s="1558" t="n">
        <f aca="false">IF(Assumptions!$C$60="Hourly",MAX(0,GS266*(GT266-GV266)),GS266*(GT266-GV266))</f>
        <v>4165616.66206684</v>
      </c>
      <c r="GX266" s="1566" t="n">
        <f aca="false">IF($A266&gt;=BegDate,Assumptions!$C$56*24*($A267-$A266)*(1-VLOOKUP($B266,MAIN!$AA$7:$AM$28,$C266+1))*(1-VLOOKUP($B266,MAIN!$AA$33:$AM$54,$C266+1)),0)*16/168</f>
        <v>46560</v>
      </c>
      <c r="GY266" s="286" t="n">
        <f aca="false">M266</f>
        <v>46.9514026014635</v>
      </c>
      <c r="GZ266" s="286" t="n">
        <f aca="false">IF($A266&gt;=BegDate,VLOOKUP($A266,GasTable,13)+Assumptions!$C$58,0)</f>
        <v>4.00798072257012</v>
      </c>
      <c r="HA266" s="286" t="n">
        <f aca="false">GZ266*Assumptions!$C$57/1000</f>
        <v>29.0578602386334</v>
      </c>
      <c r="HB266" s="1558" t="n">
        <f aca="false">IF(Assumptions!$C$60="Hourly",MAX(0,GX266*(GY266-HA266)),GX266*(GY266-HA266))</f>
        <v>833123.332413369</v>
      </c>
      <c r="HC266" s="1566" t="n">
        <f aca="false">IF($A266&gt;=BegDate,Assumptions!$C$56*24*($A267-$A266)*(1-VLOOKUP($B266,MAIN!$AA$7:$AM$28,$C266+1))*(1-VLOOKUP($B266,MAIN!$AA$33:$AM$54,$C266+1)),0)*16/168</f>
        <v>46560</v>
      </c>
      <c r="HD266" s="286" t="n">
        <f aca="false">P266</f>
        <v>29.2024950145157</v>
      </c>
      <c r="HE266" s="286" t="n">
        <f aca="false">IF($A266&gt;=BegDate,VLOOKUP($A266,GasTable,13)+Assumptions!$C$58,0)</f>
        <v>4.00798072257012</v>
      </c>
      <c r="HF266" s="286" t="n">
        <f aca="false">HE266*Assumptions!$C$57/1000</f>
        <v>29.0578602386334</v>
      </c>
      <c r="HG266" s="1558" t="n">
        <f aca="false">IF(Assumptions!$C$60="Hourly",MAX(0,HC266*(HD266-HF266)),HC266*(HD266-HF266))</f>
        <v>6734.19516507785</v>
      </c>
      <c r="HH266" s="1566" t="n">
        <f aca="false">IF($A266&gt;=BegDate,Assumptions!$C$56*24*($A267-$A266)*(1-VLOOKUP($B266,MAIN!$AA$7:$AM$28,$C266+1))*(1-VLOOKUP($B266,MAIN!$AA$33:$AM$54,$C266+1)),0)*56/168</f>
        <v>162960</v>
      </c>
      <c r="HI266" s="286" t="n">
        <f aca="false">S266</f>
        <v>29.2024950145157</v>
      </c>
      <c r="HJ266" s="286" t="n">
        <f aca="false">IF($A266&gt;=BegDate,VLOOKUP($A266,GasTable,13)+Assumptions!$C$58,0)</f>
        <v>4.00798072257012</v>
      </c>
      <c r="HK266" s="286" t="n">
        <f aca="false">HJ266*Assumptions!$C$57/1000</f>
        <v>29.0578602386334</v>
      </c>
      <c r="HL266" s="1558" t="n">
        <f aca="false">IF(Assumptions!$C$60="Hourly",MAX(0,HH266*(HI266-HK266)),HH266*(HI266-HK266))</f>
        <v>23569.6830777725</v>
      </c>
      <c r="HM266" s="1566" t="n">
        <f aca="false">IF(AND(Assumptions!$H$71="Yes",A266&gt;=Assumptions!$H$72,A266&lt;=Assumptions!$H$73),Assumptions!$H$74*Assumptions!$C$9*1000,0)</f>
        <v>0</v>
      </c>
      <c r="HN266" s="1551"/>
      <c r="HO266" s="1563"/>
      <c r="HP266" s="1563"/>
      <c r="HQ266" s="1563"/>
      <c r="HR266" s="1563"/>
      <c r="HS266" s="1563"/>
      <c r="HT266" s="1563"/>
      <c r="HU266" s="1563"/>
      <c r="HV266" s="1563"/>
      <c r="HW266" s="1563"/>
      <c r="HX266" s="1563"/>
      <c r="HY266" s="1563"/>
      <c r="HZ266" s="1563"/>
      <c r="IA266" s="1563"/>
      <c r="IB266" s="1563"/>
      <c r="IC266" s="1563"/>
      <c r="ID266" s="1563"/>
      <c r="IE266" s="1563"/>
      <c r="IF266" s="1563"/>
      <c r="IG266" s="1563"/>
      <c r="IH266" s="1563"/>
      <c r="II266" s="1610"/>
      <c r="IJ266" s="1309"/>
      <c r="IK266" s="1309"/>
    </row>
    <row r="267" customFormat="false" ht="12.75" hidden="false" customHeight="false" outlineLevel="0" collapsed="false">
      <c r="A267" s="1571" t="n">
        <f aca="false">EOMONTH(A266,0)+1</f>
        <v>44256</v>
      </c>
      <c r="B267" s="594" t="n">
        <f aca="false">+YEAR(A267)</f>
        <v>2021</v>
      </c>
      <c r="C267" s="238" t="n">
        <f aca="false">MONTH(A267)</f>
        <v>3</v>
      </c>
      <c r="D267" s="1572" t="e">
        <f aca="false">IF(E267="","",Holiday(B267,C267))</f>
        <v>#VALUE!</v>
      </c>
      <c r="E267" s="1573" t="n">
        <f aca="false">IF(OR(BegDate&gt;=A268,EndDate&lt;A267,AND(VolumeMonthlyOverFlag,INDEX(VolumeMonthlyOver,C267)=0),NOT(INDEX(MonthKnockOutTable,C267))),"",MAX(A267,BegDate))</f>
        <v>44256</v>
      </c>
      <c r="F267" s="1574" t="n">
        <f aca="false">IF(E267="","",MIN(A268-1,EndDate))</f>
        <v>44286</v>
      </c>
      <c r="G267" s="1575" t="n">
        <v>0</v>
      </c>
      <c r="H267" s="1576" t="n">
        <f aca="false">(1+G267/2)^(-2*(DATE(B268,C268,20)-DateToday)/365.25)</f>
        <v>1</v>
      </c>
      <c r="I267" s="1568" t="n">
        <f aca="false">IF(Assumptions!$L$25=4,VLOOKUP($A267,'Henwood Reference'!$E$9:$R$320,10),(VLOOKUP($A267,PriceTable,2,0)+IF(BasisNumber&lt;&gt;1,VLOOKUP($A267,BasisTable,2,0),0)+I$1)/(1-I$2))</f>
        <v>45.0740982679115</v>
      </c>
      <c r="J267" s="1568" t="n">
        <f aca="false">IF(Assumptions!$L$25=4,VLOOKUP($A267,'Henwood Reference'!$E$9:$R$320,10),(VLOOKUP($A267,PriceTable,3,0)+IF(BasisNumber&lt;&gt;1,VLOOKUP($A267,BasisTable,2,0),0)+J$1)/(1-J$2))</f>
        <v>45.0740982679115</v>
      </c>
      <c r="K267" s="1568" t="n">
        <f aca="false">IF(Assumptions!$L$25=4,VLOOKUP($A267,'Henwood Reference'!$E$9:$R$320,10),(VLOOKUP($A267,PriceTable,4,0)+IF(BasisNumber&lt;&gt;1,VLOOKUP($A267,BasisTable,2,0),0)+K$1)/(1-K$2))</f>
        <v>45.0740982679115</v>
      </c>
      <c r="L267" s="1523" t="n">
        <f aca="false">IF(Assumptions!$L$25=4,VLOOKUP($A267,'Henwood Reference'!$E$9:$R$320,10),(VLOOKUP($A267,PriceTableWeekend,2,0)+IF(BasisNumber&lt;&gt;1,VLOOKUP($A267,BasisTable,2,0),0)+L$1)/(1-L$2))</f>
        <v>45.0740982679115</v>
      </c>
      <c r="M267" s="1568" t="n">
        <f aca="false">IF(Assumptions!$L$25=4,VLOOKUP($A267,'Henwood Reference'!$E$9:$R$320,10),(VLOOKUP($A267,PriceTableWeekend,3,0)+IF(BasisNumber&lt;&gt;1,VLOOKUP($A267,BasisTable,2,0),0)+M$1)/(1-M$2))</f>
        <v>45.0740982679115</v>
      </c>
      <c r="N267" s="1599" t="n">
        <f aca="false">IF(Assumptions!$L$25=4,VLOOKUP($A267,'Henwood Reference'!$E$9:$R$320,10),(VLOOKUP($A267,PriceTableWeekend,4,0)+IF(BasisNumber&lt;&gt;1,VLOOKUP($A267,BasisTable,2,0),0)+N$1)/(1-N$2))</f>
        <v>45.0740982679115</v>
      </c>
      <c r="O267" s="1568" t="n">
        <f aca="false">IF(Assumptions!$L$25=4,VLOOKUP($A267,'Henwood Reference'!$E$9:$R$320,11),(VLOOKUP($A267,PriceTableWeekend,6,0)+IF(BasisNumber&lt;&gt;1,VLOOKUP($A267,BasisTable,3,0),0)+O$1)/(1-O$2))</f>
        <v>31.2841111712251</v>
      </c>
      <c r="P267" s="1568" t="n">
        <f aca="false">IF(Assumptions!$L$25=4,VLOOKUP($A267,'Henwood Reference'!$E$9:$R$320,11),(VLOOKUP($A267,PriceTableWeekend,7,0)+IF(BasisNumber&lt;&gt;1,VLOOKUP($A267,BasisTable,3,0),0)+P$1)/(1-P$2))</f>
        <v>31.2841111712251</v>
      </c>
      <c r="Q267" s="1599" t="n">
        <f aca="false">IF(Assumptions!$L$25=4,VLOOKUP($A267,'Henwood Reference'!$E$9:$R$320,11),(VLOOKUP($A267,PriceTableWeekend,8,0)+IF(BasisNumber&lt;&gt;1,VLOOKUP($A267,BasisTable,3,0),0)+Q$1)/(1-Q$2))</f>
        <v>31.2841111712251</v>
      </c>
      <c r="R267" s="1568" t="n">
        <f aca="false">IF(Assumptions!$L$25=4,VLOOKUP($A267,'Henwood Reference'!$E$9:$R$320,11),(VLOOKUP($A267,PriceTable,6,0)+IF(BasisNumber&lt;&gt;1,VLOOKUP($A267,BasisTable,3,0),0)+R$1)/(1-R$2))</f>
        <v>31.2841111712251</v>
      </c>
      <c r="S267" s="1568" t="n">
        <f aca="false">IF(Assumptions!$L$25=4,VLOOKUP($A267,'Henwood Reference'!$E$9:$R$320,11),(VLOOKUP($A267,PriceTable,7,0)+IF(BasisNumber&lt;&gt;1,VLOOKUP($A267,BasisTable,3,0),0)+S$1)/(1-S$2))</f>
        <v>31.2841111712251</v>
      </c>
      <c r="T267" s="1600" t="n">
        <f aca="false">IF(Assumptions!$L$25=4,VLOOKUP($A267,'Henwood Reference'!$E$9:$R$320,11),(VLOOKUP($A267,PriceTable,8,0)+IF(BasisNumber&lt;&gt;1,VLOOKUP($A267,BasisTable,3,0),0)+T$1)/(1-T$2))</f>
        <v>31.2841111712251</v>
      </c>
      <c r="U267" s="1513" t="n">
        <f aca="false">VLOOKUP($A267,VolatilityTable,14)</f>
        <v>0.09</v>
      </c>
      <c r="V267" s="1513" t="n">
        <f aca="false">VLOOKUP($A267,VolatilityTable,15)</f>
        <v>0.1</v>
      </c>
      <c r="W267" s="1514" t="n">
        <f aca="false">VLOOKUP($A267,VolatilityTable,16)</f>
        <v>0.11</v>
      </c>
      <c r="X267" s="1513" t="n">
        <f aca="false">VLOOKUP($A267,VolatilityTable,14)</f>
        <v>0.09</v>
      </c>
      <c r="Y267" s="1513" t="n">
        <f aca="false">VLOOKUP($A267,VolatilityTable,15)</f>
        <v>0.1</v>
      </c>
      <c r="Z267" s="1514" t="n">
        <f aca="false">VLOOKUP($A267,VolatilityTable,16)</f>
        <v>0.11</v>
      </c>
      <c r="AA267" s="1513" t="n">
        <f aca="false">VLOOKUP($A267,VolatilityTable,18)</f>
        <v>0.09</v>
      </c>
      <c r="AB267" s="1513" t="n">
        <f aca="false">VLOOKUP($A267,VolatilityTable,19)</f>
        <v>0.11</v>
      </c>
      <c r="AC267" s="1514" t="n">
        <f aca="false">VLOOKUP($A267,VolatilityTable,20)</f>
        <v>0.13</v>
      </c>
      <c r="AD267" s="1513" t="n">
        <f aca="false">VLOOKUP($A267,VolatilityTable,18)</f>
        <v>0.09</v>
      </c>
      <c r="AE267" s="1513" t="n">
        <f aca="false">VLOOKUP($A267,VolatilityTable,19)</f>
        <v>0.11</v>
      </c>
      <c r="AF267" s="1514" t="n">
        <f aca="false">VLOOKUP($A267,VolatilityTable,20)</f>
        <v>0.13</v>
      </c>
      <c r="AG267" s="1513" t="n">
        <f aca="false">VLOOKUP($A267,VolatilityTable,22)</f>
        <v>-0.1</v>
      </c>
      <c r="AH267" s="1513" t="n">
        <f aca="false">VLOOKUP($A267,VolatilityTable,23)</f>
        <v>0.65</v>
      </c>
      <c r="AI267" s="1514" t="n">
        <f aca="false">VLOOKUP($A267,VolatilityTable,24)</f>
        <v>0.1</v>
      </c>
      <c r="AJ267" s="1513" t="n">
        <f aca="false">VLOOKUP($A267,VolatilityTable,22)</f>
        <v>-0.1</v>
      </c>
      <c r="AK267" s="1513" t="n">
        <f aca="false">VLOOKUP($A267,VolatilityTable,23)</f>
        <v>0.65</v>
      </c>
      <c r="AL267" s="1514" t="n">
        <f aca="false">VLOOKUP($A267,VolatilityTable,24)</f>
        <v>0.1</v>
      </c>
      <c r="AM267" s="1513" t="n">
        <f aca="false">VLOOKUP($A267,VolatilityTable,26)</f>
        <v>-0.01</v>
      </c>
      <c r="AN267" s="1513" t="n">
        <f aca="false">VLOOKUP($A267,VolatilityTable,27)</f>
        <v>0.16</v>
      </c>
      <c r="AO267" s="1514" t="n">
        <f aca="false">VLOOKUP($A267,VolatilityTable,28)</f>
        <v>0.01</v>
      </c>
      <c r="AP267" s="1513" t="n">
        <f aca="false">VLOOKUP($A267,VolatilityTable,26)</f>
        <v>-0.01</v>
      </c>
      <c r="AQ267" s="1513" t="n">
        <f aca="false">VLOOKUP($A267,VolatilityTable,27)</f>
        <v>0.16</v>
      </c>
      <c r="AR267" s="1515" t="n">
        <f aca="false">VLOOKUP($A267,VolatilityTable,28)</f>
        <v>0.01</v>
      </c>
      <c r="AS267" s="1581" t="n">
        <f aca="false">IF(CorrPeakOffPeakOverFlag,INDEX(CorrPeakOffPeakOver,C267),CorrPeakOffPeak)</f>
        <v>0.5</v>
      </c>
      <c r="AT267" s="594" t="e">
        <f aca="false">AX267-SUM(AU267:AW267)</f>
        <v>#VALUE!</v>
      </c>
      <c r="AU267" s="238" t="e">
        <f aca="false">IF(E267="",0,INT((F267-MOD(F267,7)-E267)/7)+1-IF(AW267,IF(WEEKDAY(D267)=7,1,0),0))</f>
        <v>#VALUE!</v>
      </c>
      <c r="AV267" s="238" t="e">
        <f aca="false">IF(E267="",0,INT((F267-MOD(F267-1,7)-E267)/7)+1-IF(AW267,IF(WEEKDAY(D267)=1,1,0),0))</f>
        <v>#VALUE!</v>
      </c>
      <c r="AW267" s="238" t="e">
        <f aca="false">IF(OR(E267="",D267="",D267&lt;BegDate,D267&gt;EndDate),0,1)</f>
        <v>#VALUE!</v>
      </c>
      <c r="AX267" s="238" t="n">
        <f aca="false">IF(E267="",0,F267-E267+1)</f>
        <v>31</v>
      </c>
      <c r="AY267" s="1582" t="n">
        <f aca="false">IF(E267="",0,MIN((1-(1-VLOOKUP(B267,MAIN!$AA$7:$AM$28,C267+1))*(1-VLOOKUP(B267,MAIN!$AA$33:$AM$54,C267+1))),1))</f>
        <v>0.03</v>
      </c>
      <c r="AZ267" s="1519" t="e">
        <v>#VALUE!</v>
      </c>
      <c r="BA267" s="1520" t="e">
        <v>#VALUE!</v>
      </c>
      <c r="BB267" s="1520" t="e">
        <v>#VALUE!</v>
      </c>
      <c r="BC267" s="1583" t="e">
        <v>#VALUE!</v>
      </c>
      <c r="BD267" s="1522" t="e">
        <v>#VALUE!</v>
      </c>
      <c r="BE267" s="1523" t="e">
        <v>#VALUE!</v>
      </c>
      <c r="BF267" s="1523" t="e">
        <v>#VALUE!</v>
      </c>
      <c r="BG267" s="1584" t="e">
        <v>#VALUE!</v>
      </c>
      <c r="BH267" s="1525" t="e">
        <v>#VALUE!</v>
      </c>
      <c r="BI267" s="1520" t="e">
        <v>#VALUE!</v>
      </c>
      <c r="BJ267" s="1520" t="e">
        <v>#VALUE!</v>
      </c>
      <c r="BK267" s="1583" t="e">
        <v>#VALUE!</v>
      </c>
      <c r="BL267" s="1522" t="e">
        <v>#VALUE!</v>
      </c>
      <c r="BM267" s="1523" t="e">
        <v>#VALUE!</v>
      </c>
      <c r="BN267" s="1523" t="e">
        <v>#VALUE!</v>
      </c>
      <c r="BO267" s="1523" t="e">
        <v>#VALUE!</v>
      </c>
      <c r="BP267" s="1525" t="e">
        <f aca="false">SUM(AZ267:BB267)</f>
        <v>#VALUE!</v>
      </c>
      <c r="BQ267" s="1529" t="e">
        <f aca="false">SUM(AZ267:BC267)</f>
        <v>#VALUE!</v>
      </c>
      <c r="BR267" s="1519" t="e">
        <f aca="false">SUM(BH267:BJ267)</f>
        <v>#VALUE!</v>
      </c>
      <c r="BS267" s="1529" t="e">
        <f aca="false">SUM(BH267:BK267)</f>
        <v>#VALUE!</v>
      </c>
      <c r="BT267" s="1316" t="n">
        <f aca="false">(IF(OVolType&lt;&gt;2,A267+14,IF(OptExpDateShift,ShiftBack(A267,OptExpDateShift,D266),A267))-DateToday)/365.25</f>
        <v>20.8788501026694</v>
      </c>
      <c r="BU267" s="1585" t="e">
        <f aca="false">IF(BQ267,IF(OPriceCurve,IF(OBuySell=OCallPut,I267/(1-AY267),K267/(1-AY267)),J267/(1-AY267))*BD267,0)</f>
        <v>#VALUE!</v>
      </c>
      <c r="BV267" s="1316" t="e">
        <f aca="false">IF(BQ267,IF(OPriceCurve,IF(OBuySell=OCallPut,L267/(1-AY267),N267/(1-AY267)),M267/(1-AY267))*BE267,0)</f>
        <v>#VALUE!</v>
      </c>
      <c r="BW267" s="1316" t="e">
        <f aca="false">IF(BQ267,IF(OPriceCurve,IF(OBuySell=OCallPut,O267/(1-AY267),Q267/(1-AY267)),P267/(1-AY267))*BF267,0)</f>
        <v>#VALUE!</v>
      </c>
      <c r="BX267" s="1316" t="e">
        <f aca="false">IF(BQ267,IF(OPriceCurve,IF(OBuySell=OCallPut,R267/(1-AY267),T267/(1-AY267)),S267/(1-AY267))*BG267,0)</f>
        <v>#VALUE!</v>
      </c>
      <c r="BY267" s="1316" t="e">
        <f aca="false">IF(BP267,(BU267*AZ267+BV267*BA267+BW267*BB267)/BP267,0)</f>
        <v>#VALUE!</v>
      </c>
      <c r="BZ267" s="1316" t="e">
        <f aca="false">IF(BQ267,(BY267*BP267+BX267*BC267)/BQ267,0)</f>
        <v>#VALUE!</v>
      </c>
      <c r="CA267" s="1531" t="e">
        <f aca="false">IF(BS267,IF(OPriceCurve,IF(OBuySell=OCallPut,I267/(1-AY267),K267/(1-AY267)),J267/(1-AY267))*BL267,0)</f>
        <v>#VALUE!</v>
      </c>
      <c r="CB267" s="1316" t="e">
        <f aca="false">IF(BS267,IF(OPriceCurve,IF(OBuySell=OCallPut,L267/(1-AY267),N267/(1-AY267)),M267/(1-AY267))*BM267,0)</f>
        <v>#VALUE!</v>
      </c>
      <c r="CC267" s="1316" t="e">
        <f aca="false">IF(BS267,IF(OPriceCurve,IF(OBuySell=OCallPut,O267/(1-AY267),Q267/(1-AY267)),P267/(1-AY267))*BN267,0)</f>
        <v>#VALUE!</v>
      </c>
      <c r="CD267" s="1316" t="e">
        <f aca="false">IF(BS267,IF(OPriceCurve,IF(OBuySell=OCallPut,R267/(1-AY267),T267/(1-AY267)),S267/(1-AY267))*BO267,0)</f>
        <v>#VALUE!</v>
      </c>
      <c r="CE267" s="1316" t="e">
        <f aca="false">IF(BR267,(BU267*BH267+BV267*BI267+BW267*BJ267)/BR267,0)</f>
        <v>#VALUE!</v>
      </c>
      <c r="CF267" s="1532" t="e">
        <f aca="false">IF(BS267,(CE267*BR267+CD267*BK267)/BS267,0)</f>
        <v>#VALUE!</v>
      </c>
      <c r="CG267" s="1586" t="e">
        <f aca="false">IF(OR(BQ267,BS267),IF(OVolType&lt;&gt;2,SQRT(IF(OVolOverMonthlyPeak,OVolOverMonthlyPeak,IF(OVolCurve,IF(OBuySell,U267,W267),V267))^2*(1-15/365.25/BT267)+IF(OVolOverDailyPeak,OVolOverDailyPeak,IF(OVolCurve,IF(OBuySell,AG267,AI267),AH267))^2*15/365.25/BT267),IF(OVolOverMonthlyPeak,OVolOverMonthlyPeak,IF(OVolCurve,IF(OBuySell,U267,W267),V267))),"")</f>
        <v>#VALUE!</v>
      </c>
      <c r="CH267" s="1587" t="e">
        <f aca="false">IF(OR(BQ267,BS267),IF(OVolType&lt;&gt;2,SQRT(IF(OVolOverMonthlyPeak,OVolOverMonthlyPeak,IF(OVolCurve,IF(OBuySell,X267,Z267),Y267))^2*(1-15/365.25/BT267)+IF(OVolOverDailyPeak,OVolOverDailyPeak,IF(OVolCurve,IF(OBuySell,AJ267,AL267),AK267))^2*15/365.25/BT267),IF(OVolOverMonthlyPeak,OVolOverMonthlyPeak,IF(OVolCurve,IF(OBuySell,X267,Z267),Y267))),"")</f>
        <v>#VALUE!</v>
      </c>
      <c r="CI267" s="1587" t="e">
        <f aca="false">IF(OR(BQ267,BS267),IF(OVolType&lt;&gt;2,SQRT(IF(OVolOverMonthlyPeak,OVolOverMonthlyPeak,IF(OVolCurve,IF(OBuySell,AA267,AC267),AB267))^2*(1-15/365.25/BT267)+IF(OVolOverDailyPeak,OVolOverDailyPeak,IF(OVolCurve,IF(OBuySell,AM267,AO267),AN267))^2*15/365.25/BT267),IF(OVolOverMonthlyPeak,OVolOverMonthlyPeak,IF(OVolCurve,IF(OBuySell,AA267,AC267),AB267))),"")</f>
        <v>#VALUE!</v>
      </c>
      <c r="CJ267" s="1587" t="e">
        <f aca="false">IF(BQ267,IF(BP267,SQRT(LN(1+((BU267*AZ267)^2*(EXP(CG267^2*BT267)-1)+(BV267*BA267)^2*(EXP(CH267^2*BT267)-1)+(BW267*BB267)^2*(EXP(CI267^2*BT267)-1)+2*BU267*AZ267*BV267*BA267*(EXP(CG267*CH267*BT267)-1)+2*BV267*BA267*BW267*BB267*(EXP(CH267*CI267*BT267)-1)+2*BW267*BB267*BU267*AZ267*(EXP(CI267*CG267*BT267)-1))/(BY267*BP267)^2)/BT267),0),"")</f>
        <v>#VALUE!</v>
      </c>
      <c r="CK267" s="1587" t="e">
        <f aca="false">IF(BS267,IF(BR267,SQRT(LN(1+((CA267*BH267)^2*(EXP(CG267^2*BT267)-1)+(CB267*BI267)^2*(EXP(CH267^2*BT267)-1)+(CC267*BJ267)^2*(EXP(CI267^2*BT267)-1)+2*CA267*BH267*CB267*BI267*(EXP(CG267*CH267*BT267)-1)+2*CB267*BI267*CC267*BJ267*(EXP(CH267*CI267*BT267)-1)+2*CC267*BJ267*CA267*BH267*(EXP(CI267*CG267*BT267)-1))/(CE267*BR267)^2)/BT267),0),"")</f>
        <v>#VALUE!</v>
      </c>
      <c r="CL267" s="1587" t="e">
        <f aca="false">IF(OR(BQ267,BS267),IF(OVolType&lt;&gt;2,SQRT(IF(OVolOverMonthlyOffPeak,OVolOverMonthlyOffPeak,IF(OVolCurve,IF(OBuySell,AD267,AF267),AE267))^2*(1-15/365.25/BT267)+IF(OVolOverDailyOffPeak,OVolOverDailyOffPeak,IF(OVolCurve,IF(OBuySell,AP267,AR267),AQ267))^2*15/365.25/BT267),IF(OVolOverMonthlyOffPeak,OVolOverMonthlyOffPeak,IF(OVolCurve,IF(OBuySell,AD267,AF267),AE267))),"")</f>
        <v>#VALUE!</v>
      </c>
      <c r="CM267" s="1587" t="e">
        <f aca="false">IF(BQ267,SQRT(LN(1+((BY267*BP267)^2*(EXP(CJ267^2*BT267)-1)+(BX267*BC267)^2*(EXP(CL267^2*BT267)-1)+2*BY267*BP267*BX267*BC267*(EXP(AS267*CJ267*CL267*BT267)-1))/(BY267*BP267+BX267*BC267)^2)/BT267),"")</f>
        <v>#VALUE!</v>
      </c>
      <c r="CN267" s="1588" t="e">
        <f aca="false">IF(BS267,SQRT(LN(1+((CE267*BR267)^2*(EXP(CK267^2*BT267)-1)+(CD267*BK267)^2*(EXP(CL267^2*BT267)-1)+2*CE267*BR267*CD267*BK267*(EXP(AS267*CK267*CL267*BT267)-1))/(CE267*BR267+CD267*BK267)^2)/BT267),"")</f>
        <v>#VALUE!</v>
      </c>
      <c r="CO267" s="1531" t="e">
        <f aca="false">IF(OR(BQ267,BS267),VLOOKUP(A267,GasTable,13)*HeatRatePeak*(1+VLOOKUP($B267,HeatRateDegradation,$C267+1))/1000,0)</f>
        <v>#VALUE!</v>
      </c>
      <c r="CP267" s="1316" t="e">
        <f aca="false">IF(OR(BQ267,BS267),VLOOKUP(A267,GasTable,13)*HeatRatePeak*(1+VLOOKUP($B267,HeatRateDegradation,$C267+1))/1000,0)</f>
        <v>#VALUE!</v>
      </c>
      <c r="CQ267" s="1316" t="e">
        <f aca="false">IF(OR(BQ267,BS267),VLOOKUP(A267,GasTable,13)*IF(EV267,HeatRatePeak,HeatRateOffPeak)*(1+VLOOKUP($B267,HeatRateDegradation,$C267+1))/1000,0)</f>
        <v>#VALUE!</v>
      </c>
      <c r="CR267" s="1316" t="e">
        <f aca="false">IF(OR(BQ267,BS267),VLOOKUP(A267,GasTable,13)*IF(EW267,HeatRatePeak,HeatRateOffPeak)*(1+VLOOKUP($B267,HeatRateDegradation,$C267+1))/1000,0)</f>
        <v>#VALUE!</v>
      </c>
      <c r="CS267" s="1589" t="e">
        <f aca="false">IF(BQ267,(CO267*AZ267+CP267*BA267+CQ267*BB267+CR267*BC267)/BQ267,0)</f>
        <v>#VALUE!</v>
      </c>
      <c r="CT267" s="1316" t="e">
        <f aca="false">IF(BS267,CO267,0)</f>
        <v>#VALUE!</v>
      </c>
      <c r="CU267" s="1590" t="e">
        <f aca="false">IF(OR(BQ267,BS267),VLOOKUP(A267,GasTable,14),"")</f>
        <v>#VALUE!</v>
      </c>
      <c r="CV267" s="1568" t="e">
        <f aca="false">IF(OR(BQ267,BS267),IF(CorrPowerGasOverFlag,INDEX(CorrPowerGasOver,C267),CorrPowerGas),"")</f>
        <v>#VALUE!</v>
      </c>
      <c r="CW267" s="1316" t="e">
        <f aca="false">IF(OR($BQ267,$BS267),SpreadOptPowerMargin,0)*((1+Assumptions!$C$26)^($B267-YEAR(Assumptions!$C$17)))</f>
        <v>#VALUE!</v>
      </c>
      <c r="CX267" s="1316" t="e">
        <f aca="false">IF(OR($BQ267,$BS267),SpreadOptPowerMargin,0)*((1+Assumptions!$C$26)^($B267-YEAR(Assumptions!$C$17)))</f>
        <v>#VALUE!</v>
      </c>
      <c r="CY267" s="1316" t="e">
        <f aca="false">IF(OR($BQ267,$BS267),SpreadOptPowerMargin,0)*((1+Assumptions!$C$26)^($B267-YEAR(Assumptions!$C$17)))</f>
        <v>#VALUE!</v>
      </c>
      <c r="CZ267" s="1316" t="e">
        <f aca="false">IF(OR($BQ267,$BS267),SpreadOptPowerMargin,0)*((1+Assumptions!$C$26)^($B267-YEAR(Assumptions!$C$17)))</f>
        <v>#VALUE!</v>
      </c>
      <c r="DA267" s="1591" t="e">
        <f aca="false">IF(OR(BQ267,BS267),(CW267*(AZ267+BH267)+CX267*(BA267+BI267)+CY267*(BB267+BJ267)+CZ267*(BC267+BK267))/(BQ267+BS267),0)</f>
        <v>#VALUE!</v>
      </c>
      <c r="DB267" s="1592" t="e">
        <f aca="false">IF(OR(BQ267,BS267),CG267+IF(OVolSmile,VLOOKUP(MAX(-5,CO267+CW267-BU267),IF(OVolSmile=1,VolSmileBook,VolSmileModel),2),0),"")</f>
        <v>#VALUE!</v>
      </c>
      <c r="DC267" s="1592" t="e">
        <f aca="false">IF(OR(BQ267,BS267),CH267+IF(OVolSmile,VLOOKUP(MAX(-5,CP267+CW267-BV267),IF(OVolSmile=1,VolSmileBook,VolSmileModel),2),0),"")</f>
        <v>#VALUE!</v>
      </c>
      <c r="DD267" s="1592" t="e">
        <f aca="false">IF(OR(BQ267,BS267),CI267+IF(OVolSmile,VLOOKUP(MAX(-5,CQ267+CW267-BW267),IF(OVolSmile=1,VolSmileBook,VolSmileModel),2),0),"")</f>
        <v>#VALUE!</v>
      </c>
      <c r="DE267" s="1592" t="e">
        <f aca="false">IF(OR(BQ267,BS267),CL267+IF(OVolSmile,VLOOKUP(MAX(-5,CR267+CZ267-BX267),IF(OVolSmile=1,VolSmileBook,VolSmileModel),2),0),"")</f>
        <v>#VALUE!</v>
      </c>
      <c r="DF267" s="1592" t="e">
        <f aca="false">IF(BQ267,CM267+IF(OVolSmile,VLOOKUP(MAX(-5,CS267+DA267-BZ267),IF(OVolSmile=1,VolSmileBook,VolSmileModel),2),0),"")</f>
        <v>#VALUE!</v>
      </c>
      <c r="DG267" s="1593" t="e">
        <f aca="false">IF(BS267,CN267+IF(OVolSmile,VLOOKUP(MAX(-5,CT267+DA267-CF267),IF(OVolSmile=1,VolSmileBook,VolSmileModel),2),0),"")</f>
        <v>#VALUE!</v>
      </c>
      <c r="DH267" s="1316" t="e">
        <f aca="false">IF(AND(BU267&gt;0,CO267&gt;0,DB267&gt;0,CU267&gt;0),newSPRDOPT(BU267,CO267,CW267,0,DB267,CU267,CV267,BT267*365.25,OCallPut,0),0)</f>
        <v>#VALUE!</v>
      </c>
      <c r="DI267" s="1316" t="e">
        <f aca="false">IF(AND(BV267&gt;0,CP267&gt;0,DC267&gt;0,CU267&gt;0),newSPRDOPT(BV267,CP267,CX267,0,DC267,CU267,CV267,BT267*365.25,OCallPut,0),0)</f>
        <v>#VALUE!</v>
      </c>
      <c r="DJ267" s="1316" t="e">
        <f aca="false">IF(AND(BW267&gt;0,CQ267&gt;0,DD267&gt;0,CU267&gt;0),newSPRDOPT(BW267,CQ267,CY267,0,DD267,CU267,CV267,BT267*365.25,OCallPut,0),0)</f>
        <v>#VALUE!</v>
      </c>
      <c r="DK267" s="1316" t="e">
        <f aca="false">IF(AND(BX267&gt;0,CR267&gt;0,DE267&gt;0,CU267&gt;0),newSPRDOPT(BX267,CR267,CZ267,0,DE267,CU267,CV267,BT267*365.25,OCallPut,0),0)</f>
        <v>#VALUE!</v>
      </c>
      <c r="DL267" s="1316" t="e">
        <f aca="false">IF(OVolType,IF(AND(BZ267&gt;0,CS267&gt;0,DF267&gt;0,CU267&gt;0),newSPRDOPT(BZ267,CS267,DA267,0,DF267,CU267,CV267,BT267*365.25,OCallPut,0),0),IF(BQ267,(DH267*AZ267+DI267*BA267+DJ267*BB267+DK267*BC267)/BQ267,0))</f>
        <v>#VALUE!</v>
      </c>
      <c r="DM267" s="1316"/>
      <c r="DN267" s="1316"/>
      <c r="DO267" s="1316"/>
      <c r="DP267" s="1316"/>
      <c r="DQ267" s="1316"/>
      <c r="DR267" s="1316"/>
      <c r="DS267" s="1316"/>
      <c r="DT267" s="1316"/>
      <c r="DU267" s="1316"/>
      <c r="DV267" s="1316"/>
      <c r="DW267" s="1594" t="e">
        <f aca="false">IF(AND(BW267&gt;0,CT267&gt;0,DD267&gt;0,CU267&gt;0),newSPRDOPT(BW267,CT267,CY267,0,DD267,CU267,CV267,BT267*365.25,OCallPut,0),0)</f>
        <v>#VALUE!</v>
      </c>
      <c r="DX267" s="1316" t="e">
        <f aca="false">IF(AND(BX267&gt;0,CT267&gt;0,DE267&gt;0,CU267&gt;0),newSPRDOPT(BX267,CT267,CZ267,0,DE267,CU267,CV267,BT267*365.25,OCallPut,0),0)</f>
        <v>#VALUE!</v>
      </c>
      <c r="DY267" s="1591" t="e">
        <f aca="false">IF(BS267,(DH267*BH267+DI267*BI267+DW267*BJ267+DX267*BK267)/BS267,0)</f>
        <v>#VALUE!</v>
      </c>
      <c r="DZ267" s="1551" t="e">
        <f aca="false">DH267*AZ267</f>
        <v>#VALUE!</v>
      </c>
      <c r="EA267" s="1551" t="e">
        <f aca="false">DI267*BA267</f>
        <v>#VALUE!</v>
      </c>
      <c r="EB267" s="1551" t="e">
        <f aca="false">DJ267*BB267</f>
        <v>#VALUE!</v>
      </c>
      <c r="EC267" s="1551" t="e">
        <f aca="false">DK267*BC267</f>
        <v>#VALUE!</v>
      </c>
      <c r="ED267" s="1551" t="e">
        <f aca="false">DL267*BQ267</f>
        <v>#VALUE!</v>
      </c>
      <c r="EE267" s="1595" t="e">
        <f aca="false">IF(BQ267,IF(OCallPut,IF(BU267&gt;(CO267+CW267),BU267-(CO267+CW267),0),IF((CO267+CW267)&gt;BU267,(CO267+CW267)-BU267,0))*AZ267,0)</f>
        <v>#VALUE!</v>
      </c>
      <c r="EF267" s="1596" t="e">
        <f aca="false">IF(BQ267,IF(OCallPut,IF(BV267&gt;(CP267+CX267),BV267-(CP267+CX267),0),IF((CP267+CX267)&gt;BV267,(CP267+CX267)-BV267,0))*BA267,0)</f>
        <v>#VALUE!</v>
      </c>
      <c r="EG267" s="1596" t="e">
        <f aca="false">IF(BQ267,IF(OCallPut,IF(BW267&gt;(CQ267+CY267),BW267-(CQ267+CY267),0),IF((CQ267+CY267)&gt;BW267,(CQ267+CY267)-BW267,0))*BB267,0)</f>
        <v>#VALUE!</v>
      </c>
      <c r="EH267" s="1596" t="e">
        <f aca="false">IF(BQ267,IF(OCallPut,IF(BX267&gt;(CR267+CZ267),BX267-(CR267+CZ267),0),IF((CR267+CZ267)&gt;BX267,(CR267+CZ267)-BX267,0))*BC267,0)</f>
        <v>#VALUE!</v>
      </c>
      <c r="EI267" s="1597" t="e">
        <f aca="false">IF(BQ267,IF(OVolType,IF(OCallPut,IF(BZ267&gt;(CS267+DA267),BZ267-(CS267+DA267),0),IF((CS267+DA267)&gt;BZ267,(CS267+DA267)-BZ267,0))*BQ267,SUM(EE267:EH267)),0)</f>
        <v>#VALUE!</v>
      </c>
      <c r="EJ267" s="1595" t="e">
        <f aca="false">DZ267-EE267</f>
        <v>#VALUE!</v>
      </c>
      <c r="EK267" s="1596" t="e">
        <f aca="false">EA267-EF267</f>
        <v>#VALUE!</v>
      </c>
      <c r="EL267" s="1596" t="e">
        <f aca="false">EB267-EG267</f>
        <v>#VALUE!</v>
      </c>
      <c r="EM267" s="1596" t="e">
        <f aca="false">EC267-EH267</f>
        <v>#VALUE!</v>
      </c>
      <c r="EN267" s="1597" t="e">
        <f aca="false">ED267-EI267</f>
        <v>#VALUE!</v>
      </c>
      <c r="EO267" s="1551" t="e">
        <f aca="false">DH267*BH267</f>
        <v>#VALUE!</v>
      </c>
      <c r="EP267" s="1551" t="e">
        <f aca="false">DI267*BI267</f>
        <v>#VALUE!</v>
      </c>
      <c r="EQ267" s="1551" t="e">
        <f aca="false">DW267*BJ267</f>
        <v>#VALUE!</v>
      </c>
      <c r="ER267" s="1551" t="e">
        <f aca="false">DX267*BK267</f>
        <v>#VALUE!</v>
      </c>
      <c r="ES267" s="1551" t="e">
        <f aca="false">DY267*BS267</f>
        <v>#VALUE!</v>
      </c>
      <c r="ET267" s="1566" t="e">
        <f aca="false">IF(EI267,IF(OCallPut,IF(CA267&gt;(CT267+CW267),CA267-(CT267+CW267),0),IF((CT267+CW267)&gt;CA267,(CT267+CW267)-CA267,0))*BH267,0)</f>
        <v>#VALUE!</v>
      </c>
      <c r="EU267" s="1551" t="e">
        <f aca="false">IF(EI267,IF(OCallPut,IF(CB267&gt;(CT267+CX267),CB267-(CT267+CX267),0),IF((CT267+CX267)&gt;CB267,(CT267+CX267)-CB267,0))*BI267,0)</f>
        <v>#VALUE!</v>
      </c>
      <c r="EV267" s="1551" t="e">
        <f aca="false">IF(EI267,IF(OCallPut,IF(CC267&gt;(CT267+CY267),CC267-(CT267+CY267),0),IF((CT267+CY267)&gt;CC267,(CT267+CY267)-CC267,0))*BJ267,0)</f>
        <v>#VALUE!</v>
      </c>
      <c r="EW267" s="1551" t="e">
        <f aca="false">IF(EI267,IF(OCallPut,IF(CD267&gt;(CT267+CZ267),CD267-(CT267+CZ267),0),IF((CT267+CZ267)&gt;CD267,(CT267+CZ267)-CD267,0))*BK267,0)</f>
        <v>#VALUE!</v>
      </c>
      <c r="EX267" s="1558" t="e">
        <f aca="false">IF(EI267,SUM(ET267:EW267),0)</f>
        <v>#VALUE!</v>
      </c>
      <c r="EY267" s="1551" t="e">
        <f aca="false">EO267-ET267</f>
        <v>#VALUE!</v>
      </c>
      <c r="EZ267" s="1551" t="e">
        <f aca="false">EP267-EU267</f>
        <v>#VALUE!</v>
      </c>
      <c r="FA267" s="1551" t="e">
        <f aca="false">EQ267-EV267</f>
        <v>#VALUE!</v>
      </c>
      <c r="FB267" s="1551" t="e">
        <f aca="false">ER267-EW267</f>
        <v>#VALUE!</v>
      </c>
      <c r="FC267" s="1551" t="e">
        <f aca="false">ES267-EX267</f>
        <v>#VALUE!</v>
      </c>
      <c r="FD267" s="1525" t="n">
        <f aca="false">IF(AX267,IF(VLOOKUP(C267,MAIN!$L$17:$M$28,2)="Yes",VLOOKUP(CALC!B267,MAIN!$H$17:$I$20,2),0),0)</f>
        <v>0</v>
      </c>
      <c r="FE267" s="1552" t="e">
        <f aca="false">$FD267*16*AT267*(1-$AY267)</f>
        <v>#VALUE!</v>
      </c>
      <c r="FF267" s="1553" t="e">
        <f aca="false">$FD267*16*AU267*(1-$AY267)</f>
        <v>#VALUE!</v>
      </c>
      <c r="FG267" s="1553" t="e">
        <f aca="false">$FD267*16*(AV267+AW267)*(1-$AY267)</f>
        <v>#VALUE!</v>
      </c>
      <c r="FH267" s="1554" t="n">
        <f aca="false">$FD267*8*AX267*(1-$AY267)</f>
        <v>0</v>
      </c>
      <c r="FI267" s="1555" t="n">
        <f aca="false">IF(AX267,VLOOKUP(CALC!B267,MAIN!$H$17:$K$20,4),0)</f>
        <v>0</v>
      </c>
      <c r="FJ267" s="1553" t="e">
        <f aca="false">SUM(FE267:FH267)</f>
        <v>#VALUE!</v>
      </c>
      <c r="FK267" s="1556" t="e">
        <f aca="false">FI267*FJ267</f>
        <v>#VALUE!</v>
      </c>
      <c r="FL267" s="1551" t="e">
        <f aca="false">IF($EI267&gt;0,MIN(FE267,AZ267*(1+VLOOKUP($C267,WeatherCapacityAdjustment,2))),0)</f>
        <v>#VALUE!</v>
      </c>
      <c r="FM267" s="1551" t="e">
        <f aca="false">IF($EI267&gt;0,MIN(FF267,BA267*(1+VLOOKUP($C267,WeatherCapacityAdjustment,2))),0)</f>
        <v>#VALUE!</v>
      </c>
      <c r="FN267" s="1551" t="e">
        <f aca="false">IF($EI267&gt;0,MIN(FG267,BB267*(1+VLOOKUP($C267,WeatherCapacityAdjustment,2))),0)</f>
        <v>#VALUE!</v>
      </c>
      <c r="FO267" s="1564" t="e">
        <f aca="false">IF($EI267&gt;0,MIN(FH267,BC267*(1+VLOOKUP($C267,WeatherCapacityAdjustment,3))),0)</f>
        <v>#VALUE!</v>
      </c>
      <c r="FP267" s="1551" t="e">
        <f aca="false">IF(ET267&gt;0,MIN(FE267-FL267,BH267*(1+VLOOKUP($C267,WeatherCapacityAdjustment,2))),0)</f>
        <v>#VALUE!</v>
      </c>
      <c r="FQ267" s="1551" t="e">
        <f aca="false">IF(EU267&gt;0,MIN(FF267-FM267,BI267*(1+VLOOKUP($C267,WeatherCapacityAdjustment,2))),0)</f>
        <v>#VALUE!</v>
      </c>
      <c r="FR267" s="1551" t="e">
        <f aca="false">IF(EV267&gt;0,MIN(FG267-FN267,BJ267*(1+VLOOKUP($C267,WeatherCapacityAdjustment,2))),0)</f>
        <v>#VALUE!</v>
      </c>
      <c r="FS267" s="1558" t="e">
        <f aca="false">IF(EW267&gt;0,MIN(FH267-FO267,BK267*(1+VLOOKUP($C267,WeatherCapacityAdjustment,3))),0)</f>
        <v>#VALUE!</v>
      </c>
      <c r="FT267" s="1566" t="e">
        <f aca="false">IF(AND(Assumptions!$H$71="Yes",A267&gt;=Assumptions!$H$72,A267&lt;=Assumptions!$H$73),0,IF(AND($A267&gt;=Assumptions!$C$17,$A267&lt;=Assumptions!$C$18),MAX(AZ267*(1+VLOOKUP($C267,WeatherCapacityAdjustment,2))-FL267,0),0))</f>
        <v>#VALUE!</v>
      </c>
      <c r="FU267" s="1551" t="e">
        <f aca="false">IF(AND(Assumptions!$H$71="Yes",A267&gt;=Assumptions!$H$72,A267&lt;=Assumptions!$H$73),0,IF(AND($A267&gt;=Assumptions!$C$17,$A267&lt;=Assumptions!$C$18),MAX(BA267*(1+VLOOKUP($C267,WeatherCapacityAdjustment,2))-FM267,0),0))</f>
        <v>#VALUE!</v>
      </c>
      <c r="FV267" s="1551" t="e">
        <f aca="false">IF(AND(Assumptions!$H$71="Yes",A267&gt;=Assumptions!$H$72,A267&lt;=Assumptions!$H$73),0,IF(AND($A267&gt;=Assumptions!$C$17,$A267&lt;=Assumptions!$C$18),MAX(BB267*(1+VLOOKUP($C267,WeatherCapacityAdjustment,2))-FN267,0),0))</f>
        <v>#VALUE!</v>
      </c>
      <c r="FW267" s="1564" t="e">
        <f aca="false">IF(AND(Assumptions!$H$71="Yes",A267&gt;=Assumptions!$H$72,A267&lt;=Assumptions!$H$73),0,IF(AND($A267&gt;=Assumptions!$C$17,$A267&lt;=Assumptions!$C$18),MAX(BC267*(1+VLOOKUP($C267,WeatherCapacityAdjustment,3))-FO267,0),0))</f>
        <v>#VALUE!</v>
      </c>
      <c r="FX267" s="1569" t="e">
        <f aca="false">IF(AND(Assumptions!$H$71="Yes",A267&gt;=Assumptions!$H$72,A267&lt;=Assumptions!$H$73),0,IF(ET267&gt;0,MAX(BH267*(1+VLOOKUP($C267,WeatherCapacityAdjustment,2))-FP267,0),0))</f>
        <v>#VALUE!</v>
      </c>
      <c r="FY267" s="1551" t="e">
        <f aca="false">IF(AND(Assumptions!$H$71="Yes",A267&gt;=Assumptions!$H$72,A267&lt;=Assumptions!$H$73),0,IF(EU267&gt;0,MAX(BI267*(1+VLOOKUP($C267,WeatherCapacityAdjustment,3))-FQ267,0),0))</f>
        <v>#VALUE!</v>
      </c>
      <c r="FZ267" s="1551" t="e">
        <f aca="false">IF(AND(Assumptions!$H$71="Yes",A267&gt;=Assumptions!$H$72,A267&lt;=Assumptions!$H$73),0,IF(EV267&gt;0,MAX(BJ267*(1+VLOOKUP($C267,WeatherCapacityAdjustment,2))-FR267,0),0))</f>
        <v>#VALUE!</v>
      </c>
      <c r="GA267" s="1564" t="e">
        <f aca="false">IF(AND(Assumptions!$H$71="Yes",A267&gt;=Assumptions!$H$72,A267&lt;=Assumptions!$H$73),0,IF(EW267&gt;0,MAX(BK267*(1+VLOOKUP($C267,WeatherCapacityAdjustment,2))-FS267,0),0))</f>
        <v>#VALUE!</v>
      </c>
      <c r="GB267" s="1551" t="e">
        <f aca="false">SUM(FT267:GA267)</f>
        <v>#VALUE!</v>
      </c>
      <c r="GC267" s="1563" t="e">
        <f aca="false">+IF(SUM(FT267:GA267)=0,0,(SUMPRODUCT(BU267:BX267,FT267:FW267)+SUMPRODUCT(CA267:CD267,FX267:GA267))/SUM(FT267:GA267))</f>
        <v>#VALUE!</v>
      </c>
      <c r="GD267" s="1551" t="e">
        <f aca="false">(FT267*BU267+FX267*CA267+FU267*BV267+FY267*CB267+FV267*BW267+FZ267*CC267+FW267*BX267+GA267*CD267)</f>
        <v>#VALUE!</v>
      </c>
      <c r="GE267" s="1561" t="e">
        <f aca="false">+IF(BQ267,((FL267+FM267+FT267+FU267)*HeatRatePeak/1000*(1+VLOOKUP($C267,WeatherHeatRateAdjustment,2))+(FN267+FV267)*IF(EV267&gt;0,HeatRatePeak,HeatRateOffPeak)/1000*(1+VLOOKUP($C267,WeatherHeatRateAdjustment,2))+(FO267+FW267)*IF(EW267&gt;0,HeatRatePeak,HeatRateOffPeak)/1000*(1+VLOOKUP($C267,WeatherHeatRateAdjustment,3)))*(1+VLOOKUP($B267,HeatRateDegradation,$C267+1)),0)</f>
        <v>#VALUE!</v>
      </c>
      <c r="GF267" s="1562" t="e">
        <f aca="false">IF(BQ267,((FP267+FQ267+FR267+FX267+FY267+FZ267)*HeatRatePeak/1000*(1+VLOOKUP($C267,WeatherHeatRateAdjustment,2))+(FS267+GA267)*HeatRatePeak/1000*(1+VLOOKUP($C267,WeatherHeatRateAdjustment,3)))*(1+VLOOKUP($B267,HeatRateDegradation,$C267+1)),0)</f>
        <v>#VALUE!</v>
      </c>
      <c r="GG267" s="1563" t="e">
        <f aca="false">IF(BQ267,VLOOKUP(A267,GasTable,13),0)</f>
        <v>#VALUE!</v>
      </c>
      <c r="GH267" s="1564" t="e">
        <f aca="false">(GE267+GF267)*GG267</f>
        <v>#VALUE!</v>
      </c>
      <c r="GI267" s="1569" t="e">
        <f aca="false">GB267</f>
        <v>#VALUE!</v>
      </c>
      <c r="GJ267" s="1598" t="e">
        <f aca="false">+DA267</f>
        <v>#VALUE!</v>
      </c>
      <c r="GK267" s="1558" t="e">
        <f aca="false">+GI267*GJ267</f>
        <v>#VALUE!</v>
      </c>
      <c r="GL267" s="1566" t="e">
        <f aca="false">MAX(FE267-FL267-FP267,0)</f>
        <v>#VALUE!</v>
      </c>
      <c r="GM267" s="1551" t="e">
        <f aca="false">MAX(FF267-FM267-FQ267,0)</f>
        <v>#VALUE!</v>
      </c>
      <c r="GN267" s="1551" t="e">
        <f aca="false">MAX(FG267-FN267-FR267,0)</f>
        <v>#VALUE!</v>
      </c>
      <c r="GO267" s="1564" t="e">
        <f aca="false">MAX(FH267-FO267-FS267,0)</f>
        <v>#VALUE!</v>
      </c>
      <c r="GP267" s="1551" t="e">
        <f aca="false">SUM(GL267:GO267)</f>
        <v>#VALUE!</v>
      </c>
      <c r="GQ267" s="1563" t="e">
        <f aca="false">IF(SUM(GL267:GO267)=0,0,((GL267*BU267+GM267*BV267+GN267*BW267+GO267*BX267)/SUM(GL267:GO267)))</f>
        <v>#VALUE!</v>
      </c>
      <c r="GR267" s="1558" t="e">
        <f aca="false">(GL267*BU267+GM267*BV267+GN267*BW267+GO267*BX267)</f>
        <v>#VALUE!</v>
      </c>
      <c r="GS267" s="1566" t="n">
        <f aca="false">IF($A267&gt;=BegDate,Assumptions!$C$56*24*($A268-$A267)*(1-VLOOKUP($B267,MAIN!$AA$7:$AM$28,$C267+1))*(1-VLOOKUP($B267,MAIN!$AA$33:$AM$54,$C267+1)),0)*80/168</f>
        <v>257742.857142857</v>
      </c>
      <c r="GT267" s="286" t="n">
        <f aca="false">J267</f>
        <v>45.0740982679115</v>
      </c>
      <c r="GU267" s="286" t="n">
        <f aca="false">IF($A267&gt;=BegDate,VLOOKUP($A267,GasTable,13)+Assumptions!$C$58,0)</f>
        <v>3.7870651356901</v>
      </c>
      <c r="GV267" s="286" t="n">
        <f aca="false">GU267*Assumptions!$C$57/1000</f>
        <v>27.4562222337532</v>
      </c>
      <c r="GW267" s="1558" t="n">
        <f aca="false">IF(Assumptions!$C$60="Hourly",MAX(0,GS267*(GT267-GV267)),GS267*(GT267-GV267))</f>
        <v>4540881.70583264</v>
      </c>
      <c r="GX267" s="1566" t="n">
        <f aca="false">IF($A267&gt;=BegDate,Assumptions!$C$56*24*($A268-$A267)*(1-VLOOKUP($B267,MAIN!$AA$7:$AM$28,$C267+1))*(1-VLOOKUP($B267,MAIN!$AA$33:$AM$54,$C267+1)),0)*16/168</f>
        <v>51548.5714285714</v>
      </c>
      <c r="GY267" s="286" t="n">
        <f aca="false">M267</f>
        <v>45.0740982679115</v>
      </c>
      <c r="GZ267" s="286" t="n">
        <f aca="false">IF($A267&gt;=BegDate,VLOOKUP($A267,GasTable,13)+Assumptions!$C$58,0)</f>
        <v>3.7870651356901</v>
      </c>
      <c r="HA267" s="286" t="n">
        <f aca="false">GZ267*Assumptions!$C$57/1000</f>
        <v>27.4562222337532</v>
      </c>
      <c r="HB267" s="1558" t="n">
        <f aca="false">IF(Assumptions!$C$60="Hourly",MAX(0,GX267*(GY267-HA267)),GX267*(GY267-HA267))</f>
        <v>908176.341166528</v>
      </c>
      <c r="HC267" s="1566" t="n">
        <f aca="false">IF($A267&gt;=BegDate,Assumptions!$C$56*24*($A268-$A267)*(1-VLOOKUP($B267,MAIN!$AA$7:$AM$28,$C267+1))*(1-VLOOKUP($B267,MAIN!$AA$33:$AM$54,$C267+1)),0)*16/168</f>
        <v>51548.5714285714</v>
      </c>
      <c r="HD267" s="286" t="n">
        <f aca="false">P267</f>
        <v>31.2841111712251</v>
      </c>
      <c r="HE267" s="286" t="n">
        <f aca="false">IF($A267&gt;=BegDate,VLOOKUP($A267,GasTable,13)+Assumptions!$C$58,0)</f>
        <v>3.7870651356901</v>
      </c>
      <c r="HF267" s="286" t="n">
        <f aca="false">HE267*Assumptions!$C$57/1000</f>
        <v>27.4562222337532</v>
      </c>
      <c r="HG267" s="1558" t="n">
        <f aca="false">IF(Assumptions!$C$60="Hourly",MAX(0,HC267*(HD267-HF267)),HC267*(HD267-HF267))</f>
        <v>197322.206313907</v>
      </c>
      <c r="HH267" s="1566" t="n">
        <f aca="false">IF($A267&gt;=BegDate,Assumptions!$C$56*24*($A268-$A267)*(1-VLOOKUP($B267,MAIN!$AA$7:$AM$28,$C267+1))*(1-VLOOKUP($B267,MAIN!$AA$33:$AM$54,$C267+1)),0)*56/168</f>
        <v>180420</v>
      </c>
      <c r="HI267" s="286" t="n">
        <f aca="false">S267</f>
        <v>31.2841111712251</v>
      </c>
      <c r="HJ267" s="286" t="n">
        <f aca="false">IF($A267&gt;=BegDate,VLOOKUP($A267,GasTable,13)+Assumptions!$C$58,0)</f>
        <v>3.7870651356901</v>
      </c>
      <c r="HK267" s="286" t="n">
        <f aca="false">HJ267*Assumptions!$C$57/1000</f>
        <v>27.4562222337532</v>
      </c>
      <c r="HL267" s="1558" t="n">
        <f aca="false">IF(Assumptions!$C$60="Hourly",MAX(0,HH267*(HI267-HK267)),HH267*(HI267-HK267))</f>
        <v>690627.722098675</v>
      </c>
      <c r="HM267" s="1566" t="n">
        <f aca="false">IF(AND(Assumptions!$H$71="Yes",A267&gt;=Assumptions!$H$72,A267&lt;=Assumptions!$H$73),Assumptions!$H$74*Assumptions!$C$9*1000,0)</f>
        <v>0</v>
      </c>
      <c r="HN267" s="1551"/>
      <c r="HO267" s="1563"/>
      <c r="HP267" s="1563"/>
      <c r="HQ267" s="1563"/>
      <c r="HR267" s="1563"/>
      <c r="HS267" s="1563"/>
      <c r="HT267" s="1563"/>
      <c r="HU267" s="1563"/>
      <c r="HV267" s="1563"/>
      <c r="HW267" s="1563"/>
      <c r="HX267" s="1563"/>
      <c r="HY267" s="1563"/>
      <c r="HZ267" s="1563"/>
      <c r="IA267" s="1563"/>
      <c r="IB267" s="1563"/>
      <c r="IC267" s="1563"/>
      <c r="ID267" s="1563"/>
      <c r="IE267" s="1563"/>
      <c r="IF267" s="1563"/>
      <c r="IG267" s="1563"/>
      <c r="IH267" s="1563"/>
      <c r="II267" s="1610"/>
      <c r="IJ267" s="1309"/>
      <c r="IK267" s="1309"/>
    </row>
    <row r="268" customFormat="false" ht="12.75" hidden="false" customHeight="false" outlineLevel="0" collapsed="false">
      <c r="A268" s="1571" t="n">
        <f aca="false">EOMONTH(A267,0)+1</f>
        <v>44287</v>
      </c>
      <c r="B268" s="594" t="n">
        <f aca="false">+YEAR(A268)</f>
        <v>2021</v>
      </c>
      <c r="C268" s="238" t="n">
        <f aca="false">MONTH(A268)</f>
        <v>4</v>
      </c>
      <c r="D268" s="1572" t="e">
        <f aca="false">IF(E268="","",Holiday(B268,C268))</f>
        <v>#VALUE!</v>
      </c>
      <c r="E268" s="1573" t="n">
        <f aca="false">IF(OR(BegDate&gt;=A269,EndDate&lt;A268,AND(VolumeMonthlyOverFlag,INDEX(VolumeMonthlyOver,C268)=0),NOT(INDEX(MonthKnockOutTable,C268))),"",MAX(A268,BegDate))</f>
        <v>44287</v>
      </c>
      <c r="F268" s="1574" t="n">
        <f aca="false">IF(E268="","",MIN(A269-1,EndDate))</f>
        <v>44316</v>
      </c>
      <c r="G268" s="1575" t="n">
        <v>0</v>
      </c>
      <c r="H268" s="1576" t="n">
        <f aca="false">(1+G268/2)^(-2*(DATE(B269,C269,20)-DateToday)/365.25)</f>
        <v>1</v>
      </c>
      <c r="I268" s="1568" t="n">
        <f aca="false">IF(Assumptions!$L$25=4,VLOOKUP($A268,'Henwood Reference'!$E$9:$R$320,10),(VLOOKUP($A268,PriceTable,2,0)+IF(BasisNumber&lt;&gt;1,VLOOKUP($A268,BasisTable,2,0),0)+I$1)/(1-I$2))</f>
        <v>43.7104532583066</v>
      </c>
      <c r="J268" s="1568" t="n">
        <f aca="false">IF(Assumptions!$L$25=4,VLOOKUP($A268,'Henwood Reference'!$E$9:$R$320,10),(VLOOKUP($A268,PriceTable,3,0)+IF(BasisNumber&lt;&gt;1,VLOOKUP($A268,BasisTable,2,0),0)+J$1)/(1-J$2))</f>
        <v>43.7104532583066</v>
      </c>
      <c r="K268" s="1568" t="n">
        <f aca="false">IF(Assumptions!$L$25=4,VLOOKUP($A268,'Henwood Reference'!$E$9:$R$320,10),(VLOOKUP($A268,PriceTable,4,0)+IF(BasisNumber&lt;&gt;1,VLOOKUP($A268,BasisTable,2,0),0)+K$1)/(1-K$2))</f>
        <v>43.7104532583066</v>
      </c>
      <c r="L268" s="1523" t="n">
        <f aca="false">IF(Assumptions!$L$25=4,VLOOKUP($A268,'Henwood Reference'!$E$9:$R$320,10),(VLOOKUP($A268,PriceTableWeekend,2,0)+IF(BasisNumber&lt;&gt;1,VLOOKUP($A268,BasisTable,2,0),0)+L$1)/(1-L$2))</f>
        <v>43.7104532583066</v>
      </c>
      <c r="M268" s="1568" t="n">
        <f aca="false">IF(Assumptions!$L$25=4,VLOOKUP($A268,'Henwood Reference'!$E$9:$R$320,10),(VLOOKUP($A268,PriceTableWeekend,3,0)+IF(BasisNumber&lt;&gt;1,VLOOKUP($A268,BasisTable,2,0),0)+M$1)/(1-M$2))</f>
        <v>43.7104532583066</v>
      </c>
      <c r="N268" s="1599" t="n">
        <f aca="false">IF(Assumptions!$L$25=4,VLOOKUP($A268,'Henwood Reference'!$E$9:$R$320,10),(VLOOKUP($A268,PriceTableWeekend,4,0)+IF(BasisNumber&lt;&gt;1,VLOOKUP($A268,BasisTable,2,0),0)+N$1)/(1-N$2))</f>
        <v>43.7104532583066</v>
      </c>
      <c r="O268" s="1568" t="n">
        <f aca="false">IF(Assumptions!$L$25=4,VLOOKUP($A268,'Henwood Reference'!$E$9:$R$320,11),(VLOOKUP($A268,PriceTableWeekend,6,0)+IF(BasisNumber&lt;&gt;1,VLOOKUP($A268,BasisTable,3,0),0)+O$1)/(1-O$2))</f>
        <v>30.4774735430026</v>
      </c>
      <c r="P268" s="1568" t="n">
        <f aca="false">IF(Assumptions!$L$25=4,VLOOKUP($A268,'Henwood Reference'!$E$9:$R$320,11),(VLOOKUP($A268,PriceTableWeekend,7,0)+IF(BasisNumber&lt;&gt;1,VLOOKUP($A268,BasisTable,3,0),0)+P$1)/(1-P$2))</f>
        <v>30.4774735430026</v>
      </c>
      <c r="Q268" s="1599" t="n">
        <f aca="false">IF(Assumptions!$L$25=4,VLOOKUP($A268,'Henwood Reference'!$E$9:$R$320,11),(VLOOKUP($A268,PriceTableWeekend,8,0)+IF(BasisNumber&lt;&gt;1,VLOOKUP($A268,BasisTable,3,0),0)+Q$1)/(1-Q$2))</f>
        <v>30.4774735430026</v>
      </c>
      <c r="R268" s="1568" t="n">
        <f aca="false">IF(Assumptions!$L$25=4,VLOOKUP($A268,'Henwood Reference'!$E$9:$R$320,11),(VLOOKUP($A268,PriceTable,6,0)+IF(BasisNumber&lt;&gt;1,VLOOKUP($A268,BasisTable,3,0),0)+R$1)/(1-R$2))</f>
        <v>30.4774735430026</v>
      </c>
      <c r="S268" s="1568" t="n">
        <f aca="false">IF(Assumptions!$L$25=4,VLOOKUP($A268,'Henwood Reference'!$E$9:$R$320,11),(VLOOKUP($A268,PriceTable,7,0)+IF(BasisNumber&lt;&gt;1,VLOOKUP($A268,BasisTable,3,0),0)+S$1)/(1-S$2))</f>
        <v>30.4774735430026</v>
      </c>
      <c r="T268" s="1600" t="n">
        <f aca="false">IF(Assumptions!$L$25=4,VLOOKUP($A268,'Henwood Reference'!$E$9:$R$320,11),(VLOOKUP($A268,PriceTable,8,0)+IF(BasisNumber&lt;&gt;1,VLOOKUP($A268,BasisTable,3,0),0)+T$1)/(1-T$2))</f>
        <v>30.4774735430026</v>
      </c>
      <c r="U268" s="1513" t="n">
        <f aca="false">VLOOKUP($A268,VolatilityTable,14)</f>
        <v>0.09</v>
      </c>
      <c r="V268" s="1513" t="n">
        <f aca="false">VLOOKUP($A268,VolatilityTable,15)</f>
        <v>0.1</v>
      </c>
      <c r="W268" s="1514" t="n">
        <f aca="false">VLOOKUP($A268,VolatilityTable,16)</f>
        <v>0.11</v>
      </c>
      <c r="X268" s="1513" t="n">
        <f aca="false">VLOOKUP($A268,VolatilityTable,14)</f>
        <v>0.09</v>
      </c>
      <c r="Y268" s="1513" t="n">
        <f aca="false">VLOOKUP($A268,VolatilityTable,15)</f>
        <v>0.1</v>
      </c>
      <c r="Z268" s="1514" t="n">
        <f aca="false">VLOOKUP($A268,VolatilityTable,16)</f>
        <v>0.11</v>
      </c>
      <c r="AA268" s="1513" t="n">
        <f aca="false">VLOOKUP($A268,VolatilityTable,18)</f>
        <v>0.09</v>
      </c>
      <c r="AB268" s="1513" t="n">
        <f aca="false">VLOOKUP($A268,VolatilityTable,19)</f>
        <v>0.11</v>
      </c>
      <c r="AC268" s="1514" t="n">
        <f aca="false">VLOOKUP($A268,VolatilityTable,20)</f>
        <v>0.13</v>
      </c>
      <c r="AD268" s="1513" t="n">
        <f aca="false">VLOOKUP($A268,VolatilityTable,18)</f>
        <v>0.09</v>
      </c>
      <c r="AE268" s="1513" t="n">
        <f aca="false">VLOOKUP($A268,VolatilityTable,19)</f>
        <v>0.11</v>
      </c>
      <c r="AF268" s="1514" t="n">
        <f aca="false">VLOOKUP($A268,VolatilityTable,20)</f>
        <v>0.13</v>
      </c>
      <c r="AG268" s="1513" t="n">
        <f aca="false">VLOOKUP($A268,VolatilityTable,22)</f>
        <v>-0.1</v>
      </c>
      <c r="AH268" s="1513" t="n">
        <f aca="false">VLOOKUP($A268,VolatilityTable,23)</f>
        <v>0.65</v>
      </c>
      <c r="AI268" s="1514" t="n">
        <f aca="false">VLOOKUP($A268,VolatilityTable,24)</f>
        <v>0.1</v>
      </c>
      <c r="AJ268" s="1513" t="n">
        <f aca="false">VLOOKUP($A268,VolatilityTable,22)</f>
        <v>-0.1</v>
      </c>
      <c r="AK268" s="1513" t="n">
        <f aca="false">VLOOKUP($A268,VolatilityTable,23)</f>
        <v>0.65</v>
      </c>
      <c r="AL268" s="1514" t="n">
        <f aca="false">VLOOKUP($A268,VolatilityTable,24)</f>
        <v>0.1</v>
      </c>
      <c r="AM268" s="1513" t="n">
        <f aca="false">VLOOKUP($A268,VolatilityTable,26)</f>
        <v>-0.01</v>
      </c>
      <c r="AN268" s="1513" t="n">
        <f aca="false">VLOOKUP($A268,VolatilityTable,27)</f>
        <v>0.16</v>
      </c>
      <c r="AO268" s="1514" t="n">
        <f aca="false">VLOOKUP($A268,VolatilityTable,28)</f>
        <v>0.01</v>
      </c>
      <c r="AP268" s="1513" t="n">
        <f aca="false">VLOOKUP($A268,VolatilityTable,26)</f>
        <v>-0.01</v>
      </c>
      <c r="AQ268" s="1513" t="n">
        <f aca="false">VLOOKUP($A268,VolatilityTable,27)</f>
        <v>0.16</v>
      </c>
      <c r="AR268" s="1515" t="n">
        <f aca="false">VLOOKUP($A268,VolatilityTable,28)</f>
        <v>0.01</v>
      </c>
      <c r="AS268" s="1581" t="n">
        <f aca="false">IF(CorrPeakOffPeakOverFlag,INDEX(CorrPeakOffPeakOver,C268),CorrPeakOffPeak)</f>
        <v>0.5</v>
      </c>
      <c r="AT268" s="594" t="e">
        <f aca="false">AX268-SUM(AU268:AW268)</f>
        <v>#VALUE!</v>
      </c>
      <c r="AU268" s="238" t="e">
        <f aca="false">IF(E268="",0,INT((F268-MOD(F268,7)-E268)/7)+1-IF(AW268,IF(WEEKDAY(D268)=7,1,0),0))</f>
        <v>#VALUE!</v>
      </c>
      <c r="AV268" s="238" t="e">
        <f aca="false">IF(E268="",0,INT((F268-MOD(F268-1,7)-E268)/7)+1-IF(AW268,IF(WEEKDAY(D268)=1,1,0),0))</f>
        <v>#VALUE!</v>
      </c>
      <c r="AW268" s="238" t="e">
        <f aca="false">IF(OR(E268="",D268="",D268&lt;BegDate,D268&gt;EndDate),0,1)</f>
        <v>#VALUE!</v>
      </c>
      <c r="AX268" s="238" t="n">
        <f aca="false">IF(E268="",0,F268-E268+1)</f>
        <v>30</v>
      </c>
      <c r="AY268" s="1582" t="n">
        <f aca="false">IF(E268="",0,MIN((1-(1-VLOOKUP(B268,MAIN!$AA$7:$AM$28,C268+1))*(1-VLOOKUP(B268,MAIN!$AA$33:$AM$54,C268+1))),1))</f>
        <v>0.709</v>
      </c>
      <c r="AZ268" s="1519" t="e">
        <v>#VALUE!</v>
      </c>
      <c r="BA268" s="1520" t="e">
        <v>#VALUE!</v>
      </c>
      <c r="BB268" s="1520" t="e">
        <v>#VALUE!</v>
      </c>
      <c r="BC268" s="1583" t="e">
        <v>#VALUE!</v>
      </c>
      <c r="BD268" s="1522" t="e">
        <v>#VALUE!</v>
      </c>
      <c r="BE268" s="1523" t="e">
        <v>#VALUE!</v>
      </c>
      <c r="BF268" s="1523" t="e">
        <v>#VALUE!</v>
      </c>
      <c r="BG268" s="1584" t="e">
        <v>#VALUE!</v>
      </c>
      <c r="BH268" s="1525" t="e">
        <v>#VALUE!</v>
      </c>
      <c r="BI268" s="1520" t="e">
        <v>#VALUE!</v>
      </c>
      <c r="BJ268" s="1520" t="e">
        <v>#VALUE!</v>
      </c>
      <c r="BK268" s="1583" t="e">
        <v>#VALUE!</v>
      </c>
      <c r="BL268" s="1522" t="e">
        <v>#VALUE!</v>
      </c>
      <c r="BM268" s="1523" t="e">
        <v>#VALUE!</v>
      </c>
      <c r="BN268" s="1523" t="e">
        <v>#VALUE!</v>
      </c>
      <c r="BO268" s="1523" t="e">
        <v>#VALUE!</v>
      </c>
      <c r="BP268" s="1525" t="e">
        <f aca="false">SUM(AZ268:BB268)</f>
        <v>#VALUE!</v>
      </c>
      <c r="BQ268" s="1529" t="e">
        <f aca="false">SUM(AZ268:BC268)</f>
        <v>#VALUE!</v>
      </c>
      <c r="BR268" s="1519" t="e">
        <f aca="false">SUM(BH268:BJ268)</f>
        <v>#VALUE!</v>
      </c>
      <c r="BS268" s="1529" t="e">
        <f aca="false">SUM(BH268:BK268)</f>
        <v>#VALUE!</v>
      </c>
      <c r="BT268" s="1316" t="n">
        <f aca="false">(IF(OVolType&lt;&gt;2,A268+14,IF(OptExpDateShift,ShiftBack(A268,OptExpDateShift,D267),A268))-DateToday)/365.25</f>
        <v>20.9637234770705</v>
      </c>
      <c r="BU268" s="1585" t="e">
        <f aca="false">IF(BQ268,IF(OPriceCurve,IF(OBuySell=OCallPut,I268/(1-AY268),K268/(1-AY268)),J268/(1-AY268))*BD268,0)</f>
        <v>#VALUE!</v>
      </c>
      <c r="BV268" s="1316" t="e">
        <f aca="false">IF(BQ268,IF(OPriceCurve,IF(OBuySell=OCallPut,L268/(1-AY268),N268/(1-AY268)),M268/(1-AY268))*BE268,0)</f>
        <v>#VALUE!</v>
      </c>
      <c r="BW268" s="1316" t="e">
        <f aca="false">IF(BQ268,IF(OPriceCurve,IF(OBuySell=OCallPut,O268/(1-AY268),Q268/(1-AY268)),P268/(1-AY268))*BF268,0)</f>
        <v>#VALUE!</v>
      </c>
      <c r="BX268" s="1316" t="e">
        <f aca="false">IF(BQ268,IF(OPriceCurve,IF(OBuySell=OCallPut,R268/(1-AY268),T268/(1-AY268)),S268/(1-AY268))*BG268,0)</f>
        <v>#VALUE!</v>
      </c>
      <c r="BY268" s="1316" t="e">
        <f aca="false">IF(BP268,(BU268*AZ268+BV268*BA268+BW268*BB268)/BP268,0)</f>
        <v>#VALUE!</v>
      </c>
      <c r="BZ268" s="1316" t="e">
        <f aca="false">IF(BQ268,(BY268*BP268+BX268*BC268)/BQ268,0)</f>
        <v>#VALUE!</v>
      </c>
      <c r="CA268" s="1531" t="e">
        <f aca="false">IF(BS268,IF(OPriceCurve,IF(OBuySell=OCallPut,I268/(1-AY268),K268/(1-AY268)),J268/(1-AY268))*BL268,0)</f>
        <v>#VALUE!</v>
      </c>
      <c r="CB268" s="1316" t="e">
        <f aca="false">IF(BS268,IF(OPriceCurve,IF(OBuySell=OCallPut,L268/(1-AY268),N268/(1-AY268)),M268/(1-AY268))*BM268,0)</f>
        <v>#VALUE!</v>
      </c>
      <c r="CC268" s="1316" t="e">
        <f aca="false">IF(BS268,IF(OPriceCurve,IF(OBuySell=OCallPut,O268/(1-AY268),Q268/(1-AY268)),P268/(1-AY268))*BN268,0)</f>
        <v>#VALUE!</v>
      </c>
      <c r="CD268" s="1316" t="e">
        <f aca="false">IF(BS268,IF(OPriceCurve,IF(OBuySell=OCallPut,R268/(1-AY268),T268/(1-AY268)),S268/(1-AY268))*BO268,0)</f>
        <v>#VALUE!</v>
      </c>
      <c r="CE268" s="1316" t="e">
        <f aca="false">IF(BR268,(BU268*BH268+BV268*BI268+BW268*BJ268)/BR268,0)</f>
        <v>#VALUE!</v>
      </c>
      <c r="CF268" s="1532" t="e">
        <f aca="false">IF(BS268,(CE268*BR268+CD268*BK268)/BS268,0)</f>
        <v>#VALUE!</v>
      </c>
      <c r="CG268" s="1586" t="e">
        <f aca="false">IF(OR(BQ268,BS268),IF(OVolType&lt;&gt;2,SQRT(IF(OVolOverMonthlyPeak,OVolOverMonthlyPeak,IF(OVolCurve,IF(OBuySell,U268,W268),V268))^2*(1-15/365.25/BT268)+IF(OVolOverDailyPeak,OVolOverDailyPeak,IF(OVolCurve,IF(OBuySell,AG268,AI268),AH268))^2*15/365.25/BT268),IF(OVolOverMonthlyPeak,OVolOverMonthlyPeak,IF(OVolCurve,IF(OBuySell,U268,W268),V268))),"")</f>
        <v>#VALUE!</v>
      </c>
      <c r="CH268" s="1587" t="e">
        <f aca="false">IF(OR(BQ268,BS268),IF(OVolType&lt;&gt;2,SQRT(IF(OVolOverMonthlyPeak,OVolOverMonthlyPeak,IF(OVolCurve,IF(OBuySell,X268,Z268),Y268))^2*(1-15/365.25/BT268)+IF(OVolOverDailyPeak,OVolOverDailyPeak,IF(OVolCurve,IF(OBuySell,AJ268,AL268),AK268))^2*15/365.25/BT268),IF(OVolOverMonthlyPeak,OVolOverMonthlyPeak,IF(OVolCurve,IF(OBuySell,X268,Z268),Y268))),"")</f>
        <v>#VALUE!</v>
      </c>
      <c r="CI268" s="1587" t="e">
        <f aca="false">IF(OR(BQ268,BS268),IF(OVolType&lt;&gt;2,SQRT(IF(OVolOverMonthlyPeak,OVolOverMonthlyPeak,IF(OVolCurve,IF(OBuySell,AA268,AC268),AB268))^2*(1-15/365.25/BT268)+IF(OVolOverDailyPeak,OVolOverDailyPeak,IF(OVolCurve,IF(OBuySell,AM268,AO268),AN268))^2*15/365.25/BT268),IF(OVolOverMonthlyPeak,OVolOverMonthlyPeak,IF(OVolCurve,IF(OBuySell,AA268,AC268),AB268))),"")</f>
        <v>#VALUE!</v>
      </c>
      <c r="CJ268" s="1587" t="e">
        <f aca="false">IF(BQ268,IF(BP268,SQRT(LN(1+((BU268*AZ268)^2*(EXP(CG268^2*BT268)-1)+(BV268*BA268)^2*(EXP(CH268^2*BT268)-1)+(BW268*BB268)^2*(EXP(CI268^2*BT268)-1)+2*BU268*AZ268*BV268*BA268*(EXP(CG268*CH268*BT268)-1)+2*BV268*BA268*BW268*BB268*(EXP(CH268*CI268*BT268)-1)+2*BW268*BB268*BU268*AZ268*(EXP(CI268*CG268*BT268)-1))/(BY268*BP268)^2)/BT268),0),"")</f>
        <v>#VALUE!</v>
      </c>
      <c r="CK268" s="1587" t="e">
        <f aca="false">IF(BS268,IF(BR268,SQRT(LN(1+((CA268*BH268)^2*(EXP(CG268^2*BT268)-1)+(CB268*BI268)^2*(EXP(CH268^2*BT268)-1)+(CC268*BJ268)^2*(EXP(CI268^2*BT268)-1)+2*CA268*BH268*CB268*BI268*(EXP(CG268*CH268*BT268)-1)+2*CB268*BI268*CC268*BJ268*(EXP(CH268*CI268*BT268)-1)+2*CC268*BJ268*CA268*BH268*(EXP(CI268*CG268*BT268)-1))/(CE268*BR268)^2)/BT268),0),"")</f>
        <v>#VALUE!</v>
      </c>
      <c r="CL268" s="1587" t="e">
        <f aca="false">IF(OR(BQ268,BS268),IF(OVolType&lt;&gt;2,SQRT(IF(OVolOverMonthlyOffPeak,OVolOverMonthlyOffPeak,IF(OVolCurve,IF(OBuySell,AD268,AF268),AE268))^2*(1-15/365.25/BT268)+IF(OVolOverDailyOffPeak,OVolOverDailyOffPeak,IF(OVolCurve,IF(OBuySell,AP268,AR268),AQ268))^2*15/365.25/BT268),IF(OVolOverMonthlyOffPeak,OVolOverMonthlyOffPeak,IF(OVolCurve,IF(OBuySell,AD268,AF268),AE268))),"")</f>
        <v>#VALUE!</v>
      </c>
      <c r="CM268" s="1587" t="e">
        <f aca="false">IF(BQ268,SQRT(LN(1+((BY268*BP268)^2*(EXP(CJ268^2*BT268)-1)+(BX268*BC268)^2*(EXP(CL268^2*BT268)-1)+2*BY268*BP268*BX268*BC268*(EXP(AS268*CJ268*CL268*BT268)-1))/(BY268*BP268+BX268*BC268)^2)/BT268),"")</f>
        <v>#VALUE!</v>
      </c>
      <c r="CN268" s="1588" t="e">
        <f aca="false">IF(BS268,SQRT(LN(1+((CE268*BR268)^2*(EXP(CK268^2*BT268)-1)+(CD268*BK268)^2*(EXP(CL268^2*BT268)-1)+2*CE268*BR268*CD268*BK268*(EXP(AS268*CK268*CL268*BT268)-1))/(CE268*BR268+CD268*BK268)^2)/BT268),"")</f>
        <v>#VALUE!</v>
      </c>
      <c r="CO268" s="1531" t="e">
        <f aca="false">IF(OR(BQ268,BS268),VLOOKUP(A268,GasTable,13)*HeatRatePeak*(1+VLOOKUP($B268,HeatRateDegradation,$C268+1))/1000,0)</f>
        <v>#VALUE!</v>
      </c>
      <c r="CP268" s="1316" t="e">
        <f aca="false">IF(OR(BQ268,BS268),VLOOKUP(A268,GasTable,13)*HeatRatePeak*(1+VLOOKUP($B268,HeatRateDegradation,$C268+1))/1000,0)</f>
        <v>#VALUE!</v>
      </c>
      <c r="CQ268" s="1316" t="e">
        <f aca="false">IF(OR(BQ268,BS268),VLOOKUP(A268,GasTable,13)*IF(EV268,HeatRatePeak,HeatRateOffPeak)*(1+VLOOKUP($B268,HeatRateDegradation,$C268+1))/1000,0)</f>
        <v>#VALUE!</v>
      </c>
      <c r="CR268" s="1316" t="e">
        <f aca="false">IF(OR(BQ268,BS268),VLOOKUP(A268,GasTable,13)*IF(EW268,HeatRatePeak,HeatRateOffPeak)*(1+VLOOKUP($B268,HeatRateDegradation,$C268+1))/1000,0)</f>
        <v>#VALUE!</v>
      </c>
      <c r="CS268" s="1589" t="e">
        <f aca="false">IF(BQ268,(CO268*AZ268+CP268*BA268+CQ268*BB268+CR268*BC268)/BQ268,0)</f>
        <v>#VALUE!</v>
      </c>
      <c r="CT268" s="1316" t="e">
        <f aca="false">IF(BS268,CO268,0)</f>
        <v>#VALUE!</v>
      </c>
      <c r="CU268" s="1590" t="e">
        <f aca="false">IF(OR(BQ268,BS268),VLOOKUP(A268,GasTable,14),"")</f>
        <v>#VALUE!</v>
      </c>
      <c r="CV268" s="1568" t="e">
        <f aca="false">IF(OR(BQ268,BS268),IF(CorrPowerGasOverFlag,INDEX(CorrPowerGasOver,C268),CorrPowerGas),"")</f>
        <v>#VALUE!</v>
      </c>
      <c r="CW268" s="1316" t="e">
        <f aca="false">IF(OR($BQ268,$BS268),SpreadOptPowerMargin,0)*((1+Assumptions!$C$26)^($B268-YEAR(Assumptions!$C$17)))</f>
        <v>#VALUE!</v>
      </c>
      <c r="CX268" s="1316" t="e">
        <f aca="false">IF(OR($BQ268,$BS268),SpreadOptPowerMargin,0)*((1+Assumptions!$C$26)^($B268-YEAR(Assumptions!$C$17)))</f>
        <v>#VALUE!</v>
      </c>
      <c r="CY268" s="1316" t="e">
        <f aca="false">IF(OR($BQ268,$BS268),SpreadOptPowerMargin,0)*((1+Assumptions!$C$26)^($B268-YEAR(Assumptions!$C$17)))</f>
        <v>#VALUE!</v>
      </c>
      <c r="CZ268" s="1316" t="e">
        <f aca="false">IF(OR($BQ268,$BS268),SpreadOptPowerMargin,0)*((1+Assumptions!$C$26)^($B268-YEAR(Assumptions!$C$17)))</f>
        <v>#VALUE!</v>
      </c>
      <c r="DA268" s="1591" t="e">
        <f aca="false">IF(OR(BQ268,BS268),(CW268*(AZ268+BH268)+CX268*(BA268+BI268)+CY268*(BB268+BJ268)+CZ268*(BC268+BK268))/(BQ268+BS268),0)</f>
        <v>#VALUE!</v>
      </c>
      <c r="DB268" s="1592" t="e">
        <f aca="false">IF(OR(BQ268,BS268),CG268+IF(OVolSmile,VLOOKUP(MAX(-5,CO268+CW268-BU268),IF(OVolSmile=1,VolSmileBook,VolSmileModel),2),0),"")</f>
        <v>#VALUE!</v>
      </c>
      <c r="DC268" s="1592" t="e">
        <f aca="false">IF(OR(BQ268,BS268),CH268+IF(OVolSmile,VLOOKUP(MAX(-5,CP268+CW268-BV268),IF(OVolSmile=1,VolSmileBook,VolSmileModel),2),0),"")</f>
        <v>#VALUE!</v>
      </c>
      <c r="DD268" s="1592" t="e">
        <f aca="false">IF(OR(BQ268,BS268),CI268+IF(OVolSmile,VLOOKUP(MAX(-5,CQ268+CW268-BW268),IF(OVolSmile=1,VolSmileBook,VolSmileModel),2),0),"")</f>
        <v>#VALUE!</v>
      </c>
      <c r="DE268" s="1592" t="e">
        <f aca="false">IF(OR(BQ268,BS268),CL268+IF(OVolSmile,VLOOKUP(MAX(-5,CR268+CZ268-BX268),IF(OVolSmile=1,VolSmileBook,VolSmileModel),2),0),"")</f>
        <v>#VALUE!</v>
      </c>
      <c r="DF268" s="1592" t="e">
        <f aca="false">IF(BQ268,CM268+IF(OVolSmile,VLOOKUP(MAX(-5,CS268+DA268-BZ268),IF(OVolSmile=1,VolSmileBook,VolSmileModel),2),0),"")</f>
        <v>#VALUE!</v>
      </c>
      <c r="DG268" s="1593" t="e">
        <f aca="false">IF(BS268,CN268+IF(OVolSmile,VLOOKUP(MAX(-5,CT268+DA268-CF268),IF(OVolSmile=1,VolSmileBook,VolSmileModel),2),0),"")</f>
        <v>#VALUE!</v>
      </c>
      <c r="DH268" s="1316" t="e">
        <f aca="false">IF(AND(BU268&gt;0,CO268&gt;0,DB268&gt;0,CU268&gt;0),newSPRDOPT(BU268,CO268,CW268,0,DB268,CU268,CV268,BT268*365.25,OCallPut,0),0)</f>
        <v>#VALUE!</v>
      </c>
      <c r="DI268" s="1316" t="e">
        <f aca="false">IF(AND(BV268&gt;0,CP268&gt;0,DC268&gt;0,CU268&gt;0),newSPRDOPT(BV268,CP268,CX268,0,DC268,CU268,CV268,BT268*365.25,OCallPut,0),0)</f>
        <v>#VALUE!</v>
      </c>
      <c r="DJ268" s="1316" t="e">
        <f aca="false">IF(AND(BW268&gt;0,CQ268&gt;0,DD268&gt;0,CU268&gt;0),newSPRDOPT(BW268,CQ268,CY268,0,DD268,CU268,CV268,BT268*365.25,OCallPut,0),0)</f>
        <v>#VALUE!</v>
      </c>
      <c r="DK268" s="1316" t="e">
        <f aca="false">IF(AND(BX268&gt;0,CR268&gt;0,DE268&gt;0,CU268&gt;0),newSPRDOPT(BX268,CR268,CZ268,0,DE268,CU268,CV268,BT268*365.25,OCallPut,0),0)</f>
        <v>#VALUE!</v>
      </c>
      <c r="DL268" s="1316" t="e">
        <f aca="false">IF(OVolType,IF(AND(BZ268&gt;0,CS268&gt;0,DF268&gt;0,CU268&gt;0),newSPRDOPT(BZ268,CS268,DA268,0,DF268,CU268,CV268,BT268*365.25,OCallPut,0),0),IF(BQ268,(DH268*AZ268+DI268*BA268+DJ268*BB268+DK268*BC268)/BQ268,0))</f>
        <v>#VALUE!</v>
      </c>
      <c r="DM268" s="1316"/>
      <c r="DN268" s="1316"/>
      <c r="DO268" s="1316"/>
      <c r="DP268" s="1316"/>
      <c r="DQ268" s="1316"/>
      <c r="DR268" s="1316"/>
      <c r="DS268" s="1316"/>
      <c r="DT268" s="1316"/>
      <c r="DU268" s="1316"/>
      <c r="DV268" s="1316"/>
      <c r="DW268" s="1594" t="e">
        <f aca="false">IF(AND(BW268&gt;0,CT268&gt;0,DD268&gt;0,CU268&gt;0),newSPRDOPT(BW268,CT268,CY268,0,DD268,CU268,CV268,BT268*365.25,OCallPut,0),0)</f>
        <v>#VALUE!</v>
      </c>
      <c r="DX268" s="1316" t="e">
        <f aca="false">IF(AND(BX268&gt;0,CT268&gt;0,DE268&gt;0,CU268&gt;0),newSPRDOPT(BX268,CT268,CZ268,0,DE268,CU268,CV268,BT268*365.25,OCallPut,0),0)</f>
        <v>#VALUE!</v>
      </c>
      <c r="DY268" s="1591" t="e">
        <f aca="false">IF(BS268,(DH268*BH268+DI268*BI268+DW268*BJ268+DX268*BK268)/BS268,0)</f>
        <v>#VALUE!</v>
      </c>
      <c r="DZ268" s="1551" t="e">
        <f aca="false">DH268*AZ268</f>
        <v>#VALUE!</v>
      </c>
      <c r="EA268" s="1551" t="e">
        <f aca="false">DI268*BA268</f>
        <v>#VALUE!</v>
      </c>
      <c r="EB268" s="1551" t="e">
        <f aca="false">DJ268*BB268</f>
        <v>#VALUE!</v>
      </c>
      <c r="EC268" s="1551" t="e">
        <f aca="false">DK268*BC268</f>
        <v>#VALUE!</v>
      </c>
      <c r="ED268" s="1551" t="e">
        <f aca="false">DL268*BQ268</f>
        <v>#VALUE!</v>
      </c>
      <c r="EE268" s="1595" t="e">
        <f aca="false">IF(BQ268,IF(OCallPut,IF(BU268&gt;(CO268+CW268),BU268-(CO268+CW268),0),IF((CO268+CW268)&gt;BU268,(CO268+CW268)-BU268,0))*AZ268,0)</f>
        <v>#VALUE!</v>
      </c>
      <c r="EF268" s="1596" t="e">
        <f aca="false">IF(BQ268,IF(OCallPut,IF(BV268&gt;(CP268+CX268),BV268-(CP268+CX268),0),IF((CP268+CX268)&gt;BV268,(CP268+CX268)-BV268,0))*BA268,0)</f>
        <v>#VALUE!</v>
      </c>
      <c r="EG268" s="1596" t="e">
        <f aca="false">IF(BQ268,IF(OCallPut,IF(BW268&gt;(CQ268+CY268),BW268-(CQ268+CY268),0),IF((CQ268+CY268)&gt;BW268,(CQ268+CY268)-BW268,0))*BB268,0)</f>
        <v>#VALUE!</v>
      </c>
      <c r="EH268" s="1596" t="e">
        <f aca="false">IF(BQ268,IF(OCallPut,IF(BX268&gt;(CR268+CZ268),BX268-(CR268+CZ268),0),IF((CR268+CZ268)&gt;BX268,(CR268+CZ268)-BX268,0))*BC268,0)</f>
        <v>#VALUE!</v>
      </c>
      <c r="EI268" s="1597" t="e">
        <f aca="false">IF(BQ268,IF(OVolType,IF(OCallPut,IF(BZ268&gt;(CS268+DA268),BZ268-(CS268+DA268),0),IF((CS268+DA268)&gt;BZ268,(CS268+DA268)-BZ268,0))*BQ268,SUM(EE268:EH268)),0)</f>
        <v>#VALUE!</v>
      </c>
      <c r="EJ268" s="1595" t="e">
        <f aca="false">DZ268-EE268</f>
        <v>#VALUE!</v>
      </c>
      <c r="EK268" s="1596" t="e">
        <f aca="false">EA268-EF268</f>
        <v>#VALUE!</v>
      </c>
      <c r="EL268" s="1596" t="e">
        <f aca="false">EB268-EG268</f>
        <v>#VALUE!</v>
      </c>
      <c r="EM268" s="1596" t="e">
        <f aca="false">EC268-EH268</f>
        <v>#VALUE!</v>
      </c>
      <c r="EN268" s="1597" t="e">
        <f aca="false">ED268-EI268</f>
        <v>#VALUE!</v>
      </c>
      <c r="EO268" s="1551" t="e">
        <f aca="false">DH268*BH268</f>
        <v>#VALUE!</v>
      </c>
      <c r="EP268" s="1551" t="e">
        <f aca="false">DI268*BI268</f>
        <v>#VALUE!</v>
      </c>
      <c r="EQ268" s="1551" t="e">
        <f aca="false">DW268*BJ268</f>
        <v>#VALUE!</v>
      </c>
      <c r="ER268" s="1551" t="e">
        <f aca="false">DX268*BK268</f>
        <v>#VALUE!</v>
      </c>
      <c r="ES268" s="1551" t="e">
        <f aca="false">DY268*BS268</f>
        <v>#VALUE!</v>
      </c>
      <c r="ET268" s="1566" t="e">
        <f aca="false">IF(EI268,IF(OCallPut,IF(CA268&gt;(CT268+CW268),CA268-(CT268+CW268),0),IF((CT268+CW268)&gt;CA268,(CT268+CW268)-CA268,0))*BH268,0)</f>
        <v>#VALUE!</v>
      </c>
      <c r="EU268" s="1551" t="e">
        <f aca="false">IF(EI268,IF(OCallPut,IF(CB268&gt;(CT268+CX268),CB268-(CT268+CX268),0),IF((CT268+CX268)&gt;CB268,(CT268+CX268)-CB268,0))*BI268,0)</f>
        <v>#VALUE!</v>
      </c>
      <c r="EV268" s="1551" t="e">
        <f aca="false">IF(EI268,IF(OCallPut,IF(CC268&gt;(CT268+CY268),CC268-(CT268+CY268),0),IF((CT268+CY268)&gt;CC268,(CT268+CY268)-CC268,0))*BJ268,0)</f>
        <v>#VALUE!</v>
      </c>
      <c r="EW268" s="1551" t="e">
        <f aca="false">IF(EI268,IF(OCallPut,IF(CD268&gt;(CT268+CZ268),CD268-(CT268+CZ268),0),IF((CT268+CZ268)&gt;CD268,(CT268+CZ268)-CD268,0))*BK268,0)</f>
        <v>#VALUE!</v>
      </c>
      <c r="EX268" s="1558" t="e">
        <f aca="false">IF(EI268,SUM(ET268:EW268),0)</f>
        <v>#VALUE!</v>
      </c>
      <c r="EY268" s="1551" t="e">
        <f aca="false">EO268-ET268</f>
        <v>#VALUE!</v>
      </c>
      <c r="EZ268" s="1551" t="e">
        <f aca="false">EP268-EU268</f>
        <v>#VALUE!</v>
      </c>
      <c r="FA268" s="1551" t="e">
        <f aca="false">EQ268-EV268</f>
        <v>#VALUE!</v>
      </c>
      <c r="FB268" s="1551" t="e">
        <f aca="false">ER268-EW268</f>
        <v>#VALUE!</v>
      </c>
      <c r="FC268" s="1551" t="e">
        <f aca="false">ES268-EX268</f>
        <v>#VALUE!</v>
      </c>
      <c r="FD268" s="1525" t="n">
        <f aca="false">IF(AX268,IF(VLOOKUP(C268,MAIN!$L$17:$M$28,2)="Yes",VLOOKUP(CALC!B268,MAIN!$H$17:$I$20,2),0),0)</f>
        <v>0</v>
      </c>
      <c r="FE268" s="1552" t="e">
        <f aca="false">$FD268*16*AT268*(1-$AY268)</f>
        <v>#VALUE!</v>
      </c>
      <c r="FF268" s="1553" t="e">
        <f aca="false">$FD268*16*AU268*(1-$AY268)</f>
        <v>#VALUE!</v>
      </c>
      <c r="FG268" s="1553" t="e">
        <f aca="false">$FD268*16*(AV268+AW268)*(1-$AY268)</f>
        <v>#VALUE!</v>
      </c>
      <c r="FH268" s="1554" t="n">
        <f aca="false">$FD268*8*AX268*(1-$AY268)</f>
        <v>0</v>
      </c>
      <c r="FI268" s="1555" t="n">
        <f aca="false">IF(AX268,VLOOKUP(CALC!B268,MAIN!$H$17:$K$20,4),0)</f>
        <v>0</v>
      </c>
      <c r="FJ268" s="1553" t="e">
        <f aca="false">SUM(FE268:FH268)</f>
        <v>#VALUE!</v>
      </c>
      <c r="FK268" s="1556" t="e">
        <f aca="false">FI268*FJ268</f>
        <v>#VALUE!</v>
      </c>
      <c r="FL268" s="1551" t="e">
        <f aca="false">IF($EI268&gt;0,MIN(FE268,AZ268*(1+VLOOKUP($C268,WeatherCapacityAdjustment,2))),0)</f>
        <v>#VALUE!</v>
      </c>
      <c r="FM268" s="1551" t="e">
        <f aca="false">IF($EI268&gt;0,MIN(FF268,BA268*(1+VLOOKUP($C268,WeatherCapacityAdjustment,2))),0)</f>
        <v>#VALUE!</v>
      </c>
      <c r="FN268" s="1551" t="e">
        <f aca="false">IF($EI268&gt;0,MIN(FG268,BB268*(1+VLOOKUP($C268,WeatherCapacityAdjustment,2))),0)</f>
        <v>#VALUE!</v>
      </c>
      <c r="FO268" s="1564" t="e">
        <f aca="false">IF($EI268&gt;0,MIN(FH268,BC268*(1+VLOOKUP($C268,WeatherCapacityAdjustment,3))),0)</f>
        <v>#VALUE!</v>
      </c>
      <c r="FP268" s="1551" t="e">
        <f aca="false">IF(ET268&gt;0,MIN(FE268-FL268,BH268*(1+VLOOKUP($C268,WeatherCapacityAdjustment,2))),0)</f>
        <v>#VALUE!</v>
      </c>
      <c r="FQ268" s="1551" t="e">
        <f aca="false">IF(EU268&gt;0,MIN(FF268-FM268,BI268*(1+VLOOKUP($C268,WeatherCapacityAdjustment,2))),0)</f>
        <v>#VALUE!</v>
      </c>
      <c r="FR268" s="1551" t="e">
        <f aca="false">IF(EV268&gt;0,MIN(FG268-FN268,BJ268*(1+VLOOKUP($C268,WeatherCapacityAdjustment,2))),0)</f>
        <v>#VALUE!</v>
      </c>
      <c r="FS268" s="1558" t="e">
        <f aca="false">IF(EW268&gt;0,MIN(FH268-FO268,BK268*(1+VLOOKUP($C268,WeatherCapacityAdjustment,3))),0)</f>
        <v>#VALUE!</v>
      </c>
      <c r="FT268" s="1566" t="e">
        <f aca="false">IF(AND(Assumptions!$H$71="Yes",A268&gt;=Assumptions!$H$72,A268&lt;=Assumptions!$H$73),0,IF(AND($A268&gt;=Assumptions!$C$17,$A268&lt;=Assumptions!$C$18),MAX(AZ268*(1+VLOOKUP($C268,WeatherCapacityAdjustment,2))-FL268,0),0))</f>
        <v>#VALUE!</v>
      </c>
      <c r="FU268" s="1551" t="e">
        <f aca="false">IF(AND(Assumptions!$H$71="Yes",A268&gt;=Assumptions!$H$72,A268&lt;=Assumptions!$H$73),0,IF(AND($A268&gt;=Assumptions!$C$17,$A268&lt;=Assumptions!$C$18),MAX(BA268*(1+VLOOKUP($C268,WeatherCapacityAdjustment,2))-FM268,0),0))</f>
        <v>#VALUE!</v>
      </c>
      <c r="FV268" s="1551" t="e">
        <f aca="false">IF(AND(Assumptions!$H$71="Yes",A268&gt;=Assumptions!$H$72,A268&lt;=Assumptions!$H$73),0,IF(AND($A268&gt;=Assumptions!$C$17,$A268&lt;=Assumptions!$C$18),MAX(BB268*(1+VLOOKUP($C268,WeatherCapacityAdjustment,2))-FN268,0),0))</f>
        <v>#VALUE!</v>
      </c>
      <c r="FW268" s="1564" t="e">
        <f aca="false">IF(AND(Assumptions!$H$71="Yes",A268&gt;=Assumptions!$H$72,A268&lt;=Assumptions!$H$73),0,IF(AND($A268&gt;=Assumptions!$C$17,$A268&lt;=Assumptions!$C$18),MAX(BC268*(1+VLOOKUP($C268,WeatherCapacityAdjustment,3))-FO268,0),0))</f>
        <v>#VALUE!</v>
      </c>
      <c r="FX268" s="1569" t="e">
        <f aca="false">IF(AND(Assumptions!$H$71="Yes",A268&gt;=Assumptions!$H$72,A268&lt;=Assumptions!$H$73),0,IF(ET268&gt;0,MAX(BH268*(1+VLOOKUP($C268,WeatherCapacityAdjustment,2))-FP268,0),0))</f>
        <v>#VALUE!</v>
      </c>
      <c r="FY268" s="1551" t="e">
        <f aca="false">IF(AND(Assumptions!$H$71="Yes",A268&gt;=Assumptions!$H$72,A268&lt;=Assumptions!$H$73),0,IF(EU268&gt;0,MAX(BI268*(1+VLOOKUP($C268,WeatherCapacityAdjustment,3))-FQ268,0),0))</f>
        <v>#VALUE!</v>
      </c>
      <c r="FZ268" s="1551" t="e">
        <f aca="false">IF(AND(Assumptions!$H$71="Yes",A268&gt;=Assumptions!$H$72,A268&lt;=Assumptions!$H$73),0,IF(EV268&gt;0,MAX(BJ268*(1+VLOOKUP($C268,WeatherCapacityAdjustment,2))-FR268,0),0))</f>
        <v>#VALUE!</v>
      </c>
      <c r="GA268" s="1564" t="e">
        <f aca="false">IF(AND(Assumptions!$H$71="Yes",A268&gt;=Assumptions!$H$72,A268&lt;=Assumptions!$H$73),0,IF(EW268&gt;0,MAX(BK268*(1+VLOOKUP($C268,WeatherCapacityAdjustment,2))-FS268,0),0))</f>
        <v>#VALUE!</v>
      </c>
      <c r="GB268" s="1551" t="e">
        <f aca="false">SUM(FT268:GA268)</f>
        <v>#VALUE!</v>
      </c>
      <c r="GC268" s="1563" t="e">
        <f aca="false">+IF(SUM(FT268:GA268)=0,0,(SUMPRODUCT(BU268:BX268,FT268:FW268)+SUMPRODUCT(CA268:CD268,FX268:GA268))/SUM(FT268:GA268))</f>
        <v>#VALUE!</v>
      </c>
      <c r="GD268" s="1551" t="e">
        <f aca="false">(FT268*BU268+FX268*CA268+FU268*BV268+FY268*CB268+FV268*BW268+FZ268*CC268+FW268*BX268+GA268*CD268)</f>
        <v>#VALUE!</v>
      </c>
      <c r="GE268" s="1561" t="e">
        <f aca="false">+IF(BQ268,((FL268+FM268+FT268+FU268)*HeatRatePeak/1000*(1+VLOOKUP($C268,WeatherHeatRateAdjustment,2))+(FN268+FV268)*IF(EV268&gt;0,HeatRatePeak,HeatRateOffPeak)/1000*(1+VLOOKUP($C268,WeatherHeatRateAdjustment,2))+(FO268+FW268)*IF(EW268&gt;0,HeatRatePeak,HeatRateOffPeak)/1000*(1+VLOOKUP($C268,WeatherHeatRateAdjustment,3)))*(1+VLOOKUP($B268,HeatRateDegradation,$C268+1)),0)</f>
        <v>#VALUE!</v>
      </c>
      <c r="GF268" s="1562" t="e">
        <f aca="false">IF(BQ268,((FP268+FQ268+FR268+FX268+FY268+FZ268)*HeatRatePeak/1000*(1+VLOOKUP($C268,WeatherHeatRateAdjustment,2))+(FS268+GA268)*HeatRatePeak/1000*(1+VLOOKUP($C268,WeatherHeatRateAdjustment,3)))*(1+VLOOKUP($B268,HeatRateDegradation,$C268+1)),0)</f>
        <v>#VALUE!</v>
      </c>
      <c r="GG268" s="1563" t="e">
        <f aca="false">IF(BQ268,VLOOKUP(A268,GasTable,13),0)</f>
        <v>#VALUE!</v>
      </c>
      <c r="GH268" s="1564" t="e">
        <f aca="false">(GE268+GF268)*GG268</f>
        <v>#VALUE!</v>
      </c>
      <c r="GI268" s="1569" t="e">
        <f aca="false">GB268</f>
        <v>#VALUE!</v>
      </c>
      <c r="GJ268" s="1598" t="e">
        <f aca="false">+DA268</f>
        <v>#VALUE!</v>
      </c>
      <c r="GK268" s="1558" t="e">
        <f aca="false">+GI268*GJ268</f>
        <v>#VALUE!</v>
      </c>
      <c r="GL268" s="1566" t="e">
        <f aca="false">MAX(FE268-FL268-FP268,0)</f>
        <v>#VALUE!</v>
      </c>
      <c r="GM268" s="1551" t="e">
        <f aca="false">MAX(FF268-FM268-FQ268,0)</f>
        <v>#VALUE!</v>
      </c>
      <c r="GN268" s="1551" t="e">
        <f aca="false">MAX(FG268-FN268-FR268,0)</f>
        <v>#VALUE!</v>
      </c>
      <c r="GO268" s="1564" t="e">
        <f aca="false">MAX(FH268-FO268-FS268,0)</f>
        <v>#VALUE!</v>
      </c>
      <c r="GP268" s="1551" t="e">
        <f aca="false">SUM(GL268:GO268)</f>
        <v>#VALUE!</v>
      </c>
      <c r="GQ268" s="1563" t="e">
        <f aca="false">IF(SUM(GL268:GO268)=0,0,((GL268*BU268+GM268*BV268+GN268*BW268+GO268*BX268)/SUM(GL268:GO268)))</f>
        <v>#VALUE!</v>
      </c>
      <c r="GR268" s="1558" t="e">
        <f aca="false">(GL268*BU268+GM268*BV268+GN268*BW268+GO268*BX268)</f>
        <v>#VALUE!</v>
      </c>
      <c r="GS268" s="1566" t="n">
        <f aca="false">IF($A268&gt;=BegDate,Assumptions!$C$56*24*($A269-$A268)*(1-VLOOKUP($B268,MAIN!$AA$7:$AM$28,$C268+1))*(1-VLOOKUP($B268,MAIN!$AA$33:$AM$54,$C268+1)),0)*80/168</f>
        <v>74828.5714285714</v>
      </c>
      <c r="GT268" s="286" t="n">
        <f aca="false">J268</f>
        <v>43.7104532583066</v>
      </c>
      <c r="GU268" s="286" t="n">
        <f aca="false">IF($A268&gt;=BegDate,VLOOKUP($A268,GasTable,13)+Assumptions!$C$58,0)</f>
        <v>3.66728163736303</v>
      </c>
      <c r="GV268" s="286" t="n">
        <f aca="false">GU268*Assumptions!$C$57/1000</f>
        <v>26.5877918708819</v>
      </c>
      <c r="GW268" s="1558" t="n">
        <f aca="false">IF(Assumptions!$C$60="Hourly",MAX(0,GS268*(GT268-GV268)),GS268*(GT268-GV268))</f>
        <v>1281264.29067615</v>
      </c>
      <c r="GX268" s="1566" t="n">
        <f aca="false">IF($A268&gt;=BegDate,Assumptions!$C$56*24*($A269-$A268)*(1-VLOOKUP($B268,MAIN!$AA$7:$AM$28,$C268+1))*(1-VLOOKUP($B268,MAIN!$AA$33:$AM$54,$C268+1)),0)*16/168</f>
        <v>14965.7142857143</v>
      </c>
      <c r="GY268" s="286" t="n">
        <f aca="false">M268</f>
        <v>43.7104532583066</v>
      </c>
      <c r="GZ268" s="286" t="n">
        <f aca="false">IF($A268&gt;=BegDate,VLOOKUP($A268,GasTable,13)+Assumptions!$C$58,0)</f>
        <v>3.66728163736303</v>
      </c>
      <c r="HA268" s="286" t="n">
        <f aca="false">GZ268*Assumptions!$C$57/1000</f>
        <v>26.5877918708819</v>
      </c>
      <c r="HB268" s="1558" t="n">
        <f aca="false">IF(Assumptions!$C$60="Hourly",MAX(0,GX268*(GY268-HA268)),GX268*(GY268-HA268))</f>
        <v>256252.858135229</v>
      </c>
      <c r="HC268" s="1566" t="n">
        <f aca="false">IF($A268&gt;=BegDate,Assumptions!$C$56*24*($A269-$A268)*(1-VLOOKUP($B268,MAIN!$AA$7:$AM$28,$C268+1))*(1-VLOOKUP($B268,MAIN!$AA$33:$AM$54,$C268+1)),0)*16/168</f>
        <v>14965.7142857143</v>
      </c>
      <c r="HD268" s="286" t="n">
        <f aca="false">P268</f>
        <v>30.4774735430026</v>
      </c>
      <c r="HE268" s="286" t="n">
        <f aca="false">IF($A268&gt;=BegDate,VLOOKUP($A268,GasTable,13)+Assumptions!$C$58,0)</f>
        <v>3.66728163736303</v>
      </c>
      <c r="HF268" s="286" t="n">
        <f aca="false">HE268*Assumptions!$C$57/1000</f>
        <v>26.5877918708819</v>
      </c>
      <c r="HG268" s="1558" t="n">
        <f aca="false">IF(Assumptions!$C$60="Hourly",MAX(0,HC268*(HD268-HF268)),HC268*(HD268-HF268))</f>
        <v>58211.8645673371</v>
      </c>
      <c r="HH268" s="1566" t="n">
        <f aca="false">IF($A268&gt;=BegDate,Assumptions!$C$56*24*($A269-$A268)*(1-VLOOKUP($B268,MAIN!$AA$7:$AM$28,$C268+1))*(1-VLOOKUP($B268,MAIN!$AA$33:$AM$54,$C268+1)),0)*56/168</f>
        <v>52380</v>
      </c>
      <c r="HI268" s="286" t="n">
        <f aca="false">S268</f>
        <v>30.4774735430026</v>
      </c>
      <c r="HJ268" s="286" t="n">
        <f aca="false">IF($A268&gt;=BegDate,VLOOKUP($A268,GasTable,13)+Assumptions!$C$58,0)</f>
        <v>3.66728163736303</v>
      </c>
      <c r="HK268" s="286" t="n">
        <f aca="false">HJ268*Assumptions!$C$57/1000</f>
        <v>26.5877918708819</v>
      </c>
      <c r="HL268" s="1558" t="n">
        <f aca="false">IF(Assumptions!$C$60="Hourly",MAX(0,HH268*(HI268-HK268)),HH268*(HI268-HK268))</f>
        <v>203741.52598568</v>
      </c>
      <c r="HM268" s="1566" t="n">
        <f aca="false">IF(AND(Assumptions!$H$71="Yes",A268&gt;=Assumptions!$H$72,A268&lt;=Assumptions!$H$73),Assumptions!$H$74*Assumptions!$C$9*1000,0)</f>
        <v>0</v>
      </c>
      <c r="HN268" s="1551"/>
      <c r="HO268" s="1563"/>
      <c r="HP268" s="1563"/>
      <c r="HQ268" s="1563"/>
      <c r="HR268" s="1563"/>
      <c r="HS268" s="1563"/>
      <c r="HT268" s="1563"/>
      <c r="HU268" s="1563"/>
      <c r="HV268" s="1563"/>
      <c r="HW268" s="1563"/>
      <c r="HX268" s="1563"/>
      <c r="HY268" s="1563"/>
      <c r="HZ268" s="1563"/>
      <c r="IA268" s="1563"/>
      <c r="IB268" s="1563"/>
      <c r="IC268" s="1563"/>
      <c r="ID268" s="1563"/>
      <c r="IE268" s="1563"/>
      <c r="IF268" s="1563"/>
      <c r="IG268" s="1563"/>
      <c r="IH268" s="1563"/>
      <c r="II268" s="1610"/>
      <c r="IJ268" s="1309"/>
      <c r="IK268" s="1309"/>
    </row>
    <row r="269" customFormat="false" ht="12.75" hidden="false" customHeight="false" outlineLevel="0" collapsed="false">
      <c r="A269" s="1571" t="n">
        <f aca="false">EOMONTH(A268,0)+1</f>
        <v>44317</v>
      </c>
      <c r="B269" s="594" t="n">
        <f aca="false">+YEAR(A269)</f>
        <v>2021</v>
      </c>
      <c r="C269" s="238" t="n">
        <f aca="false">MONTH(A269)</f>
        <v>5</v>
      </c>
      <c r="D269" s="1572" t="e">
        <f aca="false">IF(E269="","",Holiday(B269,C269))</f>
        <v>#VALUE!</v>
      </c>
      <c r="E269" s="1573" t="n">
        <f aca="false">IF(OR(BegDate&gt;=A270,EndDate&lt;A269,AND(VolumeMonthlyOverFlag,INDEX(VolumeMonthlyOver,C269)=0),NOT(INDEX(MonthKnockOutTable,C269))),"",MAX(A269,BegDate))</f>
        <v>44317</v>
      </c>
      <c r="F269" s="1574" t="n">
        <f aca="false">IF(E269="","",MIN(A270-1,EndDate))</f>
        <v>44347</v>
      </c>
      <c r="G269" s="1575" t="n">
        <v>0</v>
      </c>
      <c r="H269" s="1576" t="n">
        <f aca="false">(1+G269/2)^(-2*(DATE(B270,C270,20)-DateToday)/365.25)</f>
        <v>1</v>
      </c>
      <c r="I269" s="1568" t="n">
        <f aca="false">IF(Assumptions!$L$25=4,VLOOKUP($A269,'Henwood Reference'!$E$9:$R$320,10),(VLOOKUP($A269,PriceTable,2,0)+IF(BasisNumber&lt;&gt;1,VLOOKUP($A269,BasisTable,2,0),0)+I$1)/(1-I$2))</f>
        <v>50.7410231611115</v>
      </c>
      <c r="J269" s="1568" t="n">
        <f aca="false">IF(Assumptions!$L$25=4,VLOOKUP($A269,'Henwood Reference'!$E$9:$R$320,10),(VLOOKUP($A269,PriceTable,3,0)+IF(BasisNumber&lt;&gt;1,VLOOKUP($A269,BasisTable,2,0),0)+J$1)/(1-J$2))</f>
        <v>50.7410231611115</v>
      </c>
      <c r="K269" s="1568" t="n">
        <f aca="false">IF(Assumptions!$L$25=4,VLOOKUP($A269,'Henwood Reference'!$E$9:$R$320,10),(VLOOKUP($A269,PriceTable,4,0)+IF(BasisNumber&lt;&gt;1,VLOOKUP($A269,BasisTable,2,0),0)+K$1)/(1-K$2))</f>
        <v>50.7410231611115</v>
      </c>
      <c r="L269" s="1523" t="n">
        <f aca="false">IF(Assumptions!$L$25=4,VLOOKUP($A269,'Henwood Reference'!$E$9:$R$320,10),(VLOOKUP($A269,PriceTableWeekend,2,0)+IF(BasisNumber&lt;&gt;1,VLOOKUP($A269,BasisTable,2,0),0)+L$1)/(1-L$2))</f>
        <v>50.7410231611115</v>
      </c>
      <c r="M269" s="1568" t="n">
        <f aca="false">IF(Assumptions!$L$25=4,VLOOKUP($A269,'Henwood Reference'!$E$9:$R$320,10),(VLOOKUP($A269,PriceTableWeekend,3,0)+IF(BasisNumber&lt;&gt;1,VLOOKUP($A269,BasisTable,2,0),0)+M$1)/(1-M$2))</f>
        <v>50.7410231611115</v>
      </c>
      <c r="N269" s="1599" t="n">
        <f aca="false">IF(Assumptions!$L$25=4,VLOOKUP($A269,'Henwood Reference'!$E$9:$R$320,10),(VLOOKUP($A269,PriceTableWeekend,4,0)+IF(BasisNumber&lt;&gt;1,VLOOKUP($A269,BasisTable,2,0),0)+N$1)/(1-N$2))</f>
        <v>50.7410231611115</v>
      </c>
      <c r="O269" s="1568" t="n">
        <f aca="false">IF(Assumptions!$L$25=4,VLOOKUP($A269,'Henwood Reference'!$E$9:$R$320,11),(VLOOKUP($A269,PriceTableWeekend,6,0)+IF(BasisNumber&lt;&gt;1,VLOOKUP($A269,BasisTable,3,0),0)+O$1)/(1-O$2))</f>
        <v>30.3293929412038</v>
      </c>
      <c r="P269" s="1568" t="n">
        <f aca="false">IF(Assumptions!$L$25=4,VLOOKUP($A269,'Henwood Reference'!$E$9:$R$320,11),(VLOOKUP($A269,PriceTableWeekend,7,0)+IF(BasisNumber&lt;&gt;1,VLOOKUP($A269,BasisTable,3,0),0)+P$1)/(1-P$2))</f>
        <v>30.3293929412038</v>
      </c>
      <c r="Q269" s="1599" t="n">
        <f aca="false">IF(Assumptions!$L$25=4,VLOOKUP($A269,'Henwood Reference'!$E$9:$R$320,11),(VLOOKUP($A269,PriceTableWeekend,8,0)+IF(BasisNumber&lt;&gt;1,VLOOKUP($A269,BasisTable,3,0),0)+Q$1)/(1-Q$2))</f>
        <v>30.3293929412038</v>
      </c>
      <c r="R269" s="1568" t="n">
        <f aca="false">IF(Assumptions!$L$25=4,VLOOKUP($A269,'Henwood Reference'!$E$9:$R$320,11),(VLOOKUP($A269,PriceTable,6,0)+IF(BasisNumber&lt;&gt;1,VLOOKUP($A269,BasisTable,3,0),0)+R$1)/(1-R$2))</f>
        <v>30.3293929412038</v>
      </c>
      <c r="S269" s="1568" t="n">
        <f aca="false">IF(Assumptions!$L$25=4,VLOOKUP($A269,'Henwood Reference'!$E$9:$R$320,11),(VLOOKUP($A269,PriceTable,7,0)+IF(BasisNumber&lt;&gt;1,VLOOKUP($A269,BasisTable,3,0),0)+S$1)/(1-S$2))</f>
        <v>30.3293929412038</v>
      </c>
      <c r="T269" s="1600" t="n">
        <f aca="false">IF(Assumptions!$L$25=4,VLOOKUP($A269,'Henwood Reference'!$E$9:$R$320,11),(VLOOKUP($A269,PriceTable,8,0)+IF(BasisNumber&lt;&gt;1,VLOOKUP($A269,BasisTable,3,0),0)+T$1)/(1-T$2))</f>
        <v>30.3293929412038</v>
      </c>
      <c r="U269" s="1513" t="n">
        <f aca="false">VLOOKUP($A269,VolatilityTable,14)</f>
        <v>0.09</v>
      </c>
      <c r="V269" s="1513" t="n">
        <f aca="false">VLOOKUP($A269,VolatilityTable,15)</f>
        <v>0.1</v>
      </c>
      <c r="W269" s="1514" t="n">
        <f aca="false">VLOOKUP($A269,VolatilityTable,16)</f>
        <v>0.11</v>
      </c>
      <c r="X269" s="1513" t="n">
        <f aca="false">VLOOKUP($A269,VolatilityTable,14)</f>
        <v>0.09</v>
      </c>
      <c r="Y269" s="1513" t="n">
        <f aca="false">VLOOKUP($A269,VolatilityTable,15)</f>
        <v>0.1</v>
      </c>
      <c r="Z269" s="1514" t="n">
        <f aca="false">VLOOKUP($A269,VolatilityTable,16)</f>
        <v>0.11</v>
      </c>
      <c r="AA269" s="1513" t="n">
        <f aca="false">VLOOKUP($A269,VolatilityTable,18)</f>
        <v>0.09</v>
      </c>
      <c r="AB269" s="1513" t="n">
        <f aca="false">VLOOKUP($A269,VolatilityTable,19)</f>
        <v>0.11</v>
      </c>
      <c r="AC269" s="1514" t="n">
        <f aca="false">VLOOKUP($A269,VolatilityTable,20)</f>
        <v>0.13</v>
      </c>
      <c r="AD269" s="1513" t="n">
        <f aca="false">VLOOKUP($A269,VolatilityTable,18)</f>
        <v>0.09</v>
      </c>
      <c r="AE269" s="1513" t="n">
        <f aca="false">VLOOKUP($A269,VolatilityTable,19)</f>
        <v>0.11</v>
      </c>
      <c r="AF269" s="1514" t="n">
        <f aca="false">VLOOKUP($A269,VolatilityTable,20)</f>
        <v>0.13</v>
      </c>
      <c r="AG269" s="1513" t="n">
        <f aca="false">VLOOKUP($A269,VolatilityTable,22)</f>
        <v>-0.1</v>
      </c>
      <c r="AH269" s="1513" t="n">
        <f aca="false">VLOOKUP($A269,VolatilityTable,23)</f>
        <v>0.65</v>
      </c>
      <c r="AI269" s="1514" t="n">
        <f aca="false">VLOOKUP($A269,VolatilityTable,24)</f>
        <v>0.1</v>
      </c>
      <c r="AJ269" s="1513" t="n">
        <f aca="false">VLOOKUP($A269,VolatilityTable,22)</f>
        <v>-0.1</v>
      </c>
      <c r="AK269" s="1513" t="n">
        <f aca="false">VLOOKUP($A269,VolatilityTable,23)</f>
        <v>0.65</v>
      </c>
      <c r="AL269" s="1514" t="n">
        <f aca="false">VLOOKUP($A269,VolatilityTable,24)</f>
        <v>0.1</v>
      </c>
      <c r="AM269" s="1513" t="n">
        <f aca="false">VLOOKUP($A269,VolatilityTable,26)</f>
        <v>-0.01</v>
      </c>
      <c r="AN269" s="1513" t="n">
        <f aca="false">VLOOKUP($A269,VolatilityTable,27)</f>
        <v>0.16</v>
      </c>
      <c r="AO269" s="1514" t="n">
        <f aca="false">VLOOKUP($A269,VolatilityTable,28)</f>
        <v>0.01</v>
      </c>
      <c r="AP269" s="1513" t="n">
        <f aca="false">VLOOKUP($A269,VolatilityTable,26)</f>
        <v>-0.01</v>
      </c>
      <c r="AQ269" s="1513" t="n">
        <f aca="false">VLOOKUP($A269,VolatilityTable,27)</f>
        <v>0.16</v>
      </c>
      <c r="AR269" s="1515" t="n">
        <f aca="false">VLOOKUP($A269,VolatilityTable,28)</f>
        <v>0.01</v>
      </c>
      <c r="AS269" s="1581" t="n">
        <f aca="false">IF(CorrPeakOffPeakOverFlag,INDEX(CorrPeakOffPeakOver,C269),CorrPeakOffPeak)</f>
        <v>0.5</v>
      </c>
      <c r="AT269" s="594" t="e">
        <f aca="false">AX269-SUM(AU269:AW269)</f>
        <v>#VALUE!</v>
      </c>
      <c r="AU269" s="238" t="e">
        <f aca="false">IF(E269="",0,INT((F269-MOD(F269,7)-E269)/7)+1-IF(AW269,IF(WEEKDAY(D269)=7,1,0),0))</f>
        <v>#VALUE!</v>
      </c>
      <c r="AV269" s="238" t="e">
        <f aca="false">IF(E269="",0,INT((F269-MOD(F269-1,7)-E269)/7)+1-IF(AW269,IF(WEEKDAY(D269)=1,1,0),0))</f>
        <v>#VALUE!</v>
      </c>
      <c r="AW269" s="238" t="e">
        <f aca="false">IF(OR(E269="",D269="",D269&lt;BegDate,D269&gt;EndDate),0,1)</f>
        <v>#VALUE!</v>
      </c>
      <c r="AX269" s="238" t="n">
        <f aca="false">IF(E269="",0,F269-E269+1)</f>
        <v>31</v>
      </c>
      <c r="AY269" s="1582" t="n">
        <f aca="false">IF(E269="",0,MIN((1-(1-VLOOKUP(B269,MAIN!$AA$7:$AM$28,C269+1))*(1-VLOOKUP(B269,MAIN!$AA$33:$AM$54,C269+1))),1))</f>
        <v>0.03</v>
      </c>
      <c r="AZ269" s="1519" t="e">
        <v>#VALUE!</v>
      </c>
      <c r="BA269" s="1520" t="e">
        <v>#VALUE!</v>
      </c>
      <c r="BB269" s="1520" t="e">
        <v>#VALUE!</v>
      </c>
      <c r="BC269" s="1583" t="e">
        <v>#VALUE!</v>
      </c>
      <c r="BD269" s="1522" t="e">
        <v>#VALUE!</v>
      </c>
      <c r="BE269" s="1523" t="e">
        <v>#VALUE!</v>
      </c>
      <c r="BF269" s="1523" t="e">
        <v>#VALUE!</v>
      </c>
      <c r="BG269" s="1584" t="e">
        <v>#VALUE!</v>
      </c>
      <c r="BH269" s="1525" t="e">
        <v>#VALUE!</v>
      </c>
      <c r="BI269" s="1520" t="e">
        <v>#VALUE!</v>
      </c>
      <c r="BJ269" s="1520" t="e">
        <v>#VALUE!</v>
      </c>
      <c r="BK269" s="1583" t="e">
        <v>#VALUE!</v>
      </c>
      <c r="BL269" s="1522" t="e">
        <v>#VALUE!</v>
      </c>
      <c r="BM269" s="1523" t="e">
        <v>#VALUE!</v>
      </c>
      <c r="BN269" s="1523" t="e">
        <v>#VALUE!</v>
      </c>
      <c r="BO269" s="1523" t="e">
        <v>#VALUE!</v>
      </c>
      <c r="BP269" s="1525" t="e">
        <f aca="false">SUM(AZ269:BB269)</f>
        <v>#VALUE!</v>
      </c>
      <c r="BQ269" s="1529" t="e">
        <f aca="false">SUM(AZ269:BC269)</f>
        <v>#VALUE!</v>
      </c>
      <c r="BR269" s="1519" t="e">
        <f aca="false">SUM(BH269:BJ269)</f>
        <v>#VALUE!</v>
      </c>
      <c r="BS269" s="1529" t="e">
        <f aca="false">SUM(BH269:BK269)</f>
        <v>#VALUE!</v>
      </c>
      <c r="BT269" s="1316" t="n">
        <f aca="false">(IF(OVolType&lt;&gt;2,A269+14,IF(OptExpDateShift,ShiftBack(A269,OptExpDateShift,D268),A269))-DateToday)/365.25</f>
        <v>21.0458590006845</v>
      </c>
      <c r="BU269" s="1585" t="e">
        <f aca="false">IF(BQ269,IF(OPriceCurve,IF(OBuySell=OCallPut,I269/(1-AY269),K269/(1-AY269)),J269/(1-AY269))*BD269,0)</f>
        <v>#VALUE!</v>
      </c>
      <c r="BV269" s="1316" t="e">
        <f aca="false">IF(BQ269,IF(OPriceCurve,IF(OBuySell=OCallPut,L269/(1-AY269),N269/(1-AY269)),M269/(1-AY269))*BE269,0)</f>
        <v>#VALUE!</v>
      </c>
      <c r="BW269" s="1316" t="e">
        <f aca="false">IF(BQ269,IF(OPriceCurve,IF(OBuySell=OCallPut,O269/(1-AY269),Q269/(1-AY269)),P269/(1-AY269))*BF269,0)</f>
        <v>#VALUE!</v>
      </c>
      <c r="BX269" s="1316" t="e">
        <f aca="false">IF(BQ269,IF(OPriceCurve,IF(OBuySell=OCallPut,R269/(1-AY269),T269/(1-AY269)),S269/(1-AY269))*BG269,0)</f>
        <v>#VALUE!</v>
      </c>
      <c r="BY269" s="1316" t="e">
        <f aca="false">IF(BP269,(BU269*AZ269+BV269*BA269+BW269*BB269)/BP269,0)</f>
        <v>#VALUE!</v>
      </c>
      <c r="BZ269" s="1316" t="e">
        <f aca="false">IF(BQ269,(BY269*BP269+BX269*BC269)/BQ269,0)</f>
        <v>#VALUE!</v>
      </c>
      <c r="CA269" s="1531" t="e">
        <f aca="false">IF(BS269,IF(OPriceCurve,IF(OBuySell=OCallPut,I269/(1-AY269),K269/(1-AY269)),J269/(1-AY269))*BL269,0)</f>
        <v>#VALUE!</v>
      </c>
      <c r="CB269" s="1316" t="e">
        <f aca="false">IF(BS269,IF(OPriceCurve,IF(OBuySell=OCallPut,L269/(1-AY269),N269/(1-AY269)),M269/(1-AY269))*BM269,0)</f>
        <v>#VALUE!</v>
      </c>
      <c r="CC269" s="1316" t="e">
        <f aca="false">IF(BS269,IF(OPriceCurve,IF(OBuySell=OCallPut,O269/(1-AY269),Q269/(1-AY269)),P269/(1-AY269))*BN269,0)</f>
        <v>#VALUE!</v>
      </c>
      <c r="CD269" s="1316" t="e">
        <f aca="false">IF(BS269,IF(OPriceCurve,IF(OBuySell=OCallPut,R269/(1-AY269),T269/(1-AY269)),S269/(1-AY269))*BO269,0)</f>
        <v>#VALUE!</v>
      </c>
      <c r="CE269" s="1316" t="e">
        <f aca="false">IF(BR269,(BU269*BH269+BV269*BI269+BW269*BJ269)/BR269,0)</f>
        <v>#VALUE!</v>
      </c>
      <c r="CF269" s="1532" t="e">
        <f aca="false">IF(BS269,(CE269*BR269+CD269*BK269)/BS269,0)</f>
        <v>#VALUE!</v>
      </c>
      <c r="CG269" s="1586" t="e">
        <f aca="false">IF(OR(BQ269,BS269),IF(OVolType&lt;&gt;2,SQRT(IF(OVolOverMonthlyPeak,OVolOverMonthlyPeak,IF(OVolCurve,IF(OBuySell,U269,W269),V269))^2*(1-15/365.25/BT269)+IF(OVolOverDailyPeak,OVolOverDailyPeak,IF(OVolCurve,IF(OBuySell,AG269,AI269),AH269))^2*15/365.25/BT269),IF(OVolOverMonthlyPeak,OVolOverMonthlyPeak,IF(OVolCurve,IF(OBuySell,U269,W269),V269))),"")</f>
        <v>#VALUE!</v>
      </c>
      <c r="CH269" s="1587" t="e">
        <f aca="false">IF(OR(BQ269,BS269),IF(OVolType&lt;&gt;2,SQRT(IF(OVolOverMonthlyPeak,OVolOverMonthlyPeak,IF(OVolCurve,IF(OBuySell,X269,Z269),Y269))^2*(1-15/365.25/BT269)+IF(OVolOverDailyPeak,OVolOverDailyPeak,IF(OVolCurve,IF(OBuySell,AJ269,AL269),AK269))^2*15/365.25/BT269),IF(OVolOverMonthlyPeak,OVolOverMonthlyPeak,IF(OVolCurve,IF(OBuySell,X269,Z269),Y269))),"")</f>
        <v>#VALUE!</v>
      </c>
      <c r="CI269" s="1587" t="e">
        <f aca="false">IF(OR(BQ269,BS269),IF(OVolType&lt;&gt;2,SQRT(IF(OVolOverMonthlyPeak,OVolOverMonthlyPeak,IF(OVolCurve,IF(OBuySell,AA269,AC269),AB269))^2*(1-15/365.25/BT269)+IF(OVolOverDailyPeak,OVolOverDailyPeak,IF(OVolCurve,IF(OBuySell,AM269,AO269),AN269))^2*15/365.25/BT269),IF(OVolOverMonthlyPeak,OVolOverMonthlyPeak,IF(OVolCurve,IF(OBuySell,AA269,AC269),AB269))),"")</f>
        <v>#VALUE!</v>
      </c>
      <c r="CJ269" s="1587" t="e">
        <f aca="false">IF(BQ269,IF(BP269,SQRT(LN(1+((BU269*AZ269)^2*(EXP(CG269^2*BT269)-1)+(BV269*BA269)^2*(EXP(CH269^2*BT269)-1)+(BW269*BB269)^2*(EXP(CI269^2*BT269)-1)+2*BU269*AZ269*BV269*BA269*(EXP(CG269*CH269*BT269)-1)+2*BV269*BA269*BW269*BB269*(EXP(CH269*CI269*BT269)-1)+2*BW269*BB269*BU269*AZ269*(EXP(CI269*CG269*BT269)-1))/(BY269*BP269)^2)/BT269),0),"")</f>
        <v>#VALUE!</v>
      </c>
      <c r="CK269" s="1587" t="e">
        <f aca="false">IF(BS269,IF(BR269,SQRT(LN(1+((CA269*BH269)^2*(EXP(CG269^2*BT269)-1)+(CB269*BI269)^2*(EXP(CH269^2*BT269)-1)+(CC269*BJ269)^2*(EXP(CI269^2*BT269)-1)+2*CA269*BH269*CB269*BI269*(EXP(CG269*CH269*BT269)-1)+2*CB269*BI269*CC269*BJ269*(EXP(CH269*CI269*BT269)-1)+2*CC269*BJ269*CA269*BH269*(EXP(CI269*CG269*BT269)-1))/(CE269*BR269)^2)/BT269),0),"")</f>
        <v>#VALUE!</v>
      </c>
      <c r="CL269" s="1587" t="e">
        <f aca="false">IF(OR(BQ269,BS269),IF(OVolType&lt;&gt;2,SQRT(IF(OVolOverMonthlyOffPeak,OVolOverMonthlyOffPeak,IF(OVolCurve,IF(OBuySell,AD269,AF269),AE269))^2*(1-15/365.25/BT269)+IF(OVolOverDailyOffPeak,OVolOverDailyOffPeak,IF(OVolCurve,IF(OBuySell,AP269,AR269),AQ269))^2*15/365.25/BT269),IF(OVolOverMonthlyOffPeak,OVolOverMonthlyOffPeak,IF(OVolCurve,IF(OBuySell,AD269,AF269),AE269))),"")</f>
        <v>#VALUE!</v>
      </c>
      <c r="CM269" s="1587" t="e">
        <f aca="false">IF(BQ269,SQRT(LN(1+((BY269*BP269)^2*(EXP(CJ269^2*BT269)-1)+(BX269*BC269)^2*(EXP(CL269^2*BT269)-1)+2*BY269*BP269*BX269*BC269*(EXP(AS269*CJ269*CL269*BT269)-1))/(BY269*BP269+BX269*BC269)^2)/BT269),"")</f>
        <v>#VALUE!</v>
      </c>
      <c r="CN269" s="1588" t="e">
        <f aca="false">IF(BS269,SQRT(LN(1+((CE269*BR269)^2*(EXP(CK269^2*BT269)-1)+(CD269*BK269)^2*(EXP(CL269^2*BT269)-1)+2*CE269*BR269*CD269*BK269*(EXP(AS269*CK269*CL269*BT269)-1))/(CE269*BR269+CD269*BK269)^2)/BT269),"")</f>
        <v>#VALUE!</v>
      </c>
      <c r="CO269" s="1531" t="e">
        <f aca="false">IF(OR(BQ269,BS269),VLOOKUP(A269,GasTable,13)*HeatRatePeak*(1+VLOOKUP($B269,HeatRateDegradation,$C269+1))/1000,0)</f>
        <v>#VALUE!</v>
      </c>
      <c r="CP269" s="1316" t="e">
        <f aca="false">IF(OR(BQ269,BS269),VLOOKUP(A269,GasTable,13)*HeatRatePeak*(1+VLOOKUP($B269,HeatRateDegradation,$C269+1))/1000,0)</f>
        <v>#VALUE!</v>
      </c>
      <c r="CQ269" s="1316" t="e">
        <f aca="false">IF(OR(BQ269,BS269),VLOOKUP(A269,GasTable,13)*IF(EV269,HeatRatePeak,HeatRateOffPeak)*(1+VLOOKUP($B269,HeatRateDegradation,$C269+1))/1000,0)</f>
        <v>#VALUE!</v>
      </c>
      <c r="CR269" s="1316" t="e">
        <f aca="false">IF(OR(BQ269,BS269),VLOOKUP(A269,GasTable,13)*IF(EW269,HeatRatePeak,HeatRateOffPeak)*(1+VLOOKUP($B269,HeatRateDegradation,$C269+1))/1000,0)</f>
        <v>#VALUE!</v>
      </c>
      <c r="CS269" s="1589" t="e">
        <f aca="false">IF(BQ269,(CO269*AZ269+CP269*BA269+CQ269*BB269+CR269*BC269)/BQ269,0)</f>
        <v>#VALUE!</v>
      </c>
      <c r="CT269" s="1316" t="e">
        <f aca="false">IF(BS269,CO269,0)</f>
        <v>#VALUE!</v>
      </c>
      <c r="CU269" s="1590" t="e">
        <f aca="false">IF(OR(BQ269,BS269),VLOOKUP(A269,GasTable,14),"")</f>
        <v>#VALUE!</v>
      </c>
      <c r="CV269" s="1568" t="e">
        <f aca="false">IF(OR(BQ269,BS269),IF(CorrPowerGasOverFlag,INDEX(CorrPowerGasOver,C269),CorrPowerGas),"")</f>
        <v>#VALUE!</v>
      </c>
      <c r="CW269" s="1316" t="e">
        <f aca="false">IF(OR($BQ269,$BS269),SpreadOptPowerMargin,0)*((1+Assumptions!$C$26)^($B269-YEAR(Assumptions!$C$17)))</f>
        <v>#VALUE!</v>
      </c>
      <c r="CX269" s="1316" t="e">
        <f aca="false">IF(OR($BQ269,$BS269),SpreadOptPowerMargin,0)*((1+Assumptions!$C$26)^($B269-YEAR(Assumptions!$C$17)))</f>
        <v>#VALUE!</v>
      </c>
      <c r="CY269" s="1316" t="e">
        <f aca="false">IF(OR($BQ269,$BS269),SpreadOptPowerMargin,0)*((1+Assumptions!$C$26)^($B269-YEAR(Assumptions!$C$17)))</f>
        <v>#VALUE!</v>
      </c>
      <c r="CZ269" s="1316" t="e">
        <f aca="false">IF(OR($BQ269,$BS269),SpreadOptPowerMargin,0)*((1+Assumptions!$C$26)^($B269-YEAR(Assumptions!$C$17)))</f>
        <v>#VALUE!</v>
      </c>
      <c r="DA269" s="1591" t="e">
        <f aca="false">IF(OR(BQ269,BS269),(CW269*(AZ269+BH269)+CX269*(BA269+BI269)+CY269*(BB269+BJ269)+CZ269*(BC269+BK269))/(BQ269+BS269),0)</f>
        <v>#VALUE!</v>
      </c>
      <c r="DB269" s="1592" t="e">
        <f aca="false">IF(OR(BQ269,BS269),CG269+IF(OVolSmile,VLOOKUP(MAX(-5,CO269+CW269-BU269),IF(OVolSmile=1,VolSmileBook,VolSmileModel),2),0),"")</f>
        <v>#VALUE!</v>
      </c>
      <c r="DC269" s="1592" t="e">
        <f aca="false">IF(OR(BQ269,BS269),CH269+IF(OVolSmile,VLOOKUP(MAX(-5,CP269+CW269-BV269),IF(OVolSmile=1,VolSmileBook,VolSmileModel),2),0),"")</f>
        <v>#VALUE!</v>
      </c>
      <c r="DD269" s="1592" t="e">
        <f aca="false">IF(OR(BQ269,BS269),CI269+IF(OVolSmile,VLOOKUP(MAX(-5,CQ269+CW269-BW269),IF(OVolSmile=1,VolSmileBook,VolSmileModel),2),0),"")</f>
        <v>#VALUE!</v>
      </c>
      <c r="DE269" s="1592" t="e">
        <f aca="false">IF(OR(BQ269,BS269),CL269+IF(OVolSmile,VLOOKUP(MAX(-5,CR269+CZ269-BX269),IF(OVolSmile=1,VolSmileBook,VolSmileModel),2),0),"")</f>
        <v>#VALUE!</v>
      </c>
      <c r="DF269" s="1592" t="e">
        <f aca="false">IF(BQ269,CM269+IF(OVolSmile,VLOOKUP(MAX(-5,CS269+DA269-BZ269),IF(OVolSmile=1,VolSmileBook,VolSmileModel),2),0),"")</f>
        <v>#VALUE!</v>
      </c>
      <c r="DG269" s="1593" t="e">
        <f aca="false">IF(BS269,CN269+IF(OVolSmile,VLOOKUP(MAX(-5,CT269+DA269-CF269),IF(OVolSmile=1,VolSmileBook,VolSmileModel),2),0),"")</f>
        <v>#VALUE!</v>
      </c>
      <c r="DH269" s="1316" t="e">
        <f aca="false">IF(AND(BU269&gt;0,CO269&gt;0,DB269&gt;0,CU269&gt;0),newSPRDOPT(BU269,CO269,CW269,0,DB269,CU269,CV269,BT269*365.25,OCallPut,0),0)</f>
        <v>#VALUE!</v>
      </c>
      <c r="DI269" s="1316" t="e">
        <f aca="false">IF(AND(BV269&gt;0,CP269&gt;0,DC269&gt;0,CU269&gt;0),newSPRDOPT(BV269,CP269,CX269,0,DC269,CU269,CV269,BT269*365.25,OCallPut,0),0)</f>
        <v>#VALUE!</v>
      </c>
      <c r="DJ269" s="1316" t="e">
        <f aca="false">IF(AND(BW269&gt;0,CQ269&gt;0,DD269&gt;0,CU269&gt;0),newSPRDOPT(BW269,CQ269,CY269,0,DD269,CU269,CV269,BT269*365.25,OCallPut,0),0)</f>
        <v>#VALUE!</v>
      </c>
      <c r="DK269" s="1316" t="e">
        <f aca="false">IF(AND(BX269&gt;0,CR269&gt;0,DE269&gt;0,CU269&gt;0),newSPRDOPT(BX269,CR269,CZ269,0,DE269,CU269,CV269,BT269*365.25,OCallPut,0),0)</f>
        <v>#VALUE!</v>
      </c>
      <c r="DL269" s="1316" t="e">
        <f aca="false">IF(OVolType,IF(AND(BZ269&gt;0,CS269&gt;0,DF269&gt;0,CU269&gt;0),newSPRDOPT(BZ269,CS269,DA269,0,DF269,CU269,CV269,BT269*365.25,OCallPut,0),0),IF(BQ269,(DH269*AZ269+DI269*BA269+DJ269*BB269+DK269*BC269)/BQ269,0))</f>
        <v>#VALUE!</v>
      </c>
      <c r="DM269" s="1316"/>
      <c r="DN269" s="1316"/>
      <c r="DO269" s="1316"/>
      <c r="DP269" s="1316"/>
      <c r="DQ269" s="1316"/>
      <c r="DR269" s="1316"/>
      <c r="DS269" s="1316"/>
      <c r="DT269" s="1316"/>
      <c r="DU269" s="1316"/>
      <c r="DV269" s="1316"/>
      <c r="DW269" s="1594" t="e">
        <f aca="false">IF(AND(BW269&gt;0,CT269&gt;0,DD269&gt;0,CU269&gt;0),newSPRDOPT(BW269,CT269,CY269,0,DD269,CU269,CV269,BT269*365.25,OCallPut,0),0)</f>
        <v>#VALUE!</v>
      </c>
      <c r="DX269" s="1316" t="e">
        <f aca="false">IF(AND(BX269&gt;0,CT269&gt;0,DE269&gt;0,CU269&gt;0),newSPRDOPT(BX269,CT269,CZ269,0,DE269,CU269,CV269,BT269*365.25,OCallPut,0),0)</f>
        <v>#VALUE!</v>
      </c>
      <c r="DY269" s="1591" t="e">
        <f aca="false">IF(BS269,(DH269*BH269+DI269*BI269+DW269*BJ269+DX269*BK269)/BS269,0)</f>
        <v>#VALUE!</v>
      </c>
      <c r="DZ269" s="1551" t="e">
        <f aca="false">DH269*AZ269</f>
        <v>#VALUE!</v>
      </c>
      <c r="EA269" s="1551" t="e">
        <f aca="false">DI269*BA269</f>
        <v>#VALUE!</v>
      </c>
      <c r="EB269" s="1551" t="e">
        <f aca="false">DJ269*BB269</f>
        <v>#VALUE!</v>
      </c>
      <c r="EC269" s="1551" t="e">
        <f aca="false">DK269*BC269</f>
        <v>#VALUE!</v>
      </c>
      <c r="ED269" s="1551" t="e">
        <f aca="false">DL269*BQ269</f>
        <v>#VALUE!</v>
      </c>
      <c r="EE269" s="1595" t="e">
        <f aca="false">IF(BQ269,IF(OCallPut,IF(BU269&gt;(CO269+CW269),BU269-(CO269+CW269),0),IF((CO269+CW269)&gt;BU269,(CO269+CW269)-BU269,0))*AZ269,0)</f>
        <v>#VALUE!</v>
      </c>
      <c r="EF269" s="1596" t="e">
        <f aca="false">IF(BQ269,IF(OCallPut,IF(BV269&gt;(CP269+CX269),BV269-(CP269+CX269),0),IF((CP269+CX269)&gt;BV269,(CP269+CX269)-BV269,0))*BA269,0)</f>
        <v>#VALUE!</v>
      </c>
      <c r="EG269" s="1596" t="e">
        <f aca="false">IF(BQ269,IF(OCallPut,IF(BW269&gt;(CQ269+CY269),BW269-(CQ269+CY269),0),IF((CQ269+CY269)&gt;BW269,(CQ269+CY269)-BW269,0))*BB269,0)</f>
        <v>#VALUE!</v>
      </c>
      <c r="EH269" s="1596" t="e">
        <f aca="false">IF(BQ269,IF(OCallPut,IF(BX269&gt;(CR269+CZ269),BX269-(CR269+CZ269),0),IF((CR269+CZ269)&gt;BX269,(CR269+CZ269)-BX269,0))*BC269,0)</f>
        <v>#VALUE!</v>
      </c>
      <c r="EI269" s="1597" t="e">
        <f aca="false">IF(BQ269,IF(OVolType,IF(OCallPut,IF(BZ269&gt;(CS269+DA269),BZ269-(CS269+DA269),0),IF((CS269+DA269)&gt;BZ269,(CS269+DA269)-BZ269,0))*BQ269,SUM(EE269:EH269)),0)</f>
        <v>#VALUE!</v>
      </c>
      <c r="EJ269" s="1595" t="e">
        <f aca="false">DZ269-EE269</f>
        <v>#VALUE!</v>
      </c>
      <c r="EK269" s="1596" t="e">
        <f aca="false">EA269-EF269</f>
        <v>#VALUE!</v>
      </c>
      <c r="EL269" s="1596" t="e">
        <f aca="false">EB269-EG269</f>
        <v>#VALUE!</v>
      </c>
      <c r="EM269" s="1596" t="e">
        <f aca="false">EC269-EH269</f>
        <v>#VALUE!</v>
      </c>
      <c r="EN269" s="1597" t="e">
        <f aca="false">ED269-EI269</f>
        <v>#VALUE!</v>
      </c>
      <c r="EO269" s="1551" t="e">
        <f aca="false">DH269*BH269</f>
        <v>#VALUE!</v>
      </c>
      <c r="EP269" s="1551" t="e">
        <f aca="false">DI269*BI269</f>
        <v>#VALUE!</v>
      </c>
      <c r="EQ269" s="1551" t="e">
        <f aca="false">DW269*BJ269</f>
        <v>#VALUE!</v>
      </c>
      <c r="ER269" s="1551" t="e">
        <f aca="false">DX269*BK269</f>
        <v>#VALUE!</v>
      </c>
      <c r="ES269" s="1551" t="e">
        <f aca="false">DY269*BS269</f>
        <v>#VALUE!</v>
      </c>
      <c r="ET269" s="1566" t="e">
        <f aca="false">IF(EI269,IF(OCallPut,IF(CA269&gt;(CT269+CW269),CA269-(CT269+CW269),0),IF((CT269+CW269)&gt;CA269,(CT269+CW269)-CA269,0))*BH269,0)</f>
        <v>#VALUE!</v>
      </c>
      <c r="EU269" s="1551" t="e">
        <f aca="false">IF(EI269,IF(OCallPut,IF(CB269&gt;(CT269+CX269),CB269-(CT269+CX269),0),IF((CT269+CX269)&gt;CB269,(CT269+CX269)-CB269,0))*BI269,0)</f>
        <v>#VALUE!</v>
      </c>
      <c r="EV269" s="1551" t="e">
        <f aca="false">IF(EI269,IF(OCallPut,IF(CC269&gt;(CT269+CY269),CC269-(CT269+CY269),0),IF((CT269+CY269)&gt;CC269,(CT269+CY269)-CC269,0))*BJ269,0)</f>
        <v>#VALUE!</v>
      </c>
      <c r="EW269" s="1551" t="e">
        <f aca="false">IF(EI269,IF(OCallPut,IF(CD269&gt;(CT269+CZ269),CD269-(CT269+CZ269),0),IF((CT269+CZ269)&gt;CD269,(CT269+CZ269)-CD269,0))*BK269,0)</f>
        <v>#VALUE!</v>
      </c>
      <c r="EX269" s="1558" t="e">
        <f aca="false">IF(EI269,SUM(ET269:EW269),0)</f>
        <v>#VALUE!</v>
      </c>
      <c r="EY269" s="1551" t="e">
        <f aca="false">EO269-ET269</f>
        <v>#VALUE!</v>
      </c>
      <c r="EZ269" s="1551" t="e">
        <f aca="false">EP269-EU269</f>
        <v>#VALUE!</v>
      </c>
      <c r="FA269" s="1551" t="e">
        <f aca="false">EQ269-EV269</f>
        <v>#VALUE!</v>
      </c>
      <c r="FB269" s="1551" t="e">
        <f aca="false">ER269-EW269</f>
        <v>#VALUE!</v>
      </c>
      <c r="FC269" s="1551" t="e">
        <f aca="false">ES269-EX269</f>
        <v>#VALUE!</v>
      </c>
      <c r="FD269" s="1525" t="n">
        <f aca="false">IF(AX269,IF(VLOOKUP(C269,MAIN!$L$17:$M$28,2)="Yes",VLOOKUP(CALC!B269,MAIN!$H$17:$I$20,2),0),0)</f>
        <v>0</v>
      </c>
      <c r="FE269" s="1552" t="e">
        <f aca="false">$FD269*16*AT269*(1-$AY269)</f>
        <v>#VALUE!</v>
      </c>
      <c r="FF269" s="1553" t="e">
        <f aca="false">$FD269*16*AU269*(1-$AY269)</f>
        <v>#VALUE!</v>
      </c>
      <c r="FG269" s="1553" t="e">
        <f aca="false">$FD269*16*(AV269+AW269)*(1-$AY269)</f>
        <v>#VALUE!</v>
      </c>
      <c r="FH269" s="1554" t="n">
        <f aca="false">$FD269*8*AX269*(1-$AY269)</f>
        <v>0</v>
      </c>
      <c r="FI269" s="1555" t="n">
        <f aca="false">IF(AX269,VLOOKUP(CALC!B269,MAIN!$H$17:$K$20,4),0)</f>
        <v>0</v>
      </c>
      <c r="FJ269" s="1553" t="e">
        <f aca="false">SUM(FE269:FH269)</f>
        <v>#VALUE!</v>
      </c>
      <c r="FK269" s="1556" t="e">
        <f aca="false">FI269*FJ269</f>
        <v>#VALUE!</v>
      </c>
      <c r="FL269" s="1551" t="e">
        <f aca="false">IF($EI269&gt;0,MIN(FE269,AZ269*(1+VLOOKUP($C269,WeatherCapacityAdjustment,2))),0)</f>
        <v>#VALUE!</v>
      </c>
      <c r="FM269" s="1551" t="e">
        <f aca="false">IF($EI269&gt;0,MIN(FF269,BA269*(1+VLOOKUP($C269,WeatherCapacityAdjustment,2))),0)</f>
        <v>#VALUE!</v>
      </c>
      <c r="FN269" s="1551" t="e">
        <f aca="false">IF($EI269&gt;0,MIN(FG269,BB269*(1+VLOOKUP($C269,WeatherCapacityAdjustment,2))),0)</f>
        <v>#VALUE!</v>
      </c>
      <c r="FO269" s="1564" t="e">
        <f aca="false">IF($EI269&gt;0,MIN(FH269,BC269*(1+VLOOKUP($C269,WeatherCapacityAdjustment,3))),0)</f>
        <v>#VALUE!</v>
      </c>
      <c r="FP269" s="1551" t="e">
        <f aca="false">IF(ET269&gt;0,MIN(FE269-FL269,BH269*(1+VLOOKUP($C269,WeatherCapacityAdjustment,2))),0)</f>
        <v>#VALUE!</v>
      </c>
      <c r="FQ269" s="1551" t="e">
        <f aca="false">IF(EU269&gt;0,MIN(FF269-FM269,BI269*(1+VLOOKUP($C269,WeatherCapacityAdjustment,2))),0)</f>
        <v>#VALUE!</v>
      </c>
      <c r="FR269" s="1551" t="e">
        <f aca="false">IF(EV269&gt;0,MIN(FG269-FN269,BJ269*(1+VLOOKUP($C269,WeatherCapacityAdjustment,2))),0)</f>
        <v>#VALUE!</v>
      </c>
      <c r="FS269" s="1558" t="e">
        <f aca="false">IF(EW269&gt;0,MIN(FH269-FO269,BK269*(1+VLOOKUP($C269,WeatherCapacityAdjustment,3))),0)</f>
        <v>#VALUE!</v>
      </c>
      <c r="FT269" s="1566" t="e">
        <f aca="false">IF(AND(Assumptions!$H$71="Yes",A269&gt;=Assumptions!$H$72,A269&lt;=Assumptions!$H$73),0,IF(AND($A269&gt;=Assumptions!$C$17,$A269&lt;=Assumptions!$C$18),MAX(AZ269*(1+VLOOKUP($C269,WeatherCapacityAdjustment,2))-FL269,0),0))</f>
        <v>#VALUE!</v>
      </c>
      <c r="FU269" s="1551" t="e">
        <f aca="false">IF(AND(Assumptions!$H$71="Yes",A269&gt;=Assumptions!$H$72,A269&lt;=Assumptions!$H$73),0,IF(AND($A269&gt;=Assumptions!$C$17,$A269&lt;=Assumptions!$C$18),MAX(BA269*(1+VLOOKUP($C269,WeatherCapacityAdjustment,2))-FM269,0),0))</f>
        <v>#VALUE!</v>
      </c>
      <c r="FV269" s="1551" t="e">
        <f aca="false">IF(AND(Assumptions!$H$71="Yes",A269&gt;=Assumptions!$H$72,A269&lt;=Assumptions!$H$73),0,IF(AND($A269&gt;=Assumptions!$C$17,$A269&lt;=Assumptions!$C$18),MAX(BB269*(1+VLOOKUP($C269,WeatherCapacityAdjustment,2))-FN269,0),0))</f>
        <v>#VALUE!</v>
      </c>
      <c r="FW269" s="1564" t="e">
        <f aca="false">IF(AND(Assumptions!$H$71="Yes",A269&gt;=Assumptions!$H$72,A269&lt;=Assumptions!$H$73),0,IF(AND($A269&gt;=Assumptions!$C$17,$A269&lt;=Assumptions!$C$18),MAX(BC269*(1+VLOOKUP($C269,WeatherCapacityAdjustment,3))-FO269,0),0))</f>
        <v>#VALUE!</v>
      </c>
      <c r="FX269" s="1569" t="e">
        <f aca="false">IF(AND(Assumptions!$H$71="Yes",A269&gt;=Assumptions!$H$72,A269&lt;=Assumptions!$H$73),0,IF(ET269&gt;0,MAX(BH269*(1+VLOOKUP($C269,WeatherCapacityAdjustment,2))-FP269,0),0))</f>
        <v>#VALUE!</v>
      </c>
      <c r="FY269" s="1551" t="e">
        <f aca="false">IF(AND(Assumptions!$H$71="Yes",A269&gt;=Assumptions!$H$72,A269&lt;=Assumptions!$H$73),0,IF(EU269&gt;0,MAX(BI269*(1+VLOOKUP($C269,WeatherCapacityAdjustment,3))-FQ269,0),0))</f>
        <v>#VALUE!</v>
      </c>
      <c r="FZ269" s="1551" t="e">
        <f aca="false">IF(AND(Assumptions!$H$71="Yes",A269&gt;=Assumptions!$H$72,A269&lt;=Assumptions!$H$73),0,IF(EV269&gt;0,MAX(BJ269*(1+VLOOKUP($C269,WeatherCapacityAdjustment,2))-FR269,0),0))</f>
        <v>#VALUE!</v>
      </c>
      <c r="GA269" s="1564" t="e">
        <f aca="false">IF(AND(Assumptions!$H$71="Yes",A269&gt;=Assumptions!$H$72,A269&lt;=Assumptions!$H$73),0,IF(EW269&gt;0,MAX(BK269*(1+VLOOKUP($C269,WeatherCapacityAdjustment,2))-FS269,0),0))</f>
        <v>#VALUE!</v>
      </c>
      <c r="GB269" s="1551" t="e">
        <f aca="false">SUM(FT269:GA269)</f>
        <v>#VALUE!</v>
      </c>
      <c r="GC269" s="1563" t="e">
        <f aca="false">+IF(SUM(FT269:GA269)=0,0,(SUMPRODUCT(BU269:BX269,FT269:FW269)+SUMPRODUCT(CA269:CD269,FX269:GA269))/SUM(FT269:GA269))</f>
        <v>#VALUE!</v>
      </c>
      <c r="GD269" s="1551" t="e">
        <f aca="false">(FT269*BU269+FX269*CA269+FU269*BV269+FY269*CB269+FV269*BW269+FZ269*CC269+FW269*BX269+GA269*CD269)</f>
        <v>#VALUE!</v>
      </c>
      <c r="GE269" s="1561" t="e">
        <f aca="false">+IF(BQ269,((FL269+FM269+FT269+FU269)*HeatRatePeak/1000*(1+VLOOKUP($C269,WeatherHeatRateAdjustment,2))+(FN269+FV269)*IF(EV269&gt;0,HeatRatePeak,HeatRateOffPeak)/1000*(1+VLOOKUP($C269,WeatherHeatRateAdjustment,2))+(FO269+FW269)*IF(EW269&gt;0,HeatRatePeak,HeatRateOffPeak)/1000*(1+VLOOKUP($C269,WeatherHeatRateAdjustment,3)))*(1+VLOOKUP($B269,HeatRateDegradation,$C269+1)),0)</f>
        <v>#VALUE!</v>
      </c>
      <c r="GF269" s="1562" t="e">
        <f aca="false">IF(BQ269,((FP269+FQ269+FR269+FX269+FY269+FZ269)*HeatRatePeak/1000*(1+VLOOKUP($C269,WeatherHeatRateAdjustment,2))+(FS269+GA269)*HeatRatePeak/1000*(1+VLOOKUP($C269,WeatherHeatRateAdjustment,3)))*(1+VLOOKUP($B269,HeatRateDegradation,$C269+1)),0)</f>
        <v>#VALUE!</v>
      </c>
      <c r="GG269" s="1563" t="e">
        <f aca="false">IF(BQ269,VLOOKUP(A269,GasTable,13),0)</f>
        <v>#VALUE!</v>
      </c>
      <c r="GH269" s="1564" t="e">
        <f aca="false">(GE269+GF269)*GG269</f>
        <v>#VALUE!</v>
      </c>
      <c r="GI269" s="1569" t="e">
        <f aca="false">GB269</f>
        <v>#VALUE!</v>
      </c>
      <c r="GJ269" s="1598" t="e">
        <f aca="false">+DA269</f>
        <v>#VALUE!</v>
      </c>
      <c r="GK269" s="1558" t="e">
        <f aca="false">+GI269*GJ269</f>
        <v>#VALUE!</v>
      </c>
      <c r="GL269" s="1566" t="e">
        <f aca="false">MAX(FE269-FL269-FP269,0)</f>
        <v>#VALUE!</v>
      </c>
      <c r="GM269" s="1551" t="e">
        <f aca="false">MAX(FF269-FM269-FQ269,0)</f>
        <v>#VALUE!</v>
      </c>
      <c r="GN269" s="1551" t="e">
        <f aca="false">MAX(FG269-FN269-FR269,0)</f>
        <v>#VALUE!</v>
      </c>
      <c r="GO269" s="1564" t="e">
        <f aca="false">MAX(FH269-FO269-FS269,0)</f>
        <v>#VALUE!</v>
      </c>
      <c r="GP269" s="1551" t="e">
        <f aca="false">SUM(GL269:GO269)</f>
        <v>#VALUE!</v>
      </c>
      <c r="GQ269" s="1563" t="e">
        <f aca="false">IF(SUM(GL269:GO269)=0,0,((GL269*BU269+GM269*BV269+GN269*BW269+GO269*BX269)/SUM(GL269:GO269)))</f>
        <v>#VALUE!</v>
      </c>
      <c r="GR269" s="1558" t="e">
        <f aca="false">(GL269*BU269+GM269*BV269+GN269*BW269+GO269*BX269)</f>
        <v>#VALUE!</v>
      </c>
      <c r="GS269" s="1566" t="n">
        <f aca="false">IF($A269&gt;=BegDate,Assumptions!$C$56*24*($A270-$A269)*(1-VLOOKUP($B269,MAIN!$AA$7:$AM$28,$C269+1))*(1-VLOOKUP($B269,MAIN!$AA$33:$AM$54,$C269+1)),0)*80/168</f>
        <v>257742.857142857</v>
      </c>
      <c r="GT269" s="286" t="n">
        <f aca="false">J269</f>
        <v>50.7410231611115</v>
      </c>
      <c r="GU269" s="286" t="n">
        <f aca="false">IF($A269&gt;=BegDate,VLOOKUP($A269,GasTable,13)+Assumptions!$C$58,0)</f>
        <v>3.63370909976963</v>
      </c>
      <c r="GV269" s="286" t="n">
        <f aca="false">GU269*Assumptions!$C$57/1000</f>
        <v>26.3443909733298</v>
      </c>
      <c r="GW269" s="1558" t="n">
        <f aca="false">IF(Assumptions!$C$60="Hourly",MAX(0,GS269*(GT269-GV269)),GS269*(GT269-GV269))</f>
        <v>6288057.68474224</v>
      </c>
      <c r="GX269" s="1566" t="n">
        <f aca="false">IF($A269&gt;=BegDate,Assumptions!$C$56*24*($A270-$A269)*(1-VLOOKUP($B269,MAIN!$AA$7:$AM$28,$C269+1))*(1-VLOOKUP($B269,MAIN!$AA$33:$AM$54,$C269+1)),0)*16/168</f>
        <v>51548.5714285714</v>
      </c>
      <c r="GY269" s="286" t="n">
        <f aca="false">M269</f>
        <v>50.7410231611115</v>
      </c>
      <c r="GZ269" s="286" t="n">
        <f aca="false">IF($A269&gt;=BegDate,VLOOKUP($A269,GasTable,13)+Assumptions!$C$58,0)</f>
        <v>3.63370909976963</v>
      </c>
      <c r="HA269" s="286" t="n">
        <f aca="false">GZ269*Assumptions!$C$57/1000</f>
        <v>26.3443909733298</v>
      </c>
      <c r="HB269" s="1558" t="n">
        <f aca="false">IF(Assumptions!$C$60="Hourly",MAX(0,GX269*(GY269-HA269)),GX269*(GY269-HA269))</f>
        <v>1257611.53694845</v>
      </c>
      <c r="HC269" s="1566" t="n">
        <f aca="false">IF($A269&gt;=BegDate,Assumptions!$C$56*24*($A270-$A269)*(1-VLOOKUP($B269,MAIN!$AA$7:$AM$28,$C269+1))*(1-VLOOKUP($B269,MAIN!$AA$33:$AM$54,$C269+1)),0)*16/168</f>
        <v>51548.5714285714</v>
      </c>
      <c r="HD269" s="286" t="n">
        <f aca="false">P269</f>
        <v>30.3293929412038</v>
      </c>
      <c r="HE269" s="286" t="n">
        <f aca="false">IF($A269&gt;=BegDate,VLOOKUP($A269,GasTable,13)+Assumptions!$C$58,0)</f>
        <v>3.63370909976963</v>
      </c>
      <c r="HF269" s="286" t="n">
        <f aca="false">HE269*Assumptions!$C$57/1000</f>
        <v>26.3443909733298</v>
      </c>
      <c r="HG269" s="1558" t="n">
        <f aca="false">IF(Assumptions!$C$60="Hourly",MAX(0,HC269*(HD269-HF269)),HC269*(HD269-HF269))</f>
        <v>205421.158583949</v>
      </c>
      <c r="HH269" s="1566" t="n">
        <f aca="false">IF($A269&gt;=BegDate,Assumptions!$C$56*24*($A270-$A269)*(1-VLOOKUP($B269,MAIN!$AA$7:$AM$28,$C269+1))*(1-VLOOKUP($B269,MAIN!$AA$33:$AM$54,$C269+1)),0)*56/168</f>
        <v>180420</v>
      </c>
      <c r="HI269" s="286" t="n">
        <f aca="false">S269</f>
        <v>30.3293929412038</v>
      </c>
      <c r="HJ269" s="286" t="n">
        <f aca="false">IF($A269&gt;=BegDate,VLOOKUP($A269,GasTable,13)+Assumptions!$C$58,0)</f>
        <v>3.63370909976963</v>
      </c>
      <c r="HK269" s="286" t="n">
        <f aca="false">HJ269*Assumptions!$C$57/1000</f>
        <v>26.3443909733298</v>
      </c>
      <c r="HL269" s="1558" t="n">
        <f aca="false">IF(Assumptions!$C$60="Hourly",MAX(0,HH269*(HI269-HK269)),HH269*(HI269-HK269))</f>
        <v>718974.055043822</v>
      </c>
      <c r="HM269" s="1566" t="n">
        <f aca="false">IF(AND(Assumptions!$H$71="Yes",A269&gt;=Assumptions!$H$72,A269&lt;=Assumptions!$H$73),Assumptions!$H$74*Assumptions!$C$9*1000,0)</f>
        <v>0</v>
      </c>
      <c r="HN269" s="1551"/>
      <c r="HO269" s="1563"/>
      <c r="HP269" s="1563"/>
      <c r="HQ269" s="1563"/>
      <c r="HR269" s="1563"/>
      <c r="HS269" s="1563"/>
      <c r="HT269" s="1563"/>
      <c r="HU269" s="1563"/>
      <c r="HV269" s="1563"/>
      <c r="HW269" s="1563"/>
      <c r="HX269" s="1563"/>
      <c r="HY269" s="1563"/>
      <c r="HZ269" s="1563"/>
      <c r="IA269" s="1563"/>
      <c r="IB269" s="1563"/>
      <c r="IC269" s="1563"/>
      <c r="ID269" s="1563"/>
      <c r="IE269" s="1563"/>
      <c r="IF269" s="1563"/>
      <c r="IG269" s="1563"/>
      <c r="IH269" s="1563"/>
      <c r="II269" s="1610"/>
      <c r="IJ269" s="1309"/>
      <c r="IK269" s="1309"/>
      <c r="IN269" s="1308"/>
      <c r="IO269" s="1308"/>
    </row>
    <row r="270" customFormat="false" ht="12.75" hidden="false" customHeight="false" outlineLevel="0" collapsed="false">
      <c r="A270" s="1571" t="n">
        <f aca="false">EOMONTH(A269,0)+1</f>
        <v>44348</v>
      </c>
      <c r="B270" s="594" t="n">
        <f aca="false">+YEAR(A270)</f>
        <v>2021</v>
      </c>
      <c r="C270" s="238" t="n">
        <f aca="false">MONTH(A270)</f>
        <v>6</v>
      </c>
      <c r="D270" s="1572" t="e">
        <f aca="false">IF(E270="","",Holiday(B270,C270))</f>
        <v>#VALUE!</v>
      </c>
      <c r="E270" s="1573" t="n">
        <f aca="false">IF(OR(BegDate&gt;=A271,EndDate&lt;A270,AND(VolumeMonthlyOverFlag,INDEX(VolumeMonthlyOver,C270)=0),NOT(INDEX(MonthKnockOutTable,C270))),"",MAX(A270,BegDate))</f>
        <v>44348</v>
      </c>
      <c r="F270" s="1574" t="n">
        <f aca="false">IF(E270="","",MIN(A271-1,EndDate))</f>
        <v>44377</v>
      </c>
      <c r="G270" s="1575" t="n">
        <v>0</v>
      </c>
      <c r="H270" s="1576" t="n">
        <f aca="false">(1+G270/2)^(-2*(DATE(B271,C271,20)-DateToday)/365.25)</f>
        <v>1</v>
      </c>
      <c r="I270" s="1568" t="n">
        <f aca="false">IF(Assumptions!$L$25=4,VLOOKUP($A270,'Henwood Reference'!$E$9:$R$320,10),(VLOOKUP($A270,PriceTable,2,0)+IF(BasisNumber&lt;&gt;1,VLOOKUP($A270,BasisTable,2,0),0)+I$1)/(1-I$2))</f>
        <v>49.2518809782318</v>
      </c>
      <c r="J270" s="1568" t="n">
        <f aca="false">IF(Assumptions!$L$25=4,VLOOKUP($A270,'Henwood Reference'!$E$9:$R$320,10),(VLOOKUP($A270,PriceTable,3,0)+IF(BasisNumber&lt;&gt;1,VLOOKUP($A270,BasisTable,2,0),0)+J$1)/(1-J$2))</f>
        <v>49.2518809782318</v>
      </c>
      <c r="K270" s="1568" t="n">
        <f aca="false">IF(Assumptions!$L$25=4,VLOOKUP($A270,'Henwood Reference'!$E$9:$R$320,10),(VLOOKUP($A270,PriceTable,4,0)+IF(BasisNumber&lt;&gt;1,VLOOKUP($A270,BasisTable,2,0),0)+K$1)/(1-K$2))</f>
        <v>49.2518809782318</v>
      </c>
      <c r="L270" s="1523" t="n">
        <f aca="false">IF(Assumptions!$L$25=4,VLOOKUP($A270,'Henwood Reference'!$E$9:$R$320,10),(VLOOKUP($A270,PriceTableWeekend,2,0)+IF(BasisNumber&lt;&gt;1,VLOOKUP($A270,BasisTable,2,0),0)+L$1)/(1-L$2))</f>
        <v>49.2518809782318</v>
      </c>
      <c r="M270" s="1568" t="n">
        <f aca="false">IF(Assumptions!$L$25=4,VLOOKUP($A270,'Henwood Reference'!$E$9:$R$320,10),(VLOOKUP($A270,PriceTableWeekend,3,0)+IF(BasisNumber&lt;&gt;1,VLOOKUP($A270,BasisTable,2,0),0)+M$1)/(1-M$2))</f>
        <v>49.2518809782318</v>
      </c>
      <c r="N270" s="1599" t="n">
        <f aca="false">IF(Assumptions!$L$25=4,VLOOKUP($A270,'Henwood Reference'!$E$9:$R$320,10),(VLOOKUP($A270,PriceTableWeekend,4,0)+IF(BasisNumber&lt;&gt;1,VLOOKUP($A270,BasisTable,2,0),0)+N$1)/(1-N$2))</f>
        <v>49.2518809782318</v>
      </c>
      <c r="O270" s="1568" t="n">
        <f aca="false">IF(Assumptions!$L$25=4,VLOOKUP($A270,'Henwood Reference'!$E$9:$R$320,11),(VLOOKUP($A270,PriceTableWeekend,6,0)+IF(BasisNumber&lt;&gt;1,VLOOKUP($A270,BasisTable,3,0),0)+O$1)/(1-O$2))</f>
        <v>29.5830788334684</v>
      </c>
      <c r="P270" s="1568" t="n">
        <f aca="false">IF(Assumptions!$L$25=4,VLOOKUP($A270,'Henwood Reference'!$E$9:$R$320,11),(VLOOKUP($A270,PriceTableWeekend,7,0)+IF(BasisNumber&lt;&gt;1,VLOOKUP($A270,BasisTable,3,0),0)+P$1)/(1-P$2))</f>
        <v>29.5830788334684</v>
      </c>
      <c r="Q270" s="1599" t="n">
        <f aca="false">IF(Assumptions!$L$25=4,VLOOKUP($A270,'Henwood Reference'!$E$9:$R$320,11),(VLOOKUP($A270,PriceTableWeekend,8,0)+IF(BasisNumber&lt;&gt;1,VLOOKUP($A270,BasisTable,3,0),0)+Q$1)/(1-Q$2))</f>
        <v>29.5830788334684</v>
      </c>
      <c r="R270" s="1568" t="n">
        <f aca="false">IF(Assumptions!$L$25=4,VLOOKUP($A270,'Henwood Reference'!$E$9:$R$320,11),(VLOOKUP($A270,PriceTable,6,0)+IF(BasisNumber&lt;&gt;1,VLOOKUP($A270,BasisTable,3,0),0)+R$1)/(1-R$2))</f>
        <v>29.5830788334684</v>
      </c>
      <c r="S270" s="1568" t="n">
        <f aca="false">IF(Assumptions!$L$25=4,VLOOKUP($A270,'Henwood Reference'!$E$9:$R$320,11),(VLOOKUP($A270,PriceTable,7,0)+IF(BasisNumber&lt;&gt;1,VLOOKUP($A270,BasisTable,3,0),0)+S$1)/(1-S$2))</f>
        <v>29.5830788334684</v>
      </c>
      <c r="T270" s="1600" t="n">
        <f aca="false">IF(Assumptions!$L$25=4,VLOOKUP($A270,'Henwood Reference'!$E$9:$R$320,11),(VLOOKUP($A270,PriceTable,8,0)+IF(BasisNumber&lt;&gt;1,VLOOKUP($A270,BasisTable,3,0),0)+T$1)/(1-T$2))</f>
        <v>29.5830788334684</v>
      </c>
      <c r="U270" s="1513" t="n">
        <f aca="false">VLOOKUP($A270,VolatilityTable,14)</f>
        <v>0.09</v>
      </c>
      <c r="V270" s="1513" t="n">
        <f aca="false">VLOOKUP($A270,VolatilityTable,15)</f>
        <v>0.1</v>
      </c>
      <c r="W270" s="1514" t="n">
        <f aca="false">VLOOKUP($A270,VolatilityTable,16)</f>
        <v>0.11</v>
      </c>
      <c r="X270" s="1513" t="n">
        <f aca="false">VLOOKUP($A270,VolatilityTable,14)</f>
        <v>0.09</v>
      </c>
      <c r="Y270" s="1513" t="n">
        <f aca="false">VLOOKUP($A270,VolatilityTable,15)</f>
        <v>0.1</v>
      </c>
      <c r="Z270" s="1514" t="n">
        <f aca="false">VLOOKUP($A270,VolatilityTable,16)</f>
        <v>0.11</v>
      </c>
      <c r="AA270" s="1513" t="n">
        <f aca="false">VLOOKUP($A270,VolatilityTable,18)</f>
        <v>0.09</v>
      </c>
      <c r="AB270" s="1513" t="n">
        <f aca="false">VLOOKUP($A270,VolatilityTable,19)</f>
        <v>0.11</v>
      </c>
      <c r="AC270" s="1514" t="n">
        <f aca="false">VLOOKUP($A270,VolatilityTable,20)</f>
        <v>0.13</v>
      </c>
      <c r="AD270" s="1513" t="n">
        <f aca="false">VLOOKUP($A270,VolatilityTable,18)</f>
        <v>0.09</v>
      </c>
      <c r="AE270" s="1513" t="n">
        <f aca="false">VLOOKUP($A270,VolatilityTable,19)</f>
        <v>0.11</v>
      </c>
      <c r="AF270" s="1514" t="n">
        <f aca="false">VLOOKUP($A270,VolatilityTable,20)</f>
        <v>0.13</v>
      </c>
      <c r="AG270" s="1513" t="n">
        <f aca="false">VLOOKUP($A270,VolatilityTable,22)</f>
        <v>-0.35</v>
      </c>
      <c r="AH270" s="1513" t="n">
        <f aca="false">VLOOKUP($A270,VolatilityTable,23)</f>
        <v>0.65</v>
      </c>
      <c r="AI270" s="1514" t="n">
        <f aca="false">VLOOKUP($A270,VolatilityTable,24)</f>
        <v>0.2</v>
      </c>
      <c r="AJ270" s="1513" t="n">
        <f aca="false">VLOOKUP($A270,VolatilityTable,22)</f>
        <v>-0.35</v>
      </c>
      <c r="AK270" s="1513" t="n">
        <f aca="false">VLOOKUP($A270,VolatilityTable,23)</f>
        <v>0.65</v>
      </c>
      <c r="AL270" s="1514" t="n">
        <f aca="false">VLOOKUP($A270,VolatilityTable,24)</f>
        <v>0.2</v>
      </c>
      <c r="AM270" s="1513" t="n">
        <f aca="false">VLOOKUP($A270,VolatilityTable,26)</f>
        <v>-0.01</v>
      </c>
      <c r="AN270" s="1513" t="n">
        <f aca="false">VLOOKUP($A270,VolatilityTable,27)</f>
        <v>0.16</v>
      </c>
      <c r="AO270" s="1514" t="n">
        <f aca="false">VLOOKUP($A270,VolatilityTable,28)</f>
        <v>0.01</v>
      </c>
      <c r="AP270" s="1513" t="n">
        <f aca="false">VLOOKUP($A270,VolatilityTable,26)</f>
        <v>-0.01</v>
      </c>
      <c r="AQ270" s="1513" t="n">
        <f aca="false">VLOOKUP($A270,VolatilityTable,27)</f>
        <v>0.16</v>
      </c>
      <c r="AR270" s="1515" t="n">
        <f aca="false">VLOOKUP($A270,VolatilityTable,28)</f>
        <v>0.01</v>
      </c>
      <c r="AS270" s="1581" t="n">
        <f aca="false">IF(CorrPeakOffPeakOverFlag,INDEX(CorrPeakOffPeakOver,C270),CorrPeakOffPeak)</f>
        <v>0.5</v>
      </c>
      <c r="AT270" s="594" t="e">
        <f aca="false">AX270-SUM(AU270:AW270)</f>
        <v>#VALUE!</v>
      </c>
      <c r="AU270" s="238" t="e">
        <f aca="false">IF(E270="",0,INT((F270-MOD(F270,7)-E270)/7)+1-IF(AW270,IF(WEEKDAY(D270)=7,1,0),0))</f>
        <v>#VALUE!</v>
      </c>
      <c r="AV270" s="238" t="e">
        <f aca="false">IF(E270="",0,INT((F270-MOD(F270-1,7)-E270)/7)+1-IF(AW270,IF(WEEKDAY(D270)=1,1,0),0))</f>
        <v>#VALUE!</v>
      </c>
      <c r="AW270" s="238" t="e">
        <f aca="false">IF(OR(E270="",D270="",D270&lt;BegDate,D270&gt;EndDate),0,1)</f>
        <v>#VALUE!</v>
      </c>
      <c r="AX270" s="238" t="n">
        <f aca="false">IF(E270="",0,F270-E270+1)</f>
        <v>30</v>
      </c>
      <c r="AY270" s="1582" t="n">
        <f aca="false">IF(E270="",0,MIN((1-(1-VLOOKUP(B270,MAIN!$AA$7:$AM$28,C270+1))*(1-VLOOKUP(B270,MAIN!$AA$33:$AM$54,C270+1))),1))</f>
        <v>0.03</v>
      </c>
      <c r="AZ270" s="1519" t="e">
        <v>#VALUE!</v>
      </c>
      <c r="BA270" s="1520" t="e">
        <v>#VALUE!</v>
      </c>
      <c r="BB270" s="1520" t="e">
        <v>#VALUE!</v>
      </c>
      <c r="BC270" s="1583" t="e">
        <v>#VALUE!</v>
      </c>
      <c r="BD270" s="1522" t="e">
        <v>#VALUE!</v>
      </c>
      <c r="BE270" s="1523" t="e">
        <v>#VALUE!</v>
      </c>
      <c r="BF270" s="1523" t="e">
        <v>#VALUE!</v>
      </c>
      <c r="BG270" s="1584" t="e">
        <v>#VALUE!</v>
      </c>
      <c r="BH270" s="1525" t="e">
        <v>#VALUE!</v>
      </c>
      <c r="BI270" s="1520" t="e">
        <v>#VALUE!</v>
      </c>
      <c r="BJ270" s="1520" t="e">
        <v>#VALUE!</v>
      </c>
      <c r="BK270" s="1583" t="e">
        <v>#VALUE!</v>
      </c>
      <c r="BL270" s="1522" t="e">
        <v>#VALUE!</v>
      </c>
      <c r="BM270" s="1523" t="e">
        <v>#VALUE!</v>
      </c>
      <c r="BN270" s="1523" t="e">
        <v>#VALUE!</v>
      </c>
      <c r="BO270" s="1523" t="e">
        <v>#VALUE!</v>
      </c>
      <c r="BP270" s="1525" t="e">
        <f aca="false">SUM(AZ270:BB270)</f>
        <v>#VALUE!</v>
      </c>
      <c r="BQ270" s="1529" t="e">
        <f aca="false">SUM(AZ270:BC270)</f>
        <v>#VALUE!</v>
      </c>
      <c r="BR270" s="1519" t="e">
        <f aca="false">SUM(BH270:BJ270)</f>
        <v>#VALUE!</v>
      </c>
      <c r="BS270" s="1529" t="e">
        <f aca="false">SUM(BH270:BK270)</f>
        <v>#VALUE!</v>
      </c>
      <c r="BT270" s="1316" t="n">
        <f aca="false">(IF(OVolType&lt;&gt;2,A270+14,IF(OptExpDateShift,ShiftBack(A270,OptExpDateShift,D269),A270))-DateToday)/365.25</f>
        <v>21.1307323750856</v>
      </c>
      <c r="BU270" s="1585" t="e">
        <f aca="false">IF(BQ270,IF(OPriceCurve,IF(OBuySell=OCallPut,I270/(1-AY270),K270/(1-AY270)),J270/(1-AY270))*BD270,0)</f>
        <v>#VALUE!</v>
      </c>
      <c r="BV270" s="1316" t="e">
        <f aca="false">IF(BQ270,IF(OPriceCurve,IF(OBuySell=OCallPut,L270/(1-AY270),N270/(1-AY270)),M270/(1-AY270))*BE270,0)</f>
        <v>#VALUE!</v>
      </c>
      <c r="BW270" s="1316" t="e">
        <f aca="false">IF(BQ270,IF(OPriceCurve,IF(OBuySell=OCallPut,O270/(1-AY270),Q270/(1-AY270)),P270/(1-AY270))*BF270,0)</f>
        <v>#VALUE!</v>
      </c>
      <c r="BX270" s="1316" t="e">
        <f aca="false">IF(BQ270,IF(OPriceCurve,IF(OBuySell=OCallPut,R270/(1-AY270),T270/(1-AY270)),S270/(1-AY270))*BG270,0)</f>
        <v>#VALUE!</v>
      </c>
      <c r="BY270" s="1316" t="e">
        <f aca="false">IF(BP270,(BU270*AZ270+BV270*BA270+BW270*BB270)/BP270,0)</f>
        <v>#VALUE!</v>
      </c>
      <c r="BZ270" s="1316" t="e">
        <f aca="false">IF(BQ270,(BY270*BP270+BX270*BC270)/BQ270,0)</f>
        <v>#VALUE!</v>
      </c>
      <c r="CA270" s="1531" t="e">
        <f aca="false">IF(BS270,IF(OPriceCurve,IF(OBuySell=OCallPut,I270/(1-AY270),K270/(1-AY270)),J270/(1-AY270))*BL270,0)</f>
        <v>#VALUE!</v>
      </c>
      <c r="CB270" s="1316" t="e">
        <f aca="false">IF(BS270,IF(OPriceCurve,IF(OBuySell=OCallPut,L270/(1-AY270),N270/(1-AY270)),M270/(1-AY270))*BM270,0)</f>
        <v>#VALUE!</v>
      </c>
      <c r="CC270" s="1316" t="e">
        <f aca="false">IF(BS270,IF(OPriceCurve,IF(OBuySell=OCallPut,O270/(1-AY270),Q270/(1-AY270)),P270/(1-AY270))*BN270,0)</f>
        <v>#VALUE!</v>
      </c>
      <c r="CD270" s="1316" t="e">
        <f aca="false">IF(BS270,IF(OPriceCurve,IF(OBuySell=OCallPut,R270/(1-AY270),T270/(1-AY270)),S270/(1-AY270))*BO270,0)</f>
        <v>#VALUE!</v>
      </c>
      <c r="CE270" s="1316" t="e">
        <f aca="false">IF(BR270,(BU270*BH270+BV270*BI270+BW270*BJ270)/BR270,0)</f>
        <v>#VALUE!</v>
      </c>
      <c r="CF270" s="1532" t="e">
        <f aca="false">IF(BS270,(CE270*BR270+CD270*BK270)/BS270,0)</f>
        <v>#VALUE!</v>
      </c>
      <c r="CG270" s="1586" t="e">
        <f aca="false">IF(OR(BQ270,BS270),IF(OVolType&lt;&gt;2,SQRT(IF(OVolOverMonthlyPeak,OVolOverMonthlyPeak,IF(OVolCurve,IF(OBuySell,U270,W270),V270))^2*(1-15/365.25/BT270)+IF(OVolOverDailyPeak,OVolOverDailyPeak,IF(OVolCurve,IF(OBuySell,AG270,AI270),AH270))^2*15/365.25/BT270),IF(OVolOverMonthlyPeak,OVolOverMonthlyPeak,IF(OVolCurve,IF(OBuySell,U270,W270),V270))),"")</f>
        <v>#VALUE!</v>
      </c>
      <c r="CH270" s="1587" t="e">
        <f aca="false">IF(OR(BQ270,BS270),IF(OVolType&lt;&gt;2,SQRT(IF(OVolOverMonthlyPeak,OVolOverMonthlyPeak,IF(OVolCurve,IF(OBuySell,X270,Z270),Y270))^2*(1-15/365.25/BT270)+IF(OVolOverDailyPeak,OVolOverDailyPeak,IF(OVolCurve,IF(OBuySell,AJ270,AL270),AK270))^2*15/365.25/BT270),IF(OVolOverMonthlyPeak,OVolOverMonthlyPeak,IF(OVolCurve,IF(OBuySell,X270,Z270),Y270))),"")</f>
        <v>#VALUE!</v>
      </c>
      <c r="CI270" s="1587" t="e">
        <f aca="false">IF(OR(BQ270,BS270),IF(OVolType&lt;&gt;2,SQRT(IF(OVolOverMonthlyPeak,OVolOverMonthlyPeak,IF(OVolCurve,IF(OBuySell,AA270,AC270),AB270))^2*(1-15/365.25/BT270)+IF(OVolOverDailyPeak,OVolOverDailyPeak,IF(OVolCurve,IF(OBuySell,AM270,AO270),AN270))^2*15/365.25/BT270),IF(OVolOverMonthlyPeak,OVolOverMonthlyPeak,IF(OVolCurve,IF(OBuySell,AA270,AC270),AB270))),"")</f>
        <v>#VALUE!</v>
      </c>
      <c r="CJ270" s="1587" t="e">
        <f aca="false">IF(BQ270,IF(BP270,SQRT(LN(1+((BU270*AZ270)^2*(EXP(CG270^2*BT270)-1)+(BV270*BA270)^2*(EXP(CH270^2*BT270)-1)+(BW270*BB270)^2*(EXP(CI270^2*BT270)-1)+2*BU270*AZ270*BV270*BA270*(EXP(CG270*CH270*BT270)-1)+2*BV270*BA270*BW270*BB270*(EXP(CH270*CI270*BT270)-1)+2*BW270*BB270*BU270*AZ270*(EXP(CI270*CG270*BT270)-1))/(BY270*BP270)^2)/BT270),0),"")</f>
        <v>#VALUE!</v>
      </c>
      <c r="CK270" s="1587" t="e">
        <f aca="false">IF(BS270,IF(BR270,SQRT(LN(1+((CA270*BH270)^2*(EXP(CG270^2*BT270)-1)+(CB270*BI270)^2*(EXP(CH270^2*BT270)-1)+(CC270*BJ270)^2*(EXP(CI270^2*BT270)-1)+2*CA270*BH270*CB270*BI270*(EXP(CG270*CH270*BT270)-1)+2*CB270*BI270*CC270*BJ270*(EXP(CH270*CI270*BT270)-1)+2*CC270*BJ270*CA270*BH270*(EXP(CI270*CG270*BT270)-1))/(CE270*BR270)^2)/BT270),0),"")</f>
        <v>#VALUE!</v>
      </c>
      <c r="CL270" s="1587" t="e">
        <f aca="false">IF(OR(BQ270,BS270),IF(OVolType&lt;&gt;2,SQRT(IF(OVolOverMonthlyOffPeak,OVolOverMonthlyOffPeak,IF(OVolCurve,IF(OBuySell,AD270,AF270),AE270))^2*(1-15/365.25/BT270)+IF(OVolOverDailyOffPeak,OVolOverDailyOffPeak,IF(OVolCurve,IF(OBuySell,AP270,AR270),AQ270))^2*15/365.25/BT270),IF(OVolOverMonthlyOffPeak,OVolOverMonthlyOffPeak,IF(OVolCurve,IF(OBuySell,AD270,AF270),AE270))),"")</f>
        <v>#VALUE!</v>
      </c>
      <c r="CM270" s="1587" t="e">
        <f aca="false">IF(BQ270,SQRT(LN(1+((BY270*BP270)^2*(EXP(CJ270^2*BT270)-1)+(BX270*BC270)^2*(EXP(CL270^2*BT270)-1)+2*BY270*BP270*BX270*BC270*(EXP(AS270*CJ270*CL270*BT270)-1))/(BY270*BP270+BX270*BC270)^2)/BT270),"")</f>
        <v>#VALUE!</v>
      </c>
      <c r="CN270" s="1588" t="e">
        <f aca="false">IF(BS270,SQRT(LN(1+((CE270*BR270)^2*(EXP(CK270^2*BT270)-1)+(CD270*BK270)^2*(EXP(CL270^2*BT270)-1)+2*CE270*BR270*CD270*BK270*(EXP(AS270*CK270*CL270*BT270)-1))/(CE270*BR270+CD270*BK270)^2)/BT270),"")</f>
        <v>#VALUE!</v>
      </c>
      <c r="CO270" s="1531" t="e">
        <f aca="false">IF(OR(BQ270,BS270),VLOOKUP(A270,GasTable,13)*HeatRatePeak*(1+VLOOKUP($B270,HeatRateDegradation,$C270+1))/1000,0)</f>
        <v>#VALUE!</v>
      </c>
      <c r="CP270" s="1316" t="e">
        <f aca="false">IF(OR(BQ270,BS270),VLOOKUP(A270,GasTable,13)*HeatRatePeak*(1+VLOOKUP($B270,HeatRateDegradation,$C270+1))/1000,0)</f>
        <v>#VALUE!</v>
      </c>
      <c r="CQ270" s="1316" t="e">
        <f aca="false">IF(OR(BQ270,BS270),VLOOKUP(A270,GasTable,13)*IF(EV270,HeatRatePeak,HeatRateOffPeak)*(1+VLOOKUP($B270,HeatRateDegradation,$C270+1))/1000,0)</f>
        <v>#VALUE!</v>
      </c>
      <c r="CR270" s="1316" t="e">
        <f aca="false">IF(OR(BQ270,BS270),VLOOKUP(A270,GasTable,13)*IF(EW270,HeatRatePeak,HeatRateOffPeak)*(1+VLOOKUP($B270,HeatRateDegradation,$C270+1))/1000,0)</f>
        <v>#VALUE!</v>
      </c>
      <c r="CS270" s="1589" t="e">
        <f aca="false">IF(BQ270,(CO270*AZ270+CP270*BA270+CQ270*BB270+CR270*BC270)/BQ270,0)</f>
        <v>#VALUE!</v>
      </c>
      <c r="CT270" s="1316" t="e">
        <f aca="false">IF(BS270,CO270,0)</f>
        <v>#VALUE!</v>
      </c>
      <c r="CU270" s="1590" t="e">
        <f aca="false">IF(OR(BQ270,BS270),VLOOKUP(A270,GasTable,14),"")</f>
        <v>#VALUE!</v>
      </c>
      <c r="CV270" s="1568" t="e">
        <f aca="false">IF(OR(BQ270,BS270),IF(CorrPowerGasOverFlag,INDEX(CorrPowerGasOver,C270),CorrPowerGas),"")</f>
        <v>#VALUE!</v>
      </c>
      <c r="CW270" s="1316" t="e">
        <f aca="false">IF(OR($BQ270,$BS270),SpreadOptPowerMargin,0)*((1+Assumptions!$C$26)^($B270-YEAR(Assumptions!$C$17)))</f>
        <v>#VALUE!</v>
      </c>
      <c r="CX270" s="1316" t="e">
        <f aca="false">IF(OR($BQ270,$BS270),SpreadOptPowerMargin,0)*((1+Assumptions!$C$26)^($B270-YEAR(Assumptions!$C$17)))</f>
        <v>#VALUE!</v>
      </c>
      <c r="CY270" s="1316" t="e">
        <f aca="false">IF(OR($BQ270,$BS270),SpreadOptPowerMargin,0)*((1+Assumptions!$C$26)^($B270-YEAR(Assumptions!$C$17)))</f>
        <v>#VALUE!</v>
      </c>
      <c r="CZ270" s="1316" t="e">
        <f aca="false">IF(OR($BQ270,$BS270),SpreadOptPowerMargin,0)*((1+Assumptions!$C$26)^($B270-YEAR(Assumptions!$C$17)))</f>
        <v>#VALUE!</v>
      </c>
      <c r="DA270" s="1591" t="e">
        <f aca="false">IF(OR(BQ270,BS270),(CW270*(AZ270+BH270)+CX270*(BA270+BI270)+CY270*(BB270+BJ270)+CZ270*(BC270+BK270))/(BQ270+BS270),0)</f>
        <v>#VALUE!</v>
      </c>
      <c r="DB270" s="1592" t="e">
        <f aca="false">IF(OR(BQ270,BS270),CG270+IF(OVolSmile,VLOOKUP(MAX(-5,CO270+CW270-BU270),IF(OVolSmile=1,VolSmileBook,VolSmileModel),2),0),"")</f>
        <v>#VALUE!</v>
      </c>
      <c r="DC270" s="1592" t="e">
        <f aca="false">IF(OR(BQ270,BS270),CH270+IF(OVolSmile,VLOOKUP(MAX(-5,CP270+CW270-BV270),IF(OVolSmile=1,VolSmileBook,VolSmileModel),2),0),"")</f>
        <v>#VALUE!</v>
      </c>
      <c r="DD270" s="1592" t="e">
        <f aca="false">IF(OR(BQ270,BS270),CI270+IF(OVolSmile,VLOOKUP(MAX(-5,CQ270+CW270-BW270),IF(OVolSmile=1,VolSmileBook,VolSmileModel),2),0),"")</f>
        <v>#VALUE!</v>
      </c>
      <c r="DE270" s="1592" t="e">
        <f aca="false">IF(OR(BQ270,BS270),CL270+IF(OVolSmile,VLOOKUP(MAX(-5,CR270+CZ270-BX270),IF(OVolSmile=1,VolSmileBook,VolSmileModel),2),0),"")</f>
        <v>#VALUE!</v>
      </c>
      <c r="DF270" s="1592" t="e">
        <f aca="false">IF(BQ270,CM270+IF(OVolSmile,VLOOKUP(MAX(-5,CS270+DA270-BZ270),IF(OVolSmile=1,VolSmileBook,VolSmileModel),2),0),"")</f>
        <v>#VALUE!</v>
      </c>
      <c r="DG270" s="1593" t="e">
        <f aca="false">IF(BS270,CN270+IF(OVolSmile,VLOOKUP(MAX(-5,CT270+DA270-CF270),IF(OVolSmile=1,VolSmileBook,VolSmileModel),2),0),"")</f>
        <v>#VALUE!</v>
      </c>
      <c r="DH270" s="1316" t="e">
        <f aca="false">IF(AND(BU270&gt;0,CO270&gt;0,DB270&gt;0,CU270&gt;0),newSPRDOPT(BU270,CO270,CW270,0,DB270,CU270,CV270,BT270*365.25,OCallPut,0),0)</f>
        <v>#VALUE!</v>
      </c>
      <c r="DI270" s="1316" t="e">
        <f aca="false">IF(AND(BV270&gt;0,CP270&gt;0,DC270&gt;0,CU270&gt;0),newSPRDOPT(BV270,CP270,CX270,0,DC270,CU270,CV270,BT270*365.25,OCallPut,0),0)</f>
        <v>#VALUE!</v>
      </c>
      <c r="DJ270" s="1316" t="e">
        <f aca="false">IF(AND(BW270&gt;0,CQ270&gt;0,DD270&gt;0,CU270&gt;0),newSPRDOPT(BW270,CQ270,CY270,0,DD270,CU270,CV270,BT270*365.25,OCallPut,0),0)</f>
        <v>#VALUE!</v>
      </c>
      <c r="DK270" s="1316" t="e">
        <f aca="false">IF(AND(BX270&gt;0,CR270&gt;0,DE270&gt;0,CU270&gt;0),newSPRDOPT(BX270,CR270,CZ270,0,DE270,CU270,CV270,BT270*365.25,OCallPut,0),0)</f>
        <v>#VALUE!</v>
      </c>
      <c r="DL270" s="1316" t="e">
        <f aca="false">IF(OVolType,IF(AND(BZ270&gt;0,CS270&gt;0,DF270&gt;0,CU270&gt;0),newSPRDOPT(BZ270,CS270,DA270,0,DF270,CU270,CV270,BT270*365.25,OCallPut,0),0),IF(BQ270,(DH270*AZ270+DI270*BA270+DJ270*BB270+DK270*BC270)/BQ270,0))</f>
        <v>#VALUE!</v>
      </c>
      <c r="DM270" s="1316"/>
      <c r="DN270" s="1316"/>
      <c r="DO270" s="1316"/>
      <c r="DP270" s="1316"/>
      <c r="DQ270" s="1316"/>
      <c r="DR270" s="1316"/>
      <c r="DS270" s="1316"/>
      <c r="DT270" s="1316"/>
      <c r="DU270" s="1316"/>
      <c r="DV270" s="1316"/>
      <c r="DW270" s="1594" t="e">
        <f aca="false">IF(AND(BW270&gt;0,CT270&gt;0,DD270&gt;0,CU270&gt;0),newSPRDOPT(BW270,CT270,CY270,0,DD270,CU270,CV270,BT270*365.25,OCallPut,0),0)</f>
        <v>#VALUE!</v>
      </c>
      <c r="DX270" s="1316" t="e">
        <f aca="false">IF(AND(BX270&gt;0,CT270&gt;0,DE270&gt;0,CU270&gt;0),newSPRDOPT(BX270,CT270,CZ270,0,DE270,CU270,CV270,BT270*365.25,OCallPut,0),0)</f>
        <v>#VALUE!</v>
      </c>
      <c r="DY270" s="1591" t="e">
        <f aca="false">IF(BS270,(DH270*BH270+DI270*BI270+DW270*BJ270+DX270*BK270)/BS270,0)</f>
        <v>#VALUE!</v>
      </c>
      <c r="DZ270" s="1551" t="e">
        <f aca="false">DH270*AZ270</f>
        <v>#VALUE!</v>
      </c>
      <c r="EA270" s="1551" t="e">
        <f aca="false">DI270*BA270</f>
        <v>#VALUE!</v>
      </c>
      <c r="EB270" s="1551" t="e">
        <f aca="false">DJ270*BB270</f>
        <v>#VALUE!</v>
      </c>
      <c r="EC270" s="1551" t="e">
        <f aca="false">DK270*BC270</f>
        <v>#VALUE!</v>
      </c>
      <c r="ED270" s="1551" t="e">
        <f aca="false">DL270*BQ270</f>
        <v>#VALUE!</v>
      </c>
      <c r="EE270" s="1595" t="e">
        <f aca="false">IF(BQ270,IF(OCallPut,IF(BU270&gt;(CO270+CW270),BU270-(CO270+CW270),0),IF((CO270+CW270)&gt;BU270,(CO270+CW270)-BU270,0))*AZ270,0)</f>
        <v>#VALUE!</v>
      </c>
      <c r="EF270" s="1596" t="e">
        <f aca="false">IF(BQ270,IF(OCallPut,IF(BV270&gt;(CP270+CX270),BV270-(CP270+CX270),0),IF((CP270+CX270)&gt;BV270,(CP270+CX270)-BV270,0))*BA270,0)</f>
        <v>#VALUE!</v>
      </c>
      <c r="EG270" s="1596" t="e">
        <f aca="false">IF(BQ270,IF(OCallPut,IF(BW270&gt;(CQ270+CY270),BW270-(CQ270+CY270),0),IF((CQ270+CY270)&gt;BW270,(CQ270+CY270)-BW270,0))*BB270,0)</f>
        <v>#VALUE!</v>
      </c>
      <c r="EH270" s="1596" t="e">
        <f aca="false">IF(BQ270,IF(OCallPut,IF(BX270&gt;(CR270+CZ270),BX270-(CR270+CZ270),0),IF((CR270+CZ270)&gt;BX270,(CR270+CZ270)-BX270,0))*BC270,0)</f>
        <v>#VALUE!</v>
      </c>
      <c r="EI270" s="1597" t="e">
        <f aca="false">IF(BQ270,IF(OVolType,IF(OCallPut,IF(BZ270&gt;(CS270+DA270),BZ270-(CS270+DA270),0),IF((CS270+DA270)&gt;BZ270,(CS270+DA270)-BZ270,0))*BQ270,SUM(EE270:EH270)),0)</f>
        <v>#VALUE!</v>
      </c>
      <c r="EJ270" s="1595" t="e">
        <f aca="false">DZ270-EE270</f>
        <v>#VALUE!</v>
      </c>
      <c r="EK270" s="1596" t="e">
        <f aca="false">EA270-EF270</f>
        <v>#VALUE!</v>
      </c>
      <c r="EL270" s="1596" t="e">
        <f aca="false">EB270-EG270</f>
        <v>#VALUE!</v>
      </c>
      <c r="EM270" s="1596" t="e">
        <f aca="false">EC270-EH270</f>
        <v>#VALUE!</v>
      </c>
      <c r="EN270" s="1597" t="e">
        <f aca="false">ED270-EI270</f>
        <v>#VALUE!</v>
      </c>
      <c r="EO270" s="1551" t="e">
        <f aca="false">DH270*BH270</f>
        <v>#VALUE!</v>
      </c>
      <c r="EP270" s="1551" t="e">
        <f aca="false">DI270*BI270</f>
        <v>#VALUE!</v>
      </c>
      <c r="EQ270" s="1551" t="e">
        <f aca="false">DW270*BJ270</f>
        <v>#VALUE!</v>
      </c>
      <c r="ER270" s="1551" t="e">
        <f aca="false">DX270*BK270</f>
        <v>#VALUE!</v>
      </c>
      <c r="ES270" s="1551" t="e">
        <f aca="false">DY270*BS270</f>
        <v>#VALUE!</v>
      </c>
      <c r="ET270" s="1566" t="e">
        <f aca="false">IF(EI270,IF(OCallPut,IF(CA270&gt;(CT270+CW270),CA270-(CT270+CW270),0),IF((CT270+CW270)&gt;CA270,(CT270+CW270)-CA270,0))*BH270,0)</f>
        <v>#VALUE!</v>
      </c>
      <c r="EU270" s="1551" t="e">
        <f aca="false">IF(EI270,IF(OCallPut,IF(CB270&gt;(CT270+CX270),CB270-(CT270+CX270),0),IF((CT270+CX270)&gt;CB270,(CT270+CX270)-CB270,0))*BI270,0)</f>
        <v>#VALUE!</v>
      </c>
      <c r="EV270" s="1551" t="e">
        <f aca="false">IF(EI270,IF(OCallPut,IF(CC270&gt;(CT270+CY270),CC270-(CT270+CY270),0),IF((CT270+CY270)&gt;CC270,(CT270+CY270)-CC270,0))*BJ270,0)</f>
        <v>#VALUE!</v>
      </c>
      <c r="EW270" s="1551" t="e">
        <f aca="false">IF(EI270,IF(OCallPut,IF(CD270&gt;(CT270+CZ270),CD270-(CT270+CZ270),0),IF((CT270+CZ270)&gt;CD270,(CT270+CZ270)-CD270,0))*BK270,0)</f>
        <v>#VALUE!</v>
      </c>
      <c r="EX270" s="1558" t="e">
        <f aca="false">IF(EI270,SUM(ET270:EW270),0)</f>
        <v>#VALUE!</v>
      </c>
      <c r="EY270" s="1551" t="e">
        <f aca="false">EO270-ET270</f>
        <v>#VALUE!</v>
      </c>
      <c r="EZ270" s="1551" t="e">
        <f aca="false">EP270-EU270</f>
        <v>#VALUE!</v>
      </c>
      <c r="FA270" s="1551" t="e">
        <f aca="false">EQ270-EV270</f>
        <v>#VALUE!</v>
      </c>
      <c r="FB270" s="1551" t="e">
        <f aca="false">ER270-EW270</f>
        <v>#VALUE!</v>
      </c>
      <c r="FC270" s="1551" t="e">
        <f aca="false">ES270-EX270</f>
        <v>#VALUE!</v>
      </c>
      <c r="FD270" s="1525" t="n">
        <f aca="false">IF(AX270,IF(VLOOKUP(C270,MAIN!$L$17:$M$28,2)="Yes",VLOOKUP(CALC!B270,MAIN!$H$17:$I$20,2),0),0)</f>
        <v>0</v>
      </c>
      <c r="FE270" s="1552" t="e">
        <f aca="false">$FD270*16*AT270*(1-$AY270)</f>
        <v>#VALUE!</v>
      </c>
      <c r="FF270" s="1553" t="e">
        <f aca="false">$FD270*16*AU270*(1-$AY270)</f>
        <v>#VALUE!</v>
      </c>
      <c r="FG270" s="1553" t="e">
        <f aca="false">$FD270*16*(AV270+AW270)*(1-$AY270)</f>
        <v>#VALUE!</v>
      </c>
      <c r="FH270" s="1554" t="n">
        <f aca="false">$FD270*8*AX270*(1-$AY270)</f>
        <v>0</v>
      </c>
      <c r="FI270" s="1555" t="n">
        <f aca="false">IF(AX270,VLOOKUP(CALC!B270,MAIN!$H$17:$K$20,4),0)</f>
        <v>0</v>
      </c>
      <c r="FJ270" s="1553" t="e">
        <f aca="false">SUM(FE270:FH270)</f>
        <v>#VALUE!</v>
      </c>
      <c r="FK270" s="1556" t="e">
        <f aca="false">FI270*FJ270</f>
        <v>#VALUE!</v>
      </c>
      <c r="FL270" s="1551" t="e">
        <f aca="false">IF($EI270&gt;0,MIN(FE270,AZ270*(1+VLOOKUP($C270,WeatherCapacityAdjustment,2))),0)</f>
        <v>#VALUE!</v>
      </c>
      <c r="FM270" s="1551" t="e">
        <f aca="false">IF($EI270&gt;0,MIN(FF270,BA270*(1+VLOOKUP($C270,WeatherCapacityAdjustment,2))),0)</f>
        <v>#VALUE!</v>
      </c>
      <c r="FN270" s="1551" t="e">
        <f aca="false">IF($EI270&gt;0,MIN(FG270,BB270*(1+VLOOKUP($C270,WeatherCapacityAdjustment,2))),0)</f>
        <v>#VALUE!</v>
      </c>
      <c r="FO270" s="1564" t="e">
        <f aca="false">IF($EI270&gt;0,MIN(FH270,BC270*(1+VLOOKUP($C270,WeatherCapacityAdjustment,3))),0)</f>
        <v>#VALUE!</v>
      </c>
      <c r="FP270" s="1551" t="e">
        <f aca="false">IF(ET270&gt;0,MIN(FE270-FL270,BH270*(1+VLOOKUP($C270,WeatherCapacityAdjustment,2))),0)</f>
        <v>#VALUE!</v>
      </c>
      <c r="FQ270" s="1551" t="e">
        <f aca="false">IF(EU270&gt;0,MIN(FF270-FM270,BI270*(1+VLOOKUP($C270,WeatherCapacityAdjustment,2))),0)</f>
        <v>#VALUE!</v>
      </c>
      <c r="FR270" s="1551" t="e">
        <f aca="false">IF(EV270&gt;0,MIN(FG270-FN270,BJ270*(1+VLOOKUP($C270,WeatherCapacityAdjustment,2))),0)</f>
        <v>#VALUE!</v>
      </c>
      <c r="FS270" s="1558" t="e">
        <f aca="false">IF(EW270&gt;0,MIN(FH270-FO270,BK270*(1+VLOOKUP($C270,WeatherCapacityAdjustment,3))),0)</f>
        <v>#VALUE!</v>
      </c>
      <c r="FT270" s="1566" t="e">
        <f aca="false">IF(AND(Assumptions!$H$71="Yes",A270&gt;=Assumptions!$H$72,A270&lt;=Assumptions!$H$73),0,IF(AND($A270&gt;=Assumptions!$C$17,$A270&lt;=Assumptions!$C$18),MAX(AZ270*(1+VLOOKUP($C270,WeatherCapacityAdjustment,2))-FL270,0),0))</f>
        <v>#VALUE!</v>
      </c>
      <c r="FU270" s="1551" t="e">
        <f aca="false">IF(AND(Assumptions!$H$71="Yes",A270&gt;=Assumptions!$H$72,A270&lt;=Assumptions!$H$73),0,IF(AND($A270&gt;=Assumptions!$C$17,$A270&lt;=Assumptions!$C$18),MAX(BA270*(1+VLOOKUP($C270,WeatherCapacityAdjustment,2))-FM270,0),0))</f>
        <v>#VALUE!</v>
      </c>
      <c r="FV270" s="1551" t="e">
        <f aca="false">IF(AND(Assumptions!$H$71="Yes",A270&gt;=Assumptions!$H$72,A270&lt;=Assumptions!$H$73),0,IF(AND($A270&gt;=Assumptions!$C$17,$A270&lt;=Assumptions!$C$18),MAX(BB270*(1+VLOOKUP($C270,WeatherCapacityAdjustment,2))-FN270,0),0))</f>
        <v>#VALUE!</v>
      </c>
      <c r="FW270" s="1564" t="e">
        <f aca="false">IF(AND(Assumptions!$H$71="Yes",A270&gt;=Assumptions!$H$72,A270&lt;=Assumptions!$H$73),0,IF(AND($A270&gt;=Assumptions!$C$17,$A270&lt;=Assumptions!$C$18),MAX(BC270*(1+VLOOKUP($C270,WeatherCapacityAdjustment,3))-FO270,0),0))</f>
        <v>#VALUE!</v>
      </c>
      <c r="FX270" s="1569" t="e">
        <f aca="false">IF(AND(Assumptions!$H$71="Yes",A270&gt;=Assumptions!$H$72,A270&lt;=Assumptions!$H$73),0,IF(ET270&gt;0,MAX(BH270*(1+VLOOKUP($C270,WeatherCapacityAdjustment,2))-FP270,0),0))</f>
        <v>#VALUE!</v>
      </c>
      <c r="FY270" s="1551" t="e">
        <f aca="false">IF(AND(Assumptions!$H$71="Yes",A270&gt;=Assumptions!$H$72,A270&lt;=Assumptions!$H$73),0,IF(EU270&gt;0,MAX(BI270*(1+VLOOKUP($C270,WeatherCapacityAdjustment,3))-FQ270,0),0))</f>
        <v>#VALUE!</v>
      </c>
      <c r="FZ270" s="1551" t="e">
        <f aca="false">IF(AND(Assumptions!$H$71="Yes",A270&gt;=Assumptions!$H$72,A270&lt;=Assumptions!$H$73),0,IF(EV270&gt;0,MAX(BJ270*(1+VLOOKUP($C270,WeatherCapacityAdjustment,2))-FR270,0),0))</f>
        <v>#VALUE!</v>
      </c>
      <c r="GA270" s="1564" t="e">
        <f aca="false">IF(AND(Assumptions!$H$71="Yes",A270&gt;=Assumptions!$H$72,A270&lt;=Assumptions!$H$73),0,IF(EW270&gt;0,MAX(BK270*(1+VLOOKUP($C270,WeatherCapacityAdjustment,2))-FS270,0),0))</f>
        <v>#VALUE!</v>
      </c>
      <c r="GB270" s="1551" t="e">
        <f aca="false">SUM(FT270:GA270)</f>
        <v>#VALUE!</v>
      </c>
      <c r="GC270" s="1563" t="e">
        <f aca="false">+IF(SUM(FT270:GA270)=0,0,(SUMPRODUCT(BU270:BX270,FT270:FW270)+SUMPRODUCT(CA270:CD270,FX270:GA270))/SUM(FT270:GA270))</f>
        <v>#VALUE!</v>
      </c>
      <c r="GD270" s="1551" t="e">
        <f aca="false">(FT270*BU270+FX270*CA270+FU270*BV270+FY270*CB270+FV270*BW270+FZ270*CC270+FW270*BX270+GA270*CD270)</f>
        <v>#VALUE!</v>
      </c>
      <c r="GE270" s="1561" t="e">
        <f aca="false">+IF(BQ270,((FL270+FM270+FT270+FU270)*HeatRatePeak/1000*(1+VLOOKUP($C270,WeatherHeatRateAdjustment,2))+(FN270+FV270)*IF(EV270&gt;0,HeatRatePeak,HeatRateOffPeak)/1000*(1+VLOOKUP($C270,WeatherHeatRateAdjustment,2))+(FO270+FW270)*IF(EW270&gt;0,HeatRatePeak,HeatRateOffPeak)/1000*(1+VLOOKUP($C270,WeatherHeatRateAdjustment,3)))*(1+VLOOKUP($B270,HeatRateDegradation,$C270+1)),0)</f>
        <v>#VALUE!</v>
      </c>
      <c r="GF270" s="1562" t="e">
        <f aca="false">IF(BQ270,((FP270+FQ270+FR270+FX270+FY270+FZ270)*HeatRatePeak/1000*(1+VLOOKUP($C270,WeatherHeatRateAdjustment,2))+(FS270+GA270)*HeatRatePeak/1000*(1+VLOOKUP($C270,WeatherHeatRateAdjustment,3)))*(1+VLOOKUP($B270,HeatRateDegradation,$C270+1)),0)</f>
        <v>#VALUE!</v>
      </c>
      <c r="GG270" s="1563" t="e">
        <f aca="false">IF(BQ270,VLOOKUP(A270,GasTable,13),0)</f>
        <v>#VALUE!</v>
      </c>
      <c r="GH270" s="1564" t="e">
        <f aca="false">(GE270+GF270)*GG270</f>
        <v>#VALUE!</v>
      </c>
      <c r="GI270" s="1569" t="e">
        <f aca="false">GB270</f>
        <v>#VALUE!</v>
      </c>
      <c r="GJ270" s="1598" t="e">
        <f aca="false">+DA270</f>
        <v>#VALUE!</v>
      </c>
      <c r="GK270" s="1558" t="e">
        <f aca="false">+GI270*GJ270</f>
        <v>#VALUE!</v>
      </c>
      <c r="GL270" s="1566" t="e">
        <f aca="false">MAX(FE270-FL270-FP270,0)</f>
        <v>#VALUE!</v>
      </c>
      <c r="GM270" s="1551" t="e">
        <f aca="false">MAX(FF270-FM270-FQ270,0)</f>
        <v>#VALUE!</v>
      </c>
      <c r="GN270" s="1551" t="e">
        <f aca="false">MAX(FG270-FN270-FR270,0)</f>
        <v>#VALUE!</v>
      </c>
      <c r="GO270" s="1564" t="e">
        <f aca="false">MAX(FH270-FO270-FS270,0)</f>
        <v>#VALUE!</v>
      </c>
      <c r="GP270" s="1551" t="e">
        <f aca="false">SUM(GL270:GO270)</f>
        <v>#VALUE!</v>
      </c>
      <c r="GQ270" s="1563" t="e">
        <f aca="false">IF(SUM(GL270:GO270)=0,0,((GL270*BU270+GM270*BV270+GN270*BW270+GO270*BX270)/SUM(GL270:GO270)))</f>
        <v>#VALUE!</v>
      </c>
      <c r="GR270" s="1558" t="e">
        <f aca="false">(GL270*BU270+GM270*BV270+GN270*BW270+GO270*BX270)</f>
        <v>#VALUE!</v>
      </c>
      <c r="GS270" s="1566" t="n">
        <f aca="false">IF($A270&gt;=BegDate,Assumptions!$C$56*24*($A271-$A270)*(1-VLOOKUP($B270,MAIN!$AA$7:$AM$28,$C270+1))*(1-VLOOKUP($B270,MAIN!$AA$33:$AM$54,$C270+1)),0)*80/168</f>
        <v>249428.571428571</v>
      </c>
      <c r="GT270" s="286" t="n">
        <f aca="false">J270</f>
        <v>49.2518809782318</v>
      </c>
      <c r="GU270" s="286" t="n">
        <f aca="false">IF($A270&gt;=BegDate,VLOOKUP($A270,GasTable,13)+Assumptions!$C$58,0)</f>
        <v>3.67142639509061</v>
      </c>
      <c r="GV270" s="286" t="n">
        <f aca="false">GU270*Assumptions!$C$57/1000</f>
        <v>26.6178413644069</v>
      </c>
      <c r="GW270" s="1558" t="n">
        <f aca="false">IF(Assumptions!$C$60="Hourly",MAX(0,GS270*(GT270-GV270)),GS270*(GT270-GV270))</f>
        <v>5645576.16653403</v>
      </c>
      <c r="GX270" s="1566" t="n">
        <f aca="false">IF($A270&gt;=BegDate,Assumptions!$C$56*24*($A271-$A270)*(1-VLOOKUP($B270,MAIN!$AA$7:$AM$28,$C270+1))*(1-VLOOKUP($B270,MAIN!$AA$33:$AM$54,$C270+1)),0)*16/168</f>
        <v>49885.7142857143</v>
      </c>
      <c r="GY270" s="286" t="n">
        <f aca="false">M270</f>
        <v>49.2518809782318</v>
      </c>
      <c r="GZ270" s="286" t="n">
        <f aca="false">IF($A270&gt;=BegDate,VLOOKUP($A270,GasTable,13)+Assumptions!$C$58,0)</f>
        <v>3.67142639509061</v>
      </c>
      <c r="HA270" s="286" t="n">
        <f aca="false">GZ270*Assumptions!$C$57/1000</f>
        <v>26.6178413644069</v>
      </c>
      <c r="HB270" s="1558" t="n">
        <f aca="false">IF(Assumptions!$C$60="Hourly",MAX(0,GX270*(GY270-HA270)),GX270*(GY270-HA270))</f>
        <v>1129115.23330681</v>
      </c>
      <c r="HC270" s="1566" t="n">
        <f aca="false">IF($A270&gt;=BegDate,Assumptions!$C$56*24*($A271-$A270)*(1-VLOOKUP($B270,MAIN!$AA$7:$AM$28,$C270+1))*(1-VLOOKUP($B270,MAIN!$AA$33:$AM$54,$C270+1)),0)*16/168</f>
        <v>49885.7142857143</v>
      </c>
      <c r="HD270" s="286" t="n">
        <f aca="false">P270</f>
        <v>29.5830788334684</v>
      </c>
      <c r="HE270" s="286" t="n">
        <f aca="false">IF($A270&gt;=BegDate,VLOOKUP($A270,GasTable,13)+Assumptions!$C$58,0)</f>
        <v>3.67142639509061</v>
      </c>
      <c r="HF270" s="286" t="n">
        <f aca="false">HE270*Assumptions!$C$57/1000</f>
        <v>26.6178413644069</v>
      </c>
      <c r="HG270" s="1558" t="n">
        <f aca="false">IF(Assumptions!$C$60="Hourly",MAX(0,HC270*(HD270-HF270)),HC270*(HD270-HF270))</f>
        <v>147922.989170898</v>
      </c>
      <c r="HH270" s="1566" t="n">
        <f aca="false">IF($A270&gt;=BegDate,Assumptions!$C$56*24*($A271-$A270)*(1-VLOOKUP($B270,MAIN!$AA$7:$AM$28,$C270+1))*(1-VLOOKUP($B270,MAIN!$AA$33:$AM$54,$C270+1)),0)*56/168</f>
        <v>174600</v>
      </c>
      <c r="HI270" s="286" t="n">
        <f aca="false">S270</f>
        <v>29.5830788334684</v>
      </c>
      <c r="HJ270" s="286" t="n">
        <f aca="false">IF($A270&gt;=BegDate,VLOOKUP($A270,GasTable,13)+Assumptions!$C$58,0)</f>
        <v>3.67142639509061</v>
      </c>
      <c r="HK270" s="286" t="n">
        <f aca="false">HJ270*Assumptions!$C$57/1000</f>
        <v>26.6178413644069</v>
      </c>
      <c r="HL270" s="1558" t="n">
        <f aca="false">IF(Assumptions!$C$60="Hourly",MAX(0,HH270*(HI270-HK270)),HH270*(HI270-HK270))</f>
        <v>517730.462098143</v>
      </c>
      <c r="HM270" s="1566" t="n">
        <f aca="false">IF(AND(Assumptions!$H$71="Yes",A270&gt;=Assumptions!$H$72,A270&lt;=Assumptions!$H$73),Assumptions!$H$74*Assumptions!$C$9*1000,0)</f>
        <v>0</v>
      </c>
      <c r="HN270" s="1551"/>
      <c r="HO270" s="1563"/>
      <c r="HP270" s="1563"/>
      <c r="HQ270" s="1563"/>
      <c r="HR270" s="1563"/>
      <c r="HS270" s="1563"/>
      <c r="HT270" s="1563"/>
      <c r="HU270" s="1563"/>
      <c r="HV270" s="1563"/>
      <c r="HW270" s="1563"/>
      <c r="HX270" s="1563"/>
      <c r="HY270" s="1563"/>
      <c r="HZ270" s="1563"/>
      <c r="IA270" s="1563"/>
      <c r="IB270" s="1563"/>
      <c r="IC270" s="1563"/>
      <c r="ID270" s="1563"/>
      <c r="IE270" s="1563"/>
      <c r="IF270" s="1563"/>
      <c r="IG270" s="1563"/>
      <c r="IH270" s="1563"/>
      <c r="II270" s="1610"/>
      <c r="IJ270" s="1309"/>
      <c r="IK270" s="1309"/>
    </row>
    <row r="271" customFormat="false" ht="12.75" hidden="false" customHeight="false" outlineLevel="0" collapsed="false">
      <c r="A271" s="1571" t="n">
        <f aca="false">EOMONTH(A270,0)+1</f>
        <v>44378</v>
      </c>
      <c r="B271" s="594" t="n">
        <f aca="false">+YEAR(A271)</f>
        <v>2021</v>
      </c>
      <c r="C271" s="238" t="n">
        <f aca="false">MONTH(A271)</f>
        <v>7</v>
      </c>
      <c r="D271" s="1572" t="e">
        <f aca="false">IF(E271="","",Holiday(B271,C271))</f>
        <v>#VALUE!</v>
      </c>
      <c r="E271" s="1573" t="n">
        <f aca="false">IF(OR(BegDate&gt;=A272,EndDate&lt;A271,AND(VolumeMonthlyOverFlag,INDEX(VolumeMonthlyOver,C271)=0),NOT(INDEX(MonthKnockOutTable,C271))),"",MAX(A271,BegDate))</f>
        <v>44378</v>
      </c>
      <c r="F271" s="1574" t="n">
        <f aca="false">IF(E271="","",MIN(A272-1,EndDate))</f>
        <v>44408</v>
      </c>
      <c r="G271" s="1575" t="n">
        <v>0</v>
      </c>
      <c r="H271" s="1576" t="n">
        <f aca="false">(1+G271/2)^(-2*(DATE(B272,C272,20)-DateToday)/365.25)</f>
        <v>1</v>
      </c>
      <c r="I271" s="1568" t="n">
        <f aca="false">IF(Assumptions!$L$25=4,VLOOKUP($A271,'Henwood Reference'!$E$9:$R$320,10),(VLOOKUP($A271,PriceTable,2,0)+IF(BasisNumber&lt;&gt;1,VLOOKUP($A271,BasisTable,2,0),0)+I$1)/(1-I$2))</f>
        <v>73.1174116626141</v>
      </c>
      <c r="J271" s="1568" t="n">
        <f aca="false">IF(Assumptions!$L$25=4,VLOOKUP($A271,'Henwood Reference'!$E$9:$R$320,10),(VLOOKUP($A271,PriceTable,3,0)+IF(BasisNumber&lt;&gt;1,VLOOKUP($A271,BasisTable,2,0),0)+J$1)/(1-J$2))</f>
        <v>73.1174116626141</v>
      </c>
      <c r="K271" s="1568" t="n">
        <f aca="false">IF(Assumptions!$L$25=4,VLOOKUP($A271,'Henwood Reference'!$E$9:$R$320,10),(VLOOKUP($A271,PriceTable,4,0)+IF(BasisNumber&lt;&gt;1,VLOOKUP($A271,BasisTable,2,0),0)+K$1)/(1-K$2))</f>
        <v>73.1174116626141</v>
      </c>
      <c r="L271" s="1523" t="n">
        <f aca="false">IF(Assumptions!$L$25=4,VLOOKUP($A271,'Henwood Reference'!$E$9:$R$320,10),(VLOOKUP($A271,PriceTableWeekend,2,0)+IF(BasisNumber&lt;&gt;1,VLOOKUP($A271,BasisTable,2,0),0)+L$1)/(1-L$2))</f>
        <v>73.1174116626141</v>
      </c>
      <c r="M271" s="1568" t="n">
        <f aca="false">IF(Assumptions!$L$25=4,VLOOKUP($A271,'Henwood Reference'!$E$9:$R$320,10),(VLOOKUP($A271,PriceTableWeekend,3,0)+IF(BasisNumber&lt;&gt;1,VLOOKUP($A271,BasisTable,2,0),0)+M$1)/(1-M$2))</f>
        <v>73.1174116626141</v>
      </c>
      <c r="N271" s="1599" t="n">
        <f aca="false">IF(Assumptions!$L$25=4,VLOOKUP($A271,'Henwood Reference'!$E$9:$R$320,10),(VLOOKUP($A271,PriceTableWeekend,4,0)+IF(BasisNumber&lt;&gt;1,VLOOKUP($A271,BasisTable,2,0),0)+N$1)/(1-N$2))</f>
        <v>73.1174116626141</v>
      </c>
      <c r="O271" s="1568" t="n">
        <f aca="false">IF(Assumptions!$L$25=4,VLOOKUP($A271,'Henwood Reference'!$E$9:$R$320,11),(VLOOKUP($A271,PriceTableWeekend,6,0)+IF(BasisNumber&lt;&gt;1,VLOOKUP($A271,BasisTable,3,0),0)+O$1)/(1-O$2))</f>
        <v>34.8698746076188</v>
      </c>
      <c r="P271" s="1568" t="n">
        <f aca="false">IF(Assumptions!$L$25=4,VLOOKUP($A271,'Henwood Reference'!$E$9:$R$320,11),(VLOOKUP($A271,PriceTableWeekend,7,0)+IF(BasisNumber&lt;&gt;1,VLOOKUP($A271,BasisTable,3,0),0)+P$1)/(1-P$2))</f>
        <v>34.8698746076188</v>
      </c>
      <c r="Q271" s="1599" t="n">
        <f aca="false">IF(Assumptions!$L$25=4,VLOOKUP($A271,'Henwood Reference'!$E$9:$R$320,11),(VLOOKUP($A271,PriceTableWeekend,8,0)+IF(BasisNumber&lt;&gt;1,VLOOKUP($A271,BasisTable,3,0),0)+Q$1)/(1-Q$2))</f>
        <v>34.8698746076188</v>
      </c>
      <c r="R271" s="1568" t="n">
        <f aca="false">IF(Assumptions!$L$25=4,VLOOKUP($A271,'Henwood Reference'!$E$9:$R$320,11),(VLOOKUP($A271,PriceTable,6,0)+IF(BasisNumber&lt;&gt;1,VLOOKUP($A271,BasisTable,3,0),0)+R$1)/(1-R$2))</f>
        <v>34.8698746076188</v>
      </c>
      <c r="S271" s="1568" t="n">
        <f aca="false">IF(Assumptions!$L$25=4,VLOOKUP($A271,'Henwood Reference'!$E$9:$R$320,11),(VLOOKUP($A271,PriceTable,7,0)+IF(BasisNumber&lt;&gt;1,VLOOKUP($A271,BasisTable,3,0),0)+S$1)/(1-S$2))</f>
        <v>34.8698746076188</v>
      </c>
      <c r="T271" s="1600" t="n">
        <f aca="false">IF(Assumptions!$L$25=4,VLOOKUP($A271,'Henwood Reference'!$E$9:$R$320,11),(VLOOKUP($A271,PriceTable,8,0)+IF(BasisNumber&lt;&gt;1,VLOOKUP($A271,BasisTable,3,0),0)+T$1)/(1-T$2))</f>
        <v>34.8698746076188</v>
      </c>
      <c r="U271" s="1513" t="n">
        <f aca="false">VLOOKUP($A271,VolatilityTable,14)</f>
        <v>0.09</v>
      </c>
      <c r="V271" s="1513" t="n">
        <f aca="false">VLOOKUP($A271,VolatilityTable,15)</f>
        <v>0.1</v>
      </c>
      <c r="W271" s="1514" t="n">
        <f aca="false">VLOOKUP($A271,VolatilityTable,16)</f>
        <v>0.11</v>
      </c>
      <c r="X271" s="1513" t="n">
        <f aca="false">VLOOKUP($A271,VolatilityTable,14)</f>
        <v>0.09</v>
      </c>
      <c r="Y271" s="1513" t="n">
        <f aca="false">VLOOKUP($A271,VolatilityTable,15)</f>
        <v>0.1</v>
      </c>
      <c r="Z271" s="1514" t="n">
        <f aca="false">VLOOKUP($A271,VolatilityTable,16)</f>
        <v>0.11</v>
      </c>
      <c r="AA271" s="1513" t="n">
        <f aca="false">VLOOKUP($A271,VolatilityTable,18)</f>
        <v>0.09</v>
      </c>
      <c r="AB271" s="1513" t="n">
        <f aca="false">VLOOKUP($A271,VolatilityTable,19)</f>
        <v>0.11</v>
      </c>
      <c r="AC271" s="1514" t="n">
        <f aca="false">VLOOKUP($A271,VolatilityTable,20)</f>
        <v>0.13</v>
      </c>
      <c r="AD271" s="1513" t="n">
        <f aca="false">VLOOKUP($A271,VolatilityTable,18)</f>
        <v>0.09</v>
      </c>
      <c r="AE271" s="1513" t="n">
        <f aca="false">VLOOKUP($A271,VolatilityTable,19)</f>
        <v>0.11</v>
      </c>
      <c r="AF271" s="1514" t="n">
        <f aca="false">VLOOKUP($A271,VolatilityTable,20)</f>
        <v>0.13</v>
      </c>
      <c r="AG271" s="1513" t="n">
        <f aca="false">VLOOKUP($A271,VolatilityTable,22)</f>
        <v>-0.35</v>
      </c>
      <c r="AH271" s="1513" t="n">
        <f aca="false">VLOOKUP($A271,VolatilityTable,23)</f>
        <v>0.65</v>
      </c>
      <c r="AI271" s="1514" t="n">
        <f aca="false">VLOOKUP($A271,VolatilityTable,24)</f>
        <v>0.35</v>
      </c>
      <c r="AJ271" s="1513" t="n">
        <f aca="false">VLOOKUP($A271,VolatilityTable,22)</f>
        <v>-0.35</v>
      </c>
      <c r="AK271" s="1513" t="n">
        <f aca="false">VLOOKUP($A271,VolatilityTable,23)</f>
        <v>0.65</v>
      </c>
      <c r="AL271" s="1514" t="n">
        <f aca="false">VLOOKUP($A271,VolatilityTable,24)</f>
        <v>0.35</v>
      </c>
      <c r="AM271" s="1513" t="n">
        <f aca="false">VLOOKUP($A271,VolatilityTable,26)</f>
        <v>-0.01</v>
      </c>
      <c r="AN271" s="1513" t="n">
        <f aca="false">VLOOKUP($A271,VolatilityTable,27)</f>
        <v>0.16</v>
      </c>
      <c r="AO271" s="1514" t="n">
        <f aca="false">VLOOKUP($A271,VolatilityTable,28)</f>
        <v>0.01</v>
      </c>
      <c r="AP271" s="1513" t="n">
        <f aca="false">VLOOKUP($A271,VolatilityTable,26)</f>
        <v>-0.01</v>
      </c>
      <c r="AQ271" s="1513" t="n">
        <f aca="false">VLOOKUP($A271,VolatilityTable,27)</f>
        <v>0.16</v>
      </c>
      <c r="AR271" s="1515" t="n">
        <f aca="false">VLOOKUP($A271,VolatilityTable,28)</f>
        <v>0.01</v>
      </c>
      <c r="AS271" s="1581" t="n">
        <f aca="false">IF(CorrPeakOffPeakOverFlag,INDEX(CorrPeakOffPeakOver,C271),CorrPeakOffPeak)</f>
        <v>0.5</v>
      </c>
      <c r="AT271" s="594" t="e">
        <f aca="false">AX271-SUM(AU271:AW271)</f>
        <v>#VALUE!</v>
      </c>
      <c r="AU271" s="238" t="e">
        <f aca="false">IF(E271="",0,INT((F271-MOD(F271,7)-E271)/7)+1-IF(AW271,IF(WEEKDAY(D271)=7,1,0),0))</f>
        <v>#VALUE!</v>
      </c>
      <c r="AV271" s="238" t="e">
        <f aca="false">IF(E271="",0,INT((F271-MOD(F271-1,7)-E271)/7)+1-IF(AW271,IF(WEEKDAY(D271)=1,1,0),0))</f>
        <v>#VALUE!</v>
      </c>
      <c r="AW271" s="238" t="e">
        <f aca="false">IF(OR(E271="",D271="",D271&lt;BegDate,D271&gt;EndDate),0,1)</f>
        <v>#VALUE!</v>
      </c>
      <c r="AX271" s="238" t="n">
        <f aca="false">IF(E271="",0,F271-E271+1)</f>
        <v>31</v>
      </c>
      <c r="AY271" s="1582" t="n">
        <f aca="false">IF(E271="",0,MIN((1-(1-VLOOKUP(B271,MAIN!$AA$7:$AM$28,C271+1))*(1-VLOOKUP(B271,MAIN!$AA$33:$AM$54,C271+1))),1))</f>
        <v>0.03</v>
      </c>
      <c r="AZ271" s="1519" t="e">
        <v>#VALUE!</v>
      </c>
      <c r="BA271" s="1520" t="e">
        <v>#VALUE!</v>
      </c>
      <c r="BB271" s="1520" t="e">
        <v>#VALUE!</v>
      </c>
      <c r="BC271" s="1583" t="e">
        <v>#VALUE!</v>
      </c>
      <c r="BD271" s="1522" t="e">
        <v>#VALUE!</v>
      </c>
      <c r="BE271" s="1523" t="e">
        <v>#VALUE!</v>
      </c>
      <c r="BF271" s="1523" t="e">
        <v>#VALUE!</v>
      </c>
      <c r="BG271" s="1584" t="e">
        <v>#VALUE!</v>
      </c>
      <c r="BH271" s="1525" t="e">
        <v>#VALUE!</v>
      </c>
      <c r="BI271" s="1520" t="e">
        <v>#VALUE!</v>
      </c>
      <c r="BJ271" s="1520" t="e">
        <v>#VALUE!</v>
      </c>
      <c r="BK271" s="1583" t="e">
        <v>#VALUE!</v>
      </c>
      <c r="BL271" s="1522" t="e">
        <v>#VALUE!</v>
      </c>
      <c r="BM271" s="1523" t="e">
        <v>#VALUE!</v>
      </c>
      <c r="BN271" s="1523" t="e">
        <v>#VALUE!</v>
      </c>
      <c r="BO271" s="1523" t="e">
        <v>#VALUE!</v>
      </c>
      <c r="BP271" s="1525" t="e">
        <f aca="false">SUM(AZ271:BB271)</f>
        <v>#VALUE!</v>
      </c>
      <c r="BQ271" s="1529" t="e">
        <f aca="false">SUM(AZ271:BC271)</f>
        <v>#VALUE!</v>
      </c>
      <c r="BR271" s="1519" t="e">
        <f aca="false">SUM(BH271:BJ271)</f>
        <v>#VALUE!</v>
      </c>
      <c r="BS271" s="1529" t="e">
        <f aca="false">SUM(BH271:BK271)</f>
        <v>#VALUE!</v>
      </c>
      <c r="BT271" s="1316" t="n">
        <f aca="false">(IF(OVolType&lt;&gt;2,A271+14,IF(OptExpDateShift,ShiftBack(A271,OptExpDateShift,D270),A271))-DateToday)/365.25</f>
        <v>21.2128678986995</v>
      </c>
      <c r="BU271" s="1585" t="e">
        <f aca="false">IF(BQ271,IF(OPriceCurve,IF(OBuySell=OCallPut,I271/(1-AY271),K271/(1-AY271)),J271/(1-AY271))*BD271,0)</f>
        <v>#VALUE!</v>
      </c>
      <c r="BV271" s="1316" t="e">
        <f aca="false">IF(BQ271,IF(OPriceCurve,IF(OBuySell=OCallPut,L271/(1-AY271),N271/(1-AY271)),M271/(1-AY271))*BE271,0)</f>
        <v>#VALUE!</v>
      </c>
      <c r="BW271" s="1316" t="e">
        <f aca="false">IF(BQ271,IF(OPriceCurve,IF(OBuySell=OCallPut,O271/(1-AY271),Q271/(1-AY271)),P271/(1-AY271))*BF271,0)</f>
        <v>#VALUE!</v>
      </c>
      <c r="BX271" s="1316" t="e">
        <f aca="false">IF(BQ271,IF(OPriceCurve,IF(OBuySell=OCallPut,R271/(1-AY271),T271/(1-AY271)),S271/(1-AY271))*BG271,0)</f>
        <v>#VALUE!</v>
      </c>
      <c r="BY271" s="1316" t="e">
        <f aca="false">IF(BP271,(BU271*AZ271+BV271*BA271+BW271*BB271)/BP271,0)</f>
        <v>#VALUE!</v>
      </c>
      <c r="BZ271" s="1316" t="e">
        <f aca="false">IF(BQ271,(BY271*BP271+BX271*BC271)/BQ271,0)</f>
        <v>#VALUE!</v>
      </c>
      <c r="CA271" s="1531" t="e">
        <f aca="false">IF(BS271,IF(OPriceCurve,IF(OBuySell=OCallPut,I271/(1-AY271),K271/(1-AY271)),J271/(1-AY271))*BL271,0)</f>
        <v>#VALUE!</v>
      </c>
      <c r="CB271" s="1316" t="e">
        <f aca="false">IF(BS271,IF(OPriceCurve,IF(OBuySell=OCallPut,L271/(1-AY271),N271/(1-AY271)),M271/(1-AY271))*BM271,0)</f>
        <v>#VALUE!</v>
      </c>
      <c r="CC271" s="1316" t="e">
        <f aca="false">IF(BS271,IF(OPriceCurve,IF(OBuySell=OCallPut,O271/(1-AY271),Q271/(1-AY271)),P271/(1-AY271))*BN271,0)</f>
        <v>#VALUE!</v>
      </c>
      <c r="CD271" s="1316" t="e">
        <f aca="false">IF(BS271,IF(OPriceCurve,IF(OBuySell=OCallPut,R271/(1-AY271),T271/(1-AY271)),S271/(1-AY271))*BO271,0)</f>
        <v>#VALUE!</v>
      </c>
      <c r="CE271" s="1316" t="e">
        <f aca="false">IF(BR271,(BU271*BH271+BV271*BI271+BW271*BJ271)/BR271,0)</f>
        <v>#VALUE!</v>
      </c>
      <c r="CF271" s="1532" t="e">
        <f aca="false">IF(BS271,(CE271*BR271+CD271*BK271)/BS271,0)</f>
        <v>#VALUE!</v>
      </c>
      <c r="CG271" s="1586" t="e">
        <f aca="false">IF(OR(BQ271,BS271),IF(OVolType&lt;&gt;2,SQRT(IF(OVolOverMonthlyPeak,OVolOverMonthlyPeak,IF(OVolCurve,IF(OBuySell,U271,W271),V271))^2*(1-15/365.25/BT271)+IF(OVolOverDailyPeak,OVolOverDailyPeak,IF(OVolCurve,IF(OBuySell,AG271,AI271),AH271))^2*15/365.25/BT271),IF(OVolOverMonthlyPeak,OVolOverMonthlyPeak,IF(OVolCurve,IF(OBuySell,U271,W271),V271))),"")</f>
        <v>#VALUE!</v>
      </c>
      <c r="CH271" s="1587" t="e">
        <f aca="false">IF(OR(BQ271,BS271),IF(OVolType&lt;&gt;2,SQRT(IF(OVolOverMonthlyPeak,OVolOverMonthlyPeak,IF(OVolCurve,IF(OBuySell,X271,Z271),Y271))^2*(1-15/365.25/BT271)+IF(OVolOverDailyPeak,OVolOverDailyPeak,IF(OVolCurve,IF(OBuySell,AJ271,AL271),AK271))^2*15/365.25/BT271),IF(OVolOverMonthlyPeak,OVolOverMonthlyPeak,IF(OVolCurve,IF(OBuySell,X271,Z271),Y271))),"")</f>
        <v>#VALUE!</v>
      </c>
      <c r="CI271" s="1587" t="e">
        <f aca="false">IF(OR(BQ271,BS271),IF(OVolType&lt;&gt;2,SQRT(IF(OVolOverMonthlyPeak,OVolOverMonthlyPeak,IF(OVolCurve,IF(OBuySell,AA271,AC271),AB271))^2*(1-15/365.25/BT271)+IF(OVolOverDailyPeak,OVolOverDailyPeak,IF(OVolCurve,IF(OBuySell,AM271,AO271),AN271))^2*15/365.25/BT271),IF(OVolOverMonthlyPeak,OVolOverMonthlyPeak,IF(OVolCurve,IF(OBuySell,AA271,AC271),AB271))),"")</f>
        <v>#VALUE!</v>
      </c>
      <c r="CJ271" s="1587" t="e">
        <f aca="false">IF(BQ271,IF(BP271,SQRT(LN(1+((BU271*AZ271)^2*(EXP(CG271^2*BT271)-1)+(BV271*BA271)^2*(EXP(CH271^2*BT271)-1)+(BW271*BB271)^2*(EXP(CI271^2*BT271)-1)+2*BU271*AZ271*BV271*BA271*(EXP(CG271*CH271*BT271)-1)+2*BV271*BA271*BW271*BB271*(EXP(CH271*CI271*BT271)-1)+2*BW271*BB271*BU271*AZ271*(EXP(CI271*CG271*BT271)-1))/(BY271*BP271)^2)/BT271),0),"")</f>
        <v>#VALUE!</v>
      </c>
      <c r="CK271" s="1587" t="e">
        <f aca="false">IF(BS271,IF(BR271,SQRT(LN(1+((CA271*BH271)^2*(EXP(CG271^2*BT271)-1)+(CB271*BI271)^2*(EXP(CH271^2*BT271)-1)+(CC271*BJ271)^2*(EXP(CI271^2*BT271)-1)+2*CA271*BH271*CB271*BI271*(EXP(CG271*CH271*BT271)-1)+2*CB271*BI271*CC271*BJ271*(EXP(CH271*CI271*BT271)-1)+2*CC271*BJ271*CA271*BH271*(EXP(CI271*CG271*BT271)-1))/(CE271*BR271)^2)/BT271),0),"")</f>
        <v>#VALUE!</v>
      </c>
      <c r="CL271" s="1587" t="e">
        <f aca="false">IF(OR(BQ271,BS271),IF(OVolType&lt;&gt;2,SQRT(IF(OVolOverMonthlyOffPeak,OVolOverMonthlyOffPeak,IF(OVolCurve,IF(OBuySell,AD271,AF271),AE271))^2*(1-15/365.25/BT271)+IF(OVolOverDailyOffPeak,OVolOverDailyOffPeak,IF(OVolCurve,IF(OBuySell,AP271,AR271),AQ271))^2*15/365.25/BT271),IF(OVolOverMonthlyOffPeak,OVolOverMonthlyOffPeak,IF(OVolCurve,IF(OBuySell,AD271,AF271),AE271))),"")</f>
        <v>#VALUE!</v>
      </c>
      <c r="CM271" s="1587" t="e">
        <f aca="false">IF(BQ271,SQRT(LN(1+((BY271*BP271)^2*(EXP(CJ271^2*BT271)-1)+(BX271*BC271)^2*(EXP(CL271^2*BT271)-1)+2*BY271*BP271*BX271*BC271*(EXP(AS271*CJ271*CL271*BT271)-1))/(BY271*BP271+BX271*BC271)^2)/BT271),"")</f>
        <v>#VALUE!</v>
      </c>
      <c r="CN271" s="1588" t="e">
        <f aca="false">IF(BS271,SQRT(LN(1+((CE271*BR271)^2*(EXP(CK271^2*BT271)-1)+(CD271*BK271)^2*(EXP(CL271^2*BT271)-1)+2*CE271*BR271*CD271*BK271*(EXP(AS271*CK271*CL271*BT271)-1))/(CE271*BR271+CD271*BK271)^2)/BT271),"")</f>
        <v>#VALUE!</v>
      </c>
      <c r="CO271" s="1531" t="e">
        <f aca="false">IF(OR(BQ271,BS271),VLOOKUP(A271,GasTable,13)*HeatRatePeak*(1+VLOOKUP($B271,HeatRateDegradation,$C271+1))/1000,0)</f>
        <v>#VALUE!</v>
      </c>
      <c r="CP271" s="1316" t="e">
        <f aca="false">IF(OR(BQ271,BS271),VLOOKUP(A271,GasTable,13)*HeatRatePeak*(1+VLOOKUP($B271,HeatRateDegradation,$C271+1))/1000,0)</f>
        <v>#VALUE!</v>
      </c>
      <c r="CQ271" s="1316" t="e">
        <f aca="false">IF(OR(BQ271,BS271),VLOOKUP(A271,GasTable,13)*IF(EV271,HeatRatePeak,HeatRateOffPeak)*(1+VLOOKUP($B271,HeatRateDegradation,$C271+1))/1000,0)</f>
        <v>#VALUE!</v>
      </c>
      <c r="CR271" s="1316" t="e">
        <f aca="false">IF(OR(BQ271,BS271),VLOOKUP(A271,GasTable,13)*IF(EW271,HeatRatePeak,HeatRateOffPeak)*(1+VLOOKUP($B271,HeatRateDegradation,$C271+1))/1000,0)</f>
        <v>#VALUE!</v>
      </c>
      <c r="CS271" s="1589" t="e">
        <f aca="false">IF(BQ271,(CO271*AZ271+CP271*BA271+CQ271*BB271+CR271*BC271)/BQ271,0)</f>
        <v>#VALUE!</v>
      </c>
      <c r="CT271" s="1316" t="e">
        <f aca="false">IF(BS271,CO271,0)</f>
        <v>#VALUE!</v>
      </c>
      <c r="CU271" s="1590" t="e">
        <f aca="false">IF(OR(BQ271,BS271),VLOOKUP(A271,GasTable,14),"")</f>
        <v>#VALUE!</v>
      </c>
      <c r="CV271" s="1568" t="e">
        <f aca="false">IF(OR(BQ271,BS271),IF(CorrPowerGasOverFlag,INDEX(CorrPowerGasOver,C271),CorrPowerGas),"")</f>
        <v>#VALUE!</v>
      </c>
      <c r="CW271" s="1316" t="e">
        <f aca="false">IF(OR($BQ271,$BS271),SpreadOptPowerMargin,0)*((1+Assumptions!$C$26)^($B271-YEAR(Assumptions!$C$17)))</f>
        <v>#VALUE!</v>
      </c>
      <c r="CX271" s="1316" t="e">
        <f aca="false">IF(OR($BQ271,$BS271),SpreadOptPowerMargin,0)*((1+Assumptions!$C$26)^($B271-YEAR(Assumptions!$C$17)))</f>
        <v>#VALUE!</v>
      </c>
      <c r="CY271" s="1316" t="e">
        <f aca="false">IF(OR($BQ271,$BS271),SpreadOptPowerMargin,0)*((1+Assumptions!$C$26)^($B271-YEAR(Assumptions!$C$17)))</f>
        <v>#VALUE!</v>
      </c>
      <c r="CZ271" s="1316" t="e">
        <f aca="false">IF(OR($BQ271,$BS271),SpreadOptPowerMargin,0)*((1+Assumptions!$C$26)^($B271-YEAR(Assumptions!$C$17)))</f>
        <v>#VALUE!</v>
      </c>
      <c r="DA271" s="1591" t="e">
        <f aca="false">IF(OR(BQ271,BS271),(CW271*(AZ271+BH271)+CX271*(BA271+BI271)+CY271*(BB271+BJ271)+CZ271*(BC271+BK271))/(BQ271+BS271),0)</f>
        <v>#VALUE!</v>
      </c>
      <c r="DB271" s="1592" t="e">
        <f aca="false">IF(OR(BQ271,BS271),CG271+IF(OVolSmile,VLOOKUP(MAX(-5,CO271+CW271-BU271),IF(OVolSmile=1,VolSmileBook,VolSmileModel),2),0),"")</f>
        <v>#VALUE!</v>
      </c>
      <c r="DC271" s="1592" t="e">
        <f aca="false">IF(OR(BQ271,BS271),CH271+IF(OVolSmile,VLOOKUP(MAX(-5,CP271+CW271-BV271),IF(OVolSmile=1,VolSmileBook,VolSmileModel),2),0),"")</f>
        <v>#VALUE!</v>
      </c>
      <c r="DD271" s="1592" t="e">
        <f aca="false">IF(OR(BQ271,BS271),CI271+IF(OVolSmile,VLOOKUP(MAX(-5,CQ271+CW271-BW271),IF(OVolSmile=1,VolSmileBook,VolSmileModel),2),0),"")</f>
        <v>#VALUE!</v>
      </c>
      <c r="DE271" s="1592" t="e">
        <f aca="false">IF(OR(BQ271,BS271),CL271+IF(OVolSmile,VLOOKUP(MAX(-5,CR271+CZ271-BX271),IF(OVolSmile=1,VolSmileBook,VolSmileModel),2),0),"")</f>
        <v>#VALUE!</v>
      </c>
      <c r="DF271" s="1592" t="e">
        <f aca="false">IF(BQ271,CM271+IF(OVolSmile,VLOOKUP(MAX(-5,CS271+DA271-BZ271),IF(OVolSmile=1,VolSmileBook,VolSmileModel),2),0),"")</f>
        <v>#VALUE!</v>
      </c>
      <c r="DG271" s="1593" t="e">
        <f aca="false">IF(BS271,CN271+IF(OVolSmile,VLOOKUP(MAX(-5,CT271+DA271-CF271),IF(OVolSmile=1,VolSmileBook,VolSmileModel),2),0),"")</f>
        <v>#VALUE!</v>
      </c>
      <c r="DH271" s="1316" t="e">
        <f aca="false">IF(AND(BU271&gt;0,CO271&gt;0,DB271&gt;0,CU271&gt;0),newSPRDOPT(BU271,CO271,CW271,0,DB271,CU271,CV271,BT271*365.25,OCallPut,0),0)</f>
        <v>#VALUE!</v>
      </c>
      <c r="DI271" s="1316" t="e">
        <f aca="false">IF(AND(BV271&gt;0,CP271&gt;0,DC271&gt;0,CU271&gt;0),newSPRDOPT(BV271,CP271,CX271,0,DC271,CU271,CV271,BT271*365.25,OCallPut,0),0)</f>
        <v>#VALUE!</v>
      </c>
      <c r="DJ271" s="1316" t="e">
        <f aca="false">IF(AND(BW271&gt;0,CQ271&gt;0,DD271&gt;0,CU271&gt;0),newSPRDOPT(BW271,CQ271,CY271,0,DD271,CU271,CV271,BT271*365.25,OCallPut,0),0)</f>
        <v>#VALUE!</v>
      </c>
      <c r="DK271" s="1316" t="e">
        <f aca="false">IF(AND(BX271&gt;0,CR271&gt;0,DE271&gt;0,CU271&gt;0),newSPRDOPT(BX271,CR271,CZ271,0,DE271,CU271,CV271,BT271*365.25,OCallPut,0),0)</f>
        <v>#VALUE!</v>
      </c>
      <c r="DL271" s="1316" t="e">
        <f aca="false">IF(OVolType,IF(AND(BZ271&gt;0,CS271&gt;0,DF271&gt;0,CU271&gt;0),newSPRDOPT(BZ271,CS271,DA271,0,DF271,CU271,CV271,BT271*365.25,OCallPut,0),0),IF(BQ271,(DH271*AZ271+DI271*BA271+DJ271*BB271+DK271*BC271)/BQ271,0))</f>
        <v>#VALUE!</v>
      </c>
      <c r="DM271" s="1316"/>
      <c r="DN271" s="1316"/>
      <c r="DO271" s="1316"/>
      <c r="DP271" s="1316"/>
      <c r="DQ271" s="1316"/>
      <c r="DR271" s="1316"/>
      <c r="DS271" s="1316"/>
      <c r="DT271" s="1316"/>
      <c r="DU271" s="1316"/>
      <c r="DV271" s="1316"/>
      <c r="DW271" s="1594" t="e">
        <f aca="false">IF(AND(BW271&gt;0,CT271&gt;0,DD271&gt;0,CU271&gt;0),newSPRDOPT(BW271,CT271,CY271,0,DD271,CU271,CV271,BT271*365.25,OCallPut,0),0)</f>
        <v>#VALUE!</v>
      </c>
      <c r="DX271" s="1316" t="e">
        <f aca="false">IF(AND(BX271&gt;0,CT271&gt;0,DE271&gt;0,CU271&gt;0),newSPRDOPT(BX271,CT271,CZ271,0,DE271,CU271,CV271,BT271*365.25,OCallPut,0),0)</f>
        <v>#VALUE!</v>
      </c>
      <c r="DY271" s="1591" t="e">
        <f aca="false">IF(BS271,(DH271*BH271+DI271*BI271+DW271*BJ271+DX271*BK271)/BS271,0)</f>
        <v>#VALUE!</v>
      </c>
      <c r="DZ271" s="1551" t="e">
        <f aca="false">DH271*AZ271</f>
        <v>#VALUE!</v>
      </c>
      <c r="EA271" s="1551" t="e">
        <f aca="false">DI271*BA271</f>
        <v>#VALUE!</v>
      </c>
      <c r="EB271" s="1551" t="e">
        <f aca="false">DJ271*BB271</f>
        <v>#VALUE!</v>
      </c>
      <c r="EC271" s="1551" t="e">
        <f aca="false">DK271*BC271</f>
        <v>#VALUE!</v>
      </c>
      <c r="ED271" s="1551" t="e">
        <f aca="false">DL271*BQ271</f>
        <v>#VALUE!</v>
      </c>
      <c r="EE271" s="1595" t="e">
        <f aca="false">IF(BQ271,IF(OCallPut,IF(BU271&gt;(CO271+CW271),BU271-(CO271+CW271),0),IF((CO271+CW271)&gt;BU271,(CO271+CW271)-BU271,0))*AZ271,0)</f>
        <v>#VALUE!</v>
      </c>
      <c r="EF271" s="1596" t="e">
        <f aca="false">IF(BQ271,IF(OCallPut,IF(BV271&gt;(CP271+CX271),BV271-(CP271+CX271),0),IF((CP271+CX271)&gt;BV271,(CP271+CX271)-BV271,0))*BA271,0)</f>
        <v>#VALUE!</v>
      </c>
      <c r="EG271" s="1596" t="e">
        <f aca="false">IF(BQ271,IF(OCallPut,IF(BW271&gt;(CQ271+CY271),BW271-(CQ271+CY271),0),IF((CQ271+CY271)&gt;BW271,(CQ271+CY271)-BW271,0))*BB271,0)</f>
        <v>#VALUE!</v>
      </c>
      <c r="EH271" s="1596" t="e">
        <f aca="false">IF(BQ271,IF(OCallPut,IF(BX271&gt;(CR271+CZ271),BX271-(CR271+CZ271),0),IF((CR271+CZ271)&gt;BX271,(CR271+CZ271)-BX271,0))*BC271,0)</f>
        <v>#VALUE!</v>
      </c>
      <c r="EI271" s="1597" t="e">
        <f aca="false">IF(BQ271,IF(OVolType,IF(OCallPut,IF(BZ271&gt;(CS271+DA271),BZ271-(CS271+DA271),0),IF((CS271+DA271)&gt;BZ271,(CS271+DA271)-BZ271,0))*BQ271,SUM(EE271:EH271)),0)</f>
        <v>#VALUE!</v>
      </c>
      <c r="EJ271" s="1595" t="e">
        <f aca="false">DZ271-EE271</f>
        <v>#VALUE!</v>
      </c>
      <c r="EK271" s="1596" t="e">
        <f aca="false">EA271-EF271</f>
        <v>#VALUE!</v>
      </c>
      <c r="EL271" s="1596" t="e">
        <f aca="false">EB271-EG271</f>
        <v>#VALUE!</v>
      </c>
      <c r="EM271" s="1596" t="e">
        <f aca="false">EC271-EH271</f>
        <v>#VALUE!</v>
      </c>
      <c r="EN271" s="1597" t="e">
        <f aca="false">ED271-EI271</f>
        <v>#VALUE!</v>
      </c>
      <c r="EO271" s="1551" t="e">
        <f aca="false">DH271*BH271</f>
        <v>#VALUE!</v>
      </c>
      <c r="EP271" s="1551" t="e">
        <f aca="false">DI271*BI271</f>
        <v>#VALUE!</v>
      </c>
      <c r="EQ271" s="1551" t="e">
        <f aca="false">DW271*BJ271</f>
        <v>#VALUE!</v>
      </c>
      <c r="ER271" s="1551" t="e">
        <f aca="false">DX271*BK271</f>
        <v>#VALUE!</v>
      </c>
      <c r="ES271" s="1551" t="e">
        <f aca="false">DY271*BS271</f>
        <v>#VALUE!</v>
      </c>
      <c r="ET271" s="1566" t="e">
        <f aca="false">IF(EI271,IF(OCallPut,IF(CA271&gt;(CT271+CW271),CA271-(CT271+CW271),0),IF((CT271+CW271)&gt;CA271,(CT271+CW271)-CA271,0))*BH271,0)</f>
        <v>#VALUE!</v>
      </c>
      <c r="EU271" s="1551" t="e">
        <f aca="false">IF(EI271,IF(OCallPut,IF(CB271&gt;(CT271+CX271),CB271-(CT271+CX271),0),IF((CT271+CX271)&gt;CB271,(CT271+CX271)-CB271,0))*BI271,0)</f>
        <v>#VALUE!</v>
      </c>
      <c r="EV271" s="1551" t="e">
        <f aca="false">IF(EI271,IF(OCallPut,IF(CC271&gt;(CT271+CY271),CC271-(CT271+CY271),0),IF((CT271+CY271)&gt;CC271,(CT271+CY271)-CC271,0))*BJ271,0)</f>
        <v>#VALUE!</v>
      </c>
      <c r="EW271" s="1551" t="e">
        <f aca="false">IF(EI271,IF(OCallPut,IF(CD271&gt;(CT271+CZ271),CD271-(CT271+CZ271),0),IF((CT271+CZ271)&gt;CD271,(CT271+CZ271)-CD271,0))*BK271,0)</f>
        <v>#VALUE!</v>
      </c>
      <c r="EX271" s="1558" t="e">
        <f aca="false">IF(EI271,SUM(ET271:EW271),0)</f>
        <v>#VALUE!</v>
      </c>
      <c r="EY271" s="1551" t="e">
        <f aca="false">EO271-ET271</f>
        <v>#VALUE!</v>
      </c>
      <c r="EZ271" s="1551" t="e">
        <f aca="false">EP271-EU271</f>
        <v>#VALUE!</v>
      </c>
      <c r="FA271" s="1551" t="e">
        <f aca="false">EQ271-EV271</f>
        <v>#VALUE!</v>
      </c>
      <c r="FB271" s="1551" t="e">
        <f aca="false">ER271-EW271</f>
        <v>#VALUE!</v>
      </c>
      <c r="FC271" s="1551" t="e">
        <f aca="false">ES271-EX271</f>
        <v>#VALUE!</v>
      </c>
      <c r="FD271" s="1525" t="n">
        <f aca="false">IF(AX271,IF(VLOOKUP(C271,MAIN!$L$17:$M$28,2)="Yes",VLOOKUP(CALC!B271,MAIN!$H$17:$I$20,2),0),0)</f>
        <v>0</v>
      </c>
      <c r="FE271" s="1552" t="e">
        <f aca="false">$FD271*16*AT271*(1-$AY271)</f>
        <v>#VALUE!</v>
      </c>
      <c r="FF271" s="1553" t="e">
        <f aca="false">$FD271*16*AU271*(1-$AY271)</f>
        <v>#VALUE!</v>
      </c>
      <c r="FG271" s="1553" t="e">
        <f aca="false">$FD271*16*(AV271+AW271)*(1-$AY271)</f>
        <v>#VALUE!</v>
      </c>
      <c r="FH271" s="1554" t="n">
        <f aca="false">$FD271*8*AX271*(1-$AY271)</f>
        <v>0</v>
      </c>
      <c r="FI271" s="1555" t="n">
        <f aca="false">IF(AX271,VLOOKUP(CALC!B271,MAIN!$H$17:$K$20,4),0)</f>
        <v>0</v>
      </c>
      <c r="FJ271" s="1553" t="e">
        <f aca="false">SUM(FE271:FH271)</f>
        <v>#VALUE!</v>
      </c>
      <c r="FK271" s="1556" t="e">
        <f aca="false">FI271*FJ271</f>
        <v>#VALUE!</v>
      </c>
      <c r="FL271" s="1551" t="e">
        <f aca="false">IF($EI271&gt;0,MIN(FE271,AZ271*(1+VLOOKUP($C271,WeatherCapacityAdjustment,2))),0)</f>
        <v>#VALUE!</v>
      </c>
      <c r="FM271" s="1551" t="e">
        <f aca="false">IF($EI271&gt;0,MIN(FF271,BA271*(1+VLOOKUP($C271,WeatherCapacityAdjustment,2))),0)</f>
        <v>#VALUE!</v>
      </c>
      <c r="FN271" s="1551" t="e">
        <f aca="false">IF($EI271&gt;0,MIN(FG271,BB271*(1+VLOOKUP($C271,WeatherCapacityAdjustment,2))),0)</f>
        <v>#VALUE!</v>
      </c>
      <c r="FO271" s="1564" t="e">
        <f aca="false">IF($EI271&gt;0,MIN(FH271,BC271*(1+VLOOKUP($C271,WeatherCapacityAdjustment,3))),0)</f>
        <v>#VALUE!</v>
      </c>
      <c r="FP271" s="1551" t="e">
        <f aca="false">IF(ET271&gt;0,MIN(FE271-FL271,BH271*(1+VLOOKUP($C271,WeatherCapacityAdjustment,2))),0)</f>
        <v>#VALUE!</v>
      </c>
      <c r="FQ271" s="1551" t="e">
        <f aca="false">IF(EU271&gt;0,MIN(FF271-FM271,BI271*(1+VLOOKUP($C271,WeatherCapacityAdjustment,2))),0)</f>
        <v>#VALUE!</v>
      </c>
      <c r="FR271" s="1551" t="e">
        <f aca="false">IF(EV271&gt;0,MIN(FG271-FN271,BJ271*(1+VLOOKUP($C271,WeatherCapacityAdjustment,2))),0)</f>
        <v>#VALUE!</v>
      </c>
      <c r="FS271" s="1558" t="e">
        <f aca="false">IF(EW271&gt;0,MIN(FH271-FO271,BK271*(1+VLOOKUP($C271,WeatherCapacityAdjustment,3))),0)</f>
        <v>#VALUE!</v>
      </c>
      <c r="FT271" s="1566" t="e">
        <f aca="false">IF(AND(Assumptions!$H$71="Yes",A271&gt;=Assumptions!$H$72,A271&lt;=Assumptions!$H$73),0,IF(AND($A271&gt;=Assumptions!$C$17,$A271&lt;=Assumptions!$C$18),MAX(AZ271*(1+VLOOKUP($C271,WeatherCapacityAdjustment,2))-FL271,0),0))</f>
        <v>#VALUE!</v>
      </c>
      <c r="FU271" s="1551" t="e">
        <f aca="false">IF(AND(Assumptions!$H$71="Yes",A271&gt;=Assumptions!$H$72,A271&lt;=Assumptions!$H$73),0,IF(AND($A271&gt;=Assumptions!$C$17,$A271&lt;=Assumptions!$C$18),MAX(BA271*(1+VLOOKUP($C271,WeatherCapacityAdjustment,2))-FM271,0),0))</f>
        <v>#VALUE!</v>
      </c>
      <c r="FV271" s="1551" t="e">
        <f aca="false">IF(AND(Assumptions!$H$71="Yes",A271&gt;=Assumptions!$H$72,A271&lt;=Assumptions!$H$73),0,IF(AND($A271&gt;=Assumptions!$C$17,$A271&lt;=Assumptions!$C$18),MAX(BB271*(1+VLOOKUP($C271,WeatherCapacityAdjustment,2))-FN271,0),0))</f>
        <v>#VALUE!</v>
      </c>
      <c r="FW271" s="1564" t="e">
        <f aca="false">IF(AND(Assumptions!$H$71="Yes",A271&gt;=Assumptions!$H$72,A271&lt;=Assumptions!$H$73),0,IF(AND($A271&gt;=Assumptions!$C$17,$A271&lt;=Assumptions!$C$18),MAX(BC271*(1+VLOOKUP($C271,WeatherCapacityAdjustment,3))-FO271,0),0))</f>
        <v>#VALUE!</v>
      </c>
      <c r="FX271" s="1569" t="e">
        <f aca="false">IF(AND(Assumptions!$H$71="Yes",A271&gt;=Assumptions!$H$72,A271&lt;=Assumptions!$H$73),0,IF(ET271&gt;0,MAX(BH271*(1+VLOOKUP($C271,WeatherCapacityAdjustment,2))-FP271,0),0))</f>
        <v>#VALUE!</v>
      </c>
      <c r="FY271" s="1551" t="e">
        <f aca="false">IF(AND(Assumptions!$H$71="Yes",A271&gt;=Assumptions!$H$72,A271&lt;=Assumptions!$H$73),0,IF(EU271&gt;0,MAX(BI271*(1+VLOOKUP($C271,WeatherCapacityAdjustment,3))-FQ271,0),0))</f>
        <v>#VALUE!</v>
      </c>
      <c r="FZ271" s="1551" t="e">
        <f aca="false">IF(AND(Assumptions!$H$71="Yes",A271&gt;=Assumptions!$H$72,A271&lt;=Assumptions!$H$73),0,IF(EV271&gt;0,MAX(BJ271*(1+VLOOKUP($C271,WeatherCapacityAdjustment,2))-FR271,0),0))</f>
        <v>#VALUE!</v>
      </c>
      <c r="GA271" s="1564" t="e">
        <f aca="false">IF(AND(Assumptions!$H$71="Yes",A271&gt;=Assumptions!$H$72,A271&lt;=Assumptions!$H$73),0,IF(EW271&gt;0,MAX(BK271*(1+VLOOKUP($C271,WeatherCapacityAdjustment,2))-FS271,0),0))</f>
        <v>#VALUE!</v>
      </c>
      <c r="GB271" s="1551" t="e">
        <f aca="false">SUM(FT271:GA271)</f>
        <v>#VALUE!</v>
      </c>
      <c r="GC271" s="1563" t="e">
        <f aca="false">+IF(SUM(FT271:GA271)=0,0,(SUMPRODUCT(BU271:BX271,FT271:FW271)+SUMPRODUCT(CA271:CD271,FX271:GA271))/SUM(FT271:GA271))</f>
        <v>#VALUE!</v>
      </c>
      <c r="GD271" s="1551" t="e">
        <f aca="false">(FT271*BU271+FX271*CA271+FU271*BV271+FY271*CB271+FV271*BW271+FZ271*CC271+FW271*BX271+GA271*CD271)</f>
        <v>#VALUE!</v>
      </c>
      <c r="GE271" s="1561" t="e">
        <f aca="false">+IF(BQ271,((FL271+FM271+FT271+FU271)*HeatRatePeak/1000*(1+VLOOKUP($C271,WeatherHeatRateAdjustment,2))+(FN271+FV271)*IF(EV271&gt;0,HeatRatePeak,HeatRateOffPeak)/1000*(1+VLOOKUP($C271,WeatherHeatRateAdjustment,2))+(FO271+FW271)*IF(EW271&gt;0,HeatRatePeak,HeatRateOffPeak)/1000*(1+VLOOKUP($C271,WeatherHeatRateAdjustment,3)))*(1+VLOOKUP($B271,HeatRateDegradation,$C271+1)),0)</f>
        <v>#VALUE!</v>
      </c>
      <c r="GF271" s="1562" t="e">
        <f aca="false">IF(BQ271,((FP271+FQ271+FR271+FX271+FY271+FZ271)*HeatRatePeak/1000*(1+VLOOKUP($C271,WeatherHeatRateAdjustment,2))+(FS271+GA271)*HeatRatePeak/1000*(1+VLOOKUP($C271,WeatherHeatRateAdjustment,3)))*(1+VLOOKUP($B271,HeatRateDegradation,$C271+1)),0)</f>
        <v>#VALUE!</v>
      </c>
      <c r="GG271" s="1563" t="e">
        <f aca="false">IF(BQ271,VLOOKUP(A271,GasTable,13),0)</f>
        <v>#VALUE!</v>
      </c>
      <c r="GH271" s="1564" t="e">
        <f aca="false">(GE271+GF271)*GG271</f>
        <v>#VALUE!</v>
      </c>
      <c r="GI271" s="1569" t="e">
        <f aca="false">GB271</f>
        <v>#VALUE!</v>
      </c>
      <c r="GJ271" s="1598" t="e">
        <f aca="false">+DA271</f>
        <v>#VALUE!</v>
      </c>
      <c r="GK271" s="1558" t="e">
        <f aca="false">+GI271*GJ271</f>
        <v>#VALUE!</v>
      </c>
      <c r="GL271" s="1566" t="e">
        <f aca="false">MAX(FE271-FL271-FP271,0)</f>
        <v>#VALUE!</v>
      </c>
      <c r="GM271" s="1551" t="e">
        <f aca="false">MAX(FF271-FM271-FQ271,0)</f>
        <v>#VALUE!</v>
      </c>
      <c r="GN271" s="1551" t="e">
        <f aca="false">MAX(FG271-FN271-FR271,0)</f>
        <v>#VALUE!</v>
      </c>
      <c r="GO271" s="1564" t="e">
        <f aca="false">MAX(FH271-FO271-FS271,0)</f>
        <v>#VALUE!</v>
      </c>
      <c r="GP271" s="1551" t="e">
        <f aca="false">SUM(GL271:GO271)</f>
        <v>#VALUE!</v>
      </c>
      <c r="GQ271" s="1563" t="e">
        <f aca="false">IF(SUM(GL271:GO271)=0,0,((GL271*BU271+GM271*BV271+GN271*BW271+GO271*BX271)/SUM(GL271:GO271)))</f>
        <v>#VALUE!</v>
      </c>
      <c r="GR271" s="1558" t="e">
        <f aca="false">(GL271*BU271+GM271*BV271+GN271*BW271+GO271*BX271)</f>
        <v>#VALUE!</v>
      </c>
      <c r="GS271" s="1566" t="n">
        <f aca="false">IF($A271&gt;=BegDate,Assumptions!$C$56*24*($A272-$A271)*(1-VLOOKUP($B271,MAIN!$AA$7:$AM$28,$C271+1))*(1-VLOOKUP($B271,MAIN!$AA$33:$AM$54,$C271+1)),0)*80/168</f>
        <v>257742.857142857</v>
      </c>
      <c r="GT271" s="286" t="n">
        <f aca="false">J271</f>
        <v>73.1174116626141</v>
      </c>
      <c r="GU271" s="286" t="n">
        <f aca="false">IF($A271&gt;=BegDate,VLOOKUP($A271,GasTable,13)+Assumptions!$C$58,0)</f>
        <v>3.76551239550668</v>
      </c>
      <c r="GV271" s="286" t="n">
        <f aca="false">GU271*Assumptions!$C$57/1000</f>
        <v>27.2999648674234</v>
      </c>
      <c r="GW271" s="1558" t="n">
        <f aca="false">IF(Assumptions!$C$60="Hourly",MAX(0,GS271*(GT271-GV271)),GS271*(GT271-GV271))</f>
        <v>11809119.6439833</v>
      </c>
      <c r="GX271" s="1566" t="n">
        <f aca="false">IF($A271&gt;=BegDate,Assumptions!$C$56*24*($A272-$A271)*(1-VLOOKUP($B271,MAIN!$AA$7:$AM$28,$C271+1))*(1-VLOOKUP($B271,MAIN!$AA$33:$AM$54,$C271+1)),0)*16/168</f>
        <v>51548.5714285714</v>
      </c>
      <c r="GY271" s="286" t="n">
        <f aca="false">M271</f>
        <v>73.1174116626141</v>
      </c>
      <c r="GZ271" s="286" t="n">
        <f aca="false">IF($A271&gt;=BegDate,VLOOKUP($A271,GasTable,13)+Assumptions!$C$58,0)</f>
        <v>3.76551239550668</v>
      </c>
      <c r="HA271" s="286" t="n">
        <f aca="false">GZ271*Assumptions!$C$57/1000</f>
        <v>27.2999648674234</v>
      </c>
      <c r="HB271" s="1558" t="n">
        <f aca="false">IF(Assumptions!$C$60="Hourly",MAX(0,GX271*(GY271-HA271)),GX271*(GY271-HA271))</f>
        <v>2361823.92879666</v>
      </c>
      <c r="HC271" s="1566" t="n">
        <f aca="false">IF($A271&gt;=BegDate,Assumptions!$C$56*24*($A272-$A271)*(1-VLOOKUP($B271,MAIN!$AA$7:$AM$28,$C271+1))*(1-VLOOKUP($B271,MAIN!$AA$33:$AM$54,$C271+1)),0)*16/168</f>
        <v>51548.5714285714</v>
      </c>
      <c r="HD271" s="286" t="n">
        <f aca="false">P271</f>
        <v>34.8698746076188</v>
      </c>
      <c r="HE271" s="286" t="n">
        <f aca="false">IF($A271&gt;=BegDate,VLOOKUP($A271,GasTable,13)+Assumptions!$C$58,0)</f>
        <v>3.76551239550668</v>
      </c>
      <c r="HF271" s="286" t="n">
        <f aca="false">HE271*Assumptions!$C$57/1000</f>
        <v>27.2999648674234</v>
      </c>
      <c r="HG271" s="1558" t="n">
        <f aca="false">IF(Assumptions!$C$60="Hourly",MAX(0,HC271*(HD271-HF271)),HC271*(HD271-HF271))</f>
        <v>390218.032950298</v>
      </c>
      <c r="HH271" s="1566" t="n">
        <f aca="false">IF($A271&gt;=BegDate,Assumptions!$C$56*24*($A272-$A271)*(1-VLOOKUP($B271,MAIN!$AA$7:$AM$28,$C271+1))*(1-VLOOKUP($B271,MAIN!$AA$33:$AM$54,$C271+1)),0)*56/168</f>
        <v>180420</v>
      </c>
      <c r="HI271" s="286" t="n">
        <f aca="false">S271</f>
        <v>34.8698746076188</v>
      </c>
      <c r="HJ271" s="286" t="n">
        <f aca="false">IF($A271&gt;=BegDate,VLOOKUP($A271,GasTable,13)+Assumptions!$C$58,0)</f>
        <v>3.76551239550668</v>
      </c>
      <c r="HK271" s="286" t="n">
        <f aca="false">HJ271*Assumptions!$C$57/1000</f>
        <v>27.2999648674234</v>
      </c>
      <c r="HL271" s="1558" t="n">
        <f aca="false">IF(Assumptions!$C$60="Hourly",MAX(0,HH271*(HI271-HK271)),HH271*(HI271-HK271))</f>
        <v>1365763.11532604</v>
      </c>
      <c r="HM271" s="1566" t="n">
        <f aca="false">IF(AND(Assumptions!$H$71="Yes",A271&gt;=Assumptions!$H$72,A271&lt;=Assumptions!$H$73),Assumptions!$H$74*Assumptions!$C$9*1000,0)</f>
        <v>0</v>
      </c>
      <c r="HN271" s="1551"/>
      <c r="HO271" s="1563"/>
      <c r="HP271" s="1563"/>
      <c r="HQ271" s="1563"/>
      <c r="HR271" s="1563"/>
      <c r="HS271" s="1563"/>
      <c r="HT271" s="1563"/>
      <c r="HU271" s="1563"/>
      <c r="HV271" s="1563"/>
      <c r="HW271" s="1563"/>
      <c r="HX271" s="1563"/>
      <c r="HY271" s="1563"/>
      <c r="HZ271" s="1563"/>
      <c r="IA271" s="1563"/>
      <c r="IB271" s="1563"/>
      <c r="IC271" s="1563"/>
      <c r="ID271" s="1563"/>
      <c r="IE271" s="1563"/>
      <c r="IF271" s="1563"/>
      <c r="IG271" s="1563"/>
      <c r="IH271" s="1563"/>
      <c r="II271" s="1610"/>
      <c r="IJ271" s="1309"/>
      <c r="IK271" s="1309"/>
    </row>
    <row r="272" customFormat="false" ht="12.75" hidden="false" customHeight="false" outlineLevel="0" collapsed="false">
      <c r="A272" s="1571" t="n">
        <f aca="false">EOMONTH(A271,0)+1</f>
        <v>44409</v>
      </c>
      <c r="B272" s="594" t="n">
        <f aca="false">+YEAR(A272)</f>
        <v>2021</v>
      </c>
      <c r="C272" s="238" t="n">
        <f aca="false">MONTH(A272)</f>
        <v>8</v>
      </c>
      <c r="D272" s="1572" t="e">
        <f aca="false">IF(E272="","",Holiday(B272,C272))</f>
        <v>#VALUE!</v>
      </c>
      <c r="E272" s="1573" t="n">
        <f aca="false">IF(OR(BegDate&gt;=A273,EndDate&lt;A272,AND(VolumeMonthlyOverFlag,INDEX(VolumeMonthlyOver,C272)=0),NOT(INDEX(MonthKnockOutTable,C272))),"",MAX(A272,BegDate))</f>
        <v>44409</v>
      </c>
      <c r="F272" s="1574" t="n">
        <f aca="false">IF(E272="","",MIN(A273-1,EndDate))</f>
        <v>44439</v>
      </c>
      <c r="G272" s="1575" t="n">
        <v>0</v>
      </c>
      <c r="H272" s="1576" t="n">
        <f aca="false">(1+G272/2)^(-2*(DATE(B273,C273,20)-DateToday)/365.25)</f>
        <v>1</v>
      </c>
      <c r="I272" s="1568" t="n">
        <f aca="false">IF(Assumptions!$L$25=4,VLOOKUP($A272,'Henwood Reference'!$E$9:$R$320,10),(VLOOKUP($A272,PriceTable,2,0)+IF(BasisNumber&lt;&gt;1,VLOOKUP($A272,BasisTable,2,0),0)+I$1)/(1-I$2))</f>
        <v>90.7300608452455</v>
      </c>
      <c r="J272" s="1568" t="n">
        <f aca="false">IF(Assumptions!$L$25=4,VLOOKUP($A272,'Henwood Reference'!$E$9:$R$320,10),(VLOOKUP($A272,PriceTable,3,0)+IF(BasisNumber&lt;&gt;1,VLOOKUP($A272,BasisTable,2,0),0)+J$1)/(1-J$2))</f>
        <v>90.7300608452455</v>
      </c>
      <c r="K272" s="1568" t="n">
        <f aca="false">IF(Assumptions!$L$25=4,VLOOKUP($A272,'Henwood Reference'!$E$9:$R$320,10),(VLOOKUP($A272,PriceTable,4,0)+IF(BasisNumber&lt;&gt;1,VLOOKUP($A272,BasisTable,2,0),0)+K$1)/(1-K$2))</f>
        <v>90.7300608452455</v>
      </c>
      <c r="L272" s="1523" t="n">
        <f aca="false">IF(Assumptions!$L$25=4,VLOOKUP($A272,'Henwood Reference'!$E$9:$R$320,10),(VLOOKUP($A272,PriceTableWeekend,2,0)+IF(BasisNumber&lt;&gt;1,VLOOKUP($A272,BasisTable,2,0),0)+L$1)/(1-L$2))</f>
        <v>90.7300608452455</v>
      </c>
      <c r="M272" s="1568" t="n">
        <f aca="false">IF(Assumptions!$L$25=4,VLOOKUP($A272,'Henwood Reference'!$E$9:$R$320,10),(VLOOKUP($A272,PriceTableWeekend,3,0)+IF(BasisNumber&lt;&gt;1,VLOOKUP($A272,BasisTable,2,0),0)+M$1)/(1-M$2))</f>
        <v>90.7300608452455</v>
      </c>
      <c r="N272" s="1599" t="n">
        <f aca="false">IF(Assumptions!$L$25=4,VLOOKUP($A272,'Henwood Reference'!$E$9:$R$320,10),(VLOOKUP($A272,PriceTableWeekend,4,0)+IF(BasisNumber&lt;&gt;1,VLOOKUP($A272,BasisTable,2,0),0)+N$1)/(1-N$2))</f>
        <v>90.7300608452455</v>
      </c>
      <c r="O272" s="1568" t="n">
        <f aca="false">IF(Assumptions!$L$25=4,VLOOKUP($A272,'Henwood Reference'!$E$9:$R$320,11),(VLOOKUP($A272,PriceTableWeekend,6,0)+IF(BasisNumber&lt;&gt;1,VLOOKUP($A272,BasisTable,3,0),0)+O$1)/(1-O$2))</f>
        <v>37.2794809611477</v>
      </c>
      <c r="P272" s="1568" t="n">
        <f aca="false">IF(Assumptions!$L$25=4,VLOOKUP($A272,'Henwood Reference'!$E$9:$R$320,11),(VLOOKUP($A272,PriceTableWeekend,7,0)+IF(BasisNumber&lt;&gt;1,VLOOKUP($A272,BasisTable,3,0),0)+P$1)/(1-P$2))</f>
        <v>37.2794809611477</v>
      </c>
      <c r="Q272" s="1599" t="n">
        <f aca="false">IF(Assumptions!$L$25=4,VLOOKUP($A272,'Henwood Reference'!$E$9:$R$320,11),(VLOOKUP($A272,PriceTableWeekend,8,0)+IF(BasisNumber&lt;&gt;1,VLOOKUP($A272,BasisTable,3,0),0)+Q$1)/(1-Q$2))</f>
        <v>37.2794809611477</v>
      </c>
      <c r="R272" s="1568" t="n">
        <f aca="false">IF(Assumptions!$L$25=4,VLOOKUP($A272,'Henwood Reference'!$E$9:$R$320,11),(VLOOKUP($A272,PriceTable,6,0)+IF(BasisNumber&lt;&gt;1,VLOOKUP($A272,BasisTable,3,0),0)+R$1)/(1-R$2))</f>
        <v>37.2794809611477</v>
      </c>
      <c r="S272" s="1568" t="n">
        <f aca="false">IF(Assumptions!$L$25=4,VLOOKUP($A272,'Henwood Reference'!$E$9:$R$320,11),(VLOOKUP($A272,PriceTable,7,0)+IF(BasisNumber&lt;&gt;1,VLOOKUP($A272,BasisTable,3,0),0)+S$1)/(1-S$2))</f>
        <v>37.2794809611477</v>
      </c>
      <c r="T272" s="1600" t="n">
        <f aca="false">IF(Assumptions!$L$25=4,VLOOKUP($A272,'Henwood Reference'!$E$9:$R$320,11),(VLOOKUP($A272,PriceTable,8,0)+IF(BasisNumber&lt;&gt;1,VLOOKUP($A272,BasisTable,3,0),0)+T$1)/(1-T$2))</f>
        <v>37.2794809611477</v>
      </c>
      <c r="U272" s="1513" t="n">
        <f aca="false">VLOOKUP($A272,VolatilityTable,14)</f>
        <v>0.09</v>
      </c>
      <c r="V272" s="1513" t="n">
        <f aca="false">VLOOKUP($A272,VolatilityTable,15)</f>
        <v>0.1</v>
      </c>
      <c r="W272" s="1514" t="n">
        <f aca="false">VLOOKUP($A272,VolatilityTable,16)</f>
        <v>0.11</v>
      </c>
      <c r="X272" s="1513" t="n">
        <f aca="false">VLOOKUP($A272,VolatilityTable,14)</f>
        <v>0.09</v>
      </c>
      <c r="Y272" s="1513" t="n">
        <f aca="false">VLOOKUP($A272,VolatilityTable,15)</f>
        <v>0.1</v>
      </c>
      <c r="Z272" s="1514" t="n">
        <f aca="false">VLOOKUP($A272,VolatilityTable,16)</f>
        <v>0.11</v>
      </c>
      <c r="AA272" s="1513" t="n">
        <f aca="false">VLOOKUP($A272,VolatilityTable,18)</f>
        <v>0.09</v>
      </c>
      <c r="AB272" s="1513" t="n">
        <f aca="false">VLOOKUP($A272,VolatilityTable,19)</f>
        <v>0.11</v>
      </c>
      <c r="AC272" s="1514" t="n">
        <f aca="false">VLOOKUP($A272,VolatilityTable,20)</f>
        <v>0.13</v>
      </c>
      <c r="AD272" s="1513" t="n">
        <f aca="false">VLOOKUP($A272,VolatilityTable,18)</f>
        <v>0.09</v>
      </c>
      <c r="AE272" s="1513" t="n">
        <f aca="false">VLOOKUP($A272,VolatilityTable,19)</f>
        <v>0.11</v>
      </c>
      <c r="AF272" s="1514" t="n">
        <f aca="false">VLOOKUP($A272,VolatilityTable,20)</f>
        <v>0.13</v>
      </c>
      <c r="AG272" s="1513" t="n">
        <f aca="false">VLOOKUP($A272,VolatilityTable,22)</f>
        <v>-0.35</v>
      </c>
      <c r="AH272" s="1513" t="n">
        <f aca="false">VLOOKUP($A272,VolatilityTable,23)</f>
        <v>3</v>
      </c>
      <c r="AI272" s="1514" t="n">
        <f aca="false">VLOOKUP($A272,VolatilityTable,24)</f>
        <v>0.35</v>
      </c>
      <c r="AJ272" s="1513" t="n">
        <f aca="false">VLOOKUP($A272,VolatilityTable,22)</f>
        <v>-0.35</v>
      </c>
      <c r="AK272" s="1513" t="n">
        <f aca="false">VLOOKUP($A272,VolatilityTable,23)</f>
        <v>3</v>
      </c>
      <c r="AL272" s="1514" t="n">
        <f aca="false">VLOOKUP($A272,VolatilityTable,24)</f>
        <v>0.35</v>
      </c>
      <c r="AM272" s="1513" t="n">
        <f aca="false">VLOOKUP($A272,VolatilityTable,26)</f>
        <v>-0.01</v>
      </c>
      <c r="AN272" s="1513" t="n">
        <f aca="false">VLOOKUP($A272,VolatilityTable,27)</f>
        <v>0.16</v>
      </c>
      <c r="AO272" s="1514" t="n">
        <f aca="false">VLOOKUP($A272,VolatilityTable,28)</f>
        <v>0.01</v>
      </c>
      <c r="AP272" s="1513" t="n">
        <f aca="false">VLOOKUP($A272,VolatilityTable,26)</f>
        <v>-0.01</v>
      </c>
      <c r="AQ272" s="1513" t="n">
        <f aca="false">VLOOKUP($A272,VolatilityTable,27)</f>
        <v>0.16</v>
      </c>
      <c r="AR272" s="1515" t="n">
        <f aca="false">VLOOKUP($A272,VolatilityTable,28)</f>
        <v>0.01</v>
      </c>
      <c r="AS272" s="1581" t="n">
        <f aca="false">IF(CorrPeakOffPeakOverFlag,INDEX(CorrPeakOffPeakOver,C272),CorrPeakOffPeak)</f>
        <v>0.5</v>
      </c>
      <c r="AT272" s="594" t="e">
        <f aca="false">AX272-SUM(AU272:AW272)</f>
        <v>#VALUE!</v>
      </c>
      <c r="AU272" s="238" t="e">
        <f aca="false">IF(E272="",0,INT((F272-MOD(F272,7)-E272)/7)+1-IF(AW272,IF(WEEKDAY(D272)=7,1,0),0))</f>
        <v>#VALUE!</v>
      </c>
      <c r="AV272" s="238" t="e">
        <f aca="false">IF(E272="",0,INT((F272-MOD(F272-1,7)-E272)/7)+1-IF(AW272,IF(WEEKDAY(D272)=1,1,0),0))</f>
        <v>#VALUE!</v>
      </c>
      <c r="AW272" s="238" t="e">
        <f aca="false">IF(OR(E272="",D272="",D272&lt;BegDate,D272&gt;EndDate),0,1)</f>
        <v>#VALUE!</v>
      </c>
      <c r="AX272" s="238" t="n">
        <f aca="false">IF(E272="",0,F272-E272+1)</f>
        <v>31</v>
      </c>
      <c r="AY272" s="1582" t="n">
        <f aca="false">IF(E272="",0,MIN((1-(1-VLOOKUP(B272,MAIN!$AA$7:$AM$28,C272+1))*(1-VLOOKUP(B272,MAIN!$AA$33:$AM$54,C272+1))),1))</f>
        <v>0.03</v>
      </c>
      <c r="AZ272" s="1519" t="e">
        <v>#VALUE!</v>
      </c>
      <c r="BA272" s="1520" t="e">
        <v>#VALUE!</v>
      </c>
      <c r="BB272" s="1520" t="e">
        <v>#VALUE!</v>
      </c>
      <c r="BC272" s="1583" t="e">
        <v>#VALUE!</v>
      </c>
      <c r="BD272" s="1522" t="e">
        <v>#VALUE!</v>
      </c>
      <c r="BE272" s="1523" t="e">
        <v>#VALUE!</v>
      </c>
      <c r="BF272" s="1523" t="e">
        <v>#VALUE!</v>
      </c>
      <c r="BG272" s="1584" t="e">
        <v>#VALUE!</v>
      </c>
      <c r="BH272" s="1525" t="e">
        <v>#VALUE!</v>
      </c>
      <c r="BI272" s="1520" t="e">
        <v>#VALUE!</v>
      </c>
      <c r="BJ272" s="1520" t="e">
        <v>#VALUE!</v>
      </c>
      <c r="BK272" s="1583" t="e">
        <v>#VALUE!</v>
      </c>
      <c r="BL272" s="1522" t="e">
        <v>#VALUE!</v>
      </c>
      <c r="BM272" s="1523" t="e">
        <v>#VALUE!</v>
      </c>
      <c r="BN272" s="1523" t="e">
        <v>#VALUE!</v>
      </c>
      <c r="BO272" s="1523" t="e">
        <v>#VALUE!</v>
      </c>
      <c r="BP272" s="1525" t="e">
        <f aca="false">SUM(AZ272:BB272)</f>
        <v>#VALUE!</v>
      </c>
      <c r="BQ272" s="1529" t="e">
        <f aca="false">SUM(AZ272:BC272)</f>
        <v>#VALUE!</v>
      </c>
      <c r="BR272" s="1519" t="e">
        <f aca="false">SUM(BH272:BJ272)</f>
        <v>#VALUE!</v>
      </c>
      <c r="BS272" s="1529" t="e">
        <f aca="false">SUM(BH272:BK272)</f>
        <v>#VALUE!</v>
      </c>
      <c r="BT272" s="1316" t="n">
        <f aca="false">(IF(OVolType&lt;&gt;2,A272+14,IF(OptExpDateShift,ShiftBack(A272,OptExpDateShift,D271),A272))-DateToday)/365.25</f>
        <v>21.2977412731006</v>
      </c>
      <c r="BU272" s="1585" t="e">
        <f aca="false">IF(BQ272,IF(OPriceCurve,IF(OBuySell=OCallPut,I272/(1-AY272),K272/(1-AY272)),J272/(1-AY272))*BD272,0)</f>
        <v>#VALUE!</v>
      </c>
      <c r="BV272" s="1316" t="e">
        <f aca="false">IF(BQ272,IF(OPriceCurve,IF(OBuySell=OCallPut,L272/(1-AY272),N272/(1-AY272)),M272/(1-AY272))*BE272,0)</f>
        <v>#VALUE!</v>
      </c>
      <c r="BW272" s="1316" t="e">
        <f aca="false">IF(BQ272,IF(OPriceCurve,IF(OBuySell=OCallPut,O272/(1-AY272),Q272/(1-AY272)),P272/(1-AY272))*BF272,0)</f>
        <v>#VALUE!</v>
      </c>
      <c r="BX272" s="1316" t="e">
        <f aca="false">IF(BQ272,IF(OPriceCurve,IF(OBuySell=OCallPut,R272/(1-AY272),T272/(1-AY272)),S272/(1-AY272))*BG272,0)</f>
        <v>#VALUE!</v>
      </c>
      <c r="BY272" s="1316" t="e">
        <f aca="false">IF(BP272,(BU272*AZ272+BV272*BA272+BW272*BB272)/BP272,0)</f>
        <v>#VALUE!</v>
      </c>
      <c r="BZ272" s="1316" t="e">
        <f aca="false">IF(BQ272,(BY272*BP272+BX272*BC272)/BQ272,0)</f>
        <v>#VALUE!</v>
      </c>
      <c r="CA272" s="1531" t="e">
        <f aca="false">IF(BS272,IF(OPriceCurve,IF(OBuySell=OCallPut,I272/(1-AY272),K272/(1-AY272)),J272/(1-AY272))*BL272,0)</f>
        <v>#VALUE!</v>
      </c>
      <c r="CB272" s="1316" t="e">
        <f aca="false">IF(BS272,IF(OPriceCurve,IF(OBuySell=OCallPut,L272/(1-AY272),N272/(1-AY272)),M272/(1-AY272))*BM272,0)</f>
        <v>#VALUE!</v>
      </c>
      <c r="CC272" s="1316" t="e">
        <f aca="false">IF(BS272,IF(OPriceCurve,IF(OBuySell=OCallPut,O272/(1-AY272),Q272/(1-AY272)),P272/(1-AY272))*BN272,0)</f>
        <v>#VALUE!</v>
      </c>
      <c r="CD272" s="1316" t="e">
        <f aca="false">IF(BS272,IF(OPriceCurve,IF(OBuySell=OCallPut,R272/(1-AY272),T272/(1-AY272)),S272/(1-AY272))*BO272,0)</f>
        <v>#VALUE!</v>
      </c>
      <c r="CE272" s="1316" t="e">
        <f aca="false">IF(BR272,(BU272*BH272+BV272*BI272+BW272*BJ272)/BR272,0)</f>
        <v>#VALUE!</v>
      </c>
      <c r="CF272" s="1532" t="e">
        <f aca="false">IF(BS272,(CE272*BR272+CD272*BK272)/BS272,0)</f>
        <v>#VALUE!</v>
      </c>
      <c r="CG272" s="1586" t="e">
        <f aca="false">IF(OR(BQ272,BS272),IF(OVolType&lt;&gt;2,SQRT(IF(OVolOverMonthlyPeak,OVolOverMonthlyPeak,IF(OVolCurve,IF(OBuySell,U272,W272),V272))^2*(1-15/365.25/BT272)+IF(OVolOverDailyPeak,OVolOverDailyPeak,IF(OVolCurve,IF(OBuySell,AG272,AI272),AH272))^2*15/365.25/BT272),IF(OVolOverMonthlyPeak,OVolOverMonthlyPeak,IF(OVolCurve,IF(OBuySell,U272,W272),V272))),"")</f>
        <v>#VALUE!</v>
      </c>
      <c r="CH272" s="1587" t="e">
        <f aca="false">IF(OR(BQ272,BS272),IF(OVolType&lt;&gt;2,SQRT(IF(OVolOverMonthlyPeak,OVolOverMonthlyPeak,IF(OVolCurve,IF(OBuySell,X272,Z272),Y272))^2*(1-15/365.25/BT272)+IF(OVolOverDailyPeak,OVolOverDailyPeak,IF(OVolCurve,IF(OBuySell,AJ272,AL272),AK272))^2*15/365.25/BT272),IF(OVolOverMonthlyPeak,OVolOverMonthlyPeak,IF(OVolCurve,IF(OBuySell,X272,Z272),Y272))),"")</f>
        <v>#VALUE!</v>
      </c>
      <c r="CI272" s="1587" t="e">
        <f aca="false">IF(OR(BQ272,BS272),IF(OVolType&lt;&gt;2,SQRT(IF(OVolOverMonthlyPeak,OVolOverMonthlyPeak,IF(OVolCurve,IF(OBuySell,AA272,AC272),AB272))^2*(1-15/365.25/BT272)+IF(OVolOverDailyPeak,OVolOverDailyPeak,IF(OVolCurve,IF(OBuySell,AM272,AO272),AN272))^2*15/365.25/BT272),IF(OVolOverMonthlyPeak,OVolOverMonthlyPeak,IF(OVolCurve,IF(OBuySell,AA272,AC272),AB272))),"")</f>
        <v>#VALUE!</v>
      </c>
      <c r="CJ272" s="1587" t="e">
        <f aca="false">IF(BQ272,IF(BP272,SQRT(LN(1+((BU272*AZ272)^2*(EXP(CG272^2*BT272)-1)+(BV272*BA272)^2*(EXP(CH272^2*BT272)-1)+(BW272*BB272)^2*(EXP(CI272^2*BT272)-1)+2*BU272*AZ272*BV272*BA272*(EXP(CG272*CH272*BT272)-1)+2*BV272*BA272*BW272*BB272*(EXP(CH272*CI272*BT272)-1)+2*BW272*BB272*BU272*AZ272*(EXP(CI272*CG272*BT272)-1))/(BY272*BP272)^2)/BT272),0),"")</f>
        <v>#VALUE!</v>
      </c>
      <c r="CK272" s="1587" t="e">
        <f aca="false">IF(BS272,IF(BR272,SQRT(LN(1+((CA272*BH272)^2*(EXP(CG272^2*BT272)-1)+(CB272*BI272)^2*(EXP(CH272^2*BT272)-1)+(CC272*BJ272)^2*(EXP(CI272^2*BT272)-1)+2*CA272*BH272*CB272*BI272*(EXP(CG272*CH272*BT272)-1)+2*CB272*BI272*CC272*BJ272*(EXP(CH272*CI272*BT272)-1)+2*CC272*BJ272*CA272*BH272*(EXP(CI272*CG272*BT272)-1))/(CE272*BR272)^2)/BT272),0),"")</f>
        <v>#VALUE!</v>
      </c>
      <c r="CL272" s="1587" t="e">
        <f aca="false">IF(OR(BQ272,BS272),IF(OVolType&lt;&gt;2,SQRT(IF(OVolOverMonthlyOffPeak,OVolOverMonthlyOffPeak,IF(OVolCurve,IF(OBuySell,AD272,AF272),AE272))^2*(1-15/365.25/BT272)+IF(OVolOverDailyOffPeak,OVolOverDailyOffPeak,IF(OVolCurve,IF(OBuySell,AP272,AR272),AQ272))^2*15/365.25/BT272),IF(OVolOverMonthlyOffPeak,OVolOverMonthlyOffPeak,IF(OVolCurve,IF(OBuySell,AD272,AF272),AE272))),"")</f>
        <v>#VALUE!</v>
      </c>
      <c r="CM272" s="1587" t="e">
        <f aca="false">IF(BQ272,SQRT(LN(1+((BY272*BP272)^2*(EXP(CJ272^2*BT272)-1)+(BX272*BC272)^2*(EXP(CL272^2*BT272)-1)+2*BY272*BP272*BX272*BC272*(EXP(AS272*CJ272*CL272*BT272)-1))/(BY272*BP272+BX272*BC272)^2)/BT272),"")</f>
        <v>#VALUE!</v>
      </c>
      <c r="CN272" s="1588" t="e">
        <f aca="false">IF(BS272,SQRT(LN(1+((CE272*BR272)^2*(EXP(CK272^2*BT272)-1)+(CD272*BK272)^2*(EXP(CL272^2*BT272)-1)+2*CE272*BR272*CD272*BK272*(EXP(AS272*CK272*CL272*BT272)-1))/(CE272*BR272+CD272*BK272)^2)/BT272),"")</f>
        <v>#VALUE!</v>
      </c>
      <c r="CO272" s="1531" t="e">
        <f aca="false">IF(OR(BQ272,BS272),VLOOKUP(A272,GasTable,13)*HeatRatePeak*(1+VLOOKUP($B272,HeatRateDegradation,$C272+1))/1000,0)</f>
        <v>#VALUE!</v>
      </c>
      <c r="CP272" s="1316" t="e">
        <f aca="false">IF(OR(BQ272,BS272),VLOOKUP(A272,GasTable,13)*HeatRatePeak*(1+VLOOKUP($B272,HeatRateDegradation,$C272+1))/1000,0)</f>
        <v>#VALUE!</v>
      </c>
      <c r="CQ272" s="1316" t="e">
        <f aca="false">IF(OR(BQ272,BS272),VLOOKUP(A272,GasTable,13)*IF(EV272,HeatRatePeak,HeatRateOffPeak)*(1+VLOOKUP($B272,HeatRateDegradation,$C272+1))/1000,0)</f>
        <v>#VALUE!</v>
      </c>
      <c r="CR272" s="1316" t="e">
        <f aca="false">IF(OR(BQ272,BS272),VLOOKUP(A272,GasTable,13)*IF(EW272,HeatRatePeak,HeatRateOffPeak)*(1+VLOOKUP($B272,HeatRateDegradation,$C272+1))/1000,0)</f>
        <v>#VALUE!</v>
      </c>
      <c r="CS272" s="1589" t="e">
        <f aca="false">IF(BQ272,(CO272*AZ272+CP272*BA272+CQ272*BB272+CR272*BC272)/BQ272,0)</f>
        <v>#VALUE!</v>
      </c>
      <c r="CT272" s="1316" t="e">
        <f aca="false">IF(BS272,CO272,0)</f>
        <v>#VALUE!</v>
      </c>
      <c r="CU272" s="1590" t="e">
        <f aca="false">IF(OR(BQ272,BS272),VLOOKUP(A272,GasTable,14),"")</f>
        <v>#VALUE!</v>
      </c>
      <c r="CV272" s="1568" t="e">
        <f aca="false">IF(OR(BQ272,BS272),IF(CorrPowerGasOverFlag,INDEX(CorrPowerGasOver,C272),CorrPowerGas),"")</f>
        <v>#VALUE!</v>
      </c>
      <c r="CW272" s="1316" t="e">
        <f aca="false">IF(OR($BQ272,$BS272),SpreadOptPowerMargin,0)*((1+Assumptions!$C$26)^($B272-YEAR(Assumptions!$C$17)))</f>
        <v>#VALUE!</v>
      </c>
      <c r="CX272" s="1316" t="e">
        <f aca="false">IF(OR($BQ272,$BS272),SpreadOptPowerMargin,0)*((1+Assumptions!$C$26)^($B272-YEAR(Assumptions!$C$17)))</f>
        <v>#VALUE!</v>
      </c>
      <c r="CY272" s="1316" t="e">
        <f aca="false">IF(OR($BQ272,$BS272),SpreadOptPowerMargin,0)*((1+Assumptions!$C$26)^($B272-YEAR(Assumptions!$C$17)))</f>
        <v>#VALUE!</v>
      </c>
      <c r="CZ272" s="1316" t="e">
        <f aca="false">IF(OR($BQ272,$BS272),SpreadOptPowerMargin,0)*((1+Assumptions!$C$26)^($B272-YEAR(Assumptions!$C$17)))</f>
        <v>#VALUE!</v>
      </c>
      <c r="DA272" s="1591" t="e">
        <f aca="false">IF(OR(BQ272,BS272),(CW272*(AZ272+BH272)+CX272*(BA272+BI272)+CY272*(BB272+BJ272)+CZ272*(BC272+BK272))/(BQ272+BS272),0)</f>
        <v>#VALUE!</v>
      </c>
      <c r="DB272" s="1592" t="e">
        <f aca="false">IF(OR(BQ272,BS272),CG272+IF(OVolSmile,VLOOKUP(MAX(-5,CO272+CW272-BU272),IF(OVolSmile=1,VolSmileBook,VolSmileModel),2),0),"")</f>
        <v>#VALUE!</v>
      </c>
      <c r="DC272" s="1592" t="e">
        <f aca="false">IF(OR(BQ272,BS272),CH272+IF(OVolSmile,VLOOKUP(MAX(-5,CP272+CW272-BV272),IF(OVolSmile=1,VolSmileBook,VolSmileModel),2),0),"")</f>
        <v>#VALUE!</v>
      </c>
      <c r="DD272" s="1592" t="e">
        <f aca="false">IF(OR(BQ272,BS272),CI272+IF(OVolSmile,VLOOKUP(MAX(-5,CQ272+CW272-BW272),IF(OVolSmile=1,VolSmileBook,VolSmileModel),2),0),"")</f>
        <v>#VALUE!</v>
      </c>
      <c r="DE272" s="1592" t="e">
        <f aca="false">IF(OR(BQ272,BS272),CL272+IF(OVolSmile,VLOOKUP(MAX(-5,CR272+CZ272-BX272),IF(OVolSmile=1,VolSmileBook,VolSmileModel),2),0),"")</f>
        <v>#VALUE!</v>
      </c>
      <c r="DF272" s="1592" t="e">
        <f aca="false">IF(BQ272,CM272+IF(OVolSmile,VLOOKUP(MAX(-5,CS272+DA272-BZ272),IF(OVolSmile=1,VolSmileBook,VolSmileModel),2),0),"")</f>
        <v>#VALUE!</v>
      </c>
      <c r="DG272" s="1593" t="e">
        <f aca="false">IF(BS272,CN272+IF(OVolSmile,VLOOKUP(MAX(-5,CT272+DA272-CF272),IF(OVolSmile=1,VolSmileBook,VolSmileModel),2),0),"")</f>
        <v>#VALUE!</v>
      </c>
      <c r="DH272" s="1316" t="e">
        <f aca="false">IF(AND(BU272&gt;0,CO272&gt;0,DB272&gt;0,CU272&gt;0),newSPRDOPT(BU272,CO272,CW272,0,DB272,CU272,CV272,BT272*365.25,OCallPut,0),0)</f>
        <v>#VALUE!</v>
      </c>
      <c r="DI272" s="1316" t="e">
        <f aca="false">IF(AND(BV272&gt;0,CP272&gt;0,DC272&gt;0,CU272&gt;0),newSPRDOPT(BV272,CP272,CX272,0,DC272,CU272,CV272,BT272*365.25,OCallPut,0),0)</f>
        <v>#VALUE!</v>
      </c>
      <c r="DJ272" s="1316" t="e">
        <f aca="false">IF(AND(BW272&gt;0,CQ272&gt;0,DD272&gt;0,CU272&gt;0),newSPRDOPT(BW272,CQ272,CY272,0,DD272,CU272,CV272,BT272*365.25,OCallPut,0),0)</f>
        <v>#VALUE!</v>
      </c>
      <c r="DK272" s="1316" t="e">
        <f aca="false">IF(AND(BX272&gt;0,CR272&gt;0,DE272&gt;0,CU272&gt;0),newSPRDOPT(BX272,CR272,CZ272,0,DE272,CU272,CV272,BT272*365.25,OCallPut,0),0)</f>
        <v>#VALUE!</v>
      </c>
      <c r="DL272" s="1316" t="e">
        <f aca="false">IF(OVolType,IF(AND(BZ272&gt;0,CS272&gt;0,DF272&gt;0,CU272&gt;0),newSPRDOPT(BZ272,CS272,DA272,0,DF272,CU272,CV272,BT272*365.25,OCallPut,0),0),IF(BQ272,(DH272*AZ272+DI272*BA272+DJ272*BB272+DK272*BC272)/BQ272,0))</f>
        <v>#VALUE!</v>
      </c>
      <c r="DM272" s="1316"/>
      <c r="DN272" s="1316"/>
      <c r="DO272" s="1316"/>
      <c r="DP272" s="1316"/>
      <c r="DQ272" s="1316"/>
      <c r="DR272" s="1316"/>
      <c r="DS272" s="1316"/>
      <c r="DT272" s="1316"/>
      <c r="DU272" s="1316"/>
      <c r="DV272" s="1316"/>
      <c r="DW272" s="1594" t="e">
        <f aca="false">IF(AND(BW272&gt;0,CT272&gt;0,DD272&gt;0,CU272&gt;0),newSPRDOPT(BW272,CT272,CY272,0,DD272,CU272,CV272,BT272*365.25,OCallPut,0),0)</f>
        <v>#VALUE!</v>
      </c>
      <c r="DX272" s="1316" t="e">
        <f aca="false">IF(AND(BX272&gt;0,CT272&gt;0,DE272&gt;0,CU272&gt;0),newSPRDOPT(BX272,CT272,CZ272,0,DE272,CU272,CV272,BT272*365.25,OCallPut,0),0)</f>
        <v>#VALUE!</v>
      </c>
      <c r="DY272" s="1591" t="e">
        <f aca="false">IF(BS272,(DH272*BH272+DI272*BI272+DW272*BJ272+DX272*BK272)/BS272,0)</f>
        <v>#VALUE!</v>
      </c>
      <c r="DZ272" s="1551" t="e">
        <f aca="false">DH272*AZ272</f>
        <v>#VALUE!</v>
      </c>
      <c r="EA272" s="1551" t="e">
        <f aca="false">DI272*BA272</f>
        <v>#VALUE!</v>
      </c>
      <c r="EB272" s="1551" t="e">
        <f aca="false">DJ272*BB272</f>
        <v>#VALUE!</v>
      </c>
      <c r="EC272" s="1551" t="e">
        <f aca="false">DK272*BC272</f>
        <v>#VALUE!</v>
      </c>
      <c r="ED272" s="1551" t="e">
        <f aca="false">DL272*BQ272</f>
        <v>#VALUE!</v>
      </c>
      <c r="EE272" s="1595" t="e">
        <f aca="false">IF(BQ272,IF(OCallPut,IF(BU272&gt;(CO272+CW272),BU272-(CO272+CW272),0),IF((CO272+CW272)&gt;BU272,(CO272+CW272)-BU272,0))*AZ272,0)</f>
        <v>#VALUE!</v>
      </c>
      <c r="EF272" s="1596" t="e">
        <f aca="false">IF(BQ272,IF(OCallPut,IF(BV272&gt;(CP272+CX272),BV272-(CP272+CX272),0),IF((CP272+CX272)&gt;BV272,(CP272+CX272)-BV272,0))*BA272,0)</f>
        <v>#VALUE!</v>
      </c>
      <c r="EG272" s="1596" t="e">
        <f aca="false">IF(BQ272,IF(OCallPut,IF(BW272&gt;(CQ272+CY272),BW272-(CQ272+CY272),0),IF((CQ272+CY272)&gt;BW272,(CQ272+CY272)-BW272,0))*BB272,0)</f>
        <v>#VALUE!</v>
      </c>
      <c r="EH272" s="1596" t="e">
        <f aca="false">IF(BQ272,IF(OCallPut,IF(BX272&gt;(CR272+CZ272),BX272-(CR272+CZ272),0),IF((CR272+CZ272)&gt;BX272,(CR272+CZ272)-BX272,0))*BC272,0)</f>
        <v>#VALUE!</v>
      </c>
      <c r="EI272" s="1597" t="e">
        <f aca="false">IF(BQ272,IF(OVolType,IF(OCallPut,IF(BZ272&gt;(CS272+DA272),BZ272-(CS272+DA272),0),IF((CS272+DA272)&gt;BZ272,(CS272+DA272)-BZ272,0))*BQ272,SUM(EE272:EH272)),0)</f>
        <v>#VALUE!</v>
      </c>
      <c r="EJ272" s="1595" t="e">
        <f aca="false">DZ272-EE272</f>
        <v>#VALUE!</v>
      </c>
      <c r="EK272" s="1596" t="e">
        <f aca="false">EA272-EF272</f>
        <v>#VALUE!</v>
      </c>
      <c r="EL272" s="1596" t="e">
        <f aca="false">EB272-EG272</f>
        <v>#VALUE!</v>
      </c>
      <c r="EM272" s="1596" t="e">
        <f aca="false">EC272-EH272</f>
        <v>#VALUE!</v>
      </c>
      <c r="EN272" s="1597" t="e">
        <f aca="false">ED272-EI272</f>
        <v>#VALUE!</v>
      </c>
      <c r="EO272" s="1551" t="e">
        <f aca="false">DH272*BH272</f>
        <v>#VALUE!</v>
      </c>
      <c r="EP272" s="1551" t="e">
        <f aca="false">DI272*BI272</f>
        <v>#VALUE!</v>
      </c>
      <c r="EQ272" s="1551" t="e">
        <f aca="false">DW272*BJ272</f>
        <v>#VALUE!</v>
      </c>
      <c r="ER272" s="1551" t="e">
        <f aca="false">DX272*BK272</f>
        <v>#VALUE!</v>
      </c>
      <c r="ES272" s="1551" t="e">
        <f aca="false">DY272*BS272</f>
        <v>#VALUE!</v>
      </c>
      <c r="ET272" s="1566" t="e">
        <f aca="false">IF(EI272,IF(OCallPut,IF(CA272&gt;(CT272+CW272),CA272-(CT272+CW272),0),IF((CT272+CW272)&gt;CA272,(CT272+CW272)-CA272,0))*BH272,0)</f>
        <v>#VALUE!</v>
      </c>
      <c r="EU272" s="1551" t="e">
        <f aca="false">IF(EI272,IF(OCallPut,IF(CB272&gt;(CT272+CX272),CB272-(CT272+CX272),0),IF((CT272+CX272)&gt;CB272,(CT272+CX272)-CB272,0))*BI272,0)</f>
        <v>#VALUE!</v>
      </c>
      <c r="EV272" s="1551" t="e">
        <f aca="false">IF(EI272,IF(OCallPut,IF(CC272&gt;(CT272+CY272),CC272-(CT272+CY272),0),IF((CT272+CY272)&gt;CC272,(CT272+CY272)-CC272,0))*BJ272,0)</f>
        <v>#VALUE!</v>
      </c>
      <c r="EW272" s="1551" t="e">
        <f aca="false">IF(EI272,IF(OCallPut,IF(CD272&gt;(CT272+CZ272),CD272-(CT272+CZ272),0),IF((CT272+CZ272)&gt;CD272,(CT272+CZ272)-CD272,0))*BK272,0)</f>
        <v>#VALUE!</v>
      </c>
      <c r="EX272" s="1558" t="e">
        <f aca="false">IF(EI272,SUM(ET272:EW272),0)</f>
        <v>#VALUE!</v>
      </c>
      <c r="EY272" s="1551" t="e">
        <f aca="false">EO272-ET272</f>
        <v>#VALUE!</v>
      </c>
      <c r="EZ272" s="1551" t="e">
        <f aca="false">EP272-EU272</f>
        <v>#VALUE!</v>
      </c>
      <c r="FA272" s="1551" t="e">
        <f aca="false">EQ272-EV272</f>
        <v>#VALUE!</v>
      </c>
      <c r="FB272" s="1551" t="e">
        <f aca="false">ER272-EW272</f>
        <v>#VALUE!</v>
      </c>
      <c r="FC272" s="1551" t="e">
        <f aca="false">ES272-EX272</f>
        <v>#VALUE!</v>
      </c>
      <c r="FD272" s="1525" t="n">
        <f aca="false">IF(AX272,IF(VLOOKUP(C272,MAIN!$L$17:$M$28,2)="Yes",VLOOKUP(CALC!B272,MAIN!$H$17:$I$20,2),0),0)</f>
        <v>0</v>
      </c>
      <c r="FE272" s="1552" t="e">
        <f aca="false">$FD272*16*AT272*(1-$AY272)</f>
        <v>#VALUE!</v>
      </c>
      <c r="FF272" s="1553" t="e">
        <f aca="false">$FD272*16*AU272*(1-$AY272)</f>
        <v>#VALUE!</v>
      </c>
      <c r="FG272" s="1553" t="e">
        <f aca="false">$FD272*16*(AV272+AW272)*(1-$AY272)</f>
        <v>#VALUE!</v>
      </c>
      <c r="FH272" s="1554" t="n">
        <f aca="false">$FD272*8*AX272*(1-$AY272)</f>
        <v>0</v>
      </c>
      <c r="FI272" s="1555" t="n">
        <f aca="false">IF(AX272,VLOOKUP(CALC!B272,MAIN!$H$17:$K$20,4),0)</f>
        <v>0</v>
      </c>
      <c r="FJ272" s="1553" t="e">
        <f aca="false">SUM(FE272:FH272)</f>
        <v>#VALUE!</v>
      </c>
      <c r="FK272" s="1556" t="e">
        <f aca="false">FI272*FJ272</f>
        <v>#VALUE!</v>
      </c>
      <c r="FL272" s="1551" t="e">
        <f aca="false">IF($EI272&gt;0,MIN(FE272,AZ272*(1+VLOOKUP($C272,WeatherCapacityAdjustment,2))),0)</f>
        <v>#VALUE!</v>
      </c>
      <c r="FM272" s="1551" t="e">
        <f aca="false">IF($EI272&gt;0,MIN(FF272,BA272*(1+VLOOKUP($C272,WeatherCapacityAdjustment,2))),0)</f>
        <v>#VALUE!</v>
      </c>
      <c r="FN272" s="1551" t="e">
        <f aca="false">IF($EI272&gt;0,MIN(FG272,BB272*(1+VLOOKUP($C272,WeatherCapacityAdjustment,2))),0)</f>
        <v>#VALUE!</v>
      </c>
      <c r="FO272" s="1564" t="e">
        <f aca="false">IF($EI272&gt;0,MIN(FH272,BC272*(1+VLOOKUP($C272,WeatherCapacityAdjustment,3))),0)</f>
        <v>#VALUE!</v>
      </c>
      <c r="FP272" s="1551" t="e">
        <f aca="false">IF(ET272&gt;0,MIN(FE272-FL272,BH272*(1+VLOOKUP($C272,WeatherCapacityAdjustment,2))),0)</f>
        <v>#VALUE!</v>
      </c>
      <c r="FQ272" s="1551" t="e">
        <f aca="false">IF(EU272&gt;0,MIN(FF272-FM272,BI272*(1+VLOOKUP($C272,WeatherCapacityAdjustment,2))),0)</f>
        <v>#VALUE!</v>
      </c>
      <c r="FR272" s="1551" t="e">
        <f aca="false">IF(EV272&gt;0,MIN(FG272-FN272,BJ272*(1+VLOOKUP($C272,WeatherCapacityAdjustment,2))),0)</f>
        <v>#VALUE!</v>
      </c>
      <c r="FS272" s="1558" t="e">
        <f aca="false">IF(EW272&gt;0,MIN(FH272-FO272,BK272*(1+VLOOKUP($C272,WeatherCapacityAdjustment,3))),0)</f>
        <v>#VALUE!</v>
      </c>
      <c r="FT272" s="1566" t="e">
        <f aca="false">IF(AND(Assumptions!$H$71="Yes",A272&gt;=Assumptions!$H$72,A272&lt;=Assumptions!$H$73),0,IF(AND($A272&gt;=Assumptions!$C$17,$A272&lt;=Assumptions!$C$18),MAX(AZ272*(1+VLOOKUP($C272,WeatherCapacityAdjustment,2))-FL272,0),0))</f>
        <v>#VALUE!</v>
      </c>
      <c r="FU272" s="1551" t="e">
        <f aca="false">IF(AND(Assumptions!$H$71="Yes",A272&gt;=Assumptions!$H$72,A272&lt;=Assumptions!$H$73),0,IF(AND($A272&gt;=Assumptions!$C$17,$A272&lt;=Assumptions!$C$18),MAX(BA272*(1+VLOOKUP($C272,WeatherCapacityAdjustment,2))-FM272,0),0))</f>
        <v>#VALUE!</v>
      </c>
      <c r="FV272" s="1551" t="e">
        <f aca="false">IF(AND(Assumptions!$H$71="Yes",A272&gt;=Assumptions!$H$72,A272&lt;=Assumptions!$H$73),0,IF(AND($A272&gt;=Assumptions!$C$17,$A272&lt;=Assumptions!$C$18),MAX(BB272*(1+VLOOKUP($C272,WeatherCapacityAdjustment,2))-FN272,0),0))</f>
        <v>#VALUE!</v>
      </c>
      <c r="FW272" s="1564" t="e">
        <f aca="false">IF(AND(Assumptions!$H$71="Yes",A272&gt;=Assumptions!$H$72,A272&lt;=Assumptions!$H$73),0,IF(AND($A272&gt;=Assumptions!$C$17,$A272&lt;=Assumptions!$C$18),MAX(BC272*(1+VLOOKUP($C272,WeatherCapacityAdjustment,3))-FO272,0),0))</f>
        <v>#VALUE!</v>
      </c>
      <c r="FX272" s="1569" t="e">
        <f aca="false">IF(AND(Assumptions!$H$71="Yes",A272&gt;=Assumptions!$H$72,A272&lt;=Assumptions!$H$73),0,IF(ET272&gt;0,MAX(BH272*(1+VLOOKUP($C272,WeatherCapacityAdjustment,2))-FP272,0),0))</f>
        <v>#VALUE!</v>
      </c>
      <c r="FY272" s="1551" t="e">
        <f aca="false">IF(AND(Assumptions!$H$71="Yes",A272&gt;=Assumptions!$H$72,A272&lt;=Assumptions!$H$73),0,IF(EU272&gt;0,MAX(BI272*(1+VLOOKUP($C272,WeatherCapacityAdjustment,3))-FQ272,0),0))</f>
        <v>#VALUE!</v>
      </c>
      <c r="FZ272" s="1551" t="e">
        <f aca="false">IF(AND(Assumptions!$H$71="Yes",A272&gt;=Assumptions!$H$72,A272&lt;=Assumptions!$H$73),0,IF(EV272&gt;0,MAX(BJ272*(1+VLOOKUP($C272,WeatherCapacityAdjustment,2))-FR272,0),0))</f>
        <v>#VALUE!</v>
      </c>
      <c r="GA272" s="1564" t="e">
        <f aca="false">IF(AND(Assumptions!$H$71="Yes",A272&gt;=Assumptions!$H$72,A272&lt;=Assumptions!$H$73),0,IF(EW272&gt;0,MAX(BK272*(1+VLOOKUP($C272,WeatherCapacityAdjustment,2))-FS272,0),0))</f>
        <v>#VALUE!</v>
      </c>
      <c r="GB272" s="1551" t="e">
        <f aca="false">SUM(FT272:GA272)</f>
        <v>#VALUE!</v>
      </c>
      <c r="GC272" s="1563" t="e">
        <f aca="false">+IF(SUM(FT272:GA272)=0,0,(SUMPRODUCT(BU272:BX272,FT272:FW272)+SUMPRODUCT(CA272:CD272,FX272:GA272))/SUM(FT272:GA272))</f>
        <v>#VALUE!</v>
      </c>
      <c r="GD272" s="1551" t="e">
        <f aca="false">(FT272*BU272+FX272*CA272+FU272*BV272+FY272*CB272+FV272*BW272+FZ272*CC272+FW272*BX272+GA272*CD272)</f>
        <v>#VALUE!</v>
      </c>
      <c r="GE272" s="1561" t="e">
        <f aca="false">+IF(BQ272,((FL272+FM272+FT272+FU272)*HeatRatePeak/1000*(1+VLOOKUP($C272,WeatherHeatRateAdjustment,2))+(FN272+FV272)*IF(EV272&gt;0,HeatRatePeak,HeatRateOffPeak)/1000*(1+VLOOKUP($C272,WeatherHeatRateAdjustment,2))+(FO272+FW272)*IF(EW272&gt;0,HeatRatePeak,HeatRateOffPeak)/1000*(1+VLOOKUP($C272,WeatherHeatRateAdjustment,3)))*(1+VLOOKUP($B272,HeatRateDegradation,$C272+1)),0)</f>
        <v>#VALUE!</v>
      </c>
      <c r="GF272" s="1562" t="e">
        <f aca="false">IF(BQ272,((FP272+FQ272+FR272+FX272+FY272+FZ272)*HeatRatePeak/1000*(1+VLOOKUP($C272,WeatherHeatRateAdjustment,2))+(FS272+GA272)*HeatRatePeak/1000*(1+VLOOKUP($C272,WeatherHeatRateAdjustment,3)))*(1+VLOOKUP($B272,HeatRateDegradation,$C272+1)),0)</f>
        <v>#VALUE!</v>
      </c>
      <c r="GG272" s="1563" t="e">
        <f aca="false">IF(BQ272,VLOOKUP(A272,GasTable,13),0)</f>
        <v>#VALUE!</v>
      </c>
      <c r="GH272" s="1564" t="e">
        <f aca="false">(GE272+GF272)*GG272</f>
        <v>#VALUE!</v>
      </c>
      <c r="GI272" s="1569" t="e">
        <f aca="false">GB272</f>
        <v>#VALUE!</v>
      </c>
      <c r="GJ272" s="1598" t="e">
        <f aca="false">+DA272</f>
        <v>#VALUE!</v>
      </c>
      <c r="GK272" s="1558" t="e">
        <f aca="false">+GI272*GJ272</f>
        <v>#VALUE!</v>
      </c>
      <c r="GL272" s="1566" t="e">
        <f aca="false">MAX(FE272-FL272-FP272,0)</f>
        <v>#VALUE!</v>
      </c>
      <c r="GM272" s="1551" t="e">
        <f aca="false">MAX(FF272-FM272-FQ272,0)</f>
        <v>#VALUE!</v>
      </c>
      <c r="GN272" s="1551" t="e">
        <f aca="false">MAX(FG272-FN272-FR272,0)</f>
        <v>#VALUE!</v>
      </c>
      <c r="GO272" s="1564" t="e">
        <f aca="false">MAX(FH272-FO272-FS272,0)</f>
        <v>#VALUE!</v>
      </c>
      <c r="GP272" s="1551" t="e">
        <f aca="false">SUM(GL272:GO272)</f>
        <v>#VALUE!</v>
      </c>
      <c r="GQ272" s="1563" t="e">
        <f aca="false">IF(SUM(GL272:GO272)=0,0,((GL272*BU272+GM272*BV272+GN272*BW272+GO272*BX272)/SUM(GL272:GO272)))</f>
        <v>#VALUE!</v>
      </c>
      <c r="GR272" s="1558" t="e">
        <f aca="false">(GL272*BU272+GM272*BV272+GN272*BW272+GO272*BX272)</f>
        <v>#VALUE!</v>
      </c>
      <c r="GS272" s="1566" t="n">
        <f aca="false">IF($A272&gt;=BegDate,Assumptions!$C$56*24*($A273-$A272)*(1-VLOOKUP($B272,MAIN!$AA$7:$AM$28,$C272+1))*(1-VLOOKUP($B272,MAIN!$AA$33:$AM$54,$C272+1)),0)*80/168</f>
        <v>257742.857142857</v>
      </c>
      <c r="GT272" s="286" t="n">
        <f aca="false">J272</f>
        <v>90.7300608452455</v>
      </c>
      <c r="GU272" s="286" t="n">
        <f aca="false">IF($A272&gt;=BegDate,VLOOKUP($A272,GasTable,13)+Assumptions!$C$58,0)</f>
        <v>3.90104597319855</v>
      </c>
      <c r="GV272" s="286" t="n">
        <f aca="false">GU272*Assumptions!$C$57/1000</f>
        <v>28.2825833056895</v>
      </c>
      <c r="GW272" s="1558" t="n">
        <f aca="false">IF(Assumptions!$C$60="Hourly",MAX(0,GS272*(GT272-GV272)),GS272*(GT272-GV272))</f>
        <v>16095391.2824095</v>
      </c>
      <c r="GX272" s="1566" t="n">
        <f aca="false">IF($A272&gt;=BegDate,Assumptions!$C$56*24*($A273-$A272)*(1-VLOOKUP($B272,MAIN!$AA$7:$AM$28,$C272+1))*(1-VLOOKUP($B272,MAIN!$AA$33:$AM$54,$C272+1)),0)*16/168</f>
        <v>51548.5714285714</v>
      </c>
      <c r="GY272" s="286" t="n">
        <f aca="false">M272</f>
        <v>90.7300608452455</v>
      </c>
      <c r="GZ272" s="286" t="n">
        <f aca="false">IF($A272&gt;=BegDate,VLOOKUP($A272,GasTable,13)+Assumptions!$C$58,0)</f>
        <v>3.90104597319855</v>
      </c>
      <c r="HA272" s="286" t="n">
        <f aca="false">GZ272*Assumptions!$C$57/1000</f>
        <v>28.2825833056895</v>
      </c>
      <c r="HB272" s="1558" t="n">
        <f aca="false">IF(Assumptions!$C$60="Hourly",MAX(0,GX272*(GY272-HA272)),GX272*(GY272-HA272))</f>
        <v>3219078.25648191</v>
      </c>
      <c r="HC272" s="1566" t="n">
        <f aca="false">IF($A272&gt;=BegDate,Assumptions!$C$56*24*($A273-$A272)*(1-VLOOKUP($B272,MAIN!$AA$7:$AM$28,$C272+1))*(1-VLOOKUP($B272,MAIN!$AA$33:$AM$54,$C272+1)),0)*16/168</f>
        <v>51548.5714285714</v>
      </c>
      <c r="HD272" s="286" t="n">
        <f aca="false">P272</f>
        <v>37.2794809611477</v>
      </c>
      <c r="HE272" s="286" t="n">
        <f aca="false">IF($A272&gt;=BegDate,VLOOKUP($A272,GasTable,13)+Assumptions!$C$58,0)</f>
        <v>3.90104597319855</v>
      </c>
      <c r="HF272" s="286" t="n">
        <f aca="false">HE272*Assumptions!$C$57/1000</f>
        <v>28.2825833056895</v>
      </c>
      <c r="HG272" s="1558" t="n">
        <f aca="false">IF(Assumptions!$C$60="Hourly",MAX(0,HC272*(HD272-HF272)),HC272*(HD272-HF272))</f>
        <v>463777.221427932</v>
      </c>
      <c r="HH272" s="1566" t="n">
        <f aca="false">IF($A272&gt;=BegDate,Assumptions!$C$56*24*($A273-$A272)*(1-VLOOKUP($B272,MAIN!$AA$7:$AM$28,$C272+1))*(1-VLOOKUP($B272,MAIN!$AA$33:$AM$54,$C272+1)),0)*56/168</f>
        <v>180420</v>
      </c>
      <c r="HI272" s="286" t="n">
        <f aca="false">S272</f>
        <v>37.2794809611477</v>
      </c>
      <c r="HJ272" s="286" t="n">
        <f aca="false">IF($A272&gt;=BegDate,VLOOKUP($A272,GasTable,13)+Assumptions!$C$58,0)</f>
        <v>3.90104597319855</v>
      </c>
      <c r="HK272" s="286" t="n">
        <f aca="false">HJ272*Assumptions!$C$57/1000</f>
        <v>28.2825833056895</v>
      </c>
      <c r="HL272" s="1558" t="n">
        <f aca="false">IF(Assumptions!$C$60="Hourly",MAX(0,HH272*(HI272-HK272)),HH272*(HI272-HK272))</f>
        <v>1623220.27499776</v>
      </c>
      <c r="HM272" s="1566" t="n">
        <f aca="false">IF(AND(Assumptions!$H$71="Yes",A272&gt;=Assumptions!$H$72,A272&lt;=Assumptions!$H$73),Assumptions!$H$74*Assumptions!$C$9*1000,0)</f>
        <v>0</v>
      </c>
      <c r="HN272" s="1551"/>
      <c r="HO272" s="1563"/>
      <c r="HP272" s="1563"/>
      <c r="HQ272" s="1563"/>
      <c r="HR272" s="1563"/>
      <c r="HS272" s="1563"/>
      <c r="HT272" s="1563"/>
      <c r="HU272" s="1563"/>
      <c r="HV272" s="1563"/>
      <c r="HW272" s="1563"/>
      <c r="HX272" s="1563"/>
      <c r="HY272" s="1563"/>
      <c r="HZ272" s="1563"/>
      <c r="IA272" s="1563"/>
      <c r="IB272" s="1563"/>
      <c r="IC272" s="1563"/>
      <c r="ID272" s="1563"/>
      <c r="IE272" s="1563"/>
      <c r="IF272" s="1563"/>
      <c r="IG272" s="1563"/>
      <c r="IH272" s="1563"/>
      <c r="II272" s="1610"/>
      <c r="IJ272" s="1309"/>
      <c r="IK272" s="1309"/>
    </row>
    <row r="273" customFormat="false" ht="12.75" hidden="false" customHeight="false" outlineLevel="0" collapsed="false">
      <c r="A273" s="1571" t="n">
        <f aca="false">EOMONTH(A272,0)+1</f>
        <v>44440</v>
      </c>
      <c r="B273" s="594" t="n">
        <f aca="false">+YEAR(A273)</f>
        <v>2021</v>
      </c>
      <c r="C273" s="238" t="n">
        <f aca="false">MONTH(A273)</f>
        <v>9</v>
      </c>
      <c r="D273" s="1572" t="e">
        <f aca="false">IF(E273="","",Holiday(B273,C273))</f>
        <v>#VALUE!</v>
      </c>
      <c r="E273" s="1573" t="n">
        <f aca="false">IF(OR(BegDate&gt;=A274,EndDate&lt;A273,AND(VolumeMonthlyOverFlag,INDEX(VolumeMonthlyOver,C273)=0),NOT(INDEX(MonthKnockOutTable,C273))),"",MAX(A273,BegDate))</f>
        <v>44440</v>
      </c>
      <c r="F273" s="1574" t="n">
        <f aca="false">IF(E273="","",MIN(A274-1,EndDate))</f>
        <v>44469</v>
      </c>
      <c r="G273" s="1575" t="n">
        <v>0</v>
      </c>
      <c r="H273" s="1576" t="n">
        <f aca="false">(1+G273/2)^(-2*(DATE(B274,C274,20)-DateToday)/365.25)</f>
        <v>1</v>
      </c>
      <c r="I273" s="1568" t="n">
        <f aca="false">IF(Assumptions!$L$25=4,VLOOKUP($A273,'Henwood Reference'!$E$9:$R$320,10),(VLOOKUP($A273,PriceTable,2,0)+IF(BasisNumber&lt;&gt;1,VLOOKUP($A273,BasisTable,2,0),0)+I$1)/(1-I$2))</f>
        <v>76.1949721738988</v>
      </c>
      <c r="J273" s="1568" t="n">
        <f aca="false">IF(Assumptions!$L$25=4,VLOOKUP($A273,'Henwood Reference'!$E$9:$R$320,10),(VLOOKUP($A273,PriceTable,3,0)+IF(BasisNumber&lt;&gt;1,VLOOKUP($A273,BasisTable,2,0),0)+J$1)/(1-J$2))</f>
        <v>76.1949721738988</v>
      </c>
      <c r="K273" s="1568" t="n">
        <f aca="false">IF(Assumptions!$L$25=4,VLOOKUP($A273,'Henwood Reference'!$E$9:$R$320,10),(VLOOKUP($A273,PriceTable,4,0)+IF(BasisNumber&lt;&gt;1,VLOOKUP($A273,BasisTable,2,0),0)+K$1)/(1-K$2))</f>
        <v>76.1949721738988</v>
      </c>
      <c r="L273" s="1523" t="n">
        <f aca="false">IF(Assumptions!$L$25=4,VLOOKUP($A273,'Henwood Reference'!$E$9:$R$320,10),(VLOOKUP($A273,PriceTableWeekend,2,0)+IF(BasisNumber&lt;&gt;1,VLOOKUP($A273,BasisTable,2,0),0)+L$1)/(1-L$2))</f>
        <v>76.1949721738988</v>
      </c>
      <c r="M273" s="1568" t="n">
        <f aca="false">IF(Assumptions!$L$25=4,VLOOKUP($A273,'Henwood Reference'!$E$9:$R$320,10),(VLOOKUP($A273,PriceTableWeekend,3,0)+IF(BasisNumber&lt;&gt;1,VLOOKUP($A273,BasisTable,2,0),0)+M$1)/(1-M$2))</f>
        <v>76.1949721738988</v>
      </c>
      <c r="N273" s="1599" t="n">
        <f aca="false">IF(Assumptions!$L$25=4,VLOOKUP($A273,'Henwood Reference'!$E$9:$R$320,10),(VLOOKUP($A273,PriceTableWeekend,4,0)+IF(BasisNumber&lt;&gt;1,VLOOKUP($A273,BasisTable,2,0),0)+N$1)/(1-N$2))</f>
        <v>76.1949721738988</v>
      </c>
      <c r="O273" s="1568" t="n">
        <f aca="false">IF(Assumptions!$L$25=4,VLOOKUP($A273,'Henwood Reference'!$E$9:$R$320,11),(VLOOKUP($A273,PriceTableWeekend,6,0)+IF(BasisNumber&lt;&gt;1,VLOOKUP($A273,BasisTable,3,0),0)+O$1)/(1-O$2))</f>
        <v>35.884461658224</v>
      </c>
      <c r="P273" s="1568" t="n">
        <f aca="false">IF(Assumptions!$L$25=4,VLOOKUP($A273,'Henwood Reference'!$E$9:$R$320,11),(VLOOKUP($A273,PriceTableWeekend,7,0)+IF(BasisNumber&lt;&gt;1,VLOOKUP($A273,BasisTable,3,0),0)+P$1)/(1-P$2))</f>
        <v>35.884461658224</v>
      </c>
      <c r="Q273" s="1599" t="n">
        <f aca="false">IF(Assumptions!$L$25=4,VLOOKUP($A273,'Henwood Reference'!$E$9:$R$320,11),(VLOOKUP($A273,PriceTableWeekend,8,0)+IF(BasisNumber&lt;&gt;1,VLOOKUP($A273,BasisTable,3,0),0)+Q$1)/(1-Q$2))</f>
        <v>35.884461658224</v>
      </c>
      <c r="R273" s="1568" t="n">
        <f aca="false">IF(Assumptions!$L$25=4,VLOOKUP($A273,'Henwood Reference'!$E$9:$R$320,11),(VLOOKUP($A273,PriceTable,6,0)+IF(BasisNumber&lt;&gt;1,VLOOKUP($A273,BasisTable,3,0),0)+R$1)/(1-R$2))</f>
        <v>35.884461658224</v>
      </c>
      <c r="S273" s="1568" t="n">
        <f aca="false">IF(Assumptions!$L$25=4,VLOOKUP($A273,'Henwood Reference'!$E$9:$R$320,11),(VLOOKUP($A273,PriceTable,7,0)+IF(BasisNumber&lt;&gt;1,VLOOKUP($A273,BasisTable,3,0),0)+S$1)/(1-S$2))</f>
        <v>35.884461658224</v>
      </c>
      <c r="T273" s="1600" t="n">
        <f aca="false">IF(Assumptions!$L$25=4,VLOOKUP($A273,'Henwood Reference'!$E$9:$R$320,11),(VLOOKUP($A273,PriceTable,8,0)+IF(BasisNumber&lt;&gt;1,VLOOKUP($A273,BasisTable,3,0),0)+T$1)/(1-T$2))</f>
        <v>35.884461658224</v>
      </c>
      <c r="U273" s="1513" t="n">
        <f aca="false">VLOOKUP($A273,VolatilityTable,14)</f>
        <v>0.09</v>
      </c>
      <c r="V273" s="1513" t="n">
        <f aca="false">VLOOKUP($A273,VolatilityTable,15)</f>
        <v>0.1</v>
      </c>
      <c r="W273" s="1514" t="n">
        <f aca="false">VLOOKUP($A273,VolatilityTable,16)</f>
        <v>0.11</v>
      </c>
      <c r="X273" s="1513" t="n">
        <f aca="false">VLOOKUP($A273,VolatilityTable,14)</f>
        <v>0.09</v>
      </c>
      <c r="Y273" s="1513" t="n">
        <f aca="false">VLOOKUP($A273,VolatilityTable,15)</f>
        <v>0.1</v>
      </c>
      <c r="Z273" s="1514" t="n">
        <f aca="false">VLOOKUP($A273,VolatilityTable,16)</f>
        <v>0.11</v>
      </c>
      <c r="AA273" s="1513" t="n">
        <f aca="false">VLOOKUP($A273,VolatilityTable,18)</f>
        <v>0.09</v>
      </c>
      <c r="AB273" s="1513" t="n">
        <f aca="false">VLOOKUP($A273,VolatilityTable,19)</f>
        <v>0.11</v>
      </c>
      <c r="AC273" s="1514" t="n">
        <f aca="false">VLOOKUP($A273,VolatilityTable,20)</f>
        <v>0.13</v>
      </c>
      <c r="AD273" s="1513" t="n">
        <f aca="false">VLOOKUP($A273,VolatilityTable,18)</f>
        <v>0.09</v>
      </c>
      <c r="AE273" s="1513" t="n">
        <f aca="false">VLOOKUP($A273,VolatilityTable,19)</f>
        <v>0.11</v>
      </c>
      <c r="AF273" s="1514" t="n">
        <f aca="false">VLOOKUP($A273,VolatilityTable,20)</f>
        <v>0.13</v>
      </c>
      <c r="AG273" s="1513" t="n">
        <f aca="false">VLOOKUP($A273,VolatilityTable,22)</f>
        <v>-0.35</v>
      </c>
      <c r="AH273" s="1513" t="n">
        <f aca="false">VLOOKUP($A273,VolatilityTable,23)</f>
        <v>3</v>
      </c>
      <c r="AI273" s="1514" t="n">
        <f aca="false">VLOOKUP($A273,VolatilityTable,24)</f>
        <v>0.2</v>
      </c>
      <c r="AJ273" s="1513" t="n">
        <f aca="false">VLOOKUP($A273,VolatilityTable,22)</f>
        <v>-0.35</v>
      </c>
      <c r="AK273" s="1513" t="n">
        <f aca="false">VLOOKUP($A273,VolatilityTable,23)</f>
        <v>3</v>
      </c>
      <c r="AL273" s="1514" t="n">
        <f aca="false">VLOOKUP($A273,VolatilityTable,24)</f>
        <v>0.2</v>
      </c>
      <c r="AM273" s="1513" t="n">
        <f aca="false">VLOOKUP($A273,VolatilityTable,26)</f>
        <v>-0.01</v>
      </c>
      <c r="AN273" s="1513" t="n">
        <f aca="false">VLOOKUP($A273,VolatilityTable,27)</f>
        <v>0.16</v>
      </c>
      <c r="AO273" s="1514" t="n">
        <f aca="false">VLOOKUP($A273,VolatilityTable,28)</f>
        <v>0.01</v>
      </c>
      <c r="AP273" s="1513" t="n">
        <f aca="false">VLOOKUP($A273,VolatilityTable,26)</f>
        <v>-0.01</v>
      </c>
      <c r="AQ273" s="1513" t="n">
        <f aca="false">VLOOKUP($A273,VolatilityTable,27)</f>
        <v>0.16</v>
      </c>
      <c r="AR273" s="1515" t="n">
        <f aca="false">VLOOKUP($A273,VolatilityTable,28)</f>
        <v>0.01</v>
      </c>
      <c r="AS273" s="1581" t="n">
        <f aca="false">IF(CorrPeakOffPeakOverFlag,INDEX(CorrPeakOffPeakOver,C273),CorrPeakOffPeak)</f>
        <v>0.5</v>
      </c>
      <c r="AT273" s="594" t="e">
        <f aca="false">AX273-SUM(AU273:AW273)</f>
        <v>#VALUE!</v>
      </c>
      <c r="AU273" s="238" t="e">
        <f aca="false">IF(E273="",0,INT((F273-MOD(F273,7)-E273)/7)+1-IF(AW273,IF(WEEKDAY(D273)=7,1,0),0))</f>
        <v>#VALUE!</v>
      </c>
      <c r="AV273" s="238" t="e">
        <f aca="false">IF(E273="",0,INT((F273-MOD(F273-1,7)-E273)/7)+1-IF(AW273,IF(WEEKDAY(D273)=1,1,0),0))</f>
        <v>#VALUE!</v>
      </c>
      <c r="AW273" s="238" t="e">
        <f aca="false">IF(OR(E273="",D273="",D273&lt;BegDate,D273&gt;EndDate),0,1)</f>
        <v>#VALUE!</v>
      </c>
      <c r="AX273" s="238" t="n">
        <f aca="false">IF(E273="",0,F273-E273+1)</f>
        <v>30</v>
      </c>
      <c r="AY273" s="1582" t="n">
        <f aca="false">IF(E273="",0,MIN((1-(1-VLOOKUP(B273,MAIN!$AA$7:$AM$28,C273+1))*(1-VLOOKUP(B273,MAIN!$AA$33:$AM$54,C273+1))),1))</f>
        <v>0.03</v>
      </c>
      <c r="AZ273" s="1519" t="e">
        <v>#VALUE!</v>
      </c>
      <c r="BA273" s="1520" t="e">
        <v>#VALUE!</v>
      </c>
      <c r="BB273" s="1520" t="e">
        <v>#VALUE!</v>
      </c>
      <c r="BC273" s="1583" t="e">
        <v>#VALUE!</v>
      </c>
      <c r="BD273" s="1522" t="e">
        <v>#VALUE!</v>
      </c>
      <c r="BE273" s="1523" t="e">
        <v>#VALUE!</v>
      </c>
      <c r="BF273" s="1523" t="e">
        <v>#VALUE!</v>
      </c>
      <c r="BG273" s="1584" t="e">
        <v>#VALUE!</v>
      </c>
      <c r="BH273" s="1525" t="e">
        <v>#VALUE!</v>
      </c>
      <c r="BI273" s="1520" t="e">
        <v>#VALUE!</v>
      </c>
      <c r="BJ273" s="1520" t="e">
        <v>#VALUE!</v>
      </c>
      <c r="BK273" s="1583" t="e">
        <v>#VALUE!</v>
      </c>
      <c r="BL273" s="1522" t="e">
        <v>#VALUE!</v>
      </c>
      <c r="BM273" s="1523" t="e">
        <v>#VALUE!</v>
      </c>
      <c r="BN273" s="1523" t="e">
        <v>#VALUE!</v>
      </c>
      <c r="BO273" s="1523" t="e">
        <v>#VALUE!</v>
      </c>
      <c r="BP273" s="1525" t="e">
        <f aca="false">SUM(AZ273:BB273)</f>
        <v>#VALUE!</v>
      </c>
      <c r="BQ273" s="1529" t="e">
        <f aca="false">SUM(AZ273:BC273)</f>
        <v>#VALUE!</v>
      </c>
      <c r="BR273" s="1519" t="e">
        <f aca="false">SUM(BH273:BJ273)</f>
        <v>#VALUE!</v>
      </c>
      <c r="BS273" s="1529" t="e">
        <f aca="false">SUM(BH273:BK273)</f>
        <v>#VALUE!</v>
      </c>
      <c r="BT273" s="1316" t="n">
        <f aca="false">(IF(OVolType&lt;&gt;2,A273+14,IF(OptExpDateShift,ShiftBack(A273,OptExpDateShift,D272),A273))-DateToday)/365.25</f>
        <v>21.3826146475017</v>
      </c>
      <c r="BU273" s="1585" t="e">
        <f aca="false">IF(BQ273,IF(OPriceCurve,IF(OBuySell=OCallPut,I273/(1-AY273),K273/(1-AY273)),J273/(1-AY273))*BD273,0)</f>
        <v>#VALUE!</v>
      </c>
      <c r="BV273" s="1316" t="e">
        <f aca="false">IF(BQ273,IF(OPriceCurve,IF(OBuySell=OCallPut,L273/(1-AY273),N273/(1-AY273)),M273/(1-AY273))*BE273,0)</f>
        <v>#VALUE!</v>
      </c>
      <c r="BW273" s="1316" t="e">
        <f aca="false">IF(BQ273,IF(OPriceCurve,IF(OBuySell=OCallPut,O273/(1-AY273),Q273/(1-AY273)),P273/(1-AY273))*BF273,0)</f>
        <v>#VALUE!</v>
      </c>
      <c r="BX273" s="1316" t="e">
        <f aca="false">IF(BQ273,IF(OPriceCurve,IF(OBuySell=OCallPut,R273/(1-AY273),T273/(1-AY273)),S273/(1-AY273))*BG273,0)</f>
        <v>#VALUE!</v>
      </c>
      <c r="BY273" s="1316" t="e">
        <f aca="false">IF(BP273,(BU273*AZ273+BV273*BA273+BW273*BB273)/BP273,0)</f>
        <v>#VALUE!</v>
      </c>
      <c r="BZ273" s="1316" t="e">
        <f aca="false">IF(BQ273,(BY273*BP273+BX273*BC273)/BQ273,0)</f>
        <v>#VALUE!</v>
      </c>
      <c r="CA273" s="1531" t="e">
        <f aca="false">IF(BS273,IF(OPriceCurve,IF(OBuySell=OCallPut,I273/(1-AY273),K273/(1-AY273)),J273/(1-AY273))*BL273,0)</f>
        <v>#VALUE!</v>
      </c>
      <c r="CB273" s="1316" t="e">
        <f aca="false">IF(BS273,IF(OPriceCurve,IF(OBuySell=OCallPut,L273/(1-AY273),N273/(1-AY273)),M273/(1-AY273))*BM273,0)</f>
        <v>#VALUE!</v>
      </c>
      <c r="CC273" s="1316" t="e">
        <f aca="false">IF(BS273,IF(OPriceCurve,IF(OBuySell=OCallPut,O273/(1-AY273),Q273/(1-AY273)),P273/(1-AY273))*BN273,0)</f>
        <v>#VALUE!</v>
      </c>
      <c r="CD273" s="1316" t="e">
        <f aca="false">IF(BS273,IF(OPriceCurve,IF(OBuySell=OCallPut,R273/(1-AY273),T273/(1-AY273)),S273/(1-AY273))*BO273,0)</f>
        <v>#VALUE!</v>
      </c>
      <c r="CE273" s="1316" t="e">
        <f aca="false">IF(BR273,(BU273*BH273+BV273*BI273+BW273*BJ273)/BR273,0)</f>
        <v>#VALUE!</v>
      </c>
      <c r="CF273" s="1532" t="e">
        <f aca="false">IF(BS273,(CE273*BR273+CD273*BK273)/BS273,0)</f>
        <v>#VALUE!</v>
      </c>
      <c r="CG273" s="1586" t="e">
        <f aca="false">IF(OR(BQ273,BS273),IF(OVolType&lt;&gt;2,SQRT(IF(OVolOverMonthlyPeak,OVolOverMonthlyPeak,IF(OVolCurve,IF(OBuySell,U273,W273),V273))^2*(1-15/365.25/BT273)+IF(OVolOverDailyPeak,OVolOverDailyPeak,IF(OVolCurve,IF(OBuySell,AG273,AI273),AH273))^2*15/365.25/BT273),IF(OVolOverMonthlyPeak,OVolOverMonthlyPeak,IF(OVolCurve,IF(OBuySell,U273,W273),V273))),"")</f>
        <v>#VALUE!</v>
      </c>
      <c r="CH273" s="1587" t="e">
        <f aca="false">IF(OR(BQ273,BS273),IF(OVolType&lt;&gt;2,SQRT(IF(OVolOverMonthlyPeak,OVolOverMonthlyPeak,IF(OVolCurve,IF(OBuySell,X273,Z273),Y273))^2*(1-15/365.25/BT273)+IF(OVolOverDailyPeak,OVolOverDailyPeak,IF(OVolCurve,IF(OBuySell,AJ273,AL273),AK273))^2*15/365.25/BT273),IF(OVolOverMonthlyPeak,OVolOverMonthlyPeak,IF(OVolCurve,IF(OBuySell,X273,Z273),Y273))),"")</f>
        <v>#VALUE!</v>
      </c>
      <c r="CI273" s="1587" t="e">
        <f aca="false">IF(OR(BQ273,BS273),IF(OVolType&lt;&gt;2,SQRT(IF(OVolOverMonthlyPeak,OVolOverMonthlyPeak,IF(OVolCurve,IF(OBuySell,AA273,AC273),AB273))^2*(1-15/365.25/BT273)+IF(OVolOverDailyPeak,OVolOverDailyPeak,IF(OVolCurve,IF(OBuySell,AM273,AO273),AN273))^2*15/365.25/BT273),IF(OVolOverMonthlyPeak,OVolOverMonthlyPeak,IF(OVolCurve,IF(OBuySell,AA273,AC273),AB273))),"")</f>
        <v>#VALUE!</v>
      </c>
      <c r="CJ273" s="1587" t="e">
        <f aca="false">IF(BQ273,IF(BP273,SQRT(LN(1+((BU273*AZ273)^2*(EXP(CG273^2*BT273)-1)+(BV273*BA273)^2*(EXP(CH273^2*BT273)-1)+(BW273*BB273)^2*(EXP(CI273^2*BT273)-1)+2*BU273*AZ273*BV273*BA273*(EXP(CG273*CH273*BT273)-1)+2*BV273*BA273*BW273*BB273*(EXP(CH273*CI273*BT273)-1)+2*BW273*BB273*BU273*AZ273*(EXP(CI273*CG273*BT273)-1))/(BY273*BP273)^2)/BT273),0),"")</f>
        <v>#VALUE!</v>
      </c>
      <c r="CK273" s="1587" t="e">
        <f aca="false">IF(BS273,IF(BR273,SQRT(LN(1+((CA273*BH273)^2*(EXP(CG273^2*BT273)-1)+(CB273*BI273)^2*(EXP(CH273^2*BT273)-1)+(CC273*BJ273)^2*(EXP(CI273^2*BT273)-1)+2*CA273*BH273*CB273*BI273*(EXP(CG273*CH273*BT273)-1)+2*CB273*BI273*CC273*BJ273*(EXP(CH273*CI273*BT273)-1)+2*CC273*BJ273*CA273*BH273*(EXP(CI273*CG273*BT273)-1))/(CE273*BR273)^2)/BT273),0),"")</f>
        <v>#VALUE!</v>
      </c>
      <c r="CL273" s="1587" t="e">
        <f aca="false">IF(OR(BQ273,BS273),IF(OVolType&lt;&gt;2,SQRT(IF(OVolOverMonthlyOffPeak,OVolOverMonthlyOffPeak,IF(OVolCurve,IF(OBuySell,AD273,AF273),AE273))^2*(1-15/365.25/BT273)+IF(OVolOverDailyOffPeak,OVolOverDailyOffPeak,IF(OVolCurve,IF(OBuySell,AP273,AR273),AQ273))^2*15/365.25/BT273),IF(OVolOverMonthlyOffPeak,OVolOverMonthlyOffPeak,IF(OVolCurve,IF(OBuySell,AD273,AF273),AE273))),"")</f>
        <v>#VALUE!</v>
      </c>
      <c r="CM273" s="1587" t="e">
        <f aca="false">IF(BQ273,SQRT(LN(1+((BY273*BP273)^2*(EXP(CJ273^2*BT273)-1)+(BX273*BC273)^2*(EXP(CL273^2*BT273)-1)+2*BY273*BP273*BX273*BC273*(EXP(AS273*CJ273*CL273*BT273)-1))/(BY273*BP273+BX273*BC273)^2)/BT273),"")</f>
        <v>#VALUE!</v>
      </c>
      <c r="CN273" s="1588" t="e">
        <f aca="false">IF(BS273,SQRT(LN(1+((CE273*BR273)^2*(EXP(CK273^2*BT273)-1)+(CD273*BK273)^2*(EXP(CL273^2*BT273)-1)+2*CE273*BR273*CD273*BK273*(EXP(AS273*CK273*CL273*BT273)-1))/(CE273*BR273+CD273*BK273)^2)/BT273),"")</f>
        <v>#VALUE!</v>
      </c>
      <c r="CO273" s="1531" t="e">
        <f aca="false">IF(OR(BQ273,BS273),VLOOKUP(A273,GasTable,13)*HeatRatePeak*(1+VLOOKUP($B273,HeatRateDegradation,$C273+1))/1000,0)</f>
        <v>#VALUE!</v>
      </c>
      <c r="CP273" s="1316" t="e">
        <f aca="false">IF(OR(BQ273,BS273),VLOOKUP(A273,GasTable,13)*HeatRatePeak*(1+VLOOKUP($B273,HeatRateDegradation,$C273+1))/1000,0)</f>
        <v>#VALUE!</v>
      </c>
      <c r="CQ273" s="1316" t="e">
        <f aca="false">IF(OR(BQ273,BS273),VLOOKUP(A273,GasTable,13)*IF(EV273,HeatRatePeak,HeatRateOffPeak)*(1+VLOOKUP($B273,HeatRateDegradation,$C273+1))/1000,0)</f>
        <v>#VALUE!</v>
      </c>
      <c r="CR273" s="1316" t="e">
        <f aca="false">IF(OR(BQ273,BS273),VLOOKUP(A273,GasTable,13)*IF(EW273,HeatRatePeak,HeatRateOffPeak)*(1+VLOOKUP($B273,HeatRateDegradation,$C273+1))/1000,0)</f>
        <v>#VALUE!</v>
      </c>
      <c r="CS273" s="1589" t="e">
        <f aca="false">IF(BQ273,(CO273*AZ273+CP273*BA273+CQ273*BB273+CR273*BC273)/BQ273,0)</f>
        <v>#VALUE!</v>
      </c>
      <c r="CT273" s="1316" t="e">
        <f aca="false">IF(BS273,CO273,0)</f>
        <v>#VALUE!</v>
      </c>
      <c r="CU273" s="1590" t="e">
        <f aca="false">IF(OR(BQ273,BS273),VLOOKUP(A273,GasTable,14),"")</f>
        <v>#VALUE!</v>
      </c>
      <c r="CV273" s="1568" t="e">
        <f aca="false">IF(OR(BQ273,BS273),IF(CorrPowerGasOverFlag,INDEX(CorrPowerGasOver,C273),CorrPowerGas),"")</f>
        <v>#VALUE!</v>
      </c>
      <c r="CW273" s="1316" t="e">
        <f aca="false">IF(OR($BQ273,$BS273),SpreadOptPowerMargin,0)*((1+Assumptions!$C$26)^($B273-YEAR(Assumptions!$C$17)))</f>
        <v>#VALUE!</v>
      </c>
      <c r="CX273" s="1316" t="e">
        <f aca="false">IF(OR($BQ273,$BS273),SpreadOptPowerMargin,0)*((1+Assumptions!$C$26)^($B273-YEAR(Assumptions!$C$17)))</f>
        <v>#VALUE!</v>
      </c>
      <c r="CY273" s="1316" t="e">
        <f aca="false">IF(OR($BQ273,$BS273),SpreadOptPowerMargin,0)*((1+Assumptions!$C$26)^($B273-YEAR(Assumptions!$C$17)))</f>
        <v>#VALUE!</v>
      </c>
      <c r="CZ273" s="1316" t="e">
        <f aca="false">IF(OR($BQ273,$BS273),SpreadOptPowerMargin,0)*((1+Assumptions!$C$26)^($B273-YEAR(Assumptions!$C$17)))</f>
        <v>#VALUE!</v>
      </c>
      <c r="DA273" s="1591" t="e">
        <f aca="false">IF(OR(BQ273,BS273),(CW273*(AZ273+BH273)+CX273*(BA273+BI273)+CY273*(BB273+BJ273)+CZ273*(BC273+BK273))/(BQ273+BS273),0)</f>
        <v>#VALUE!</v>
      </c>
      <c r="DB273" s="1592" t="e">
        <f aca="false">IF(OR(BQ273,BS273),CG273+IF(OVolSmile,VLOOKUP(MAX(-5,CO273+CW273-BU273),IF(OVolSmile=1,VolSmileBook,VolSmileModel),2),0),"")</f>
        <v>#VALUE!</v>
      </c>
      <c r="DC273" s="1592" t="e">
        <f aca="false">IF(OR(BQ273,BS273),CH273+IF(OVolSmile,VLOOKUP(MAX(-5,CP273+CW273-BV273),IF(OVolSmile=1,VolSmileBook,VolSmileModel),2),0),"")</f>
        <v>#VALUE!</v>
      </c>
      <c r="DD273" s="1592" t="e">
        <f aca="false">IF(OR(BQ273,BS273),CI273+IF(OVolSmile,VLOOKUP(MAX(-5,CQ273+CW273-BW273),IF(OVolSmile=1,VolSmileBook,VolSmileModel),2),0),"")</f>
        <v>#VALUE!</v>
      </c>
      <c r="DE273" s="1592" t="e">
        <f aca="false">IF(OR(BQ273,BS273),CL273+IF(OVolSmile,VLOOKUP(MAX(-5,CR273+CZ273-BX273),IF(OVolSmile=1,VolSmileBook,VolSmileModel),2),0),"")</f>
        <v>#VALUE!</v>
      </c>
      <c r="DF273" s="1592" t="e">
        <f aca="false">IF(BQ273,CM273+IF(OVolSmile,VLOOKUP(MAX(-5,CS273+DA273-BZ273),IF(OVolSmile=1,VolSmileBook,VolSmileModel),2),0),"")</f>
        <v>#VALUE!</v>
      </c>
      <c r="DG273" s="1593" t="e">
        <f aca="false">IF(BS273,CN273+IF(OVolSmile,VLOOKUP(MAX(-5,CT273+DA273-CF273),IF(OVolSmile=1,VolSmileBook,VolSmileModel),2),0),"")</f>
        <v>#VALUE!</v>
      </c>
      <c r="DH273" s="1316" t="e">
        <f aca="false">IF(AND(BU273&gt;0,CO273&gt;0,DB273&gt;0,CU273&gt;0),newSPRDOPT(BU273,CO273,CW273,0,DB273,CU273,CV273,BT273*365.25,OCallPut,0),0)</f>
        <v>#VALUE!</v>
      </c>
      <c r="DI273" s="1316" t="e">
        <f aca="false">IF(AND(BV273&gt;0,CP273&gt;0,DC273&gt;0,CU273&gt;0),newSPRDOPT(BV273,CP273,CX273,0,DC273,CU273,CV273,BT273*365.25,OCallPut,0),0)</f>
        <v>#VALUE!</v>
      </c>
      <c r="DJ273" s="1316" t="e">
        <f aca="false">IF(AND(BW273&gt;0,CQ273&gt;0,DD273&gt;0,CU273&gt;0),newSPRDOPT(BW273,CQ273,CY273,0,DD273,CU273,CV273,BT273*365.25,OCallPut,0),0)</f>
        <v>#VALUE!</v>
      </c>
      <c r="DK273" s="1316" t="e">
        <f aca="false">IF(AND(BX273&gt;0,CR273&gt;0,DE273&gt;0,CU273&gt;0),newSPRDOPT(BX273,CR273,CZ273,0,DE273,CU273,CV273,BT273*365.25,OCallPut,0),0)</f>
        <v>#VALUE!</v>
      </c>
      <c r="DL273" s="1316" t="e">
        <f aca="false">IF(OVolType,IF(AND(BZ273&gt;0,CS273&gt;0,DF273&gt;0,CU273&gt;0),newSPRDOPT(BZ273,CS273,DA273,0,DF273,CU273,CV273,BT273*365.25,OCallPut,0),0),IF(BQ273,(DH273*AZ273+DI273*BA273+DJ273*BB273+DK273*BC273)/BQ273,0))</f>
        <v>#VALUE!</v>
      </c>
      <c r="DM273" s="1316"/>
      <c r="DN273" s="1316"/>
      <c r="DO273" s="1316"/>
      <c r="DP273" s="1316"/>
      <c r="DQ273" s="1316"/>
      <c r="DR273" s="1316"/>
      <c r="DS273" s="1316"/>
      <c r="DT273" s="1316"/>
      <c r="DU273" s="1316"/>
      <c r="DV273" s="1316"/>
      <c r="DW273" s="1594" t="e">
        <f aca="false">IF(AND(BW273&gt;0,CT273&gt;0,DD273&gt;0,CU273&gt;0),newSPRDOPT(BW273,CT273,CY273,0,DD273,CU273,CV273,BT273*365.25,OCallPut,0),0)</f>
        <v>#VALUE!</v>
      </c>
      <c r="DX273" s="1316" t="e">
        <f aca="false">IF(AND(BX273&gt;0,CT273&gt;0,DE273&gt;0,CU273&gt;0),newSPRDOPT(BX273,CT273,CZ273,0,DE273,CU273,CV273,BT273*365.25,OCallPut,0),0)</f>
        <v>#VALUE!</v>
      </c>
      <c r="DY273" s="1591" t="e">
        <f aca="false">IF(BS273,(DH273*BH273+DI273*BI273+DW273*BJ273+DX273*BK273)/BS273,0)</f>
        <v>#VALUE!</v>
      </c>
      <c r="DZ273" s="1551" t="e">
        <f aca="false">DH273*AZ273</f>
        <v>#VALUE!</v>
      </c>
      <c r="EA273" s="1551" t="e">
        <f aca="false">DI273*BA273</f>
        <v>#VALUE!</v>
      </c>
      <c r="EB273" s="1551" t="e">
        <f aca="false">DJ273*BB273</f>
        <v>#VALUE!</v>
      </c>
      <c r="EC273" s="1551" t="e">
        <f aca="false">DK273*BC273</f>
        <v>#VALUE!</v>
      </c>
      <c r="ED273" s="1551" t="e">
        <f aca="false">DL273*BQ273</f>
        <v>#VALUE!</v>
      </c>
      <c r="EE273" s="1595" t="e">
        <f aca="false">IF(BQ273,IF(OCallPut,IF(BU273&gt;(CO273+CW273),BU273-(CO273+CW273),0),IF((CO273+CW273)&gt;BU273,(CO273+CW273)-BU273,0))*AZ273,0)</f>
        <v>#VALUE!</v>
      </c>
      <c r="EF273" s="1596" t="e">
        <f aca="false">IF(BQ273,IF(OCallPut,IF(BV273&gt;(CP273+CX273),BV273-(CP273+CX273),0),IF((CP273+CX273)&gt;BV273,(CP273+CX273)-BV273,0))*BA273,0)</f>
        <v>#VALUE!</v>
      </c>
      <c r="EG273" s="1596" t="e">
        <f aca="false">IF(BQ273,IF(OCallPut,IF(BW273&gt;(CQ273+CY273),BW273-(CQ273+CY273),0),IF((CQ273+CY273)&gt;BW273,(CQ273+CY273)-BW273,0))*BB273,0)</f>
        <v>#VALUE!</v>
      </c>
      <c r="EH273" s="1596" t="e">
        <f aca="false">IF(BQ273,IF(OCallPut,IF(BX273&gt;(CR273+CZ273),BX273-(CR273+CZ273),0),IF((CR273+CZ273)&gt;BX273,(CR273+CZ273)-BX273,0))*BC273,0)</f>
        <v>#VALUE!</v>
      </c>
      <c r="EI273" s="1597" t="e">
        <f aca="false">IF(BQ273,IF(OVolType,IF(OCallPut,IF(BZ273&gt;(CS273+DA273),BZ273-(CS273+DA273),0),IF((CS273+DA273)&gt;BZ273,(CS273+DA273)-BZ273,0))*BQ273,SUM(EE273:EH273)),0)</f>
        <v>#VALUE!</v>
      </c>
      <c r="EJ273" s="1595" t="e">
        <f aca="false">DZ273-EE273</f>
        <v>#VALUE!</v>
      </c>
      <c r="EK273" s="1596" t="e">
        <f aca="false">EA273-EF273</f>
        <v>#VALUE!</v>
      </c>
      <c r="EL273" s="1596" t="e">
        <f aca="false">EB273-EG273</f>
        <v>#VALUE!</v>
      </c>
      <c r="EM273" s="1596" t="e">
        <f aca="false">EC273-EH273</f>
        <v>#VALUE!</v>
      </c>
      <c r="EN273" s="1597" t="e">
        <f aca="false">ED273-EI273</f>
        <v>#VALUE!</v>
      </c>
      <c r="EO273" s="1551" t="e">
        <f aca="false">DH273*BH273</f>
        <v>#VALUE!</v>
      </c>
      <c r="EP273" s="1551" t="e">
        <f aca="false">DI273*BI273</f>
        <v>#VALUE!</v>
      </c>
      <c r="EQ273" s="1551" t="e">
        <f aca="false">DW273*BJ273</f>
        <v>#VALUE!</v>
      </c>
      <c r="ER273" s="1551" t="e">
        <f aca="false">DX273*BK273</f>
        <v>#VALUE!</v>
      </c>
      <c r="ES273" s="1551" t="e">
        <f aca="false">DY273*BS273</f>
        <v>#VALUE!</v>
      </c>
      <c r="ET273" s="1566" t="e">
        <f aca="false">IF(EI273,IF(OCallPut,IF(CA273&gt;(CT273+CW273),CA273-(CT273+CW273),0),IF((CT273+CW273)&gt;CA273,(CT273+CW273)-CA273,0))*BH273,0)</f>
        <v>#VALUE!</v>
      </c>
      <c r="EU273" s="1551" t="e">
        <f aca="false">IF(EI273,IF(OCallPut,IF(CB273&gt;(CT273+CX273),CB273-(CT273+CX273),0),IF((CT273+CX273)&gt;CB273,(CT273+CX273)-CB273,0))*BI273,0)</f>
        <v>#VALUE!</v>
      </c>
      <c r="EV273" s="1551" t="e">
        <f aca="false">IF(EI273,IF(OCallPut,IF(CC273&gt;(CT273+CY273),CC273-(CT273+CY273),0),IF((CT273+CY273)&gt;CC273,(CT273+CY273)-CC273,0))*BJ273,0)</f>
        <v>#VALUE!</v>
      </c>
      <c r="EW273" s="1551" t="e">
        <f aca="false">IF(EI273,IF(OCallPut,IF(CD273&gt;(CT273+CZ273),CD273-(CT273+CZ273),0),IF((CT273+CZ273)&gt;CD273,(CT273+CZ273)-CD273,0))*BK273,0)</f>
        <v>#VALUE!</v>
      </c>
      <c r="EX273" s="1558" t="e">
        <f aca="false">IF(EI273,SUM(ET273:EW273),0)</f>
        <v>#VALUE!</v>
      </c>
      <c r="EY273" s="1551" t="e">
        <f aca="false">EO273-ET273</f>
        <v>#VALUE!</v>
      </c>
      <c r="EZ273" s="1551" t="e">
        <f aca="false">EP273-EU273</f>
        <v>#VALUE!</v>
      </c>
      <c r="FA273" s="1551" t="e">
        <f aca="false">EQ273-EV273</f>
        <v>#VALUE!</v>
      </c>
      <c r="FB273" s="1551" t="e">
        <f aca="false">ER273-EW273</f>
        <v>#VALUE!</v>
      </c>
      <c r="FC273" s="1551" t="e">
        <f aca="false">ES273-EX273</f>
        <v>#VALUE!</v>
      </c>
      <c r="FD273" s="1525" t="n">
        <f aca="false">IF(AX273,IF(VLOOKUP(C273,MAIN!$L$17:$M$28,2)="Yes",VLOOKUP(CALC!B273,MAIN!$H$17:$I$20,2),0),0)</f>
        <v>0</v>
      </c>
      <c r="FE273" s="1552" t="e">
        <f aca="false">$FD273*16*AT273*(1-$AY273)</f>
        <v>#VALUE!</v>
      </c>
      <c r="FF273" s="1553" t="e">
        <f aca="false">$FD273*16*AU273*(1-$AY273)</f>
        <v>#VALUE!</v>
      </c>
      <c r="FG273" s="1553" t="e">
        <f aca="false">$FD273*16*(AV273+AW273)*(1-$AY273)</f>
        <v>#VALUE!</v>
      </c>
      <c r="FH273" s="1554" t="n">
        <f aca="false">$FD273*8*AX273*(1-$AY273)</f>
        <v>0</v>
      </c>
      <c r="FI273" s="1555" t="n">
        <f aca="false">IF(AX273,VLOOKUP(CALC!B273,MAIN!$H$17:$K$20,4),0)</f>
        <v>0</v>
      </c>
      <c r="FJ273" s="1553" t="e">
        <f aca="false">SUM(FE273:FH273)</f>
        <v>#VALUE!</v>
      </c>
      <c r="FK273" s="1556" t="e">
        <f aca="false">FI273*FJ273</f>
        <v>#VALUE!</v>
      </c>
      <c r="FL273" s="1551" t="e">
        <f aca="false">IF($EI273&gt;0,MIN(FE273,AZ273*(1+VLOOKUP($C273,WeatherCapacityAdjustment,2))),0)</f>
        <v>#VALUE!</v>
      </c>
      <c r="FM273" s="1551" t="e">
        <f aca="false">IF($EI273&gt;0,MIN(FF273,BA273*(1+VLOOKUP($C273,WeatherCapacityAdjustment,2))),0)</f>
        <v>#VALUE!</v>
      </c>
      <c r="FN273" s="1551" t="e">
        <f aca="false">IF($EI273&gt;0,MIN(FG273,BB273*(1+VLOOKUP($C273,WeatherCapacityAdjustment,2))),0)</f>
        <v>#VALUE!</v>
      </c>
      <c r="FO273" s="1564" t="e">
        <f aca="false">IF($EI273&gt;0,MIN(FH273,BC273*(1+VLOOKUP($C273,WeatherCapacityAdjustment,3))),0)</f>
        <v>#VALUE!</v>
      </c>
      <c r="FP273" s="1551" t="e">
        <f aca="false">IF(ET273&gt;0,MIN(FE273-FL273,BH273*(1+VLOOKUP($C273,WeatherCapacityAdjustment,2))),0)</f>
        <v>#VALUE!</v>
      </c>
      <c r="FQ273" s="1551" t="e">
        <f aca="false">IF(EU273&gt;0,MIN(FF273-FM273,BI273*(1+VLOOKUP($C273,WeatherCapacityAdjustment,2))),0)</f>
        <v>#VALUE!</v>
      </c>
      <c r="FR273" s="1551" t="e">
        <f aca="false">IF(EV273&gt;0,MIN(FG273-FN273,BJ273*(1+VLOOKUP($C273,WeatherCapacityAdjustment,2))),0)</f>
        <v>#VALUE!</v>
      </c>
      <c r="FS273" s="1558" t="e">
        <f aca="false">IF(EW273&gt;0,MIN(FH273-FO273,BK273*(1+VLOOKUP($C273,WeatherCapacityAdjustment,3))),0)</f>
        <v>#VALUE!</v>
      </c>
      <c r="FT273" s="1566" t="e">
        <f aca="false">IF(AND(Assumptions!$H$71="Yes",A273&gt;=Assumptions!$H$72,A273&lt;=Assumptions!$H$73),0,IF(AND($A273&gt;=Assumptions!$C$17,$A273&lt;=Assumptions!$C$18),MAX(AZ273*(1+VLOOKUP($C273,WeatherCapacityAdjustment,2))-FL273,0),0))</f>
        <v>#VALUE!</v>
      </c>
      <c r="FU273" s="1551" t="e">
        <f aca="false">IF(AND(Assumptions!$H$71="Yes",A273&gt;=Assumptions!$H$72,A273&lt;=Assumptions!$H$73),0,IF(AND($A273&gt;=Assumptions!$C$17,$A273&lt;=Assumptions!$C$18),MAX(BA273*(1+VLOOKUP($C273,WeatherCapacityAdjustment,2))-FM273,0),0))</f>
        <v>#VALUE!</v>
      </c>
      <c r="FV273" s="1551" t="e">
        <f aca="false">IF(AND(Assumptions!$H$71="Yes",A273&gt;=Assumptions!$H$72,A273&lt;=Assumptions!$H$73),0,IF(AND($A273&gt;=Assumptions!$C$17,$A273&lt;=Assumptions!$C$18),MAX(BB273*(1+VLOOKUP($C273,WeatherCapacityAdjustment,2))-FN273,0),0))</f>
        <v>#VALUE!</v>
      </c>
      <c r="FW273" s="1564" t="e">
        <f aca="false">IF(AND(Assumptions!$H$71="Yes",A273&gt;=Assumptions!$H$72,A273&lt;=Assumptions!$H$73),0,IF(AND($A273&gt;=Assumptions!$C$17,$A273&lt;=Assumptions!$C$18),MAX(BC273*(1+VLOOKUP($C273,WeatherCapacityAdjustment,3))-FO273,0),0))</f>
        <v>#VALUE!</v>
      </c>
      <c r="FX273" s="1569" t="e">
        <f aca="false">IF(AND(Assumptions!$H$71="Yes",A273&gt;=Assumptions!$H$72,A273&lt;=Assumptions!$H$73),0,IF(ET273&gt;0,MAX(BH273*(1+VLOOKUP($C273,WeatherCapacityAdjustment,2))-FP273,0),0))</f>
        <v>#VALUE!</v>
      </c>
      <c r="FY273" s="1551" t="e">
        <f aca="false">IF(AND(Assumptions!$H$71="Yes",A273&gt;=Assumptions!$H$72,A273&lt;=Assumptions!$H$73),0,IF(EU273&gt;0,MAX(BI273*(1+VLOOKUP($C273,WeatherCapacityAdjustment,3))-FQ273,0),0))</f>
        <v>#VALUE!</v>
      </c>
      <c r="FZ273" s="1551" t="e">
        <f aca="false">IF(AND(Assumptions!$H$71="Yes",A273&gt;=Assumptions!$H$72,A273&lt;=Assumptions!$H$73),0,IF(EV273&gt;0,MAX(BJ273*(1+VLOOKUP($C273,WeatherCapacityAdjustment,2))-FR273,0),0))</f>
        <v>#VALUE!</v>
      </c>
      <c r="GA273" s="1564" t="e">
        <f aca="false">IF(AND(Assumptions!$H$71="Yes",A273&gt;=Assumptions!$H$72,A273&lt;=Assumptions!$H$73),0,IF(EW273&gt;0,MAX(BK273*(1+VLOOKUP($C273,WeatherCapacityAdjustment,2))-FS273,0),0))</f>
        <v>#VALUE!</v>
      </c>
      <c r="GB273" s="1551" t="e">
        <f aca="false">SUM(FT273:GA273)</f>
        <v>#VALUE!</v>
      </c>
      <c r="GC273" s="1563" t="e">
        <f aca="false">+IF(SUM(FT273:GA273)=0,0,(SUMPRODUCT(BU273:BX273,FT273:FW273)+SUMPRODUCT(CA273:CD273,FX273:GA273))/SUM(FT273:GA273))</f>
        <v>#VALUE!</v>
      </c>
      <c r="GD273" s="1551" t="e">
        <f aca="false">(FT273*BU273+FX273*CA273+FU273*BV273+FY273*CB273+FV273*BW273+FZ273*CC273+FW273*BX273+GA273*CD273)</f>
        <v>#VALUE!</v>
      </c>
      <c r="GE273" s="1561" t="e">
        <f aca="false">+IF(BQ273,((FL273+FM273+FT273+FU273)*HeatRatePeak/1000*(1+VLOOKUP($C273,WeatherHeatRateAdjustment,2))+(FN273+FV273)*IF(EV273&gt;0,HeatRatePeak,HeatRateOffPeak)/1000*(1+VLOOKUP($C273,WeatherHeatRateAdjustment,2))+(FO273+FW273)*IF(EW273&gt;0,HeatRatePeak,HeatRateOffPeak)/1000*(1+VLOOKUP($C273,WeatherHeatRateAdjustment,3)))*(1+VLOOKUP($B273,HeatRateDegradation,$C273+1)),0)</f>
        <v>#VALUE!</v>
      </c>
      <c r="GF273" s="1562" t="e">
        <f aca="false">IF(BQ273,((FP273+FQ273+FR273+FX273+FY273+FZ273)*HeatRatePeak/1000*(1+VLOOKUP($C273,WeatherHeatRateAdjustment,2))+(FS273+GA273)*HeatRatePeak/1000*(1+VLOOKUP($C273,WeatherHeatRateAdjustment,3)))*(1+VLOOKUP($B273,HeatRateDegradation,$C273+1)),0)</f>
        <v>#VALUE!</v>
      </c>
      <c r="GG273" s="1563" t="e">
        <f aca="false">IF(BQ273,VLOOKUP(A273,GasTable,13),0)</f>
        <v>#VALUE!</v>
      </c>
      <c r="GH273" s="1564" t="e">
        <f aca="false">(GE273+GF273)*GG273</f>
        <v>#VALUE!</v>
      </c>
      <c r="GI273" s="1569" t="e">
        <f aca="false">GB273</f>
        <v>#VALUE!</v>
      </c>
      <c r="GJ273" s="1598" t="e">
        <f aca="false">+DA273</f>
        <v>#VALUE!</v>
      </c>
      <c r="GK273" s="1558" t="e">
        <f aca="false">+GI273*GJ273</f>
        <v>#VALUE!</v>
      </c>
      <c r="GL273" s="1566" t="e">
        <f aca="false">MAX(FE273-FL273-FP273,0)</f>
        <v>#VALUE!</v>
      </c>
      <c r="GM273" s="1551" t="e">
        <f aca="false">MAX(FF273-FM273-FQ273,0)</f>
        <v>#VALUE!</v>
      </c>
      <c r="GN273" s="1551" t="e">
        <f aca="false">MAX(FG273-FN273-FR273,0)</f>
        <v>#VALUE!</v>
      </c>
      <c r="GO273" s="1564" t="e">
        <f aca="false">MAX(FH273-FO273-FS273,0)</f>
        <v>#VALUE!</v>
      </c>
      <c r="GP273" s="1551" t="e">
        <f aca="false">SUM(GL273:GO273)</f>
        <v>#VALUE!</v>
      </c>
      <c r="GQ273" s="1563" t="e">
        <f aca="false">IF(SUM(GL273:GO273)=0,0,((GL273*BU273+GM273*BV273+GN273*BW273+GO273*BX273)/SUM(GL273:GO273)))</f>
        <v>#VALUE!</v>
      </c>
      <c r="GR273" s="1558" t="e">
        <f aca="false">(GL273*BU273+GM273*BV273+GN273*BW273+GO273*BX273)</f>
        <v>#VALUE!</v>
      </c>
      <c r="GS273" s="1566" t="n">
        <f aca="false">IF($A273&gt;=BegDate,Assumptions!$C$56*24*($A274-$A273)*(1-VLOOKUP($B273,MAIN!$AA$7:$AM$28,$C273+1))*(1-VLOOKUP($B273,MAIN!$AA$33:$AM$54,$C273+1)),0)*80/168</f>
        <v>249428.571428571</v>
      </c>
      <c r="GT273" s="286" t="n">
        <f aca="false">J273</f>
        <v>76.1949721738988</v>
      </c>
      <c r="GU273" s="286" t="n">
        <f aca="false">IF($A273&gt;=BegDate,VLOOKUP($A273,GasTable,13)+Assumptions!$C$58,0)</f>
        <v>4.06310600034694</v>
      </c>
      <c r="GV273" s="286" t="n">
        <f aca="false">GU273*Assumptions!$C$57/1000</f>
        <v>29.4575185025153</v>
      </c>
      <c r="GW273" s="1558" t="n">
        <f aca="false">IF(Assumptions!$C$60="Hourly",MAX(0,GS273*(GT273-GV273)),GS273*(GT273-GV273))</f>
        <v>11657656.3014622</v>
      </c>
      <c r="GX273" s="1566" t="n">
        <f aca="false">IF($A273&gt;=BegDate,Assumptions!$C$56*24*($A274-$A273)*(1-VLOOKUP($B273,MAIN!$AA$7:$AM$28,$C273+1))*(1-VLOOKUP($B273,MAIN!$AA$33:$AM$54,$C273+1)),0)*16/168</f>
        <v>49885.7142857143</v>
      </c>
      <c r="GY273" s="286" t="n">
        <f aca="false">M273</f>
        <v>76.1949721738988</v>
      </c>
      <c r="GZ273" s="286" t="n">
        <f aca="false">IF($A273&gt;=BegDate,VLOOKUP($A273,GasTable,13)+Assumptions!$C$58,0)</f>
        <v>4.06310600034694</v>
      </c>
      <c r="HA273" s="286" t="n">
        <f aca="false">GZ273*Assumptions!$C$57/1000</f>
        <v>29.4575185025153</v>
      </c>
      <c r="HB273" s="1558" t="n">
        <f aca="false">IF(Assumptions!$C$60="Hourly",MAX(0,GX273*(GY273-HA273)),GX273*(GY273-HA273))</f>
        <v>2331531.26029244</v>
      </c>
      <c r="HC273" s="1566" t="n">
        <f aca="false">IF($A273&gt;=BegDate,Assumptions!$C$56*24*($A274-$A273)*(1-VLOOKUP($B273,MAIN!$AA$7:$AM$28,$C273+1))*(1-VLOOKUP($B273,MAIN!$AA$33:$AM$54,$C273+1)),0)*16/168</f>
        <v>49885.7142857143</v>
      </c>
      <c r="HD273" s="286" t="n">
        <f aca="false">P273</f>
        <v>35.884461658224</v>
      </c>
      <c r="HE273" s="286" t="n">
        <f aca="false">IF($A273&gt;=BegDate,VLOOKUP($A273,GasTable,13)+Assumptions!$C$58,0)</f>
        <v>4.06310600034694</v>
      </c>
      <c r="HF273" s="286" t="n">
        <f aca="false">HE273*Assumptions!$C$57/1000</f>
        <v>29.4575185025153</v>
      </c>
      <c r="HG273" s="1558" t="n">
        <f aca="false">IF(Assumptions!$C$60="Hourly",MAX(0,HC273*(HD273-HF273)),HC273*(HD273-HF273))</f>
        <v>320612.649996211</v>
      </c>
      <c r="HH273" s="1566" t="n">
        <f aca="false">IF($A273&gt;=BegDate,Assumptions!$C$56*24*($A274-$A273)*(1-VLOOKUP($B273,MAIN!$AA$7:$AM$28,$C273+1))*(1-VLOOKUP($B273,MAIN!$AA$33:$AM$54,$C273+1)),0)*56/168</f>
        <v>174600</v>
      </c>
      <c r="HI273" s="286" t="n">
        <f aca="false">S273</f>
        <v>35.884461658224</v>
      </c>
      <c r="HJ273" s="286" t="n">
        <f aca="false">IF($A273&gt;=BegDate,VLOOKUP($A273,GasTable,13)+Assumptions!$C$58,0)</f>
        <v>4.06310600034694</v>
      </c>
      <c r="HK273" s="286" t="n">
        <f aca="false">HJ273*Assumptions!$C$57/1000</f>
        <v>29.4575185025153</v>
      </c>
      <c r="HL273" s="1558" t="n">
        <f aca="false">IF(Assumptions!$C$60="Hourly",MAX(0,HH273*(HI273-HK273)),HH273*(HI273-HK273))</f>
        <v>1122144.27498674</v>
      </c>
      <c r="HM273" s="1566" t="n">
        <f aca="false">IF(AND(Assumptions!$H$71="Yes",A273&gt;=Assumptions!$H$72,A273&lt;=Assumptions!$H$73),Assumptions!$H$74*Assumptions!$C$9*1000,0)</f>
        <v>0</v>
      </c>
      <c r="HN273" s="1551"/>
      <c r="HO273" s="1563"/>
      <c r="HP273" s="1563"/>
      <c r="HQ273" s="1563"/>
      <c r="HR273" s="1563"/>
      <c r="HS273" s="1563"/>
      <c r="HT273" s="1563"/>
      <c r="HU273" s="1563"/>
      <c r="HV273" s="1563"/>
      <c r="HW273" s="1563"/>
      <c r="HX273" s="1563"/>
      <c r="HY273" s="1563"/>
      <c r="HZ273" s="1563"/>
      <c r="IA273" s="1563"/>
      <c r="IB273" s="1563"/>
      <c r="IC273" s="1563"/>
      <c r="ID273" s="1563"/>
      <c r="IE273" s="1563"/>
      <c r="IF273" s="1563"/>
      <c r="IG273" s="1563"/>
      <c r="IH273" s="1563"/>
      <c r="II273" s="1610"/>
      <c r="IJ273" s="1309"/>
      <c r="IK273" s="1309"/>
    </row>
    <row r="274" customFormat="false" ht="12.75" hidden="false" customHeight="false" outlineLevel="0" collapsed="false">
      <c r="A274" s="1571" t="n">
        <f aca="false">EOMONTH(A273,0)+1</f>
        <v>44470</v>
      </c>
      <c r="B274" s="594" t="n">
        <f aca="false">+YEAR(A274)</f>
        <v>2021</v>
      </c>
      <c r="C274" s="238" t="n">
        <f aca="false">MONTH(A274)</f>
        <v>10</v>
      </c>
      <c r="D274" s="1572" t="e">
        <f aca="false">IF(E274="","",Holiday(B274,C274))</f>
        <v>#VALUE!</v>
      </c>
      <c r="E274" s="1573" t="n">
        <f aca="false">IF(OR(BegDate&gt;=A275,EndDate&lt;A274,AND(VolumeMonthlyOverFlag,INDEX(VolumeMonthlyOver,C274)=0),NOT(INDEX(MonthKnockOutTable,C274))),"",MAX(A274,BegDate))</f>
        <v>44470</v>
      </c>
      <c r="F274" s="1574" t="n">
        <f aca="false">IF(E274="","",MIN(A275-1,EndDate))</f>
        <v>44500</v>
      </c>
      <c r="G274" s="1575" t="n">
        <v>0</v>
      </c>
      <c r="H274" s="1576" t="n">
        <f aca="false">(1+G274/2)^(-2*(DATE(B275,C275,20)-DateToday)/365.25)</f>
        <v>1</v>
      </c>
      <c r="I274" s="1568" t="n">
        <f aca="false">IF(Assumptions!$L$25=4,VLOOKUP($A274,'Henwood Reference'!$E$9:$R$320,10),(VLOOKUP($A274,PriceTable,2,0)+IF(BasisNumber&lt;&gt;1,VLOOKUP($A274,BasisTable,2,0),0)+I$1)/(1-I$2))</f>
        <v>61.4713346093712</v>
      </c>
      <c r="J274" s="1568" t="n">
        <f aca="false">IF(Assumptions!$L$25=4,VLOOKUP($A274,'Henwood Reference'!$E$9:$R$320,10),(VLOOKUP($A274,PriceTable,3,0)+IF(BasisNumber&lt;&gt;1,VLOOKUP($A274,BasisTable,2,0),0)+J$1)/(1-J$2))</f>
        <v>61.4713346093712</v>
      </c>
      <c r="K274" s="1568" t="n">
        <f aca="false">IF(Assumptions!$L$25=4,VLOOKUP($A274,'Henwood Reference'!$E$9:$R$320,10),(VLOOKUP($A274,PriceTable,4,0)+IF(BasisNumber&lt;&gt;1,VLOOKUP($A274,BasisTable,2,0),0)+K$1)/(1-K$2))</f>
        <v>61.4713346093712</v>
      </c>
      <c r="L274" s="1523" t="n">
        <f aca="false">IF(Assumptions!$L$25=4,VLOOKUP($A274,'Henwood Reference'!$E$9:$R$320,10),(VLOOKUP($A274,PriceTableWeekend,2,0)+IF(BasisNumber&lt;&gt;1,VLOOKUP($A274,BasisTable,2,0),0)+L$1)/(1-L$2))</f>
        <v>61.4713346093712</v>
      </c>
      <c r="M274" s="1568" t="n">
        <f aca="false">IF(Assumptions!$L$25=4,VLOOKUP($A274,'Henwood Reference'!$E$9:$R$320,10),(VLOOKUP($A274,PriceTableWeekend,3,0)+IF(BasisNumber&lt;&gt;1,VLOOKUP($A274,BasisTable,2,0),0)+M$1)/(1-M$2))</f>
        <v>61.4713346093712</v>
      </c>
      <c r="N274" s="1599" t="n">
        <f aca="false">IF(Assumptions!$L$25=4,VLOOKUP($A274,'Henwood Reference'!$E$9:$R$320,10),(VLOOKUP($A274,PriceTableWeekend,4,0)+IF(BasisNumber&lt;&gt;1,VLOOKUP($A274,BasisTable,2,0),0)+N$1)/(1-N$2))</f>
        <v>61.4713346093712</v>
      </c>
      <c r="O274" s="1568" t="n">
        <f aca="false">IF(Assumptions!$L$25=4,VLOOKUP($A274,'Henwood Reference'!$E$9:$R$320,11),(VLOOKUP($A274,PriceTableWeekend,6,0)+IF(BasisNumber&lt;&gt;1,VLOOKUP($A274,BasisTable,3,0),0)+O$1)/(1-O$2))</f>
        <v>34.2260195447309</v>
      </c>
      <c r="P274" s="1568" t="n">
        <f aca="false">IF(Assumptions!$L$25=4,VLOOKUP($A274,'Henwood Reference'!$E$9:$R$320,11),(VLOOKUP($A274,PriceTableWeekend,7,0)+IF(BasisNumber&lt;&gt;1,VLOOKUP($A274,BasisTable,3,0),0)+P$1)/(1-P$2))</f>
        <v>34.2260195447309</v>
      </c>
      <c r="Q274" s="1599" t="n">
        <f aca="false">IF(Assumptions!$L$25=4,VLOOKUP($A274,'Henwood Reference'!$E$9:$R$320,11),(VLOOKUP($A274,PriceTableWeekend,8,0)+IF(BasisNumber&lt;&gt;1,VLOOKUP($A274,BasisTable,3,0),0)+Q$1)/(1-Q$2))</f>
        <v>34.2260195447309</v>
      </c>
      <c r="R274" s="1568" t="n">
        <f aca="false">IF(Assumptions!$L$25=4,VLOOKUP($A274,'Henwood Reference'!$E$9:$R$320,11),(VLOOKUP($A274,PriceTable,6,0)+IF(BasisNumber&lt;&gt;1,VLOOKUP($A274,BasisTable,3,0),0)+R$1)/(1-R$2))</f>
        <v>34.2260195447309</v>
      </c>
      <c r="S274" s="1568" t="n">
        <f aca="false">IF(Assumptions!$L$25=4,VLOOKUP($A274,'Henwood Reference'!$E$9:$R$320,11),(VLOOKUP($A274,PriceTable,7,0)+IF(BasisNumber&lt;&gt;1,VLOOKUP($A274,BasisTable,3,0),0)+S$1)/(1-S$2))</f>
        <v>34.2260195447309</v>
      </c>
      <c r="T274" s="1600" t="n">
        <f aca="false">IF(Assumptions!$L$25=4,VLOOKUP($A274,'Henwood Reference'!$E$9:$R$320,11),(VLOOKUP($A274,PriceTable,8,0)+IF(BasisNumber&lt;&gt;1,VLOOKUP($A274,BasisTable,3,0),0)+T$1)/(1-T$2))</f>
        <v>34.2260195447309</v>
      </c>
      <c r="U274" s="1513" t="n">
        <f aca="false">VLOOKUP($A274,VolatilityTable,14)</f>
        <v>0.09</v>
      </c>
      <c r="V274" s="1513" t="n">
        <f aca="false">VLOOKUP($A274,VolatilityTable,15)</f>
        <v>0.1</v>
      </c>
      <c r="W274" s="1514" t="n">
        <f aca="false">VLOOKUP($A274,VolatilityTable,16)</f>
        <v>0.11</v>
      </c>
      <c r="X274" s="1513" t="n">
        <f aca="false">VLOOKUP($A274,VolatilityTable,14)</f>
        <v>0.09</v>
      </c>
      <c r="Y274" s="1513" t="n">
        <f aca="false">VLOOKUP($A274,VolatilityTable,15)</f>
        <v>0.1</v>
      </c>
      <c r="Z274" s="1514" t="n">
        <f aca="false">VLOOKUP($A274,VolatilityTable,16)</f>
        <v>0.11</v>
      </c>
      <c r="AA274" s="1513" t="n">
        <f aca="false">VLOOKUP($A274,VolatilityTable,18)</f>
        <v>0.09</v>
      </c>
      <c r="AB274" s="1513" t="n">
        <f aca="false">VLOOKUP($A274,VolatilityTable,19)</f>
        <v>0.11</v>
      </c>
      <c r="AC274" s="1514" t="n">
        <f aca="false">VLOOKUP($A274,VolatilityTable,20)</f>
        <v>0.13</v>
      </c>
      <c r="AD274" s="1513" t="n">
        <f aca="false">VLOOKUP($A274,VolatilityTable,18)</f>
        <v>0.09</v>
      </c>
      <c r="AE274" s="1513" t="n">
        <f aca="false">VLOOKUP($A274,VolatilityTable,19)</f>
        <v>0.11</v>
      </c>
      <c r="AF274" s="1514" t="n">
        <f aca="false">VLOOKUP($A274,VolatilityTable,20)</f>
        <v>0.13</v>
      </c>
      <c r="AG274" s="1513" t="n">
        <f aca="false">VLOOKUP($A274,VolatilityTable,22)</f>
        <v>-0.1</v>
      </c>
      <c r="AH274" s="1513" t="n">
        <f aca="false">VLOOKUP($A274,VolatilityTable,23)</f>
        <v>3</v>
      </c>
      <c r="AI274" s="1514" t="n">
        <f aca="false">VLOOKUP($A274,VolatilityTable,24)</f>
        <v>0.1</v>
      </c>
      <c r="AJ274" s="1513" t="n">
        <f aca="false">VLOOKUP($A274,VolatilityTable,22)</f>
        <v>-0.1</v>
      </c>
      <c r="AK274" s="1513" t="n">
        <f aca="false">VLOOKUP($A274,VolatilityTable,23)</f>
        <v>3</v>
      </c>
      <c r="AL274" s="1514" t="n">
        <f aca="false">VLOOKUP($A274,VolatilityTable,24)</f>
        <v>0.1</v>
      </c>
      <c r="AM274" s="1513" t="n">
        <f aca="false">VLOOKUP($A274,VolatilityTable,26)</f>
        <v>-0.01</v>
      </c>
      <c r="AN274" s="1513" t="n">
        <f aca="false">VLOOKUP($A274,VolatilityTable,27)</f>
        <v>0.16</v>
      </c>
      <c r="AO274" s="1514" t="n">
        <f aca="false">VLOOKUP($A274,VolatilityTable,28)</f>
        <v>0.01</v>
      </c>
      <c r="AP274" s="1513" t="n">
        <f aca="false">VLOOKUP($A274,VolatilityTable,26)</f>
        <v>-0.01</v>
      </c>
      <c r="AQ274" s="1513" t="n">
        <f aca="false">VLOOKUP($A274,VolatilityTable,27)</f>
        <v>0.16</v>
      </c>
      <c r="AR274" s="1515" t="n">
        <f aca="false">VLOOKUP($A274,VolatilityTable,28)</f>
        <v>0.01</v>
      </c>
      <c r="AS274" s="1581" t="n">
        <f aca="false">IF(CorrPeakOffPeakOverFlag,INDEX(CorrPeakOffPeakOver,C274),CorrPeakOffPeak)</f>
        <v>0.5</v>
      </c>
      <c r="AT274" s="594" t="e">
        <f aca="false">AX274-SUM(AU274:AW274)</f>
        <v>#VALUE!</v>
      </c>
      <c r="AU274" s="238" t="e">
        <f aca="false">IF(E274="",0,INT((F274-MOD(F274,7)-E274)/7)+1-IF(AW274,IF(WEEKDAY(D274)=7,1,0),0))</f>
        <v>#VALUE!</v>
      </c>
      <c r="AV274" s="238" t="e">
        <f aca="false">IF(E274="",0,INT((F274-MOD(F274-1,7)-E274)/7)+1-IF(AW274,IF(WEEKDAY(D274)=1,1,0),0))</f>
        <v>#VALUE!</v>
      </c>
      <c r="AW274" s="238" t="e">
        <f aca="false">IF(OR(E274="",D274="",D274&lt;BegDate,D274&gt;EndDate),0,1)</f>
        <v>#VALUE!</v>
      </c>
      <c r="AX274" s="238" t="n">
        <f aca="false">IF(E274="",0,F274-E274+1)</f>
        <v>31</v>
      </c>
      <c r="AY274" s="1582" t="n">
        <f aca="false">IF(E274="",0,MIN((1-(1-VLOOKUP(B274,MAIN!$AA$7:$AM$28,C274+1))*(1-VLOOKUP(B274,MAIN!$AA$33:$AM$54,C274+1))),1))</f>
        <v>0.03</v>
      </c>
      <c r="AZ274" s="1519" t="e">
        <v>#VALUE!</v>
      </c>
      <c r="BA274" s="1520" t="e">
        <v>#VALUE!</v>
      </c>
      <c r="BB274" s="1520" t="e">
        <v>#VALUE!</v>
      </c>
      <c r="BC274" s="1583" t="e">
        <v>#VALUE!</v>
      </c>
      <c r="BD274" s="1522" t="e">
        <v>#VALUE!</v>
      </c>
      <c r="BE274" s="1523" t="e">
        <v>#VALUE!</v>
      </c>
      <c r="BF274" s="1523" t="e">
        <v>#VALUE!</v>
      </c>
      <c r="BG274" s="1584" t="e">
        <v>#VALUE!</v>
      </c>
      <c r="BH274" s="1525" t="e">
        <v>#VALUE!</v>
      </c>
      <c r="BI274" s="1520" t="e">
        <v>#VALUE!</v>
      </c>
      <c r="BJ274" s="1520" t="e">
        <v>#VALUE!</v>
      </c>
      <c r="BK274" s="1583" t="e">
        <v>#VALUE!</v>
      </c>
      <c r="BL274" s="1522" t="e">
        <v>#VALUE!</v>
      </c>
      <c r="BM274" s="1523" t="e">
        <v>#VALUE!</v>
      </c>
      <c r="BN274" s="1523" t="e">
        <v>#VALUE!</v>
      </c>
      <c r="BO274" s="1523" t="e">
        <v>#VALUE!</v>
      </c>
      <c r="BP274" s="1525" t="e">
        <f aca="false">SUM(AZ274:BB274)</f>
        <v>#VALUE!</v>
      </c>
      <c r="BQ274" s="1529" t="e">
        <f aca="false">SUM(AZ274:BC274)</f>
        <v>#VALUE!</v>
      </c>
      <c r="BR274" s="1519" t="e">
        <f aca="false">SUM(BH274:BJ274)</f>
        <v>#VALUE!</v>
      </c>
      <c r="BS274" s="1529" t="e">
        <f aca="false">SUM(BH274:BK274)</f>
        <v>#VALUE!</v>
      </c>
      <c r="BT274" s="1316" t="n">
        <f aca="false">(IF(OVolType&lt;&gt;2,A274+14,IF(OptExpDateShift,ShiftBack(A274,OptExpDateShift,D273),A274))-DateToday)/365.25</f>
        <v>21.4647501711157</v>
      </c>
      <c r="BU274" s="1585" t="e">
        <f aca="false">IF(BQ274,IF(OPriceCurve,IF(OBuySell=OCallPut,I274/(1-AY274),K274/(1-AY274)),J274/(1-AY274))*BD274,0)</f>
        <v>#VALUE!</v>
      </c>
      <c r="BV274" s="1316" t="e">
        <f aca="false">IF(BQ274,IF(OPriceCurve,IF(OBuySell=OCallPut,L274/(1-AY274),N274/(1-AY274)),M274/(1-AY274))*BE274,0)</f>
        <v>#VALUE!</v>
      </c>
      <c r="BW274" s="1316" t="e">
        <f aca="false">IF(BQ274,IF(OPriceCurve,IF(OBuySell=OCallPut,O274/(1-AY274),Q274/(1-AY274)),P274/(1-AY274))*BF274,0)</f>
        <v>#VALUE!</v>
      </c>
      <c r="BX274" s="1316" t="e">
        <f aca="false">IF(BQ274,IF(OPriceCurve,IF(OBuySell=OCallPut,R274/(1-AY274),T274/(1-AY274)),S274/(1-AY274))*BG274,0)</f>
        <v>#VALUE!</v>
      </c>
      <c r="BY274" s="1316" t="e">
        <f aca="false">IF(BP274,(BU274*AZ274+BV274*BA274+BW274*BB274)/BP274,0)</f>
        <v>#VALUE!</v>
      </c>
      <c r="BZ274" s="1316" t="e">
        <f aca="false">IF(BQ274,(BY274*BP274+BX274*BC274)/BQ274,0)</f>
        <v>#VALUE!</v>
      </c>
      <c r="CA274" s="1531" t="e">
        <f aca="false">IF(BS274,IF(OPriceCurve,IF(OBuySell=OCallPut,I274/(1-AY274),K274/(1-AY274)),J274/(1-AY274))*BL274,0)</f>
        <v>#VALUE!</v>
      </c>
      <c r="CB274" s="1316" t="e">
        <f aca="false">IF(BS274,IF(OPriceCurve,IF(OBuySell=OCallPut,L274/(1-AY274),N274/(1-AY274)),M274/(1-AY274))*BM274,0)</f>
        <v>#VALUE!</v>
      </c>
      <c r="CC274" s="1316" t="e">
        <f aca="false">IF(BS274,IF(OPriceCurve,IF(OBuySell=OCallPut,O274/(1-AY274),Q274/(1-AY274)),P274/(1-AY274))*BN274,0)</f>
        <v>#VALUE!</v>
      </c>
      <c r="CD274" s="1316" t="e">
        <f aca="false">IF(BS274,IF(OPriceCurve,IF(OBuySell=OCallPut,R274/(1-AY274),T274/(1-AY274)),S274/(1-AY274))*BO274,0)</f>
        <v>#VALUE!</v>
      </c>
      <c r="CE274" s="1316" t="e">
        <f aca="false">IF(BR274,(BU274*BH274+BV274*BI274+BW274*BJ274)/BR274,0)</f>
        <v>#VALUE!</v>
      </c>
      <c r="CF274" s="1532" t="e">
        <f aca="false">IF(BS274,(CE274*BR274+CD274*BK274)/BS274,0)</f>
        <v>#VALUE!</v>
      </c>
      <c r="CG274" s="1586" t="e">
        <f aca="false">IF(OR(BQ274,BS274),IF(OVolType&lt;&gt;2,SQRT(IF(OVolOverMonthlyPeak,OVolOverMonthlyPeak,IF(OVolCurve,IF(OBuySell,U274,W274),V274))^2*(1-15/365.25/BT274)+IF(OVolOverDailyPeak,OVolOverDailyPeak,IF(OVolCurve,IF(OBuySell,AG274,AI274),AH274))^2*15/365.25/BT274),IF(OVolOverMonthlyPeak,OVolOverMonthlyPeak,IF(OVolCurve,IF(OBuySell,U274,W274),V274))),"")</f>
        <v>#VALUE!</v>
      </c>
      <c r="CH274" s="1587" t="e">
        <f aca="false">IF(OR(BQ274,BS274),IF(OVolType&lt;&gt;2,SQRT(IF(OVolOverMonthlyPeak,OVolOverMonthlyPeak,IF(OVolCurve,IF(OBuySell,X274,Z274),Y274))^2*(1-15/365.25/BT274)+IF(OVolOverDailyPeak,OVolOverDailyPeak,IF(OVolCurve,IF(OBuySell,AJ274,AL274),AK274))^2*15/365.25/BT274),IF(OVolOverMonthlyPeak,OVolOverMonthlyPeak,IF(OVolCurve,IF(OBuySell,X274,Z274),Y274))),"")</f>
        <v>#VALUE!</v>
      </c>
      <c r="CI274" s="1587" t="e">
        <f aca="false">IF(OR(BQ274,BS274),IF(OVolType&lt;&gt;2,SQRT(IF(OVolOverMonthlyPeak,OVolOverMonthlyPeak,IF(OVolCurve,IF(OBuySell,AA274,AC274),AB274))^2*(1-15/365.25/BT274)+IF(OVolOverDailyPeak,OVolOverDailyPeak,IF(OVolCurve,IF(OBuySell,AM274,AO274),AN274))^2*15/365.25/BT274),IF(OVolOverMonthlyPeak,OVolOverMonthlyPeak,IF(OVolCurve,IF(OBuySell,AA274,AC274),AB274))),"")</f>
        <v>#VALUE!</v>
      </c>
      <c r="CJ274" s="1587" t="e">
        <f aca="false">IF(BQ274,IF(BP274,SQRT(LN(1+((BU274*AZ274)^2*(EXP(CG274^2*BT274)-1)+(BV274*BA274)^2*(EXP(CH274^2*BT274)-1)+(BW274*BB274)^2*(EXP(CI274^2*BT274)-1)+2*BU274*AZ274*BV274*BA274*(EXP(CG274*CH274*BT274)-1)+2*BV274*BA274*BW274*BB274*(EXP(CH274*CI274*BT274)-1)+2*BW274*BB274*BU274*AZ274*(EXP(CI274*CG274*BT274)-1))/(BY274*BP274)^2)/BT274),0),"")</f>
        <v>#VALUE!</v>
      </c>
      <c r="CK274" s="1587" t="e">
        <f aca="false">IF(BS274,IF(BR274,SQRT(LN(1+((CA274*BH274)^2*(EXP(CG274^2*BT274)-1)+(CB274*BI274)^2*(EXP(CH274^2*BT274)-1)+(CC274*BJ274)^2*(EXP(CI274^2*BT274)-1)+2*CA274*BH274*CB274*BI274*(EXP(CG274*CH274*BT274)-1)+2*CB274*BI274*CC274*BJ274*(EXP(CH274*CI274*BT274)-1)+2*CC274*BJ274*CA274*BH274*(EXP(CI274*CG274*BT274)-1))/(CE274*BR274)^2)/BT274),0),"")</f>
        <v>#VALUE!</v>
      </c>
      <c r="CL274" s="1587" t="e">
        <f aca="false">IF(OR(BQ274,BS274),IF(OVolType&lt;&gt;2,SQRT(IF(OVolOverMonthlyOffPeak,OVolOverMonthlyOffPeak,IF(OVolCurve,IF(OBuySell,AD274,AF274),AE274))^2*(1-15/365.25/BT274)+IF(OVolOverDailyOffPeak,OVolOverDailyOffPeak,IF(OVolCurve,IF(OBuySell,AP274,AR274),AQ274))^2*15/365.25/BT274),IF(OVolOverMonthlyOffPeak,OVolOverMonthlyOffPeak,IF(OVolCurve,IF(OBuySell,AD274,AF274),AE274))),"")</f>
        <v>#VALUE!</v>
      </c>
      <c r="CM274" s="1587" t="e">
        <f aca="false">IF(BQ274,SQRT(LN(1+((BY274*BP274)^2*(EXP(CJ274^2*BT274)-1)+(BX274*BC274)^2*(EXP(CL274^2*BT274)-1)+2*BY274*BP274*BX274*BC274*(EXP(AS274*CJ274*CL274*BT274)-1))/(BY274*BP274+BX274*BC274)^2)/BT274),"")</f>
        <v>#VALUE!</v>
      </c>
      <c r="CN274" s="1588" t="e">
        <f aca="false">IF(BS274,SQRT(LN(1+((CE274*BR274)^2*(EXP(CK274^2*BT274)-1)+(CD274*BK274)^2*(EXP(CL274^2*BT274)-1)+2*CE274*BR274*CD274*BK274*(EXP(AS274*CK274*CL274*BT274)-1))/(CE274*BR274+CD274*BK274)^2)/BT274),"")</f>
        <v>#VALUE!</v>
      </c>
      <c r="CO274" s="1531" t="e">
        <f aca="false">IF(OR(BQ274,BS274),VLOOKUP(A274,GasTable,13)*HeatRatePeak*(1+VLOOKUP($B274,HeatRateDegradation,$C274+1))/1000,0)</f>
        <v>#VALUE!</v>
      </c>
      <c r="CP274" s="1316" t="e">
        <f aca="false">IF(OR(BQ274,BS274),VLOOKUP(A274,GasTable,13)*HeatRatePeak*(1+VLOOKUP($B274,HeatRateDegradation,$C274+1))/1000,0)</f>
        <v>#VALUE!</v>
      </c>
      <c r="CQ274" s="1316" t="e">
        <f aca="false">IF(OR(BQ274,BS274),VLOOKUP(A274,GasTable,13)*IF(EV274,HeatRatePeak,HeatRateOffPeak)*(1+VLOOKUP($B274,HeatRateDegradation,$C274+1))/1000,0)</f>
        <v>#VALUE!</v>
      </c>
      <c r="CR274" s="1316" t="e">
        <f aca="false">IF(OR(BQ274,BS274),VLOOKUP(A274,GasTable,13)*IF(EW274,HeatRatePeak,HeatRateOffPeak)*(1+VLOOKUP($B274,HeatRateDegradation,$C274+1))/1000,0)</f>
        <v>#VALUE!</v>
      </c>
      <c r="CS274" s="1589" t="e">
        <f aca="false">IF(BQ274,(CO274*AZ274+CP274*BA274+CQ274*BB274+CR274*BC274)/BQ274,0)</f>
        <v>#VALUE!</v>
      </c>
      <c r="CT274" s="1316" t="e">
        <f aca="false">IF(BS274,CO274,0)</f>
        <v>#VALUE!</v>
      </c>
      <c r="CU274" s="1590" t="e">
        <f aca="false">IF(OR(BQ274,BS274),VLOOKUP(A274,GasTable,14),"")</f>
        <v>#VALUE!</v>
      </c>
      <c r="CV274" s="1568" t="e">
        <f aca="false">IF(OR(BQ274,BS274),IF(CorrPowerGasOverFlag,INDEX(CorrPowerGasOver,C274),CorrPowerGas),"")</f>
        <v>#VALUE!</v>
      </c>
      <c r="CW274" s="1316" t="e">
        <f aca="false">IF(OR($BQ274,$BS274),SpreadOptPowerMargin,0)*((1+Assumptions!$C$26)^($B274-YEAR(Assumptions!$C$17)))</f>
        <v>#VALUE!</v>
      </c>
      <c r="CX274" s="1316" t="e">
        <f aca="false">IF(OR($BQ274,$BS274),SpreadOptPowerMargin,0)*((1+Assumptions!$C$26)^($B274-YEAR(Assumptions!$C$17)))</f>
        <v>#VALUE!</v>
      </c>
      <c r="CY274" s="1316" t="e">
        <f aca="false">IF(OR($BQ274,$BS274),SpreadOptPowerMargin,0)*((1+Assumptions!$C$26)^($B274-YEAR(Assumptions!$C$17)))</f>
        <v>#VALUE!</v>
      </c>
      <c r="CZ274" s="1316" t="e">
        <f aca="false">IF(OR($BQ274,$BS274),SpreadOptPowerMargin,0)*((1+Assumptions!$C$26)^($B274-YEAR(Assumptions!$C$17)))</f>
        <v>#VALUE!</v>
      </c>
      <c r="DA274" s="1591" t="e">
        <f aca="false">IF(OR(BQ274,BS274),(CW274*(AZ274+BH274)+CX274*(BA274+BI274)+CY274*(BB274+BJ274)+CZ274*(BC274+BK274))/(BQ274+BS274),0)</f>
        <v>#VALUE!</v>
      </c>
      <c r="DB274" s="1592" t="e">
        <f aca="false">IF(OR(BQ274,BS274),CG274+IF(OVolSmile,VLOOKUP(MAX(-5,CO274+CW274-BU274),IF(OVolSmile=1,VolSmileBook,VolSmileModel),2),0),"")</f>
        <v>#VALUE!</v>
      </c>
      <c r="DC274" s="1592" t="e">
        <f aca="false">IF(OR(BQ274,BS274),CH274+IF(OVolSmile,VLOOKUP(MAX(-5,CP274+CW274-BV274),IF(OVolSmile=1,VolSmileBook,VolSmileModel),2),0),"")</f>
        <v>#VALUE!</v>
      </c>
      <c r="DD274" s="1592" t="e">
        <f aca="false">IF(OR(BQ274,BS274),CI274+IF(OVolSmile,VLOOKUP(MAX(-5,CQ274+CW274-BW274),IF(OVolSmile=1,VolSmileBook,VolSmileModel),2),0),"")</f>
        <v>#VALUE!</v>
      </c>
      <c r="DE274" s="1592" t="e">
        <f aca="false">IF(OR(BQ274,BS274),CL274+IF(OVolSmile,VLOOKUP(MAX(-5,CR274+CZ274-BX274),IF(OVolSmile=1,VolSmileBook,VolSmileModel),2),0),"")</f>
        <v>#VALUE!</v>
      </c>
      <c r="DF274" s="1592" t="e">
        <f aca="false">IF(BQ274,CM274+IF(OVolSmile,VLOOKUP(MAX(-5,CS274+DA274-BZ274),IF(OVolSmile=1,VolSmileBook,VolSmileModel),2),0),"")</f>
        <v>#VALUE!</v>
      </c>
      <c r="DG274" s="1593" t="e">
        <f aca="false">IF(BS274,CN274+IF(OVolSmile,VLOOKUP(MAX(-5,CT274+DA274-CF274),IF(OVolSmile=1,VolSmileBook,VolSmileModel),2),0),"")</f>
        <v>#VALUE!</v>
      </c>
      <c r="DH274" s="1316" t="e">
        <f aca="false">IF(AND(BU274&gt;0,CO274&gt;0,DB274&gt;0,CU274&gt;0),newSPRDOPT(BU274,CO274,CW274,0,DB274,CU274,CV274,BT274*365.25,OCallPut,0),0)</f>
        <v>#VALUE!</v>
      </c>
      <c r="DI274" s="1316" t="e">
        <f aca="false">IF(AND(BV274&gt;0,CP274&gt;0,DC274&gt;0,CU274&gt;0),newSPRDOPT(BV274,CP274,CX274,0,DC274,CU274,CV274,BT274*365.25,OCallPut,0),0)</f>
        <v>#VALUE!</v>
      </c>
      <c r="DJ274" s="1316" t="e">
        <f aca="false">IF(AND(BW274&gt;0,CQ274&gt;0,DD274&gt;0,CU274&gt;0),newSPRDOPT(BW274,CQ274,CY274,0,DD274,CU274,CV274,BT274*365.25,OCallPut,0),0)</f>
        <v>#VALUE!</v>
      </c>
      <c r="DK274" s="1316" t="e">
        <f aca="false">IF(AND(BX274&gt;0,CR274&gt;0,DE274&gt;0,CU274&gt;0),newSPRDOPT(BX274,CR274,CZ274,0,DE274,CU274,CV274,BT274*365.25,OCallPut,0),0)</f>
        <v>#VALUE!</v>
      </c>
      <c r="DL274" s="1316" t="e">
        <f aca="false">IF(OVolType,IF(AND(BZ274&gt;0,CS274&gt;0,DF274&gt;0,CU274&gt;0),newSPRDOPT(BZ274,CS274,DA274,0,DF274,CU274,CV274,BT274*365.25,OCallPut,0),0),IF(BQ274,(DH274*AZ274+DI274*BA274+DJ274*BB274+DK274*BC274)/BQ274,0))</f>
        <v>#VALUE!</v>
      </c>
      <c r="DM274" s="1316"/>
      <c r="DN274" s="1316"/>
      <c r="DO274" s="1316"/>
      <c r="DP274" s="1316"/>
      <c r="DQ274" s="1316"/>
      <c r="DR274" s="1316"/>
      <c r="DS274" s="1316"/>
      <c r="DT274" s="1316"/>
      <c r="DU274" s="1316"/>
      <c r="DV274" s="1316"/>
      <c r="DW274" s="1594" t="e">
        <f aca="false">IF(AND(BW274&gt;0,CT274&gt;0,DD274&gt;0,CU274&gt;0),newSPRDOPT(BW274,CT274,CY274,0,DD274,CU274,CV274,BT274*365.25,OCallPut,0),0)</f>
        <v>#VALUE!</v>
      </c>
      <c r="DX274" s="1316" t="e">
        <f aca="false">IF(AND(BX274&gt;0,CT274&gt;0,DE274&gt;0,CU274&gt;0),newSPRDOPT(BX274,CT274,CZ274,0,DE274,CU274,CV274,BT274*365.25,OCallPut,0),0)</f>
        <v>#VALUE!</v>
      </c>
      <c r="DY274" s="1591" t="e">
        <f aca="false">IF(BS274,(DH274*BH274+DI274*BI274+DW274*BJ274+DX274*BK274)/BS274,0)</f>
        <v>#VALUE!</v>
      </c>
      <c r="DZ274" s="1551" t="e">
        <f aca="false">DH274*AZ274</f>
        <v>#VALUE!</v>
      </c>
      <c r="EA274" s="1551" t="e">
        <f aca="false">DI274*BA274</f>
        <v>#VALUE!</v>
      </c>
      <c r="EB274" s="1551" t="e">
        <f aca="false">DJ274*BB274</f>
        <v>#VALUE!</v>
      </c>
      <c r="EC274" s="1551" t="e">
        <f aca="false">DK274*BC274</f>
        <v>#VALUE!</v>
      </c>
      <c r="ED274" s="1551" t="e">
        <f aca="false">DL274*BQ274</f>
        <v>#VALUE!</v>
      </c>
      <c r="EE274" s="1595" t="e">
        <f aca="false">IF(BQ274,IF(OCallPut,IF(BU274&gt;(CO274+CW274),BU274-(CO274+CW274),0),IF((CO274+CW274)&gt;BU274,(CO274+CW274)-BU274,0))*AZ274,0)</f>
        <v>#VALUE!</v>
      </c>
      <c r="EF274" s="1596" t="e">
        <f aca="false">IF(BQ274,IF(OCallPut,IF(BV274&gt;(CP274+CX274),BV274-(CP274+CX274),0),IF((CP274+CX274)&gt;BV274,(CP274+CX274)-BV274,0))*BA274,0)</f>
        <v>#VALUE!</v>
      </c>
      <c r="EG274" s="1596" t="e">
        <f aca="false">IF(BQ274,IF(OCallPut,IF(BW274&gt;(CQ274+CY274),BW274-(CQ274+CY274),0),IF((CQ274+CY274)&gt;BW274,(CQ274+CY274)-BW274,0))*BB274,0)</f>
        <v>#VALUE!</v>
      </c>
      <c r="EH274" s="1596" t="e">
        <f aca="false">IF(BQ274,IF(OCallPut,IF(BX274&gt;(CR274+CZ274),BX274-(CR274+CZ274),0),IF((CR274+CZ274)&gt;BX274,(CR274+CZ274)-BX274,0))*BC274,0)</f>
        <v>#VALUE!</v>
      </c>
      <c r="EI274" s="1597" t="e">
        <f aca="false">IF(BQ274,IF(OVolType,IF(OCallPut,IF(BZ274&gt;(CS274+DA274),BZ274-(CS274+DA274),0),IF((CS274+DA274)&gt;BZ274,(CS274+DA274)-BZ274,0))*BQ274,SUM(EE274:EH274)),0)</f>
        <v>#VALUE!</v>
      </c>
      <c r="EJ274" s="1595" t="e">
        <f aca="false">DZ274-EE274</f>
        <v>#VALUE!</v>
      </c>
      <c r="EK274" s="1596" t="e">
        <f aca="false">EA274-EF274</f>
        <v>#VALUE!</v>
      </c>
      <c r="EL274" s="1596" t="e">
        <f aca="false">EB274-EG274</f>
        <v>#VALUE!</v>
      </c>
      <c r="EM274" s="1596" t="e">
        <f aca="false">EC274-EH274</f>
        <v>#VALUE!</v>
      </c>
      <c r="EN274" s="1597" t="e">
        <f aca="false">ED274-EI274</f>
        <v>#VALUE!</v>
      </c>
      <c r="EO274" s="1551" t="e">
        <f aca="false">DH274*BH274</f>
        <v>#VALUE!</v>
      </c>
      <c r="EP274" s="1551" t="e">
        <f aca="false">DI274*BI274</f>
        <v>#VALUE!</v>
      </c>
      <c r="EQ274" s="1551" t="e">
        <f aca="false">DW274*BJ274</f>
        <v>#VALUE!</v>
      </c>
      <c r="ER274" s="1551" t="e">
        <f aca="false">DX274*BK274</f>
        <v>#VALUE!</v>
      </c>
      <c r="ES274" s="1551" t="e">
        <f aca="false">DY274*BS274</f>
        <v>#VALUE!</v>
      </c>
      <c r="ET274" s="1566" t="e">
        <f aca="false">IF(EI274,IF(OCallPut,IF(CA274&gt;(CT274+CW274),CA274-(CT274+CW274),0),IF((CT274+CW274)&gt;CA274,(CT274+CW274)-CA274,0))*BH274,0)</f>
        <v>#VALUE!</v>
      </c>
      <c r="EU274" s="1551" t="e">
        <f aca="false">IF(EI274,IF(OCallPut,IF(CB274&gt;(CT274+CX274),CB274-(CT274+CX274),0),IF((CT274+CX274)&gt;CB274,(CT274+CX274)-CB274,0))*BI274,0)</f>
        <v>#VALUE!</v>
      </c>
      <c r="EV274" s="1551" t="e">
        <f aca="false">IF(EI274,IF(OCallPut,IF(CC274&gt;(CT274+CY274),CC274-(CT274+CY274),0),IF((CT274+CY274)&gt;CC274,(CT274+CY274)-CC274,0))*BJ274,0)</f>
        <v>#VALUE!</v>
      </c>
      <c r="EW274" s="1551" t="e">
        <f aca="false">IF(EI274,IF(OCallPut,IF(CD274&gt;(CT274+CZ274),CD274-(CT274+CZ274),0),IF((CT274+CZ274)&gt;CD274,(CT274+CZ274)-CD274,0))*BK274,0)</f>
        <v>#VALUE!</v>
      </c>
      <c r="EX274" s="1558" t="e">
        <f aca="false">IF(EI274,SUM(ET274:EW274),0)</f>
        <v>#VALUE!</v>
      </c>
      <c r="EY274" s="1551" t="e">
        <f aca="false">EO274-ET274</f>
        <v>#VALUE!</v>
      </c>
      <c r="EZ274" s="1551" t="e">
        <f aca="false">EP274-EU274</f>
        <v>#VALUE!</v>
      </c>
      <c r="FA274" s="1551" t="e">
        <f aca="false">EQ274-EV274</f>
        <v>#VALUE!</v>
      </c>
      <c r="FB274" s="1551" t="e">
        <f aca="false">ER274-EW274</f>
        <v>#VALUE!</v>
      </c>
      <c r="FC274" s="1551" t="e">
        <f aca="false">ES274-EX274</f>
        <v>#VALUE!</v>
      </c>
      <c r="FD274" s="1525" t="n">
        <f aca="false">IF(AX274,IF(VLOOKUP(C274,MAIN!$L$17:$M$28,2)="Yes",VLOOKUP(CALC!B274,MAIN!$H$17:$I$20,2),0),0)</f>
        <v>0</v>
      </c>
      <c r="FE274" s="1552" t="e">
        <f aca="false">$FD274*16*AT274*(1-$AY274)</f>
        <v>#VALUE!</v>
      </c>
      <c r="FF274" s="1553" t="e">
        <f aca="false">$FD274*16*AU274*(1-$AY274)</f>
        <v>#VALUE!</v>
      </c>
      <c r="FG274" s="1553" t="e">
        <f aca="false">$FD274*16*(AV274+AW274)*(1-$AY274)</f>
        <v>#VALUE!</v>
      </c>
      <c r="FH274" s="1554" t="n">
        <f aca="false">$FD274*8*AX274*(1-$AY274)</f>
        <v>0</v>
      </c>
      <c r="FI274" s="1555" t="n">
        <f aca="false">IF(AX274,VLOOKUP(CALC!B274,MAIN!$H$17:$K$20,4),0)</f>
        <v>0</v>
      </c>
      <c r="FJ274" s="1553" t="e">
        <f aca="false">SUM(FE274:FH274)</f>
        <v>#VALUE!</v>
      </c>
      <c r="FK274" s="1556" t="e">
        <f aca="false">FI274*FJ274</f>
        <v>#VALUE!</v>
      </c>
      <c r="FL274" s="1551" t="e">
        <f aca="false">IF($EI274&gt;0,MIN(FE274,AZ274*(1+VLOOKUP($C274,WeatherCapacityAdjustment,2))),0)</f>
        <v>#VALUE!</v>
      </c>
      <c r="FM274" s="1551" t="e">
        <f aca="false">IF($EI274&gt;0,MIN(FF274,BA274*(1+VLOOKUP($C274,WeatherCapacityAdjustment,2))),0)</f>
        <v>#VALUE!</v>
      </c>
      <c r="FN274" s="1551" t="e">
        <f aca="false">IF($EI274&gt;0,MIN(FG274,BB274*(1+VLOOKUP($C274,WeatherCapacityAdjustment,2))),0)</f>
        <v>#VALUE!</v>
      </c>
      <c r="FO274" s="1564" t="e">
        <f aca="false">IF($EI274&gt;0,MIN(FH274,BC274*(1+VLOOKUP($C274,WeatherCapacityAdjustment,3))),0)</f>
        <v>#VALUE!</v>
      </c>
      <c r="FP274" s="1551" t="e">
        <f aca="false">IF(ET274&gt;0,MIN(FE274-FL274,BH274*(1+VLOOKUP($C274,WeatherCapacityAdjustment,2))),0)</f>
        <v>#VALUE!</v>
      </c>
      <c r="FQ274" s="1551" t="e">
        <f aca="false">IF(EU274&gt;0,MIN(FF274-FM274,BI274*(1+VLOOKUP($C274,WeatherCapacityAdjustment,2))),0)</f>
        <v>#VALUE!</v>
      </c>
      <c r="FR274" s="1551" t="e">
        <f aca="false">IF(EV274&gt;0,MIN(FG274-FN274,BJ274*(1+VLOOKUP($C274,WeatherCapacityAdjustment,2))),0)</f>
        <v>#VALUE!</v>
      </c>
      <c r="FS274" s="1558" t="e">
        <f aca="false">IF(EW274&gt;0,MIN(FH274-FO274,BK274*(1+VLOOKUP($C274,WeatherCapacityAdjustment,3))),0)</f>
        <v>#VALUE!</v>
      </c>
      <c r="FT274" s="1566" t="e">
        <f aca="false">IF(AND(Assumptions!$H$71="Yes",A274&gt;=Assumptions!$H$72,A274&lt;=Assumptions!$H$73),0,IF(AND($A274&gt;=Assumptions!$C$17,$A274&lt;=Assumptions!$C$18),MAX(AZ274*(1+VLOOKUP($C274,WeatherCapacityAdjustment,2))-FL274,0),0))</f>
        <v>#VALUE!</v>
      </c>
      <c r="FU274" s="1551" t="e">
        <f aca="false">IF(AND(Assumptions!$H$71="Yes",A274&gt;=Assumptions!$H$72,A274&lt;=Assumptions!$H$73),0,IF(AND($A274&gt;=Assumptions!$C$17,$A274&lt;=Assumptions!$C$18),MAX(BA274*(1+VLOOKUP($C274,WeatherCapacityAdjustment,2))-FM274,0),0))</f>
        <v>#VALUE!</v>
      </c>
      <c r="FV274" s="1551" t="e">
        <f aca="false">IF(AND(Assumptions!$H$71="Yes",A274&gt;=Assumptions!$H$72,A274&lt;=Assumptions!$H$73),0,IF(AND($A274&gt;=Assumptions!$C$17,$A274&lt;=Assumptions!$C$18),MAX(BB274*(1+VLOOKUP($C274,WeatherCapacityAdjustment,2))-FN274,0),0))</f>
        <v>#VALUE!</v>
      </c>
      <c r="FW274" s="1564" t="e">
        <f aca="false">IF(AND(Assumptions!$H$71="Yes",A274&gt;=Assumptions!$H$72,A274&lt;=Assumptions!$H$73),0,IF(AND($A274&gt;=Assumptions!$C$17,$A274&lt;=Assumptions!$C$18),MAX(BC274*(1+VLOOKUP($C274,WeatherCapacityAdjustment,3))-FO274,0),0))</f>
        <v>#VALUE!</v>
      </c>
      <c r="FX274" s="1569" t="e">
        <f aca="false">IF(AND(Assumptions!$H$71="Yes",A274&gt;=Assumptions!$H$72,A274&lt;=Assumptions!$H$73),0,IF(ET274&gt;0,MAX(BH274*(1+VLOOKUP($C274,WeatherCapacityAdjustment,2))-FP274,0),0))</f>
        <v>#VALUE!</v>
      </c>
      <c r="FY274" s="1551" t="e">
        <f aca="false">IF(AND(Assumptions!$H$71="Yes",A274&gt;=Assumptions!$H$72,A274&lt;=Assumptions!$H$73),0,IF(EU274&gt;0,MAX(BI274*(1+VLOOKUP($C274,WeatherCapacityAdjustment,3))-FQ274,0),0))</f>
        <v>#VALUE!</v>
      </c>
      <c r="FZ274" s="1551" t="e">
        <f aca="false">IF(AND(Assumptions!$H$71="Yes",A274&gt;=Assumptions!$H$72,A274&lt;=Assumptions!$H$73),0,IF(EV274&gt;0,MAX(BJ274*(1+VLOOKUP($C274,WeatherCapacityAdjustment,2))-FR274,0),0))</f>
        <v>#VALUE!</v>
      </c>
      <c r="GA274" s="1564" t="e">
        <f aca="false">IF(AND(Assumptions!$H$71="Yes",A274&gt;=Assumptions!$H$72,A274&lt;=Assumptions!$H$73),0,IF(EW274&gt;0,MAX(BK274*(1+VLOOKUP($C274,WeatherCapacityAdjustment,2))-FS274,0),0))</f>
        <v>#VALUE!</v>
      </c>
      <c r="GB274" s="1551" t="e">
        <f aca="false">SUM(FT274:GA274)</f>
        <v>#VALUE!</v>
      </c>
      <c r="GC274" s="1563" t="e">
        <f aca="false">+IF(SUM(FT274:GA274)=0,0,(SUMPRODUCT(BU274:BX274,FT274:FW274)+SUMPRODUCT(CA274:CD274,FX274:GA274))/SUM(FT274:GA274))</f>
        <v>#VALUE!</v>
      </c>
      <c r="GD274" s="1551" t="e">
        <f aca="false">(FT274*BU274+FX274*CA274+FU274*BV274+FY274*CB274+FV274*BW274+FZ274*CC274+FW274*BX274+GA274*CD274)</f>
        <v>#VALUE!</v>
      </c>
      <c r="GE274" s="1561" t="e">
        <f aca="false">+IF(BQ274,((FL274+FM274+FT274+FU274)*HeatRatePeak/1000*(1+VLOOKUP($C274,WeatherHeatRateAdjustment,2))+(FN274+FV274)*IF(EV274&gt;0,HeatRatePeak,HeatRateOffPeak)/1000*(1+VLOOKUP($C274,WeatherHeatRateAdjustment,2))+(FO274+FW274)*IF(EW274&gt;0,HeatRatePeak,HeatRateOffPeak)/1000*(1+VLOOKUP($C274,WeatherHeatRateAdjustment,3)))*(1+VLOOKUP($B274,HeatRateDegradation,$C274+1)),0)</f>
        <v>#VALUE!</v>
      </c>
      <c r="GF274" s="1562" t="e">
        <f aca="false">IF(BQ274,((FP274+FQ274+FR274+FX274+FY274+FZ274)*HeatRatePeak/1000*(1+VLOOKUP($C274,WeatherHeatRateAdjustment,2))+(FS274+GA274)*HeatRatePeak/1000*(1+VLOOKUP($C274,WeatherHeatRateAdjustment,3)))*(1+VLOOKUP($B274,HeatRateDegradation,$C274+1)),0)</f>
        <v>#VALUE!</v>
      </c>
      <c r="GG274" s="1563" t="e">
        <f aca="false">IF(BQ274,VLOOKUP(A274,GasTable,13),0)</f>
        <v>#VALUE!</v>
      </c>
      <c r="GH274" s="1564" t="e">
        <f aca="false">(GE274+GF274)*GG274</f>
        <v>#VALUE!</v>
      </c>
      <c r="GI274" s="1569" t="e">
        <f aca="false">GB274</f>
        <v>#VALUE!</v>
      </c>
      <c r="GJ274" s="1598" t="e">
        <f aca="false">+DA274</f>
        <v>#VALUE!</v>
      </c>
      <c r="GK274" s="1558" t="e">
        <f aca="false">+GI274*GJ274</f>
        <v>#VALUE!</v>
      </c>
      <c r="GL274" s="1566" t="e">
        <f aca="false">MAX(FE274-FL274-FP274,0)</f>
        <v>#VALUE!</v>
      </c>
      <c r="GM274" s="1551" t="e">
        <f aca="false">MAX(FF274-FM274-FQ274,0)</f>
        <v>#VALUE!</v>
      </c>
      <c r="GN274" s="1551" t="e">
        <f aca="false">MAX(FG274-FN274-FR274,0)</f>
        <v>#VALUE!</v>
      </c>
      <c r="GO274" s="1564" t="e">
        <f aca="false">MAX(FH274-FO274-FS274,0)</f>
        <v>#VALUE!</v>
      </c>
      <c r="GP274" s="1551" t="e">
        <f aca="false">SUM(GL274:GO274)</f>
        <v>#VALUE!</v>
      </c>
      <c r="GQ274" s="1563" t="e">
        <f aca="false">IF(SUM(GL274:GO274)=0,0,((GL274*BU274+GM274*BV274+GN274*BW274+GO274*BX274)/SUM(GL274:GO274)))</f>
        <v>#VALUE!</v>
      </c>
      <c r="GR274" s="1558" t="e">
        <f aca="false">(GL274*BU274+GM274*BV274+GN274*BW274+GO274*BX274)</f>
        <v>#VALUE!</v>
      </c>
      <c r="GS274" s="1566" t="n">
        <f aca="false">IF($A274&gt;=BegDate,Assumptions!$C$56*24*($A275-$A274)*(1-VLOOKUP($B274,MAIN!$AA$7:$AM$28,$C274+1))*(1-VLOOKUP($B274,MAIN!$AA$33:$AM$54,$C274+1)),0)*80/168</f>
        <v>257742.857142857</v>
      </c>
      <c r="GT274" s="286" t="n">
        <f aca="false">J274</f>
        <v>61.4713346093712</v>
      </c>
      <c r="GU274" s="286" t="n">
        <f aca="false">IF($A274&gt;=BegDate,VLOOKUP($A274,GasTable,13)+Assumptions!$C$58,0)</f>
        <v>4.23677134913256</v>
      </c>
      <c r="GV274" s="286" t="n">
        <f aca="false">GU274*Assumptions!$C$57/1000</f>
        <v>30.716592281211</v>
      </c>
      <c r="GW274" s="1558" t="n">
        <f aca="false">IF(Assumptions!$C$60="Hourly",MAX(0,GS274*(GT274-GV274)),GS274*(GT274-GV274))</f>
        <v>7926815.15835237</v>
      </c>
      <c r="GX274" s="1566" t="n">
        <f aca="false">IF($A274&gt;=BegDate,Assumptions!$C$56*24*($A275-$A274)*(1-VLOOKUP($B274,MAIN!$AA$7:$AM$28,$C274+1))*(1-VLOOKUP($B274,MAIN!$AA$33:$AM$54,$C274+1)),0)*16/168</f>
        <v>51548.5714285714</v>
      </c>
      <c r="GY274" s="286" t="n">
        <f aca="false">M274</f>
        <v>61.4713346093712</v>
      </c>
      <c r="GZ274" s="286" t="n">
        <f aca="false">IF($A274&gt;=BegDate,VLOOKUP($A274,GasTable,13)+Assumptions!$C$58,0)</f>
        <v>4.23677134913256</v>
      </c>
      <c r="HA274" s="286" t="n">
        <f aca="false">GZ274*Assumptions!$C$57/1000</f>
        <v>30.716592281211</v>
      </c>
      <c r="HB274" s="1558" t="n">
        <f aca="false">IF(Assumptions!$C$60="Hourly",MAX(0,GX274*(GY274-HA274)),GX274*(GY274-HA274))</f>
        <v>1585363.03167047</v>
      </c>
      <c r="HC274" s="1566" t="n">
        <f aca="false">IF($A274&gt;=BegDate,Assumptions!$C$56*24*($A275-$A274)*(1-VLOOKUP($B274,MAIN!$AA$7:$AM$28,$C274+1))*(1-VLOOKUP($B274,MAIN!$AA$33:$AM$54,$C274+1)),0)*16/168</f>
        <v>51548.5714285714</v>
      </c>
      <c r="HD274" s="286" t="n">
        <f aca="false">P274</f>
        <v>34.2260195447309</v>
      </c>
      <c r="HE274" s="286" t="n">
        <f aca="false">IF($A274&gt;=BegDate,VLOOKUP($A274,GasTable,13)+Assumptions!$C$58,0)</f>
        <v>4.23677134913256</v>
      </c>
      <c r="HF274" s="286" t="n">
        <f aca="false">HE274*Assumptions!$C$57/1000</f>
        <v>30.716592281211</v>
      </c>
      <c r="HG274" s="1558" t="n">
        <f aca="false">IF(Assumptions!$C$60="Hourly",MAX(0,HC274*(HD274-HF274)),HC274*(HD274-HF274))</f>
        <v>180905.961966931</v>
      </c>
      <c r="HH274" s="1566" t="n">
        <f aca="false">IF($A274&gt;=BegDate,Assumptions!$C$56*24*($A275-$A274)*(1-VLOOKUP($B274,MAIN!$AA$7:$AM$28,$C274+1))*(1-VLOOKUP($B274,MAIN!$AA$33:$AM$54,$C274+1)),0)*56/168</f>
        <v>180420</v>
      </c>
      <c r="HI274" s="286" t="n">
        <f aca="false">S274</f>
        <v>34.2260195447309</v>
      </c>
      <c r="HJ274" s="286" t="n">
        <f aca="false">IF($A274&gt;=BegDate,VLOOKUP($A274,GasTable,13)+Assumptions!$C$58,0)</f>
        <v>4.23677134913256</v>
      </c>
      <c r="HK274" s="286" t="n">
        <f aca="false">HJ274*Assumptions!$C$57/1000</f>
        <v>30.716592281211</v>
      </c>
      <c r="HL274" s="1558" t="n">
        <f aca="false">IF(Assumptions!$C$60="Hourly",MAX(0,HH274*(HI274-HK274)),HH274*(HI274-HK274))</f>
        <v>633170.86688426</v>
      </c>
      <c r="HM274" s="1566" t="n">
        <f aca="false">IF(AND(Assumptions!$H$71="Yes",A274&gt;=Assumptions!$H$72,A274&lt;=Assumptions!$H$73),Assumptions!$H$74*Assumptions!$C$9*1000,0)</f>
        <v>0</v>
      </c>
      <c r="HN274" s="1551"/>
      <c r="HO274" s="1563"/>
      <c r="HP274" s="1563"/>
      <c r="HQ274" s="1563"/>
      <c r="HR274" s="1563"/>
      <c r="HS274" s="1563"/>
      <c r="HT274" s="1563"/>
      <c r="HU274" s="1563"/>
      <c r="HV274" s="1563"/>
      <c r="HW274" s="1563"/>
      <c r="HX274" s="1563"/>
      <c r="HY274" s="1563"/>
      <c r="HZ274" s="1563"/>
      <c r="IA274" s="1563"/>
      <c r="IB274" s="1563"/>
      <c r="IC274" s="1563"/>
      <c r="ID274" s="1563"/>
      <c r="IE274" s="1563"/>
      <c r="IF274" s="1563"/>
      <c r="IG274" s="1563"/>
      <c r="IH274" s="1563"/>
      <c r="II274" s="1610"/>
      <c r="IJ274" s="1309"/>
      <c r="IK274" s="1309"/>
    </row>
    <row r="275" customFormat="false" ht="12.75" hidden="false" customHeight="false" outlineLevel="0" collapsed="false">
      <c r="A275" s="1571" t="n">
        <f aca="false">EOMONTH(A274,0)+1</f>
        <v>44501</v>
      </c>
      <c r="B275" s="594" t="n">
        <f aca="false">+YEAR(A275)</f>
        <v>2021</v>
      </c>
      <c r="C275" s="238" t="n">
        <f aca="false">MONTH(A275)</f>
        <v>11</v>
      </c>
      <c r="D275" s="1572" t="e">
        <f aca="false">IF(E275="","",Holiday(B275,C275))</f>
        <v>#VALUE!</v>
      </c>
      <c r="E275" s="1573" t="n">
        <f aca="false">IF(OR(BegDate&gt;=A276,EndDate&lt;A275,AND(VolumeMonthlyOverFlag,INDEX(VolumeMonthlyOver,C275)=0),NOT(INDEX(MonthKnockOutTable,C275))),"",MAX(A275,BegDate))</f>
        <v>44501</v>
      </c>
      <c r="F275" s="1574" t="n">
        <f aca="false">IF(E275="","",MIN(A276-1,EndDate))</f>
        <v>44530</v>
      </c>
      <c r="G275" s="1575" t="n">
        <v>0</v>
      </c>
      <c r="H275" s="1576" t="n">
        <f aca="false">(1+G275/2)^(-2*(DATE(B276,C276,20)-DateToday)/365.25)</f>
        <v>1</v>
      </c>
      <c r="I275" s="1568" t="n">
        <f aca="false">IF(Assumptions!$L$25=4,VLOOKUP($A275,'Henwood Reference'!$E$9:$R$320,10),(VLOOKUP($A275,PriceTable,2,0)+IF(BasisNumber&lt;&gt;1,VLOOKUP($A275,BasisTable,2,0),0)+I$1)/(1-I$2))</f>
        <v>63.6088788541704</v>
      </c>
      <c r="J275" s="1568" t="n">
        <f aca="false">IF(Assumptions!$L$25=4,VLOOKUP($A275,'Henwood Reference'!$E$9:$R$320,10),(VLOOKUP($A275,PriceTable,3,0)+IF(BasisNumber&lt;&gt;1,VLOOKUP($A275,BasisTable,2,0),0)+J$1)/(1-J$2))</f>
        <v>63.6088788541704</v>
      </c>
      <c r="K275" s="1568" t="n">
        <f aca="false">IF(Assumptions!$L$25=4,VLOOKUP($A275,'Henwood Reference'!$E$9:$R$320,10),(VLOOKUP($A275,PriceTable,4,0)+IF(BasisNumber&lt;&gt;1,VLOOKUP($A275,BasisTable,2,0),0)+K$1)/(1-K$2))</f>
        <v>63.6088788541704</v>
      </c>
      <c r="L275" s="1523" t="n">
        <f aca="false">IF(Assumptions!$L$25=4,VLOOKUP($A275,'Henwood Reference'!$E$9:$R$320,10),(VLOOKUP($A275,PriceTableWeekend,2,0)+IF(BasisNumber&lt;&gt;1,VLOOKUP($A275,BasisTable,2,0),0)+L$1)/(1-L$2))</f>
        <v>63.6088788541704</v>
      </c>
      <c r="M275" s="1568" t="n">
        <f aca="false">IF(Assumptions!$L$25=4,VLOOKUP($A275,'Henwood Reference'!$E$9:$R$320,10),(VLOOKUP($A275,PriceTableWeekend,3,0)+IF(BasisNumber&lt;&gt;1,VLOOKUP($A275,BasisTable,2,0),0)+M$1)/(1-M$2))</f>
        <v>63.6088788541704</v>
      </c>
      <c r="N275" s="1599" t="n">
        <f aca="false">IF(Assumptions!$L$25=4,VLOOKUP($A275,'Henwood Reference'!$E$9:$R$320,10),(VLOOKUP($A275,PriceTableWeekend,4,0)+IF(BasisNumber&lt;&gt;1,VLOOKUP($A275,BasisTable,2,0),0)+N$1)/(1-N$2))</f>
        <v>63.6088788541704</v>
      </c>
      <c r="O275" s="1568" t="n">
        <f aca="false">IF(Assumptions!$L$25=4,VLOOKUP($A275,'Henwood Reference'!$E$9:$R$320,11),(VLOOKUP($A275,PriceTableWeekend,6,0)+IF(BasisNumber&lt;&gt;1,VLOOKUP($A275,BasisTable,3,0),0)+O$1)/(1-O$2))</f>
        <v>37.1811142154287</v>
      </c>
      <c r="P275" s="1568" t="n">
        <f aca="false">IF(Assumptions!$L$25=4,VLOOKUP($A275,'Henwood Reference'!$E$9:$R$320,11),(VLOOKUP($A275,PriceTableWeekend,7,0)+IF(BasisNumber&lt;&gt;1,VLOOKUP($A275,BasisTable,3,0),0)+P$1)/(1-P$2))</f>
        <v>37.1811142154287</v>
      </c>
      <c r="Q275" s="1599" t="n">
        <f aca="false">IF(Assumptions!$L$25=4,VLOOKUP($A275,'Henwood Reference'!$E$9:$R$320,11),(VLOOKUP($A275,PriceTableWeekend,8,0)+IF(BasisNumber&lt;&gt;1,VLOOKUP($A275,BasisTable,3,0),0)+Q$1)/(1-Q$2))</f>
        <v>37.1811142154287</v>
      </c>
      <c r="R275" s="1568" t="n">
        <f aca="false">IF(Assumptions!$L$25=4,VLOOKUP($A275,'Henwood Reference'!$E$9:$R$320,11),(VLOOKUP($A275,PriceTable,6,0)+IF(BasisNumber&lt;&gt;1,VLOOKUP($A275,BasisTable,3,0),0)+R$1)/(1-R$2))</f>
        <v>37.1811142154287</v>
      </c>
      <c r="S275" s="1568" t="n">
        <f aca="false">IF(Assumptions!$L$25=4,VLOOKUP($A275,'Henwood Reference'!$E$9:$R$320,11),(VLOOKUP($A275,PriceTable,7,0)+IF(BasisNumber&lt;&gt;1,VLOOKUP($A275,BasisTable,3,0),0)+S$1)/(1-S$2))</f>
        <v>37.1811142154287</v>
      </c>
      <c r="T275" s="1600" t="n">
        <f aca="false">IF(Assumptions!$L$25=4,VLOOKUP($A275,'Henwood Reference'!$E$9:$R$320,11),(VLOOKUP($A275,PriceTable,8,0)+IF(BasisNumber&lt;&gt;1,VLOOKUP($A275,BasisTable,3,0),0)+T$1)/(1-T$2))</f>
        <v>37.1811142154287</v>
      </c>
      <c r="U275" s="1513" t="n">
        <f aca="false">VLOOKUP($A275,VolatilityTable,14)</f>
        <v>0.09</v>
      </c>
      <c r="V275" s="1513" t="n">
        <f aca="false">VLOOKUP($A275,VolatilityTable,15)</f>
        <v>0.1</v>
      </c>
      <c r="W275" s="1514" t="n">
        <f aca="false">VLOOKUP($A275,VolatilityTable,16)</f>
        <v>0.11</v>
      </c>
      <c r="X275" s="1513" t="n">
        <f aca="false">VLOOKUP($A275,VolatilityTable,14)</f>
        <v>0.09</v>
      </c>
      <c r="Y275" s="1513" t="n">
        <f aca="false">VLOOKUP($A275,VolatilityTable,15)</f>
        <v>0.1</v>
      </c>
      <c r="Z275" s="1514" t="n">
        <f aca="false">VLOOKUP($A275,VolatilityTable,16)</f>
        <v>0.11</v>
      </c>
      <c r="AA275" s="1513" t="n">
        <f aca="false">VLOOKUP($A275,VolatilityTable,18)</f>
        <v>0.09</v>
      </c>
      <c r="AB275" s="1513" t="n">
        <f aca="false">VLOOKUP($A275,VolatilityTable,19)</f>
        <v>0.11</v>
      </c>
      <c r="AC275" s="1514" t="n">
        <f aca="false">VLOOKUP($A275,VolatilityTable,20)</f>
        <v>0.13</v>
      </c>
      <c r="AD275" s="1513" t="n">
        <f aca="false">VLOOKUP($A275,VolatilityTable,18)</f>
        <v>0.09</v>
      </c>
      <c r="AE275" s="1513" t="n">
        <f aca="false">VLOOKUP($A275,VolatilityTable,19)</f>
        <v>0.11</v>
      </c>
      <c r="AF275" s="1514" t="n">
        <f aca="false">VLOOKUP($A275,VolatilityTable,20)</f>
        <v>0.13</v>
      </c>
      <c r="AG275" s="1513" t="n">
        <f aca="false">VLOOKUP($A275,VolatilityTable,22)</f>
        <v>-0.1</v>
      </c>
      <c r="AH275" s="1513" t="n">
        <f aca="false">VLOOKUP($A275,VolatilityTable,23)</f>
        <v>0.6</v>
      </c>
      <c r="AI275" s="1514" t="n">
        <f aca="false">VLOOKUP($A275,VolatilityTable,24)</f>
        <v>0.1</v>
      </c>
      <c r="AJ275" s="1513" t="n">
        <f aca="false">VLOOKUP($A275,VolatilityTable,22)</f>
        <v>-0.1</v>
      </c>
      <c r="AK275" s="1513" t="n">
        <f aca="false">VLOOKUP($A275,VolatilityTable,23)</f>
        <v>0.6</v>
      </c>
      <c r="AL275" s="1514" t="n">
        <f aca="false">VLOOKUP($A275,VolatilityTable,24)</f>
        <v>0.1</v>
      </c>
      <c r="AM275" s="1513" t="n">
        <f aca="false">VLOOKUP($A275,VolatilityTable,26)</f>
        <v>-0.01</v>
      </c>
      <c r="AN275" s="1513" t="n">
        <f aca="false">VLOOKUP($A275,VolatilityTable,27)</f>
        <v>0.16</v>
      </c>
      <c r="AO275" s="1514" t="n">
        <f aca="false">VLOOKUP($A275,VolatilityTable,28)</f>
        <v>0.01</v>
      </c>
      <c r="AP275" s="1513" t="n">
        <f aca="false">VLOOKUP($A275,VolatilityTable,26)</f>
        <v>-0.01</v>
      </c>
      <c r="AQ275" s="1513" t="n">
        <f aca="false">VLOOKUP($A275,VolatilityTable,27)</f>
        <v>0.16</v>
      </c>
      <c r="AR275" s="1515" t="n">
        <f aca="false">VLOOKUP($A275,VolatilityTable,28)</f>
        <v>0.01</v>
      </c>
      <c r="AS275" s="1581" t="n">
        <f aca="false">IF(CorrPeakOffPeakOverFlag,INDEX(CorrPeakOffPeakOver,C275),CorrPeakOffPeak)</f>
        <v>0.5</v>
      </c>
      <c r="AT275" s="594" t="e">
        <f aca="false">AX275-SUM(AU275:AW275)</f>
        <v>#VALUE!</v>
      </c>
      <c r="AU275" s="238" t="e">
        <f aca="false">IF(E275="",0,INT((F275-MOD(F275,7)-E275)/7)+1-IF(AW275,IF(WEEKDAY(D275)=7,1,0),0))</f>
        <v>#VALUE!</v>
      </c>
      <c r="AV275" s="238" t="e">
        <f aca="false">IF(E275="",0,INT((F275-MOD(F275-1,7)-E275)/7)+1-IF(AW275,IF(WEEKDAY(D275)=1,1,0),0))</f>
        <v>#VALUE!</v>
      </c>
      <c r="AW275" s="238" t="e">
        <f aca="false">IF(OR(E275="",D275="",D275&lt;BegDate,D275&gt;EndDate),0,1)</f>
        <v>#VALUE!</v>
      </c>
      <c r="AX275" s="238" t="n">
        <f aca="false">IF(E275="",0,F275-E275+1)</f>
        <v>30</v>
      </c>
      <c r="AY275" s="1582" t="n">
        <f aca="false">IF(E275="",0,MIN((1-(1-VLOOKUP(B275,MAIN!$AA$7:$AM$28,C275+1))*(1-VLOOKUP(B275,MAIN!$AA$33:$AM$54,C275+1))),1))</f>
        <v>0.03</v>
      </c>
      <c r="AZ275" s="1519" t="e">
        <v>#VALUE!</v>
      </c>
      <c r="BA275" s="1520" t="e">
        <v>#VALUE!</v>
      </c>
      <c r="BB275" s="1520" t="e">
        <v>#VALUE!</v>
      </c>
      <c r="BC275" s="1583" t="e">
        <v>#VALUE!</v>
      </c>
      <c r="BD275" s="1522" t="e">
        <v>#VALUE!</v>
      </c>
      <c r="BE275" s="1523" t="e">
        <v>#VALUE!</v>
      </c>
      <c r="BF275" s="1523" t="e">
        <v>#VALUE!</v>
      </c>
      <c r="BG275" s="1584" t="e">
        <v>#VALUE!</v>
      </c>
      <c r="BH275" s="1525" t="e">
        <v>#VALUE!</v>
      </c>
      <c r="BI275" s="1520" t="e">
        <v>#VALUE!</v>
      </c>
      <c r="BJ275" s="1520" t="e">
        <v>#VALUE!</v>
      </c>
      <c r="BK275" s="1583" t="e">
        <v>#VALUE!</v>
      </c>
      <c r="BL275" s="1522" t="e">
        <v>#VALUE!</v>
      </c>
      <c r="BM275" s="1523" t="e">
        <v>#VALUE!</v>
      </c>
      <c r="BN275" s="1523" t="e">
        <v>#VALUE!</v>
      </c>
      <c r="BO275" s="1523" t="e">
        <v>#VALUE!</v>
      </c>
      <c r="BP275" s="1525" t="e">
        <f aca="false">SUM(AZ275:BB275)</f>
        <v>#VALUE!</v>
      </c>
      <c r="BQ275" s="1529" t="e">
        <f aca="false">SUM(AZ275:BC275)</f>
        <v>#VALUE!</v>
      </c>
      <c r="BR275" s="1519" t="e">
        <f aca="false">SUM(BH275:BJ275)</f>
        <v>#VALUE!</v>
      </c>
      <c r="BS275" s="1529" t="e">
        <f aca="false">SUM(BH275:BK275)</f>
        <v>#VALUE!</v>
      </c>
      <c r="BT275" s="1316" t="n">
        <f aca="false">(IF(OVolType&lt;&gt;2,A275+14,IF(OptExpDateShift,ShiftBack(A275,OptExpDateShift,D274),A275))-DateToday)/365.25</f>
        <v>21.5496235455168</v>
      </c>
      <c r="BU275" s="1585" t="e">
        <f aca="false">IF(BQ275,IF(OPriceCurve,IF(OBuySell=OCallPut,I275/(1-AY275),K275/(1-AY275)),J275/(1-AY275))*BD275,0)</f>
        <v>#VALUE!</v>
      </c>
      <c r="BV275" s="1316" t="e">
        <f aca="false">IF(BQ275,IF(OPriceCurve,IF(OBuySell=OCallPut,L275/(1-AY275),N275/(1-AY275)),M275/(1-AY275))*BE275,0)</f>
        <v>#VALUE!</v>
      </c>
      <c r="BW275" s="1316" t="e">
        <f aca="false">IF(BQ275,IF(OPriceCurve,IF(OBuySell=OCallPut,O275/(1-AY275),Q275/(1-AY275)),P275/(1-AY275))*BF275,0)</f>
        <v>#VALUE!</v>
      </c>
      <c r="BX275" s="1316" t="e">
        <f aca="false">IF(BQ275,IF(OPriceCurve,IF(OBuySell=OCallPut,R275/(1-AY275),T275/(1-AY275)),S275/(1-AY275))*BG275,0)</f>
        <v>#VALUE!</v>
      </c>
      <c r="BY275" s="1316" t="e">
        <f aca="false">IF(BP275,(BU275*AZ275+BV275*BA275+BW275*BB275)/BP275,0)</f>
        <v>#VALUE!</v>
      </c>
      <c r="BZ275" s="1316" t="e">
        <f aca="false">IF(BQ275,(BY275*BP275+BX275*BC275)/BQ275,0)</f>
        <v>#VALUE!</v>
      </c>
      <c r="CA275" s="1531" t="e">
        <f aca="false">IF(BS275,IF(OPriceCurve,IF(OBuySell=OCallPut,I275/(1-AY275),K275/(1-AY275)),J275/(1-AY275))*BL275,0)</f>
        <v>#VALUE!</v>
      </c>
      <c r="CB275" s="1316" t="e">
        <f aca="false">IF(BS275,IF(OPriceCurve,IF(OBuySell=OCallPut,L275/(1-AY275),N275/(1-AY275)),M275/(1-AY275))*BM275,0)</f>
        <v>#VALUE!</v>
      </c>
      <c r="CC275" s="1316" t="e">
        <f aca="false">IF(BS275,IF(OPriceCurve,IF(OBuySell=OCallPut,O275/(1-AY275),Q275/(1-AY275)),P275/(1-AY275))*BN275,0)</f>
        <v>#VALUE!</v>
      </c>
      <c r="CD275" s="1316" t="e">
        <f aca="false">IF(BS275,IF(OPriceCurve,IF(OBuySell=OCallPut,R275/(1-AY275),T275/(1-AY275)),S275/(1-AY275))*BO275,0)</f>
        <v>#VALUE!</v>
      </c>
      <c r="CE275" s="1316" t="e">
        <f aca="false">IF(BR275,(BU275*BH275+BV275*BI275+BW275*BJ275)/BR275,0)</f>
        <v>#VALUE!</v>
      </c>
      <c r="CF275" s="1532" t="e">
        <f aca="false">IF(BS275,(CE275*BR275+CD275*BK275)/BS275,0)</f>
        <v>#VALUE!</v>
      </c>
      <c r="CG275" s="1586" t="e">
        <f aca="false">IF(OR(BQ275,BS275),IF(OVolType&lt;&gt;2,SQRT(IF(OVolOverMonthlyPeak,OVolOverMonthlyPeak,IF(OVolCurve,IF(OBuySell,U275,W275),V275))^2*(1-15/365.25/BT275)+IF(OVolOverDailyPeak,OVolOverDailyPeak,IF(OVolCurve,IF(OBuySell,AG275,AI275),AH275))^2*15/365.25/BT275),IF(OVolOverMonthlyPeak,OVolOverMonthlyPeak,IF(OVolCurve,IF(OBuySell,U275,W275),V275))),"")</f>
        <v>#VALUE!</v>
      </c>
      <c r="CH275" s="1587" t="e">
        <f aca="false">IF(OR(BQ275,BS275),IF(OVolType&lt;&gt;2,SQRT(IF(OVolOverMonthlyPeak,OVolOverMonthlyPeak,IF(OVolCurve,IF(OBuySell,X275,Z275),Y275))^2*(1-15/365.25/BT275)+IF(OVolOverDailyPeak,OVolOverDailyPeak,IF(OVolCurve,IF(OBuySell,AJ275,AL275),AK275))^2*15/365.25/BT275),IF(OVolOverMonthlyPeak,OVolOverMonthlyPeak,IF(OVolCurve,IF(OBuySell,X275,Z275),Y275))),"")</f>
        <v>#VALUE!</v>
      </c>
      <c r="CI275" s="1587" t="e">
        <f aca="false">IF(OR(BQ275,BS275),IF(OVolType&lt;&gt;2,SQRT(IF(OVolOverMonthlyPeak,OVolOverMonthlyPeak,IF(OVolCurve,IF(OBuySell,AA275,AC275),AB275))^2*(1-15/365.25/BT275)+IF(OVolOverDailyPeak,OVolOverDailyPeak,IF(OVolCurve,IF(OBuySell,AM275,AO275),AN275))^2*15/365.25/BT275),IF(OVolOverMonthlyPeak,OVolOverMonthlyPeak,IF(OVolCurve,IF(OBuySell,AA275,AC275),AB275))),"")</f>
        <v>#VALUE!</v>
      </c>
      <c r="CJ275" s="1587" t="e">
        <f aca="false">IF(BQ275,IF(BP275,SQRT(LN(1+((BU275*AZ275)^2*(EXP(CG275^2*BT275)-1)+(BV275*BA275)^2*(EXP(CH275^2*BT275)-1)+(BW275*BB275)^2*(EXP(CI275^2*BT275)-1)+2*BU275*AZ275*BV275*BA275*(EXP(CG275*CH275*BT275)-1)+2*BV275*BA275*BW275*BB275*(EXP(CH275*CI275*BT275)-1)+2*BW275*BB275*BU275*AZ275*(EXP(CI275*CG275*BT275)-1))/(BY275*BP275)^2)/BT275),0),"")</f>
        <v>#VALUE!</v>
      </c>
      <c r="CK275" s="1587" t="e">
        <f aca="false">IF(BS275,IF(BR275,SQRT(LN(1+((CA275*BH275)^2*(EXP(CG275^2*BT275)-1)+(CB275*BI275)^2*(EXP(CH275^2*BT275)-1)+(CC275*BJ275)^2*(EXP(CI275^2*BT275)-1)+2*CA275*BH275*CB275*BI275*(EXP(CG275*CH275*BT275)-1)+2*CB275*BI275*CC275*BJ275*(EXP(CH275*CI275*BT275)-1)+2*CC275*BJ275*CA275*BH275*(EXP(CI275*CG275*BT275)-1))/(CE275*BR275)^2)/BT275),0),"")</f>
        <v>#VALUE!</v>
      </c>
      <c r="CL275" s="1587" t="e">
        <f aca="false">IF(OR(BQ275,BS275),IF(OVolType&lt;&gt;2,SQRT(IF(OVolOverMonthlyOffPeak,OVolOverMonthlyOffPeak,IF(OVolCurve,IF(OBuySell,AD275,AF275),AE275))^2*(1-15/365.25/BT275)+IF(OVolOverDailyOffPeak,OVolOverDailyOffPeak,IF(OVolCurve,IF(OBuySell,AP275,AR275),AQ275))^2*15/365.25/BT275),IF(OVolOverMonthlyOffPeak,OVolOverMonthlyOffPeak,IF(OVolCurve,IF(OBuySell,AD275,AF275),AE275))),"")</f>
        <v>#VALUE!</v>
      </c>
      <c r="CM275" s="1587" t="e">
        <f aca="false">IF(BQ275,SQRT(LN(1+((BY275*BP275)^2*(EXP(CJ275^2*BT275)-1)+(BX275*BC275)^2*(EXP(CL275^2*BT275)-1)+2*BY275*BP275*BX275*BC275*(EXP(AS275*CJ275*CL275*BT275)-1))/(BY275*BP275+BX275*BC275)^2)/BT275),"")</f>
        <v>#VALUE!</v>
      </c>
      <c r="CN275" s="1588" t="e">
        <f aca="false">IF(BS275,SQRT(LN(1+((CE275*BR275)^2*(EXP(CK275^2*BT275)-1)+(CD275*BK275)^2*(EXP(CL275^2*BT275)-1)+2*CE275*BR275*CD275*BK275*(EXP(AS275*CK275*CL275*BT275)-1))/(CE275*BR275+CD275*BK275)^2)/BT275),"")</f>
        <v>#VALUE!</v>
      </c>
      <c r="CO275" s="1531" t="e">
        <f aca="false">IF(OR(BQ275,BS275),VLOOKUP(A275,GasTable,13)*HeatRatePeak*(1+VLOOKUP($B275,HeatRateDegradation,$C275+1))/1000,0)</f>
        <v>#VALUE!</v>
      </c>
      <c r="CP275" s="1316" t="e">
        <f aca="false">IF(OR(BQ275,BS275),VLOOKUP(A275,GasTable,13)*HeatRatePeak*(1+VLOOKUP($B275,HeatRateDegradation,$C275+1))/1000,0)</f>
        <v>#VALUE!</v>
      </c>
      <c r="CQ275" s="1316" t="e">
        <f aca="false">IF(OR(BQ275,BS275),VLOOKUP(A275,GasTable,13)*IF(EV275,HeatRatePeak,HeatRateOffPeak)*(1+VLOOKUP($B275,HeatRateDegradation,$C275+1))/1000,0)</f>
        <v>#VALUE!</v>
      </c>
      <c r="CR275" s="1316" t="e">
        <f aca="false">IF(OR(BQ275,BS275),VLOOKUP(A275,GasTable,13)*IF(EW275,HeatRatePeak,HeatRateOffPeak)*(1+VLOOKUP($B275,HeatRateDegradation,$C275+1))/1000,0)</f>
        <v>#VALUE!</v>
      </c>
      <c r="CS275" s="1589" t="e">
        <f aca="false">IF(BQ275,(CO275*AZ275+CP275*BA275+CQ275*BB275+CR275*BC275)/BQ275,0)</f>
        <v>#VALUE!</v>
      </c>
      <c r="CT275" s="1316" t="e">
        <f aca="false">IF(BS275,CO275,0)</f>
        <v>#VALUE!</v>
      </c>
      <c r="CU275" s="1590" t="e">
        <f aca="false">IF(OR(BQ275,BS275),VLOOKUP(A275,GasTable,14),"")</f>
        <v>#VALUE!</v>
      </c>
      <c r="CV275" s="1568" t="e">
        <f aca="false">IF(OR(BQ275,BS275),IF(CorrPowerGasOverFlag,INDEX(CorrPowerGasOver,C275),CorrPowerGas),"")</f>
        <v>#VALUE!</v>
      </c>
      <c r="CW275" s="1316" t="e">
        <f aca="false">IF(OR($BQ275,$BS275),SpreadOptPowerMargin,0)*((1+Assumptions!$C$26)^($B275-YEAR(Assumptions!$C$17)))</f>
        <v>#VALUE!</v>
      </c>
      <c r="CX275" s="1316" t="e">
        <f aca="false">IF(OR($BQ275,$BS275),SpreadOptPowerMargin,0)*((1+Assumptions!$C$26)^($B275-YEAR(Assumptions!$C$17)))</f>
        <v>#VALUE!</v>
      </c>
      <c r="CY275" s="1316" t="e">
        <f aca="false">IF(OR($BQ275,$BS275),SpreadOptPowerMargin,0)*((1+Assumptions!$C$26)^($B275-YEAR(Assumptions!$C$17)))</f>
        <v>#VALUE!</v>
      </c>
      <c r="CZ275" s="1316" t="e">
        <f aca="false">IF(OR($BQ275,$BS275),SpreadOptPowerMargin,0)*((1+Assumptions!$C$26)^($B275-YEAR(Assumptions!$C$17)))</f>
        <v>#VALUE!</v>
      </c>
      <c r="DA275" s="1591" t="e">
        <f aca="false">IF(OR(BQ275,BS275),(CW275*(AZ275+BH275)+CX275*(BA275+BI275)+CY275*(BB275+BJ275)+CZ275*(BC275+BK275))/(BQ275+BS275),0)</f>
        <v>#VALUE!</v>
      </c>
      <c r="DB275" s="1592" t="e">
        <f aca="false">IF(OR(BQ275,BS275),CG275+IF(OVolSmile,VLOOKUP(MAX(-5,CO275+CW275-BU275),IF(OVolSmile=1,VolSmileBook,VolSmileModel),2),0),"")</f>
        <v>#VALUE!</v>
      </c>
      <c r="DC275" s="1592" t="e">
        <f aca="false">IF(OR(BQ275,BS275),CH275+IF(OVolSmile,VLOOKUP(MAX(-5,CP275+CW275-BV275),IF(OVolSmile=1,VolSmileBook,VolSmileModel),2),0),"")</f>
        <v>#VALUE!</v>
      </c>
      <c r="DD275" s="1592" t="e">
        <f aca="false">IF(OR(BQ275,BS275),CI275+IF(OVolSmile,VLOOKUP(MAX(-5,CQ275+CW275-BW275),IF(OVolSmile=1,VolSmileBook,VolSmileModel),2),0),"")</f>
        <v>#VALUE!</v>
      </c>
      <c r="DE275" s="1592" t="e">
        <f aca="false">IF(OR(BQ275,BS275),CL275+IF(OVolSmile,VLOOKUP(MAX(-5,CR275+CZ275-BX275),IF(OVolSmile=1,VolSmileBook,VolSmileModel),2),0),"")</f>
        <v>#VALUE!</v>
      </c>
      <c r="DF275" s="1592" t="e">
        <f aca="false">IF(BQ275,CM275+IF(OVolSmile,VLOOKUP(MAX(-5,CS275+DA275-BZ275),IF(OVolSmile=1,VolSmileBook,VolSmileModel),2),0),"")</f>
        <v>#VALUE!</v>
      </c>
      <c r="DG275" s="1593" t="e">
        <f aca="false">IF(BS275,CN275+IF(OVolSmile,VLOOKUP(MAX(-5,CT275+DA275-CF275),IF(OVolSmile=1,VolSmileBook,VolSmileModel),2),0),"")</f>
        <v>#VALUE!</v>
      </c>
      <c r="DH275" s="1316" t="e">
        <f aca="false">IF(AND(BU275&gt;0,CO275&gt;0,DB275&gt;0,CU275&gt;0),newSPRDOPT(BU275,CO275,CW275,0,DB275,CU275,CV275,BT275*365.25,OCallPut,0),0)</f>
        <v>#VALUE!</v>
      </c>
      <c r="DI275" s="1316" t="e">
        <f aca="false">IF(AND(BV275&gt;0,CP275&gt;0,DC275&gt;0,CU275&gt;0),newSPRDOPT(BV275,CP275,CX275,0,DC275,CU275,CV275,BT275*365.25,OCallPut,0),0)</f>
        <v>#VALUE!</v>
      </c>
      <c r="DJ275" s="1316" t="e">
        <f aca="false">IF(AND(BW275&gt;0,CQ275&gt;0,DD275&gt;0,CU275&gt;0),newSPRDOPT(BW275,CQ275,CY275,0,DD275,CU275,CV275,BT275*365.25,OCallPut,0),0)</f>
        <v>#VALUE!</v>
      </c>
      <c r="DK275" s="1316" t="e">
        <f aca="false">IF(AND(BX275&gt;0,CR275&gt;0,DE275&gt;0,CU275&gt;0),newSPRDOPT(BX275,CR275,CZ275,0,DE275,CU275,CV275,BT275*365.25,OCallPut,0),0)</f>
        <v>#VALUE!</v>
      </c>
      <c r="DL275" s="1316" t="e">
        <f aca="false">IF(OVolType,IF(AND(BZ275&gt;0,CS275&gt;0,DF275&gt;0,CU275&gt;0),newSPRDOPT(BZ275,CS275,DA275,0,DF275,CU275,CV275,BT275*365.25,OCallPut,0),0),IF(BQ275,(DH275*AZ275+DI275*BA275+DJ275*BB275+DK275*BC275)/BQ275,0))</f>
        <v>#VALUE!</v>
      </c>
      <c r="DM275" s="1316"/>
      <c r="DN275" s="1316"/>
      <c r="DO275" s="1316"/>
      <c r="DP275" s="1316"/>
      <c r="DQ275" s="1316"/>
      <c r="DR275" s="1316"/>
      <c r="DS275" s="1316"/>
      <c r="DT275" s="1316"/>
      <c r="DU275" s="1316"/>
      <c r="DV275" s="1316"/>
      <c r="DW275" s="1594" t="e">
        <f aca="false">IF(AND(BW275&gt;0,CT275&gt;0,DD275&gt;0,CU275&gt;0),newSPRDOPT(BW275,CT275,CY275,0,DD275,CU275,CV275,BT275*365.25,OCallPut,0),0)</f>
        <v>#VALUE!</v>
      </c>
      <c r="DX275" s="1316" t="e">
        <f aca="false">IF(AND(BX275&gt;0,CT275&gt;0,DE275&gt;0,CU275&gt;0),newSPRDOPT(BX275,CT275,CZ275,0,DE275,CU275,CV275,BT275*365.25,OCallPut,0),0)</f>
        <v>#VALUE!</v>
      </c>
      <c r="DY275" s="1591" t="e">
        <f aca="false">IF(BS275,(DH275*BH275+DI275*BI275+DW275*BJ275+DX275*BK275)/BS275,0)</f>
        <v>#VALUE!</v>
      </c>
      <c r="DZ275" s="1551" t="e">
        <f aca="false">DH275*AZ275</f>
        <v>#VALUE!</v>
      </c>
      <c r="EA275" s="1551" t="e">
        <f aca="false">DI275*BA275</f>
        <v>#VALUE!</v>
      </c>
      <c r="EB275" s="1551" t="e">
        <f aca="false">DJ275*BB275</f>
        <v>#VALUE!</v>
      </c>
      <c r="EC275" s="1551" t="e">
        <f aca="false">DK275*BC275</f>
        <v>#VALUE!</v>
      </c>
      <c r="ED275" s="1551" t="e">
        <f aca="false">DL275*BQ275</f>
        <v>#VALUE!</v>
      </c>
      <c r="EE275" s="1595" t="e">
        <f aca="false">IF(BQ275,IF(OCallPut,IF(BU275&gt;(CO275+CW275),BU275-(CO275+CW275),0),IF((CO275+CW275)&gt;BU275,(CO275+CW275)-BU275,0))*AZ275,0)</f>
        <v>#VALUE!</v>
      </c>
      <c r="EF275" s="1596" t="e">
        <f aca="false">IF(BQ275,IF(OCallPut,IF(BV275&gt;(CP275+CX275),BV275-(CP275+CX275),0),IF((CP275+CX275)&gt;BV275,(CP275+CX275)-BV275,0))*BA275,0)</f>
        <v>#VALUE!</v>
      </c>
      <c r="EG275" s="1596" t="e">
        <f aca="false">IF(BQ275,IF(OCallPut,IF(BW275&gt;(CQ275+CY275),BW275-(CQ275+CY275),0),IF((CQ275+CY275)&gt;BW275,(CQ275+CY275)-BW275,0))*BB275,0)</f>
        <v>#VALUE!</v>
      </c>
      <c r="EH275" s="1596" t="e">
        <f aca="false">IF(BQ275,IF(OCallPut,IF(BX275&gt;(CR275+CZ275),BX275-(CR275+CZ275),0),IF((CR275+CZ275)&gt;BX275,(CR275+CZ275)-BX275,0))*BC275,0)</f>
        <v>#VALUE!</v>
      </c>
      <c r="EI275" s="1597" t="e">
        <f aca="false">IF(BQ275,IF(OVolType,IF(OCallPut,IF(BZ275&gt;(CS275+DA275),BZ275-(CS275+DA275),0),IF((CS275+DA275)&gt;BZ275,(CS275+DA275)-BZ275,0))*BQ275,SUM(EE275:EH275)),0)</f>
        <v>#VALUE!</v>
      </c>
      <c r="EJ275" s="1595" t="e">
        <f aca="false">DZ275-EE275</f>
        <v>#VALUE!</v>
      </c>
      <c r="EK275" s="1596" t="e">
        <f aca="false">EA275-EF275</f>
        <v>#VALUE!</v>
      </c>
      <c r="EL275" s="1596" t="e">
        <f aca="false">EB275-EG275</f>
        <v>#VALUE!</v>
      </c>
      <c r="EM275" s="1596" t="e">
        <f aca="false">EC275-EH275</f>
        <v>#VALUE!</v>
      </c>
      <c r="EN275" s="1597" t="e">
        <f aca="false">ED275-EI275</f>
        <v>#VALUE!</v>
      </c>
      <c r="EO275" s="1551" t="e">
        <f aca="false">DH275*BH275</f>
        <v>#VALUE!</v>
      </c>
      <c r="EP275" s="1551" t="e">
        <f aca="false">DI275*BI275</f>
        <v>#VALUE!</v>
      </c>
      <c r="EQ275" s="1551" t="e">
        <f aca="false">DW275*BJ275</f>
        <v>#VALUE!</v>
      </c>
      <c r="ER275" s="1551" t="e">
        <f aca="false">DX275*BK275</f>
        <v>#VALUE!</v>
      </c>
      <c r="ES275" s="1551" t="e">
        <f aca="false">DY275*BS275</f>
        <v>#VALUE!</v>
      </c>
      <c r="ET275" s="1566" t="e">
        <f aca="false">IF(EI275,IF(OCallPut,IF(CA275&gt;(CT275+CW275),CA275-(CT275+CW275),0),IF((CT275+CW275)&gt;CA275,(CT275+CW275)-CA275,0))*BH275,0)</f>
        <v>#VALUE!</v>
      </c>
      <c r="EU275" s="1551" t="e">
        <f aca="false">IF(EI275,IF(OCallPut,IF(CB275&gt;(CT275+CX275),CB275-(CT275+CX275),0),IF((CT275+CX275)&gt;CB275,(CT275+CX275)-CB275,0))*BI275,0)</f>
        <v>#VALUE!</v>
      </c>
      <c r="EV275" s="1551" t="e">
        <f aca="false">IF(EI275,IF(OCallPut,IF(CC275&gt;(CT275+CY275),CC275-(CT275+CY275),0),IF((CT275+CY275)&gt;CC275,(CT275+CY275)-CC275,0))*BJ275,0)</f>
        <v>#VALUE!</v>
      </c>
      <c r="EW275" s="1551" t="e">
        <f aca="false">IF(EI275,IF(OCallPut,IF(CD275&gt;(CT275+CZ275),CD275-(CT275+CZ275),0),IF((CT275+CZ275)&gt;CD275,(CT275+CZ275)-CD275,0))*BK275,0)</f>
        <v>#VALUE!</v>
      </c>
      <c r="EX275" s="1558" t="e">
        <f aca="false">IF(EI275,SUM(ET275:EW275),0)</f>
        <v>#VALUE!</v>
      </c>
      <c r="EY275" s="1551" t="e">
        <f aca="false">EO275-ET275</f>
        <v>#VALUE!</v>
      </c>
      <c r="EZ275" s="1551" t="e">
        <f aca="false">EP275-EU275</f>
        <v>#VALUE!</v>
      </c>
      <c r="FA275" s="1551" t="e">
        <f aca="false">EQ275-EV275</f>
        <v>#VALUE!</v>
      </c>
      <c r="FB275" s="1551" t="e">
        <f aca="false">ER275-EW275</f>
        <v>#VALUE!</v>
      </c>
      <c r="FC275" s="1551" t="e">
        <f aca="false">ES275-EX275</f>
        <v>#VALUE!</v>
      </c>
      <c r="FD275" s="1525" t="n">
        <f aca="false">IF(AX275,IF(VLOOKUP(C275,MAIN!$L$17:$M$28,2)="Yes",VLOOKUP(CALC!B275,MAIN!$H$17:$I$20,2),0),0)</f>
        <v>0</v>
      </c>
      <c r="FE275" s="1552" t="e">
        <f aca="false">$FD275*16*AT275*(1-$AY275)</f>
        <v>#VALUE!</v>
      </c>
      <c r="FF275" s="1553" t="e">
        <f aca="false">$FD275*16*AU275*(1-$AY275)</f>
        <v>#VALUE!</v>
      </c>
      <c r="FG275" s="1553" t="e">
        <f aca="false">$FD275*16*(AV275+AW275)*(1-$AY275)</f>
        <v>#VALUE!</v>
      </c>
      <c r="FH275" s="1554" t="n">
        <f aca="false">$FD275*8*AX275*(1-$AY275)</f>
        <v>0</v>
      </c>
      <c r="FI275" s="1555" t="n">
        <f aca="false">IF(AX275,VLOOKUP(CALC!B275,MAIN!$H$17:$K$20,4),0)</f>
        <v>0</v>
      </c>
      <c r="FJ275" s="1553" t="e">
        <f aca="false">SUM(FE275:FH275)</f>
        <v>#VALUE!</v>
      </c>
      <c r="FK275" s="1556" t="e">
        <f aca="false">FI275*FJ275</f>
        <v>#VALUE!</v>
      </c>
      <c r="FL275" s="1551" t="e">
        <f aca="false">IF($EI275&gt;0,MIN(FE275,AZ275*(1+VLOOKUP($C275,WeatherCapacityAdjustment,2))),0)</f>
        <v>#VALUE!</v>
      </c>
      <c r="FM275" s="1551" t="e">
        <f aca="false">IF($EI275&gt;0,MIN(FF275,BA275*(1+VLOOKUP($C275,WeatherCapacityAdjustment,2))),0)</f>
        <v>#VALUE!</v>
      </c>
      <c r="FN275" s="1551" t="e">
        <f aca="false">IF($EI275&gt;0,MIN(FG275,BB275*(1+VLOOKUP($C275,WeatherCapacityAdjustment,2))),0)</f>
        <v>#VALUE!</v>
      </c>
      <c r="FO275" s="1564" t="e">
        <f aca="false">IF($EI275&gt;0,MIN(FH275,BC275*(1+VLOOKUP($C275,WeatherCapacityAdjustment,3))),0)</f>
        <v>#VALUE!</v>
      </c>
      <c r="FP275" s="1551" t="e">
        <f aca="false">IF(ET275&gt;0,MIN(FE275-FL275,BH275*(1+VLOOKUP($C275,WeatherCapacityAdjustment,2))),0)</f>
        <v>#VALUE!</v>
      </c>
      <c r="FQ275" s="1551" t="e">
        <f aca="false">IF(EU275&gt;0,MIN(FF275-FM275,BI275*(1+VLOOKUP($C275,WeatherCapacityAdjustment,2))),0)</f>
        <v>#VALUE!</v>
      </c>
      <c r="FR275" s="1551" t="e">
        <f aca="false">IF(EV275&gt;0,MIN(FG275-FN275,BJ275*(1+VLOOKUP($C275,WeatherCapacityAdjustment,2))),0)</f>
        <v>#VALUE!</v>
      </c>
      <c r="FS275" s="1558" t="e">
        <f aca="false">IF(EW275&gt;0,MIN(FH275-FO275,BK275*(1+VLOOKUP($C275,WeatherCapacityAdjustment,3))),0)</f>
        <v>#VALUE!</v>
      </c>
      <c r="FT275" s="1566" t="e">
        <f aca="false">IF(AND(Assumptions!$H$71="Yes",A275&gt;=Assumptions!$H$72,A275&lt;=Assumptions!$H$73),0,IF(AND($A275&gt;=Assumptions!$C$17,$A275&lt;=Assumptions!$C$18),MAX(AZ275*(1+VLOOKUP($C275,WeatherCapacityAdjustment,2))-FL275,0),0))</f>
        <v>#VALUE!</v>
      </c>
      <c r="FU275" s="1551" t="e">
        <f aca="false">IF(AND(Assumptions!$H$71="Yes",A275&gt;=Assumptions!$H$72,A275&lt;=Assumptions!$H$73),0,IF(AND($A275&gt;=Assumptions!$C$17,$A275&lt;=Assumptions!$C$18),MAX(BA275*(1+VLOOKUP($C275,WeatherCapacityAdjustment,2))-FM275,0),0))</f>
        <v>#VALUE!</v>
      </c>
      <c r="FV275" s="1551" t="e">
        <f aca="false">IF(AND(Assumptions!$H$71="Yes",A275&gt;=Assumptions!$H$72,A275&lt;=Assumptions!$H$73),0,IF(AND($A275&gt;=Assumptions!$C$17,$A275&lt;=Assumptions!$C$18),MAX(BB275*(1+VLOOKUP($C275,WeatherCapacityAdjustment,2))-FN275,0),0))</f>
        <v>#VALUE!</v>
      </c>
      <c r="FW275" s="1564" t="e">
        <f aca="false">IF(AND(Assumptions!$H$71="Yes",A275&gt;=Assumptions!$H$72,A275&lt;=Assumptions!$H$73),0,IF(AND($A275&gt;=Assumptions!$C$17,$A275&lt;=Assumptions!$C$18),MAX(BC275*(1+VLOOKUP($C275,WeatherCapacityAdjustment,3))-FO275,0),0))</f>
        <v>#VALUE!</v>
      </c>
      <c r="FX275" s="1569" t="e">
        <f aca="false">IF(AND(Assumptions!$H$71="Yes",A275&gt;=Assumptions!$H$72,A275&lt;=Assumptions!$H$73),0,IF(ET275&gt;0,MAX(BH275*(1+VLOOKUP($C275,WeatherCapacityAdjustment,2))-FP275,0),0))</f>
        <v>#VALUE!</v>
      </c>
      <c r="FY275" s="1551" t="e">
        <f aca="false">IF(AND(Assumptions!$H$71="Yes",A275&gt;=Assumptions!$H$72,A275&lt;=Assumptions!$H$73),0,IF(EU275&gt;0,MAX(BI275*(1+VLOOKUP($C275,WeatherCapacityAdjustment,3))-FQ275,0),0))</f>
        <v>#VALUE!</v>
      </c>
      <c r="FZ275" s="1551" t="e">
        <f aca="false">IF(AND(Assumptions!$H$71="Yes",A275&gt;=Assumptions!$H$72,A275&lt;=Assumptions!$H$73),0,IF(EV275&gt;0,MAX(BJ275*(1+VLOOKUP($C275,WeatherCapacityAdjustment,2))-FR275,0),0))</f>
        <v>#VALUE!</v>
      </c>
      <c r="GA275" s="1564" t="e">
        <f aca="false">IF(AND(Assumptions!$H$71="Yes",A275&gt;=Assumptions!$H$72,A275&lt;=Assumptions!$H$73),0,IF(EW275&gt;0,MAX(BK275*(1+VLOOKUP($C275,WeatherCapacityAdjustment,2))-FS275,0),0))</f>
        <v>#VALUE!</v>
      </c>
      <c r="GB275" s="1551" t="e">
        <f aca="false">SUM(FT275:GA275)</f>
        <v>#VALUE!</v>
      </c>
      <c r="GC275" s="1563" t="e">
        <f aca="false">+IF(SUM(FT275:GA275)=0,0,(SUMPRODUCT(BU275:BX275,FT275:FW275)+SUMPRODUCT(CA275:CD275,FX275:GA275))/SUM(FT275:GA275))</f>
        <v>#VALUE!</v>
      </c>
      <c r="GD275" s="1551" t="e">
        <f aca="false">(FT275*BU275+FX275*CA275+FU275*BV275+FY275*CB275+FV275*BW275+FZ275*CC275+FW275*BX275+GA275*CD275)</f>
        <v>#VALUE!</v>
      </c>
      <c r="GE275" s="1561" t="e">
        <f aca="false">+IF(BQ275,((FL275+FM275+FT275+FU275)*HeatRatePeak/1000*(1+VLOOKUP($C275,WeatherHeatRateAdjustment,2))+(FN275+FV275)*IF(EV275&gt;0,HeatRatePeak,HeatRateOffPeak)/1000*(1+VLOOKUP($C275,WeatherHeatRateAdjustment,2))+(FO275+FW275)*IF(EW275&gt;0,HeatRatePeak,HeatRateOffPeak)/1000*(1+VLOOKUP($C275,WeatherHeatRateAdjustment,3)))*(1+VLOOKUP($B275,HeatRateDegradation,$C275+1)),0)</f>
        <v>#VALUE!</v>
      </c>
      <c r="GF275" s="1562" t="e">
        <f aca="false">IF(BQ275,((FP275+FQ275+FR275+FX275+FY275+FZ275)*HeatRatePeak/1000*(1+VLOOKUP($C275,WeatherHeatRateAdjustment,2))+(FS275+GA275)*HeatRatePeak/1000*(1+VLOOKUP($C275,WeatherHeatRateAdjustment,3)))*(1+VLOOKUP($B275,HeatRateDegradation,$C275+1)),0)</f>
        <v>#VALUE!</v>
      </c>
      <c r="GG275" s="1563" t="e">
        <f aca="false">IF(BQ275,VLOOKUP(A275,GasTable,13),0)</f>
        <v>#VALUE!</v>
      </c>
      <c r="GH275" s="1564" t="e">
        <f aca="false">(GE275+GF275)*GG275</f>
        <v>#VALUE!</v>
      </c>
      <c r="GI275" s="1569" t="e">
        <f aca="false">GB275</f>
        <v>#VALUE!</v>
      </c>
      <c r="GJ275" s="1598" t="e">
        <f aca="false">+DA275</f>
        <v>#VALUE!</v>
      </c>
      <c r="GK275" s="1558" t="e">
        <f aca="false">+GI275*GJ275</f>
        <v>#VALUE!</v>
      </c>
      <c r="GL275" s="1566" t="e">
        <f aca="false">MAX(FE275-FL275-FP275,0)</f>
        <v>#VALUE!</v>
      </c>
      <c r="GM275" s="1551" t="e">
        <f aca="false">MAX(FF275-FM275-FQ275,0)</f>
        <v>#VALUE!</v>
      </c>
      <c r="GN275" s="1551" t="e">
        <f aca="false">MAX(FG275-FN275-FR275,0)</f>
        <v>#VALUE!</v>
      </c>
      <c r="GO275" s="1564" t="e">
        <f aca="false">MAX(FH275-FO275-FS275,0)</f>
        <v>#VALUE!</v>
      </c>
      <c r="GP275" s="1551" t="e">
        <f aca="false">SUM(GL275:GO275)</f>
        <v>#VALUE!</v>
      </c>
      <c r="GQ275" s="1563" t="e">
        <f aca="false">IF(SUM(GL275:GO275)=0,0,((GL275*BU275+GM275*BV275+GN275*BW275+GO275*BX275)/SUM(GL275:GO275)))</f>
        <v>#VALUE!</v>
      </c>
      <c r="GR275" s="1558" t="e">
        <f aca="false">(GL275*BU275+GM275*BV275+GN275*BW275+GO275*BX275)</f>
        <v>#VALUE!</v>
      </c>
      <c r="GS275" s="1566" t="n">
        <f aca="false">IF($A275&gt;=BegDate,Assumptions!$C$56*24*($A276-$A275)*(1-VLOOKUP($B275,MAIN!$AA$7:$AM$28,$C275+1))*(1-VLOOKUP($B275,MAIN!$AA$33:$AM$54,$C275+1)),0)*80/168</f>
        <v>249428.571428571</v>
      </c>
      <c r="GT275" s="286" t="n">
        <f aca="false">J275</f>
        <v>63.6088788541704</v>
      </c>
      <c r="GU275" s="286" t="n">
        <f aca="false">IF($A275&gt;=BegDate,VLOOKUP($A275,GasTable,13)+Assumptions!$C$58,0)</f>
        <v>4.4071208917361</v>
      </c>
      <c r="GV275" s="286" t="n">
        <f aca="false">GU275*Assumptions!$C$57/1000</f>
        <v>31.9516264650867</v>
      </c>
      <c r="GW275" s="1558" t="n">
        <f aca="false">IF(Assumptions!$C$60="Hourly",MAX(0,GS275*(GT275-GV275)),GS275*(GT275-GV275))</f>
        <v>7896223.23876287</v>
      </c>
      <c r="GX275" s="1566" t="n">
        <f aca="false">IF($A275&gt;=BegDate,Assumptions!$C$56*24*($A276-$A275)*(1-VLOOKUP($B275,MAIN!$AA$7:$AM$28,$C275+1))*(1-VLOOKUP($B275,MAIN!$AA$33:$AM$54,$C275+1)),0)*16/168</f>
        <v>49885.7142857143</v>
      </c>
      <c r="GY275" s="286" t="n">
        <f aca="false">M275</f>
        <v>63.6088788541704</v>
      </c>
      <c r="GZ275" s="286" t="n">
        <f aca="false">IF($A275&gt;=BegDate,VLOOKUP($A275,GasTable,13)+Assumptions!$C$58,0)</f>
        <v>4.4071208917361</v>
      </c>
      <c r="HA275" s="286" t="n">
        <f aca="false">GZ275*Assumptions!$C$57/1000</f>
        <v>31.9516264650867</v>
      </c>
      <c r="HB275" s="1558" t="n">
        <f aca="false">IF(Assumptions!$C$60="Hourly",MAX(0,GX275*(GY275-HA275)),GX275*(GY275-HA275))</f>
        <v>1579244.64775257</v>
      </c>
      <c r="HC275" s="1566" t="n">
        <f aca="false">IF($A275&gt;=BegDate,Assumptions!$C$56*24*($A276-$A275)*(1-VLOOKUP($B275,MAIN!$AA$7:$AM$28,$C275+1))*(1-VLOOKUP($B275,MAIN!$AA$33:$AM$54,$C275+1)),0)*16/168</f>
        <v>49885.7142857143</v>
      </c>
      <c r="HD275" s="286" t="n">
        <f aca="false">P275</f>
        <v>37.1811142154287</v>
      </c>
      <c r="HE275" s="286" t="n">
        <f aca="false">IF($A275&gt;=BegDate,VLOOKUP($A275,GasTable,13)+Assumptions!$C$58,0)</f>
        <v>4.4071208917361</v>
      </c>
      <c r="HF275" s="286" t="n">
        <f aca="false">HE275*Assumptions!$C$57/1000</f>
        <v>31.9516264650867</v>
      </c>
      <c r="HG275" s="1558" t="n">
        <f aca="false">IF(Assumptions!$C$60="Hourly",MAX(0,HC275*(HD275-HF275)),HC275*(HD275-HF275))</f>
        <v>260876.731774202</v>
      </c>
      <c r="HH275" s="1566" t="n">
        <f aca="false">IF($A275&gt;=BegDate,Assumptions!$C$56*24*($A276-$A275)*(1-VLOOKUP($B275,MAIN!$AA$7:$AM$28,$C275+1))*(1-VLOOKUP($B275,MAIN!$AA$33:$AM$54,$C275+1)),0)*56/168</f>
        <v>174600</v>
      </c>
      <c r="HI275" s="286" t="n">
        <f aca="false">S275</f>
        <v>37.1811142154287</v>
      </c>
      <c r="HJ275" s="286" t="n">
        <f aca="false">IF($A275&gt;=BegDate,VLOOKUP($A275,GasTable,13)+Assumptions!$C$58,0)</f>
        <v>4.4071208917361</v>
      </c>
      <c r="HK275" s="286" t="n">
        <f aca="false">HJ275*Assumptions!$C$57/1000</f>
        <v>31.9516264650867</v>
      </c>
      <c r="HL275" s="1558" t="n">
        <f aca="false">IF(Assumptions!$C$60="Hourly",MAX(0,HH275*(HI275-HK275)),HH275*(HI275-HK275))</f>
        <v>913068.561209707</v>
      </c>
      <c r="HM275" s="1566" t="n">
        <f aca="false">IF(AND(Assumptions!$H$71="Yes",A275&gt;=Assumptions!$H$72,A275&lt;=Assumptions!$H$73),Assumptions!$H$74*Assumptions!$C$9*1000,0)</f>
        <v>0</v>
      </c>
      <c r="HN275" s="1551"/>
      <c r="HO275" s="1563"/>
      <c r="HP275" s="1563"/>
      <c r="HQ275" s="1563"/>
      <c r="HR275" s="1563"/>
      <c r="HS275" s="1563"/>
      <c r="HT275" s="1563"/>
      <c r="HU275" s="1563"/>
      <c r="HV275" s="1563"/>
      <c r="HW275" s="1563"/>
      <c r="HX275" s="1563"/>
      <c r="HY275" s="1563"/>
      <c r="HZ275" s="1563"/>
      <c r="IA275" s="1563"/>
      <c r="IB275" s="1563"/>
      <c r="IC275" s="1563"/>
      <c r="ID275" s="1563"/>
      <c r="IE275" s="1563"/>
      <c r="IF275" s="1563"/>
      <c r="IG275" s="1563"/>
      <c r="IH275" s="1563"/>
      <c r="II275" s="1610"/>
      <c r="IJ275" s="1309"/>
      <c r="IK275" s="1309"/>
    </row>
    <row r="276" customFormat="false" ht="12.75" hidden="false" customHeight="false" outlineLevel="0" collapsed="false">
      <c r="A276" s="1571" t="n">
        <f aca="false">EOMONTH(A275,0)+1</f>
        <v>44531</v>
      </c>
      <c r="B276" s="594" t="n">
        <f aca="false">+YEAR(A276)</f>
        <v>2021</v>
      </c>
      <c r="C276" s="238" t="n">
        <f aca="false">MONTH(A276)</f>
        <v>12</v>
      </c>
      <c r="D276" s="1572" t="e">
        <f aca="false">IF(E276="","",Holiday(B276,C276))</f>
        <v>#VALUE!</v>
      </c>
      <c r="E276" s="1573" t="n">
        <f aca="false">IF(OR(BegDate&gt;=A277,EndDate&lt;A276,AND(VolumeMonthlyOverFlag,INDEX(VolumeMonthlyOver,C276)=0),NOT(INDEX(MonthKnockOutTable,C276))),"",MAX(A276,BegDate))</f>
        <v>44531</v>
      </c>
      <c r="F276" s="1574" t="n">
        <f aca="false">IF(E276="","",MIN(A277-1,EndDate))</f>
        <v>44561</v>
      </c>
      <c r="G276" s="1575" t="n">
        <v>0</v>
      </c>
      <c r="H276" s="1576" t="n">
        <f aca="false">(1+G276/2)^(-2*(DATE(B277,C277,20)-DateToday)/365.25)</f>
        <v>1</v>
      </c>
      <c r="I276" s="1568" t="n">
        <f aca="false">IF(Assumptions!$L$25=4,VLOOKUP($A276,'Henwood Reference'!$E$9:$R$320,10),(VLOOKUP($A276,PriceTable,2,0)+IF(BasisNumber&lt;&gt;1,VLOOKUP($A276,BasisTable,2,0),0)+I$1)/(1-I$2))</f>
        <v>60.5784555661809</v>
      </c>
      <c r="J276" s="1568" t="n">
        <f aca="false">IF(Assumptions!$L$25=4,VLOOKUP($A276,'Henwood Reference'!$E$9:$R$320,10),(VLOOKUP($A276,PriceTable,3,0)+IF(BasisNumber&lt;&gt;1,VLOOKUP($A276,BasisTable,2,0),0)+J$1)/(1-J$2))</f>
        <v>60.5784555661809</v>
      </c>
      <c r="K276" s="1568" t="n">
        <f aca="false">IF(Assumptions!$L$25=4,VLOOKUP($A276,'Henwood Reference'!$E$9:$R$320,10),(VLOOKUP($A276,PriceTable,4,0)+IF(BasisNumber&lt;&gt;1,VLOOKUP($A276,BasisTable,2,0),0)+K$1)/(1-K$2))</f>
        <v>60.5784555661809</v>
      </c>
      <c r="L276" s="1523" t="n">
        <f aca="false">IF(Assumptions!$L$25=4,VLOOKUP($A276,'Henwood Reference'!$E$9:$R$320,10),(VLOOKUP($A276,PriceTableWeekend,2,0)+IF(BasisNumber&lt;&gt;1,VLOOKUP($A276,BasisTable,2,0),0)+L$1)/(1-L$2))</f>
        <v>60.5784555661809</v>
      </c>
      <c r="M276" s="1568" t="n">
        <f aca="false">IF(Assumptions!$L$25=4,VLOOKUP($A276,'Henwood Reference'!$E$9:$R$320,10),(VLOOKUP($A276,PriceTableWeekend,3,0)+IF(BasisNumber&lt;&gt;1,VLOOKUP($A276,BasisTable,2,0),0)+M$1)/(1-M$2))</f>
        <v>60.5784555661809</v>
      </c>
      <c r="N276" s="1599" t="n">
        <f aca="false">IF(Assumptions!$L$25=4,VLOOKUP($A276,'Henwood Reference'!$E$9:$R$320,10),(VLOOKUP($A276,PriceTableWeekend,4,0)+IF(BasisNumber&lt;&gt;1,VLOOKUP($A276,BasisTable,2,0),0)+N$1)/(1-N$2))</f>
        <v>60.5784555661809</v>
      </c>
      <c r="O276" s="1568" t="n">
        <f aca="false">IF(Assumptions!$L$25=4,VLOOKUP($A276,'Henwood Reference'!$E$9:$R$320,11),(VLOOKUP($A276,PriceTableWeekend,6,0)+IF(BasisNumber&lt;&gt;1,VLOOKUP($A276,BasisTable,3,0),0)+O$1)/(1-O$2))</f>
        <v>37.9650168484927</v>
      </c>
      <c r="P276" s="1568" t="n">
        <f aca="false">IF(Assumptions!$L$25=4,VLOOKUP($A276,'Henwood Reference'!$E$9:$R$320,11),(VLOOKUP($A276,PriceTableWeekend,7,0)+IF(BasisNumber&lt;&gt;1,VLOOKUP($A276,BasisTable,3,0),0)+P$1)/(1-P$2))</f>
        <v>37.9650168484927</v>
      </c>
      <c r="Q276" s="1599" t="n">
        <f aca="false">IF(Assumptions!$L$25=4,VLOOKUP($A276,'Henwood Reference'!$E$9:$R$320,11),(VLOOKUP($A276,PriceTableWeekend,8,0)+IF(BasisNumber&lt;&gt;1,VLOOKUP($A276,BasisTable,3,0),0)+Q$1)/(1-Q$2))</f>
        <v>37.9650168484927</v>
      </c>
      <c r="R276" s="1568" t="n">
        <f aca="false">IF(Assumptions!$L$25=4,VLOOKUP($A276,'Henwood Reference'!$E$9:$R$320,11),(VLOOKUP($A276,PriceTable,6,0)+IF(BasisNumber&lt;&gt;1,VLOOKUP($A276,BasisTable,3,0),0)+R$1)/(1-R$2))</f>
        <v>37.9650168484927</v>
      </c>
      <c r="S276" s="1568" t="n">
        <f aca="false">IF(Assumptions!$L$25=4,VLOOKUP($A276,'Henwood Reference'!$E$9:$R$320,11),(VLOOKUP($A276,PriceTable,7,0)+IF(BasisNumber&lt;&gt;1,VLOOKUP($A276,BasisTable,3,0),0)+S$1)/(1-S$2))</f>
        <v>37.9650168484927</v>
      </c>
      <c r="T276" s="1600" t="n">
        <f aca="false">IF(Assumptions!$L$25=4,VLOOKUP($A276,'Henwood Reference'!$E$9:$R$320,11),(VLOOKUP($A276,PriceTable,8,0)+IF(BasisNumber&lt;&gt;1,VLOOKUP($A276,BasisTable,3,0),0)+T$1)/(1-T$2))</f>
        <v>37.9650168484927</v>
      </c>
      <c r="U276" s="1513" t="n">
        <f aca="false">VLOOKUP($A276,VolatilityTable,14)</f>
        <v>0.09</v>
      </c>
      <c r="V276" s="1513" t="n">
        <f aca="false">VLOOKUP($A276,VolatilityTable,15)</f>
        <v>0.1</v>
      </c>
      <c r="W276" s="1514" t="n">
        <f aca="false">VLOOKUP($A276,VolatilityTable,16)</f>
        <v>0.11</v>
      </c>
      <c r="X276" s="1513" t="n">
        <f aca="false">VLOOKUP($A276,VolatilityTable,14)</f>
        <v>0.09</v>
      </c>
      <c r="Y276" s="1513" t="n">
        <f aca="false">VLOOKUP($A276,VolatilityTable,15)</f>
        <v>0.1</v>
      </c>
      <c r="Z276" s="1514" t="n">
        <f aca="false">VLOOKUP($A276,VolatilityTable,16)</f>
        <v>0.11</v>
      </c>
      <c r="AA276" s="1513" t="n">
        <f aca="false">VLOOKUP($A276,VolatilityTable,18)</f>
        <v>0.09</v>
      </c>
      <c r="AB276" s="1513" t="n">
        <f aca="false">VLOOKUP($A276,VolatilityTable,19)</f>
        <v>0.11</v>
      </c>
      <c r="AC276" s="1514" t="n">
        <f aca="false">VLOOKUP($A276,VolatilityTable,20)</f>
        <v>0.13</v>
      </c>
      <c r="AD276" s="1513" t="n">
        <f aca="false">VLOOKUP($A276,VolatilityTable,18)</f>
        <v>0.09</v>
      </c>
      <c r="AE276" s="1513" t="n">
        <f aca="false">VLOOKUP($A276,VolatilityTable,19)</f>
        <v>0.11</v>
      </c>
      <c r="AF276" s="1514" t="n">
        <f aca="false">VLOOKUP($A276,VolatilityTable,20)</f>
        <v>0.13</v>
      </c>
      <c r="AG276" s="1513" t="n">
        <f aca="false">VLOOKUP($A276,VolatilityTable,22)</f>
        <v>-0.25</v>
      </c>
      <c r="AH276" s="1513" t="n">
        <f aca="false">VLOOKUP($A276,VolatilityTable,23)</f>
        <v>0.6</v>
      </c>
      <c r="AI276" s="1514" t="n">
        <f aca="false">VLOOKUP($A276,VolatilityTable,24)</f>
        <v>0.25</v>
      </c>
      <c r="AJ276" s="1513" t="n">
        <f aca="false">VLOOKUP($A276,VolatilityTable,22)</f>
        <v>-0.25</v>
      </c>
      <c r="AK276" s="1513" t="n">
        <f aca="false">VLOOKUP($A276,VolatilityTable,23)</f>
        <v>0.6</v>
      </c>
      <c r="AL276" s="1514" t="n">
        <f aca="false">VLOOKUP($A276,VolatilityTable,24)</f>
        <v>0.25</v>
      </c>
      <c r="AM276" s="1513" t="n">
        <f aca="false">VLOOKUP($A276,VolatilityTable,26)</f>
        <v>-0.01</v>
      </c>
      <c r="AN276" s="1513" t="n">
        <f aca="false">VLOOKUP($A276,VolatilityTable,27)</f>
        <v>0.16</v>
      </c>
      <c r="AO276" s="1514" t="n">
        <f aca="false">VLOOKUP($A276,VolatilityTable,28)</f>
        <v>0.01</v>
      </c>
      <c r="AP276" s="1513" t="n">
        <f aca="false">VLOOKUP($A276,VolatilityTable,26)</f>
        <v>-0.01</v>
      </c>
      <c r="AQ276" s="1513" t="n">
        <f aca="false">VLOOKUP($A276,VolatilityTable,27)</f>
        <v>0.16</v>
      </c>
      <c r="AR276" s="1515" t="n">
        <f aca="false">VLOOKUP($A276,VolatilityTable,28)</f>
        <v>0.01</v>
      </c>
      <c r="AS276" s="1581" t="n">
        <f aca="false">IF(CorrPeakOffPeakOverFlag,INDEX(CorrPeakOffPeakOver,C276),CorrPeakOffPeak)</f>
        <v>0.5</v>
      </c>
      <c r="AT276" s="594" t="e">
        <f aca="false">AX276-SUM(AU276:AW276)</f>
        <v>#VALUE!</v>
      </c>
      <c r="AU276" s="238" t="e">
        <f aca="false">IF(E276="",0,INT((F276-MOD(F276,7)-E276)/7)+1-IF(AW276,IF(WEEKDAY(D276)=7,1,0),0))</f>
        <v>#VALUE!</v>
      </c>
      <c r="AV276" s="238" t="e">
        <f aca="false">IF(E276="",0,INT((F276-MOD(F276-1,7)-E276)/7)+1-IF(AW276,IF(WEEKDAY(D276)=1,1,0),0))</f>
        <v>#VALUE!</v>
      </c>
      <c r="AW276" s="238" t="e">
        <f aca="false">IF(OR(E276="",D276="",D276&lt;BegDate,D276&gt;EndDate),0,1)</f>
        <v>#VALUE!</v>
      </c>
      <c r="AX276" s="238" t="n">
        <f aca="false">IF(E276="",0,F276-E276+1)</f>
        <v>31</v>
      </c>
      <c r="AY276" s="1582" t="n">
        <f aca="false">IF(E276="",0,MIN((1-(1-VLOOKUP(B276,MAIN!$AA$7:$AM$28,C276+1))*(1-VLOOKUP(B276,MAIN!$AA$33:$AM$54,C276+1))),1))</f>
        <v>0.03</v>
      </c>
      <c r="AZ276" s="1519" t="e">
        <v>#VALUE!</v>
      </c>
      <c r="BA276" s="1520" t="e">
        <v>#VALUE!</v>
      </c>
      <c r="BB276" s="1520" t="e">
        <v>#VALUE!</v>
      </c>
      <c r="BC276" s="1583" t="e">
        <v>#VALUE!</v>
      </c>
      <c r="BD276" s="1522" t="e">
        <v>#VALUE!</v>
      </c>
      <c r="BE276" s="1523" t="e">
        <v>#VALUE!</v>
      </c>
      <c r="BF276" s="1523" t="e">
        <v>#VALUE!</v>
      </c>
      <c r="BG276" s="1584" t="e">
        <v>#VALUE!</v>
      </c>
      <c r="BH276" s="1525" t="e">
        <v>#VALUE!</v>
      </c>
      <c r="BI276" s="1520" t="e">
        <v>#VALUE!</v>
      </c>
      <c r="BJ276" s="1520" t="e">
        <v>#VALUE!</v>
      </c>
      <c r="BK276" s="1583" t="e">
        <v>#VALUE!</v>
      </c>
      <c r="BL276" s="1522" t="e">
        <v>#VALUE!</v>
      </c>
      <c r="BM276" s="1523" t="e">
        <v>#VALUE!</v>
      </c>
      <c r="BN276" s="1523" t="e">
        <v>#VALUE!</v>
      </c>
      <c r="BO276" s="1523" t="e">
        <v>#VALUE!</v>
      </c>
      <c r="BP276" s="1525" t="e">
        <f aca="false">SUM(AZ276:BB276)</f>
        <v>#VALUE!</v>
      </c>
      <c r="BQ276" s="1529" t="e">
        <f aca="false">SUM(AZ276:BC276)</f>
        <v>#VALUE!</v>
      </c>
      <c r="BR276" s="1519" t="e">
        <f aca="false">SUM(BH276:BJ276)</f>
        <v>#VALUE!</v>
      </c>
      <c r="BS276" s="1529" t="e">
        <f aca="false">SUM(BH276:BK276)</f>
        <v>#VALUE!</v>
      </c>
      <c r="BT276" s="1316" t="n">
        <f aca="false">(IF(OVolType&lt;&gt;2,A276+14,IF(OptExpDateShift,ShiftBack(A276,OptExpDateShift,D275),A276))-DateToday)/365.25</f>
        <v>21.6317590691307</v>
      </c>
      <c r="BU276" s="1585" t="e">
        <f aca="false">IF(BQ276,IF(OPriceCurve,IF(OBuySell=OCallPut,I276/(1-AY276),K276/(1-AY276)),J276/(1-AY276))*BD276,0)</f>
        <v>#VALUE!</v>
      </c>
      <c r="BV276" s="1316" t="e">
        <f aca="false">IF(BQ276,IF(OPriceCurve,IF(OBuySell=OCallPut,L276/(1-AY276),N276/(1-AY276)),M276/(1-AY276))*BE276,0)</f>
        <v>#VALUE!</v>
      </c>
      <c r="BW276" s="1316" t="e">
        <f aca="false">IF(BQ276,IF(OPriceCurve,IF(OBuySell=OCallPut,O276/(1-AY276),Q276/(1-AY276)),P276/(1-AY276))*BF276,0)</f>
        <v>#VALUE!</v>
      </c>
      <c r="BX276" s="1316" t="e">
        <f aca="false">IF(BQ276,IF(OPriceCurve,IF(OBuySell=OCallPut,R276/(1-AY276),T276/(1-AY276)),S276/(1-AY276))*BG276,0)</f>
        <v>#VALUE!</v>
      </c>
      <c r="BY276" s="1316" t="e">
        <f aca="false">IF(BP276,(BU276*AZ276+BV276*BA276+BW276*BB276)/BP276,0)</f>
        <v>#VALUE!</v>
      </c>
      <c r="BZ276" s="1316" t="e">
        <f aca="false">IF(BQ276,(BY276*BP276+BX276*BC276)/BQ276,0)</f>
        <v>#VALUE!</v>
      </c>
      <c r="CA276" s="1531" t="e">
        <f aca="false">IF(BS276,IF(OPriceCurve,IF(OBuySell=OCallPut,I276/(1-AY276),K276/(1-AY276)),J276/(1-AY276))*BL276,0)</f>
        <v>#VALUE!</v>
      </c>
      <c r="CB276" s="1316" t="e">
        <f aca="false">IF(BS276,IF(OPriceCurve,IF(OBuySell=OCallPut,L276/(1-AY276),N276/(1-AY276)),M276/(1-AY276))*BM276,0)</f>
        <v>#VALUE!</v>
      </c>
      <c r="CC276" s="1316" t="e">
        <f aca="false">IF(BS276,IF(OPriceCurve,IF(OBuySell=OCallPut,O276/(1-AY276),Q276/(1-AY276)),P276/(1-AY276))*BN276,0)</f>
        <v>#VALUE!</v>
      </c>
      <c r="CD276" s="1316" t="e">
        <f aca="false">IF(BS276,IF(OPriceCurve,IF(OBuySell=OCallPut,R276/(1-AY276),T276/(1-AY276)),S276/(1-AY276))*BO276,0)</f>
        <v>#VALUE!</v>
      </c>
      <c r="CE276" s="1316" t="e">
        <f aca="false">IF(BR276,(BU276*BH276+BV276*BI276+BW276*BJ276)/BR276,0)</f>
        <v>#VALUE!</v>
      </c>
      <c r="CF276" s="1532" t="e">
        <f aca="false">IF(BS276,(CE276*BR276+CD276*BK276)/BS276,0)</f>
        <v>#VALUE!</v>
      </c>
      <c r="CG276" s="1586" t="e">
        <f aca="false">IF(OR(BQ276,BS276),IF(OVolType&lt;&gt;2,SQRT(IF(OVolOverMonthlyPeak,OVolOverMonthlyPeak,IF(OVolCurve,IF(OBuySell,U276,W276),V276))^2*(1-15/365.25/BT276)+IF(OVolOverDailyPeak,OVolOverDailyPeak,IF(OVolCurve,IF(OBuySell,AG276,AI276),AH276))^2*15/365.25/BT276),IF(OVolOverMonthlyPeak,OVolOverMonthlyPeak,IF(OVolCurve,IF(OBuySell,U276,W276),V276))),"")</f>
        <v>#VALUE!</v>
      </c>
      <c r="CH276" s="1587" t="e">
        <f aca="false">IF(OR(BQ276,BS276),IF(OVolType&lt;&gt;2,SQRT(IF(OVolOverMonthlyPeak,OVolOverMonthlyPeak,IF(OVolCurve,IF(OBuySell,X276,Z276),Y276))^2*(1-15/365.25/BT276)+IF(OVolOverDailyPeak,OVolOverDailyPeak,IF(OVolCurve,IF(OBuySell,AJ276,AL276),AK276))^2*15/365.25/BT276),IF(OVolOverMonthlyPeak,OVolOverMonthlyPeak,IF(OVolCurve,IF(OBuySell,X276,Z276),Y276))),"")</f>
        <v>#VALUE!</v>
      </c>
      <c r="CI276" s="1587" t="e">
        <f aca="false">IF(OR(BQ276,BS276),IF(OVolType&lt;&gt;2,SQRT(IF(OVolOverMonthlyPeak,OVolOverMonthlyPeak,IF(OVolCurve,IF(OBuySell,AA276,AC276),AB276))^2*(1-15/365.25/BT276)+IF(OVolOverDailyPeak,OVolOverDailyPeak,IF(OVolCurve,IF(OBuySell,AM276,AO276),AN276))^2*15/365.25/BT276),IF(OVolOverMonthlyPeak,OVolOverMonthlyPeak,IF(OVolCurve,IF(OBuySell,AA276,AC276),AB276))),"")</f>
        <v>#VALUE!</v>
      </c>
      <c r="CJ276" s="1587" t="e">
        <f aca="false">IF(BQ276,IF(BP276,SQRT(LN(1+((BU276*AZ276)^2*(EXP(CG276^2*BT276)-1)+(BV276*BA276)^2*(EXP(CH276^2*BT276)-1)+(BW276*BB276)^2*(EXP(CI276^2*BT276)-1)+2*BU276*AZ276*BV276*BA276*(EXP(CG276*CH276*BT276)-1)+2*BV276*BA276*BW276*BB276*(EXP(CH276*CI276*BT276)-1)+2*BW276*BB276*BU276*AZ276*(EXP(CI276*CG276*BT276)-1))/(BY276*BP276)^2)/BT276),0),"")</f>
        <v>#VALUE!</v>
      </c>
      <c r="CK276" s="1587" t="e">
        <f aca="false">IF(BS276,IF(BR276,SQRT(LN(1+((CA276*BH276)^2*(EXP(CG276^2*BT276)-1)+(CB276*BI276)^2*(EXP(CH276^2*BT276)-1)+(CC276*BJ276)^2*(EXP(CI276^2*BT276)-1)+2*CA276*BH276*CB276*BI276*(EXP(CG276*CH276*BT276)-1)+2*CB276*BI276*CC276*BJ276*(EXP(CH276*CI276*BT276)-1)+2*CC276*BJ276*CA276*BH276*(EXP(CI276*CG276*BT276)-1))/(CE276*BR276)^2)/BT276),0),"")</f>
        <v>#VALUE!</v>
      </c>
      <c r="CL276" s="1587" t="e">
        <f aca="false">IF(OR(BQ276,BS276),IF(OVolType&lt;&gt;2,SQRT(IF(OVolOverMonthlyOffPeak,OVolOverMonthlyOffPeak,IF(OVolCurve,IF(OBuySell,AD276,AF276),AE276))^2*(1-15/365.25/BT276)+IF(OVolOverDailyOffPeak,OVolOverDailyOffPeak,IF(OVolCurve,IF(OBuySell,AP276,AR276),AQ276))^2*15/365.25/BT276),IF(OVolOverMonthlyOffPeak,OVolOverMonthlyOffPeak,IF(OVolCurve,IF(OBuySell,AD276,AF276),AE276))),"")</f>
        <v>#VALUE!</v>
      </c>
      <c r="CM276" s="1587" t="e">
        <f aca="false">IF(BQ276,SQRT(LN(1+((BY276*BP276)^2*(EXP(CJ276^2*BT276)-1)+(BX276*BC276)^2*(EXP(CL276^2*BT276)-1)+2*BY276*BP276*BX276*BC276*(EXP(AS276*CJ276*CL276*BT276)-1))/(BY276*BP276+BX276*BC276)^2)/BT276),"")</f>
        <v>#VALUE!</v>
      </c>
      <c r="CN276" s="1588" t="e">
        <f aca="false">IF(BS276,SQRT(LN(1+((CE276*BR276)^2*(EXP(CK276^2*BT276)-1)+(CD276*BK276)^2*(EXP(CL276^2*BT276)-1)+2*CE276*BR276*CD276*BK276*(EXP(AS276*CK276*CL276*BT276)-1))/(CE276*BR276+CD276*BK276)^2)/BT276),"")</f>
        <v>#VALUE!</v>
      </c>
      <c r="CO276" s="1531" t="e">
        <f aca="false">IF(OR(BQ276,BS276),VLOOKUP(A276,GasTable,13)*HeatRatePeak*(1+VLOOKUP($B276,HeatRateDegradation,$C276+1))/1000,0)</f>
        <v>#VALUE!</v>
      </c>
      <c r="CP276" s="1316" t="e">
        <f aca="false">IF(OR(BQ276,BS276),VLOOKUP(A276,GasTable,13)*HeatRatePeak*(1+VLOOKUP($B276,HeatRateDegradation,$C276+1))/1000,0)</f>
        <v>#VALUE!</v>
      </c>
      <c r="CQ276" s="1316" t="e">
        <f aca="false">IF(OR(BQ276,BS276),VLOOKUP(A276,GasTable,13)*IF(EV276,HeatRatePeak,HeatRateOffPeak)*(1+VLOOKUP($B276,HeatRateDegradation,$C276+1))/1000,0)</f>
        <v>#VALUE!</v>
      </c>
      <c r="CR276" s="1316" t="e">
        <f aca="false">IF(OR(BQ276,BS276),VLOOKUP(A276,GasTable,13)*IF(EW276,HeatRatePeak,HeatRateOffPeak)*(1+VLOOKUP($B276,HeatRateDegradation,$C276+1))/1000,0)</f>
        <v>#VALUE!</v>
      </c>
      <c r="CS276" s="1589" t="e">
        <f aca="false">IF(BQ276,(CO276*AZ276+CP276*BA276+CQ276*BB276+CR276*BC276)/BQ276,0)</f>
        <v>#VALUE!</v>
      </c>
      <c r="CT276" s="1316" t="e">
        <f aca="false">IF(BS276,CO276,0)</f>
        <v>#VALUE!</v>
      </c>
      <c r="CU276" s="1590" t="e">
        <f aca="false">IF(OR(BQ276,BS276),VLOOKUP(A276,GasTable,14),"")</f>
        <v>#VALUE!</v>
      </c>
      <c r="CV276" s="1568" t="e">
        <f aca="false">IF(OR(BQ276,BS276),IF(CorrPowerGasOverFlag,INDEX(CorrPowerGasOver,C276),CorrPowerGas),"")</f>
        <v>#VALUE!</v>
      </c>
      <c r="CW276" s="1316" t="e">
        <f aca="false">IF(OR($BQ276,$BS276),SpreadOptPowerMargin,0)*((1+Assumptions!$C$26)^($B276-YEAR(Assumptions!$C$17)))</f>
        <v>#VALUE!</v>
      </c>
      <c r="CX276" s="1316" t="e">
        <f aca="false">IF(OR($BQ276,$BS276),SpreadOptPowerMargin,0)*((1+Assumptions!$C$26)^($B276-YEAR(Assumptions!$C$17)))</f>
        <v>#VALUE!</v>
      </c>
      <c r="CY276" s="1316" t="e">
        <f aca="false">IF(OR($BQ276,$BS276),SpreadOptPowerMargin,0)*((1+Assumptions!$C$26)^($B276-YEAR(Assumptions!$C$17)))</f>
        <v>#VALUE!</v>
      </c>
      <c r="CZ276" s="1316" t="e">
        <f aca="false">IF(OR($BQ276,$BS276),SpreadOptPowerMargin,0)*((1+Assumptions!$C$26)^($B276-YEAR(Assumptions!$C$17)))</f>
        <v>#VALUE!</v>
      </c>
      <c r="DA276" s="1591" t="e">
        <f aca="false">IF(OR(BQ276,BS276),(CW276*(AZ276+BH276)+CX276*(BA276+BI276)+CY276*(BB276+BJ276)+CZ276*(BC276+BK276))/(BQ276+BS276),0)</f>
        <v>#VALUE!</v>
      </c>
      <c r="DB276" s="1592" t="e">
        <f aca="false">IF(OR(BQ276,BS276),CG276+IF(OVolSmile,VLOOKUP(MAX(-5,CO276+CW276-BU276),IF(OVolSmile=1,VolSmileBook,VolSmileModel),2),0),"")</f>
        <v>#VALUE!</v>
      </c>
      <c r="DC276" s="1592" t="e">
        <f aca="false">IF(OR(BQ276,BS276),CH276+IF(OVolSmile,VLOOKUP(MAX(-5,CP276+CW276-BV276),IF(OVolSmile=1,VolSmileBook,VolSmileModel),2),0),"")</f>
        <v>#VALUE!</v>
      </c>
      <c r="DD276" s="1592" t="e">
        <f aca="false">IF(OR(BQ276,BS276),CI276+IF(OVolSmile,VLOOKUP(MAX(-5,CQ276+CW276-BW276),IF(OVolSmile=1,VolSmileBook,VolSmileModel),2),0),"")</f>
        <v>#VALUE!</v>
      </c>
      <c r="DE276" s="1592" t="e">
        <f aca="false">IF(OR(BQ276,BS276),CL276+IF(OVolSmile,VLOOKUP(MAX(-5,CR276+CZ276-BX276),IF(OVolSmile=1,VolSmileBook,VolSmileModel),2),0),"")</f>
        <v>#VALUE!</v>
      </c>
      <c r="DF276" s="1592" t="e">
        <f aca="false">IF(BQ276,CM276+IF(OVolSmile,VLOOKUP(MAX(-5,CS276+DA276-BZ276),IF(OVolSmile=1,VolSmileBook,VolSmileModel),2),0),"")</f>
        <v>#VALUE!</v>
      </c>
      <c r="DG276" s="1593" t="e">
        <f aca="false">IF(BS276,CN276+IF(OVolSmile,VLOOKUP(MAX(-5,CT276+DA276-CF276),IF(OVolSmile=1,VolSmileBook,VolSmileModel),2),0),"")</f>
        <v>#VALUE!</v>
      </c>
      <c r="DH276" s="1316" t="e">
        <f aca="false">IF(AND(BU276&gt;0,CO276&gt;0,DB276&gt;0,CU276&gt;0),newSPRDOPT(BU276,CO276,CW276,0,DB276,CU276,CV276,BT276*365.25,OCallPut,0),0)</f>
        <v>#VALUE!</v>
      </c>
      <c r="DI276" s="1316" t="e">
        <f aca="false">IF(AND(BV276&gt;0,CP276&gt;0,DC276&gt;0,CU276&gt;0),newSPRDOPT(BV276,CP276,CX276,0,DC276,CU276,CV276,BT276*365.25,OCallPut,0),0)</f>
        <v>#VALUE!</v>
      </c>
      <c r="DJ276" s="1316" t="e">
        <f aca="false">IF(AND(BW276&gt;0,CQ276&gt;0,DD276&gt;0,CU276&gt;0),newSPRDOPT(BW276,CQ276,CY276,0,DD276,CU276,CV276,BT276*365.25,OCallPut,0),0)</f>
        <v>#VALUE!</v>
      </c>
      <c r="DK276" s="1316" t="e">
        <f aca="false">IF(AND(BX276&gt;0,CR276&gt;0,DE276&gt;0,CU276&gt;0),newSPRDOPT(BX276,CR276,CZ276,0,DE276,CU276,CV276,BT276*365.25,OCallPut,0),0)</f>
        <v>#VALUE!</v>
      </c>
      <c r="DL276" s="1316" t="e">
        <f aca="false">IF(OVolType,IF(AND(BZ276&gt;0,CS276&gt;0,DF276&gt;0,CU276&gt;0),newSPRDOPT(BZ276,CS276,DA276,0,DF276,CU276,CV276,BT276*365.25,OCallPut,0),0),IF(BQ276,(DH276*AZ276+DI276*BA276+DJ276*BB276+DK276*BC276)/BQ276,0))</f>
        <v>#VALUE!</v>
      </c>
      <c r="DM276" s="1316"/>
      <c r="DN276" s="1316"/>
      <c r="DO276" s="1316"/>
      <c r="DP276" s="1316"/>
      <c r="DQ276" s="1316"/>
      <c r="DR276" s="1316"/>
      <c r="DS276" s="1316"/>
      <c r="DT276" s="1316"/>
      <c r="DU276" s="1316"/>
      <c r="DV276" s="1316"/>
      <c r="DW276" s="1594" t="e">
        <f aca="false">IF(AND(BW276&gt;0,CT276&gt;0,DD276&gt;0,CU276&gt;0),newSPRDOPT(BW276,CT276,CY276,0,DD276,CU276,CV276,BT276*365.25,OCallPut,0),0)</f>
        <v>#VALUE!</v>
      </c>
      <c r="DX276" s="1316" t="e">
        <f aca="false">IF(AND(BX276&gt;0,CT276&gt;0,DE276&gt;0,CU276&gt;0),newSPRDOPT(BX276,CT276,CZ276,0,DE276,CU276,CV276,BT276*365.25,OCallPut,0),0)</f>
        <v>#VALUE!</v>
      </c>
      <c r="DY276" s="1591" t="e">
        <f aca="false">IF(BS276,(DH276*BH276+DI276*BI276+DW276*BJ276+DX276*BK276)/BS276,0)</f>
        <v>#VALUE!</v>
      </c>
      <c r="DZ276" s="1551" t="e">
        <f aca="false">DH276*AZ276</f>
        <v>#VALUE!</v>
      </c>
      <c r="EA276" s="1551" t="e">
        <f aca="false">DI276*BA276</f>
        <v>#VALUE!</v>
      </c>
      <c r="EB276" s="1551" t="e">
        <f aca="false">DJ276*BB276</f>
        <v>#VALUE!</v>
      </c>
      <c r="EC276" s="1551" t="e">
        <f aca="false">DK276*BC276</f>
        <v>#VALUE!</v>
      </c>
      <c r="ED276" s="1551" t="e">
        <f aca="false">DL276*BQ276</f>
        <v>#VALUE!</v>
      </c>
      <c r="EE276" s="1595" t="e">
        <f aca="false">IF(BQ276,IF(OCallPut,IF(BU276&gt;(CO276+CW276),BU276-(CO276+CW276),0),IF((CO276+CW276)&gt;BU276,(CO276+CW276)-BU276,0))*AZ276,0)</f>
        <v>#VALUE!</v>
      </c>
      <c r="EF276" s="1596" t="e">
        <f aca="false">IF(BQ276,IF(OCallPut,IF(BV276&gt;(CP276+CX276),BV276-(CP276+CX276),0),IF((CP276+CX276)&gt;BV276,(CP276+CX276)-BV276,0))*BA276,0)</f>
        <v>#VALUE!</v>
      </c>
      <c r="EG276" s="1596" t="e">
        <f aca="false">IF(BQ276,IF(OCallPut,IF(BW276&gt;(CQ276+CY276),BW276-(CQ276+CY276),0),IF((CQ276+CY276)&gt;BW276,(CQ276+CY276)-BW276,0))*BB276,0)</f>
        <v>#VALUE!</v>
      </c>
      <c r="EH276" s="1596" t="e">
        <f aca="false">IF(BQ276,IF(OCallPut,IF(BX276&gt;(CR276+CZ276),BX276-(CR276+CZ276),0),IF((CR276+CZ276)&gt;BX276,(CR276+CZ276)-BX276,0))*BC276,0)</f>
        <v>#VALUE!</v>
      </c>
      <c r="EI276" s="1597" t="e">
        <f aca="false">IF(BQ276,IF(OVolType,IF(OCallPut,IF(BZ276&gt;(CS276+DA276),BZ276-(CS276+DA276),0),IF((CS276+DA276)&gt;BZ276,(CS276+DA276)-BZ276,0))*BQ276,SUM(EE276:EH276)),0)</f>
        <v>#VALUE!</v>
      </c>
      <c r="EJ276" s="1595" t="e">
        <f aca="false">DZ276-EE276</f>
        <v>#VALUE!</v>
      </c>
      <c r="EK276" s="1596" t="e">
        <f aca="false">EA276-EF276</f>
        <v>#VALUE!</v>
      </c>
      <c r="EL276" s="1596" t="e">
        <f aca="false">EB276-EG276</f>
        <v>#VALUE!</v>
      </c>
      <c r="EM276" s="1596" t="e">
        <f aca="false">EC276-EH276</f>
        <v>#VALUE!</v>
      </c>
      <c r="EN276" s="1597" t="e">
        <f aca="false">ED276-EI276</f>
        <v>#VALUE!</v>
      </c>
      <c r="EO276" s="1551" t="e">
        <f aca="false">DH276*BH276</f>
        <v>#VALUE!</v>
      </c>
      <c r="EP276" s="1551" t="e">
        <f aca="false">DI276*BI276</f>
        <v>#VALUE!</v>
      </c>
      <c r="EQ276" s="1551" t="e">
        <f aca="false">DW276*BJ276</f>
        <v>#VALUE!</v>
      </c>
      <c r="ER276" s="1551" t="e">
        <f aca="false">DX276*BK276</f>
        <v>#VALUE!</v>
      </c>
      <c r="ES276" s="1551" t="e">
        <f aca="false">DY276*BS276</f>
        <v>#VALUE!</v>
      </c>
      <c r="ET276" s="1566" t="e">
        <f aca="false">IF(EI276,IF(OCallPut,IF(CA276&gt;(CT276+CW276),CA276-(CT276+CW276),0),IF((CT276+CW276)&gt;CA276,(CT276+CW276)-CA276,0))*BH276,0)</f>
        <v>#VALUE!</v>
      </c>
      <c r="EU276" s="1551" t="e">
        <f aca="false">IF(EI276,IF(OCallPut,IF(CB276&gt;(CT276+CX276),CB276-(CT276+CX276),0),IF((CT276+CX276)&gt;CB276,(CT276+CX276)-CB276,0))*BI276,0)</f>
        <v>#VALUE!</v>
      </c>
      <c r="EV276" s="1551" t="e">
        <f aca="false">IF(EI276,IF(OCallPut,IF(CC276&gt;(CT276+CY276),CC276-(CT276+CY276),0),IF((CT276+CY276)&gt;CC276,(CT276+CY276)-CC276,0))*BJ276,0)</f>
        <v>#VALUE!</v>
      </c>
      <c r="EW276" s="1551" t="e">
        <f aca="false">IF(EI276,IF(OCallPut,IF(CD276&gt;(CT276+CZ276),CD276-(CT276+CZ276),0),IF((CT276+CZ276)&gt;CD276,(CT276+CZ276)-CD276,0))*BK276,0)</f>
        <v>#VALUE!</v>
      </c>
      <c r="EX276" s="1558" t="e">
        <f aca="false">IF(EI276,SUM(ET276:EW276),0)</f>
        <v>#VALUE!</v>
      </c>
      <c r="EY276" s="1551" t="e">
        <f aca="false">EO276-ET276</f>
        <v>#VALUE!</v>
      </c>
      <c r="EZ276" s="1551" t="e">
        <f aca="false">EP276-EU276</f>
        <v>#VALUE!</v>
      </c>
      <c r="FA276" s="1551" t="e">
        <f aca="false">EQ276-EV276</f>
        <v>#VALUE!</v>
      </c>
      <c r="FB276" s="1551" t="e">
        <f aca="false">ER276-EW276</f>
        <v>#VALUE!</v>
      </c>
      <c r="FC276" s="1551" t="e">
        <f aca="false">ES276-EX276</f>
        <v>#VALUE!</v>
      </c>
      <c r="FD276" s="1525" t="n">
        <f aca="false">IF(AX276,IF(VLOOKUP(C276,MAIN!$L$17:$M$28,2)="Yes",VLOOKUP(CALC!B276,MAIN!$H$17:$I$20,2),0),0)</f>
        <v>0</v>
      </c>
      <c r="FE276" s="1552" t="e">
        <f aca="false">$FD276*16*AT276*(1-$AY276)</f>
        <v>#VALUE!</v>
      </c>
      <c r="FF276" s="1553" t="e">
        <f aca="false">$FD276*16*AU276*(1-$AY276)</f>
        <v>#VALUE!</v>
      </c>
      <c r="FG276" s="1553" t="e">
        <f aca="false">$FD276*16*(AV276+AW276)*(1-$AY276)</f>
        <v>#VALUE!</v>
      </c>
      <c r="FH276" s="1554" t="n">
        <f aca="false">$FD276*8*AX276*(1-$AY276)</f>
        <v>0</v>
      </c>
      <c r="FI276" s="1555" t="n">
        <f aca="false">IF(AX276,VLOOKUP(CALC!B276,MAIN!$H$17:$K$20,4),0)</f>
        <v>0</v>
      </c>
      <c r="FJ276" s="1553" t="e">
        <f aca="false">SUM(FE276:FH276)</f>
        <v>#VALUE!</v>
      </c>
      <c r="FK276" s="1556" t="e">
        <f aca="false">FI276*FJ276</f>
        <v>#VALUE!</v>
      </c>
      <c r="FL276" s="1551" t="e">
        <f aca="false">IF($EI276&gt;0,MIN(FE276,AZ276*(1+VLOOKUP($C276,WeatherCapacityAdjustment,2))),0)</f>
        <v>#VALUE!</v>
      </c>
      <c r="FM276" s="1551" t="e">
        <f aca="false">IF($EI276&gt;0,MIN(FF276,BA276*(1+VLOOKUP($C276,WeatherCapacityAdjustment,2))),0)</f>
        <v>#VALUE!</v>
      </c>
      <c r="FN276" s="1551" t="e">
        <f aca="false">IF($EI276&gt;0,MIN(FG276,BB276*(1+VLOOKUP($C276,WeatherCapacityAdjustment,2))),0)</f>
        <v>#VALUE!</v>
      </c>
      <c r="FO276" s="1564" t="e">
        <f aca="false">IF($EI276&gt;0,MIN(FH276,BC276*(1+VLOOKUP($C276,WeatherCapacityAdjustment,3))),0)</f>
        <v>#VALUE!</v>
      </c>
      <c r="FP276" s="1551" t="e">
        <f aca="false">IF(ET276&gt;0,MIN(FE276-FL276,BH276*(1+VLOOKUP($C276,WeatherCapacityAdjustment,2))),0)</f>
        <v>#VALUE!</v>
      </c>
      <c r="FQ276" s="1551" t="e">
        <f aca="false">IF(EU276&gt;0,MIN(FF276-FM276,BI276*(1+VLOOKUP($C276,WeatherCapacityAdjustment,2))),0)</f>
        <v>#VALUE!</v>
      </c>
      <c r="FR276" s="1551" t="e">
        <f aca="false">IF(EV276&gt;0,MIN(FG276-FN276,BJ276*(1+VLOOKUP($C276,WeatherCapacityAdjustment,2))),0)</f>
        <v>#VALUE!</v>
      </c>
      <c r="FS276" s="1558" t="e">
        <f aca="false">IF(EW276&gt;0,MIN(FH276-FO276,BK276*(1+VLOOKUP($C276,WeatherCapacityAdjustment,3))),0)</f>
        <v>#VALUE!</v>
      </c>
      <c r="FT276" s="1566" t="e">
        <f aca="false">IF(AND(Assumptions!$H$71="Yes",A276&gt;=Assumptions!$H$72,A276&lt;=Assumptions!$H$73),0,IF(AND($A276&gt;=Assumptions!$C$17,$A276&lt;=Assumptions!$C$18),MAX(AZ276*(1+VLOOKUP($C276,WeatherCapacityAdjustment,2))-FL276,0),0))</f>
        <v>#VALUE!</v>
      </c>
      <c r="FU276" s="1551" t="e">
        <f aca="false">IF(AND(Assumptions!$H$71="Yes",A276&gt;=Assumptions!$H$72,A276&lt;=Assumptions!$H$73),0,IF(AND($A276&gt;=Assumptions!$C$17,$A276&lt;=Assumptions!$C$18),MAX(BA276*(1+VLOOKUP($C276,WeatherCapacityAdjustment,2))-FM276,0),0))</f>
        <v>#VALUE!</v>
      </c>
      <c r="FV276" s="1551" t="e">
        <f aca="false">IF(AND(Assumptions!$H$71="Yes",A276&gt;=Assumptions!$H$72,A276&lt;=Assumptions!$H$73),0,IF(AND($A276&gt;=Assumptions!$C$17,$A276&lt;=Assumptions!$C$18),MAX(BB276*(1+VLOOKUP($C276,WeatherCapacityAdjustment,2))-FN276,0),0))</f>
        <v>#VALUE!</v>
      </c>
      <c r="FW276" s="1564" t="e">
        <f aca="false">IF(AND(Assumptions!$H$71="Yes",A276&gt;=Assumptions!$H$72,A276&lt;=Assumptions!$H$73),0,IF(AND($A276&gt;=Assumptions!$C$17,$A276&lt;=Assumptions!$C$18),MAX(BC276*(1+VLOOKUP($C276,WeatherCapacityAdjustment,3))-FO276,0),0))</f>
        <v>#VALUE!</v>
      </c>
      <c r="FX276" s="1569" t="e">
        <f aca="false">IF(AND(Assumptions!$H$71="Yes",A276&gt;=Assumptions!$H$72,A276&lt;=Assumptions!$H$73),0,IF(ET276&gt;0,MAX(BH276*(1+VLOOKUP($C276,WeatherCapacityAdjustment,2))-FP276,0),0))</f>
        <v>#VALUE!</v>
      </c>
      <c r="FY276" s="1551" t="e">
        <f aca="false">IF(AND(Assumptions!$H$71="Yes",A276&gt;=Assumptions!$H$72,A276&lt;=Assumptions!$H$73),0,IF(EU276&gt;0,MAX(BI276*(1+VLOOKUP($C276,WeatherCapacityAdjustment,3))-FQ276,0),0))</f>
        <v>#VALUE!</v>
      </c>
      <c r="FZ276" s="1551" t="e">
        <f aca="false">IF(AND(Assumptions!$H$71="Yes",A276&gt;=Assumptions!$H$72,A276&lt;=Assumptions!$H$73),0,IF(EV276&gt;0,MAX(BJ276*(1+VLOOKUP($C276,WeatherCapacityAdjustment,2))-FR276,0),0))</f>
        <v>#VALUE!</v>
      </c>
      <c r="GA276" s="1564" t="e">
        <f aca="false">IF(AND(Assumptions!$H$71="Yes",A276&gt;=Assumptions!$H$72,A276&lt;=Assumptions!$H$73),0,IF(EW276&gt;0,MAX(BK276*(1+VLOOKUP($C276,WeatherCapacityAdjustment,2))-FS276,0),0))</f>
        <v>#VALUE!</v>
      </c>
      <c r="GB276" s="1551" t="e">
        <f aca="false">SUM(FT276:GA276)</f>
        <v>#VALUE!</v>
      </c>
      <c r="GC276" s="1563" t="e">
        <f aca="false">+IF(SUM(FT276:GA276)=0,0,(SUMPRODUCT(BU276:BX276,FT276:FW276)+SUMPRODUCT(CA276:CD276,FX276:GA276))/SUM(FT276:GA276))</f>
        <v>#VALUE!</v>
      </c>
      <c r="GD276" s="1551" t="e">
        <f aca="false">(FT276*BU276+FX276*CA276+FU276*BV276+FY276*CB276+FV276*BW276+FZ276*CC276+FW276*BX276+GA276*CD276)</f>
        <v>#VALUE!</v>
      </c>
      <c r="GE276" s="1561" t="e">
        <f aca="false">+IF(BQ276,((FL276+FM276+FT276+FU276)*HeatRatePeak/1000*(1+VLOOKUP($C276,WeatherHeatRateAdjustment,2))+(FN276+FV276)*IF(EV276&gt;0,HeatRatePeak,HeatRateOffPeak)/1000*(1+VLOOKUP($C276,WeatherHeatRateAdjustment,2))+(FO276+FW276)*IF(EW276&gt;0,HeatRatePeak,HeatRateOffPeak)/1000*(1+VLOOKUP($C276,WeatherHeatRateAdjustment,3)))*(1+VLOOKUP($B276,HeatRateDegradation,$C276+1)),0)</f>
        <v>#VALUE!</v>
      </c>
      <c r="GF276" s="1562" t="e">
        <f aca="false">IF(BQ276,((FP276+FQ276+FR276+FX276+FY276+FZ276)*HeatRatePeak/1000*(1+VLOOKUP($C276,WeatherHeatRateAdjustment,2))+(FS276+GA276)*HeatRatePeak/1000*(1+VLOOKUP($C276,WeatherHeatRateAdjustment,3)))*(1+VLOOKUP($B276,HeatRateDegradation,$C276+1)),0)</f>
        <v>#VALUE!</v>
      </c>
      <c r="GG276" s="1563" t="e">
        <f aca="false">IF(BQ276,VLOOKUP(A276,GasTable,13),0)</f>
        <v>#VALUE!</v>
      </c>
      <c r="GH276" s="1564" t="e">
        <f aca="false">(GE276+GF276)*GG276</f>
        <v>#VALUE!</v>
      </c>
      <c r="GI276" s="1569" t="e">
        <f aca="false">GB276</f>
        <v>#VALUE!</v>
      </c>
      <c r="GJ276" s="1598" t="e">
        <f aca="false">+DA276</f>
        <v>#VALUE!</v>
      </c>
      <c r="GK276" s="1558" t="e">
        <f aca="false">+GI276*GJ276</f>
        <v>#VALUE!</v>
      </c>
      <c r="GL276" s="1566" t="e">
        <f aca="false">MAX(FE276-FL276-FP276,0)</f>
        <v>#VALUE!</v>
      </c>
      <c r="GM276" s="1551" t="e">
        <f aca="false">MAX(FF276-FM276-FQ276,0)</f>
        <v>#VALUE!</v>
      </c>
      <c r="GN276" s="1551" t="e">
        <f aca="false">MAX(FG276-FN276-FR276,0)</f>
        <v>#VALUE!</v>
      </c>
      <c r="GO276" s="1564" t="e">
        <f aca="false">MAX(FH276-FO276-FS276,0)</f>
        <v>#VALUE!</v>
      </c>
      <c r="GP276" s="1551" t="e">
        <f aca="false">SUM(GL276:GO276)</f>
        <v>#VALUE!</v>
      </c>
      <c r="GQ276" s="1563" t="e">
        <f aca="false">IF(SUM(GL276:GO276)=0,0,((GL276*BU276+GM276*BV276+GN276*BW276+GO276*BX276)/SUM(GL276:GO276)))</f>
        <v>#VALUE!</v>
      </c>
      <c r="GR276" s="1558" t="e">
        <f aca="false">(GL276*BU276+GM276*BV276+GN276*BW276+GO276*BX276)</f>
        <v>#VALUE!</v>
      </c>
      <c r="GS276" s="1566" t="n">
        <f aca="false">IF($A276&gt;=BegDate,Assumptions!$C$56*24*($A277-$A276)*(1-VLOOKUP($B276,MAIN!$AA$7:$AM$28,$C276+1))*(1-VLOOKUP($B276,MAIN!$AA$33:$AM$54,$C276+1)),0)*80/168</f>
        <v>257742.857142857</v>
      </c>
      <c r="GT276" s="286" t="n">
        <f aca="false">J276</f>
        <v>60.5784555661809</v>
      </c>
      <c r="GU276" s="286" t="n">
        <f aca="false">IF($A276&gt;=BegDate,VLOOKUP($A276,GasTable,13)+Assumptions!$C$58,0)</f>
        <v>4.58711122179671</v>
      </c>
      <c r="GV276" s="286" t="n">
        <f aca="false">GU276*Assumptions!$C$57/1000</f>
        <v>33.2565563580261</v>
      </c>
      <c r="GW276" s="1558" t="n">
        <f aca="false">IF(Assumptions!$C$60="Hourly",MAX(0,GS276*(GT276-GV276)),GS276*(GT276-GV276))</f>
        <v>7042024.36447899</v>
      </c>
      <c r="GX276" s="1566" t="n">
        <f aca="false">IF($A276&gt;=BegDate,Assumptions!$C$56*24*($A277-$A276)*(1-VLOOKUP($B276,MAIN!$AA$7:$AM$28,$C276+1))*(1-VLOOKUP($B276,MAIN!$AA$33:$AM$54,$C276+1)),0)*16/168</f>
        <v>51548.5714285714</v>
      </c>
      <c r="GY276" s="286" t="n">
        <f aca="false">M276</f>
        <v>60.5784555661809</v>
      </c>
      <c r="GZ276" s="286" t="n">
        <f aca="false">IF($A276&gt;=BegDate,VLOOKUP($A276,GasTable,13)+Assumptions!$C$58,0)</f>
        <v>4.58711122179671</v>
      </c>
      <c r="HA276" s="286" t="n">
        <f aca="false">GZ276*Assumptions!$C$57/1000</f>
        <v>33.2565563580261</v>
      </c>
      <c r="HB276" s="1558" t="n">
        <f aca="false">IF(Assumptions!$C$60="Hourly",MAX(0,GX276*(GY276-HA276)),GX276*(GY276-HA276))</f>
        <v>1408404.8728958</v>
      </c>
      <c r="HC276" s="1566" t="n">
        <f aca="false">IF($A276&gt;=BegDate,Assumptions!$C$56*24*($A277-$A276)*(1-VLOOKUP($B276,MAIN!$AA$7:$AM$28,$C276+1))*(1-VLOOKUP($B276,MAIN!$AA$33:$AM$54,$C276+1)),0)*16/168</f>
        <v>51548.5714285714</v>
      </c>
      <c r="HD276" s="286" t="n">
        <f aca="false">P276</f>
        <v>37.9650168484927</v>
      </c>
      <c r="HE276" s="286" t="n">
        <f aca="false">IF($A276&gt;=BegDate,VLOOKUP($A276,GasTable,13)+Assumptions!$C$58,0)</f>
        <v>4.58711122179671</v>
      </c>
      <c r="HF276" s="286" t="n">
        <f aca="false">HE276*Assumptions!$C$57/1000</f>
        <v>33.2565563580261</v>
      </c>
      <c r="HG276" s="1558" t="n">
        <f aca="false">IF(Assumptions!$C$60="Hourly",MAX(0,HC276*(HD276-HF276)),HC276*(HD276-HF276))</f>
        <v>242714.411911423</v>
      </c>
      <c r="HH276" s="1566" t="n">
        <f aca="false">IF($A276&gt;=BegDate,Assumptions!$C$56*24*($A277-$A276)*(1-VLOOKUP($B276,MAIN!$AA$7:$AM$28,$C276+1))*(1-VLOOKUP($B276,MAIN!$AA$33:$AM$54,$C276+1)),0)*56/168</f>
        <v>180420</v>
      </c>
      <c r="HI276" s="286" t="n">
        <f aca="false">S276</f>
        <v>37.9650168484927</v>
      </c>
      <c r="HJ276" s="286" t="n">
        <f aca="false">IF($A276&gt;=BegDate,VLOOKUP($A276,GasTable,13)+Assumptions!$C$58,0)</f>
        <v>4.58711122179671</v>
      </c>
      <c r="HK276" s="286" t="n">
        <f aca="false">HJ276*Assumptions!$C$57/1000</f>
        <v>33.2565563580261</v>
      </c>
      <c r="HL276" s="1558" t="n">
        <f aca="false">IF(Assumptions!$C$60="Hourly",MAX(0,HH276*(HI276-HK276)),HH276*(HI276-HK276))</f>
        <v>849500.441689981</v>
      </c>
      <c r="HM276" s="1566" t="n">
        <f aca="false">IF(AND(Assumptions!$H$71="Yes",A276&gt;=Assumptions!$H$72,A276&lt;=Assumptions!$H$73),Assumptions!$H$74*Assumptions!$C$9*1000,0)</f>
        <v>0</v>
      </c>
      <c r="HN276" s="1551"/>
      <c r="HO276" s="1563"/>
      <c r="HP276" s="1563"/>
      <c r="HQ276" s="1563"/>
      <c r="HR276" s="1563"/>
      <c r="HS276" s="1563"/>
      <c r="HT276" s="1563"/>
      <c r="HU276" s="1563"/>
      <c r="HV276" s="1563"/>
      <c r="HW276" s="1563"/>
      <c r="HX276" s="1563"/>
      <c r="HY276" s="1563"/>
      <c r="HZ276" s="1563"/>
      <c r="IA276" s="1563"/>
      <c r="IB276" s="1563"/>
      <c r="IC276" s="1563"/>
      <c r="ID276" s="1563"/>
      <c r="IE276" s="1563"/>
      <c r="IF276" s="1563"/>
      <c r="IG276" s="1563"/>
      <c r="IH276" s="1563"/>
      <c r="II276" s="1610"/>
      <c r="IJ276" s="1309"/>
      <c r="IK276" s="1309"/>
    </row>
    <row r="277" customFormat="false" ht="12.75" hidden="false" customHeight="false" outlineLevel="0" collapsed="false">
      <c r="A277" s="1571" t="n">
        <f aca="false">EOMONTH(A276,0)+1</f>
        <v>44562</v>
      </c>
      <c r="B277" s="594" t="n">
        <f aca="false">+YEAR(A277)</f>
        <v>2022</v>
      </c>
      <c r="C277" s="238" t="n">
        <f aca="false">MONTH(A277)</f>
        <v>1</v>
      </c>
      <c r="D277" s="1572" t="e">
        <f aca="false">IF(E277="","",Holiday(B277,C277))</f>
        <v>#VALUE!</v>
      </c>
      <c r="E277" s="1573" t="n">
        <f aca="false">IF(OR(BegDate&gt;=A278,EndDate&lt;A277,AND(VolumeMonthlyOverFlag,INDEX(VolumeMonthlyOver,C277)=0),NOT(INDEX(MonthKnockOutTable,C277))),"",MAX(A277,BegDate))</f>
        <v>44562</v>
      </c>
      <c r="F277" s="1574" t="n">
        <f aca="false">IF(E277="","",MIN(A278-1,EndDate))</f>
        <v>44592</v>
      </c>
      <c r="G277" s="1575" t="n">
        <v>0</v>
      </c>
      <c r="H277" s="1576" t="n">
        <f aca="false">(1+G277/2)^(-2*(DATE(B278,C278,20)-DateToday)/365.25)</f>
        <v>1</v>
      </c>
      <c r="I277" s="1568" t="n">
        <f aca="false">IF(Assumptions!$L$25=4,VLOOKUP($A277,'Henwood Reference'!$E$9:$R$320,10),(VLOOKUP($A277,PriceTable,2,0)+IF(BasisNumber&lt;&gt;1,VLOOKUP($A277,BasisTable,2,0),0)+I$1)/(1-I$2))</f>
        <v>63.9106449919078</v>
      </c>
      <c r="J277" s="1568" t="n">
        <f aca="false">IF(Assumptions!$L$25=4,VLOOKUP($A277,'Henwood Reference'!$E$9:$R$320,10),(VLOOKUP($A277,PriceTable,3,0)+IF(BasisNumber&lt;&gt;1,VLOOKUP($A277,BasisTable,2,0),0)+J$1)/(1-J$2))</f>
        <v>63.9106449919078</v>
      </c>
      <c r="K277" s="1568" t="n">
        <f aca="false">IF(Assumptions!$L$25=4,VLOOKUP($A277,'Henwood Reference'!$E$9:$R$320,10),(VLOOKUP($A277,PriceTable,4,0)+IF(BasisNumber&lt;&gt;1,VLOOKUP($A277,BasisTable,2,0),0)+K$1)/(1-K$2))</f>
        <v>63.9106449919078</v>
      </c>
      <c r="L277" s="1523" t="n">
        <f aca="false">IF(Assumptions!$L$25=4,VLOOKUP($A277,'Henwood Reference'!$E$9:$R$320,10),(VLOOKUP($A277,PriceTableWeekend,2,0)+IF(BasisNumber&lt;&gt;1,VLOOKUP($A277,BasisTable,2,0),0)+L$1)/(1-L$2))</f>
        <v>63.9106449919078</v>
      </c>
      <c r="M277" s="1568" t="n">
        <f aca="false">IF(Assumptions!$L$25=4,VLOOKUP($A277,'Henwood Reference'!$E$9:$R$320,10),(VLOOKUP($A277,PriceTableWeekend,3,0)+IF(BasisNumber&lt;&gt;1,VLOOKUP($A277,BasisTable,2,0),0)+M$1)/(1-M$2))</f>
        <v>63.9106449919078</v>
      </c>
      <c r="N277" s="1599" t="n">
        <f aca="false">IF(Assumptions!$L$25=4,VLOOKUP($A277,'Henwood Reference'!$E$9:$R$320,10),(VLOOKUP($A277,PriceTableWeekend,4,0)+IF(BasisNumber&lt;&gt;1,VLOOKUP($A277,BasisTable,2,0),0)+N$1)/(1-N$2))</f>
        <v>63.9106449919078</v>
      </c>
      <c r="O277" s="1568" t="n">
        <f aca="false">IF(Assumptions!$L$25=4,VLOOKUP($A277,'Henwood Reference'!$E$9:$R$320,11),(VLOOKUP($A277,PriceTableWeekend,6,0)+IF(BasisNumber&lt;&gt;1,VLOOKUP($A277,BasisTable,3,0),0)+O$1)/(1-O$2))</f>
        <v>36.0208625351768</v>
      </c>
      <c r="P277" s="1568" t="n">
        <f aca="false">IF(Assumptions!$L$25=4,VLOOKUP($A277,'Henwood Reference'!$E$9:$R$320,11),(VLOOKUP($A277,PriceTableWeekend,7,0)+IF(BasisNumber&lt;&gt;1,VLOOKUP($A277,BasisTable,3,0),0)+P$1)/(1-P$2))</f>
        <v>36.0208625351768</v>
      </c>
      <c r="Q277" s="1599" t="n">
        <f aca="false">IF(Assumptions!$L$25=4,VLOOKUP($A277,'Henwood Reference'!$E$9:$R$320,11),(VLOOKUP($A277,PriceTableWeekend,8,0)+IF(BasisNumber&lt;&gt;1,VLOOKUP($A277,BasisTable,3,0),0)+Q$1)/(1-Q$2))</f>
        <v>36.0208625351768</v>
      </c>
      <c r="R277" s="1568" t="n">
        <f aca="false">IF(Assumptions!$L$25=4,VLOOKUP($A277,'Henwood Reference'!$E$9:$R$320,11),(VLOOKUP($A277,PriceTable,6,0)+IF(BasisNumber&lt;&gt;1,VLOOKUP($A277,BasisTable,3,0),0)+R$1)/(1-R$2))</f>
        <v>36.0208625351768</v>
      </c>
      <c r="S277" s="1568" t="n">
        <f aca="false">IF(Assumptions!$L$25=4,VLOOKUP($A277,'Henwood Reference'!$E$9:$R$320,11),(VLOOKUP($A277,PriceTable,7,0)+IF(BasisNumber&lt;&gt;1,VLOOKUP($A277,BasisTable,3,0),0)+S$1)/(1-S$2))</f>
        <v>36.0208625351768</v>
      </c>
      <c r="T277" s="1600" t="n">
        <f aca="false">IF(Assumptions!$L$25=4,VLOOKUP($A277,'Henwood Reference'!$E$9:$R$320,11),(VLOOKUP($A277,PriceTable,8,0)+IF(BasisNumber&lt;&gt;1,VLOOKUP($A277,BasisTable,3,0),0)+T$1)/(1-T$2))</f>
        <v>36.0208625351768</v>
      </c>
      <c r="U277" s="1513" t="n">
        <f aca="false">VLOOKUP($A277,VolatilityTable,14)</f>
        <v>0.09</v>
      </c>
      <c r="V277" s="1513" t="n">
        <f aca="false">VLOOKUP($A277,VolatilityTable,15)</f>
        <v>0.1</v>
      </c>
      <c r="W277" s="1514" t="n">
        <f aca="false">VLOOKUP($A277,VolatilityTable,16)</f>
        <v>0.11</v>
      </c>
      <c r="X277" s="1513" t="n">
        <f aca="false">VLOOKUP($A277,VolatilityTable,14)</f>
        <v>0.09</v>
      </c>
      <c r="Y277" s="1513" t="n">
        <f aca="false">VLOOKUP($A277,VolatilityTable,15)</f>
        <v>0.1</v>
      </c>
      <c r="Z277" s="1514" t="n">
        <f aca="false">VLOOKUP($A277,VolatilityTable,16)</f>
        <v>0.11</v>
      </c>
      <c r="AA277" s="1513" t="n">
        <f aca="false">VLOOKUP($A277,VolatilityTable,18)</f>
        <v>0.09</v>
      </c>
      <c r="AB277" s="1513" t="n">
        <f aca="false">VLOOKUP($A277,VolatilityTable,19)</f>
        <v>0.11</v>
      </c>
      <c r="AC277" s="1514" t="n">
        <f aca="false">VLOOKUP($A277,VolatilityTable,20)</f>
        <v>0.13</v>
      </c>
      <c r="AD277" s="1513" t="n">
        <f aca="false">VLOOKUP($A277,VolatilityTable,18)</f>
        <v>0.09</v>
      </c>
      <c r="AE277" s="1513" t="n">
        <f aca="false">VLOOKUP($A277,VolatilityTable,19)</f>
        <v>0.11</v>
      </c>
      <c r="AF277" s="1514" t="n">
        <f aca="false">VLOOKUP($A277,VolatilityTable,20)</f>
        <v>0.13</v>
      </c>
      <c r="AG277" s="1513" t="n">
        <f aca="false">VLOOKUP($A277,VolatilityTable,22)</f>
        <v>-0.25</v>
      </c>
      <c r="AH277" s="1513" t="n">
        <f aca="false">VLOOKUP($A277,VolatilityTable,23)</f>
        <v>0.6</v>
      </c>
      <c r="AI277" s="1514" t="n">
        <f aca="false">VLOOKUP($A277,VolatilityTable,24)</f>
        <v>0.25</v>
      </c>
      <c r="AJ277" s="1513" t="n">
        <f aca="false">VLOOKUP($A277,VolatilityTable,22)</f>
        <v>-0.25</v>
      </c>
      <c r="AK277" s="1513" t="n">
        <f aca="false">VLOOKUP($A277,VolatilityTable,23)</f>
        <v>0.6</v>
      </c>
      <c r="AL277" s="1514" t="n">
        <f aca="false">VLOOKUP($A277,VolatilityTable,24)</f>
        <v>0.25</v>
      </c>
      <c r="AM277" s="1513" t="n">
        <f aca="false">VLOOKUP($A277,VolatilityTable,26)</f>
        <v>-0.01</v>
      </c>
      <c r="AN277" s="1513" t="n">
        <f aca="false">VLOOKUP($A277,VolatilityTable,27)</f>
        <v>0.16</v>
      </c>
      <c r="AO277" s="1514" t="n">
        <f aca="false">VLOOKUP($A277,VolatilityTable,28)</f>
        <v>0.01</v>
      </c>
      <c r="AP277" s="1513" t="n">
        <f aca="false">VLOOKUP($A277,VolatilityTable,26)</f>
        <v>-0.01</v>
      </c>
      <c r="AQ277" s="1513" t="n">
        <f aca="false">VLOOKUP($A277,VolatilityTable,27)</f>
        <v>0.16</v>
      </c>
      <c r="AR277" s="1515" t="n">
        <f aca="false">VLOOKUP($A277,VolatilityTable,28)</f>
        <v>0.01</v>
      </c>
      <c r="AS277" s="1581" t="n">
        <f aca="false">IF(CorrPeakOffPeakOverFlag,INDEX(CorrPeakOffPeakOver,C277),CorrPeakOffPeak)</f>
        <v>0.5</v>
      </c>
      <c r="AT277" s="594" t="e">
        <f aca="false">AX277-SUM(AU277:AW277)</f>
        <v>#VALUE!</v>
      </c>
      <c r="AU277" s="238" t="e">
        <f aca="false">IF(E277="",0,INT((F277-MOD(F277,7)-E277)/7)+1-IF(AW277,IF(WEEKDAY(D277)=7,1,0),0))</f>
        <v>#VALUE!</v>
      </c>
      <c r="AV277" s="238" t="e">
        <f aca="false">IF(E277="",0,INT((F277-MOD(F277-1,7)-E277)/7)+1-IF(AW277,IF(WEEKDAY(D277)=1,1,0),0))</f>
        <v>#VALUE!</v>
      </c>
      <c r="AW277" s="238" t="e">
        <f aca="false">IF(OR(E277="",D277="",D277&lt;BegDate,D277&gt;EndDate),0,1)</f>
        <v>#VALUE!</v>
      </c>
      <c r="AX277" s="238" t="n">
        <f aca="false">IF(E277="",0,F277-E277+1)</f>
        <v>31</v>
      </c>
      <c r="AY277" s="1582" t="n">
        <f aca="false">IF(E277="",0,MIN((1-(1-VLOOKUP(B277,MAIN!$AA$7:$AM$28,C277+1))*(1-VLOOKUP(B277,MAIN!$AA$33:$AM$54,C277+1))),1))</f>
        <v>0.03</v>
      </c>
      <c r="AZ277" s="1519" t="e">
        <v>#VALUE!</v>
      </c>
      <c r="BA277" s="1520" t="e">
        <v>#VALUE!</v>
      </c>
      <c r="BB277" s="1520" t="e">
        <v>#VALUE!</v>
      </c>
      <c r="BC277" s="1583" t="e">
        <v>#VALUE!</v>
      </c>
      <c r="BD277" s="1522" t="e">
        <v>#VALUE!</v>
      </c>
      <c r="BE277" s="1523" t="e">
        <v>#VALUE!</v>
      </c>
      <c r="BF277" s="1523" t="e">
        <v>#VALUE!</v>
      </c>
      <c r="BG277" s="1584" t="e">
        <v>#VALUE!</v>
      </c>
      <c r="BH277" s="1525" t="e">
        <v>#VALUE!</v>
      </c>
      <c r="BI277" s="1520" t="e">
        <v>#VALUE!</v>
      </c>
      <c r="BJ277" s="1520" t="e">
        <v>#VALUE!</v>
      </c>
      <c r="BK277" s="1583" t="e">
        <v>#VALUE!</v>
      </c>
      <c r="BL277" s="1522" t="e">
        <v>#VALUE!</v>
      </c>
      <c r="BM277" s="1523" t="e">
        <v>#VALUE!</v>
      </c>
      <c r="BN277" s="1523" t="e">
        <v>#VALUE!</v>
      </c>
      <c r="BO277" s="1523" t="e">
        <v>#VALUE!</v>
      </c>
      <c r="BP277" s="1525" t="e">
        <f aca="false">SUM(AZ277:BB277)</f>
        <v>#VALUE!</v>
      </c>
      <c r="BQ277" s="1529" t="e">
        <f aca="false">SUM(AZ277:BC277)</f>
        <v>#VALUE!</v>
      </c>
      <c r="BR277" s="1519" t="e">
        <f aca="false">SUM(BH277:BJ277)</f>
        <v>#VALUE!</v>
      </c>
      <c r="BS277" s="1529" t="e">
        <f aca="false">SUM(BH277:BK277)</f>
        <v>#VALUE!</v>
      </c>
      <c r="BT277" s="1316" t="n">
        <f aca="false">(IF(OVolType&lt;&gt;2,A277+14,IF(OptExpDateShift,ShiftBack(A277,OptExpDateShift,D276),A277))-DateToday)/365.25</f>
        <v>21.7166324435318</v>
      </c>
      <c r="BU277" s="1585" t="e">
        <f aca="false">IF(BQ277,IF(OPriceCurve,IF(OBuySell=OCallPut,I277/(1-AY277),K277/(1-AY277)),J277/(1-AY277))*BD277,0)</f>
        <v>#VALUE!</v>
      </c>
      <c r="BV277" s="1316" t="e">
        <f aca="false">IF(BQ277,IF(OPriceCurve,IF(OBuySell=OCallPut,L277/(1-AY277),N277/(1-AY277)),M277/(1-AY277))*BE277,0)</f>
        <v>#VALUE!</v>
      </c>
      <c r="BW277" s="1316" t="e">
        <f aca="false">IF(BQ277,IF(OPriceCurve,IF(OBuySell=OCallPut,O277/(1-AY277),Q277/(1-AY277)),P277/(1-AY277))*BF277,0)</f>
        <v>#VALUE!</v>
      </c>
      <c r="BX277" s="1316" t="e">
        <f aca="false">IF(BQ277,IF(OPriceCurve,IF(OBuySell=OCallPut,R277/(1-AY277),T277/(1-AY277)),S277/(1-AY277))*BG277,0)</f>
        <v>#VALUE!</v>
      </c>
      <c r="BY277" s="1316" t="e">
        <f aca="false">IF(BP277,(BU277*AZ277+BV277*BA277+BW277*BB277)/BP277,0)</f>
        <v>#VALUE!</v>
      </c>
      <c r="BZ277" s="1316" t="e">
        <f aca="false">IF(BQ277,(BY277*BP277+BX277*BC277)/BQ277,0)</f>
        <v>#VALUE!</v>
      </c>
      <c r="CA277" s="1531" t="e">
        <f aca="false">IF(BS277,IF(OPriceCurve,IF(OBuySell=OCallPut,I277/(1-AY277),K277/(1-AY277)),J277/(1-AY277))*BL277,0)</f>
        <v>#VALUE!</v>
      </c>
      <c r="CB277" s="1316" t="e">
        <f aca="false">IF(BS277,IF(OPriceCurve,IF(OBuySell=OCallPut,L277/(1-AY277),N277/(1-AY277)),M277/(1-AY277))*BM277,0)</f>
        <v>#VALUE!</v>
      </c>
      <c r="CC277" s="1316" t="e">
        <f aca="false">IF(BS277,IF(OPriceCurve,IF(OBuySell=OCallPut,O277/(1-AY277),Q277/(1-AY277)),P277/(1-AY277))*BN277,0)</f>
        <v>#VALUE!</v>
      </c>
      <c r="CD277" s="1316" t="e">
        <f aca="false">IF(BS277,IF(OPriceCurve,IF(OBuySell=OCallPut,R277/(1-AY277),T277/(1-AY277)),S277/(1-AY277))*BO277,0)</f>
        <v>#VALUE!</v>
      </c>
      <c r="CE277" s="1316" t="e">
        <f aca="false">IF(BR277,(BU277*BH277+BV277*BI277+BW277*BJ277)/BR277,0)</f>
        <v>#VALUE!</v>
      </c>
      <c r="CF277" s="1532" t="e">
        <f aca="false">IF(BS277,(CE277*BR277+CD277*BK277)/BS277,0)</f>
        <v>#VALUE!</v>
      </c>
      <c r="CG277" s="1586" t="e">
        <f aca="false">IF(OR(BQ277,BS277),IF(OVolType&lt;&gt;2,SQRT(IF(OVolOverMonthlyPeak,OVolOverMonthlyPeak,IF(OVolCurve,IF(OBuySell,U277,W277),V277))^2*(1-15/365.25/BT277)+IF(OVolOverDailyPeak,OVolOverDailyPeak,IF(OVolCurve,IF(OBuySell,AG277,AI277),AH277))^2*15/365.25/BT277),IF(OVolOverMonthlyPeak,OVolOverMonthlyPeak,IF(OVolCurve,IF(OBuySell,U277,W277),V277))),"")</f>
        <v>#VALUE!</v>
      </c>
      <c r="CH277" s="1587" t="e">
        <f aca="false">IF(OR(BQ277,BS277),IF(OVolType&lt;&gt;2,SQRT(IF(OVolOverMonthlyPeak,OVolOverMonthlyPeak,IF(OVolCurve,IF(OBuySell,X277,Z277),Y277))^2*(1-15/365.25/BT277)+IF(OVolOverDailyPeak,OVolOverDailyPeak,IF(OVolCurve,IF(OBuySell,AJ277,AL277),AK277))^2*15/365.25/BT277),IF(OVolOverMonthlyPeak,OVolOverMonthlyPeak,IF(OVolCurve,IF(OBuySell,X277,Z277),Y277))),"")</f>
        <v>#VALUE!</v>
      </c>
      <c r="CI277" s="1587" t="e">
        <f aca="false">IF(OR(BQ277,BS277),IF(OVolType&lt;&gt;2,SQRT(IF(OVolOverMonthlyPeak,OVolOverMonthlyPeak,IF(OVolCurve,IF(OBuySell,AA277,AC277),AB277))^2*(1-15/365.25/BT277)+IF(OVolOverDailyPeak,OVolOverDailyPeak,IF(OVolCurve,IF(OBuySell,AM277,AO277),AN277))^2*15/365.25/BT277),IF(OVolOverMonthlyPeak,OVolOverMonthlyPeak,IF(OVolCurve,IF(OBuySell,AA277,AC277),AB277))),"")</f>
        <v>#VALUE!</v>
      </c>
      <c r="CJ277" s="1587" t="e">
        <f aca="false">IF(BQ277,IF(BP277,SQRT(LN(1+((BU277*AZ277)^2*(EXP(CG277^2*BT277)-1)+(BV277*BA277)^2*(EXP(CH277^2*BT277)-1)+(BW277*BB277)^2*(EXP(CI277^2*BT277)-1)+2*BU277*AZ277*BV277*BA277*(EXP(CG277*CH277*BT277)-1)+2*BV277*BA277*BW277*BB277*(EXP(CH277*CI277*BT277)-1)+2*BW277*BB277*BU277*AZ277*(EXP(CI277*CG277*BT277)-1))/(BY277*BP277)^2)/BT277),0),"")</f>
        <v>#VALUE!</v>
      </c>
      <c r="CK277" s="1587" t="e">
        <f aca="false">IF(BS277,IF(BR277,SQRT(LN(1+((CA277*BH277)^2*(EXP(CG277^2*BT277)-1)+(CB277*BI277)^2*(EXP(CH277^2*BT277)-1)+(CC277*BJ277)^2*(EXP(CI277^2*BT277)-1)+2*CA277*BH277*CB277*BI277*(EXP(CG277*CH277*BT277)-1)+2*CB277*BI277*CC277*BJ277*(EXP(CH277*CI277*BT277)-1)+2*CC277*BJ277*CA277*BH277*(EXP(CI277*CG277*BT277)-1))/(CE277*BR277)^2)/BT277),0),"")</f>
        <v>#VALUE!</v>
      </c>
      <c r="CL277" s="1587" t="e">
        <f aca="false">IF(OR(BQ277,BS277),IF(OVolType&lt;&gt;2,SQRT(IF(OVolOverMonthlyOffPeak,OVolOverMonthlyOffPeak,IF(OVolCurve,IF(OBuySell,AD277,AF277),AE277))^2*(1-15/365.25/BT277)+IF(OVolOverDailyOffPeak,OVolOverDailyOffPeak,IF(OVolCurve,IF(OBuySell,AP277,AR277),AQ277))^2*15/365.25/BT277),IF(OVolOverMonthlyOffPeak,OVolOverMonthlyOffPeak,IF(OVolCurve,IF(OBuySell,AD277,AF277),AE277))),"")</f>
        <v>#VALUE!</v>
      </c>
      <c r="CM277" s="1587" t="e">
        <f aca="false">IF(BQ277,SQRT(LN(1+((BY277*BP277)^2*(EXP(CJ277^2*BT277)-1)+(BX277*BC277)^2*(EXP(CL277^2*BT277)-1)+2*BY277*BP277*BX277*BC277*(EXP(AS277*CJ277*CL277*BT277)-1))/(BY277*BP277+BX277*BC277)^2)/BT277),"")</f>
        <v>#VALUE!</v>
      </c>
      <c r="CN277" s="1588" t="e">
        <f aca="false">IF(BS277,SQRT(LN(1+((CE277*BR277)^2*(EXP(CK277^2*BT277)-1)+(CD277*BK277)^2*(EXP(CL277^2*BT277)-1)+2*CE277*BR277*CD277*BK277*(EXP(AS277*CK277*CL277*BT277)-1))/(CE277*BR277+CD277*BK277)^2)/BT277),"")</f>
        <v>#VALUE!</v>
      </c>
      <c r="CO277" s="1531" t="e">
        <f aca="false">IF(OR(BQ277,BS277),VLOOKUP(A277,GasTable,13)*HeatRatePeak*(1+VLOOKUP($B277,HeatRateDegradation,$C277+1))/1000,0)</f>
        <v>#VALUE!</v>
      </c>
      <c r="CP277" s="1316" t="e">
        <f aca="false">IF(OR(BQ277,BS277),VLOOKUP(A277,GasTable,13)*HeatRatePeak*(1+VLOOKUP($B277,HeatRateDegradation,$C277+1))/1000,0)</f>
        <v>#VALUE!</v>
      </c>
      <c r="CQ277" s="1316" t="e">
        <f aca="false">IF(OR(BQ277,BS277),VLOOKUP(A277,GasTable,13)*IF(EV277,HeatRatePeak,HeatRateOffPeak)*(1+VLOOKUP($B277,HeatRateDegradation,$C277+1))/1000,0)</f>
        <v>#VALUE!</v>
      </c>
      <c r="CR277" s="1316" t="e">
        <f aca="false">IF(OR(BQ277,BS277),VLOOKUP(A277,GasTable,13)*IF(EW277,HeatRatePeak,HeatRateOffPeak)*(1+VLOOKUP($B277,HeatRateDegradation,$C277+1))/1000,0)</f>
        <v>#VALUE!</v>
      </c>
      <c r="CS277" s="1589" t="e">
        <f aca="false">IF(BQ277,(CO277*AZ277+CP277*BA277+CQ277*BB277+CR277*BC277)/BQ277,0)</f>
        <v>#VALUE!</v>
      </c>
      <c r="CT277" s="1316" t="e">
        <f aca="false">IF(BS277,CO277,0)</f>
        <v>#VALUE!</v>
      </c>
      <c r="CU277" s="1590" t="e">
        <f aca="false">IF(OR(BQ277,BS277),VLOOKUP(A277,GasTable,14),"")</f>
        <v>#VALUE!</v>
      </c>
      <c r="CV277" s="1568" t="e">
        <f aca="false">IF(OR(BQ277,BS277),IF(CorrPowerGasOverFlag,INDEX(CorrPowerGasOver,C277),CorrPowerGas),"")</f>
        <v>#VALUE!</v>
      </c>
      <c r="CW277" s="1316" t="e">
        <f aca="false">IF(OR($BQ277,$BS277),SpreadOptPowerMargin,0)*((1+Assumptions!$C$26)^($B277-YEAR(Assumptions!$C$17)))</f>
        <v>#VALUE!</v>
      </c>
      <c r="CX277" s="1316" t="e">
        <f aca="false">IF(OR($BQ277,$BS277),SpreadOptPowerMargin,0)*((1+Assumptions!$C$26)^($B277-YEAR(Assumptions!$C$17)))</f>
        <v>#VALUE!</v>
      </c>
      <c r="CY277" s="1316" t="e">
        <f aca="false">IF(OR($BQ277,$BS277),SpreadOptPowerMargin,0)*((1+Assumptions!$C$26)^($B277-YEAR(Assumptions!$C$17)))</f>
        <v>#VALUE!</v>
      </c>
      <c r="CZ277" s="1316" t="e">
        <f aca="false">IF(OR($BQ277,$BS277),SpreadOptPowerMargin,0)*((1+Assumptions!$C$26)^($B277-YEAR(Assumptions!$C$17)))</f>
        <v>#VALUE!</v>
      </c>
      <c r="DA277" s="1591" t="e">
        <f aca="false">IF(OR(BQ277,BS277),(CW277*(AZ277+BH277)+CX277*(BA277+BI277)+CY277*(BB277+BJ277)+CZ277*(BC277+BK277))/(BQ277+BS277),0)</f>
        <v>#VALUE!</v>
      </c>
      <c r="DB277" s="1592" t="e">
        <f aca="false">IF(OR(BQ277,BS277),CG277+IF(OVolSmile,VLOOKUP(MAX(-5,CO277+CW277-BU277),IF(OVolSmile=1,VolSmileBook,VolSmileModel),2),0),"")</f>
        <v>#VALUE!</v>
      </c>
      <c r="DC277" s="1592" t="e">
        <f aca="false">IF(OR(BQ277,BS277),CH277+IF(OVolSmile,VLOOKUP(MAX(-5,CP277+CW277-BV277),IF(OVolSmile=1,VolSmileBook,VolSmileModel),2),0),"")</f>
        <v>#VALUE!</v>
      </c>
      <c r="DD277" s="1592" t="e">
        <f aca="false">IF(OR(BQ277,BS277),CI277+IF(OVolSmile,VLOOKUP(MAX(-5,CQ277+CW277-BW277),IF(OVolSmile=1,VolSmileBook,VolSmileModel),2),0),"")</f>
        <v>#VALUE!</v>
      </c>
      <c r="DE277" s="1592" t="e">
        <f aca="false">IF(OR(BQ277,BS277),CL277+IF(OVolSmile,VLOOKUP(MAX(-5,CR277+CZ277-BX277),IF(OVolSmile=1,VolSmileBook,VolSmileModel),2),0),"")</f>
        <v>#VALUE!</v>
      </c>
      <c r="DF277" s="1592" t="e">
        <f aca="false">IF(BQ277,CM277+IF(OVolSmile,VLOOKUP(MAX(-5,CS277+DA277-BZ277),IF(OVolSmile=1,VolSmileBook,VolSmileModel),2),0),"")</f>
        <v>#VALUE!</v>
      </c>
      <c r="DG277" s="1593" t="e">
        <f aca="false">IF(BS277,CN277+IF(OVolSmile,VLOOKUP(MAX(-5,CT277+DA277-CF277),IF(OVolSmile=1,VolSmileBook,VolSmileModel),2),0),"")</f>
        <v>#VALUE!</v>
      </c>
      <c r="DH277" s="1316" t="e">
        <f aca="false">IF(AND(BU277&gt;0,CO277&gt;0,DB277&gt;0,CU277&gt;0),newSPRDOPT(BU277,CO277,CW277,0,DB277,CU277,CV277,BT277*365.25,OCallPut,0),0)</f>
        <v>#VALUE!</v>
      </c>
      <c r="DI277" s="1316" t="e">
        <f aca="false">IF(AND(BV277&gt;0,CP277&gt;0,DC277&gt;0,CU277&gt;0),newSPRDOPT(BV277,CP277,CX277,0,DC277,CU277,CV277,BT277*365.25,OCallPut,0),0)</f>
        <v>#VALUE!</v>
      </c>
      <c r="DJ277" s="1316" t="e">
        <f aca="false">IF(AND(BW277&gt;0,CQ277&gt;0,DD277&gt;0,CU277&gt;0),newSPRDOPT(BW277,CQ277,CY277,0,DD277,CU277,CV277,BT277*365.25,OCallPut,0),0)</f>
        <v>#VALUE!</v>
      </c>
      <c r="DK277" s="1316" t="e">
        <f aca="false">IF(AND(BX277&gt;0,CR277&gt;0,DE277&gt;0,CU277&gt;0),newSPRDOPT(BX277,CR277,CZ277,0,DE277,CU277,CV277,BT277*365.25,OCallPut,0),0)</f>
        <v>#VALUE!</v>
      </c>
      <c r="DL277" s="1316" t="e">
        <f aca="false">IF(OVolType,IF(AND(BZ277&gt;0,CS277&gt;0,DF277&gt;0,CU277&gt;0),newSPRDOPT(BZ277,CS277,DA277,0,DF277,CU277,CV277,BT277*365.25,OCallPut,0),0),IF(BQ277,(DH277*AZ277+DI277*BA277+DJ277*BB277+DK277*BC277)/BQ277,0))</f>
        <v>#VALUE!</v>
      </c>
      <c r="DM277" s="1316"/>
      <c r="DN277" s="1316"/>
      <c r="DO277" s="1316"/>
      <c r="DP277" s="1316"/>
      <c r="DQ277" s="1316"/>
      <c r="DR277" s="1316"/>
      <c r="DS277" s="1316"/>
      <c r="DT277" s="1316"/>
      <c r="DU277" s="1316"/>
      <c r="DV277" s="1316"/>
      <c r="DW277" s="1594" t="e">
        <f aca="false">IF(AND(BW277&gt;0,CT277&gt;0,DD277&gt;0,CU277&gt;0),newSPRDOPT(BW277,CT277,CY277,0,DD277,CU277,CV277,BT277*365.25,OCallPut,0),0)</f>
        <v>#VALUE!</v>
      </c>
      <c r="DX277" s="1316" t="e">
        <f aca="false">IF(AND(BX277&gt;0,CT277&gt;0,DE277&gt;0,CU277&gt;0),newSPRDOPT(BX277,CT277,CZ277,0,DE277,CU277,CV277,BT277*365.25,OCallPut,0),0)</f>
        <v>#VALUE!</v>
      </c>
      <c r="DY277" s="1591" t="e">
        <f aca="false">IF(BS277,(DH277*BH277+DI277*BI277+DW277*BJ277+DX277*BK277)/BS277,0)</f>
        <v>#VALUE!</v>
      </c>
      <c r="DZ277" s="1551" t="e">
        <f aca="false">DH277*AZ277</f>
        <v>#VALUE!</v>
      </c>
      <c r="EA277" s="1551" t="e">
        <f aca="false">DI277*BA277</f>
        <v>#VALUE!</v>
      </c>
      <c r="EB277" s="1551" t="e">
        <f aca="false">DJ277*BB277</f>
        <v>#VALUE!</v>
      </c>
      <c r="EC277" s="1551" t="e">
        <f aca="false">DK277*BC277</f>
        <v>#VALUE!</v>
      </c>
      <c r="ED277" s="1551" t="e">
        <f aca="false">DL277*BQ277</f>
        <v>#VALUE!</v>
      </c>
      <c r="EE277" s="1595" t="e">
        <f aca="false">IF(BQ277,IF(OCallPut,IF(BU277&gt;(CO277+CW277),BU277-(CO277+CW277),0),IF((CO277+CW277)&gt;BU277,(CO277+CW277)-BU277,0))*AZ277,0)</f>
        <v>#VALUE!</v>
      </c>
      <c r="EF277" s="1596" t="e">
        <f aca="false">IF(BQ277,IF(OCallPut,IF(BV277&gt;(CP277+CX277),BV277-(CP277+CX277),0),IF((CP277+CX277)&gt;BV277,(CP277+CX277)-BV277,0))*BA277,0)</f>
        <v>#VALUE!</v>
      </c>
      <c r="EG277" s="1596" t="e">
        <f aca="false">IF(BQ277,IF(OCallPut,IF(BW277&gt;(CQ277+CY277),BW277-(CQ277+CY277),0),IF((CQ277+CY277)&gt;BW277,(CQ277+CY277)-BW277,0))*BB277,0)</f>
        <v>#VALUE!</v>
      </c>
      <c r="EH277" s="1596" t="e">
        <f aca="false">IF(BQ277,IF(OCallPut,IF(BX277&gt;(CR277+CZ277),BX277-(CR277+CZ277),0),IF((CR277+CZ277)&gt;BX277,(CR277+CZ277)-BX277,0))*BC277,0)</f>
        <v>#VALUE!</v>
      </c>
      <c r="EI277" s="1597" t="e">
        <f aca="false">IF(BQ277,IF(OVolType,IF(OCallPut,IF(BZ277&gt;(CS277+DA277),BZ277-(CS277+DA277),0),IF((CS277+DA277)&gt;BZ277,(CS277+DA277)-BZ277,0))*BQ277,SUM(EE277:EH277)),0)</f>
        <v>#VALUE!</v>
      </c>
      <c r="EJ277" s="1595" t="e">
        <f aca="false">DZ277-EE277</f>
        <v>#VALUE!</v>
      </c>
      <c r="EK277" s="1596" t="e">
        <f aca="false">EA277-EF277</f>
        <v>#VALUE!</v>
      </c>
      <c r="EL277" s="1596" t="e">
        <f aca="false">EB277-EG277</f>
        <v>#VALUE!</v>
      </c>
      <c r="EM277" s="1596" t="e">
        <f aca="false">EC277-EH277</f>
        <v>#VALUE!</v>
      </c>
      <c r="EN277" s="1597" t="e">
        <f aca="false">ED277-EI277</f>
        <v>#VALUE!</v>
      </c>
      <c r="EO277" s="1551" t="e">
        <f aca="false">DH277*BH277</f>
        <v>#VALUE!</v>
      </c>
      <c r="EP277" s="1551" t="e">
        <f aca="false">DI277*BI277</f>
        <v>#VALUE!</v>
      </c>
      <c r="EQ277" s="1551" t="e">
        <f aca="false">DW277*BJ277</f>
        <v>#VALUE!</v>
      </c>
      <c r="ER277" s="1551" t="e">
        <f aca="false">DX277*BK277</f>
        <v>#VALUE!</v>
      </c>
      <c r="ES277" s="1551" t="e">
        <f aca="false">DY277*BS277</f>
        <v>#VALUE!</v>
      </c>
      <c r="ET277" s="1566" t="e">
        <f aca="false">IF(EI277,IF(OCallPut,IF(CA277&gt;(CT277+CW277),CA277-(CT277+CW277),0),IF((CT277+CW277)&gt;CA277,(CT277+CW277)-CA277,0))*BH277,0)</f>
        <v>#VALUE!</v>
      </c>
      <c r="EU277" s="1551" t="e">
        <f aca="false">IF(EI277,IF(OCallPut,IF(CB277&gt;(CT277+CX277),CB277-(CT277+CX277),0),IF((CT277+CX277)&gt;CB277,(CT277+CX277)-CB277,0))*BI277,0)</f>
        <v>#VALUE!</v>
      </c>
      <c r="EV277" s="1551" t="e">
        <f aca="false">IF(EI277,IF(OCallPut,IF(CC277&gt;(CT277+CY277),CC277-(CT277+CY277),0),IF((CT277+CY277)&gt;CC277,(CT277+CY277)-CC277,0))*BJ277,0)</f>
        <v>#VALUE!</v>
      </c>
      <c r="EW277" s="1551" t="e">
        <f aca="false">IF(EI277,IF(OCallPut,IF(CD277&gt;(CT277+CZ277),CD277-(CT277+CZ277),0),IF((CT277+CZ277)&gt;CD277,(CT277+CZ277)-CD277,0))*BK277,0)</f>
        <v>#VALUE!</v>
      </c>
      <c r="EX277" s="1558" t="e">
        <f aca="false">IF(EI277,SUM(ET277:EW277),0)</f>
        <v>#VALUE!</v>
      </c>
      <c r="EY277" s="1551" t="e">
        <f aca="false">EO277-ET277</f>
        <v>#VALUE!</v>
      </c>
      <c r="EZ277" s="1551" t="e">
        <f aca="false">EP277-EU277</f>
        <v>#VALUE!</v>
      </c>
      <c r="FA277" s="1551" t="e">
        <f aca="false">EQ277-EV277</f>
        <v>#VALUE!</v>
      </c>
      <c r="FB277" s="1551" t="e">
        <f aca="false">ER277-EW277</f>
        <v>#VALUE!</v>
      </c>
      <c r="FC277" s="1551" t="e">
        <f aca="false">ES277-EX277</f>
        <v>#VALUE!</v>
      </c>
      <c r="FD277" s="1525" t="n">
        <f aca="false">IF(AX277,IF(VLOOKUP(C277,MAIN!$L$17:$M$28,2)="Yes",VLOOKUP(CALC!B277,MAIN!$H$17:$I$20,2),0),0)</f>
        <v>0</v>
      </c>
      <c r="FE277" s="1552" t="e">
        <f aca="false">$FD277*16*AT277*(1-$AY277)</f>
        <v>#VALUE!</v>
      </c>
      <c r="FF277" s="1553" t="e">
        <f aca="false">$FD277*16*AU277*(1-$AY277)</f>
        <v>#VALUE!</v>
      </c>
      <c r="FG277" s="1553" t="e">
        <f aca="false">$FD277*16*(AV277+AW277)*(1-$AY277)</f>
        <v>#VALUE!</v>
      </c>
      <c r="FH277" s="1554" t="n">
        <f aca="false">$FD277*8*AX277*(1-$AY277)</f>
        <v>0</v>
      </c>
      <c r="FI277" s="1555" t="n">
        <f aca="false">IF(AX277,VLOOKUP(CALC!B277,MAIN!$H$17:$K$20,4),0)</f>
        <v>0</v>
      </c>
      <c r="FJ277" s="1553" t="e">
        <f aca="false">SUM(FE277:FH277)</f>
        <v>#VALUE!</v>
      </c>
      <c r="FK277" s="1556" t="e">
        <f aca="false">FI277*FJ277</f>
        <v>#VALUE!</v>
      </c>
      <c r="FL277" s="1551" t="e">
        <f aca="false">IF($EI277&gt;0,MIN(FE277,AZ277*(1+VLOOKUP($C277,WeatherCapacityAdjustment,2))),0)</f>
        <v>#VALUE!</v>
      </c>
      <c r="FM277" s="1551" t="e">
        <f aca="false">IF($EI277&gt;0,MIN(FF277,BA277*(1+VLOOKUP($C277,WeatherCapacityAdjustment,2))),0)</f>
        <v>#VALUE!</v>
      </c>
      <c r="FN277" s="1551" t="e">
        <f aca="false">IF($EI277&gt;0,MIN(FG277,BB277*(1+VLOOKUP($C277,WeatherCapacityAdjustment,2))),0)</f>
        <v>#VALUE!</v>
      </c>
      <c r="FO277" s="1564" t="e">
        <f aca="false">IF($EI277&gt;0,MIN(FH277,BC277*(1+VLOOKUP($C277,WeatherCapacityAdjustment,3))),0)</f>
        <v>#VALUE!</v>
      </c>
      <c r="FP277" s="1551" t="e">
        <f aca="false">IF(ET277&gt;0,MIN(FE277-FL277,BH277*(1+VLOOKUP($C277,WeatherCapacityAdjustment,2))),0)</f>
        <v>#VALUE!</v>
      </c>
      <c r="FQ277" s="1551" t="e">
        <f aca="false">IF(EU277&gt;0,MIN(FF277-FM277,BI277*(1+VLOOKUP($C277,WeatherCapacityAdjustment,2))),0)</f>
        <v>#VALUE!</v>
      </c>
      <c r="FR277" s="1551" t="e">
        <f aca="false">IF(EV277&gt;0,MIN(FG277-FN277,BJ277*(1+VLOOKUP($C277,WeatherCapacityAdjustment,2))),0)</f>
        <v>#VALUE!</v>
      </c>
      <c r="FS277" s="1558" t="e">
        <f aca="false">IF(EW277&gt;0,MIN(FH277-FO277,BK277*(1+VLOOKUP($C277,WeatherCapacityAdjustment,3))),0)</f>
        <v>#VALUE!</v>
      </c>
      <c r="FT277" s="1566" t="e">
        <f aca="false">IF(AND(Assumptions!$H$71="Yes",A277&gt;=Assumptions!$H$72,A277&lt;=Assumptions!$H$73),0,IF(AND($A277&gt;=Assumptions!$C$17,$A277&lt;=Assumptions!$C$18),MAX(AZ277*(1+VLOOKUP($C277,WeatherCapacityAdjustment,2))-FL277,0),0))</f>
        <v>#VALUE!</v>
      </c>
      <c r="FU277" s="1551" t="e">
        <f aca="false">IF(AND(Assumptions!$H$71="Yes",A277&gt;=Assumptions!$H$72,A277&lt;=Assumptions!$H$73),0,IF(AND($A277&gt;=Assumptions!$C$17,$A277&lt;=Assumptions!$C$18),MAX(BA277*(1+VLOOKUP($C277,WeatherCapacityAdjustment,2))-FM277,0),0))</f>
        <v>#VALUE!</v>
      </c>
      <c r="FV277" s="1551" t="e">
        <f aca="false">IF(AND(Assumptions!$H$71="Yes",A277&gt;=Assumptions!$H$72,A277&lt;=Assumptions!$H$73),0,IF(AND($A277&gt;=Assumptions!$C$17,$A277&lt;=Assumptions!$C$18),MAX(BB277*(1+VLOOKUP($C277,WeatherCapacityAdjustment,2))-FN277,0),0))</f>
        <v>#VALUE!</v>
      </c>
      <c r="FW277" s="1564" t="e">
        <f aca="false">IF(AND(Assumptions!$H$71="Yes",A277&gt;=Assumptions!$H$72,A277&lt;=Assumptions!$H$73),0,IF(AND($A277&gt;=Assumptions!$C$17,$A277&lt;=Assumptions!$C$18),MAX(BC277*(1+VLOOKUP($C277,WeatherCapacityAdjustment,3))-FO277,0),0))</f>
        <v>#VALUE!</v>
      </c>
      <c r="FX277" s="1569" t="e">
        <f aca="false">IF(AND(Assumptions!$H$71="Yes",A277&gt;=Assumptions!$H$72,A277&lt;=Assumptions!$H$73),0,IF(ET277&gt;0,MAX(BH277*(1+VLOOKUP($C277,WeatherCapacityAdjustment,2))-FP277,0),0))</f>
        <v>#VALUE!</v>
      </c>
      <c r="FY277" s="1551" t="e">
        <f aca="false">IF(AND(Assumptions!$H$71="Yes",A277&gt;=Assumptions!$H$72,A277&lt;=Assumptions!$H$73),0,IF(EU277&gt;0,MAX(BI277*(1+VLOOKUP($C277,WeatherCapacityAdjustment,3))-FQ277,0),0))</f>
        <v>#VALUE!</v>
      </c>
      <c r="FZ277" s="1551" t="e">
        <f aca="false">IF(AND(Assumptions!$H$71="Yes",A277&gt;=Assumptions!$H$72,A277&lt;=Assumptions!$H$73),0,IF(EV277&gt;0,MAX(BJ277*(1+VLOOKUP($C277,WeatherCapacityAdjustment,2))-FR277,0),0))</f>
        <v>#VALUE!</v>
      </c>
      <c r="GA277" s="1564" t="e">
        <f aca="false">IF(AND(Assumptions!$H$71="Yes",A277&gt;=Assumptions!$H$72,A277&lt;=Assumptions!$H$73),0,IF(EW277&gt;0,MAX(BK277*(1+VLOOKUP($C277,WeatherCapacityAdjustment,2))-FS277,0),0))</f>
        <v>#VALUE!</v>
      </c>
      <c r="GB277" s="1551" t="e">
        <f aca="false">SUM(FT277:GA277)</f>
        <v>#VALUE!</v>
      </c>
      <c r="GC277" s="1563" t="e">
        <f aca="false">+IF(SUM(FT277:GA277)=0,0,(SUMPRODUCT(BU277:BX277,FT277:FW277)+SUMPRODUCT(CA277:CD277,FX277:GA277))/SUM(FT277:GA277))</f>
        <v>#VALUE!</v>
      </c>
      <c r="GD277" s="1551" t="e">
        <f aca="false">(FT277*BU277+FX277*CA277+FU277*BV277+FY277*CB277+FV277*BW277+FZ277*CC277+FW277*BX277+GA277*CD277)</f>
        <v>#VALUE!</v>
      </c>
      <c r="GE277" s="1561" t="e">
        <f aca="false">+IF(BQ277,((FL277+FM277+FT277+FU277)*HeatRatePeak/1000*(1+VLOOKUP($C277,WeatherHeatRateAdjustment,2))+(FN277+FV277)*IF(EV277&gt;0,HeatRatePeak,HeatRateOffPeak)/1000*(1+VLOOKUP($C277,WeatherHeatRateAdjustment,2))+(FO277+FW277)*IF(EW277&gt;0,HeatRatePeak,HeatRateOffPeak)/1000*(1+VLOOKUP($C277,WeatherHeatRateAdjustment,3)))*(1+VLOOKUP($B277,HeatRateDegradation,$C277+1)),0)</f>
        <v>#VALUE!</v>
      </c>
      <c r="GF277" s="1562" t="e">
        <f aca="false">IF(BQ277,((FP277+FQ277+FR277+FX277+FY277+FZ277)*HeatRatePeak/1000*(1+VLOOKUP($C277,WeatherHeatRateAdjustment,2))+(FS277+GA277)*HeatRatePeak/1000*(1+VLOOKUP($C277,WeatherHeatRateAdjustment,3)))*(1+VLOOKUP($B277,HeatRateDegradation,$C277+1)),0)</f>
        <v>#VALUE!</v>
      </c>
      <c r="GG277" s="1563" t="e">
        <f aca="false">IF(BQ277,VLOOKUP(A277,GasTable,13),0)</f>
        <v>#VALUE!</v>
      </c>
      <c r="GH277" s="1564" t="e">
        <f aca="false">(GE277+GF277)*GG277</f>
        <v>#VALUE!</v>
      </c>
      <c r="GI277" s="1569" t="e">
        <f aca="false">GB277</f>
        <v>#VALUE!</v>
      </c>
      <c r="GJ277" s="1598" t="e">
        <f aca="false">+DA277</f>
        <v>#VALUE!</v>
      </c>
      <c r="GK277" s="1558" t="e">
        <f aca="false">+GI277*GJ277</f>
        <v>#VALUE!</v>
      </c>
      <c r="GL277" s="1566" t="e">
        <f aca="false">MAX(FE277-FL277-FP277,0)</f>
        <v>#VALUE!</v>
      </c>
      <c r="GM277" s="1551" t="e">
        <f aca="false">MAX(FF277-FM277-FQ277,0)</f>
        <v>#VALUE!</v>
      </c>
      <c r="GN277" s="1551" t="e">
        <f aca="false">MAX(FG277-FN277-FR277,0)</f>
        <v>#VALUE!</v>
      </c>
      <c r="GO277" s="1564" t="e">
        <f aca="false">MAX(FH277-FO277-FS277,0)</f>
        <v>#VALUE!</v>
      </c>
      <c r="GP277" s="1551" t="e">
        <f aca="false">SUM(GL277:GO277)</f>
        <v>#VALUE!</v>
      </c>
      <c r="GQ277" s="1563" t="e">
        <f aca="false">IF(SUM(GL277:GO277)=0,0,((GL277*BU277+GM277*BV277+GN277*BW277+GO277*BX277)/SUM(GL277:GO277)))</f>
        <v>#VALUE!</v>
      </c>
      <c r="GR277" s="1558" t="e">
        <f aca="false">(GL277*BU277+GM277*BV277+GN277*BW277+GO277*BX277)</f>
        <v>#VALUE!</v>
      </c>
      <c r="GS277" s="1566" t="n">
        <f aca="false">IF($A277&gt;=BegDate,Assumptions!$C$56*24*($A278-$A277)*(1-VLOOKUP($B277,MAIN!$AA$7:$AM$28,$C277+1))*(1-VLOOKUP($B277,MAIN!$AA$33:$AM$54,$C277+1)),0)*80/168</f>
        <v>257742.857142857</v>
      </c>
      <c r="GT277" s="286" t="n">
        <f aca="false">J277</f>
        <v>63.9106449919078</v>
      </c>
      <c r="GU277" s="286" t="n">
        <f aca="false">IF($A277&gt;=BegDate,VLOOKUP($A277,GasTable,13)+Assumptions!$C$58,0)</f>
        <v>4.58711122179671</v>
      </c>
      <c r="GV277" s="286" t="n">
        <f aca="false">GU277*Assumptions!$C$57/1000</f>
        <v>33.2565563580261</v>
      </c>
      <c r="GW277" s="1558" t="n">
        <f aca="false">IF(Assumptions!$C$60="Hourly",MAX(0,GS277*(GT277-GV277)),GS277*(GT277-GV277))</f>
        <v>7900872.38760705</v>
      </c>
      <c r="GX277" s="1566" t="n">
        <f aca="false">IF($A277&gt;=BegDate,Assumptions!$C$56*24*($A278-$A277)*(1-VLOOKUP($B277,MAIN!$AA$7:$AM$28,$C277+1))*(1-VLOOKUP($B277,MAIN!$AA$33:$AM$54,$C277+1)),0)*16/168</f>
        <v>51548.5714285714</v>
      </c>
      <c r="GY277" s="286" t="n">
        <f aca="false">M277</f>
        <v>63.9106449919078</v>
      </c>
      <c r="GZ277" s="286" t="n">
        <f aca="false">IF($A277&gt;=BegDate,VLOOKUP($A277,GasTable,13)+Assumptions!$C$58,0)</f>
        <v>4.58711122179671</v>
      </c>
      <c r="HA277" s="286" t="n">
        <f aca="false">GZ277*Assumptions!$C$57/1000</f>
        <v>33.2565563580261</v>
      </c>
      <c r="HB277" s="1558" t="n">
        <f aca="false">IF(Assumptions!$C$60="Hourly",MAX(0,GX277*(GY277-HA277)),GX277*(GY277-HA277))</f>
        <v>1580174.47752141</v>
      </c>
      <c r="HC277" s="1566" t="n">
        <f aca="false">IF($A277&gt;=BegDate,Assumptions!$C$56*24*($A278-$A277)*(1-VLOOKUP($B277,MAIN!$AA$7:$AM$28,$C277+1))*(1-VLOOKUP($B277,MAIN!$AA$33:$AM$54,$C277+1)),0)*16/168</f>
        <v>51548.5714285714</v>
      </c>
      <c r="HD277" s="286" t="n">
        <f aca="false">P277</f>
        <v>36.0208625351768</v>
      </c>
      <c r="HE277" s="286" t="n">
        <f aca="false">IF($A277&gt;=BegDate,VLOOKUP($A277,GasTable,13)+Assumptions!$C$58,0)</f>
        <v>4.58711122179671</v>
      </c>
      <c r="HF277" s="286" t="n">
        <f aca="false">HE277*Assumptions!$C$57/1000</f>
        <v>33.2565563580261</v>
      </c>
      <c r="HG277" s="1558" t="n">
        <f aca="false">IF(Assumptions!$C$60="Hourly",MAX(0,HC277*(HD277-HF277)),HC277*(HD277-HF277))</f>
        <v>142496.034423292</v>
      </c>
      <c r="HH277" s="1566" t="n">
        <f aca="false">IF($A277&gt;=BegDate,Assumptions!$C$56*24*($A278-$A277)*(1-VLOOKUP($B277,MAIN!$AA$7:$AM$28,$C277+1))*(1-VLOOKUP($B277,MAIN!$AA$33:$AM$54,$C277+1)),0)*56/168</f>
        <v>180420</v>
      </c>
      <c r="HI277" s="286" t="n">
        <f aca="false">S277</f>
        <v>36.0208625351768</v>
      </c>
      <c r="HJ277" s="286" t="n">
        <f aca="false">IF($A277&gt;=BegDate,VLOOKUP($A277,GasTable,13)+Assumptions!$C$58,0)</f>
        <v>4.58711122179671</v>
      </c>
      <c r="HK277" s="286" t="n">
        <f aca="false">HJ277*Assumptions!$C$57/1000</f>
        <v>33.2565563580261</v>
      </c>
      <c r="HL277" s="1558" t="n">
        <f aca="false">IF(Assumptions!$C$60="Hourly",MAX(0,HH277*(HI277-HK277)),HH277*(HI277-HK277))</f>
        <v>498736.120481522</v>
      </c>
      <c r="HM277" s="1566" t="n">
        <f aca="false">IF(AND(Assumptions!$H$71="Yes",A277&gt;=Assumptions!$H$72,A277&lt;=Assumptions!$H$73),Assumptions!$H$74*Assumptions!$C$9*1000,0)</f>
        <v>0</v>
      </c>
      <c r="HN277" s="1551"/>
      <c r="HO277" s="1563"/>
      <c r="HP277" s="1563"/>
      <c r="HQ277" s="1563"/>
      <c r="HR277" s="1563"/>
      <c r="HS277" s="1563"/>
      <c r="HT277" s="1563"/>
      <c r="HU277" s="1563"/>
      <c r="HV277" s="1563"/>
      <c r="HW277" s="1563"/>
      <c r="HX277" s="1563"/>
      <c r="HY277" s="1563"/>
      <c r="HZ277" s="1563"/>
      <c r="IA277" s="1563"/>
      <c r="IB277" s="1563"/>
      <c r="IC277" s="1563"/>
      <c r="ID277" s="1563"/>
      <c r="IE277" s="1563"/>
      <c r="IF277" s="1563"/>
      <c r="IG277" s="1563"/>
      <c r="IH277" s="1563"/>
      <c r="II277" s="1610"/>
      <c r="IJ277" s="1309"/>
      <c r="IK277" s="1309"/>
    </row>
    <row r="278" customFormat="false" ht="12.75" hidden="false" customHeight="false" outlineLevel="0" collapsed="false">
      <c r="A278" s="1571" t="n">
        <f aca="false">EOMONTH(A277,0)+1</f>
        <v>44593</v>
      </c>
      <c r="B278" s="594" t="n">
        <f aca="false">+YEAR(A278)</f>
        <v>2022</v>
      </c>
      <c r="C278" s="238" t="n">
        <f aca="false">MONTH(A278)</f>
        <v>2</v>
      </c>
      <c r="D278" s="1572" t="e">
        <f aca="false">IF(E278="","",Holiday(B278,C278))</f>
        <v>#VALUE!</v>
      </c>
      <c r="E278" s="1573" t="n">
        <f aca="false">IF(OR(BegDate&gt;=A279,EndDate&lt;A278,AND(VolumeMonthlyOverFlag,INDEX(VolumeMonthlyOver,C278)=0),NOT(INDEX(MonthKnockOutTable,C278))),"",MAX(A278,BegDate))</f>
        <v>44593</v>
      </c>
      <c r="F278" s="1574" t="n">
        <f aca="false">IF(E278="","",MIN(A279-1,EndDate))</f>
        <v>44620</v>
      </c>
      <c r="G278" s="1575" t="n">
        <v>0</v>
      </c>
      <c r="H278" s="1576" t="n">
        <f aca="false">(1+G278/2)^(-2*(DATE(B279,C279,20)-DateToday)/365.25)</f>
        <v>1</v>
      </c>
      <c r="I278" s="1568" t="n">
        <f aca="false">IF(Assumptions!$L$25=4,VLOOKUP($A278,'Henwood Reference'!$E$9:$R$320,10),(VLOOKUP($A278,PriceTable,2,0)+IF(BasisNumber&lt;&gt;1,VLOOKUP($A278,BasisTable,2,0),0)+I$1)/(1-I$2))</f>
        <v>47.8904306534928</v>
      </c>
      <c r="J278" s="1568" t="n">
        <f aca="false">IF(Assumptions!$L$25=4,VLOOKUP($A278,'Henwood Reference'!$E$9:$R$320,10),(VLOOKUP($A278,PriceTable,3,0)+IF(BasisNumber&lt;&gt;1,VLOOKUP($A278,BasisTable,2,0),0)+J$1)/(1-J$2))</f>
        <v>47.8904306534928</v>
      </c>
      <c r="K278" s="1568" t="n">
        <f aca="false">IF(Assumptions!$L$25=4,VLOOKUP($A278,'Henwood Reference'!$E$9:$R$320,10),(VLOOKUP($A278,PriceTable,4,0)+IF(BasisNumber&lt;&gt;1,VLOOKUP($A278,BasisTable,2,0),0)+K$1)/(1-K$2))</f>
        <v>47.8904306534928</v>
      </c>
      <c r="L278" s="1523" t="n">
        <f aca="false">IF(Assumptions!$L$25=4,VLOOKUP($A278,'Henwood Reference'!$E$9:$R$320,10),(VLOOKUP($A278,PriceTableWeekend,2,0)+IF(BasisNumber&lt;&gt;1,VLOOKUP($A278,BasisTable,2,0),0)+L$1)/(1-L$2))</f>
        <v>47.8904306534928</v>
      </c>
      <c r="M278" s="1568" t="n">
        <f aca="false">IF(Assumptions!$L$25=4,VLOOKUP($A278,'Henwood Reference'!$E$9:$R$320,10),(VLOOKUP($A278,PriceTableWeekend,3,0)+IF(BasisNumber&lt;&gt;1,VLOOKUP($A278,BasisTable,2,0),0)+M$1)/(1-M$2))</f>
        <v>47.8904306534928</v>
      </c>
      <c r="N278" s="1599" t="n">
        <f aca="false">IF(Assumptions!$L$25=4,VLOOKUP($A278,'Henwood Reference'!$E$9:$R$320,10),(VLOOKUP($A278,PriceTableWeekend,4,0)+IF(BasisNumber&lt;&gt;1,VLOOKUP($A278,BasisTable,2,0),0)+N$1)/(1-N$2))</f>
        <v>47.8904306534928</v>
      </c>
      <c r="O278" s="1568" t="n">
        <f aca="false">IF(Assumptions!$L$25=4,VLOOKUP($A278,'Henwood Reference'!$E$9:$R$320,11),(VLOOKUP($A278,PriceTableWeekend,6,0)+IF(BasisNumber&lt;&gt;1,VLOOKUP($A278,BasisTable,3,0),0)+O$1)/(1-O$2))</f>
        <v>29.786544914806</v>
      </c>
      <c r="P278" s="1568" t="n">
        <f aca="false">IF(Assumptions!$L$25=4,VLOOKUP($A278,'Henwood Reference'!$E$9:$R$320,11),(VLOOKUP($A278,PriceTableWeekend,7,0)+IF(BasisNumber&lt;&gt;1,VLOOKUP($A278,BasisTable,3,0),0)+P$1)/(1-P$2))</f>
        <v>29.786544914806</v>
      </c>
      <c r="Q278" s="1599" t="n">
        <f aca="false">IF(Assumptions!$L$25=4,VLOOKUP($A278,'Henwood Reference'!$E$9:$R$320,11),(VLOOKUP($A278,PriceTableWeekend,8,0)+IF(BasisNumber&lt;&gt;1,VLOOKUP($A278,BasisTable,3,0),0)+Q$1)/(1-Q$2))</f>
        <v>29.786544914806</v>
      </c>
      <c r="R278" s="1568" t="n">
        <f aca="false">IF(Assumptions!$L$25=4,VLOOKUP($A278,'Henwood Reference'!$E$9:$R$320,11),(VLOOKUP($A278,PriceTable,6,0)+IF(BasisNumber&lt;&gt;1,VLOOKUP($A278,BasisTable,3,0),0)+R$1)/(1-R$2))</f>
        <v>29.786544914806</v>
      </c>
      <c r="S278" s="1568" t="n">
        <f aca="false">IF(Assumptions!$L$25=4,VLOOKUP($A278,'Henwood Reference'!$E$9:$R$320,11),(VLOOKUP($A278,PriceTable,7,0)+IF(BasisNumber&lt;&gt;1,VLOOKUP($A278,BasisTable,3,0),0)+S$1)/(1-S$2))</f>
        <v>29.786544914806</v>
      </c>
      <c r="T278" s="1600" t="n">
        <f aca="false">IF(Assumptions!$L$25=4,VLOOKUP($A278,'Henwood Reference'!$E$9:$R$320,11),(VLOOKUP($A278,PriceTable,8,0)+IF(BasisNumber&lt;&gt;1,VLOOKUP($A278,BasisTable,3,0),0)+T$1)/(1-T$2))</f>
        <v>29.786544914806</v>
      </c>
      <c r="U278" s="1513" t="n">
        <f aca="false">VLOOKUP($A278,VolatilityTable,14)</f>
        <v>0.09</v>
      </c>
      <c r="V278" s="1513" t="n">
        <f aca="false">VLOOKUP($A278,VolatilityTable,15)</f>
        <v>0.1</v>
      </c>
      <c r="W278" s="1514" t="n">
        <f aca="false">VLOOKUP($A278,VolatilityTable,16)</f>
        <v>0.11</v>
      </c>
      <c r="X278" s="1513" t="n">
        <f aca="false">VLOOKUP($A278,VolatilityTable,14)</f>
        <v>0.09</v>
      </c>
      <c r="Y278" s="1513" t="n">
        <f aca="false">VLOOKUP($A278,VolatilityTable,15)</f>
        <v>0.1</v>
      </c>
      <c r="Z278" s="1514" t="n">
        <f aca="false">VLOOKUP($A278,VolatilityTable,16)</f>
        <v>0.11</v>
      </c>
      <c r="AA278" s="1513" t="n">
        <f aca="false">VLOOKUP($A278,VolatilityTable,18)</f>
        <v>0.09</v>
      </c>
      <c r="AB278" s="1513" t="n">
        <f aca="false">VLOOKUP($A278,VolatilityTable,19)</f>
        <v>0.11</v>
      </c>
      <c r="AC278" s="1514" t="n">
        <f aca="false">VLOOKUP($A278,VolatilityTable,20)</f>
        <v>0.13</v>
      </c>
      <c r="AD278" s="1513" t="n">
        <f aca="false">VLOOKUP($A278,VolatilityTable,18)</f>
        <v>0.09</v>
      </c>
      <c r="AE278" s="1513" t="n">
        <f aca="false">VLOOKUP($A278,VolatilityTable,19)</f>
        <v>0.11</v>
      </c>
      <c r="AF278" s="1514" t="n">
        <f aca="false">VLOOKUP($A278,VolatilityTable,20)</f>
        <v>0.13</v>
      </c>
      <c r="AG278" s="1513" t="n">
        <f aca="false">VLOOKUP($A278,VolatilityTable,22)</f>
        <v>-0.25</v>
      </c>
      <c r="AH278" s="1513" t="n">
        <f aca="false">VLOOKUP($A278,VolatilityTable,23)</f>
        <v>0.65</v>
      </c>
      <c r="AI278" s="1514" t="n">
        <f aca="false">VLOOKUP($A278,VolatilityTable,24)</f>
        <v>0.25</v>
      </c>
      <c r="AJ278" s="1513" t="n">
        <f aca="false">VLOOKUP($A278,VolatilityTable,22)</f>
        <v>-0.25</v>
      </c>
      <c r="AK278" s="1513" t="n">
        <f aca="false">VLOOKUP($A278,VolatilityTable,23)</f>
        <v>0.65</v>
      </c>
      <c r="AL278" s="1514" t="n">
        <f aca="false">VLOOKUP($A278,VolatilityTable,24)</f>
        <v>0.25</v>
      </c>
      <c r="AM278" s="1513" t="n">
        <f aca="false">VLOOKUP($A278,VolatilityTable,26)</f>
        <v>-0.01</v>
      </c>
      <c r="AN278" s="1513" t="n">
        <f aca="false">VLOOKUP($A278,VolatilityTable,27)</f>
        <v>0.16</v>
      </c>
      <c r="AO278" s="1514" t="n">
        <f aca="false">VLOOKUP($A278,VolatilityTable,28)</f>
        <v>0.01</v>
      </c>
      <c r="AP278" s="1513" t="n">
        <f aca="false">VLOOKUP($A278,VolatilityTable,26)</f>
        <v>-0.01</v>
      </c>
      <c r="AQ278" s="1513" t="n">
        <f aca="false">VLOOKUP($A278,VolatilityTable,27)</f>
        <v>0.16</v>
      </c>
      <c r="AR278" s="1515" t="n">
        <f aca="false">VLOOKUP($A278,VolatilityTable,28)</f>
        <v>0.01</v>
      </c>
      <c r="AS278" s="1581" t="n">
        <f aca="false">IF(CorrPeakOffPeakOverFlag,INDEX(CorrPeakOffPeakOver,C278),CorrPeakOffPeak)</f>
        <v>0.5</v>
      </c>
      <c r="AT278" s="594" t="e">
        <f aca="false">AX278-SUM(AU278:AW278)</f>
        <v>#VALUE!</v>
      </c>
      <c r="AU278" s="238" t="e">
        <f aca="false">IF(E278="",0,INT((F278-MOD(F278,7)-E278)/7)+1-IF(AW278,IF(WEEKDAY(D278)=7,1,0),0))</f>
        <v>#VALUE!</v>
      </c>
      <c r="AV278" s="238" t="e">
        <f aca="false">IF(E278="",0,INT((F278-MOD(F278-1,7)-E278)/7)+1-IF(AW278,IF(WEEKDAY(D278)=1,1,0),0))</f>
        <v>#VALUE!</v>
      </c>
      <c r="AW278" s="238" t="e">
        <f aca="false">IF(OR(E278="",D278="",D278&lt;BegDate,D278&gt;EndDate),0,1)</f>
        <v>#VALUE!</v>
      </c>
      <c r="AX278" s="238" t="n">
        <f aca="false">IF(E278="",0,F278-E278+1)</f>
        <v>28</v>
      </c>
      <c r="AY278" s="1582" t="n">
        <f aca="false">IF(E278="",0,MIN((1-(1-VLOOKUP(B278,MAIN!$AA$7:$AM$28,C278+1))*(1-VLOOKUP(B278,MAIN!$AA$33:$AM$54,C278+1))),1))</f>
        <v>0.03</v>
      </c>
      <c r="AZ278" s="1519" t="e">
        <v>#VALUE!</v>
      </c>
      <c r="BA278" s="1520" t="e">
        <v>#VALUE!</v>
      </c>
      <c r="BB278" s="1520" t="e">
        <v>#VALUE!</v>
      </c>
      <c r="BC278" s="1583" t="e">
        <v>#VALUE!</v>
      </c>
      <c r="BD278" s="1522" t="e">
        <v>#VALUE!</v>
      </c>
      <c r="BE278" s="1523" t="e">
        <v>#VALUE!</v>
      </c>
      <c r="BF278" s="1523" t="e">
        <v>#VALUE!</v>
      </c>
      <c r="BG278" s="1584" t="e">
        <v>#VALUE!</v>
      </c>
      <c r="BH278" s="1525" t="e">
        <v>#VALUE!</v>
      </c>
      <c r="BI278" s="1520" t="e">
        <v>#VALUE!</v>
      </c>
      <c r="BJ278" s="1520" t="e">
        <v>#VALUE!</v>
      </c>
      <c r="BK278" s="1583" t="e">
        <v>#VALUE!</v>
      </c>
      <c r="BL278" s="1522" t="e">
        <v>#VALUE!</v>
      </c>
      <c r="BM278" s="1523" t="e">
        <v>#VALUE!</v>
      </c>
      <c r="BN278" s="1523" t="e">
        <v>#VALUE!</v>
      </c>
      <c r="BO278" s="1523" t="e">
        <v>#VALUE!</v>
      </c>
      <c r="BP278" s="1525" t="e">
        <f aca="false">SUM(AZ278:BB278)</f>
        <v>#VALUE!</v>
      </c>
      <c r="BQ278" s="1529" t="e">
        <f aca="false">SUM(AZ278:BC278)</f>
        <v>#VALUE!</v>
      </c>
      <c r="BR278" s="1519" t="e">
        <f aca="false">SUM(BH278:BJ278)</f>
        <v>#VALUE!</v>
      </c>
      <c r="BS278" s="1529" t="e">
        <f aca="false">SUM(BH278:BK278)</f>
        <v>#VALUE!</v>
      </c>
      <c r="BT278" s="1316" t="n">
        <f aca="false">(IF(OVolType&lt;&gt;2,A278+14,IF(OptExpDateShift,ShiftBack(A278,OptExpDateShift,D277),A278))-DateToday)/365.25</f>
        <v>21.8015058179329</v>
      </c>
      <c r="BU278" s="1585" t="e">
        <f aca="false">IF(BQ278,IF(OPriceCurve,IF(OBuySell=OCallPut,I278/(1-AY278),K278/(1-AY278)),J278/(1-AY278))*BD278,0)</f>
        <v>#VALUE!</v>
      </c>
      <c r="BV278" s="1316" t="e">
        <f aca="false">IF(BQ278,IF(OPriceCurve,IF(OBuySell=OCallPut,L278/(1-AY278),N278/(1-AY278)),M278/(1-AY278))*BE278,0)</f>
        <v>#VALUE!</v>
      </c>
      <c r="BW278" s="1316" t="e">
        <f aca="false">IF(BQ278,IF(OPriceCurve,IF(OBuySell=OCallPut,O278/(1-AY278),Q278/(1-AY278)),P278/(1-AY278))*BF278,0)</f>
        <v>#VALUE!</v>
      </c>
      <c r="BX278" s="1316" t="e">
        <f aca="false">IF(BQ278,IF(OPriceCurve,IF(OBuySell=OCallPut,R278/(1-AY278),T278/(1-AY278)),S278/(1-AY278))*BG278,0)</f>
        <v>#VALUE!</v>
      </c>
      <c r="BY278" s="1316" t="e">
        <f aca="false">IF(BP278,(BU278*AZ278+BV278*BA278+BW278*BB278)/BP278,0)</f>
        <v>#VALUE!</v>
      </c>
      <c r="BZ278" s="1316" t="e">
        <f aca="false">IF(BQ278,(BY278*BP278+BX278*BC278)/BQ278,0)</f>
        <v>#VALUE!</v>
      </c>
      <c r="CA278" s="1531" t="e">
        <f aca="false">IF(BS278,IF(OPriceCurve,IF(OBuySell=OCallPut,I278/(1-AY278),K278/(1-AY278)),J278/(1-AY278))*BL278,0)</f>
        <v>#VALUE!</v>
      </c>
      <c r="CB278" s="1316" t="e">
        <f aca="false">IF(BS278,IF(OPriceCurve,IF(OBuySell=OCallPut,L278/(1-AY278),N278/(1-AY278)),M278/(1-AY278))*BM278,0)</f>
        <v>#VALUE!</v>
      </c>
      <c r="CC278" s="1316" t="e">
        <f aca="false">IF(BS278,IF(OPriceCurve,IF(OBuySell=OCallPut,O278/(1-AY278),Q278/(1-AY278)),P278/(1-AY278))*BN278,0)</f>
        <v>#VALUE!</v>
      </c>
      <c r="CD278" s="1316" t="e">
        <f aca="false">IF(BS278,IF(OPriceCurve,IF(OBuySell=OCallPut,R278/(1-AY278),T278/(1-AY278)),S278/(1-AY278))*BO278,0)</f>
        <v>#VALUE!</v>
      </c>
      <c r="CE278" s="1316" t="e">
        <f aca="false">IF(BR278,(BU278*BH278+BV278*BI278+BW278*BJ278)/BR278,0)</f>
        <v>#VALUE!</v>
      </c>
      <c r="CF278" s="1532" t="e">
        <f aca="false">IF(BS278,(CE278*BR278+CD278*BK278)/BS278,0)</f>
        <v>#VALUE!</v>
      </c>
      <c r="CG278" s="1586" t="e">
        <f aca="false">IF(OR(BQ278,BS278),IF(OVolType&lt;&gt;2,SQRT(IF(OVolOverMonthlyPeak,OVolOverMonthlyPeak,IF(OVolCurve,IF(OBuySell,U278,W278),V278))^2*(1-15/365.25/BT278)+IF(OVolOverDailyPeak,OVolOverDailyPeak,IF(OVolCurve,IF(OBuySell,AG278,AI278),AH278))^2*15/365.25/BT278),IF(OVolOverMonthlyPeak,OVolOverMonthlyPeak,IF(OVolCurve,IF(OBuySell,U278,W278),V278))),"")</f>
        <v>#VALUE!</v>
      </c>
      <c r="CH278" s="1587" t="e">
        <f aca="false">IF(OR(BQ278,BS278),IF(OVolType&lt;&gt;2,SQRT(IF(OVolOverMonthlyPeak,OVolOverMonthlyPeak,IF(OVolCurve,IF(OBuySell,X278,Z278),Y278))^2*(1-15/365.25/BT278)+IF(OVolOverDailyPeak,OVolOverDailyPeak,IF(OVolCurve,IF(OBuySell,AJ278,AL278),AK278))^2*15/365.25/BT278),IF(OVolOverMonthlyPeak,OVolOverMonthlyPeak,IF(OVolCurve,IF(OBuySell,X278,Z278),Y278))),"")</f>
        <v>#VALUE!</v>
      </c>
      <c r="CI278" s="1587" t="e">
        <f aca="false">IF(OR(BQ278,BS278),IF(OVolType&lt;&gt;2,SQRT(IF(OVolOverMonthlyPeak,OVolOverMonthlyPeak,IF(OVolCurve,IF(OBuySell,AA278,AC278),AB278))^2*(1-15/365.25/BT278)+IF(OVolOverDailyPeak,OVolOverDailyPeak,IF(OVolCurve,IF(OBuySell,AM278,AO278),AN278))^2*15/365.25/BT278),IF(OVolOverMonthlyPeak,OVolOverMonthlyPeak,IF(OVolCurve,IF(OBuySell,AA278,AC278),AB278))),"")</f>
        <v>#VALUE!</v>
      </c>
      <c r="CJ278" s="1587" t="e">
        <f aca="false">IF(BQ278,IF(BP278,SQRT(LN(1+((BU278*AZ278)^2*(EXP(CG278^2*BT278)-1)+(BV278*BA278)^2*(EXP(CH278^2*BT278)-1)+(BW278*BB278)^2*(EXP(CI278^2*BT278)-1)+2*BU278*AZ278*BV278*BA278*(EXP(CG278*CH278*BT278)-1)+2*BV278*BA278*BW278*BB278*(EXP(CH278*CI278*BT278)-1)+2*BW278*BB278*BU278*AZ278*(EXP(CI278*CG278*BT278)-1))/(BY278*BP278)^2)/BT278),0),"")</f>
        <v>#VALUE!</v>
      </c>
      <c r="CK278" s="1587" t="e">
        <f aca="false">IF(BS278,IF(BR278,SQRT(LN(1+((CA278*BH278)^2*(EXP(CG278^2*BT278)-1)+(CB278*BI278)^2*(EXP(CH278^2*BT278)-1)+(CC278*BJ278)^2*(EXP(CI278^2*BT278)-1)+2*CA278*BH278*CB278*BI278*(EXP(CG278*CH278*BT278)-1)+2*CB278*BI278*CC278*BJ278*(EXP(CH278*CI278*BT278)-1)+2*CC278*BJ278*CA278*BH278*(EXP(CI278*CG278*BT278)-1))/(CE278*BR278)^2)/BT278),0),"")</f>
        <v>#VALUE!</v>
      </c>
      <c r="CL278" s="1587" t="e">
        <f aca="false">IF(OR(BQ278,BS278),IF(OVolType&lt;&gt;2,SQRT(IF(OVolOverMonthlyOffPeak,OVolOverMonthlyOffPeak,IF(OVolCurve,IF(OBuySell,AD278,AF278),AE278))^2*(1-15/365.25/BT278)+IF(OVolOverDailyOffPeak,OVolOverDailyOffPeak,IF(OVolCurve,IF(OBuySell,AP278,AR278),AQ278))^2*15/365.25/BT278),IF(OVolOverMonthlyOffPeak,OVolOverMonthlyOffPeak,IF(OVolCurve,IF(OBuySell,AD278,AF278),AE278))),"")</f>
        <v>#VALUE!</v>
      </c>
      <c r="CM278" s="1587" t="e">
        <f aca="false">IF(BQ278,SQRT(LN(1+((BY278*BP278)^2*(EXP(CJ278^2*BT278)-1)+(BX278*BC278)^2*(EXP(CL278^2*BT278)-1)+2*BY278*BP278*BX278*BC278*(EXP(AS278*CJ278*CL278*BT278)-1))/(BY278*BP278+BX278*BC278)^2)/BT278),"")</f>
        <v>#VALUE!</v>
      </c>
      <c r="CN278" s="1588" t="e">
        <f aca="false">IF(BS278,SQRT(LN(1+((CE278*BR278)^2*(EXP(CK278^2*BT278)-1)+(CD278*BK278)^2*(EXP(CL278^2*BT278)-1)+2*CE278*BR278*CD278*BK278*(EXP(AS278*CK278*CL278*BT278)-1))/(CE278*BR278+CD278*BK278)^2)/BT278),"")</f>
        <v>#VALUE!</v>
      </c>
      <c r="CO278" s="1531" t="e">
        <f aca="false">IF(OR(BQ278,BS278),VLOOKUP(A278,GasTable,13)*HeatRatePeak*(1+VLOOKUP($B278,HeatRateDegradation,$C278+1))/1000,0)</f>
        <v>#VALUE!</v>
      </c>
      <c r="CP278" s="1316" t="e">
        <f aca="false">IF(OR(BQ278,BS278),VLOOKUP(A278,GasTable,13)*HeatRatePeak*(1+VLOOKUP($B278,HeatRateDegradation,$C278+1))/1000,0)</f>
        <v>#VALUE!</v>
      </c>
      <c r="CQ278" s="1316" t="e">
        <f aca="false">IF(OR(BQ278,BS278),VLOOKUP(A278,GasTable,13)*IF(EV278,HeatRatePeak,HeatRateOffPeak)*(1+VLOOKUP($B278,HeatRateDegradation,$C278+1))/1000,0)</f>
        <v>#VALUE!</v>
      </c>
      <c r="CR278" s="1316" t="e">
        <f aca="false">IF(OR(BQ278,BS278),VLOOKUP(A278,GasTable,13)*IF(EW278,HeatRatePeak,HeatRateOffPeak)*(1+VLOOKUP($B278,HeatRateDegradation,$C278+1))/1000,0)</f>
        <v>#VALUE!</v>
      </c>
      <c r="CS278" s="1589" t="e">
        <f aca="false">IF(BQ278,(CO278*AZ278+CP278*BA278+CQ278*BB278+CR278*BC278)/BQ278,0)</f>
        <v>#VALUE!</v>
      </c>
      <c r="CT278" s="1316" t="e">
        <f aca="false">IF(BS278,CO278,0)</f>
        <v>#VALUE!</v>
      </c>
      <c r="CU278" s="1590" t="e">
        <f aca="false">IF(OR(BQ278,BS278),VLOOKUP(A278,GasTable,14),"")</f>
        <v>#VALUE!</v>
      </c>
      <c r="CV278" s="1568" t="e">
        <f aca="false">IF(OR(BQ278,BS278),IF(CorrPowerGasOverFlag,INDEX(CorrPowerGasOver,C278),CorrPowerGas),"")</f>
        <v>#VALUE!</v>
      </c>
      <c r="CW278" s="1316" t="e">
        <f aca="false">IF(OR($BQ278,$BS278),SpreadOptPowerMargin,0)*((1+Assumptions!$C$26)^($B278-YEAR(Assumptions!$C$17)))</f>
        <v>#VALUE!</v>
      </c>
      <c r="CX278" s="1316" t="e">
        <f aca="false">IF(OR($BQ278,$BS278),SpreadOptPowerMargin,0)*((1+Assumptions!$C$26)^($B278-YEAR(Assumptions!$C$17)))</f>
        <v>#VALUE!</v>
      </c>
      <c r="CY278" s="1316" t="e">
        <f aca="false">IF(OR($BQ278,$BS278),SpreadOptPowerMargin,0)*((1+Assumptions!$C$26)^($B278-YEAR(Assumptions!$C$17)))</f>
        <v>#VALUE!</v>
      </c>
      <c r="CZ278" s="1316" t="e">
        <f aca="false">IF(OR($BQ278,$BS278),SpreadOptPowerMargin,0)*((1+Assumptions!$C$26)^($B278-YEAR(Assumptions!$C$17)))</f>
        <v>#VALUE!</v>
      </c>
      <c r="DA278" s="1591" t="e">
        <f aca="false">IF(OR(BQ278,BS278),(CW278*(AZ278+BH278)+CX278*(BA278+BI278)+CY278*(BB278+BJ278)+CZ278*(BC278+BK278))/(BQ278+BS278),0)</f>
        <v>#VALUE!</v>
      </c>
      <c r="DB278" s="1592" t="e">
        <f aca="false">IF(OR(BQ278,BS278),CG278+IF(OVolSmile,VLOOKUP(MAX(-5,CO278+CW278-BU278),IF(OVolSmile=1,VolSmileBook,VolSmileModel),2),0),"")</f>
        <v>#VALUE!</v>
      </c>
      <c r="DC278" s="1592" t="e">
        <f aca="false">IF(OR(BQ278,BS278),CH278+IF(OVolSmile,VLOOKUP(MAX(-5,CP278+CW278-BV278),IF(OVolSmile=1,VolSmileBook,VolSmileModel),2),0),"")</f>
        <v>#VALUE!</v>
      </c>
      <c r="DD278" s="1592" t="e">
        <f aca="false">IF(OR(BQ278,BS278),CI278+IF(OVolSmile,VLOOKUP(MAX(-5,CQ278+CW278-BW278),IF(OVolSmile=1,VolSmileBook,VolSmileModel),2),0),"")</f>
        <v>#VALUE!</v>
      </c>
      <c r="DE278" s="1592" t="e">
        <f aca="false">IF(OR(BQ278,BS278),CL278+IF(OVolSmile,VLOOKUP(MAX(-5,CR278+CZ278-BX278),IF(OVolSmile=1,VolSmileBook,VolSmileModel),2),0),"")</f>
        <v>#VALUE!</v>
      </c>
      <c r="DF278" s="1592" t="e">
        <f aca="false">IF(BQ278,CM278+IF(OVolSmile,VLOOKUP(MAX(-5,CS278+DA278-BZ278),IF(OVolSmile=1,VolSmileBook,VolSmileModel),2),0),"")</f>
        <v>#VALUE!</v>
      </c>
      <c r="DG278" s="1593" t="e">
        <f aca="false">IF(BS278,CN278+IF(OVolSmile,VLOOKUP(MAX(-5,CT278+DA278-CF278),IF(OVolSmile=1,VolSmileBook,VolSmileModel),2),0),"")</f>
        <v>#VALUE!</v>
      </c>
      <c r="DH278" s="1316" t="e">
        <f aca="false">IF(AND(BU278&gt;0,CO278&gt;0,DB278&gt;0,CU278&gt;0),newSPRDOPT(BU278,CO278,CW278,0,DB278,CU278,CV278,BT278*365.25,OCallPut,0),0)</f>
        <v>#VALUE!</v>
      </c>
      <c r="DI278" s="1316" t="e">
        <f aca="false">IF(AND(BV278&gt;0,CP278&gt;0,DC278&gt;0,CU278&gt;0),newSPRDOPT(BV278,CP278,CX278,0,DC278,CU278,CV278,BT278*365.25,OCallPut,0),0)</f>
        <v>#VALUE!</v>
      </c>
      <c r="DJ278" s="1316" t="e">
        <f aca="false">IF(AND(BW278&gt;0,CQ278&gt;0,DD278&gt;0,CU278&gt;0),newSPRDOPT(BW278,CQ278,CY278,0,DD278,CU278,CV278,BT278*365.25,OCallPut,0),0)</f>
        <v>#VALUE!</v>
      </c>
      <c r="DK278" s="1316" t="e">
        <f aca="false">IF(AND(BX278&gt;0,CR278&gt;0,DE278&gt;0,CU278&gt;0),newSPRDOPT(BX278,CR278,CZ278,0,DE278,CU278,CV278,BT278*365.25,OCallPut,0),0)</f>
        <v>#VALUE!</v>
      </c>
      <c r="DL278" s="1316" t="e">
        <f aca="false">IF(OVolType,IF(AND(BZ278&gt;0,CS278&gt;0,DF278&gt;0,CU278&gt;0),newSPRDOPT(BZ278,CS278,DA278,0,DF278,CU278,CV278,BT278*365.25,OCallPut,0),0),IF(BQ278,(DH278*AZ278+DI278*BA278+DJ278*BB278+DK278*BC278)/BQ278,0))</f>
        <v>#VALUE!</v>
      </c>
      <c r="DM278" s="1316"/>
      <c r="DN278" s="1316"/>
      <c r="DO278" s="1316"/>
      <c r="DP278" s="1316"/>
      <c r="DQ278" s="1316"/>
      <c r="DR278" s="1316"/>
      <c r="DS278" s="1316"/>
      <c r="DT278" s="1316"/>
      <c r="DU278" s="1316"/>
      <c r="DV278" s="1316"/>
      <c r="DW278" s="1594" t="e">
        <f aca="false">IF(AND(BW278&gt;0,CT278&gt;0,DD278&gt;0,CU278&gt;0),newSPRDOPT(BW278,CT278,CY278,0,DD278,CU278,CV278,BT278*365.25,OCallPut,0),0)</f>
        <v>#VALUE!</v>
      </c>
      <c r="DX278" s="1316" t="e">
        <f aca="false">IF(AND(BX278&gt;0,CT278&gt;0,DE278&gt;0,CU278&gt;0),newSPRDOPT(BX278,CT278,CZ278,0,DE278,CU278,CV278,BT278*365.25,OCallPut,0),0)</f>
        <v>#VALUE!</v>
      </c>
      <c r="DY278" s="1591" t="e">
        <f aca="false">IF(BS278,(DH278*BH278+DI278*BI278+DW278*BJ278+DX278*BK278)/BS278,0)</f>
        <v>#VALUE!</v>
      </c>
      <c r="DZ278" s="1551" t="e">
        <f aca="false">DH278*AZ278</f>
        <v>#VALUE!</v>
      </c>
      <c r="EA278" s="1551" t="e">
        <f aca="false">DI278*BA278</f>
        <v>#VALUE!</v>
      </c>
      <c r="EB278" s="1551" t="e">
        <f aca="false">DJ278*BB278</f>
        <v>#VALUE!</v>
      </c>
      <c r="EC278" s="1551" t="e">
        <f aca="false">DK278*BC278</f>
        <v>#VALUE!</v>
      </c>
      <c r="ED278" s="1551" t="e">
        <f aca="false">DL278*BQ278</f>
        <v>#VALUE!</v>
      </c>
      <c r="EE278" s="1595" t="e">
        <f aca="false">IF(BQ278,IF(OCallPut,IF(BU278&gt;(CO278+CW278),BU278-(CO278+CW278),0),IF((CO278+CW278)&gt;BU278,(CO278+CW278)-BU278,0))*AZ278,0)</f>
        <v>#VALUE!</v>
      </c>
      <c r="EF278" s="1596" t="e">
        <f aca="false">IF(BQ278,IF(OCallPut,IF(BV278&gt;(CP278+CX278),BV278-(CP278+CX278),0),IF((CP278+CX278)&gt;BV278,(CP278+CX278)-BV278,0))*BA278,0)</f>
        <v>#VALUE!</v>
      </c>
      <c r="EG278" s="1596" t="e">
        <f aca="false">IF(BQ278,IF(OCallPut,IF(BW278&gt;(CQ278+CY278),BW278-(CQ278+CY278),0),IF((CQ278+CY278)&gt;BW278,(CQ278+CY278)-BW278,0))*BB278,0)</f>
        <v>#VALUE!</v>
      </c>
      <c r="EH278" s="1596" t="e">
        <f aca="false">IF(BQ278,IF(OCallPut,IF(BX278&gt;(CR278+CZ278),BX278-(CR278+CZ278),0),IF((CR278+CZ278)&gt;BX278,(CR278+CZ278)-BX278,0))*BC278,0)</f>
        <v>#VALUE!</v>
      </c>
      <c r="EI278" s="1597" t="e">
        <f aca="false">IF(BQ278,IF(OVolType,IF(OCallPut,IF(BZ278&gt;(CS278+DA278),BZ278-(CS278+DA278),0),IF((CS278+DA278)&gt;BZ278,(CS278+DA278)-BZ278,0))*BQ278,SUM(EE278:EH278)),0)</f>
        <v>#VALUE!</v>
      </c>
      <c r="EJ278" s="1595" t="e">
        <f aca="false">DZ278-EE278</f>
        <v>#VALUE!</v>
      </c>
      <c r="EK278" s="1596" t="e">
        <f aca="false">EA278-EF278</f>
        <v>#VALUE!</v>
      </c>
      <c r="EL278" s="1596" t="e">
        <f aca="false">EB278-EG278</f>
        <v>#VALUE!</v>
      </c>
      <c r="EM278" s="1596" t="e">
        <f aca="false">EC278-EH278</f>
        <v>#VALUE!</v>
      </c>
      <c r="EN278" s="1597" t="e">
        <f aca="false">ED278-EI278</f>
        <v>#VALUE!</v>
      </c>
      <c r="EO278" s="1551" t="e">
        <f aca="false">DH278*BH278</f>
        <v>#VALUE!</v>
      </c>
      <c r="EP278" s="1551" t="e">
        <f aca="false">DI278*BI278</f>
        <v>#VALUE!</v>
      </c>
      <c r="EQ278" s="1551" t="e">
        <f aca="false">DW278*BJ278</f>
        <v>#VALUE!</v>
      </c>
      <c r="ER278" s="1551" t="e">
        <f aca="false">DX278*BK278</f>
        <v>#VALUE!</v>
      </c>
      <c r="ES278" s="1551" t="e">
        <f aca="false">DY278*BS278</f>
        <v>#VALUE!</v>
      </c>
      <c r="ET278" s="1566" t="e">
        <f aca="false">IF(EI278,IF(OCallPut,IF(CA278&gt;(CT278+CW278),CA278-(CT278+CW278),0),IF((CT278+CW278)&gt;CA278,(CT278+CW278)-CA278,0))*BH278,0)</f>
        <v>#VALUE!</v>
      </c>
      <c r="EU278" s="1551" t="e">
        <f aca="false">IF(EI278,IF(OCallPut,IF(CB278&gt;(CT278+CX278),CB278-(CT278+CX278),0),IF((CT278+CX278)&gt;CB278,(CT278+CX278)-CB278,0))*BI278,0)</f>
        <v>#VALUE!</v>
      </c>
      <c r="EV278" s="1551" t="e">
        <f aca="false">IF(EI278,IF(OCallPut,IF(CC278&gt;(CT278+CY278),CC278-(CT278+CY278),0),IF((CT278+CY278)&gt;CC278,(CT278+CY278)-CC278,0))*BJ278,0)</f>
        <v>#VALUE!</v>
      </c>
      <c r="EW278" s="1551" t="e">
        <f aca="false">IF(EI278,IF(OCallPut,IF(CD278&gt;(CT278+CZ278),CD278-(CT278+CZ278),0),IF((CT278+CZ278)&gt;CD278,(CT278+CZ278)-CD278,0))*BK278,0)</f>
        <v>#VALUE!</v>
      </c>
      <c r="EX278" s="1558" t="e">
        <f aca="false">IF(EI278,SUM(ET278:EW278),0)</f>
        <v>#VALUE!</v>
      </c>
      <c r="EY278" s="1551" t="e">
        <f aca="false">EO278-ET278</f>
        <v>#VALUE!</v>
      </c>
      <c r="EZ278" s="1551" t="e">
        <f aca="false">EP278-EU278</f>
        <v>#VALUE!</v>
      </c>
      <c r="FA278" s="1551" t="e">
        <f aca="false">EQ278-EV278</f>
        <v>#VALUE!</v>
      </c>
      <c r="FB278" s="1551" t="e">
        <f aca="false">ER278-EW278</f>
        <v>#VALUE!</v>
      </c>
      <c r="FC278" s="1551" t="e">
        <f aca="false">ES278-EX278</f>
        <v>#VALUE!</v>
      </c>
      <c r="FD278" s="1525" t="n">
        <f aca="false">IF(AX278,IF(VLOOKUP(C278,MAIN!$L$17:$M$28,2)="Yes",VLOOKUP(CALC!B278,MAIN!$H$17:$I$20,2),0),0)</f>
        <v>0</v>
      </c>
      <c r="FE278" s="1552" t="e">
        <f aca="false">$FD278*16*AT278*(1-$AY278)</f>
        <v>#VALUE!</v>
      </c>
      <c r="FF278" s="1553" t="e">
        <f aca="false">$FD278*16*AU278*(1-$AY278)</f>
        <v>#VALUE!</v>
      </c>
      <c r="FG278" s="1553" t="e">
        <f aca="false">$FD278*16*(AV278+AW278)*(1-$AY278)</f>
        <v>#VALUE!</v>
      </c>
      <c r="FH278" s="1554" t="n">
        <f aca="false">$FD278*8*AX278*(1-$AY278)</f>
        <v>0</v>
      </c>
      <c r="FI278" s="1555" t="n">
        <f aca="false">IF(AX278,VLOOKUP(CALC!B278,MAIN!$H$17:$K$20,4),0)</f>
        <v>0</v>
      </c>
      <c r="FJ278" s="1553" t="e">
        <f aca="false">SUM(FE278:FH278)</f>
        <v>#VALUE!</v>
      </c>
      <c r="FK278" s="1556" t="e">
        <f aca="false">FI278*FJ278</f>
        <v>#VALUE!</v>
      </c>
      <c r="FL278" s="1551" t="e">
        <f aca="false">IF($EI278&gt;0,MIN(FE278,AZ278*(1+VLOOKUP($C278,WeatherCapacityAdjustment,2))),0)</f>
        <v>#VALUE!</v>
      </c>
      <c r="FM278" s="1551" t="e">
        <f aca="false">IF($EI278&gt;0,MIN(FF278,BA278*(1+VLOOKUP($C278,WeatherCapacityAdjustment,2))),0)</f>
        <v>#VALUE!</v>
      </c>
      <c r="FN278" s="1551" t="e">
        <f aca="false">IF($EI278&gt;0,MIN(FG278,BB278*(1+VLOOKUP($C278,WeatherCapacityAdjustment,2))),0)</f>
        <v>#VALUE!</v>
      </c>
      <c r="FO278" s="1564" t="e">
        <f aca="false">IF($EI278&gt;0,MIN(FH278,BC278*(1+VLOOKUP($C278,WeatherCapacityAdjustment,3))),0)</f>
        <v>#VALUE!</v>
      </c>
      <c r="FP278" s="1551" t="e">
        <f aca="false">IF(ET278&gt;0,MIN(FE278-FL278,BH278*(1+VLOOKUP($C278,WeatherCapacityAdjustment,2))),0)</f>
        <v>#VALUE!</v>
      </c>
      <c r="FQ278" s="1551" t="e">
        <f aca="false">IF(EU278&gt;0,MIN(FF278-FM278,BI278*(1+VLOOKUP($C278,WeatherCapacityAdjustment,2))),0)</f>
        <v>#VALUE!</v>
      </c>
      <c r="FR278" s="1551" t="e">
        <f aca="false">IF(EV278&gt;0,MIN(FG278-FN278,BJ278*(1+VLOOKUP($C278,WeatherCapacityAdjustment,2))),0)</f>
        <v>#VALUE!</v>
      </c>
      <c r="FS278" s="1558" t="e">
        <f aca="false">IF(EW278&gt;0,MIN(FH278-FO278,BK278*(1+VLOOKUP($C278,WeatherCapacityAdjustment,3))),0)</f>
        <v>#VALUE!</v>
      </c>
      <c r="FT278" s="1566" t="e">
        <f aca="false">IF(AND(Assumptions!$H$71="Yes",A278&gt;=Assumptions!$H$72,A278&lt;=Assumptions!$H$73),0,IF(AND($A278&gt;=Assumptions!$C$17,$A278&lt;=Assumptions!$C$18),MAX(AZ278*(1+VLOOKUP($C278,WeatherCapacityAdjustment,2))-FL278,0),0))</f>
        <v>#VALUE!</v>
      </c>
      <c r="FU278" s="1551" t="e">
        <f aca="false">IF(AND(Assumptions!$H$71="Yes",A278&gt;=Assumptions!$H$72,A278&lt;=Assumptions!$H$73),0,IF(AND($A278&gt;=Assumptions!$C$17,$A278&lt;=Assumptions!$C$18),MAX(BA278*(1+VLOOKUP($C278,WeatherCapacityAdjustment,2))-FM278,0),0))</f>
        <v>#VALUE!</v>
      </c>
      <c r="FV278" s="1551" t="e">
        <f aca="false">IF(AND(Assumptions!$H$71="Yes",A278&gt;=Assumptions!$H$72,A278&lt;=Assumptions!$H$73),0,IF(AND($A278&gt;=Assumptions!$C$17,$A278&lt;=Assumptions!$C$18),MAX(BB278*(1+VLOOKUP($C278,WeatherCapacityAdjustment,2))-FN278,0),0))</f>
        <v>#VALUE!</v>
      </c>
      <c r="FW278" s="1564" t="e">
        <f aca="false">IF(AND(Assumptions!$H$71="Yes",A278&gt;=Assumptions!$H$72,A278&lt;=Assumptions!$H$73),0,IF(AND($A278&gt;=Assumptions!$C$17,$A278&lt;=Assumptions!$C$18),MAX(BC278*(1+VLOOKUP($C278,WeatherCapacityAdjustment,3))-FO278,0),0))</f>
        <v>#VALUE!</v>
      </c>
      <c r="FX278" s="1569" t="e">
        <f aca="false">IF(AND(Assumptions!$H$71="Yes",A278&gt;=Assumptions!$H$72,A278&lt;=Assumptions!$H$73),0,IF(ET278&gt;0,MAX(BH278*(1+VLOOKUP($C278,WeatherCapacityAdjustment,2))-FP278,0),0))</f>
        <v>#VALUE!</v>
      </c>
      <c r="FY278" s="1551" t="e">
        <f aca="false">IF(AND(Assumptions!$H$71="Yes",A278&gt;=Assumptions!$H$72,A278&lt;=Assumptions!$H$73),0,IF(EU278&gt;0,MAX(BI278*(1+VLOOKUP($C278,WeatherCapacityAdjustment,3))-FQ278,0),0))</f>
        <v>#VALUE!</v>
      </c>
      <c r="FZ278" s="1551" t="e">
        <f aca="false">IF(AND(Assumptions!$H$71="Yes",A278&gt;=Assumptions!$H$72,A278&lt;=Assumptions!$H$73),0,IF(EV278&gt;0,MAX(BJ278*(1+VLOOKUP($C278,WeatherCapacityAdjustment,2))-FR278,0),0))</f>
        <v>#VALUE!</v>
      </c>
      <c r="GA278" s="1564" t="e">
        <f aca="false">IF(AND(Assumptions!$H$71="Yes",A278&gt;=Assumptions!$H$72,A278&lt;=Assumptions!$H$73),0,IF(EW278&gt;0,MAX(BK278*(1+VLOOKUP($C278,WeatherCapacityAdjustment,2))-FS278,0),0))</f>
        <v>#VALUE!</v>
      </c>
      <c r="GB278" s="1551" t="e">
        <f aca="false">SUM(FT278:GA278)</f>
        <v>#VALUE!</v>
      </c>
      <c r="GC278" s="1563" t="e">
        <f aca="false">+IF(SUM(FT278:GA278)=0,0,(SUMPRODUCT(BU278:BX278,FT278:FW278)+SUMPRODUCT(CA278:CD278,FX278:GA278))/SUM(FT278:GA278))</f>
        <v>#VALUE!</v>
      </c>
      <c r="GD278" s="1551" t="e">
        <f aca="false">(FT278*BU278+FX278*CA278+FU278*BV278+FY278*CB278+FV278*BW278+FZ278*CC278+FW278*BX278+GA278*CD278)</f>
        <v>#VALUE!</v>
      </c>
      <c r="GE278" s="1561" t="e">
        <f aca="false">+IF(BQ278,((FL278+FM278+FT278+FU278)*HeatRatePeak/1000*(1+VLOOKUP($C278,WeatherHeatRateAdjustment,2))+(FN278+FV278)*IF(EV278&gt;0,HeatRatePeak,HeatRateOffPeak)/1000*(1+VLOOKUP($C278,WeatherHeatRateAdjustment,2))+(FO278+FW278)*IF(EW278&gt;0,HeatRatePeak,HeatRateOffPeak)/1000*(1+VLOOKUP($C278,WeatherHeatRateAdjustment,3)))*(1+VLOOKUP($B278,HeatRateDegradation,$C278+1)),0)</f>
        <v>#VALUE!</v>
      </c>
      <c r="GF278" s="1562" t="e">
        <f aca="false">IF(BQ278,((FP278+FQ278+FR278+FX278+FY278+FZ278)*HeatRatePeak/1000*(1+VLOOKUP($C278,WeatherHeatRateAdjustment,2))+(FS278+GA278)*HeatRatePeak/1000*(1+VLOOKUP($C278,WeatherHeatRateAdjustment,3)))*(1+VLOOKUP($B278,HeatRateDegradation,$C278+1)),0)</f>
        <v>#VALUE!</v>
      </c>
      <c r="GG278" s="1563" t="e">
        <f aca="false">IF(BQ278,VLOOKUP(A278,GasTable,13),0)</f>
        <v>#VALUE!</v>
      </c>
      <c r="GH278" s="1564" t="e">
        <f aca="false">(GE278+GF278)*GG278</f>
        <v>#VALUE!</v>
      </c>
      <c r="GI278" s="1569" t="e">
        <f aca="false">GB278</f>
        <v>#VALUE!</v>
      </c>
      <c r="GJ278" s="1598" t="e">
        <f aca="false">+DA278</f>
        <v>#VALUE!</v>
      </c>
      <c r="GK278" s="1558" t="e">
        <f aca="false">+GI278*GJ278</f>
        <v>#VALUE!</v>
      </c>
      <c r="GL278" s="1566" t="e">
        <f aca="false">MAX(FE278-FL278-FP278,0)</f>
        <v>#VALUE!</v>
      </c>
      <c r="GM278" s="1551" t="e">
        <f aca="false">MAX(FF278-FM278-FQ278,0)</f>
        <v>#VALUE!</v>
      </c>
      <c r="GN278" s="1551" t="e">
        <f aca="false">MAX(FG278-FN278-FR278,0)</f>
        <v>#VALUE!</v>
      </c>
      <c r="GO278" s="1564" t="e">
        <f aca="false">MAX(FH278-FO278-FS278,0)</f>
        <v>#VALUE!</v>
      </c>
      <c r="GP278" s="1551" t="e">
        <f aca="false">SUM(GL278:GO278)</f>
        <v>#VALUE!</v>
      </c>
      <c r="GQ278" s="1563" t="e">
        <f aca="false">IF(SUM(GL278:GO278)=0,0,((GL278*BU278+GM278*BV278+GN278*BW278+GO278*BX278)/SUM(GL278:GO278)))</f>
        <v>#VALUE!</v>
      </c>
      <c r="GR278" s="1558" t="e">
        <f aca="false">(GL278*BU278+GM278*BV278+GN278*BW278+GO278*BX278)</f>
        <v>#VALUE!</v>
      </c>
      <c r="GS278" s="1566" t="n">
        <f aca="false">IF($A278&gt;=BegDate,Assumptions!$C$56*24*($A279-$A278)*(1-VLOOKUP($B278,MAIN!$AA$7:$AM$28,$C278+1))*(1-VLOOKUP($B278,MAIN!$AA$33:$AM$54,$C278+1)),0)*80/168</f>
        <v>232800</v>
      </c>
      <c r="GT278" s="286" t="n">
        <f aca="false">J278</f>
        <v>47.8904306534928</v>
      </c>
      <c r="GU278" s="286" t="n">
        <f aca="false">IF($A278&gt;=BegDate,VLOOKUP($A278,GasTable,13)+Assumptions!$C$58,0)</f>
        <v>4.58711122179671</v>
      </c>
      <c r="GV278" s="286" t="n">
        <f aca="false">GU278*Assumptions!$C$57/1000</f>
        <v>33.2565563580261</v>
      </c>
      <c r="GW278" s="1558" t="n">
        <f aca="false">IF(Assumptions!$C$60="Hourly",MAX(0,GS278*(GT278-GV278)),GS278*(GT278-GV278))</f>
        <v>3406765.93598463</v>
      </c>
      <c r="GX278" s="1566" t="n">
        <f aca="false">IF($A278&gt;=BegDate,Assumptions!$C$56*24*($A279-$A278)*(1-VLOOKUP($B278,MAIN!$AA$7:$AM$28,$C278+1))*(1-VLOOKUP($B278,MAIN!$AA$33:$AM$54,$C278+1)),0)*16/168</f>
        <v>46560</v>
      </c>
      <c r="GY278" s="286" t="n">
        <f aca="false">M278</f>
        <v>47.8904306534928</v>
      </c>
      <c r="GZ278" s="286" t="n">
        <f aca="false">IF($A278&gt;=BegDate,VLOOKUP($A278,GasTable,13)+Assumptions!$C$58,0)</f>
        <v>4.58711122179671</v>
      </c>
      <c r="HA278" s="286" t="n">
        <f aca="false">GZ278*Assumptions!$C$57/1000</f>
        <v>33.2565563580261</v>
      </c>
      <c r="HB278" s="1558" t="n">
        <f aca="false">IF(Assumptions!$C$60="Hourly",MAX(0,GX278*(GY278-HA278)),GX278*(GY278-HA278))</f>
        <v>681353.187196926</v>
      </c>
      <c r="HC278" s="1566" t="n">
        <f aca="false">IF($A278&gt;=BegDate,Assumptions!$C$56*24*($A279-$A278)*(1-VLOOKUP($B278,MAIN!$AA$7:$AM$28,$C278+1))*(1-VLOOKUP($B278,MAIN!$AA$33:$AM$54,$C278+1)),0)*16/168</f>
        <v>46560</v>
      </c>
      <c r="HD278" s="286" t="n">
        <f aca="false">P278</f>
        <v>29.786544914806</v>
      </c>
      <c r="HE278" s="286" t="n">
        <f aca="false">IF($A278&gt;=BegDate,VLOOKUP($A278,GasTable,13)+Assumptions!$C$58,0)</f>
        <v>4.58711122179671</v>
      </c>
      <c r="HF278" s="286" t="n">
        <f aca="false">HE278*Assumptions!$C$57/1000</f>
        <v>33.2565563580261</v>
      </c>
      <c r="HG278" s="1558" t="n">
        <f aca="false">IF(Assumptions!$C$60="Hourly",MAX(0,HC278*(HD278-HF278)),HC278*(HD278-HF278))</f>
        <v>0</v>
      </c>
      <c r="HH278" s="1566" t="n">
        <f aca="false">IF($A278&gt;=BegDate,Assumptions!$C$56*24*($A279-$A278)*(1-VLOOKUP($B278,MAIN!$AA$7:$AM$28,$C278+1))*(1-VLOOKUP($B278,MAIN!$AA$33:$AM$54,$C278+1)),0)*56/168</f>
        <v>162960</v>
      </c>
      <c r="HI278" s="286" t="n">
        <f aca="false">S278</f>
        <v>29.786544914806</v>
      </c>
      <c r="HJ278" s="286" t="n">
        <f aca="false">IF($A278&gt;=BegDate,VLOOKUP($A278,GasTable,13)+Assumptions!$C$58,0)</f>
        <v>4.58711122179671</v>
      </c>
      <c r="HK278" s="286" t="n">
        <f aca="false">HJ278*Assumptions!$C$57/1000</f>
        <v>33.2565563580261</v>
      </c>
      <c r="HL278" s="1558" t="n">
        <f aca="false">IF(Assumptions!$C$60="Hourly",MAX(0,HH278*(HI278-HK278)),HH278*(HI278-HK278))</f>
        <v>0</v>
      </c>
      <c r="HM278" s="1566" t="n">
        <f aca="false">IF(AND(Assumptions!$H$71="Yes",A278&gt;=Assumptions!$H$72,A278&lt;=Assumptions!$H$73),Assumptions!$H$74*Assumptions!$C$9*1000,0)</f>
        <v>0</v>
      </c>
      <c r="HN278" s="1551"/>
      <c r="HO278" s="1563"/>
      <c r="HP278" s="1563"/>
      <c r="HQ278" s="1563"/>
      <c r="HR278" s="1563"/>
      <c r="HS278" s="1563"/>
      <c r="HT278" s="1563"/>
      <c r="HU278" s="1563"/>
      <c r="HV278" s="1563"/>
      <c r="HW278" s="1563"/>
      <c r="HX278" s="1563"/>
      <c r="HY278" s="1563"/>
      <c r="HZ278" s="1563"/>
      <c r="IA278" s="1563"/>
      <c r="IB278" s="1563"/>
      <c r="IC278" s="1563"/>
      <c r="ID278" s="1563"/>
      <c r="IE278" s="1563"/>
      <c r="IF278" s="1563"/>
      <c r="IG278" s="1563"/>
      <c r="IH278" s="1563"/>
      <c r="II278" s="1610"/>
      <c r="IJ278" s="1309"/>
      <c r="IK278" s="1309"/>
    </row>
    <row r="279" customFormat="false" ht="12.75" hidden="false" customHeight="false" outlineLevel="0" collapsed="false">
      <c r="A279" s="1571" t="n">
        <f aca="false">EOMONTH(A278,0)+1</f>
        <v>44621</v>
      </c>
      <c r="B279" s="594" t="n">
        <f aca="false">+YEAR(A279)</f>
        <v>2022</v>
      </c>
      <c r="C279" s="238" t="n">
        <f aca="false">MONTH(A279)</f>
        <v>3</v>
      </c>
      <c r="D279" s="1572" t="e">
        <f aca="false">IF(E279="","",Holiday(B279,C279))</f>
        <v>#VALUE!</v>
      </c>
      <c r="E279" s="1573" t="n">
        <f aca="false">IF(OR(BegDate&gt;=A280,EndDate&lt;A279,AND(VolumeMonthlyOverFlag,INDEX(VolumeMonthlyOver,C279)=0),NOT(INDEX(MonthKnockOutTable,C279))),"",MAX(A279,BegDate))</f>
        <v>44621</v>
      </c>
      <c r="F279" s="1574" t="n">
        <f aca="false">IF(E279="","",MIN(A280-1,EndDate))</f>
        <v>44651</v>
      </c>
      <c r="G279" s="1575" t="n">
        <v>0</v>
      </c>
      <c r="H279" s="1576" t="n">
        <f aca="false">(1+G279/2)^(-2*(DATE(B280,C280,20)-DateToday)/365.25)</f>
        <v>1</v>
      </c>
      <c r="I279" s="1568" t="n">
        <f aca="false">IF(Assumptions!$L$25=4,VLOOKUP($A279,'Henwood Reference'!$E$9:$R$320,10),(VLOOKUP($A279,PriceTable,2,0)+IF(BasisNumber&lt;&gt;1,VLOOKUP($A279,BasisTable,2,0),0)+I$1)/(1-I$2))</f>
        <v>45.9755802332698</v>
      </c>
      <c r="J279" s="1568" t="n">
        <f aca="false">IF(Assumptions!$L$25=4,VLOOKUP($A279,'Henwood Reference'!$E$9:$R$320,10),(VLOOKUP($A279,PriceTable,3,0)+IF(BasisNumber&lt;&gt;1,VLOOKUP($A279,BasisTable,2,0),0)+J$1)/(1-J$2))</f>
        <v>45.9755802332698</v>
      </c>
      <c r="K279" s="1568" t="n">
        <f aca="false">IF(Assumptions!$L$25=4,VLOOKUP($A279,'Henwood Reference'!$E$9:$R$320,10),(VLOOKUP($A279,PriceTable,4,0)+IF(BasisNumber&lt;&gt;1,VLOOKUP($A279,BasisTable,2,0),0)+K$1)/(1-K$2))</f>
        <v>45.9755802332698</v>
      </c>
      <c r="L279" s="1523" t="n">
        <f aca="false">IF(Assumptions!$L$25=4,VLOOKUP($A279,'Henwood Reference'!$E$9:$R$320,10),(VLOOKUP($A279,PriceTableWeekend,2,0)+IF(BasisNumber&lt;&gt;1,VLOOKUP($A279,BasisTable,2,0),0)+L$1)/(1-L$2))</f>
        <v>45.9755802332698</v>
      </c>
      <c r="M279" s="1568" t="n">
        <f aca="false">IF(Assumptions!$L$25=4,VLOOKUP($A279,'Henwood Reference'!$E$9:$R$320,10),(VLOOKUP($A279,PriceTableWeekend,3,0)+IF(BasisNumber&lt;&gt;1,VLOOKUP($A279,BasisTable,2,0),0)+M$1)/(1-M$2))</f>
        <v>45.9755802332698</v>
      </c>
      <c r="N279" s="1599" t="n">
        <f aca="false">IF(Assumptions!$L$25=4,VLOOKUP($A279,'Henwood Reference'!$E$9:$R$320,10),(VLOOKUP($A279,PriceTableWeekend,4,0)+IF(BasisNumber&lt;&gt;1,VLOOKUP($A279,BasisTable,2,0),0)+N$1)/(1-N$2))</f>
        <v>45.9755802332698</v>
      </c>
      <c r="O279" s="1568" t="n">
        <f aca="false">IF(Assumptions!$L$25=4,VLOOKUP($A279,'Henwood Reference'!$E$9:$R$320,11),(VLOOKUP($A279,PriceTableWeekend,6,0)+IF(BasisNumber&lt;&gt;1,VLOOKUP($A279,BasisTable,3,0),0)+O$1)/(1-O$2))</f>
        <v>31.9097933946496</v>
      </c>
      <c r="P279" s="1568" t="n">
        <f aca="false">IF(Assumptions!$L$25=4,VLOOKUP($A279,'Henwood Reference'!$E$9:$R$320,11),(VLOOKUP($A279,PriceTableWeekend,7,0)+IF(BasisNumber&lt;&gt;1,VLOOKUP($A279,BasisTable,3,0),0)+P$1)/(1-P$2))</f>
        <v>31.9097933946496</v>
      </c>
      <c r="Q279" s="1599" t="n">
        <f aca="false">IF(Assumptions!$L$25=4,VLOOKUP($A279,'Henwood Reference'!$E$9:$R$320,11),(VLOOKUP($A279,PriceTableWeekend,8,0)+IF(BasisNumber&lt;&gt;1,VLOOKUP($A279,BasisTable,3,0),0)+Q$1)/(1-Q$2))</f>
        <v>31.9097933946496</v>
      </c>
      <c r="R279" s="1568" t="n">
        <f aca="false">IF(Assumptions!$L$25=4,VLOOKUP($A279,'Henwood Reference'!$E$9:$R$320,11),(VLOOKUP($A279,PriceTable,6,0)+IF(BasisNumber&lt;&gt;1,VLOOKUP($A279,BasisTable,3,0),0)+R$1)/(1-R$2))</f>
        <v>31.9097933946496</v>
      </c>
      <c r="S279" s="1568" t="n">
        <f aca="false">IF(Assumptions!$L$25=4,VLOOKUP($A279,'Henwood Reference'!$E$9:$R$320,11),(VLOOKUP($A279,PriceTable,7,0)+IF(BasisNumber&lt;&gt;1,VLOOKUP($A279,BasisTable,3,0),0)+S$1)/(1-S$2))</f>
        <v>31.9097933946496</v>
      </c>
      <c r="T279" s="1600" t="n">
        <f aca="false">IF(Assumptions!$L$25=4,VLOOKUP($A279,'Henwood Reference'!$E$9:$R$320,11),(VLOOKUP($A279,PriceTable,8,0)+IF(BasisNumber&lt;&gt;1,VLOOKUP($A279,BasisTable,3,0),0)+T$1)/(1-T$2))</f>
        <v>31.9097933946496</v>
      </c>
      <c r="U279" s="1513" t="n">
        <f aca="false">VLOOKUP($A279,VolatilityTable,14)</f>
        <v>0.09</v>
      </c>
      <c r="V279" s="1513" t="n">
        <f aca="false">VLOOKUP($A279,VolatilityTable,15)</f>
        <v>0.1</v>
      </c>
      <c r="W279" s="1514" t="n">
        <f aca="false">VLOOKUP($A279,VolatilityTable,16)</f>
        <v>0.11</v>
      </c>
      <c r="X279" s="1513" t="n">
        <f aca="false">VLOOKUP($A279,VolatilityTable,14)</f>
        <v>0.09</v>
      </c>
      <c r="Y279" s="1513" t="n">
        <f aca="false">VLOOKUP($A279,VolatilityTable,15)</f>
        <v>0.1</v>
      </c>
      <c r="Z279" s="1514" t="n">
        <f aca="false">VLOOKUP($A279,VolatilityTable,16)</f>
        <v>0.11</v>
      </c>
      <c r="AA279" s="1513" t="n">
        <f aca="false">VLOOKUP($A279,VolatilityTable,18)</f>
        <v>0.09</v>
      </c>
      <c r="AB279" s="1513" t="n">
        <f aca="false">VLOOKUP($A279,VolatilityTable,19)</f>
        <v>0.11</v>
      </c>
      <c r="AC279" s="1514" t="n">
        <f aca="false">VLOOKUP($A279,VolatilityTable,20)</f>
        <v>0.13</v>
      </c>
      <c r="AD279" s="1513" t="n">
        <f aca="false">VLOOKUP($A279,VolatilityTable,18)</f>
        <v>0.09</v>
      </c>
      <c r="AE279" s="1513" t="n">
        <f aca="false">VLOOKUP($A279,VolatilityTable,19)</f>
        <v>0.11</v>
      </c>
      <c r="AF279" s="1514" t="n">
        <f aca="false">VLOOKUP($A279,VolatilityTable,20)</f>
        <v>0.13</v>
      </c>
      <c r="AG279" s="1513" t="n">
        <f aca="false">VLOOKUP($A279,VolatilityTable,22)</f>
        <v>-0.1</v>
      </c>
      <c r="AH279" s="1513" t="n">
        <f aca="false">VLOOKUP($A279,VolatilityTable,23)</f>
        <v>0.65</v>
      </c>
      <c r="AI279" s="1514" t="n">
        <f aca="false">VLOOKUP($A279,VolatilityTable,24)</f>
        <v>0.1</v>
      </c>
      <c r="AJ279" s="1513" t="n">
        <f aca="false">VLOOKUP($A279,VolatilityTable,22)</f>
        <v>-0.1</v>
      </c>
      <c r="AK279" s="1513" t="n">
        <f aca="false">VLOOKUP($A279,VolatilityTable,23)</f>
        <v>0.65</v>
      </c>
      <c r="AL279" s="1514" t="n">
        <f aca="false">VLOOKUP($A279,VolatilityTable,24)</f>
        <v>0.1</v>
      </c>
      <c r="AM279" s="1513" t="n">
        <f aca="false">VLOOKUP($A279,VolatilityTable,26)</f>
        <v>-0.01</v>
      </c>
      <c r="AN279" s="1513" t="n">
        <f aca="false">VLOOKUP($A279,VolatilityTable,27)</f>
        <v>0.16</v>
      </c>
      <c r="AO279" s="1514" t="n">
        <f aca="false">VLOOKUP($A279,VolatilityTable,28)</f>
        <v>0.01</v>
      </c>
      <c r="AP279" s="1513" t="n">
        <f aca="false">VLOOKUP($A279,VolatilityTable,26)</f>
        <v>-0.01</v>
      </c>
      <c r="AQ279" s="1513" t="n">
        <f aca="false">VLOOKUP($A279,VolatilityTable,27)</f>
        <v>0.16</v>
      </c>
      <c r="AR279" s="1515" t="n">
        <f aca="false">VLOOKUP($A279,VolatilityTable,28)</f>
        <v>0.01</v>
      </c>
      <c r="AS279" s="1581" t="n">
        <f aca="false">IF(CorrPeakOffPeakOverFlag,INDEX(CorrPeakOffPeakOver,C279),CorrPeakOffPeak)</f>
        <v>0.5</v>
      </c>
      <c r="AT279" s="594" t="e">
        <f aca="false">AX279-SUM(AU279:AW279)</f>
        <v>#VALUE!</v>
      </c>
      <c r="AU279" s="238" t="e">
        <f aca="false">IF(E279="",0,INT((F279-MOD(F279,7)-E279)/7)+1-IF(AW279,IF(WEEKDAY(D279)=7,1,0),0))</f>
        <v>#VALUE!</v>
      </c>
      <c r="AV279" s="238" t="e">
        <f aca="false">IF(E279="",0,INT((F279-MOD(F279-1,7)-E279)/7)+1-IF(AW279,IF(WEEKDAY(D279)=1,1,0),0))</f>
        <v>#VALUE!</v>
      </c>
      <c r="AW279" s="238" t="e">
        <f aca="false">IF(OR(E279="",D279="",D279&lt;BegDate,D279&gt;EndDate),0,1)</f>
        <v>#VALUE!</v>
      </c>
      <c r="AX279" s="238" t="n">
        <f aca="false">IF(E279="",0,F279-E279+1)</f>
        <v>31</v>
      </c>
      <c r="AY279" s="1582" t="n">
        <f aca="false">IF(E279="",0,MIN((1-(1-VLOOKUP(B279,MAIN!$AA$7:$AM$28,C279+1))*(1-VLOOKUP(B279,MAIN!$AA$33:$AM$54,C279+1))),1))</f>
        <v>0.03</v>
      </c>
      <c r="AZ279" s="1519" t="e">
        <v>#VALUE!</v>
      </c>
      <c r="BA279" s="1520" t="e">
        <v>#VALUE!</v>
      </c>
      <c r="BB279" s="1520" t="e">
        <v>#VALUE!</v>
      </c>
      <c r="BC279" s="1583" t="e">
        <v>#VALUE!</v>
      </c>
      <c r="BD279" s="1522" t="e">
        <v>#VALUE!</v>
      </c>
      <c r="BE279" s="1523" t="e">
        <v>#VALUE!</v>
      </c>
      <c r="BF279" s="1523" t="e">
        <v>#VALUE!</v>
      </c>
      <c r="BG279" s="1584" t="e">
        <v>#VALUE!</v>
      </c>
      <c r="BH279" s="1525" t="e">
        <v>#VALUE!</v>
      </c>
      <c r="BI279" s="1520" t="e">
        <v>#VALUE!</v>
      </c>
      <c r="BJ279" s="1520" t="e">
        <v>#VALUE!</v>
      </c>
      <c r="BK279" s="1583" t="e">
        <v>#VALUE!</v>
      </c>
      <c r="BL279" s="1522" t="e">
        <v>#VALUE!</v>
      </c>
      <c r="BM279" s="1523" t="e">
        <v>#VALUE!</v>
      </c>
      <c r="BN279" s="1523" t="e">
        <v>#VALUE!</v>
      </c>
      <c r="BO279" s="1523" t="e">
        <v>#VALUE!</v>
      </c>
      <c r="BP279" s="1525" t="e">
        <f aca="false">SUM(AZ279:BB279)</f>
        <v>#VALUE!</v>
      </c>
      <c r="BQ279" s="1529" t="e">
        <f aca="false">SUM(AZ279:BC279)</f>
        <v>#VALUE!</v>
      </c>
      <c r="BR279" s="1519" t="e">
        <f aca="false">SUM(BH279:BJ279)</f>
        <v>#VALUE!</v>
      </c>
      <c r="BS279" s="1529" t="e">
        <f aca="false">SUM(BH279:BK279)</f>
        <v>#VALUE!</v>
      </c>
      <c r="BT279" s="1316" t="n">
        <f aca="false">(IF(OVolType&lt;&gt;2,A279+14,IF(OptExpDateShift,ShiftBack(A279,OptExpDateShift,D278),A279))-DateToday)/365.25</f>
        <v>21.8781656399726</v>
      </c>
      <c r="BU279" s="1585" t="e">
        <f aca="false">IF(BQ279,IF(OPriceCurve,IF(OBuySell=OCallPut,I279/(1-AY279),K279/(1-AY279)),J279/(1-AY279))*BD279,0)</f>
        <v>#VALUE!</v>
      </c>
      <c r="BV279" s="1316" t="e">
        <f aca="false">IF(BQ279,IF(OPriceCurve,IF(OBuySell=OCallPut,L279/(1-AY279),N279/(1-AY279)),M279/(1-AY279))*BE279,0)</f>
        <v>#VALUE!</v>
      </c>
      <c r="BW279" s="1316" t="e">
        <f aca="false">IF(BQ279,IF(OPriceCurve,IF(OBuySell=OCallPut,O279/(1-AY279),Q279/(1-AY279)),P279/(1-AY279))*BF279,0)</f>
        <v>#VALUE!</v>
      </c>
      <c r="BX279" s="1316" t="e">
        <f aca="false">IF(BQ279,IF(OPriceCurve,IF(OBuySell=OCallPut,R279/(1-AY279),T279/(1-AY279)),S279/(1-AY279))*BG279,0)</f>
        <v>#VALUE!</v>
      </c>
      <c r="BY279" s="1316" t="e">
        <f aca="false">IF(BP279,(BU279*AZ279+BV279*BA279+BW279*BB279)/BP279,0)</f>
        <v>#VALUE!</v>
      </c>
      <c r="BZ279" s="1316" t="e">
        <f aca="false">IF(BQ279,(BY279*BP279+BX279*BC279)/BQ279,0)</f>
        <v>#VALUE!</v>
      </c>
      <c r="CA279" s="1531" t="e">
        <f aca="false">IF(BS279,IF(OPriceCurve,IF(OBuySell=OCallPut,I279/(1-AY279),K279/(1-AY279)),J279/(1-AY279))*BL279,0)</f>
        <v>#VALUE!</v>
      </c>
      <c r="CB279" s="1316" t="e">
        <f aca="false">IF(BS279,IF(OPriceCurve,IF(OBuySell=OCallPut,L279/(1-AY279),N279/(1-AY279)),M279/(1-AY279))*BM279,0)</f>
        <v>#VALUE!</v>
      </c>
      <c r="CC279" s="1316" t="e">
        <f aca="false">IF(BS279,IF(OPriceCurve,IF(OBuySell=OCallPut,O279/(1-AY279),Q279/(1-AY279)),P279/(1-AY279))*BN279,0)</f>
        <v>#VALUE!</v>
      </c>
      <c r="CD279" s="1316" t="e">
        <f aca="false">IF(BS279,IF(OPriceCurve,IF(OBuySell=OCallPut,R279/(1-AY279),T279/(1-AY279)),S279/(1-AY279))*BO279,0)</f>
        <v>#VALUE!</v>
      </c>
      <c r="CE279" s="1316" t="e">
        <f aca="false">IF(BR279,(BU279*BH279+BV279*BI279+BW279*BJ279)/BR279,0)</f>
        <v>#VALUE!</v>
      </c>
      <c r="CF279" s="1532" t="e">
        <f aca="false">IF(BS279,(CE279*BR279+CD279*BK279)/BS279,0)</f>
        <v>#VALUE!</v>
      </c>
      <c r="CG279" s="1586" t="e">
        <f aca="false">IF(OR(BQ279,BS279),IF(OVolType&lt;&gt;2,SQRT(IF(OVolOverMonthlyPeak,OVolOverMonthlyPeak,IF(OVolCurve,IF(OBuySell,U279,W279),V279))^2*(1-15/365.25/BT279)+IF(OVolOverDailyPeak,OVolOverDailyPeak,IF(OVolCurve,IF(OBuySell,AG279,AI279),AH279))^2*15/365.25/BT279),IF(OVolOverMonthlyPeak,OVolOverMonthlyPeak,IF(OVolCurve,IF(OBuySell,U279,W279),V279))),"")</f>
        <v>#VALUE!</v>
      </c>
      <c r="CH279" s="1587" t="e">
        <f aca="false">IF(OR(BQ279,BS279),IF(OVolType&lt;&gt;2,SQRT(IF(OVolOverMonthlyPeak,OVolOverMonthlyPeak,IF(OVolCurve,IF(OBuySell,X279,Z279),Y279))^2*(1-15/365.25/BT279)+IF(OVolOverDailyPeak,OVolOverDailyPeak,IF(OVolCurve,IF(OBuySell,AJ279,AL279),AK279))^2*15/365.25/BT279),IF(OVolOverMonthlyPeak,OVolOverMonthlyPeak,IF(OVolCurve,IF(OBuySell,X279,Z279),Y279))),"")</f>
        <v>#VALUE!</v>
      </c>
      <c r="CI279" s="1587" t="e">
        <f aca="false">IF(OR(BQ279,BS279),IF(OVolType&lt;&gt;2,SQRT(IF(OVolOverMonthlyPeak,OVolOverMonthlyPeak,IF(OVolCurve,IF(OBuySell,AA279,AC279),AB279))^2*(1-15/365.25/BT279)+IF(OVolOverDailyPeak,OVolOverDailyPeak,IF(OVolCurve,IF(OBuySell,AM279,AO279),AN279))^2*15/365.25/BT279),IF(OVolOverMonthlyPeak,OVolOverMonthlyPeak,IF(OVolCurve,IF(OBuySell,AA279,AC279),AB279))),"")</f>
        <v>#VALUE!</v>
      </c>
      <c r="CJ279" s="1587" t="e">
        <f aca="false">IF(BQ279,IF(BP279,SQRT(LN(1+((BU279*AZ279)^2*(EXP(CG279^2*BT279)-1)+(BV279*BA279)^2*(EXP(CH279^2*BT279)-1)+(BW279*BB279)^2*(EXP(CI279^2*BT279)-1)+2*BU279*AZ279*BV279*BA279*(EXP(CG279*CH279*BT279)-1)+2*BV279*BA279*BW279*BB279*(EXP(CH279*CI279*BT279)-1)+2*BW279*BB279*BU279*AZ279*(EXP(CI279*CG279*BT279)-1))/(BY279*BP279)^2)/BT279),0),"")</f>
        <v>#VALUE!</v>
      </c>
      <c r="CK279" s="1587" t="e">
        <f aca="false">IF(BS279,IF(BR279,SQRT(LN(1+((CA279*BH279)^2*(EXP(CG279^2*BT279)-1)+(CB279*BI279)^2*(EXP(CH279^2*BT279)-1)+(CC279*BJ279)^2*(EXP(CI279^2*BT279)-1)+2*CA279*BH279*CB279*BI279*(EXP(CG279*CH279*BT279)-1)+2*CB279*BI279*CC279*BJ279*(EXP(CH279*CI279*BT279)-1)+2*CC279*BJ279*CA279*BH279*(EXP(CI279*CG279*BT279)-1))/(CE279*BR279)^2)/BT279),0),"")</f>
        <v>#VALUE!</v>
      </c>
      <c r="CL279" s="1587" t="e">
        <f aca="false">IF(OR(BQ279,BS279),IF(OVolType&lt;&gt;2,SQRT(IF(OVolOverMonthlyOffPeak,OVolOverMonthlyOffPeak,IF(OVolCurve,IF(OBuySell,AD279,AF279),AE279))^2*(1-15/365.25/BT279)+IF(OVolOverDailyOffPeak,OVolOverDailyOffPeak,IF(OVolCurve,IF(OBuySell,AP279,AR279),AQ279))^2*15/365.25/BT279),IF(OVolOverMonthlyOffPeak,OVolOverMonthlyOffPeak,IF(OVolCurve,IF(OBuySell,AD279,AF279),AE279))),"")</f>
        <v>#VALUE!</v>
      </c>
      <c r="CM279" s="1587" t="e">
        <f aca="false">IF(BQ279,SQRT(LN(1+((BY279*BP279)^2*(EXP(CJ279^2*BT279)-1)+(BX279*BC279)^2*(EXP(CL279^2*BT279)-1)+2*BY279*BP279*BX279*BC279*(EXP(AS279*CJ279*CL279*BT279)-1))/(BY279*BP279+BX279*BC279)^2)/BT279),"")</f>
        <v>#VALUE!</v>
      </c>
      <c r="CN279" s="1588" t="e">
        <f aca="false">IF(BS279,SQRT(LN(1+((CE279*BR279)^2*(EXP(CK279^2*BT279)-1)+(CD279*BK279)^2*(EXP(CL279^2*BT279)-1)+2*CE279*BR279*CD279*BK279*(EXP(AS279*CK279*CL279*BT279)-1))/(CE279*BR279+CD279*BK279)^2)/BT279),"")</f>
        <v>#VALUE!</v>
      </c>
      <c r="CO279" s="1531" t="e">
        <f aca="false">IF(OR(BQ279,BS279),VLOOKUP(A279,GasTable,13)*HeatRatePeak*(1+VLOOKUP($B279,HeatRateDegradation,$C279+1))/1000,0)</f>
        <v>#VALUE!</v>
      </c>
      <c r="CP279" s="1316" t="e">
        <f aca="false">IF(OR(BQ279,BS279),VLOOKUP(A279,GasTable,13)*HeatRatePeak*(1+VLOOKUP($B279,HeatRateDegradation,$C279+1))/1000,0)</f>
        <v>#VALUE!</v>
      </c>
      <c r="CQ279" s="1316" t="e">
        <f aca="false">IF(OR(BQ279,BS279),VLOOKUP(A279,GasTable,13)*IF(EV279,HeatRatePeak,HeatRateOffPeak)*(1+VLOOKUP($B279,HeatRateDegradation,$C279+1))/1000,0)</f>
        <v>#VALUE!</v>
      </c>
      <c r="CR279" s="1316" t="e">
        <f aca="false">IF(OR(BQ279,BS279),VLOOKUP(A279,GasTable,13)*IF(EW279,HeatRatePeak,HeatRateOffPeak)*(1+VLOOKUP($B279,HeatRateDegradation,$C279+1))/1000,0)</f>
        <v>#VALUE!</v>
      </c>
      <c r="CS279" s="1589" t="e">
        <f aca="false">IF(BQ279,(CO279*AZ279+CP279*BA279+CQ279*BB279+CR279*BC279)/BQ279,0)</f>
        <v>#VALUE!</v>
      </c>
      <c r="CT279" s="1316" t="e">
        <f aca="false">IF(BS279,CO279,0)</f>
        <v>#VALUE!</v>
      </c>
      <c r="CU279" s="1590" t="e">
        <f aca="false">IF(OR(BQ279,BS279),VLOOKUP(A279,GasTable,14),"")</f>
        <v>#VALUE!</v>
      </c>
      <c r="CV279" s="1568" t="e">
        <f aca="false">IF(OR(BQ279,BS279),IF(CorrPowerGasOverFlag,INDEX(CorrPowerGasOver,C279),CorrPowerGas),"")</f>
        <v>#VALUE!</v>
      </c>
      <c r="CW279" s="1316" t="e">
        <f aca="false">IF(OR($BQ279,$BS279),SpreadOptPowerMargin,0)*((1+Assumptions!$C$26)^($B279-YEAR(Assumptions!$C$17)))</f>
        <v>#VALUE!</v>
      </c>
      <c r="CX279" s="1316" t="e">
        <f aca="false">IF(OR($BQ279,$BS279),SpreadOptPowerMargin,0)*((1+Assumptions!$C$26)^($B279-YEAR(Assumptions!$C$17)))</f>
        <v>#VALUE!</v>
      </c>
      <c r="CY279" s="1316" t="e">
        <f aca="false">IF(OR($BQ279,$BS279),SpreadOptPowerMargin,0)*((1+Assumptions!$C$26)^($B279-YEAR(Assumptions!$C$17)))</f>
        <v>#VALUE!</v>
      </c>
      <c r="CZ279" s="1316" t="e">
        <f aca="false">IF(OR($BQ279,$BS279),SpreadOptPowerMargin,0)*((1+Assumptions!$C$26)^($B279-YEAR(Assumptions!$C$17)))</f>
        <v>#VALUE!</v>
      </c>
      <c r="DA279" s="1591" t="e">
        <f aca="false">IF(OR(BQ279,BS279),(CW279*(AZ279+BH279)+CX279*(BA279+BI279)+CY279*(BB279+BJ279)+CZ279*(BC279+BK279))/(BQ279+BS279),0)</f>
        <v>#VALUE!</v>
      </c>
      <c r="DB279" s="1592" t="e">
        <f aca="false">IF(OR(BQ279,BS279),CG279+IF(OVolSmile,VLOOKUP(MAX(-5,CO279+CW279-BU279),IF(OVolSmile=1,VolSmileBook,VolSmileModel),2),0),"")</f>
        <v>#VALUE!</v>
      </c>
      <c r="DC279" s="1592" t="e">
        <f aca="false">IF(OR(BQ279,BS279),CH279+IF(OVolSmile,VLOOKUP(MAX(-5,CP279+CW279-BV279),IF(OVolSmile=1,VolSmileBook,VolSmileModel),2),0),"")</f>
        <v>#VALUE!</v>
      </c>
      <c r="DD279" s="1592" t="e">
        <f aca="false">IF(OR(BQ279,BS279),CI279+IF(OVolSmile,VLOOKUP(MAX(-5,CQ279+CW279-BW279),IF(OVolSmile=1,VolSmileBook,VolSmileModel),2),0),"")</f>
        <v>#VALUE!</v>
      </c>
      <c r="DE279" s="1592" t="e">
        <f aca="false">IF(OR(BQ279,BS279),CL279+IF(OVolSmile,VLOOKUP(MAX(-5,CR279+CZ279-BX279),IF(OVolSmile=1,VolSmileBook,VolSmileModel),2),0),"")</f>
        <v>#VALUE!</v>
      </c>
      <c r="DF279" s="1592" t="e">
        <f aca="false">IF(BQ279,CM279+IF(OVolSmile,VLOOKUP(MAX(-5,CS279+DA279-BZ279),IF(OVolSmile=1,VolSmileBook,VolSmileModel),2),0),"")</f>
        <v>#VALUE!</v>
      </c>
      <c r="DG279" s="1593" t="e">
        <f aca="false">IF(BS279,CN279+IF(OVolSmile,VLOOKUP(MAX(-5,CT279+DA279-CF279),IF(OVolSmile=1,VolSmileBook,VolSmileModel),2),0),"")</f>
        <v>#VALUE!</v>
      </c>
      <c r="DH279" s="1316" t="e">
        <f aca="false">IF(AND(BU279&gt;0,CO279&gt;0,DB279&gt;0,CU279&gt;0),newSPRDOPT(BU279,CO279,CW279,0,DB279,CU279,CV279,BT279*365.25,OCallPut,0),0)</f>
        <v>#VALUE!</v>
      </c>
      <c r="DI279" s="1316" t="e">
        <f aca="false">IF(AND(BV279&gt;0,CP279&gt;0,DC279&gt;0,CU279&gt;0),newSPRDOPT(BV279,CP279,CX279,0,DC279,CU279,CV279,BT279*365.25,OCallPut,0),0)</f>
        <v>#VALUE!</v>
      </c>
      <c r="DJ279" s="1316" t="e">
        <f aca="false">IF(AND(BW279&gt;0,CQ279&gt;0,DD279&gt;0,CU279&gt;0),newSPRDOPT(BW279,CQ279,CY279,0,DD279,CU279,CV279,BT279*365.25,OCallPut,0),0)</f>
        <v>#VALUE!</v>
      </c>
      <c r="DK279" s="1316" t="e">
        <f aca="false">IF(AND(BX279&gt;0,CR279&gt;0,DE279&gt;0,CU279&gt;0),newSPRDOPT(BX279,CR279,CZ279,0,DE279,CU279,CV279,BT279*365.25,OCallPut,0),0)</f>
        <v>#VALUE!</v>
      </c>
      <c r="DL279" s="1316" t="e">
        <f aca="false">IF(OVolType,IF(AND(BZ279&gt;0,CS279&gt;0,DF279&gt;0,CU279&gt;0),newSPRDOPT(BZ279,CS279,DA279,0,DF279,CU279,CV279,BT279*365.25,OCallPut,0),0),IF(BQ279,(DH279*AZ279+DI279*BA279+DJ279*BB279+DK279*BC279)/BQ279,0))</f>
        <v>#VALUE!</v>
      </c>
      <c r="DM279" s="1316"/>
      <c r="DN279" s="1316"/>
      <c r="DO279" s="1316"/>
      <c r="DP279" s="1316"/>
      <c r="DQ279" s="1316"/>
      <c r="DR279" s="1316"/>
      <c r="DS279" s="1316"/>
      <c r="DT279" s="1316"/>
      <c r="DU279" s="1316"/>
      <c r="DV279" s="1316"/>
      <c r="DW279" s="1594" t="e">
        <f aca="false">IF(AND(BW279&gt;0,CT279&gt;0,DD279&gt;0,CU279&gt;0),newSPRDOPT(BW279,CT279,CY279,0,DD279,CU279,CV279,BT279*365.25,OCallPut,0),0)</f>
        <v>#VALUE!</v>
      </c>
      <c r="DX279" s="1316" t="e">
        <f aca="false">IF(AND(BX279&gt;0,CT279&gt;0,DE279&gt;0,CU279&gt;0),newSPRDOPT(BX279,CT279,CZ279,0,DE279,CU279,CV279,BT279*365.25,OCallPut,0),0)</f>
        <v>#VALUE!</v>
      </c>
      <c r="DY279" s="1591" t="e">
        <f aca="false">IF(BS279,(DH279*BH279+DI279*BI279+DW279*BJ279+DX279*BK279)/BS279,0)</f>
        <v>#VALUE!</v>
      </c>
      <c r="DZ279" s="1551" t="e">
        <f aca="false">DH279*AZ279</f>
        <v>#VALUE!</v>
      </c>
      <c r="EA279" s="1551" t="e">
        <f aca="false">DI279*BA279</f>
        <v>#VALUE!</v>
      </c>
      <c r="EB279" s="1551" t="e">
        <f aca="false">DJ279*BB279</f>
        <v>#VALUE!</v>
      </c>
      <c r="EC279" s="1551" t="e">
        <f aca="false">DK279*BC279</f>
        <v>#VALUE!</v>
      </c>
      <c r="ED279" s="1551" t="e">
        <f aca="false">DL279*BQ279</f>
        <v>#VALUE!</v>
      </c>
      <c r="EE279" s="1595" t="e">
        <f aca="false">IF(BQ279,IF(OCallPut,IF(BU279&gt;(CO279+CW279),BU279-(CO279+CW279),0),IF((CO279+CW279)&gt;BU279,(CO279+CW279)-BU279,0))*AZ279,0)</f>
        <v>#VALUE!</v>
      </c>
      <c r="EF279" s="1596" t="e">
        <f aca="false">IF(BQ279,IF(OCallPut,IF(BV279&gt;(CP279+CX279),BV279-(CP279+CX279),0),IF((CP279+CX279)&gt;BV279,(CP279+CX279)-BV279,0))*BA279,0)</f>
        <v>#VALUE!</v>
      </c>
      <c r="EG279" s="1596" t="e">
        <f aca="false">IF(BQ279,IF(OCallPut,IF(BW279&gt;(CQ279+CY279),BW279-(CQ279+CY279),0),IF((CQ279+CY279)&gt;BW279,(CQ279+CY279)-BW279,0))*BB279,0)</f>
        <v>#VALUE!</v>
      </c>
      <c r="EH279" s="1596" t="e">
        <f aca="false">IF(BQ279,IF(OCallPut,IF(BX279&gt;(CR279+CZ279),BX279-(CR279+CZ279),0),IF((CR279+CZ279)&gt;BX279,(CR279+CZ279)-BX279,0))*BC279,0)</f>
        <v>#VALUE!</v>
      </c>
      <c r="EI279" s="1597" t="e">
        <f aca="false">IF(BQ279,IF(OVolType,IF(OCallPut,IF(BZ279&gt;(CS279+DA279),BZ279-(CS279+DA279),0),IF((CS279+DA279)&gt;BZ279,(CS279+DA279)-BZ279,0))*BQ279,SUM(EE279:EH279)),0)</f>
        <v>#VALUE!</v>
      </c>
      <c r="EJ279" s="1595" t="e">
        <f aca="false">DZ279-EE279</f>
        <v>#VALUE!</v>
      </c>
      <c r="EK279" s="1596" t="e">
        <f aca="false">EA279-EF279</f>
        <v>#VALUE!</v>
      </c>
      <c r="EL279" s="1596" t="e">
        <f aca="false">EB279-EG279</f>
        <v>#VALUE!</v>
      </c>
      <c r="EM279" s="1596" t="e">
        <f aca="false">EC279-EH279</f>
        <v>#VALUE!</v>
      </c>
      <c r="EN279" s="1597" t="e">
        <f aca="false">ED279-EI279</f>
        <v>#VALUE!</v>
      </c>
      <c r="EO279" s="1551" t="e">
        <f aca="false">DH279*BH279</f>
        <v>#VALUE!</v>
      </c>
      <c r="EP279" s="1551" t="e">
        <f aca="false">DI279*BI279</f>
        <v>#VALUE!</v>
      </c>
      <c r="EQ279" s="1551" t="e">
        <f aca="false">DW279*BJ279</f>
        <v>#VALUE!</v>
      </c>
      <c r="ER279" s="1551" t="e">
        <f aca="false">DX279*BK279</f>
        <v>#VALUE!</v>
      </c>
      <c r="ES279" s="1551" t="e">
        <f aca="false">DY279*BS279</f>
        <v>#VALUE!</v>
      </c>
      <c r="ET279" s="1566" t="e">
        <f aca="false">IF(EI279,IF(OCallPut,IF(CA279&gt;(CT279+CW279),CA279-(CT279+CW279),0),IF((CT279+CW279)&gt;CA279,(CT279+CW279)-CA279,0))*BH279,0)</f>
        <v>#VALUE!</v>
      </c>
      <c r="EU279" s="1551" t="e">
        <f aca="false">IF(EI279,IF(OCallPut,IF(CB279&gt;(CT279+CX279),CB279-(CT279+CX279),0),IF((CT279+CX279)&gt;CB279,(CT279+CX279)-CB279,0))*BI279,0)</f>
        <v>#VALUE!</v>
      </c>
      <c r="EV279" s="1551" t="e">
        <f aca="false">IF(EI279,IF(OCallPut,IF(CC279&gt;(CT279+CY279),CC279-(CT279+CY279),0),IF((CT279+CY279)&gt;CC279,(CT279+CY279)-CC279,0))*BJ279,0)</f>
        <v>#VALUE!</v>
      </c>
      <c r="EW279" s="1551" t="e">
        <f aca="false">IF(EI279,IF(OCallPut,IF(CD279&gt;(CT279+CZ279),CD279-(CT279+CZ279),0),IF((CT279+CZ279)&gt;CD279,(CT279+CZ279)-CD279,0))*BK279,0)</f>
        <v>#VALUE!</v>
      </c>
      <c r="EX279" s="1558" t="e">
        <f aca="false">IF(EI279,SUM(ET279:EW279),0)</f>
        <v>#VALUE!</v>
      </c>
      <c r="EY279" s="1551" t="e">
        <f aca="false">EO279-ET279</f>
        <v>#VALUE!</v>
      </c>
      <c r="EZ279" s="1551" t="e">
        <f aca="false">EP279-EU279</f>
        <v>#VALUE!</v>
      </c>
      <c r="FA279" s="1551" t="e">
        <f aca="false">EQ279-EV279</f>
        <v>#VALUE!</v>
      </c>
      <c r="FB279" s="1551" t="e">
        <f aca="false">ER279-EW279</f>
        <v>#VALUE!</v>
      </c>
      <c r="FC279" s="1551" t="e">
        <f aca="false">ES279-EX279</f>
        <v>#VALUE!</v>
      </c>
      <c r="FD279" s="1525" t="n">
        <f aca="false">IF(AX279,IF(VLOOKUP(C279,MAIN!$L$17:$M$28,2)="Yes",VLOOKUP(CALC!B279,MAIN!$H$17:$I$20,2),0),0)</f>
        <v>0</v>
      </c>
      <c r="FE279" s="1552" t="e">
        <f aca="false">$FD279*16*AT279*(1-$AY279)</f>
        <v>#VALUE!</v>
      </c>
      <c r="FF279" s="1553" t="e">
        <f aca="false">$FD279*16*AU279*(1-$AY279)</f>
        <v>#VALUE!</v>
      </c>
      <c r="FG279" s="1553" t="e">
        <f aca="false">$FD279*16*(AV279+AW279)*(1-$AY279)</f>
        <v>#VALUE!</v>
      </c>
      <c r="FH279" s="1554" t="n">
        <f aca="false">$FD279*8*AX279*(1-$AY279)</f>
        <v>0</v>
      </c>
      <c r="FI279" s="1555" t="n">
        <f aca="false">IF(AX279,VLOOKUP(CALC!B279,MAIN!$H$17:$K$20,4),0)</f>
        <v>0</v>
      </c>
      <c r="FJ279" s="1553" t="e">
        <f aca="false">SUM(FE279:FH279)</f>
        <v>#VALUE!</v>
      </c>
      <c r="FK279" s="1556" t="e">
        <f aca="false">FI279*FJ279</f>
        <v>#VALUE!</v>
      </c>
      <c r="FL279" s="1551" t="e">
        <f aca="false">IF($EI279&gt;0,MIN(FE279,AZ279*(1+VLOOKUP($C279,WeatherCapacityAdjustment,2))),0)</f>
        <v>#VALUE!</v>
      </c>
      <c r="FM279" s="1551" t="e">
        <f aca="false">IF($EI279&gt;0,MIN(FF279,BA279*(1+VLOOKUP($C279,WeatherCapacityAdjustment,2))),0)</f>
        <v>#VALUE!</v>
      </c>
      <c r="FN279" s="1551" t="e">
        <f aca="false">IF($EI279&gt;0,MIN(FG279,BB279*(1+VLOOKUP($C279,WeatherCapacityAdjustment,2))),0)</f>
        <v>#VALUE!</v>
      </c>
      <c r="FO279" s="1564" t="e">
        <f aca="false">IF($EI279&gt;0,MIN(FH279,BC279*(1+VLOOKUP($C279,WeatherCapacityAdjustment,3))),0)</f>
        <v>#VALUE!</v>
      </c>
      <c r="FP279" s="1551" t="e">
        <f aca="false">IF(ET279&gt;0,MIN(FE279-FL279,BH279*(1+VLOOKUP($C279,WeatherCapacityAdjustment,2))),0)</f>
        <v>#VALUE!</v>
      </c>
      <c r="FQ279" s="1551" t="e">
        <f aca="false">IF(EU279&gt;0,MIN(FF279-FM279,BI279*(1+VLOOKUP($C279,WeatherCapacityAdjustment,2))),0)</f>
        <v>#VALUE!</v>
      </c>
      <c r="FR279" s="1551" t="e">
        <f aca="false">IF(EV279&gt;0,MIN(FG279-FN279,BJ279*(1+VLOOKUP($C279,WeatherCapacityAdjustment,2))),0)</f>
        <v>#VALUE!</v>
      </c>
      <c r="FS279" s="1558" t="e">
        <f aca="false">IF(EW279&gt;0,MIN(FH279-FO279,BK279*(1+VLOOKUP($C279,WeatherCapacityAdjustment,3))),0)</f>
        <v>#VALUE!</v>
      </c>
      <c r="FT279" s="1566" t="e">
        <f aca="false">IF(AND(Assumptions!$H$71="Yes",A279&gt;=Assumptions!$H$72,A279&lt;=Assumptions!$H$73),0,IF(AND($A279&gt;=Assumptions!$C$17,$A279&lt;=Assumptions!$C$18),MAX(AZ279*(1+VLOOKUP($C279,WeatherCapacityAdjustment,2))-FL279,0),0))</f>
        <v>#VALUE!</v>
      </c>
      <c r="FU279" s="1551" t="e">
        <f aca="false">IF(AND(Assumptions!$H$71="Yes",A279&gt;=Assumptions!$H$72,A279&lt;=Assumptions!$H$73),0,IF(AND($A279&gt;=Assumptions!$C$17,$A279&lt;=Assumptions!$C$18),MAX(BA279*(1+VLOOKUP($C279,WeatherCapacityAdjustment,2))-FM279,0),0))</f>
        <v>#VALUE!</v>
      </c>
      <c r="FV279" s="1551" t="e">
        <f aca="false">IF(AND(Assumptions!$H$71="Yes",A279&gt;=Assumptions!$H$72,A279&lt;=Assumptions!$H$73),0,IF(AND($A279&gt;=Assumptions!$C$17,$A279&lt;=Assumptions!$C$18),MAX(BB279*(1+VLOOKUP($C279,WeatherCapacityAdjustment,2))-FN279,0),0))</f>
        <v>#VALUE!</v>
      </c>
      <c r="FW279" s="1564" t="e">
        <f aca="false">IF(AND(Assumptions!$H$71="Yes",A279&gt;=Assumptions!$H$72,A279&lt;=Assumptions!$H$73),0,IF(AND($A279&gt;=Assumptions!$C$17,$A279&lt;=Assumptions!$C$18),MAX(BC279*(1+VLOOKUP($C279,WeatherCapacityAdjustment,3))-FO279,0),0))</f>
        <v>#VALUE!</v>
      </c>
      <c r="FX279" s="1569" t="e">
        <f aca="false">IF(AND(Assumptions!$H$71="Yes",A279&gt;=Assumptions!$H$72,A279&lt;=Assumptions!$H$73),0,IF(ET279&gt;0,MAX(BH279*(1+VLOOKUP($C279,WeatherCapacityAdjustment,2))-FP279,0),0))</f>
        <v>#VALUE!</v>
      </c>
      <c r="FY279" s="1551" t="e">
        <f aca="false">IF(AND(Assumptions!$H$71="Yes",A279&gt;=Assumptions!$H$72,A279&lt;=Assumptions!$H$73),0,IF(EU279&gt;0,MAX(BI279*(1+VLOOKUP($C279,WeatherCapacityAdjustment,3))-FQ279,0),0))</f>
        <v>#VALUE!</v>
      </c>
      <c r="FZ279" s="1551" t="e">
        <f aca="false">IF(AND(Assumptions!$H$71="Yes",A279&gt;=Assumptions!$H$72,A279&lt;=Assumptions!$H$73),0,IF(EV279&gt;0,MAX(BJ279*(1+VLOOKUP($C279,WeatherCapacityAdjustment,2))-FR279,0),0))</f>
        <v>#VALUE!</v>
      </c>
      <c r="GA279" s="1564" t="e">
        <f aca="false">IF(AND(Assumptions!$H$71="Yes",A279&gt;=Assumptions!$H$72,A279&lt;=Assumptions!$H$73),0,IF(EW279&gt;0,MAX(BK279*(1+VLOOKUP($C279,WeatherCapacityAdjustment,2))-FS279,0),0))</f>
        <v>#VALUE!</v>
      </c>
      <c r="GB279" s="1551" t="e">
        <f aca="false">SUM(FT279:GA279)</f>
        <v>#VALUE!</v>
      </c>
      <c r="GC279" s="1563" t="e">
        <f aca="false">+IF(SUM(FT279:GA279)=0,0,(SUMPRODUCT(BU279:BX279,FT279:FW279)+SUMPRODUCT(CA279:CD279,FX279:GA279))/SUM(FT279:GA279))</f>
        <v>#VALUE!</v>
      </c>
      <c r="GD279" s="1551" t="e">
        <f aca="false">(FT279*BU279+FX279*CA279+FU279*BV279+FY279*CB279+FV279*BW279+FZ279*CC279+FW279*BX279+GA279*CD279)</f>
        <v>#VALUE!</v>
      </c>
      <c r="GE279" s="1561" t="e">
        <f aca="false">+IF(BQ279,((FL279+FM279+FT279+FU279)*HeatRatePeak/1000*(1+VLOOKUP($C279,WeatherHeatRateAdjustment,2))+(FN279+FV279)*IF(EV279&gt;0,HeatRatePeak,HeatRateOffPeak)/1000*(1+VLOOKUP($C279,WeatherHeatRateAdjustment,2))+(FO279+FW279)*IF(EW279&gt;0,HeatRatePeak,HeatRateOffPeak)/1000*(1+VLOOKUP($C279,WeatherHeatRateAdjustment,3)))*(1+VLOOKUP($B279,HeatRateDegradation,$C279+1)),0)</f>
        <v>#VALUE!</v>
      </c>
      <c r="GF279" s="1562" t="e">
        <f aca="false">IF(BQ279,((FP279+FQ279+FR279+FX279+FY279+FZ279)*HeatRatePeak/1000*(1+VLOOKUP($C279,WeatherHeatRateAdjustment,2))+(FS279+GA279)*HeatRatePeak/1000*(1+VLOOKUP($C279,WeatherHeatRateAdjustment,3)))*(1+VLOOKUP($B279,HeatRateDegradation,$C279+1)),0)</f>
        <v>#VALUE!</v>
      </c>
      <c r="GG279" s="1563" t="e">
        <f aca="false">IF(BQ279,VLOOKUP(A279,GasTable,13),0)</f>
        <v>#VALUE!</v>
      </c>
      <c r="GH279" s="1564" t="e">
        <f aca="false">(GE279+GF279)*GG279</f>
        <v>#VALUE!</v>
      </c>
      <c r="GI279" s="1569" t="e">
        <f aca="false">GB279</f>
        <v>#VALUE!</v>
      </c>
      <c r="GJ279" s="1598" t="e">
        <f aca="false">+DA279</f>
        <v>#VALUE!</v>
      </c>
      <c r="GK279" s="1558" t="e">
        <f aca="false">+GI279*GJ279</f>
        <v>#VALUE!</v>
      </c>
      <c r="GL279" s="1566" t="e">
        <f aca="false">MAX(FE279-FL279-FP279,0)</f>
        <v>#VALUE!</v>
      </c>
      <c r="GM279" s="1551" t="e">
        <f aca="false">MAX(FF279-FM279-FQ279,0)</f>
        <v>#VALUE!</v>
      </c>
      <c r="GN279" s="1551" t="e">
        <f aca="false">MAX(FG279-FN279-FR279,0)</f>
        <v>#VALUE!</v>
      </c>
      <c r="GO279" s="1564" t="e">
        <f aca="false">MAX(FH279-FO279-FS279,0)</f>
        <v>#VALUE!</v>
      </c>
      <c r="GP279" s="1551" t="e">
        <f aca="false">SUM(GL279:GO279)</f>
        <v>#VALUE!</v>
      </c>
      <c r="GQ279" s="1563" t="e">
        <f aca="false">IF(SUM(GL279:GO279)=0,0,((GL279*BU279+GM279*BV279+GN279*BW279+GO279*BX279)/SUM(GL279:GO279)))</f>
        <v>#VALUE!</v>
      </c>
      <c r="GR279" s="1558" t="e">
        <f aca="false">(GL279*BU279+GM279*BV279+GN279*BW279+GO279*BX279)</f>
        <v>#VALUE!</v>
      </c>
      <c r="GS279" s="1566" t="n">
        <f aca="false">IF($A279&gt;=BegDate,Assumptions!$C$56*24*($A280-$A279)*(1-VLOOKUP($B279,MAIN!$AA$7:$AM$28,$C279+1))*(1-VLOOKUP($B279,MAIN!$AA$33:$AM$54,$C279+1)),0)*80/168</f>
        <v>257742.857142857</v>
      </c>
      <c r="GT279" s="286" t="n">
        <f aca="false">J279</f>
        <v>45.9755802332698</v>
      </c>
      <c r="GU279" s="286" t="n">
        <f aca="false">IF($A279&gt;=BegDate,VLOOKUP($A279,GasTable,13)+Assumptions!$C$58,0)</f>
        <v>4.58711122179671</v>
      </c>
      <c r="GV279" s="286" t="n">
        <f aca="false">GU279*Assumptions!$C$57/1000</f>
        <v>33.2565563580261</v>
      </c>
      <c r="GW279" s="1558" t="n">
        <f aca="false">IF(Assumptions!$C$60="Hourly",MAX(0,GS279*(GT279-GV279)),GS279*(GT279-GV279))</f>
        <v>3278237.55367351</v>
      </c>
      <c r="GX279" s="1566" t="n">
        <f aca="false">IF($A279&gt;=BegDate,Assumptions!$C$56*24*($A280-$A279)*(1-VLOOKUP($B279,MAIN!$AA$7:$AM$28,$C279+1))*(1-VLOOKUP($B279,MAIN!$AA$33:$AM$54,$C279+1)),0)*16/168</f>
        <v>51548.5714285714</v>
      </c>
      <c r="GY279" s="286" t="n">
        <f aca="false">M279</f>
        <v>45.9755802332698</v>
      </c>
      <c r="GZ279" s="286" t="n">
        <f aca="false">IF($A279&gt;=BegDate,VLOOKUP($A279,GasTable,13)+Assumptions!$C$58,0)</f>
        <v>4.58711122179671</v>
      </c>
      <c r="HA279" s="286" t="n">
        <f aca="false">GZ279*Assumptions!$C$57/1000</f>
        <v>33.2565563580261</v>
      </c>
      <c r="HB279" s="1558" t="n">
        <f aca="false">IF(Assumptions!$C$60="Hourly",MAX(0,GX279*(GY279-HA279)),GX279*(GY279-HA279))</f>
        <v>655647.510734702</v>
      </c>
      <c r="HC279" s="1566" t="n">
        <f aca="false">IF($A279&gt;=BegDate,Assumptions!$C$56*24*($A280-$A279)*(1-VLOOKUP($B279,MAIN!$AA$7:$AM$28,$C279+1))*(1-VLOOKUP($B279,MAIN!$AA$33:$AM$54,$C279+1)),0)*16/168</f>
        <v>51548.5714285714</v>
      </c>
      <c r="HD279" s="286" t="n">
        <f aca="false">P279</f>
        <v>31.9097933946496</v>
      </c>
      <c r="HE279" s="286" t="n">
        <f aca="false">IF($A279&gt;=BegDate,VLOOKUP($A279,GasTable,13)+Assumptions!$C$58,0)</f>
        <v>4.58711122179671</v>
      </c>
      <c r="HF279" s="286" t="n">
        <f aca="false">HE279*Assumptions!$C$57/1000</f>
        <v>33.2565563580261</v>
      </c>
      <c r="HG279" s="1558" t="n">
        <f aca="false">IF(Assumptions!$C$60="Hourly",MAX(0,HC279*(HD279-HF279)),HC279*(HD279-HF279))</f>
        <v>0</v>
      </c>
      <c r="HH279" s="1566" t="n">
        <f aca="false">IF($A279&gt;=BegDate,Assumptions!$C$56*24*($A280-$A279)*(1-VLOOKUP($B279,MAIN!$AA$7:$AM$28,$C279+1))*(1-VLOOKUP($B279,MAIN!$AA$33:$AM$54,$C279+1)),0)*56/168</f>
        <v>180420</v>
      </c>
      <c r="HI279" s="286" t="n">
        <f aca="false">S279</f>
        <v>31.9097933946496</v>
      </c>
      <c r="HJ279" s="286" t="n">
        <f aca="false">IF($A279&gt;=BegDate,VLOOKUP($A279,GasTable,13)+Assumptions!$C$58,0)</f>
        <v>4.58711122179671</v>
      </c>
      <c r="HK279" s="286" t="n">
        <f aca="false">HJ279*Assumptions!$C$57/1000</f>
        <v>33.2565563580261</v>
      </c>
      <c r="HL279" s="1558" t="n">
        <f aca="false">IF(Assumptions!$C$60="Hourly",MAX(0,HH279*(HI279-HK279)),HH279*(HI279-HK279))</f>
        <v>0</v>
      </c>
      <c r="HM279" s="1566" t="n">
        <f aca="false">IF(AND(Assumptions!$H$71="Yes",A279&gt;=Assumptions!$H$72,A279&lt;=Assumptions!$H$73),Assumptions!$H$74*Assumptions!$C$9*1000,0)</f>
        <v>0</v>
      </c>
      <c r="HN279" s="1551"/>
      <c r="HO279" s="1563"/>
      <c r="HP279" s="1563"/>
      <c r="HQ279" s="1563"/>
      <c r="HR279" s="1563"/>
      <c r="HS279" s="1563"/>
      <c r="HT279" s="1563"/>
      <c r="HU279" s="1563"/>
      <c r="HV279" s="1563"/>
      <c r="HW279" s="1563"/>
      <c r="HX279" s="1563"/>
      <c r="HY279" s="1563"/>
      <c r="HZ279" s="1563"/>
      <c r="IA279" s="1563"/>
      <c r="IB279" s="1563"/>
      <c r="IC279" s="1563"/>
      <c r="ID279" s="1563"/>
      <c r="IE279" s="1563"/>
      <c r="IF279" s="1563"/>
      <c r="IG279" s="1563"/>
      <c r="IH279" s="1563"/>
      <c r="II279" s="1610"/>
      <c r="IJ279" s="1309"/>
      <c r="IK279" s="1309"/>
    </row>
    <row r="280" customFormat="false" ht="12.75" hidden="false" customHeight="false" outlineLevel="0" collapsed="false">
      <c r="A280" s="1571" t="n">
        <f aca="false">EOMONTH(A279,0)+1</f>
        <v>44652</v>
      </c>
      <c r="B280" s="594" t="n">
        <f aca="false">+YEAR(A280)</f>
        <v>2022</v>
      </c>
      <c r="C280" s="238" t="n">
        <f aca="false">MONTH(A280)</f>
        <v>4</v>
      </c>
      <c r="D280" s="1572" t="e">
        <f aca="false">IF(E280="","",Holiday(B280,C280))</f>
        <v>#VALUE!</v>
      </c>
      <c r="E280" s="1573" t="n">
        <f aca="false">IF(OR(BegDate&gt;=A281,EndDate&lt;A280,AND(VolumeMonthlyOverFlag,INDEX(VolumeMonthlyOver,C280)=0),NOT(INDEX(MonthKnockOutTable,C280))),"",MAX(A280,BegDate))</f>
        <v>44652</v>
      </c>
      <c r="F280" s="1574" t="n">
        <f aca="false">IF(E280="","",MIN(A281-1,EndDate))</f>
        <v>44681</v>
      </c>
      <c r="G280" s="1575" t="n">
        <v>0</v>
      </c>
      <c r="H280" s="1576" t="n">
        <f aca="false">(1+G280/2)^(-2*(DATE(B281,C281,20)-DateToday)/365.25)</f>
        <v>1</v>
      </c>
      <c r="I280" s="1568" t="n">
        <f aca="false">IF(Assumptions!$L$25=4,VLOOKUP($A280,'Henwood Reference'!$E$9:$R$320,10),(VLOOKUP($A280,PriceTable,2,0)+IF(BasisNumber&lt;&gt;1,VLOOKUP($A280,BasisTable,2,0),0)+I$1)/(1-I$2))</f>
        <v>44.5846623234727</v>
      </c>
      <c r="J280" s="1568" t="n">
        <f aca="false">IF(Assumptions!$L$25=4,VLOOKUP($A280,'Henwood Reference'!$E$9:$R$320,10),(VLOOKUP($A280,PriceTable,3,0)+IF(BasisNumber&lt;&gt;1,VLOOKUP($A280,BasisTable,2,0),0)+J$1)/(1-J$2))</f>
        <v>44.5846623234727</v>
      </c>
      <c r="K280" s="1568" t="n">
        <f aca="false">IF(Assumptions!$L$25=4,VLOOKUP($A280,'Henwood Reference'!$E$9:$R$320,10),(VLOOKUP($A280,PriceTable,4,0)+IF(BasisNumber&lt;&gt;1,VLOOKUP($A280,BasisTable,2,0),0)+K$1)/(1-K$2))</f>
        <v>44.5846623234727</v>
      </c>
      <c r="L280" s="1523" t="n">
        <f aca="false">IF(Assumptions!$L$25=4,VLOOKUP($A280,'Henwood Reference'!$E$9:$R$320,10),(VLOOKUP($A280,PriceTableWeekend,2,0)+IF(BasisNumber&lt;&gt;1,VLOOKUP($A280,BasisTable,2,0),0)+L$1)/(1-L$2))</f>
        <v>44.5846623234727</v>
      </c>
      <c r="M280" s="1568" t="n">
        <f aca="false">IF(Assumptions!$L$25=4,VLOOKUP($A280,'Henwood Reference'!$E$9:$R$320,10),(VLOOKUP($A280,PriceTableWeekend,3,0)+IF(BasisNumber&lt;&gt;1,VLOOKUP($A280,BasisTable,2,0),0)+M$1)/(1-M$2))</f>
        <v>44.5846623234727</v>
      </c>
      <c r="N280" s="1599" t="n">
        <f aca="false">IF(Assumptions!$L$25=4,VLOOKUP($A280,'Henwood Reference'!$E$9:$R$320,10),(VLOOKUP($A280,PriceTableWeekend,4,0)+IF(BasisNumber&lt;&gt;1,VLOOKUP($A280,BasisTable,2,0),0)+N$1)/(1-N$2))</f>
        <v>44.5846623234727</v>
      </c>
      <c r="O280" s="1568" t="n">
        <f aca="false">IF(Assumptions!$L$25=4,VLOOKUP($A280,'Henwood Reference'!$E$9:$R$320,11),(VLOOKUP($A280,PriceTableWeekend,6,0)+IF(BasisNumber&lt;&gt;1,VLOOKUP($A280,BasisTable,3,0),0)+O$1)/(1-O$2))</f>
        <v>31.0870230138626</v>
      </c>
      <c r="P280" s="1568" t="n">
        <f aca="false">IF(Assumptions!$L$25=4,VLOOKUP($A280,'Henwood Reference'!$E$9:$R$320,11),(VLOOKUP($A280,PriceTableWeekend,7,0)+IF(BasisNumber&lt;&gt;1,VLOOKUP($A280,BasisTable,3,0),0)+P$1)/(1-P$2))</f>
        <v>31.0870230138626</v>
      </c>
      <c r="Q280" s="1599" t="n">
        <f aca="false">IF(Assumptions!$L$25=4,VLOOKUP($A280,'Henwood Reference'!$E$9:$R$320,11),(VLOOKUP($A280,PriceTableWeekend,8,0)+IF(BasisNumber&lt;&gt;1,VLOOKUP($A280,BasisTable,3,0),0)+Q$1)/(1-Q$2))</f>
        <v>31.0870230138626</v>
      </c>
      <c r="R280" s="1568" t="n">
        <f aca="false">IF(Assumptions!$L$25=4,VLOOKUP($A280,'Henwood Reference'!$E$9:$R$320,11),(VLOOKUP($A280,PriceTable,6,0)+IF(BasisNumber&lt;&gt;1,VLOOKUP($A280,BasisTable,3,0),0)+R$1)/(1-R$2))</f>
        <v>31.0870230138626</v>
      </c>
      <c r="S280" s="1568" t="n">
        <f aca="false">IF(Assumptions!$L$25=4,VLOOKUP($A280,'Henwood Reference'!$E$9:$R$320,11),(VLOOKUP($A280,PriceTable,7,0)+IF(BasisNumber&lt;&gt;1,VLOOKUP($A280,BasisTable,3,0),0)+S$1)/(1-S$2))</f>
        <v>31.0870230138626</v>
      </c>
      <c r="T280" s="1600" t="n">
        <f aca="false">IF(Assumptions!$L$25=4,VLOOKUP($A280,'Henwood Reference'!$E$9:$R$320,11),(VLOOKUP($A280,PriceTable,8,0)+IF(BasisNumber&lt;&gt;1,VLOOKUP($A280,BasisTable,3,0),0)+T$1)/(1-T$2))</f>
        <v>31.0870230138626</v>
      </c>
      <c r="U280" s="1513" t="n">
        <f aca="false">VLOOKUP($A280,VolatilityTable,14)</f>
        <v>0.09</v>
      </c>
      <c r="V280" s="1513" t="n">
        <f aca="false">VLOOKUP($A280,VolatilityTable,15)</f>
        <v>0.1</v>
      </c>
      <c r="W280" s="1514" t="n">
        <f aca="false">VLOOKUP($A280,VolatilityTable,16)</f>
        <v>0.11</v>
      </c>
      <c r="X280" s="1513" t="n">
        <f aca="false">VLOOKUP($A280,VolatilityTable,14)</f>
        <v>0.09</v>
      </c>
      <c r="Y280" s="1513" t="n">
        <f aca="false">VLOOKUP($A280,VolatilityTable,15)</f>
        <v>0.1</v>
      </c>
      <c r="Z280" s="1514" t="n">
        <f aca="false">VLOOKUP($A280,VolatilityTable,16)</f>
        <v>0.11</v>
      </c>
      <c r="AA280" s="1513" t="n">
        <f aca="false">VLOOKUP($A280,VolatilityTable,18)</f>
        <v>0.09</v>
      </c>
      <c r="AB280" s="1513" t="n">
        <f aca="false">VLOOKUP($A280,VolatilityTable,19)</f>
        <v>0.11</v>
      </c>
      <c r="AC280" s="1514" t="n">
        <f aca="false">VLOOKUP($A280,VolatilityTable,20)</f>
        <v>0.13</v>
      </c>
      <c r="AD280" s="1513" t="n">
        <f aca="false">VLOOKUP($A280,VolatilityTable,18)</f>
        <v>0.09</v>
      </c>
      <c r="AE280" s="1513" t="n">
        <f aca="false">VLOOKUP($A280,VolatilityTable,19)</f>
        <v>0.11</v>
      </c>
      <c r="AF280" s="1514" t="n">
        <f aca="false">VLOOKUP($A280,VolatilityTable,20)</f>
        <v>0.13</v>
      </c>
      <c r="AG280" s="1513" t="n">
        <f aca="false">VLOOKUP($A280,VolatilityTable,22)</f>
        <v>-0.1</v>
      </c>
      <c r="AH280" s="1513" t="n">
        <f aca="false">VLOOKUP($A280,VolatilityTable,23)</f>
        <v>0.65</v>
      </c>
      <c r="AI280" s="1514" t="n">
        <f aca="false">VLOOKUP($A280,VolatilityTable,24)</f>
        <v>0.1</v>
      </c>
      <c r="AJ280" s="1513" t="n">
        <f aca="false">VLOOKUP($A280,VolatilityTable,22)</f>
        <v>-0.1</v>
      </c>
      <c r="AK280" s="1513" t="n">
        <f aca="false">VLOOKUP($A280,VolatilityTable,23)</f>
        <v>0.65</v>
      </c>
      <c r="AL280" s="1514" t="n">
        <f aca="false">VLOOKUP($A280,VolatilityTable,24)</f>
        <v>0.1</v>
      </c>
      <c r="AM280" s="1513" t="n">
        <f aca="false">VLOOKUP($A280,VolatilityTable,26)</f>
        <v>-0.01</v>
      </c>
      <c r="AN280" s="1513" t="n">
        <f aca="false">VLOOKUP($A280,VolatilityTable,27)</f>
        <v>0.16</v>
      </c>
      <c r="AO280" s="1514" t="n">
        <f aca="false">VLOOKUP($A280,VolatilityTable,28)</f>
        <v>0.01</v>
      </c>
      <c r="AP280" s="1513" t="n">
        <f aca="false">VLOOKUP($A280,VolatilityTable,26)</f>
        <v>-0.01</v>
      </c>
      <c r="AQ280" s="1513" t="n">
        <f aca="false">VLOOKUP($A280,VolatilityTable,27)</f>
        <v>0.16</v>
      </c>
      <c r="AR280" s="1515" t="n">
        <f aca="false">VLOOKUP($A280,VolatilityTable,28)</f>
        <v>0.01</v>
      </c>
      <c r="AS280" s="1581" t="n">
        <f aca="false">IF(CorrPeakOffPeakOverFlag,INDEX(CorrPeakOffPeakOver,C280),CorrPeakOffPeak)</f>
        <v>0.5</v>
      </c>
      <c r="AT280" s="594" t="e">
        <f aca="false">AX280-SUM(AU280:AW280)</f>
        <v>#VALUE!</v>
      </c>
      <c r="AU280" s="238" t="e">
        <f aca="false">IF(E280="",0,INT((F280-MOD(F280,7)-E280)/7)+1-IF(AW280,IF(WEEKDAY(D280)=7,1,0),0))</f>
        <v>#VALUE!</v>
      </c>
      <c r="AV280" s="238" t="e">
        <f aca="false">IF(E280="",0,INT((F280-MOD(F280-1,7)-E280)/7)+1-IF(AW280,IF(WEEKDAY(D280)=1,1,0),0))</f>
        <v>#VALUE!</v>
      </c>
      <c r="AW280" s="238" t="e">
        <f aca="false">IF(OR(E280="",D280="",D280&lt;BegDate,D280&gt;EndDate),0,1)</f>
        <v>#VALUE!</v>
      </c>
      <c r="AX280" s="238" t="n">
        <f aca="false">IF(E280="",0,F280-E280+1)</f>
        <v>30</v>
      </c>
      <c r="AY280" s="1582" t="n">
        <f aca="false">IF(E280="",0,MIN((1-(1-VLOOKUP(B280,MAIN!$AA$7:$AM$28,C280+1))*(1-VLOOKUP(B280,MAIN!$AA$33:$AM$54,C280+1))),1))</f>
        <v>0.127</v>
      </c>
      <c r="AZ280" s="1519" t="e">
        <v>#VALUE!</v>
      </c>
      <c r="BA280" s="1520" t="e">
        <v>#VALUE!</v>
      </c>
      <c r="BB280" s="1520" t="e">
        <v>#VALUE!</v>
      </c>
      <c r="BC280" s="1583" t="e">
        <v>#VALUE!</v>
      </c>
      <c r="BD280" s="1522" t="e">
        <v>#VALUE!</v>
      </c>
      <c r="BE280" s="1523" t="e">
        <v>#VALUE!</v>
      </c>
      <c r="BF280" s="1523" t="e">
        <v>#VALUE!</v>
      </c>
      <c r="BG280" s="1584" t="e">
        <v>#VALUE!</v>
      </c>
      <c r="BH280" s="1525" t="e">
        <v>#VALUE!</v>
      </c>
      <c r="BI280" s="1520" t="e">
        <v>#VALUE!</v>
      </c>
      <c r="BJ280" s="1520" t="e">
        <v>#VALUE!</v>
      </c>
      <c r="BK280" s="1583" t="e">
        <v>#VALUE!</v>
      </c>
      <c r="BL280" s="1522" t="e">
        <v>#VALUE!</v>
      </c>
      <c r="BM280" s="1523" t="e">
        <v>#VALUE!</v>
      </c>
      <c r="BN280" s="1523" t="e">
        <v>#VALUE!</v>
      </c>
      <c r="BO280" s="1523" t="e">
        <v>#VALUE!</v>
      </c>
      <c r="BP280" s="1525" t="e">
        <f aca="false">SUM(AZ280:BB280)</f>
        <v>#VALUE!</v>
      </c>
      <c r="BQ280" s="1529" t="e">
        <f aca="false">SUM(AZ280:BC280)</f>
        <v>#VALUE!</v>
      </c>
      <c r="BR280" s="1519" t="e">
        <f aca="false">SUM(BH280:BJ280)</f>
        <v>#VALUE!</v>
      </c>
      <c r="BS280" s="1529" t="e">
        <f aca="false">SUM(BH280:BK280)</f>
        <v>#VALUE!</v>
      </c>
      <c r="BT280" s="1316" t="n">
        <f aca="false">(IF(OVolType&lt;&gt;2,A280+14,IF(OptExpDateShift,ShiftBack(A280,OptExpDateShift,D279),A280))-DateToday)/365.25</f>
        <v>21.9630390143737</v>
      </c>
      <c r="BU280" s="1585" t="e">
        <f aca="false">IF(BQ280,IF(OPriceCurve,IF(OBuySell=OCallPut,I280/(1-AY280),K280/(1-AY280)),J280/(1-AY280))*BD280,0)</f>
        <v>#VALUE!</v>
      </c>
      <c r="BV280" s="1316" t="e">
        <f aca="false">IF(BQ280,IF(OPriceCurve,IF(OBuySell=OCallPut,L280/(1-AY280),N280/(1-AY280)),M280/(1-AY280))*BE280,0)</f>
        <v>#VALUE!</v>
      </c>
      <c r="BW280" s="1316" t="e">
        <f aca="false">IF(BQ280,IF(OPriceCurve,IF(OBuySell=OCallPut,O280/(1-AY280),Q280/(1-AY280)),P280/(1-AY280))*BF280,0)</f>
        <v>#VALUE!</v>
      </c>
      <c r="BX280" s="1316" t="e">
        <f aca="false">IF(BQ280,IF(OPriceCurve,IF(OBuySell=OCallPut,R280/(1-AY280),T280/(1-AY280)),S280/(1-AY280))*BG280,0)</f>
        <v>#VALUE!</v>
      </c>
      <c r="BY280" s="1316" t="e">
        <f aca="false">IF(BP280,(BU280*AZ280+BV280*BA280+BW280*BB280)/BP280,0)</f>
        <v>#VALUE!</v>
      </c>
      <c r="BZ280" s="1316" t="e">
        <f aca="false">IF(BQ280,(BY280*BP280+BX280*BC280)/BQ280,0)</f>
        <v>#VALUE!</v>
      </c>
      <c r="CA280" s="1531" t="e">
        <f aca="false">IF(BS280,IF(OPriceCurve,IF(OBuySell=OCallPut,I280/(1-AY280),K280/(1-AY280)),J280/(1-AY280))*BL280,0)</f>
        <v>#VALUE!</v>
      </c>
      <c r="CB280" s="1316" t="e">
        <f aca="false">IF(BS280,IF(OPriceCurve,IF(OBuySell=OCallPut,L280/(1-AY280),N280/(1-AY280)),M280/(1-AY280))*BM280,0)</f>
        <v>#VALUE!</v>
      </c>
      <c r="CC280" s="1316" t="e">
        <f aca="false">IF(BS280,IF(OPriceCurve,IF(OBuySell=OCallPut,O280/(1-AY280),Q280/(1-AY280)),P280/(1-AY280))*BN280,0)</f>
        <v>#VALUE!</v>
      </c>
      <c r="CD280" s="1316" t="e">
        <f aca="false">IF(BS280,IF(OPriceCurve,IF(OBuySell=OCallPut,R280/(1-AY280),T280/(1-AY280)),S280/(1-AY280))*BO280,0)</f>
        <v>#VALUE!</v>
      </c>
      <c r="CE280" s="1316" t="e">
        <f aca="false">IF(BR280,(BU280*BH280+BV280*BI280+BW280*BJ280)/BR280,0)</f>
        <v>#VALUE!</v>
      </c>
      <c r="CF280" s="1532" t="e">
        <f aca="false">IF(BS280,(CE280*BR280+CD280*BK280)/BS280,0)</f>
        <v>#VALUE!</v>
      </c>
      <c r="CG280" s="1586" t="e">
        <f aca="false">IF(OR(BQ280,BS280),IF(OVolType&lt;&gt;2,SQRT(IF(OVolOverMonthlyPeak,OVolOverMonthlyPeak,IF(OVolCurve,IF(OBuySell,U280,W280),V280))^2*(1-15/365.25/BT280)+IF(OVolOverDailyPeak,OVolOverDailyPeak,IF(OVolCurve,IF(OBuySell,AG280,AI280),AH280))^2*15/365.25/BT280),IF(OVolOverMonthlyPeak,OVolOverMonthlyPeak,IF(OVolCurve,IF(OBuySell,U280,W280),V280))),"")</f>
        <v>#VALUE!</v>
      </c>
      <c r="CH280" s="1587" t="e">
        <f aca="false">IF(OR(BQ280,BS280),IF(OVolType&lt;&gt;2,SQRT(IF(OVolOverMonthlyPeak,OVolOverMonthlyPeak,IF(OVolCurve,IF(OBuySell,X280,Z280),Y280))^2*(1-15/365.25/BT280)+IF(OVolOverDailyPeak,OVolOverDailyPeak,IF(OVolCurve,IF(OBuySell,AJ280,AL280),AK280))^2*15/365.25/BT280),IF(OVolOverMonthlyPeak,OVolOverMonthlyPeak,IF(OVolCurve,IF(OBuySell,X280,Z280),Y280))),"")</f>
        <v>#VALUE!</v>
      </c>
      <c r="CI280" s="1587" t="e">
        <f aca="false">IF(OR(BQ280,BS280),IF(OVolType&lt;&gt;2,SQRT(IF(OVolOverMonthlyPeak,OVolOverMonthlyPeak,IF(OVolCurve,IF(OBuySell,AA280,AC280),AB280))^2*(1-15/365.25/BT280)+IF(OVolOverDailyPeak,OVolOverDailyPeak,IF(OVolCurve,IF(OBuySell,AM280,AO280),AN280))^2*15/365.25/BT280),IF(OVolOverMonthlyPeak,OVolOverMonthlyPeak,IF(OVolCurve,IF(OBuySell,AA280,AC280),AB280))),"")</f>
        <v>#VALUE!</v>
      </c>
      <c r="CJ280" s="1587" t="e">
        <f aca="false">IF(BQ280,IF(BP280,SQRT(LN(1+((BU280*AZ280)^2*(EXP(CG280^2*BT280)-1)+(BV280*BA280)^2*(EXP(CH280^2*BT280)-1)+(BW280*BB280)^2*(EXP(CI280^2*BT280)-1)+2*BU280*AZ280*BV280*BA280*(EXP(CG280*CH280*BT280)-1)+2*BV280*BA280*BW280*BB280*(EXP(CH280*CI280*BT280)-1)+2*BW280*BB280*BU280*AZ280*(EXP(CI280*CG280*BT280)-1))/(BY280*BP280)^2)/BT280),0),"")</f>
        <v>#VALUE!</v>
      </c>
      <c r="CK280" s="1587" t="e">
        <f aca="false">IF(BS280,IF(BR280,SQRT(LN(1+((CA280*BH280)^2*(EXP(CG280^2*BT280)-1)+(CB280*BI280)^2*(EXP(CH280^2*BT280)-1)+(CC280*BJ280)^2*(EXP(CI280^2*BT280)-1)+2*CA280*BH280*CB280*BI280*(EXP(CG280*CH280*BT280)-1)+2*CB280*BI280*CC280*BJ280*(EXP(CH280*CI280*BT280)-1)+2*CC280*BJ280*CA280*BH280*(EXP(CI280*CG280*BT280)-1))/(CE280*BR280)^2)/BT280),0),"")</f>
        <v>#VALUE!</v>
      </c>
      <c r="CL280" s="1587" t="e">
        <f aca="false">IF(OR(BQ280,BS280),IF(OVolType&lt;&gt;2,SQRT(IF(OVolOverMonthlyOffPeak,OVolOverMonthlyOffPeak,IF(OVolCurve,IF(OBuySell,AD280,AF280),AE280))^2*(1-15/365.25/BT280)+IF(OVolOverDailyOffPeak,OVolOverDailyOffPeak,IF(OVolCurve,IF(OBuySell,AP280,AR280),AQ280))^2*15/365.25/BT280),IF(OVolOverMonthlyOffPeak,OVolOverMonthlyOffPeak,IF(OVolCurve,IF(OBuySell,AD280,AF280),AE280))),"")</f>
        <v>#VALUE!</v>
      </c>
      <c r="CM280" s="1587" t="e">
        <f aca="false">IF(BQ280,SQRT(LN(1+((BY280*BP280)^2*(EXP(CJ280^2*BT280)-1)+(BX280*BC280)^2*(EXP(CL280^2*BT280)-1)+2*BY280*BP280*BX280*BC280*(EXP(AS280*CJ280*CL280*BT280)-1))/(BY280*BP280+BX280*BC280)^2)/BT280),"")</f>
        <v>#VALUE!</v>
      </c>
      <c r="CN280" s="1588" t="e">
        <f aca="false">IF(BS280,SQRT(LN(1+((CE280*BR280)^2*(EXP(CK280^2*BT280)-1)+(CD280*BK280)^2*(EXP(CL280^2*BT280)-1)+2*CE280*BR280*CD280*BK280*(EXP(AS280*CK280*CL280*BT280)-1))/(CE280*BR280+CD280*BK280)^2)/BT280),"")</f>
        <v>#VALUE!</v>
      </c>
      <c r="CO280" s="1531" t="e">
        <f aca="false">IF(OR(BQ280,BS280),VLOOKUP(A280,GasTable,13)*HeatRatePeak*(1+VLOOKUP($B280,HeatRateDegradation,$C280+1))/1000,0)</f>
        <v>#VALUE!</v>
      </c>
      <c r="CP280" s="1316" t="e">
        <f aca="false">IF(OR(BQ280,BS280),VLOOKUP(A280,GasTable,13)*HeatRatePeak*(1+VLOOKUP($B280,HeatRateDegradation,$C280+1))/1000,0)</f>
        <v>#VALUE!</v>
      </c>
      <c r="CQ280" s="1316" t="e">
        <f aca="false">IF(OR(BQ280,BS280),VLOOKUP(A280,GasTable,13)*IF(EV280,HeatRatePeak,HeatRateOffPeak)*(1+VLOOKUP($B280,HeatRateDegradation,$C280+1))/1000,0)</f>
        <v>#VALUE!</v>
      </c>
      <c r="CR280" s="1316" t="e">
        <f aca="false">IF(OR(BQ280,BS280),VLOOKUP(A280,GasTable,13)*IF(EW280,HeatRatePeak,HeatRateOffPeak)*(1+VLOOKUP($B280,HeatRateDegradation,$C280+1))/1000,0)</f>
        <v>#VALUE!</v>
      </c>
      <c r="CS280" s="1589" t="e">
        <f aca="false">IF(BQ280,(CO280*AZ280+CP280*BA280+CQ280*BB280+CR280*BC280)/BQ280,0)</f>
        <v>#VALUE!</v>
      </c>
      <c r="CT280" s="1316" t="e">
        <f aca="false">IF(BS280,CO280,0)</f>
        <v>#VALUE!</v>
      </c>
      <c r="CU280" s="1590" t="e">
        <f aca="false">IF(OR(BQ280,BS280),VLOOKUP(A280,GasTable,14),"")</f>
        <v>#VALUE!</v>
      </c>
      <c r="CV280" s="1568" t="e">
        <f aca="false">IF(OR(BQ280,BS280),IF(CorrPowerGasOverFlag,INDEX(CorrPowerGasOver,C280),CorrPowerGas),"")</f>
        <v>#VALUE!</v>
      </c>
      <c r="CW280" s="1316" t="e">
        <f aca="false">IF(OR($BQ280,$BS280),SpreadOptPowerMargin,0)*((1+Assumptions!$C$26)^($B280-YEAR(Assumptions!$C$17)))</f>
        <v>#VALUE!</v>
      </c>
      <c r="CX280" s="1316" t="e">
        <f aca="false">IF(OR($BQ280,$BS280),SpreadOptPowerMargin,0)*((1+Assumptions!$C$26)^($B280-YEAR(Assumptions!$C$17)))</f>
        <v>#VALUE!</v>
      </c>
      <c r="CY280" s="1316" t="e">
        <f aca="false">IF(OR($BQ280,$BS280),SpreadOptPowerMargin,0)*((1+Assumptions!$C$26)^($B280-YEAR(Assumptions!$C$17)))</f>
        <v>#VALUE!</v>
      </c>
      <c r="CZ280" s="1316" t="e">
        <f aca="false">IF(OR($BQ280,$BS280),SpreadOptPowerMargin,0)*((1+Assumptions!$C$26)^($B280-YEAR(Assumptions!$C$17)))</f>
        <v>#VALUE!</v>
      </c>
      <c r="DA280" s="1591" t="e">
        <f aca="false">IF(OR(BQ280,BS280),(CW280*(AZ280+BH280)+CX280*(BA280+BI280)+CY280*(BB280+BJ280)+CZ280*(BC280+BK280))/(BQ280+BS280),0)</f>
        <v>#VALUE!</v>
      </c>
      <c r="DB280" s="1592" t="e">
        <f aca="false">IF(OR(BQ280,BS280),CG280+IF(OVolSmile,VLOOKUP(MAX(-5,CO280+CW280-BU280),IF(OVolSmile=1,VolSmileBook,VolSmileModel),2),0),"")</f>
        <v>#VALUE!</v>
      </c>
      <c r="DC280" s="1592" t="e">
        <f aca="false">IF(OR(BQ280,BS280),CH280+IF(OVolSmile,VLOOKUP(MAX(-5,CP280+CW280-BV280),IF(OVolSmile=1,VolSmileBook,VolSmileModel),2),0),"")</f>
        <v>#VALUE!</v>
      </c>
      <c r="DD280" s="1592" t="e">
        <f aca="false">IF(OR(BQ280,BS280),CI280+IF(OVolSmile,VLOOKUP(MAX(-5,CQ280+CW280-BW280),IF(OVolSmile=1,VolSmileBook,VolSmileModel),2),0),"")</f>
        <v>#VALUE!</v>
      </c>
      <c r="DE280" s="1592" t="e">
        <f aca="false">IF(OR(BQ280,BS280),CL280+IF(OVolSmile,VLOOKUP(MAX(-5,CR280+CZ280-BX280),IF(OVolSmile=1,VolSmileBook,VolSmileModel),2),0),"")</f>
        <v>#VALUE!</v>
      </c>
      <c r="DF280" s="1592" t="e">
        <f aca="false">IF(BQ280,CM280+IF(OVolSmile,VLOOKUP(MAX(-5,CS280+DA280-BZ280),IF(OVolSmile=1,VolSmileBook,VolSmileModel),2),0),"")</f>
        <v>#VALUE!</v>
      </c>
      <c r="DG280" s="1593" t="e">
        <f aca="false">IF(BS280,CN280+IF(OVolSmile,VLOOKUP(MAX(-5,CT280+DA280-CF280),IF(OVolSmile=1,VolSmileBook,VolSmileModel),2),0),"")</f>
        <v>#VALUE!</v>
      </c>
      <c r="DH280" s="1316" t="e">
        <f aca="false">IF(AND(BU280&gt;0,CO280&gt;0,DB280&gt;0,CU280&gt;0),newSPRDOPT(BU280,CO280,CW280,0,DB280,CU280,CV280,BT280*365.25,OCallPut,0),0)</f>
        <v>#VALUE!</v>
      </c>
      <c r="DI280" s="1316" t="e">
        <f aca="false">IF(AND(BV280&gt;0,CP280&gt;0,DC280&gt;0,CU280&gt;0),newSPRDOPT(BV280,CP280,CX280,0,DC280,CU280,CV280,BT280*365.25,OCallPut,0),0)</f>
        <v>#VALUE!</v>
      </c>
      <c r="DJ280" s="1316" t="e">
        <f aca="false">IF(AND(BW280&gt;0,CQ280&gt;0,DD280&gt;0,CU280&gt;0),newSPRDOPT(BW280,CQ280,CY280,0,DD280,CU280,CV280,BT280*365.25,OCallPut,0),0)</f>
        <v>#VALUE!</v>
      </c>
      <c r="DK280" s="1316" t="e">
        <f aca="false">IF(AND(BX280&gt;0,CR280&gt;0,DE280&gt;0,CU280&gt;0),newSPRDOPT(BX280,CR280,CZ280,0,DE280,CU280,CV280,BT280*365.25,OCallPut,0),0)</f>
        <v>#VALUE!</v>
      </c>
      <c r="DL280" s="1316" t="e">
        <f aca="false">IF(OVolType,IF(AND(BZ280&gt;0,CS280&gt;0,DF280&gt;0,CU280&gt;0),newSPRDOPT(BZ280,CS280,DA280,0,DF280,CU280,CV280,BT280*365.25,OCallPut,0),0),IF(BQ280,(DH280*AZ280+DI280*BA280+DJ280*BB280+DK280*BC280)/BQ280,0))</f>
        <v>#VALUE!</v>
      </c>
      <c r="DM280" s="1316"/>
      <c r="DN280" s="1316"/>
      <c r="DO280" s="1316"/>
      <c r="DP280" s="1316"/>
      <c r="DQ280" s="1316"/>
      <c r="DR280" s="1316"/>
      <c r="DS280" s="1316"/>
      <c r="DT280" s="1316"/>
      <c r="DU280" s="1316"/>
      <c r="DV280" s="1316"/>
      <c r="DW280" s="1594" t="e">
        <f aca="false">IF(AND(BW280&gt;0,CT280&gt;0,DD280&gt;0,CU280&gt;0),newSPRDOPT(BW280,CT280,CY280,0,DD280,CU280,CV280,BT280*365.25,OCallPut,0),0)</f>
        <v>#VALUE!</v>
      </c>
      <c r="DX280" s="1316" t="e">
        <f aca="false">IF(AND(BX280&gt;0,CT280&gt;0,DE280&gt;0,CU280&gt;0),newSPRDOPT(BX280,CT280,CZ280,0,DE280,CU280,CV280,BT280*365.25,OCallPut,0),0)</f>
        <v>#VALUE!</v>
      </c>
      <c r="DY280" s="1591" t="e">
        <f aca="false">IF(BS280,(DH280*BH280+DI280*BI280+DW280*BJ280+DX280*BK280)/BS280,0)</f>
        <v>#VALUE!</v>
      </c>
      <c r="DZ280" s="1551" t="e">
        <f aca="false">DH280*AZ280</f>
        <v>#VALUE!</v>
      </c>
      <c r="EA280" s="1551" t="e">
        <f aca="false">DI280*BA280</f>
        <v>#VALUE!</v>
      </c>
      <c r="EB280" s="1551" t="e">
        <f aca="false">DJ280*BB280</f>
        <v>#VALUE!</v>
      </c>
      <c r="EC280" s="1551" t="e">
        <f aca="false">DK280*BC280</f>
        <v>#VALUE!</v>
      </c>
      <c r="ED280" s="1551" t="e">
        <f aca="false">DL280*BQ280</f>
        <v>#VALUE!</v>
      </c>
      <c r="EE280" s="1595" t="e">
        <f aca="false">IF(BQ280,IF(OCallPut,IF(BU280&gt;(CO280+CW280),BU280-(CO280+CW280),0),IF((CO280+CW280)&gt;BU280,(CO280+CW280)-BU280,0))*AZ280,0)</f>
        <v>#VALUE!</v>
      </c>
      <c r="EF280" s="1596" t="e">
        <f aca="false">IF(BQ280,IF(OCallPut,IF(BV280&gt;(CP280+CX280),BV280-(CP280+CX280),0),IF((CP280+CX280)&gt;BV280,(CP280+CX280)-BV280,0))*BA280,0)</f>
        <v>#VALUE!</v>
      </c>
      <c r="EG280" s="1596" t="e">
        <f aca="false">IF(BQ280,IF(OCallPut,IF(BW280&gt;(CQ280+CY280),BW280-(CQ280+CY280),0),IF((CQ280+CY280)&gt;BW280,(CQ280+CY280)-BW280,0))*BB280,0)</f>
        <v>#VALUE!</v>
      </c>
      <c r="EH280" s="1596" t="e">
        <f aca="false">IF(BQ280,IF(OCallPut,IF(BX280&gt;(CR280+CZ280),BX280-(CR280+CZ280),0),IF((CR280+CZ280)&gt;BX280,(CR280+CZ280)-BX280,0))*BC280,0)</f>
        <v>#VALUE!</v>
      </c>
      <c r="EI280" s="1597" t="e">
        <f aca="false">IF(BQ280,IF(OVolType,IF(OCallPut,IF(BZ280&gt;(CS280+DA280),BZ280-(CS280+DA280),0),IF((CS280+DA280)&gt;BZ280,(CS280+DA280)-BZ280,0))*BQ280,SUM(EE280:EH280)),0)</f>
        <v>#VALUE!</v>
      </c>
      <c r="EJ280" s="1595" t="e">
        <f aca="false">DZ280-EE280</f>
        <v>#VALUE!</v>
      </c>
      <c r="EK280" s="1596" t="e">
        <f aca="false">EA280-EF280</f>
        <v>#VALUE!</v>
      </c>
      <c r="EL280" s="1596" t="e">
        <f aca="false">EB280-EG280</f>
        <v>#VALUE!</v>
      </c>
      <c r="EM280" s="1596" t="e">
        <f aca="false">EC280-EH280</f>
        <v>#VALUE!</v>
      </c>
      <c r="EN280" s="1597" t="e">
        <f aca="false">ED280-EI280</f>
        <v>#VALUE!</v>
      </c>
      <c r="EO280" s="1551" t="e">
        <f aca="false">DH280*BH280</f>
        <v>#VALUE!</v>
      </c>
      <c r="EP280" s="1551" t="e">
        <f aca="false">DI280*BI280</f>
        <v>#VALUE!</v>
      </c>
      <c r="EQ280" s="1551" t="e">
        <f aca="false">DW280*BJ280</f>
        <v>#VALUE!</v>
      </c>
      <c r="ER280" s="1551" t="e">
        <f aca="false">DX280*BK280</f>
        <v>#VALUE!</v>
      </c>
      <c r="ES280" s="1551" t="e">
        <f aca="false">DY280*BS280</f>
        <v>#VALUE!</v>
      </c>
      <c r="ET280" s="1566" t="e">
        <f aca="false">IF(EI280,IF(OCallPut,IF(CA280&gt;(CT280+CW280),CA280-(CT280+CW280),0),IF((CT280+CW280)&gt;CA280,(CT280+CW280)-CA280,0))*BH280,0)</f>
        <v>#VALUE!</v>
      </c>
      <c r="EU280" s="1551" t="e">
        <f aca="false">IF(EI280,IF(OCallPut,IF(CB280&gt;(CT280+CX280),CB280-(CT280+CX280),0),IF((CT280+CX280)&gt;CB280,(CT280+CX280)-CB280,0))*BI280,0)</f>
        <v>#VALUE!</v>
      </c>
      <c r="EV280" s="1551" t="e">
        <f aca="false">IF(EI280,IF(OCallPut,IF(CC280&gt;(CT280+CY280),CC280-(CT280+CY280),0),IF((CT280+CY280)&gt;CC280,(CT280+CY280)-CC280,0))*BJ280,0)</f>
        <v>#VALUE!</v>
      </c>
      <c r="EW280" s="1551" t="e">
        <f aca="false">IF(EI280,IF(OCallPut,IF(CD280&gt;(CT280+CZ280),CD280-(CT280+CZ280),0),IF((CT280+CZ280)&gt;CD280,(CT280+CZ280)-CD280,0))*BK280,0)</f>
        <v>#VALUE!</v>
      </c>
      <c r="EX280" s="1558" t="e">
        <f aca="false">IF(EI280,SUM(ET280:EW280),0)</f>
        <v>#VALUE!</v>
      </c>
      <c r="EY280" s="1551" t="e">
        <f aca="false">EO280-ET280</f>
        <v>#VALUE!</v>
      </c>
      <c r="EZ280" s="1551" t="e">
        <f aca="false">EP280-EU280</f>
        <v>#VALUE!</v>
      </c>
      <c r="FA280" s="1551" t="e">
        <f aca="false">EQ280-EV280</f>
        <v>#VALUE!</v>
      </c>
      <c r="FB280" s="1551" t="e">
        <f aca="false">ER280-EW280</f>
        <v>#VALUE!</v>
      </c>
      <c r="FC280" s="1551" t="e">
        <f aca="false">ES280-EX280</f>
        <v>#VALUE!</v>
      </c>
      <c r="FD280" s="1525" t="n">
        <f aca="false">IF(AX280,IF(VLOOKUP(C280,MAIN!$L$17:$M$28,2)="Yes",VLOOKUP(CALC!B280,MAIN!$H$17:$I$20,2),0),0)</f>
        <v>0</v>
      </c>
      <c r="FE280" s="1552" t="e">
        <f aca="false">$FD280*16*AT280*(1-$AY280)</f>
        <v>#VALUE!</v>
      </c>
      <c r="FF280" s="1553" t="e">
        <f aca="false">$FD280*16*AU280*(1-$AY280)</f>
        <v>#VALUE!</v>
      </c>
      <c r="FG280" s="1553" t="e">
        <f aca="false">$FD280*16*(AV280+AW280)*(1-$AY280)</f>
        <v>#VALUE!</v>
      </c>
      <c r="FH280" s="1554" t="n">
        <f aca="false">$FD280*8*AX280*(1-$AY280)</f>
        <v>0</v>
      </c>
      <c r="FI280" s="1555" t="n">
        <f aca="false">IF(AX280,VLOOKUP(CALC!B280,MAIN!$H$17:$K$20,4),0)</f>
        <v>0</v>
      </c>
      <c r="FJ280" s="1553" t="e">
        <f aca="false">SUM(FE280:FH280)</f>
        <v>#VALUE!</v>
      </c>
      <c r="FK280" s="1556" t="e">
        <f aca="false">FI280*FJ280</f>
        <v>#VALUE!</v>
      </c>
      <c r="FL280" s="1551" t="e">
        <f aca="false">IF($EI280&gt;0,MIN(FE280,AZ280*(1+VLOOKUP($C280,WeatherCapacityAdjustment,2))),0)</f>
        <v>#VALUE!</v>
      </c>
      <c r="FM280" s="1551" t="e">
        <f aca="false">IF($EI280&gt;0,MIN(FF280,BA280*(1+VLOOKUP($C280,WeatherCapacityAdjustment,2))),0)</f>
        <v>#VALUE!</v>
      </c>
      <c r="FN280" s="1551" t="e">
        <f aca="false">IF($EI280&gt;0,MIN(FG280,BB280*(1+VLOOKUP($C280,WeatherCapacityAdjustment,2))),0)</f>
        <v>#VALUE!</v>
      </c>
      <c r="FO280" s="1564" t="e">
        <f aca="false">IF($EI280&gt;0,MIN(FH280,BC280*(1+VLOOKUP($C280,WeatherCapacityAdjustment,3))),0)</f>
        <v>#VALUE!</v>
      </c>
      <c r="FP280" s="1551" t="e">
        <f aca="false">IF(ET280&gt;0,MIN(FE280-FL280,BH280*(1+VLOOKUP($C280,WeatherCapacityAdjustment,2))),0)</f>
        <v>#VALUE!</v>
      </c>
      <c r="FQ280" s="1551" t="e">
        <f aca="false">IF(EU280&gt;0,MIN(FF280-FM280,BI280*(1+VLOOKUP($C280,WeatherCapacityAdjustment,2))),0)</f>
        <v>#VALUE!</v>
      </c>
      <c r="FR280" s="1551" t="e">
        <f aca="false">IF(EV280&gt;0,MIN(FG280-FN280,BJ280*(1+VLOOKUP($C280,WeatherCapacityAdjustment,2))),0)</f>
        <v>#VALUE!</v>
      </c>
      <c r="FS280" s="1558" t="e">
        <f aca="false">IF(EW280&gt;0,MIN(FH280-FO280,BK280*(1+VLOOKUP($C280,WeatherCapacityAdjustment,3))),0)</f>
        <v>#VALUE!</v>
      </c>
      <c r="FT280" s="1566" t="e">
        <f aca="false">IF(AND(Assumptions!$H$71="Yes",A280&gt;=Assumptions!$H$72,A280&lt;=Assumptions!$H$73),0,IF(AND($A280&gt;=Assumptions!$C$17,$A280&lt;=Assumptions!$C$18),MAX(AZ280*(1+VLOOKUP($C280,WeatherCapacityAdjustment,2))-FL280,0),0))</f>
        <v>#VALUE!</v>
      </c>
      <c r="FU280" s="1551" t="e">
        <f aca="false">IF(AND(Assumptions!$H$71="Yes",A280&gt;=Assumptions!$H$72,A280&lt;=Assumptions!$H$73),0,IF(AND($A280&gt;=Assumptions!$C$17,$A280&lt;=Assumptions!$C$18),MAX(BA280*(1+VLOOKUP($C280,WeatherCapacityAdjustment,2))-FM280,0),0))</f>
        <v>#VALUE!</v>
      </c>
      <c r="FV280" s="1551" t="e">
        <f aca="false">IF(AND(Assumptions!$H$71="Yes",A280&gt;=Assumptions!$H$72,A280&lt;=Assumptions!$H$73),0,IF(AND($A280&gt;=Assumptions!$C$17,$A280&lt;=Assumptions!$C$18),MAX(BB280*(1+VLOOKUP($C280,WeatherCapacityAdjustment,2))-FN280,0),0))</f>
        <v>#VALUE!</v>
      </c>
      <c r="FW280" s="1564" t="e">
        <f aca="false">IF(AND(Assumptions!$H$71="Yes",A280&gt;=Assumptions!$H$72,A280&lt;=Assumptions!$H$73),0,IF(AND($A280&gt;=Assumptions!$C$17,$A280&lt;=Assumptions!$C$18),MAX(BC280*(1+VLOOKUP($C280,WeatherCapacityAdjustment,3))-FO280,0),0))</f>
        <v>#VALUE!</v>
      </c>
      <c r="FX280" s="1569" t="e">
        <f aca="false">IF(AND(Assumptions!$H$71="Yes",A280&gt;=Assumptions!$H$72,A280&lt;=Assumptions!$H$73),0,IF(ET280&gt;0,MAX(BH280*(1+VLOOKUP($C280,WeatherCapacityAdjustment,2))-FP280,0),0))</f>
        <v>#VALUE!</v>
      </c>
      <c r="FY280" s="1551" t="e">
        <f aca="false">IF(AND(Assumptions!$H$71="Yes",A280&gt;=Assumptions!$H$72,A280&lt;=Assumptions!$H$73),0,IF(EU280&gt;0,MAX(BI280*(1+VLOOKUP($C280,WeatherCapacityAdjustment,3))-FQ280,0),0))</f>
        <v>#VALUE!</v>
      </c>
      <c r="FZ280" s="1551" t="e">
        <f aca="false">IF(AND(Assumptions!$H$71="Yes",A280&gt;=Assumptions!$H$72,A280&lt;=Assumptions!$H$73),0,IF(EV280&gt;0,MAX(BJ280*(1+VLOOKUP($C280,WeatherCapacityAdjustment,2))-FR280,0),0))</f>
        <v>#VALUE!</v>
      </c>
      <c r="GA280" s="1564" t="e">
        <f aca="false">IF(AND(Assumptions!$H$71="Yes",A280&gt;=Assumptions!$H$72,A280&lt;=Assumptions!$H$73),0,IF(EW280&gt;0,MAX(BK280*(1+VLOOKUP($C280,WeatherCapacityAdjustment,2))-FS280,0),0))</f>
        <v>#VALUE!</v>
      </c>
      <c r="GB280" s="1551" t="e">
        <f aca="false">SUM(FT280:GA280)</f>
        <v>#VALUE!</v>
      </c>
      <c r="GC280" s="1563" t="e">
        <f aca="false">+IF(SUM(FT280:GA280)=0,0,(SUMPRODUCT(BU280:BX280,FT280:FW280)+SUMPRODUCT(CA280:CD280,FX280:GA280))/SUM(FT280:GA280))</f>
        <v>#VALUE!</v>
      </c>
      <c r="GD280" s="1551" t="e">
        <f aca="false">(FT280*BU280+FX280*CA280+FU280*BV280+FY280*CB280+FV280*BW280+FZ280*CC280+FW280*BX280+GA280*CD280)</f>
        <v>#VALUE!</v>
      </c>
      <c r="GE280" s="1561" t="e">
        <f aca="false">+IF(BQ280,((FL280+FM280+FT280+FU280)*HeatRatePeak/1000*(1+VLOOKUP($C280,WeatherHeatRateAdjustment,2))+(FN280+FV280)*IF(EV280&gt;0,HeatRatePeak,HeatRateOffPeak)/1000*(1+VLOOKUP($C280,WeatherHeatRateAdjustment,2))+(FO280+FW280)*IF(EW280&gt;0,HeatRatePeak,HeatRateOffPeak)/1000*(1+VLOOKUP($C280,WeatherHeatRateAdjustment,3)))*(1+VLOOKUP($B280,HeatRateDegradation,$C280+1)),0)</f>
        <v>#VALUE!</v>
      </c>
      <c r="GF280" s="1562" t="e">
        <f aca="false">IF(BQ280,((FP280+FQ280+FR280+FX280+FY280+FZ280)*HeatRatePeak/1000*(1+VLOOKUP($C280,WeatherHeatRateAdjustment,2))+(FS280+GA280)*HeatRatePeak/1000*(1+VLOOKUP($C280,WeatherHeatRateAdjustment,3)))*(1+VLOOKUP($B280,HeatRateDegradation,$C280+1)),0)</f>
        <v>#VALUE!</v>
      </c>
      <c r="GG280" s="1563" t="e">
        <f aca="false">IF(BQ280,VLOOKUP(A280,GasTable,13),0)</f>
        <v>#VALUE!</v>
      </c>
      <c r="GH280" s="1564" t="e">
        <f aca="false">(GE280+GF280)*GG280</f>
        <v>#VALUE!</v>
      </c>
      <c r="GI280" s="1569" t="e">
        <f aca="false">GB280</f>
        <v>#VALUE!</v>
      </c>
      <c r="GJ280" s="1598" t="e">
        <f aca="false">+DA280</f>
        <v>#VALUE!</v>
      </c>
      <c r="GK280" s="1558" t="e">
        <f aca="false">+GI280*GJ280</f>
        <v>#VALUE!</v>
      </c>
      <c r="GL280" s="1566" t="e">
        <f aca="false">MAX(FE280-FL280-FP280,0)</f>
        <v>#VALUE!</v>
      </c>
      <c r="GM280" s="1551" t="e">
        <f aca="false">MAX(FF280-FM280-FQ280,0)</f>
        <v>#VALUE!</v>
      </c>
      <c r="GN280" s="1551" t="e">
        <f aca="false">MAX(FG280-FN280-FR280,0)</f>
        <v>#VALUE!</v>
      </c>
      <c r="GO280" s="1564" t="e">
        <f aca="false">MAX(FH280-FO280-FS280,0)</f>
        <v>#VALUE!</v>
      </c>
      <c r="GP280" s="1551" t="e">
        <f aca="false">SUM(GL280:GO280)</f>
        <v>#VALUE!</v>
      </c>
      <c r="GQ280" s="1563" t="e">
        <f aca="false">IF(SUM(GL280:GO280)=0,0,((GL280*BU280+GM280*BV280+GN280*BW280+GO280*BX280)/SUM(GL280:GO280)))</f>
        <v>#VALUE!</v>
      </c>
      <c r="GR280" s="1558" t="e">
        <f aca="false">(GL280*BU280+GM280*BV280+GN280*BW280+GO280*BX280)</f>
        <v>#VALUE!</v>
      </c>
      <c r="GS280" s="1566" t="n">
        <f aca="false">IF($A280&gt;=BegDate,Assumptions!$C$56*24*($A281-$A280)*(1-VLOOKUP($B280,MAIN!$AA$7:$AM$28,$C280+1))*(1-VLOOKUP($B280,MAIN!$AA$33:$AM$54,$C280+1)),0)*80/168</f>
        <v>224485.714285714</v>
      </c>
      <c r="GT280" s="286" t="n">
        <f aca="false">J280</f>
        <v>44.5846623234727</v>
      </c>
      <c r="GU280" s="286" t="n">
        <f aca="false">IF($A280&gt;=BegDate,VLOOKUP($A280,GasTable,13)+Assumptions!$C$58,0)</f>
        <v>4.58711122179671</v>
      </c>
      <c r="GV280" s="286" t="n">
        <f aca="false">GU280*Assumptions!$C$57/1000</f>
        <v>33.2565563580261</v>
      </c>
      <c r="GW280" s="1558" t="n">
        <f aca="false">IF(Assumptions!$C$60="Hourly",MAX(0,GS280*(GT280-GV280)),GS280*(GT280-GV280))</f>
        <v>2542997.95915754</v>
      </c>
      <c r="GX280" s="1566" t="n">
        <f aca="false">IF($A280&gt;=BegDate,Assumptions!$C$56*24*($A281-$A280)*(1-VLOOKUP($B280,MAIN!$AA$7:$AM$28,$C280+1))*(1-VLOOKUP($B280,MAIN!$AA$33:$AM$54,$C280+1)),0)*16/168</f>
        <v>44897.1428571429</v>
      </c>
      <c r="GY280" s="286" t="n">
        <f aca="false">M280</f>
        <v>44.5846623234727</v>
      </c>
      <c r="GZ280" s="286" t="n">
        <f aca="false">IF($A280&gt;=BegDate,VLOOKUP($A280,GasTable,13)+Assumptions!$C$58,0)</f>
        <v>4.58711122179671</v>
      </c>
      <c r="HA280" s="286" t="n">
        <f aca="false">GZ280*Assumptions!$C$57/1000</f>
        <v>33.2565563580261</v>
      </c>
      <c r="HB280" s="1558" t="n">
        <f aca="false">IF(Assumptions!$C$60="Hourly",MAX(0,GX280*(GY280-HA280)),GX280*(GY280-HA280))</f>
        <v>508599.591831507</v>
      </c>
      <c r="HC280" s="1566" t="n">
        <f aca="false">IF($A280&gt;=BegDate,Assumptions!$C$56*24*($A281-$A280)*(1-VLOOKUP($B280,MAIN!$AA$7:$AM$28,$C280+1))*(1-VLOOKUP($B280,MAIN!$AA$33:$AM$54,$C280+1)),0)*16/168</f>
        <v>44897.1428571429</v>
      </c>
      <c r="HD280" s="286" t="n">
        <f aca="false">P280</f>
        <v>31.0870230138626</v>
      </c>
      <c r="HE280" s="286" t="n">
        <f aca="false">IF($A280&gt;=BegDate,VLOOKUP($A280,GasTable,13)+Assumptions!$C$58,0)</f>
        <v>4.58711122179671</v>
      </c>
      <c r="HF280" s="286" t="n">
        <f aca="false">HE280*Assumptions!$C$57/1000</f>
        <v>33.2565563580261</v>
      </c>
      <c r="HG280" s="1558" t="n">
        <f aca="false">IF(Assumptions!$C$60="Hourly",MAX(0,HC280*(HD280-HF280)),HC280*(HD280-HF280))</f>
        <v>0</v>
      </c>
      <c r="HH280" s="1566" t="n">
        <f aca="false">IF($A280&gt;=BegDate,Assumptions!$C$56*24*($A281-$A280)*(1-VLOOKUP($B280,MAIN!$AA$7:$AM$28,$C280+1))*(1-VLOOKUP($B280,MAIN!$AA$33:$AM$54,$C280+1)),0)*56/168</f>
        <v>157140</v>
      </c>
      <c r="HI280" s="286" t="n">
        <f aca="false">S280</f>
        <v>31.0870230138626</v>
      </c>
      <c r="HJ280" s="286" t="n">
        <f aca="false">IF($A280&gt;=BegDate,VLOOKUP($A280,GasTable,13)+Assumptions!$C$58,0)</f>
        <v>4.58711122179671</v>
      </c>
      <c r="HK280" s="286" t="n">
        <f aca="false">HJ280*Assumptions!$C$57/1000</f>
        <v>33.2565563580261</v>
      </c>
      <c r="HL280" s="1558" t="n">
        <f aca="false">IF(Assumptions!$C$60="Hourly",MAX(0,HH280*(HI280-HK280)),HH280*(HI280-HK280))</f>
        <v>0</v>
      </c>
      <c r="HM280" s="1566" t="n">
        <f aca="false">IF(AND(Assumptions!$H$71="Yes",A280&gt;=Assumptions!$H$72,A280&lt;=Assumptions!$H$73),Assumptions!$H$74*Assumptions!$C$9*1000,0)</f>
        <v>0</v>
      </c>
      <c r="HN280" s="1551"/>
      <c r="HO280" s="1563"/>
      <c r="HP280" s="1563"/>
      <c r="HQ280" s="1563"/>
      <c r="HR280" s="1563"/>
      <c r="HS280" s="1563"/>
      <c r="HT280" s="1563"/>
      <c r="HU280" s="1563"/>
      <c r="HV280" s="1563"/>
      <c r="HW280" s="1563"/>
      <c r="HX280" s="1563"/>
      <c r="HY280" s="1563"/>
      <c r="HZ280" s="1563"/>
      <c r="IA280" s="1563"/>
      <c r="IB280" s="1563"/>
      <c r="IC280" s="1563"/>
      <c r="ID280" s="1563"/>
      <c r="IE280" s="1563"/>
      <c r="IF280" s="1563"/>
      <c r="IG280" s="1563"/>
      <c r="IH280" s="1563"/>
      <c r="II280" s="1610"/>
      <c r="IJ280" s="1309"/>
      <c r="IK280" s="1309"/>
    </row>
    <row r="281" customFormat="false" ht="12.75" hidden="false" customHeight="false" outlineLevel="0" collapsed="false">
      <c r="A281" s="1571" t="n">
        <f aca="false">EOMONTH(A280,0)+1</f>
        <v>44682</v>
      </c>
      <c r="B281" s="594" t="n">
        <f aca="false">+YEAR(A281)</f>
        <v>2022</v>
      </c>
      <c r="C281" s="238" t="n">
        <f aca="false">MONTH(A281)</f>
        <v>5</v>
      </c>
      <c r="D281" s="1572" t="e">
        <f aca="false">IF(E281="","",Holiday(B281,C281))</f>
        <v>#VALUE!</v>
      </c>
      <c r="E281" s="1573" t="n">
        <f aca="false">IF(OR(BegDate&gt;=A282,EndDate&lt;A281,AND(VolumeMonthlyOverFlag,INDEX(VolumeMonthlyOver,C281)=0),NOT(INDEX(MonthKnockOutTable,C281))),"",MAX(A281,BegDate))</f>
        <v>44682</v>
      </c>
      <c r="F281" s="1574" t="n">
        <f aca="false">IF(E281="","",MIN(A282-1,EndDate))</f>
        <v>44712</v>
      </c>
      <c r="G281" s="1575" t="n">
        <v>0</v>
      </c>
      <c r="H281" s="1576" t="n">
        <f aca="false">(1+G281/2)^(-2*(DATE(B282,C282,20)-DateToday)/365.25)</f>
        <v>1</v>
      </c>
      <c r="I281" s="1568" t="n">
        <f aca="false">IF(Assumptions!$L$25=4,VLOOKUP($A281,'Henwood Reference'!$E$9:$R$320,10),(VLOOKUP($A281,PriceTable,2,0)+IF(BasisNumber&lt;&gt;1,VLOOKUP($A281,BasisTable,2,0),0)+I$1)/(1-I$2))</f>
        <v>51.7558436243337</v>
      </c>
      <c r="J281" s="1568" t="n">
        <f aca="false">IF(Assumptions!$L$25=4,VLOOKUP($A281,'Henwood Reference'!$E$9:$R$320,10),(VLOOKUP($A281,PriceTable,3,0)+IF(BasisNumber&lt;&gt;1,VLOOKUP($A281,BasisTable,2,0),0)+J$1)/(1-J$2))</f>
        <v>51.7558436243337</v>
      </c>
      <c r="K281" s="1568" t="n">
        <f aca="false">IF(Assumptions!$L$25=4,VLOOKUP($A281,'Henwood Reference'!$E$9:$R$320,10),(VLOOKUP($A281,PriceTable,4,0)+IF(BasisNumber&lt;&gt;1,VLOOKUP($A281,BasisTable,2,0),0)+K$1)/(1-K$2))</f>
        <v>51.7558436243337</v>
      </c>
      <c r="L281" s="1523" t="n">
        <f aca="false">IF(Assumptions!$L$25=4,VLOOKUP($A281,'Henwood Reference'!$E$9:$R$320,10),(VLOOKUP($A281,PriceTableWeekend,2,0)+IF(BasisNumber&lt;&gt;1,VLOOKUP($A281,BasisTable,2,0),0)+L$1)/(1-L$2))</f>
        <v>51.7558436243337</v>
      </c>
      <c r="M281" s="1568" t="n">
        <f aca="false">IF(Assumptions!$L$25=4,VLOOKUP($A281,'Henwood Reference'!$E$9:$R$320,10),(VLOOKUP($A281,PriceTableWeekend,3,0)+IF(BasisNumber&lt;&gt;1,VLOOKUP($A281,BasisTable,2,0),0)+M$1)/(1-M$2))</f>
        <v>51.7558436243337</v>
      </c>
      <c r="N281" s="1599" t="n">
        <f aca="false">IF(Assumptions!$L$25=4,VLOOKUP($A281,'Henwood Reference'!$E$9:$R$320,10),(VLOOKUP($A281,PriceTableWeekend,4,0)+IF(BasisNumber&lt;&gt;1,VLOOKUP($A281,BasisTable,2,0),0)+N$1)/(1-N$2))</f>
        <v>51.7558436243337</v>
      </c>
      <c r="O281" s="1568" t="n">
        <f aca="false">IF(Assumptions!$L$25=4,VLOOKUP($A281,'Henwood Reference'!$E$9:$R$320,11),(VLOOKUP($A281,PriceTableWeekend,6,0)+IF(BasisNumber&lt;&gt;1,VLOOKUP($A281,BasisTable,3,0),0)+O$1)/(1-O$2))</f>
        <v>30.9359808000278</v>
      </c>
      <c r="P281" s="1568" t="n">
        <f aca="false">IF(Assumptions!$L$25=4,VLOOKUP($A281,'Henwood Reference'!$E$9:$R$320,11),(VLOOKUP($A281,PriceTableWeekend,7,0)+IF(BasisNumber&lt;&gt;1,VLOOKUP($A281,BasisTable,3,0),0)+P$1)/(1-P$2))</f>
        <v>30.9359808000278</v>
      </c>
      <c r="Q281" s="1599" t="n">
        <f aca="false">IF(Assumptions!$L$25=4,VLOOKUP($A281,'Henwood Reference'!$E$9:$R$320,11),(VLOOKUP($A281,PriceTableWeekend,8,0)+IF(BasisNumber&lt;&gt;1,VLOOKUP($A281,BasisTable,3,0),0)+Q$1)/(1-Q$2))</f>
        <v>30.9359808000278</v>
      </c>
      <c r="R281" s="1568" t="n">
        <f aca="false">IF(Assumptions!$L$25=4,VLOOKUP($A281,'Henwood Reference'!$E$9:$R$320,11),(VLOOKUP($A281,PriceTable,6,0)+IF(BasisNumber&lt;&gt;1,VLOOKUP($A281,BasisTable,3,0),0)+R$1)/(1-R$2))</f>
        <v>30.9359808000278</v>
      </c>
      <c r="S281" s="1568" t="n">
        <f aca="false">IF(Assumptions!$L$25=4,VLOOKUP($A281,'Henwood Reference'!$E$9:$R$320,11),(VLOOKUP($A281,PriceTable,7,0)+IF(BasisNumber&lt;&gt;1,VLOOKUP($A281,BasisTable,3,0),0)+S$1)/(1-S$2))</f>
        <v>30.9359808000278</v>
      </c>
      <c r="T281" s="1600" t="n">
        <f aca="false">IF(Assumptions!$L$25=4,VLOOKUP($A281,'Henwood Reference'!$E$9:$R$320,11),(VLOOKUP($A281,PriceTable,8,0)+IF(BasisNumber&lt;&gt;1,VLOOKUP($A281,BasisTable,3,0),0)+T$1)/(1-T$2))</f>
        <v>30.9359808000278</v>
      </c>
      <c r="U281" s="1513" t="n">
        <f aca="false">VLOOKUP($A281,VolatilityTable,14)</f>
        <v>0.09</v>
      </c>
      <c r="V281" s="1513" t="n">
        <f aca="false">VLOOKUP($A281,VolatilityTable,15)</f>
        <v>0.1</v>
      </c>
      <c r="W281" s="1514" t="n">
        <f aca="false">VLOOKUP($A281,VolatilityTable,16)</f>
        <v>0.11</v>
      </c>
      <c r="X281" s="1513" t="n">
        <f aca="false">VLOOKUP($A281,VolatilityTable,14)</f>
        <v>0.09</v>
      </c>
      <c r="Y281" s="1513" t="n">
        <f aca="false">VLOOKUP($A281,VolatilityTable,15)</f>
        <v>0.1</v>
      </c>
      <c r="Z281" s="1514" t="n">
        <f aca="false">VLOOKUP($A281,VolatilityTable,16)</f>
        <v>0.11</v>
      </c>
      <c r="AA281" s="1513" t="n">
        <f aca="false">VLOOKUP($A281,VolatilityTable,18)</f>
        <v>0.09</v>
      </c>
      <c r="AB281" s="1513" t="n">
        <f aca="false">VLOOKUP($A281,VolatilityTable,19)</f>
        <v>0.11</v>
      </c>
      <c r="AC281" s="1514" t="n">
        <f aca="false">VLOOKUP($A281,VolatilityTable,20)</f>
        <v>0.13</v>
      </c>
      <c r="AD281" s="1513" t="n">
        <f aca="false">VLOOKUP($A281,VolatilityTable,18)</f>
        <v>0.09</v>
      </c>
      <c r="AE281" s="1513" t="n">
        <f aca="false">VLOOKUP($A281,VolatilityTable,19)</f>
        <v>0.11</v>
      </c>
      <c r="AF281" s="1514" t="n">
        <f aca="false">VLOOKUP($A281,VolatilityTable,20)</f>
        <v>0.13</v>
      </c>
      <c r="AG281" s="1513" t="n">
        <f aca="false">VLOOKUP($A281,VolatilityTable,22)</f>
        <v>-0.1</v>
      </c>
      <c r="AH281" s="1513" t="n">
        <f aca="false">VLOOKUP($A281,VolatilityTable,23)</f>
        <v>0.65</v>
      </c>
      <c r="AI281" s="1514" t="n">
        <f aca="false">VLOOKUP($A281,VolatilityTable,24)</f>
        <v>0.1</v>
      </c>
      <c r="AJ281" s="1513" t="n">
        <f aca="false">VLOOKUP($A281,VolatilityTable,22)</f>
        <v>-0.1</v>
      </c>
      <c r="AK281" s="1513" t="n">
        <f aca="false">VLOOKUP($A281,VolatilityTable,23)</f>
        <v>0.65</v>
      </c>
      <c r="AL281" s="1514" t="n">
        <f aca="false">VLOOKUP($A281,VolatilityTable,24)</f>
        <v>0.1</v>
      </c>
      <c r="AM281" s="1513" t="n">
        <f aca="false">VLOOKUP($A281,VolatilityTable,26)</f>
        <v>-0.01</v>
      </c>
      <c r="AN281" s="1513" t="n">
        <f aca="false">VLOOKUP($A281,VolatilityTable,27)</f>
        <v>0.16</v>
      </c>
      <c r="AO281" s="1514" t="n">
        <f aca="false">VLOOKUP($A281,VolatilityTable,28)</f>
        <v>0.01</v>
      </c>
      <c r="AP281" s="1513" t="n">
        <f aca="false">VLOOKUP($A281,VolatilityTable,26)</f>
        <v>-0.01</v>
      </c>
      <c r="AQ281" s="1513" t="n">
        <f aca="false">VLOOKUP($A281,VolatilityTable,27)</f>
        <v>0.16</v>
      </c>
      <c r="AR281" s="1515" t="n">
        <f aca="false">VLOOKUP($A281,VolatilityTable,28)</f>
        <v>0.01</v>
      </c>
      <c r="AS281" s="1581" t="n">
        <f aca="false">IF(CorrPeakOffPeakOverFlag,INDEX(CorrPeakOffPeakOver,C281),CorrPeakOffPeak)</f>
        <v>0.5</v>
      </c>
      <c r="AT281" s="594" t="e">
        <f aca="false">AX281-SUM(AU281:AW281)</f>
        <v>#VALUE!</v>
      </c>
      <c r="AU281" s="238" t="e">
        <f aca="false">IF(E281="",0,INT((F281-MOD(F281,7)-E281)/7)+1-IF(AW281,IF(WEEKDAY(D281)=7,1,0),0))</f>
        <v>#VALUE!</v>
      </c>
      <c r="AV281" s="238" t="e">
        <f aca="false">IF(E281="",0,INT((F281-MOD(F281-1,7)-E281)/7)+1-IF(AW281,IF(WEEKDAY(D281)=1,1,0),0))</f>
        <v>#VALUE!</v>
      </c>
      <c r="AW281" s="238" t="e">
        <f aca="false">IF(OR(E281="",D281="",D281&lt;BegDate,D281&gt;EndDate),0,1)</f>
        <v>#VALUE!</v>
      </c>
      <c r="AX281" s="238" t="n">
        <f aca="false">IF(E281="",0,F281-E281+1)</f>
        <v>31</v>
      </c>
      <c r="AY281" s="1582" t="n">
        <f aca="false">IF(E281="",0,MIN((1-(1-VLOOKUP(B281,MAIN!$AA$7:$AM$28,C281+1))*(1-VLOOKUP(B281,MAIN!$AA$33:$AM$54,C281+1))),1))</f>
        <v>0.03</v>
      </c>
      <c r="AZ281" s="1519" t="e">
        <v>#VALUE!</v>
      </c>
      <c r="BA281" s="1520" t="e">
        <v>#VALUE!</v>
      </c>
      <c r="BB281" s="1520" t="e">
        <v>#VALUE!</v>
      </c>
      <c r="BC281" s="1583" t="e">
        <v>#VALUE!</v>
      </c>
      <c r="BD281" s="1522" t="e">
        <v>#VALUE!</v>
      </c>
      <c r="BE281" s="1523" t="e">
        <v>#VALUE!</v>
      </c>
      <c r="BF281" s="1523" t="e">
        <v>#VALUE!</v>
      </c>
      <c r="BG281" s="1584" t="e">
        <v>#VALUE!</v>
      </c>
      <c r="BH281" s="1525" t="e">
        <v>#VALUE!</v>
      </c>
      <c r="BI281" s="1520" t="e">
        <v>#VALUE!</v>
      </c>
      <c r="BJ281" s="1520" t="e">
        <v>#VALUE!</v>
      </c>
      <c r="BK281" s="1583" t="e">
        <v>#VALUE!</v>
      </c>
      <c r="BL281" s="1522" t="e">
        <v>#VALUE!</v>
      </c>
      <c r="BM281" s="1523" t="e">
        <v>#VALUE!</v>
      </c>
      <c r="BN281" s="1523" t="e">
        <v>#VALUE!</v>
      </c>
      <c r="BO281" s="1523" t="e">
        <v>#VALUE!</v>
      </c>
      <c r="BP281" s="1525" t="e">
        <f aca="false">SUM(AZ281:BB281)</f>
        <v>#VALUE!</v>
      </c>
      <c r="BQ281" s="1529" t="e">
        <f aca="false">SUM(AZ281:BC281)</f>
        <v>#VALUE!</v>
      </c>
      <c r="BR281" s="1519" t="e">
        <f aca="false">SUM(BH281:BJ281)</f>
        <v>#VALUE!</v>
      </c>
      <c r="BS281" s="1529" t="e">
        <f aca="false">SUM(BH281:BK281)</f>
        <v>#VALUE!</v>
      </c>
      <c r="BT281" s="1316" t="n">
        <f aca="false">(IF(OVolType&lt;&gt;2,A281+14,IF(OptExpDateShift,ShiftBack(A281,OptExpDateShift,D280),A281))-DateToday)/365.25</f>
        <v>22.0451745379877</v>
      </c>
      <c r="BU281" s="1585" t="e">
        <f aca="false">IF(BQ281,IF(OPriceCurve,IF(OBuySell=OCallPut,I281/(1-AY281),K281/(1-AY281)),J281/(1-AY281))*BD281,0)</f>
        <v>#VALUE!</v>
      </c>
      <c r="BV281" s="1316" t="e">
        <f aca="false">IF(BQ281,IF(OPriceCurve,IF(OBuySell=OCallPut,L281/(1-AY281),N281/(1-AY281)),M281/(1-AY281))*BE281,0)</f>
        <v>#VALUE!</v>
      </c>
      <c r="BW281" s="1316" t="e">
        <f aca="false">IF(BQ281,IF(OPriceCurve,IF(OBuySell=OCallPut,O281/(1-AY281),Q281/(1-AY281)),P281/(1-AY281))*BF281,0)</f>
        <v>#VALUE!</v>
      </c>
      <c r="BX281" s="1316" t="e">
        <f aca="false">IF(BQ281,IF(OPriceCurve,IF(OBuySell=OCallPut,R281/(1-AY281),T281/(1-AY281)),S281/(1-AY281))*BG281,0)</f>
        <v>#VALUE!</v>
      </c>
      <c r="BY281" s="1316" t="e">
        <f aca="false">IF(BP281,(BU281*AZ281+BV281*BA281+BW281*BB281)/BP281,0)</f>
        <v>#VALUE!</v>
      </c>
      <c r="BZ281" s="1316" t="e">
        <f aca="false">IF(BQ281,(BY281*BP281+BX281*BC281)/BQ281,0)</f>
        <v>#VALUE!</v>
      </c>
      <c r="CA281" s="1531" t="e">
        <f aca="false">IF(BS281,IF(OPriceCurve,IF(OBuySell=OCallPut,I281/(1-AY281),K281/(1-AY281)),J281/(1-AY281))*BL281,0)</f>
        <v>#VALUE!</v>
      </c>
      <c r="CB281" s="1316" t="e">
        <f aca="false">IF(BS281,IF(OPriceCurve,IF(OBuySell=OCallPut,L281/(1-AY281),N281/(1-AY281)),M281/(1-AY281))*BM281,0)</f>
        <v>#VALUE!</v>
      </c>
      <c r="CC281" s="1316" t="e">
        <f aca="false">IF(BS281,IF(OPriceCurve,IF(OBuySell=OCallPut,O281/(1-AY281),Q281/(1-AY281)),P281/(1-AY281))*BN281,0)</f>
        <v>#VALUE!</v>
      </c>
      <c r="CD281" s="1316" t="e">
        <f aca="false">IF(BS281,IF(OPriceCurve,IF(OBuySell=OCallPut,R281/(1-AY281),T281/(1-AY281)),S281/(1-AY281))*BO281,0)</f>
        <v>#VALUE!</v>
      </c>
      <c r="CE281" s="1316" t="e">
        <f aca="false">IF(BR281,(BU281*BH281+BV281*BI281+BW281*BJ281)/BR281,0)</f>
        <v>#VALUE!</v>
      </c>
      <c r="CF281" s="1532" t="e">
        <f aca="false">IF(BS281,(CE281*BR281+CD281*BK281)/BS281,0)</f>
        <v>#VALUE!</v>
      </c>
      <c r="CG281" s="1586" t="e">
        <f aca="false">IF(OR(BQ281,BS281),IF(OVolType&lt;&gt;2,SQRT(IF(OVolOverMonthlyPeak,OVolOverMonthlyPeak,IF(OVolCurve,IF(OBuySell,U281,W281),V281))^2*(1-15/365.25/BT281)+IF(OVolOverDailyPeak,OVolOverDailyPeak,IF(OVolCurve,IF(OBuySell,AG281,AI281),AH281))^2*15/365.25/BT281),IF(OVolOverMonthlyPeak,OVolOverMonthlyPeak,IF(OVolCurve,IF(OBuySell,U281,W281),V281))),"")</f>
        <v>#VALUE!</v>
      </c>
      <c r="CH281" s="1587" t="e">
        <f aca="false">IF(OR(BQ281,BS281),IF(OVolType&lt;&gt;2,SQRT(IF(OVolOverMonthlyPeak,OVolOverMonthlyPeak,IF(OVolCurve,IF(OBuySell,X281,Z281),Y281))^2*(1-15/365.25/BT281)+IF(OVolOverDailyPeak,OVolOverDailyPeak,IF(OVolCurve,IF(OBuySell,AJ281,AL281),AK281))^2*15/365.25/BT281),IF(OVolOverMonthlyPeak,OVolOverMonthlyPeak,IF(OVolCurve,IF(OBuySell,X281,Z281),Y281))),"")</f>
        <v>#VALUE!</v>
      </c>
      <c r="CI281" s="1587" t="e">
        <f aca="false">IF(OR(BQ281,BS281),IF(OVolType&lt;&gt;2,SQRT(IF(OVolOverMonthlyPeak,OVolOverMonthlyPeak,IF(OVolCurve,IF(OBuySell,AA281,AC281),AB281))^2*(1-15/365.25/BT281)+IF(OVolOverDailyPeak,OVolOverDailyPeak,IF(OVolCurve,IF(OBuySell,AM281,AO281),AN281))^2*15/365.25/BT281),IF(OVolOverMonthlyPeak,OVolOverMonthlyPeak,IF(OVolCurve,IF(OBuySell,AA281,AC281),AB281))),"")</f>
        <v>#VALUE!</v>
      </c>
      <c r="CJ281" s="1587" t="e">
        <f aca="false">IF(BQ281,IF(BP281,SQRT(LN(1+((BU281*AZ281)^2*(EXP(CG281^2*BT281)-1)+(BV281*BA281)^2*(EXP(CH281^2*BT281)-1)+(BW281*BB281)^2*(EXP(CI281^2*BT281)-1)+2*BU281*AZ281*BV281*BA281*(EXP(CG281*CH281*BT281)-1)+2*BV281*BA281*BW281*BB281*(EXP(CH281*CI281*BT281)-1)+2*BW281*BB281*BU281*AZ281*(EXP(CI281*CG281*BT281)-1))/(BY281*BP281)^2)/BT281),0),"")</f>
        <v>#VALUE!</v>
      </c>
      <c r="CK281" s="1587" t="e">
        <f aca="false">IF(BS281,IF(BR281,SQRT(LN(1+((CA281*BH281)^2*(EXP(CG281^2*BT281)-1)+(CB281*BI281)^2*(EXP(CH281^2*BT281)-1)+(CC281*BJ281)^2*(EXP(CI281^2*BT281)-1)+2*CA281*BH281*CB281*BI281*(EXP(CG281*CH281*BT281)-1)+2*CB281*BI281*CC281*BJ281*(EXP(CH281*CI281*BT281)-1)+2*CC281*BJ281*CA281*BH281*(EXP(CI281*CG281*BT281)-1))/(CE281*BR281)^2)/BT281),0),"")</f>
        <v>#VALUE!</v>
      </c>
      <c r="CL281" s="1587" t="e">
        <f aca="false">IF(OR(BQ281,BS281),IF(OVolType&lt;&gt;2,SQRT(IF(OVolOverMonthlyOffPeak,OVolOverMonthlyOffPeak,IF(OVolCurve,IF(OBuySell,AD281,AF281),AE281))^2*(1-15/365.25/BT281)+IF(OVolOverDailyOffPeak,OVolOverDailyOffPeak,IF(OVolCurve,IF(OBuySell,AP281,AR281),AQ281))^2*15/365.25/BT281),IF(OVolOverMonthlyOffPeak,OVolOverMonthlyOffPeak,IF(OVolCurve,IF(OBuySell,AD281,AF281),AE281))),"")</f>
        <v>#VALUE!</v>
      </c>
      <c r="CM281" s="1587" t="e">
        <f aca="false">IF(BQ281,SQRT(LN(1+((BY281*BP281)^2*(EXP(CJ281^2*BT281)-1)+(BX281*BC281)^2*(EXP(CL281^2*BT281)-1)+2*BY281*BP281*BX281*BC281*(EXP(AS281*CJ281*CL281*BT281)-1))/(BY281*BP281+BX281*BC281)^2)/BT281),"")</f>
        <v>#VALUE!</v>
      </c>
      <c r="CN281" s="1588" t="e">
        <f aca="false">IF(BS281,SQRT(LN(1+((CE281*BR281)^2*(EXP(CK281^2*BT281)-1)+(CD281*BK281)^2*(EXP(CL281^2*BT281)-1)+2*CE281*BR281*CD281*BK281*(EXP(AS281*CK281*CL281*BT281)-1))/(CE281*BR281+CD281*BK281)^2)/BT281),"")</f>
        <v>#VALUE!</v>
      </c>
      <c r="CO281" s="1531" t="e">
        <f aca="false">IF(OR(BQ281,BS281),VLOOKUP(A281,GasTable,13)*HeatRatePeak*(1+VLOOKUP($B281,HeatRateDegradation,$C281+1))/1000,0)</f>
        <v>#VALUE!</v>
      </c>
      <c r="CP281" s="1316" t="e">
        <f aca="false">IF(OR(BQ281,BS281),VLOOKUP(A281,GasTable,13)*HeatRatePeak*(1+VLOOKUP($B281,HeatRateDegradation,$C281+1))/1000,0)</f>
        <v>#VALUE!</v>
      </c>
      <c r="CQ281" s="1316" t="e">
        <f aca="false">IF(OR(BQ281,BS281),VLOOKUP(A281,GasTable,13)*IF(EV281,HeatRatePeak,HeatRateOffPeak)*(1+VLOOKUP($B281,HeatRateDegradation,$C281+1))/1000,0)</f>
        <v>#VALUE!</v>
      </c>
      <c r="CR281" s="1316" t="e">
        <f aca="false">IF(OR(BQ281,BS281),VLOOKUP(A281,GasTable,13)*IF(EW281,HeatRatePeak,HeatRateOffPeak)*(1+VLOOKUP($B281,HeatRateDegradation,$C281+1))/1000,0)</f>
        <v>#VALUE!</v>
      </c>
      <c r="CS281" s="1589" t="e">
        <f aca="false">IF(BQ281,(CO281*AZ281+CP281*BA281+CQ281*BB281+CR281*BC281)/BQ281,0)</f>
        <v>#VALUE!</v>
      </c>
      <c r="CT281" s="1316" t="e">
        <f aca="false">IF(BS281,CO281,0)</f>
        <v>#VALUE!</v>
      </c>
      <c r="CU281" s="1590" t="e">
        <f aca="false">IF(OR(BQ281,BS281),VLOOKUP(A281,GasTable,14),"")</f>
        <v>#VALUE!</v>
      </c>
      <c r="CV281" s="1568" t="e">
        <f aca="false">IF(OR(BQ281,BS281),IF(CorrPowerGasOverFlag,INDEX(CorrPowerGasOver,C281),CorrPowerGas),"")</f>
        <v>#VALUE!</v>
      </c>
      <c r="CW281" s="1316" t="e">
        <f aca="false">IF(OR($BQ281,$BS281),SpreadOptPowerMargin,0)*((1+Assumptions!$C$26)^($B281-YEAR(Assumptions!$C$17)))</f>
        <v>#VALUE!</v>
      </c>
      <c r="CX281" s="1316" t="e">
        <f aca="false">IF(OR($BQ281,$BS281),SpreadOptPowerMargin,0)*((1+Assumptions!$C$26)^($B281-YEAR(Assumptions!$C$17)))</f>
        <v>#VALUE!</v>
      </c>
      <c r="CY281" s="1316" t="e">
        <f aca="false">IF(OR($BQ281,$BS281),SpreadOptPowerMargin,0)*((1+Assumptions!$C$26)^($B281-YEAR(Assumptions!$C$17)))</f>
        <v>#VALUE!</v>
      </c>
      <c r="CZ281" s="1316" t="e">
        <f aca="false">IF(OR($BQ281,$BS281),SpreadOptPowerMargin,0)*((1+Assumptions!$C$26)^($B281-YEAR(Assumptions!$C$17)))</f>
        <v>#VALUE!</v>
      </c>
      <c r="DA281" s="1591" t="e">
        <f aca="false">IF(OR(BQ281,BS281),(CW281*(AZ281+BH281)+CX281*(BA281+BI281)+CY281*(BB281+BJ281)+CZ281*(BC281+BK281))/(BQ281+BS281),0)</f>
        <v>#VALUE!</v>
      </c>
      <c r="DB281" s="1592" t="e">
        <f aca="false">IF(OR(BQ281,BS281),CG281+IF(OVolSmile,VLOOKUP(MAX(-5,CO281+CW281-BU281),IF(OVolSmile=1,VolSmileBook,VolSmileModel),2),0),"")</f>
        <v>#VALUE!</v>
      </c>
      <c r="DC281" s="1592" t="e">
        <f aca="false">IF(OR(BQ281,BS281),CH281+IF(OVolSmile,VLOOKUP(MAX(-5,CP281+CW281-BV281),IF(OVolSmile=1,VolSmileBook,VolSmileModel),2),0),"")</f>
        <v>#VALUE!</v>
      </c>
      <c r="DD281" s="1592" t="e">
        <f aca="false">IF(OR(BQ281,BS281),CI281+IF(OVolSmile,VLOOKUP(MAX(-5,CQ281+CW281-BW281),IF(OVolSmile=1,VolSmileBook,VolSmileModel),2),0),"")</f>
        <v>#VALUE!</v>
      </c>
      <c r="DE281" s="1592" t="e">
        <f aca="false">IF(OR(BQ281,BS281),CL281+IF(OVolSmile,VLOOKUP(MAX(-5,CR281+CZ281-BX281),IF(OVolSmile=1,VolSmileBook,VolSmileModel),2),0),"")</f>
        <v>#VALUE!</v>
      </c>
      <c r="DF281" s="1592" t="e">
        <f aca="false">IF(BQ281,CM281+IF(OVolSmile,VLOOKUP(MAX(-5,CS281+DA281-BZ281),IF(OVolSmile=1,VolSmileBook,VolSmileModel),2),0),"")</f>
        <v>#VALUE!</v>
      </c>
      <c r="DG281" s="1593" t="e">
        <f aca="false">IF(BS281,CN281+IF(OVolSmile,VLOOKUP(MAX(-5,CT281+DA281-CF281),IF(OVolSmile=1,VolSmileBook,VolSmileModel),2),0),"")</f>
        <v>#VALUE!</v>
      </c>
      <c r="DH281" s="1316" t="e">
        <f aca="false">IF(AND(BU281&gt;0,CO281&gt;0,DB281&gt;0,CU281&gt;0),newSPRDOPT(BU281,CO281,CW281,0,DB281,CU281,CV281,BT281*365.25,OCallPut,0),0)</f>
        <v>#VALUE!</v>
      </c>
      <c r="DI281" s="1316" t="e">
        <f aca="false">IF(AND(BV281&gt;0,CP281&gt;0,DC281&gt;0,CU281&gt;0),newSPRDOPT(BV281,CP281,CX281,0,DC281,CU281,CV281,BT281*365.25,OCallPut,0),0)</f>
        <v>#VALUE!</v>
      </c>
      <c r="DJ281" s="1316" t="e">
        <f aca="false">IF(AND(BW281&gt;0,CQ281&gt;0,DD281&gt;0,CU281&gt;0),newSPRDOPT(BW281,CQ281,CY281,0,DD281,CU281,CV281,BT281*365.25,OCallPut,0),0)</f>
        <v>#VALUE!</v>
      </c>
      <c r="DK281" s="1316" t="e">
        <f aca="false">IF(AND(BX281&gt;0,CR281&gt;0,DE281&gt;0,CU281&gt;0),newSPRDOPT(BX281,CR281,CZ281,0,DE281,CU281,CV281,BT281*365.25,OCallPut,0),0)</f>
        <v>#VALUE!</v>
      </c>
      <c r="DL281" s="1316" t="e">
        <f aca="false">IF(OVolType,IF(AND(BZ281&gt;0,CS281&gt;0,DF281&gt;0,CU281&gt;0),newSPRDOPT(BZ281,CS281,DA281,0,DF281,CU281,CV281,BT281*365.25,OCallPut,0),0),IF(BQ281,(DH281*AZ281+DI281*BA281+DJ281*BB281+DK281*BC281)/BQ281,0))</f>
        <v>#VALUE!</v>
      </c>
      <c r="DM281" s="1316"/>
      <c r="DN281" s="1316"/>
      <c r="DO281" s="1316"/>
      <c r="DP281" s="1316"/>
      <c r="DQ281" s="1316"/>
      <c r="DR281" s="1316"/>
      <c r="DS281" s="1316"/>
      <c r="DT281" s="1316"/>
      <c r="DU281" s="1316"/>
      <c r="DV281" s="1316"/>
      <c r="DW281" s="1594" t="e">
        <f aca="false">IF(AND(BW281&gt;0,CT281&gt;0,DD281&gt;0,CU281&gt;0),newSPRDOPT(BW281,CT281,CY281,0,DD281,CU281,CV281,BT281*365.25,OCallPut,0),0)</f>
        <v>#VALUE!</v>
      </c>
      <c r="DX281" s="1316" t="e">
        <f aca="false">IF(AND(BX281&gt;0,CT281&gt;0,DE281&gt;0,CU281&gt;0),newSPRDOPT(BX281,CT281,CZ281,0,DE281,CU281,CV281,BT281*365.25,OCallPut,0),0)</f>
        <v>#VALUE!</v>
      </c>
      <c r="DY281" s="1591" t="e">
        <f aca="false">IF(BS281,(DH281*BH281+DI281*BI281+DW281*BJ281+DX281*BK281)/BS281,0)</f>
        <v>#VALUE!</v>
      </c>
      <c r="DZ281" s="1551" t="e">
        <f aca="false">DH281*AZ281</f>
        <v>#VALUE!</v>
      </c>
      <c r="EA281" s="1551" t="e">
        <f aca="false">DI281*BA281</f>
        <v>#VALUE!</v>
      </c>
      <c r="EB281" s="1551" t="e">
        <f aca="false">DJ281*BB281</f>
        <v>#VALUE!</v>
      </c>
      <c r="EC281" s="1551" t="e">
        <f aca="false">DK281*BC281</f>
        <v>#VALUE!</v>
      </c>
      <c r="ED281" s="1551" t="e">
        <f aca="false">DL281*BQ281</f>
        <v>#VALUE!</v>
      </c>
      <c r="EE281" s="1595" t="e">
        <f aca="false">IF(BQ281,IF(OCallPut,IF(BU281&gt;(CO281+CW281),BU281-(CO281+CW281),0),IF((CO281+CW281)&gt;BU281,(CO281+CW281)-BU281,0))*AZ281,0)</f>
        <v>#VALUE!</v>
      </c>
      <c r="EF281" s="1596" t="e">
        <f aca="false">IF(BQ281,IF(OCallPut,IF(BV281&gt;(CP281+CX281),BV281-(CP281+CX281),0),IF((CP281+CX281)&gt;BV281,(CP281+CX281)-BV281,0))*BA281,0)</f>
        <v>#VALUE!</v>
      </c>
      <c r="EG281" s="1596" t="e">
        <f aca="false">IF(BQ281,IF(OCallPut,IF(BW281&gt;(CQ281+CY281),BW281-(CQ281+CY281),0),IF((CQ281+CY281)&gt;BW281,(CQ281+CY281)-BW281,0))*BB281,0)</f>
        <v>#VALUE!</v>
      </c>
      <c r="EH281" s="1596" t="e">
        <f aca="false">IF(BQ281,IF(OCallPut,IF(BX281&gt;(CR281+CZ281),BX281-(CR281+CZ281),0),IF((CR281+CZ281)&gt;BX281,(CR281+CZ281)-BX281,0))*BC281,0)</f>
        <v>#VALUE!</v>
      </c>
      <c r="EI281" s="1597" t="e">
        <f aca="false">IF(BQ281,IF(OVolType,IF(OCallPut,IF(BZ281&gt;(CS281+DA281),BZ281-(CS281+DA281),0),IF((CS281+DA281)&gt;BZ281,(CS281+DA281)-BZ281,0))*BQ281,SUM(EE281:EH281)),0)</f>
        <v>#VALUE!</v>
      </c>
      <c r="EJ281" s="1595" t="e">
        <f aca="false">DZ281-EE281</f>
        <v>#VALUE!</v>
      </c>
      <c r="EK281" s="1596" t="e">
        <f aca="false">EA281-EF281</f>
        <v>#VALUE!</v>
      </c>
      <c r="EL281" s="1596" t="e">
        <f aca="false">EB281-EG281</f>
        <v>#VALUE!</v>
      </c>
      <c r="EM281" s="1596" t="e">
        <f aca="false">EC281-EH281</f>
        <v>#VALUE!</v>
      </c>
      <c r="EN281" s="1597" t="e">
        <f aca="false">ED281-EI281</f>
        <v>#VALUE!</v>
      </c>
      <c r="EO281" s="1551" t="e">
        <f aca="false">DH281*BH281</f>
        <v>#VALUE!</v>
      </c>
      <c r="EP281" s="1551" t="e">
        <f aca="false">DI281*BI281</f>
        <v>#VALUE!</v>
      </c>
      <c r="EQ281" s="1551" t="e">
        <f aca="false">DW281*BJ281</f>
        <v>#VALUE!</v>
      </c>
      <c r="ER281" s="1551" t="e">
        <f aca="false">DX281*BK281</f>
        <v>#VALUE!</v>
      </c>
      <c r="ES281" s="1551" t="e">
        <f aca="false">DY281*BS281</f>
        <v>#VALUE!</v>
      </c>
      <c r="ET281" s="1566" t="e">
        <f aca="false">IF(EI281,IF(OCallPut,IF(CA281&gt;(CT281+CW281),CA281-(CT281+CW281),0),IF((CT281+CW281)&gt;CA281,(CT281+CW281)-CA281,0))*BH281,0)</f>
        <v>#VALUE!</v>
      </c>
      <c r="EU281" s="1551" t="e">
        <f aca="false">IF(EI281,IF(OCallPut,IF(CB281&gt;(CT281+CX281),CB281-(CT281+CX281),0),IF((CT281+CX281)&gt;CB281,(CT281+CX281)-CB281,0))*BI281,0)</f>
        <v>#VALUE!</v>
      </c>
      <c r="EV281" s="1551" t="e">
        <f aca="false">IF(EI281,IF(OCallPut,IF(CC281&gt;(CT281+CY281),CC281-(CT281+CY281),0),IF((CT281+CY281)&gt;CC281,(CT281+CY281)-CC281,0))*BJ281,0)</f>
        <v>#VALUE!</v>
      </c>
      <c r="EW281" s="1551" t="e">
        <f aca="false">IF(EI281,IF(OCallPut,IF(CD281&gt;(CT281+CZ281),CD281-(CT281+CZ281),0),IF((CT281+CZ281)&gt;CD281,(CT281+CZ281)-CD281,0))*BK281,0)</f>
        <v>#VALUE!</v>
      </c>
      <c r="EX281" s="1558" t="e">
        <f aca="false">IF(EI281,SUM(ET281:EW281),0)</f>
        <v>#VALUE!</v>
      </c>
      <c r="EY281" s="1551" t="e">
        <f aca="false">EO281-ET281</f>
        <v>#VALUE!</v>
      </c>
      <c r="EZ281" s="1551" t="e">
        <f aca="false">EP281-EU281</f>
        <v>#VALUE!</v>
      </c>
      <c r="FA281" s="1551" t="e">
        <f aca="false">EQ281-EV281</f>
        <v>#VALUE!</v>
      </c>
      <c r="FB281" s="1551" t="e">
        <f aca="false">ER281-EW281</f>
        <v>#VALUE!</v>
      </c>
      <c r="FC281" s="1551" t="e">
        <f aca="false">ES281-EX281</f>
        <v>#VALUE!</v>
      </c>
      <c r="FD281" s="1525" t="n">
        <f aca="false">IF(AX281,IF(VLOOKUP(C281,MAIN!$L$17:$M$28,2)="Yes",VLOOKUP(CALC!B281,MAIN!$H$17:$I$20,2),0),0)</f>
        <v>0</v>
      </c>
      <c r="FE281" s="1552" t="e">
        <f aca="false">$FD281*16*AT281*(1-$AY281)</f>
        <v>#VALUE!</v>
      </c>
      <c r="FF281" s="1553" t="e">
        <f aca="false">$FD281*16*AU281*(1-$AY281)</f>
        <v>#VALUE!</v>
      </c>
      <c r="FG281" s="1553" t="e">
        <f aca="false">$FD281*16*(AV281+AW281)*(1-$AY281)</f>
        <v>#VALUE!</v>
      </c>
      <c r="FH281" s="1554" t="n">
        <f aca="false">$FD281*8*AX281*(1-$AY281)</f>
        <v>0</v>
      </c>
      <c r="FI281" s="1555" t="n">
        <f aca="false">IF(AX281,VLOOKUP(CALC!B281,MAIN!$H$17:$K$20,4),0)</f>
        <v>0</v>
      </c>
      <c r="FJ281" s="1553" t="e">
        <f aca="false">SUM(FE281:FH281)</f>
        <v>#VALUE!</v>
      </c>
      <c r="FK281" s="1556" t="e">
        <f aca="false">FI281*FJ281</f>
        <v>#VALUE!</v>
      </c>
      <c r="FL281" s="1551" t="e">
        <f aca="false">IF($EI281&gt;0,MIN(FE281,AZ281*(1+VLOOKUP($C281,WeatherCapacityAdjustment,2))),0)</f>
        <v>#VALUE!</v>
      </c>
      <c r="FM281" s="1551" t="e">
        <f aca="false">IF($EI281&gt;0,MIN(FF281,BA281*(1+VLOOKUP($C281,WeatherCapacityAdjustment,2))),0)</f>
        <v>#VALUE!</v>
      </c>
      <c r="FN281" s="1551" t="e">
        <f aca="false">IF($EI281&gt;0,MIN(FG281,BB281*(1+VLOOKUP($C281,WeatherCapacityAdjustment,2))),0)</f>
        <v>#VALUE!</v>
      </c>
      <c r="FO281" s="1564" t="e">
        <f aca="false">IF($EI281&gt;0,MIN(FH281,BC281*(1+VLOOKUP($C281,WeatherCapacityAdjustment,3))),0)</f>
        <v>#VALUE!</v>
      </c>
      <c r="FP281" s="1551" t="e">
        <f aca="false">IF(ET281&gt;0,MIN(FE281-FL281,BH281*(1+VLOOKUP($C281,WeatherCapacityAdjustment,2))),0)</f>
        <v>#VALUE!</v>
      </c>
      <c r="FQ281" s="1551" t="e">
        <f aca="false">IF(EU281&gt;0,MIN(FF281-FM281,BI281*(1+VLOOKUP($C281,WeatherCapacityAdjustment,2))),0)</f>
        <v>#VALUE!</v>
      </c>
      <c r="FR281" s="1551" t="e">
        <f aca="false">IF(EV281&gt;0,MIN(FG281-FN281,BJ281*(1+VLOOKUP($C281,WeatherCapacityAdjustment,2))),0)</f>
        <v>#VALUE!</v>
      </c>
      <c r="FS281" s="1558" t="e">
        <f aca="false">IF(EW281&gt;0,MIN(FH281-FO281,BK281*(1+VLOOKUP($C281,WeatherCapacityAdjustment,3))),0)</f>
        <v>#VALUE!</v>
      </c>
      <c r="FT281" s="1566" t="e">
        <f aca="false">IF(AND(Assumptions!$H$71="Yes",A281&gt;=Assumptions!$H$72,A281&lt;=Assumptions!$H$73),0,IF(AND($A281&gt;=Assumptions!$C$17,$A281&lt;=Assumptions!$C$18),MAX(AZ281*(1+VLOOKUP($C281,WeatherCapacityAdjustment,2))-FL281,0),0))</f>
        <v>#VALUE!</v>
      </c>
      <c r="FU281" s="1551" t="e">
        <f aca="false">IF(AND(Assumptions!$H$71="Yes",A281&gt;=Assumptions!$H$72,A281&lt;=Assumptions!$H$73),0,IF(AND($A281&gt;=Assumptions!$C$17,$A281&lt;=Assumptions!$C$18),MAX(BA281*(1+VLOOKUP($C281,WeatherCapacityAdjustment,2))-FM281,0),0))</f>
        <v>#VALUE!</v>
      </c>
      <c r="FV281" s="1551" t="e">
        <f aca="false">IF(AND(Assumptions!$H$71="Yes",A281&gt;=Assumptions!$H$72,A281&lt;=Assumptions!$H$73),0,IF(AND($A281&gt;=Assumptions!$C$17,$A281&lt;=Assumptions!$C$18),MAX(BB281*(1+VLOOKUP($C281,WeatherCapacityAdjustment,2))-FN281,0),0))</f>
        <v>#VALUE!</v>
      </c>
      <c r="FW281" s="1564" t="e">
        <f aca="false">IF(AND(Assumptions!$H$71="Yes",A281&gt;=Assumptions!$H$72,A281&lt;=Assumptions!$H$73),0,IF(AND($A281&gt;=Assumptions!$C$17,$A281&lt;=Assumptions!$C$18),MAX(BC281*(1+VLOOKUP($C281,WeatherCapacityAdjustment,3))-FO281,0),0))</f>
        <v>#VALUE!</v>
      </c>
      <c r="FX281" s="1569" t="e">
        <f aca="false">IF(AND(Assumptions!$H$71="Yes",A281&gt;=Assumptions!$H$72,A281&lt;=Assumptions!$H$73),0,IF(ET281&gt;0,MAX(BH281*(1+VLOOKUP($C281,WeatherCapacityAdjustment,2))-FP281,0),0))</f>
        <v>#VALUE!</v>
      </c>
      <c r="FY281" s="1551" t="e">
        <f aca="false">IF(AND(Assumptions!$H$71="Yes",A281&gt;=Assumptions!$H$72,A281&lt;=Assumptions!$H$73),0,IF(EU281&gt;0,MAX(BI281*(1+VLOOKUP($C281,WeatherCapacityAdjustment,3))-FQ281,0),0))</f>
        <v>#VALUE!</v>
      </c>
      <c r="FZ281" s="1551" t="e">
        <f aca="false">IF(AND(Assumptions!$H$71="Yes",A281&gt;=Assumptions!$H$72,A281&lt;=Assumptions!$H$73),0,IF(EV281&gt;0,MAX(BJ281*(1+VLOOKUP($C281,WeatherCapacityAdjustment,2))-FR281,0),0))</f>
        <v>#VALUE!</v>
      </c>
      <c r="GA281" s="1564" t="e">
        <f aca="false">IF(AND(Assumptions!$H$71="Yes",A281&gt;=Assumptions!$H$72,A281&lt;=Assumptions!$H$73),0,IF(EW281&gt;0,MAX(BK281*(1+VLOOKUP($C281,WeatherCapacityAdjustment,2))-FS281,0),0))</f>
        <v>#VALUE!</v>
      </c>
      <c r="GB281" s="1551" t="e">
        <f aca="false">SUM(FT281:GA281)</f>
        <v>#VALUE!</v>
      </c>
      <c r="GC281" s="1563" t="e">
        <f aca="false">+IF(SUM(FT281:GA281)=0,0,(SUMPRODUCT(BU281:BX281,FT281:FW281)+SUMPRODUCT(CA281:CD281,FX281:GA281))/SUM(FT281:GA281))</f>
        <v>#VALUE!</v>
      </c>
      <c r="GD281" s="1551" t="e">
        <f aca="false">(FT281*BU281+FX281*CA281+FU281*BV281+FY281*CB281+FV281*BW281+FZ281*CC281+FW281*BX281+GA281*CD281)</f>
        <v>#VALUE!</v>
      </c>
      <c r="GE281" s="1561" t="e">
        <f aca="false">+IF(BQ281,((FL281+FM281+FT281+FU281)*HeatRatePeak/1000*(1+VLOOKUP($C281,WeatherHeatRateAdjustment,2))+(FN281+FV281)*IF(EV281&gt;0,HeatRatePeak,HeatRateOffPeak)/1000*(1+VLOOKUP($C281,WeatherHeatRateAdjustment,2))+(FO281+FW281)*IF(EW281&gt;0,HeatRatePeak,HeatRateOffPeak)/1000*(1+VLOOKUP($C281,WeatherHeatRateAdjustment,3)))*(1+VLOOKUP($B281,HeatRateDegradation,$C281+1)),0)</f>
        <v>#VALUE!</v>
      </c>
      <c r="GF281" s="1562" t="e">
        <f aca="false">IF(BQ281,((FP281+FQ281+FR281+FX281+FY281+FZ281)*HeatRatePeak/1000*(1+VLOOKUP($C281,WeatherHeatRateAdjustment,2))+(FS281+GA281)*HeatRatePeak/1000*(1+VLOOKUP($C281,WeatherHeatRateAdjustment,3)))*(1+VLOOKUP($B281,HeatRateDegradation,$C281+1)),0)</f>
        <v>#VALUE!</v>
      </c>
      <c r="GG281" s="1563" t="e">
        <f aca="false">IF(BQ281,VLOOKUP(A281,GasTable,13),0)</f>
        <v>#VALUE!</v>
      </c>
      <c r="GH281" s="1564" t="e">
        <f aca="false">(GE281+GF281)*GG281</f>
        <v>#VALUE!</v>
      </c>
      <c r="GI281" s="1569" t="e">
        <f aca="false">GB281</f>
        <v>#VALUE!</v>
      </c>
      <c r="GJ281" s="1598" t="e">
        <f aca="false">+DA281</f>
        <v>#VALUE!</v>
      </c>
      <c r="GK281" s="1558" t="e">
        <f aca="false">+GI281*GJ281</f>
        <v>#VALUE!</v>
      </c>
      <c r="GL281" s="1566" t="e">
        <f aca="false">MAX(FE281-FL281-FP281,0)</f>
        <v>#VALUE!</v>
      </c>
      <c r="GM281" s="1551" t="e">
        <f aca="false">MAX(FF281-FM281-FQ281,0)</f>
        <v>#VALUE!</v>
      </c>
      <c r="GN281" s="1551" t="e">
        <f aca="false">MAX(FG281-FN281-FR281,0)</f>
        <v>#VALUE!</v>
      </c>
      <c r="GO281" s="1564" t="e">
        <f aca="false">MAX(FH281-FO281-FS281,0)</f>
        <v>#VALUE!</v>
      </c>
      <c r="GP281" s="1551" t="e">
        <f aca="false">SUM(GL281:GO281)</f>
        <v>#VALUE!</v>
      </c>
      <c r="GQ281" s="1563" t="e">
        <f aca="false">IF(SUM(GL281:GO281)=0,0,((GL281*BU281+GM281*BV281+GN281*BW281+GO281*BX281)/SUM(GL281:GO281)))</f>
        <v>#VALUE!</v>
      </c>
      <c r="GR281" s="1558" t="e">
        <f aca="false">(GL281*BU281+GM281*BV281+GN281*BW281+GO281*BX281)</f>
        <v>#VALUE!</v>
      </c>
      <c r="GS281" s="1566" t="n">
        <f aca="false">IF($A281&gt;=BegDate,Assumptions!$C$56*24*($A282-$A281)*(1-VLOOKUP($B281,MAIN!$AA$7:$AM$28,$C281+1))*(1-VLOOKUP($B281,MAIN!$AA$33:$AM$54,$C281+1)),0)*80/168</f>
        <v>257742.857142857</v>
      </c>
      <c r="GT281" s="286" t="n">
        <f aca="false">J281</f>
        <v>51.7558436243337</v>
      </c>
      <c r="GU281" s="286" t="n">
        <f aca="false">IF($A281&gt;=BegDate,VLOOKUP($A281,GasTable,13)+Assumptions!$C$58,0)</f>
        <v>4.58711122179671</v>
      </c>
      <c r="GV281" s="286" t="n">
        <f aca="false">GU281*Assumptions!$C$57/1000</f>
        <v>33.2565563580261</v>
      </c>
      <c r="GW281" s="1558" t="n">
        <f aca="false">IF(Assumptions!$C$60="Hourly",MAX(0,GS281*(GT281-GV281)),GS281*(GT281-GV281))</f>
        <v>4768059.15512459</v>
      </c>
      <c r="GX281" s="1566" t="n">
        <f aca="false">IF($A281&gt;=BegDate,Assumptions!$C$56*24*($A282-$A281)*(1-VLOOKUP($B281,MAIN!$AA$7:$AM$28,$C281+1))*(1-VLOOKUP($B281,MAIN!$AA$33:$AM$54,$C281+1)),0)*16/168</f>
        <v>51548.5714285714</v>
      </c>
      <c r="GY281" s="286" t="n">
        <f aca="false">M281</f>
        <v>51.7558436243337</v>
      </c>
      <c r="GZ281" s="286" t="n">
        <f aca="false">IF($A281&gt;=BegDate,VLOOKUP($A281,GasTable,13)+Assumptions!$C$58,0)</f>
        <v>4.58711122179671</v>
      </c>
      <c r="HA281" s="286" t="n">
        <f aca="false">GZ281*Assumptions!$C$57/1000</f>
        <v>33.2565563580261</v>
      </c>
      <c r="HB281" s="1558" t="n">
        <f aca="false">IF(Assumptions!$C$60="Hourly",MAX(0,GX281*(GY281-HA281)),GX281*(GY281-HA281))</f>
        <v>953611.831024918</v>
      </c>
      <c r="HC281" s="1566" t="n">
        <f aca="false">IF($A281&gt;=BegDate,Assumptions!$C$56*24*($A282-$A281)*(1-VLOOKUP($B281,MAIN!$AA$7:$AM$28,$C281+1))*(1-VLOOKUP($B281,MAIN!$AA$33:$AM$54,$C281+1)),0)*16/168</f>
        <v>51548.5714285714</v>
      </c>
      <c r="HD281" s="286" t="n">
        <f aca="false">P281</f>
        <v>30.9359808000278</v>
      </c>
      <c r="HE281" s="286" t="n">
        <f aca="false">IF($A281&gt;=BegDate,VLOOKUP($A281,GasTable,13)+Assumptions!$C$58,0)</f>
        <v>4.58711122179671</v>
      </c>
      <c r="HF281" s="286" t="n">
        <f aca="false">HE281*Assumptions!$C$57/1000</f>
        <v>33.2565563580261</v>
      </c>
      <c r="HG281" s="1558" t="n">
        <f aca="false">IF(Assumptions!$C$60="Hourly",MAX(0,HC281*(HD281-HF281)),HC281*(HD281-HF281))</f>
        <v>0</v>
      </c>
      <c r="HH281" s="1566" t="n">
        <f aca="false">IF($A281&gt;=BegDate,Assumptions!$C$56*24*($A282-$A281)*(1-VLOOKUP($B281,MAIN!$AA$7:$AM$28,$C281+1))*(1-VLOOKUP($B281,MAIN!$AA$33:$AM$54,$C281+1)),0)*56/168</f>
        <v>180420</v>
      </c>
      <c r="HI281" s="286" t="n">
        <f aca="false">S281</f>
        <v>30.9359808000278</v>
      </c>
      <c r="HJ281" s="286" t="n">
        <f aca="false">IF($A281&gt;=BegDate,VLOOKUP($A281,GasTable,13)+Assumptions!$C$58,0)</f>
        <v>4.58711122179671</v>
      </c>
      <c r="HK281" s="286" t="n">
        <f aca="false">HJ281*Assumptions!$C$57/1000</f>
        <v>33.2565563580261</v>
      </c>
      <c r="HL281" s="1558" t="n">
        <f aca="false">IF(Assumptions!$C$60="Hourly",MAX(0,HH281*(HI281-HK281)),HH281*(HI281-HK281))</f>
        <v>0</v>
      </c>
      <c r="HM281" s="1566" t="n">
        <f aca="false">IF(AND(Assumptions!$H$71="Yes",A281&gt;=Assumptions!$H$72,A281&lt;=Assumptions!$H$73),Assumptions!$H$74*Assumptions!$C$9*1000,0)</f>
        <v>0</v>
      </c>
      <c r="HN281" s="1551"/>
      <c r="HO281" s="1563"/>
      <c r="HP281" s="1563"/>
      <c r="HQ281" s="1563"/>
      <c r="HR281" s="1563"/>
      <c r="HS281" s="1563"/>
      <c r="HT281" s="1563"/>
      <c r="HU281" s="1563"/>
      <c r="HV281" s="1563"/>
      <c r="HW281" s="1563"/>
      <c r="HX281" s="1563"/>
      <c r="HY281" s="1563"/>
      <c r="HZ281" s="1563"/>
      <c r="IA281" s="1563"/>
      <c r="IB281" s="1563"/>
      <c r="IC281" s="1563"/>
      <c r="ID281" s="1563"/>
      <c r="IE281" s="1563"/>
      <c r="IF281" s="1563"/>
      <c r="IG281" s="1563"/>
      <c r="IH281" s="1563"/>
      <c r="II281" s="1610"/>
      <c r="IJ281" s="1309"/>
      <c r="IK281" s="1309"/>
    </row>
    <row r="282" customFormat="false" ht="12.75" hidden="false" customHeight="false" outlineLevel="0" collapsed="false">
      <c r="A282" s="1571" t="n">
        <f aca="false">EOMONTH(A281,0)+1</f>
        <v>44713</v>
      </c>
      <c r="B282" s="594" t="n">
        <f aca="false">+YEAR(A282)</f>
        <v>2022</v>
      </c>
      <c r="C282" s="238" t="n">
        <f aca="false">MONTH(A282)</f>
        <v>6</v>
      </c>
      <c r="D282" s="1572" t="e">
        <f aca="false">IF(E282="","",Holiday(B282,C282))</f>
        <v>#VALUE!</v>
      </c>
      <c r="E282" s="1573" t="n">
        <f aca="false">IF(OR(BegDate&gt;=A283,EndDate&lt;A282,AND(VolumeMonthlyOverFlag,INDEX(VolumeMonthlyOver,C282)=0),NOT(INDEX(MonthKnockOutTable,C282))),"",MAX(A282,BegDate))</f>
        <v>44713</v>
      </c>
      <c r="F282" s="1574" t="n">
        <f aca="false">IF(E282="","",MIN(A283-1,EndDate))</f>
        <v>44742</v>
      </c>
      <c r="G282" s="1575" t="n">
        <v>0</v>
      </c>
      <c r="H282" s="1576" t="n">
        <f aca="false">(1+G282/2)^(-2*(DATE(B283,C283,20)-DateToday)/365.25)</f>
        <v>1</v>
      </c>
      <c r="I282" s="1568" t="n">
        <f aca="false">IF(Assumptions!$L$25=4,VLOOKUP($A282,'Henwood Reference'!$E$9:$R$320,10),(VLOOKUP($A282,PriceTable,2,0)+IF(BasisNumber&lt;&gt;1,VLOOKUP($A282,BasisTable,2,0),0)+I$1)/(1-I$2))</f>
        <v>50.2369185977964</v>
      </c>
      <c r="J282" s="1568" t="n">
        <f aca="false">IF(Assumptions!$L$25=4,VLOOKUP($A282,'Henwood Reference'!$E$9:$R$320,10),(VLOOKUP($A282,PriceTable,3,0)+IF(BasisNumber&lt;&gt;1,VLOOKUP($A282,BasisTable,2,0),0)+J$1)/(1-J$2))</f>
        <v>50.2369185977964</v>
      </c>
      <c r="K282" s="1568" t="n">
        <f aca="false">IF(Assumptions!$L$25=4,VLOOKUP($A282,'Henwood Reference'!$E$9:$R$320,10),(VLOOKUP($A282,PriceTable,4,0)+IF(BasisNumber&lt;&gt;1,VLOOKUP($A282,BasisTable,2,0),0)+K$1)/(1-K$2))</f>
        <v>50.2369185977964</v>
      </c>
      <c r="L282" s="1523" t="n">
        <f aca="false">IF(Assumptions!$L$25=4,VLOOKUP($A282,'Henwood Reference'!$E$9:$R$320,10),(VLOOKUP($A282,PriceTableWeekend,2,0)+IF(BasisNumber&lt;&gt;1,VLOOKUP($A282,BasisTable,2,0),0)+L$1)/(1-L$2))</f>
        <v>50.2369185977964</v>
      </c>
      <c r="M282" s="1568" t="n">
        <f aca="false">IF(Assumptions!$L$25=4,VLOOKUP($A282,'Henwood Reference'!$E$9:$R$320,10),(VLOOKUP($A282,PriceTableWeekend,3,0)+IF(BasisNumber&lt;&gt;1,VLOOKUP($A282,BasisTable,2,0),0)+M$1)/(1-M$2))</f>
        <v>50.2369185977964</v>
      </c>
      <c r="N282" s="1599" t="n">
        <f aca="false">IF(Assumptions!$L$25=4,VLOOKUP($A282,'Henwood Reference'!$E$9:$R$320,10),(VLOOKUP($A282,PriceTableWeekend,4,0)+IF(BasisNumber&lt;&gt;1,VLOOKUP($A282,BasisTable,2,0),0)+N$1)/(1-N$2))</f>
        <v>50.2369185977964</v>
      </c>
      <c r="O282" s="1568" t="n">
        <f aca="false">IF(Assumptions!$L$25=4,VLOOKUP($A282,'Henwood Reference'!$E$9:$R$320,11),(VLOOKUP($A282,PriceTableWeekend,6,0)+IF(BasisNumber&lt;&gt;1,VLOOKUP($A282,BasisTable,3,0),0)+O$1)/(1-O$2))</f>
        <v>30.1747404101378</v>
      </c>
      <c r="P282" s="1568" t="n">
        <f aca="false">IF(Assumptions!$L$25=4,VLOOKUP($A282,'Henwood Reference'!$E$9:$R$320,11),(VLOOKUP($A282,PriceTableWeekend,7,0)+IF(BasisNumber&lt;&gt;1,VLOOKUP($A282,BasisTable,3,0),0)+P$1)/(1-P$2))</f>
        <v>30.1747404101378</v>
      </c>
      <c r="Q282" s="1599" t="n">
        <f aca="false">IF(Assumptions!$L$25=4,VLOOKUP($A282,'Henwood Reference'!$E$9:$R$320,11),(VLOOKUP($A282,PriceTableWeekend,8,0)+IF(BasisNumber&lt;&gt;1,VLOOKUP($A282,BasisTable,3,0),0)+Q$1)/(1-Q$2))</f>
        <v>30.1747404101378</v>
      </c>
      <c r="R282" s="1568" t="n">
        <f aca="false">IF(Assumptions!$L$25=4,VLOOKUP($A282,'Henwood Reference'!$E$9:$R$320,11),(VLOOKUP($A282,PriceTable,6,0)+IF(BasisNumber&lt;&gt;1,VLOOKUP($A282,BasisTable,3,0),0)+R$1)/(1-R$2))</f>
        <v>30.1747404101378</v>
      </c>
      <c r="S282" s="1568" t="n">
        <f aca="false">IF(Assumptions!$L$25=4,VLOOKUP($A282,'Henwood Reference'!$E$9:$R$320,11),(VLOOKUP($A282,PriceTable,7,0)+IF(BasisNumber&lt;&gt;1,VLOOKUP($A282,BasisTable,3,0),0)+S$1)/(1-S$2))</f>
        <v>30.1747404101378</v>
      </c>
      <c r="T282" s="1600" t="n">
        <f aca="false">IF(Assumptions!$L$25=4,VLOOKUP($A282,'Henwood Reference'!$E$9:$R$320,11),(VLOOKUP($A282,PriceTable,8,0)+IF(BasisNumber&lt;&gt;1,VLOOKUP($A282,BasisTable,3,0),0)+T$1)/(1-T$2))</f>
        <v>30.1747404101378</v>
      </c>
      <c r="U282" s="1513" t="n">
        <f aca="false">VLOOKUP($A282,VolatilityTable,14)</f>
        <v>0.09</v>
      </c>
      <c r="V282" s="1513" t="n">
        <f aca="false">VLOOKUP($A282,VolatilityTable,15)</f>
        <v>0.1</v>
      </c>
      <c r="W282" s="1514" t="n">
        <f aca="false">VLOOKUP($A282,VolatilityTable,16)</f>
        <v>0.11</v>
      </c>
      <c r="X282" s="1513" t="n">
        <f aca="false">VLOOKUP($A282,VolatilityTable,14)</f>
        <v>0.09</v>
      </c>
      <c r="Y282" s="1513" t="n">
        <f aca="false">VLOOKUP($A282,VolatilityTable,15)</f>
        <v>0.1</v>
      </c>
      <c r="Z282" s="1514" t="n">
        <f aca="false">VLOOKUP($A282,VolatilityTable,16)</f>
        <v>0.11</v>
      </c>
      <c r="AA282" s="1513" t="n">
        <f aca="false">VLOOKUP($A282,VolatilityTable,18)</f>
        <v>0.09</v>
      </c>
      <c r="AB282" s="1513" t="n">
        <f aca="false">VLOOKUP($A282,VolatilityTable,19)</f>
        <v>0.11</v>
      </c>
      <c r="AC282" s="1514" t="n">
        <f aca="false">VLOOKUP($A282,VolatilityTable,20)</f>
        <v>0.13</v>
      </c>
      <c r="AD282" s="1513" t="n">
        <f aca="false">VLOOKUP($A282,VolatilityTable,18)</f>
        <v>0.09</v>
      </c>
      <c r="AE282" s="1513" t="n">
        <f aca="false">VLOOKUP($A282,VolatilityTable,19)</f>
        <v>0.11</v>
      </c>
      <c r="AF282" s="1514" t="n">
        <f aca="false">VLOOKUP($A282,VolatilityTable,20)</f>
        <v>0.13</v>
      </c>
      <c r="AG282" s="1513" t="n">
        <f aca="false">VLOOKUP($A282,VolatilityTable,22)</f>
        <v>-0.35</v>
      </c>
      <c r="AH282" s="1513" t="n">
        <f aca="false">VLOOKUP($A282,VolatilityTable,23)</f>
        <v>0.65</v>
      </c>
      <c r="AI282" s="1514" t="n">
        <f aca="false">VLOOKUP($A282,VolatilityTable,24)</f>
        <v>0.2</v>
      </c>
      <c r="AJ282" s="1513" t="n">
        <f aca="false">VLOOKUP($A282,VolatilityTable,22)</f>
        <v>-0.35</v>
      </c>
      <c r="AK282" s="1513" t="n">
        <f aca="false">VLOOKUP($A282,VolatilityTable,23)</f>
        <v>0.65</v>
      </c>
      <c r="AL282" s="1514" t="n">
        <f aca="false">VLOOKUP($A282,VolatilityTable,24)</f>
        <v>0.2</v>
      </c>
      <c r="AM282" s="1513" t="n">
        <f aca="false">VLOOKUP($A282,VolatilityTable,26)</f>
        <v>-0.01</v>
      </c>
      <c r="AN282" s="1513" t="n">
        <f aca="false">VLOOKUP($A282,VolatilityTable,27)</f>
        <v>0.16</v>
      </c>
      <c r="AO282" s="1514" t="n">
        <f aca="false">VLOOKUP($A282,VolatilityTable,28)</f>
        <v>0.01</v>
      </c>
      <c r="AP282" s="1513" t="n">
        <f aca="false">VLOOKUP($A282,VolatilityTable,26)</f>
        <v>-0.01</v>
      </c>
      <c r="AQ282" s="1513" t="n">
        <f aca="false">VLOOKUP($A282,VolatilityTable,27)</f>
        <v>0.16</v>
      </c>
      <c r="AR282" s="1515" t="n">
        <f aca="false">VLOOKUP($A282,VolatilityTable,28)</f>
        <v>0.01</v>
      </c>
      <c r="AS282" s="1581" t="n">
        <f aca="false">IF(CorrPeakOffPeakOverFlag,INDEX(CorrPeakOffPeakOver,C282),CorrPeakOffPeak)</f>
        <v>0.5</v>
      </c>
      <c r="AT282" s="594" t="e">
        <f aca="false">AX282-SUM(AU282:AW282)</f>
        <v>#VALUE!</v>
      </c>
      <c r="AU282" s="238" t="e">
        <f aca="false">IF(E282="",0,INT((F282-MOD(F282,7)-E282)/7)+1-IF(AW282,IF(WEEKDAY(D282)=7,1,0),0))</f>
        <v>#VALUE!</v>
      </c>
      <c r="AV282" s="238" t="e">
        <f aca="false">IF(E282="",0,INT((F282-MOD(F282-1,7)-E282)/7)+1-IF(AW282,IF(WEEKDAY(D282)=1,1,0),0))</f>
        <v>#VALUE!</v>
      </c>
      <c r="AW282" s="238" t="e">
        <f aca="false">IF(OR(E282="",D282="",D282&lt;BegDate,D282&gt;EndDate),0,1)</f>
        <v>#VALUE!</v>
      </c>
      <c r="AX282" s="238" t="n">
        <f aca="false">IF(E282="",0,F282-E282+1)</f>
        <v>30</v>
      </c>
      <c r="AY282" s="1582" t="n">
        <f aca="false">IF(E282="",0,MIN((1-(1-VLOOKUP(B282,MAIN!$AA$7:$AM$28,C282+1))*(1-VLOOKUP(B282,MAIN!$AA$33:$AM$54,C282+1))),1))</f>
        <v>0.03</v>
      </c>
      <c r="AZ282" s="1519" t="e">
        <v>#VALUE!</v>
      </c>
      <c r="BA282" s="1520" t="e">
        <v>#VALUE!</v>
      </c>
      <c r="BB282" s="1520" t="e">
        <v>#VALUE!</v>
      </c>
      <c r="BC282" s="1583" t="e">
        <v>#VALUE!</v>
      </c>
      <c r="BD282" s="1522" t="e">
        <v>#VALUE!</v>
      </c>
      <c r="BE282" s="1523" t="e">
        <v>#VALUE!</v>
      </c>
      <c r="BF282" s="1523" t="e">
        <v>#VALUE!</v>
      </c>
      <c r="BG282" s="1584" t="e">
        <v>#VALUE!</v>
      </c>
      <c r="BH282" s="1525" t="e">
        <v>#VALUE!</v>
      </c>
      <c r="BI282" s="1520" t="e">
        <v>#VALUE!</v>
      </c>
      <c r="BJ282" s="1520" t="e">
        <v>#VALUE!</v>
      </c>
      <c r="BK282" s="1583" t="e">
        <v>#VALUE!</v>
      </c>
      <c r="BL282" s="1522" t="e">
        <v>#VALUE!</v>
      </c>
      <c r="BM282" s="1523" t="e">
        <v>#VALUE!</v>
      </c>
      <c r="BN282" s="1523" t="e">
        <v>#VALUE!</v>
      </c>
      <c r="BO282" s="1523" t="e">
        <v>#VALUE!</v>
      </c>
      <c r="BP282" s="1525" t="e">
        <f aca="false">SUM(AZ282:BB282)</f>
        <v>#VALUE!</v>
      </c>
      <c r="BQ282" s="1529" t="e">
        <f aca="false">SUM(AZ282:BC282)</f>
        <v>#VALUE!</v>
      </c>
      <c r="BR282" s="1519" t="e">
        <f aca="false">SUM(BH282:BJ282)</f>
        <v>#VALUE!</v>
      </c>
      <c r="BS282" s="1529" t="e">
        <f aca="false">SUM(BH282:BK282)</f>
        <v>#VALUE!</v>
      </c>
      <c r="BT282" s="1316" t="n">
        <f aca="false">(IF(OVolType&lt;&gt;2,A282+14,IF(OptExpDateShift,ShiftBack(A282,OptExpDateShift,D281),A282))-DateToday)/365.25</f>
        <v>22.1300479123888</v>
      </c>
      <c r="BU282" s="1585" t="e">
        <f aca="false">IF(BQ282,IF(OPriceCurve,IF(OBuySell=OCallPut,I282/(1-AY282),K282/(1-AY282)),J282/(1-AY282))*BD282,0)</f>
        <v>#VALUE!</v>
      </c>
      <c r="BV282" s="1316" t="e">
        <f aca="false">IF(BQ282,IF(OPriceCurve,IF(OBuySell=OCallPut,L282/(1-AY282),N282/(1-AY282)),M282/(1-AY282))*BE282,0)</f>
        <v>#VALUE!</v>
      </c>
      <c r="BW282" s="1316" t="e">
        <f aca="false">IF(BQ282,IF(OPriceCurve,IF(OBuySell=OCallPut,O282/(1-AY282),Q282/(1-AY282)),P282/(1-AY282))*BF282,0)</f>
        <v>#VALUE!</v>
      </c>
      <c r="BX282" s="1316" t="e">
        <f aca="false">IF(BQ282,IF(OPriceCurve,IF(OBuySell=OCallPut,R282/(1-AY282),T282/(1-AY282)),S282/(1-AY282))*BG282,0)</f>
        <v>#VALUE!</v>
      </c>
      <c r="BY282" s="1316" t="e">
        <f aca="false">IF(BP282,(BU282*AZ282+BV282*BA282+BW282*BB282)/BP282,0)</f>
        <v>#VALUE!</v>
      </c>
      <c r="BZ282" s="1316" t="e">
        <f aca="false">IF(BQ282,(BY282*BP282+BX282*BC282)/BQ282,0)</f>
        <v>#VALUE!</v>
      </c>
      <c r="CA282" s="1531" t="e">
        <f aca="false">IF(BS282,IF(OPriceCurve,IF(OBuySell=OCallPut,I282/(1-AY282),K282/(1-AY282)),J282/(1-AY282))*BL282,0)</f>
        <v>#VALUE!</v>
      </c>
      <c r="CB282" s="1316" t="e">
        <f aca="false">IF(BS282,IF(OPriceCurve,IF(OBuySell=OCallPut,L282/(1-AY282),N282/(1-AY282)),M282/(1-AY282))*BM282,0)</f>
        <v>#VALUE!</v>
      </c>
      <c r="CC282" s="1316" t="e">
        <f aca="false">IF(BS282,IF(OPriceCurve,IF(OBuySell=OCallPut,O282/(1-AY282),Q282/(1-AY282)),P282/(1-AY282))*BN282,0)</f>
        <v>#VALUE!</v>
      </c>
      <c r="CD282" s="1316" t="e">
        <f aca="false">IF(BS282,IF(OPriceCurve,IF(OBuySell=OCallPut,R282/(1-AY282),T282/(1-AY282)),S282/(1-AY282))*BO282,0)</f>
        <v>#VALUE!</v>
      </c>
      <c r="CE282" s="1316" t="e">
        <f aca="false">IF(BR282,(BU282*BH282+BV282*BI282+BW282*BJ282)/BR282,0)</f>
        <v>#VALUE!</v>
      </c>
      <c r="CF282" s="1532" t="e">
        <f aca="false">IF(BS282,(CE282*BR282+CD282*BK282)/BS282,0)</f>
        <v>#VALUE!</v>
      </c>
      <c r="CG282" s="1586" t="e">
        <f aca="false">IF(OR(BQ282,BS282),IF(OVolType&lt;&gt;2,SQRT(IF(OVolOverMonthlyPeak,OVolOverMonthlyPeak,IF(OVolCurve,IF(OBuySell,U282,W282),V282))^2*(1-15/365.25/BT282)+IF(OVolOverDailyPeak,OVolOverDailyPeak,IF(OVolCurve,IF(OBuySell,AG282,AI282),AH282))^2*15/365.25/BT282),IF(OVolOverMonthlyPeak,OVolOverMonthlyPeak,IF(OVolCurve,IF(OBuySell,U282,W282),V282))),"")</f>
        <v>#VALUE!</v>
      </c>
      <c r="CH282" s="1587" t="e">
        <f aca="false">IF(OR(BQ282,BS282),IF(OVolType&lt;&gt;2,SQRT(IF(OVolOverMonthlyPeak,OVolOverMonthlyPeak,IF(OVolCurve,IF(OBuySell,X282,Z282),Y282))^2*(1-15/365.25/BT282)+IF(OVolOverDailyPeak,OVolOverDailyPeak,IF(OVolCurve,IF(OBuySell,AJ282,AL282),AK282))^2*15/365.25/BT282),IF(OVolOverMonthlyPeak,OVolOverMonthlyPeak,IF(OVolCurve,IF(OBuySell,X282,Z282),Y282))),"")</f>
        <v>#VALUE!</v>
      </c>
      <c r="CI282" s="1587" t="e">
        <f aca="false">IF(OR(BQ282,BS282),IF(OVolType&lt;&gt;2,SQRT(IF(OVolOverMonthlyPeak,OVolOverMonthlyPeak,IF(OVolCurve,IF(OBuySell,AA282,AC282),AB282))^2*(1-15/365.25/BT282)+IF(OVolOverDailyPeak,OVolOverDailyPeak,IF(OVolCurve,IF(OBuySell,AM282,AO282),AN282))^2*15/365.25/BT282),IF(OVolOverMonthlyPeak,OVolOverMonthlyPeak,IF(OVolCurve,IF(OBuySell,AA282,AC282),AB282))),"")</f>
        <v>#VALUE!</v>
      </c>
      <c r="CJ282" s="1587" t="e">
        <f aca="false">IF(BQ282,IF(BP282,SQRT(LN(1+((BU282*AZ282)^2*(EXP(CG282^2*BT282)-1)+(BV282*BA282)^2*(EXP(CH282^2*BT282)-1)+(BW282*BB282)^2*(EXP(CI282^2*BT282)-1)+2*BU282*AZ282*BV282*BA282*(EXP(CG282*CH282*BT282)-1)+2*BV282*BA282*BW282*BB282*(EXP(CH282*CI282*BT282)-1)+2*BW282*BB282*BU282*AZ282*(EXP(CI282*CG282*BT282)-1))/(BY282*BP282)^2)/BT282),0),"")</f>
        <v>#VALUE!</v>
      </c>
      <c r="CK282" s="1587" t="e">
        <f aca="false">IF(BS282,IF(BR282,SQRT(LN(1+((CA282*BH282)^2*(EXP(CG282^2*BT282)-1)+(CB282*BI282)^2*(EXP(CH282^2*BT282)-1)+(CC282*BJ282)^2*(EXP(CI282^2*BT282)-1)+2*CA282*BH282*CB282*BI282*(EXP(CG282*CH282*BT282)-1)+2*CB282*BI282*CC282*BJ282*(EXP(CH282*CI282*BT282)-1)+2*CC282*BJ282*CA282*BH282*(EXP(CI282*CG282*BT282)-1))/(CE282*BR282)^2)/BT282),0),"")</f>
        <v>#VALUE!</v>
      </c>
      <c r="CL282" s="1587" t="e">
        <f aca="false">IF(OR(BQ282,BS282),IF(OVolType&lt;&gt;2,SQRT(IF(OVolOverMonthlyOffPeak,OVolOverMonthlyOffPeak,IF(OVolCurve,IF(OBuySell,AD282,AF282),AE282))^2*(1-15/365.25/BT282)+IF(OVolOverDailyOffPeak,OVolOverDailyOffPeak,IF(OVolCurve,IF(OBuySell,AP282,AR282),AQ282))^2*15/365.25/BT282),IF(OVolOverMonthlyOffPeak,OVolOverMonthlyOffPeak,IF(OVolCurve,IF(OBuySell,AD282,AF282),AE282))),"")</f>
        <v>#VALUE!</v>
      </c>
      <c r="CM282" s="1587" t="e">
        <f aca="false">IF(BQ282,SQRT(LN(1+((BY282*BP282)^2*(EXP(CJ282^2*BT282)-1)+(BX282*BC282)^2*(EXP(CL282^2*BT282)-1)+2*BY282*BP282*BX282*BC282*(EXP(AS282*CJ282*CL282*BT282)-1))/(BY282*BP282+BX282*BC282)^2)/BT282),"")</f>
        <v>#VALUE!</v>
      </c>
      <c r="CN282" s="1588" t="e">
        <f aca="false">IF(BS282,SQRT(LN(1+((CE282*BR282)^2*(EXP(CK282^2*BT282)-1)+(CD282*BK282)^2*(EXP(CL282^2*BT282)-1)+2*CE282*BR282*CD282*BK282*(EXP(AS282*CK282*CL282*BT282)-1))/(CE282*BR282+CD282*BK282)^2)/BT282),"")</f>
        <v>#VALUE!</v>
      </c>
      <c r="CO282" s="1531" t="e">
        <f aca="false">IF(OR(BQ282,BS282),VLOOKUP(A282,GasTable,13)*HeatRatePeak*(1+VLOOKUP($B282,HeatRateDegradation,$C282+1))/1000,0)</f>
        <v>#VALUE!</v>
      </c>
      <c r="CP282" s="1316" t="e">
        <f aca="false">IF(OR(BQ282,BS282),VLOOKUP(A282,GasTable,13)*HeatRatePeak*(1+VLOOKUP($B282,HeatRateDegradation,$C282+1))/1000,0)</f>
        <v>#VALUE!</v>
      </c>
      <c r="CQ282" s="1316" t="e">
        <f aca="false">IF(OR(BQ282,BS282),VLOOKUP(A282,GasTable,13)*IF(EV282,HeatRatePeak,HeatRateOffPeak)*(1+VLOOKUP($B282,HeatRateDegradation,$C282+1))/1000,0)</f>
        <v>#VALUE!</v>
      </c>
      <c r="CR282" s="1316" t="e">
        <f aca="false">IF(OR(BQ282,BS282),VLOOKUP(A282,GasTable,13)*IF(EW282,HeatRatePeak,HeatRateOffPeak)*(1+VLOOKUP($B282,HeatRateDegradation,$C282+1))/1000,0)</f>
        <v>#VALUE!</v>
      </c>
      <c r="CS282" s="1589" t="e">
        <f aca="false">IF(BQ282,(CO282*AZ282+CP282*BA282+CQ282*BB282+CR282*BC282)/BQ282,0)</f>
        <v>#VALUE!</v>
      </c>
      <c r="CT282" s="1316" t="e">
        <f aca="false">IF(BS282,CO282,0)</f>
        <v>#VALUE!</v>
      </c>
      <c r="CU282" s="1590" t="e">
        <f aca="false">IF(OR(BQ282,BS282),VLOOKUP(A282,GasTable,14),"")</f>
        <v>#VALUE!</v>
      </c>
      <c r="CV282" s="1568" t="e">
        <f aca="false">IF(OR(BQ282,BS282),IF(CorrPowerGasOverFlag,INDEX(CorrPowerGasOver,C282),CorrPowerGas),"")</f>
        <v>#VALUE!</v>
      </c>
      <c r="CW282" s="1316" t="e">
        <f aca="false">IF(OR($BQ282,$BS282),SpreadOptPowerMargin,0)*((1+Assumptions!$C$26)^($B282-YEAR(Assumptions!$C$17)))</f>
        <v>#VALUE!</v>
      </c>
      <c r="CX282" s="1316" t="e">
        <f aca="false">IF(OR($BQ282,$BS282),SpreadOptPowerMargin,0)*((1+Assumptions!$C$26)^($B282-YEAR(Assumptions!$C$17)))</f>
        <v>#VALUE!</v>
      </c>
      <c r="CY282" s="1316" t="e">
        <f aca="false">IF(OR($BQ282,$BS282),SpreadOptPowerMargin,0)*((1+Assumptions!$C$26)^($B282-YEAR(Assumptions!$C$17)))</f>
        <v>#VALUE!</v>
      </c>
      <c r="CZ282" s="1316" t="e">
        <f aca="false">IF(OR($BQ282,$BS282),SpreadOptPowerMargin,0)*((1+Assumptions!$C$26)^($B282-YEAR(Assumptions!$C$17)))</f>
        <v>#VALUE!</v>
      </c>
      <c r="DA282" s="1591" t="e">
        <f aca="false">IF(OR(BQ282,BS282),(CW282*(AZ282+BH282)+CX282*(BA282+BI282)+CY282*(BB282+BJ282)+CZ282*(BC282+BK282))/(BQ282+BS282),0)</f>
        <v>#VALUE!</v>
      </c>
      <c r="DB282" s="1592" t="e">
        <f aca="false">IF(OR(BQ282,BS282),CG282+IF(OVolSmile,VLOOKUP(MAX(-5,CO282+CW282-BU282),IF(OVolSmile=1,VolSmileBook,VolSmileModel),2),0),"")</f>
        <v>#VALUE!</v>
      </c>
      <c r="DC282" s="1592" t="e">
        <f aca="false">IF(OR(BQ282,BS282),CH282+IF(OVolSmile,VLOOKUP(MAX(-5,CP282+CW282-BV282),IF(OVolSmile=1,VolSmileBook,VolSmileModel),2),0),"")</f>
        <v>#VALUE!</v>
      </c>
      <c r="DD282" s="1592" t="e">
        <f aca="false">IF(OR(BQ282,BS282),CI282+IF(OVolSmile,VLOOKUP(MAX(-5,CQ282+CW282-BW282),IF(OVolSmile=1,VolSmileBook,VolSmileModel),2),0),"")</f>
        <v>#VALUE!</v>
      </c>
      <c r="DE282" s="1592" t="e">
        <f aca="false">IF(OR(BQ282,BS282),CL282+IF(OVolSmile,VLOOKUP(MAX(-5,CR282+CZ282-BX282),IF(OVolSmile=1,VolSmileBook,VolSmileModel),2),0),"")</f>
        <v>#VALUE!</v>
      </c>
      <c r="DF282" s="1592" t="e">
        <f aca="false">IF(BQ282,CM282+IF(OVolSmile,VLOOKUP(MAX(-5,CS282+DA282-BZ282),IF(OVolSmile=1,VolSmileBook,VolSmileModel),2),0),"")</f>
        <v>#VALUE!</v>
      </c>
      <c r="DG282" s="1593" t="e">
        <f aca="false">IF(BS282,CN282+IF(OVolSmile,VLOOKUP(MAX(-5,CT282+DA282-CF282),IF(OVolSmile=1,VolSmileBook,VolSmileModel),2),0),"")</f>
        <v>#VALUE!</v>
      </c>
      <c r="DH282" s="1316" t="e">
        <f aca="false">IF(AND(BU282&gt;0,CO282&gt;0,DB282&gt;0,CU282&gt;0),newSPRDOPT(BU282,CO282,CW282,0,DB282,CU282,CV282,BT282*365.25,OCallPut,0),0)</f>
        <v>#VALUE!</v>
      </c>
      <c r="DI282" s="1316" t="e">
        <f aca="false">IF(AND(BV282&gt;0,CP282&gt;0,DC282&gt;0,CU282&gt;0),newSPRDOPT(BV282,CP282,CX282,0,DC282,CU282,CV282,BT282*365.25,OCallPut,0),0)</f>
        <v>#VALUE!</v>
      </c>
      <c r="DJ282" s="1316" t="e">
        <f aca="false">IF(AND(BW282&gt;0,CQ282&gt;0,DD282&gt;0,CU282&gt;0),newSPRDOPT(BW282,CQ282,CY282,0,DD282,CU282,CV282,BT282*365.25,OCallPut,0),0)</f>
        <v>#VALUE!</v>
      </c>
      <c r="DK282" s="1316" t="e">
        <f aca="false">IF(AND(BX282&gt;0,CR282&gt;0,DE282&gt;0,CU282&gt;0),newSPRDOPT(BX282,CR282,CZ282,0,DE282,CU282,CV282,BT282*365.25,OCallPut,0),0)</f>
        <v>#VALUE!</v>
      </c>
      <c r="DL282" s="1316" t="e">
        <f aca="false">IF(OVolType,IF(AND(BZ282&gt;0,CS282&gt;0,DF282&gt;0,CU282&gt;0),newSPRDOPT(BZ282,CS282,DA282,0,DF282,CU282,CV282,BT282*365.25,OCallPut,0),0),IF(BQ282,(DH282*AZ282+DI282*BA282+DJ282*BB282+DK282*BC282)/BQ282,0))</f>
        <v>#VALUE!</v>
      </c>
      <c r="DM282" s="1316"/>
      <c r="DN282" s="1316"/>
      <c r="DO282" s="1316"/>
      <c r="DP282" s="1316"/>
      <c r="DQ282" s="1316"/>
      <c r="DR282" s="1316"/>
      <c r="DS282" s="1316"/>
      <c r="DT282" s="1316"/>
      <c r="DU282" s="1316"/>
      <c r="DV282" s="1316"/>
      <c r="DW282" s="1594" t="e">
        <f aca="false">IF(AND(BW282&gt;0,CT282&gt;0,DD282&gt;0,CU282&gt;0),newSPRDOPT(BW282,CT282,CY282,0,DD282,CU282,CV282,BT282*365.25,OCallPut,0),0)</f>
        <v>#VALUE!</v>
      </c>
      <c r="DX282" s="1316" t="e">
        <f aca="false">IF(AND(BX282&gt;0,CT282&gt;0,DE282&gt;0,CU282&gt;0),newSPRDOPT(BX282,CT282,CZ282,0,DE282,CU282,CV282,BT282*365.25,OCallPut,0),0)</f>
        <v>#VALUE!</v>
      </c>
      <c r="DY282" s="1591" t="e">
        <f aca="false">IF(BS282,(DH282*BH282+DI282*BI282+DW282*BJ282+DX282*BK282)/BS282,0)</f>
        <v>#VALUE!</v>
      </c>
      <c r="DZ282" s="1551" t="e">
        <f aca="false">DH282*AZ282</f>
        <v>#VALUE!</v>
      </c>
      <c r="EA282" s="1551" t="e">
        <f aca="false">DI282*BA282</f>
        <v>#VALUE!</v>
      </c>
      <c r="EB282" s="1551" t="e">
        <f aca="false">DJ282*BB282</f>
        <v>#VALUE!</v>
      </c>
      <c r="EC282" s="1551" t="e">
        <f aca="false">DK282*BC282</f>
        <v>#VALUE!</v>
      </c>
      <c r="ED282" s="1551" t="e">
        <f aca="false">DL282*BQ282</f>
        <v>#VALUE!</v>
      </c>
      <c r="EE282" s="1595" t="e">
        <f aca="false">IF(BQ282,IF(OCallPut,IF(BU282&gt;(CO282+CW282),BU282-(CO282+CW282),0),IF((CO282+CW282)&gt;BU282,(CO282+CW282)-BU282,0))*AZ282,0)</f>
        <v>#VALUE!</v>
      </c>
      <c r="EF282" s="1596" t="e">
        <f aca="false">IF(BQ282,IF(OCallPut,IF(BV282&gt;(CP282+CX282),BV282-(CP282+CX282),0),IF((CP282+CX282)&gt;BV282,(CP282+CX282)-BV282,0))*BA282,0)</f>
        <v>#VALUE!</v>
      </c>
      <c r="EG282" s="1596" t="e">
        <f aca="false">IF(BQ282,IF(OCallPut,IF(BW282&gt;(CQ282+CY282),BW282-(CQ282+CY282),0),IF((CQ282+CY282)&gt;BW282,(CQ282+CY282)-BW282,0))*BB282,0)</f>
        <v>#VALUE!</v>
      </c>
      <c r="EH282" s="1596" t="e">
        <f aca="false">IF(BQ282,IF(OCallPut,IF(BX282&gt;(CR282+CZ282),BX282-(CR282+CZ282),0),IF((CR282+CZ282)&gt;BX282,(CR282+CZ282)-BX282,0))*BC282,0)</f>
        <v>#VALUE!</v>
      </c>
      <c r="EI282" s="1597" t="e">
        <f aca="false">IF(BQ282,IF(OVolType,IF(OCallPut,IF(BZ282&gt;(CS282+DA282),BZ282-(CS282+DA282),0),IF((CS282+DA282)&gt;BZ282,(CS282+DA282)-BZ282,0))*BQ282,SUM(EE282:EH282)),0)</f>
        <v>#VALUE!</v>
      </c>
      <c r="EJ282" s="1595" t="e">
        <f aca="false">DZ282-EE282</f>
        <v>#VALUE!</v>
      </c>
      <c r="EK282" s="1596" t="e">
        <f aca="false">EA282-EF282</f>
        <v>#VALUE!</v>
      </c>
      <c r="EL282" s="1596" t="e">
        <f aca="false">EB282-EG282</f>
        <v>#VALUE!</v>
      </c>
      <c r="EM282" s="1596" t="e">
        <f aca="false">EC282-EH282</f>
        <v>#VALUE!</v>
      </c>
      <c r="EN282" s="1597" t="e">
        <f aca="false">ED282-EI282</f>
        <v>#VALUE!</v>
      </c>
      <c r="EO282" s="1551" t="e">
        <f aca="false">DH282*BH282</f>
        <v>#VALUE!</v>
      </c>
      <c r="EP282" s="1551" t="e">
        <f aca="false">DI282*BI282</f>
        <v>#VALUE!</v>
      </c>
      <c r="EQ282" s="1551" t="e">
        <f aca="false">DW282*BJ282</f>
        <v>#VALUE!</v>
      </c>
      <c r="ER282" s="1551" t="e">
        <f aca="false">DX282*BK282</f>
        <v>#VALUE!</v>
      </c>
      <c r="ES282" s="1551" t="e">
        <f aca="false">DY282*BS282</f>
        <v>#VALUE!</v>
      </c>
      <c r="ET282" s="1566" t="e">
        <f aca="false">IF(EI282,IF(OCallPut,IF(CA282&gt;(CT282+CW282),CA282-(CT282+CW282),0),IF((CT282+CW282)&gt;CA282,(CT282+CW282)-CA282,0))*BH282,0)</f>
        <v>#VALUE!</v>
      </c>
      <c r="EU282" s="1551" t="e">
        <f aca="false">IF(EI282,IF(OCallPut,IF(CB282&gt;(CT282+CX282),CB282-(CT282+CX282),0),IF((CT282+CX282)&gt;CB282,(CT282+CX282)-CB282,0))*BI282,0)</f>
        <v>#VALUE!</v>
      </c>
      <c r="EV282" s="1551" t="e">
        <f aca="false">IF(EI282,IF(OCallPut,IF(CC282&gt;(CT282+CY282),CC282-(CT282+CY282),0),IF((CT282+CY282)&gt;CC282,(CT282+CY282)-CC282,0))*BJ282,0)</f>
        <v>#VALUE!</v>
      </c>
      <c r="EW282" s="1551" t="e">
        <f aca="false">IF(EI282,IF(OCallPut,IF(CD282&gt;(CT282+CZ282),CD282-(CT282+CZ282),0),IF((CT282+CZ282)&gt;CD282,(CT282+CZ282)-CD282,0))*BK282,0)</f>
        <v>#VALUE!</v>
      </c>
      <c r="EX282" s="1558" t="e">
        <f aca="false">IF(EI282,SUM(ET282:EW282),0)</f>
        <v>#VALUE!</v>
      </c>
      <c r="EY282" s="1551" t="e">
        <f aca="false">EO282-ET282</f>
        <v>#VALUE!</v>
      </c>
      <c r="EZ282" s="1551" t="e">
        <f aca="false">EP282-EU282</f>
        <v>#VALUE!</v>
      </c>
      <c r="FA282" s="1551" t="e">
        <f aca="false">EQ282-EV282</f>
        <v>#VALUE!</v>
      </c>
      <c r="FB282" s="1551" t="e">
        <f aca="false">ER282-EW282</f>
        <v>#VALUE!</v>
      </c>
      <c r="FC282" s="1551" t="e">
        <f aca="false">ES282-EX282</f>
        <v>#VALUE!</v>
      </c>
      <c r="FD282" s="1525" t="n">
        <f aca="false">IF(AX282,IF(VLOOKUP(C282,MAIN!$L$17:$M$28,2)="Yes",VLOOKUP(CALC!B282,MAIN!$H$17:$I$20,2),0),0)</f>
        <v>0</v>
      </c>
      <c r="FE282" s="1552" t="e">
        <f aca="false">$FD282*16*AT282*(1-$AY282)</f>
        <v>#VALUE!</v>
      </c>
      <c r="FF282" s="1553" t="e">
        <f aca="false">$FD282*16*AU282*(1-$AY282)</f>
        <v>#VALUE!</v>
      </c>
      <c r="FG282" s="1553" t="e">
        <f aca="false">$FD282*16*(AV282+AW282)*(1-$AY282)</f>
        <v>#VALUE!</v>
      </c>
      <c r="FH282" s="1554" t="n">
        <f aca="false">$FD282*8*AX282*(1-$AY282)</f>
        <v>0</v>
      </c>
      <c r="FI282" s="1555" t="n">
        <f aca="false">IF(AX282,VLOOKUP(CALC!B282,MAIN!$H$17:$K$20,4),0)</f>
        <v>0</v>
      </c>
      <c r="FJ282" s="1553" t="e">
        <f aca="false">SUM(FE282:FH282)</f>
        <v>#VALUE!</v>
      </c>
      <c r="FK282" s="1556" t="e">
        <f aca="false">FI282*FJ282</f>
        <v>#VALUE!</v>
      </c>
      <c r="FL282" s="1551" t="e">
        <f aca="false">IF($EI282&gt;0,MIN(FE282,AZ282*(1+VLOOKUP($C282,WeatherCapacityAdjustment,2))),0)</f>
        <v>#VALUE!</v>
      </c>
      <c r="FM282" s="1551" t="e">
        <f aca="false">IF($EI282&gt;0,MIN(FF282,BA282*(1+VLOOKUP($C282,WeatherCapacityAdjustment,2))),0)</f>
        <v>#VALUE!</v>
      </c>
      <c r="FN282" s="1551" t="e">
        <f aca="false">IF($EI282&gt;0,MIN(FG282,BB282*(1+VLOOKUP($C282,WeatherCapacityAdjustment,2))),0)</f>
        <v>#VALUE!</v>
      </c>
      <c r="FO282" s="1564" t="e">
        <f aca="false">IF($EI282&gt;0,MIN(FH282,BC282*(1+VLOOKUP($C282,WeatherCapacityAdjustment,3))),0)</f>
        <v>#VALUE!</v>
      </c>
      <c r="FP282" s="1551" t="e">
        <f aca="false">IF(ET282&gt;0,MIN(FE282-FL282,BH282*(1+VLOOKUP($C282,WeatherCapacityAdjustment,2))),0)</f>
        <v>#VALUE!</v>
      </c>
      <c r="FQ282" s="1551" t="e">
        <f aca="false">IF(EU282&gt;0,MIN(FF282-FM282,BI282*(1+VLOOKUP($C282,WeatherCapacityAdjustment,2))),0)</f>
        <v>#VALUE!</v>
      </c>
      <c r="FR282" s="1551" t="e">
        <f aca="false">IF(EV282&gt;0,MIN(FG282-FN282,BJ282*(1+VLOOKUP($C282,WeatherCapacityAdjustment,2))),0)</f>
        <v>#VALUE!</v>
      </c>
      <c r="FS282" s="1558" t="e">
        <f aca="false">IF(EW282&gt;0,MIN(FH282-FO282,BK282*(1+VLOOKUP($C282,WeatherCapacityAdjustment,3))),0)</f>
        <v>#VALUE!</v>
      </c>
      <c r="FT282" s="1566" t="e">
        <f aca="false">IF(AND(Assumptions!$H$71="Yes",A282&gt;=Assumptions!$H$72,A282&lt;=Assumptions!$H$73),0,IF(AND($A282&gt;=Assumptions!$C$17,$A282&lt;=Assumptions!$C$18),MAX(AZ282*(1+VLOOKUP($C282,WeatherCapacityAdjustment,2))-FL282,0),0))</f>
        <v>#VALUE!</v>
      </c>
      <c r="FU282" s="1551" t="e">
        <f aca="false">IF(AND(Assumptions!$H$71="Yes",A282&gt;=Assumptions!$H$72,A282&lt;=Assumptions!$H$73),0,IF(AND($A282&gt;=Assumptions!$C$17,$A282&lt;=Assumptions!$C$18),MAX(BA282*(1+VLOOKUP($C282,WeatherCapacityAdjustment,2))-FM282,0),0))</f>
        <v>#VALUE!</v>
      </c>
      <c r="FV282" s="1551" t="e">
        <f aca="false">IF(AND(Assumptions!$H$71="Yes",A282&gt;=Assumptions!$H$72,A282&lt;=Assumptions!$H$73),0,IF(AND($A282&gt;=Assumptions!$C$17,$A282&lt;=Assumptions!$C$18),MAX(BB282*(1+VLOOKUP($C282,WeatherCapacityAdjustment,2))-FN282,0),0))</f>
        <v>#VALUE!</v>
      </c>
      <c r="FW282" s="1564" t="e">
        <f aca="false">IF(AND(Assumptions!$H$71="Yes",A282&gt;=Assumptions!$H$72,A282&lt;=Assumptions!$H$73),0,IF(AND($A282&gt;=Assumptions!$C$17,$A282&lt;=Assumptions!$C$18),MAX(BC282*(1+VLOOKUP($C282,WeatherCapacityAdjustment,3))-FO282,0),0))</f>
        <v>#VALUE!</v>
      </c>
      <c r="FX282" s="1569" t="e">
        <f aca="false">IF(AND(Assumptions!$H$71="Yes",A282&gt;=Assumptions!$H$72,A282&lt;=Assumptions!$H$73),0,IF(ET282&gt;0,MAX(BH282*(1+VLOOKUP($C282,WeatherCapacityAdjustment,2))-FP282,0),0))</f>
        <v>#VALUE!</v>
      </c>
      <c r="FY282" s="1551" t="e">
        <f aca="false">IF(AND(Assumptions!$H$71="Yes",A282&gt;=Assumptions!$H$72,A282&lt;=Assumptions!$H$73),0,IF(EU282&gt;0,MAX(BI282*(1+VLOOKUP($C282,WeatherCapacityAdjustment,3))-FQ282,0),0))</f>
        <v>#VALUE!</v>
      </c>
      <c r="FZ282" s="1551" t="e">
        <f aca="false">IF(AND(Assumptions!$H$71="Yes",A282&gt;=Assumptions!$H$72,A282&lt;=Assumptions!$H$73),0,IF(EV282&gt;0,MAX(BJ282*(1+VLOOKUP($C282,WeatherCapacityAdjustment,2))-FR282,0),0))</f>
        <v>#VALUE!</v>
      </c>
      <c r="GA282" s="1564" t="e">
        <f aca="false">IF(AND(Assumptions!$H$71="Yes",A282&gt;=Assumptions!$H$72,A282&lt;=Assumptions!$H$73),0,IF(EW282&gt;0,MAX(BK282*(1+VLOOKUP($C282,WeatherCapacityAdjustment,2))-FS282,0),0))</f>
        <v>#VALUE!</v>
      </c>
      <c r="GB282" s="1551" t="e">
        <f aca="false">SUM(FT282:GA282)</f>
        <v>#VALUE!</v>
      </c>
      <c r="GC282" s="1563" t="e">
        <f aca="false">+IF(SUM(FT282:GA282)=0,0,(SUMPRODUCT(BU282:BX282,FT282:FW282)+SUMPRODUCT(CA282:CD282,FX282:GA282))/SUM(FT282:GA282))</f>
        <v>#VALUE!</v>
      </c>
      <c r="GD282" s="1551" t="e">
        <f aca="false">(FT282*BU282+FX282*CA282+FU282*BV282+FY282*CB282+FV282*BW282+FZ282*CC282+FW282*BX282+GA282*CD282)</f>
        <v>#VALUE!</v>
      </c>
      <c r="GE282" s="1561" t="e">
        <f aca="false">+IF(BQ282,((FL282+FM282+FT282+FU282)*HeatRatePeak/1000*(1+VLOOKUP($C282,WeatherHeatRateAdjustment,2))+(FN282+FV282)*IF(EV282&gt;0,HeatRatePeak,HeatRateOffPeak)/1000*(1+VLOOKUP($C282,WeatherHeatRateAdjustment,2))+(FO282+FW282)*IF(EW282&gt;0,HeatRatePeak,HeatRateOffPeak)/1000*(1+VLOOKUP($C282,WeatherHeatRateAdjustment,3)))*(1+VLOOKUP($B282,HeatRateDegradation,$C282+1)),0)</f>
        <v>#VALUE!</v>
      </c>
      <c r="GF282" s="1562" t="e">
        <f aca="false">IF(BQ282,((FP282+FQ282+FR282+FX282+FY282+FZ282)*HeatRatePeak/1000*(1+VLOOKUP($C282,WeatherHeatRateAdjustment,2))+(FS282+GA282)*HeatRatePeak/1000*(1+VLOOKUP($C282,WeatherHeatRateAdjustment,3)))*(1+VLOOKUP($B282,HeatRateDegradation,$C282+1)),0)</f>
        <v>#VALUE!</v>
      </c>
      <c r="GG282" s="1563" t="e">
        <f aca="false">IF(BQ282,VLOOKUP(A282,GasTable,13),0)</f>
        <v>#VALUE!</v>
      </c>
      <c r="GH282" s="1564" t="e">
        <f aca="false">(GE282+GF282)*GG282</f>
        <v>#VALUE!</v>
      </c>
      <c r="GI282" s="1569" t="e">
        <f aca="false">GB282</f>
        <v>#VALUE!</v>
      </c>
      <c r="GJ282" s="1598" t="e">
        <f aca="false">+DA282</f>
        <v>#VALUE!</v>
      </c>
      <c r="GK282" s="1558" t="e">
        <f aca="false">+GI282*GJ282</f>
        <v>#VALUE!</v>
      </c>
      <c r="GL282" s="1566" t="e">
        <f aca="false">MAX(FE282-FL282-FP282,0)</f>
        <v>#VALUE!</v>
      </c>
      <c r="GM282" s="1551" t="e">
        <f aca="false">MAX(FF282-FM282-FQ282,0)</f>
        <v>#VALUE!</v>
      </c>
      <c r="GN282" s="1551" t="e">
        <f aca="false">MAX(FG282-FN282-FR282,0)</f>
        <v>#VALUE!</v>
      </c>
      <c r="GO282" s="1564" t="e">
        <f aca="false">MAX(FH282-FO282-FS282,0)</f>
        <v>#VALUE!</v>
      </c>
      <c r="GP282" s="1551" t="e">
        <f aca="false">SUM(GL282:GO282)</f>
        <v>#VALUE!</v>
      </c>
      <c r="GQ282" s="1563" t="e">
        <f aca="false">IF(SUM(GL282:GO282)=0,0,((GL282*BU282+GM282*BV282+GN282*BW282+GO282*BX282)/SUM(GL282:GO282)))</f>
        <v>#VALUE!</v>
      </c>
      <c r="GR282" s="1558" t="e">
        <f aca="false">(GL282*BU282+GM282*BV282+GN282*BW282+GO282*BX282)</f>
        <v>#VALUE!</v>
      </c>
      <c r="GS282" s="1566" t="n">
        <f aca="false">IF($A282&gt;=BegDate,Assumptions!$C$56*24*($A283-$A282)*(1-VLOOKUP($B282,MAIN!$AA$7:$AM$28,$C282+1))*(1-VLOOKUP($B282,MAIN!$AA$33:$AM$54,$C282+1)),0)*80/168</f>
        <v>249428.571428571</v>
      </c>
      <c r="GT282" s="286" t="n">
        <f aca="false">J282</f>
        <v>50.2369185977964</v>
      </c>
      <c r="GU282" s="286" t="n">
        <f aca="false">IF($A282&gt;=BegDate,VLOOKUP($A282,GasTable,13)+Assumptions!$C$58,0)</f>
        <v>4.58711122179671</v>
      </c>
      <c r="GV282" s="286" t="n">
        <f aca="false">GU282*Assumptions!$C$57/1000</f>
        <v>33.2565563580261</v>
      </c>
      <c r="GW282" s="1558" t="n">
        <f aca="false">IF(Assumptions!$C$60="Hourly",MAX(0,GS282*(GT282-GV282)),GS282*(GT282-GV282))</f>
        <v>4235387.49580556</v>
      </c>
      <c r="GX282" s="1566" t="n">
        <f aca="false">IF($A282&gt;=BegDate,Assumptions!$C$56*24*($A283-$A282)*(1-VLOOKUP($B282,MAIN!$AA$7:$AM$28,$C282+1))*(1-VLOOKUP($B282,MAIN!$AA$33:$AM$54,$C282+1)),0)*16/168</f>
        <v>49885.7142857143</v>
      </c>
      <c r="GY282" s="286" t="n">
        <f aca="false">M282</f>
        <v>50.2369185977964</v>
      </c>
      <c r="GZ282" s="286" t="n">
        <f aca="false">IF($A282&gt;=BegDate,VLOOKUP($A282,GasTable,13)+Assumptions!$C$58,0)</f>
        <v>4.58711122179671</v>
      </c>
      <c r="HA282" s="286" t="n">
        <f aca="false">GZ282*Assumptions!$C$57/1000</f>
        <v>33.2565563580261</v>
      </c>
      <c r="HB282" s="1558" t="n">
        <f aca="false">IF(Assumptions!$C$60="Hourly",MAX(0,GX282*(GY282-HA282)),GX282*(GY282-HA282))</f>
        <v>847077.499161111</v>
      </c>
      <c r="HC282" s="1566" t="n">
        <f aca="false">IF($A282&gt;=BegDate,Assumptions!$C$56*24*($A283-$A282)*(1-VLOOKUP($B282,MAIN!$AA$7:$AM$28,$C282+1))*(1-VLOOKUP($B282,MAIN!$AA$33:$AM$54,$C282+1)),0)*16/168</f>
        <v>49885.7142857143</v>
      </c>
      <c r="HD282" s="286" t="n">
        <f aca="false">P282</f>
        <v>30.1747404101378</v>
      </c>
      <c r="HE282" s="286" t="n">
        <f aca="false">IF($A282&gt;=BegDate,VLOOKUP($A282,GasTable,13)+Assumptions!$C$58,0)</f>
        <v>4.58711122179671</v>
      </c>
      <c r="HF282" s="286" t="n">
        <f aca="false">HE282*Assumptions!$C$57/1000</f>
        <v>33.2565563580261</v>
      </c>
      <c r="HG282" s="1558" t="n">
        <f aca="false">IF(Assumptions!$C$60="Hourly",MAX(0,HC282*(HD282-HF282)),HC282*(HD282-HF282))</f>
        <v>0</v>
      </c>
      <c r="HH282" s="1566" t="n">
        <f aca="false">IF($A282&gt;=BegDate,Assumptions!$C$56*24*($A283-$A282)*(1-VLOOKUP($B282,MAIN!$AA$7:$AM$28,$C282+1))*(1-VLOOKUP($B282,MAIN!$AA$33:$AM$54,$C282+1)),0)*56/168</f>
        <v>174600</v>
      </c>
      <c r="HI282" s="286" t="n">
        <f aca="false">S282</f>
        <v>30.1747404101378</v>
      </c>
      <c r="HJ282" s="286" t="n">
        <f aca="false">IF($A282&gt;=BegDate,VLOOKUP($A282,GasTable,13)+Assumptions!$C$58,0)</f>
        <v>4.58711122179671</v>
      </c>
      <c r="HK282" s="286" t="n">
        <f aca="false">HJ282*Assumptions!$C$57/1000</f>
        <v>33.2565563580261</v>
      </c>
      <c r="HL282" s="1558" t="n">
        <f aca="false">IF(Assumptions!$C$60="Hourly",MAX(0,HH282*(HI282-HK282)),HH282*(HI282-HK282))</f>
        <v>0</v>
      </c>
      <c r="HM282" s="1566" t="n">
        <f aca="false">IF(AND(Assumptions!$H$71="Yes",A282&gt;=Assumptions!$H$72,A282&lt;=Assumptions!$H$73),Assumptions!$H$74*Assumptions!$C$9*1000,0)</f>
        <v>0</v>
      </c>
      <c r="HN282" s="1551"/>
      <c r="HO282" s="1563"/>
      <c r="HP282" s="1563"/>
      <c r="HQ282" s="1563"/>
      <c r="HR282" s="1563"/>
      <c r="HS282" s="1563"/>
      <c r="HT282" s="1563"/>
      <c r="HU282" s="1563"/>
      <c r="HV282" s="1563"/>
      <c r="HW282" s="1563"/>
      <c r="HX282" s="1563"/>
      <c r="HY282" s="1563"/>
      <c r="HZ282" s="1563"/>
      <c r="IA282" s="1563"/>
      <c r="IB282" s="1563"/>
      <c r="IC282" s="1563"/>
      <c r="ID282" s="1563"/>
      <c r="IE282" s="1563"/>
      <c r="IF282" s="1563"/>
      <c r="IG282" s="1563"/>
      <c r="IH282" s="1563"/>
      <c r="II282" s="1610"/>
      <c r="IJ282" s="1309"/>
      <c r="IK282" s="1309"/>
    </row>
    <row r="283" customFormat="false" ht="12.75" hidden="false" customHeight="false" outlineLevel="0" collapsed="false">
      <c r="A283" s="1571" t="n">
        <f aca="false">EOMONTH(A282,0)+1</f>
        <v>44743</v>
      </c>
      <c r="B283" s="594" t="n">
        <f aca="false">+YEAR(A283)</f>
        <v>2022</v>
      </c>
      <c r="C283" s="238" t="n">
        <f aca="false">MONTH(A283)</f>
        <v>7</v>
      </c>
      <c r="D283" s="1572" t="e">
        <f aca="false">IF(E283="","",Holiday(B283,C283))</f>
        <v>#VALUE!</v>
      </c>
      <c r="E283" s="1573" t="n">
        <f aca="false">IF(OR(BegDate&gt;=A284,EndDate&lt;A283,AND(VolumeMonthlyOverFlag,INDEX(VolumeMonthlyOver,C283)=0),NOT(INDEX(MonthKnockOutTable,C283))),"",MAX(A283,BegDate))</f>
        <v>44743</v>
      </c>
      <c r="F283" s="1574" t="n">
        <f aca="false">IF(E283="","",MIN(A284-1,EndDate))</f>
        <v>44773</v>
      </c>
      <c r="G283" s="1575" t="n">
        <v>0</v>
      </c>
      <c r="H283" s="1576" t="n">
        <f aca="false">(1+G283/2)^(-2*(DATE(B284,C284,20)-DateToday)/365.25)</f>
        <v>1</v>
      </c>
      <c r="I283" s="1568" t="n">
        <f aca="false">IF(Assumptions!$L$25=4,VLOOKUP($A283,'Henwood Reference'!$E$9:$R$320,10),(VLOOKUP($A283,PriceTable,2,0)+IF(BasisNumber&lt;&gt;1,VLOOKUP($A283,BasisTable,2,0),0)+I$1)/(1-I$2))</f>
        <v>74.5797598958664</v>
      </c>
      <c r="J283" s="1568" t="n">
        <f aca="false">IF(Assumptions!$L$25=4,VLOOKUP($A283,'Henwood Reference'!$E$9:$R$320,10),(VLOOKUP($A283,PriceTable,3,0)+IF(BasisNumber&lt;&gt;1,VLOOKUP($A283,BasisTable,2,0),0)+J$1)/(1-J$2))</f>
        <v>74.5797598958664</v>
      </c>
      <c r="K283" s="1568" t="n">
        <f aca="false">IF(Assumptions!$L$25=4,VLOOKUP($A283,'Henwood Reference'!$E$9:$R$320,10),(VLOOKUP($A283,PriceTable,4,0)+IF(BasisNumber&lt;&gt;1,VLOOKUP($A283,BasisTable,2,0),0)+K$1)/(1-K$2))</f>
        <v>74.5797598958664</v>
      </c>
      <c r="L283" s="1523" t="n">
        <f aca="false">IF(Assumptions!$L$25=4,VLOOKUP($A283,'Henwood Reference'!$E$9:$R$320,10),(VLOOKUP($A283,PriceTableWeekend,2,0)+IF(BasisNumber&lt;&gt;1,VLOOKUP($A283,BasisTable,2,0),0)+L$1)/(1-L$2))</f>
        <v>74.5797598958664</v>
      </c>
      <c r="M283" s="1568" t="n">
        <f aca="false">IF(Assumptions!$L$25=4,VLOOKUP($A283,'Henwood Reference'!$E$9:$R$320,10),(VLOOKUP($A283,PriceTableWeekend,3,0)+IF(BasisNumber&lt;&gt;1,VLOOKUP($A283,BasisTable,2,0),0)+M$1)/(1-M$2))</f>
        <v>74.5797598958664</v>
      </c>
      <c r="N283" s="1599" t="n">
        <f aca="false">IF(Assumptions!$L$25=4,VLOOKUP($A283,'Henwood Reference'!$E$9:$R$320,10),(VLOOKUP($A283,PriceTableWeekend,4,0)+IF(BasisNumber&lt;&gt;1,VLOOKUP($A283,BasisTable,2,0),0)+N$1)/(1-N$2))</f>
        <v>74.5797598958664</v>
      </c>
      <c r="O283" s="1568" t="n">
        <f aca="false">IF(Assumptions!$L$25=4,VLOOKUP($A283,'Henwood Reference'!$E$9:$R$320,11),(VLOOKUP($A283,PriceTableWeekend,6,0)+IF(BasisNumber&lt;&gt;1,VLOOKUP($A283,BasisTable,3,0),0)+O$1)/(1-O$2))</f>
        <v>35.5672720997711</v>
      </c>
      <c r="P283" s="1568" t="n">
        <f aca="false">IF(Assumptions!$L$25=4,VLOOKUP($A283,'Henwood Reference'!$E$9:$R$320,11),(VLOOKUP($A283,PriceTableWeekend,7,0)+IF(BasisNumber&lt;&gt;1,VLOOKUP($A283,BasisTable,3,0),0)+P$1)/(1-P$2))</f>
        <v>35.5672720997711</v>
      </c>
      <c r="Q283" s="1599" t="n">
        <f aca="false">IF(Assumptions!$L$25=4,VLOOKUP($A283,'Henwood Reference'!$E$9:$R$320,11),(VLOOKUP($A283,PriceTableWeekend,8,0)+IF(BasisNumber&lt;&gt;1,VLOOKUP($A283,BasisTable,3,0),0)+Q$1)/(1-Q$2))</f>
        <v>35.5672720997711</v>
      </c>
      <c r="R283" s="1568" t="n">
        <f aca="false">IF(Assumptions!$L$25=4,VLOOKUP($A283,'Henwood Reference'!$E$9:$R$320,11),(VLOOKUP($A283,PriceTable,6,0)+IF(BasisNumber&lt;&gt;1,VLOOKUP($A283,BasisTable,3,0),0)+R$1)/(1-R$2))</f>
        <v>35.5672720997711</v>
      </c>
      <c r="S283" s="1568" t="n">
        <f aca="false">IF(Assumptions!$L$25=4,VLOOKUP($A283,'Henwood Reference'!$E$9:$R$320,11),(VLOOKUP($A283,PriceTable,7,0)+IF(BasisNumber&lt;&gt;1,VLOOKUP($A283,BasisTable,3,0),0)+S$1)/(1-S$2))</f>
        <v>35.5672720997711</v>
      </c>
      <c r="T283" s="1600" t="n">
        <f aca="false">IF(Assumptions!$L$25=4,VLOOKUP($A283,'Henwood Reference'!$E$9:$R$320,11),(VLOOKUP($A283,PriceTable,8,0)+IF(BasisNumber&lt;&gt;1,VLOOKUP($A283,BasisTable,3,0),0)+T$1)/(1-T$2))</f>
        <v>35.5672720997711</v>
      </c>
      <c r="U283" s="1513" t="n">
        <f aca="false">VLOOKUP($A283,VolatilityTable,14)</f>
        <v>0.09</v>
      </c>
      <c r="V283" s="1513" t="n">
        <f aca="false">VLOOKUP($A283,VolatilityTable,15)</f>
        <v>0.1</v>
      </c>
      <c r="W283" s="1514" t="n">
        <f aca="false">VLOOKUP($A283,VolatilityTable,16)</f>
        <v>0.11</v>
      </c>
      <c r="X283" s="1513" t="n">
        <f aca="false">VLOOKUP($A283,VolatilityTable,14)</f>
        <v>0.09</v>
      </c>
      <c r="Y283" s="1513" t="n">
        <f aca="false">VLOOKUP($A283,VolatilityTable,15)</f>
        <v>0.1</v>
      </c>
      <c r="Z283" s="1514" t="n">
        <f aca="false">VLOOKUP($A283,VolatilityTable,16)</f>
        <v>0.11</v>
      </c>
      <c r="AA283" s="1513" t="n">
        <f aca="false">VLOOKUP($A283,VolatilityTable,18)</f>
        <v>0.09</v>
      </c>
      <c r="AB283" s="1513" t="n">
        <f aca="false">VLOOKUP($A283,VolatilityTable,19)</f>
        <v>0.11</v>
      </c>
      <c r="AC283" s="1514" t="n">
        <f aca="false">VLOOKUP($A283,VolatilityTable,20)</f>
        <v>0.13</v>
      </c>
      <c r="AD283" s="1513" t="n">
        <f aca="false">VLOOKUP($A283,VolatilityTable,18)</f>
        <v>0.09</v>
      </c>
      <c r="AE283" s="1513" t="n">
        <f aca="false">VLOOKUP($A283,VolatilityTable,19)</f>
        <v>0.11</v>
      </c>
      <c r="AF283" s="1514" t="n">
        <f aca="false">VLOOKUP($A283,VolatilityTable,20)</f>
        <v>0.13</v>
      </c>
      <c r="AG283" s="1513" t="n">
        <f aca="false">VLOOKUP($A283,VolatilityTable,22)</f>
        <v>-0.35</v>
      </c>
      <c r="AH283" s="1513" t="n">
        <f aca="false">VLOOKUP($A283,VolatilityTable,23)</f>
        <v>0.65</v>
      </c>
      <c r="AI283" s="1514" t="n">
        <f aca="false">VLOOKUP($A283,VolatilityTable,24)</f>
        <v>0.35</v>
      </c>
      <c r="AJ283" s="1513" t="n">
        <f aca="false">VLOOKUP($A283,VolatilityTable,22)</f>
        <v>-0.35</v>
      </c>
      <c r="AK283" s="1513" t="n">
        <f aca="false">VLOOKUP($A283,VolatilityTable,23)</f>
        <v>0.65</v>
      </c>
      <c r="AL283" s="1514" t="n">
        <f aca="false">VLOOKUP($A283,VolatilityTable,24)</f>
        <v>0.35</v>
      </c>
      <c r="AM283" s="1513" t="n">
        <f aca="false">VLOOKUP($A283,VolatilityTable,26)</f>
        <v>-0.01</v>
      </c>
      <c r="AN283" s="1513" t="n">
        <f aca="false">VLOOKUP($A283,VolatilityTable,27)</f>
        <v>0.16</v>
      </c>
      <c r="AO283" s="1514" t="n">
        <f aca="false">VLOOKUP($A283,VolatilityTable,28)</f>
        <v>0.01</v>
      </c>
      <c r="AP283" s="1513" t="n">
        <f aca="false">VLOOKUP($A283,VolatilityTable,26)</f>
        <v>-0.01</v>
      </c>
      <c r="AQ283" s="1513" t="n">
        <f aca="false">VLOOKUP($A283,VolatilityTable,27)</f>
        <v>0.16</v>
      </c>
      <c r="AR283" s="1515" t="n">
        <f aca="false">VLOOKUP($A283,VolatilityTable,28)</f>
        <v>0.01</v>
      </c>
      <c r="AS283" s="1581" t="n">
        <f aca="false">IF(CorrPeakOffPeakOverFlag,INDEX(CorrPeakOffPeakOver,C283),CorrPeakOffPeak)</f>
        <v>0.5</v>
      </c>
      <c r="AT283" s="594" t="e">
        <f aca="false">AX283-SUM(AU283:AW283)</f>
        <v>#VALUE!</v>
      </c>
      <c r="AU283" s="238" t="e">
        <f aca="false">IF(E283="",0,INT((F283-MOD(F283,7)-E283)/7)+1-IF(AW283,IF(WEEKDAY(D283)=7,1,0),0))</f>
        <v>#VALUE!</v>
      </c>
      <c r="AV283" s="238" t="e">
        <f aca="false">IF(E283="",0,INT((F283-MOD(F283-1,7)-E283)/7)+1-IF(AW283,IF(WEEKDAY(D283)=1,1,0),0))</f>
        <v>#VALUE!</v>
      </c>
      <c r="AW283" s="238" t="e">
        <f aca="false">IF(OR(E283="",D283="",D283&lt;BegDate,D283&gt;EndDate),0,1)</f>
        <v>#VALUE!</v>
      </c>
      <c r="AX283" s="238" t="n">
        <f aca="false">IF(E283="",0,F283-E283+1)</f>
        <v>31</v>
      </c>
      <c r="AY283" s="1582" t="n">
        <f aca="false">IF(E283="",0,MIN((1-(1-VLOOKUP(B283,MAIN!$AA$7:$AM$28,C283+1))*(1-VLOOKUP(B283,MAIN!$AA$33:$AM$54,C283+1))),1))</f>
        <v>0.03</v>
      </c>
      <c r="AZ283" s="1519" t="e">
        <v>#VALUE!</v>
      </c>
      <c r="BA283" s="1520" t="e">
        <v>#VALUE!</v>
      </c>
      <c r="BB283" s="1520" t="e">
        <v>#VALUE!</v>
      </c>
      <c r="BC283" s="1583" t="e">
        <v>#VALUE!</v>
      </c>
      <c r="BD283" s="1522" t="e">
        <v>#VALUE!</v>
      </c>
      <c r="BE283" s="1523" t="e">
        <v>#VALUE!</v>
      </c>
      <c r="BF283" s="1523" t="e">
        <v>#VALUE!</v>
      </c>
      <c r="BG283" s="1584" t="e">
        <v>#VALUE!</v>
      </c>
      <c r="BH283" s="1525" t="e">
        <v>#VALUE!</v>
      </c>
      <c r="BI283" s="1520" t="e">
        <v>#VALUE!</v>
      </c>
      <c r="BJ283" s="1520" t="e">
        <v>#VALUE!</v>
      </c>
      <c r="BK283" s="1583" t="e">
        <v>#VALUE!</v>
      </c>
      <c r="BL283" s="1522" t="e">
        <v>#VALUE!</v>
      </c>
      <c r="BM283" s="1523" t="e">
        <v>#VALUE!</v>
      </c>
      <c r="BN283" s="1523" t="e">
        <v>#VALUE!</v>
      </c>
      <c r="BO283" s="1523" t="e">
        <v>#VALUE!</v>
      </c>
      <c r="BP283" s="1525" t="e">
        <f aca="false">SUM(AZ283:BB283)</f>
        <v>#VALUE!</v>
      </c>
      <c r="BQ283" s="1529" t="e">
        <f aca="false">SUM(AZ283:BC283)</f>
        <v>#VALUE!</v>
      </c>
      <c r="BR283" s="1519" t="e">
        <f aca="false">SUM(BH283:BJ283)</f>
        <v>#VALUE!</v>
      </c>
      <c r="BS283" s="1529" t="e">
        <f aca="false">SUM(BH283:BK283)</f>
        <v>#VALUE!</v>
      </c>
      <c r="BT283" s="1316" t="n">
        <f aca="false">(IF(OVolType&lt;&gt;2,A283+14,IF(OptExpDateShift,ShiftBack(A283,OptExpDateShift,D282),A283))-DateToday)/365.25</f>
        <v>22.2121834360027</v>
      </c>
      <c r="BU283" s="1585" t="e">
        <f aca="false">IF(BQ283,IF(OPriceCurve,IF(OBuySell=OCallPut,I283/(1-AY283),K283/(1-AY283)),J283/(1-AY283))*BD283,0)</f>
        <v>#VALUE!</v>
      </c>
      <c r="BV283" s="1316" t="e">
        <f aca="false">IF(BQ283,IF(OPriceCurve,IF(OBuySell=OCallPut,L283/(1-AY283),N283/(1-AY283)),M283/(1-AY283))*BE283,0)</f>
        <v>#VALUE!</v>
      </c>
      <c r="BW283" s="1316" t="e">
        <f aca="false">IF(BQ283,IF(OPriceCurve,IF(OBuySell=OCallPut,O283/(1-AY283),Q283/(1-AY283)),P283/(1-AY283))*BF283,0)</f>
        <v>#VALUE!</v>
      </c>
      <c r="BX283" s="1316" t="e">
        <f aca="false">IF(BQ283,IF(OPriceCurve,IF(OBuySell=OCallPut,R283/(1-AY283),T283/(1-AY283)),S283/(1-AY283))*BG283,0)</f>
        <v>#VALUE!</v>
      </c>
      <c r="BY283" s="1316" t="e">
        <f aca="false">IF(BP283,(BU283*AZ283+BV283*BA283+BW283*BB283)/BP283,0)</f>
        <v>#VALUE!</v>
      </c>
      <c r="BZ283" s="1316" t="e">
        <f aca="false">IF(BQ283,(BY283*BP283+BX283*BC283)/BQ283,0)</f>
        <v>#VALUE!</v>
      </c>
      <c r="CA283" s="1531" t="e">
        <f aca="false">IF(BS283,IF(OPriceCurve,IF(OBuySell=OCallPut,I283/(1-AY283),K283/(1-AY283)),J283/(1-AY283))*BL283,0)</f>
        <v>#VALUE!</v>
      </c>
      <c r="CB283" s="1316" t="e">
        <f aca="false">IF(BS283,IF(OPriceCurve,IF(OBuySell=OCallPut,L283/(1-AY283),N283/(1-AY283)),M283/(1-AY283))*BM283,0)</f>
        <v>#VALUE!</v>
      </c>
      <c r="CC283" s="1316" t="e">
        <f aca="false">IF(BS283,IF(OPriceCurve,IF(OBuySell=OCallPut,O283/(1-AY283),Q283/(1-AY283)),P283/(1-AY283))*BN283,0)</f>
        <v>#VALUE!</v>
      </c>
      <c r="CD283" s="1316" t="e">
        <f aca="false">IF(BS283,IF(OPriceCurve,IF(OBuySell=OCallPut,R283/(1-AY283),T283/(1-AY283)),S283/(1-AY283))*BO283,0)</f>
        <v>#VALUE!</v>
      </c>
      <c r="CE283" s="1316" t="e">
        <f aca="false">IF(BR283,(BU283*BH283+BV283*BI283+BW283*BJ283)/BR283,0)</f>
        <v>#VALUE!</v>
      </c>
      <c r="CF283" s="1532" t="e">
        <f aca="false">IF(BS283,(CE283*BR283+CD283*BK283)/BS283,0)</f>
        <v>#VALUE!</v>
      </c>
      <c r="CG283" s="1586" t="e">
        <f aca="false">IF(OR(BQ283,BS283),IF(OVolType&lt;&gt;2,SQRT(IF(OVolOverMonthlyPeak,OVolOverMonthlyPeak,IF(OVolCurve,IF(OBuySell,U283,W283),V283))^2*(1-15/365.25/BT283)+IF(OVolOverDailyPeak,OVolOverDailyPeak,IF(OVolCurve,IF(OBuySell,AG283,AI283),AH283))^2*15/365.25/BT283),IF(OVolOverMonthlyPeak,OVolOverMonthlyPeak,IF(OVolCurve,IF(OBuySell,U283,W283),V283))),"")</f>
        <v>#VALUE!</v>
      </c>
      <c r="CH283" s="1587" t="e">
        <f aca="false">IF(OR(BQ283,BS283),IF(OVolType&lt;&gt;2,SQRT(IF(OVolOverMonthlyPeak,OVolOverMonthlyPeak,IF(OVolCurve,IF(OBuySell,X283,Z283),Y283))^2*(1-15/365.25/BT283)+IF(OVolOverDailyPeak,OVolOverDailyPeak,IF(OVolCurve,IF(OBuySell,AJ283,AL283),AK283))^2*15/365.25/BT283),IF(OVolOverMonthlyPeak,OVolOverMonthlyPeak,IF(OVolCurve,IF(OBuySell,X283,Z283),Y283))),"")</f>
        <v>#VALUE!</v>
      </c>
      <c r="CI283" s="1587" t="e">
        <f aca="false">IF(OR(BQ283,BS283),IF(OVolType&lt;&gt;2,SQRT(IF(OVolOverMonthlyPeak,OVolOverMonthlyPeak,IF(OVolCurve,IF(OBuySell,AA283,AC283),AB283))^2*(1-15/365.25/BT283)+IF(OVolOverDailyPeak,OVolOverDailyPeak,IF(OVolCurve,IF(OBuySell,AM283,AO283),AN283))^2*15/365.25/BT283),IF(OVolOverMonthlyPeak,OVolOverMonthlyPeak,IF(OVolCurve,IF(OBuySell,AA283,AC283),AB283))),"")</f>
        <v>#VALUE!</v>
      </c>
      <c r="CJ283" s="1587" t="e">
        <f aca="false">IF(BQ283,IF(BP283,SQRT(LN(1+((BU283*AZ283)^2*(EXP(CG283^2*BT283)-1)+(BV283*BA283)^2*(EXP(CH283^2*BT283)-1)+(BW283*BB283)^2*(EXP(CI283^2*BT283)-1)+2*BU283*AZ283*BV283*BA283*(EXP(CG283*CH283*BT283)-1)+2*BV283*BA283*BW283*BB283*(EXP(CH283*CI283*BT283)-1)+2*BW283*BB283*BU283*AZ283*(EXP(CI283*CG283*BT283)-1))/(BY283*BP283)^2)/BT283),0),"")</f>
        <v>#VALUE!</v>
      </c>
      <c r="CK283" s="1587" t="e">
        <f aca="false">IF(BS283,IF(BR283,SQRT(LN(1+((CA283*BH283)^2*(EXP(CG283^2*BT283)-1)+(CB283*BI283)^2*(EXP(CH283^2*BT283)-1)+(CC283*BJ283)^2*(EXP(CI283^2*BT283)-1)+2*CA283*BH283*CB283*BI283*(EXP(CG283*CH283*BT283)-1)+2*CB283*BI283*CC283*BJ283*(EXP(CH283*CI283*BT283)-1)+2*CC283*BJ283*CA283*BH283*(EXP(CI283*CG283*BT283)-1))/(CE283*BR283)^2)/BT283),0),"")</f>
        <v>#VALUE!</v>
      </c>
      <c r="CL283" s="1587" t="e">
        <f aca="false">IF(OR(BQ283,BS283),IF(OVolType&lt;&gt;2,SQRT(IF(OVolOverMonthlyOffPeak,OVolOverMonthlyOffPeak,IF(OVolCurve,IF(OBuySell,AD283,AF283),AE283))^2*(1-15/365.25/BT283)+IF(OVolOverDailyOffPeak,OVolOverDailyOffPeak,IF(OVolCurve,IF(OBuySell,AP283,AR283),AQ283))^2*15/365.25/BT283),IF(OVolOverMonthlyOffPeak,OVolOverMonthlyOffPeak,IF(OVolCurve,IF(OBuySell,AD283,AF283),AE283))),"")</f>
        <v>#VALUE!</v>
      </c>
      <c r="CM283" s="1587" t="e">
        <f aca="false">IF(BQ283,SQRT(LN(1+((BY283*BP283)^2*(EXP(CJ283^2*BT283)-1)+(BX283*BC283)^2*(EXP(CL283^2*BT283)-1)+2*BY283*BP283*BX283*BC283*(EXP(AS283*CJ283*CL283*BT283)-1))/(BY283*BP283+BX283*BC283)^2)/BT283),"")</f>
        <v>#VALUE!</v>
      </c>
      <c r="CN283" s="1588" t="e">
        <f aca="false">IF(BS283,SQRT(LN(1+((CE283*BR283)^2*(EXP(CK283^2*BT283)-1)+(CD283*BK283)^2*(EXP(CL283^2*BT283)-1)+2*CE283*BR283*CD283*BK283*(EXP(AS283*CK283*CL283*BT283)-1))/(CE283*BR283+CD283*BK283)^2)/BT283),"")</f>
        <v>#VALUE!</v>
      </c>
      <c r="CO283" s="1531" t="e">
        <f aca="false">IF(OR(BQ283,BS283),VLOOKUP(A283,GasTable,13)*HeatRatePeak*(1+VLOOKUP($B283,HeatRateDegradation,$C283+1))/1000,0)</f>
        <v>#VALUE!</v>
      </c>
      <c r="CP283" s="1316" t="e">
        <f aca="false">IF(OR(BQ283,BS283),VLOOKUP(A283,GasTable,13)*HeatRatePeak*(1+VLOOKUP($B283,HeatRateDegradation,$C283+1))/1000,0)</f>
        <v>#VALUE!</v>
      </c>
      <c r="CQ283" s="1316" t="e">
        <f aca="false">IF(OR(BQ283,BS283),VLOOKUP(A283,GasTable,13)*IF(EV283,HeatRatePeak,HeatRateOffPeak)*(1+VLOOKUP($B283,HeatRateDegradation,$C283+1))/1000,0)</f>
        <v>#VALUE!</v>
      </c>
      <c r="CR283" s="1316" t="e">
        <f aca="false">IF(OR(BQ283,BS283),VLOOKUP(A283,GasTable,13)*IF(EW283,HeatRatePeak,HeatRateOffPeak)*(1+VLOOKUP($B283,HeatRateDegradation,$C283+1))/1000,0)</f>
        <v>#VALUE!</v>
      </c>
      <c r="CS283" s="1589" t="e">
        <f aca="false">IF(BQ283,(CO283*AZ283+CP283*BA283+CQ283*BB283+CR283*BC283)/BQ283,0)</f>
        <v>#VALUE!</v>
      </c>
      <c r="CT283" s="1316" t="e">
        <f aca="false">IF(BS283,CO283,0)</f>
        <v>#VALUE!</v>
      </c>
      <c r="CU283" s="1590" t="e">
        <f aca="false">IF(OR(BQ283,BS283),VLOOKUP(A283,GasTable,14),"")</f>
        <v>#VALUE!</v>
      </c>
      <c r="CV283" s="1568" t="e">
        <f aca="false">IF(OR(BQ283,BS283),IF(CorrPowerGasOverFlag,INDEX(CorrPowerGasOver,C283),CorrPowerGas),"")</f>
        <v>#VALUE!</v>
      </c>
      <c r="CW283" s="1316" t="e">
        <f aca="false">IF(OR($BQ283,$BS283),SpreadOptPowerMargin,0)*((1+Assumptions!$C$26)^($B283-YEAR(Assumptions!$C$17)))</f>
        <v>#VALUE!</v>
      </c>
      <c r="CX283" s="1316" t="e">
        <f aca="false">IF(OR($BQ283,$BS283),SpreadOptPowerMargin,0)*((1+Assumptions!$C$26)^($B283-YEAR(Assumptions!$C$17)))</f>
        <v>#VALUE!</v>
      </c>
      <c r="CY283" s="1316" t="e">
        <f aca="false">IF(OR($BQ283,$BS283),SpreadOptPowerMargin,0)*((1+Assumptions!$C$26)^($B283-YEAR(Assumptions!$C$17)))</f>
        <v>#VALUE!</v>
      </c>
      <c r="CZ283" s="1316" t="e">
        <f aca="false">IF(OR($BQ283,$BS283),SpreadOptPowerMargin,0)*((1+Assumptions!$C$26)^($B283-YEAR(Assumptions!$C$17)))</f>
        <v>#VALUE!</v>
      </c>
      <c r="DA283" s="1591" t="e">
        <f aca="false">IF(OR(BQ283,BS283),(CW283*(AZ283+BH283)+CX283*(BA283+BI283)+CY283*(BB283+BJ283)+CZ283*(BC283+BK283))/(BQ283+BS283),0)</f>
        <v>#VALUE!</v>
      </c>
      <c r="DB283" s="1592" t="e">
        <f aca="false">IF(OR(BQ283,BS283),CG283+IF(OVolSmile,VLOOKUP(MAX(-5,CO283+CW283-BU283),IF(OVolSmile=1,VolSmileBook,VolSmileModel),2),0),"")</f>
        <v>#VALUE!</v>
      </c>
      <c r="DC283" s="1592" t="e">
        <f aca="false">IF(OR(BQ283,BS283),CH283+IF(OVolSmile,VLOOKUP(MAX(-5,CP283+CW283-BV283),IF(OVolSmile=1,VolSmileBook,VolSmileModel),2),0),"")</f>
        <v>#VALUE!</v>
      </c>
      <c r="DD283" s="1592" t="e">
        <f aca="false">IF(OR(BQ283,BS283),CI283+IF(OVolSmile,VLOOKUP(MAX(-5,CQ283+CW283-BW283),IF(OVolSmile=1,VolSmileBook,VolSmileModel),2),0),"")</f>
        <v>#VALUE!</v>
      </c>
      <c r="DE283" s="1592" t="e">
        <f aca="false">IF(OR(BQ283,BS283),CL283+IF(OVolSmile,VLOOKUP(MAX(-5,CR283+CZ283-BX283),IF(OVolSmile=1,VolSmileBook,VolSmileModel),2),0),"")</f>
        <v>#VALUE!</v>
      </c>
      <c r="DF283" s="1592" t="e">
        <f aca="false">IF(BQ283,CM283+IF(OVolSmile,VLOOKUP(MAX(-5,CS283+DA283-BZ283),IF(OVolSmile=1,VolSmileBook,VolSmileModel),2),0),"")</f>
        <v>#VALUE!</v>
      </c>
      <c r="DG283" s="1593" t="e">
        <f aca="false">IF(BS283,CN283+IF(OVolSmile,VLOOKUP(MAX(-5,CT283+DA283-CF283),IF(OVolSmile=1,VolSmileBook,VolSmileModel),2),0),"")</f>
        <v>#VALUE!</v>
      </c>
      <c r="DH283" s="1316" t="e">
        <f aca="false">IF(AND(BU283&gt;0,CO283&gt;0,DB283&gt;0,CU283&gt;0),newSPRDOPT(BU283,CO283,CW283,0,DB283,CU283,CV283,BT283*365.25,OCallPut,0),0)</f>
        <v>#VALUE!</v>
      </c>
      <c r="DI283" s="1316" t="e">
        <f aca="false">IF(AND(BV283&gt;0,CP283&gt;0,DC283&gt;0,CU283&gt;0),newSPRDOPT(BV283,CP283,CX283,0,DC283,CU283,CV283,BT283*365.25,OCallPut,0),0)</f>
        <v>#VALUE!</v>
      </c>
      <c r="DJ283" s="1316" t="e">
        <f aca="false">IF(AND(BW283&gt;0,CQ283&gt;0,DD283&gt;0,CU283&gt;0),newSPRDOPT(BW283,CQ283,CY283,0,DD283,CU283,CV283,BT283*365.25,OCallPut,0),0)</f>
        <v>#VALUE!</v>
      </c>
      <c r="DK283" s="1316" t="e">
        <f aca="false">IF(AND(BX283&gt;0,CR283&gt;0,DE283&gt;0,CU283&gt;0),newSPRDOPT(BX283,CR283,CZ283,0,DE283,CU283,CV283,BT283*365.25,OCallPut,0),0)</f>
        <v>#VALUE!</v>
      </c>
      <c r="DL283" s="1316" t="e">
        <f aca="false">IF(OVolType,IF(AND(BZ283&gt;0,CS283&gt;0,DF283&gt;0,CU283&gt;0),newSPRDOPT(BZ283,CS283,DA283,0,DF283,CU283,CV283,BT283*365.25,OCallPut,0),0),IF(BQ283,(DH283*AZ283+DI283*BA283+DJ283*BB283+DK283*BC283)/BQ283,0))</f>
        <v>#VALUE!</v>
      </c>
      <c r="DM283" s="1316"/>
      <c r="DN283" s="1316"/>
      <c r="DO283" s="1316"/>
      <c r="DP283" s="1316"/>
      <c r="DQ283" s="1316"/>
      <c r="DR283" s="1316"/>
      <c r="DS283" s="1316"/>
      <c r="DT283" s="1316"/>
      <c r="DU283" s="1316"/>
      <c r="DV283" s="1316"/>
      <c r="DW283" s="1594" t="e">
        <f aca="false">IF(AND(BW283&gt;0,CT283&gt;0,DD283&gt;0,CU283&gt;0),newSPRDOPT(BW283,CT283,CY283,0,DD283,CU283,CV283,BT283*365.25,OCallPut,0),0)</f>
        <v>#VALUE!</v>
      </c>
      <c r="DX283" s="1316" t="e">
        <f aca="false">IF(AND(BX283&gt;0,CT283&gt;0,DE283&gt;0,CU283&gt;0),newSPRDOPT(BX283,CT283,CZ283,0,DE283,CU283,CV283,BT283*365.25,OCallPut,0),0)</f>
        <v>#VALUE!</v>
      </c>
      <c r="DY283" s="1591" t="e">
        <f aca="false">IF(BS283,(DH283*BH283+DI283*BI283+DW283*BJ283+DX283*BK283)/BS283,0)</f>
        <v>#VALUE!</v>
      </c>
      <c r="DZ283" s="1551" t="e">
        <f aca="false">DH283*AZ283</f>
        <v>#VALUE!</v>
      </c>
      <c r="EA283" s="1551" t="e">
        <f aca="false">DI283*BA283</f>
        <v>#VALUE!</v>
      </c>
      <c r="EB283" s="1551" t="e">
        <f aca="false">DJ283*BB283</f>
        <v>#VALUE!</v>
      </c>
      <c r="EC283" s="1551" t="e">
        <f aca="false">DK283*BC283</f>
        <v>#VALUE!</v>
      </c>
      <c r="ED283" s="1551" t="e">
        <f aca="false">DL283*BQ283</f>
        <v>#VALUE!</v>
      </c>
      <c r="EE283" s="1595" t="e">
        <f aca="false">IF(BQ283,IF(OCallPut,IF(BU283&gt;(CO283+CW283),BU283-(CO283+CW283),0),IF((CO283+CW283)&gt;BU283,(CO283+CW283)-BU283,0))*AZ283,0)</f>
        <v>#VALUE!</v>
      </c>
      <c r="EF283" s="1596" t="e">
        <f aca="false">IF(BQ283,IF(OCallPut,IF(BV283&gt;(CP283+CX283),BV283-(CP283+CX283),0),IF((CP283+CX283)&gt;BV283,(CP283+CX283)-BV283,0))*BA283,0)</f>
        <v>#VALUE!</v>
      </c>
      <c r="EG283" s="1596" t="e">
        <f aca="false">IF(BQ283,IF(OCallPut,IF(BW283&gt;(CQ283+CY283),BW283-(CQ283+CY283),0),IF((CQ283+CY283)&gt;BW283,(CQ283+CY283)-BW283,0))*BB283,0)</f>
        <v>#VALUE!</v>
      </c>
      <c r="EH283" s="1596" t="e">
        <f aca="false">IF(BQ283,IF(OCallPut,IF(BX283&gt;(CR283+CZ283),BX283-(CR283+CZ283),0),IF((CR283+CZ283)&gt;BX283,(CR283+CZ283)-BX283,0))*BC283,0)</f>
        <v>#VALUE!</v>
      </c>
      <c r="EI283" s="1597" t="e">
        <f aca="false">IF(BQ283,IF(OVolType,IF(OCallPut,IF(BZ283&gt;(CS283+DA283),BZ283-(CS283+DA283),0),IF((CS283+DA283)&gt;BZ283,(CS283+DA283)-BZ283,0))*BQ283,SUM(EE283:EH283)),0)</f>
        <v>#VALUE!</v>
      </c>
      <c r="EJ283" s="1595" t="e">
        <f aca="false">DZ283-EE283</f>
        <v>#VALUE!</v>
      </c>
      <c r="EK283" s="1596" t="e">
        <f aca="false">EA283-EF283</f>
        <v>#VALUE!</v>
      </c>
      <c r="EL283" s="1596" t="e">
        <f aca="false">EB283-EG283</f>
        <v>#VALUE!</v>
      </c>
      <c r="EM283" s="1596" t="e">
        <f aca="false">EC283-EH283</f>
        <v>#VALUE!</v>
      </c>
      <c r="EN283" s="1597" t="e">
        <f aca="false">ED283-EI283</f>
        <v>#VALUE!</v>
      </c>
      <c r="EO283" s="1551" t="e">
        <f aca="false">DH283*BH283</f>
        <v>#VALUE!</v>
      </c>
      <c r="EP283" s="1551" t="e">
        <f aca="false">DI283*BI283</f>
        <v>#VALUE!</v>
      </c>
      <c r="EQ283" s="1551" t="e">
        <f aca="false">DW283*BJ283</f>
        <v>#VALUE!</v>
      </c>
      <c r="ER283" s="1551" t="e">
        <f aca="false">DX283*BK283</f>
        <v>#VALUE!</v>
      </c>
      <c r="ES283" s="1551" t="e">
        <f aca="false">DY283*BS283</f>
        <v>#VALUE!</v>
      </c>
      <c r="ET283" s="1566" t="e">
        <f aca="false">IF(EI283,IF(OCallPut,IF(CA283&gt;(CT283+CW283),CA283-(CT283+CW283),0),IF((CT283+CW283)&gt;CA283,(CT283+CW283)-CA283,0))*BH283,0)</f>
        <v>#VALUE!</v>
      </c>
      <c r="EU283" s="1551" t="e">
        <f aca="false">IF(EI283,IF(OCallPut,IF(CB283&gt;(CT283+CX283),CB283-(CT283+CX283),0),IF((CT283+CX283)&gt;CB283,(CT283+CX283)-CB283,0))*BI283,0)</f>
        <v>#VALUE!</v>
      </c>
      <c r="EV283" s="1551" t="e">
        <f aca="false">IF(EI283,IF(OCallPut,IF(CC283&gt;(CT283+CY283),CC283-(CT283+CY283),0),IF((CT283+CY283)&gt;CC283,(CT283+CY283)-CC283,0))*BJ283,0)</f>
        <v>#VALUE!</v>
      </c>
      <c r="EW283" s="1551" t="e">
        <f aca="false">IF(EI283,IF(OCallPut,IF(CD283&gt;(CT283+CZ283),CD283-(CT283+CZ283),0),IF((CT283+CZ283)&gt;CD283,(CT283+CZ283)-CD283,0))*BK283,0)</f>
        <v>#VALUE!</v>
      </c>
      <c r="EX283" s="1558" t="e">
        <f aca="false">IF(EI283,SUM(ET283:EW283),0)</f>
        <v>#VALUE!</v>
      </c>
      <c r="EY283" s="1551" t="e">
        <f aca="false">EO283-ET283</f>
        <v>#VALUE!</v>
      </c>
      <c r="EZ283" s="1551" t="e">
        <f aca="false">EP283-EU283</f>
        <v>#VALUE!</v>
      </c>
      <c r="FA283" s="1551" t="e">
        <f aca="false">EQ283-EV283</f>
        <v>#VALUE!</v>
      </c>
      <c r="FB283" s="1551" t="e">
        <f aca="false">ER283-EW283</f>
        <v>#VALUE!</v>
      </c>
      <c r="FC283" s="1551" t="e">
        <f aca="false">ES283-EX283</f>
        <v>#VALUE!</v>
      </c>
      <c r="FD283" s="1525" t="n">
        <f aca="false">IF(AX283,IF(VLOOKUP(C283,MAIN!$L$17:$M$28,2)="Yes",VLOOKUP(CALC!B283,MAIN!$H$17:$I$20,2),0),0)</f>
        <v>0</v>
      </c>
      <c r="FE283" s="1552" t="e">
        <f aca="false">$FD283*16*AT283*(1-$AY283)</f>
        <v>#VALUE!</v>
      </c>
      <c r="FF283" s="1553" t="e">
        <f aca="false">$FD283*16*AU283*(1-$AY283)</f>
        <v>#VALUE!</v>
      </c>
      <c r="FG283" s="1553" t="e">
        <f aca="false">$FD283*16*(AV283+AW283)*(1-$AY283)</f>
        <v>#VALUE!</v>
      </c>
      <c r="FH283" s="1554" t="n">
        <f aca="false">$FD283*8*AX283*(1-$AY283)</f>
        <v>0</v>
      </c>
      <c r="FI283" s="1555" t="n">
        <f aca="false">IF(AX283,VLOOKUP(CALC!B283,MAIN!$H$17:$K$20,4),0)</f>
        <v>0</v>
      </c>
      <c r="FJ283" s="1553" t="e">
        <f aca="false">SUM(FE283:FH283)</f>
        <v>#VALUE!</v>
      </c>
      <c r="FK283" s="1556" t="e">
        <f aca="false">FI283*FJ283</f>
        <v>#VALUE!</v>
      </c>
      <c r="FL283" s="1551" t="e">
        <f aca="false">IF($EI283&gt;0,MIN(FE283,AZ283*(1+VLOOKUP($C283,WeatherCapacityAdjustment,2))),0)</f>
        <v>#VALUE!</v>
      </c>
      <c r="FM283" s="1551" t="e">
        <f aca="false">IF($EI283&gt;0,MIN(FF283,BA283*(1+VLOOKUP($C283,WeatherCapacityAdjustment,2))),0)</f>
        <v>#VALUE!</v>
      </c>
      <c r="FN283" s="1551" t="e">
        <f aca="false">IF($EI283&gt;0,MIN(FG283,BB283*(1+VLOOKUP($C283,WeatherCapacityAdjustment,2))),0)</f>
        <v>#VALUE!</v>
      </c>
      <c r="FO283" s="1564" t="e">
        <f aca="false">IF($EI283&gt;0,MIN(FH283,BC283*(1+VLOOKUP($C283,WeatherCapacityAdjustment,3))),0)</f>
        <v>#VALUE!</v>
      </c>
      <c r="FP283" s="1551" t="e">
        <f aca="false">IF(ET283&gt;0,MIN(FE283-FL283,BH283*(1+VLOOKUP($C283,WeatherCapacityAdjustment,2))),0)</f>
        <v>#VALUE!</v>
      </c>
      <c r="FQ283" s="1551" t="e">
        <f aca="false">IF(EU283&gt;0,MIN(FF283-FM283,BI283*(1+VLOOKUP($C283,WeatherCapacityAdjustment,2))),0)</f>
        <v>#VALUE!</v>
      </c>
      <c r="FR283" s="1551" t="e">
        <f aca="false">IF(EV283&gt;0,MIN(FG283-FN283,BJ283*(1+VLOOKUP($C283,WeatherCapacityAdjustment,2))),0)</f>
        <v>#VALUE!</v>
      </c>
      <c r="FS283" s="1558" t="e">
        <f aca="false">IF(EW283&gt;0,MIN(FH283-FO283,BK283*(1+VLOOKUP($C283,WeatherCapacityAdjustment,3))),0)</f>
        <v>#VALUE!</v>
      </c>
      <c r="FT283" s="1566" t="e">
        <f aca="false">IF(AND(Assumptions!$H$71="Yes",A283&gt;=Assumptions!$H$72,A283&lt;=Assumptions!$H$73),0,IF(AND($A283&gt;=Assumptions!$C$17,$A283&lt;=Assumptions!$C$18),MAX(AZ283*(1+VLOOKUP($C283,WeatherCapacityAdjustment,2))-FL283,0),0))</f>
        <v>#VALUE!</v>
      </c>
      <c r="FU283" s="1551" t="e">
        <f aca="false">IF(AND(Assumptions!$H$71="Yes",A283&gt;=Assumptions!$H$72,A283&lt;=Assumptions!$H$73),0,IF(AND($A283&gt;=Assumptions!$C$17,$A283&lt;=Assumptions!$C$18),MAX(BA283*(1+VLOOKUP($C283,WeatherCapacityAdjustment,2))-FM283,0),0))</f>
        <v>#VALUE!</v>
      </c>
      <c r="FV283" s="1551" t="e">
        <f aca="false">IF(AND(Assumptions!$H$71="Yes",A283&gt;=Assumptions!$H$72,A283&lt;=Assumptions!$H$73),0,IF(AND($A283&gt;=Assumptions!$C$17,$A283&lt;=Assumptions!$C$18),MAX(BB283*(1+VLOOKUP($C283,WeatherCapacityAdjustment,2))-FN283,0),0))</f>
        <v>#VALUE!</v>
      </c>
      <c r="FW283" s="1564" t="e">
        <f aca="false">IF(AND(Assumptions!$H$71="Yes",A283&gt;=Assumptions!$H$72,A283&lt;=Assumptions!$H$73),0,IF(AND($A283&gt;=Assumptions!$C$17,$A283&lt;=Assumptions!$C$18),MAX(BC283*(1+VLOOKUP($C283,WeatherCapacityAdjustment,3))-FO283,0),0))</f>
        <v>#VALUE!</v>
      </c>
      <c r="FX283" s="1569" t="e">
        <f aca="false">IF(AND(Assumptions!$H$71="Yes",A283&gt;=Assumptions!$H$72,A283&lt;=Assumptions!$H$73),0,IF(ET283&gt;0,MAX(BH283*(1+VLOOKUP($C283,WeatherCapacityAdjustment,2))-FP283,0),0))</f>
        <v>#VALUE!</v>
      </c>
      <c r="FY283" s="1551" t="e">
        <f aca="false">IF(AND(Assumptions!$H$71="Yes",A283&gt;=Assumptions!$H$72,A283&lt;=Assumptions!$H$73),0,IF(EU283&gt;0,MAX(BI283*(1+VLOOKUP($C283,WeatherCapacityAdjustment,3))-FQ283,0),0))</f>
        <v>#VALUE!</v>
      </c>
      <c r="FZ283" s="1551" t="e">
        <f aca="false">IF(AND(Assumptions!$H$71="Yes",A283&gt;=Assumptions!$H$72,A283&lt;=Assumptions!$H$73),0,IF(EV283&gt;0,MAX(BJ283*(1+VLOOKUP($C283,WeatherCapacityAdjustment,2))-FR283,0),0))</f>
        <v>#VALUE!</v>
      </c>
      <c r="GA283" s="1564" t="e">
        <f aca="false">IF(AND(Assumptions!$H$71="Yes",A283&gt;=Assumptions!$H$72,A283&lt;=Assumptions!$H$73),0,IF(EW283&gt;0,MAX(BK283*(1+VLOOKUP($C283,WeatherCapacityAdjustment,2))-FS283,0),0))</f>
        <v>#VALUE!</v>
      </c>
      <c r="GB283" s="1551" t="e">
        <f aca="false">SUM(FT283:GA283)</f>
        <v>#VALUE!</v>
      </c>
      <c r="GC283" s="1563" t="e">
        <f aca="false">+IF(SUM(FT283:GA283)=0,0,(SUMPRODUCT(BU283:BX283,FT283:FW283)+SUMPRODUCT(CA283:CD283,FX283:GA283))/SUM(FT283:GA283))</f>
        <v>#VALUE!</v>
      </c>
      <c r="GD283" s="1551" t="e">
        <f aca="false">(FT283*BU283+FX283*CA283+FU283*BV283+FY283*CB283+FV283*BW283+FZ283*CC283+FW283*BX283+GA283*CD283)</f>
        <v>#VALUE!</v>
      </c>
      <c r="GE283" s="1561" t="e">
        <f aca="false">+IF(BQ283,((FL283+FM283+FT283+FU283)*HeatRatePeak/1000*(1+VLOOKUP($C283,WeatherHeatRateAdjustment,2))+(FN283+FV283)*IF(EV283&gt;0,HeatRatePeak,HeatRateOffPeak)/1000*(1+VLOOKUP($C283,WeatherHeatRateAdjustment,2))+(FO283+FW283)*IF(EW283&gt;0,HeatRatePeak,HeatRateOffPeak)/1000*(1+VLOOKUP($C283,WeatherHeatRateAdjustment,3)))*(1+VLOOKUP($B283,HeatRateDegradation,$C283+1)),0)</f>
        <v>#VALUE!</v>
      </c>
      <c r="GF283" s="1562" t="e">
        <f aca="false">IF(BQ283,((FP283+FQ283+FR283+FX283+FY283+FZ283)*HeatRatePeak/1000*(1+VLOOKUP($C283,WeatherHeatRateAdjustment,2))+(FS283+GA283)*HeatRatePeak/1000*(1+VLOOKUP($C283,WeatherHeatRateAdjustment,3)))*(1+VLOOKUP($B283,HeatRateDegradation,$C283+1)),0)</f>
        <v>#VALUE!</v>
      </c>
      <c r="GG283" s="1563" t="e">
        <f aca="false">IF(BQ283,VLOOKUP(A283,GasTable,13),0)</f>
        <v>#VALUE!</v>
      </c>
      <c r="GH283" s="1564" t="e">
        <f aca="false">(GE283+GF283)*GG283</f>
        <v>#VALUE!</v>
      </c>
      <c r="GI283" s="1569" t="e">
        <f aca="false">GB283</f>
        <v>#VALUE!</v>
      </c>
      <c r="GJ283" s="1598" t="e">
        <f aca="false">+DA283</f>
        <v>#VALUE!</v>
      </c>
      <c r="GK283" s="1558" t="e">
        <f aca="false">+GI283*GJ283</f>
        <v>#VALUE!</v>
      </c>
      <c r="GL283" s="1566" t="e">
        <f aca="false">MAX(FE283-FL283-FP283,0)</f>
        <v>#VALUE!</v>
      </c>
      <c r="GM283" s="1551" t="e">
        <f aca="false">MAX(FF283-FM283-FQ283,0)</f>
        <v>#VALUE!</v>
      </c>
      <c r="GN283" s="1551" t="e">
        <f aca="false">MAX(FG283-FN283-FR283,0)</f>
        <v>#VALUE!</v>
      </c>
      <c r="GO283" s="1564" t="e">
        <f aca="false">MAX(FH283-FO283-FS283,0)</f>
        <v>#VALUE!</v>
      </c>
      <c r="GP283" s="1551" t="e">
        <f aca="false">SUM(GL283:GO283)</f>
        <v>#VALUE!</v>
      </c>
      <c r="GQ283" s="1563" t="e">
        <f aca="false">IF(SUM(GL283:GO283)=0,0,((GL283*BU283+GM283*BV283+GN283*BW283+GO283*BX283)/SUM(GL283:GO283)))</f>
        <v>#VALUE!</v>
      </c>
      <c r="GR283" s="1558" t="e">
        <f aca="false">(GL283*BU283+GM283*BV283+GN283*BW283+GO283*BX283)</f>
        <v>#VALUE!</v>
      </c>
      <c r="GS283" s="1566" t="n">
        <f aca="false">IF($A283&gt;=BegDate,Assumptions!$C$56*24*($A284-$A283)*(1-VLOOKUP($B283,MAIN!$AA$7:$AM$28,$C283+1))*(1-VLOOKUP($B283,MAIN!$AA$33:$AM$54,$C283+1)),0)*80/168</f>
        <v>257742.857142857</v>
      </c>
      <c r="GT283" s="286" t="n">
        <f aca="false">J283</f>
        <v>74.5797598958664</v>
      </c>
      <c r="GU283" s="286" t="n">
        <f aca="false">IF($A283&gt;=BegDate,VLOOKUP($A283,GasTable,13)+Assumptions!$C$58,0)</f>
        <v>4.58711122179671</v>
      </c>
      <c r="GV283" s="286" t="n">
        <f aca="false">GU283*Assumptions!$C$57/1000</f>
        <v>33.2565563580261</v>
      </c>
      <c r="GW283" s="1558" t="n">
        <f aca="false">IF(Assumptions!$C$60="Hourly",MAX(0,GS283*(GT283-GV283)),GS283*(GT283-GV283))</f>
        <v>10650760.5461388</v>
      </c>
      <c r="GX283" s="1566" t="n">
        <f aca="false">IF($A283&gt;=BegDate,Assumptions!$C$56*24*($A284-$A283)*(1-VLOOKUP($B283,MAIN!$AA$7:$AM$28,$C283+1))*(1-VLOOKUP($B283,MAIN!$AA$33:$AM$54,$C283+1)),0)*16/168</f>
        <v>51548.5714285714</v>
      </c>
      <c r="GY283" s="286" t="n">
        <f aca="false">M283</f>
        <v>74.5797598958664</v>
      </c>
      <c r="GZ283" s="286" t="n">
        <f aca="false">IF($A283&gt;=BegDate,VLOOKUP($A283,GasTable,13)+Assumptions!$C$58,0)</f>
        <v>4.58711122179671</v>
      </c>
      <c r="HA283" s="286" t="n">
        <f aca="false">GZ283*Assumptions!$C$57/1000</f>
        <v>33.2565563580261</v>
      </c>
      <c r="HB283" s="1558" t="n">
        <f aca="false">IF(Assumptions!$C$60="Hourly",MAX(0,GX283*(GY283-HA283)),GX283*(GY283-HA283))</f>
        <v>2130152.10922775</v>
      </c>
      <c r="HC283" s="1566" t="n">
        <f aca="false">IF($A283&gt;=BegDate,Assumptions!$C$56*24*($A284-$A283)*(1-VLOOKUP($B283,MAIN!$AA$7:$AM$28,$C283+1))*(1-VLOOKUP($B283,MAIN!$AA$33:$AM$54,$C283+1)),0)*16/168</f>
        <v>51548.5714285714</v>
      </c>
      <c r="HD283" s="286" t="n">
        <f aca="false">P283</f>
        <v>35.5672720997711</v>
      </c>
      <c r="HE283" s="286" t="n">
        <f aca="false">IF($A283&gt;=BegDate,VLOOKUP($A283,GasTable,13)+Assumptions!$C$58,0)</f>
        <v>4.58711122179671</v>
      </c>
      <c r="HF283" s="286" t="n">
        <f aca="false">HE283*Assumptions!$C$57/1000</f>
        <v>33.2565563580261</v>
      </c>
      <c r="HG283" s="1558" t="n">
        <f aca="false">IF(Assumptions!$C$60="Hourly",MAX(0,HC283*(HD283-HF283)),HC283*(HD283-HF283))</f>
        <v>119114.095464467</v>
      </c>
      <c r="HH283" s="1566" t="n">
        <f aca="false">IF($A283&gt;=BegDate,Assumptions!$C$56*24*($A284-$A283)*(1-VLOOKUP($B283,MAIN!$AA$7:$AM$28,$C283+1))*(1-VLOOKUP($B283,MAIN!$AA$33:$AM$54,$C283+1)),0)*56/168</f>
        <v>180420</v>
      </c>
      <c r="HI283" s="286" t="n">
        <f aca="false">S283</f>
        <v>35.5672720997711</v>
      </c>
      <c r="HJ283" s="286" t="n">
        <f aca="false">IF($A283&gt;=BegDate,VLOOKUP($A283,GasTable,13)+Assumptions!$C$58,0)</f>
        <v>4.58711122179671</v>
      </c>
      <c r="HK283" s="286" t="n">
        <f aca="false">HJ283*Assumptions!$C$57/1000</f>
        <v>33.2565563580261</v>
      </c>
      <c r="HL283" s="1558" t="n">
        <f aca="false">IF(Assumptions!$C$60="Hourly",MAX(0,HH283*(HI283-HK283)),HH283*(HI283-HK283))</f>
        <v>416899.334125635</v>
      </c>
      <c r="HM283" s="1566" t="n">
        <f aca="false">IF(AND(Assumptions!$H$71="Yes",A283&gt;=Assumptions!$H$72,A283&lt;=Assumptions!$H$73),Assumptions!$H$74*Assumptions!$C$9*1000,0)</f>
        <v>0</v>
      </c>
      <c r="HN283" s="1551"/>
      <c r="HO283" s="1563"/>
      <c r="HP283" s="1563"/>
      <c r="HQ283" s="1563"/>
      <c r="HR283" s="1563"/>
      <c r="HS283" s="1563"/>
      <c r="HT283" s="1563"/>
      <c r="HU283" s="1563"/>
      <c r="HV283" s="1563"/>
      <c r="HW283" s="1563"/>
      <c r="HX283" s="1563"/>
      <c r="HY283" s="1563"/>
      <c r="HZ283" s="1563"/>
      <c r="IA283" s="1563"/>
      <c r="IB283" s="1563"/>
      <c r="IC283" s="1563"/>
      <c r="ID283" s="1563"/>
      <c r="IE283" s="1563"/>
      <c r="IF283" s="1563"/>
      <c r="IG283" s="1563"/>
      <c r="IH283" s="1563"/>
      <c r="II283" s="1610"/>
      <c r="IJ283" s="1309"/>
      <c r="IK283" s="1309"/>
    </row>
    <row r="284" customFormat="false" ht="12.75" hidden="false" customHeight="false" outlineLevel="0" collapsed="false">
      <c r="A284" s="1571" t="n">
        <f aca="false">EOMONTH(A283,0)+1</f>
        <v>44774</v>
      </c>
      <c r="B284" s="594" t="n">
        <f aca="false">+YEAR(A284)</f>
        <v>2022</v>
      </c>
      <c r="C284" s="238" t="n">
        <f aca="false">MONTH(A284)</f>
        <v>8</v>
      </c>
      <c r="D284" s="1572" t="e">
        <f aca="false">IF(E284="","",Holiday(B284,C284))</f>
        <v>#VALUE!</v>
      </c>
      <c r="E284" s="1573" t="n">
        <f aca="false">IF(OR(BegDate&gt;=A285,EndDate&lt;A284,AND(VolumeMonthlyOverFlag,INDEX(VolumeMonthlyOver,C284)=0),NOT(INDEX(MonthKnockOutTable,C284))),"",MAX(A284,BegDate))</f>
        <v>44774</v>
      </c>
      <c r="F284" s="1574" t="n">
        <f aca="false">IF(E284="","",MIN(A285-1,EndDate))</f>
        <v>44804</v>
      </c>
      <c r="G284" s="1575" t="n">
        <v>0</v>
      </c>
      <c r="H284" s="1576" t="n">
        <f aca="false">(1+G284/2)^(-2*(DATE(B285,C285,20)-DateToday)/365.25)</f>
        <v>1</v>
      </c>
      <c r="I284" s="1568" t="n">
        <f aca="false">IF(Assumptions!$L$25=4,VLOOKUP($A284,'Henwood Reference'!$E$9:$R$320,10),(VLOOKUP($A284,PriceTable,2,0)+IF(BasisNumber&lt;&gt;1,VLOOKUP($A284,BasisTable,2,0),0)+I$1)/(1-I$2))</f>
        <v>92.5446620621504</v>
      </c>
      <c r="J284" s="1568" t="n">
        <f aca="false">IF(Assumptions!$L$25=4,VLOOKUP($A284,'Henwood Reference'!$E$9:$R$320,10),(VLOOKUP($A284,PriceTable,3,0)+IF(BasisNumber&lt;&gt;1,VLOOKUP($A284,BasisTable,2,0),0)+J$1)/(1-J$2))</f>
        <v>92.5446620621504</v>
      </c>
      <c r="K284" s="1568" t="n">
        <f aca="false">IF(Assumptions!$L$25=4,VLOOKUP($A284,'Henwood Reference'!$E$9:$R$320,10),(VLOOKUP($A284,PriceTable,4,0)+IF(BasisNumber&lt;&gt;1,VLOOKUP($A284,BasisTable,2,0),0)+K$1)/(1-K$2))</f>
        <v>92.5446620621504</v>
      </c>
      <c r="L284" s="1523" t="n">
        <f aca="false">IF(Assumptions!$L$25=4,VLOOKUP($A284,'Henwood Reference'!$E$9:$R$320,10),(VLOOKUP($A284,PriceTableWeekend,2,0)+IF(BasisNumber&lt;&gt;1,VLOOKUP($A284,BasisTable,2,0),0)+L$1)/(1-L$2))</f>
        <v>92.5446620621504</v>
      </c>
      <c r="M284" s="1568" t="n">
        <f aca="false">IF(Assumptions!$L$25=4,VLOOKUP($A284,'Henwood Reference'!$E$9:$R$320,10),(VLOOKUP($A284,PriceTableWeekend,3,0)+IF(BasisNumber&lt;&gt;1,VLOOKUP($A284,BasisTable,2,0),0)+M$1)/(1-M$2))</f>
        <v>92.5446620621504</v>
      </c>
      <c r="N284" s="1599" t="n">
        <f aca="false">IF(Assumptions!$L$25=4,VLOOKUP($A284,'Henwood Reference'!$E$9:$R$320,10),(VLOOKUP($A284,PriceTableWeekend,4,0)+IF(BasisNumber&lt;&gt;1,VLOOKUP($A284,BasisTable,2,0),0)+N$1)/(1-N$2))</f>
        <v>92.5446620621504</v>
      </c>
      <c r="O284" s="1568" t="n">
        <f aca="false">IF(Assumptions!$L$25=4,VLOOKUP($A284,'Henwood Reference'!$E$9:$R$320,11),(VLOOKUP($A284,PriceTableWeekend,6,0)+IF(BasisNumber&lt;&gt;1,VLOOKUP($A284,BasisTable,3,0),0)+O$1)/(1-O$2))</f>
        <v>38.0250705803706</v>
      </c>
      <c r="P284" s="1568" t="n">
        <f aca="false">IF(Assumptions!$L$25=4,VLOOKUP($A284,'Henwood Reference'!$E$9:$R$320,11),(VLOOKUP($A284,PriceTableWeekend,7,0)+IF(BasisNumber&lt;&gt;1,VLOOKUP($A284,BasisTable,3,0),0)+P$1)/(1-P$2))</f>
        <v>38.0250705803706</v>
      </c>
      <c r="Q284" s="1599" t="n">
        <f aca="false">IF(Assumptions!$L$25=4,VLOOKUP($A284,'Henwood Reference'!$E$9:$R$320,11),(VLOOKUP($A284,PriceTableWeekend,8,0)+IF(BasisNumber&lt;&gt;1,VLOOKUP($A284,BasisTable,3,0),0)+Q$1)/(1-Q$2))</f>
        <v>38.0250705803706</v>
      </c>
      <c r="R284" s="1568" t="n">
        <f aca="false">IF(Assumptions!$L$25=4,VLOOKUP($A284,'Henwood Reference'!$E$9:$R$320,11),(VLOOKUP($A284,PriceTable,6,0)+IF(BasisNumber&lt;&gt;1,VLOOKUP($A284,BasisTable,3,0),0)+R$1)/(1-R$2))</f>
        <v>38.0250705803706</v>
      </c>
      <c r="S284" s="1568" t="n">
        <f aca="false">IF(Assumptions!$L$25=4,VLOOKUP($A284,'Henwood Reference'!$E$9:$R$320,11),(VLOOKUP($A284,PriceTable,7,0)+IF(BasisNumber&lt;&gt;1,VLOOKUP($A284,BasisTable,3,0),0)+S$1)/(1-S$2))</f>
        <v>38.0250705803706</v>
      </c>
      <c r="T284" s="1600" t="n">
        <f aca="false">IF(Assumptions!$L$25=4,VLOOKUP($A284,'Henwood Reference'!$E$9:$R$320,11),(VLOOKUP($A284,PriceTable,8,0)+IF(BasisNumber&lt;&gt;1,VLOOKUP($A284,BasisTable,3,0),0)+T$1)/(1-T$2))</f>
        <v>38.0250705803706</v>
      </c>
      <c r="U284" s="1513" t="n">
        <f aca="false">VLOOKUP($A284,VolatilityTable,14)</f>
        <v>0.09</v>
      </c>
      <c r="V284" s="1513" t="n">
        <f aca="false">VLOOKUP($A284,VolatilityTable,15)</f>
        <v>0.1</v>
      </c>
      <c r="W284" s="1514" t="n">
        <f aca="false">VLOOKUP($A284,VolatilityTable,16)</f>
        <v>0.11</v>
      </c>
      <c r="X284" s="1513" t="n">
        <f aca="false">VLOOKUP($A284,VolatilityTable,14)</f>
        <v>0.09</v>
      </c>
      <c r="Y284" s="1513" t="n">
        <f aca="false">VLOOKUP($A284,VolatilityTable,15)</f>
        <v>0.1</v>
      </c>
      <c r="Z284" s="1514" t="n">
        <f aca="false">VLOOKUP($A284,VolatilityTable,16)</f>
        <v>0.11</v>
      </c>
      <c r="AA284" s="1513" t="n">
        <f aca="false">VLOOKUP($A284,VolatilityTable,18)</f>
        <v>0.09</v>
      </c>
      <c r="AB284" s="1513" t="n">
        <f aca="false">VLOOKUP($A284,VolatilityTable,19)</f>
        <v>0.11</v>
      </c>
      <c r="AC284" s="1514" t="n">
        <f aca="false">VLOOKUP($A284,VolatilityTable,20)</f>
        <v>0.13</v>
      </c>
      <c r="AD284" s="1513" t="n">
        <f aca="false">VLOOKUP($A284,VolatilityTable,18)</f>
        <v>0.09</v>
      </c>
      <c r="AE284" s="1513" t="n">
        <f aca="false">VLOOKUP($A284,VolatilityTable,19)</f>
        <v>0.11</v>
      </c>
      <c r="AF284" s="1514" t="n">
        <f aca="false">VLOOKUP($A284,VolatilityTable,20)</f>
        <v>0.13</v>
      </c>
      <c r="AG284" s="1513" t="n">
        <f aca="false">VLOOKUP($A284,VolatilityTable,22)</f>
        <v>-0.35</v>
      </c>
      <c r="AH284" s="1513" t="n">
        <f aca="false">VLOOKUP($A284,VolatilityTable,23)</f>
        <v>0.65</v>
      </c>
      <c r="AI284" s="1514" t="n">
        <f aca="false">VLOOKUP($A284,VolatilityTable,24)</f>
        <v>0.35</v>
      </c>
      <c r="AJ284" s="1513" t="n">
        <f aca="false">VLOOKUP($A284,VolatilityTable,22)</f>
        <v>-0.35</v>
      </c>
      <c r="AK284" s="1513" t="n">
        <f aca="false">VLOOKUP($A284,VolatilityTable,23)</f>
        <v>0.65</v>
      </c>
      <c r="AL284" s="1514" t="n">
        <f aca="false">VLOOKUP($A284,VolatilityTable,24)</f>
        <v>0.35</v>
      </c>
      <c r="AM284" s="1513" t="n">
        <f aca="false">VLOOKUP($A284,VolatilityTable,26)</f>
        <v>-0.01</v>
      </c>
      <c r="AN284" s="1513" t="n">
        <f aca="false">VLOOKUP($A284,VolatilityTable,27)</f>
        <v>0.16</v>
      </c>
      <c r="AO284" s="1514" t="n">
        <f aca="false">VLOOKUP($A284,VolatilityTable,28)</f>
        <v>0.01</v>
      </c>
      <c r="AP284" s="1513" t="n">
        <f aca="false">VLOOKUP($A284,VolatilityTable,26)</f>
        <v>-0.01</v>
      </c>
      <c r="AQ284" s="1513" t="n">
        <f aca="false">VLOOKUP($A284,VolatilityTable,27)</f>
        <v>0.16</v>
      </c>
      <c r="AR284" s="1515" t="n">
        <f aca="false">VLOOKUP($A284,VolatilityTable,28)</f>
        <v>0.01</v>
      </c>
      <c r="AS284" s="1581" t="n">
        <f aca="false">IF(CorrPeakOffPeakOverFlag,INDEX(CorrPeakOffPeakOver,C284),CorrPeakOffPeak)</f>
        <v>0.5</v>
      </c>
      <c r="AT284" s="594" t="e">
        <f aca="false">AX284-SUM(AU284:AW284)</f>
        <v>#VALUE!</v>
      </c>
      <c r="AU284" s="238" t="e">
        <f aca="false">IF(E284="",0,INT((F284-MOD(F284,7)-E284)/7)+1-IF(AW284,IF(WEEKDAY(D284)=7,1,0),0))</f>
        <v>#VALUE!</v>
      </c>
      <c r="AV284" s="238" t="e">
        <f aca="false">IF(E284="",0,INT((F284-MOD(F284-1,7)-E284)/7)+1-IF(AW284,IF(WEEKDAY(D284)=1,1,0),0))</f>
        <v>#VALUE!</v>
      </c>
      <c r="AW284" s="238" t="e">
        <f aca="false">IF(OR(E284="",D284="",D284&lt;BegDate,D284&gt;EndDate),0,1)</f>
        <v>#VALUE!</v>
      </c>
      <c r="AX284" s="238" t="n">
        <f aca="false">IF(E284="",0,F284-E284+1)</f>
        <v>31</v>
      </c>
      <c r="AY284" s="1582" t="n">
        <f aca="false">IF(E284="",0,MIN((1-(1-VLOOKUP(B284,MAIN!$AA$7:$AM$28,C284+1))*(1-VLOOKUP(B284,MAIN!$AA$33:$AM$54,C284+1))),1))</f>
        <v>0.03</v>
      </c>
      <c r="AZ284" s="1519" t="e">
        <v>#VALUE!</v>
      </c>
      <c r="BA284" s="1520" t="e">
        <v>#VALUE!</v>
      </c>
      <c r="BB284" s="1520" t="e">
        <v>#VALUE!</v>
      </c>
      <c r="BC284" s="1583" t="e">
        <v>#VALUE!</v>
      </c>
      <c r="BD284" s="1522" t="e">
        <v>#VALUE!</v>
      </c>
      <c r="BE284" s="1523" t="e">
        <v>#VALUE!</v>
      </c>
      <c r="BF284" s="1523" t="e">
        <v>#VALUE!</v>
      </c>
      <c r="BG284" s="1584" t="e">
        <v>#VALUE!</v>
      </c>
      <c r="BH284" s="1525" t="e">
        <v>#VALUE!</v>
      </c>
      <c r="BI284" s="1520" t="e">
        <v>#VALUE!</v>
      </c>
      <c r="BJ284" s="1520" t="e">
        <v>#VALUE!</v>
      </c>
      <c r="BK284" s="1583" t="e">
        <v>#VALUE!</v>
      </c>
      <c r="BL284" s="1522" t="e">
        <v>#VALUE!</v>
      </c>
      <c r="BM284" s="1523" t="e">
        <v>#VALUE!</v>
      </c>
      <c r="BN284" s="1523" t="e">
        <v>#VALUE!</v>
      </c>
      <c r="BO284" s="1523" t="e">
        <v>#VALUE!</v>
      </c>
      <c r="BP284" s="1525" t="e">
        <f aca="false">SUM(AZ284:BB284)</f>
        <v>#VALUE!</v>
      </c>
      <c r="BQ284" s="1529" t="e">
        <f aca="false">SUM(AZ284:BC284)</f>
        <v>#VALUE!</v>
      </c>
      <c r="BR284" s="1519" t="e">
        <f aca="false">SUM(BH284:BJ284)</f>
        <v>#VALUE!</v>
      </c>
      <c r="BS284" s="1529" t="e">
        <f aca="false">SUM(BH284:BK284)</f>
        <v>#VALUE!</v>
      </c>
      <c r="BT284" s="1316" t="n">
        <f aca="false">(IF(OVolType&lt;&gt;2,A284+14,IF(OptExpDateShift,ShiftBack(A284,OptExpDateShift,D283),A284))-DateToday)/365.25</f>
        <v>22.2970568104038</v>
      </c>
      <c r="BU284" s="1585" t="e">
        <f aca="false">IF(BQ284,IF(OPriceCurve,IF(OBuySell=OCallPut,I284/(1-AY284),K284/(1-AY284)),J284/(1-AY284))*BD284,0)</f>
        <v>#VALUE!</v>
      </c>
      <c r="BV284" s="1316" t="e">
        <f aca="false">IF(BQ284,IF(OPriceCurve,IF(OBuySell=OCallPut,L284/(1-AY284),N284/(1-AY284)),M284/(1-AY284))*BE284,0)</f>
        <v>#VALUE!</v>
      </c>
      <c r="BW284" s="1316" t="e">
        <f aca="false">IF(BQ284,IF(OPriceCurve,IF(OBuySell=OCallPut,O284/(1-AY284),Q284/(1-AY284)),P284/(1-AY284))*BF284,0)</f>
        <v>#VALUE!</v>
      </c>
      <c r="BX284" s="1316" t="e">
        <f aca="false">IF(BQ284,IF(OPriceCurve,IF(OBuySell=OCallPut,R284/(1-AY284),T284/(1-AY284)),S284/(1-AY284))*BG284,0)</f>
        <v>#VALUE!</v>
      </c>
      <c r="BY284" s="1316" t="e">
        <f aca="false">IF(BP284,(BU284*AZ284+BV284*BA284+BW284*BB284)/BP284,0)</f>
        <v>#VALUE!</v>
      </c>
      <c r="BZ284" s="1316" t="e">
        <f aca="false">IF(BQ284,(BY284*BP284+BX284*BC284)/BQ284,0)</f>
        <v>#VALUE!</v>
      </c>
      <c r="CA284" s="1531" t="e">
        <f aca="false">IF(BS284,IF(OPriceCurve,IF(OBuySell=OCallPut,I284/(1-AY284),K284/(1-AY284)),J284/(1-AY284))*BL284,0)</f>
        <v>#VALUE!</v>
      </c>
      <c r="CB284" s="1316" t="e">
        <f aca="false">IF(BS284,IF(OPriceCurve,IF(OBuySell=OCallPut,L284/(1-AY284),N284/(1-AY284)),M284/(1-AY284))*BM284,0)</f>
        <v>#VALUE!</v>
      </c>
      <c r="CC284" s="1316" t="e">
        <f aca="false">IF(BS284,IF(OPriceCurve,IF(OBuySell=OCallPut,O284/(1-AY284),Q284/(1-AY284)),P284/(1-AY284))*BN284,0)</f>
        <v>#VALUE!</v>
      </c>
      <c r="CD284" s="1316" t="e">
        <f aca="false">IF(BS284,IF(OPriceCurve,IF(OBuySell=OCallPut,R284/(1-AY284),T284/(1-AY284)),S284/(1-AY284))*BO284,0)</f>
        <v>#VALUE!</v>
      </c>
      <c r="CE284" s="1316" t="e">
        <f aca="false">IF(BR284,(BU284*BH284+BV284*BI284+BW284*BJ284)/BR284,0)</f>
        <v>#VALUE!</v>
      </c>
      <c r="CF284" s="1532" t="e">
        <f aca="false">IF(BS284,(CE284*BR284+CD284*BK284)/BS284,0)</f>
        <v>#VALUE!</v>
      </c>
      <c r="CG284" s="1586" t="e">
        <f aca="false">IF(OR(BQ284,BS284),IF(OVolType&lt;&gt;2,SQRT(IF(OVolOverMonthlyPeak,OVolOverMonthlyPeak,IF(OVolCurve,IF(OBuySell,U284,W284),V284))^2*(1-15/365.25/BT284)+IF(OVolOverDailyPeak,OVolOverDailyPeak,IF(OVolCurve,IF(OBuySell,AG284,AI284),AH284))^2*15/365.25/BT284),IF(OVolOverMonthlyPeak,OVolOverMonthlyPeak,IF(OVolCurve,IF(OBuySell,U284,W284),V284))),"")</f>
        <v>#VALUE!</v>
      </c>
      <c r="CH284" s="1587" t="e">
        <f aca="false">IF(OR(BQ284,BS284),IF(OVolType&lt;&gt;2,SQRT(IF(OVolOverMonthlyPeak,OVolOverMonthlyPeak,IF(OVolCurve,IF(OBuySell,X284,Z284),Y284))^2*(1-15/365.25/BT284)+IF(OVolOverDailyPeak,OVolOverDailyPeak,IF(OVolCurve,IF(OBuySell,AJ284,AL284),AK284))^2*15/365.25/BT284),IF(OVolOverMonthlyPeak,OVolOverMonthlyPeak,IF(OVolCurve,IF(OBuySell,X284,Z284),Y284))),"")</f>
        <v>#VALUE!</v>
      </c>
      <c r="CI284" s="1587" t="e">
        <f aca="false">IF(OR(BQ284,BS284),IF(OVolType&lt;&gt;2,SQRT(IF(OVolOverMonthlyPeak,OVolOverMonthlyPeak,IF(OVolCurve,IF(OBuySell,AA284,AC284),AB284))^2*(1-15/365.25/BT284)+IF(OVolOverDailyPeak,OVolOverDailyPeak,IF(OVolCurve,IF(OBuySell,AM284,AO284),AN284))^2*15/365.25/BT284),IF(OVolOverMonthlyPeak,OVolOverMonthlyPeak,IF(OVolCurve,IF(OBuySell,AA284,AC284),AB284))),"")</f>
        <v>#VALUE!</v>
      </c>
      <c r="CJ284" s="1587" t="e">
        <f aca="false">IF(BQ284,IF(BP284,SQRT(LN(1+((BU284*AZ284)^2*(EXP(CG284^2*BT284)-1)+(BV284*BA284)^2*(EXP(CH284^2*BT284)-1)+(BW284*BB284)^2*(EXP(CI284^2*BT284)-1)+2*BU284*AZ284*BV284*BA284*(EXP(CG284*CH284*BT284)-1)+2*BV284*BA284*BW284*BB284*(EXP(CH284*CI284*BT284)-1)+2*BW284*BB284*BU284*AZ284*(EXP(CI284*CG284*BT284)-1))/(BY284*BP284)^2)/BT284),0),"")</f>
        <v>#VALUE!</v>
      </c>
      <c r="CK284" s="1587" t="e">
        <f aca="false">IF(BS284,IF(BR284,SQRT(LN(1+((CA284*BH284)^2*(EXP(CG284^2*BT284)-1)+(CB284*BI284)^2*(EXP(CH284^2*BT284)-1)+(CC284*BJ284)^2*(EXP(CI284^2*BT284)-1)+2*CA284*BH284*CB284*BI284*(EXP(CG284*CH284*BT284)-1)+2*CB284*BI284*CC284*BJ284*(EXP(CH284*CI284*BT284)-1)+2*CC284*BJ284*CA284*BH284*(EXP(CI284*CG284*BT284)-1))/(CE284*BR284)^2)/BT284),0),"")</f>
        <v>#VALUE!</v>
      </c>
      <c r="CL284" s="1587" t="e">
        <f aca="false">IF(OR(BQ284,BS284),IF(OVolType&lt;&gt;2,SQRT(IF(OVolOverMonthlyOffPeak,OVolOverMonthlyOffPeak,IF(OVolCurve,IF(OBuySell,AD284,AF284),AE284))^2*(1-15/365.25/BT284)+IF(OVolOverDailyOffPeak,OVolOverDailyOffPeak,IF(OVolCurve,IF(OBuySell,AP284,AR284),AQ284))^2*15/365.25/BT284),IF(OVolOverMonthlyOffPeak,OVolOverMonthlyOffPeak,IF(OVolCurve,IF(OBuySell,AD284,AF284),AE284))),"")</f>
        <v>#VALUE!</v>
      </c>
      <c r="CM284" s="1587" t="e">
        <f aca="false">IF(BQ284,SQRT(LN(1+((BY284*BP284)^2*(EXP(CJ284^2*BT284)-1)+(BX284*BC284)^2*(EXP(CL284^2*BT284)-1)+2*BY284*BP284*BX284*BC284*(EXP(AS284*CJ284*CL284*BT284)-1))/(BY284*BP284+BX284*BC284)^2)/BT284),"")</f>
        <v>#VALUE!</v>
      </c>
      <c r="CN284" s="1588" t="e">
        <f aca="false">IF(BS284,SQRT(LN(1+((CE284*BR284)^2*(EXP(CK284^2*BT284)-1)+(CD284*BK284)^2*(EXP(CL284^2*BT284)-1)+2*CE284*BR284*CD284*BK284*(EXP(AS284*CK284*CL284*BT284)-1))/(CE284*BR284+CD284*BK284)^2)/BT284),"")</f>
        <v>#VALUE!</v>
      </c>
      <c r="CO284" s="1531" t="e">
        <f aca="false">IF(OR(BQ284,BS284),VLOOKUP(A284,GasTable,13)*HeatRatePeak*(1+VLOOKUP($B284,HeatRateDegradation,$C284+1))/1000,0)</f>
        <v>#VALUE!</v>
      </c>
      <c r="CP284" s="1316" t="e">
        <f aca="false">IF(OR(BQ284,BS284),VLOOKUP(A284,GasTable,13)*HeatRatePeak*(1+VLOOKUP($B284,HeatRateDegradation,$C284+1))/1000,0)</f>
        <v>#VALUE!</v>
      </c>
      <c r="CQ284" s="1316" t="e">
        <f aca="false">IF(OR(BQ284,BS284),VLOOKUP(A284,GasTable,13)*IF(EV284,HeatRatePeak,HeatRateOffPeak)*(1+VLOOKUP($B284,HeatRateDegradation,$C284+1))/1000,0)</f>
        <v>#VALUE!</v>
      </c>
      <c r="CR284" s="1316" t="e">
        <f aca="false">IF(OR(BQ284,BS284),VLOOKUP(A284,GasTable,13)*IF(EW284,HeatRatePeak,HeatRateOffPeak)*(1+VLOOKUP($B284,HeatRateDegradation,$C284+1))/1000,0)</f>
        <v>#VALUE!</v>
      </c>
      <c r="CS284" s="1589" t="e">
        <f aca="false">IF(BQ284,(CO284*AZ284+CP284*BA284+CQ284*BB284+CR284*BC284)/BQ284,0)</f>
        <v>#VALUE!</v>
      </c>
      <c r="CT284" s="1316" t="e">
        <f aca="false">IF(BS284,CO284,0)</f>
        <v>#VALUE!</v>
      </c>
      <c r="CU284" s="1590" t="e">
        <f aca="false">IF(OR(BQ284,BS284),VLOOKUP(A284,GasTable,14),"")</f>
        <v>#VALUE!</v>
      </c>
      <c r="CV284" s="1568" t="e">
        <f aca="false">IF(OR(BQ284,BS284),IF(CorrPowerGasOverFlag,INDEX(CorrPowerGasOver,C284),CorrPowerGas),"")</f>
        <v>#VALUE!</v>
      </c>
      <c r="CW284" s="1316" t="e">
        <f aca="false">IF(OR($BQ284,$BS284),SpreadOptPowerMargin,0)*((1+Assumptions!$C$26)^($B284-YEAR(Assumptions!$C$17)))</f>
        <v>#VALUE!</v>
      </c>
      <c r="CX284" s="1316" t="e">
        <f aca="false">IF(OR($BQ284,$BS284),SpreadOptPowerMargin,0)*((1+Assumptions!$C$26)^($B284-YEAR(Assumptions!$C$17)))</f>
        <v>#VALUE!</v>
      </c>
      <c r="CY284" s="1316" t="e">
        <f aca="false">IF(OR($BQ284,$BS284),SpreadOptPowerMargin,0)*((1+Assumptions!$C$26)^($B284-YEAR(Assumptions!$C$17)))</f>
        <v>#VALUE!</v>
      </c>
      <c r="CZ284" s="1316" t="e">
        <f aca="false">IF(OR($BQ284,$BS284),SpreadOptPowerMargin,0)*((1+Assumptions!$C$26)^($B284-YEAR(Assumptions!$C$17)))</f>
        <v>#VALUE!</v>
      </c>
      <c r="DA284" s="1591" t="e">
        <f aca="false">IF(OR(BQ284,BS284),(CW284*(AZ284+BH284)+CX284*(BA284+BI284)+CY284*(BB284+BJ284)+CZ284*(BC284+BK284))/(BQ284+BS284),0)</f>
        <v>#VALUE!</v>
      </c>
      <c r="DB284" s="1592" t="e">
        <f aca="false">IF(OR(BQ284,BS284),CG284+IF(OVolSmile,VLOOKUP(MAX(-5,CO284+CW284-BU284),IF(OVolSmile=1,VolSmileBook,VolSmileModel),2),0),"")</f>
        <v>#VALUE!</v>
      </c>
      <c r="DC284" s="1592" t="e">
        <f aca="false">IF(OR(BQ284,BS284),CH284+IF(OVolSmile,VLOOKUP(MAX(-5,CP284+CW284-BV284),IF(OVolSmile=1,VolSmileBook,VolSmileModel),2),0),"")</f>
        <v>#VALUE!</v>
      </c>
      <c r="DD284" s="1592" t="e">
        <f aca="false">IF(OR(BQ284,BS284),CI284+IF(OVolSmile,VLOOKUP(MAX(-5,CQ284+CW284-BW284),IF(OVolSmile=1,VolSmileBook,VolSmileModel),2),0),"")</f>
        <v>#VALUE!</v>
      </c>
      <c r="DE284" s="1592" t="e">
        <f aca="false">IF(OR(BQ284,BS284),CL284+IF(OVolSmile,VLOOKUP(MAX(-5,CR284+CZ284-BX284),IF(OVolSmile=1,VolSmileBook,VolSmileModel),2),0),"")</f>
        <v>#VALUE!</v>
      </c>
      <c r="DF284" s="1592" t="e">
        <f aca="false">IF(BQ284,CM284+IF(OVolSmile,VLOOKUP(MAX(-5,CS284+DA284-BZ284),IF(OVolSmile=1,VolSmileBook,VolSmileModel),2),0),"")</f>
        <v>#VALUE!</v>
      </c>
      <c r="DG284" s="1593" t="e">
        <f aca="false">IF(BS284,CN284+IF(OVolSmile,VLOOKUP(MAX(-5,CT284+DA284-CF284),IF(OVolSmile=1,VolSmileBook,VolSmileModel),2),0),"")</f>
        <v>#VALUE!</v>
      </c>
      <c r="DH284" s="1316" t="e">
        <f aca="false">IF(AND(BU284&gt;0,CO284&gt;0,DB284&gt;0,CU284&gt;0),newSPRDOPT(BU284,CO284,CW284,0,DB284,CU284,CV284,BT284*365.25,OCallPut,0),0)</f>
        <v>#VALUE!</v>
      </c>
      <c r="DI284" s="1316" t="e">
        <f aca="false">IF(AND(BV284&gt;0,CP284&gt;0,DC284&gt;0,CU284&gt;0),newSPRDOPT(BV284,CP284,CX284,0,DC284,CU284,CV284,BT284*365.25,OCallPut,0),0)</f>
        <v>#VALUE!</v>
      </c>
      <c r="DJ284" s="1316" t="e">
        <f aca="false">IF(AND(BW284&gt;0,CQ284&gt;0,DD284&gt;0,CU284&gt;0),newSPRDOPT(BW284,CQ284,CY284,0,DD284,CU284,CV284,BT284*365.25,OCallPut,0),0)</f>
        <v>#VALUE!</v>
      </c>
      <c r="DK284" s="1316" t="e">
        <f aca="false">IF(AND(BX284&gt;0,CR284&gt;0,DE284&gt;0,CU284&gt;0),newSPRDOPT(BX284,CR284,CZ284,0,DE284,CU284,CV284,BT284*365.25,OCallPut,0),0)</f>
        <v>#VALUE!</v>
      </c>
      <c r="DL284" s="1316" t="e">
        <f aca="false">IF(OVolType,IF(AND(BZ284&gt;0,CS284&gt;0,DF284&gt;0,CU284&gt;0),newSPRDOPT(BZ284,CS284,DA284,0,DF284,CU284,CV284,BT284*365.25,OCallPut,0),0),IF(BQ284,(DH284*AZ284+DI284*BA284+DJ284*BB284+DK284*BC284)/BQ284,0))</f>
        <v>#VALUE!</v>
      </c>
      <c r="DM284" s="1316"/>
      <c r="DN284" s="1316"/>
      <c r="DO284" s="1316"/>
      <c r="DP284" s="1316"/>
      <c r="DQ284" s="1316"/>
      <c r="DR284" s="1316"/>
      <c r="DS284" s="1316"/>
      <c r="DT284" s="1316"/>
      <c r="DU284" s="1316"/>
      <c r="DV284" s="1316"/>
      <c r="DW284" s="1594" t="e">
        <f aca="false">IF(AND(BW284&gt;0,CT284&gt;0,DD284&gt;0,CU284&gt;0),newSPRDOPT(BW284,CT284,CY284,0,DD284,CU284,CV284,BT284*365.25,OCallPut,0),0)</f>
        <v>#VALUE!</v>
      </c>
      <c r="DX284" s="1316" t="e">
        <f aca="false">IF(AND(BX284&gt;0,CT284&gt;0,DE284&gt;0,CU284&gt;0),newSPRDOPT(BX284,CT284,CZ284,0,DE284,CU284,CV284,BT284*365.25,OCallPut,0),0)</f>
        <v>#VALUE!</v>
      </c>
      <c r="DY284" s="1591" t="e">
        <f aca="false">IF(BS284,(DH284*BH284+DI284*BI284+DW284*BJ284+DX284*BK284)/BS284,0)</f>
        <v>#VALUE!</v>
      </c>
      <c r="DZ284" s="1551" t="e">
        <f aca="false">DH284*AZ284</f>
        <v>#VALUE!</v>
      </c>
      <c r="EA284" s="1551" t="e">
        <f aca="false">DI284*BA284</f>
        <v>#VALUE!</v>
      </c>
      <c r="EB284" s="1551" t="e">
        <f aca="false">DJ284*BB284</f>
        <v>#VALUE!</v>
      </c>
      <c r="EC284" s="1551" t="e">
        <f aca="false">DK284*BC284</f>
        <v>#VALUE!</v>
      </c>
      <c r="ED284" s="1551" t="e">
        <f aca="false">DL284*BQ284</f>
        <v>#VALUE!</v>
      </c>
      <c r="EE284" s="1595" t="e">
        <f aca="false">IF(BQ284,IF(OCallPut,IF(BU284&gt;(CO284+CW284),BU284-(CO284+CW284),0),IF((CO284+CW284)&gt;BU284,(CO284+CW284)-BU284,0))*AZ284,0)</f>
        <v>#VALUE!</v>
      </c>
      <c r="EF284" s="1596" t="e">
        <f aca="false">IF(BQ284,IF(OCallPut,IF(BV284&gt;(CP284+CX284),BV284-(CP284+CX284),0),IF((CP284+CX284)&gt;BV284,(CP284+CX284)-BV284,0))*BA284,0)</f>
        <v>#VALUE!</v>
      </c>
      <c r="EG284" s="1596" t="e">
        <f aca="false">IF(BQ284,IF(OCallPut,IF(BW284&gt;(CQ284+CY284),BW284-(CQ284+CY284),0),IF((CQ284+CY284)&gt;BW284,(CQ284+CY284)-BW284,0))*BB284,0)</f>
        <v>#VALUE!</v>
      </c>
      <c r="EH284" s="1596" t="e">
        <f aca="false">IF(BQ284,IF(OCallPut,IF(BX284&gt;(CR284+CZ284),BX284-(CR284+CZ284),0),IF((CR284+CZ284)&gt;BX284,(CR284+CZ284)-BX284,0))*BC284,0)</f>
        <v>#VALUE!</v>
      </c>
      <c r="EI284" s="1597" t="e">
        <f aca="false">IF(BQ284,IF(OVolType,IF(OCallPut,IF(BZ284&gt;(CS284+DA284),BZ284-(CS284+DA284),0),IF((CS284+DA284)&gt;BZ284,(CS284+DA284)-BZ284,0))*BQ284,SUM(EE284:EH284)),0)</f>
        <v>#VALUE!</v>
      </c>
      <c r="EJ284" s="1595" t="e">
        <f aca="false">DZ284-EE284</f>
        <v>#VALUE!</v>
      </c>
      <c r="EK284" s="1596" t="e">
        <f aca="false">EA284-EF284</f>
        <v>#VALUE!</v>
      </c>
      <c r="EL284" s="1596" t="e">
        <f aca="false">EB284-EG284</f>
        <v>#VALUE!</v>
      </c>
      <c r="EM284" s="1596" t="e">
        <f aca="false">EC284-EH284</f>
        <v>#VALUE!</v>
      </c>
      <c r="EN284" s="1597" t="e">
        <f aca="false">ED284-EI284</f>
        <v>#VALUE!</v>
      </c>
      <c r="EO284" s="1551" t="e">
        <f aca="false">DH284*BH284</f>
        <v>#VALUE!</v>
      </c>
      <c r="EP284" s="1551" t="e">
        <f aca="false">DI284*BI284</f>
        <v>#VALUE!</v>
      </c>
      <c r="EQ284" s="1551" t="e">
        <f aca="false">DW284*BJ284</f>
        <v>#VALUE!</v>
      </c>
      <c r="ER284" s="1551" t="e">
        <f aca="false">DX284*BK284</f>
        <v>#VALUE!</v>
      </c>
      <c r="ES284" s="1551" t="e">
        <f aca="false">DY284*BS284</f>
        <v>#VALUE!</v>
      </c>
      <c r="ET284" s="1566" t="e">
        <f aca="false">IF(EI284,IF(OCallPut,IF(CA284&gt;(CT284+CW284),CA284-(CT284+CW284),0),IF((CT284+CW284)&gt;CA284,(CT284+CW284)-CA284,0))*BH284,0)</f>
        <v>#VALUE!</v>
      </c>
      <c r="EU284" s="1551" t="e">
        <f aca="false">IF(EI284,IF(OCallPut,IF(CB284&gt;(CT284+CX284),CB284-(CT284+CX284),0),IF((CT284+CX284)&gt;CB284,(CT284+CX284)-CB284,0))*BI284,0)</f>
        <v>#VALUE!</v>
      </c>
      <c r="EV284" s="1551" t="e">
        <f aca="false">IF(EI284,IF(OCallPut,IF(CC284&gt;(CT284+CY284),CC284-(CT284+CY284),0),IF((CT284+CY284)&gt;CC284,(CT284+CY284)-CC284,0))*BJ284,0)</f>
        <v>#VALUE!</v>
      </c>
      <c r="EW284" s="1551" t="e">
        <f aca="false">IF(EI284,IF(OCallPut,IF(CD284&gt;(CT284+CZ284),CD284-(CT284+CZ284),0),IF((CT284+CZ284)&gt;CD284,(CT284+CZ284)-CD284,0))*BK284,0)</f>
        <v>#VALUE!</v>
      </c>
      <c r="EX284" s="1558" t="e">
        <f aca="false">IF(EI284,SUM(ET284:EW284),0)</f>
        <v>#VALUE!</v>
      </c>
      <c r="EY284" s="1551" t="e">
        <f aca="false">EO284-ET284</f>
        <v>#VALUE!</v>
      </c>
      <c r="EZ284" s="1551" t="e">
        <f aca="false">EP284-EU284</f>
        <v>#VALUE!</v>
      </c>
      <c r="FA284" s="1551" t="e">
        <f aca="false">EQ284-EV284</f>
        <v>#VALUE!</v>
      </c>
      <c r="FB284" s="1551" t="e">
        <f aca="false">ER284-EW284</f>
        <v>#VALUE!</v>
      </c>
      <c r="FC284" s="1551" t="e">
        <f aca="false">ES284-EX284</f>
        <v>#VALUE!</v>
      </c>
      <c r="FD284" s="1525" t="n">
        <f aca="false">IF(AX284,IF(VLOOKUP(C284,MAIN!$L$17:$M$28,2)="Yes",VLOOKUP(CALC!B284,MAIN!$H$17:$I$20,2),0),0)</f>
        <v>0</v>
      </c>
      <c r="FE284" s="1552" t="e">
        <f aca="false">$FD284*16*AT284*(1-$AY284)</f>
        <v>#VALUE!</v>
      </c>
      <c r="FF284" s="1553" t="e">
        <f aca="false">$FD284*16*AU284*(1-$AY284)</f>
        <v>#VALUE!</v>
      </c>
      <c r="FG284" s="1553" t="e">
        <f aca="false">$FD284*16*(AV284+AW284)*(1-$AY284)</f>
        <v>#VALUE!</v>
      </c>
      <c r="FH284" s="1554" t="n">
        <f aca="false">$FD284*8*AX284*(1-$AY284)</f>
        <v>0</v>
      </c>
      <c r="FI284" s="1555" t="n">
        <f aca="false">IF(AX284,VLOOKUP(CALC!B284,MAIN!$H$17:$K$20,4),0)</f>
        <v>0</v>
      </c>
      <c r="FJ284" s="1553" t="e">
        <f aca="false">SUM(FE284:FH284)</f>
        <v>#VALUE!</v>
      </c>
      <c r="FK284" s="1556" t="e">
        <f aca="false">FI284*FJ284</f>
        <v>#VALUE!</v>
      </c>
      <c r="FL284" s="1551" t="e">
        <f aca="false">IF($EI284&gt;0,MIN(FE284,AZ284*(1+VLOOKUP($C284,WeatherCapacityAdjustment,2))),0)</f>
        <v>#VALUE!</v>
      </c>
      <c r="FM284" s="1551" t="e">
        <f aca="false">IF($EI284&gt;0,MIN(FF284,BA284*(1+VLOOKUP($C284,WeatherCapacityAdjustment,2))),0)</f>
        <v>#VALUE!</v>
      </c>
      <c r="FN284" s="1551" t="e">
        <f aca="false">IF($EI284&gt;0,MIN(FG284,BB284*(1+VLOOKUP($C284,WeatherCapacityAdjustment,2))),0)</f>
        <v>#VALUE!</v>
      </c>
      <c r="FO284" s="1564" t="e">
        <f aca="false">IF($EI284&gt;0,MIN(FH284,BC284*(1+VLOOKUP($C284,WeatherCapacityAdjustment,3))),0)</f>
        <v>#VALUE!</v>
      </c>
      <c r="FP284" s="1551" t="e">
        <f aca="false">IF(ET284&gt;0,MIN(FE284-FL284,BH284*(1+VLOOKUP($C284,WeatherCapacityAdjustment,2))),0)</f>
        <v>#VALUE!</v>
      </c>
      <c r="FQ284" s="1551" t="e">
        <f aca="false">IF(EU284&gt;0,MIN(FF284-FM284,BI284*(1+VLOOKUP($C284,WeatherCapacityAdjustment,2))),0)</f>
        <v>#VALUE!</v>
      </c>
      <c r="FR284" s="1551" t="e">
        <f aca="false">IF(EV284&gt;0,MIN(FG284-FN284,BJ284*(1+VLOOKUP($C284,WeatherCapacityAdjustment,2))),0)</f>
        <v>#VALUE!</v>
      </c>
      <c r="FS284" s="1558" t="e">
        <f aca="false">IF(EW284&gt;0,MIN(FH284-FO284,BK284*(1+VLOOKUP($C284,WeatherCapacityAdjustment,3))),0)</f>
        <v>#VALUE!</v>
      </c>
      <c r="FT284" s="1566" t="e">
        <f aca="false">IF(AND(Assumptions!$H$71="Yes",A284&gt;=Assumptions!$H$72,A284&lt;=Assumptions!$H$73),0,IF(AND($A284&gt;=Assumptions!$C$17,$A284&lt;=Assumptions!$C$18),MAX(AZ284*(1+VLOOKUP($C284,WeatherCapacityAdjustment,2))-FL284,0),0))</f>
        <v>#VALUE!</v>
      </c>
      <c r="FU284" s="1551" t="e">
        <f aca="false">IF(AND(Assumptions!$H$71="Yes",A284&gt;=Assumptions!$H$72,A284&lt;=Assumptions!$H$73),0,IF(AND($A284&gt;=Assumptions!$C$17,$A284&lt;=Assumptions!$C$18),MAX(BA284*(1+VLOOKUP($C284,WeatherCapacityAdjustment,2))-FM284,0),0))</f>
        <v>#VALUE!</v>
      </c>
      <c r="FV284" s="1551" t="e">
        <f aca="false">IF(AND(Assumptions!$H$71="Yes",A284&gt;=Assumptions!$H$72,A284&lt;=Assumptions!$H$73),0,IF(AND($A284&gt;=Assumptions!$C$17,$A284&lt;=Assumptions!$C$18),MAX(BB284*(1+VLOOKUP($C284,WeatherCapacityAdjustment,2))-FN284,0),0))</f>
        <v>#VALUE!</v>
      </c>
      <c r="FW284" s="1564" t="e">
        <f aca="false">IF(AND(Assumptions!$H$71="Yes",A284&gt;=Assumptions!$H$72,A284&lt;=Assumptions!$H$73),0,IF(AND($A284&gt;=Assumptions!$C$17,$A284&lt;=Assumptions!$C$18),MAX(BC284*(1+VLOOKUP($C284,WeatherCapacityAdjustment,3))-FO284,0),0))</f>
        <v>#VALUE!</v>
      </c>
      <c r="FX284" s="1569" t="e">
        <f aca="false">IF(AND(Assumptions!$H$71="Yes",A284&gt;=Assumptions!$H$72,A284&lt;=Assumptions!$H$73),0,IF(ET284&gt;0,MAX(BH284*(1+VLOOKUP($C284,WeatherCapacityAdjustment,2))-FP284,0),0))</f>
        <v>#VALUE!</v>
      </c>
      <c r="FY284" s="1551" t="e">
        <f aca="false">IF(AND(Assumptions!$H$71="Yes",A284&gt;=Assumptions!$H$72,A284&lt;=Assumptions!$H$73),0,IF(EU284&gt;0,MAX(BI284*(1+VLOOKUP($C284,WeatherCapacityAdjustment,3))-FQ284,0),0))</f>
        <v>#VALUE!</v>
      </c>
      <c r="FZ284" s="1551" t="e">
        <f aca="false">IF(AND(Assumptions!$H$71="Yes",A284&gt;=Assumptions!$H$72,A284&lt;=Assumptions!$H$73),0,IF(EV284&gt;0,MAX(BJ284*(1+VLOOKUP($C284,WeatherCapacityAdjustment,2))-FR284,0),0))</f>
        <v>#VALUE!</v>
      </c>
      <c r="GA284" s="1564" t="e">
        <f aca="false">IF(AND(Assumptions!$H$71="Yes",A284&gt;=Assumptions!$H$72,A284&lt;=Assumptions!$H$73),0,IF(EW284&gt;0,MAX(BK284*(1+VLOOKUP($C284,WeatherCapacityAdjustment,2))-FS284,0),0))</f>
        <v>#VALUE!</v>
      </c>
      <c r="GB284" s="1551" t="e">
        <f aca="false">SUM(FT284:GA284)</f>
        <v>#VALUE!</v>
      </c>
      <c r="GC284" s="1563" t="e">
        <f aca="false">+IF(SUM(FT284:GA284)=0,0,(SUMPRODUCT(BU284:BX284,FT284:FW284)+SUMPRODUCT(CA284:CD284,FX284:GA284))/SUM(FT284:GA284))</f>
        <v>#VALUE!</v>
      </c>
      <c r="GD284" s="1551" t="e">
        <f aca="false">(FT284*BU284+FX284*CA284+FU284*BV284+FY284*CB284+FV284*BW284+FZ284*CC284+FW284*BX284+GA284*CD284)</f>
        <v>#VALUE!</v>
      </c>
      <c r="GE284" s="1561" t="e">
        <f aca="false">+IF(BQ284,((FL284+FM284+FT284+FU284)*HeatRatePeak/1000*(1+VLOOKUP($C284,WeatherHeatRateAdjustment,2))+(FN284+FV284)*IF(EV284&gt;0,HeatRatePeak,HeatRateOffPeak)/1000*(1+VLOOKUP($C284,WeatherHeatRateAdjustment,2))+(FO284+FW284)*IF(EW284&gt;0,HeatRatePeak,HeatRateOffPeak)/1000*(1+VLOOKUP($C284,WeatherHeatRateAdjustment,3)))*(1+VLOOKUP($B284,HeatRateDegradation,$C284+1)),0)</f>
        <v>#VALUE!</v>
      </c>
      <c r="GF284" s="1562" t="e">
        <f aca="false">IF(BQ284,((FP284+FQ284+FR284+FX284+FY284+FZ284)*HeatRatePeak/1000*(1+VLOOKUP($C284,WeatherHeatRateAdjustment,2))+(FS284+GA284)*HeatRatePeak/1000*(1+VLOOKUP($C284,WeatherHeatRateAdjustment,3)))*(1+VLOOKUP($B284,HeatRateDegradation,$C284+1)),0)</f>
        <v>#VALUE!</v>
      </c>
      <c r="GG284" s="1563" t="e">
        <f aca="false">IF(BQ284,VLOOKUP(A284,GasTable,13),0)</f>
        <v>#VALUE!</v>
      </c>
      <c r="GH284" s="1564" t="e">
        <f aca="false">(GE284+GF284)*GG284</f>
        <v>#VALUE!</v>
      </c>
      <c r="GI284" s="1569" t="e">
        <f aca="false">GB284</f>
        <v>#VALUE!</v>
      </c>
      <c r="GJ284" s="1598" t="e">
        <f aca="false">+DA284</f>
        <v>#VALUE!</v>
      </c>
      <c r="GK284" s="1558" t="e">
        <f aca="false">+GI284*GJ284</f>
        <v>#VALUE!</v>
      </c>
      <c r="GL284" s="1566" t="e">
        <f aca="false">MAX(FE284-FL284-FP284,0)</f>
        <v>#VALUE!</v>
      </c>
      <c r="GM284" s="1551" t="e">
        <f aca="false">MAX(FF284-FM284-FQ284,0)</f>
        <v>#VALUE!</v>
      </c>
      <c r="GN284" s="1551" t="e">
        <f aca="false">MAX(FG284-FN284-FR284,0)</f>
        <v>#VALUE!</v>
      </c>
      <c r="GO284" s="1564" t="e">
        <f aca="false">MAX(FH284-FO284-FS284,0)</f>
        <v>#VALUE!</v>
      </c>
      <c r="GP284" s="1551" t="e">
        <f aca="false">SUM(GL284:GO284)</f>
        <v>#VALUE!</v>
      </c>
      <c r="GQ284" s="1563" t="e">
        <f aca="false">IF(SUM(GL284:GO284)=0,0,((GL284*BU284+GM284*BV284+GN284*BW284+GO284*BX284)/SUM(GL284:GO284)))</f>
        <v>#VALUE!</v>
      </c>
      <c r="GR284" s="1558" t="e">
        <f aca="false">(GL284*BU284+GM284*BV284+GN284*BW284+GO284*BX284)</f>
        <v>#VALUE!</v>
      </c>
      <c r="GS284" s="1566" t="n">
        <f aca="false">IF($A284&gt;=BegDate,Assumptions!$C$56*24*($A285-$A284)*(1-VLOOKUP($B284,MAIN!$AA$7:$AM$28,$C284+1))*(1-VLOOKUP($B284,MAIN!$AA$33:$AM$54,$C284+1)),0)*80/168</f>
        <v>257742.857142857</v>
      </c>
      <c r="GT284" s="286" t="n">
        <f aca="false">J284</f>
        <v>92.5446620621504</v>
      </c>
      <c r="GU284" s="286" t="n">
        <f aca="false">IF($A284&gt;=BegDate,VLOOKUP($A284,GasTable,13)+Assumptions!$C$58,0)</f>
        <v>4.58711122179671</v>
      </c>
      <c r="GV284" s="286" t="n">
        <f aca="false">GU284*Assumptions!$C$57/1000</f>
        <v>33.2565563580261</v>
      </c>
      <c r="GW284" s="1558" t="n">
        <f aca="false">IF(Assumptions!$C$60="Hourly",MAX(0,GS284*(GT284-GV284)),GS284*(GT284-GV284))</f>
        <v>15281085.7587687</v>
      </c>
      <c r="GX284" s="1566" t="n">
        <f aca="false">IF($A284&gt;=BegDate,Assumptions!$C$56*24*($A285-$A284)*(1-VLOOKUP($B284,MAIN!$AA$7:$AM$28,$C284+1))*(1-VLOOKUP($B284,MAIN!$AA$33:$AM$54,$C284+1)),0)*16/168</f>
        <v>51548.5714285714</v>
      </c>
      <c r="GY284" s="286" t="n">
        <f aca="false">M284</f>
        <v>92.5446620621504</v>
      </c>
      <c r="GZ284" s="286" t="n">
        <f aca="false">IF($A284&gt;=BegDate,VLOOKUP($A284,GasTable,13)+Assumptions!$C$58,0)</f>
        <v>4.58711122179671</v>
      </c>
      <c r="HA284" s="286" t="n">
        <f aca="false">GZ284*Assumptions!$C$57/1000</f>
        <v>33.2565563580261</v>
      </c>
      <c r="HB284" s="1558" t="n">
        <f aca="false">IF(Assumptions!$C$60="Hourly",MAX(0,GX284*(GY284-HA284)),GX284*(GY284-HA284))</f>
        <v>3056217.15175374</v>
      </c>
      <c r="HC284" s="1566" t="n">
        <f aca="false">IF($A284&gt;=BegDate,Assumptions!$C$56*24*($A285-$A284)*(1-VLOOKUP($B284,MAIN!$AA$7:$AM$28,$C284+1))*(1-VLOOKUP($B284,MAIN!$AA$33:$AM$54,$C284+1)),0)*16/168</f>
        <v>51548.5714285714</v>
      </c>
      <c r="HD284" s="286" t="n">
        <f aca="false">P284</f>
        <v>38.0250705803706</v>
      </c>
      <c r="HE284" s="286" t="n">
        <f aca="false">IF($A284&gt;=BegDate,VLOOKUP($A284,GasTable,13)+Assumptions!$C$58,0)</f>
        <v>4.58711122179671</v>
      </c>
      <c r="HF284" s="286" t="n">
        <f aca="false">HE284*Assumptions!$C$57/1000</f>
        <v>33.2565563580261</v>
      </c>
      <c r="HG284" s="1558" t="n">
        <f aca="false">IF(Assumptions!$C$60="Hourly",MAX(0,HC284*(HD284-HF284)),HC284*(HD284-HF284))</f>
        <v>245810.095998685</v>
      </c>
      <c r="HH284" s="1566" t="n">
        <f aca="false">IF($A284&gt;=BegDate,Assumptions!$C$56*24*($A285-$A284)*(1-VLOOKUP($B284,MAIN!$AA$7:$AM$28,$C284+1))*(1-VLOOKUP($B284,MAIN!$AA$33:$AM$54,$C284+1)),0)*56/168</f>
        <v>180420</v>
      </c>
      <c r="HI284" s="286" t="n">
        <f aca="false">S284</f>
        <v>38.0250705803706</v>
      </c>
      <c r="HJ284" s="286" t="n">
        <f aca="false">IF($A284&gt;=BegDate,VLOOKUP($A284,GasTable,13)+Assumptions!$C$58,0)</f>
        <v>4.58711122179671</v>
      </c>
      <c r="HK284" s="286" t="n">
        <f aca="false">HJ284*Assumptions!$C$57/1000</f>
        <v>33.2565563580261</v>
      </c>
      <c r="HL284" s="1558" t="n">
        <f aca="false">IF(Assumptions!$C$60="Hourly",MAX(0,HH284*(HI284-HK284)),HH284*(HI284-HK284))</f>
        <v>860335.335995396</v>
      </c>
      <c r="HM284" s="1566" t="n">
        <f aca="false">IF(AND(Assumptions!$H$71="Yes",A284&gt;=Assumptions!$H$72,A284&lt;=Assumptions!$H$73),Assumptions!$H$74*Assumptions!$C$9*1000,0)</f>
        <v>0</v>
      </c>
      <c r="HN284" s="1551"/>
      <c r="HO284" s="1563"/>
      <c r="HP284" s="1563"/>
      <c r="HQ284" s="1563"/>
      <c r="HR284" s="1563"/>
      <c r="HS284" s="1563"/>
      <c r="HT284" s="1563"/>
      <c r="HU284" s="1563"/>
      <c r="HV284" s="1563"/>
      <c r="HW284" s="1563"/>
      <c r="HX284" s="1563"/>
      <c r="HY284" s="1563"/>
      <c r="HZ284" s="1563"/>
      <c r="IA284" s="1563"/>
      <c r="IB284" s="1563"/>
      <c r="IC284" s="1563"/>
      <c r="ID284" s="1563"/>
      <c r="IE284" s="1563"/>
      <c r="IF284" s="1563"/>
      <c r="IG284" s="1563"/>
      <c r="IH284" s="1563"/>
      <c r="II284" s="1610"/>
      <c r="IJ284" s="1309"/>
      <c r="IK284" s="1309"/>
    </row>
    <row r="285" customFormat="false" ht="12.75" hidden="false" customHeight="false" outlineLevel="0" collapsed="false">
      <c r="A285" s="1571" t="n">
        <f aca="false">EOMONTH(A284,0)+1</f>
        <v>44805</v>
      </c>
      <c r="B285" s="594" t="n">
        <f aca="false">+YEAR(A285)</f>
        <v>2022</v>
      </c>
      <c r="C285" s="238" t="n">
        <f aca="false">MONTH(A285)</f>
        <v>9</v>
      </c>
      <c r="D285" s="1572" t="e">
        <f aca="false">IF(E285="","",Holiday(B285,C285))</f>
        <v>#VALUE!</v>
      </c>
      <c r="E285" s="1573" t="n">
        <f aca="false">IF(OR(BegDate&gt;=A286,EndDate&lt;A285,AND(VolumeMonthlyOverFlag,INDEX(VolumeMonthlyOver,C285)=0),NOT(INDEX(MonthKnockOutTable,C285))),"",MAX(A285,BegDate))</f>
        <v>44805</v>
      </c>
      <c r="F285" s="1574" t="n">
        <f aca="false">IF(E285="","",MIN(A286-1,EndDate))</f>
        <v>44834</v>
      </c>
      <c r="G285" s="1575" t="n">
        <v>0</v>
      </c>
      <c r="H285" s="1576" t="n">
        <f aca="false">(1+G285/2)^(-2*(DATE(B286,C286,20)-DateToday)/365.25)</f>
        <v>1</v>
      </c>
      <c r="I285" s="1568" t="n">
        <f aca="false">IF(Assumptions!$L$25=4,VLOOKUP($A285,'Henwood Reference'!$E$9:$R$320,10),(VLOOKUP($A285,PriceTable,2,0)+IF(BasisNumber&lt;&gt;1,VLOOKUP($A285,BasisTable,2,0),0)+I$1)/(1-I$2))</f>
        <v>77.7188716173768</v>
      </c>
      <c r="J285" s="1568" t="n">
        <f aca="false">IF(Assumptions!$L$25=4,VLOOKUP($A285,'Henwood Reference'!$E$9:$R$320,10),(VLOOKUP($A285,PriceTable,3,0)+IF(BasisNumber&lt;&gt;1,VLOOKUP($A285,BasisTable,2,0),0)+J$1)/(1-J$2))</f>
        <v>77.7188716173768</v>
      </c>
      <c r="K285" s="1568" t="n">
        <f aca="false">IF(Assumptions!$L$25=4,VLOOKUP($A285,'Henwood Reference'!$E$9:$R$320,10),(VLOOKUP($A285,PriceTable,4,0)+IF(BasisNumber&lt;&gt;1,VLOOKUP($A285,BasisTable,2,0),0)+K$1)/(1-K$2))</f>
        <v>77.7188716173768</v>
      </c>
      <c r="L285" s="1523" t="n">
        <f aca="false">IF(Assumptions!$L$25=4,VLOOKUP($A285,'Henwood Reference'!$E$9:$R$320,10),(VLOOKUP($A285,PriceTableWeekend,2,0)+IF(BasisNumber&lt;&gt;1,VLOOKUP($A285,BasisTable,2,0),0)+L$1)/(1-L$2))</f>
        <v>77.7188716173768</v>
      </c>
      <c r="M285" s="1568" t="n">
        <f aca="false">IF(Assumptions!$L$25=4,VLOOKUP($A285,'Henwood Reference'!$E$9:$R$320,10),(VLOOKUP($A285,PriceTableWeekend,3,0)+IF(BasisNumber&lt;&gt;1,VLOOKUP($A285,BasisTable,2,0),0)+M$1)/(1-M$2))</f>
        <v>77.7188716173768</v>
      </c>
      <c r="N285" s="1599" t="n">
        <f aca="false">IF(Assumptions!$L$25=4,VLOOKUP($A285,'Henwood Reference'!$E$9:$R$320,10),(VLOOKUP($A285,PriceTableWeekend,4,0)+IF(BasisNumber&lt;&gt;1,VLOOKUP($A285,BasisTable,2,0),0)+N$1)/(1-N$2))</f>
        <v>77.7188716173768</v>
      </c>
      <c r="O285" s="1568" t="n">
        <f aca="false">IF(Assumptions!$L$25=4,VLOOKUP($A285,'Henwood Reference'!$E$9:$R$320,11),(VLOOKUP($A285,PriceTableWeekend,6,0)+IF(BasisNumber&lt;&gt;1,VLOOKUP($A285,BasisTable,3,0),0)+O$1)/(1-O$2))</f>
        <v>36.6021508913885</v>
      </c>
      <c r="P285" s="1568" t="n">
        <f aca="false">IF(Assumptions!$L$25=4,VLOOKUP($A285,'Henwood Reference'!$E$9:$R$320,11),(VLOOKUP($A285,PriceTableWeekend,7,0)+IF(BasisNumber&lt;&gt;1,VLOOKUP($A285,BasisTable,3,0),0)+P$1)/(1-P$2))</f>
        <v>36.6021508913885</v>
      </c>
      <c r="Q285" s="1599" t="n">
        <f aca="false">IF(Assumptions!$L$25=4,VLOOKUP($A285,'Henwood Reference'!$E$9:$R$320,11),(VLOOKUP($A285,PriceTableWeekend,8,0)+IF(BasisNumber&lt;&gt;1,VLOOKUP($A285,BasisTable,3,0),0)+Q$1)/(1-Q$2))</f>
        <v>36.6021508913885</v>
      </c>
      <c r="R285" s="1568" t="n">
        <f aca="false">IF(Assumptions!$L$25=4,VLOOKUP($A285,'Henwood Reference'!$E$9:$R$320,11),(VLOOKUP($A285,PriceTable,6,0)+IF(BasisNumber&lt;&gt;1,VLOOKUP($A285,BasisTable,3,0),0)+R$1)/(1-R$2))</f>
        <v>36.6021508913885</v>
      </c>
      <c r="S285" s="1568" t="n">
        <f aca="false">IF(Assumptions!$L$25=4,VLOOKUP($A285,'Henwood Reference'!$E$9:$R$320,11),(VLOOKUP($A285,PriceTable,7,0)+IF(BasisNumber&lt;&gt;1,VLOOKUP($A285,BasisTable,3,0),0)+S$1)/(1-S$2))</f>
        <v>36.6021508913885</v>
      </c>
      <c r="T285" s="1600" t="n">
        <f aca="false">IF(Assumptions!$L$25=4,VLOOKUP($A285,'Henwood Reference'!$E$9:$R$320,11),(VLOOKUP($A285,PriceTable,8,0)+IF(BasisNumber&lt;&gt;1,VLOOKUP($A285,BasisTable,3,0),0)+T$1)/(1-T$2))</f>
        <v>36.6021508913885</v>
      </c>
      <c r="U285" s="1513" t="n">
        <f aca="false">VLOOKUP($A285,VolatilityTable,14)</f>
        <v>0.09</v>
      </c>
      <c r="V285" s="1513" t="n">
        <f aca="false">VLOOKUP($A285,VolatilityTable,15)</f>
        <v>0.1</v>
      </c>
      <c r="W285" s="1514" t="n">
        <f aca="false">VLOOKUP($A285,VolatilityTable,16)</f>
        <v>0.11</v>
      </c>
      <c r="X285" s="1513" t="n">
        <f aca="false">VLOOKUP($A285,VolatilityTable,14)</f>
        <v>0.09</v>
      </c>
      <c r="Y285" s="1513" t="n">
        <f aca="false">VLOOKUP($A285,VolatilityTable,15)</f>
        <v>0.1</v>
      </c>
      <c r="Z285" s="1514" t="n">
        <f aca="false">VLOOKUP($A285,VolatilityTable,16)</f>
        <v>0.11</v>
      </c>
      <c r="AA285" s="1513" t="n">
        <f aca="false">VLOOKUP($A285,VolatilityTable,18)</f>
        <v>0.09</v>
      </c>
      <c r="AB285" s="1513" t="n">
        <f aca="false">VLOOKUP($A285,VolatilityTable,19)</f>
        <v>0.11</v>
      </c>
      <c r="AC285" s="1514" t="n">
        <f aca="false">VLOOKUP($A285,VolatilityTable,20)</f>
        <v>0.13</v>
      </c>
      <c r="AD285" s="1513" t="n">
        <f aca="false">VLOOKUP($A285,VolatilityTable,18)</f>
        <v>0.09</v>
      </c>
      <c r="AE285" s="1513" t="n">
        <f aca="false">VLOOKUP($A285,VolatilityTable,19)</f>
        <v>0.11</v>
      </c>
      <c r="AF285" s="1514" t="n">
        <f aca="false">VLOOKUP($A285,VolatilityTable,20)</f>
        <v>0.13</v>
      </c>
      <c r="AG285" s="1513" t="n">
        <f aca="false">VLOOKUP($A285,VolatilityTable,22)</f>
        <v>-0.35</v>
      </c>
      <c r="AH285" s="1513" t="n">
        <f aca="false">VLOOKUP($A285,VolatilityTable,23)</f>
        <v>3</v>
      </c>
      <c r="AI285" s="1514" t="n">
        <f aca="false">VLOOKUP($A285,VolatilityTable,24)</f>
        <v>0.2</v>
      </c>
      <c r="AJ285" s="1513" t="n">
        <f aca="false">VLOOKUP($A285,VolatilityTable,22)</f>
        <v>-0.35</v>
      </c>
      <c r="AK285" s="1513" t="n">
        <f aca="false">VLOOKUP($A285,VolatilityTable,23)</f>
        <v>3</v>
      </c>
      <c r="AL285" s="1514" t="n">
        <f aca="false">VLOOKUP($A285,VolatilityTable,24)</f>
        <v>0.2</v>
      </c>
      <c r="AM285" s="1513" t="n">
        <f aca="false">VLOOKUP($A285,VolatilityTable,26)</f>
        <v>-0.01</v>
      </c>
      <c r="AN285" s="1513" t="n">
        <f aca="false">VLOOKUP($A285,VolatilityTable,27)</f>
        <v>0.16</v>
      </c>
      <c r="AO285" s="1514" t="n">
        <f aca="false">VLOOKUP($A285,VolatilityTable,28)</f>
        <v>0.01</v>
      </c>
      <c r="AP285" s="1513" t="n">
        <f aca="false">VLOOKUP($A285,VolatilityTable,26)</f>
        <v>-0.01</v>
      </c>
      <c r="AQ285" s="1513" t="n">
        <f aca="false">VLOOKUP($A285,VolatilityTable,27)</f>
        <v>0.16</v>
      </c>
      <c r="AR285" s="1515" t="n">
        <f aca="false">VLOOKUP($A285,VolatilityTable,28)</f>
        <v>0.01</v>
      </c>
      <c r="AS285" s="1581" t="n">
        <f aca="false">IF(CorrPeakOffPeakOverFlag,INDEX(CorrPeakOffPeakOver,C285),CorrPeakOffPeak)</f>
        <v>0.5</v>
      </c>
      <c r="AT285" s="594" t="e">
        <f aca="false">AX285-SUM(AU285:AW285)</f>
        <v>#VALUE!</v>
      </c>
      <c r="AU285" s="238" t="e">
        <f aca="false">IF(E285="",0,INT((F285-MOD(F285,7)-E285)/7)+1-IF(AW285,IF(WEEKDAY(D285)=7,1,0),0))</f>
        <v>#VALUE!</v>
      </c>
      <c r="AV285" s="238" t="e">
        <f aca="false">IF(E285="",0,INT((F285-MOD(F285-1,7)-E285)/7)+1-IF(AW285,IF(WEEKDAY(D285)=1,1,0),0))</f>
        <v>#VALUE!</v>
      </c>
      <c r="AW285" s="238" t="e">
        <f aca="false">IF(OR(E285="",D285="",D285&lt;BegDate,D285&gt;EndDate),0,1)</f>
        <v>#VALUE!</v>
      </c>
      <c r="AX285" s="238" t="n">
        <f aca="false">IF(E285="",0,F285-E285+1)</f>
        <v>30</v>
      </c>
      <c r="AY285" s="1582" t="n">
        <f aca="false">IF(E285="",0,MIN((1-(1-VLOOKUP(B285,MAIN!$AA$7:$AM$28,C285+1))*(1-VLOOKUP(B285,MAIN!$AA$33:$AM$54,C285+1))),1))</f>
        <v>0.03</v>
      </c>
      <c r="AZ285" s="1519" t="e">
        <v>#VALUE!</v>
      </c>
      <c r="BA285" s="1520" t="e">
        <v>#VALUE!</v>
      </c>
      <c r="BB285" s="1520" t="e">
        <v>#VALUE!</v>
      </c>
      <c r="BC285" s="1583" t="e">
        <v>#VALUE!</v>
      </c>
      <c r="BD285" s="1522" t="e">
        <v>#VALUE!</v>
      </c>
      <c r="BE285" s="1523" t="e">
        <v>#VALUE!</v>
      </c>
      <c r="BF285" s="1523" t="e">
        <v>#VALUE!</v>
      </c>
      <c r="BG285" s="1584" t="e">
        <v>#VALUE!</v>
      </c>
      <c r="BH285" s="1525" t="e">
        <v>#VALUE!</v>
      </c>
      <c r="BI285" s="1520" t="e">
        <v>#VALUE!</v>
      </c>
      <c r="BJ285" s="1520" t="e">
        <v>#VALUE!</v>
      </c>
      <c r="BK285" s="1583" t="e">
        <v>#VALUE!</v>
      </c>
      <c r="BL285" s="1522" t="e">
        <v>#VALUE!</v>
      </c>
      <c r="BM285" s="1523" t="e">
        <v>#VALUE!</v>
      </c>
      <c r="BN285" s="1523" t="e">
        <v>#VALUE!</v>
      </c>
      <c r="BO285" s="1523" t="e">
        <v>#VALUE!</v>
      </c>
      <c r="BP285" s="1525" t="e">
        <f aca="false">SUM(AZ285:BB285)</f>
        <v>#VALUE!</v>
      </c>
      <c r="BQ285" s="1529" t="e">
        <f aca="false">SUM(AZ285:BC285)</f>
        <v>#VALUE!</v>
      </c>
      <c r="BR285" s="1519" t="e">
        <f aca="false">SUM(BH285:BJ285)</f>
        <v>#VALUE!</v>
      </c>
      <c r="BS285" s="1529" t="e">
        <f aca="false">SUM(BH285:BK285)</f>
        <v>#VALUE!</v>
      </c>
      <c r="BT285" s="1316" t="n">
        <f aca="false">(IF(OVolType&lt;&gt;2,A285+14,IF(OptExpDateShift,ShiftBack(A285,OptExpDateShift,D284),A285))-DateToday)/365.25</f>
        <v>22.3819301848049</v>
      </c>
      <c r="BU285" s="1585" t="e">
        <f aca="false">IF(BQ285,IF(OPriceCurve,IF(OBuySell=OCallPut,I285/(1-AY285),K285/(1-AY285)),J285/(1-AY285))*BD285,0)</f>
        <v>#VALUE!</v>
      </c>
      <c r="BV285" s="1316" t="e">
        <f aca="false">IF(BQ285,IF(OPriceCurve,IF(OBuySell=OCallPut,L285/(1-AY285),N285/(1-AY285)),M285/(1-AY285))*BE285,0)</f>
        <v>#VALUE!</v>
      </c>
      <c r="BW285" s="1316" t="e">
        <f aca="false">IF(BQ285,IF(OPriceCurve,IF(OBuySell=OCallPut,O285/(1-AY285),Q285/(1-AY285)),P285/(1-AY285))*BF285,0)</f>
        <v>#VALUE!</v>
      </c>
      <c r="BX285" s="1316" t="e">
        <f aca="false">IF(BQ285,IF(OPriceCurve,IF(OBuySell=OCallPut,R285/(1-AY285),T285/(1-AY285)),S285/(1-AY285))*BG285,0)</f>
        <v>#VALUE!</v>
      </c>
      <c r="BY285" s="1316" t="e">
        <f aca="false">IF(BP285,(BU285*AZ285+BV285*BA285+BW285*BB285)/BP285,0)</f>
        <v>#VALUE!</v>
      </c>
      <c r="BZ285" s="1316" t="e">
        <f aca="false">IF(BQ285,(BY285*BP285+BX285*BC285)/BQ285,0)</f>
        <v>#VALUE!</v>
      </c>
      <c r="CA285" s="1531" t="e">
        <f aca="false">IF(BS285,IF(OPriceCurve,IF(OBuySell=OCallPut,I285/(1-AY285),K285/(1-AY285)),J285/(1-AY285))*BL285,0)</f>
        <v>#VALUE!</v>
      </c>
      <c r="CB285" s="1316" t="e">
        <f aca="false">IF(BS285,IF(OPriceCurve,IF(OBuySell=OCallPut,L285/(1-AY285),N285/(1-AY285)),M285/(1-AY285))*BM285,0)</f>
        <v>#VALUE!</v>
      </c>
      <c r="CC285" s="1316" t="e">
        <f aca="false">IF(BS285,IF(OPriceCurve,IF(OBuySell=OCallPut,O285/(1-AY285),Q285/(1-AY285)),P285/(1-AY285))*BN285,0)</f>
        <v>#VALUE!</v>
      </c>
      <c r="CD285" s="1316" t="e">
        <f aca="false">IF(BS285,IF(OPriceCurve,IF(OBuySell=OCallPut,R285/(1-AY285),T285/(1-AY285)),S285/(1-AY285))*BO285,0)</f>
        <v>#VALUE!</v>
      </c>
      <c r="CE285" s="1316" t="e">
        <f aca="false">IF(BR285,(BU285*BH285+BV285*BI285+BW285*BJ285)/BR285,0)</f>
        <v>#VALUE!</v>
      </c>
      <c r="CF285" s="1532" t="e">
        <f aca="false">IF(BS285,(CE285*BR285+CD285*BK285)/BS285,0)</f>
        <v>#VALUE!</v>
      </c>
      <c r="CG285" s="1586" t="e">
        <f aca="false">IF(OR(BQ285,BS285),IF(OVolType&lt;&gt;2,SQRT(IF(OVolOverMonthlyPeak,OVolOverMonthlyPeak,IF(OVolCurve,IF(OBuySell,U285,W285),V285))^2*(1-15/365.25/BT285)+IF(OVolOverDailyPeak,OVolOverDailyPeak,IF(OVolCurve,IF(OBuySell,AG285,AI285),AH285))^2*15/365.25/BT285),IF(OVolOverMonthlyPeak,OVolOverMonthlyPeak,IF(OVolCurve,IF(OBuySell,U285,W285),V285))),"")</f>
        <v>#VALUE!</v>
      </c>
      <c r="CH285" s="1587" t="e">
        <f aca="false">IF(OR(BQ285,BS285),IF(OVolType&lt;&gt;2,SQRT(IF(OVolOverMonthlyPeak,OVolOverMonthlyPeak,IF(OVolCurve,IF(OBuySell,X285,Z285),Y285))^2*(1-15/365.25/BT285)+IF(OVolOverDailyPeak,OVolOverDailyPeak,IF(OVolCurve,IF(OBuySell,AJ285,AL285),AK285))^2*15/365.25/BT285),IF(OVolOverMonthlyPeak,OVolOverMonthlyPeak,IF(OVolCurve,IF(OBuySell,X285,Z285),Y285))),"")</f>
        <v>#VALUE!</v>
      </c>
      <c r="CI285" s="1587" t="e">
        <f aca="false">IF(OR(BQ285,BS285),IF(OVolType&lt;&gt;2,SQRT(IF(OVolOverMonthlyPeak,OVolOverMonthlyPeak,IF(OVolCurve,IF(OBuySell,AA285,AC285),AB285))^2*(1-15/365.25/BT285)+IF(OVolOverDailyPeak,OVolOverDailyPeak,IF(OVolCurve,IF(OBuySell,AM285,AO285),AN285))^2*15/365.25/BT285),IF(OVolOverMonthlyPeak,OVolOverMonthlyPeak,IF(OVolCurve,IF(OBuySell,AA285,AC285),AB285))),"")</f>
        <v>#VALUE!</v>
      </c>
      <c r="CJ285" s="1587" t="e">
        <f aca="false">IF(BQ285,IF(BP285,SQRT(LN(1+((BU285*AZ285)^2*(EXP(CG285^2*BT285)-1)+(BV285*BA285)^2*(EXP(CH285^2*BT285)-1)+(BW285*BB285)^2*(EXP(CI285^2*BT285)-1)+2*BU285*AZ285*BV285*BA285*(EXP(CG285*CH285*BT285)-1)+2*BV285*BA285*BW285*BB285*(EXP(CH285*CI285*BT285)-1)+2*BW285*BB285*BU285*AZ285*(EXP(CI285*CG285*BT285)-1))/(BY285*BP285)^2)/BT285),0),"")</f>
        <v>#VALUE!</v>
      </c>
      <c r="CK285" s="1587" t="e">
        <f aca="false">IF(BS285,IF(BR285,SQRT(LN(1+((CA285*BH285)^2*(EXP(CG285^2*BT285)-1)+(CB285*BI285)^2*(EXP(CH285^2*BT285)-1)+(CC285*BJ285)^2*(EXP(CI285^2*BT285)-1)+2*CA285*BH285*CB285*BI285*(EXP(CG285*CH285*BT285)-1)+2*CB285*BI285*CC285*BJ285*(EXP(CH285*CI285*BT285)-1)+2*CC285*BJ285*CA285*BH285*(EXP(CI285*CG285*BT285)-1))/(CE285*BR285)^2)/BT285),0),"")</f>
        <v>#VALUE!</v>
      </c>
      <c r="CL285" s="1587" t="e">
        <f aca="false">IF(OR(BQ285,BS285),IF(OVolType&lt;&gt;2,SQRT(IF(OVolOverMonthlyOffPeak,OVolOverMonthlyOffPeak,IF(OVolCurve,IF(OBuySell,AD285,AF285),AE285))^2*(1-15/365.25/BT285)+IF(OVolOverDailyOffPeak,OVolOverDailyOffPeak,IF(OVolCurve,IF(OBuySell,AP285,AR285),AQ285))^2*15/365.25/BT285),IF(OVolOverMonthlyOffPeak,OVolOverMonthlyOffPeak,IF(OVolCurve,IF(OBuySell,AD285,AF285),AE285))),"")</f>
        <v>#VALUE!</v>
      </c>
      <c r="CM285" s="1587" t="e">
        <f aca="false">IF(BQ285,SQRT(LN(1+((BY285*BP285)^2*(EXP(CJ285^2*BT285)-1)+(BX285*BC285)^2*(EXP(CL285^2*BT285)-1)+2*BY285*BP285*BX285*BC285*(EXP(AS285*CJ285*CL285*BT285)-1))/(BY285*BP285+BX285*BC285)^2)/BT285),"")</f>
        <v>#VALUE!</v>
      </c>
      <c r="CN285" s="1588" t="e">
        <f aca="false">IF(BS285,SQRT(LN(1+((CE285*BR285)^2*(EXP(CK285^2*BT285)-1)+(CD285*BK285)^2*(EXP(CL285^2*BT285)-1)+2*CE285*BR285*CD285*BK285*(EXP(AS285*CK285*CL285*BT285)-1))/(CE285*BR285+CD285*BK285)^2)/BT285),"")</f>
        <v>#VALUE!</v>
      </c>
      <c r="CO285" s="1531" t="e">
        <f aca="false">IF(OR(BQ285,BS285),VLOOKUP(A285,GasTable,13)*HeatRatePeak*(1+VLOOKUP($B285,HeatRateDegradation,$C285+1))/1000,0)</f>
        <v>#VALUE!</v>
      </c>
      <c r="CP285" s="1316" t="e">
        <f aca="false">IF(OR(BQ285,BS285),VLOOKUP(A285,GasTable,13)*HeatRatePeak*(1+VLOOKUP($B285,HeatRateDegradation,$C285+1))/1000,0)</f>
        <v>#VALUE!</v>
      </c>
      <c r="CQ285" s="1316" t="e">
        <f aca="false">IF(OR(BQ285,BS285),VLOOKUP(A285,GasTable,13)*IF(EV285,HeatRatePeak,HeatRateOffPeak)*(1+VLOOKUP($B285,HeatRateDegradation,$C285+1))/1000,0)</f>
        <v>#VALUE!</v>
      </c>
      <c r="CR285" s="1316" t="e">
        <f aca="false">IF(OR(BQ285,BS285),VLOOKUP(A285,GasTable,13)*IF(EW285,HeatRatePeak,HeatRateOffPeak)*(1+VLOOKUP($B285,HeatRateDegradation,$C285+1))/1000,0)</f>
        <v>#VALUE!</v>
      </c>
      <c r="CS285" s="1589" t="e">
        <f aca="false">IF(BQ285,(CO285*AZ285+CP285*BA285+CQ285*BB285+CR285*BC285)/BQ285,0)</f>
        <v>#VALUE!</v>
      </c>
      <c r="CT285" s="1316" t="e">
        <f aca="false">IF(BS285,CO285,0)</f>
        <v>#VALUE!</v>
      </c>
      <c r="CU285" s="1590" t="e">
        <f aca="false">IF(OR(BQ285,BS285),VLOOKUP(A285,GasTable,14),"")</f>
        <v>#VALUE!</v>
      </c>
      <c r="CV285" s="1568" t="e">
        <f aca="false">IF(OR(BQ285,BS285),IF(CorrPowerGasOverFlag,INDEX(CorrPowerGasOver,C285),CorrPowerGas),"")</f>
        <v>#VALUE!</v>
      </c>
      <c r="CW285" s="1316" t="e">
        <f aca="false">IF(OR($BQ285,$BS285),SpreadOptPowerMargin,0)*((1+Assumptions!$C$26)^($B285-YEAR(Assumptions!$C$17)))</f>
        <v>#VALUE!</v>
      </c>
      <c r="CX285" s="1316" t="e">
        <f aca="false">IF(OR($BQ285,$BS285),SpreadOptPowerMargin,0)*((1+Assumptions!$C$26)^($B285-YEAR(Assumptions!$C$17)))</f>
        <v>#VALUE!</v>
      </c>
      <c r="CY285" s="1316" t="e">
        <f aca="false">IF(OR($BQ285,$BS285),SpreadOptPowerMargin,0)*((1+Assumptions!$C$26)^($B285-YEAR(Assumptions!$C$17)))</f>
        <v>#VALUE!</v>
      </c>
      <c r="CZ285" s="1316" t="e">
        <f aca="false">IF(OR($BQ285,$BS285),SpreadOptPowerMargin,0)*((1+Assumptions!$C$26)^($B285-YEAR(Assumptions!$C$17)))</f>
        <v>#VALUE!</v>
      </c>
      <c r="DA285" s="1591" t="e">
        <f aca="false">IF(OR(BQ285,BS285),(CW285*(AZ285+BH285)+CX285*(BA285+BI285)+CY285*(BB285+BJ285)+CZ285*(BC285+BK285))/(BQ285+BS285),0)</f>
        <v>#VALUE!</v>
      </c>
      <c r="DB285" s="1592" t="e">
        <f aca="false">IF(OR(BQ285,BS285),CG285+IF(OVolSmile,VLOOKUP(MAX(-5,CO285+CW285-BU285),IF(OVolSmile=1,VolSmileBook,VolSmileModel),2),0),"")</f>
        <v>#VALUE!</v>
      </c>
      <c r="DC285" s="1592" t="e">
        <f aca="false">IF(OR(BQ285,BS285),CH285+IF(OVolSmile,VLOOKUP(MAX(-5,CP285+CW285-BV285),IF(OVolSmile=1,VolSmileBook,VolSmileModel),2),0),"")</f>
        <v>#VALUE!</v>
      </c>
      <c r="DD285" s="1592" t="e">
        <f aca="false">IF(OR(BQ285,BS285),CI285+IF(OVolSmile,VLOOKUP(MAX(-5,CQ285+CW285-BW285),IF(OVolSmile=1,VolSmileBook,VolSmileModel),2),0),"")</f>
        <v>#VALUE!</v>
      </c>
      <c r="DE285" s="1592" t="e">
        <f aca="false">IF(OR(BQ285,BS285),CL285+IF(OVolSmile,VLOOKUP(MAX(-5,CR285+CZ285-BX285),IF(OVolSmile=1,VolSmileBook,VolSmileModel),2),0),"")</f>
        <v>#VALUE!</v>
      </c>
      <c r="DF285" s="1592" t="e">
        <f aca="false">IF(BQ285,CM285+IF(OVolSmile,VLOOKUP(MAX(-5,CS285+DA285-BZ285),IF(OVolSmile=1,VolSmileBook,VolSmileModel),2),0),"")</f>
        <v>#VALUE!</v>
      </c>
      <c r="DG285" s="1593" t="e">
        <f aca="false">IF(BS285,CN285+IF(OVolSmile,VLOOKUP(MAX(-5,CT285+DA285-CF285),IF(OVolSmile=1,VolSmileBook,VolSmileModel),2),0),"")</f>
        <v>#VALUE!</v>
      </c>
      <c r="DH285" s="1316" t="e">
        <f aca="false">IF(AND(BU285&gt;0,CO285&gt;0,DB285&gt;0,CU285&gt;0),newSPRDOPT(BU285,CO285,CW285,0,DB285,CU285,CV285,BT285*365.25,OCallPut,0),0)</f>
        <v>#VALUE!</v>
      </c>
      <c r="DI285" s="1316" t="e">
        <f aca="false">IF(AND(BV285&gt;0,CP285&gt;0,DC285&gt;0,CU285&gt;0),newSPRDOPT(BV285,CP285,CX285,0,DC285,CU285,CV285,BT285*365.25,OCallPut,0),0)</f>
        <v>#VALUE!</v>
      </c>
      <c r="DJ285" s="1316" t="e">
        <f aca="false">IF(AND(BW285&gt;0,CQ285&gt;0,DD285&gt;0,CU285&gt;0),newSPRDOPT(BW285,CQ285,CY285,0,DD285,CU285,CV285,BT285*365.25,OCallPut,0),0)</f>
        <v>#VALUE!</v>
      </c>
      <c r="DK285" s="1316" t="e">
        <f aca="false">IF(AND(BX285&gt;0,CR285&gt;0,DE285&gt;0,CU285&gt;0),newSPRDOPT(BX285,CR285,CZ285,0,DE285,CU285,CV285,BT285*365.25,OCallPut,0),0)</f>
        <v>#VALUE!</v>
      </c>
      <c r="DL285" s="1316" t="e">
        <f aca="false">IF(OVolType,IF(AND(BZ285&gt;0,CS285&gt;0,DF285&gt;0,CU285&gt;0),newSPRDOPT(BZ285,CS285,DA285,0,DF285,CU285,CV285,BT285*365.25,OCallPut,0),0),IF(BQ285,(DH285*AZ285+DI285*BA285+DJ285*BB285+DK285*BC285)/BQ285,0))</f>
        <v>#VALUE!</v>
      </c>
      <c r="DM285" s="1316"/>
      <c r="DN285" s="1316"/>
      <c r="DO285" s="1316"/>
      <c r="DP285" s="1316"/>
      <c r="DQ285" s="1316"/>
      <c r="DR285" s="1316"/>
      <c r="DS285" s="1316"/>
      <c r="DT285" s="1316"/>
      <c r="DU285" s="1316"/>
      <c r="DV285" s="1316"/>
      <c r="DW285" s="1594" t="e">
        <f aca="false">IF(AND(BW285&gt;0,CT285&gt;0,DD285&gt;0,CU285&gt;0),newSPRDOPT(BW285,CT285,CY285,0,DD285,CU285,CV285,BT285*365.25,OCallPut,0),0)</f>
        <v>#VALUE!</v>
      </c>
      <c r="DX285" s="1316" t="e">
        <f aca="false">IF(AND(BX285&gt;0,CT285&gt;0,DE285&gt;0,CU285&gt;0),newSPRDOPT(BX285,CT285,CZ285,0,DE285,CU285,CV285,BT285*365.25,OCallPut,0),0)</f>
        <v>#VALUE!</v>
      </c>
      <c r="DY285" s="1591" t="e">
        <f aca="false">IF(BS285,(DH285*BH285+DI285*BI285+DW285*BJ285+DX285*BK285)/BS285,0)</f>
        <v>#VALUE!</v>
      </c>
      <c r="DZ285" s="1551" t="e">
        <f aca="false">DH285*AZ285</f>
        <v>#VALUE!</v>
      </c>
      <c r="EA285" s="1551" t="e">
        <f aca="false">DI285*BA285</f>
        <v>#VALUE!</v>
      </c>
      <c r="EB285" s="1551" t="e">
        <f aca="false">DJ285*BB285</f>
        <v>#VALUE!</v>
      </c>
      <c r="EC285" s="1551" t="e">
        <f aca="false">DK285*BC285</f>
        <v>#VALUE!</v>
      </c>
      <c r="ED285" s="1551" t="e">
        <f aca="false">DL285*BQ285</f>
        <v>#VALUE!</v>
      </c>
      <c r="EE285" s="1595" t="e">
        <f aca="false">IF(BQ285,IF(OCallPut,IF(BU285&gt;(CO285+CW285),BU285-(CO285+CW285),0),IF((CO285+CW285)&gt;BU285,(CO285+CW285)-BU285,0))*AZ285,0)</f>
        <v>#VALUE!</v>
      </c>
      <c r="EF285" s="1596" t="e">
        <f aca="false">IF(BQ285,IF(OCallPut,IF(BV285&gt;(CP285+CX285),BV285-(CP285+CX285),0),IF((CP285+CX285)&gt;BV285,(CP285+CX285)-BV285,0))*BA285,0)</f>
        <v>#VALUE!</v>
      </c>
      <c r="EG285" s="1596" t="e">
        <f aca="false">IF(BQ285,IF(OCallPut,IF(BW285&gt;(CQ285+CY285),BW285-(CQ285+CY285),0),IF((CQ285+CY285)&gt;BW285,(CQ285+CY285)-BW285,0))*BB285,0)</f>
        <v>#VALUE!</v>
      </c>
      <c r="EH285" s="1596" t="e">
        <f aca="false">IF(BQ285,IF(OCallPut,IF(BX285&gt;(CR285+CZ285),BX285-(CR285+CZ285),0),IF((CR285+CZ285)&gt;BX285,(CR285+CZ285)-BX285,0))*BC285,0)</f>
        <v>#VALUE!</v>
      </c>
      <c r="EI285" s="1597" t="e">
        <f aca="false">IF(BQ285,IF(OVolType,IF(OCallPut,IF(BZ285&gt;(CS285+DA285),BZ285-(CS285+DA285),0),IF((CS285+DA285)&gt;BZ285,(CS285+DA285)-BZ285,0))*BQ285,SUM(EE285:EH285)),0)</f>
        <v>#VALUE!</v>
      </c>
      <c r="EJ285" s="1595" t="e">
        <f aca="false">DZ285-EE285</f>
        <v>#VALUE!</v>
      </c>
      <c r="EK285" s="1596" t="e">
        <f aca="false">EA285-EF285</f>
        <v>#VALUE!</v>
      </c>
      <c r="EL285" s="1596" t="e">
        <f aca="false">EB285-EG285</f>
        <v>#VALUE!</v>
      </c>
      <c r="EM285" s="1596" t="e">
        <f aca="false">EC285-EH285</f>
        <v>#VALUE!</v>
      </c>
      <c r="EN285" s="1597" t="e">
        <f aca="false">ED285-EI285</f>
        <v>#VALUE!</v>
      </c>
      <c r="EO285" s="1551" t="e">
        <f aca="false">DH285*BH285</f>
        <v>#VALUE!</v>
      </c>
      <c r="EP285" s="1551" t="e">
        <f aca="false">DI285*BI285</f>
        <v>#VALUE!</v>
      </c>
      <c r="EQ285" s="1551" t="e">
        <f aca="false">DW285*BJ285</f>
        <v>#VALUE!</v>
      </c>
      <c r="ER285" s="1551" t="e">
        <f aca="false">DX285*BK285</f>
        <v>#VALUE!</v>
      </c>
      <c r="ES285" s="1551" t="e">
        <f aca="false">DY285*BS285</f>
        <v>#VALUE!</v>
      </c>
      <c r="ET285" s="1566" t="e">
        <f aca="false">IF(EI285,IF(OCallPut,IF(CA285&gt;(CT285+CW285),CA285-(CT285+CW285),0),IF((CT285+CW285)&gt;CA285,(CT285+CW285)-CA285,0))*BH285,0)</f>
        <v>#VALUE!</v>
      </c>
      <c r="EU285" s="1551" t="e">
        <f aca="false">IF(EI285,IF(OCallPut,IF(CB285&gt;(CT285+CX285),CB285-(CT285+CX285),0),IF((CT285+CX285)&gt;CB285,(CT285+CX285)-CB285,0))*BI285,0)</f>
        <v>#VALUE!</v>
      </c>
      <c r="EV285" s="1551" t="e">
        <f aca="false">IF(EI285,IF(OCallPut,IF(CC285&gt;(CT285+CY285),CC285-(CT285+CY285),0),IF((CT285+CY285)&gt;CC285,(CT285+CY285)-CC285,0))*BJ285,0)</f>
        <v>#VALUE!</v>
      </c>
      <c r="EW285" s="1551" t="e">
        <f aca="false">IF(EI285,IF(OCallPut,IF(CD285&gt;(CT285+CZ285),CD285-(CT285+CZ285),0),IF((CT285+CZ285)&gt;CD285,(CT285+CZ285)-CD285,0))*BK285,0)</f>
        <v>#VALUE!</v>
      </c>
      <c r="EX285" s="1558" t="e">
        <f aca="false">IF(EI285,SUM(ET285:EW285),0)</f>
        <v>#VALUE!</v>
      </c>
      <c r="EY285" s="1551" t="e">
        <f aca="false">EO285-ET285</f>
        <v>#VALUE!</v>
      </c>
      <c r="EZ285" s="1551" t="e">
        <f aca="false">EP285-EU285</f>
        <v>#VALUE!</v>
      </c>
      <c r="FA285" s="1551" t="e">
        <f aca="false">EQ285-EV285</f>
        <v>#VALUE!</v>
      </c>
      <c r="FB285" s="1551" t="e">
        <f aca="false">ER285-EW285</f>
        <v>#VALUE!</v>
      </c>
      <c r="FC285" s="1551" t="e">
        <f aca="false">ES285-EX285</f>
        <v>#VALUE!</v>
      </c>
      <c r="FD285" s="1525" t="n">
        <f aca="false">IF(AX285,IF(VLOOKUP(C285,MAIN!$L$17:$M$28,2)="Yes",VLOOKUP(CALC!B285,MAIN!$H$17:$I$20,2),0),0)</f>
        <v>0</v>
      </c>
      <c r="FE285" s="1552" t="e">
        <f aca="false">$FD285*16*AT285*(1-$AY285)</f>
        <v>#VALUE!</v>
      </c>
      <c r="FF285" s="1553" t="e">
        <f aca="false">$FD285*16*AU285*(1-$AY285)</f>
        <v>#VALUE!</v>
      </c>
      <c r="FG285" s="1553" t="e">
        <f aca="false">$FD285*16*(AV285+AW285)*(1-$AY285)</f>
        <v>#VALUE!</v>
      </c>
      <c r="FH285" s="1554" t="n">
        <f aca="false">$FD285*8*AX285*(1-$AY285)</f>
        <v>0</v>
      </c>
      <c r="FI285" s="1555" t="n">
        <f aca="false">IF(AX285,VLOOKUP(CALC!B285,MAIN!$H$17:$K$20,4),0)</f>
        <v>0</v>
      </c>
      <c r="FJ285" s="1553" t="e">
        <f aca="false">SUM(FE285:FH285)</f>
        <v>#VALUE!</v>
      </c>
      <c r="FK285" s="1556" t="e">
        <f aca="false">FI285*FJ285</f>
        <v>#VALUE!</v>
      </c>
      <c r="FL285" s="1551" t="e">
        <f aca="false">IF($EI285&gt;0,MIN(FE285,AZ285*(1+VLOOKUP($C285,WeatherCapacityAdjustment,2))),0)</f>
        <v>#VALUE!</v>
      </c>
      <c r="FM285" s="1551" t="e">
        <f aca="false">IF($EI285&gt;0,MIN(FF285,BA285*(1+VLOOKUP($C285,WeatherCapacityAdjustment,2))),0)</f>
        <v>#VALUE!</v>
      </c>
      <c r="FN285" s="1551" t="e">
        <f aca="false">IF($EI285&gt;0,MIN(FG285,BB285*(1+VLOOKUP($C285,WeatherCapacityAdjustment,2))),0)</f>
        <v>#VALUE!</v>
      </c>
      <c r="FO285" s="1564" t="e">
        <f aca="false">IF($EI285&gt;0,MIN(FH285,BC285*(1+VLOOKUP($C285,WeatherCapacityAdjustment,3))),0)</f>
        <v>#VALUE!</v>
      </c>
      <c r="FP285" s="1551" t="e">
        <f aca="false">IF(ET285&gt;0,MIN(FE285-FL285,BH285*(1+VLOOKUP($C285,WeatherCapacityAdjustment,2))),0)</f>
        <v>#VALUE!</v>
      </c>
      <c r="FQ285" s="1551" t="e">
        <f aca="false">IF(EU285&gt;0,MIN(FF285-FM285,BI285*(1+VLOOKUP($C285,WeatherCapacityAdjustment,2))),0)</f>
        <v>#VALUE!</v>
      </c>
      <c r="FR285" s="1551" t="e">
        <f aca="false">IF(EV285&gt;0,MIN(FG285-FN285,BJ285*(1+VLOOKUP($C285,WeatherCapacityAdjustment,2))),0)</f>
        <v>#VALUE!</v>
      </c>
      <c r="FS285" s="1558" t="e">
        <f aca="false">IF(EW285&gt;0,MIN(FH285-FO285,BK285*(1+VLOOKUP($C285,WeatherCapacityAdjustment,3))),0)</f>
        <v>#VALUE!</v>
      </c>
      <c r="FT285" s="1566" t="e">
        <f aca="false">IF(AND(Assumptions!$H$71="Yes",A285&gt;=Assumptions!$H$72,A285&lt;=Assumptions!$H$73),0,IF(AND($A285&gt;=Assumptions!$C$17,$A285&lt;=Assumptions!$C$18),MAX(AZ285*(1+VLOOKUP($C285,WeatherCapacityAdjustment,2))-FL285,0),0))</f>
        <v>#VALUE!</v>
      </c>
      <c r="FU285" s="1551" t="e">
        <f aca="false">IF(AND(Assumptions!$H$71="Yes",A285&gt;=Assumptions!$H$72,A285&lt;=Assumptions!$H$73),0,IF(AND($A285&gt;=Assumptions!$C$17,$A285&lt;=Assumptions!$C$18),MAX(BA285*(1+VLOOKUP($C285,WeatherCapacityAdjustment,2))-FM285,0),0))</f>
        <v>#VALUE!</v>
      </c>
      <c r="FV285" s="1551" t="e">
        <f aca="false">IF(AND(Assumptions!$H$71="Yes",A285&gt;=Assumptions!$H$72,A285&lt;=Assumptions!$H$73),0,IF(AND($A285&gt;=Assumptions!$C$17,$A285&lt;=Assumptions!$C$18),MAX(BB285*(1+VLOOKUP($C285,WeatherCapacityAdjustment,2))-FN285,0),0))</f>
        <v>#VALUE!</v>
      </c>
      <c r="FW285" s="1564" t="e">
        <f aca="false">IF(AND(Assumptions!$H$71="Yes",A285&gt;=Assumptions!$H$72,A285&lt;=Assumptions!$H$73),0,IF(AND($A285&gt;=Assumptions!$C$17,$A285&lt;=Assumptions!$C$18),MAX(BC285*(1+VLOOKUP($C285,WeatherCapacityAdjustment,3))-FO285,0),0))</f>
        <v>#VALUE!</v>
      </c>
      <c r="FX285" s="1569" t="e">
        <f aca="false">IF(AND(Assumptions!$H$71="Yes",A285&gt;=Assumptions!$H$72,A285&lt;=Assumptions!$H$73),0,IF(ET285&gt;0,MAX(BH285*(1+VLOOKUP($C285,WeatherCapacityAdjustment,2))-FP285,0),0))</f>
        <v>#VALUE!</v>
      </c>
      <c r="FY285" s="1551" t="e">
        <f aca="false">IF(AND(Assumptions!$H$71="Yes",A285&gt;=Assumptions!$H$72,A285&lt;=Assumptions!$H$73),0,IF(EU285&gt;0,MAX(BI285*(1+VLOOKUP($C285,WeatherCapacityAdjustment,3))-FQ285,0),0))</f>
        <v>#VALUE!</v>
      </c>
      <c r="FZ285" s="1551" t="e">
        <f aca="false">IF(AND(Assumptions!$H$71="Yes",A285&gt;=Assumptions!$H$72,A285&lt;=Assumptions!$H$73),0,IF(EV285&gt;0,MAX(BJ285*(1+VLOOKUP($C285,WeatherCapacityAdjustment,2))-FR285,0),0))</f>
        <v>#VALUE!</v>
      </c>
      <c r="GA285" s="1564" t="e">
        <f aca="false">IF(AND(Assumptions!$H$71="Yes",A285&gt;=Assumptions!$H$72,A285&lt;=Assumptions!$H$73),0,IF(EW285&gt;0,MAX(BK285*(1+VLOOKUP($C285,WeatherCapacityAdjustment,2))-FS285,0),0))</f>
        <v>#VALUE!</v>
      </c>
      <c r="GB285" s="1551" t="e">
        <f aca="false">SUM(FT285:GA285)</f>
        <v>#VALUE!</v>
      </c>
      <c r="GC285" s="1563" t="e">
        <f aca="false">+IF(SUM(FT285:GA285)=0,0,(SUMPRODUCT(BU285:BX285,FT285:FW285)+SUMPRODUCT(CA285:CD285,FX285:GA285))/SUM(FT285:GA285))</f>
        <v>#VALUE!</v>
      </c>
      <c r="GD285" s="1551" t="e">
        <f aca="false">(FT285*BU285+FX285*CA285+FU285*BV285+FY285*CB285+FV285*BW285+FZ285*CC285+FW285*BX285+GA285*CD285)</f>
        <v>#VALUE!</v>
      </c>
      <c r="GE285" s="1561" t="e">
        <f aca="false">+IF(BQ285,((FL285+FM285+FT285+FU285)*HeatRatePeak/1000*(1+VLOOKUP($C285,WeatherHeatRateAdjustment,2))+(FN285+FV285)*IF(EV285&gt;0,HeatRatePeak,HeatRateOffPeak)/1000*(1+VLOOKUP($C285,WeatherHeatRateAdjustment,2))+(FO285+FW285)*IF(EW285&gt;0,HeatRatePeak,HeatRateOffPeak)/1000*(1+VLOOKUP($C285,WeatherHeatRateAdjustment,3)))*(1+VLOOKUP($B285,HeatRateDegradation,$C285+1)),0)</f>
        <v>#VALUE!</v>
      </c>
      <c r="GF285" s="1562" t="e">
        <f aca="false">IF(BQ285,((FP285+FQ285+FR285+FX285+FY285+FZ285)*HeatRatePeak/1000*(1+VLOOKUP($C285,WeatherHeatRateAdjustment,2))+(FS285+GA285)*HeatRatePeak/1000*(1+VLOOKUP($C285,WeatherHeatRateAdjustment,3)))*(1+VLOOKUP($B285,HeatRateDegradation,$C285+1)),0)</f>
        <v>#VALUE!</v>
      </c>
      <c r="GG285" s="1563" t="e">
        <f aca="false">IF(BQ285,VLOOKUP(A285,GasTable,13),0)</f>
        <v>#VALUE!</v>
      </c>
      <c r="GH285" s="1564" t="e">
        <f aca="false">(GE285+GF285)*GG285</f>
        <v>#VALUE!</v>
      </c>
      <c r="GI285" s="1569" t="e">
        <f aca="false">GB285</f>
        <v>#VALUE!</v>
      </c>
      <c r="GJ285" s="1598" t="e">
        <f aca="false">+DA285</f>
        <v>#VALUE!</v>
      </c>
      <c r="GK285" s="1558" t="e">
        <f aca="false">+GI285*GJ285</f>
        <v>#VALUE!</v>
      </c>
      <c r="GL285" s="1566" t="e">
        <f aca="false">MAX(FE285-FL285-FP285,0)</f>
        <v>#VALUE!</v>
      </c>
      <c r="GM285" s="1551" t="e">
        <f aca="false">MAX(FF285-FM285-FQ285,0)</f>
        <v>#VALUE!</v>
      </c>
      <c r="GN285" s="1551" t="e">
        <f aca="false">MAX(FG285-FN285-FR285,0)</f>
        <v>#VALUE!</v>
      </c>
      <c r="GO285" s="1564" t="e">
        <f aca="false">MAX(FH285-FO285-FS285,0)</f>
        <v>#VALUE!</v>
      </c>
      <c r="GP285" s="1551" t="e">
        <f aca="false">SUM(GL285:GO285)</f>
        <v>#VALUE!</v>
      </c>
      <c r="GQ285" s="1563" t="e">
        <f aca="false">IF(SUM(GL285:GO285)=0,0,((GL285*BU285+GM285*BV285+GN285*BW285+GO285*BX285)/SUM(GL285:GO285)))</f>
        <v>#VALUE!</v>
      </c>
      <c r="GR285" s="1558" t="e">
        <f aca="false">(GL285*BU285+GM285*BV285+GN285*BW285+GO285*BX285)</f>
        <v>#VALUE!</v>
      </c>
      <c r="GS285" s="1566" t="n">
        <f aca="false">IF($A285&gt;=BegDate,Assumptions!$C$56*24*($A286-$A285)*(1-VLOOKUP($B285,MAIN!$AA$7:$AM$28,$C285+1))*(1-VLOOKUP($B285,MAIN!$AA$33:$AM$54,$C285+1)),0)*80/168</f>
        <v>249428.571428571</v>
      </c>
      <c r="GT285" s="286" t="n">
        <f aca="false">J285</f>
        <v>77.7188716173768</v>
      </c>
      <c r="GU285" s="286" t="n">
        <f aca="false">IF($A285&gt;=BegDate,VLOOKUP($A285,GasTable,13)+Assumptions!$C$58,0)</f>
        <v>4.58711122179671</v>
      </c>
      <c r="GV285" s="286" t="n">
        <f aca="false">GU285*Assumptions!$C$57/1000</f>
        <v>33.2565563580261</v>
      </c>
      <c r="GW285" s="1558" t="n">
        <f aca="false">IF(Assumptions!$C$60="Hourly",MAX(0,GS285*(GT285-GV285)),GS285*(GT285-GV285))</f>
        <v>11090171.7775466</v>
      </c>
      <c r="GX285" s="1566" t="n">
        <f aca="false">IF($A285&gt;=BegDate,Assumptions!$C$56*24*($A286-$A285)*(1-VLOOKUP($B285,MAIN!$AA$7:$AM$28,$C285+1))*(1-VLOOKUP($B285,MAIN!$AA$33:$AM$54,$C285+1)),0)*16/168</f>
        <v>49885.7142857143</v>
      </c>
      <c r="GY285" s="286" t="n">
        <f aca="false">M285</f>
        <v>77.7188716173768</v>
      </c>
      <c r="GZ285" s="286" t="n">
        <f aca="false">IF($A285&gt;=BegDate,VLOOKUP($A285,GasTable,13)+Assumptions!$C$58,0)</f>
        <v>4.58711122179671</v>
      </c>
      <c r="HA285" s="286" t="n">
        <f aca="false">GZ285*Assumptions!$C$57/1000</f>
        <v>33.2565563580261</v>
      </c>
      <c r="HB285" s="1558" t="n">
        <f aca="false">IF(Assumptions!$C$60="Hourly",MAX(0,GX285*(GY285-HA285)),GX285*(GY285-HA285))</f>
        <v>2218034.35550932</v>
      </c>
      <c r="HC285" s="1566" t="n">
        <f aca="false">IF($A285&gt;=BegDate,Assumptions!$C$56*24*($A286-$A285)*(1-VLOOKUP($B285,MAIN!$AA$7:$AM$28,$C285+1))*(1-VLOOKUP($B285,MAIN!$AA$33:$AM$54,$C285+1)),0)*16/168</f>
        <v>49885.7142857143</v>
      </c>
      <c r="HD285" s="286" t="n">
        <f aca="false">P285</f>
        <v>36.6021508913885</v>
      </c>
      <c r="HE285" s="286" t="n">
        <f aca="false">IF($A285&gt;=BegDate,VLOOKUP($A285,GasTable,13)+Assumptions!$C$58,0)</f>
        <v>4.58711122179671</v>
      </c>
      <c r="HF285" s="286" t="n">
        <f aca="false">HE285*Assumptions!$C$57/1000</f>
        <v>33.2565563580261</v>
      </c>
      <c r="HG285" s="1558" t="n">
        <f aca="false">IF(Assumptions!$C$60="Hourly",MAX(0,HC285*(HD285-HF285)),HC285*(HD285-HF285))</f>
        <v>166897.373007164</v>
      </c>
      <c r="HH285" s="1566" t="n">
        <f aca="false">IF($A285&gt;=BegDate,Assumptions!$C$56*24*($A286-$A285)*(1-VLOOKUP($B285,MAIN!$AA$7:$AM$28,$C285+1))*(1-VLOOKUP($B285,MAIN!$AA$33:$AM$54,$C285+1)),0)*56/168</f>
        <v>174600</v>
      </c>
      <c r="HI285" s="286" t="n">
        <f aca="false">S285</f>
        <v>36.6021508913885</v>
      </c>
      <c r="HJ285" s="286" t="n">
        <f aca="false">IF($A285&gt;=BegDate,VLOOKUP($A285,GasTable,13)+Assumptions!$C$58,0)</f>
        <v>4.58711122179671</v>
      </c>
      <c r="HK285" s="286" t="n">
        <f aca="false">HJ285*Assumptions!$C$57/1000</f>
        <v>33.2565563580261</v>
      </c>
      <c r="HL285" s="1558" t="n">
        <f aca="false">IF(Assumptions!$C$60="Hourly",MAX(0,HH285*(HI285-HK285)),HH285*(HI285-HK285))</f>
        <v>584140.805525073</v>
      </c>
      <c r="HM285" s="1566" t="n">
        <f aca="false">IF(AND(Assumptions!$H$71="Yes",A285&gt;=Assumptions!$H$72,A285&lt;=Assumptions!$H$73),Assumptions!$H$74*Assumptions!$C$9*1000,0)</f>
        <v>0</v>
      </c>
      <c r="HN285" s="1551"/>
      <c r="HO285" s="1563"/>
      <c r="HP285" s="1563"/>
      <c r="HQ285" s="1563"/>
      <c r="HR285" s="1563"/>
      <c r="HS285" s="1563"/>
      <c r="HT285" s="1563"/>
      <c r="HU285" s="1563"/>
      <c r="HV285" s="1563"/>
      <c r="HW285" s="1563"/>
      <c r="HX285" s="1563"/>
      <c r="HY285" s="1563"/>
      <c r="HZ285" s="1563"/>
      <c r="IA285" s="1563"/>
      <c r="IB285" s="1563"/>
      <c r="IC285" s="1563"/>
      <c r="ID285" s="1563"/>
      <c r="IE285" s="1563"/>
      <c r="IF285" s="1563"/>
      <c r="IG285" s="1563"/>
      <c r="IH285" s="1563"/>
      <c r="II285" s="1610"/>
      <c r="IJ285" s="1309"/>
      <c r="IK285" s="1309"/>
    </row>
    <row r="286" customFormat="false" ht="12.75" hidden="false" customHeight="false" outlineLevel="0" collapsed="false">
      <c r="A286" s="1571" t="n">
        <f aca="false">EOMONTH(A285,0)+1</f>
        <v>44835</v>
      </c>
      <c r="B286" s="594" t="n">
        <f aca="false">+YEAR(A286)</f>
        <v>2022</v>
      </c>
      <c r="C286" s="238" t="n">
        <f aca="false">MONTH(A286)</f>
        <v>10</v>
      </c>
      <c r="D286" s="1572" t="e">
        <f aca="false">IF(E286="","",Holiday(B286,C286))</f>
        <v>#VALUE!</v>
      </c>
      <c r="E286" s="1573" t="n">
        <f aca="false">IF(OR(BegDate&gt;=A287,EndDate&lt;A286,AND(VolumeMonthlyOverFlag,INDEX(VolumeMonthlyOver,C286)=0),NOT(INDEX(MonthKnockOutTable,C286))),"",MAX(A286,BegDate))</f>
        <v>44835</v>
      </c>
      <c r="F286" s="1574" t="n">
        <f aca="false">IF(E286="","",MIN(A287-1,EndDate))</f>
        <v>44865</v>
      </c>
      <c r="G286" s="1575" t="n">
        <v>0</v>
      </c>
      <c r="H286" s="1576" t="n">
        <f aca="false">(1+G286/2)^(-2*(DATE(B287,C287,20)-DateToday)/365.25)</f>
        <v>1</v>
      </c>
      <c r="I286" s="1568" t="n">
        <f aca="false">IF(Assumptions!$L$25=4,VLOOKUP($A286,'Henwood Reference'!$E$9:$R$320,10),(VLOOKUP($A286,PriceTable,2,0)+IF(BasisNumber&lt;&gt;1,VLOOKUP($A286,BasisTable,2,0),0)+I$1)/(1-I$2))</f>
        <v>62.7007613015586</v>
      </c>
      <c r="J286" s="1568" t="n">
        <f aca="false">IF(Assumptions!$L$25=4,VLOOKUP($A286,'Henwood Reference'!$E$9:$R$320,10),(VLOOKUP($A286,PriceTable,3,0)+IF(BasisNumber&lt;&gt;1,VLOOKUP($A286,BasisTable,2,0),0)+J$1)/(1-J$2))</f>
        <v>62.7007613015586</v>
      </c>
      <c r="K286" s="1568" t="n">
        <f aca="false">IF(Assumptions!$L$25=4,VLOOKUP($A286,'Henwood Reference'!$E$9:$R$320,10),(VLOOKUP($A286,PriceTable,4,0)+IF(BasisNumber&lt;&gt;1,VLOOKUP($A286,BasisTable,2,0),0)+K$1)/(1-K$2))</f>
        <v>62.7007613015586</v>
      </c>
      <c r="L286" s="1523" t="n">
        <f aca="false">IF(Assumptions!$L$25=4,VLOOKUP($A286,'Henwood Reference'!$E$9:$R$320,10),(VLOOKUP($A286,PriceTableWeekend,2,0)+IF(BasisNumber&lt;&gt;1,VLOOKUP($A286,BasisTable,2,0),0)+L$1)/(1-L$2))</f>
        <v>62.7007613015586</v>
      </c>
      <c r="M286" s="1568" t="n">
        <f aca="false">IF(Assumptions!$L$25=4,VLOOKUP($A286,'Henwood Reference'!$E$9:$R$320,10),(VLOOKUP($A286,PriceTableWeekend,3,0)+IF(BasisNumber&lt;&gt;1,VLOOKUP($A286,BasisTable,2,0),0)+M$1)/(1-M$2))</f>
        <v>62.7007613015586</v>
      </c>
      <c r="N286" s="1599" t="n">
        <f aca="false">IF(Assumptions!$L$25=4,VLOOKUP($A286,'Henwood Reference'!$E$9:$R$320,10),(VLOOKUP($A286,PriceTableWeekend,4,0)+IF(BasisNumber&lt;&gt;1,VLOOKUP($A286,BasisTable,2,0),0)+N$1)/(1-N$2))</f>
        <v>62.7007613015586</v>
      </c>
      <c r="O286" s="1568" t="n">
        <f aca="false">IF(Assumptions!$L$25=4,VLOOKUP($A286,'Henwood Reference'!$E$9:$R$320,11),(VLOOKUP($A286,PriceTableWeekend,6,0)+IF(BasisNumber&lt;&gt;1,VLOOKUP($A286,BasisTable,3,0),0)+O$1)/(1-O$2))</f>
        <v>34.9105399356255</v>
      </c>
      <c r="P286" s="1568" t="n">
        <f aca="false">IF(Assumptions!$L$25=4,VLOOKUP($A286,'Henwood Reference'!$E$9:$R$320,11),(VLOOKUP($A286,PriceTableWeekend,7,0)+IF(BasisNumber&lt;&gt;1,VLOOKUP($A286,BasisTable,3,0),0)+P$1)/(1-P$2))</f>
        <v>34.9105399356255</v>
      </c>
      <c r="Q286" s="1599" t="n">
        <f aca="false">IF(Assumptions!$L$25=4,VLOOKUP($A286,'Henwood Reference'!$E$9:$R$320,11),(VLOOKUP($A286,PriceTableWeekend,8,0)+IF(BasisNumber&lt;&gt;1,VLOOKUP($A286,BasisTable,3,0),0)+Q$1)/(1-Q$2))</f>
        <v>34.9105399356255</v>
      </c>
      <c r="R286" s="1568" t="n">
        <f aca="false">IF(Assumptions!$L$25=4,VLOOKUP($A286,'Henwood Reference'!$E$9:$R$320,11),(VLOOKUP($A286,PriceTable,6,0)+IF(BasisNumber&lt;&gt;1,VLOOKUP($A286,BasisTable,3,0),0)+R$1)/(1-R$2))</f>
        <v>34.9105399356255</v>
      </c>
      <c r="S286" s="1568" t="n">
        <f aca="false">IF(Assumptions!$L$25=4,VLOOKUP($A286,'Henwood Reference'!$E$9:$R$320,11),(VLOOKUP($A286,PriceTable,7,0)+IF(BasisNumber&lt;&gt;1,VLOOKUP($A286,BasisTable,3,0),0)+S$1)/(1-S$2))</f>
        <v>34.9105399356255</v>
      </c>
      <c r="T286" s="1600" t="n">
        <f aca="false">IF(Assumptions!$L$25=4,VLOOKUP($A286,'Henwood Reference'!$E$9:$R$320,11),(VLOOKUP($A286,PriceTable,8,0)+IF(BasisNumber&lt;&gt;1,VLOOKUP($A286,BasisTable,3,0),0)+T$1)/(1-T$2))</f>
        <v>34.9105399356255</v>
      </c>
      <c r="U286" s="1513" t="n">
        <f aca="false">VLOOKUP($A286,VolatilityTable,14)</f>
        <v>0.09</v>
      </c>
      <c r="V286" s="1513" t="n">
        <f aca="false">VLOOKUP($A286,VolatilityTable,15)</f>
        <v>0.1</v>
      </c>
      <c r="W286" s="1514" t="n">
        <f aca="false">VLOOKUP($A286,VolatilityTable,16)</f>
        <v>0.11</v>
      </c>
      <c r="X286" s="1513" t="n">
        <f aca="false">VLOOKUP($A286,VolatilityTable,14)</f>
        <v>0.09</v>
      </c>
      <c r="Y286" s="1513" t="n">
        <f aca="false">VLOOKUP($A286,VolatilityTable,15)</f>
        <v>0.1</v>
      </c>
      <c r="Z286" s="1514" t="n">
        <f aca="false">VLOOKUP($A286,VolatilityTable,16)</f>
        <v>0.11</v>
      </c>
      <c r="AA286" s="1513" t="n">
        <f aca="false">VLOOKUP($A286,VolatilityTable,18)</f>
        <v>0.09</v>
      </c>
      <c r="AB286" s="1513" t="n">
        <f aca="false">VLOOKUP($A286,VolatilityTable,19)</f>
        <v>0.11</v>
      </c>
      <c r="AC286" s="1514" t="n">
        <f aca="false">VLOOKUP($A286,VolatilityTable,20)</f>
        <v>0.13</v>
      </c>
      <c r="AD286" s="1513" t="n">
        <f aca="false">VLOOKUP($A286,VolatilityTable,18)</f>
        <v>0.09</v>
      </c>
      <c r="AE286" s="1513" t="n">
        <f aca="false">VLOOKUP($A286,VolatilityTable,19)</f>
        <v>0.11</v>
      </c>
      <c r="AF286" s="1514" t="n">
        <f aca="false">VLOOKUP($A286,VolatilityTable,20)</f>
        <v>0.13</v>
      </c>
      <c r="AG286" s="1513" t="n">
        <f aca="false">VLOOKUP($A286,VolatilityTable,22)</f>
        <v>-0.1</v>
      </c>
      <c r="AH286" s="1513" t="n">
        <f aca="false">VLOOKUP($A286,VolatilityTable,23)</f>
        <v>3</v>
      </c>
      <c r="AI286" s="1514" t="n">
        <f aca="false">VLOOKUP($A286,VolatilityTable,24)</f>
        <v>0.1</v>
      </c>
      <c r="AJ286" s="1513" t="n">
        <f aca="false">VLOOKUP($A286,VolatilityTable,22)</f>
        <v>-0.1</v>
      </c>
      <c r="AK286" s="1513" t="n">
        <f aca="false">VLOOKUP($A286,VolatilityTable,23)</f>
        <v>3</v>
      </c>
      <c r="AL286" s="1514" t="n">
        <f aca="false">VLOOKUP($A286,VolatilityTable,24)</f>
        <v>0.1</v>
      </c>
      <c r="AM286" s="1513" t="n">
        <f aca="false">VLOOKUP($A286,VolatilityTable,26)</f>
        <v>-0.01</v>
      </c>
      <c r="AN286" s="1513" t="n">
        <f aca="false">VLOOKUP($A286,VolatilityTable,27)</f>
        <v>0.16</v>
      </c>
      <c r="AO286" s="1514" t="n">
        <f aca="false">VLOOKUP($A286,VolatilityTable,28)</f>
        <v>0.01</v>
      </c>
      <c r="AP286" s="1513" t="n">
        <f aca="false">VLOOKUP($A286,VolatilityTable,26)</f>
        <v>-0.01</v>
      </c>
      <c r="AQ286" s="1513" t="n">
        <f aca="false">VLOOKUP($A286,VolatilityTable,27)</f>
        <v>0.16</v>
      </c>
      <c r="AR286" s="1515" t="n">
        <f aca="false">VLOOKUP($A286,VolatilityTable,28)</f>
        <v>0.01</v>
      </c>
      <c r="AS286" s="1581" t="n">
        <f aca="false">IF(CorrPeakOffPeakOverFlag,INDEX(CorrPeakOffPeakOver,C286),CorrPeakOffPeak)</f>
        <v>0.5</v>
      </c>
      <c r="AT286" s="594" t="e">
        <f aca="false">AX286-SUM(AU286:AW286)</f>
        <v>#VALUE!</v>
      </c>
      <c r="AU286" s="238" t="e">
        <f aca="false">IF(E286="",0,INT((F286-MOD(F286,7)-E286)/7)+1-IF(AW286,IF(WEEKDAY(D286)=7,1,0),0))</f>
        <v>#VALUE!</v>
      </c>
      <c r="AV286" s="238" t="e">
        <f aca="false">IF(E286="",0,INT((F286-MOD(F286-1,7)-E286)/7)+1-IF(AW286,IF(WEEKDAY(D286)=1,1,0),0))</f>
        <v>#VALUE!</v>
      </c>
      <c r="AW286" s="238" t="e">
        <f aca="false">IF(OR(E286="",D286="",D286&lt;BegDate,D286&gt;EndDate),0,1)</f>
        <v>#VALUE!</v>
      </c>
      <c r="AX286" s="238" t="n">
        <f aca="false">IF(E286="",0,F286-E286+1)</f>
        <v>31</v>
      </c>
      <c r="AY286" s="1582" t="n">
        <f aca="false">IF(E286="",0,MIN((1-(1-VLOOKUP(B286,MAIN!$AA$7:$AM$28,C286+1))*(1-VLOOKUP(B286,MAIN!$AA$33:$AM$54,C286+1))),1))</f>
        <v>0.03</v>
      </c>
      <c r="AZ286" s="1519" t="e">
        <v>#VALUE!</v>
      </c>
      <c r="BA286" s="1520" t="e">
        <v>#VALUE!</v>
      </c>
      <c r="BB286" s="1520" t="e">
        <v>#VALUE!</v>
      </c>
      <c r="BC286" s="1583" t="e">
        <v>#VALUE!</v>
      </c>
      <c r="BD286" s="1522" t="e">
        <v>#VALUE!</v>
      </c>
      <c r="BE286" s="1523" t="e">
        <v>#VALUE!</v>
      </c>
      <c r="BF286" s="1523" t="e">
        <v>#VALUE!</v>
      </c>
      <c r="BG286" s="1584" t="e">
        <v>#VALUE!</v>
      </c>
      <c r="BH286" s="1525" t="e">
        <v>#VALUE!</v>
      </c>
      <c r="BI286" s="1520" t="e">
        <v>#VALUE!</v>
      </c>
      <c r="BJ286" s="1520" t="e">
        <v>#VALUE!</v>
      </c>
      <c r="BK286" s="1583" t="e">
        <v>#VALUE!</v>
      </c>
      <c r="BL286" s="1522" t="e">
        <v>#VALUE!</v>
      </c>
      <c r="BM286" s="1523" t="e">
        <v>#VALUE!</v>
      </c>
      <c r="BN286" s="1523" t="e">
        <v>#VALUE!</v>
      </c>
      <c r="BO286" s="1523" t="e">
        <v>#VALUE!</v>
      </c>
      <c r="BP286" s="1525" t="e">
        <f aca="false">SUM(AZ286:BB286)</f>
        <v>#VALUE!</v>
      </c>
      <c r="BQ286" s="1529" t="e">
        <f aca="false">SUM(AZ286:BC286)</f>
        <v>#VALUE!</v>
      </c>
      <c r="BR286" s="1519" t="e">
        <f aca="false">SUM(BH286:BJ286)</f>
        <v>#VALUE!</v>
      </c>
      <c r="BS286" s="1529" t="e">
        <f aca="false">SUM(BH286:BK286)</f>
        <v>#VALUE!</v>
      </c>
      <c r="BT286" s="1316" t="n">
        <f aca="false">(IF(OVolType&lt;&gt;2,A286+14,IF(OptExpDateShift,ShiftBack(A286,OptExpDateShift,D285),A286))-DateToday)/365.25</f>
        <v>22.4640657084189</v>
      </c>
      <c r="BU286" s="1585" t="e">
        <f aca="false">IF(BQ286,IF(OPriceCurve,IF(OBuySell=OCallPut,I286/(1-AY286),K286/(1-AY286)),J286/(1-AY286))*BD286,0)</f>
        <v>#VALUE!</v>
      </c>
      <c r="BV286" s="1316" t="e">
        <f aca="false">IF(BQ286,IF(OPriceCurve,IF(OBuySell=OCallPut,L286/(1-AY286),N286/(1-AY286)),M286/(1-AY286))*BE286,0)</f>
        <v>#VALUE!</v>
      </c>
      <c r="BW286" s="1316" t="e">
        <f aca="false">IF(BQ286,IF(OPriceCurve,IF(OBuySell=OCallPut,O286/(1-AY286),Q286/(1-AY286)),P286/(1-AY286))*BF286,0)</f>
        <v>#VALUE!</v>
      </c>
      <c r="BX286" s="1316" t="e">
        <f aca="false">IF(BQ286,IF(OPriceCurve,IF(OBuySell=OCallPut,R286/(1-AY286),T286/(1-AY286)),S286/(1-AY286))*BG286,0)</f>
        <v>#VALUE!</v>
      </c>
      <c r="BY286" s="1316" t="e">
        <f aca="false">IF(BP286,(BU286*AZ286+BV286*BA286+BW286*BB286)/BP286,0)</f>
        <v>#VALUE!</v>
      </c>
      <c r="BZ286" s="1316" t="e">
        <f aca="false">IF(BQ286,(BY286*BP286+BX286*BC286)/BQ286,0)</f>
        <v>#VALUE!</v>
      </c>
      <c r="CA286" s="1531" t="e">
        <f aca="false">IF(BS286,IF(OPriceCurve,IF(OBuySell=OCallPut,I286/(1-AY286),K286/(1-AY286)),J286/(1-AY286))*BL286,0)</f>
        <v>#VALUE!</v>
      </c>
      <c r="CB286" s="1316" t="e">
        <f aca="false">IF(BS286,IF(OPriceCurve,IF(OBuySell=OCallPut,L286/(1-AY286),N286/(1-AY286)),M286/(1-AY286))*BM286,0)</f>
        <v>#VALUE!</v>
      </c>
      <c r="CC286" s="1316" t="e">
        <f aca="false">IF(BS286,IF(OPriceCurve,IF(OBuySell=OCallPut,O286/(1-AY286),Q286/(1-AY286)),P286/(1-AY286))*BN286,0)</f>
        <v>#VALUE!</v>
      </c>
      <c r="CD286" s="1316" t="e">
        <f aca="false">IF(BS286,IF(OPriceCurve,IF(OBuySell=OCallPut,R286/(1-AY286),T286/(1-AY286)),S286/(1-AY286))*BO286,0)</f>
        <v>#VALUE!</v>
      </c>
      <c r="CE286" s="1316" t="e">
        <f aca="false">IF(BR286,(BU286*BH286+BV286*BI286+BW286*BJ286)/BR286,0)</f>
        <v>#VALUE!</v>
      </c>
      <c r="CF286" s="1532" t="e">
        <f aca="false">IF(BS286,(CE286*BR286+CD286*BK286)/BS286,0)</f>
        <v>#VALUE!</v>
      </c>
      <c r="CG286" s="1586" t="e">
        <f aca="false">IF(OR(BQ286,BS286),IF(OVolType&lt;&gt;2,SQRT(IF(OVolOverMonthlyPeak,OVolOverMonthlyPeak,IF(OVolCurve,IF(OBuySell,U286,W286),V286))^2*(1-15/365.25/BT286)+IF(OVolOverDailyPeak,OVolOverDailyPeak,IF(OVolCurve,IF(OBuySell,AG286,AI286),AH286))^2*15/365.25/BT286),IF(OVolOverMonthlyPeak,OVolOverMonthlyPeak,IF(OVolCurve,IF(OBuySell,U286,W286),V286))),"")</f>
        <v>#VALUE!</v>
      </c>
      <c r="CH286" s="1587" t="e">
        <f aca="false">IF(OR(BQ286,BS286),IF(OVolType&lt;&gt;2,SQRT(IF(OVolOverMonthlyPeak,OVolOverMonthlyPeak,IF(OVolCurve,IF(OBuySell,X286,Z286),Y286))^2*(1-15/365.25/BT286)+IF(OVolOverDailyPeak,OVolOverDailyPeak,IF(OVolCurve,IF(OBuySell,AJ286,AL286),AK286))^2*15/365.25/BT286),IF(OVolOverMonthlyPeak,OVolOverMonthlyPeak,IF(OVolCurve,IF(OBuySell,X286,Z286),Y286))),"")</f>
        <v>#VALUE!</v>
      </c>
      <c r="CI286" s="1587" t="e">
        <f aca="false">IF(OR(BQ286,BS286),IF(OVolType&lt;&gt;2,SQRT(IF(OVolOverMonthlyPeak,OVolOverMonthlyPeak,IF(OVolCurve,IF(OBuySell,AA286,AC286),AB286))^2*(1-15/365.25/BT286)+IF(OVolOverDailyPeak,OVolOverDailyPeak,IF(OVolCurve,IF(OBuySell,AM286,AO286),AN286))^2*15/365.25/BT286),IF(OVolOverMonthlyPeak,OVolOverMonthlyPeak,IF(OVolCurve,IF(OBuySell,AA286,AC286),AB286))),"")</f>
        <v>#VALUE!</v>
      </c>
      <c r="CJ286" s="1587" t="e">
        <f aca="false">IF(BQ286,IF(BP286,SQRT(LN(1+((BU286*AZ286)^2*(EXP(CG286^2*BT286)-1)+(BV286*BA286)^2*(EXP(CH286^2*BT286)-1)+(BW286*BB286)^2*(EXP(CI286^2*BT286)-1)+2*BU286*AZ286*BV286*BA286*(EXP(CG286*CH286*BT286)-1)+2*BV286*BA286*BW286*BB286*(EXP(CH286*CI286*BT286)-1)+2*BW286*BB286*BU286*AZ286*(EXP(CI286*CG286*BT286)-1))/(BY286*BP286)^2)/BT286),0),"")</f>
        <v>#VALUE!</v>
      </c>
      <c r="CK286" s="1587" t="e">
        <f aca="false">IF(BS286,IF(BR286,SQRT(LN(1+((CA286*BH286)^2*(EXP(CG286^2*BT286)-1)+(CB286*BI286)^2*(EXP(CH286^2*BT286)-1)+(CC286*BJ286)^2*(EXP(CI286^2*BT286)-1)+2*CA286*BH286*CB286*BI286*(EXP(CG286*CH286*BT286)-1)+2*CB286*BI286*CC286*BJ286*(EXP(CH286*CI286*BT286)-1)+2*CC286*BJ286*CA286*BH286*(EXP(CI286*CG286*BT286)-1))/(CE286*BR286)^2)/BT286),0),"")</f>
        <v>#VALUE!</v>
      </c>
      <c r="CL286" s="1587" t="e">
        <f aca="false">IF(OR(BQ286,BS286),IF(OVolType&lt;&gt;2,SQRT(IF(OVolOverMonthlyOffPeak,OVolOverMonthlyOffPeak,IF(OVolCurve,IF(OBuySell,AD286,AF286),AE286))^2*(1-15/365.25/BT286)+IF(OVolOverDailyOffPeak,OVolOverDailyOffPeak,IF(OVolCurve,IF(OBuySell,AP286,AR286),AQ286))^2*15/365.25/BT286),IF(OVolOverMonthlyOffPeak,OVolOverMonthlyOffPeak,IF(OVolCurve,IF(OBuySell,AD286,AF286),AE286))),"")</f>
        <v>#VALUE!</v>
      </c>
      <c r="CM286" s="1587" t="e">
        <f aca="false">IF(BQ286,SQRT(LN(1+((BY286*BP286)^2*(EXP(CJ286^2*BT286)-1)+(BX286*BC286)^2*(EXP(CL286^2*BT286)-1)+2*BY286*BP286*BX286*BC286*(EXP(AS286*CJ286*CL286*BT286)-1))/(BY286*BP286+BX286*BC286)^2)/BT286),"")</f>
        <v>#VALUE!</v>
      </c>
      <c r="CN286" s="1588" t="e">
        <f aca="false">IF(BS286,SQRT(LN(1+((CE286*BR286)^2*(EXP(CK286^2*BT286)-1)+(CD286*BK286)^2*(EXP(CL286^2*BT286)-1)+2*CE286*BR286*CD286*BK286*(EXP(AS286*CK286*CL286*BT286)-1))/(CE286*BR286+CD286*BK286)^2)/BT286),"")</f>
        <v>#VALUE!</v>
      </c>
      <c r="CO286" s="1531" t="e">
        <f aca="false">IF(OR(BQ286,BS286),VLOOKUP(A286,GasTable,13)*HeatRatePeak*(1+VLOOKUP($B286,HeatRateDegradation,$C286+1))/1000,0)</f>
        <v>#VALUE!</v>
      </c>
      <c r="CP286" s="1316" t="e">
        <f aca="false">IF(OR(BQ286,BS286),VLOOKUP(A286,GasTable,13)*HeatRatePeak*(1+VLOOKUP($B286,HeatRateDegradation,$C286+1))/1000,0)</f>
        <v>#VALUE!</v>
      </c>
      <c r="CQ286" s="1316" t="e">
        <f aca="false">IF(OR(BQ286,BS286),VLOOKUP(A286,GasTable,13)*IF(EV286,HeatRatePeak,HeatRateOffPeak)*(1+VLOOKUP($B286,HeatRateDegradation,$C286+1))/1000,0)</f>
        <v>#VALUE!</v>
      </c>
      <c r="CR286" s="1316" t="e">
        <f aca="false">IF(OR(BQ286,BS286),VLOOKUP(A286,GasTable,13)*IF(EW286,HeatRatePeak,HeatRateOffPeak)*(1+VLOOKUP($B286,HeatRateDegradation,$C286+1))/1000,0)</f>
        <v>#VALUE!</v>
      </c>
      <c r="CS286" s="1589" t="e">
        <f aca="false">IF(BQ286,(CO286*AZ286+CP286*BA286+CQ286*BB286+CR286*BC286)/BQ286,0)</f>
        <v>#VALUE!</v>
      </c>
      <c r="CT286" s="1316" t="e">
        <f aca="false">IF(BS286,CO286,0)</f>
        <v>#VALUE!</v>
      </c>
      <c r="CU286" s="1590" t="e">
        <f aca="false">IF(OR(BQ286,BS286),VLOOKUP(A286,GasTable,14),"")</f>
        <v>#VALUE!</v>
      </c>
      <c r="CV286" s="1568" t="e">
        <f aca="false">IF(OR(BQ286,BS286),IF(CorrPowerGasOverFlag,INDEX(CorrPowerGasOver,C286),CorrPowerGas),"")</f>
        <v>#VALUE!</v>
      </c>
      <c r="CW286" s="1316" t="e">
        <f aca="false">IF(OR($BQ286,$BS286),SpreadOptPowerMargin,0)*((1+Assumptions!$C$26)^($B286-YEAR(Assumptions!$C$17)))</f>
        <v>#VALUE!</v>
      </c>
      <c r="CX286" s="1316" t="e">
        <f aca="false">IF(OR($BQ286,$BS286),SpreadOptPowerMargin,0)*((1+Assumptions!$C$26)^($B286-YEAR(Assumptions!$C$17)))</f>
        <v>#VALUE!</v>
      </c>
      <c r="CY286" s="1316" t="e">
        <f aca="false">IF(OR($BQ286,$BS286),SpreadOptPowerMargin,0)*((1+Assumptions!$C$26)^($B286-YEAR(Assumptions!$C$17)))</f>
        <v>#VALUE!</v>
      </c>
      <c r="CZ286" s="1316" t="e">
        <f aca="false">IF(OR($BQ286,$BS286),SpreadOptPowerMargin,0)*((1+Assumptions!$C$26)^($B286-YEAR(Assumptions!$C$17)))</f>
        <v>#VALUE!</v>
      </c>
      <c r="DA286" s="1591" t="e">
        <f aca="false">IF(OR(BQ286,BS286),(CW286*(AZ286+BH286)+CX286*(BA286+BI286)+CY286*(BB286+BJ286)+CZ286*(BC286+BK286))/(BQ286+BS286),0)</f>
        <v>#VALUE!</v>
      </c>
      <c r="DB286" s="1592" t="e">
        <f aca="false">IF(OR(BQ286,BS286),CG286+IF(OVolSmile,VLOOKUP(MAX(-5,CO286+CW286-BU286),IF(OVolSmile=1,VolSmileBook,VolSmileModel),2),0),"")</f>
        <v>#VALUE!</v>
      </c>
      <c r="DC286" s="1592" t="e">
        <f aca="false">IF(OR(BQ286,BS286),CH286+IF(OVolSmile,VLOOKUP(MAX(-5,CP286+CW286-BV286),IF(OVolSmile=1,VolSmileBook,VolSmileModel),2),0),"")</f>
        <v>#VALUE!</v>
      </c>
      <c r="DD286" s="1592" t="e">
        <f aca="false">IF(OR(BQ286,BS286),CI286+IF(OVolSmile,VLOOKUP(MAX(-5,CQ286+CW286-BW286),IF(OVolSmile=1,VolSmileBook,VolSmileModel),2),0),"")</f>
        <v>#VALUE!</v>
      </c>
      <c r="DE286" s="1592" t="e">
        <f aca="false">IF(OR(BQ286,BS286),CL286+IF(OVolSmile,VLOOKUP(MAX(-5,CR286+CZ286-BX286),IF(OVolSmile=1,VolSmileBook,VolSmileModel),2),0),"")</f>
        <v>#VALUE!</v>
      </c>
      <c r="DF286" s="1592" t="e">
        <f aca="false">IF(BQ286,CM286+IF(OVolSmile,VLOOKUP(MAX(-5,CS286+DA286-BZ286),IF(OVolSmile=1,VolSmileBook,VolSmileModel),2),0),"")</f>
        <v>#VALUE!</v>
      </c>
      <c r="DG286" s="1593" t="e">
        <f aca="false">IF(BS286,CN286+IF(OVolSmile,VLOOKUP(MAX(-5,CT286+DA286-CF286),IF(OVolSmile=1,VolSmileBook,VolSmileModel),2),0),"")</f>
        <v>#VALUE!</v>
      </c>
      <c r="DH286" s="1316" t="e">
        <f aca="false">IF(AND(BU286&gt;0,CO286&gt;0,DB286&gt;0,CU286&gt;0),newSPRDOPT(BU286,CO286,CW286,0,DB286,CU286,CV286,BT286*365.25,OCallPut,0),0)</f>
        <v>#VALUE!</v>
      </c>
      <c r="DI286" s="1316" t="e">
        <f aca="false">IF(AND(BV286&gt;0,CP286&gt;0,DC286&gt;0,CU286&gt;0),newSPRDOPT(BV286,CP286,CX286,0,DC286,CU286,CV286,BT286*365.25,OCallPut,0),0)</f>
        <v>#VALUE!</v>
      </c>
      <c r="DJ286" s="1316" t="e">
        <f aca="false">IF(AND(BW286&gt;0,CQ286&gt;0,DD286&gt;0,CU286&gt;0),newSPRDOPT(BW286,CQ286,CY286,0,DD286,CU286,CV286,BT286*365.25,OCallPut,0),0)</f>
        <v>#VALUE!</v>
      </c>
      <c r="DK286" s="1316" t="e">
        <f aca="false">IF(AND(BX286&gt;0,CR286&gt;0,DE286&gt;0,CU286&gt;0),newSPRDOPT(BX286,CR286,CZ286,0,DE286,CU286,CV286,BT286*365.25,OCallPut,0),0)</f>
        <v>#VALUE!</v>
      </c>
      <c r="DL286" s="1316" t="e">
        <f aca="false">IF(OVolType,IF(AND(BZ286&gt;0,CS286&gt;0,DF286&gt;0,CU286&gt;0),newSPRDOPT(BZ286,CS286,DA286,0,DF286,CU286,CV286,BT286*365.25,OCallPut,0),0),IF(BQ286,(DH286*AZ286+DI286*BA286+DJ286*BB286+DK286*BC286)/BQ286,0))</f>
        <v>#VALUE!</v>
      </c>
      <c r="DM286" s="1316"/>
      <c r="DN286" s="1316"/>
      <c r="DO286" s="1316"/>
      <c r="DP286" s="1316"/>
      <c r="DQ286" s="1316"/>
      <c r="DR286" s="1316"/>
      <c r="DS286" s="1316"/>
      <c r="DT286" s="1316"/>
      <c r="DU286" s="1316"/>
      <c r="DV286" s="1316"/>
      <c r="DW286" s="1594" t="e">
        <f aca="false">IF(AND(BW286&gt;0,CT286&gt;0,DD286&gt;0,CU286&gt;0),newSPRDOPT(BW286,CT286,CY286,0,DD286,CU286,CV286,BT286*365.25,OCallPut,0),0)</f>
        <v>#VALUE!</v>
      </c>
      <c r="DX286" s="1316" t="e">
        <f aca="false">IF(AND(BX286&gt;0,CT286&gt;0,DE286&gt;0,CU286&gt;0),newSPRDOPT(BX286,CT286,CZ286,0,DE286,CU286,CV286,BT286*365.25,OCallPut,0),0)</f>
        <v>#VALUE!</v>
      </c>
      <c r="DY286" s="1591" t="e">
        <f aca="false">IF(BS286,(DH286*BH286+DI286*BI286+DW286*BJ286+DX286*BK286)/BS286,0)</f>
        <v>#VALUE!</v>
      </c>
      <c r="DZ286" s="1551" t="e">
        <f aca="false">DH286*AZ286</f>
        <v>#VALUE!</v>
      </c>
      <c r="EA286" s="1551" t="e">
        <f aca="false">DI286*BA286</f>
        <v>#VALUE!</v>
      </c>
      <c r="EB286" s="1551" t="e">
        <f aca="false">DJ286*BB286</f>
        <v>#VALUE!</v>
      </c>
      <c r="EC286" s="1551" t="e">
        <f aca="false">DK286*BC286</f>
        <v>#VALUE!</v>
      </c>
      <c r="ED286" s="1551" t="e">
        <f aca="false">DL286*BQ286</f>
        <v>#VALUE!</v>
      </c>
      <c r="EE286" s="1595" t="e">
        <f aca="false">IF(BQ286,IF(OCallPut,IF(BU286&gt;(CO286+CW286),BU286-(CO286+CW286),0),IF((CO286+CW286)&gt;BU286,(CO286+CW286)-BU286,0))*AZ286,0)</f>
        <v>#VALUE!</v>
      </c>
      <c r="EF286" s="1596" t="e">
        <f aca="false">IF(BQ286,IF(OCallPut,IF(BV286&gt;(CP286+CX286),BV286-(CP286+CX286),0),IF((CP286+CX286)&gt;BV286,(CP286+CX286)-BV286,0))*BA286,0)</f>
        <v>#VALUE!</v>
      </c>
      <c r="EG286" s="1596" t="e">
        <f aca="false">IF(BQ286,IF(OCallPut,IF(BW286&gt;(CQ286+CY286),BW286-(CQ286+CY286),0),IF((CQ286+CY286)&gt;BW286,(CQ286+CY286)-BW286,0))*BB286,0)</f>
        <v>#VALUE!</v>
      </c>
      <c r="EH286" s="1596" t="e">
        <f aca="false">IF(BQ286,IF(OCallPut,IF(BX286&gt;(CR286+CZ286),BX286-(CR286+CZ286),0),IF((CR286+CZ286)&gt;BX286,(CR286+CZ286)-BX286,0))*BC286,0)</f>
        <v>#VALUE!</v>
      </c>
      <c r="EI286" s="1597" t="e">
        <f aca="false">IF(BQ286,IF(OVolType,IF(OCallPut,IF(BZ286&gt;(CS286+DA286),BZ286-(CS286+DA286),0),IF((CS286+DA286)&gt;BZ286,(CS286+DA286)-BZ286,0))*BQ286,SUM(EE286:EH286)),0)</f>
        <v>#VALUE!</v>
      </c>
      <c r="EJ286" s="1595" t="e">
        <f aca="false">DZ286-EE286</f>
        <v>#VALUE!</v>
      </c>
      <c r="EK286" s="1596" t="e">
        <f aca="false">EA286-EF286</f>
        <v>#VALUE!</v>
      </c>
      <c r="EL286" s="1596" t="e">
        <f aca="false">EB286-EG286</f>
        <v>#VALUE!</v>
      </c>
      <c r="EM286" s="1596" t="e">
        <f aca="false">EC286-EH286</f>
        <v>#VALUE!</v>
      </c>
      <c r="EN286" s="1597" t="e">
        <f aca="false">ED286-EI286</f>
        <v>#VALUE!</v>
      </c>
      <c r="EO286" s="1551" t="e">
        <f aca="false">DH286*BH286</f>
        <v>#VALUE!</v>
      </c>
      <c r="EP286" s="1551" t="e">
        <f aca="false">DI286*BI286</f>
        <v>#VALUE!</v>
      </c>
      <c r="EQ286" s="1551" t="e">
        <f aca="false">DW286*BJ286</f>
        <v>#VALUE!</v>
      </c>
      <c r="ER286" s="1551" t="e">
        <f aca="false">DX286*BK286</f>
        <v>#VALUE!</v>
      </c>
      <c r="ES286" s="1551" t="e">
        <f aca="false">DY286*BS286</f>
        <v>#VALUE!</v>
      </c>
      <c r="ET286" s="1566" t="e">
        <f aca="false">IF(EI286,IF(OCallPut,IF(CA286&gt;(CT286+CW286),CA286-(CT286+CW286),0),IF((CT286+CW286)&gt;CA286,(CT286+CW286)-CA286,0))*BH286,0)</f>
        <v>#VALUE!</v>
      </c>
      <c r="EU286" s="1551" t="e">
        <f aca="false">IF(EI286,IF(OCallPut,IF(CB286&gt;(CT286+CX286),CB286-(CT286+CX286),0),IF((CT286+CX286)&gt;CB286,(CT286+CX286)-CB286,0))*BI286,0)</f>
        <v>#VALUE!</v>
      </c>
      <c r="EV286" s="1551" t="e">
        <f aca="false">IF(EI286,IF(OCallPut,IF(CC286&gt;(CT286+CY286),CC286-(CT286+CY286),0),IF((CT286+CY286)&gt;CC286,(CT286+CY286)-CC286,0))*BJ286,0)</f>
        <v>#VALUE!</v>
      </c>
      <c r="EW286" s="1551" t="e">
        <f aca="false">IF(EI286,IF(OCallPut,IF(CD286&gt;(CT286+CZ286),CD286-(CT286+CZ286),0),IF((CT286+CZ286)&gt;CD286,(CT286+CZ286)-CD286,0))*BK286,0)</f>
        <v>#VALUE!</v>
      </c>
      <c r="EX286" s="1558" t="e">
        <f aca="false">IF(EI286,SUM(ET286:EW286),0)</f>
        <v>#VALUE!</v>
      </c>
      <c r="EY286" s="1551" t="e">
        <f aca="false">EO286-ET286</f>
        <v>#VALUE!</v>
      </c>
      <c r="EZ286" s="1551" t="e">
        <f aca="false">EP286-EU286</f>
        <v>#VALUE!</v>
      </c>
      <c r="FA286" s="1551" t="e">
        <f aca="false">EQ286-EV286</f>
        <v>#VALUE!</v>
      </c>
      <c r="FB286" s="1551" t="e">
        <f aca="false">ER286-EW286</f>
        <v>#VALUE!</v>
      </c>
      <c r="FC286" s="1551" t="e">
        <f aca="false">ES286-EX286</f>
        <v>#VALUE!</v>
      </c>
      <c r="FD286" s="1525" t="n">
        <f aca="false">IF(AX286,IF(VLOOKUP(C286,MAIN!$L$17:$M$28,2)="Yes",VLOOKUP(CALC!B286,MAIN!$H$17:$I$20,2),0),0)</f>
        <v>0</v>
      </c>
      <c r="FE286" s="1552" t="e">
        <f aca="false">$FD286*16*AT286*(1-$AY286)</f>
        <v>#VALUE!</v>
      </c>
      <c r="FF286" s="1553" t="e">
        <f aca="false">$FD286*16*AU286*(1-$AY286)</f>
        <v>#VALUE!</v>
      </c>
      <c r="FG286" s="1553" t="e">
        <f aca="false">$FD286*16*(AV286+AW286)*(1-$AY286)</f>
        <v>#VALUE!</v>
      </c>
      <c r="FH286" s="1554" t="n">
        <f aca="false">$FD286*8*AX286*(1-$AY286)</f>
        <v>0</v>
      </c>
      <c r="FI286" s="1555" t="n">
        <f aca="false">IF(AX286,VLOOKUP(CALC!B286,MAIN!$H$17:$K$20,4),0)</f>
        <v>0</v>
      </c>
      <c r="FJ286" s="1553" t="e">
        <f aca="false">SUM(FE286:FH286)</f>
        <v>#VALUE!</v>
      </c>
      <c r="FK286" s="1556" t="e">
        <f aca="false">FI286*FJ286</f>
        <v>#VALUE!</v>
      </c>
      <c r="FL286" s="1551" t="e">
        <f aca="false">IF($EI286&gt;0,MIN(FE286,AZ286*(1+VLOOKUP($C286,WeatherCapacityAdjustment,2))),0)</f>
        <v>#VALUE!</v>
      </c>
      <c r="FM286" s="1551" t="e">
        <f aca="false">IF($EI286&gt;0,MIN(FF286,BA286*(1+VLOOKUP($C286,WeatherCapacityAdjustment,2))),0)</f>
        <v>#VALUE!</v>
      </c>
      <c r="FN286" s="1551" t="e">
        <f aca="false">IF($EI286&gt;0,MIN(FG286,BB286*(1+VLOOKUP($C286,WeatherCapacityAdjustment,2))),0)</f>
        <v>#VALUE!</v>
      </c>
      <c r="FO286" s="1564" t="e">
        <f aca="false">IF($EI286&gt;0,MIN(FH286,BC286*(1+VLOOKUP($C286,WeatherCapacityAdjustment,3))),0)</f>
        <v>#VALUE!</v>
      </c>
      <c r="FP286" s="1551" t="e">
        <f aca="false">IF(ET286&gt;0,MIN(FE286-FL286,BH286*(1+VLOOKUP($C286,WeatherCapacityAdjustment,2))),0)</f>
        <v>#VALUE!</v>
      </c>
      <c r="FQ286" s="1551" t="e">
        <f aca="false">IF(EU286&gt;0,MIN(FF286-FM286,BI286*(1+VLOOKUP($C286,WeatherCapacityAdjustment,2))),0)</f>
        <v>#VALUE!</v>
      </c>
      <c r="FR286" s="1551" t="e">
        <f aca="false">IF(EV286&gt;0,MIN(FG286-FN286,BJ286*(1+VLOOKUP($C286,WeatherCapacityAdjustment,2))),0)</f>
        <v>#VALUE!</v>
      </c>
      <c r="FS286" s="1558" t="e">
        <f aca="false">IF(EW286&gt;0,MIN(FH286-FO286,BK286*(1+VLOOKUP($C286,WeatherCapacityAdjustment,3))),0)</f>
        <v>#VALUE!</v>
      </c>
      <c r="FT286" s="1566" t="e">
        <f aca="false">IF(AND(Assumptions!$H$71="Yes",A286&gt;=Assumptions!$H$72,A286&lt;=Assumptions!$H$73),0,IF(AND($A286&gt;=Assumptions!$C$17,$A286&lt;=Assumptions!$C$18),MAX(AZ286*(1+VLOOKUP($C286,WeatherCapacityAdjustment,2))-FL286,0),0))</f>
        <v>#VALUE!</v>
      </c>
      <c r="FU286" s="1551" t="e">
        <f aca="false">IF(AND(Assumptions!$H$71="Yes",A286&gt;=Assumptions!$H$72,A286&lt;=Assumptions!$H$73),0,IF(AND($A286&gt;=Assumptions!$C$17,$A286&lt;=Assumptions!$C$18),MAX(BA286*(1+VLOOKUP($C286,WeatherCapacityAdjustment,2))-FM286,0),0))</f>
        <v>#VALUE!</v>
      </c>
      <c r="FV286" s="1551" t="e">
        <f aca="false">IF(AND(Assumptions!$H$71="Yes",A286&gt;=Assumptions!$H$72,A286&lt;=Assumptions!$H$73),0,IF(AND($A286&gt;=Assumptions!$C$17,$A286&lt;=Assumptions!$C$18),MAX(BB286*(1+VLOOKUP($C286,WeatherCapacityAdjustment,2))-FN286,0),0))</f>
        <v>#VALUE!</v>
      </c>
      <c r="FW286" s="1564" t="e">
        <f aca="false">IF(AND(Assumptions!$H$71="Yes",A286&gt;=Assumptions!$H$72,A286&lt;=Assumptions!$H$73),0,IF(AND($A286&gt;=Assumptions!$C$17,$A286&lt;=Assumptions!$C$18),MAX(BC286*(1+VLOOKUP($C286,WeatherCapacityAdjustment,3))-FO286,0),0))</f>
        <v>#VALUE!</v>
      </c>
      <c r="FX286" s="1569" t="e">
        <f aca="false">IF(AND(Assumptions!$H$71="Yes",A286&gt;=Assumptions!$H$72,A286&lt;=Assumptions!$H$73),0,IF(ET286&gt;0,MAX(BH286*(1+VLOOKUP($C286,WeatherCapacityAdjustment,2))-FP286,0),0))</f>
        <v>#VALUE!</v>
      </c>
      <c r="FY286" s="1551" t="e">
        <f aca="false">IF(AND(Assumptions!$H$71="Yes",A286&gt;=Assumptions!$H$72,A286&lt;=Assumptions!$H$73),0,IF(EU286&gt;0,MAX(BI286*(1+VLOOKUP($C286,WeatherCapacityAdjustment,3))-FQ286,0),0))</f>
        <v>#VALUE!</v>
      </c>
      <c r="FZ286" s="1551" t="e">
        <f aca="false">IF(AND(Assumptions!$H$71="Yes",A286&gt;=Assumptions!$H$72,A286&lt;=Assumptions!$H$73),0,IF(EV286&gt;0,MAX(BJ286*(1+VLOOKUP($C286,WeatherCapacityAdjustment,2))-FR286,0),0))</f>
        <v>#VALUE!</v>
      </c>
      <c r="GA286" s="1564" t="e">
        <f aca="false">IF(AND(Assumptions!$H$71="Yes",A286&gt;=Assumptions!$H$72,A286&lt;=Assumptions!$H$73),0,IF(EW286&gt;0,MAX(BK286*(1+VLOOKUP($C286,WeatherCapacityAdjustment,2))-FS286,0),0))</f>
        <v>#VALUE!</v>
      </c>
      <c r="GB286" s="1551" t="e">
        <f aca="false">SUM(FT286:GA286)</f>
        <v>#VALUE!</v>
      </c>
      <c r="GC286" s="1563" t="e">
        <f aca="false">+IF(SUM(FT286:GA286)=0,0,(SUMPRODUCT(BU286:BX286,FT286:FW286)+SUMPRODUCT(CA286:CD286,FX286:GA286))/SUM(FT286:GA286))</f>
        <v>#VALUE!</v>
      </c>
      <c r="GD286" s="1551" t="e">
        <f aca="false">(FT286*BU286+FX286*CA286+FU286*BV286+FY286*CB286+FV286*BW286+FZ286*CC286+FW286*BX286+GA286*CD286)</f>
        <v>#VALUE!</v>
      </c>
      <c r="GE286" s="1561" t="e">
        <f aca="false">+IF(BQ286,((FL286+FM286+FT286+FU286)*HeatRatePeak/1000*(1+VLOOKUP($C286,WeatherHeatRateAdjustment,2))+(FN286+FV286)*IF(EV286&gt;0,HeatRatePeak,HeatRateOffPeak)/1000*(1+VLOOKUP($C286,WeatherHeatRateAdjustment,2))+(FO286+FW286)*IF(EW286&gt;0,HeatRatePeak,HeatRateOffPeak)/1000*(1+VLOOKUP($C286,WeatherHeatRateAdjustment,3)))*(1+VLOOKUP($B286,HeatRateDegradation,$C286+1)),0)</f>
        <v>#VALUE!</v>
      </c>
      <c r="GF286" s="1562" t="e">
        <f aca="false">IF(BQ286,((FP286+FQ286+FR286+FX286+FY286+FZ286)*HeatRatePeak/1000*(1+VLOOKUP($C286,WeatherHeatRateAdjustment,2))+(FS286+GA286)*HeatRatePeak/1000*(1+VLOOKUP($C286,WeatherHeatRateAdjustment,3)))*(1+VLOOKUP($B286,HeatRateDegradation,$C286+1)),0)</f>
        <v>#VALUE!</v>
      </c>
      <c r="GG286" s="1563" t="e">
        <f aca="false">IF(BQ286,VLOOKUP(A286,GasTable,13),0)</f>
        <v>#VALUE!</v>
      </c>
      <c r="GH286" s="1564" t="e">
        <f aca="false">(GE286+GF286)*GG286</f>
        <v>#VALUE!</v>
      </c>
      <c r="GI286" s="1569" t="e">
        <f aca="false">GB286</f>
        <v>#VALUE!</v>
      </c>
      <c r="GJ286" s="1598" t="e">
        <f aca="false">+DA286</f>
        <v>#VALUE!</v>
      </c>
      <c r="GK286" s="1558" t="e">
        <f aca="false">+GI286*GJ286</f>
        <v>#VALUE!</v>
      </c>
      <c r="GL286" s="1566" t="e">
        <f aca="false">MAX(FE286-FL286-FP286,0)</f>
        <v>#VALUE!</v>
      </c>
      <c r="GM286" s="1551" t="e">
        <f aca="false">MAX(FF286-FM286-FQ286,0)</f>
        <v>#VALUE!</v>
      </c>
      <c r="GN286" s="1551" t="e">
        <f aca="false">MAX(FG286-FN286-FR286,0)</f>
        <v>#VALUE!</v>
      </c>
      <c r="GO286" s="1564" t="e">
        <f aca="false">MAX(FH286-FO286-FS286,0)</f>
        <v>#VALUE!</v>
      </c>
      <c r="GP286" s="1551" t="e">
        <f aca="false">SUM(GL286:GO286)</f>
        <v>#VALUE!</v>
      </c>
      <c r="GQ286" s="1563" t="e">
        <f aca="false">IF(SUM(GL286:GO286)=0,0,((GL286*BU286+GM286*BV286+GN286*BW286+GO286*BX286)/SUM(GL286:GO286)))</f>
        <v>#VALUE!</v>
      </c>
      <c r="GR286" s="1558" t="e">
        <f aca="false">(GL286*BU286+GM286*BV286+GN286*BW286+GO286*BX286)</f>
        <v>#VALUE!</v>
      </c>
      <c r="GS286" s="1566" t="n">
        <f aca="false">IF($A286&gt;=BegDate,Assumptions!$C$56*24*($A287-$A286)*(1-VLOOKUP($B286,MAIN!$AA$7:$AM$28,$C286+1))*(1-VLOOKUP($B286,MAIN!$AA$33:$AM$54,$C286+1)),0)*80/168</f>
        <v>257742.857142857</v>
      </c>
      <c r="GT286" s="286" t="n">
        <f aca="false">J286</f>
        <v>62.7007613015586</v>
      </c>
      <c r="GU286" s="286" t="n">
        <f aca="false">IF($A286&gt;=BegDate,VLOOKUP($A286,GasTable,13)+Assumptions!$C$58,0)</f>
        <v>4.58711122179671</v>
      </c>
      <c r="GV286" s="286" t="n">
        <f aca="false">GU286*Assumptions!$C$57/1000</f>
        <v>33.2565563580261</v>
      </c>
      <c r="GW286" s="1558" t="n">
        <f aca="false">IF(Assumptions!$C$60="Hourly",MAX(0,GS286*(GT286-GV286)),GS286*(GT286-GV286))</f>
        <v>7589033.5084459</v>
      </c>
      <c r="GX286" s="1566" t="n">
        <f aca="false">IF($A286&gt;=BegDate,Assumptions!$C$56*24*($A287-$A286)*(1-VLOOKUP($B286,MAIN!$AA$7:$AM$28,$C286+1))*(1-VLOOKUP($B286,MAIN!$AA$33:$AM$54,$C286+1)),0)*16/168</f>
        <v>51548.5714285714</v>
      </c>
      <c r="GY286" s="286" t="n">
        <f aca="false">M286</f>
        <v>62.7007613015586</v>
      </c>
      <c r="GZ286" s="286" t="n">
        <f aca="false">IF($A286&gt;=BegDate,VLOOKUP($A286,GasTable,13)+Assumptions!$C$58,0)</f>
        <v>4.58711122179671</v>
      </c>
      <c r="HA286" s="286" t="n">
        <f aca="false">GZ286*Assumptions!$C$57/1000</f>
        <v>33.2565563580261</v>
      </c>
      <c r="HB286" s="1558" t="n">
        <f aca="false">IF(Assumptions!$C$60="Hourly",MAX(0,GX286*(GY286-HA286)),GX286*(GY286-HA286))</f>
        <v>1517806.70168918</v>
      </c>
      <c r="HC286" s="1566" t="n">
        <f aca="false">IF($A286&gt;=BegDate,Assumptions!$C$56*24*($A287-$A286)*(1-VLOOKUP($B286,MAIN!$AA$7:$AM$28,$C286+1))*(1-VLOOKUP($B286,MAIN!$AA$33:$AM$54,$C286+1)),0)*16/168</f>
        <v>51548.5714285714</v>
      </c>
      <c r="HD286" s="286" t="n">
        <f aca="false">P286</f>
        <v>34.9105399356255</v>
      </c>
      <c r="HE286" s="286" t="n">
        <f aca="false">IF($A286&gt;=BegDate,VLOOKUP($A286,GasTable,13)+Assumptions!$C$58,0)</f>
        <v>4.58711122179671</v>
      </c>
      <c r="HF286" s="286" t="n">
        <f aca="false">HE286*Assumptions!$C$57/1000</f>
        <v>33.2565563580261</v>
      </c>
      <c r="HG286" s="1558" t="n">
        <f aca="false">IF(Assumptions!$C$60="Hourly",MAX(0,HC286*(HD286-HF286)),HC286*(HD286-HF286))</f>
        <v>85260.4905915678</v>
      </c>
      <c r="HH286" s="1566" t="n">
        <f aca="false">IF($A286&gt;=BegDate,Assumptions!$C$56*24*($A287-$A286)*(1-VLOOKUP($B286,MAIN!$AA$7:$AM$28,$C286+1))*(1-VLOOKUP($B286,MAIN!$AA$33:$AM$54,$C286+1)),0)*56/168</f>
        <v>180420</v>
      </c>
      <c r="HI286" s="286" t="n">
        <f aca="false">S286</f>
        <v>34.9105399356255</v>
      </c>
      <c r="HJ286" s="286" t="n">
        <f aca="false">IF($A286&gt;=BegDate,VLOOKUP($A286,GasTable,13)+Assumptions!$C$58,0)</f>
        <v>4.58711122179671</v>
      </c>
      <c r="HK286" s="286" t="n">
        <f aca="false">HJ286*Assumptions!$C$57/1000</f>
        <v>33.2565563580261</v>
      </c>
      <c r="HL286" s="1558" t="n">
        <f aca="false">IF(Assumptions!$C$60="Hourly",MAX(0,HH286*(HI286-HK286)),HH286*(HI286-HK286))</f>
        <v>298411.717070487</v>
      </c>
      <c r="HM286" s="1566" t="n">
        <f aca="false">IF(AND(Assumptions!$H$71="Yes",A286&gt;=Assumptions!$H$72,A286&lt;=Assumptions!$H$73),Assumptions!$H$74*Assumptions!$C$9*1000,0)</f>
        <v>0</v>
      </c>
      <c r="HN286" s="1551"/>
      <c r="HO286" s="1563"/>
      <c r="HP286" s="1563"/>
      <c r="HQ286" s="1563"/>
      <c r="HR286" s="1563"/>
      <c r="HS286" s="1563"/>
      <c r="HT286" s="1563"/>
      <c r="HU286" s="1563"/>
      <c r="HV286" s="1563"/>
      <c r="HW286" s="1563"/>
      <c r="HX286" s="1563"/>
      <c r="HY286" s="1563"/>
      <c r="HZ286" s="1563"/>
      <c r="IA286" s="1563"/>
      <c r="IB286" s="1563"/>
      <c r="IC286" s="1563"/>
      <c r="ID286" s="1563"/>
      <c r="IE286" s="1563"/>
      <c r="IF286" s="1563"/>
      <c r="IG286" s="1563"/>
      <c r="IH286" s="1563"/>
      <c r="II286" s="1610"/>
      <c r="IJ286" s="1309"/>
      <c r="IK286" s="1309"/>
    </row>
    <row r="287" customFormat="false" ht="12.75" hidden="false" customHeight="false" outlineLevel="0" collapsed="false">
      <c r="A287" s="1571" t="n">
        <f aca="false">EOMONTH(A286,0)+1</f>
        <v>44866</v>
      </c>
      <c r="B287" s="594" t="n">
        <f aca="false">+YEAR(A287)</f>
        <v>2022</v>
      </c>
      <c r="C287" s="238" t="n">
        <f aca="false">MONTH(A287)</f>
        <v>11</v>
      </c>
      <c r="D287" s="1572" t="e">
        <f aca="false">IF(E287="","",Holiday(B287,C287))</f>
        <v>#VALUE!</v>
      </c>
      <c r="E287" s="1573" t="n">
        <f aca="false">IF(OR(BegDate&gt;=A288,EndDate&lt;A287,AND(VolumeMonthlyOverFlag,INDEX(VolumeMonthlyOver,C287)=0),NOT(INDEX(MonthKnockOutTable,C287))),"",MAX(A287,BegDate))</f>
        <v>44866</v>
      </c>
      <c r="F287" s="1574" t="n">
        <f aca="false">IF(E287="","",MIN(A288-1,EndDate))</f>
        <v>44895</v>
      </c>
      <c r="G287" s="1575" t="n">
        <v>0</v>
      </c>
      <c r="H287" s="1576" t="n">
        <f aca="false">(1+G287/2)^(-2*(DATE(B288,C288,20)-DateToday)/365.25)</f>
        <v>1</v>
      </c>
      <c r="I287" s="1568" t="n">
        <f aca="false">IF(Assumptions!$L$25=4,VLOOKUP($A287,'Henwood Reference'!$E$9:$R$320,10),(VLOOKUP($A287,PriceTable,2,0)+IF(BasisNumber&lt;&gt;1,VLOOKUP($A287,BasisTable,2,0),0)+I$1)/(1-I$2))</f>
        <v>64.8810564312538</v>
      </c>
      <c r="J287" s="1568" t="n">
        <f aca="false">IF(Assumptions!$L$25=4,VLOOKUP($A287,'Henwood Reference'!$E$9:$R$320,10),(VLOOKUP($A287,PriceTable,3,0)+IF(BasisNumber&lt;&gt;1,VLOOKUP($A287,BasisTable,2,0),0)+J$1)/(1-J$2))</f>
        <v>64.8810564312538</v>
      </c>
      <c r="K287" s="1568" t="n">
        <f aca="false">IF(Assumptions!$L$25=4,VLOOKUP($A287,'Henwood Reference'!$E$9:$R$320,10),(VLOOKUP($A287,PriceTable,4,0)+IF(BasisNumber&lt;&gt;1,VLOOKUP($A287,BasisTable,2,0),0)+K$1)/(1-K$2))</f>
        <v>64.8810564312538</v>
      </c>
      <c r="L287" s="1523" t="n">
        <f aca="false">IF(Assumptions!$L$25=4,VLOOKUP($A287,'Henwood Reference'!$E$9:$R$320,10),(VLOOKUP($A287,PriceTableWeekend,2,0)+IF(BasisNumber&lt;&gt;1,VLOOKUP($A287,BasisTable,2,0),0)+L$1)/(1-L$2))</f>
        <v>64.8810564312538</v>
      </c>
      <c r="M287" s="1568" t="n">
        <f aca="false">IF(Assumptions!$L$25=4,VLOOKUP($A287,'Henwood Reference'!$E$9:$R$320,10),(VLOOKUP($A287,PriceTableWeekend,3,0)+IF(BasisNumber&lt;&gt;1,VLOOKUP($A287,BasisTable,2,0),0)+M$1)/(1-M$2))</f>
        <v>64.8810564312538</v>
      </c>
      <c r="N287" s="1599" t="n">
        <f aca="false">IF(Assumptions!$L$25=4,VLOOKUP($A287,'Henwood Reference'!$E$9:$R$320,10),(VLOOKUP($A287,PriceTableWeekend,4,0)+IF(BasisNumber&lt;&gt;1,VLOOKUP($A287,BasisTable,2,0),0)+N$1)/(1-N$2))</f>
        <v>64.8810564312538</v>
      </c>
      <c r="O287" s="1568" t="n">
        <f aca="false">IF(Assumptions!$L$25=4,VLOOKUP($A287,'Henwood Reference'!$E$9:$R$320,11),(VLOOKUP($A287,PriceTableWeekend,6,0)+IF(BasisNumber&lt;&gt;1,VLOOKUP($A287,BasisTable,3,0),0)+O$1)/(1-O$2))</f>
        <v>37.9247364997373</v>
      </c>
      <c r="P287" s="1568" t="n">
        <f aca="false">IF(Assumptions!$L$25=4,VLOOKUP($A287,'Henwood Reference'!$E$9:$R$320,11),(VLOOKUP($A287,PriceTableWeekend,7,0)+IF(BasisNumber&lt;&gt;1,VLOOKUP($A287,BasisTable,3,0),0)+P$1)/(1-P$2))</f>
        <v>37.9247364997373</v>
      </c>
      <c r="Q287" s="1599" t="n">
        <f aca="false">IF(Assumptions!$L$25=4,VLOOKUP($A287,'Henwood Reference'!$E$9:$R$320,11),(VLOOKUP($A287,PriceTableWeekend,8,0)+IF(BasisNumber&lt;&gt;1,VLOOKUP($A287,BasisTable,3,0),0)+Q$1)/(1-Q$2))</f>
        <v>37.9247364997373</v>
      </c>
      <c r="R287" s="1568" t="n">
        <f aca="false">IF(Assumptions!$L$25=4,VLOOKUP($A287,'Henwood Reference'!$E$9:$R$320,11),(VLOOKUP($A287,PriceTable,6,0)+IF(BasisNumber&lt;&gt;1,VLOOKUP($A287,BasisTable,3,0),0)+R$1)/(1-R$2))</f>
        <v>37.9247364997373</v>
      </c>
      <c r="S287" s="1568" t="n">
        <f aca="false">IF(Assumptions!$L$25=4,VLOOKUP($A287,'Henwood Reference'!$E$9:$R$320,11),(VLOOKUP($A287,PriceTable,7,0)+IF(BasisNumber&lt;&gt;1,VLOOKUP($A287,BasisTable,3,0),0)+S$1)/(1-S$2))</f>
        <v>37.9247364997373</v>
      </c>
      <c r="T287" s="1600" t="n">
        <f aca="false">IF(Assumptions!$L$25=4,VLOOKUP($A287,'Henwood Reference'!$E$9:$R$320,11),(VLOOKUP($A287,PriceTable,8,0)+IF(BasisNumber&lt;&gt;1,VLOOKUP($A287,BasisTable,3,0),0)+T$1)/(1-T$2))</f>
        <v>37.9247364997373</v>
      </c>
      <c r="U287" s="1513" t="n">
        <f aca="false">VLOOKUP($A287,VolatilityTable,14)</f>
        <v>0.09</v>
      </c>
      <c r="V287" s="1513" t="n">
        <f aca="false">VLOOKUP($A287,VolatilityTable,15)</f>
        <v>0.1</v>
      </c>
      <c r="W287" s="1514" t="n">
        <f aca="false">VLOOKUP($A287,VolatilityTable,16)</f>
        <v>0.11</v>
      </c>
      <c r="X287" s="1513" t="n">
        <f aca="false">VLOOKUP($A287,VolatilityTable,14)</f>
        <v>0.09</v>
      </c>
      <c r="Y287" s="1513" t="n">
        <f aca="false">VLOOKUP($A287,VolatilityTable,15)</f>
        <v>0.1</v>
      </c>
      <c r="Z287" s="1514" t="n">
        <f aca="false">VLOOKUP($A287,VolatilityTable,16)</f>
        <v>0.11</v>
      </c>
      <c r="AA287" s="1513" t="n">
        <f aca="false">VLOOKUP($A287,VolatilityTable,18)</f>
        <v>0.09</v>
      </c>
      <c r="AB287" s="1513" t="n">
        <f aca="false">VLOOKUP($A287,VolatilityTable,19)</f>
        <v>0.11</v>
      </c>
      <c r="AC287" s="1514" t="n">
        <f aca="false">VLOOKUP($A287,VolatilityTable,20)</f>
        <v>0.13</v>
      </c>
      <c r="AD287" s="1513" t="n">
        <f aca="false">VLOOKUP($A287,VolatilityTable,18)</f>
        <v>0.09</v>
      </c>
      <c r="AE287" s="1513" t="n">
        <f aca="false">VLOOKUP($A287,VolatilityTable,19)</f>
        <v>0.11</v>
      </c>
      <c r="AF287" s="1514" t="n">
        <f aca="false">VLOOKUP($A287,VolatilityTable,20)</f>
        <v>0.13</v>
      </c>
      <c r="AG287" s="1513" t="n">
        <f aca="false">VLOOKUP($A287,VolatilityTable,22)</f>
        <v>-0.1</v>
      </c>
      <c r="AH287" s="1513" t="n">
        <f aca="false">VLOOKUP($A287,VolatilityTable,23)</f>
        <v>3</v>
      </c>
      <c r="AI287" s="1514" t="n">
        <f aca="false">VLOOKUP($A287,VolatilityTable,24)</f>
        <v>0.1</v>
      </c>
      <c r="AJ287" s="1513" t="n">
        <f aca="false">VLOOKUP($A287,VolatilityTable,22)</f>
        <v>-0.1</v>
      </c>
      <c r="AK287" s="1513" t="n">
        <f aca="false">VLOOKUP($A287,VolatilityTable,23)</f>
        <v>3</v>
      </c>
      <c r="AL287" s="1514" t="n">
        <f aca="false">VLOOKUP($A287,VolatilityTable,24)</f>
        <v>0.1</v>
      </c>
      <c r="AM287" s="1513" t="n">
        <f aca="false">VLOOKUP($A287,VolatilityTable,26)</f>
        <v>-0.01</v>
      </c>
      <c r="AN287" s="1513" t="n">
        <f aca="false">VLOOKUP($A287,VolatilityTable,27)</f>
        <v>0.16</v>
      </c>
      <c r="AO287" s="1514" t="n">
        <f aca="false">VLOOKUP($A287,VolatilityTable,28)</f>
        <v>0.01</v>
      </c>
      <c r="AP287" s="1513" t="n">
        <f aca="false">VLOOKUP($A287,VolatilityTable,26)</f>
        <v>-0.01</v>
      </c>
      <c r="AQ287" s="1513" t="n">
        <f aca="false">VLOOKUP($A287,VolatilityTable,27)</f>
        <v>0.16</v>
      </c>
      <c r="AR287" s="1515" t="n">
        <f aca="false">VLOOKUP($A287,VolatilityTable,28)</f>
        <v>0.01</v>
      </c>
      <c r="AS287" s="1581" t="n">
        <f aca="false">IF(CorrPeakOffPeakOverFlag,INDEX(CorrPeakOffPeakOver,C287),CorrPeakOffPeak)</f>
        <v>0.5</v>
      </c>
      <c r="AT287" s="594" t="e">
        <f aca="false">AX287-SUM(AU287:AW287)</f>
        <v>#VALUE!</v>
      </c>
      <c r="AU287" s="238" t="e">
        <f aca="false">IF(E287="",0,INT((F287-MOD(F287,7)-E287)/7)+1-IF(AW287,IF(WEEKDAY(D287)=7,1,0),0))</f>
        <v>#VALUE!</v>
      </c>
      <c r="AV287" s="238" t="e">
        <f aca="false">IF(E287="",0,INT((F287-MOD(F287-1,7)-E287)/7)+1-IF(AW287,IF(WEEKDAY(D287)=1,1,0),0))</f>
        <v>#VALUE!</v>
      </c>
      <c r="AW287" s="238" t="e">
        <f aca="false">IF(OR(E287="",D287="",D287&lt;BegDate,D287&gt;EndDate),0,1)</f>
        <v>#VALUE!</v>
      </c>
      <c r="AX287" s="238" t="n">
        <f aca="false">IF(E287="",0,F287-E287+1)</f>
        <v>30</v>
      </c>
      <c r="AY287" s="1582" t="n">
        <f aca="false">IF(E287="",0,MIN((1-(1-VLOOKUP(B287,MAIN!$AA$7:$AM$28,C287+1))*(1-VLOOKUP(B287,MAIN!$AA$33:$AM$54,C287+1))),1))</f>
        <v>0.03</v>
      </c>
      <c r="AZ287" s="1519" t="e">
        <v>#VALUE!</v>
      </c>
      <c r="BA287" s="1520" t="e">
        <v>#VALUE!</v>
      </c>
      <c r="BB287" s="1520" t="e">
        <v>#VALUE!</v>
      </c>
      <c r="BC287" s="1583" t="e">
        <v>#VALUE!</v>
      </c>
      <c r="BD287" s="1522" t="e">
        <v>#VALUE!</v>
      </c>
      <c r="BE287" s="1523" t="e">
        <v>#VALUE!</v>
      </c>
      <c r="BF287" s="1523" t="e">
        <v>#VALUE!</v>
      </c>
      <c r="BG287" s="1584" t="e">
        <v>#VALUE!</v>
      </c>
      <c r="BH287" s="1525" t="e">
        <v>#VALUE!</v>
      </c>
      <c r="BI287" s="1520" t="e">
        <v>#VALUE!</v>
      </c>
      <c r="BJ287" s="1520" t="e">
        <v>#VALUE!</v>
      </c>
      <c r="BK287" s="1583" t="e">
        <v>#VALUE!</v>
      </c>
      <c r="BL287" s="1522" t="e">
        <v>#VALUE!</v>
      </c>
      <c r="BM287" s="1523" t="e">
        <v>#VALUE!</v>
      </c>
      <c r="BN287" s="1523" t="e">
        <v>#VALUE!</v>
      </c>
      <c r="BO287" s="1523" t="e">
        <v>#VALUE!</v>
      </c>
      <c r="BP287" s="1525" t="e">
        <f aca="false">SUM(AZ287:BB287)</f>
        <v>#VALUE!</v>
      </c>
      <c r="BQ287" s="1529" t="e">
        <f aca="false">SUM(AZ287:BC287)</f>
        <v>#VALUE!</v>
      </c>
      <c r="BR287" s="1519" t="e">
        <f aca="false">SUM(BH287:BJ287)</f>
        <v>#VALUE!</v>
      </c>
      <c r="BS287" s="1529" t="e">
        <f aca="false">SUM(BH287:BK287)</f>
        <v>#VALUE!</v>
      </c>
      <c r="BT287" s="1316" t="n">
        <f aca="false">(IF(OVolType&lt;&gt;2,A287+14,IF(OptExpDateShift,ShiftBack(A287,OptExpDateShift,D286),A287))-DateToday)/365.25</f>
        <v>22.54893908282</v>
      </c>
      <c r="BU287" s="1585" t="e">
        <f aca="false">IF(BQ287,IF(OPriceCurve,IF(OBuySell=OCallPut,I287/(1-AY287),K287/(1-AY287)),J287/(1-AY287))*BD287,0)</f>
        <v>#VALUE!</v>
      </c>
      <c r="BV287" s="1316" t="e">
        <f aca="false">IF(BQ287,IF(OPriceCurve,IF(OBuySell=OCallPut,L287/(1-AY287),N287/(1-AY287)),M287/(1-AY287))*BE287,0)</f>
        <v>#VALUE!</v>
      </c>
      <c r="BW287" s="1316" t="e">
        <f aca="false">IF(BQ287,IF(OPriceCurve,IF(OBuySell=OCallPut,O287/(1-AY287),Q287/(1-AY287)),P287/(1-AY287))*BF287,0)</f>
        <v>#VALUE!</v>
      </c>
      <c r="BX287" s="1316" t="e">
        <f aca="false">IF(BQ287,IF(OPriceCurve,IF(OBuySell=OCallPut,R287/(1-AY287),T287/(1-AY287)),S287/(1-AY287))*BG287,0)</f>
        <v>#VALUE!</v>
      </c>
      <c r="BY287" s="1316" t="e">
        <f aca="false">IF(BP287,(BU287*AZ287+BV287*BA287+BW287*BB287)/BP287,0)</f>
        <v>#VALUE!</v>
      </c>
      <c r="BZ287" s="1316" t="e">
        <f aca="false">IF(BQ287,(BY287*BP287+BX287*BC287)/BQ287,0)</f>
        <v>#VALUE!</v>
      </c>
      <c r="CA287" s="1531" t="e">
        <f aca="false">IF(BS287,IF(OPriceCurve,IF(OBuySell=OCallPut,I287/(1-AY287),K287/(1-AY287)),J287/(1-AY287))*BL287,0)</f>
        <v>#VALUE!</v>
      </c>
      <c r="CB287" s="1316" t="e">
        <f aca="false">IF(BS287,IF(OPriceCurve,IF(OBuySell=OCallPut,L287/(1-AY287),N287/(1-AY287)),M287/(1-AY287))*BM287,0)</f>
        <v>#VALUE!</v>
      </c>
      <c r="CC287" s="1316" t="e">
        <f aca="false">IF(BS287,IF(OPriceCurve,IF(OBuySell=OCallPut,O287/(1-AY287),Q287/(1-AY287)),P287/(1-AY287))*BN287,0)</f>
        <v>#VALUE!</v>
      </c>
      <c r="CD287" s="1316" t="e">
        <f aca="false">IF(BS287,IF(OPriceCurve,IF(OBuySell=OCallPut,R287/(1-AY287),T287/(1-AY287)),S287/(1-AY287))*BO287,0)</f>
        <v>#VALUE!</v>
      </c>
      <c r="CE287" s="1316" t="e">
        <f aca="false">IF(BR287,(BU287*BH287+BV287*BI287+BW287*BJ287)/BR287,0)</f>
        <v>#VALUE!</v>
      </c>
      <c r="CF287" s="1532" t="e">
        <f aca="false">IF(BS287,(CE287*BR287+CD287*BK287)/BS287,0)</f>
        <v>#VALUE!</v>
      </c>
      <c r="CG287" s="1586" t="e">
        <f aca="false">IF(OR(BQ287,BS287),IF(OVolType&lt;&gt;2,SQRT(IF(OVolOverMonthlyPeak,OVolOverMonthlyPeak,IF(OVolCurve,IF(OBuySell,U287,W287),V287))^2*(1-15/365.25/BT287)+IF(OVolOverDailyPeak,OVolOverDailyPeak,IF(OVolCurve,IF(OBuySell,AG287,AI287),AH287))^2*15/365.25/BT287),IF(OVolOverMonthlyPeak,OVolOverMonthlyPeak,IF(OVolCurve,IF(OBuySell,U287,W287),V287))),"")</f>
        <v>#VALUE!</v>
      </c>
      <c r="CH287" s="1587" t="e">
        <f aca="false">IF(OR(BQ287,BS287),IF(OVolType&lt;&gt;2,SQRT(IF(OVolOverMonthlyPeak,OVolOverMonthlyPeak,IF(OVolCurve,IF(OBuySell,X287,Z287),Y287))^2*(1-15/365.25/BT287)+IF(OVolOverDailyPeak,OVolOverDailyPeak,IF(OVolCurve,IF(OBuySell,AJ287,AL287),AK287))^2*15/365.25/BT287),IF(OVolOverMonthlyPeak,OVolOverMonthlyPeak,IF(OVolCurve,IF(OBuySell,X287,Z287),Y287))),"")</f>
        <v>#VALUE!</v>
      </c>
      <c r="CI287" s="1587" t="e">
        <f aca="false">IF(OR(BQ287,BS287),IF(OVolType&lt;&gt;2,SQRT(IF(OVolOverMonthlyPeak,OVolOverMonthlyPeak,IF(OVolCurve,IF(OBuySell,AA287,AC287),AB287))^2*(1-15/365.25/BT287)+IF(OVolOverDailyPeak,OVolOverDailyPeak,IF(OVolCurve,IF(OBuySell,AM287,AO287),AN287))^2*15/365.25/BT287),IF(OVolOverMonthlyPeak,OVolOverMonthlyPeak,IF(OVolCurve,IF(OBuySell,AA287,AC287),AB287))),"")</f>
        <v>#VALUE!</v>
      </c>
      <c r="CJ287" s="1587" t="e">
        <f aca="false">IF(BQ287,IF(BP287,SQRT(LN(1+((BU287*AZ287)^2*(EXP(CG287^2*BT287)-1)+(BV287*BA287)^2*(EXP(CH287^2*BT287)-1)+(BW287*BB287)^2*(EXP(CI287^2*BT287)-1)+2*BU287*AZ287*BV287*BA287*(EXP(CG287*CH287*BT287)-1)+2*BV287*BA287*BW287*BB287*(EXP(CH287*CI287*BT287)-1)+2*BW287*BB287*BU287*AZ287*(EXP(CI287*CG287*BT287)-1))/(BY287*BP287)^2)/BT287),0),"")</f>
        <v>#VALUE!</v>
      </c>
      <c r="CK287" s="1587" t="e">
        <f aca="false">IF(BS287,IF(BR287,SQRT(LN(1+((CA287*BH287)^2*(EXP(CG287^2*BT287)-1)+(CB287*BI287)^2*(EXP(CH287^2*BT287)-1)+(CC287*BJ287)^2*(EXP(CI287^2*BT287)-1)+2*CA287*BH287*CB287*BI287*(EXP(CG287*CH287*BT287)-1)+2*CB287*BI287*CC287*BJ287*(EXP(CH287*CI287*BT287)-1)+2*CC287*BJ287*CA287*BH287*(EXP(CI287*CG287*BT287)-1))/(CE287*BR287)^2)/BT287),0),"")</f>
        <v>#VALUE!</v>
      </c>
      <c r="CL287" s="1587" t="e">
        <f aca="false">IF(OR(BQ287,BS287),IF(OVolType&lt;&gt;2,SQRT(IF(OVolOverMonthlyOffPeak,OVolOverMonthlyOffPeak,IF(OVolCurve,IF(OBuySell,AD287,AF287),AE287))^2*(1-15/365.25/BT287)+IF(OVolOverDailyOffPeak,OVolOverDailyOffPeak,IF(OVolCurve,IF(OBuySell,AP287,AR287),AQ287))^2*15/365.25/BT287),IF(OVolOverMonthlyOffPeak,OVolOverMonthlyOffPeak,IF(OVolCurve,IF(OBuySell,AD287,AF287),AE287))),"")</f>
        <v>#VALUE!</v>
      </c>
      <c r="CM287" s="1587" t="e">
        <f aca="false">IF(BQ287,SQRT(LN(1+((BY287*BP287)^2*(EXP(CJ287^2*BT287)-1)+(BX287*BC287)^2*(EXP(CL287^2*BT287)-1)+2*BY287*BP287*BX287*BC287*(EXP(AS287*CJ287*CL287*BT287)-1))/(BY287*BP287+BX287*BC287)^2)/BT287),"")</f>
        <v>#VALUE!</v>
      </c>
      <c r="CN287" s="1588" t="e">
        <f aca="false">IF(BS287,SQRT(LN(1+((CE287*BR287)^2*(EXP(CK287^2*BT287)-1)+(CD287*BK287)^2*(EXP(CL287^2*BT287)-1)+2*CE287*BR287*CD287*BK287*(EXP(AS287*CK287*CL287*BT287)-1))/(CE287*BR287+CD287*BK287)^2)/BT287),"")</f>
        <v>#VALUE!</v>
      </c>
      <c r="CO287" s="1531" t="e">
        <f aca="false">IF(OR(BQ287,BS287),VLOOKUP(A287,GasTable,13)*HeatRatePeak*(1+VLOOKUP($B287,HeatRateDegradation,$C287+1))/1000,0)</f>
        <v>#VALUE!</v>
      </c>
      <c r="CP287" s="1316" t="e">
        <f aca="false">IF(OR(BQ287,BS287),VLOOKUP(A287,GasTable,13)*HeatRatePeak*(1+VLOOKUP($B287,HeatRateDegradation,$C287+1))/1000,0)</f>
        <v>#VALUE!</v>
      </c>
      <c r="CQ287" s="1316" t="e">
        <f aca="false">IF(OR(BQ287,BS287),VLOOKUP(A287,GasTable,13)*IF(EV287,HeatRatePeak,HeatRateOffPeak)*(1+VLOOKUP($B287,HeatRateDegradation,$C287+1))/1000,0)</f>
        <v>#VALUE!</v>
      </c>
      <c r="CR287" s="1316" t="e">
        <f aca="false">IF(OR(BQ287,BS287),VLOOKUP(A287,GasTable,13)*IF(EW287,HeatRatePeak,HeatRateOffPeak)*(1+VLOOKUP($B287,HeatRateDegradation,$C287+1))/1000,0)</f>
        <v>#VALUE!</v>
      </c>
      <c r="CS287" s="1589" t="e">
        <f aca="false">IF(BQ287,(CO287*AZ287+CP287*BA287+CQ287*BB287+CR287*BC287)/BQ287,0)</f>
        <v>#VALUE!</v>
      </c>
      <c r="CT287" s="1316" t="e">
        <f aca="false">IF(BS287,CO287,0)</f>
        <v>#VALUE!</v>
      </c>
      <c r="CU287" s="1590" t="e">
        <f aca="false">IF(OR(BQ287,BS287),VLOOKUP(A287,GasTable,14),"")</f>
        <v>#VALUE!</v>
      </c>
      <c r="CV287" s="1568" t="e">
        <f aca="false">IF(OR(BQ287,BS287),IF(CorrPowerGasOverFlag,INDEX(CorrPowerGasOver,C287),CorrPowerGas),"")</f>
        <v>#VALUE!</v>
      </c>
      <c r="CW287" s="1316" t="e">
        <f aca="false">IF(OR($BQ287,$BS287),SpreadOptPowerMargin,0)*((1+Assumptions!$C$26)^($B287-YEAR(Assumptions!$C$17)))</f>
        <v>#VALUE!</v>
      </c>
      <c r="CX287" s="1316" t="e">
        <f aca="false">IF(OR($BQ287,$BS287),SpreadOptPowerMargin,0)*((1+Assumptions!$C$26)^($B287-YEAR(Assumptions!$C$17)))</f>
        <v>#VALUE!</v>
      </c>
      <c r="CY287" s="1316" t="e">
        <f aca="false">IF(OR($BQ287,$BS287),SpreadOptPowerMargin,0)*((1+Assumptions!$C$26)^($B287-YEAR(Assumptions!$C$17)))</f>
        <v>#VALUE!</v>
      </c>
      <c r="CZ287" s="1316" t="e">
        <f aca="false">IF(OR($BQ287,$BS287),SpreadOptPowerMargin,0)*((1+Assumptions!$C$26)^($B287-YEAR(Assumptions!$C$17)))</f>
        <v>#VALUE!</v>
      </c>
      <c r="DA287" s="1591" t="e">
        <f aca="false">IF(OR(BQ287,BS287),(CW287*(AZ287+BH287)+CX287*(BA287+BI287)+CY287*(BB287+BJ287)+CZ287*(BC287+BK287))/(BQ287+BS287),0)</f>
        <v>#VALUE!</v>
      </c>
      <c r="DB287" s="1592" t="e">
        <f aca="false">IF(OR(BQ287,BS287),CG287+IF(OVolSmile,VLOOKUP(MAX(-5,CO287+CW287-BU287),IF(OVolSmile=1,VolSmileBook,VolSmileModel),2),0),"")</f>
        <v>#VALUE!</v>
      </c>
      <c r="DC287" s="1592" t="e">
        <f aca="false">IF(OR(BQ287,BS287),CH287+IF(OVolSmile,VLOOKUP(MAX(-5,CP287+CW287-BV287),IF(OVolSmile=1,VolSmileBook,VolSmileModel),2),0),"")</f>
        <v>#VALUE!</v>
      </c>
      <c r="DD287" s="1592" t="e">
        <f aca="false">IF(OR(BQ287,BS287),CI287+IF(OVolSmile,VLOOKUP(MAX(-5,CQ287+CW287-BW287),IF(OVolSmile=1,VolSmileBook,VolSmileModel),2),0),"")</f>
        <v>#VALUE!</v>
      </c>
      <c r="DE287" s="1592" t="e">
        <f aca="false">IF(OR(BQ287,BS287),CL287+IF(OVolSmile,VLOOKUP(MAX(-5,CR287+CZ287-BX287),IF(OVolSmile=1,VolSmileBook,VolSmileModel),2),0),"")</f>
        <v>#VALUE!</v>
      </c>
      <c r="DF287" s="1592" t="e">
        <f aca="false">IF(BQ287,CM287+IF(OVolSmile,VLOOKUP(MAX(-5,CS287+DA287-BZ287),IF(OVolSmile=1,VolSmileBook,VolSmileModel),2),0),"")</f>
        <v>#VALUE!</v>
      </c>
      <c r="DG287" s="1593" t="e">
        <f aca="false">IF(BS287,CN287+IF(OVolSmile,VLOOKUP(MAX(-5,CT287+DA287-CF287),IF(OVolSmile=1,VolSmileBook,VolSmileModel),2),0),"")</f>
        <v>#VALUE!</v>
      </c>
      <c r="DH287" s="1316" t="e">
        <f aca="false">IF(AND(BU287&gt;0,CO287&gt;0,DB287&gt;0,CU287&gt;0),newSPRDOPT(BU287,CO287,CW287,0,DB287,CU287,CV287,BT287*365.25,OCallPut,0),0)</f>
        <v>#VALUE!</v>
      </c>
      <c r="DI287" s="1316" t="e">
        <f aca="false">IF(AND(BV287&gt;0,CP287&gt;0,DC287&gt;0,CU287&gt;0),newSPRDOPT(BV287,CP287,CX287,0,DC287,CU287,CV287,BT287*365.25,OCallPut,0),0)</f>
        <v>#VALUE!</v>
      </c>
      <c r="DJ287" s="1316" t="e">
        <f aca="false">IF(AND(BW287&gt;0,CQ287&gt;0,DD287&gt;0,CU287&gt;0),newSPRDOPT(BW287,CQ287,CY287,0,DD287,CU287,CV287,BT287*365.25,OCallPut,0),0)</f>
        <v>#VALUE!</v>
      </c>
      <c r="DK287" s="1316" t="e">
        <f aca="false">IF(AND(BX287&gt;0,CR287&gt;0,DE287&gt;0,CU287&gt;0),newSPRDOPT(BX287,CR287,CZ287,0,DE287,CU287,CV287,BT287*365.25,OCallPut,0),0)</f>
        <v>#VALUE!</v>
      </c>
      <c r="DL287" s="1316" t="e">
        <f aca="false">IF(OVolType,IF(AND(BZ287&gt;0,CS287&gt;0,DF287&gt;0,CU287&gt;0),newSPRDOPT(BZ287,CS287,DA287,0,DF287,CU287,CV287,BT287*365.25,OCallPut,0),0),IF(BQ287,(DH287*AZ287+DI287*BA287+DJ287*BB287+DK287*BC287)/BQ287,0))</f>
        <v>#VALUE!</v>
      </c>
      <c r="DM287" s="1316"/>
      <c r="DN287" s="1316"/>
      <c r="DO287" s="1316"/>
      <c r="DP287" s="1316"/>
      <c r="DQ287" s="1316"/>
      <c r="DR287" s="1316"/>
      <c r="DS287" s="1316"/>
      <c r="DT287" s="1316"/>
      <c r="DU287" s="1316"/>
      <c r="DV287" s="1316"/>
      <c r="DW287" s="1594" t="e">
        <f aca="false">IF(AND(BW287&gt;0,CT287&gt;0,DD287&gt;0,CU287&gt;0),newSPRDOPT(BW287,CT287,CY287,0,DD287,CU287,CV287,BT287*365.25,OCallPut,0),0)</f>
        <v>#VALUE!</v>
      </c>
      <c r="DX287" s="1316" t="e">
        <f aca="false">IF(AND(BX287&gt;0,CT287&gt;0,DE287&gt;0,CU287&gt;0),newSPRDOPT(BX287,CT287,CZ287,0,DE287,CU287,CV287,BT287*365.25,OCallPut,0),0)</f>
        <v>#VALUE!</v>
      </c>
      <c r="DY287" s="1591" t="e">
        <f aca="false">IF(BS287,(DH287*BH287+DI287*BI287+DW287*BJ287+DX287*BK287)/BS287,0)</f>
        <v>#VALUE!</v>
      </c>
      <c r="DZ287" s="1551" t="e">
        <f aca="false">DH287*AZ287</f>
        <v>#VALUE!</v>
      </c>
      <c r="EA287" s="1551" t="e">
        <f aca="false">DI287*BA287</f>
        <v>#VALUE!</v>
      </c>
      <c r="EB287" s="1551" t="e">
        <f aca="false">DJ287*BB287</f>
        <v>#VALUE!</v>
      </c>
      <c r="EC287" s="1551" t="e">
        <f aca="false">DK287*BC287</f>
        <v>#VALUE!</v>
      </c>
      <c r="ED287" s="1551" t="e">
        <f aca="false">DL287*BQ287</f>
        <v>#VALUE!</v>
      </c>
      <c r="EE287" s="1595" t="e">
        <f aca="false">IF(BQ287,IF(OCallPut,IF(BU287&gt;(CO287+CW287),BU287-(CO287+CW287),0),IF((CO287+CW287)&gt;BU287,(CO287+CW287)-BU287,0))*AZ287,0)</f>
        <v>#VALUE!</v>
      </c>
      <c r="EF287" s="1596" t="e">
        <f aca="false">IF(BQ287,IF(OCallPut,IF(BV287&gt;(CP287+CX287),BV287-(CP287+CX287),0),IF((CP287+CX287)&gt;BV287,(CP287+CX287)-BV287,0))*BA287,0)</f>
        <v>#VALUE!</v>
      </c>
      <c r="EG287" s="1596" t="e">
        <f aca="false">IF(BQ287,IF(OCallPut,IF(BW287&gt;(CQ287+CY287),BW287-(CQ287+CY287),0),IF((CQ287+CY287)&gt;BW287,(CQ287+CY287)-BW287,0))*BB287,0)</f>
        <v>#VALUE!</v>
      </c>
      <c r="EH287" s="1596" t="e">
        <f aca="false">IF(BQ287,IF(OCallPut,IF(BX287&gt;(CR287+CZ287),BX287-(CR287+CZ287),0),IF((CR287+CZ287)&gt;BX287,(CR287+CZ287)-BX287,0))*BC287,0)</f>
        <v>#VALUE!</v>
      </c>
      <c r="EI287" s="1597" t="e">
        <f aca="false">IF(BQ287,IF(OVolType,IF(OCallPut,IF(BZ287&gt;(CS287+DA287),BZ287-(CS287+DA287),0),IF((CS287+DA287)&gt;BZ287,(CS287+DA287)-BZ287,0))*BQ287,SUM(EE287:EH287)),0)</f>
        <v>#VALUE!</v>
      </c>
      <c r="EJ287" s="1595" t="e">
        <f aca="false">DZ287-EE287</f>
        <v>#VALUE!</v>
      </c>
      <c r="EK287" s="1596" t="e">
        <f aca="false">EA287-EF287</f>
        <v>#VALUE!</v>
      </c>
      <c r="EL287" s="1596" t="e">
        <f aca="false">EB287-EG287</f>
        <v>#VALUE!</v>
      </c>
      <c r="EM287" s="1596" t="e">
        <f aca="false">EC287-EH287</f>
        <v>#VALUE!</v>
      </c>
      <c r="EN287" s="1597" t="e">
        <f aca="false">ED287-EI287</f>
        <v>#VALUE!</v>
      </c>
      <c r="EO287" s="1551" t="e">
        <f aca="false">DH287*BH287</f>
        <v>#VALUE!</v>
      </c>
      <c r="EP287" s="1551" t="e">
        <f aca="false">DI287*BI287</f>
        <v>#VALUE!</v>
      </c>
      <c r="EQ287" s="1551" t="e">
        <f aca="false">DW287*BJ287</f>
        <v>#VALUE!</v>
      </c>
      <c r="ER287" s="1551" t="e">
        <f aca="false">DX287*BK287</f>
        <v>#VALUE!</v>
      </c>
      <c r="ES287" s="1551" t="e">
        <f aca="false">DY287*BS287</f>
        <v>#VALUE!</v>
      </c>
      <c r="ET287" s="1566" t="e">
        <f aca="false">IF(EI287,IF(OCallPut,IF(CA287&gt;(CT287+CW287),CA287-(CT287+CW287),0),IF((CT287+CW287)&gt;CA287,(CT287+CW287)-CA287,0))*BH287,0)</f>
        <v>#VALUE!</v>
      </c>
      <c r="EU287" s="1551" t="e">
        <f aca="false">IF(EI287,IF(OCallPut,IF(CB287&gt;(CT287+CX287),CB287-(CT287+CX287),0),IF((CT287+CX287)&gt;CB287,(CT287+CX287)-CB287,0))*BI287,0)</f>
        <v>#VALUE!</v>
      </c>
      <c r="EV287" s="1551" t="e">
        <f aca="false">IF(EI287,IF(OCallPut,IF(CC287&gt;(CT287+CY287),CC287-(CT287+CY287),0),IF((CT287+CY287)&gt;CC287,(CT287+CY287)-CC287,0))*BJ287,0)</f>
        <v>#VALUE!</v>
      </c>
      <c r="EW287" s="1551" t="e">
        <f aca="false">IF(EI287,IF(OCallPut,IF(CD287&gt;(CT287+CZ287),CD287-(CT287+CZ287),0),IF((CT287+CZ287)&gt;CD287,(CT287+CZ287)-CD287,0))*BK287,0)</f>
        <v>#VALUE!</v>
      </c>
      <c r="EX287" s="1558" t="e">
        <f aca="false">IF(EI287,SUM(ET287:EW287),0)</f>
        <v>#VALUE!</v>
      </c>
      <c r="EY287" s="1551" t="e">
        <f aca="false">EO287-ET287</f>
        <v>#VALUE!</v>
      </c>
      <c r="EZ287" s="1551" t="e">
        <f aca="false">EP287-EU287</f>
        <v>#VALUE!</v>
      </c>
      <c r="FA287" s="1551" t="e">
        <f aca="false">EQ287-EV287</f>
        <v>#VALUE!</v>
      </c>
      <c r="FB287" s="1551" t="e">
        <f aca="false">ER287-EW287</f>
        <v>#VALUE!</v>
      </c>
      <c r="FC287" s="1551" t="e">
        <f aca="false">ES287-EX287</f>
        <v>#VALUE!</v>
      </c>
      <c r="FD287" s="1525" t="n">
        <f aca="false">IF(AX287,IF(VLOOKUP(C287,MAIN!$L$17:$M$28,2)="Yes",VLOOKUP(CALC!B287,MAIN!$H$17:$I$20,2),0),0)</f>
        <v>0</v>
      </c>
      <c r="FE287" s="1552" t="e">
        <f aca="false">$FD287*16*AT287*(1-$AY287)</f>
        <v>#VALUE!</v>
      </c>
      <c r="FF287" s="1553" t="e">
        <f aca="false">$FD287*16*AU287*(1-$AY287)</f>
        <v>#VALUE!</v>
      </c>
      <c r="FG287" s="1553" t="e">
        <f aca="false">$FD287*16*(AV287+AW287)*(1-$AY287)</f>
        <v>#VALUE!</v>
      </c>
      <c r="FH287" s="1554" t="n">
        <f aca="false">$FD287*8*AX287*(1-$AY287)</f>
        <v>0</v>
      </c>
      <c r="FI287" s="1555" t="n">
        <f aca="false">IF(AX287,VLOOKUP(CALC!B287,MAIN!$H$17:$K$20,4),0)</f>
        <v>0</v>
      </c>
      <c r="FJ287" s="1553" t="e">
        <f aca="false">SUM(FE287:FH287)</f>
        <v>#VALUE!</v>
      </c>
      <c r="FK287" s="1556" t="e">
        <f aca="false">FI287*FJ287</f>
        <v>#VALUE!</v>
      </c>
      <c r="FL287" s="1551" t="e">
        <f aca="false">IF($EI287&gt;0,MIN(FE287,AZ287*(1+VLOOKUP($C287,WeatherCapacityAdjustment,2))),0)</f>
        <v>#VALUE!</v>
      </c>
      <c r="FM287" s="1551" t="e">
        <f aca="false">IF($EI287&gt;0,MIN(FF287,BA287*(1+VLOOKUP($C287,WeatherCapacityAdjustment,2))),0)</f>
        <v>#VALUE!</v>
      </c>
      <c r="FN287" s="1551" t="e">
        <f aca="false">IF($EI287&gt;0,MIN(FG287,BB287*(1+VLOOKUP($C287,WeatherCapacityAdjustment,2))),0)</f>
        <v>#VALUE!</v>
      </c>
      <c r="FO287" s="1564" t="e">
        <f aca="false">IF($EI287&gt;0,MIN(FH287,BC287*(1+VLOOKUP($C287,WeatherCapacityAdjustment,3))),0)</f>
        <v>#VALUE!</v>
      </c>
      <c r="FP287" s="1551" t="e">
        <f aca="false">IF(ET287&gt;0,MIN(FE287-FL287,BH287*(1+VLOOKUP($C287,WeatherCapacityAdjustment,2))),0)</f>
        <v>#VALUE!</v>
      </c>
      <c r="FQ287" s="1551" t="e">
        <f aca="false">IF(EU287&gt;0,MIN(FF287-FM287,BI287*(1+VLOOKUP($C287,WeatherCapacityAdjustment,2))),0)</f>
        <v>#VALUE!</v>
      </c>
      <c r="FR287" s="1551" t="e">
        <f aca="false">IF(EV287&gt;0,MIN(FG287-FN287,BJ287*(1+VLOOKUP($C287,WeatherCapacityAdjustment,2))),0)</f>
        <v>#VALUE!</v>
      </c>
      <c r="FS287" s="1558" t="e">
        <f aca="false">IF(EW287&gt;0,MIN(FH287-FO287,BK287*(1+VLOOKUP($C287,WeatherCapacityAdjustment,3))),0)</f>
        <v>#VALUE!</v>
      </c>
      <c r="FT287" s="1566" t="e">
        <f aca="false">IF(AND(Assumptions!$H$71="Yes",A287&gt;=Assumptions!$H$72,A287&lt;=Assumptions!$H$73),0,IF(AND($A287&gt;=Assumptions!$C$17,$A287&lt;=Assumptions!$C$18),MAX(AZ287*(1+VLOOKUP($C287,WeatherCapacityAdjustment,2))-FL287,0),0))</f>
        <v>#VALUE!</v>
      </c>
      <c r="FU287" s="1551" t="e">
        <f aca="false">IF(AND(Assumptions!$H$71="Yes",A287&gt;=Assumptions!$H$72,A287&lt;=Assumptions!$H$73),0,IF(AND($A287&gt;=Assumptions!$C$17,$A287&lt;=Assumptions!$C$18),MAX(BA287*(1+VLOOKUP($C287,WeatherCapacityAdjustment,2))-FM287,0),0))</f>
        <v>#VALUE!</v>
      </c>
      <c r="FV287" s="1551" t="e">
        <f aca="false">IF(AND(Assumptions!$H$71="Yes",A287&gt;=Assumptions!$H$72,A287&lt;=Assumptions!$H$73),0,IF(AND($A287&gt;=Assumptions!$C$17,$A287&lt;=Assumptions!$C$18),MAX(BB287*(1+VLOOKUP($C287,WeatherCapacityAdjustment,2))-FN287,0),0))</f>
        <v>#VALUE!</v>
      </c>
      <c r="FW287" s="1564" t="e">
        <f aca="false">IF(AND(Assumptions!$H$71="Yes",A287&gt;=Assumptions!$H$72,A287&lt;=Assumptions!$H$73),0,IF(AND($A287&gt;=Assumptions!$C$17,$A287&lt;=Assumptions!$C$18),MAX(BC287*(1+VLOOKUP($C287,WeatherCapacityAdjustment,3))-FO287,0),0))</f>
        <v>#VALUE!</v>
      </c>
      <c r="FX287" s="1569" t="e">
        <f aca="false">IF(AND(Assumptions!$H$71="Yes",A287&gt;=Assumptions!$H$72,A287&lt;=Assumptions!$H$73),0,IF(ET287&gt;0,MAX(BH287*(1+VLOOKUP($C287,WeatherCapacityAdjustment,2))-FP287,0),0))</f>
        <v>#VALUE!</v>
      </c>
      <c r="FY287" s="1551" t="e">
        <f aca="false">IF(AND(Assumptions!$H$71="Yes",A287&gt;=Assumptions!$H$72,A287&lt;=Assumptions!$H$73),0,IF(EU287&gt;0,MAX(BI287*(1+VLOOKUP($C287,WeatherCapacityAdjustment,3))-FQ287,0),0))</f>
        <v>#VALUE!</v>
      </c>
      <c r="FZ287" s="1551" t="e">
        <f aca="false">IF(AND(Assumptions!$H$71="Yes",A287&gt;=Assumptions!$H$72,A287&lt;=Assumptions!$H$73),0,IF(EV287&gt;0,MAX(BJ287*(1+VLOOKUP($C287,WeatherCapacityAdjustment,2))-FR287,0),0))</f>
        <v>#VALUE!</v>
      </c>
      <c r="GA287" s="1564" t="e">
        <f aca="false">IF(AND(Assumptions!$H$71="Yes",A287&gt;=Assumptions!$H$72,A287&lt;=Assumptions!$H$73),0,IF(EW287&gt;0,MAX(BK287*(1+VLOOKUP($C287,WeatherCapacityAdjustment,2))-FS287,0),0))</f>
        <v>#VALUE!</v>
      </c>
      <c r="GB287" s="1551" t="e">
        <f aca="false">SUM(FT287:GA287)</f>
        <v>#VALUE!</v>
      </c>
      <c r="GC287" s="1563" t="e">
        <f aca="false">+IF(SUM(FT287:GA287)=0,0,(SUMPRODUCT(BU287:BX287,FT287:FW287)+SUMPRODUCT(CA287:CD287,FX287:GA287))/SUM(FT287:GA287))</f>
        <v>#VALUE!</v>
      </c>
      <c r="GD287" s="1551" t="e">
        <f aca="false">(FT287*BU287+FX287*CA287+FU287*BV287+FY287*CB287+FV287*BW287+FZ287*CC287+FW287*BX287+GA287*CD287)</f>
        <v>#VALUE!</v>
      </c>
      <c r="GE287" s="1561" t="e">
        <f aca="false">+IF(BQ287,((FL287+FM287+FT287+FU287)*HeatRatePeak/1000*(1+VLOOKUP($C287,WeatherHeatRateAdjustment,2))+(FN287+FV287)*IF(EV287&gt;0,HeatRatePeak,HeatRateOffPeak)/1000*(1+VLOOKUP($C287,WeatherHeatRateAdjustment,2))+(FO287+FW287)*IF(EW287&gt;0,HeatRatePeak,HeatRateOffPeak)/1000*(1+VLOOKUP($C287,WeatherHeatRateAdjustment,3)))*(1+VLOOKUP($B287,HeatRateDegradation,$C287+1)),0)</f>
        <v>#VALUE!</v>
      </c>
      <c r="GF287" s="1562" t="e">
        <f aca="false">IF(BQ287,((FP287+FQ287+FR287+FX287+FY287+FZ287)*HeatRatePeak/1000*(1+VLOOKUP($C287,WeatherHeatRateAdjustment,2))+(FS287+GA287)*HeatRatePeak/1000*(1+VLOOKUP($C287,WeatherHeatRateAdjustment,3)))*(1+VLOOKUP($B287,HeatRateDegradation,$C287+1)),0)</f>
        <v>#VALUE!</v>
      </c>
      <c r="GG287" s="1563" t="e">
        <f aca="false">IF(BQ287,VLOOKUP(A287,GasTable,13),0)</f>
        <v>#VALUE!</v>
      </c>
      <c r="GH287" s="1564" t="e">
        <f aca="false">(GE287+GF287)*GG287</f>
        <v>#VALUE!</v>
      </c>
      <c r="GI287" s="1569" t="e">
        <f aca="false">GB287</f>
        <v>#VALUE!</v>
      </c>
      <c r="GJ287" s="1598" t="e">
        <f aca="false">+DA287</f>
        <v>#VALUE!</v>
      </c>
      <c r="GK287" s="1558" t="e">
        <f aca="false">+GI287*GJ287</f>
        <v>#VALUE!</v>
      </c>
      <c r="GL287" s="1566" t="e">
        <f aca="false">MAX(FE287-FL287-FP287,0)</f>
        <v>#VALUE!</v>
      </c>
      <c r="GM287" s="1551" t="e">
        <f aca="false">MAX(FF287-FM287-FQ287,0)</f>
        <v>#VALUE!</v>
      </c>
      <c r="GN287" s="1551" t="e">
        <f aca="false">MAX(FG287-FN287-FR287,0)</f>
        <v>#VALUE!</v>
      </c>
      <c r="GO287" s="1564" t="e">
        <f aca="false">MAX(FH287-FO287-FS287,0)</f>
        <v>#VALUE!</v>
      </c>
      <c r="GP287" s="1551" t="e">
        <f aca="false">SUM(GL287:GO287)</f>
        <v>#VALUE!</v>
      </c>
      <c r="GQ287" s="1563" t="e">
        <f aca="false">IF(SUM(GL287:GO287)=0,0,((GL287*BU287+GM287*BV287+GN287*BW287+GO287*BX287)/SUM(GL287:GO287)))</f>
        <v>#VALUE!</v>
      </c>
      <c r="GR287" s="1558" t="e">
        <f aca="false">(GL287*BU287+GM287*BV287+GN287*BW287+GO287*BX287)</f>
        <v>#VALUE!</v>
      </c>
      <c r="GS287" s="1566" t="n">
        <f aca="false">IF($A287&gt;=BegDate,Assumptions!$C$56*24*($A288-$A287)*(1-VLOOKUP($B287,MAIN!$AA$7:$AM$28,$C287+1))*(1-VLOOKUP($B287,MAIN!$AA$33:$AM$54,$C287+1)),0)*80/168</f>
        <v>249428.571428571</v>
      </c>
      <c r="GT287" s="286" t="n">
        <f aca="false">J287</f>
        <v>64.8810564312538</v>
      </c>
      <c r="GU287" s="286" t="n">
        <f aca="false">IF($A287&gt;=BegDate,VLOOKUP($A287,GasTable,13)+Assumptions!$C$58,0)</f>
        <v>4.58711122179671</v>
      </c>
      <c r="GV287" s="286" t="n">
        <f aca="false">GU287*Assumptions!$C$57/1000</f>
        <v>33.2565563580261</v>
      </c>
      <c r="GW287" s="1558" t="n">
        <f aca="false">IF(Assumptions!$C$60="Hourly",MAX(0,GS287*(GT287-GV287)),GS287*(GT287-GV287))</f>
        <v>7888053.87540794</v>
      </c>
      <c r="GX287" s="1566" t="n">
        <f aca="false">IF($A287&gt;=BegDate,Assumptions!$C$56*24*($A288-$A287)*(1-VLOOKUP($B287,MAIN!$AA$7:$AM$28,$C287+1))*(1-VLOOKUP($B287,MAIN!$AA$33:$AM$54,$C287+1)),0)*16/168</f>
        <v>49885.7142857143</v>
      </c>
      <c r="GY287" s="286" t="n">
        <f aca="false">M287</f>
        <v>64.8810564312538</v>
      </c>
      <c r="GZ287" s="286" t="n">
        <f aca="false">IF($A287&gt;=BegDate,VLOOKUP($A287,GasTable,13)+Assumptions!$C$58,0)</f>
        <v>4.58711122179671</v>
      </c>
      <c r="HA287" s="286" t="n">
        <f aca="false">GZ287*Assumptions!$C$57/1000</f>
        <v>33.2565563580261</v>
      </c>
      <c r="HB287" s="1558" t="n">
        <f aca="false">IF(Assumptions!$C$60="Hourly",MAX(0,GX287*(GY287-HA287)),GX287*(GY287-HA287))</f>
        <v>1577610.77508159</v>
      </c>
      <c r="HC287" s="1566" t="n">
        <f aca="false">IF($A287&gt;=BegDate,Assumptions!$C$56*24*($A288-$A287)*(1-VLOOKUP($B287,MAIN!$AA$7:$AM$28,$C287+1))*(1-VLOOKUP($B287,MAIN!$AA$33:$AM$54,$C287+1)),0)*16/168</f>
        <v>49885.7142857143</v>
      </c>
      <c r="HD287" s="286" t="n">
        <f aca="false">P287</f>
        <v>37.9247364997373</v>
      </c>
      <c r="HE287" s="286" t="n">
        <f aca="false">IF($A287&gt;=BegDate,VLOOKUP($A287,GasTable,13)+Assumptions!$C$58,0)</f>
        <v>4.58711122179671</v>
      </c>
      <c r="HF287" s="286" t="n">
        <f aca="false">HE287*Assumptions!$C$57/1000</f>
        <v>33.2565563580261</v>
      </c>
      <c r="HG287" s="1558" t="n">
        <f aca="false">IF(Assumptions!$C$60="Hourly",MAX(0,HC287*(HD287-HF287)),HC287*(HD287-HF287))</f>
        <v>232875.500783648</v>
      </c>
      <c r="HH287" s="1566" t="n">
        <f aca="false">IF($A287&gt;=BegDate,Assumptions!$C$56*24*($A288-$A287)*(1-VLOOKUP($B287,MAIN!$AA$7:$AM$28,$C287+1))*(1-VLOOKUP($B287,MAIN!$AA$33:$AM$54,$C287+1)),0)*56/168</f>
        <v>174600</v>
      </c>
      <c r="HI287" s="286" t="n">
        <f aca="false">S287</f>
        <v>37.9247364997373</v>
      </c>
      <c r="HJ287" s="286" t="n">
        <f aca="false">IF($A287&gt;=BegDate,VLOOKUP($A287,GasTable,13)+Assumptions!$C$58,0)</f>
        <v>4.58711122179671</v>
      </c>
      <c r="HK287" s="286" t="n">
        <f aca="false">HJ287*Assumptions!$C$57/1000</f>
        <v>33.2565563580261</v>
      </c>
      <c r="HL287" s="1558" t="n">
        <f aca="false">IF(Assumptions!$C$60="Hourly",MAX(0,HH287*(HI287-HK287)),HH287*(HI287-HK287))</f>
        <v>815064.252742768</v>
      </c>
      <c r="HM287" s="1566" t="n">
        <f aca="false">IF(AND(Assumptions!$H$71="Yes",A287&gt;=Assumptions!$H$72,A287&lt;=Assumptions!$H$73),Assumptions!$H$74*Assumptions!$C$9*1000,0)</f>
        <v>0</v>
      </c>
      <c r="HN287" s="1551"/>
      <c r="HO287" s="1563"/>
      <c r="HP287" s="1563"/>
      <c r="HQ287" s="1563"/>
      <c r="HR287" s="1563"/>
      <c r="HS287" s="1563"/>
      <c r="HT287" s="1563"/>
      <c r="HU287" s="1563"/>
      <c r="HV287" s="1563"/>
      <c r="HW287" s="1563"/>
      <c r="HX287" s="1563"/>
      <c r="HY287" s="1563"/>
      <c r="HZ287" s="1563"/>
      <c r="IA287" s="1563"/>
      <c r="IB287" s="1563"/>
      <c r="IC287" s="1563"/>
      <c r="ID287" s="1563"/>
      <c r="IE287" s="1563"/>
      <c r="IF287" s="1563"/>
      <c r="IG287" s="1563"/>
      <c r="IH287" s="1563"/>
      <c r="II287" s="1610"/>
      <c r="IJ287" s="1309"/>
      <c r="IK287" s="1309"/>
    </row>
    <row r="288" customFormat="false" ht="12.75" hidden="false" customHeight="false" outlineLevel="0" collapsed="false">
      <c r="A288" s="1571" t="n">
        <f aca="false">EOMONTH(A287,0)+1</f>
        <v>44896</v>
      </c>
      <c r="B288" s="594" t="n">
        <f aca="false">+YEAR(A288)</f>
        <v>2022</v>
      </c>
      <c r="C288" s="238" t="n">
        <f aca="false">MONTH(A288)</f>
        <v>12</v>
      </c>
      <c r="D288" s="1572" t="e">
        <f aca="false">IF(E288="","",Holiday(B288,C288))</f>
        <v>#VALUE!</v>
      </c>
      <c r="E288" s="1573" t="n">
        <f aca="false">IF(OR(BegDate&gt;=A289,EndDate&lt;A288,AND(VolumeMonthlyOverFlag,INDEX(VolumeMonthlyOver,C288)=0),NOT(INDEX(MonthKnockOutTable,C288))),"",MAX(A288,BegDate))</f>
        <v>44896</v>
      </c>
      <c r="F288" s="1574" t="n">
        <f aca="false">IF(E288="","",MIN(A289-1,EndDate))</f>
        <v>44926</v>
      </c>
      <c r="G288" s="1575" t="n">
        <v>0</v>
      </c>
      <c r="H288" s="1576" t="n">
        <f aca="false">(1+G288/2)^(-2*(DATE(B289,C289,20)-DateToday)/365.25)</f>
        <v>1</v>
      </c>
      <c r="I288" s="1568" t="n">
        <f aca="false">IF(Assumptions!$L$25=4,VLOOKUP($A288,'Henwood Reference'!$E$9:$R$320,10),(VLOOKUP($A288,PriceTable,2,0)+IF(BasisNumber&lt;&gt;1,VLOOKUP($A288,BasisTable,2,0),0)+I$1)/(1-I$2))</f>
        <v>61.7900246775046</v>
      </c>
      <c r="J288" s="1568" t="n">
        <f aca="false">IF(Assumptions!$L$25=4,VLOOKUP($A288,'Henwood Reference'!$E$9:$R$320,10),(VLOOKUP($A288,PriceTable,3,0)+IF(BasisNumber&lt;&gt;1,VLOOKUP($A288,BasisTable,2,0),0)+J$1)/(1-J$2))</f>
        <v>61.7900246775046</v>
      </c>
      <c r="K288" s="1568" t="n">
        <f aca="false">IF(Assumptions!$L$25=4,VLOOKUP($A288,'Henwood Reference'!$E$9:$R$320,10),(VLOOKUP($A288,PriceTable,4,0)+IF(BasisNumber&lt;&gt;1,VLOOKUP($A288,BasisTable,2,0),0)+K$1)/(1-K$2))</f>
        <v>61.7900246775046</v>
      </c>
      <c r="L288" s="1523" t="n">
        <f aca="false">IF(Assumptions!$L$25=4,VLOOKUP($A288,'Henwood Reference'!$E$9:$R$320,10),(VLOOKUP($A288,PriceTableWeekend,2,0)+IF(BasisNumber&lt;&gt;1,VLOOKUP($A288,BasisTable,2,0),0)+L$1)/(1-L$2))</f>
        <v>61.7900246775046</v>
      </c>
      <c r="M288" s="1568" t="n">
        <f aca="false">IF(Assumptions!$L$25=4,VLOOKUP($A288,'Henwood Reference'!$E$9:$R$320,10),(VLOOKUP($A288,PriceTableWeekend,3,0)+IF(BasisNumber&lt;&gt;1,VLOOKUP($A288,BasisTable,2,0),0)+M$1)/(1-M$2))</f>
        <v>61.7900246775046</v>
      </c>
      <c r="N288" s="1599" t="n">
        <f aca="false">IF(Assumptions!$L$25=4,VLOOKUP($A288,'Henwood Reference'!$E$9:$R$320,10),(VLOOKUP($A288,PriceTableWeekend,4,0)+IF(BasisNumber&lt;&gt;1,VLOOKUP($A288,BasisTable,2,0),0)+N$1)/(1-N$2))</f>
        <v>61.7900246775046</v>
      </c>
      <c r="O288" s="1568" t="n">
        <f aca="false">IF(Assumptions!$L$25=4,VLOOKUP($A288,'Henwood Reference'!$E$9:$R$320,11),(VLOOKUP($A288,PriceTableWeekend,6,0)+IF(BasisNumber&lt;&gt;1,VLOOKUP($A288,BasisTable,3,0),0)+O$1)/(1-O$2))</f>
        <v>38.7243171854626</v>
      </c>
      <c r="P288" s="1568" t="n">
        <f aca="false">IF(Assumptions!$L$25=4,VLOOKUP($A288,'Henwood Reference'!$E$9:$R$320,11),(VLOOKUP($A288,PriceTableWeekend,7,0)+IF(BasisNumber&lt;&gt;1,VLOOKUP($A288,BasisTable,3,0),0)+P$1)/(1-P$2))</f>
        <v>38.7243171854626</v>
      </c>
      <c r="Q288" s="1599" t="n">
        <f aca="false">IF(Assumptions!$L$25=4,VLOOKUP($A288,'Henwood Reference'!$E$9:$R$320,11),(VLOOKUP($A288,PriceTableWeekend,8,0)+IF(BasisNumber&lt;&gt;1,VLOOKUP($A288,BasisTable,3,0),0)+Q$1)/(1-Q$2))</f>
        <v>38.7243171854626</v>
      </c>
      <c r="R288" s="1568" t="n">
        <f aca="false">IF(Assumptions!$L$25=4,VLOOKUP($A288,'Henwood Reference'!$E$9:$R$320,11),(VLOOKUP($A288,PriceTable,6,0)+IF(BasisNumber&lt;&gt;1,VLOOKUP($A288,BasisTable,3,0),0)+R$1)/(1-R$2))</f>
        <v>38.7243171854626</v>
      </c>
      <c r="S288" s="1568" t="n">
        <f aca="false">IF(Assumptions!$L$25=4,VLOOKUP($A288,'Henwood Reference'!$E$9:$R$320,11),(VLOOKUP($A288,PriceTable,7,0)+IF(BasisNumber&lt;&gt;1,VLOOKUP($A288,BasisTable,3,0),0)+S$1)/(1-S$2))</f>
        <v>38.7243171854626</v>
      </c>
      <c r="T288" s="1600" t="n">
        <f aca="false">IF(Assumptions!$L$25=4,VLOOKUP($A288,'Henwood Reference'!$E$9:$R$320,11),(VLOOKUP($A288,PriceTable,8,0)+IF(BasisNumber&lt;&gt;1,VLOOKUP($A288,BasisTable,3,0),0)+T$1)/(1-T$2))</f>
        <v>38.7243171854626</v>
      </c>
      <c r="U288" s="1513" t="n">
        <f aca="false">VLOOKUP($A288,VolatilityTable,14)</f>
        <v>0.09</v>
      </c>
      <c r="V288" s="1513" t="n">
        <f aca="false">VLOOKUP($A288,VolatilityTable,15)</f>
        <v>0.1</v>
      </c>
      <c r="W288" s="1514" t="n">
        <f aca="false">VLOOKUP($A288,VolatilityTable,16)</f>
        <v>0.11</v>
      </c>
      <c r="X288" s="1513" t="n">
        <f aca="false">VLOOKUP($A288,VolatilityTable,14)</f>
        <v>0.09</v>
      </c>
      <c r="Y288" s="1513" t="n">
        <f aca="false">VLOOKUP($A288,VolatilityTable,15)</f>
        <v>0.1</v>
      </c>
      <c r="Z288" s="1514" t="n">
        <f aca="false">VLOOKUP($A288,VolatilityTable,16)</f>
        <v>0.11</v>
      </c>
      <c r="AA288" s="1513" t="n">
        <f aca="false">VLOOKUP($A288,VolatilityTable,18)</f>
        <v>0.09</v>
      </c>
      <c r="AB288" s="1513" t="n">
        <f aca="false">VLOOKUP($A288,VolatilityTable,19)</f>
        <v>0.11</v>
      </c>
      <c r="AC288" s="1514" t="n">
        <f aca="false">VLOOKUP($A288,VolatilityTable,20)</f>
        <v>0.13</v>
      </c>
      <c r="AD288" s="1513" t="n">
        <f aca="false">VLOOKUP($A288,VolatilityTable,18)</f>
        <v>0.09</v>
      </c>
      <c r="AE288" s="1513" t="n">
        <f aca="false">VLOOKUP($A288,VolatilityTable,19)</f>
        <v>0.11</v>
      </c>
      <c r="AF288" s="1514" t="n">
        <f aca="false">VLOOKUP($A288,VolatilityTable,20)</f>
        <v>0.13</v>
      </c>
      <c r="AG288" s="1513" t="n">
        <f aca="false">VLOOKUP($A288,VolatilityTable,22)</f>
        <v>-0.25</v>
      </c>
      <c r="AH288" s="1513" t="n">
        <f aca="false">VLOOKUP($A288,VolatilityTable,23)</f>
        <v>0.6</v>
      </c>
      <c r="AI288" s="1514" t="n">
        <f aca="false">VLOOKUP($A288,VolatilityTable,24)</f>
        <v>0.25</v>
      </c>
      <c r="AJ288" s="1513" t="n">
        <f aca="false">VLOOKUP($A288,VolatilityTable,22)</f>
        <v>-0.25</v>
      </c>
      <c r="AK288" s="1513" t="n">
        <f aca="false">VLOOKUP($A288,VolatilityTable,23)</f>
        <v>0.6</v>
      </c>
      <c r="AL288" s="1514" t="n">
        <f aca="false">VLOOKUP($A288,VolatilityTable,24)</f>
        <v>0.25</v>
      </c>
      <c r="AM288" s="1513" t="n">
        <f aca="false">VLOOKUP($A288,VolatilityTable,26)</f>
        <v>-0.01</v>
      </c>
      <c r="AN288" s="1513" t="n">
        <f aca="false">VLOOKUP($A288,VolatilityTable,27)</f>
        <v>0.16</v>
      </c>
      <c r="AO288" s="1514" t="n">
        <f aca="false">VLOOKUP($A288,VolatilityTable,28)</f>
        <v>0.01</v>
      </c>
      <c r="AP288" s="1513" t="n">
        <f aca="false">VLOOKUP($A288,VolatilityTable,26)</f>
        <v>-0.01</v>
      </c>
      <c r="AQ288" s="1513" t="n">
        <f aca="false">VLOOKUP($A288,VolatilityTable,27)</f>
        <v>0.16</v>
      </c>
      <c r="AR288" s="1515" t="n">
        <f aca="false">VLOOKUP($A288,VolatilityTable,28)</f>
        <v>0.01</v>
      </c>
      <c r="AS288" s="1581" t="n">
        <f aca="false">IF(CorrPeakOffPeakOverFlag,INDEX(CorrPeakOffPeakOver,C288),CorrPeakOffPeak)</f>
        <v>0.5</v>
      </c>
      <c r="AT288" s="594" t="e">
        <f aca="false">AX288-SUM(AU288:AW288)</f>
        <v>#VALUE!</v>
      </c>
      <c r="AU288" s="238" t="e">
        <f aca="false">IF(E288="",0,INT((F288-MOD(F288,7)-E288)/7)+1-IF(AW288,IF(WEEKDAY(D288)=7,1,0),0))</f>
        <v>#VALUE!</v>
      </c>
      <c r="AV288" s="238" t="e">
        <f aca="false">IF(E288="",0,INT((F288-MOD(F288-1,7)-E288)/7)+1-IF(AW288,IF(WEEKDAY(D288)=1,1,0),0))</f>
        <v>#VALUE!</v>
      </c>
      <c r="AW288" s="238" t="e">
        <f aca="false">IF(OR(E288="",D288="",D288&lt;BegDate,D288&gt;EndDate),0,1)</f>
        <v>#VALUE!</v>
      </c>
      <c r="AX288" s="238" t="n">
        <f aca="false">IF(E288="",0,F288-E288+1)</f>
        <v>31</v>
      </c>
      <c r="AY288" s="1582" t="n">
        <f aca="false">IF(E288="",0,MIN((1-(1-VLOOKUP(B288,MAIN!$AA$7:$AM$28,C288+1))*(1-VLOOKUP(B288,MAIN!$AA$33:$AM$54,C288+1))),1))</f>
        <v>0.03</v>
      </c>
      <c r="AZ288" s="1519" t="e">
        <v>#VALUE!</v>
      </c>
      <c r="BA288" s="1520" t="e">
        <v>#VALUE!</v>
      </c>
      <c r="BB288" s="1520" t="e">
        <v>#VALUE!</v>
      </c>
      <c r="BC288" s="1583" t="e">
        <v>#VALUE!</v>
      </c>
      <c r="BD288" s="1522" t="e">
        <v>#VALUE!</v>
      </c>
      <c r="BE288" s="1523" t="e">
        <v>#VALUE!</v>
      </c>
      <c r="BF288" s="1523" t="e">
        <v>#VALUE!</v>
      </c>
      <c r="BG288" s="1584" t="e">
        <v>#VALUE!</v>
      </c>
      <c r="BH288" s="1525" t="e">
        <v>#VALUE!</v>
      </c>
      <c r="BI288" s="1520" t="e">
        <v>#VALUE!</v>
      </c>
      <c r="BJ288" s="1520" t="e">
        <v>#VALUE!</v>
      </c>
      <c r="BK288" s="1583" t="e">
        <v>#VALUE!</v>
      </c>
      <c r="BL288" s="1522" t="e">
        <v>#VALUE!</v>
      </c>
      <c r="BM288" s="1523" t="e">
        <v>#VALUE!</v>
      </c>
      <c r="BN288" s="1523" t="e">
        <v>#VALUE!</v>
      </c>
      <c r="BO288" s="1523" t="e">
        <v>#VALUE!</v>
      </c>
      <c r="BP288" s="1525" t="e">
        <f aca="false">SUM(AZ288:BB288)</f>
        <v>#VALUE!</v>
      </c>
      <c r="BQ288" s="1529" t="e">
        <f aca="false">SUM(AZ288:BC288)</f>
        <v>#VALUE!</v>
      </c>
      <c r="BR288" s="1519" t="e">
        <f aca="false">SUM(BH288:BJ288)</f>
        <v>#VALUE!</v>
      </c>
      <c r="BS288" s="1529" t="e">
        <f aca="false">SUM(BH288:BK288)</f>
        <v>#VALUE!</v>
      </c>
      <c r="BT288" s="1316" t="n">
        <f aca="false">(IF(OVolType&lt;&gt;2,A288+14,IF(OptExpDateShift,ShiftBack(A288,OptExpDateShift,D287),A288))-DateToday)/365.25</f>
        <v>22.631074606434</v>
      </c>
      <c r="BU288" s="1585" t="e">
        <f aca="false">IF(BQ288,IF(OPriceCurve,IF(OBuySell=OCallPut,I288/(1-AY288),K288/(1-AY288)),J288/(1-AY288))*BD288,0)</f>
        <v>#VALUE!</v>
      </c>
      <c r="BV288" s="1316" t="e">
        <f aca="false">IF(BQ288,IF(OPriceCurve,IF(OBuySell=OCallPut,L288/(1-AY288),N288/(1-AY288)),M288/(1-AY288))*BE288,0)</f>
        <v>#VALUE!</v>
      </c>
      <c r="BW288" s="1316" t="e">
        <f aca="false">IF(BQ288,IF(OPriceCurve,IF(OBuySell=OCallPut,O288/(1-AY288),Q288/(1-AY288)),P288/(1-AY288))*BF288,0)</f>
        <v>#VALUE!</v>
      </c>
      <c r="BX288" s="1316" t="e">
        <f aca="false">IF(BQ288,IF(OPriceCurve,IF(OBuySell=OCallPut,R288/(1-AY288),T288/(1-AY288)),S288/(1-AY288))*BG288,0)</f>
        <v>#VALUE!</v>
      </c>
      <c r="BY288" s="1316" t="e">
        <f aca="false">IF(BP288,(BU288*AZ288+BV288*BA288+BW288*BB288)/BP288,0)</f>
        <v>#VALUE!</v>
      </c>
      <c r="BZ288" s="1316" t="e">
        <f aca="false">IF(BQ288,(BY288*BP288+BX288*BC288)/BQ288,0)</f>
        <v>#VALUE!</v>
      </c>
      <c r="CA288" s="1531" t="e">
        <f aca="false">IF(BS288,IF(OPriceCurve,IF(OBuySell=OCallPut,I288/(1-AY288),K288/(1-AY288)),J288/(1-AY288))*BL288,0)</f>
        <v>#VALUE!</v>
      </c>
      <c r="CB288" s="1316" t="e">
        <f aca="false">IF(BS288,IF(OPriceCurve,IF(OBuySell=OCallPut,L288/(1-AY288),N288/(1-AY288)),M288/(1-AY288))*BM288,0)</f>
        <v>#VALUE!</v>
      </c>
      <c r="CC288" s="1316" t="e">
        <f aca="false">IF(BS288,IF(OPriceCurve,IF(OBuySell=OCallPut,O288/(1-AY288),Q288/(1-AY288)),P288/(1-AY288))*BN288,0)</f>
        <v>#VALUE!</v>
      </c>
      <c r="CD288" s="1316" t="e">
        <f aca="false">IF(BS288,IF(OPriceCurve,IF(OBuySell=OCallPut,R288/(1-AY288),T288/(1-AY288)),S288/(1-AY288))*BO288,0)</f>
        <v>#VALUE!</v>
      </c>
      <c r="CE288" s="1316" t="e">
        <f aca="false">IF(BR288,(BU288*BH288+BV288*BI288+BW288*BJ288)/BR288,0)</f>
        <v>#VALUE!</v>
      </c>
      <c r="CF288" s="1532" t="e">
        <f aca="false">IF(BS288,(CE288*BR288+CD288*BK288)/BS288,0)</f>
        <v>#VALUE!</v>
      </c>
      <c r="CG288" s="1586" t="e">
        <f aca="false">IF(OR(BQ288,BS288),IF(OVolType&lt;&gt;2,SQRT(IF(OVolOverMonthlyPeak,OVolOverMonthlyPeak,IF(OVolCurve,IF(OBuySell,U288,W288),V288))^2*(1-15/365.25/BT288)+IF(OVolOverDailyPeak,OVolOverDailyPeak,IF(OVolCurve,IF(OBuySell,AG288,AI288),AH288))^2*15/365.25/BT288),IF(OVolOverMonthlyPeak,OVolOverMonthlyPeak,IF(OVolCurve,IF(OBuySell,U288,W288),V288))),"")</f>
        <v>#VALUE!</v>
      </c>
      <c r="CH288" s="1587" t="e">
        <f aca="false">IF(OR(BQ288,BS288),IF(OVolType&lt;&gt;2,SQRT(IF(OVolOverMonthlyPeak,OVolOverMonthlyPeak,IF(OVolCurve,IF(OBuySell,X288,Z288),Y288))^2*(1-15/365.25/BT288)+IF(OVolOverDailyPeak,OVolOverDailyPeak,IF(OVolCurve,IF(OBuySell,AJ288,AL288),AK288))^2*15/365.25/BT288),IF(OVolOverMonthlyPeak,OVolOverMonthlyPeak,IF(OVolCurve,IF(OBuySell,X288,Z288),Y288))),"")</f>
        <v>#VALUE!</v>
      </c>
      <c r="CI288" s="1587" t="e">
        <f aca="false">IF(OR(BQ288,BS288),IF(OVolType&lt;&gt;2,SQRT(IF(OVolOverMonthlyPeak,OVolOverMonthlyPeak,IF(OVolCurve,IF(OBuySell,AA288,AC288),AB288))^2*(1-15/365.25/BT288)+IF(OVolOverDailyPeak,OVolOverDailyPeak,IF(OVolCurve,IF(OBuySell,AM288,AO288),AN288))^2*15/365.25/BT288),IF(OVolOverMonthlyPeak,OVolOverMonthlyPeak,IF(OVolCurve,IF(OBuySell,AA288,AC288),AB288))),"")</f>
        <v>#VALUE!</v>
      </c>
      <c r="CJ288" s="1587" t="e">
        <f aca="false">IF(BQ288,IF(BP288,SQRT(LN(1+((BU288*AZ288)^2*(EXP(CG288^2*BT288)-1)+(BV288*BA288)^2*(EXP(CH288^2*BT288)-1)+(BW288*BB288)^2*(EXP(CI288^2*BT288)-1)+2*BU288*AZ288*BV288*BA288*(EXP(CG288*CH288*BT288)-1)+2*BV288*BA288*BW288*BB288*(EXP(CH288*CI288*BT288)-1)+2*BW288*BB288*BU288*AZ288*(EXP(CI288*CG288*BT288)-1))/(BY288*BP288)^2)/BT288),0),"")</f>
        <v>#VALUE!</v>
      </c>
      <c r="CK288" s="1587" t="e">
        <f aca="false">IF(BS288,IF(BR288,SQRT(LN(1+((CA288*BH288)^2*(EXP(CG288^2*BT288)-1)+(CB288*BI288)^2*(EXP(CH288^2*BT288)-1)+(CC288*BJ288)^2*(EXP(CI288^2*BT288)-1)+2*CA288*BH288*CB288*BI288*(EXP(CG288*CH288*BT288)-1)+2*CB288*BI288*CC288*BJ288*(EXP(CH288*CI288*BT288)-1)+2*CC288*BJ288*CA288*BH288*(EXP(CI288*CG288*BT288)-1))/(CE288*BR288)^2)/BT288),0),"")</f>
        <v>#VALUE!</v>
      </c>
      <c r="CL288" s="1587" t="e">
        <f aca="false">IF(OR(BQ288,BS288),IF(OVolType&lt;&gt;2,SQRT(IF(OVolOverMonthlyOffPeak,OVolOverMonthlyOffPeak,IF(OVolCurve,IF(OBuySell,AD288,AF288),AE288))^2*(1-15/365.25/BT288)+IF(OVolOverDailyOffPeak,OVolOverDailyOffPeak,IF(OVolCurve,IF(OBuySell,AP288,AR288),AQ288))^2*15/365.25/BT288),IF(OVolOverMonthlyOffPeak,OVolOverMonthlyOffPeak,IF(OVolCurve,IF(OBuySell,AD288,AF288),AE288))),"")</f>
        <v>#VALUE!</v>
      </c>
      <c r="CM288" s="1587" t="e">
        <f aca="false">IF(BQ288,SQRT(LN(1+((BY288*BP288)^2*(EXP(CJ288^2*BT288)-1)+(BX288*BC288)^2*(EXP(CL288^2*BT288)-1)+2*BY288*BP288*BX288*BC288*(EXP(AS288*CJ288*CL288*BT288)-1))/(BY288*BP288+BX288*BC288)^2)/BT288),"")</f>
        <v>#VALUE!</v>
      </c>
      <c r="CN288" s="1588" t="e">
        <f aca="false">IF(BS288,SQRT(LN(1+((CE288*BR288)^2*(EXP(CK288^2*BT288)-1)+(CD288*BK288)^2*(EXP(CL288^2*BT288)-1)+2*CE288*BR288*CD288*BK288*(EXP(AS288*CK288*CL288*BT288)-1))/(CE288*BR288+CD288*BK288)^2)/BT288),"")</f>
        <v>#VALUE!</v>
      </c>
      <c r="CO288" s="1531" t="e">
        <f aca="false">IF(OR(BQ288,BS288),VLOOKUP(A288,GasTable,13)*HeatRatePeak*(1+VLOOKUP($B288,HeatRateDegradation,$C288+1))/1000,0)</f>
        <v>#VALUE!</v>
      </c>
      <c r="CP288" s="1316" t="e">
        <f aca="false">IF(OR(BQ288,BS288),VLOOKUP(A288,GasTable,13)*HeatRatePeak*(1+VLOOKUP($B288,HeatRateDegradation,$C288+1))/1000,0)</f>
        <v>#VALUE!</v>
      </c>
      <c r="CQ288" s="1316" t="e">
        <f aca="false">IF(OR(BQ288,BS288),VLOOKUP(A288,GasTable,13)*IF(EV288,HeatRatePeak,HeatRateOffPeak)*(1+VLOOKUP($B288,HeatRateDegradation,$C288+1))/1000,0)</f>
        <v>#VALUE!</v>
      </c>
      <c r="CR288" s="1316" t="e">
        <f aca="false">IF(OR(BQ288,BS288),VLOOKUP(A288,GasTable,13)*IF(EW288,HeatRatePeak,HeatRateOffPeak)*(1+VLOOKUP($B288,HeatRateDegradation,$C288+1))/1000,0)</f>
        <v>#VALUE!</v>
      </c>
      <c r="CS288" s="1589" t="e">
        <f aca="false">IF(BQ288,(CO288*AZ288+CP288*BA288+CQ288*BB288+CR288*BC288)/BQ288,0)</f>
        <v>#VALUE!</v>
      </c>
      <c r="CT288" s="1316" t="e">
        <f aca="false">IF(BS288,CO288,0)</f>
        <v>#VALUE!</v>
      </c>
      <c r="CU288" s="1590" t="e">
        <f aca="false">IF(OR(BQ288,BS288),VLOOKUP(A288,GasTable,14),"")</f>
        <v>#VALUE!</v>
      </c>
      <c r="CV288" s="1568" t="e">
        <f aca="false">IF(OR(BQ288,BS288),IF(CorrPowerGasOverFlag,INDEX(CorrPowerGasOver,C288),CorrPowerGas),"")</f>
        <v>#VALUE!</v>
      </c>
      <c r="CW288" s="1316" t="e">
        <f aca="false">IF(OR($BQ288,$BS288),SpreadOptPowerMargin,0)*((1+Assumptions!$C$26)^($B288-YEAR(Assumptions!$C$17)))</f>
        <v>#VALUE!</v>
      </c>
      <c r="CX288" s="1316" t="e">
        <f aca="false">IF(OR($BQ288,$BS288),SpreadOptPowerMargin,0)*((1+Assumptions!$C$26)^($B288-YEAR(Assumptions!$C$17)))</f>
        <v>#VALUE!</v>
      </c>
      <c r="CY288" s="1316" t="e">
        <f aca="false">IF(OR($BQ288,$BS288),SpreadOptPowerMargin,0)*((1+Assumptions!$C$26)^($B288-YEAR(Assumptions!$C$17)))</f>
        <v>#VALUE!</v>
      </c>
      <c r="CZ288" s="1316" t="e">
        <f aca="false">IF(OR($BQ288,$BS288),SpreadOptPowerMargin,0)*((1+Assumptions!$C$26)^($B288-YEAR(Assumptions!$C$17)))</f>
        <v>#VALUE!</v>
      </c>
      <c r="DA288" s="1591" t="e">
        <f aca="false">IF(OR(BQ288,BS288),(CW288*(AZ288+BH288)+CX288*(BA288+BI288)+CY288*(BB288+BJ288)+CZ288*(BC288+BK288))/(BQ288+BS288),0)</f>
        <v>#VALUE!</v>
      </c>
      <c r="DB288" s="1592" t="e">
        <f aca="false">IF(OR(BQ288,BS288),CG288+IF(OVolSmile,VLOOKUP(MAX(-5,CO288+CW288-BU288),IF(OVolSmile=1,VolSmileBook,VolSmileModel),2),0),"")</f>
        <v>#VALUE!</v>
      </c>
      <c r="DC288" s="1592" t="e">
        <f aca="false">IF(OR(BQ288,BS288),CH288+IF(OVolSmile,VLOOKUP(MAX(-5,CP288+CW288-BV288),IF(OVolSmile=1,VolSmileBook,VolSmileModel),2),0),"")</f>
        <v>#VALUE!</v>
      </c>
      <c r="DD288" s="1592" t="e">
        <f aca="false">IF(OR(BQ288,BS288),CI288+IF(OVolSmile,VLOOKUP(MAX(-5,CQ288+CW288-BW288),IF(OVolSmile=1,VolSmileBook,VolSmileModel),2),0),"")</f>
        <v>#VALUE!</v>
      </c>
      <c r="DE288" s="1592" t="e">
        <f aca="false">IF(OR(BQ288,BS288),CL288+IF(OVolSmile,VLOOKUP(MAX(-5,CR288+CZ288-BX288),IF(OVolSmile=1,VolSmileBook,VolSmileModel),2),0),"")</f>
        <v>#VALUE!</v>
      </c>
      <c r="DF288" s="1592" t="e">
        <f aca="false">IF(BQ288,CM288+IF(OVolSmile,VLOOKUP(MAX(-5,CS288+DA288-BZ288),IF(OVolSmile=1,VolSmileBook,VolSmileModel),2),0),"")</f>
        <v>#VALUE!</v>
      </c>
      <c r="DG288" s="1593" t="e">
        <f aca="false">IF(BS288,CN288+IF(OVolSmile,VLOOKUP(MAX(-5,CT288+DA288-CF288),IF(OVolSmile=1,VolSmileBook,VolSmileModel),2),0),"")</f>
        <v>#VALUE!</v>
      </c>
      <c r="DH288" s="1316" t="e">
        <f aca="false">IF(AND(BU288&gt;0,CO288&gt;0,DB288&gt;0,CU288&gt;0),newSPRDOPT(BU288,CO288,CW288,0,DB288,CU288,CV288,BT288*365.25,OCallPut,0),0)</f>
        <v>#VALUE!</v>
      </c>
      <c r="DI288" s="1316" t="e">
        <f aca="false">IF(AND(BV288&gt;0,CP288&gt;0,DC288&gt;0,CU288&gt;0),newSPRDOPT(BV288,CP288,CX288,0,DC288,CU288,CV288,BT288*365.25,OCallPut,0),0)</f>
        <v>#VALUE!</v>
      </c>
      <c r="DJ288" s="1316" t="e">
        <f aca="false">IF(AND(BW288&gt;0,CQ288&gt;0,DD288&gt;0,CU288&gt;0),newSPRDOPT(BW288,CQ288,CY288,0,DD288,CU288,CV288,BT288*365.25,OCallPut,0),0)</f>
        <v>#VALUE!</v>
      </c>
      <c r="DK288" s="1316" t="e">
        <f aca="false">IF(AND(BX288&gt;0,CR288&gt;0,DE288&gt;0,CU288&gt;0),newSPRDOPT(BX288,CR288,CZ288,0,DE288,CU288,CV288,BT288*365.25,OCallPut,0),0)</f>
        <v>#VALUE!</v>
      </c>
      <c r="DL288" s="1316" t="e">
        <f aca="false">IF(OVolType,IF(AND(BZ288&gt;0,CS288&gt;0,DF288&gt;0,CU288&gt;0),newSPRDOPT(BZ288,CS288,DA288,0,DF288,CU288,CV288,BT288*365.25,OCallPut,0),0),IF(BQ288,(DH288*AZ288+DI288*BA288+DJ288*BB288+DK288*BC288)/BQ288,0))</f>
        <v>#VALUE!</v>
      </c>
      <c r="DM288" s="1316"/>
      <c r="DN288" s="1316"/>
      <c r="DO288" s="1316"/>
      <c r="DP288" s="1316"/>
      <c r="DQ288" s="1316"/>
      <c r="DR288" s="1316"/>
      <c r="DS288" s="1316"/>
      <c r="DT288" s="1316"/>
      <c r="DU288" s="1316"/>
      <c r="DV288" s="1316"/>
      <c r="DW288" s="1594" t="e">
        <f aca="false">IF(AND(BW288&gt;0,CT288&gt;0,DD288&gt;0,CU288&gt;0),newSPRDOPT(BW288,CT288,CY288,0,DD288,CU288,CV288,BT288*365.25,OCallPut,0),0)</f>
        <v>#VALUE!</v>
      </c>
      <c r="DX288" s="1316" t="e">
        <f aca="false">IF(AND(BX288&gt;0,CT288&gt;0,DE288&gt;0,CU288&gt;0),newSPRDOPT(BX288,CT288,CZ288,0,DE288,CU288,CV288,BT288*365.25,OCallPut,0),0)</f>
        <v>#VALUE!</v>
      </c>
      <c r="DY288" s="1591" t="e">
        <f aca="false">IF(BS288,(DH288*BH288+DI288*BI288+DW288*BJ288+DX288*BK288)/BS288,0)</f>
        <v>#VALUE!</v>
      </c>
      <c r="DZ288" s="1551" t="e">
        <f aca="false">DH288*AZ288</f>
        <v>#VALUE!</v>
      </c>
      <c r="EA288" s="1551" t="e">
        <f aca="false">DI288*BA288</f>
        <v>#VALUE!</v>
      </c>
      <c r="EB288" s="1551" t="e">
        <f aca="false">DJ288*BB288</f>
        <v>#VALUE!</v>
      </c>
      <c r="EC288" s="1551" t="e">
        <f aca="false">DK288*BC288</f>
        <v>#VALUE!</v>
      </c>
      <c r="ED288" s="1551" t="e">
        <f aca="false">DL288*BQ288</f>
        <v>#VALUE!</v>
      </c>
      <c r="EE288" s="1595" t="e">
        <f aca="false">IF(BQ288,IF(OCallPut,IF(BU288&gt;(CO288+CW288),BU288-(CO288+CW288),0),IF((CO288+CW288)&gt;BU288,(CO288+CW288)-BU288,0))*AZ288,0)</f>
        <v>#VALUE!</v>
      </c>
      <c r="EF288" s="1596" t="e">
        <f aca="false">IF(BQ288,IF(OCallPut,IF(BV288&gt;(CP288+CX288),BV288-(CP288+CX288),0),IF((CP288+CX288)&gt;BV288,(CP288+CX288)-BV288,0))*BA288,0)</f>
        <v>#VALUE!</v>
      </c>
      <c r="EG288" s="1596" t="e">
        <f aca="false">IF(BQ288,IF(OCallPut,IF(BW288&gt;(CQ288+CY288),BW288-(CQ288+CY288),0),IF((CQ288+CY288)&gt;BW288,(CQ288+CY288)-BW288,0))*BB288,0)</f>
        <v>#VALUE!</v>
      </c>
      <c r="EH288" s="1596" t="e">
        <f aca="false">IF(BQ288,IF(OCallPut,IF(BX288&gt;(CR288+CZ288),BX288-(CR288+CZ288),0),IF((CR288+CZ288)&gt;BX288,(CR288+CZ288)-BX288,0))*BC288,0)</f>
        <v>#VALUE!</v>
      </c>
      <c r="EI288" s="1597" t="e">
        <f aca="false">IF(BQ288,IF(OVolType,IF(OCallPut,IF(BZ288&gt;(CS288+DA288),BZ288-(CS288+DA288),0),IF((CS288+DA288)&gt;BZ288,(CS288+DA288)-BZ288,0))*BQ288,SUM(EE288:EH288)),0)</f>
        <v>#VALUE!</v>
      </c>
      <c r="EJ288" s="1595" t="e">
        <f aca="false">DZ288-EE288</f>
        <v>#VALUE!</v>
      </c>
      <c r="EK288" s="1596" t="e">
        <f aca="false">EA288-EF288</f>
        <v>#VALUE!</v>
      </c>
      <c r="EL288" s="1596" t="e">
        <f aca="false">EB288-EG288</f>
        <v>#VALUE!</v>
      </c>
      <c r="EM288" s="1596" t="e">
        <f aca="false">EC288-EH288</f>
        <v>#VALUE!</v>
      </c>
      <c r="EN288" s="1597" t="e">
        <f aca="false">ED288-EI288</f>
        <v>#VALUE!</v>
      </c>
      <c r="EO288" s="1551" t="e">
        <f aca="false">DH288*BH288</f>
        <v>#VALUE!</v>
      </c>
      <c r="EP288" s="1551" t="e">
        <f aca="false">DI288*BI288</f>
        <v>#VALUE!</v>
      </c>
      <c r="EQ288" s="1551" t="e">
        <f aca="false">DW288*BJ288</f>
        <v>#VALUE!</v>
      </c>
      <c r="ER288" s="1551" t="e">
        <f aca="false">DX288*BK288</f>
        <v>#VALUE!</v>
      </c>
      <c r="ES288" s="1551" t="e">
        <f aca="false">DY288*BS288</f>
        <v>#VALUE!</v>
      </c>
      <c r="ET288" s="1566" t="e">
        <f aca="false">IF(EI288,IF(OCallPut,IF(CA288&gt;(CT288+CW288),CA288-(CT288+CW288),0),IF((CT288+CW288)&gt;CA288,(CT288+CW288)-CA288,0))*BH288,0)</f>
        <v>#VALUE!</v>
      </c>
      <c r="EU288" s="1551" t="e">
        <f aca="false">IF(EI288,IF(OCallPut,IF(CB288&gt;(CT288+CX288),CB288-(CT288+CX288),0),IF((CT288+CX288)&gt;CB288,(CT288+CX288)-CB288,0))*BI288,0)</f>
        <v>#VALUE!</v>
      </c>
      <c r="EV288" s="1551" t="e">
        <f aca="false">IF(EI288,IF(OCallPut,IF(CC288&gt;(CT288+CY288),CC288-(CT288+CY288),0),IF((CT288+CY288)&gt;CC288,(CT288+CY288)-CC288,0))*BJ288,0)</f>
        <v>#VALUE!</v>
      </c>
      <c r="EW288" s="1551" t="e">
        <f aca="false">IF(EI288,IF(OCallPut,IF(CD288&gt;(CT288+CZ288),CD288-(CT288+CZ288),0),IF((CT288+CZ288)&gt;CD288,(CT288+CZ288)-CD288,0))*BK288,0)</f>
        <v>#VALUE!</v>
      </c>
      <c r="EX288" s="1558" t="e">
        <f aca="false">IF(EI288,SUM(ET288:EW288),0)</f>
        <v>#VALUE!</v>
      </c>
      <c r="EY288" s="1551" t="e">
        <f aca="false">EO288-ET288</f>
        <v>#VALUE!</v>
      </c>
      <c r="EZ288" s="1551" t="e">
        <f aca="false">EP288-EU288</f>
        <v>#VALUE!</v>
      </c>
      <c r="FA288" s="1551" t="e">
        <f aca="false">EQ288-EV288</f>
        <v>#VALUE!</v>
      </c>
      <c r="FB288" s="1551" t="e">
        <f aca="false">ER288-EW288</f>
        <v>#VALUE!</v>
      </c>
      <c r="FC288" s="1551" t="e">
        <f aca="false">ES288-EX288</f>
        <v>#VALUE!</v>
      </c>
      <c r="FD288" s="1525" t="n">
        <f aca="false">IF(AX288,IF(VLOOKUP(C288,MAIN!$L$17:$M$28,2)="Yes",VLOOKUP(CALC!B288,MAIN!$H$17:$I$20,2),0),0)</f>
        <v>0</v>
      </c>
      <c r="FE288" s="1552" t="e">
        <f aca="false">$FD288*16*AT288*(1-$AY288)</f>
        <v>#VALUE!</v>
      </c>
      <c r="FF288" s="1553" t="e">
        <f aca="false">$FD288*16*AU288*(1-$AY288)</f>
        <v>#VALUE!</v>
      </c>
      <c r="FG288" s="1553" t="e">
        <f aca="false">$FD288*16*(AV288+AW288)*(1-$AY288)</f>
        <v>#VALUE!</v>
      </c>
      <c r="FH288" s="1554" t="n">
        <f aca="false">$FD288*8*AX288*(1-$AY288)</f>
        <v>0</v>
      </c>
      <c r="FI288" s="1555" t="n">
        <f aca="false">IF(AX288,VLOOKUP(CALC!B288,MAIN!$H$17:$K$20,4),0)</f>
        <v>0</v>
      </c>
      <c r="FJ288" s="1553" t="e">
        <f aca="false">SUM(FE288:FH288)</f>
        <v>#VALUE!</v>
      </c>
      <c r="FK288" s="1556" t="e">
        <f aca="false">FI288*FJ288</f>
        <v>#VALUE!</v>
      </c>
      <c r="FL288" s="1551" t="e">
        <f aca="false">IF($EI288&gt;0,MIN(FE288,AZ288*(1+VLOOKUP($C288,WeatherCapacityAdjustment,2))),0)</f>
        <v>#VALUE!</v>
      </c>
      <c r="FM288" s="1551" t="e">
        <f aca="false">IF($EI288&gt;0,MIN(FF288,BA288*(1+VLOOKUP($C288,WeatherCapacityAdjustment,2))),0)</f>
        <v>#VALUE!</v>
      </c>
      <c r="FN288" s="1551" t="e">
        <f aca="false">IF($EI288&gt;0,MIN(FG288,BB288*(1+VLOOKUP($C288,WeatherCapacityAdjustment,2))),0)</f>
        <v>#VALUE!</v>
      </c>
      <c r="FO288" s="1564" t="e">
        <f aca="false">IF($EI288&gt;0,MIN(FH288,BC288*(1+VLOOKUP($C288,WeatherCapacityAdjustment,3))),0)</f>
        <v>#VALUE!</v>
      </c>
      <c r="FP288" s="1551" t="e">
        <f aca="false">IF(ET288&gt;0,MIN(FE288-FL288,BH288*(1+VLOOKUP($C288,WeatherCapacityAdjustment,2))),0)</f>
        <v>#VALUE!</v>
      </c>
      <c r="FQ288" s="1551" t="e">
        <f aca="false">IF(EU288&gt;0,MIN(FF288-FM288,BI288*(1+VLOOKUP($C288,WeatherCapacityAdjustment,2))),0)</f>
        <v>#VALUE!</v>
      </c>
      <c r="FR288" s="1551" t="e">
        <f aca="false">IF(EV288&gt;0,MIN(FG288-FN288,BJ288*(1+VLOOKUP($C288,WeatherCapacityAdjustment,2))),0)</f>
        <v>#VALUE!</v>
      </c>
      <c r="FS288" s="1558" t="e">
        <f aca="false">IF(EW288&gt;0,MIN(FH288-FO288,BK288*(1+VLOOKUP($C288,WeatherCapacityAdjustment,3))),0)</f>
        <v>#VALUE!</v>
      </c>
      <c r="FT288" s="1566" t="e">
        <f aca="false">IF(AND(Assumptions!$H$71="Yes",A288&gt;=Assumptions!$H$72,A288&lt;=Assumptions!$H$73),0,IF(AND($A288&gt;=Assumptions!$C$17,$A288&lt;=Assumptions!$C$18),MAX(AZ288*(1+VLOOKUP($C288,WeatherCapacityAdjustment,2))-FL288,0),0))</f>
        <v>#VALUE!</v>
      </c>
      <c r="FU288" s="1551" t="e">
        <f aca="false">IF(AND(Assumptions!$H$71="Yes",A288&gt;=Assumptions!$H$72,A288&lt;=Assumptions!$H$73),0,IF(AND($A288&gt;=Assumptions!$C$17,$A288&lt;=Assumptions!$C$18),MAX(BA288*(1+VLOOKUP($C288,WeatherCapacityAdjustment,2))-FM288,0),0))</f>
        <v>#VALUE!</v>
      </c>
      <c r="FV288" s="1551" t="e">
        <f aca="false">IF(AND(Assumptions!$H$71="Yes",A288&gt;=Assumptions!$H$72,A288&lt;=Assumptions!$H$73),0,IF(AND($A288&gt;=Assumptions!$C$17,$A288&lt;=Assumptions!$C$18),MAX(BB288*(1+VLOOKUP($C288,WeatherCapacityAdjustment,2))-FN288,0),0))</f>
        <v>#VALUE!</v>
      </c>
      <c r="FW288" s="1564" t="e">
        <f aca="false">IF(AND(Assumptions!$H$71="Yes",A288&gt;=Assumptions!$H$72,A288&lt;=Assumptions!$H$73),0,IF(AND($A288&gt;=Assumptions!$C$17,$A288&lt;=Assumptions!$C$18),MAX(BC288*(1+VLOOKUP($C288,WeatherCapacityAdjustment,3))-FO288,0),0))</f>
        <v>#VALUE!</v>
      </c>
      <c r="FX288" s="1569" t="e">
        <f aca="false">IF(AND(Assumptions!$H$71="Yes",A288&gt;=Assumptions!$H$72,A288&lt;=Assumptions!$H$73),0,IF(ET288&gt;0,MAX(BH288*(1+VLOOKUP($C288,WeatherCapacityAdjustment,2))-FP288,0),0))</f>
        <v>#VALUE!</v>
      </c>
      <c r="FY288" s="1551" t="e">
        <f aca="false">IF(AND(Assumptions!$H$71="Yes",A288&gt;=Assumptions!$H$72,A288&lt;=Assumptions!$H$73),0,IF(EU288&gt;0,MAX(BI288*(1+VLOOKUP($C288,WeatherCapacityAdjustment,3))-FQ288,0),0))</f>
        <v>#VALUE!</v>
      </c>
      <c r="FZ288" s="1551" t="e">
        <f aca="false">IF(AND(Assumptions!$H$71="Yes",A288&gt;=Assumptions!$H$72,A288&lt;=Assumptions!$H$73),0,IF(EV288&gt;0,MAX(BJ288*(1+VLOOKUP($C288,WeatherCapacityAdjustment,2))-FR288,0),0))</f>
        <v>#VALUE!</v>
      </c>
      <c r="GA288" s="1564" t="e">
        <f aca="false">IF(AND(Assumptions!$H$71="Yes",A288&gt;=Assumptions!$H$72,A288&lt;=Assumptions!$H$73),0,IF(EW288&gt;0,MAX(BK288*(1+VLOOKUP($C288,WeatherCapacityAdjustment,2))-FS288,0),0))</f>
        <v>#VALUE!</v>
      </c>
      <c r="GB288" s="1551" t="e">
        <f aca="false">SUM(FT288:GA288)</f>
        <v>#VALUE!</v>
      </c>
      <c r="GC288" s="1563" t="e">
        <f aca="false">+IF(SUM(FT288:GA288)=0,0,(SUMPRODUCT(BU288:BX288,FT288:FW288)+SUMPRODUCT(CA288:CD288,FX288:GA288))/SUM(FT288:GA288))</f>
        <v>#VALUE!</v>
      </c>
      <c r="GD288" s="1551" t="e">
        <f aca="false">(FT288*BU288+FX288*CA288+FU288*BV288+FY288*CB288+FV288*BW288+FZ288*CC288+FW288*BX288+GA288*CD288)</f>
        <v>#VALUE!</v>
      </c>
      <c r="GE288" s="1561" t="e">
        <f aca="false">+IF(BQ288,((FL288+FM288+FT288+FU288)*HeatRatePeak/1000*(1+VLOOKUP($C288,WeatherHeatRateAdjustment,2))+(FN288+FV288)*IF(EV288&gt;0,HeatRatePeak,HeatRateOffPeak)/1000*(1+VLOOKUP($C288,WeatherHeatRateAdjustment,2))+(FO288+FW288)*IF(EW288&gt;0,HeatRatePeak,HeatRateOffPeak)/1000*(1+VLOOKUP($C288,WeatherHeatRateAdjustment,3)))*(1+VLOOKUP($B288,HeatRateDegradation,$C288+1)),0)</f>
        <v>#VALUE!</v>
      </c>
      <c r="GF288" s="1562" t="e">
        <f aca="false">IF(BQ288,((FP288+FQ288+FR288+FX288+FY288+FZ288)*HeatRatePeak/1000*(1+VLOOKUP($C288,WeatherHeatRateAdjustment,2))+(FS288+GA288)*HeatRatePeak/1000*(1+VLOOKUP($C288,WeatherHeatRateAdjustment,3)))*(1+VLOOKUP($B288,HeatRateDegradation,$C288+1)),0)</f>
        <v>#VALUE!</v>
      </c>
      <c r="GG288" s="1563" t="e">
        <f aca="false">IF(BQ288,VLOOKUP(A288,GasTable,13),0)</f>
        <v>#VALUE!</v>
      </c>
      <c r="GH288" s="1564" t="e">
        <f aca="false">(GE288+GF288)*GG288</f>
        <v>#VALUE!</v>
      </c>
      <c r="GI288" s="1569" t="e">
        <f aca="false">GB288</f>
        <v>#VALUE!</v>
      </c>
      <c r="GJ288" s="1598" t="e">
        <f aca="false">+DA288</f>
        <v>#VALUE!</v>
      </c>
      <c r="GK288" s="1558" t="e">
        <f aca="false">+GI288*GJ288</f>
        <v>#VALUE!</v>
      </c>
      <c r="GL288" s="1566" t="e">
        <f aca="false">MAX(FE288-FL288-FP288,0)</f>
        <v>#VALUE!</v>
      </c>
      <c r="GM288" s="1551" t="e">
        <f aca="false">MAX(FF288-FM288-FQ288,0)</f>
        <v>#VALUE!</v>
      </c>
      <c r="GN288" s="1551" t="e">
        <f aca="false">MAX(FG288-FN288-FR288,0)</f>
        <v>#VALUE!</v>
      </c>
      <c r="GO288" s="1564" t="e">
        <f aca="false">MAX(FH288-FO288-FS288,0)</f>
        <v>#VALUE!</v>
      </c>
      <c r="GP288" s="1551" t="e">
        <f aca="false">SUM(GL288:GO288)</f>
        <v>#VALUE!</v>
      </c>
      <c r="GQ288" s="1563" t="e">
        <f aca="false">IF(SUM(GL288:GO288)=0,0,((GL288*BU288+GM288*BV288+GN288*BW288+GO288*BX288)/SUM(GL288:GO288)))</f>
        <v>#VALUE!</v>
      </c>
      <c r="GR288" s="1558" t="e">
        <f aca="false">(GL288*BU288+GM288*BV288+GN288*BW288+GO288*BX288)</f>
        <v>#VALUE!</v>
      </c>
      <c r="GS288" s="1566" t="n">
        <f aca="false">IF($A288&gt;=BegDate,Assumptions!$C$56*24*($A289-$A288)*(1-VLOOKUP($B288,MAIN!$AA$7:$AM$28,$C288+1))*(1-VLOOKUP($B288,MAIN!$AA$33:$AM$54,$C288+1)),0)*80/168</f>
        <v>257742.857142857</v>
      </c>
      <c r="GT288" s="286" t="n">
        <f aca="false">J288</f>
        <v>61.7900246775046</v>
      </c>
      <c r="GU288" s="286" t="n">
        <f aca="false">IF($A288&gt;=BegDate,VLOOKUP($A288,GasTable,13)+Assumptions!$C$58,0)</f>
        <v>4.58711122179671</v>
      </c>
      <c r="GV288" s="286" t="n">
        <f aca="false">GU288*Assumptions!$C$57/1000</f>
        <v>33.2565563580261</v>
      </c>
      <c r="GW288" s="1558" t="n">
        <f aca="false">IF(Assumptions!$C$60="Hourly",MAX(0,GS288*(GT288-GV288)),GS288*(GT288-GV288))</f>
        <v>7354297.64885757</v>
      </c>
      <c r="GX288" s="1566" t="n">
        <f aca="false">IF($A288&gt;=BegDate,Assumptions!$C$56*24*($A289-$A288)*(1-VLOOKUP($B288,MAIN!$AA$7:$AM$28,$C288+1))*(1-VLOOKUP($B288,MAIN!$AA$33:$AM$54,$C288+1)),0)*16/168</f>
        <v>51548.5714285714</v>
      </c>
      <c r="GY288" s="286" t="n">
        <f aca="false">M288</f>
        <v>61.7900246775046</v>
      </c>
      <c r="GZ288" s="286" t="n">
        <f aca="false">IF($A288&gt;=BegDate,VLOOKUP($A288,GasTable,13)+Assumptions!$C$58,0)</f>
        <v>4.58711122179671</v>
      </c>
      <c r="HA288" s="286" t="n">
        <f aca="false">GZ288*Assumptions!$C$57/1000</f>
        <v>33.2565563580261</v>
      </c>
      <c r="HB288" s="1558" t="n">
        <f aca="false">IF(Assumptions!$C$60="Hourly",MAX(0,GX288*(GY288-HA288)),GX288*(GY288-HA288))</f>
        <v>1470859.52977151</v>
      </c>
      <c r="HC288" s="1566" t="n">
        <f aca="false">IF($A288&gt;=BegDate,Assumptions!$C$56*24*($A289-$A288)*(1-VLOOKUP($B288,MAIN!$AA$7:$AM$28,$C288+1))*(1-VLOOKUP($B288,MAIN!$AA$33:$AM$54,$C288+1)),0)*16/168</f>
        <v>51548.5714285714</v>
      </c>
      <c r="HD288" s="286" t="n">
        <f aca="false">P288</f>
        <v>38.7243171854626</v>
      </c>
      <c r="HE288" s="286" t="n">
        <f aca="false">IF($A288&gt;=BegDate,VLOOKUP($A288,GasTable,13)+Assumptions!$C$58,0)</f>
        <v>4.58711122179671</v>
      </c>
      <c r="HF288" s="286" t="n">
        <f aca="false">HE288*Assumptions!$C$57/1000</f>
        <v>33.2565563580261</v>
      </c>
      <c r="HG288" s="1558" t="n">
        <f aca="false">IF(Assumptions!$C$60="Hourly",MAX(0,HC288*(HD288-HF288)),HC288*(HD288-HF288))</f>
        <v>281855.259567452</v>
      </c>
      <c r="HH288" s="1566" t="n">
        <f aca="false">IF($A288&gt;=BegDate,Assumptions!$C$56*24*($A289-$A288)*(1-VLOOKUP($B288,MAIN!$AA$7:$AM$28,$C288+1))*(1-VLOOKUP($B288,MAIN!$AA$33:$AM$54,$C288+1)),0)*56/168</f>
        <v>180420</v>
      </c>
      <c r="HI288" s="286" t="n">
        <f aca="false">S288</f>
        <v>38.7243171854626</v>
      </c>
      <c r="HJ288" s="286" t="n">
        <f aca="false">IF($A288&gt;=BegDate,VLOOKUP($A288,GasTable,13)+Assumptions!$C$58,0)</f>
        <v>4.58711122179671</v>
      </c>
      <c r="HK288" s="286" t="n">
        <f aca="false">HJ288*Assumptions!$C$57/1000</f>
        <v>33.2565563580261</v>
      </c>
      <c r="HL288" s="1558" t="n">
        <f aca="false">IF(Assumptions!$C$60="Hourly",MAX(0,HH288*(HI288-HK288)),HH288*(HI288-HK288))</f>
        <v>986493.408486083</v>
      </c>
      <c r="HM288" s="1566" t="n">
        <f aca="false">IF(AND(Assumptions!$H$71="Yes",A288&gt;=Assumptions!$H$72,A288&lt;=Assumptions!$H$73),Assumptions!$H$74*Assumptions!$C$9*1000,0)</f>
        <v>0</v>
      </c>
      <c r="HN288" s="1551"/>
      <c r="HO288" s="1563"/>
      <c r="HP288" s="1563"/>
      <c r="HQ288" s="1563"/>
      <c r="HR288" s="1563"/>
      <c r="HS288" s="1563"/>
      <c r="HT288" s="1563"/>
      <c r="HU288" s="1563"/>
      <c r="HV288" s="1563"/>
      <c r="HW288" s="1563"/>
      <c r="HX288" s="1563"/>
      <c r="HY288" s="1563"/>
      <c r="HZ288" s="1563"/>
      <c r="IA288" s="1563"/>
      <c r="IB288" s="1563"/>
      <c r="IC288" s="1563"/>
      <c r="ID288" s="1563"/>
      <c r="IE288" s="1563"/>
      <c r="IF288" s="1563"/>
      <c r="IG288" s="1563"/>
      <c r="IH288" s="1563"/>
      <c r="II288" s="1610"/>
      <c r="IJ288" s="1309"/>
      <c r="IK288" s="1309"/>
    </row>
    <row r="289" customFormat="false" ht="12.75" hidden="false" customHeight="false" outlineLevel="0" collapsed="false">
      <c r="A289" s="1571" t="n">
        <f aca="false">EOMONTH(A288,0)+1</f>
        <v>44927</v>
      </c>
      <c r="B289" s="594" t="n">
        <f aca="false">+YEAR(A289)</f>
        <v>2023</v>
      </c>
      <c r="C289" s="238" t="n">
        <f aca="false">MONTH(A289)</f>
        <v>1</v>
      </c>
      <c r="D289" s="1572" t="str">
        <f aca="false">IF(E289="","",Holiday(B289,C289))</f>
        <v/>
      </c>
      <c r="E289" s="1573" t="str">
        <f aca="false">IF(OR(BegDate&gt;=A290,EndDate&lt;A289,AND(VolumeMonthlyOverFlag,INDEX(VolumeMonthlyOver,C289)=0),NOT(INDEX(MonthKnockOutTable,C289))),"",MAX(A289,BegDate))</f>
        <v/>
      </c>
      <c r="F289" s="1574" t="str">
        <f aca="false">IF(E289="","",MIN(A290-1,EndDate))</f>
        <v/>
      </c>
      <c r="G289" s="1575" t="n">
        <v>0</v>
      </c>
      <c r="H289" s="1576" t="n">
        <f aca="false">(1+G289/2)^(-2*(DATE(B290,C290,20)-DateToday)/365.25)</f>
        <v>1</v>
      </c>
      <c r="I289" s="1568" t="n">
        <f aca="false">IF(Assumptions!$L$25=4,VLOOKUP($A289,'Henwood Reference'!$E$9:$R$320,10),(VLOOKUP($A289,PriceTable,2,0)+IF(BasisNumber&lt;&gt;1,VLOOKUP($A289,BasisTable,2,0),0)+I$1)/(1-I$2))</f>
        <v>65.188857891746</v>
      </c>
      <c r="J289" s="1568" t="n">
        <f aca="false">IF(Assumptions!$L$25=4,VLOOKUP($A289,'Henwood Reference'!$E$9:$R$320,10),(VLOOKUP($A289,PriceTable,3,0)+IF(BasisNumber&lt;&gt;1,VLOOKUP($A289,BasisTable,2,0),0)+J$1)/(1-J$2))</f>
        <v>65.188857891746</v>
      </c>
      <c r="K289" s="1568" t="n">
        <f aca="false">IF(Assumptions!$L$25=4,VLOOKUP($A289,'Henwood Reference'!$E$9:$R$320,10),(VLOOKUP($A289,PriceTable,4,0)+IF(BasisNumber&lt;&gt;1,VLOOKUP($A289,BasisTable,2,0),0)+K$1)/(1-K$2))</f>
        <v>65.188857891746</v>
      </c>
      <c r="L289" s="1523" t="n">
        <f aca="false">IF(Assumptions!$L$25=4,VLOOKUP($A289,'Henwood Reference'!$E$9:$R$320,10),(VLOOKUP($A289,PriceTableWeekend,2,0)+IF(BasisNumber&lt;&gt;1,VLOOKUP($A289,BasisTable,2,0),0)+L$1)/(1-L$2))</f>
        <v>65.188857891746</v>
      </c>
      <c r="M289" s="1568" t="n">
        <f aca="false">IF(Assumptions!$L$25=4,VLOOKUP($A289,'Henwood Reference'!$E$9:$R$320,10),(VLOOKUP($A289,PriceTableWeekend,3,0)+IF(BasisNumber&lt;&gt;1,VLOOKUP($A289,BasisTable,2,0),0)+M$1)/(1-M$2))</f>
        <v>65.188857891746</v>
      </c>
      <c r="N289" s="1599" t="n">
        <f aca="false">IF(Assumptions!$L$25=4,VLOOKUP($A289,'Henwood Reference'!$E$9:$R$320,10),(VLOOKUP($A289,PriceTableWeekend,4,0)+IF(BasisNumber&lt;&gt;1,VLOOKUP($A289,BasisTable,2,0),0)+N$1)/(1-N$2))</f>
        <v>65.188857891746</v>
      </c>
      <c r="O289" s="1568" t="n">
        <f aca="false">IF(Assumptions!$L$25=4,VLOOKUP($A289,'Henwood Reference'!$E$9:$R$320,11),(VLOOKUP($A289,PriceTableWeekend,6,0)+IF(BasisNumber&lt;&gt;1,VLOOKUP($A289,BasisTable,3,0),0)+O$1)/(1-O$2))</f>
        <v>36.7412797858803</v>
      </c>
      <c r="P289" s="1568" t="n">
        <f aca="false">IF(Assumptions!$L$25=4,VLOOKUP($A289,'Henwood Reference'!$E$9:$R$320,11),(VLOOKUP($A289,PriceTableWeekend,7,0)+IF(BasisNumber&lt;&gt;1,VLOOKUP($A289,BasisTable,3,0),0)+P$1)/(1-P$2))</f>
        <v>36.7412797858803</v>
      </c>
      <c r="Q289" s="1599" t="n">
        <f aca="false">IF(Assumptions!$L$25=4,VLOOKUP($A289,'Henwood Reference'!$E$9:$R$320,11),(VLOOKUP($A289,PriceTableWeekend,8,0)+IF(BasisNumber&lt;&gt;1,VLOOKUP($A289,BasisTable,3,0),0)+Q$1)/(1-Q$2))</f>
        <v>36.7412797858803</v>
      </c>
      <c r="R289" s="1568" t="n">
        <f aca="false">IF(Assumptions!$L$25=4,VLOOKUP($A289,'Henwood Reference'!$E$9:$R$320,11),(VLOOKUP($A289,PriceTable,6,0)+IF(BasisNumber&lt;&gt;1,VLOOKUP($A289,BasisTable,3,0),0)+R$1)/(1-R$2))</f>
        <v>36.7412797858803</v>
      </c>
      <c r="S289" s="1568" t="n">
        <f aca="false">IF(Assumptions!$L$25=4,VLOOKUP($A289,'Henwood Reference'!$E$9:$R$320,11),(VLOOKUP($A289,PriceTable,7,0)+IF(BasisNumber&lt;&gt;1,VLOOKUP($A289,BasisTable,3,0),0)+S$1)/(1-S$2))</f>
        <v>36.7412797858803</v>
      </c>
      <c r="T289" s="1600" t="n">
        <f aca="false">IF(Assumptions!$L$25=4,VLOOKUP($A289,'Henwood Reference'!$E$9:$R$320,11),(VLOOKUP($A289,PriceTable,8,0)+IF(BasisNumber&lt;&gt;1,VLOOKUP($A289,BasisTable,3,0),0)+T$1)/(1-T$2))</f>
        <v>36.7412797858803</v>
      </c>
      <c r="U289" s="1513" t="n">
        <f aca="false">VLOOKUP($A289,VolatilityTable,14)</f>
        <v>0.09</v>
      </c>
      <c r="V289" s="1513" t="n">
        <f aca="false">VLOOKUP($A289,VolatilityTable,15)</f>
        <v>0.1</v>
      </c>
      <c r="W289" s="1514" t="n">
        <f aca="false">VLOOKUP($A289,VolatilityTable,16)</f>
        <v>0.11</v>
      </c>
      <c r="X289" s="1513" t="n">
        <f aca="false">VLOOKUP($A289,VolatilityTable,14)</f>
        <v>0.09</v>
      </c>
      <c r="Y289" s="1513" t="n">
        <f aca="false">VLOOKUP($A289,VolatilityTable,15)</f>
        <v>0.1</v>
      </c>
      <c r="Z289" s="1514" t="n">
        <f aca="false">VLOOKUP($A289,VolatilityTable,16)</f>
        <v>0.11</v>
      </c>
      <c r="AA289" s="1513" t="n">
        <f aca="false">VLOOKUP($A289,VolatilityTable,18)</f>
        <v>0.09</v>
      </c>
      <c r="AB289" s="1513" t="n">
        <f aca="false">VLOOKUP($A289,VolatilityTable,19)</f>
        <v>0.11</v>
      </c>
      <c r="AC289" s="1514" t="n">
        <f aca="false">VLOOKUP($A289,VolatilityTable,20)</f>
        <v>0.13</v>
      </c>
      <c r="AD289" s="1513" t="n">
        <f aca="false">VLOOKUP($A289,VolatilityTable,18)</f>
        <v>0.09</v>
      </c>
      <c r="AE289" s="1513" t="n">
        <f aca="false">VLOOKUP($A289,VolatilityTable,19)</f>
        <v>0.11</v>
      </c>
      <c r="AF289" s="1514" t="n">
        <f aca="false">VLOOKUP($A289,VolatilityTable,20)</f>
        <v>0.13</v>
      </c>
      <c r="AG289" s="1513" t="n">
        <f aca="false">VLOOKUP($A289,VolatilityTable,22)</f>
        <v>-0.25</v>
      </c>
      <c r="AH289" s="1513" t="n">
        <f aca="false">VLOOKUP($A289,VolatilityTable,23)</f>
        <v>0.6</v>
      </c>
      <c r="AI289" s="1514" t="n">
        <f aca="false">VLOOKUP($A289,VolatilityTable,24)</f>
        <v>0.25</v>
      </c>
      <c r="AJ289" s="1513" t="n">
        <f aca="false">VLOOKUP($A289,VolatilityTable,22)</f>
        <v>-0.25</v>
      </c>
      <c r="AK289" s="1513" t="n">
        <f aca="false">VLOOKUP($A289,VolatilityTable,23)</f>
        <v>0.6</v>
      </c>
      <c r="AL289" s="1514" t="n">
        <f aca="false">VLOOKUP($A289,VolatilityTable,24)</f>
        <v>0.25</v>
      </c>
      <c r="AM289" s="1513" t="n">
        <f aca="false">VLOOKUP($A289,VolatilityTable,26)</f>
        <v>-0.01</v>
      </c>
      <c r="AN289" s="1513" t="n">
        <f aca="false">VLOOKUP($A289,VolatilityTable,27)</f>
        <v>0.16</v>
      </c>
      <c r="AO289" s="1514" t="n">
        <f aca="false">VLOOKUP($A289,VolatilityTable,28)</f>
        <v>0.01</v>
      </c>
      <c r="AP289" s="1513" t="n">
        <f aca="false">VLOOKUP($A289,VolatilityTable,26)</f>
        <v>-0.01</v>
      </c>
      <c r="AQ289" s="1513" t="n">
        <f aca="false">VLOOKUP($A289,VolatilityTable,27)</f>
        <v>0.16</v>
      </c>
      <c r="AR289" s="1515" t="n">
        <f aca="false">VLOOKUP($A289,VolatilityTable,28)</f>
        <v>0.01</v>
      </c>
      <c r="AS289" s="1581" t="n">
        <f aca="false">IF(CorrPeakOffPeakOverFlag,INDEX(CorrPeakOffPeakOver,C289),CorrPeakOffPeak)</f>
        <v>0.5</v>
      </c>
      <c r="AT289" s="594" t="n">
        <f aca="false">AX289-SUM(AU289:AW289)</f>
        <v>0</v>
      </c>
      <c r="AU289" s="238" t="n">
        <f aca="false">IF(E289="",0,INT((F289-MOD(F289,7)-E289)/7)+1-IF(AW289,IF(WEEKDAY(D289)=7,1,0),0))</f>
        <v>0</v>
      </c>
      <c r="AV289" s="238" t="n">
        <f aca="false">IF(E289="",0,INT((F289-MOD(F289-1,7)-E289)/7)+1-IF(AW289,IF(WEEKDAY(D289)=1,1,0),0))</f>
        <v>0</v>
      </c>
      <c r="AW289" s="238" t="n">
        <f aca="false">IF(OR(E289="",D289="",D289&lt;BegDate,D289&gt;EndDate),0,1)</f>
        <v>0</v>
      </c>
      <c r="AX289" s="238" t="n">
        <f aca="false">IF(E289="",0,F289-E289+1)</f>
        <v>0</v>
      </c>
      <c r="AY289" s="1582" t="n">
        <f aca="false">IF(E289="",0,MIN((1-(1-VLOOKUP(B289,MAIN!$AA$7:$AM$28,C289+1))*(1-VLOOKUP(B289,MAIN!$AA$33:$AM$54,C289+1))),1))</f>
        <v>0</v>
      </c>
      <c r="AZ289" s="1519" t="e">
        <v>#VALUE!</v>
      </c>
      <c r="BA289" s="1520" t="e">
        <v>#VALUE!</v>
      </c>
      <c r="BB289" s="1520" t="e">
        <v>#VALUE!</v>
      </c>
      <c r="BC289" s="1583" t="e">
        <v>#VALUE!</v>
      </c>
      <c r="BD289" s="1522" t="e">
        <v>#VALUE!</v>
      </c>
      <c r="BE289" s="1523" t="e">
        <v>#VALUE!</v>
      </c>
      <c r="BF289" s="1523" t="e">
        <v>#VALUE!</v>
      </c>
      <c r="BG289" s="1584" t="e">
        <v>#VALUE!</v>
      </c>
      <c r="BH289" s="1525" t="e">
        <v>#VALUE!</v>
      </c>
      <c r="BI289" s="1520" t="e">
        <v>#VALUE!</v>
      </c>
      <c r="BJ289" s="1520" t="e">
        <v>#VALUE!</v>
      </c>
      <c r="BK289" s="1583" t="e">
        <v>#VALUE!</v>
      </c>
      <c r="BL289" s="1522" t="e">
        <v>#VALUE!</v>
      </c>
      <c r="BM289" s="1523" t="e">
        <v>#VALUE!</v>
      </c>
      <c r="BN289" s="1523" t="e">
        <v>#VALUE!</v>
      </c>
      <c r="BO289" s="1523" t="e">
        <v>#VALUE!</v>
      </c>
      <c r="BP289" s="1525" t="e">
        <f aca="false">SUM(AZ289:BB289)</f>
        <v>#VALUE!</v>
      </c>
      <c r="BQ289" s="1529" t="e">
        <f aca="false">SUM(AZ289:BC289)</f>
        <v>#VALUE!</v>
      </c>
      <c r="BR289" s="1519" t="e">
        <f aca="false">SUM(BH289:BJ289)</f>
        <v>#VALUE!</v>
      </c>
      <c r="BS289" s="1529" t="e">
        <f aca="false">SUM(BH289:BK289)</f>
        <v>#VALUE!</v>
      </c>
      <c r="BT289" s="1316" t="n">
        <f aca="false">(IF(OVolType&lt;&gt;2,A289+14,IF(OptExpDateShift,ShiftBack(A289,OptExpDateShift,D288),A289))-DateToday)/365.25</f>
        <v>22.715947980835</v>
      </c>
      <c r="BU289" s="1585" t="e">
        <f aca="false">IF(BQ289,IF(OPriceCurve,IF(OBuySell=OCallPut,I289/(1-AY289),K289/(1-AY289)),J289/(1-AY289))*BD289,0)</f>
        <v>#VALUE!</v>
      </c>
      <c r="BV289" s="1316" t="e">
        <f aca="false">IF(BQ289,IF(OPriceCurve,IF(OBuySell=OCallPut,L289/(1-AY289),N289/(1-AY289)),M289/(1-AY289))*BE289,0)</f>
        <v>#VALUE!</v>
      </c>
      <c r="BW289" s="1316" t="e">
        <f aca="false">IF(BQ289,IF(OPriceCurve,IF(OBuySell=OCallPut,O289/(1-AY289),Q289/(1-AY289)),P289/(1-AY289))*BF289,0)</f>
        <v>#VALUE!</v>
      </c>
      <c r="BX289" s="1316" t="e">
        <f aca="false">IF(BQ289,IF(OPriceCurve,IF(OBuySell=OCallPut,R289/(1-AY289),T289/(1-AY289)),S289/(1-AY289))*BG289,0)</f>
        <v>#VALUE!</v>
      </c>
      <c r="BY289" s="1316" t="e">
        <f aca="false">IF(BP289,(BU289*AZ289+BV289*BA289+BW289*BB289)/BP289,0)</f>
        <v>#VALUE!</v>
      </c>
      <c r="BZ289" s="1316" t="e">
        <f aca="false">IF(BQ289,(BY289*BP289+BX289*BC289)/BQ289,0)</f>
        <v>#VALUE!</v>
      </c>
      <c r="CA289" s="1531" t="e">
        <f aca="false">IF(BS289,IF(OPriceCurve,IF(OBuySell=OCallPut,I289/(1-AY289),K289/(1-AY289)),J289/(1-AY289))*BL289,0)</f>
        <v>#VALUE!</v>
      </c>
      <c r="CB289" s="1316" t="e">
        <f aca="false">IF(BS289,IF(OPriceCurve,IF(OBuySell=OCallPut,L289/(1-AY289),N289/(1-AY289)),M289/(1-AY289))*BM289,0)</f>
        <v>#VALUE!</v>
      </c>
      <c r="CC289" s="1316" t="e">
        <f aca="false">IF(BS289,IF(OPriceCurve,IF(OBuySell=OCallPut,O289/(1-AY289),Q289/(1-AY289)),P289/(1-AY289))*BN289,0)</f>
        <v>#VALUE!</v>
      </c>
      <c r="CD289" s="1316" t="e">
        <f aca="false">IF(BS289,IF(OPriceCurve,IF(OBuySell=OCallPut,R289/(1-AY289),T289/(1-AY289)),S289/(1-AY289))*BO289,0)</f>
        <v>#VALUE!</v>
      </c>
      <c r="CE289" s="1316" t="e">
        <f aca="false">IF(BR289,(BU289*BH289+BV289*BI289+BW289*BJ289)/BR289,0)</f>
        <v>#VALUE!</v>
      </c>
      <c r="CF289" s="1532" t="e">
        <f aca="false">IF(BS289,(CE289*BR289+CD289*BK289)/BS289,0)</f>
        <v>#VALUE!</v>
      </c>
      <c r="CG289" s="1586" t="e">
        <f aca="false">IF(OR(BQ289,BS289),IF(OVolType&lt;&gt;2,SQRT(IF(OVolOverMonthlyPeak,OVolOverMonthlyPeak,IF(OVolCurve,IF(OBuySell,U289,W289),V289))^2*(1-15/365.25/BT289)+IF(OVolOverDailyPeak,OVolOverDailyPeak,IF(OVolCurve,IF(OBuySell,AG289,AI289),AH289))^2*15/365.25/BT289),IF(OVolOverMonthlyPeak,OVolOverMonthlyPeak,IF(OVolCurve,IF(OBuySell,U289,W289),V289))),"")</f>
        <v>#VALUE!</v>
      </c>
      <c r="CH289" s="1587" t="e">
        <f aca="false">IF(OR(BQ289,BS289),IF(OVolType&lt;&gt;2,SQRT(IF(OVolOverMonthlyPeak,OVolOverMonthlyPeak,IF(OVolCurve,IF(OBuySell,X289,Z289),Y289))^2*(1-15/365.25/BT289)+IF(OVolOverDailyPeak,OVolOverDailyPeak,IF(OVolCurve,IF(OBuySell,AJ289,AL289),AK289))^2*15/365.25/BT289),IF(OVolOverMonthlyPeak,OVolOverMonthlyPeak,IF(OVolCurve,IF(OBuySell,X289,Z289),Y289))),"")</f>
        <v>#VALUE!</v>
      </c>
      <c r="CI289" s="1587" t="e">
        <f aca="false">IF(OR(BQ289,BS289),IF(OVolType&lt;&gt;2,SQRT(IF(OVolOverMonthlyPeak,OVolOverMonthlyPeak,IF(OVolCurve,IF(OBuySell,AA289,AC289),AB289))^2*(1-15/365.25/BT289)+IF(OVolOverDailyPeak,OVolOverDailyPeak,IF(OVolCurve,IF(OBuySell,AM289,AO289),AN289))^2*15/365.25/BT289),IF(OVolOverMonthlyPeak,OVolOverMonthlyPeak,IF(OVolCurve,IF(OBuySell,AA289,AC289),AB289))),"")</f>
        <v>#VALUE!</v>
      </c>
      <c r="CJ289" s="1587" t="e">
        <f aca="false">IF(BQ289,IF(BP289,SQRT(LN(1+((BU289*AZ289)^2*(EXP(CG289^2*BT289)-1)+(BV289*BA289)^2*(EXP(CH289^2*BT289)-1)+(BW289*BB289)^2*(EXP(CI289^2*BT289)-1)+2*BU289*AZ289*BV289*BA289*(EXP(CG289*CH289*BT289)-1)+2*BV289*BA289*BW289*BB289*(EXP(CH289*CI289*BT289)-1)+2*BW289*BB289*BU289*AZ289*(EXP(CI289*CG289*BT289)-1))/(BY289*BP289)^2)/BT289),0),"")</f>
        <v>#VALUE!</v>
      </c>
      <c r="CK289" s="1587" t="e">
        <f aca="false">IF(BS289,IF(BR289,SQRT(LN(1+((CA289*BH289)^2*(EXP(CG289^2*BT289)-1)+(CB289*BI289)^2*(EXP(CH289^2*BT289)-1)+(CC289*BJ289)^2*(EXP(CI289^2*BT289)-1)+2*CA289*BH289*CB289*BI289*(EXP(CG289*CH289*BT289)-1)+2*CB289*BI289*CC289*BJ289*(EXP(CH289*CI289*BT289)-1)+2*CC289*BJ289*CA289*BH289*(EXP(CI289*CG289*BT289)-1))/(CE289*BR289)^2)/BT289),0),"")</f>
        <v>#VALUE!</v>
      </c>
      <c r="CL289" s="1587" t="e">
        <f aca="false">IF(OR(BQ289,BS289),IF(OVolType&lt;&gt;2,SQRT(IF(OVolOverMonthlyOffPeak,OVolOverMonthlyOffPeak,IF(OVolCurve,IF(OBuySell,AD289,AF289),AE289))^2*(1-15/365.25/BT289)+IF(OVolOverDailyOffPeak,OVolOverDailyOffPeak,IF(OVolCurve,IF(OBuySell,AP289,AR289),AQ289))^2*15/365.25/BT289),IF(OVolOverMonthlyOffPeak,OVolOverMonthlyOffPeak,IF(OVolCurve,IF(OBuySell,AD289,AF289),AE289))),"")</f>
        <v>#VALUE!</v>
      </c>
      <c r="CM289" s="1587" t="e">
        <f aca="false">IF(BQ289,SQRT(LN(1+((BY289*BP289)^2*(EXP(CJ289^2*BT289)-1)+(BX289*BC289)^2*(EXP(CL289^2*BT289)-1)+2*BY289*BP289*BX289*BC289*(EXP(AS289*CJ289*CL289*BT289)-1))/(BY289*BP289+BX289*BC289)^2)/BT289),"")</f>
        <v>#VALUE!</v>
      </c>
      <c r="CN289" s="1588" t="e">
        <f aca="false">IF(BS289,SQRT(LN(1+((CE289*BR289)^2*(EXP(CK289^2*BT289)-1)+(CD289*BK289)^2*(EXP(CL289^2*BT289)-1)+2*CE289*BR289*CD289*BK289*(EXP(AS289*CK289*CL289*BT289)-1))/(CE289*BR289+CD289*BK289)^2)/BT289),"")</f>
        <v>#VALUE!</v>
      </c>
      <c r="CO289" s="1531" t="e">
        <f aca="false">IF(OR(BQ289,BS289),VLOOKUP(A289,GasTable,13)*HeatRatePeak*(1+VLOOKUP($B289,HeatRateDegradation,$C289+1))/1000,0)</f>
        <v>#VALUE!</v>
      </c>
      <c r="CP289" s="1316" t="e">
        <f aca="false">IF(OR(BQ289,BS289),VLOOKUP(A289,GasTable,13)*HeatRatePeak*(1+VLOOKUP($B289,HeatRateDegradation,$C289+1))/1000,0)</f>
        <v>#VALUE!</v>
      </c>
      <c r="CQ289" s="1316" t="e">
        <f aca="false">IF(OR(BQ289,BS289),VLOOKUP(A289,GasTable,13)*IF(EV289,HeatRatePeak,HeatRateOffPeak)*(1+VLOOKUP($B289,HeatRateDegradation,$C289+1))/1000,0)</f>
        <v>#VALUE!</v>
      </c>
      <c r="CR289" s="1316" t="e">
        <f aca="false">IF(OR(BQ289,BS289),VLOOKUP(A289,GasTable,13)*IF(EW289,HeatRatePeak,HeatRateOffPeak)*(1+VLOOKUP($B289,HeatRateDegradation,$C289+1))/1000,0)</f>
        <v>#VALUE!</v>
      </c>
      <c r="CS289" s="1589" t="e">
        <f aca="false">IF(BQ289,(CO289*AZ289+CP289*BA289+CQ289*BB289+CR289*BC289)/BQ289,0)</f>
        <v>#VALUE!</v>
      </c>
      <c r="CT289" s="1316" t="e">
        <f aca="false">IF(BS289,CO289,0)</f>
        <v>#VALUE!</v>
      </c>
      <c r="CU289" s="1590" t="e">
        <f aca="false">IF(OR(BQ289,BS289),VLOOKUP(A289,GasTable,14),"")</f>
        <v>#VALUE!</v>
      </c>
      <c r="CV289" s="1568" t="e">
        <f aca="false">IF(OR(BQ289,BS289),IF(CorrPowerGasOverFlag,INDEX(CorrPowerGasOver,C289),CorrPowerGas),"")</f>
        <v>#VALUE!</v>
      </c>
      <c r="CW289" s="1316" t="e">
        <f aca="false">IF(OR($BQ289,$BS289),SpreadOptPowerMargin,0)*((1+Assumptions!$C$26)^($B289-YEAR(Assumptions!$C$17)))</f>
        <v>#VALUE!</v>
      </c>
      <c r="CX289" s="1316" t="e">
        <f aca="false">IF(OR($BQ289,$BS289),SpreadOptPowerMargin,0)*((1+Assumptions!$C$26)^($B289-YEAR(Assumptions!$C$17)))</f>
        <v>#VALUE!</v>
      </c>
      <c r="CY289" s="1316" t="e">
        <f aca="false">IF(OR($BQ289,$BS289),SpreadOptPowerMargin,0)*((1+Assumptions!$C$26)^($B289-YEAR(Assumptions!$C$17)))</f>
        <v>#VALUE!</v>
      </c>
      <c r="CZ289" s="1316" t="e">
        <f aca="false">IF(OR($BQ289,$BS289),SpreadOptPowerMargin,0)*((1+Assumptions!$C$26)^($B289-YEAR(Assumptions!$C$17)))</f>
        <v>#VALUE!</v>
      </c>
      <c r="DA289" s="1591" t="e">
        <f aca="false">IF(OR(BQ289,BS289),(CW289*(AZ289+BH289)+CX289*(BA289+BI289)+CY289*(BB289+BJ289)+CZ289*(BC289+BK289))/(BQ289+BS289),0)</f>
        <v>#VALUE!</v>
      </c>
      <c r="DB289" s="1592" t="e">
        <f aca="false">IF(OR(BQ289,BS289),CG289+IF(OVolSmile,VLOOKUP(MAX(-5,CO289+CW289-BU289),IF(OVolSmile=1,VolSmileBook,VolSmileModel),2),0),"")</f>
        <v>#VALUE!</v>
      </c>
      <c r="DC289" s="1592" t="e">
        <f aca="false">IF(OR(BQ289,BS289),CH289+IF(OVolSmile,VLOOKUP(MAX(-5,CP289+CW289-BV289),IF(OVolSmile=1,VolSmileBook,VolSmileModel),2),0),"")</f>
        <v>#VALUE!</v>
      </c>
      <c r="DD289" s="1592" t="e">
        <f aca="false">IF(OR(BQ289,BS289),CI289+IF(OVolSmile,VLOOKUP(MAX(-5,CQ289+CW289-BW289),IF(OVolSmile=1,VolSmileBook,VolSmileModel),2),0),"")</f>
        <v>#VALUE!</v>
      </c>
      <c r="DE289" s="1592" t="e">
        <f aca="false">IF(OR(BQ289,BS289),CL289+IF(OVolSmile,VLOOKUP(MAX(-5,CR289+CZ289-BX289),IF(OVolSmile=1,VolSmileBook,VolSmileModel),2),0),"")</f>
        <v>#VALUE!</v>
      </c>
      <c r="DF289" s="1592" t="e">
        <f aca="false">IF(BQ289,CM289+IF(OVolSmile,VLOOKUP(MAX(-5,CS289+DA289-BZ289),IF(OVolSmile=1,VolSmileBook,VolSmileModel),2),0),"")</f>
        <v>#VALUE!</v>
      </c>
      <c r="DG289" s="1593" t="e">
        <f aca="false">IF(BS289,CN289+IF(OVolSmile,VLOOKUP(MAX(-5,CT289+DA289-CF289),IF(OVolSmile=1,VolSmileBook,VolSmileModel),2),0),"")</f>
        <v>#VALUE!</v>
      </c>
      <c r="DH289" s="1316" t="e">
        <f aca="false">IF(AND(BU289&gt;0,CO289&gt;0,DB289&gt;0,CU289&gt;0),newSPRDOPT(BU289,CO289,CW289,0,DB289,CU289,CV289,BT289*365.25,OCallPut,0),0)</f>
        <v>#VALUE!</v>
      </c>
      <c r="DI289" s="1316" t="e">
        <f aca="false">IF(AND(BV289&gt;0,CP289&gt;0,DC289&gt;0,CU289&gt;0),newSPRDOPT(BV289,CP289,CX289,0,DC289,CU289,CV289,BT289*365.25,OCallPut,0),0)</f>
        <v>#VALUE!</v>
      </c>
      <c r="DJ289" s="1316" t="e">
        <f aca="false">IF(AND(BW289&gt;0,CQ289&gt;0,DD289&gt;0,CU289&gt;0),newSPRDOPT(BW289,CQ289,CY289,0,DD289,CU289,CV289,BT289*365.25,OCallPut,0),0)</f>
        <v>#VALUE!</v>
      </c>
      <c r="DK289" s="1316" t="e">
        <f aca="false">IF(AND(BX289&gt;0,CR289&gt;0,DE289&gt;0,CU289&gt;0),newSPRDOPT(BX289,CR289,CZ289,0,DE289,CU289,CV289,BT289*365.25,OCallPut,0),0)</f>
        <v>#VALUE!</v>
      </c>
      <c r="DL289" s="1316" t="e">
        <f aca="false">IF(OVolType,IF(AND(BZ289&gt;0,CS289&gt;0,DF289&gt;0,CU289&gt;0),newSPRDOPT(BZ289,CS289,DA289,0,DF289,CU289,CV289,BT289*365.25,OCallPut,0),0),IF(BQ289,(DH289*AZ289+DI289*BA289+DJ289*BB289+DK289*BC289)/BQ289,0))</f>
        <v>#VALUE!</v>
      </c>
      <c r="DM289" s="1316"/>
      <c r="DN289" s="1316"/>
      <c r="DO289" s="1316"/>
      <c r="DP289" s="1316"/>
      <c r="DQ289" s="1316"/>
      <c r="DR289" s="1316"/>
      <c r="DS289" s="1316"/>
      <c r="DT289" s="1316"/>
      <c r="DU289" s="1316"/>
      <c r="DV289" s="1316"/>
      <c r="DW289" s="1594" t="e">
        <f aca="false">IF(AND(BW289&gt;0,CT289&gt;0,DD289&gt;0,CU289&gt;0),newSPRDOPT(BW289,CT289,CY289,0,DD289,CU289,CV289,BT289*365.25,OCallPut,0),0)</f>
        <v>#VALUE!</v>
      </c>
      <c r="DX289" s="1316" t="e">
        <f aca="false">IF(AND(BX289&gt;0,CT289&gt;0,DE289&gt;0,CU289&gt;0),newSPRDOPT(BX289,CT289,CZ289,0,DE289,CU289,CV289,BT289*365.25,OCallPut,0),0)</f>
        <v>#VALUE!</v>
      </c>
      <c r="DY289" s="1591" t="e">
        <f aca="false">IF(BS289,(DH289*BH289+DI289*BI289+DW289*BJ289+DX289*BK289)/BS289,0)</f>
        <v>#VALUE!</v>
      </c>
      <c r="DZ289" s="1551" t="e">
        <f aca="false">DH289*AZ289</f>
        <v>#VALUE!</v>
      </c>
      <c r="EA289" s="1551" t="e">
        <f aca="false">DI289*BA289</f>
        <v>#VALUE!</v>
      </c>
      <c r="EB289" s="1551" t="e">
        <f aca="false">DJ289*BB289</f>
        <v>#VALUE!</v>
      </c>
      <c r="EC289" s="1551" t="e">
        <f aca="false">DK289*BC289</f>
        <v>#VALUE!</v>
      </c>
      <c r="ED289" s="1551" t="e">
        <f aca="false">DL289*BQ289</f>
        <v>#VALUE!</v>
      </c>
      <c r="EE289" s="1595" t="e">
        <f aca="false">IF(BQ289,IF(OCallPut,IF(BU289&gt;(CO289+CW289),BU289-(CO289+CW289),0),IF((CO289+CW289)&gt;BU289,(CO289+CW289)-BU289,0))*AZ289,0)</f>
        <v>#VALUE!</v>
      </c>
      <c r="EF289" s="1596" t="e">
        <f aca="false">IF(BQ289,IF(OCallPut,IF(BV289&gt;(CP289+CX289),BV289-(CP289+CX289),0),IF((CP289+CX289)&gt;BV289,(CP289+CX289)-BV289,0))*BA289,0)</f>
        <v>#VALUE!</v>
      </c>
      <c r="EG289" s="1596" t="e">
        <f aca="false">IF(BQ289,IF(OCallPut,IF(BW289&gt;(CQ289+CY289),BW289-(CQ289+CY289),0),IF((CQ289+CY289)&gt;BW289,(CQ289+CY289)-BW289,0))*BB289,0)</f>
        <v>#VALUE!</v>
      </c>
      <c r="EH289" s="1596" t="e">
        <f aca="false">IF(BQ289,IF(OCallPut,IF(BX289&gt;(CR289+CZ289),BX289-(CR289+CZ289),0),IF((CR289+CZ289)&gt;BX289,(CR289+CZ289)-BX289,0))*BC289,0)</f>
        <v>#VALUE!</v>
      </c>
      <c r="EI289" s="1597" t="e">
        <f aca="false">IF(BQ289,IF(OVolType,IF(OCallPut,IF(BZ289&gt;(CS289+DA289),BZ289-(CS289+DA289),0),IF((CS289+DA289)&gt;BZ289,(CS289+DA289)-BZ289,0))*BQ289,SUM(EE289:EH289)),0)</f>
        <v>#VALUE!</v>
      </c>
      <c r="EJ289" s="1595" t="e">
        <f aca="false">DZ289-EE289</f>
        <v>#VALUE!</v>
      </c>
      <c r="EK289" s="1596" t="e">
        <f aca="false">EA289-EF289</f>
        <v>#VALUE!</v>
      </c>
      <c r="EL289" s="1596" t="e">
        <f aca="false">EB289-EG289</f>
        <v>#VALUE!</v>
      </c>
      <c r="EM289" s="1596" t="e">
        <f aca="false">EC289-EH289</f>
        <v>#VALUE!</v>
      </c>
      <c r="EN289" s="1597" t="e">
        <f aca="false">ED289-EI289</f>
        <v>#VALUE!</v>
      </c>
      <c r="EO289" s="1551" t="e">
        <f aca="false">DH289*BH289</f>
        <v>#VALUE!</v>
      </c>
      <c r="EP289" s="1551" t="e">
        <f aca="false">DI289*BI289</f>
        <v>#VALUE!</v>
      </c>
      <c r="EQ289" s="1551" t="e">
        <f aca="false">DW289*BJ289</f>
        <v>#VALUE!</v>
      </c>
      <c r="ER289" s="1551" t="e">
        <f aca="false">DX289*BK289</f>
        <v>#VALUE!</v>
      </c>
      <c r="ES289" s="1551" t="e">
        <f aca="false">DY289*BS289</f>
        <v>#VALUE!</v>
      </c>
      <c r="ET289" s="1566" t="e">
        <f aca="false">IF(EI289,IF(OCallPut,IF(CA289&gt;(CT289+CW289),CA289-(CT289+CW289),0),IF((CT289+CW289)&gt;CA289,(CT289+CW289)-CA289,0))*BH289,0)</f>
        <v>#VALUE!</v>
      </c>
      <c r="EU289" s="1551" t="e">
        <f aca="false">IF(EI289,IF(OCallPut,IF(CB289&gt;(CT289+CX289),CB289-(CT289+CX289),0),IF((CT289+CX289)&gt;CB289,(CT289+CX289)-CB289,0))*BI289,0)</f>
        <v>#VALUE!</v>
      </c>
      <c r="EV289" s="1551" t="e">
        <f aca="false">IF(EI289,IF(OCallPut,IF(CC289&gt;(CT289+CY289),CC289-(CT289+CY289),0),IF((CT289+CY289)&gt;CC289,(CT289+CY289)-CC289,0))*BJ289,0)</f>
        <v>#VALUE!</v>
      </c>
      <c r="EW289" s="1551" t="e">
        <f aca="false">IF(EI289,IF(OCallPut,IF(CD289&gt;(CT289+CZ289),CD289-(CT289+CZ289),0),IF((CT289+CZ289)&gt;CD289,(CT289+CZ289)-CD289,0))*BK289,0)</f>
        <v>#VALUE!</v>
      </c>
      <c r="EX289" s="1558" t="e">
        <f aca="false">IF(EI289,SUM(ET289:EW289),0)</f>
        <v>#VALUE!</v>
      </c>
      <c r="EY289" s="1551" t="e">
        <f aca="false">EO289-ET289</f>
        <v>#VALUE!</v>
      </c>
      <c r="EZ289" s="1551" t="e">
        <f aca="false">EP289-EU289</f>
        <v>#VALUE!</v>
      </c>
      <c r="FA289" s="1551" t="e">
        <f aca="false">EQ289-EV289</f>
        <v>#VALUE!</v>
      </c>
      <c r="FB289" s="1551" t="e">
        <f aca="false">ER289-EW289</f>
        <v>#VALUE!</v>
      </c>
      <c r="FC289" s="1551" t="e">
        <f aca="false">ES289-EX289</f>
        <v>#VALUE!</v>
      </c>
      <c r="FD289" s="1525" t="n">
        <f aca="false">IF(AX289,IF(VLOOKUP(C289,MAIN!$L$17:$M$28,2)="Yes",VLOOKUP(CALC!B289,MAIN!$H$17:$I$20,2),0),0)</f>
        <v>0</v>
      </c>
      <c r="FE289" s="1552" t="n">
        <f aca="false">$FD289*16*AT289*(1-$AY289)</f>
        <v>0</v>
      </c>
      <c r="FF289" s="1553" t="n">
        <f aca="false">$FD289*16*AU289*(1-$AY289)</f>
        <v>0</v>
      </c>
      <c r="FG289" s="1553" t="n">
        <f aca="false">$FD289*16*(AV289+AW289)*(1-$AY289)</f>
        <v>0</v>
      </c>
      <c r="FH289" s="1554" t="n">
        <f aca="false">$FD289*8*AX289*(1-$AY289)</f>
        <v>0</v>
      </c>
      <c r="FI289" s="1555" t="n">
        <f aca="false">IF(AX289,VLOOKUP(CALC!B289,MAIN!$H$17:$K$20,4),0)</f>
        <v>0</v>
      </c>
      <c r="FJ289" s="1553" t="n">
        <f aca="false">SUM(FE289:FH289)</f>
        <v>0</v>
      </c>
      <c r="FK289" s="1556" t="n">
        <f aca="false">FI289*FJ289</f>
        <v>0</v>
      </c>
      <c r="FL289" s="1551" t="e">
        <f aca="false">IF($EI289&gt;0,MIN(FE289,AZ289*(1+VLOOKUP($C289,WeatherCapacityAdjustment,2))),0)</f>
        <v>#VALUE!</v>
      </c>
      <c r="FM289" s="1551" t="e">
        <f aca="false">IF($EI289&gt;0,MIN(FF289,BA289*(1+VLOOKUP($C289,WeatherCapacityAdjustment,2))),0)</f>
        <v>#VALUE!</v>
      </c>
      <c r="FN289" s="1551" t="e">
        <f aca="false">IF($EI289&gt;0,MIN(FG289,BB289*(1+VLOOKUP($C289,WeatherCapacityAdjustment,2))),0)</f>
        <v>#VALUE!</v>
      </c>
      <c r="FO289" s="1564" t="e">
        <f aca="false">IF($EI289&gt;0,MIN(FH289,BC289*(1+VLOOKUP($C289,WeatherCapacityAdjustment,3))),0)</f>
        <v>#VALUE!</v>
      </c>
      <c r="FP289" s="1551" t="e">
        <f aca="false">IF(ET289&gt;0,MIN(FE289-FL289,BH289*(1+VLOOKUP($C289,WeatherCapacityAdjustment,2))),0)</f>
        <v>#VALUE!</v>
      </c>
      <c r="FQ289" s="1551" t="e">
        <f aca="false">IF(EU289&gt;0,MIN(FF289-FM289,BI289*(1+VLOOKUP($C289,WeatherCapacityAdjustment,2))),0)</f>
        <v>#VALUE!</v>
      </c>
      <c r="FR289" s="1551" t="e">
        <f aca="false">IF(EV289&gt;0,MIN(FG289-FN289,BJ289*(1+VLOOKUP($C289,WeatherCapacityAdjustment,2))),0)</f>
        <v>#VALUE!</v>
      </c>
      <c r="FS289" s="1558" t="e">
        <f aca="false">IF(EW289&gt;0,MIN(FH289-FO289,BK289*(1+VLOOKUP($C289,WeatherCapacityAdjustment,3))),0)</f>
        <v>#VALUE!</v>
      </c>
      <c r="FT289" s="1566" t="n">
        <f aca="false">IF(AND(Assumptions!$H$71="Yes",A289&gt;=Assumptions!$H$72,A289&lt;=Assumptions!$H$73),0,IF(AND($A289&gt;=Assumptions!$C$17,$A289&lt;=Assumptions!$C$18),MAX(AZ289*(1+VLOOKUP($C289,WeatherCapacityAdjustment,2))-FL289,0),0))</f>
        <v>0</v>
      </c>
      <c r="FU289" s="1551" t="n">
        <f aca="false">IF(AND(Assumptions!$H$71="Yes",A289&gt;=Assumptions!$H$72,A289&lt;=Assumptions!$H$73),0,IF(AND($A289&gt;=Assumptions!$C$17,$A289&lt;=Assumptions!$C$18),MAX(BA289*(1+VLOOKUP($C289,WeatherCapacityAdjustment,2))-FM289,0),0))</f>
        <v>0</v>
      </c>
      <c r="FV289" s="1551" t="n">
        <f aca="false">IF(AND(Assumptions!$H$71="Yes",A289&gt;=Assumptions!$H$72,A289&lt;=Assumptions!$H$73),0,IF(AND($A289&gt;=Assumptions!$C$17,$A289&lt;=Assumptions!$C$18),MAX(BB289*(1+VLOOKUP($C289,WeatherCapacityAdjustment,2))-FN289,0),0))</f>
        <v>0</v>
      </c>
      <c r="FW289" s="1564" t="n">
        <f aca="false">IF(AND(Assumptions!$H$71="Yes",A289&gt;=Assumptions!$H$72,A289&lt;=Assumptions!$H$73),0,IF(AND($A289&gt;=Assumptions!$C$17,$A289&lt;=Assumptions!$C$18),MAX(BC289*(1+VLOOKUP($C289,WeatherCapacityAdjustment,3))-FO289,0),0))</f>
        <v>0</v>
      </c>
      <c r="FX289" s="1569" t="e">
        <f aca="false">IF(AND(Assumptions!$H$71="Yes",A289&gt;=Assumptions!$H$72,A289&lt;=Assumptions!$H$73),0,IF(ET289&gt;0,MAX(BH289*(1+VLOOKUP($C289,WeatherCapacityAdjustment,2))-FP289,0),0))</f>
        <v>#VALUE!</v>
      </c>
      <c r="FY289" s="1551" t="e">
        <f aca="false">IF(AND(Assumptions!$H$71="Yes",A289&gt;=Assumptions!$H$72,A289&lt;=Assumptions!$H$73),0,IF(EU289&gt;0,MAX(BI289*(1+VLOOKUP($C289,WeatherCapacityAdjustment,3))-FQ289,0),0))</f>
        <v>#VALUE!</v>
      </c>
      <c r="FZ289" s="1551" t="e">
        <f aca="false">IF(AND(Assumptions!$H$71="Yes",A289&gt;=Assumptions!$H$72,A289&lt;=Assumptions!$H$73),0,IF(EV289&gt;0,MAX(BJ289*(1+VLOOKUP($C289,WeatherCapacityAdjustment,2))-FR289,0),0))</f>
        <v>#VALUE!</v>
      </c>
      <c r="GA289" s="1564" t="e">
        <f aca="false">IF(AND(Assumptions!$H$71="Yes",A289&gt;=Assumptions!$H$72,A289&lt;=Assumptions!$H$73),0,IF(EW289&gt;0,MAX(BK289*(1+VLOOKUP($C289,WeatherCapacityAdjustment,2))-FS289,0),0))</f>
        <v>#VALUE!</v>
      </c>
      <c r="GB289" s="1551" t="e">
        <f aca="false">SUM(FT289:GA289)</f>
        <v>#VALUE!</v>
      </c>
      <c r="GC289" s="1563" t="e">
        <f aca="false">+IF(SUM(FT289:GA289)=0,0,(SUMPRODUCT(BU289:BX289,FT289:FW289)+SUMPRODUCT(CA289:CD289,FX289:GA289))/SUM(FT289:GA289))</f>
        <v>#VALUE!</v>
      </c>
      <c r="GD289" s="1551" t="e">
        <f aca="false">(FT289*BU289+FX289*CA289+FU289*BV289+FY289*CB289+FV289*BW289+FZ289*CC289+FW289*BX289+GA289*CD289)</f>
        <v>#VALUE!</v>
      </c>
      <c r="GE289" s="1561" t="e">
        <f aca="false">+IF(BQ289,((FL289+FM289+FT289+FU289)*HeatRatePeak/1000*(1+VLOOKUP($C289,WeatherHeatRateAdjustment,2))+(FN289+FV289)*IF(EV289&gt;0,HeatRatePeak,HeatRateOffPeak)/1000*(1+VLOOKUP($C289,WeatherHeatRateAdjustment,2))+(FO289+FW289)*IF(EW289&gt;0,HeatRatePeak,HeatRateOffPeak)/1000*(1+VLOOKUP($C289,WeatherHeatRateAdjustment,3)))*(1+VLOOKUP($B289,HeatRateDegradation,$C289+1)),0)</f>
        <v>#VALUE!</v>
      </c>
      <c r="GF289" s="1562" t="e">
        <f aca="false">IF(BQ289,((FP289+FQ289+FR289+FX289+FY289+FZ289)*HeatRatePeak/1000*(1+VLOOKUP($C289,WeatherHeatRateAdjustment,2))+(FS289+GA289)*HeatRatePeak/1000*(1+VLOOKUP($C289,WeatherHeatRateAdjustment,3)))*(1+VLOOKUP($B289,HeatRateDegradation,$C289+1)),0)</f>
        <v>#VALUE!</v>
      </c>
      <c r="GG289" s="1563" t="e">
        <f aca="false">IF(BQ289,VLOOKUP(A289,GasTable,13),0)</f>
        <v>#VALUE!</v>
      </c>
      <c r="GH289" s="1564" t="e">
        <f aca="false">(GE289+GF289)*GG289</f>
        <v>#VALUE!</v>
      </c>
      <c r="GI289" s="1569" t="e">
        <f aca="false">GB289</f>
        <v>#VALUE!</v>
      </c>
      <c r="GJ289" s="1598" t="e">
        <f aca="false">+DA289</f>
        <v>#VALUE!</v>
      </c>
      <c r="GK289" s="1558" t="e">
        <f aca="false">+GI289*GJ289</f>
        <v>#VALUE!</v>
      </c>
      <c r="GL289" s="1566" t="e">
        <f aca="false">MAX(FE289-FL289-FP289,0)</f>
        <v>#VALUE!</v>
      </c>
      <c r="GM289" s="1551" t="e">
        <f aca="false">MAX(FF289-FM289-FQ289,0)</f>
        <v>#VALUE!</v>
      </c>
      <c r="GN289" s="1551" t="e">
        <f aca="false">MAX(FG289-FN289-FR289,0)</f>
        <v>#VALUE!</v>
      </c>
      <c r="GO289" s="1564" t="e">
        <f aca="false">MAX(FH289-FO289-FS289,0)</f>
        <v>#VALUE!</v>
      </c>
      <c r="GP289" s="1551" t="e">
        <f aca="false">SUM(GL289:GO289)</f>
        <v>#VALUE!</v>
      </c>
      <c r="GQ289" s="1563" t="e">
        <f aca="false">IF(SUM(GL289:GO289)=0,0,((GL289*BU289+GM289*BV289+GN289*BW289+GO289*BX289)/SUM(GL289:GO289)))</f>
        <v>#VALUE!</v>
      </c>
      <c r="GR289" s="1558" t="e">
        <f aca="false">(GL289*BU289+GM289*BV289+GN289*BW289+GO289*BX289)</f>
        <v>#VALUE!</v>
      </c>
      <c r="GS289" s="1566" t="n">
        <f aca="false">IF($A289&gt;=BegDate,Assumptions!$C$56*24*($A290-$A289)*(1-VLOOKUP($B289,MAIN!$AA$7:$AM$28,$C289+1))*(1-VLOOKUP($B289,MAIN!$AA$33:$AM$54,$C289+1)),0)*80/168</f>
        <v>257742.857142857</v>
      </c>
      <c r="GT289" s="286" t="n">
        <f aca="false">J289</f>
        <v>65.188857891746</v>
      </c>
      <c r="GU289" s="286" t="n">
        <f aca="false">IF($A289&gt;=BegDate,VLOOKUP($A289,GasTable,13)+Assumptions!$C$58,0)</f>
        <v>4.58711122179671</v>
      </c>
      <c r="GV289" s="286" t="n">
        <f aca="false">GU289*Assumptions!$C$57/1000</f>
        <v>33.2565563580261</v>
      </c>
      <c r="GW289" s="1558" t="n">
        <f aca="false">IF(Assumptions!$C$60="Hourly",MAX(0,GS289*(GT289-GV289)),GS289*(GT289-GV289))</f>
        <v>8230322.6324482</v>
      </c>
      <c r="GX289" s="1566" t="n">
        <f aca="false">IF($A289&gt;=BegDate,Assumptions!$C$56*24*($A290-$A289)*(1-VLOOKUP($B289,MAIN!$AA$7:$AM$28,$C289+1))*(1-VLOOKUP($B289,MAIN!$AA$33:$AM$54,$C289+1)),0)*16/168</f>
        <v>51548.5714285714</v>
      </c>
      <c r="GY289" s="286" t="n">
        <f aca="false">M289</f>
        <v>65.188857891746</v>
      </c>
      <c r="GZ289" s="286" t="n">
        <f aca="false">IF($A289&gt;=BegDate,VLOOKUP($A289,GasTable,13)+Assumptions!$C$58,0)</f>
        <v>4.58711122179671</v>
      </c>
      <c r="HA289" s="286" t="n">
        <f aca="false">GZ289*Assumptions!$C$57/1000</f>
        <v>33.2565563580261</v>
      </c>
      <c r="HB289" s="1558" t="n">
        <f aca="false">IF(Assumptions!$C$60="Hourly",MAX(0,GX289*(GY289-HA289)),GX289*(GY289-HA289))</f>
        <v>1646064.52648964</v>
      </c>
      <c r="HC289" s="1566" t="n">
        <f aca="false">IF($A289&gt;=BegDate,Assumptions!$C$56*24*($A290-$A289)*(1-VLOOKUP($B289,MAIN!$AA$7:$AM$28,$C289+1))*(1-VLOOKUP($B289,MAIN!$AA$33:$AM$54,$C289+1)),0)*16/168</f>
        <v>51548.5714285714</v>
      </c>
      <c r="HD289" s="286" t="n">
        <f aca="false">P289</f>
        <v>36.7412797858803</v>
      </c>
      <c r="HE289" s="286" t="n">
        <f aca="false">IF($A289&gt;=BegDate,VLOOKUP($A289,GasTable,13)+Assumptions!$C$58,0)</f>
        <v>4.58711122179671</v>
      </c>
      <c r="HF289" s="286" t="n">
        <f aca="false">HE289*Assumptions!$C$57/1000</f>
        <v>33.2565563580261</v>
      </c>
      <c r="HG289" s="1558" t="n">
        <f aca="false">IF(Assumptions!$C$60="Hourly",MAX(0,HC289*(HD289-HF289)),HC289*(HD289-HF289))</f>
        <v>179632.514529558</v>
      </c>
      <c r="HH289" s="1566" t="n">
        <f aca="false">IF($A289&gt;=BegDate,Assumptions!$C$56*24*($A290-$A289)*(1-VLOOKUP($B289,MAIN!$AA$7:$AM$28,$C289+1))*(1-VLOOKUP($B289,MAIN!$AA$33:$AM$54,$C289+1)),0)*56/168</f>
        <v>180420</v>
      </c>
      <c r="HI289" s="286" t="n">
        <f aca="false">S289</f>
        <v>36.7412797858803</v>
      </c>
      <c r="HJ289" s="286" t="n">
        <f aca="false">IF($A289&gt;=BegDate,VLOOKUP($A289,GasTable,13)+Assumptions!$C$58,0)</f>
        <v>4.58711122179671</v>
      </c>
      <c r="HK289" s="286" t="n">
        <f aca="false">HJ289*Assumptions!$C$57/1000</f>
        <v>33.2565563580261</v>
      </c>
      <c r="HL289" s="1558" t="n">
        <f aca="false">IF(Assumptions!$C$60="Hourly",MAX(0,HH289*(HI289-HK289)),HH289*(HI289-HK289))</f>
        <v>628713.800853453</v>
      </c>
      <c r="HM289" s="1566" t="n">
        <f aca="false">IF(AND(Assumptions!$H$71="Yes",A289&gt;=Assumptions!$H$72,A289&lt;=Assumptions!$H$73),Assumptions!$H$74*Assumptions!$C$9*1000,0)</f>
        <v>0</v>
      </c>
      <c r="HN289" s="1551"/>
      <c r="HO289" s="1563"/>
      <c r="HP289" s="1563"/>
      <c r="HQ289" s="1563"/>
      <c r="HR289" s="1563"/>
      <c r="HS289" s="1563"/>
      <c r="HT289" s="1563"/>
      <c r="HU289" s="1563"/>
      <c r="HV289" s="1563"/>
      <c r="HW289" s="1563"/>
      <c r="HX289" s="1563"/>
      <c r="HY289" s="1563"/>
      <c r="HZ289" s="1563"/>
      <c r="IA289" s="1563"/>
      <c r="IB289" s="1563"/>
      <c r="IC289" s="1563"/>
      <c r="ID289" s="1563"/>
      <c r="IE289" s="1563"/>
      <c r="IF289" s="1563"/>
      <c r="IG289" s="1563"/>
      <c r="IH289" s="1563"/>
      <c r="II289" s="1610"/>
      <c r="IJ289" s="1309"/>
      <c r="IK289" s="1309"/>
    </row>
    <row r="290" customFormat="false" ht="12.75" hidden="false" customHeight="false" outlineLevel="0" collapsed="false">
      <c r="A290" s="1571" t="n">
        <f aca="false">EOMONTH(A289,0)+1</f>
        <v>44958</v>
      </c>
      <c r="B290" s="594" t="n">
        <f aca="false">+YEAR(A290)</f>
        <v>2023</v>
      </c>
      <c r="C290" s="238" t="n">
        <f aca="false">MONTH(A290)</f>
        <v>2</v>
      </c>
      <c r="D290" s="1572" t="str">
        <f aca="false">IF(E290="","",Holiday(B290,C290))</f>
        <v/>
      </c>
      <c r="E290" s="1573" t="str">
        <f aca="false">IF(OR(BegDate&gt;=A291,EndDate&lt;A290,AND(VolumeMonthlyOverFlag,INDEX(VolumeMonthlyOver,C290)=0),NOT(INDEX(MonthKnockOutTable,C290))),"",MAX(A290,BegDate))</f>
        <v/>
      </c>
      <c r="F290" s="1574" t="str">
        <f aca="false">IF(E290="","",MIN(A291-1,EndDate))</f>
        <v/>
      </c>
      <c r="G290" s="1575" t="n">
        <v>0</v>
      </c>
      <c r="H290" s="1576" t="n">
        <f aca="false">(1+G290/2)^(-2*(DATE(B291,C291,20)-DateToday)/365.25)</f>
        <v>1</v>
      </c>
      <c r="I290" s="1568" t="n">
        <f aca="false">IF(Assumptions!$L$25=4,VLOOKUP($A290,'Henwood Reference'!$E$9:$R$320,10),(VLOOKUP($A290,PriceTable,2,0)+IF(BasisNumber&lt;&gt;1,VLOOKUP($A290,BasisTable,2,0),0)+I$1)/(1-I$2))</f>
        <v>48.8482392665626</v>
      </c>
      <c r="J290" s="1568" t="n">
        <f aca="false">IF(Assumptions!$L$25=4,VLOOKUP($A290,'Henwood Reference'!$E$9:$R$320,10),(VLOOKUP($A290,PriceTable,3,0)+IF(BasisNumber&lt;&gt;1,VLOOKUP($A290,BasisTable,2,0),0)+J$1)/(1-J$2))</f>
        <v>48.8482392665626</v>
      </c>
      <c r="K290" s="1568" t="n">
        <f aca="false">IF(Assumptions!$L$25=4,VLOOKUP($A290,'Henwood Reference'!$E$9:$R$320,10),(VLOOKUP($A290,PriceTable,4,0)+IF(BasisNumber&lt;&gt;1,VLOOKUP($A290,BasisTable,2,0),0)+K$1)/(1-K$2))</f>
        <v>48.8482392665626</v>
      </c>
      <c r="L290" s="1523" t="n">
        <f aca="false">IF(Assumptions!$L$25=4,VLOOKUP($A290,'Henwood Reference'!$E$9:$R$320,10),(VLOOKUP($A290,PriceTableWeekend,2,0)+IF(BasisNumber&lt;&gt;1,VLOOKUP($A290,BasisTable,2,0),0)+L$1)/(1-L$2))</f>
        <v>48.8482392665626</v>
      </c>
      <c r="M290" s="1568" t="n">
        <f aca="false">IF(Assumptions!$L$25=4,VLOOKUP($A290,'Henwood Reference'!$E$9:$R$320,10),(VLOOKUP($A290,PriceTableWeekend,3,0)+IF(BasisNumber&lt;&gt;1,VLOOKUP($A290,BasisTable,2,0),0)+M$1)/(1-M$2))</f>
        <v>48.8482392665626</v>
      </c>
      <c r="N290" s="1599" t="n">
        <f aca="false">IF(Assumptions!$L$25=4,VLOOKUP($A290,'Henwood Reference'!$E$9:$R$320,10),(VLOOKUP($A290,PriceTableWeekend,4,0)+IF(BasisNumber&lt;&gt;1,VLOOKUP($A290,BasisTable,2,0),0)+N$1)/(1-N$2))</f>
        <v>48.8482392665626</v>
      </c>
      <c r="O290" s="1568" t="n">
        <f aca="false">IF(Assumptions!$L$25=4,VLOOKUP($A290,'Henwood Reference'!$E$9:$R$320,11),(VLOOKUP($A290,PriceTableWeekend,6,0)+IF(BasisNumber&lt;&gt;1,VLOOKUP($A290,BasisTable,3,0),0)+O$1)/(1-O$2))</f>
        <v>30.3822758131021</v>
      </c>
      <c r="P290" s="1568" t="n">
        <f aca="false">IF(Assumptions!$L$25=4,VLOOKUP($A290,'Henwood Reference'!$E$9:$R$320,11),(VLOOKUP($A290,PriceTableWeekend,7,0)+IF(BasisNumber&lt;&gt;1,VLOOKUP($A290,BasisTable,3,0),0)+P$1)/(1-P$2))</f>
        <v>30.3822758131021</v>
      </c>
      <c r="Q290" s="1599" t="n">
        <f aca="false">IF(Assumptions!$L$25=4,VLOOKUP($A290,'Henwood Reference'!$E$9:$R$320,11),(VLOOKUP($A290,PriceTableWeekend,8,0)+IF(BasisNumber&lt;&gt;1,VLOOKUP($A290,BasisTable,3,0),0)+Q$1)/(1-Q$2))</f>
        <v>30.3822758131021</v>
      </c>
      <c r="R290" s="1568" t="n">
        <f aca="false">IF(Assumptions!$L$25=4,VLOOKUP($A290,'Henwood Reference'!$E$9:$R$320,11),(VLOOKUP($A290,PriceTable,6,0)+IF(BasisNumber&lt;&gt;1,VLOOKUP($A290,BasisTable,3,0),0)+R$1)/(1-R$2))</f>
        <v>30.3822758131021</v>
      </c>
      <c r="S290" s="1568" t="n">
        <f aca="false">IF(Assumptions!$L$25=4,VLOOKUP($A290,'Henwood Reference'!$E$9:$R$320,11),(VLOOKUP($A290,PriceTable,7,0)+IF(BasisNumber&lt;&gt;1,VLOOKUP($A290,BasisTable,3,0),0)+S$1)/(1-S$2))</f>
        <v>30.3822758131021</v>
      </c>
      <c r="T290" s="1600" t="n">
        <f aca="false">IF(Assumptions!$L$25=4,VLOOKUP($A290,'Henwood Reference'!$E$9:$R$320,11),(VLOOKUP($A290,PriceTable,8,0)+IF(BasisNumber&lt;&gt;1,VLOOKUP($A290,BasisTable,3,0),0)+T$1)/(1-T$2))</f>
        <v>30.3822758131021</v>
      </c>
      <c r="U290" s="1513" t="n">
        <f aca="false">VLOOKUP($A290,VolatilityTable,14)</f>
        <v>0.09</v>
      </c>
      <c r="V290" s="1513" t="n">
        <f aca="false">VLOOKUP($A290,VolatilityTable,15)</f>
        <v>0.1</v>
      </c>
      <c r="W290" s="1514" t="n">
        <f aca="false">VLOOKUP($A290,VolatilityTable,16)</f>
        <v>0.11</v>
      </c>
      <c r="X290" s="1513" t="n">
        <f aca="false">VLOOKUP($A290,VolatilityTable,14)</f>
        <v>0.09</v>
      </c>
      <c r="Y290" s="1513" t="n">
        <f aca="false">VLOOKUP($A290,VolatilityTable,15)</f>
        <v>0.1</v>
      </c>
      <c r="Z290" s="1514" t="n">
        <f aca="false">VLOOKUP($A290,VolatilityTable,16)</f>
        <v>0.11</v>
      </c>
      <c r="AA290" s="1513" t="n">
        <f aca="false">VLOOKUP($A290,VolatilityTable,18)</f>
        <v>0.09</v>
      </c>
      <c r="AB290" s="1513" t="n">
        <f aca="false">VLOOKUP($A290,VolatilityTable,19)</f>
        <v>0.11</v>
      </c>
      <c r="AC290" s="1514" t="n">
        <f aca="false">VLOOKUP($A290,VolatilityTable,20)</f>
        <v>0.13</v>
      </c>
      <c r="AD290" s="1513" t="n">
        <f aca="false">VLOOKUP($A290,VolatilityTable,18)</f>
        <v>0.09</v>
      </c>
      <c r="AE290" s="1513" t="n">
        <f aca="false">VLOOKUP($A290,VolatilityTable,19)</f>
        <v>0.11</v>
      </c>
      <c r="AF290" s="1514" t="n">
        <f aca="false">VLOOKUP($A290,VolatilityTable,20)</f>
        <v>0.13</v>
      </c>
      <c r="AG290" s="1513" t="n">
        <f aca="false">VLOOKUP($A290,VolatilityTable,22)</f>
        <v>-0.25</v>
      </c>
      <c r="AH290" s="1513" t="n">
        <f aca="false">VLOOKUP($A290,VolatilityTable,23)</f>
        <v>0.65</v>
      </c>
      <c r="AI290" s="1514" t="n">
        <f aca="false">VLOOKUP($A290,VolatilityTable,24)</f>
        <v>0.25</v>
      </c>
      <c r="AJ290" s="1513" t="n">
        <f aca="false">VLOOKUP($A290,VolatilityTable,22)</f>
        <v>-0.25</v>
      </c>
      <c r="AK290" s="1513" t="n">
        <f aca="false">VLOOKUP($A290,VolatilityTable,23)</f>
        <v>0.65</v>
      </c>
      <c r="AL290" s="1514" t="n">
        <f aca="false">VLOOKUP($A290,VolatilityTable,24)</f>
        <v>0.25</v>
      </c>
      <c r="AM290" s="1513" t="n">
        <f aca="false">VLOOKUP($A290,VolatilityTable,26)</f>
        <v>-0.01</v>
      </c>
      <c r="AN290" s="1513" t="n">
        <f aca="false">VLOOKUP($A290,VolatilityTable,27)</f>
        <v>0.16</v>
      </c>
      <c r="AO290" s="1514" t="n">
        <f aca="false">VLOOKUP($A290,VolatilityTable,28)</f>
        <v>0.01</v>
      </c>
      <c r="AP290" s="1513" t="n">
        <f aca="false">VLOOKUP($A290,VolatilityTable,26)</f>
        <v>-0.01</v>
      </c>
      <c r="AQ290" s="1513" t="n">
        <f aca="false">VLOOKUP($A290,VolatilityTable,27)</f>
        <v>0.16</v>
      </c>
      <c r="AR290" s="1515" t="n">
        <f aca="false">VLOOKUP($A290,VolatilityTable,28)</f>
        <v>0.01</v>
      </c>
      <c r="AS290" s="1581" t="n">
        <f aca="false">IF(CorrPeakOffPeakOverFlag,INDEX(CorrPeakOffPeakOver,C290),CorrPeakOffPeak)</f>
        <v>0.5</v>
      </c>
      <c r="AT290" s="594" t="n">
        <f aca="false">AX290-SUM(AU290:AW290)</f>
        <v>0</v>
      </c>
      <c r="AU290" s="238" t="n">
        <f aca="false">IF(E290="",0,INT((F290-MOD(F290,7)-E290)/7)+1-IF(AW290,IF(WEEKDAY(D290)=7,1,0),0))</f>
        <v>0</v>
      </c>
      <c r="AV290" s="238" t="n">
        <f aca="false">IF(E290="",0,INT((F290-MOD(F290-1,7)-E290)/7)+1-IF(AW290,IF(WEEKDAY(D290)=1,1,0),0))</f>
        <v>0</v>
      </c>
      <c r="AW290" s="238" t="n">
        <f aca="false">IF(OR(E290="",D290="",D290&lt;BegDate,D290&gt;EndDate),0,1)</f>
        <v>0</v>
      </c>
      <c r="AX290" s="238" t="n">
        <f aca="false">IF(E290="",0,F290-E290+1)</f>
        <v>0</v>
      </c>
      <c r="AY290" s="1582" t="n">
        <f aca="false">IF(E290="",0,MIN((1-(1-VLOOKUP(B290,MAIN!$AA$7:$AM$28,C290+1))*(1-VLOOKUP(B290,MAIN!$AA$33:$AM$54,C290+1))),1))</f>
        <v>0</v>
      </c>
      <c r="AZ290" s="1519" t="e">
        <v>#VALUE!</v>
      </c>
      <c r="BA290" s="1520" t="e">
        <v>#VALUE!</v>
      </c>
      <c r="BB290" s="1520" t="e">
        <v>#VALUE!</v>
      </c>
      <c r="BC290" s="1583" t="e">
        <v>#VALUE!</v>
      </c>
      <c r="BD290" s="1522" t="e">
        <v>#VALUE!</v>
      </c>
      <c r="BE290" s="1523" t="e">
        <v>#VALUE!</v>
      </c>
      <c r="BF290" s="1523" t="e">
        <v>#VALUE!</v>
      </c>
      <c r="BG290" s="1584" t="e">
        <v>#VALUE!</v>
      </c>
      <c r="BH290" s="1525" t="e">
        <v>#VALUE!</v>
      </c>
      <c r="BI290" s="1520" t="e">
        <v>#VALUE!</v>
      </c>
      <c r="BJ290" s="1520" t="e">
        <v>#VALUE!</v>
      </c>
      <c r="BK290" s="1583" t="e">
        <v>#VALUE!</v>
      </c>
      <c r="BL290" s="1522" t="e">
        <v>#VALUE!</v>
      </c>
      <c r="BM290" s="1523" t="e">
        <v>#VALUE!</v>
      </c>
      <c r="BN290" s="1523" t="e">
        <v>#VALUE!</v>
      </c>
      <c r="BO290" s="1523" t="e">
        <v>#VALUE!</v>
      </c>
      <c r="BP290" s="1525" t="e">
        <f aca="false">SUM(AZ290:BB290)</f>
        <v>#VALUE!</v>
      </c>
      <c r="BQ290" s="1529" t="e">
        <f aca="false">SUM(AZ290:BC290)</f>
        <v>#VALUE!</v>
      </c>
      <c r="BR290" s="1519" t="e">
        <f aca="false">SUM(BH290:BJ290)</f>
        <v>#VALUE!</v>
      </c>
      <c r="BS290" s="1529" t="e">
        <f aca="false">SUM(BH290:BK290)</f>
        <v>#VALUE!</v>
      </c>
      <c r="BT290" s="1316" t="n">
        <f aca="false">(IF(OVolType&lt;&gt;2,A290+14,IF(OptExpDateShift,ShiftBack(A290,OptExpDateShift,D289),A290))-DateToday)/365.25</f>
        <v>22.8008213552361</v>
      </c>
      <c r="BU290" s="1585" t="e">
        <f aca="false">IF(BQ290,IF(OPriceCurve,IF(OBuySell=OCallPut,I290/(1-AY290),K290/(1-AY290)),J290/(1-AY290))*BD290,0)</f>
        <v>#VALUE!</v>
      </c>
      <c r="BV290" s="1316" t="e">
        <f aca="false">IF(BQ290,IF(OPriceCurve,IF(OBuySell=OCallPut,L290/(1-AY290),N290/(1-AY290)),M290/(1-AY290))*BE290,0)</f>
        <v>#VALUE!</v>
      </c>
      <c r="BW290" s="1316" t="e">
        <f aca="false">IF(BQ290,IF(OPriceCurve,IF(OBuySell=OCallPut,O290/(1-AY290),Q290/(1-AY290)),P290/(1-AY290))*BF290,0)</f>
        <v>#VALUE!</v>
      </c>
      <c r="BX290" s="1316" t="e">
        <f aca="false">IF(BQ290,IF(OPriceCurve,IF(OBuySell=OCallPut,R290/(1-AY290),T290/(1-AY290)),S290/(1-AY290))*BG290,0)</f>
        <v>#VALUE!</v>
      </c>
      <c r="BY290" s="1316" t="e">
        <f aca="false">IF(BP290,(BU290*AZ290+BV290*BA290+BW290*BB290)/BP290,0)</f>
        <v>#VALUE!</v>
      </c>
      <c r="BZ290" s="1316" t="e">
        <f aca="false">IF(BQ290,(BY290*BP290+BX290*BC290)/BQ290,0)</f>
        <v>#VALUE!</v>
      </c>
      <c r="CA290" s="1531" t="e">
        <f aca="false">IF(BS290,IF(OPriceCurve,IF(OBuySell=OCallPut,I290/(1-AY290),K290/(1-AY290)),J290/(1-AY290))*BL290,0)</f>
        <v>#VALUE!</v>
      </c>
      <c r="CB290" s="1316" t="e">
        <f aca="false">IF(BS290,IF(OPriceCurve,IF(OBuySell=OCallPut,L290/(1-AY290),N290/(1-AY290)),M290/(1-AY290))*BM290,0)</f>
        <v>#VALUE!</v>
      </c>
      <c r="CC290" s="1316" t="e">
        <f aca="false">IF(BS290,IF(OPriceCurve,IF(OBuySell=OCallPut,O290/(1-AY290),Q290/(1-AY290)),P290/(1-AY290))*BN290,0)</f>
        <v>#VALUE!</v>
      </c>
      <c r="CD290" s="1316" t="e">
        <f aca="false">IF(BS290,IF(OPriceCurve,IF(OBuySell=OCallPut,R290/(1-AY290),T290/(1-AY290)),S290/(1-AY290))*BO290,0)</f>
        <v>#VALUE!</v>
      </c>
      <c r="CE290" s="1316" t="e">
        <f aca="false">IF(BR290,(BU290*BH290+BV290*BI290+BW290*BJ290)/BR290,0)</f>
        <v>#VALUE!</v>
      </c>
      <c r="CF290" s="1532" t="e">
        <f aca="false">IF(BS290,(CE290*BR290+CD290*BK290)/BS290,0)</f>
        <v>#VALUE!</v>
      </c>
      <c r="CG290" s="1586" t="e">
        <f aca="false">IF(OR(BQ290,BS290),IF(OVolType&lt;&gt;2,SQRT(IF(OVolOverMonthlyPeak,OVolOverMonthlyPeak,IF(OVolCurve,IF(OBuySell,U290,W290),V290))^2*(1-15/365.25/BT290)+IF(OVolOverDailyPeak,OVolOverDailyPeak,IF(OVolCurve,IF(OBuySell,AG290,AI290),AH290))^2*15/365.25/BT290),IF(OVolOverMonthlyPeak,OVolOverMonthlyPeak,IF(OVolCurve,IF(OBuySell,U290,W290),V290))),"")</f>
        <v>#VALUE!</v>
      </c>
      <c r="CH290" s="1587" t="e">
        <f aca="false">IF(OR(BQ290,BS290),IF(OVolType&lt;&gt;2,SQRT(IF(OVolOverMonthlyPeak,OVolOverMonthlyPeak,IF(OVolCurve,IF(OBuySell,X290,Z290),Y290))^2*(1-15/365.25/BT290)+IF(OVolOverDailyPeak,OVolOverDailyPeak,IF(OVolCurve,IF(OBuySell,AJ290,AL290),AK290))^2*15/365.25/BT290),IF(OVolOverMonthlyPeak,OVolOverMonthlyPeak,IF(OVolCurve,IF(OBuySell,X290,Z290),Y290))),"")</f>
        <v>#VALUE!</v>
      </c>
      <c r="CI290" s="1587" t="e">
        <f aca="false">IF(OR(BQ290,BS290),IF(OVolType&lt;&gt;2,SQRT(IF(OVolOverMonthlyPeak,OVolOverMonthlyPeak,IF(OVolCurve,IF(OBuySell,AA290,AC290),AB290))^2*(1-15/365.25/BT290)+IF(OVolOverDailyPeak,OVolOverDailyPeak,IF(OVolCurve,IF(OBuySell,AM290,AO290),AN290))^2*15/365.25/BT290),IF(OVolOverMonthlyPeak,OVolOverMonthlyPeak,IF(OVolCurve,IF(OBuySell,AA290,AC290),AB290))),"")</f>
        <v>#VALUE!</v>
      </c>
      <c r="CJ290" s="1587" t="e">
        <f aca="false">IF(BQ290,IF(BP290,SQRT(LN(1+((BU290*AZ290)^2*(EXP(CG290^2*BT290)-1)+(BV290*BA290)^2*(EXP(CH290^2*BT290)-1)+(BW290*BB290)^2*(EXP(CI290^2*BT290)-1)+2*BU290*AZ290*BV290*BA290*(EXP(CG290*CH290*BT290)-1)+2*BV290*BA290*BW290*BB290*(EXP(CH290*CI290*BT290)-1)+2*BW290*BB290*BU290*AZ290*(EXP(CI290*CG290*BT290)-1))/(BY290*BP290)^2)/BT290),0),"")</f>
        <v>#VALUE!</v>
      </c>
      <c r="CK290" s="1587" t="e">
        <f aca="false">IF(BS290,IF(BR290,SQRT(LN(1+((CA290*BH290)^2*(EXP(CG290^2*BT290)-1)+(CB290*BI290)^2*(EXP(CH290^2*BT290)-1)+(CC290*BJ290)^2*(EXP(CI290^2*BT290)-1)+2*CA290*BH290*CB290*BI290*(EXP(CG290*CH290*BT290)-1)+2*CB290*BI290*CC290*BJ290*(EXP(CH290*CI290*BT290)-1)+2*CC290*BJ290*CA290*BH290*(EXP(CI290*CG290*BT290)-1))/(CE290*BR290)^2)/BT290),0),"")</f>
        <v>#VALUE!</v>
      </c>
      <c r="CL290" s="1587" t="e">
        <f aca="false">IF(OR(BQ290,BS290),IF(OVolType&lt;&gt;2,SQRT(IF(OVolOverMonthlyOffPeak,OVolOverMonthlyOffPeak,IF(OVolCurve,IF(OBuySell,AD290,AF290),AE290))^2*(1-15/365.25/BT290)+IF(OVolOverDailyOffPeak,OVolOverDailyOffPeak,IF(OVolCurve,IF(OBuySell,AP290,AR290),AQ290))^2*15/365.25/BT290),IF(OVolOverMonthlyOffPeak,OVolOverMonthlyOffPeak,IF(OVolCurve,IF(OBuySell,AD290,AF290),AE290))),"")</f>
        <v>#VALUE!</v>
      </c>
      <c r="CM290" s="1587" t="e">
        <f aca="false">IF(BQ290,SQRT(LN(1+((BY290*BP290)^2*(EXP(CJ290^2*BT290)-1)+(BX290*BC290)^2*(EXP(CL290^2*BT290)-1)+2*BY290*BP290*BX290*BC290*(EXP(AS290*CJ290*CL290*BT290)-1))/(BY290*BP290+BX290*BC290)^2)/BT290),"")</f>
        <v>#VALUE!</v>
      </c>
      <c r="CN290" s="1588" t="e">
        <f aca="false">IF(BS290,SQRT(LN(1+((CE290*BR290)^2*(EXP(CK290^2*BT290)-1)+(CD290*BK290)^2*(EXP(CL290^2*BT290)-1)+2*CE290*BR290*CD290*BK290*(EXP(AS290*CK290*CL290*BT290)-1))/(CE290*BR290+CD290*BK290)^2)/BT290),"")</f>
        <v>#VALUE!</v>
      </c>
      <c r="CO290" s="1531" t="e">
        <f aca="false">IF(OR(BQ290,BS290),VLOOKUP(A290,GasTable,13)*HeatRatePeak*(1+VLOOKUP($B290,HeatRateDegradation,$C290+1))/1000,0)</f>
        <v>#VALUE!</v>
      </c>
      <c r="CP290" s="1316" t="e">
        <f aca="false">IF(OR(BQ290,BS290),VLOOKUP(A290,GasTable,13)*HeatRatePeak*(1+VLOOKUP($B290,HeatRateDegradation,$C290+1))/1000,0)</f>
        <v>#VALUE!</v>
      </c>
      <c r="CQ290" s="1316" t="e">
        <f aca="false">IF(OR(BQ290,BS290),VLOOKUP(A290,GasTable,13)*IF(EV290,HeatRatePeak,HeatRateOffPeak)*(1+VLOOKUP($B290,HeatRateDegradation,$C290+1))/1000,0)</f>
        <v>#VALUE!</v>
      </c>
      <c r="CR290" s="1316" t="e">
        <f aca="false">IF(OR(BQ290,BS290),VLOOKUP(A290,GasTable,13)*IF(EW290,HeatRatePeak,HeatRateOffPeak)*(1+VLOOKUP($B290,HeatRateDegradation,$C290+1))/1000,0)</f>
        <v>#VALUE!</v>
      </c>
      <c r="CS290" s="1589" t="e">
        <f aca="false">IF(BQ290,(CO290*AZ290+CP290*BA290+CQ290*BB290+CR290*BC290)/BQ290,0)</f>
        <v>#VALUE!</v>
      </c>
      <c r="CT290" s="1316" t="e">
        <f aca="false">IF(BS290,CO290,0)</f>
        <v>#VALUE!</v>
      </c>
      <c r="CU290" s="1590" t="e">
        <f aca="false">IF(OR(BQ290,BS290),VLOOKUP(A290,GasTable,14),"")</f>
        <v>#VALUE!</v>
      </c>
      <c r="CV290" s="1568" t="e">
        <f aca="false">IF(OR(BQ290,BS290),IF(CorrPowerGasOverFlag,INDEX(CorrPowerGasOver,C290),CorrPowerGas),"")</f>
        <v>#VALUE!</v>
      </c>
      <c r="CW290" s="1316" t="e">
        <f aca="false">IF(OR($BQ290,$BS290),SpreadOptPowerMargin,0)*((1+Assumptions!$C$26)^($B290-YEAR(Assumptions!$C$17)))</f>
        <v>#VALUE!</v>
      </c>
      <c r="CX290" s="1316" t="e">
        <f aca="false">IF(OR($BQ290,$BS290),SpreadOptPowerMargin,0)*((1+Assumptions!$C$26)^($B290-YEAR(Assumptions!$C$17)))</f>
        <v>#VALUE!</v>
      </c>
      <c r="CY290" s="1316" t="e">
        <f aca="false">IF(OR($BQ290,$BS290),SpreadOptPowerMargin,0)*((1+Assumptions!$C$26)^($B290-YEAR(Assumptions!$C$17)))</f>
        <v>#VALUE!</v>
      </c>
      <c r="CZ290" s="1316" t="e">
        <f aca="false">IF(OR($BQ290,$BS290),SpreadOptPowerMargin,0)*((1+Assumptions!$C$26)^($B290-YEAR(Assumptions!$C$17)))</f>
        <v>#VALUE!</v>
      </c>
      <c r="DA290" s="1591" t="e">
        <f aca="false">IF(OR(BQ290,BS290),(CW290*(AZ290+BH290)+CX290*(BA290+BI290)+CY290*(BB290+BJ290)+CZ290*(BC290+BK290))/(BQ290+BS290),0)</f>
        <v>#VALUE!</v>
      </c>
      <c r="DB290" s="1592" t="e">
        <f aca="false">IF(OR(BQ290,BS290),CG290+IF(OVolSmile,VLOOKUP(MAX(-5,CO290+CW290-BU290),IF(OVolSmile=1,VolSmileBook,VolSmileModel),2),0),"")</f>
        <v>#VALUE!</v>
      </c>
      <c r="DC290" s="1592" t="e">
        <f aca="false">IF(OR(BQ290,BS290),CH290+IF(OVolSmile,VLOOKUP(MAX(-5,CP290+CW290-BV290),IF(OVolSmile=1,VolSmileBook,VolSmileModel),2),0),"")</f>
        <v>#VALUE!</v>
      </c>
      <c r="DD290" s="1592" t="e">
        <f aca="false">IF(OR(BQ290,BS290),CI290+IF(OVolSmile,VLOOKUP(MAX(-5,CQ290+CW290-BW290),IF(OVolSmile=1,VolSmileBook,VolSmileModel),2),0),"")</f>
        <v>#VALUE!</v>
      </c>
      <c r="DE290" s="1592" t="e">
        <f aca="false">IF(OR(BQ290,BS290),CL290+IF(OVolSmile,VLOOKUP(MAX(-5,CR290+CZ290-BX290),IF(OVolSmile=1,VolSmileBook,VolSmileModel),2),0),"")</f>
        <v>#VALUE!</v>
      </c>
      <c r="DF290" s="1592" t="e">
        <f aca="false">IF(BQ290,CM290+IF(OVolSmile,VLOOKUP(MAX(-5,CS290+DA290-BZ290),IF(OVolSmile=1,VolSmileBook,VolSmileModel),2),0),"")</f>
        <v>#VALUE!</v>
      </c>
      <c r="DG290" s="1593" t="e">
        <f aca="false">IF(BS290,CN290+IF(OVolSmile,VLOOKUP(MAX(-5,CT290+DA290-CF290),IF(OVolSmile=1,VolSmileBook,VolSmileModel),2),0),"")</f>
        <v>#VALUE!</v>
      </c>
      <c r="DH290" s="1316" t="e">
        <f aca="false">IF(AND(BU290&gt;0,CO290&gt;0,DB290&gt;0,CU290&gt;0),newSPRDOPT(BU290,CO290,CW290,0,DB290,CU290,CV290,BT290*365.25,OCallPut,0),0)</f>
        <v>#VALUE!</v>
      </c>
      <c r="DI290" s="1316" t="e">
        <f aca="false">IF(AND(BV290&gt;0,CP290&gt;0,DC290&gt;0,CU290&gt;0),newSPRDOPT(BV290,CP290,CX290,0,DC290,CU290,CV290,BT290*365.25,OCallPut,0),0)</f>
        <v>#VALUE!</v>
      </c>
      <c r="DJ290" s="1316" t="e">
        <f aca="false">IF(AND(BW290&gt;0,CQ290&gt;0,DD290&gt;0,CU290&gt;0),newSPRDOPT(BW290,CQ290,CY290,0,DD290,CU290,CV290,BT290*365.25,OCallPut,0),0)</f>
        <v>#VALUE!</v>
      </c>
      <c r="DK290" s="1316" t="e">
        <f aca="false">IF(AND(BX290&gt;0,CR290&gt;0,DE290&gt;0,CU290&gt;0),newSPRDOPT(BX290,CR290,CZ290,0,DE290,CU290,CV290,BT290*365.25,OCallPut,0),0)</f>
        <v>#VALUE!</v>
      </c>
      <c r="DL290" s="1316" t="e">
        <f aca="false">IF(OVolType,IF(AND(BZ290&gt;0,CS290&gt;0,DF290&gt;0,CU290&gt;0),newSPRDOPT(BZ290,CS290,DA290,0,DF290,CU290,CV290,BT290*365.25,OCallPut,0),0),IF(BQ290,(DH290*AZ290+DI290*BA290+DJ290*BB290+DK290*BC290)/BQ290,0))</f>
        <v>#VALUE!</v>
      </c>
      <c r="DM290" s="1316"/>
      <c r="DN290" s="1316"/>
      <c r="DO290" s="1316"/>
      <c r="DP290" s="1316"/>
      <c r="DQ290" s="1316"/>
      <c r="DR290" s="1316"/>
      <c r="DS290" s="1316"/>
      <c r="DT290" s="1316"/>
      <c r="DU290" s="1316"/>
      <c r="DV290" s="1316"/>
      <c r="DW290" s="1594" t="e">
        <f aca="false">IF(AND(BW290&gt;0,CT290&gt;0,DD290&gt;0,CU290&gt;0),newSPRDOPT(BW290,CT290,CY290,0,DD290,CU290,CV290,BT290*365.25,OCallPut,0),0)</f>
        <v>#VALUE!</v>
      </c>
      <c r="DX290" s="1316" t="e">
        <f aca="false">IF(AND(BX290&gt;0,CT290&gt;0,DE290&gt;0,CU290&gt;0),newSPRDOPT(BX290,CT290,CZ290,0,DE290,CU290,CV290,BT290*365.25,OCallPut,0),0)</f>
        <v>#VALUE!</v>
      </c>
      <c r="DY290" s="1591" t="e">
        <f aca="false">IF(BS290,(DH290*BH290+DI290*BI290+DW290*BJ290+DX290*BK290)/BS290,0)</f>
        <v>#VALUE!</v>
      </c>
      <c r="DZ290" s="1551" t="e">
        <f aca="false">DH290*AZ290</f>
        <v>#VALUE!</v>
      </c>
      <c r="EA290" s="1551" t="e">
        <f aca="false">DI290*BA290</f>
        <v>#VALUE!</v>
      </c>
      <c r="EB290" s="1551" t="e">
        <f aca="false">DJ290*BB290</f>
        <v>#VALUE!</v>
      </c>
      <c r="EC290" s="1551" t="e">
        <f aca="false">DK290*BC290</f>
        <v>#VALUE!</v>
      </c>
      <c r="ED290" s="1551" t="e">
        <f aca="false">DL290*BQ290</f>
        <v>#VALUE!</v>
      </c>
      <c r="EE290" s="1595" t="e">
        <f aca="false">IF(BQ290,IF(OCallPut,IF(BU290&gt;(CO290+CW290),BU290-(CO290+CW290),0),IF((CO290+CW290)&gt;BU290,(CO290+CW290)-BU290,0))*AZ290,0)</f>
        <v>#VALUE!</v>
      </c>
      <c r="EF290" s="1596" t="e">
        <f aca="false">IF(BQ290,IF(OCallPut,IF(BV290&gt;(CP290+CX290),BV290-(CP290+CX290),0),IF((CP290+CX290)&gt;BV290,(CP290+CX290)-BV290,0))*BA290,0)</f>
        <v>#VALUE!</v>
      </c>
      <c r="EG290" s="1596" t="e">
        <f aca="false">IF(BQ290,IF(OCallPut,IF(BW290&gt;(CQ290+CY290),BW290-(CQ290+CY290),0),IF((CQ290+CY290)&gt;BW290,(CQ290+CY290)-BW290,0))*BB290,0)</f>
        <v>#VALUE!</v>
      </c>
      <c r="EH290" s="1596" t="e">
        <f aca="false">IF(BQ290,IF(OCallPut,IF(BX290&gt;(CR290+CZ290),BX290-(CR290+CZ290),0),IF((CR290+CZ290)&gt;BX290,(CR290+CZ290)-BX290,0))*BC290,0)</f>
        <v>#VALUE!</v>
      </c>
      <c r="EI290" s="1597" t="e">
        <f aca="false">IF(BQ290,IF(OVolType,IF(OCallPut,IF(BZ290&gt;(CS290+DA290),BZ290-(CS290+DA290),0),IF((CS290+DA290)&gt;BZ290,(CS290+DA290)-BZ290,0))*BQ290,SUM(EE290:EH290)),0)</f>
        <v>#VALUE!</v>
      </c>
      <c r="EJ290" s="1595" t="e">
        <f aca="false">DZ290-EE290</f>
        <v>#VALUE!</v>
      </c>
      <c r="EK290" s="1596" t="e">
        <f aca="false">EA290-EF290</f>
        <v>#VALUE!</v>
      </c>
      <c r="EL290" s="1596" t="e">
        <f aca="false">EB290-EG290</f>
        <v>#VALUE!</v>
      </c>
      <c r="EM290" s="1596" t="e">
        <f aca="false">EC290-EH290</f>
        <v>#VALUE!</v>
      </c>
      <c r="EN290" s="1597" t="e">
        <f aca="false">ED290-EI290</f>
        <v>#VALUE!</v>
      </c>
      <c r="EO290" s="1551" t="e">
        <f aca="false">DH290*BH290</f>
        <v>#VALUE!</v>
      </c>
      <c r="EP290" s="1551" t="e">
        <f aca="false">DI290*BI290</f>
        <v>#VALUE!</v>
      </c>
      <c r="EQ290" s="1551" t="e">
        <f aca="false">DW290*BJ290</f>
        <v>#VALUE!</v>
      </c>
      <c r="ER290" s="1551" t="e">
        <f aca="false">DX290*BK290</f>
        <v>#VALUE!</v>
      </c>
      <c r="ES290" s="1551" t="e">
        <f aca="false">DY290*BS290</f>
        <v>#VALUE!</v>
      </c>
      <c r="ET290" s="1566" t="e">
        <f aca="false">IF(EI290,IF(OCallPut,IF(CA290&gt;(CT290+CW290),CA290-(CT290+CW290),0),IF((CT290+CW290)&gt;CA290,(CT290+CW290)-CA290,0))*BH290,0)</f>
        <v>#VALUE!</v>
      </c>
      <c r="EU290" s="1551" t="e">
        <f aca="false">IF(EI290,IF(OCallPut,IF(CB290&gt;(CT290+CX290),CB290-(CT290+CX290),0),IF((CT290+CX290)&gt;CB290,(CT290+CX290)-CB290,0))*BI290,0)</f>
        <v>#VALUE!</v>
      </c>
      <c r="EV290" s="1551" t="e">
        <f aca="false">IF(EI290,IF(OCallPut,IF(CC290&gt;(CT290+CY290),CC290-(CT290+CY290),0),IF((CT290+CY290)&gt;CC290,(CT290+CY290)-CC290,0))*BJ290,0)</f>
        <v>#VALUE!</v>
      </c>
      <c r="EW290" s="1551" t="e">
        <f aca="false">IF(EI290,IF(OCallPut,IF(CD290&gt;(CT290+CZ290),CD290-(CT290+CZ290),0),IF((CT290+CZ290)&gt;CD290,(CT290+CZ290)-CD290,0))*BK290,0)</f>
        <v>#VALUE!</v>
      </c>
      <c r="EX290" s="1558" t="e">
        <f aca="false">IF(EI290,SUM(ET290:EW290),0)</f>
        <v>#VALUE!</v>
      </c>
      <c r="EY290" s="1551" t="e">
        <f aca="false">EO290-ET290</f>
        <v>#VALUE!</v>
      </c>
      <c r="EZ290" s="1551" t="e">
        <f aca="false">EP290-EU290</f>
        <v>#VALUE!</v>
      </c>
      <c r="FA290" s="1551" t="e">
        <f aca="false">EQ290-EV290</f>
        <v>#VALUE!</v>
      </c>
      <c r="FB290" s="1551" t="e">
        <f aca="false">ER290-EW290</f>
        <v>#VALUE!</v>
      </c>
      <c r="FC290" s="1551" t="e">
        <f aca="false">ES290-EX290</f>
        <v>#VALUE!</v>
      </c>
      <c r="FD290" s="1525" t="n">
        <f aca="false">IF(AX290,IF(VLOOKUP(C290,MAIN!$L$17:$M$28,2)="Yes",VLOOKUP(CALC!B290,MAIN!$H$17:$I$20,2),0),0)</f>
        <v>0</v>
      </c>
      <c r="FE290" s="1552" t="n">
        <f aca="false">$FD290*16*AT290*(1-$AY290)</f>
        <v>0</v>
      </c>
      <c r="FF290" s="1553" t="n">
        <f aca="false">$FD290*16*AU290*(1-$AY290)</f>
        <v>0</v>
      </c>
      <c r="FG290" s="1553" t="n">
        <f aca="false">$FD290*16*(AV290+AW290)*(1-$AY290)</f>
        <v>0</v>
      </c>
      <c r="FH290" s="1554" t="n">
        <f aca="false">$FD290*8*AX290*(1-$AY290)</f>
        <v>0</v>
      </c>
      <c r="FI290" s="1555" t="n">
        <f aca="false">IF(AX290,VLOOKUP(CALC!B290,MAIN!$H$17:$K$20,4),0)</f>
        <v>0</v>
      </c>
      <c r="FJ290" s="1553" t="n">
        <f aca="false">SUM(FE290:FH290)</f>
        <v>0</v>
      </c>
      <c r="FK290" s="1556" t="n">
        <f aca="false">FI290*FJ290</f>
        <v>0</v>
      </c>
      <c r="FL290" s="1551" t="e">
        <f aca="false">IF($EI290&gt;0,MIN(FE290,AZ290*(1+VLOOKUP($C290,WeatherCapacityAdjustment,2))),0)</f>
        <v>#VALUE!</v>
      </c>
      <c r="FM290" s="1551" t="e">
        <f aca="false">IF($EI290&gt;0,MIN(FF290,BA290*(1+VLOOKUP($C290,WeatherCapacityAdjustment,2))),0)</f>
        <v>#VALUE!</v>
      </c>
      <c r="FN290" s="1551" t="e">
        <f aca="false">IF($EI290&gt;0,MIN(FG290,BB290*(1+VLOOKUP($C290,WeatherCapacityAdjustment,2))),0)</f>
        <v>#VALUE!</v>
      </c>
      <c r="FO290" s="1564" t="e">
        <f aca="false">IF($EI290&gt;0,MIN(FH290,BC290*(1+VLOOKUP($C290,WeatherCapacityAdjustment,3))),0)</f>
        <v>#VALUE!</v>
      </c>
      <c r="FP290" s="1551" t="e">
        <f aca="false">IF(ET290&gt;0,MIN(FE290-FL290,BH290*(1+VLOOKUP($C290,WeatherCapacityAdjustment,2))),0)</f>
        <v>#VALUE!</v>
      </c>
      <c r="FQ290" s="1551" t="e">
        <f aca="false">IF(EU290&gt;0,MIN(FF290-FM290,BI290*(1+VLOOKUP($C290,WeatherCapacityAdjustment,2))),0)</f>
        <v>#VALUE!</v>
      </c>
      <c r="FR290" s="1551" t="e">
        <f aca="false">IF(EV290&gt;0,MIN(FG290-FN290,BJ290*(1+VLOOKUP($C290,WeatherCapacityAdjustment,2))),0)</f>
        <v>#VALUE!</v>
      </c>
      <c r="FS290" s="1558" t="e">
        <f aca="false">IF(EW290&gt;0,MIN(FH290-FO290,BK290*(1+VLOOKUP($C290,WeatherCapacityAdjustment,3))),0)</f>
        <v>#VALUE!</v>
      </c>
      <c r="FT290" s="1566" t="n">
        <f aca="false">IF(AND(Assumptions!$H$71="Yes",A290&gt;=Assumptions!$H$72,A290&lt;=Assumptions!$H$73),0,IF(AND($A290&gt;=Assumptions!$C$17,$A290&lt;=Assumptions!$C$18),MAX(AZ290*(1+VLOOKUP($C290,WeatherCapacityAdjustment,2))-FL290,0),0))</f>
        <v>0</v>
      </c>
      <c r="FU290" s="1551" t="n">
        <f aca="false">IF(AND(Assumptions!$H$71="Yes",A290&gt;=Assumptions!$H$72,A290&lt;=Assumptions!$H$73),0,IF(AND($A290&gt;=Assumptions!$C$17,$A290&lt;=Assumptions!$C$18),MAX(BA290*(1+VLOOKUP($C290,WeatherCapacityAdjustment,2))-FM290,0),0))</f>
        <v>0</v>
      </c>
      <c r="FV290" s="1551" t="n">
        <f aca="false">IF(AND(Assumptions!$H$71="Yes",A290&gt;=Assumptions!$H$72,A290&lt;=Assumptions!$H$73),0,IF(AND($A290&gt;=Assumptions!$C$17,$A290&lt;=Assumptions!$C$18),MAX(BB290*(1+VLOOKUP($C290,WeatherCapacityAdjustment,2))-FN290,0),0))</f>
        <v>0</v>
      </c>
      <c r="FW290" s="1564" t="n">
        <f aca="false">IF(AND(Assumptions!$H$71="Yes",A290&gt;=Assumptions!$H$72,A290&lt;=Assumptions!$H$73),0,IF(AND($A290&gt;=Assumptions!$C$17,$A290&lt;=Assumptions!$C$18),MAX(BC290*(1+VLOOKUP($C290,WeatherCapacityAdjustment,3))-FO290,0),0))</f>
        <v>0</v>
      </c>
      <c r="FX290" s="1569" t="e">
        <f aca="false">IF(AND(Assumptions!$H$71="Yes",A290&gt;=Assumptions!$H$72,A290&lt;=Assumptions!$H$73),0,IF(ET290&gt;0,MAX(BH290*(1+VLOOKUP($C290,WeatherCapacityAdjustment,2))-FP290,0),0))</f>
        <v>#VALUE!</v>
      </c>
      <c r="FY290" s="1551" t="e">
        <f aca="false">IF(AND(Assumptions!$H$71="Yes",A290&gt;=Assumptions!$H$72,A290&lt;=Assumptions!$H$73),0,IF(EU290&gt;0,MAX(BI290*(1+VLOOKUP($C290,WeatherCapacityAdjustment,3))-FQ290,0),0))</f>
        <v>#VALUE!</v>
      </c>
      <c r="FZ290" s="1551" t="e">
        <f aca="false">IF(AND(Assumptions!$H$71="Yes",A290&gt;=Assumptions!$H$72,A290&lt;=Assumptions!$H$73),0,IF(EV290&gt;0,MAX(BJ290*(1+VLOOKUP($C290,WeatherCapacityAdjustment,2))-FR290,0),0))</f>
        <v>#VALUE!</v>
      </c>
      <c r="GA290" s="1564" t="e">
        <f aca="false">IF(AND(Assumptions!$H$71="Yes",A290&gt;=Assumptions!$H$72,A290&lt;=Assumptions!$H$73),0,IF(EW290&gt;0,MAX(BK290*(1+VLOOKUP($C290,WeatherCapacityAdjustment,2))-FS290,0),0))</f>
        <v>#VALUE!</v>
      </c>
      <c r="GB290" s="1551" t="e">
        <f aca="false">SUM(FT290:GA290)</f>
        <v>#VALUE!</v>
      </c>
      <c r="GC290" s="1563" t="e">
        <f aca="false">+IF(SUM(FT290:GA290)=0,0,(SUMPRODUCT(BU290:BX290,FT290:FW290)+SUMPRODUCT(CA290:CD290,FX290:GA290))/SUM(FT290:GA290))</f>
        <v>#VALUE!</v>
      </c>
      <c r="GD290" s="1551" t="e">
        <f aca="false">(FT290*BU290+FX290*CA290+FU290*BV290+FY290*CB290+FV290*BW290+FZ290*CC290+FW290*BX290+GA290*CD290)</f>
        <v>#VALUE!</v>
      </c>
      <c r="GE290" s="1561" t="e">
        <f aca="false">+IF(BQ290,((FL290+FM290+FT290+FU290)*HeatRatePeak/1000*(1+VLOOKUP($C290,WeatherHeatRateAdjustment,2))+(FN290+FV290)*IF(EV290&gt;0,HeatRatePeak,HeatRateOffPeak)/1000*(1+VLOOKUP($C290,WeatherHeatRateAdjustment,2))+(FO290+FW290)*IF(EW290&gt;0,HeatRatePeak,HeatRateOffPeak)/1000*(1+VLOOKUP($C290,WeatherHeatRateAdjustment,3)))*(1+VLOOKUP($B290,HeatRateDegradation,$C290+1)),0)</f>
        <v>#VALUE!</v>
      </c>
      <c r="GF290" s="1562" t="e">
        <f aca="false">IF(BQ290,((FP290+FQ290+FR290+FX290+FY290+FZ290)*HeatRatePeak/1000*(1+VLOOKUP($C290,WeatherHeatRateAdjustment,2))+(FS290+GA290)*HeatRatePeak/1000*(1+VLOOKUP($C290,WeatherHeatRateAdjustment,3)))*(1+VLOOKUP($B290,HeatRateDegradation,$C290+1)),0)</f>
        <v>#VALUE!</v>
      </c>
      <c r="GG290" s="1563" t="e">
        <f aca="false">IF(BQ290,VLOOKUP(A290,GasTable,13),0)</f>
        <v>#VALUE!</v>
      </c>
      <c r="GH290" s="1564" t="e">
        <f aca="false">(GE290+GF290)*GG290</f>
        <v>#VALUE!</v>
      </c>
      <c r="GI290" s="1569" t="e">
        <f aca="false">GB290</f>
        <v>#VALUE!</v>
      </c>
      <c r="GJ290" s="1598" t="e">
        <f aca="false">+DA290</f>
        <v>#VALUE!</v>
      </c>
      <c r="GK290" s="1558" t="e">
        <f aca="false">+GI290*GJ290</f>
        <v>#VALUE!</v>
      </c>
      <c r="GL290" s="1566" t="e">
        <f aca="false">MAX(FE290-FL290-FP290,0)</f>
        <v>#VALUE!</v>
      </c>
      <c r="GM290" s="1551" t="e">
        <f aca="false">MAX(FF290-FM290-FQ290,0)</f>
        <v>#VALUE!</v>
      </c>
      <c r="GN290" s="1551" t="e">
        <f aca="false">MAX(FG290-FN290-FR290,0)</f>
        <v>#VALUE!</v>
      </c>
      <c r="GO290" s="1564" t="e">
        <f aca="false">MAX(FH290-FO290-FS290,0)</f>
        <v>#VALUE!</v>
      </c>
      <c r="GP290" s="1551" t="e">
        <f aca="false">SUM(GL290:GO290)</f>
        <v>#VALUE!</v>
      </c>
      <c r="GQ290" s="1563" t="e">
        <f aca="false">IF(SUM(GL290:GO290)=0,0,((GL290*BU290+GM290*BV290+GN290*BW290+GO290*BX290)/SUM(GL290:GO290)))</f>
        <v>#VALUE!</v>
      </c>
      <c r="GR290" s="1558" t="e">
        <f aca="false">(GL290*BU290+GM290*BV290+GN290*BW290+GO290*BX290)</f>
        <v>#VALUE!</v>
      </c>
      <c r="GS290" s="1566" t="n">
        <f aca="false">IF($A290&gt;=BegDate,Assumptions!$C$56*24*($A291-$A290)*(1-VLOOKUP($B290,MAIN!$AA$7:$AM$28,$C290+1))*(1-VLOOKUP($B290,MAIN!$AA$33:$AM$54,$C290+1)),0)*80/168</f>
        <v>232800</v>
      </c>
      <c r="GT290" s="286" t="n">
        <f aca="false">J290</f>
        <v>48.8482392665626</v>
      </c>
      <c r="GU290" s="286" t="n">
        <f aca="false">IF($A290&gt;=BegDate,VLOOKUP($A290,GasTable,13)+Assumptions!$C$58,0)</f>
        <v>4.58711122179671</v>
      </c>
      <c r="GV290" s="286" t="n">
        <f aca="false">GU290*Assumptions!$C$57/1000</f>
        <v>33.2565563580261</v>
      </c>
      <c r="GW290" s="1558" t="n">
        <f aca="false">IF(Assumptions!$C$60="Hourly",MAX(0,GS290*(GT290-GV290)),GS290*(GT290-GV290))</f>
        <v>3629743.7811073</v>
      </c>
      <c r="GX290" s="1566" t="n">
        <f aca="false">IF($A290&gt;=BegDate,Assumptions!$C$56*24*($A291-$A290)*(1-VLOOKUP($B290,MAIN!$AA$7:$AM$28,$C290+1))*(1-VLOOKUP($B290,MAIN!$AA$33:$AM$54,$C290+1)),0)*16/168</f>
        <v>46560</v>
      </c>
      <c r="GY290" s="286" t="n">
        <f aca="false">M290</f>
        <v>48.8482392665626</v>
      </c>
      <c r="GZ290" s="286" t="n">
        <f aca="false">IF($A290&gt;=BegDate,VLOOKUP($A290,GasTable,13)+Assumptions!$C$58,0)</f>
        <v>4.58711122179671</v>
      </c>
      <c r="HA290" s="286" t="n">
        <f aca="false">GZ290*Assumptions!$C$57/1000</f>
        <v>33.2565563580261</v>
      </c>
      <c r="HB290" s="1558" t="n">
        <f aca="false">IF(Assumptions!$C$60="Hourly",MAX(0,GX290*(GY290-HA290)),GX290*(GY290-HA290))</f>
        <v>725948.756221459</v>
      </c>
      <c r="HC290" s="1566" t="n">
        <f aca="false">IF($A290&gt;=BegDate,Assumptions!$C$56*24*($A291-$A290)*(1-VLOOKUP($B290,MAIN!$AA$7:$AM$28,$C290+1))*(1-VLOOKUP($B290,MAIN!$AA$33:$AM$54,$C290+1)),0)*16/168</f>
        <v>46560</v>
      </c>
      <c r="HD290" s="286" t="n">
        <f aca="false">P290</f>
        <v>30.3822758131021</v>
      </c>
      <c r="HE290" s="286" t="n">
        <f aca="false">IF($A290&gt;=BegDate,VLOOKUP($A290,GasTable,13)+Assumptions!$C$58,0)</f>
        <v>4.58711122179671</v>
      </c>
      <c r="HF290" s="286" t="n">
        <f aca="false">HE290*Assumptions!$C$57/1000</f>
        <v>33.2565563580261</v>
      </c>
      <c r="HG290" s="1558" t="n">
        <f aca="false">IF(Assumptions!$C$60="Hourly",MAX(0,HC290*(HD290-HF290)),HC290*(HD290-HF290))</f>
        <v>0</v>
      </c>
      <c r="HH290" s="1566" t="n">
        <f aca="false">IF($A290&gt;=BegDate,Assumptions!$C$56*24*($A291-$A290)*(1-VLOOKUP($B290,MAIN!$AA$7:$AM$28,$C290+1))*(1-VLOOKUP($B290,MAIN!$AA$33:$AM$54,$C290+1)),0)*56/168</f>
        <v>162960</v>
      </c>
      <c r="HI290" s="286" t="n">
        <f aca="false">S290</f>
        <v>30.3822758131021</v>
      </c>
      <c r="HJ290" s="286" t="n">
        <f aca="false">IF($A290&gt;=BegDate,VLOOKUP($A290,GasTable,13)+Assumptions!$C$58,0)</f>
        <v>4.58711122179671</v>
      </c>
      <c r="HK290" s="286" t="n">
        <f aca="false">HJ290*Assumptions!$C$57/1000</f>
        <v>33.2565563580261</v>
      </c>
      <c r="HL290" s="1558" t="n">
        <f aca="false">IF(Assumptions!$C$60="Hourly",MAX(0,HH290*(HI290-HK290)),HH290*(HI290-HK290))</f>
        <v>0</v>
      </c>
      <c r="HM290" s="1566" t="n">
        <f aca="false">IF(AND(Assumptions!$H$71="Yes",A290&gt;=Assumptions!$H$72,A290&lt;=Assumptions!$H$73),Assumptions!$H$74*Assumptions!$C$9*1000,0)</f>
        <v>0</v>
      </c>
      <c r="HN290" s="1551"/>
      <c r="HO290" s="1563"/>
      <c r="HP290" s="1563"/>
      <c r="HQ290" s="1563"/>
      <c r="HR290" s="1563"/>
      <c r="HS290" s="1563"/>
      <c r="HT290" s="1563"/>
      <c r="HU290" s="1563"/>
      <c r="HV290" s="1563"/>
      <c r="HW290" s="1563"/>
      <c r="HX290" s="1563"/>
      <c r="HY290" s="1563"/>
      <c r="HZ290" s="1563"/>
      <c r="IA290" s="1563"/>
      <c r="IB290" s="1563"/>
      <c r="IC290" s="1563"/>
      <c r="ID290" s="1563"/>
      <c r="IE290" s="1563"/>
      <c r="IF290" s="1563"/>
      <c r="IG290" s="1563"/>
      <c r="IH290" s="1563"/>
      <c r="II290" s="1610"/>
      <c r="IJ290" s="1309"/>
      <c r="IK290" s="1309"/>
    </row>
    <row r="291" customFormat="false" ht="12.75" hidden="false" customHeight="false" outlineLevel="0" collapsed="false">
      <c r="A291" s="1571" t="n">
        <f aca="false">EOMONTH(A290,0)+1</f>
        <v>44986</v>
      </c>
      <c r="B291" s="594" t="n">
        <f aca="false">+YEAR(A291)</f>
        <v>2023</v>
      </c>
      <c r="C291" s="238" t="n">
        <f aca="false">MONTH(A291)</f>
        <v>3</v>
      </c>
      <c r="D291" s="1572" t="str">
        <f aca="false">IF(E291="","",Holiday(B291,C291))</f>
        <v/>
      </c>
      <c r="E291" s="1573" t="str">
        <f aca="false">IF(OR(BegDate&gt;=A292,EndDate&lt;A291,AND(VolumeMonthlyOverFlag,INDEX(VolumeMonthlyOver,C291)=0),NOT(INDEX(MonthKnockOutTable,C291))),"",MAX(A291,BegDate))</f>
        <v/>
      </c>
      <c r="F291" s="1574" t="str">
        <f aca="false">IF(E291="","",MIN(A292-1,EndDate))</f>
        <v/>
      </c>
      <c r="G291" s="1575" t="n">
        <v>0</v>
      </c>
      <c r="H291" s="1576" t="n">
        <f aca="false">(1+G291/2)^(-2*(DATE(B292,C292,20)-DateToday)/365.25)</f>
        <v>1</v>
      </c>
      <c r="I291" s="1568" t="n">
        <f aca="false">IF(Assumptions!$L$25=4,VLOOKUP($A291,'Henwood Reference'!$E$9:$R$320,10),(VLOOKUP($A291,PriceTable,2,0)+IF(BasisNumber&lt;&gt;1,VLOOKUP($A291,BasisTable,2,0),0)+I$1)/(1-I$2))</f>
        <v>46.8950918379352</v>
      </c>
      <c r="J291" s="1568" t="n">
        <f aca="false">IF(Assumptions!$L$25=4,VLOOKUP($A291,'Henwood Reference'!$E$9:$R$320,10),(VLOOKUP($A291,PriceTable,3,0)+IF(BasisNumber&lt;&gt;1,VLOOKUP($A291,BasisTable,2,0),0)+J$1)/(1-J$2))</f>
        <v>46.8950918379352</v>
      </c>
      <c r="K291" s="1568" t="n">
        <f aca="false">IF(Assumptions!$L$25=4,VLOOKUP($A291,'Henwood Reference'!$E$9:$R$320,10),(VLOOKUP($A291,PriceTable,4,0)+IF(BasisNumber&lt;&gt;1,VLOOKUP($A291,BasisTable,2,0),0)+K$1)/(1-K$2))</f>
        <v>46.8950918379352</v>
      </c>
      <c r="L291" s="1523" t="n">
        <f aca="false">IF(Assumptions!$L$25=4,VLOOKUP($A291,'Henwood Reference'!$E$9:$R$320,10),(VLOOKUP($A291,PriceTableWeekend,2,0)+IF(BasisNumber&lt;&gt;1,VLOOKUP($A291,BasisTable,2,0),0)+L$1)/(1-L$2))</f>
        <v>46.8950918379352</v>
      </c>
      <c r="M291" s="1568" t="n">
        <f aca="false">IF(Assumptions!$L$25=4,VLOOKUP($A291,'Henwood Reference'!$E$9:$R$320,10),(VLOOKUP($A291,PriceTableWeekend,3,0)+IF(BasisNumber&lt;&gt;1,VLOOKUP($A291,BasisTable,2,0),0)+M$1)/(1-M$2))</f>
        <v>46.8950918379352</v>
      </c>
      <c r="N291" s="1599" t="n">
        <f aca="false">IF(Assumptions!$L$25=4,VLOOKUP($A291,'Henwood Reference'!$E$9:$R$320,10),(VLOOKUP($A291,PriceTableWeekend,4,0)+IF(BasisNumber&lt;&gt;1,VLOOKUP($A291,BasisTable,2,0),0)+N$1)/(1-N$2))</f>
        <v>46.8950918379352</v>
      </c>
      <c r="O291" s="1568" t="n">
        <f aca="false">IF(Assumptions!$L$25=4,VLOOKUP($A291,'Henwood Reference'!$E$9:$R$320,11),(VLOOKUP($A291,PriceTableWeekend,6,0)+IF(BasisNumber&lt;&gt;1,VLOOKUP($A291,BasisTable,3,0),0)+O$1)/(1-O$2))</f>
        <v>32.5479892625426</v>
      </c>
      <c r="P291" s="1568" t="n">
        <f aca="false">IF(Assumptions!$L$25=4,VLOOKUP($A291,'Henwood Reference'!$E$9:$R$320,11),(VLOOKUP($A291,PriceTableWeekend,7,0)+IF(BasisNumber&lt;&gt;1,VLOOKUP($A291,BasisTable,3,0),0)+P$1)/(1-P$2))</f>
        <v>32.5479892625426</v>
      </c>
      <c r="Q291" s="1599" t="n">
        <f aca="false">IF(Assumptions!$L$25=4,VLOOKUP($A291,'Henwood Reference'!$E$9:$R$320,11),(VLOOKUP($A291,PriceTableWeekend,8,0)+IF(BasisNumber&lt;&gt;1,VLOOKUP($A291,BasisTable,3,0),0)+Q$1)/(1-Q$2))</f>
        <v>32.5479892625426</v>
      </c>
      <c r="R291" s="1568" t="n">
        <f aca="false">IF(Assumptions!$L$25=4,VLOOKUP($A291,'Henwood Reference'!$E$9:$R$320,11),(VLOOKUP($A291,PriceTable,6,0)+IF(BasisNumber&lt;&gt;1,VLOOKUP($A291,BasisTable,3,0),0)+R$1)/(1-R$2))</f>
        <v>32.5479892625426</v>
      </c>
      <c r="S291" s="1568" t="n">
        <f aca="false">IF(Assumptions!$L$25=4,VLOOKUP($A291,'Henwood Reference'!$E$9:$R$320,11),(VLOOKUP($A291,PriceTable,7,0)+IF(BasisNumber&lt;&gt;1,VLOOKUP($A291,BasisTable,3,0),0)+S$1)/(1-S$2))</f>
        <v>32.5479892625426</v>
      </c>
      <c r="T291" s="1600" t="n">
        <f aca="false">IF(Assumptions!$L$25=4,VLOOKUP($A291,'Henwood Reference'!$E$9:$R$320,11),(VLOOKUP($A291,PriceTable,8,0)+IF(BasisNumber&lt;&gt;1,VLOOKUP($A291,BasisTable,3,0),0)+T$1)/(1-T$2))</f>
        <v>32.5479892625426</v>
      </c>
      <c r="U291" s="1513" t="n">
        <f aca="false">VLOOKUP($A291,VolatilityTable,14)</f>
        <v>0.09</v>
      </c>
      <c r="V291" s="1513" t="n">
        <f aca="false">VLOOKUP($A291,VolatilityTable,15)</f>
        <v>0.1</v>
      </c>
      <c r="W291" s="1514" t="n">
        <f aca="false">VLOOKUP($A291,VolatilityTable,16)</f>
        <v>0.11</v>
      </c>
      <c r="X291" s="1513" t="n">
        <f aca="false">VLOOKUP($A291,VolatilityTable,14)</f>
        <v>0.09</v>
      </c>
      <c r="Y291" s="1513" t="n">
        <f aca="false">VLOOKUP($A291,VolatilityTable,15)</f>
        <v>0.1</v>
      </c>
      <c r="Z291" s="1514" t="n">
        <f aca="false">VLOOKUP($A291,VolatilityTable,16)</f>
        <v>0.11</v>
      </c>
      <c r="AA291" s="1513" t="n">
        <f aca="false">VLOOKUP($A291,VolatilityTable,18)</f>
        <v>0.09</v>
      </c>
      <c r="AB291" s="1513" t="n">
        <f aca="false">VLOOKUP($A291,VolatilityTable,19)</f>
        <v>0.11</v>
      </c>
      <c r="AC291" s="1514" t="n">
        <f aca="false">VLOOKUP($A291,VolatilityTable,20)</f>
        <v>0.13</v>
      </c>
      <c r="AD291" s="1513" t="n">
        <f aca="false">VLOOKUP($A291,VolatilityTable,18)</f>
        <v>0.09</v>
      </c>
      <c r="AE291" s="1513" t="n">
        <f aca="false">VLOOKUP($A291,VolatilityTable,19)</f>
        <v>0.11</v>
      </c>
      <c r="AF291" s="1514" t="n">
        <f aca="false">VLOOKUP($A291,VolatilityTable,20)</f>
        <v>0.13</v>
      </c>
      <c r="AG291" s="1513" t="n">
        <f aca="false">VLOOKUP($A291,VolatilityTable,22)</f>
        <v>-0.1</v>
      </c>
      <c r="AH291" s="1513" t="n">
        <f aca="false">VLOOKUP($A291,VolatilityTable,23)</f>
        <v>0.65</v>
      </c>
      <c r="AI291" s="1514" t="n">
        <f aca="false">VLOOKUP($A291,VolatilityTable,24)</f>
        <v>0.1</v>
      </c>
      <c r="AJ291" s="1513" t="n">
        <f aca="false">VLOOKUP($A291,VolatilityTable,22)</f>
        <v>-0.1</v>
      </c>
      <c r="AK291" s="1513" t="n">
        <f aca="false">VLOOKUP($A291,VolatilityTable,23)</f>
        <v>0.65</v>
      </c>
      <c r="AL291" s="1514" t="n">
        <f aca="false">VLOOKUP($A291,VolatilityTable,24)</f>
        <v>0.1</v>
      </c>
      <c r="AM291" s="1513" t="n">
        <f aca="false">VLOOKUP($A291,VolatilityTable,26)</f>
        <v>-0.01</v>
      </c>
      <c r="AN291" s="1513" t="n">
        <f aca="false">VLOOKUP($A291,VolatilityTable,27)</f>
        <v>0.16</v>
      </c>
      <c r="AO291" s="1514" t="n">
        <f aca="false">VLOOKUP($A291,VolatilityTable,28)</f>
        <v>0.01</v>
      </c>
      <c r="AP291" s="1513" t="n">
        <f aca="false">VLOOKUP($A291,VolatilityTable,26)</f>
        <v>-0.01</v>
      </c>
      <c r="AQ291" s="1513" t="n">
        <f aca="false">VLOOKUP($A291,VolatilityTable,27)</f>
        <v>0.16</v>
      </c>
      <c r="AR291" s="1515" t="n">
        <f aca="false">VLOOKUP($A291,VolatilityTable,28)</f>
        <v>0.01</v>
      </c>
      <c r="AS291" s="1581" t="n">
        <f aca="false">IF(CorrPeakOffPeakOverFlag,INDEX(CorrPeakOffPeakOver,C291),CorrPeakOffPeak)</f>
        <v>0.5</v>
      </c>
      <c r="AT291" s="594" t="n">
        <f aca="false">AX291-SUM(AU291:AW291)</f>
        <v>0</v>
      </c>
      <c r="AU291" s="238" t="n">
        <f aca="false">IF(E291="",0,INT((F291-MOD(F291,7)-E291)/7)+1-IF(AW291,IF(WEEKDAY(D291)=7,1,0),0))</f>
        <v>0</v>
      </c>
      <c r="AV291" s="238" t="n">
        <f aca="false">IF(E291="",0,INT((F291-MOD(F291-1,7)-E291)/7)+1-IF(AW291,IF(WEEKDAY(D291)=1,1,0),0))</f>
        <v>0</v>
      </c>
      <c r="AW291" s="238" t="n">
        <f aca="false">IF(OR(E291="",D291="",D291&lt;BegDate,D291&gt;EndDate),0,1)</f>
        <v>0</v>
      </c>
      <c r="AX291" s="238" t="n">
        <f aca="false">IF(E291="",0,F291-E291+1)</f>
        <v>0</v>
      </c>
      <c r="AY291" s="1582" t="n">
        <f aca="false">IF(E291="",0,MIN((1-(1-VLOOKUP(B291,MAIN!$AA$7:$AM$28,C291+1))*(1-VLOOKUP(B291,MAIN!$AA$33:$AM$54,C291+1))),1))</f>
        <v>0</v>
      </c>
      <c r="AZ291" s="1519" t="e">
        <v>#VALUE!</v>
      </c>
      <c r="BA291" s="1520" t="e">
        <v>#VALUE!</v>
      </c>
      <c r="BB291" s="1520" t="e">
        <v>#VALUE!</v>
      </c>
      <c r="BC291" s="1583" t="e">
        <v>#VALUE!</v>
      </c>
      <c r="BD291" s="1522" t="e">
        <v>#VALUE!</v>
      </c>
      <c r="BE291" s="1523" t="e">
        <v>#VALUE!</v>
      </c>
      <c r="BF291" s="1523" t="e">
        <v>#VALUE!</v>
      </c>
      <c r="BG291" s="1584" t="e">
        <v>#VALUE!</v>
      </c>
      <c r="BH291" s="1525" t="e">
        <v>#VALUE!</v>
      </c>
      <c r="BI291" s="1520" t="e">
        <v>#VALUE!</v>
      </c>
      <c r="BJ291" s="1520" t="e">
        <v>#VALUE!</v>
      </c>
      <c r="BK291" s="1583" t="e">
        <v>#VALUE!</v>
      </c>
      <c r="BL291" s="1522" t="e">
        <v>#VALUE!</v>
      </c>
      <c r="BM291" s="1523" t="e">
        <v>#VALUE!</v>
      </c>
      <c r="BN291" s="1523" t="e">
        <v>#VALUE!</v>
      </c>
      <c r="BO291" s="1523" t="e">
        <v>#VALUE!</v>
      </c>
      <c r="BP291" s="1525" t="e">
        <f aca="false">SUM(AZ291:BB291)</f>
        <v>#VALUE!</v>
      </c>
      <c r="BQ291" s="1529" t="e">
        <f aca="false">SUM(AZ291:BC291)</f>
        <v>#VALUE!</v>
      </c>
      <c r="BR291" s="1519" t="e">
        <f aca="false">SUM(BH291:BJ291)</f>
        <v>#VALUE!</v>
      </c>
      <c r="BS291" s="1529" t="e">
        <f aca="false">SUM(BH291:BK291)</f>
        <v>#VALUE!</v>
      </c>
      <c r="BT291" s="1316" t="n">
        <f aca="false">(IF(OVolType&lt;&gt;2,A291+14,IF(OptExpDateShift,ShiftBack(A291,OptExpDateShift,D290),A291))-DateToday)/365.25</f>
        <v>22.8774811772758</v>
      </c>
      <c r="BU291" s="1585" t="e">
        <f aca="false">IF(BQ291,IF(OPriceCurve,IF(OBuySell=OCallPut,I291/(1-AY291),K291/(1-AY291)),J291/(1-AY291))*BD291,0)</f>
        <v>#VALUE!</v>
      </c>
      <c r="BV291" s="1316" t="e">
        <f aca="false">IF(BQ291,IF(OPriceCurve,IF(OBuySell=OCallPut,L291/(1-AY291),N291/(1-AY291)),M291/(1-AY291))*BE291,0)</f>
        <v>#VALUE!</v>
      </c>
      <c r="BW291" s="1316" t="e">
        <f aca="false">IF(BQ291,IF(OPriceCurve,IF(OBuySell=OCallPut,O291/(1-AY291),Q291/(1-AY291)),P291/(1-AY291))*BF291,0)</f>
        <v>#VALUE!</v>
      </c>
      <c r="BX291" s="1316" t="e">
        <f aca="false">IF(BQ291,IF(OPriceCurve,IF(OBuySell=OCallPut,R291/(1-AY291),T291/(1-AY291)),S291/(1-AY291))*BG291,0)</f>
        <v>#VALUE!</v>
      </c>
      <c r="BY291" s="1316" t="e">
        <f aca="false">IF(BP291,(BU291*AZ291+BV291*BA291+BW291*BB291)/BP291,0)</f>
        <v>#VALUE!</v>
      </c>
      <c r="BZ291" s="1316" t="e">
        <f aca="false">IF(BQ291,(BY291*BP291+BX291*BC291)/BQ291,0)</f>
        <v>#VALUE!</v>
      </c>
      <c r="CA291" s="1531" t="e">
        <f aca="false">IF(BS291,IF(OPriceCurve,IF(OBuySell=OCallPut,I291/(1-AY291),K291/(1-AY291)),J291/(1-AY291))*BL291,0)</f>
        <v>#VALUE!</v>
      </c>
      <c r="CB291" s="1316" t="e">
        <f aca="false">IF(BS291,IF(OPriceCurve,IF(OBuySell=OCallPut,L291/(1-AY291),N291/(1-AY291)),M291/(1-AY291))*BM291,0)</f>
        <v>#VALUE!</v>
      </c>
      <c r="CC291" s="1316" t="e">
        <f aca="false">IF(BS291,IF(OPriceCurve,IF(OBuySell=OCallPut,O291/(1-AY291),Q291/(1-AY291)),P291/(1-AY291))*BN291,0)</f>
        <v>#VALUE!</v>
      </c>
      <c r="CD291" s="1316" t="e">
        <f aca="false">IF(BS291,IF(OPriceCurve,IF(OBuySell=OCallPut,R291/(1-AY291),T291/(1-AY291)),S291/(1-AY291))*BO291,0)</f>
        <v>#VALUE!</v>
      </c>
      <c r="CE291" s="1316" t="e">
        <f aca="false">IF(BR291,(BU291*BH291+BV291*BI291+BW291*BJ291)/BR291,0)</f>
        <v>#VALUE!</v>
      </c>
      <c r="CF291" s="1532" t="e">
        <f aca="false">IF(BS291,(CE291*BR291+CD291*BK291)/BS291,0)</f>
        <v>#VALUE!</v>
      </c>
      <c r="CG291" s="1586" t="e">
        <f aca="false">IF(OR(BQ291,BS291),IF(OVolType&lt;&gt;2,SQRT(IF(OVolOverMonthlyPeak,OVolOverMonthlyPeak,IF(OVolCurve,IF(OBuySell,U291,W291),V291))^2*(1-15/365.25/BT291)+IF(OVolOverDailyPeak,OVolOverDailyPeak,IF(OVolCurve,IF(OBuySell,AG291,AI291),AH291))^2*15/365.25/BT291),IF(OVolOverMonthlyPeak,OVolOverMonthlyPeak,IF(OVolCurve,IF(OBuySell,U291,W291),V291))),"")</f>
        <v>#VALUE!</v>
      </c>
      <c r="CH291" s="1587" t="e">
        <f aca="false">IF(OR(BQ291,BS291),IF(OVolType&lt;&gt;2,SQRT(IF(OVolOverMonthlyPeak,OVolOverMonthlyPeak,IF(OVolCurve,IF(OBuySell,X291,Z291),Y291))^2*(1-15/365.25/BT291)+IF(OVolOverDailyPeak,OVolOverDailyPeak,IF(OVolCurve,IF(OBuySell,AJ291,AL291),AK291))^2*15/365.25/BT291),IF(OVolOverMonthlyPeak,OVolOverMonthlyPeak,IF(OVolCurve,IF(OBuySell,X291,Z291),Y291))),"")</f>
        <v>#VALUE!</v>
      </c>
      <c r="CI291" s="1587" t="e">
        <f aca="false">IF(OR(BQ291,BS291),IF(OVolType&lt;&gt;2,SQRT(IF(OVolOverMonthlyPeak,OVolOverMonthlyPeak,IF(OVolCurve,IF(OBuySell,AA291,AC291),AB291))^2*(1-15/365.25/BT291)+IF(OVolOverDailyPeak,OVolOverDailyPeak,IF(OVolCurve,IF(OBuySell,AM291,AO291),AN291))^2*15/365.25/BT291),IF(OVolOverMonthlyPeak,OVolOverMonthlyPeak,IF(OVolCurve,IF(OBuySell,AA291,AC291),AB291))),"")</f>
        <v>#VALUE!</v>
      </c>
      <c r="CJ291" s="1587" t="e">
        <f aca="false">IF(BQ291,IF(BP291,SQRT(LN(1+((BU291*AZ291)^2*(EXP(CG291^2*BT291)-1)+(BV291*BA291)^2*(EXP(CH291^2*BT291)-1)+(BW291*BB291)^2*(EXP(CI291^2*BT291)-1)+2*BU291*AZ291*BV291*BA291*(EXP(CG291*CH291*BT291)-1)+2*BV291*BA291*BW291*BB291*(EXP(CH291*CI291*BT291)-1)+2*BW291*BB291*BU291*AZ291*(EXP(CI291*CG291*BT291)-1))/(BY291*BP291)^2)/BT291),0),"")</f>
        <v>#VALUE!</v>
      </c>
      <c r="CK291" s="1587" t="e">
        <f aca="false">IF(BS291,IF(BR291,SQRT(LN(1+((CA291*BH291)^2*(EXP(CG291^2*BT291)-1)+(CB291*BI291)^2*(EXP(CH291^2*BT291)-1)+(CC291*BJ291)^2*(EXP(CI291^2*BT291)-1)+2*CA291*BH291*CB291*BI291*(EXP(CG291*CH291*BT291)-1)+2*CB291*BI291*CC291*BJ291*(EXP(CH291*CI291*BT291)-1)+2*CC291*BJ291*CA291*BH291*(EXP(CI291*CG291*BT291)-1))/(CE291*BR291)^2)/BT291),0),"")</f>
        <v>#VALUE!</v>
      </c>
      <c r="CL291" s="1587" t="e">
        <f aca="false">IF(OR(BQ291,BS291),IF(OVolType&lt;&gt;2,SQRT(IF(OVolOverMonthlyOffPeak,OVolOverMonthlyOffPeak,IF(OVolCurve,IF(OBuySell,AD291,AF291),AE291))^2*(1-15/365.25/BT291)+IF(OVolOverDailyOffPeak,OVolOverDailyOffPeak,IF(OVolCurve,IF(OBuySell,AP291,AR291),AQ291))^2*15/365.25/BT291),IF(OVolOverMonthlyOffPeak,OVolOverMonthlyOffPeak,IF(OVolCurve,IF(OBuySell,AD291,AF291),AE291))),"")</f>
        <v>#VALUE!</v>
      </c>
      <c r="CM291" s="1587" t="e">
        <f aca="false">IF(BQ291,SQRT(LN(1+((BY291*BP291)^2*(EXP(CJ291^2*BT291)-1)+(BX291*BC291)^2*(EXP(CL291^2*BT291)-1)+2*BY291*BP291*BX291*BC291*(EXP(AS291*CJ291*CL291*BT291)-1))/(BY291*BP291+BX291*BC291)^2)/BT291),"")</f>
        <v>#VALUE!</v>
      </c>
      <c r="CN291" s="1588" t="e">
        <f aca="false">IF(BS291,SQRT(LN(1+((CE291*BR291)^2*(EXP(CK291^2*BT291)-1)+(CD291*BK291)^2*(EXP(CL291^2*BT291)-1)+2*CE291*BR291*CD291*BK291*(EXP(AS291*CK291*CL291*BT291)-1))/(CE291*BR291+CD291*BK291)^2)/BT291),"")</f>
        <v>#VALUE!</v>
      </c>
      <c r="CO291" s="1531" t="e">
        <f aca="false">IF(OR(BQ291,BS291),VLOOKUP(A291,GasTable,13)*HeatRatePeak*(1+VLOOKUP($B291,HeatRateDegradation,$C291+1))/1000,0)</f>
        <v>#VALUE!</v>
      </c>
      <c r="CP291" s="1316" t="e">
        <f aca="false">IF(OR(BQ291,BS291),VLOOKUP(A291,GasTable,13)*HeatRatePeak*(1+VLOOKUP($B291,HeatRateDegradation,$C291+1))/1000,0)</f>
        <v>#VALUE!</v>
      </c>
      <c r="CQ291" s="1316" t="e">
        <f aca="false">IF(OR(BQ291,BS291),VLOOKUP(A291,GasTable,13)*IF(EV291,HeatRatePeak,HeatRateOffPeak)*(1+VLOOKUP($B291,HeatRateDegradation,$C291+1))/1000,0)</f>
        <v>#VALUE!</v>
      </c>
      <c r="CR291" s="1316" t="e">
        <f aca="false">IF(OR(BQ291,BS291),VLOOKUP(A291,GasTable,13)*IF(EW291,HeatRatePeak,HeatRateOffPeak)*(1+VLOOKUP($B291,HeatRateDegradation,$C291+1))/1000,0)</f>
        <v>#VALUE!</v>
      </c>
      <c r="CS291" s="1589" t="e">
        <f aca="false">IF(BQ291,(CO291*AZ291+CP291*BA291+CQ291*BB291+CR291*BC291)/BQ291,0)</f>
        <v>#VALUE!</v>
      </c>
      <c r="CT291" s="1316" t="e">
        <f aca="false">IF(BS291,CO291,0)</f>
        <v>#VALUE!</v>
      </c>
      <c r="CU291" s="1590" t="e">
        <f aca="false">IF(OR(BQ291,BS291),VLOOKUP(A291,GasTable,14),"")</f>
        <v>#VALUE!</v>
      </c>
      <c r="CV291" s="1568" t="e">
        <f aca="false">IF(OR(BQ291,BS291),IF(CorrPowerGasOverFlag,INDEX(CorrPowerGasOver,C291),CorrPowerGas),"")</f>
        <v>#VALUE!</v>
      </c>
      <c r="CW291" s="1316" t="e">
        <f aca="false">IF(OR($BQ291,$BS291),SpreadOptPowerMargin,0)*((1+Assumptions!$C$26)^($B291-YEAR(Assumptions!$C$17)))</f>
        <v>#VALUE!</v>
      </c>
      <c r="CX291" s="1316" t="e">
        <f aca="false">IF(OR($BQ291,$BS291),SpreadOptPowerMargin,0)*((1+Assumptions!$C$26)^($B291-YEAR(Assumptions!$C$17)))</f>
        <v>#VALUE!</v>
      </c>
      <c r="CY291" s="1316" t="e">
        <f aca="false">IF(OR($BQ291,$BS291),SpreadOptPowerMargin,0)*((1+Assumptions!$C$26)^($B291-YEAR(Assumptions!$C$17)))</f>
        <v>#VALUE!</v>
      </c>
      <c r="CZ291" s="1316" t="e">
        <f aca="false">IF(OR($BQ291,$BS291),SpreadOptPowerMargin,0)*((1+Assumptions!$C$26)^($B291-YEAR(Assumptions!$C$17)))</f>
        <v>#VALUE!</v>
      </c>
      <c r="DA291" s="1591" t="e">
        <f aca="false">IF(OR(BQ291,BS291),(CW291*(AZ291+BH291)+CX291*(BA291+BI291)+CY291*(BB291+BJ291)+CZ291*(BC291+BK291))/(BQ291+BS291),0)</f>
        <v>#VALUE!</v>
      </c>
      <c r="DB291" s="1592" t="e">
        <f aca="false">IF(OR(BQ291,BS291),CG291+IF(OVolSmile,VLOOKUP(MAX(-5,CO291+CW291-BU291),IF(OVolSmile=1,VolSmileBook,VolSmileModel),2),0),"")</f>
        <v>#VALUE!</v>
      </c>
      <c r="DC291" s="1592" t="e">
        <f aca="false">IF(OR(BQ291,BS291),CH291+IF(OVolSmile,VLOOKUP(MAX(-5,CP291+CW291-BV291),IF(OVolSmile=1,VolSmileBook,VolSmileModel),2),0),"")</f>
        <v>#VALUE!</v>
      </c>
      <c r="DD291" s="1592" t="e">
        <f aca="false">IF(OR(BQ291,BS291),CI291+IF(OVolSmile,VLOOKUP(MAX(-5,CQ291+CW291-BW291),IF(OVolSmile=1,VolSmileBook,VolSmileModel),2),0),"")</f>
        <v>#VALUE!</v>
      </c>
      <c r="DE291" s="1592" t="e">
        <f aca="false">IF(OR(BQ291,BS291),CL291+IF(OVolSmile,VLOOKUP(MAX(-5,CR291+CZ291-BX291),IF(OVolSmile=1,VolSmileBook,VolSmileModel),2),0),"")</f>
        <v>#VALUE!</v>
      </c>
      <c r="DF291" s="1592" t="e">
        <f aca="false">IF(BQ291,CM291+IF(OVolSmile,VLOOKUP(MAX(-5,CS291+DA291-BZ291),IF(OVolSmile=1,VolSmileBook,VolSmileModel),2),0),"")</f>
        <v>#VALUE!</v>
      </c>
      <c r="DG291" s="1593" t="e">
        <f aca="false">IF(BS291,CN291+IF(OVolSmile,VLOOKUP(MAX(-5,CT291+DA291-CF291),IF(OVolSmile=1,VolSmileBook,VolSmileModel),2),0),"")</f>
        <v>#VALUE!</v>
      </c>
      <c r="DH291" s="1316" t="e">
        <f aca="false">IF(AND(BU291&gt;0,CO291&gt;0,DB291&gt;0,CU291&gt;0),newSPRDOPT(BU291,CO291,CW291,0,DB291,CU291,CV291,BT291*365.25,OCallPut,0),0)</f>
        <v>#VALUE!</v>
      </c>
      <c r="DI291" s="1316" t="e">
        <f aca="false">IF(AND(BV291&gt;0,CP291&gt;0,DC291&gt;0,CU291&gt;0),newSPRDOPT(BV291,CP291,CX291,0,DC291,CU291,CV291,BT291*365.25,OCallPut,0),0)</f>
        <v>#VALUE!</v>
      </c>
      <c r="DJ291" s="1316" t="e">
        <f aca="false">IF(AND(BW291&gt;0,CQ291&gt;0,DD291&gt;0,CU291&gt;0),newSPRDOPT(BW291,CQ291,CY291,0,DD291,CU291,CV291,BT291*365.25,OCallPut,0),0)</f>
        <v>#VALUE!</v>
      </c>
      <c r="DK291" s="1316" t="e">
        <f aca="false">IF(AND(BX291&gt;0,CR291&gt;0,DE291&gt;0,CU291&gt;0),newSPRDOPT(BX291,CR291,CZ291,0,DE291,CU291,CV291,BT291*365.25,OCallPut,0),0)</f>
        <v>#VALUE!</v>
      </c>
      <c r="DL291" s="1316" t="e">
        <f aca="false">IF(OVolType,IF(AND(BZ291&gt;0,CS291&gt;0,DF291&gt;0,CU291&gt;0),newSPRDOPT(BZ291,CS291,DA291,0,DF291,CU291,CV291,BT291*365.25,OCallPut,0),0),IF(BQ291,(DH291*AZ291+DI291*BA291+DJ291*BB291+DK291*BC291)/BQ291,0))</f>
        <v>#VALUE!</v>
      </c>
      <c r="DM291" s="1316"/>
      <c r="DN291" s="1316"/>
      <c r="DO291" s="1316"/>
      <c r="DP291" s="1316"/>
      <c r="DQ291" s="1316"/>
      <c r="DR291" s="1316"/>
      <c r="DS291" s="1316"/>
      <c r="DT291" s="1316"/>
      <c r="DU291" s="1316"/>
      <c r="DV291" s="1316"/>
      <c r="DW291" s="1594" t="e">
        <f aca="false">IF(AND(BW291&gt;0,CT291&gt;0,DD291&gt;0,CU291&gt;0),newSPRDOPT(BW291,CT291,CY291,0,DD291,CU291,CV291,BT291*365.25,OCallPut,0),0)</f>
        <v>#VALUE!</v>
      </c>
      <c r="DX291" s="1316" t="e">
        <f aca="false">IF(AND(BX291&gt;0,CT291&gt;0,DE291&gt;0,CU291&gt;0),newSPRDOPT(BX291,CT291,CZ291,0,DE291,CU291,CV291,BT291*365.25,OCallPut,0),0)</f>
        <v>#VALUE!</v>
      </c>
      <c r="DY291" s="1591" t="e">
        <f aca="false">IF(BS291,(DH291*BH291+DI291*BI291+DW291*BJ291+DX291*BK291)/BS291,0)</f>
        <v>#VALUE!</v>
      </c>
      <c r="DZ291" s="1551" t="e">
        <f aca="false">DH291*AZ291</f>
        <v>#VALUE!</v>
      </c>
      <c r="EA291" s="1551" t="e">
        <f aca="false">DI291*BA291</f>
        <v>#VALUE!</v>
      </c>
      <c r="EB291" s="1551" t="e">
        <f aca="false">DJ291*BB291</f>
        <v>#VALUE!</v>
      </c>
      <c r="EC291" s="1551" t="e">
        <f aca="false">DK291*BC291</f>
        <v>#VALUE!</v>
      </c>
      <c r="ED291" s="1551" t="e">
        <f aca="false">DL291*BQ291</f>
        <v>#VALUE!</v>
      </c>
      <c r="EE291" s="1595" t="e">
        <f aca="false">IF(BQ291,IF(OCallPut,IF(BU291&gt;(CO291+CW291),BU291-(CO291+CW291),0),IF((CO291+CW291)&gt;BU291,(CO291+CW291)-BU291,0))*AZ291,0)</f>
        <v>#VALUE!</v>
      </c>
      <c r="EF291" s="1596" t="e">
        <f aca="false">IF(BQ291,IF(OCallPut,IF(BV291&gt;(CP291+CX291),BV291-(CP291+CX291),0),IF((CP291+CX291)&gt;BV291,(CP291+CX291)-BV291,0))*BA291,0)</f>
        <v>#VALUE!</v>
      </c>
      <c r="EG291" s="1596" t="e">
        <f aca="false">IF(BQ291,IF(OCallPut,IF(BW291&gt;(CQ291+CY291),BW291-(CQ291+CY291),0),IF((CQ291+CY291)&gt;BW291,(CQ291+CY291)-BW291,0))*BB291,0)</f>
        <v>#VALUE!</v>
      </c>
      <c r="EH291" s="1596" t="e">
        <f aca="false">IF(BQ291,IF(OCallPut,IF(BX291&gt;(CR291+CZ291),BX291-(CR291+CZ291),0),IF((CR291+CZ291)&gt;BX291,(CR291+CZ291)-BX291,0))*BC291,0)</f>
        <v>#VALUE!</v>
      </c>
      <c r="EI291" s="1597" t="e">
        <f aca="false">IF(BQ291,IF(OVolType,IF(OCallPut,IF(BZ291&gt;(CS291+DA291),BZ291-(CS291+DA291),0),IF((CS291+DA291)&gt;BZ291,(CS291+DA291)-BZ291,0))*BQ291,SUM(EE291:EH291)),0)</f>
        <v>#VALUE!</v>
      </c>
      <c r="EJ291" s="1595" t="e">
        <f aca="false">DZ291-EE291</f>
        <v>#VALUE!</v>
      </c>
      <c r="EK291" s="1596" t="e">
        <f aca="false">EA291-EF291</f>
        <v>#VALUE!</v>
      </c>
      <c r="EL291" s="1596" t="e">
        <f aca="false">EB291-EG291</f>
        <v>#VALUE!</v>
      </c>
      <c r="EM291" s="1596" t="e">
        <f aca="false">EC291-EH291</f>
        <v>#VALUE!</v>
      </c>
      <c r="EN291" s="1597" t="e">
        <f aca="false">ED291-EI291</f>
        <v>#VALUE!</v>
      </c>
      <c r="EO291" s="1551" t="e">
        <f aca="false">DH291*BH291</f>
        <v>#VALUE!</v>
      </c>
      <c r="EP291" s="1551" t="e">
        <f aca="false">DI291*BI291</f>
        <v>#VALUE!</v>
      </c>
      <c r="EQ291" s="1551" t="e">
        <f aca="false">DW291*BJ291</f>
        <v>#VALUE!</v>
      </c>
      <c r="ER291" s="1551" t="e">
        <f aca="false">DX291*BK291</f>
        <v>#VALUE!</v>
      </c>
      <c r="ES291" s="1551" t="e">
        <f aca="false">DY291*BS291</f>
        <v>#VALUE!</v>
      </c>
      <c r="ET291" s="1566" t="e">
        <f aca="false">IF(EI291,IF(OCallPut,IF(CA291&gt;(CT291+CW291),CA291-(CT291+CW291),0),IF((CT291+CW291)&gt;CA291,(CT291+CW291)-CA291,0))*BH291,0)</f>
        <v>#VALUE!</v>
      </c>
      <c r="EU291" s="1551" t="e">
        <f aca="false">IF(EI291,IF(OCallPut,IF(CB291&gt;(CT291+CX291),CB291-(CT291+CX291),0),IF((CT291+CX291)&gt;CB291,(CT291+CX291)-CB291,0))*BI291,0)</f>
        <v>#VALUE!</v>
      </c>
      <c r="EV291" s="1551" t="e">
        <f aca="false">IF(EI291,IF(OCallPut,IF(CC291&gt;(CT291+CY291),CC291-(CT291+CY291),0),IF((CT291+CY291)&gt;CC291,(CT291+CY291)-CC291,0))*BJ291,0)</f>
        <v>#VALUE!</v>
      </c>
      <c r="EW291" s="1551" t="e">
        <f aca="false">IF(EI291,IF(OCallPut,IF(CD291&gt;(CT291+CZ291),CD291-(CT291+CZ291),0),IF((CT291+CZ291)&gt;CD291,(CT291+CZ291)-CD291,0))*BK291,0)</f>
        <v>#VALUE!</v>
      </c>
      <c r="EX291" s="1558" t="e">
        <f aca="false">IF(EI291,SUM(ET291:EW291),0)</f>
        <v>#VALUE!</v>
      </c>
      <c r="EY291" s="1551" t="e">
        <f aca="false">EO291-ET291</f>
        <v>#VALUE!</v>
      </c>
      <c r="EZ291" s="1551" t="e">
        <f aca="false">EP291-EU291</f>
        <v>#VALUE!</v>
      </c>
      <c r="FA291" s="1551" t="e">
        <f aca="false">EQ291-EV291</f>
        <v>#VALUE!</v>
      </c>
      <c r="FB291" s="1551" t="e">
        <f aca="false">ER291-EW291</f>
        <v>#VALUE!</v>
      </c>
      <c r="FC291" s="1551" t="e">
        <f aca="false">ES291-EX291</f>
        <v>#VALUE!</v>
      </c>
      <c r="FD291" s="1525" t="n">
        <f aca="false">IF(AX291,IF(VLOOKUP(C291,MAIN!$L$17:$M$28,2)="Yes",VLOOKUP(CALC!B291,MAIN!$H$17:$I$20,2),0),0)</f>
        <v>0</v>
      </c>
      <c r="FE291" s="1552" t="n">
        <f aca="false">$FD291*16*AT291*(1-$AY291)</f>
        <v>0</v>
      </c>
      <c r="FF291" s="1553" t="n">
        <f aca="false">$FD291*16*AU291*(1-$AY291)</f>
        <v>0</v>
      </c>
      <c r="FG291" s="1553" t="n">
        <f aca="false">$FD291*16*(AV291+AW291)*(1-$AY291)</f>
        <v>0</v>
      </c>
      <c r="FH291" s="1554" t="n">
        <f aca="false">$FD291*8*AX291*(1-$AY291)</f>
        <v>0</v>
      </c>
      <c r="FI291" s="1555" t="n">
        <f aca="false">IF(AX291,VLOOKUP(CALC!B291,MAIN!$H$17:$K$20,4),0)</f>
        <v>0</v>
      </c>
      <c r="FJ291" s="1553" t="n">
        <f aca="false">SUM(FE291:FH291)</f>
        <v>0</v>
      </c>
      <c r="FK291" s="1556" t="n">
        <f aca="false">FI291*FJ291</f>
        <v>0</v>
      </c>
      <c r="FL291" s="1551" t="e">
        <f aca="false">IF($EI291&gt;0,MIN(FE291,AZ291*(1+VLOOKUP($C291,WeatherCapacityAdjustment,2))),0)</f>
        <v>#VALUE!</v>
      </c>
      <c r="FM291" s="1551" t="e">
        <f aca="false">IF($EI291&gt;0,MIN(FF291,BA291*(1+VLOOKUP($C291,WeatherCapacityAdjustment,2))),0)</f>
        <v>#VALUE!</v>
      </c>
      <c r="FN291" s="1551" t="e">
        <f aca="false">IF($EI291&gt;0,MIN(FG291,BB291*(1+VLOOKUP($C291,WeatherCapacityAdjustment,2))),0)</f>
        <v>#VALUE!</v>
      </c>
      <c r="FO291" s="1564" t="e">
        <f aca="false">IF($EI291&gt;0,MIN(FH291,BC291*(1+VLOOKUP($C291,WeatherCapacityAdjustment,3))),0)</f>
        <v>#VALUE!</v>
      </c>
      <c r="FP291" s="1551" t="e">
        <f aca="false">IF(ET291&gt;0,MIN(FE291-FL291,BH291*(1+VLOOKUP($C291,WeatherCapacityAdjustment,2))),0)</f>
        <v>#VALUE!</v>
      </c>
      <c r="FQ291" s="1551" t="e">
        <f aca="false">IF(EU291&gt;0,MIN(FF291-FM291,BI291*(1+VLOOKUP($C291,WeatherCapacityAdjustment,2))),0)</f>
        <v>#VALUE!</v>
      </c>
      <c r="FR291" s="1551" t="e">
        <f aca="false">IF(EV291&gt;0,MIN(FG291-FN291,BJ291*(1+VLOOKUP($C291,WeatherCapacityAdjustment,2))),0)</f>
        <v>#VALUE!</v>
      </c>
      <c r="FS291" s="1558" t="e">
        <f aca="false">IF(EW291&gt;0,MIN(FH291-FO291,BK291*(1+VLOOKUP($C291,WeatherCapacityAdjustment,3))),0)</f>
        <v>#VALUE!</v>
      </c>
      <c r="FT291" s="1566" t="n">
        <f aca="false">IF(AND(Assumptions!$H$71="Yes",A291&gt;=Assumptions!$H$72,A291&lt;=Assumptions!$H$73),0,IF(AND($A291&gt;=Assumptions!$C$17,$A291&lt;=Assumptions!$C$18),MAX(AZ291*(1+VLOOKUP($C291,WeatherCapacityAdjustment,2))-FL291,0),0))</f>
        <v>0</v>
      </c>
      <c r="FU291" s="1551" t="n">
        <f aca="false">IF(AND(Assumptions!$H$71="Yes",A291&gt;=Assumptions!$H$72,A291&lt;=Assumptions!$H$73),0,IF(AND($A291&gt;=Assumptions!$C$17,$A291&lt;=Assumptions!$C$18),MAX(BA291*(1+VLOOKUP($C291,WeatherCapacityAdjustment,2))-FM291,0),0))</f>
        <v>0</v>
      </c>
      <c r="FV291" s="1551" t="n">
        <f aca="false">IF(AND(Assumptions!$H$71="Yes",A291&gt;=Assumptions!$H$72,A291&lt;=Assumptions!$H$73),0,IF(AND($A291&gt;=Assumptions!$C$17,$A291&lt;=Assumptions!$C$18),MAX(BB291*(1+VLOOKUP($C291,WeatherCapacityAdjustment,2))-FN291,0),0))</f>
        <v>0</v>
      </c>
      <c r="FW291" s="1564" t="n">
        <f aca="false">IF(AND(Assumptions!$H$71="Yes",A291&gt;=Assumptions!$H$72,A291&lt;=Assumptions!$H$73),0,IF(AND($A291&gt;=Assumptions!$C$17,$A291&lt;=Assumptions!$C$18),MAX(BC291*(1+VLOOKUP($C291,WeatherCapacityAdjustment,3))-FO291,0),0))</f>
        <v>0</v>
      </c>
      <c r="FX291" s="1569" t="e">
        <f aca="false">IF(AND(Assumptions!$H$71="Yes",A291&gt;=Assumptions!$H$72,A291&lt;=Assumptions!$H$73),0,IF(ET291&gt;0,MAX(BH291*(1+VLOOKUP($C291,WeatherCapacityAdjustment,2))-FP291,0),0))</f>
        <v>#VALUE!</v>
      </c>
      <c r="FY291" s="1551" t="e">
        <f aca="false">IF(AND(Assumptions!$H$71="Yes",A291&gt;=Assumptions!$H$72,A291&lt;=Assumptions!$H$73),0,IF(EU291&gt;0,MAX(BI291*(1+VLOOKUP($C291,WeatherCapacityAdjustment,3))-FQ291,0),0))</f>
        <v>#VALUE!</v>
      </c>
      <c r="FZ291" s="1551" t="e">
        <f aca="false">IF(AND(Assumptions!$H$71="Yes",A291&gt;=Assumptions!$H$72,A291&lt;=Assumptions!$H$73),0,IF(EV291&gt;0,MAX(BJ291*(1+VLOOKUP($C291,WeatherCapacityAdjustment,2))-FR291,0),0))</f>
        <v>#VALUE!</v>
      </c>
      <c r="GA291" s="1564" t="e">
        <f aca="false">IF(AND(Assumptions!$H$71="Yes",A291&gt;=Assumptions!$H$72,A291&lt;=Assumptions!$H$73),0,IF(EW291&gt;0,MAX(BK291*(1+VLOOKUP($C291,WeatherCapacityAdjustment,2))-FS291,0),0))</f>
        <v>#VALUE!</v>
      </c>
      <c r="GB291" s="1551" t="e">
        <f aca="false">SUM(FT291:GA291)</f>
        <v>#VALUE!</v>
      </c>
      <c r="GC291" s="1563" t="e">
        <f aca="false">+IF(SUM(FT291:GA291)=0,0,(SUMPRODUCT(BU291:BX291,FT291:FW291)+SUMPRODUCT(CA291:CD291,FX291:GA291))/SUM(FT291:GA291))</f>
        <v>#VALUE!</v>
      </c>
      <c r="GD291" s="1551" t="e">
        <f aca="false">(FT291*BU291+FX291*CA291+FU291*BV291+FY291*CB291+FV291*BW291+FZ291*CC291+FW291*BX291+GA291*CD291)</f>
        <v>#VALUE!</v>
      </c>
      <c r="GE291" s="1561" t="e">
        <f aca="false">+IF(BQ291,((FL291+FM291+FT291+FU291)*HeatRatePeak/1000*(1+VLOOKUP($C291,WeatherHeatRateAdjustment,2))+(FN291+FV291)*IF(EV291&gt;0,HeatRatePeak,HeatRateOffPeak)/1000*(1+VLOOKUP($C291,WeatherHeatRateAdjustment,2))+(FO291+FW291)*IF(EW291&gt;0,HeatRatePeak,HeatRateOffPeak)/1000*(1+VLOOKUP($C291,WeatherHeatRateAdjustment,3)))*(1+VLOOKUP($B291,HeatRateDegradation,$C291+1)),0)</f>
        <v>#VALUE!</v>
      </c>
      <c r="GF291" s="1562" t="e">
        <f aca="false">IF(BQ291,((FP291+FQ291+FR291+FX291+FY291+FZ291)*HeatRatePeak/1000*(1+VLOOKUP($C291,WeatherHeatRateAdjustment,2))+(FS291+GA291)*HeatRatePeak/1000*(1+VLOOKUP($C291,WeatherHeatRateAdjustment,3)))*(1+VLOOKUP($B291,HeatRateDegradation,$C291+1)),0)</f>
        <v>#VALUE!</v>
      </c>
      <c r="GG291" s="1563" t="e">
        <f aca="false">IF(BQ291,VLOOKUP(A291,GasTable,13),0)</f>
        <v>#VALUE!</v>
      </c>
      <c r="GH291" s="1564" t="e">
        <f aca="false">(GE291+GF291)*GG291</f>
        <v>#VALUE!</v>
      </c>
      <c r="GI291" s="1569" t="e">
        <f aca="false">GB291</f>
        <v>#VALUE!</v>
      </c>
      <c r="GJ291" s="1598" t="e">
        <f aca="false">+DA291</f>
        <v>#VALUE!</v>
      </c>
      <c r="GK291" s="1558" t="e">
        <f aca="false">+GI291*GJ291</f>
        <v>#VALUE!</v>
      </c>
      <c r="GL291" s="1566" t="e">
        <f aca="false">MAX(FE291-FL291-FP291,0)</f>
        <v>#VALUE!</v>
      </c>
      <c r="GM291" s="1551" t="e">
        <f aca="false">MAX(FF291-FM291-FQ291,0)</f>
        <v>#VALUE!</v>
      </c>
      <c r="GN291" s="1551" t="e">
        <f aca="false">MAX(FG291-FN291-FR291,0)</f>
        <v>#VALUE!</v>
      </c>
      <c r="GO291" s="1564" t="e">
        <f aca="false">MAX(FH291-FO291-FS291,0)</f>
        <v>#VALUE!</v>
      </c>
      <c r="GP291" s="1551" t="e">
        <f aca="false">SUM(GL291:GO291)</f>
        <v>#VALUE!</v>
      </c>
      <c r="GQ291" s="1563" t="e">
        <f aca="false">IF(SUM(GL291:GO291)=0,0,((GL291*BU291+GM291*BV291+GN291*BW291+GO291*BX291)/SUM(GL291:GO291)))</f>
        <v>#VALUE!</v>
      </c>
      <c r="GR291" s="1558" t="e">
        <f aca="false">(GL291*BU291+GM291*BV291+GN291*BW291+GO291*BX291)</f>
        <v>#VALUE!</v>
      </c>
      <c r="GS291" s="1566" t="n">
        <f aca="false">IF($A291&gt;=BegDate,Assumptions!$C$56*24*($A292-$A291)*(1-VLOOKUP($B291,MAIN!$AA$7:$AM$28,$C291+1))*(1-VLOOKUP($B291,MAIN!$AA$33:$AM$54,$C291+1)),0)*80/168</f>
        <v>257742.857142857</v>
      </c>
      <c r="GT291" s="286" t="n">
        <f aca="false">J291</f>
        <v>46.8950918379352</v>
      </c>
      <c r="GU291" s="286" t="n">
        <f aca="false">IF($A291&gt;=BegDate,VLOOKUP($A291,GasTable,13)+Assumptions!$C$58,0)</f>
        <v>4.58711122179671</v>
      </c>
      <c r="GV291" s="286" t="n">
        <f aca="false">GU291*Assumptions!$C$57/1000</f>
        <v>33.2565563580261</v>
      </c>
      <c r="GW291" s="1558" t="n">
        <f aca="false">IF(Assumptions!$C$60="Hourly",MAX(0,GS291*(GT291-GV291)),GS291*(GT291-GV291))</f>
        <v>3515235.10183598</v>
      </c>
      <c r="GX291" s="1566" t="n">
        <f aca="false">IF($A291&gt;=BegDate,Assumptions!$C$56*24*($A292-$A291)*(1-VLOOKUP($B291,MAIN!$AA$7:$AM$28,$C291+1))*(1-VLOOKUP($B291,MAIN!$AA$33:$AM$54,$C291+1)),0)*16/168</f>
        <v>51548.5714285714</v>
      </c>
      <c r="GY291" s="286" t="n">
        <f aca="false">M291</f>
        <v>46.8950918379352</v>
      </c>
      <c r="GZ291" s="286" t="n">
        <f aca="false">IF($A291&gt;=BegDate,VLOOKUP($A291,GasTable,13)+Assumptions!$C$58,0)</f>
        <v>4.58711122179671</v>
      </c>
      <c r="HA291" s="286" t="n">
        <f aca="false">GZ291*Assumptions!$C$57/1000</f>
        <v>33.2565563580261</v>
      </c>
      <c r="HB291" s="1558" t="n">
        <f aca="false">IF(Assumptions!$C$60="Hourly",MAX(0,GX291*(GY291-HA291)),GX291*(GY291-HA291))</f>
        <v>703047.020367196</v>
      </c>
      <c r="HC291" s="1566" t="n">
        <f aca="false">IF($A291&gt;=BegDate,Assumptions!$C$56*24*($A292-$A291)*(1-VLOOKUP($B291,MAIN!$AA$7:$AM$28,$C291+1))*(1-VLOOKUP($B291,MAIN!$AA$33:$AM$54,$C291+1)),0)*16/168</f>
        <v>51548.5714285714</v>
      </c>
      <c r="HD291" s="286" t="n">
        <f aca="false">P291</f>
        <v>32.5479892625426</v>
      </c>
      <c r="HE291" s="286" t="n">
        <f aca="false">IF($A291&gt;=BegDate,VLOOKUP($A291,GasTable,13)+Assumptions!$C$58,0)</f>
        <v>4.58711122179671</v>
      </c>
      <c r="HF291" s="286" t="n">
        <f aca="false">HE291*Assumptions!$C$57/1000</f>
        <v>33.2565563580261</v>
      </c>
      <c r="HG291" s="1558" t="n">
        <f aca="false">IF(Assumptions!$C$60="Hourly",MAX(0,HC291*(HD291-HF291)),HC291*(HD291-HF291))</f>
        <v>0</v>
      </c>
      <c r="HH291" s="1566" t="n">
        <f aca="false">IF($A291&gt;=BegDate,Assumptions!$C$56*24*($A292-$A291)*(1-VLOOKUP($B291,MAIN!$AA$7:$AM$28,$C291+1))*(1-VLOOKUP($B291,MAIN!$AA$33:$AM$54,$C291+1)),0)*56/168</f>
        <v>180420</v>
      </c>
      <c r="HI291" s="286" t="n">
        <f aca="false">S291</f>
        <v>32.5479892625426</v>
      </c>
      <c r="HJ291" s="286" t="n">
        <f aca="false">IF($A291&gt;=BegDate,VLOOKUP($A291,GasTable,13)+Assumptions!$C$58,0)</f>
        <v>4.58711122179671</v>
      </c>
      <c r="HK291" s="286" t="n">
        <f aca="false">HJ291*Assumptions!$C$57/1000</f>
        <v>33.2565563580261</v>
      </c>
      <c r="HL291" s="1558" t="n">
        <f aca="false">IF(Assumptions!$C$60="Hourly",MAX(0,HH291*(HI291-HK291)),HH291*(HI291-HK291))</f>
        <v>0</v>
      </c>
      <c r="HM291" s="1566" t="n">
        <f aca="false">IF(AND(Assumptions!$H$71="Yes",A291&gt;=Assumptions!$H$72,A291&lt;=Assumptions!$H$73),Assumptions!$H$74*Assumptions!$C$9*1000,0)</f>
        <v>0</v>
      </c>
      <c r="HN291" s="1551"/>
      <c r="HO291" s="1563"/>
      <c r="HP291" s="1563"/>
      <c r="HQ291" s="1563"/>
      <c r="HR291" s="1563"/>
      <c r="HS291" s="1563"/>
      <c r="HT291" s="1563"/>
      <c r="HU291" s="1563"/>
      <c r="HV291" s="1563"/>
      <c r="HW291" s="1563"/>
      <c r="HX291" s="1563"/>
      <c r="HY291" s="1563"/>
      <c r="HZ291" s="1563"/>
      <c r="IA291" s="1563"/>
      <c r="IB291" s="1563"/>
      <c r="IC291" s="1563"/>
      <c r="ID291" s="1563"/>
      <c r="IE291" s="1563"/>
      <c r="IF291" s="1563"/>
      <c r="IG291" s="1563"/>
      <c r="IH291" s="1563"/>
      <c r="II291" s="1610"/>
      <c r="IJ291" s="1309"/>
      <c r="IK291" s="1309"/>
    </row>
    <row r="292" customFormat="false" ht="12.75" hidden="false" customHeight="false" outlineLevel="0" collapsed="false">
      <c r="A292" s="1571" t="n">
        <f aca="false">EOMONTH(A291,0)+1</f>
        <v>45017</v>
      </c>
      <c r="B292" s="594" t="n">
        <f aca="false">+YEAR(A292)</f>
        <v>2023</v>
      </c>
      <c r="C292" s="320" t="n">
        <f aca="false">MONTH(A292)</f>
        <v>4</v>
      </c>
      <c r="D292" s="1614" t="str">
        <f aca="false">IF(E292="","",Holiday(B292,C292))</f>
        <v/>
      </c>
      <c r="E292" s="1573" t="str">
        <f aca="false">IF(OR(BegDate&gt;=A293,EndDate&lt;A292,AND(VolumeMonthlyOverFlag,INDEX(VolumeMonthlyOver,C292)=0),NOT(INDEX(MonthKnockOutTable,C292))),"",MAX(A292,BegDate))</f>
        <v/>
      </c>
      <c r="F292" s="1614" t="str">
        <f aca="false">IF(E292="","",MIN(A293-1,EndDate))</f>
        <v/>
      </c>
      <c r="G292" s="1615" t="n">
        <v>0</v>
      </c>
      <c r="H292" s="1576" t="n">
        <f aca="false">(1+G292/2)^(-2*(DATE(B293,C293,20)-DateToday)/365.25)</f>
        <v>1</v>
      </c>
      <c r="I292" s="1568" t="n">
        <f aca="false">IF(Assumptions!$L$25=4,VLOOKUP($A292,'Henwood Reference'!$E$9:$R$320,10),(VLOOKUP($A292,PriceTable,2,0)+IF(BasisNumber&lt;&gt;1,VLOOKUP($A292,BasisTable,2,0),0)+I$1)/(1-I$2))</f>
        <v>45.4763555699422</v>
      </c>
      <c r="J292" s="1568" t="n">
        <f aca="false">IF(Assumptions!$L$25=4,VLOOKUP($A292,'Henwood Reference'!$E$9:$R$320,10),(VLOOKUP($A292,PriceTable,3,0)+IF(BasisNumber&lt;&gt;1,VLOOKUP($A292,BasisTable,2,0),0)+J$1)/(1-J$2))</f>
        <v>45.4763555699422</v>
      </c>
      <c r="K292" s="1568" t="n">
        <f aca="false">IF(Assumptions!$L$25=4,VLOOKUP($A292,'Henwood Reference'!$E$9:$R$320,10),(VLOOKUP($A292,PriceTable,4,0)+IF(BasisNumber&lt;&gt;1,VLOOKUP($A292,BasisTable,2,0),0)+K$1)/(1-K$2))</f>
        <v>45.4763555699422</v>
      </c>
      <c r="L292" s="1523" t="n">
        <f aca="false">IF(Assumptions!$L$25=4,VLOOKUP($A292,'Henwood Reference'!$E$9:$R$320,10),(VLOOKUP($A292,PriceTableWeekend,2,0)+IF(BasisNumber&lt;&gt;1,VLOOKUP($A292,BasisTable,2,0),0)+L$1)/(1-L$2))</f>
        <v>45.4763555699422</v>
      </c>
      <c r="M292" s="1568" t="n">
        <f aca="false">IF(Assumptions!$L$25=4,VLOOKUP($A292,'Henwood Reference'!$E$9:$R$320,10),(VLOOKUP($A292,PriceTableWeekend,3,0)+IF(BasisNumber&lt;&gt;1,VLOOKUP($A292,BasisTable,2,0),0)+M$1)/(1-M$2))</f>
        <v>45.4763555699422</v>
      </c>
      <c r="N292" s="1599" t="n">
        <f aca="false">IF(Assumptions!$L$25=4,VLOOKUP($A292,'Henwood Reference'!$E$9:$R$320,10),(VLOOKUP($A292,PriceTableWeekend,4,0)+IF(BasisNumber&lt;&gt;1,VLOOKUP($A292,BasisTable,2,0),0)+N$1)/(1-N$2))</f>
        <v>45.4763555699422</v>
      </c>
      <c r="O292" s="1568" t="n">
        <f aca="false">IF(Assumptions!$L$25=4,VLOOKUP($A292,'Henwood Reference'!$E$9:$R$320,11),(VLOOKUP($A292,PriceTableWeekend,6,0)+IF(BasisNumber&lt;&gt;1,VLOOKUP($A292,BasisTable,3,0),0)+O$1)/(1-O$2))</f>
        <v>31.7087634741399</v>
      </c>
      <c r="P292" s="1568" t="n">
        <f aca="false">IF(Assumptions!$L$25=4,VLOOKUP($A292,'Henwood Reference'!$E$9:$R$320,11),(VLOOKUP($A292,PriceTableWeekend,7,0)+IF(BasisNumber&lt;&gt;1,VLOOKUP($A292,BasisTable,3,0),0)+P$1)/(1-P$2))</f>
        <v>31.7087634741399</v>
      </c>
      <c r="Q292" s="1599" t="n">
        <f aca="false">IF(Assumptions!$L$25=4,VLOOKUP($A292,'Henwood Reference'!$E$9:$R$320,11),(VLOOKUP($A292,PriceTableWeekend,8,0)+IF(BasisNumber&lt;&gt;1,VLOOKUP($A292,BasisTable,3,0),0)+Q$1)/(1-Q$2))</f>
        <v>31.7087634741399</v>
      </c>
      <c r="R292" s="1568" t="n">
        <f aca="false">IF(Assumptions!$L$25=4,VLOOKUP($A292,'Henwood Reference'!$E$9:$R$320,11),(VLOOKUP($A292,PriceTable,6,0)+IF(BasisNumber&lt;&gt;1,VLOOKUP($A292,BasisTable,3,0),0)+R$1)/(1-R$2))</f>
        <v>31.7087634741399</v>
      </c>
      <c r="S292" s="1568" t="n">
        <f aca="false">IF(Assumptions!$L$25=4,VLOOKUP($A292,'Henwood Reference'!$E$9:$R$320,11),(VLOOKUP($A292,PriceTable,7,0)+IF(BasisNumber&lt;&gt;1,VLOOKUP($A292,BasisTable,3,0),0)+S$1)/(1-S$2))</f>
        <v>31.7087634741399</v>
      </c>
      <c r="T292" s="1600" t="n">
        <f aca="false">IF(Assumptions!$L$25=4,VLOOKUP($A292,'Henwood Reference'!$E$9:$R$320,11),(VLOOKUP($A292,PriceTable,8,0)+IF(BasisNumber&lt;&gt;1,VLOOKUP($A292,BasisTable,3,0),0)+T$1)/(1-T$2))</f>
        <v>31.7087634741399</v>
      </c>
      <c r="U292" s="1513" t="n">
        <f aca="false">VLOOKUP($A292,VolatilityTable,14)</f>
        <v>0.09</v>
      </c>
      <c r="V292" s="1513" t="n">
        <f aca="false">VLOOKUP($A292,VolatilityTable,15)</f>
        <v>0.1</v>
      </c>
      <c r="W292" s="1513" t="n">
        <f aca="false">VLOOKUP($A292,VolatilityTable,16)</f>
        <v>0.11</v>
      </c>
      <c r="X292" s="1513" t="n">
        <f aca="false">VLOOKUP($A292,VolatilityTable,14)</f>
        <v>0.09</v>
      </c>
      <c r="Y292" s="1513" t="n">
        <f aca="false">VLOOKUP($A292,VolatilityTable,15)</f>
        <v>0.1</v>
      </c>
      <c r="Z292" s="1513" t="n">
        <f aca="false">VLOOKUP($A292,VolatilityTable,16)</f>
        <v>0.11</v>
      </c>
      <c r="AA292" s="1513" t="n">
        <f aca="false">VLOOKUP($A292,VolatilityTable,18)</f>
        <v>0.09</v>
      </c>
      <c r="AB292" s="1513" t="n">
        <f aca="false">VLOOKUP($A292,VolatilityTable,19)</f>
        <v>0.11</v>
      </c>
      <c r="AC292" s="1513" t="n">
        <f aca="false">VLOOKUP($A292,VolatilityTable,20)</f>
        <v>0.13</v>
      </c>
      <c r="AD292" s="1513" t="n">
        <f aca="false">VLOOKUP($A292,VolatilityTable,18)</f>
        <v>0.09</v>
      </c>
      <c r="AE292" s="1513" t="n">
        <f aca="false">VLOOKUP($A292,VolatilityTable,19)</f>
        <v>0.11</v>
      </c>
      <c r="AF292" s="1513" t="n">
        <f aca="false">VLOOKUP($A292,VolatilityTable,20)</f>
        <v>0.13</v>
      </c>
      <c r="AG292" s="1513" t="n">
        <f aca="false">VLOOKUP($A292,VolatilityTable,22)</f>
        <v>-0.1</v>
      </c>
      <c r="AH292" s="1513" t="n">
        <f aca="false">VLOOKUP($A292,VolatilityTable,23)</f>
        <v>0.65</v>
      </c>
      <c r="AI292" s="1513" t="n">
        <f aca="false">VLOOKUP($A292,VolatilityTable,24)</f>
        <v>0.1</v>
      </c>
      <c r="AJ292" s="1513" t="n">
        <f aca="false">VLOOKUP($A292,VolatilityTable,22)</f>
        <v>-0.1</v>
      </c>
      <c r="AK292" s="1513" t="n">
        <f aca="false">VLOOKUP($A292,VolatilityTable,23)</f>
        <v>0.65</v>
      </c>
      <c r="AL292" s="1513" t="n">
        <f aca="false">VLOOKUP($A292,VolatilityTable,24)</f>
        <v>0.1</v>
      </c>
      <c r="AM292" s="1513" t="n">
        <f aca="false">VLOOKUP($A292,VolatilityTable,26)</f>
        <v>-0.01</v>
      </c>
      <c r="AN292" s="1513" t="n">
        <f aca="false">VLOOKUP($A292,VolatilityTable,27)</f>
        <v>0.16</v>
      </c>
      <c r="AO292" s="1513" t="n">
        <f aca="false">VLOOKUP($A292,VolatilityTable,28)</f>
        <v>0.01</v>
      </c>
      <c r="AP292" s="1513" t="n">
        <f aca="false">VLOOKUP($A292,VolatilityTable,26)</f>
        <v>-0.01</v>
      </c>
      <c r="AQ292" s="1513" t="n">
        <f aca="false">VLOOKUP($A292,VolatilityTable,27)</f>
        <v>0.16</v>
      </c>
      <c r="AR292" s="1513" t="n">
        <f aca="false">VLOOKUP($A292,VolatilityTable,28)</f>
        <v>0.01</v>
      </c>
      <c r="AS292" s="1616" t="n">
        <f aca="false">IF(CorrPeakOffPeakOverFlag,INDEX(CorrPeakOffPeakOver,C292),CorrPeakOffPeak)</f>
        <v>0.5</v>
      </c>
      <c r="AT292" s="238" t="n">
        <f aca="false">AX292-SUM(AU292:AW292)</f>
        <v>0</v>
      </c>
      <c r="AU292" s="238" t="n">
        <f aca="false">IF(E292="",0,INT((F292-MOD(F292,7)-E292)/7)+1-IF(AW292,IF(WEEKDAY(D292)=7,1,0),0))</f>
        <v>0</v>
      </c>
      <c r="AV292" s="238" t="n">
        <f aca="false">IF(E292="",0,INT((F292-MOD(F292-1,7)-E292)/7)+1-IF(AW292,IF(WEEKDAY(D292)=1,1,0),0))</f>
        <v>0</v>
      </c>
      <c r="AW292" s="238" t="n">
        <f aca="false">IF(OR(E292="",D292="",D292&lt;BegDate,D292&gt;EndDate),0,1)</f>
        <v>0</v>
      </c>
      <c r="AX292" s="238" t="n">
        <f aca="false">IF(E292="",0,F292-E292+1)</f>
        <v>0</v>
      </c>
      <c r="AY292" s="1513" t="n">
        <f aca="false">IF(E292="",0,MIN((1-(1-VLOOKUP(B292,MAIN!$AA$7:$AM$28,C292+1))*(1-VLOOKUP(B292,MAIN!$AA$33:$AM$54,C292+1))),1))</f>
        <v>0</v>
      </c>
      <c r="AZ292" s="1519" t="e">
        <v>#VALUE!</v>
      </c>
      <c r="BA292" s="1519" t="e">
        <v>#VALUE!</v>
      </c>
      <c r="BB292" s="1519" t="e">
        <v>#VALUE!</v>
      </c>
      <c r="BC292" s="1519" t="e">
        <v>#VALUE!</v>
      </c>
      <c r="BD292" s="1568" t="e">
        <v>#VALUE!</v>
      </c>
      <c r="BE292" s="1568" t="e">
        <v>#VALUE!</v>
      </c>
      <c r="BF292" s="1568" t="e">
        <v>#VALUE!</v>
      </c>
      <c r="BG292" s="1568" t="e">
        <v>#VALUE!</v>
      </c>
      <c r="BH292" s="1519" t="e">
        <v>#VALUE!</v>
      </c>
      <c r="BI292" s="1519" t="e">
        <v>#VALUE!</v>
      </c>
      <c r="BJ292" s="1519" t="e">
        <v>#VALUE!</v>
      </c>
      <c r="BK292" s="1519" t="e">
        <v>#VALUE!</v>
      </c>
      <c r="BL292" s="1568" t="e">
        <v>#VALUE!</v>
      </c>
      <c r="BM292" s="1568" t="e">
        <v>#VALUE!</v>
      </c>
      <c r="BN292" s="1568" t="e">
        <v>#VALUE!</v>
      </c>
      <c r="BO292" s="1568" t="e">
        <v>#VALUE!</v>
      </c>
      <c r="BP292" s="1519" t="e">
        <f aca="false">SUM(AZ292:BB292)</f>
        <v>#VALUE!</v>
      </c>
      <c r="BQ292" s="1519" t="e">
        <f aca="false">SUM(AZ292:BC292)</f>
        <v>#VALUE!</v>
      </c>
      <c r="BR292" s="1519" t="e">
        <f aca="false">SUM(BH292:BJ292)</f>
        <v>#VALUE!</v>
      </c>
      <c r="BS292" s="1519" t="e">
        <f aca="false">SUM(BH292:BK292)</f>
        <v>#VALUE!</v>
      </c>
      <c r="BT292" s="1316" t="n">
        <f aca="false">(IF(OVolType&lt;&gt;2,A292+14,IF(OptExpDateShift,ShiftBack(A292,OptExpDateShift,D291),A292))-DateToday)/365.25</f>
        <v>22.9623545516769</v>
      </c>
      <c r="BU292" s="1316" t="e">
        <f aca="false">IF(BQ292,IF(OPriceCurve,IF(OBuySell=OCallPut,I292/(1-AY292),K292/(1-AY292)),J292/(1-AY292))*BD292,0)</f>
        <v>#VALUE!</v>
      </c>
      <c r="BV292" s="1316" t="e">
        <f aca="false">IF(BQ292,IF(OPriceCurve,IF(OBuySell=OCallPut,L292/(1-AY292),N292/(1-AY292)),M292/(1-AY292))*BE292,0)</f>
        <v>#VALUE!</v>
      </c>
      <c r="BW292" s="1316" t="e">
        <f aca="false">IF(BQ292,IF(OPriceCurve,IF(OBuySell=OCallPut,O292/(1-AY292),Q292/(1-AY292)),P292/(1-AY292))*BF292,0)</f>
        <v>#VALUE!</v>
      </c>
      <c r="BX292" s="1316" t="e">
        <f aca="false">IF(BQ292,IF(OPriceCurve,IF(OBuySell=OCallPut,R292/(1-AY292),T292/(1-AY292)),S292/(1-AY292))*BG292,0)</f>
        <v>#VALUE!</v>
      </c>
      <c r="BY292" s="1316" t="e">
        <f aca="false">IF(BP292,(BU292*AZ292+BV292*BA292+BW292*BB292)/BP292,0)</f>
        <v>#VALUE!</v>
      </c>
      <c r="BZ292" s="1316" t="e">
        <f aca="false">IF(BQ292,(BY292*BP292+BX292*BC292)/BQ292,0)</f>
        <v>#VALUE!</v>
      </c>
      <c r="CA292" s="1316" t="e">
        <f aca="false">IF(BS292,IF(OPriceCurve,IF(OBuySell=OCallPut,I292/(1-AY292),K292/(1-AY292)),J292/(1-AY292))*BL292,0)</f>
        <v>#VALUE!</v>
      </c>
      <c r="CB292" s="1316" t="e">
        <f aca="false">IF(BS292,IF(OPriceCurve,IF(OBuySell=OCallPut,L292/(1-AY292),N292/(1-AY292)),M292/(1-AY292))*BM292,0)</f>
        <v>#VALUE!</v>
      </c>
      <c r="CC292" s="1316" t="e">
        <f aca="false">IF(BS292,IF(OPriceCurve,IF(OBuySell=OCallPut,O292/(1-AY292),Q292/(1-AY292)),P292/(1-AY292))*BN292,0)</f>
        <v>#VALUE!</v>
      </c>
      <c r="CD292" s="1316" t="e">
        <f aca="false">IF(BS292,IF(OPriceCurve,IF(OBuySell=OCallPut,R292/(1-AY292),T292/(1-AY292)),S292/(1-AY292))*BO292,0)</f>
        <v>#VALUE!</v>
      </c>
      <c r="CE292" s="1316" t="e">
        <f aca="false">IF(BR292,(BU292*BH292+BV292*BI292+BW292*BJ292)/BR292,0)</f>
        <v>#VALUE!</v>
      </c>
      <c r="CF292" s="1316" t="e">
        <f aca="false">IF(BS292,(CE292*BR292+CD292*BK292)/BS292,0)</f>
        <v>#VALUE!</v>
      </c>
      <c r="CG292" s="1587" t="e">
        <f aca="false">IF(OR(BQ292,BS292),IF(OVolType&lt;&gt;2,SQRT(IF(OVolOverMonthlyPeak,OVolOverMonthlyPeak,IF(OVolCurve,IF(OBuySell,U292,W292),V292))^2*(1-15/365.25/BT292)+IF(OVolOverDailyPeak,OVolOverDailyPeak,IF(OVolCurve,IF(OBuySell,AG292,AI292),AH292))^2*15/365.25/BT292),IF(OVolOverMonthlyPeak,OVolOverMonthlyPeak,IF(OVolCurve,IF(OBuySell,U292,W292),V292))),"")</f>
        <v>#VALUE!</v>
      </c>
      <c r="CH292" s="1587" t="e">
        <f aca="false">IF(OR(BQ292,BS292),IF(OVolType&lt;&gt;2,SQRT(IF(OVolOverMonthlyPeak,OVolOverMonthlyPeak,IF(OVolCurve,IF(OBuySell,X292,Z292),Y292))^2*(1-15/365.25/BT292)+IF(OVolOverDailyPeak,OVolOverDailyPeak,IF(OVolCurve,IF(OBuySell,AJ292,AL292),AK292))^2*15/365.25/BT292),IF(OVolOverMonthlyPeak,OVolOverMonthlyPeak,IF(OVolCurve,IF(OBuySell,X292,Z292),Y292))),"")</f>
        <v>#VALUE!</v>
      </c>
      <c r="CI292" s="1587" t="e">
        <f aca="false">IF(OR(BQ292,BS292),IF(OVolType&lt;&gt;2,SQRT(IF(OVolOverMonthlyPeak,OVolOverMonthlyPeak,IF(OVolCurve,IF(OBuySell,AA292,AC292),AB292))^2*(1-15/365.25/BT292)+IF(OVolOverDailyPeak,OVolOverDailyPeak,IF(OVolCurve,IF(OBuySell,AM292,AO292),AN292))^2*15/365.25/BT292),IF(OVolOverMonthlyPeak,OVolOverMonthlyPeak,IF(OVolCurve,IF(OBuySell,AA292,AC292),AB292))),"")</f>
        <v>#VALUE!</v>
      </c>
      <c r="CJ292" s="1587" t="e">
        <f aca="false">IF(BQ292,IF(BP292,SQRT(LN(1+((BU292*AZ292)^2*(EXP(CG292^2*BT292)-1)+(BV292*BA292)^2*(EXP(CH292^2*BT292)-1)+(BW292*BB292)^2*(EXP(CI292^2*BT292)-1)+2*BU292*AZ292*BV292*BA292*(EXP(CG292*CH292*BT292)-1)+2*BV292*BA292*BW292*BB292*(EXP(CH292*CI292*BT292)-1)+2*BW292*BB292*BU292*AZ292*(EXP(CI292*CG292*BT292)-1))/(BY292*BP292)^2)/BT292),0),"")</f>
        <v>#VALUE!</v>
      </c>
      <c r="CK292" s="1587" t="e">
        <f aca="false">IF(BS292,IF(BR292,SQRT(LN(1+((CA292*BH292)^2*(EXP(CG292^2*BT292)-1)+(CB292*BI292)^2*(EXP(CH292^2*BT292)-1)+(CC292*BJ292)^2*(EXP(CI292^2*BT292)-1)+2*CA292*BH292*CB292*BI292*(EXP(CG292*CH292*BT292)-1)+2*CB292*BI292*CC292*BJ292*(EXP(CH292*CI292*BT292)-1)+2*CC292*BJ292*CA292*BH292*(EXP(CI292*CG292*BT292)-1))/(CE292*BR292)^2)/BT292),0),"")</f>
        <v>#VALUE!</v>
      </c>
      <c r="CL292" s="1587" t="e">
        <f aca="false">IF(OR(BQ292,BS292),IF(OVolType&lt;&gt;2,SQRT(IF(OVolOverMonthlyOffPeak,OVolOverMonthlyOffPeak,IF(OVolCurve,IF(OBuySell,AD292,AF292),AE292))^2*(1-15/365.25/BT292)+IF(OVolOverDailyOffPeak,OVolOverDailyOffPeak,IF(OVolCurve,IF(OBuySell,AP292,AR292),AQ292))^2*15/365.25/BT292),IF(OVolOverMonthlyOffPeak,OVolOverMonthlyOffPeak,IF(OVolCurve,IF(OBuySell,AD292,AF292),AE292))),"")</f>
        <v>#VALUE!</v>
      </c>
      <c r="CM292" s="1587" t="e">
        <f aca="false">IF(BQ292,SQRT(LN(1+((BY292*BP292)^2*(EXP(CJ292^2*BT292)-1)+(BX292*BC292)^2*(EXP(CL292^2*BT292)-1)+2*BY292*BP292*BX292*BC292*(EXP(AS292*CJ292*CL292*BT292)-1))/(BY292*BP292+BX292*BC292)^2)/BT292),"")</f>
        <v>#VALUE!</v>
      </c>
      <c r="CN292" s="1587" t="e">
        <f aca="false">IF(BS292,SQRT(LN(1+((CE292*BR292)^2*(EXP(CK292^2*BT292)-1)+(CD292*BK292)^2*(EXP(CL292^2*BT292)-1)+2*CE292*BR292*CD292*BK292*(EXP(AS292*CK292*CL292*BT292)-1))/(CE292*BR292+CD292*BK292)^2)/BT292),"")</f>
        <v>#VALUE!</v>
      </c>
      <c r="CO292" s="1316" t="e">
        <f aca="false">IF(OR(BQ292,BS292),VLOOKUP(A292,GasTable,13)*HeatRatePeak*(1+VLOOKUP($B292,HeatRateDegradation,$C292+1))/1000,0)</f>
        <v>#VALUE!</v>
      </c>
      <c r="CP292" s="1316" t="e">
        <f aca="false">IF(OR(BQ292,BS292),VLOOKUP(A292,GasTable,13)*HeatRatePeak*(1+VLOOKUP($B292,HeatRateDegradation,$C292+1))/1000,0)</f>
        <v>#VALUE!</v>
      </c>
      <c r="CQ292" s="1316" t="e">
        <f aca="false">IF(OR(BQ292,BS292),VLOOKUP(A292,GasTable,13)*IF(EV292,HeatRatePeak,HeatRateOffPeak)*(1+VLOOKUP($B292,HeatRateDegradation,$C292+1))/1000,0)</f>
        <v>#VALUE!</v>
      </c>
      <c r="CR292" s="1316" t="e">
        <f aca="false">IF(OR(BQ292,BS292),VLOOKUP(A292,GasTable,13)*IF(EW292,HeatRatePeak,HeatRateOffPeak)*(1+VLOOKUP($B292,HeatRateDegradation,$C292+1))/1000,0)</f>
        <v>#VALUE!</v>
      </c>
      <c r="CS292" s="1589" t="e">
        <f aca="false">IF(BQ292,(CO292*AZ292+CP292*BA292+CQ292*BB292+CR292*BC292)/BQ292,0)</f>
        <v>#VALUE!</v>
      </c>
      <c r="CT292" s="1316" t="e">
        <f aca="false">IF(BS292,CO292,0)</f>
        <v>#VALUE!</v>
      </c>
      <c r="CU292" s="1592" t="e">
        <f aca="false">IF(OR(BQ292,BS292),VLOOKUP(A292,GasTable,14),"")</f>
        <v>#VALUE!</v>
      </c>
      <c r="CV292" s="1568" t="e">
        <f aca="false">IF(OR(BQ292,BS292),IF(CorrPowerGasOverFlag,INDEX(CorrPowerGasOver,C292),CorrPowerGas),"")</f>
        <v>#VALUE!</v>
      </c>
      <c r="CW292" s="1316" t="e">
        <f aca="false">IF(OR($BQ292,$BS292),SpreadOptPowerMargin,0)*((1+Assumptions!$C$26)^($B292-YEAR(Assumptions!$C$17)))</f>
        <v>#VALUE!</v>
      </c>
      <c r="CX292" s="1316" t="e">
        <f aca="false">IF(OR($BQ292,$BS292),SpreadOptPowerMargin,0)*((1+Assumptions!$C$26)^($B292-YEAR(Assumptions!$C$17)))</f>
        <v>#VALUE!</v>
      </c>
      <c r="CY292" s="1316" t="e">
        <f aca="false">IF(OR($BQ292,$BS292),SpreadOptPowerMargin,0)*((1+Assumptions!$C$26)^($B292-YEAR(Assumptions!$C$17)))</f>
        <v>#VALUE!</v>
      </c>
      <c r="CZ292" s="1316" t="e">
        <f aca="false">IF(OR($BQ292,$BS292),SpreadOptPowerMargin,0)*((1+Assumptions!$C$26)^($B292-YEAR(Assumptions!$C$17)))</f>
        <v>#VALUE!</v>
      </c>
      <c r="DA292" s="1316" t="e">
        <f aca="false">IF(OR(BQ292,BS292),(CW292*(AZ292+BH292)+CX292*(BA292+BI292)+CY292*(BB292+BJ292)+CZ292*(BC292+BK292))/(BQ292+BS292),0)</f>
        <v>#VALUE!</v>
      </c>
      <c r="DB292" s="1592" t="e">
        <f aca="false">IF(OR(BQ292,BS292),CG292+IF(OVolSmile,VLOOKUP(MAX(-5,CO292+CW292-BU292),IF(OVolSmile=1,VolSmileBook,VolSmileModel),2),0),"")</f>
        <v>#VALUE!</v>
      </c>
      <c r="DC292" s="1592" t="e">
        <f aca="false">IF(OR(BQ292,BS292),CH292+IF(OVolSmile,VLOOKUP(MAX(-5,CP292+CW292-BV292),IF(OVolSmile=1,VolSmileBook,VolSmileModel),2),0),"")</f>
        <v>#VALUE!</v>
      </c>
      <c r="DD292" s="1592" t="e">
        <f aca="false">IF(OR(BQ292,BS292),CI292+IF(OVolSmile,VLOOKUP(MAX(-5,CQ292+CW292-BW292),IF(OVolSmile=1,VolSmileBook,VolSmileModel),2),0),"")</f>
        <v>#VALUE!</v>
      </c>
      <c r="DE292" s="1592" t="e">
        <f aca="false">IF(OR(BQ292,BS292),CL292+IF(OVolSmile,VLOOKUP(MAX(-5,CR292+CZ292-BX292),IF(OVolSmile=1,VolSmileBook,VolSmileModel),2),0),"")</f>
        <v>#VALUE!</v>
      </c>
      <c r="DF292" s="1592" t="e">
        <f aca="false">IF(BQ292,CM292+IF(OVolSmile,VLOOKUP(MAX(-5,CS292+DA292-BZ292),IF(OVolSmile=1,VolSmileBook,VolSmileModel),2),0),"")</f>
        <v>#VALUE!</v>
      </c>
      <c r="DG292" s="1592" t="e">
        <f aca="false">IF(BS292,CN292+IF(OVolSmile,VLOOKUP(MAX(-5,CT292+DA292-CF292),IF(OVolSmile=1,VolSmileBook,VolSmileModel),2),0),"")</f>
        <v>#VALUE!</v>
      </c>
      <c r="DH292" s="1316" t="e">
        <f aca="false">IF(AND(BU292&gt;0,CO292&gt;0,DB292&gt;0,CU292&gt;0),newSPRDOPT(BU292,CO292,CW292,0,DB292,CU292,CV292,BT292*365.25,OCallPut,0),0)</f>
        <v>#VALUE!</v>
      </c>
      <c r="DI292" s="1316" t="e">
        <f aca="false">IF(AND(BV292&gt;0,CP292&gt;0,DC292&gt;0,CU292&gt;0),newSPRDOPT(BV292,CP292,CX292,0,DC292,CU292,CV292,BT292*365.25,OCallPut,0),0)</f>
        <v>#VALUE!</v>
      </c>
      <c r="DJ292" s="1316" t="e">
        <f aca="false">IF(AND(BW292&gt;0,CQ292&gt;0,DD292&gt;0,CU292&gt;0),newSPRDOPT(BW292,CQ292,CY292,0,DD292,CU292,CV292,BT292*365.25,OCallPut,0),0)</f>
        <v>#VALUE!</v>
      </c>
      <c r="DK292" s="1316" t="e">
        <f aca="false">IF(AND(BX292&gt;0,CR292&gt;0,DE292&gt;0,CU292&gt;0),newSPRDOPT(BX292,CR292,CZ292,0,DE292,CU292,CV292,BT292*365.25,OCallPut,0),0)</f>
        <v>#VALUE!</v>
      </c>
      <c r="DL292" s="1316" t="e">
        <f aca="false">IF(OVolType,IF(AND(BZ292&gt;0,CS292&gt;0,DF292&gt;0,CU292&gt;0),newSPRDOPT(BZ292,CS292,DA292,0,DF292,CU292,CV292,BT292*365.25,OCallPut,0),0),IF(BQ292,(DH292*AZ292+DI292*BA292+DJ292*BB292+DK292*BC292)/BQ292,0))</f>
        <v>#VALUE!</v>
      </c>
      <c r="DM292" s="1316"/>
      <c r="DN292" s="1316"/>
      <c r="DO292" s="1316"/>
      <c r="DP292" s="1316"/>
      <c r="DQ292" s="1316"/>
      <c r="DR292" s="1316"/>
      <c r="DS292" s="1316"/>
      <c r="DT292" s="1316"/>
      <c r="DU292" s="1316"/>
      <c r="DV292" s="1316"/>
      <c r="DW292" s="1316" t="e">
        <f aca="false">IF(AND(BW292&gt;0,CT292&gt;0,DD292&gt;0,CU292&gt;0),newSPRDOPT(BW292,CT292,CY292,0,DD292,CU292,CV292,BT292*365.25,OCallPut,0),0)</f>
        <v>#VALUE!</v>
      </c>
      <c r="DX292" s="1316" t="e">
        <f aca="false">IF(AND(BX292&gt;0,CT292&gt;0,DE292&gt;0,CU292&gt;0),newSPRDOPT(BX292,CT292,CZ292,0,DE292,CU292,CV292,BT292*365.25,OCallPut,0),0)</f>
        <v>#VALUE!</v>
      </c>
      <c r="DY292" s="1316" t="e">
        <f aca="false">IF(BS292,(DH292*BH292+DI292*BI292+DW292*BJ292+DX292*BK292)/BS292,0)</f>
        <v>#VALUE!</v>
      </c>
      <c r="DZ292" s="1551" t="e">
        <f aca="false">DH292*AZ292</f>
        <v>#VALUE!</v>
      </c>
      <c r="EA292" s="1551" t="e">
        <f aca="false">DI292*BA292</f>
        <v>#VALUE!</v>
      </c>
      <c r="EB292" s="1551" t="e">
        <f aca="false">DJ292*BB292</f>
        <v>#VALUE!</v>
      </c>
      <c r="EC292" s="1551" t="e">
        <f aca="false">DK292*BC292</f>
        <v>#VALUE!</v>
      </c>
      <c r="ED292" s="1551" t="e">
        <f aca="false">DL292*BQ292</f>
        <v>#VALUE!</v>
      </c>
      <c r="EE292" s="1596" t="e">
        <f aca="false">IF(BQ292,IF(OCallPut,IF(BU292&gt;(CO292+CW292),BU292-(CO292+CW292),0),IF((CO292+CW292)&gt;BU292,(CO292+CW292)-BU292,0))*AZ292,0)</f>
        <v>#VALUE!</v>
      </c>
      <c r="EF292" s="1596" t="e">
        <f aca="false">IF(BQ292,IF(OCallPut,IF(BV292&gt;(CP292+CX292),BV292-(CP292+CX292),0),IF((CP292+CX292)&gt;BV292,(CP292+CX292)-BV292,0))*BA292,0)</f>
        <v>#VALUE!</v>
      </c>
      <c r="EG292" s="1596" t="e">
        <f aca="false">IF(BQ292,IF(OCallPut,IF(BW292&gt;(CQ292+CY292),BW292-(CQ292+CY292),0),IF((CQ292+CY292)&gt;BW292,(CQ292+CY292)-BW292,0))*BB292,0)</f>
        <v>#VALUE!</v>
      </c>
      <c r="EH292" s="1596" t="e">
        <f aca="false">IF(BQ292,IF(OCallPut,IF(BX292&gt;(CR292+CZ292),BX292-(CR292+CZ292),0),IF((CR292+CZ292)&gt;BX292,(CR292+CZ292)-BX292,0))*BC292,0)</f>
        <v>#VALUE!</v>
      </c>
      <c r="EI292" s="1597" t="e">
        <f aca="false">IF(BQ292,IF(OVolType,IF(OCallPut,IF(BZ292&gt;(CS292+DA292),BZ292-(CS292+DA292),0),IF((CS292+DA292)&gt;BZ292,(CS292+DA292)-BZ292,0))*BQ292,SUM(EE292:EH292)),0)</f>
        <v>#VALUE!</v>
      </c>
      <c r="EJ292" s="1596" t="e">
        <f aca="false">DZ292-EE292</f>
        <v>#VALUE!</v>
      </c>
      <c r="EK292" s="1596" t="e">
        <f aca="false">EA292-EF292</f>
        <v>#VALUE!</v>
      </c>
      <c r="EL292" s="1596" t="e">
        <f aca="false">EB292-EG292</f>
        <v>#VALUE!</v>
      </c>
      <c r="EM292" s="1596" t="e">
        <f aca="false">EC292-EH292</f>
        <v>#VALUE!</v>
      </c>
      <c r="EN292" s="1597" t="e">
        <f aca="false">ED292-EI292</f>
        <v>#VALUE!</v>
      </c>
      <c r="EO292" s="1551" t="e">
        <f aca="false">DH292*BH292</f>
        <v>#VALUE!</v>
      </c>
      <c r="EP292" s="1551" t="e">
        <f aca="false">DI292*BI292</f>
        <v>#VALUE!</v>
      </c>
      <c r="EQ292" s="1551" t="e">
        <f aca="false">DW292*BJ292</f>
        <v>#VALUE!</v>
      </c>
      <c r="ER292" s="1551" t="e">
        <f aca="false">DX292*BK292</f>
        <v>#VALUE!</v>
      </c>
      <c r="ES292" s="1551" t="e">
        <f aca="false">DY292*BS292</f>
        <v>#VALUE!</v>
      </c>
      <c r="ET292" s="1566" t="e">
        <f aca="false">IF(EI292,IF(OCallPut,IF(CA292&gt;(CT292+CW292),CA292-(CT292+CW292),0),IF((CT292+CW292)&gt;CA292,(CT292+CW292)-CA292,0))*BH292,0)</f>
        <v>#VALUE!</v>
      </c>
      <c r="EU292" s="1551" t="e">
        <f aca="false">IF(EI292,IF(OCallPut,IF(CB292&gt;(CT292+CX292),CB292-(CT292+CX292),0),IF((CT292+CX292)&gt;CB292,(CT292+CX292)-CB292,0))*BI292,0)</f>
        <v>#VALUE!</v>
      </c>
      <c r="EV292" s="1551" t="e">
        <f aca="false">IF(EI292,IF(OCallPut,IF(CC292&gt;(CT292+CY292),CC292-(CT292+CY292),0),IF((CT292+CY292)&gt;CC292,(CT292+CY292)-CC292,0))*BJ292,0)</f>
        <v>#VALUE!</v>
      </c>
      <c r="EW292" s="1551" t="e">
        <f aca="false">IF(EI292,IF(OCallPut,IF(CD292&gt;(CT292+CZ292),CD292-(CT292+CZ292),0),IF((CT292+CZ292)&gt;CD292,(CT292+CZ292)-CD292,0))*BK292,0)</f>
        <v>#VALUE!</v>
      </c>
      <c r="EX292" s="1558" t="e">
        <f aca="false">IF(EI292,SUM(ET292:EW292),0)</f>
        <v>#VALUE!</v>
      </c>
      <c r="EY292" s="1551" t="e">
        <f aca="false">EO292-ET292</f>
        <v>#VALUE!</v>
      </c>
      <c r="EZ292" s="1551" t="e">
        <f aca="false">EP292-EU292</f>
        <v>#VALUE!</v>
      </c>
      <c r="FA292" s="1551" t="e">
        <f aca="false">EQ292-EV292</f>
        <v>#VALUE!</v>
      </c>
      <c r="FB292" s="1551" t="e">
        <f aca="false">ER292-EW292</f>
        <v>#VALUE!</v>
      </c>
      <c r="FC292" s="1551" t="e">
        <f aca="false">ES292-EX292</f>
        <v>#VALUE!</v>
      </c>
      <c r="FD292" s="1519" t="n">
        <f aca="false">IF(AX292,IF(VLOOKUP(C292,MAIN!$L$17:$M$28,2)="Yes",VLOOKUP(CALC!B292,MAIN!$H$17:$I$20,2),0),0)</f>
        <v>0</v>
      </c>
      <c r="FE292" s="1553" t="n">
        <f aca="false">$FD292*16*AT292*(1-$AY292)</f>
        <v>0</v>
      </c>
      <c r="FF292" s="1553" t="n">
        <f aca="false">$FD292*16*AU292*(1-$AY292)</f>
        <v>0</v>
      </c>
      <c r="FG292" s="1553" t="n">
        <f aca="false">$FD292*16*(AV292+AW292)*(1-$AY292)</f>
        <v>0</v>
      </c>
      <c r="FH292" s="1553" t="n">
        <f aca="false">$FD292*8*AX292*(1-$AY292)</f>
        <v>0</v>
      </c>
      <c r="FI292" s="1555" t="n">
        <f aca="false">IF(AX292,VLOOKUP(CALC!B292,MAIN!$H$17:$K$20,4),0)</f>
        <v>0</v>
      </c>
      <c r="FJ292" s="1553" t="n">
        <f aca="false">SUM(FE292:FH292)</f>
        <v>0</v>
      </c>
      <c r="FK292" s="1553" t="n">
        <f aca="false">FI292*FJ292</f>
        <v>0</v>
      </c>
      <c r="FL292" s="1551" t="e">
        <f aca="false">IF($EI292&gt;0,MIN(FE292,AZ292*(1+VLOOKUP($C292,WeatherCapacityAdjustment,2))),0)</f>
        <v>#VALUE!</v>
      </c>
      <c r="FM292" s="1551" t="e">
        <f aca="false">IF($EI292&gt;0,MIN(FF292,BA292*(1+VLOOKUP($C292,WeatherCapacityAdjustment,2))),0)</f>
        <v>#VALUE!</v>
      </c>
      <c r="FN292" s="1551" t="e">
        <f aca="false">IF($EI292&gt;0,MIN(FG292,BB292*(1+VLOOKUP($C292,WeatherCapacityAdjustment,2))),0)</f>
        <v>#VALUE!</v>
      </c>
      <c r="FO292" s="1564" t="e">
        <f aca="false">IF($EI292&gt;0,MIN(FH292,BC292*(1+VLOOKUP($C292,WeatherCapacityAdjustment,3))),0)</f>
        <v>#VALUE!</v>
      </c>
      <c r="FP292" s="1551" t="e">
        <f aca="false">IF(ET292&gt;0,MIN(FE292-FL292,BH292*(1+VLOOKUP($C292,WeatherCapacityAdjustment,2))),0)</f>
        <v>#VALUE!</v>
      </c>
      <c r="FQ292" s="1551" t="e">
        <f aca="false">IF(EU292&gt;0,MIN(FF292-FM292,BI292*(1+VLOOKUP($C292,WeatherCapacityAdjustment,2))),0)</f>
        <v>#VALUE!</v>
      </c>
      <c r="FR292" s="1551" t="e">
        <f aca="false">IF(EV292&gt;0,MIN(FG292-FN292,BJ292*(1+VLOOKUP($C292,WeatherCapacityAdjustment,2))),0)</f>
        <v>#VALUE!</v>
      </c>
      <c r="FS292" s="1558" t="e">
        <f aca="false">IF(EW292&gt;0,MIN(FH292-FO292,BK292*(1+VLOOKUP($C292,WeatherCapacityAdjustment,3))),0)</f>
        <v>#VALUE!</v>
      </c>
      <c r="FT292" s="1566" t="n">
        <f aca="false">IF(AND(Assumptions!$H$71="Yes",A292&gt;=Assumptions!$H$72,A292&lt;=Assumptions!$H$73),0,IF(AND($A292&gt;=Assumptions!$C$17,$A292&lt;=Assumptions!$C$18),MAX(AZ292*(1+VLOOKUP($C292,WeatherCapacityAdjustment,2))-FL292,0),0))</f>
        <v>0</v>
      </c>
      <c r="FU292" s="1551" t="n">
        <f aca="false">IF(AND(Assumptions!$H$71="Yes",A292&gt;=Assumptions!$H$72,A292&lt;=Assumptions!$H$73),0,IF(AND($A292&gt;=Assumptions!$C$17,$A292&lt;=Assumptions!$C$18),MAX(BA292*(1+VLOOKUP($C292,WeatherCapacityAdjustment,2))-FM292,0),0))</f>
        <v>0</v>
      </c>
      <c r="FV292" s="1551" t="n">
        <f aca="false">IF(AND(Assumptions!$H$71="Yes",A292&gt;=Assumptions!$H$72,A292&lt;=Assumptions!$H$73),0,IF(AND($A292&gt;=Assumptions!$C$17,$A292&lt;=Assumptions!$C$18),MAX(BB292*(1+VLOOKUP($C292,WeatherCapacityAdjustment,2))-FN292,0),0))</f>
        <v>0</v>
      </c>
      <c r="FW292" s="1564" t="n">
        <f aca="false">IF(AND(Assumptions!$H$71="Yes",A292&gt;=Assumptions!$H$72,A292&lt;=Assumptions!$H$73),0,IF(AND($A292&gt;=Assumptions!$C$17,$A292&lt;=Assumptions!$C$18),MAX(BC292*(1+VLOOKUP($C292,WeatherCapacityAdjustment,3))-FO292,0),0))</f>
        <v>0</v>
      </c>
      <c r="FX292" s="1569" t="e">
        <f aca="false">IF(AND(Assumptions!$H$71="Yes",A292&gt;=Assumptions!$H$72,A292&lt;=Assumptions!$H$73),0,IF(ET292&gt;0,MAX(BH292*(1+VLOOKUP($C292,WeatherCapacityAdjustment,2))-FP292,0),0))</f>
        <v>#VALUE!</v>
      </c>
      <c r="FY292" s="1551" t="e">
        <f aca="false">IF(AND(Assumptions!$H$71="Yes",A292&gt;=Assumptions!$H$72,A292&lt;=Assumptions!$H$73),0,IF(EU292&gt;0,MAX(BI292*(1+VLOOKUP($C292,WeatherCapacityAdjustment,3))-FQ292,0),0))</f>
        <v>#VALUE!</v>
      </c>
      <c r="FZ292" s="1551" t="e">
        <f aca="false">IF(AND(Assumptions!$H$71="Yes",A292&gt;=Assumptions!$H$72,A292&lt;=Assumptions!$H$73),0,IF(EV292&gt;0,MAX(BJ292*(1+VLOOKUP($C292,WeatherCapacityAdjustment,2))-FR292,0),0))</f>
        <v>#VALUE!</v>
      </c>
      <c r="GA292" s="1564" t="e">
        <f aca="false">IF(AND(Assumptions!$H$71="Yes",A292&gt;=Assumptions!$H$72,A292&lt;=Assumptions!$H$73),0,IF(EW292&gt;0,MAX(BK292*(1+VLOOKUP($C292,WeatherCapacityAdjustment,2))-FS292,0),0))</f>
        <v>#VALUE!</v>
      </c>
      <c r="GB292" s="1551" t="e">
        <f aca="false">SUM(FT292:GA292)</f>
        <v>#VALUE!</v>
      </c>
      <c r="GC292" s="1563" t="e">
        <f aca="false">+IF(SUM(FT292:GA292)=0,0,(SUMPRODUCT(BU292:BX292,FT292:FW292)+SUMPRODUCT(CA292:CD292,FX292:GA292))/SUM(FT292:GA292))</f>
        <v>#VALUE!</v>
      </c>
      <c r="GD292" s="1551" t="e">
        <f aca="false">(FT292*BU292+FX292*CA292+FU292*BV292+FY292*CB292+FV292*BW292+FZ292*CC292+FW292*BX292+GA292*CD292)</f>
        <v>#VALUE!</v>
      </c>
      <c r="GE292" s="1561" t="e">
        <f aca="false">+IF(BQ292,((FL292+FM292+FT292+FU292)*HeatRatePeak/1000*(1+VLOOKUP($C292,WeatherHeatRateAdjustment,2))+(FN292+FV292)*IF(EV292&gt;0,HeatRatePeak,HeatRateOffPeak)/1000*(1+VLOOKUP($C292,WeatherHeatRateAdjustment,2))+(FO292+FW292)*IF(EW292&gt;0,HeatRatePeak,HeatRateOffPeak)/1000*(1+VLOOKUP($C292,WeatherHeatRateAdjustment,3)))*(1+VLOOKUP($B292,HeatRateDegradation,$C292+1)),0)</f>
        <v>#VALUE!</v>
      </c>
      <c r="GF292" s="1562" t="e">
        <f aca="false">IF(BQ292,((FP292+FQ292+FR292+FX292+FY292+FZ292)*HeatRatePeak/1000*(1+VLOOKUP($C292,WeatherHeatRateAdjustment,2))+(FS292+GA292)*HeatRatePeak/1000*(1+VLOOKUP($C292,WeatherHeatRateAdjustment,3)))*(1+VLOOKUP($B292,HeatRateDegradation,$C292+1)),0)</f>
        <v>#VALUE!</v>
      </c>
      <c r="GG292" s="1563" t="e">
        <f aca="false">IF(BQ292,VLOOKUP(A292,GasTable,13),0)</f>
        <v>#VALUE!</v>
      </c>
      <c r="GH292" s="1564" t="e">
        <f aca="false">(GE292+GF292)*GG292</f>
        <v>#VALUE!</v>
      </c>
      <c r="GI292" s="1569" t="e">
        <f aca="false">GB292</f>
        <v>#VALUE!</v>
      </c>
      <c r="GJ292" s="1598" t="e">
        <f aca="false">+DA292</f>
        <v>#VALUE!</v>
      </c>
      <c r="GK292" s="1558" t="e">
        <f aca="false">+GI292*GJ292</f>
        <v>#VALUE!</v>
      </c>
      <c r="GL292" s="1566" t="e">
        <f aca="false">MAX(FE292-FL292-FP292,0)</f>
        <v>#VALUE!</v>
      </c>
      <c r="GM292" s="1551" t="e">
        <f aca="false">MAX(FF292-FM292-FQ292,0)</f>
        <v>#VALUE!</v>
      </c>
      <c r="GN292" s="1551" t="e">
        <f aca="false">MAX(FG292-FN292-FR292,0)</f>
        <v>#VALUE!</v>
      </c>
      <c r="GO292" s="1564" t="e">
        <f aca="false">MAX(FH292-FO292-FS292,0)</f>
        <v>#VALUE!</v>
      </c>
      <c r="GP292" s="1551" t="e">
        <f aca="false">SUM(GL292:GO292)</f>
        <v>#VALUE!</v>
      </c>
      <c r="GQ292" s="1563" t="e">
        <f aca="false">IF(SUM(GL292:GO292)=0,0,((GL292*BU292+GM292*BV292+GN292*BW292+GO292*BX292)/SUM(GL292:GO292)))</f>
        <v>#VALUE!</v>
      </c>
      <c r="GR292" s="1558" t="e">
        <f aca="false">(GL292*BU292+GM292*BV292+GN292*BW292+GO292*BX292)</f>
        <v>#VALUE!</v>
      </c>
      <c r="GS292" s="1551" t="n">
        <f aca="false">IF($A292&gt;=BegDate,Assumptions!$C$56*24*($A293-$A292)*(1-VLOOKUP($B292,MAIN!$AA$7:$AM$28,$C292+1))*(1-VLOOKUP($B292,MAIN!$AA$33:$AM$54,$C292+1)),0)*80/168</f>
        <v>224485.714285714</v>
      </c>
      <c r="GT292" s="286" t="n">
        <f aca="false">J292</f>
        <v>45.4763555699422</v>
      </c>
      <c r="GU292" s="286" t="n">
        <f aca="false">IF($A292&gt;=BegDate,VLOOKUP($A292,GasTable,13)+Assumptions!$C$58,0)</f>
        <v>4.58711122179671</v>
      </c>
      <c r="GV292" s="286" t="n">
        <f aca="false">GU292*Assumptions!$C$57/1000</f>
        <v>33.2565563580261</v>
      </c>
      <c r="GW292" s="1551" t="n">
        <f aca="false">IF(Assumptions!$C$60="Hourly",MAX(0,GS292*(GT292-GV292)),GS292*(GT292-GV292))</f>
        <v>2743170.35451498</v>
      </c>
      <c r="GX292" s="1551" t="n">
        <f aca="false">IF($A292&gt;=BegDate,Assumptions!$C$56*24*($A293-$A292)*(1-VLOOKUP($B292,MAIN!$AA$7:$AM$28,$C292+1))*(1-VLOOKUP($B292,MAIN!$AA$33:$AM$54,$C292+1)),0)*16/168</f>
        <v>44897.1428571429</v>
      </c>
      <c r="GY292" s="286" t="n">
        <f aca="false">M292</f>
        <v>45.4763555699422</v>
      </c>
      <c r="GZ292" s="286" t="n">
        <f aca="false">IF($A292&gt;=BegDate,VLOOKUP($A292,GasTable,13)+Assumptions!$C$58,0)</f>
        <v>4.58711122179671</v>
      </c>
      <c r="HA292" s="286" t="n">
        <f aca="false">GZ292*Assumptions!$C$57/1000</f>
        <v>33.2565563580261</v>
      </c>
      <c r="HB292" s="1551" t="n">
        <f aca="false">IF(Assumptions!$C$60="Hourly",MAX(0,GX292*(GY292-HA292)),GX292*(GY292-HA292))</f>
        <v>548634.070902996</v>
      </c>
      <c r="HC292" s="1551" t="n">
        <f aca="false">IF($A292&gt;=BegDate,Assumptions!$C$56*24*($A293-$A292)*(1-VLOOKUP($B292,MAIN!$AA$7:$AM$28,$C292+1))*(1-VLOOKUP($B292,MAIN!$AA$33:$AM$54,$C292+1)),0)*16/168</f>
        <v>44897.1428571429</v>
      </c>
      <c r="HD292" s="286" t="n">
        <f aca="false">P292</f>
        <v>31.7087634741399</v>
      </c>
      <c r="HE292" s="286" t="n">
        <f aca="false">IF($A292&gt;=BegDate,VLOOKUP($A292,GasTable,13)+Assumptions!$C$58,0)</f>
        <v>4.58711122179671</v>
      </c>
      <c r="HF292" s="286" t="n">
        <f aca="false">HE292*Assumptions!$C$57/1000</f>
        <v>33.2565563580261</v>
      </c>
      <c r="HG292" s="1551" t="n">
        <f aca="false">IF(Assumptions!$C$60="Hourly",MAX(0,HC292*(HD292-HF292)),HC292*(HD292-HF292))</f>
        <v>0</v>
      </c>
      <c r="HH292" s="1551" t="n">
        <f aca="false">IF($A292&gt;=BegDate,Assumptions!$C$56*24*($A293-$A292)*(1-VLOOKUP($B292,MAIN!$AA$7:$AM$28,$C292+1))*(1-VLOOKUP($B292,MAIN!$AA$33:$AM$54,$C292+1)),0)*56/168</f>
        <v>157140</v>
      </c>
      <c r="HI292" s="286" t="n">
        <f aca="false">S292</f>
        <v>31.7087634741399</v>
      </c>
      <c r="HJ292" s="286" t="n">
        <f aca="false">IF($A292&gt;=BegDate,VLOOKUP($A292,GasTable,13)+Assumptions!$C$58,0)</f>
        <v>4.58711122179671</v>
      </c>
      <c r="HK292" s="286" t="n">
        <f aca="false">HJ292*Assumptions!$C$57/1000</f>
        <v>33.2565563580261</v>
      </c>
      <c r="HL292" s="1551" t="n">
        <f aca="false">IF(Assumptions!$C$60="Hourly",MAX(0,HH292*(HI292-HK292)),HH292*(HI292-HK292))</f>
        <v>0</v>
      </c>
      <c r="HM292" s="1551" t="n">
        <f aca="false">IF(AND(Assumptions!$H$71="Yes",A292&gt;=Assumptions!$H$72,A292&lt;=Assumptions!$H$73),Assumptions!$H$74*Assumptions!$C$9*1000,0)</f>
        <v>0</v>
      </c>
      <c r="HN292" s="1551"/>
      <c r="HO292" s="1563"/>
      <c r="HP292" s="1563"/>
      <c r="HQ292" s="1563"/>
      <c r="HR292" s="1563"/>
      <c r="HS292" s="1563"/>
      <c r="HT292" s="1563"/>
      <c r="HU292" s="1563"/>
      <c r="HV292" s="1563"/>
      <c r="HW292" s="1563"/>
      <c r="HX292" s="1563"/>
      <c r="HY292" s="1563"/>
      <c r="HZ292" s="1563"/>
      <c r="IA292" s="1563"/>
      <c r="IB292" s="1563"/>
      <c r="IC292" s="1563"/>
      <c r="ID292" s="1563"/>
      <c r="IE292" s="1563"/>
      <c r="IF292" s="1563"/>
      <c r="IG292" s="1563"/>
      <c r="IH292" s="1563"/>
      <c r="II292" s="1610"/>
      <c r="IJ292" s="1309"/>
      <c r="IK292" s="1309"/>
    </row>
    <row r="293" customFormat="false" ht="12.75" hidden="false" customHeight="false" outlineLevel="0" collapsed="false">
      <c r="A293" s="1617" t="n">
        <f aca="false">EOMONTH(A292,0)+1</f>
        <v>45047</v>
      </c>
      <c r="B293" s="238" t="n">
        <f aca="false">+YEAR(A293)</f>
        <v>2023</v>
      </c>
      <c r="C293" s="320" t="n">
        <f aca="false">MONTH(A293)</f>
        <v>5</v>
      </c>
      <c r="D293" s="1614" t="str">
        <f aca="false">IF(E293="","",Holiday(B293,C293))</f>
        <v/>
      </c>
      <c r="E293" s="1573" t="str">
        <f aca="false">IF(OR(BegDate&gt;=A294,EndDate&lt;A293,AND(VolumeMonthlyOverFlag,INDEX(VolumeMonthlyOver,C293)=0),NOT(INDEX(MonthKnockOutTable,C293))),"",MAX(A293,BegDate))</f>
        <v/>
      </c>
      <c r="F293" s="1614" t="str">
        <f aca="false">IF(E293="","",MIN(A294-1,EndDate))</f>
        <v/>
      </c>
      <c r="G293" s="1615" t="n">
        <v>0</v>
      </c>
      <c r="H293" s="1576" t="n">
        <f aca="false">(1+G293/2)^(-2*(DATE(B294,C294,20)-DateToday)/365.25)</f>
        <v>1</v>
      </c>
      <c r="I293" s="1568" t="n">
        <f aca="false">IF(Assumptions!$L$25=4,VLOOKUP($A293,'Henwood Reference'!$E$9:$R$320,10),(VLOOKUP($A293,PriceTable,2,0)+IF(BasisNumber&lt;&gt;1,VLOOKUP($A293,BasisTable,2,0),0)+I$1)/(1-I$2))</f>
        <v>52.7909604968204</v>
      </c>
      <c r="J293" s="1568" t="n">
        <f aca="false">IF(Assumptions!$L$25=4,VLOOKUP($A293,'Henwood Reference'!$E$9:$R$320,10),(VLOOKUP($A293,PriceTable,3,0)+IF(BasisNumber&lt;&gt;1,VLOOKUP($A293,BasisTable,2,0),0)+J$1)/(1-J$2))</f>
        <v>52.7909604968204</v>
      </c>
      <c r="K293" s="1568" t="n">
        <f aca="false">IF(Assumptions!$L$25=4,VLOOKUP($A293,'Henwood Reference'!$E$9:$R$320,10),(VLOOKUP($A293,PriceTable,4,0)+IF(BasisNumber&lt;&gt;1,VLOOKUP($A293,BasisTable,2,0),0)+K$1)/(1-K$2))</f>
        <v>52.7909604968204</v>
      </c>
      <c r="L293" s="1523" t="n">
        <f aca="false">IF(Assumptions!$L$25=4,VLOOKUP($A293,'Henwood Reference'!$E$9:$R$320,10),(VLOOKUP($A293,PriceTableWeekend,2,0)+IF(BasisNumber&lt;&gt;1,VLOOKUP($A293,BasisTable,2,0),0)+L$1)/(1-L$2))</f>
        <v>52.7909604968204</v>
      </c>
      <c r="M293" s="1568" t="n">
        <f aca="false">IF(Assumptions!$L$25=4,VLOOKUP($A293,'Henwood Reference'!$E$9:$R$320,10),(VLOOKUP($A293,PriceTableWeekend,3,0)+IF(BasisNumber&lt;&gt;1,VLOOKUP($A293,BasisTable,2,0),0)+M$1)/(1-M$2))</f>
        <v>52.7909604968204</v>
      </c>
      <c r="N293" s="1599" t="n">
        <f aca="false">IF(Assumptions!$L$25=4,VLOOKUP($A293,'Henwood Reference'!$E$9:$R$320,10),(VLOOKUP($A293,PriceTableWeekend,4,0)+IF(BasisNumber&lt;&gt;1,VLOOKUP($A293,BasisTable,2,0),0)+N$1)/(1-N$2))</f>
        <v>52.7909604968204</v>
      </c>
      <c r="O293" s="1568" t="n">
        <f aca="false">IF(Assumptions!$L$25=4,VLOOKUP($A293,'Henwood Reference'!$E$9:$R$320,11),(VLOOKUP($A293,PriceTableWeekend,6,0)+IF(BasisNumber&lt;&gt;1,VLOOKUP($A293,BasisTable,3,0),0)+O$1)/(1-O$2))</f>
        <v>31.5547004160284</v>
      </c>
      <c r="P293" s="1568" t="n">
        <f aca="false">IF(Assumptions!$L$25=4,VLOOKUP($A293,'Henwood Reference'!$E$9:$R$320,11),(VLOOKUP($A293,PriceTableWeekend,7,0)+IF(BasisNumber&lt;&gt;1,VLOOKUP($A293,BasisTable,3,0),0)+P$1)/(1-P$2))</f>
        <v>31.5547004160284</v>
      </c>
      <c r="Q293" s="1599" t="n">
        <f aca="false">IF(Assumptions!$L$25=4,VLOOKUP($A293,'Henwood Reference'!$E$9:$R$320,11),(VLOOKUP($A293,PriceTableWeekend,8,0)+IF(BasisNumber&lt;&gt;1,VLOOKUP($A293,BasisTable,3,0),0)+Q$1)/(1-Q$2))</f>
        <v>31.5547004160284</v>
      </c>
      <c r="R293" s="1568" t="n">
        <f aca="false">IF(Assumptions!$L$25=4,VLOOKUP($A293,'Henwood Reference'!$E$9:$R$320,11),(VLOOKUP($A293,PriceTable,6,0)+IF(BasisNumber&lt;&gt;1,VLOOKUP($A293,BasisTable,3,0),0)+R$1)/(1-R$2))</f>
        <v>31.5547004160284</v>
      </c>
      <c r="S293" s="1568" t="n">
        <f aca="false">IF(Assumptions!$L$25=4,VLOOKUP($A293,'Henwood Reference'!$E$9:$R$320,11),(VLOOKUP($A293,PriceTable,7,0)+IF(BasisNumber&lt;&gt;1,VLOOKUP($A293,BasisTable,3,0),0)+S$1)/(1-S$2))</f>
        <v>31.5547004160284</v>
      </c>
      <c r="T293" s="1600" t="n">
        <f aca="false">IF(Assumptions!$L$25=4,VLOOKUP($A293,'Henwood Reference'!$E$9:$R$320,11),(VLOOKUP($A293,PriceTable,8,0)+IF(BasisNumber&lt;&gt;1,VLOOKUP($A293,BasisTable,3,0),0)+T$1)/(1-T$2))</f>
        <v>31.5547004160284</v>
      </c>
      <c r="U293" s="1513" t="n">
        <f aca="false">VLOOKUP($A293,VolatilityTable,14)</f>
        <v>0.09</v>
      </c>
      <c r="V293" s="1513" t="n">
        <f aca="false">VLOOKUP($A293,VolatilityTable,15)</f>
        <v>0.1</v>
      </c>
      <c r="W293" s="1513" t="n">
        <f aca="false">VLOOKUP($A293,VolatilityTable,16)</f>
        <v>0.11</v>
      </c>
      <c r="X293" s="1513" t="n">
        <f aca="false">VLOOKUP($A293,VolatilityTable,14)</f>
        <v>0.09</v>
      </c>
      <c r="Y293" s="1513" t="n">
        <f aca="false">VLOOKUP($A293,VolatilityTable,15)</f>
        <v>0.1</v>
      </c>
      <c r="Z293" s="1513" t="n">
        <f aca="false">VLOOKUP($A293,VolatilityTable,16)</f>
        <v>0.11</v>
      </c>
      <c r="AA293" s="1513" t="n">
        <f aca="false">VLOOKUP($A293,VolatilityTable,18)</f>
        <v>0.09</v>
      </c>
      <c r="AB293" s="1513" t="n">
        <f aca="false">VLOOKUP($A293,VolatilityTable,19)</f>
        <v>0.11</v>
      </c>
      <c r="AC293" s="1513" t="n">
        <f aca="false">VLOOKUP($A293,VolatilityTable,20)</f>
        <v>0.13</v>
      </c>
      <c r="AD293" s="1513" t="n">
        <f aca="false">VLOOKUP($A293,VolatilityTable,18)</f>
        <v>0.09</v>
      </c>
      <c r="AE293" s="1513" t="n">
        <f aca="false">VLOOKUP($A293,VolatilityTable,19)</f>
        <v>0.11</v>
      </c>
      <c r="AF293" s="1513" t="n">
        <f aca="false">VLOOKUP($A293,VolatilityTable,20)</f>
        <v>0.13</v>
      </c>
      <c r="AG293" s="1513" t="n">
        <f aca="false">VLOOKUP($A293,VolatilityTable,22)</f>
        <v>-0.1</v>
      </c>
      <c r="AH293" s="1513" t="n">
        <f aca="false">VLOOKUP($A293,VolatilityTable,23)</f>
        <v>0.65</v>
      </c>
      <c r="AI293" s="1513" t="n">
        <f aca="false">VLOOKUP($A293,VolatilityTable,24)</f>
        <v>0.1</v>
      </c>
      <c r="AJ293" s="1513" t="n">
        <f aca="false">VLOOKUP($A293,VolatilityTable,22)</f>
        <v>-0.1</v>
      </c>
      <c r="AK293" s="1513" t="n">
        <f aca="false">VLOOKUP($A293,VolatilityTable,23)</f>
        <v>0.65</v>
      </c>
      <c r="AL293" s="1513" t="n">
        <f aca="false">VLOOKUP($A293,VolatilityTable,24)</f>
        <v>0.1</v>
      </c>
      <c r="AM293" s="1513" t="n">
        <f aca="false">VLOOKUP($A293,VolatilityTable,26)</f>
        <v>-0.01</v>
      </c>
      <c r="AN293" s="1513" t="n">
        <f aca="false">VLOOKUP($A293,VolatilityTable,27)</f>
        <v>0.16</v>
      </c>
      <c r="AO293" s="1513" t="n">
        <f aca="false">VLOOKUP($A293,VolatilityTable,28)</f>
        <v>0.01</v>
      </c>
      <c r="AP293" s="1513" t="n">
        <f aca="false">VLOOKUP($A293,VolatilityTable,26)</f>
        <v>-0.01</v>
      </c>
      <c r="AQ293" s="1513" t="n">
        <f aca="false">VLOOKUP($A293,VolatilityTable,27)</f>
        <v>0.16</v>
      </c>
      <c r="AR293" s="1513" t="n">
        <f aca="false">VLOOKUP($A293,VolatilityTable,28)</f>
        <v>0.01</v>
      </c>
      <c r="AS293" s="1616" t="n">
        <f aca="false">IF(CorrPeakOffPeakOverFlag,INDEX(CorrPeakOffPeakOver,C293),CorrPeakOffPeak)</f>
        <v>0.5</v>
      </c>
      <c r="AT293" s="238" t="n">
        <f aca="false">AX293-SUM(AU293:AW293)</f>
        <v>0</v>
      </c>
      <c r="AU293" s="238" t="n">
        <f aca="false">IF(E293="",0,INT((F293-MOD(F293,7)-E293)/7)+1-IF(AW293,IF(WEEKDAY(D293)=7,1,0),0))</f>
        <v>0</v>
      </c>
      <c r="AV293" s="238" t="n">
        <f aca="false">IF(E293="",0,INT((F293-MOD(F293-1,7)-E293)/7)+1-IF(AW293,IF(WEEKDAY(D293)=1,1,0),0))</f>
        <v>0</v>
      </c>
      <c r="AW293" s="238" t="n">
        <f aca="false">IF(OR(E293="",D293="",D293&lt;BegDate,D293&gt;EndDate),0,1)</f>
        <v>0</v>
      </c>
      <c r="AX293" s="238" t="n">
        <f aca="false">IF(E293="",0,F293-E293+1)</f>
        <v>0</v>
      </c>
      <c r="AY293" s="1513" t="n">
        <f aca="false">IF(E293="",0,MIN((1-(1-VLOOKUP(B293,MAIN!$AA$7:$AM$28,C293+1))*(1-VLOOKUP(B293,MAIN!$AA$33:$AM$54,C293+1))),1))</f>
        <v>0</v>
      </c>
      <c r="AZ293" s="1519" t="e">
        <f aca="false" t="array" ref="AZ293:BO293">TakeFunction(TakeType,STake,OTake,CombineTakesFlag,MostExpFlag,VolumeEscType,VolumeEsc,DateToday,BegDate,EndDate,OrderedScalars,OrderedPrices,OrderedPricesSat,OrderedPricesSun,AvailDays,FirmWeek,FirmSat,FirmSun,FirmHol,OptWeek,OptSat,OptSun,OptHol)*(1-PlannedOutages)</f>
        <v>#VALUE!</v>
      </c>
      <c r="BA293" s="1519" t="e">
        <v>#VALUE!</v>
      </c>
      <c r="BB293" s="1519" t="e">
        <v>#VALUE!</v>
      </c>
      <c r="BC293" s="1519" t="e">
        <v>#VALUE!</v>
      </c>
      <c r="BD293" s="1568" t="e">
        <v>#VALUE!</v>
      </c>
      <c r="BE293" s="1568" t="e">
        <v>#VALUE!</v>
      </c>
      <c r="BF293" s="1568" t="e">
        <v>#VALUE!</v>
      </c>
      <c r="BG293" s="1568" t="e">
        <v>#VALUE!</v>
      </c>
      <c r="BH293" s="1519" t="e">
        <v>#VALUE!</v>
      </c>
      <c r="BI293" s="1519" t="e">
        <v>#VALUE!</v>
      </c>
      <c r="BJ293" s="1519" t="e">
        <v>#VALUE!</v>
      </c>
      <c r="BK293" s="1519" t="e">
        <v>#VALUE!</v>
      </c>
      <c r="BL293" s="1568" t="e">
        <v>#VALUE!</v>
      </c>
      <c r="BM293" s="1568" t="e">
        <v>#VALUE!</v>
      </c>
      <c r="BN293" s="1568" t="e">
        <v>#VALUE!</v>
      </c>
      <c r="BO293" s="1568" t="e">
        <v>#VALUE!</v>
      </c>
      <c r="BP293" s="1519" t="e">
        <f aca="false">SUM(AZ293:BB293)</f>
        <v>#VALUE!</v>
      </c>
      <c r="BQ293" s="1519" t="e">
        <f aca="false">SUM(AZ293:BC293)</f>
        <v>#VALUE!</v>
      </c>
      <c r="BR293" s="1519" t="e">
        <f aca="false">SUM(BH293:BJ293)</f>
        <v>#VALUE!</v>
      </c>
      <c r="BS293" s="1519" t="e">
        <f aca="false">SUM(BH293:BK293)</f>
        <v>#VALUE!</v>
      </c>
      <c r="BT293" s="1316" t="n">
        <f aca="false">(IF(OVolType&lt;&gt;2,A293+14,IF(OptExpDateShift,ShiftBack(A293,OptExpDateShift,D292),A293))-DateToday)/365.25</f>
        <v>23.0444900752909</v>
      </c>
      <c r="BU293" s="1316" t="e">
        <f aca="false">IF(BQ293,IF(OPriceCurve,IF(OBuySell=OCallPut,I293/(1-AY293),K293/(1-AY293)),J293/(1-AY293))*BD293,0)</f>
        <v>#VALUE!</v>
      </c>
      <c r="BV293" s="1316" t="e">
        <f aca="false">IF(BQ293,IF(OPriceCurve,IF(OBuySell=OCallPut,L293/(1-AY293),N293/(1-AY293)),M293/(1-AY293))*BE293,0)</f>
        <v>#VALUE!</v>
      </c>
      <c r="BW293" s="1316" t="e">
        <f aca="false">IF(BQ293,IF(OPriceCurve,IF(OBuySell=OCallPut,O293/(1-AY293),Q293/(1-AY293)),P293/(1-AY293))*BF293,0)</f>
        <v>#VALUE!</v>
      </c>
      <c r="BX293" s="1316" t="e">
        <f aca="false">IF(BQ293,IF(OPriceCurve,IF(OBuySell=OCallPut,R293/(1-AY293),T293/(1-AY293)),S293/(1-AY293))*BG293,0)</f>
        <v>#VALUE!</v>
      </c>
      <c r="BY293" s="1316" t="e">
        <f aca="false">IF(BP293,(BU293*AZ293+BV293*BA293+BW293*BB293)/BP293,0)</f>
        <v>#VALUE!</v>
      </c>
      <c r="BZ293" s="1316" t="e">
        <f aca="false">IF(BQ293,(BY293*BP293+BX293*BC293)/BQ293,0)</f>
        <v>#VALUE!</v>
      </c>
      <c r="CA293" s="1316" t="e">
        <f aca="false">IF(BS293,IF(OPriceCurve,IF(OBuySell=OCallPut,I293/(1-AY293),K293/(1-AY293)),J293/(1-AY293))*BL293,0)</f>
        <v>#VALUE!</v>
      </c>
      <c r="CB293" s="1316" t="e">
        <f aca="false">IF(BS293,IF(OPriceCurve,IF(OBuySell=OCallPut,L293/(1-AY293),N293/(1-AY293)),M293/(1-AY293))*BM293,0)</f>
        <v>#VALUE!</v>
      </c>
      <c r="CC293" s="1316" t="e">
        <f aca="false">IF(BS293,IF(OPriceCurve,IF(OBuySell=OCallPut,O293/(1-AY293),Q293/(1-AY293)),P293/(1-AY293))*BN293,0)</f>
        <v>#VALUE!</v>
      </c>
      <c r="CD293" s="1316" t="e">
        <f aca="false">IF(BS293,IF(OPriceCurve,IF(OBuySell=OCallPut,R293/(1-AY293),T293/(1-AY293)),S293/(1-AY293))*BO293,0)</f>
        <v>#VALUE!</v>
      </c>
      <c r="CE293" s="1316" t="e">
        <f aca="false">IF(BR293,(BU293*BH293+BV293*BI293+BW293*BJ293)/BR293,0)</f>
        <v>#VALUE!</v>
      </c>
      <c r="CF293" s="1316" t="e">
        <f aca="false">IF(BS293,(CE293*BR293+CD293*BK293)/BS293,0)</f>
        <v>#VALUE!</v>
      </c>
      <c r="CG293" s="1587" t="e">
        <f aca="false">IF(OR(BQ293,BS293),IF(OVolType&lt;&gt;2,SQRT(IF(OVolOverMonthlyPeak,OVolOverMonthlyPeak,IF(OVolCurve,IF(OBuySell,U293,W293),V293))^2*(1-15/365.25/BT293)+IF(OVolOverDailyPeak,OVolOverDailyPeak,IF(OVolCurve,IF(OBuySell,AG293,AI293),AH293))^2*15/365.25/BT293),IF(OVolOverMonthlyPeak,OVolOverMonthlyPeak,IF(OVolCurve,IF(OBuySell,U293,W293),V293))),"")</f>
        <v>#VALUE!</v>
      </c>
      <c r="CH293" s="1587" t="e">
        <f aca="false">IF(OR(BQ293,BS293),IF(OVolType&lt;&gt;2,SQRT(IF(OVolOverMonthlyPeak,OVolOverMonthlyPeak,IF(OVolCurve,IF(OBuySell,X293,Z293),Y293))^2*(1-15/365.25/BT293)+IF(OVolOverDailyPeak,OVolOverDailyPeak,IF(OVolCurve,IF(OBuySell,AJ293,AL293),AK293))^2*15/365.25/BT293),IF(OVolOverMonthlyPeak,OVolOverMonthlyPeak,IF(OVolCurve,IF(OBuySell,X293,Z293),Y293))),"")</f>
        <v>#VALUE!</v>
      </c>
      <c r="CI293" s="1587" t="e">
        <f aca="false">IF(OR(BQ293,BS293),IF(OVolType&lt;&gt;2,SQRT(IF(OVolOverMonthlyPeak,OVolOverMonthlyPeak,IF(OVolCurve,IF(OBuySell,AA293,AC293),AB293))^2*(1-15/365.25/BT293)+IF(OVolOverDailyPeak,OVolOverDailyPeak,IF(OVolCurve,IF(OBuySell,AM293,AO293),AN293))^2*15/365.25/BT293),IF(OVolOverMonthlyPeak,OVolOverMonthlyPeak,IF(OVolCurve,IF(OBuySell,AA293,AC293),AB293))),"")</f>
        <v>#VALUE!</v>
      </c>
      <c r="CJ293" s="1587" t="e">
        <f aca="false">IF(BQ293,IF(BP293,SQRT(LN(1+((BU293*AZ293)^2*(EXP(CG293^2*BT293)-1)+(BV293*BA293)^2*(EXP(CH293^2*BT293)-1)+(BW293*BB293)^2*(EXP(CI293^2*BT293)-1)+2*BU293*AZ293*BV293*BA293*(EXP(CG293*CH293*BT293)-1)+2*BV293*BA293*BW293*BB293*(EXP(CH293*CI293*BT293)-1)+2*BW293*BB293*BU293*AZ293*(EXP(CI293*CG293*BT293)-1))/(BY293*BP293)^2)/BT293),0),"")</f>
        <v>#VALUE!</v>
      </c>
      <c r="CK293" s="1587" t="e">
        <f aca="false">IF(BS293,IF(BR293,SQRT(LN(1+((CA293*BH293)^2*(EXP(CG293^2*BT293)-1)+(CB293*BI293)^2*(EXP(CH293^2*BT293)-1)+(CC293*BJ293)^2*(EXP(CI293^2*BT293)-1)+2*CA293*BH293*CB293*BI293*(EXP(CG293*CH293*BT293)-1)+2*CB293*BI293*CC293*BJ293*(EXP(CH293*CI293*BT293)-1)+2*CC293*BJ293*CA293*BH293*(EXP(CI293*CG293*BT293)-1))/(CE293*BR293)^2)/BT293),0),"")</f>
        <v>#VALUE!</v>
      </c>
      <c r="CL293" s="1587" t="e">
        <f aca="false">IF(OR(BQ293,BS293),IF(OVolType&lt;&gt;2,SQRT(IF(OVolOverMonthlyOffPeak,OVolOverMonthlyOffPeak,IF(OVolCurve,IF(OBuySell,AD293,AF293),AE293))^2*(1-15/365.25/BT293)+IF(OVolOverDailyOffPeak,OVolOverDailyOffPeak,IF(OVolCurve,IF(OBuySell,AP293,AR293),AQ293))^2*15/365.25/BT293),IF(OVolOverMonthlyOffPeak,OVolOverMonthlyOffPeak,IF(OVolCurve,IF(OBuySell,AD293,AF293),AE293))),"")</f>
        <v>#VALUE!</v>
      </c>
      <c r="CM293" s="1587" t="e">
        <f aca="false">IF(BQ293,SQRT(LN(1+((BY293*BP293)^2*(EXP(CJ293^2*BT293)-1)+(BX293*BC293)^2*(EXP(CL293^2*BT293)-1)+2*BY293*BP293*BX293*BC293*(EXP(AS293*CJ293*CL293*BT293)-1))/(BY293*BP293+BX293*BC293)^2)/BT293),"")</f>
        <v>#VALUE!</v>
      </c>
      <c r="CN293" s="1587" t="e">
        <f aca="false">IF(BS293,SQRT(LN(1+((CE293*BR293)^2*(EXP(CK293^2*BT293)-1)+(CD293*BK293)^2*(EXP(CL293^2*BT293)-1)+2*CE293*BR293*CD293*BK293*(EXP(AS293*CK293*CL293*BT293)-1))/(CE293*BR293+CD293*BK293)^2)/BT293),"")</f>
        <v>#VALUE!</v>
      </c>
      <c r="CO293" s="1316" t="e">
        <f aca="false">IF(OR(BQ293,BS293),VLOOKUP(A293,GasTable,13)*HeatRatePeak*(1+VLOOKUP($B293,HeatRateDegradation,$C293+1))/1000,0)</f>
        <v>#VALUE!</v>
      </c>
      <c r="CP293" s="1316" t="e">
        <f aca="false">IF(OR(BQ293,BS293),VLOOKUP(A293,GasTable,13)*HeatRatePeak*(1+VLOOKUP($B293,HeatRateDegradation,$C293+1))/1000,0)</f>
        <v>#VALUE!</v>
      </c>
      <c r="CQ293" s="1316" t="e">
        <f aca="false">IF(OR(BQ293,BS293),VLOOKUP(A293,GasTable,13)*IF(EV293,HeatRatePeak,HeatRateOffPeak)*(1+VLOOKUP($B293,HeatRateDegradation,$C293+1))/1000,0)</f>
        <v>#VALUE!</v>
      </c>
      <c r="CR293" s="1316" t="e">
        <f aca="false">IF(OR(BQ293,BS293),VLOOKUP(A293,GasTable,13)*IF(EW293,HeatRatePeak,HeatRateOffPeak)*(1+VLOOKUP($B293,HeatRateDegradation,$C293+1))/1000,0)</f>
        <v>#VALUE!</v>
      </c>
      <c r="CS293" s="1589" t="e">
        <f aca="false">IF(BQ293,(CO293*AZ293+CP293*BA293+CQ293*BB293+CR293*BC293)/BQ293,0)</f>
        <v>#VALUE!</v>
      </c>
      <c r="CT293" s="1316" t="e">
        <f aca="false">IF(BS293,CO293,0)</f>
        <v>#VALUE!</v>
      </c>
      <c r="CU293" s="1592" t="e">
        <f aca="false">IF(OR(BQ293,BS293),VLOOKUP(A293,GasTable,14),"")</f>
        <v>#VALUE!</v>
      </c>
      <c r="CV293" s="1568" t="e">
        <f aca="false">IF(OR(BQ293,BS293),IF(CorrPowerGasOverFlag,INDEX(CorrPowerGasOver,C293),CorrPowerGas),"")</f>
        <v>#VALUE!</v>
      </c>
      <c r="CW293" s="1316" t="e">
        <f aca="false">IF(OR($BQ293,$BS293),SpreadOptPowerMargin,0)*((1+Assumptions!$C$26)^($B293-YEAR(Assumptions!$C$17)))</f>
        <v>#VALUE!</v>
      </c>
      <c r="CX293" s="1316" t="e">
        <f aca="false">IF(OR($BQ293,$BS293),SpreadOptPowerMargin,0)*((1+Assumptions!$C$26)^($B293-YEAR(Assumptions!$C$17)))</f>
        <v>#VALUE!</v>
      </c>
      <c r="CY293" s="1316" t="e">
        <f aca="false">IF(OR($BQ293,$BS293),SpreadOptPowerMargin,0)*((1+Assumptions!$C$26)^($B293-YEAR(Assumptions!$C$17)))</f>
        <v>#VALUE!</v>
      </c>
      <c r="CZ293" s="1316" t="e">
        <f aca="false">IF(OR($BQ293,$BS293),SpreadOptPowerMargin,0)*((1+Assumptions!$C$26)^($B293-YEAR(Assumptions!$C$17)))</f>
        <v>#VALUE!</v>
      </c>
      <c r="DA293" s="1316" t="e">
        <f aca="false">IF(OR(BQ293,BS293),(CW293*(AZ293+BH293)+CX293*(BA293+BI293)+CY293*(BB293+BJ293)+CZ293*(BC293+BK293))/(BQ293+BS293),0)</f>
        <v>#VALUE!</v>
      </c>
      <c r="DB293" s="1592" t="e">
        <f aca="false">IF(OR(BQ293,BS293),CG293+IF(OVolSmile,VLOOKUP(MAX(-5,CO293+CW293-BU293),IF(OVolSmile=1,VolSmileBook,VolSmileModel),2),0),"")</f>
        <v>#VALUE!</v>
      </c>
      <c r="DC293" s="1592" t="e">
        <f aca="false">IF(OR(BQ293,BS293),CH293+IF(OVolSmile,VLOOKUP(MAX(-5,CP293+CW293-BV293),IF(OVolSmile=1,VolSmileBook,VolSmileModel),2),0),"")</f>
        <v>#VALUE!</v>
      </c>
      <c r="DD293" s="1592" t="e">
        <f aca="false">IF(OR(BQ293,BS293),CI293+IF(OVolSmile,VLOOKUP(MAX(-5,CQ293+CW293-BW293),IF(OVolSmile=1,VolSmileBook,VolSmileModel),2),0),"")</f>
        <v>#VALUE!</v>
      </c>
      <c r="DE293" s="1592" t="e">
        <f aca="false">IF(OR(BQ293,BS293),CL293+IF(OVolSmile,VLOOKUP(MAX(-5,CR293+CZ293-BX293),IF(OVolSmile=1,VolSmileBook,VolSmileModel),2),0),"")</f>
        <v>#VALUE!</v>
      </c>
      <c r="DF293" s="1592" t="e">
        <f aca="false">IF(BQ293,CM293+IF(OVolSmile,VLOOKUP(MAX(-5,CS293+DA293-BZ293),IF(OVolSmile=1,VolSmileBook,VolSmileModel),2),0),"")</f>
        <v>#VALUE!</v>
      </c>
      <c r="DG293" s="1592" t="e">
        <f aca="false">IF(BS293,CN293+IF(OVolSmile,VLOOKUP(MAX(-5,CT293+DA293-CF293),IF(OVolSmile=1,VolSmileBook,VolSmileModel),2),0),"")</f>
        <v>#VALUE!</v>
      </c>
      <c r="DH293" s="1316" t="e">
        <f aca="false">IF(AND(BU293&gt;0,CO293&gt;0,DB293&gt;0,CU293&gt;0),newSPRDOPT(BU293,CO293,CW293,0,DB293,CU293,CV293,BT293*365.25,OCallPut,0),0)</f>
        <v>#VALUE!</v>
      </c>
      <c r="DI293" s="1316" t="e">
        <f aca="false">IF(AND(BV293&gt;0,CP293&gt;0,DC293&gt;0,CU293&gt;0),newSPRDOPT(BV293,CP293,CX293,0,DC293,CU293,CV293,BT293*365.25,OCallPut,0),0)</f>
        <v>#VALUE!</v>
      </c>
      <c r="DJ293" s="1316" t="e">
        <f aca="false">IF(AND(BW293&gt;0,CQ293&gt;0,DD293&gt;0,CU293&gt;0),newSPRDOPT(BW293,CQ293,CY293,0,DD293,CU293,CV293,BT293*365.25,OCallPut,0),0)</f>
        <v>#VALUE!</v>
      </c>
      <c r="DK293" s="1316" t="e">
        <f aca="false">IF(AND(BX293&gt;0,CR293&gt;0,DE293&gt;0,CU293&gt;0),newSPRDOPT(BX293,CR293,CZ293,0,DE293,CU293,CV293,BT293*365.25,OCallPut,0),0)</f>
        <v>#VALUE!</v>
      </c>
      <c r="DL293" s="1316" t="e">
        <f aca="false">IF(OVolType,IF(AND(BZ293&gt;0,CS293&gt;0,DF293&gt;0,CU293&gt;0),newSPRDOPT(BZ293,CS293,DA293,0,DF293,CU293,CV293,BT293*365.25,OCallPut,0),0),IF(BQ293,(DH293*AZ293+DI293*BA293+DJ293*BB293+DK293*BC293)/BQ293,0))</f>
        <v>#VALUE!</v>
      </c>
      <c r="DM293" s="1316"/>
      <c r="DN293" s="1316"/>
      <c r="DO293" s="1316"/>
      <c r="DP293" s="1316"/>
      <c r="DQ293" s="1316"/>
      <c r="DR293" s="1316"/>
      <c r="DS293" s="1316"/>
      <c r="DT293" s="1316"/>
      <c r="DU293" s="1316"/>
      <c r="DV293" s="1316"/>
      <c r="DW293" s="1316" t="e">
        <f aca="false">IF(AND(BW293&gt;0,CT293&gt;0,DD293&gt;0,CU293&gt;0),newSPRDOPT(BW293,CT293,CY293,0,DD293,CU293,CV293,BT293*365.25,OCallPut,0),0)</f>
        <v>#VALUE!</v>
      </c>
      <c r="DX293" s="1316" t="e">
        <f aca="false">IF(AND(BX293&gt;0,CT293&gt;0,DE293&gt;0,CU293&gt;0),newSPRDOPT(BX293,CT293,CZ293,0,DE293,CU293,CV293,BT293*365.25,OCallPut,0),0)</f>
        <v>#VALUE!</v>
      </c>
      <c r="DY293" s="1316" t="e">
        <f aca="false">IF(BS293,(DH293*BH293+DI293*BI293+DW293*BJ293+DX293*BK293)/BS293,0)</f>
        <v>#VALUE!</v>
      </c>
      <c r="DZ293" s="1551" t="e">
        <f aca="false">DH293*AZ293</f>
        <v>#VALUE!</v>
      </c>
      <c r="EA293" s="1551" t="e">
        <f aca="false">DI293*BA293</f>
        <v>#VALUE!</v>
      </c>
      <c r="EB293" s="1551" t="e">
        <f aca="false">DJ293*BB293</f>
        <v>#VALUE!</v>
      </c>
      <c r="EC293" s="1551" t="e">
        <f aca="false">DK293*BC293</f>
        <v>#VALUE!</v>
      </c>
      <c r="ED293" s="1551" t="e">
        <f aca="false">DL293*BQ293</f>
        <v>#VALUE!</v>
      </c>
      <c r="EE293" s="1596" t="e">
        <f aca="false">IF(BQ293,IF(OCallPut,IF(BU293&gt;(CO293+CW293),BU293-(CO293+CW293),0),IF((CO293+CW293)&gt;BU293,(CO293+CW293)-BU293,0))*AZ293,0)</f>
        <v>#VALUE!</v>
      </c>
      <c r="EF293" s="1596" t="e">
        <f aca="false">IF(BQ293,IF(OCallPut,IF(BV293&gt;(CP293+CX293),BV293-(CP293+CX293),0),IF((CP293+CX293)&gt;BV293,(CP293+CX293)-BV293,0))*BA293,0)</f>
        <v>#VALUE!</v>
      </c>
      <c r="EG293" s="1596" t="e">
        <f aca="false">IF(BQ293,IF(OCallPut,IF(BW293&gt;(CQ293+CY293),BW293-(CQ293+CY293),0),IF((CQ293+CY293)&gt;BW293,(CQ293+CY293)-BW293,0))*BB293,0)</f>
        <v>#VALUE!</v>
      </c>
      <c r="EH293" s="1596" t="e">
        <f aca="false">IF(BQ293,IF(OCallPut,IF(BX293&gt;(CR293+CZ293),BX293-(CR293+CZ293),0),IF((CR293+CZ293)&gt;BX293,(CR293+CZ293)-BX293,0))*BC293,0)</f>
        <v>#VALUE!</v>
      </c>
      <c r="EI293" s="1597" t="e">
        <f aca="false">IF(BQ293,IF(OVolType,IF(OCallPut,IF(BZ293&gt;(CS293+DA293),BZ293-(CS293+DA293),0),IF((CS293+DA293)&gt;BZ293,(CS293+DA293)-BZ293,0))*BQ293,SUM(EE293:EH293)),0)</f>
        <v>#VALUE!</v>
      </c>
      <c r="EJ293" s="1596" t="e">
        <f aca="false">DZ293-EE293</f>
        <v>#VALUE!</v>
      </c>
      <c r="EK293" s="1596" t="e">
        <f aca="false">EA293-EF293</f>
        <v>#VALUE!</v>
      </c>
      <c r="EL293" s="1596" t="e">
        <f aca="false">EB293-EG293</f>
        <v>#VALUE!</v>
      </c>
      <c r="EM293" s="1596" t="e">
        <f aca="false">EC293-EH293</f>
        <v>#VALUE!</v>
      </c>
      <c r="EN293" s="1597" t="e">
        <f aca="false">ED293-EI293</f>
        <v>#VALUE!</v>
      </c>
      <c r="EO293" s="1551" t="e">
        <f aca="false">DH293*BH293</f>
        <v>#VALUE!</v>
      </c>
      <c r="EP293" s="1551" t="e">
        <f aca="false">DI293*BI293</f>
        <v>#VALUE!</v>
      </c>
      <c r="EQ293" s="1551" t="e">
        <f aca="false">DW293*BJ293</f>
        <v>#VALUE!</v>
      </c>
      <c r="ER293" s="1551" t="e">
        <f aca="false">DX293*BK293</f>
        <v>#VALUE!</v>
      </c>
      <c r="ES293" s="1551" t="e">
        <f aca="false">DY293*BS293</f>
        <v>#VALUE!</v>
      </c>
      <c r="ET293" s="1566" t="e">
        <f aca="false">IF(EI293,IF(OCallPut,IF(CA293&gt;(CT293+CW293),CA293-(CT293+CW293),0),IF((CT293+CW293)&gt;CA293,(CT293+CW293)-CA293,0))*BH293,0)</f>
        <v>#VALUE!</v>
      </c>
      <c r="EU293" s="1551" t="e">
        <f aca="false">IF(EI293,IF(OCallPut,IF(CB293&gt;(CT293+CX293),CB293-(CT293+CX293),0),IF((CT293+CX293)&gt;CB293,(CT293+CX293)-CB293,0))*BI293,0)</f>
        <v>#VALUE!</v>
      </c>
      <c r="EV293" s="1551" t="e">
        <f aca="false">IF(EI293,IF(OCallPut,IF(CC293&gt;(CT293+CY293),CC293-(CT293+CY293),0),IF((CT293+CY293)&gt;CC293,(CT293+CY293)-CC293,0))*BJ293,0)</f>
        <v>#VALUE!</v>
      </c>
      <c r="EW293" s="1551" t="e">
        <f aca="false">IF(EI293,IF(OCallPut,IF(CD293&gt;(CT293+CZ293),CD293-(CT293+CZ293),0),IF((CT293+CZ293)&gt;CD293,(CT293+CZ293)-CD293,0))*BK293,0)</f>
        <v>#VALUE!</v>
      </c>
      <c r="EX293" s="1558" t="e">
        <f aca="false">IF(EI293,SUM(ET293:EW293),0)</f>
        <v>#VALUE!</v>
      </c>
      <c r="EY293" s="1551" t="e">
        <f aca="false">EO293-ET293</f>
        <v>#VALUE!</v>
      </c>
      <c r="EZ293" s="1551" t="e">
        <f aca="false">EP293-EU293</f>
        <v>#VALUE!</v>
      </c>
      <c r="FA293" s="1551" t="e">
        <f aca="false">EQ293-EV293</f>
        <v>#VALUE!</v>
      </c>
      <c r="FB293" s="1551" t="e">
        <f aca="false">ER293-EW293</f>
        <v>#VALUE!</v>
      </c>
      <c r="FC293" s="1551" t="e">
        <f aca="false">ES293-EX293</f>
        <v>#VALUE!</v>
      </c>
      <c r="FD293" s="1519" t="n">
        <f aca="false">IF(AX293,IF(VLOOKUP(C293,MAIN!$L$17:$M$28,2)="Yes",VLOOKUP(CALC!B293,MAIN!$H$17:$I$20,2),0),0)</f>
        <v>0</v>
      </c>
      <c r="FE293" s="1553" t="n">
        <f aca="false">$FD293*16*AT293*(1-$AY293)</f>
        <v>0</v>
      </c>
      <c r="FF293" s="1553" t="n">
        <f aca="false">$FD293*16*AU293*(1-$AY293)</f>
        <v>0</v>
      </c>
      <c r="FG293" s="1553" t="n">
        <f aca="false">$FD293*16*(AV293+AW293)*(1-$AY293)</f>
        <v>0</v>
      </c>
      <c r="FH293" s="1553" t="n">
        <f aca="false">$FD293*8*AX293*(1-$AY293)</f>
        <v>0</v>
      </c>
      <c r="FI293" s="1555" t="n">
        <f aca="false">IF(AX293,VLOOKUP(CALC!B293,MAIN!$H$17:$K$20,4),0)</f>
        <v>0</v>
      </c>
      <c r="FJ293" s="1553" t="n">
        <f aca="false">SUM(FE293:FH293)</f>
        <v>0</v>
      </c>
      <c r="FK293" s="1553" t="n">
        <f aca="false">FI293*FJ293</f>
        <v>0</v>
      </c>
      <c r="FL293" s="1551" t="e">
        <f aca="false">IF($EI293&gt;0,MIN(FE293,AZ293*(1+VLOOKUP($C293,WeatherCapacityAdjustment,2))),0)</f>
        <v>#VALUE!</v>
      </c>
      <c r="FM293" s="1551" t="e">
        <f aca="false">IF($EI293&gt;0,MIN(FF293,BA293*(1+VLOOKUP($C293,WeatherCapacityAdjustment,2))),0)</f>
        <v>#VALUE!</v>
      </c>
      <c r="FN293" s="1551" t="e">
        <f aca="false">IF($EI293&gt;0,MIN(FG293,BB293*(1+VLOOKUP($C293,WeatherCapacityAdjustment,2))),0)</f>
        <v>#VALUE!</v>
      </c>
      <c r="FO293" s="1564" t="e">
        <f aca="false">IF($EI293&gt;0,MIN(FH293,BC293*(1+VLOOKUP($C293,WeatherCapacityAdjustment,3))),0)</f>
        <v>#VALUE!</v>
      </c>
      <c r="FP293" s="1551" t="e">
        <f aca="false">IF(ET293&gt;0,MIN(FE293-FL293,BH293*(1+VLOOKUP($C293,WeatherCapacityAdjustment,2))),0)</f>
        <v>#VALUE!</v>
      </c>
      <c r="FQ293" s="1551" t="e">
        <f aca="false">IF(EU293&gt;0,MIN(FF293-FM293,BI293*(1+VLOOKUP($C293,WeatherCapacityAdjustment,2))),0)</f>
        <v>#VALUE!</v>
      </c>
      <c r="FR293" s="1551" t="e">
        <f aca="false">IF(EV293&gt;0,MIN(FG293-FN293,BJ293*(1+VLOOKUP($C293,WeatherCapacityAdjustment,2))),0)</f>
        <v>#VALUE!</v>
      </c>
      <c r="FS293" s="1558" t="e">
        <f aca="false">IF(EW293&gt;0,MIN(FH293-FO293,BK293*(1+VLOOKUP($C293,WeatherCapacityAdjustment,3))),0)</f>
        <v>#VALUE!</v>
      </c>
      <c r="FT293" s="1566" t="n">
        <f aca="false">IF(AND(Assumptions!$H$71="Yes",A293&gt;=Assumptions!$H$72,A293&lt;=Assumptions!$H$73),0,IF(AND($A293&gt;=Assumptions!$C$17,$A293&lt;=Assumptions!$C$18),MAX(AZ293*(1+VLOOKUP($C293,WeatherCapacityAdjustment,2))-FL293,0),0))</f>
        <v>0</v>
      </c>
      <c r="FU293" s="1551" t="n">
        <f aca="false">IF(AND(Assumptions!$H$71="Yes",A293&gt;=Assumptions!$H$72,A293&lt;=Assumptions!$H$73),0,IF(AND($A293&gt;=Assumptions!$C$17,$A293&lt;=Assumptions!$C$18),MAX(BA293*(1+VLOOKUP($C293,WeatherCapacityAdjustment,2))-FM293,0),0))</f>
        <v>0</v>
      </c>
      <c r="FV293" s="1551" t="n">
        <f aca="false">IF(AND(Assumptions!$H$71="Yes",A293&gt;=Assumptions!$H$72,A293&lt;=Assumptions!$H$73),0,IF(AND($A293&gt;=Assumptions!$C$17,$A293&lt;=Assumptions!$C$18),MAX(BB293*(1+VLOOKUP($C293,WeatherCapacityAdjustment,2))-FN293,0),0))</f>
        <v>0</v>
      </c>
      <c r="FW293" s="1564" t="n">
        <f aca="false">IF(AND(Assumptions!$H$71="Yes",A293&gt;=Assumptions!$H$72,A293&lt;=Assumptions!$H$73),0,IF(AND($A293&gt;=Assumptions!$C$17,$A293&lt;=Assumptions!$C$18),MAX(BC293*(1+VLOOKUP($C293,WeatherCapacityAdjustment,3))-FO293,0),0))</f>
        <v>0</v>
      </c>
      <c r="FX293" s="1569" t="e">
        <f aca="false">IF(AND(Assumptions!$H$71="Yes",A293&gt;=Assumptions!$H$72,A293&lt;=Assumptions!$H$73),0,IF(ET293&gt;0,MAX(BH293*(1+VLOOKUP($C293,WeatherCapacityAdjustment,2))-FP293,0),0))</f>
        <v>#VALUE!</v>
      </c>
      <c r="FY293" s="1551" t="e">
        <f aca="false">IF(AND(Assumptions!$H$71="Yes",A293&gt;=Assumptions!$H$72,A293&lt;=Assumptions!$H$73),0,IF(EU293&gt;0,MAX(BI293*(1+VLOOKUP($C293,WeatherCapacityAdjustment,3))-FQ293,0),0))</f>
        <v>#VALUE!</v>
      </c>
      <c r="FZ293" s="1551" t="e">
        <f aca="false">IF(AND(Assumptions!$H$71="Yes",A293&gt;=Assumptions!$H$72,A293&lt;=Assumptions!$H$73),0,IF(EV293&gt;0,MAX(BJ293*(1+VLOOKUP($C293,WeatherCapacityAdjustment,2))-FR293,0),0))</f>
        <v>#VALUE!</v>
      </c>
      <c r="GA293" s="1564" t="e">
        <f aca="false">IF(AND(Assumptions!$H$71="Yes",A293&gt;=Assumptions!$H$72,A293&lt;=Assumptions!$H$73),0,IF(EW293&gt;0,MAX(BK293*(1+VLOOKUP($C293,WeatherCapacityAdjustment,2))-FS293,0),0))</f>
        <v>#VALUE!</v>
      </c>
      <c r="GB293" s="1551" t="e">
        <f aca="false">SUM(FT293:GA293)</f>
        <v>#VALUE!</v>
      </c>
      <c r="GC293" s="1563" t="e">
        <f aca="false">+IF(SUM(FT293:GA293)=0,0,(SUMPRODUCT(BU293:BX293,FT293:FW293)+SUMPRODUCT(CA293:CD293,FX293:GA293))/SUM(FT293:GA293))</f>
        <v>#VALUE!</v>
      </c>
      <c r="GD293" s="1551" t="e">
        <f aca="false">(FT293*BU293+FX293*CA293+FU293*BV293+FY293*CB293+FV293*BW293+FZ293*CC293+FW293*BX293+GA293*CD293)</f>
        <v>#VALUE!</v>
      </c>
      <c r="GE293" s="1561" t="e">
        <f aca="false">+IF(BQ293,((FL293+FM293+FT293+FU293)*HeatRatePeak/1000*(1+VLOOKUP($C293,WeatherHeatRateAdjustment,2))+(FN293+FV293)*IF(EV293&gt;0,HeatRatePeak,HeatRateOffPeak)/1000*(1+VLOOKUP($C293,WeatherHeatRateAdjustment,2))+(FO293+FW293)*IF(EW293&gt;0,HeatRatePeak,HeatRateOffPeak)/1000*(1+VLOOKUP($C293,WeatherHeatRateAdjustment,3)))*(1+VLOOKUP($B293,HeatRateDegradation,$C293+1)),0)</f>
        <v>#VALUE!</v>
      </c>
      <c r="GF293" s="1562" t="e">
        <f aca="false">IF(BQ293,((FP293+FQ293+FR293+FX293+FY293+FZ293)*HeatRatePeak/1000*(1+VLOOKUP($C293,WeatherHeatRateAdjustment,2))+(FS293+GA293)*HeatRatePeak/1000*(1+VLOOKUP($C293,WeatherHeatRateAdjustment,3)))*(1+VLOOKUP($B293,HeatRateDegradation,$C293+1)),0)</f>
        <v>#VALUE!</v>
      </c>
      <c r="GG293" s="1563" t="e">
        <f aca="false">IF(BQ293,VLOOKUP(A293,GasTable,13),0)</f>
        <v>#VALUE!</v>
      </c>
      <c r="GH293" s="1564" t="e">
        <f aca="false">(GE293+GF293)*GG293</f>
        <v>#VALUE!</v>
      </c>
      <c r="GI293" s="1569" t="e">
        <f aca="false">GB293</f>
        <v>#VALUE!</v>
      </c>
      <c r="GJ293" s="1598" t="e">
        <f aca="false">+DA293</f>
        <v>#VALUE!</v>
      </c>
      <c r="GK293" s="1558" t="e">
        <f aca="false">+GI293*GJ293</f>
        <v>#VALUE!</v>
      </c>
      <c r="GL293" s="1566" t="e">
        <f aca="false">MAX(FE293-FL293-FP293,0)</f>
        <v>#VALUE!</v>
      </c>
      <c r="GM293" s="1551" t="e">
        <f aca="false">MAX(FF293-FM293-FQ293,0)</f>
        <v>#VALUE!</v>
      </c>
      <c r="GN293" s="1551" t="e">
        <f aca="false">MAX(FG293-FN293-FR293,0)</f>
        <v>#VALUE!</v>
      </c>
      <c r="GO293" s="1564" t="e">
        <f aca="false">MAX(FH293-FO293-FS293,0)</f>
        <v>#VALUE!</v>
      </c>
      <c r="GP293" s="1551" t="e">
        <f aca="false">SUM(GL293:GO293)</f>
        <v>#VALUE!</v>
      </c>
      <c r="GQ293" s="1563" t="e">
        <f aca="false">IF(SUM(GL293:GO293)=0,0,((GL293*BU293+GM293*BV293+GN293*BW293+GO293*BX293)/SUM(GL293:GO293)))</f>
        <v>#VALUE!</v>
      </c>
      <c r="GR293" s="1558" t="e">
        <f aca="false">(GL293*BU293+GM293*BV293+GN293*BW293+GO293*BX293)</f>
        <v>#VALUE!</v>
      </c>
      <c r="GS293" s="1551" t="n">
        <f aca="false">IF($A293&gt;=BegDate,Assumptions!$C$56*24*($A294-$A293)*(1-VLOOKUP($B293,MAIN!$AA$7:$AM$28,$C293+1))*(1-VLOOKUP($B293,MAIN!$AA$33:$AM$54,$C293+1)),0)*80/168</f>
        <v>257742.857142857</v>
      </c>
      <c r="GT293" s="286" t="n">
        <f aca="false">J293</f>
        <v>52.7909604968204</v>
      </c>
      <c r="GU293" s="286" t="n">
        <f aca="false">IF($A293&gt;=BegDate,VLOOKUP($A293,GasTable,13)+Assumptions!$C$58,0)</f>
        <v>4.58711122179671</v>
      </c>
      <c r="GV293" s="286" t="n">
        <f aca="false">GU293*Assumptions!$C$57/1000</f>
        <v>33.2565563580261</v>
      </c>
      <c r="GW293" s="1551" t="n">
        <f aca="false">IF(Assumptions!$C$60="Hourly",MAX(0,GS293*(GT293-GV293)),GS293*(GT293-GV293))</f>
        <v>5034853.13531608</v>
      </c>
      <c r="GX293" s="1551" t="n">
        <f aca="false">IF($A293&gt;=BegDate,Assumptions!$C$56*24*($A294-$A293)*(1-VLOOKUP($B293,MAIN!$AA$7:$AM$28,$C293+1))*(1-VLOOKUP($B293,MAIN!$AA$33:$AM$54,$C293+1)),0)*16/168</f>
        <v>51548.5714285714</v>
      </c>
      <c r="GY293" s="286" t="n">
        <f aca="false">M293</f>
        <v>52.7909604968204</v>
      </c>
      <c r="GZ293" s="286" t="n">
        <f aca="false">IF($A293&gt;=BegDate,VLOOKUP($A293,GasTable,13)+Assumptions!$C$58,0)</f>
        <v>4.58711122179671</v>
      </c>
      <c r="HA293" s="286" t="n">
        <f aca="false">GZ293*Assumptions!$C$57/1000</f>
        <v>33.2565563580261</v>
      </c>
      <c r="HB293" s="1551" t="n">
        <f aca="false">IF(Assumptions!$C$60="Hourly",MAX(0,GX293*(GY293-HA293)),GX293*(GY293-HA293))</f>
        <v>1006970.62706322</v>
      </c>
      <c r="HC293" s="1551" t="n">
        <f aca="false">IF($A293&gt;=BegDate,Assumptions!$C$56*24*($A294-$A293)*(1-VLOOKUP($B293,MAIN!$AA$7:$AM$28,$C293+1))*(1-VLOOKUP($B293,MAIN!$AA$33:$AM$54,$C293+1)),0)*16/168</f>
        <v>51548.5714285714</v>
      </c>
      <c r="HD293" s="286" t="n">
        <f aca="false">P293</f>
        <v>31.5547004160284</v>
      </c>
      <c r="HE293" s="286" t="n">
        <f aca="false">IF($A293&gt;=BegDate,VLOOKUP($A293,GasTable,13)+Assumptions!$C$58,0)</f>
        <v>4.58711122179671</v>
      </c>
      <c r="HF293" s="286" t="n">
        <f aca="false">HE293*Assumptions!$C$57/1000</f>
        <v>33.2565563580261</v>
      </c>
      <c r="HG293" s="1551" t="n">
        <f aca="false">IF(Assumptions!$C$60="Hourly",MAX(0,HC293*(HD293-HF293)),HC293*(HD293-HF293))</f>
        <v>0</v>
      </c>
      <c r="HH293" s="1551" t="n">
        <f aca="false">IF($A293&gt;=BegDate,Assumptions!$C$56*24*($A294-$A293)*(1-VLOOKUP($B293,MAIN!$AA$7:$AM$28,$C293+1))*(1-VLOOKUP($B293,MAIN!$AA$33:$AM$54,$C293+1)),0)*56/168</f>
        <v>180420</v>
      </c>
      <c r="HI293" s="286" t="n">
        <f aca="false">S293</f>
        <v>31.5547004160284</v>
      </c>
      <c r="HJ293" s="286" t="n">
        <f aca="false">IF($A293&gt;=BegDate,VLOOKUP($A293,GasTable,13)+Assumptions!$C$58,0)</f>
        <v>4.58711122179671</v>
      </c>
      <c r="HK293" s="286" t="n">
        <f aca="false">HJ293*Assumptions!$C$57/1000</f>
        <v>33.2565563580261</v>
      </c>
      <c r="HL293" s="1551" t="n">
        <f aca="false">IF(Assumptions!$C$60="Hourly",MAX(0,HH293*(HI293-HK293)),HH293*(HI293-HK293))</f>
        <v>0</v>
      </c>
      <c r="HM293" s="1551" t="n">
        <f aca="false">IF(AND(Assumptions!$H$71="Yes",A293&gt;=Assumptions!$H$72,A293&lt;=Assumptions!$H$73),Assumptions!$H$74*Assumptions!$C$9*1000,0)</f>
        <v>0</v>
      </c>
      <c r="II293" s="1610"/>
      <c r="IJ293" s="1309"/>
      <c r="IK293" s="1309"/>
    </row>
    <row r="294" customFormat="false" ht="12.75" hidden="false" customHeight="false" outlineLevel="0" collapsed="false">
      <c r="A294" s="1571" t="n">
        <f aca="false">EOMONTH(A293,0)+1</f>
        <v>45078</v>
      </c>
      <c r="B294" s="238" t="n">
        <f aca="false">+YEAR(A294)</f>
        <v>2023</v>
      </c>
      <c r="C294" s="320" t="n">
        <f aca="false">MONTH(A294)</f>
        <v>6</v>
      </c>
      <c r="D294" s="1614" t="str">
        <f aca="false">IF(E294="","",Holiday(B294,C294))</f>
        <v/>
      </c>
      <c r="E294" s="1573" t="str">
        <f aca="false">IF(OR(BegDate&gt;=A295,EndDate&lt;A294,AND(VolumeMonthlyOverFlag,INDEX(VolumeMonthlyOver,C294)=0),NOT(INDEX(MonthKnockOutTable,C294))),"",MAX(A294,BegDate))</f>
        <v/>
      </c>
      <c r="F294" s="1614" t="str">
        <f aca="false">IF(E294="","",MIN(A295-1,EndDate))</f>
        <v/>
      </c>
      <c r="G294" s="1615" t="n">
        <v>0</v>
      </c>
      <c r="H294" s="1576" t="n">
        <f aca="false">(1+G294/2)^(-2*(DATE(B295,C295,20)-DateToday)/365.25)</f>
        <v>1</v>
      </c>
      <c r="I294" s="1568" t="n">
        <f aca="false">IF(Assumptions!$L$25=4,VLOOKUP($A294,'Henwood Reference'!$E$9:$R$320,10),(VLOOKUP($A294,PriceTable,2,0)+IF(BasisNumber&lt;&gt;1,VLOOKUP($A294,BasisTable,2,0),0)+I$1)/(1-I$2))</f>
        <v>51.2416569697523</v>
      </c>
      <c r="J294" s="1568" t="n">
        <f aca="false">IF(Assumptions!$L$25=4,VLOOKUP($A294,'Henwood Reference'!$E$9:$R$320,10),(VLOOKUP($A294,PriceTable,3,0)+IF(BasisNumber&lt;&gt;1,VLOOKUP($A294,BasisTable,2,0),0)+J$1)/(1-J$2))</f>
        <v>51.2416569697523</v>
      </c>
      <c r="K294" s="1568" t="n">
        <f aca="false">IF(Assumptions!$L$25=4,VLOOKUP($A294,'Henwood Reference'!$E$9:$R$320,10),(VLOOKUP($A294,PriceTable,4,0)+IF(BasisNumber&lt;&gt;1,VLOOKUP($A294,BasisTable,2,0),0)+K$1)/(1-K$2))</f>
        <v>51.2416569697523</v>
      </c>
      <c r="L294" s="1523" t="n">
        <f aca="false">IF(Assumptions!$L$25=4,VLOOKUP($A294,'Henwood Reference'!$E$9:$R$320,10),(VLOOKUP($A294,PriceTableWeekend,2,0)+IF(BasisNumber&lt;&gt;1,VLOOKUP($A294,BasisTable,2,0),0)+L$1)/(1-L$2))</f>
        <v>51.2416569697523</v>
      </c>
      <c r="M294" s="1568" t="n">
        <f aca="false">IF(Assumptions!$L$25=4,VLOOKUP($A294,'Henwood Reference'!$E$9:$R$320,10),(VLOOKUP($A294,PriceTableWeekend,3,0)+IF(BasisNumber&lt;&gt;1,VLOOKUP($A294,BasisTable,2,0),0)+M$1)/(1-M$2))</f>
        <v>51.2416569697523</v>
      </c>
      <c r="N294" s="1599" t="n">
        <f aca="false">IF(Assumptions!$L$25=4,VLOOKUP($A294,'Henwood Reference'!$E$9:$R$320,10),(VLOOKUP($A294,PriceTableWeekend,4,0)+IF(BasisNumber&lt;&gt;1,VLOOKUP($A294,BasisTable,2,0),0)+N$1)/(1-N$2))</f>
        <v>51.2416569697523</v>
      </c>
      <c r="O294" s="1568" t="n">
        <f aca="false">IF(Assumptions!$L$25=4,VLOOKUP($A294,'Henwood Reference'!$E$9:$R$320,11),(VLOOKUP($A294,PriceTableWeekend,6,0)+IF(BasisNumber&lt;&gt;1,VLOOKUP($A294,BasisTable,3,0),0)+O$1)/(1-O$2))</f>
        <v>30.7782352183406</v>
      </c>
      <c r="P294" s="1568" t="n">
        <f aca="false">IF(Assumptions!$L$25=4,VLOOKUP($A294,'Henwood Reference'!$E$9:$R$320,11),(VLOOKUP($A294,PriceTableWeekend,7,0)+IF(BasisNumber&lt;&gt;1,VLOOKUP($A294,BasisTable,3,0),0)+P$1)/(1-P$2))</f>
        <v>30.7782352183406</v>
      </c>
      <c r="Q294" s="1599" t="n">
        <f aca="false">IF(Assumptions!$L$25=4,VLOOKUP($A294,'Henwood Reference'!$E$9:$R$320,11),(VLOOKUP($A294,PriceTableWeekend,8,0)+IF(BasisNumber&lt;&gt;1,VLOOKUP($A294,BasisTable,3,0),0)+Q$1)/(1-Q$2))</f>
        <v>30.7782352183406</v>
      </c>
      <c r="R294" s="1568" t="n">
        <f aca="false">IF(Assumptions!$L$25=4,VLOOKUP($A294,'Henwood Reference'!$E$9:$R$320,11),(VLOOKUP($A294,PriceTable,6,0)+IF(BasisNumber&lt;&gt;1,VLOOKUP($A294,BasisTable,3,0),0)+R$1)/(1-R$2))</f>
        <v>30.7782352183406</v>
      </c>
      <c r="S294" s="1568" t="n">
        <f aca="false">IF(Assumptions!$L$25=4,VLOOKUP($A294,'Henwood Reference'!$E$9:$R$320,11),(VLOOKUP($A294,PriceTable,7,0)+IF(BasisNumber&lt;&gt;1,VLOOKUP($A294,BasisTable,3,0),0)+S$1)/(1-S$2))</f>
        <v>30.7782352183406</v>
      </c>
      <c r="T294" s="1600" t="n">
        <f aca="false">IF(Assumptions!$L$25=4,VLOOKUP($A294,'Henwood Reference'!$E$9:$R$320,11),(VLOOKUP($A294,PriceTable,8,0)+IF(BasisNumber&lt;&gt;1,VLOOKUP($A294,BasisTable,3,0),0)+T$1)/(1-T$2))</f>
        <v>30.7782352183406</v>
      </c>
      <c r="U294" s="1513" t="n">
        <f aca="false">VLOOKUP($A294,VolatilityTable,14)</f>
        <v>0.09</v>
      </c>
      <c r="V294" s="1513" t="n">
        <f aca="false">VLOOKUP($A294,VolatilityTable,15)</f>
        <v>0.1</v>
      </c>
      <c r="W294" s="1513" t="n">
        <f aca="false">VLOOKUP($A294,VolatilityTable,16)</f>
        <v>0.11</v>
      </c>
      <c r="X294" s="1513" t="n">
        <f aca="false">VLOOKUP($A294,VolatilityTable,14)</f>
        <v>0.09</v>
      </c>
      <c r="Y294" s="1513" t="n">
        <f aca="false">VLOOKUP($A294,VolatilityTable,15)</f>
        <v>0.1</v>
      </c>
      <c r="Z294" s="1513" t="n">
        <f aca="false">VLOOKUP($A294,VolatilityTable,16)</f>
        <v>0.11</v>
      </c>
      <c r="AA294" s="1513" t="n">
        <f aca="false">VLOOKUP($A294,VolatilityTable,18)</f>
        <v>0.09</v>
      </c>
      <c r="AB294" s="1513" t="n">
        <f aca="false">VLOOKUP($A294,VolatilityTable,19)</f>
        <v>0.11</v>
      </c>
      <c r="AC294" s="1513" t="n">
        <f aca="false">VLOOKUP($A294,VolatilityTable,20)</f>
        <v>0.13</v>
      </c>
      <c r="AD294" s="1513" t="n">
        <f aca="false">VLOOKUP($A294,VolatilityTable,18)</f>
        <v>0.09</v>
      </c>
      <c r="AE294" s="1513" t="n">
        <f aca="false">VLOOKUP($A294,VolatilityTable,19)</f>
        <v>0.11</v>
      </c>
      <c r="AF294" s="1513" t="n">
        <f aca="false">VLOOKUP($A294,VolatilityTable,20)</f>
        <v>0.13</v>
      </c>
      <c r="AG294" s="1513" t="n">
        <f aca="false">VLOOKUP($A294,VolatilityTable,22)</f>
        <v>-0.35</v>
      </c>
      <c r="AH294" s="1513" t="n">
        <f aca="false">VLOOKUP($A294,VolatilityTable,23)</f>
        <v>0.65</v>
      </c>
      <c r="AI294" s="1513" t="n">
        <f aca="false">VLOOKUP($A294,VolatilityTable,24)</f>
        <v>0.2</v>
      </c>
      <c r="AJ294" s="1513" t="n">
        <f aca="false">VLOOKUP($A294,VolatilityTable,22)</f>
        <v>-0.35</v>
      </c>
      <c r="AK294" s="1513" t="n">
        <f aca="false">VLOOKUP($A294,VolatilityTable,23)</f>
        <v>0.65</v>
      </c>
      <c r="AL294" s="1513" t="n">
        <f aca="false">VLOOKUP($A294,VolatilityTable,24)</f>
        <v>0.2</v>
      </c>
      <c r="AM294" s="1513" t="n">
        <f aca="false">VLOOKUP($A294,VolatilityTable,26)</f>
        <v>-0.01</v>
      </c>
      <c r="AN294" s="1513" t="n">
        <f aca="false">VLOOKUP($A294,VolatilityTable,27)</f>
        <v>0.16</v>
      </c>
      <c r="AO294" s="1513" t="n">
        <f aca="false">VLOOKUP($A294,VolatilityTable,28)</f>
        <v>0.01</v>
      </c>
      <c r="AP294" s="1513" t="n">
        <f aca="false">VLOOKUP($A294,VolatilityTable,26)</f>
        <v>-0.01</v>
      </c>
      <c r="AQ294" s="1513" t="n">
        <f aca="false">VLOOKUP($A294,VolatilityTable,27)</f>
        <v>0.16</v>
      </c>
      <c r="AR294" s="1513" t="n">
        <f aca="false">VLOOKUP($A294,VolatilityTable,28)</f>
        <v>0.01</v>
      </c>
      <c r="AS294" s="1616" t="n">
        <f aca="false">IF(CorrPeakOffPeakOverFlag,INDEX(CorrPeakOffPeakOver,C294),CorrPeakOffPeak)</f>
        <v>0.5</v>
      </c>
      <c r="AT294" s="238" t="n">
        <f aca="false">AX294-SUM(AU294:AW294)</f>
        <v>0</v>
      </c>
      <c r="AU294" s="238" t="n">
        <f aca="false">IF(E294="",0,INT((F294-MOD(F294,7)-E294)/7)+1-IF(AW294,IF(WEEKDAY(D294)=7,1,0),0))</f>
        <v>0</v>
      </c>
      <c r="AV294" s="238" t="n">
        <f aca="false">IF(E294="",0,INT((F294-MOD(F294-1,7)-E294)/7)+1-IF(AW294,IF(WEEKDAY(D294)=1,1,0),0))</f>
        <v>0</v>
      </c>
      <c r="AW294" s="238" t="n">
        <f aca="false">IF(OR(E294="",D294="",D294&lt;BegDate,D294&gt;EndDate),0,1)</f>
        <v>0</v>
      </c>
      <c r="AX294" s="238" t="n">
        <f aca="false">IF(E294="",0,F294-E294+1)</f>
        <v>0</v>
      </c>
      <c r="AY294" s="1513" t="n">
        <f aca="false">IF(E294="",0,MIN((1-(1-VLOOKUP(B294,MAIN!$AA$7:$AM$28,C294+1))*(1-VLOOKUP(B294,MAIN!$AA$33:$AM$54,C294+1))),1))</f>
        <v>0</v>
      </c>
      <c r="AZ294" s="1519" t="e">
        <f aca="false" t="array" ref="AZ294:BO294">TakeFunction(TakeType,STake,OTake,CombineTakesFlag,MostExpFlag,VolumeEscType,VolumeEsc,DateToday,BegDate,EndDate,OrderedScalars,OrderedPrices,OrderedPricesSat,OrderedPricesSun,AvailDays,FirmWeek,FirmSat,FirmSun,FirmHol,OptWeek,OptSat,OptSun,OptHol)*(1-PlannedOutages)</f>
        <v>#VALUE!</v>
      </c>
      <c r="BA294" s="1519" t="e">
        <v>#VALUE!</v>
      </c>
      <c r="BB294" s="1519" t="e">
        <v>#VALUE!</v>
      </c>
      <c r="BC294" s="1519" t="e">
        <v>#VALUE!</v>
      </c>
      <c r="BD294" s="1568" t="e">
        <v>#VALUE!</v>
      </c>
      <c r="BE294" s="1568" t="e">
        <v>#VALUE!</v>
      </c>
      <c r="BF294" s="1568" t="e">
        <v>#VALUE!</v>
      </c>
      <c r="BG294" s="1568" t="e">
        <v>#VALUE!</v>
      </c>
      <c r="BH294" s="1519" t="e">
        <v>#VALUE!</v>
      </c>
      <c r="BI294" s="1519" t="e">
        <v>#VALUE!</v>
      </c>
      <c r="BJ294" s="1519" t="e">
        <v>#VALUE!</v>
      </c>
      <c r="BK294" s="1519" t="e">
        <v>#VALUE!</v>
      </c>
      <c r="BL294" s="1568" t="e">
        <v>#VALUE!</v>
      </c>
      <c r="BM294" s="1568" t="e">
        <v>#VALUE!</v>
      </c>
      <c r="BN294" s="1568" t="e">
        <v>#VALUE!</v>
      </c>
      <c r="BO294" s="1568" t="e">
        <v>#VALUE!</v>
      </c>
      <c r="BP294" s="1519" t="e">
        <f aca="false">SUM(AZ294:BB294)</f>
        <v>#VALUE!</v>
      </c>
      <c r="BQ294" s="1519" t="e">
        <f aca="false">SUM(AZ294:BC294)</f>
        <v>#VALUE!</v>
      </c>
      <c r="BR294" s="1519" t="e">
        <f aca="false">SUM(BH294:BJ294)</f>
        <v>#VALUE!</v>
      </c>
      <c r="BS294" s="1519" t="e">
        <f aca="false">SUM(BH294:BK294)</f>
        <v>#VALUE!</v>
      </c>
      <c r="BT294" s="1316" t="n">
        <f aca="false">(IF(OVolType&lt;&gt;2,A294+14,IF(OptExpDateShift,ShiftBack(A294,OptExpDateShift,D293),A294))-DateToday)/365.25</f>
        <v>23.129363449692</v>
      </c>
      <c r="BU294" s="1316" t="e">
        <f aca="false">IF(BQ294,IF(OPriceCurve,IF(OBuySell=OCallPut,I294/(1-AY294),K294/(1-AY294)),J294/(1-AY294))*BD294,0)</f>
        <v>#VALUE!</v>
      </c>
      <c r="BV294" s="1316" t="e">
        <f aca="false">IF(BQ294,IF(OPriceCurve,IF(OBuySell=OCallPut,L294/(1-AY294),N294/(1-AY294)),M294/(1-AY294))*BE294,0)</f>
        <v>#VALUE!</v>
      </c>
      <c r="BW294" s="1316" t="e">
        <f aca="false">IF(BQ294,IF(OPriceCurve,IF(OBuySell=OCallPut,O294/(1-AY294),Q294/(1-AY294)),P294/(1-AY294))*BF294,0)</f>
        <v>#VALUE!</v>
      </c>
      <c r="BX294" s="1316" t="e">
        <f aca="false">IF(BQ294,IF(OPriceCurve,IF(OBuySell=OCallPut,R294/(1-AY294),T294/(1-AY294)),S294/(1-AY294))*BG294,0)</f>
        <v>#VALUE!</v>
      </c>
      <c r="BY294" s="1316" t="e">
        <f aca="false">IF(BP294,(BU294*AZ294+BV294*BA294+BW294*BB294)/BP294,0)</f>
        <v>#VALUE!</v>
      </c>
      <c r="BZ294" s="1316" t="e">
        <f aca="false">IF(BQ294,(BY294*BP294+BX294*BC294)/BQ294,0)</f>
        <v>#VALUE!</v>
      </c>
      <c r="CA294" s="1316" t="e">
        <f aca="false">IF(BS294,IF(OPriceCurve,IF(OBuySell=OCallPut,I294/(1-AY294),K294/(1-AY294)),J294/(1-AY294))*BL294,0)</f>
        <v>#VALUE!</v>
      </c>
      <c r="CB294" s="1316" t="e">
        <f aca="false">IF(BS294,IF(OPriceCurve,IF(OBuySell=OCallPut,L294/(1-AY294),N294/(1-AY294)),M294/(1-AY294))*BM294,0)</f>
        <v>#VALUE!</v>
      </c>
      <c r="CC294" s="1316" t="e">
        <f aca="false">IF(BS294,IF(OPriceCurve,IF(OBuySell=OCallPut,O294/(1-AY294),Q294/(1-AY294)),P294/(1-AY294))*BN294,0)</f>
        <v>#VALUE!</v>
      </c>
      <c r="CD294" s="1316" t="e">
        <f aca="false">IF(BS294,IF(OPriceCurve,IF(OBuySell=OCallPut,R294/(1-AY294),T294/(1-AY294)),S294/(1-AY294))*BO294,0)</f>
        <v>#VALUE!</v>
      </c>
      <c r="CE294" s="1316" t="e">
        <f aca="false">IF(BR294,(BU294*BH294+BV294*BI294+BW294*BJ294)/BR294,0)</f>
        <v>#VALUE!</v>
      </c>
      <c r="CF294" s="1316" t="e">
        <f aca="false">IF(BS294,(CE294*BR294+CD294*BK294)/BS294,0)</f>
        <v>#VALUE!</v>
      </c>
      <c r="CG294" s="1587" t="e">
        <f aca="false">IF(OR(BQ294,BS294),IF(OVolType&lt;&gt;2,SQRT(IF(OVolOverMonthlyPeak,OVolOverMonthlyPeak,IF(OVolCurve,IF(OBuySell,U294,W294),V294))^2*(1-15/365.25/BT294)+IF(OVolOverDailyPeak,OVolOverDailyPeak,IF(OVolCurve,IF(OBuySell,AG294,AI294),AH294))^2*15/365.25/BT294),IF(OVolOverMonthlyPeak,OVolOverMonthlyPeak,IF(OVolCurve,IF(OBuySell,U294,W294),V294))),"")</f>
        <v>#VALUE!</v>
      </c>
      <c r="CH294" s="1587" t="e">
        <f aca="false">IF(OR(BQ294,BS294),IF(OVolType&lt;&gt;2,SQRT(IF(OVolOverMonthlyPeak,OVolOverMonthlyPeak,IF(OVolCurve,IF(OBuySell,X294,Z294),Y294))^2*(1-15/365.25/BT294)+IF(OVolOverDailyPeak,OVolOverDailyPeak,IF(OVolCurve,IF(OBuySell,AJ294,AL294),AK294))^2*15/365.25/BT294),IF(OVolOverMonthlyPeak,OVolOverMonthlyPeak,IF(OVolCurve,IF(OBuySell,X294,Z294),Y294))),"")</f>
        <v>#VALUE!</v>
      </c>
      <c r="CI294" s="1587" t="e">
        <f aca="false">IF(OR(BQ294,BS294),IF(OVolType&lt;&gt;2,SQRT(IF(OVolOverMonthlyPeak,OVolOverMonthlyPeak,IF(OVolCurve,IF(OBuySell,AA294,AC294),AB294))^2*(1-15/365.25/BT294)+IF(OVolOverDailyPeak,OVolOverDailyPeak,IF(OVolCurve,IF(OBuySell,AM294,AO294),AN294))^2*15/365.25/BT294),IF(OVolOverMonthlyPeak,OVolOverMonthlyPeak,IF(OVolCurve,IF(OBuySell,AA294,AC294),AB294))),"")</f>
        <v>#VALUE!</v>
      </c>
      <c r="CJ294" s="1587" t="e">
        <f aca="false">IF(BQ294,IF(BP294,SQRT(LN(1+((BU294*AZ294)^2*(EXP(CG294^2*BT294)-1)+(BV294*BA294)^2*(EXP(CH294^2*BT294)-1)+(BW294*BB294)^2*(EXP(CI294^2*BT294)-1)+2*BU294*AZ294*BV294*BA294*(EXP(CG294*CH294*BT294)-1)+2*BV294*BA294*BW294*BB294*(EXP(CH294*CI294*BT294)-1)+2*BW294*BB294*BU294*AZ294*(EXP(CI294*CG294*BT294)-1))/(BY294*BP294)^2)/BT294),0),"")</f>
        <v>#VALUE!</v>
      </c>
      <c r="CK294" s="1587" t="e">
        <f aca="false">IF(BS294,IF(BR294,SQRT(LN(1+((CA294*BH294)^2*(EXP(CG294^2*BT294)-1)+(CB294*BI294)^2*(EXP(CH294^2*BT294)-1)+(CC294*BJ294)^2*(EXP(CI294^2*BT294)-1)+2*CA294*BH294*CB294*BI294*(EXP(CG294*CH294*BT294)-1)+2*CB294*BI294*CC294*BJ294*(EXP(CH294*CI294*BT294)-1)+2*CC294*BJ294*CA294*BH294*(EXP(CI294*CG294*BT294)-1))/(CE294*BR294)^2)/BT294),0),"")</f>
        <v>#VALUE!</v>
      </c>
      <c r="CL294" s="1587" t="e">
        <f aca="false">IF(OR(BQ294,BS294),IF(OVolType&lt;&gt;2,SQRT(IF(OVolOverMonthlyOffPeak,OVolOverMonthlyOffPeak,IF(OVolCurve,IF(OBuySell,AD294,AF294),AE294))^2*(1-15/365.25/BT294)+IF(OVolOverDailyOffPeak,OVolOverDailyOffPeak,IF(OVolCurve,IF(OBuySell,AP294,AR294),AQ294))^2*15/365.25/BT294),IF(OVolOverMonthlyOffPeak,OVolOverMonthlyOffPeak,IF(OVolCurve,IF(OBuySell,AD294,AF294),AE294))),"")</f>
        <v>#VALUE!</v>
      </c>
      <c r="CM294" s="1587" t="e">
        <f aca="false">IF(BQ294,SQRT(LN(1+((BY294*BP294)^2*(EXP(CJ294^2*BT294)-1)+(BX294*BC294)^2*(EXP(CL294^2*BT294)-1)+2*BY294*BP294*BX294*BC294*(EXP(AS294*CJ294*CL294*BT294)-1))/(BY294*BP294+BX294*BC294)^2)/BT294),"")</f>
        <v>#VALUE!</v>
      </c>
      <c r="CN294" s="1587" t="e">
        <f aca="false">IF(BS294,SQRT(LN(1+((CE294*BR294)^2*(EXP(CK294^2*BT294)-1)+(CD294*BK294)^2*(EXP(CL294^2*BT294)-1)+2*CE294*BR294*CD294*BK294*(EXP(AS294*CK294*CL294*BT294)-1))/(CE294*BR294+CD294*BK294)^2)/BT294),"")</f>
        <v>#VALUE!</v>
      </c>
      <c r="CO294" s="1316" t="e">
        <f aca="false">IF(OR(BQ294,BS294),VLOOKUP(A294,GasTable,13)*HeatRatePeak*(1+VLOOKUP($B294,HeatRateDegradation,$C294+1))/1000,0)</f>
        <v>#VALUE!</v>
      </c>
      <c r="CP294" s="1316" t="e">
        <f aca="false">IF(OR(BQ294,BS294),VLOOKUP(A294,GasTable,13)*HeatRatePeak*(1+VLOOKUP($B294,HeatRateDegradation,$C294+1))/1000,0)</f>
        <v>#VALUE!</v>
      </c>
      <c r="CQ294" s="1316" t="e">
        <f aca="false">IF(OR(BQ294,BS294),VLOOKUP(A294,GasTable,13)*IF(EV294,HeatRatePeak,HeatRateOffPeak)*(1+VLOOKUP($B294,HeatRateDegradation,$C294+1))/1000,0)</f>
        <v>#VALUE!</v>
      </c>
      <c r="CR294" s="1316" t="e">
        <f aca="false">IF(OR(BQ294,BS294),VLOOKUP(A294,GasTable,13)*IF(EW294,HeatRatePeak,HeatRateOffPeak)*(1+VLOOKUP($B294,HeatRateDegradation,$C294+1))/1000,0)</f>
        <v>#VALUE!</v>
      </c>
      <c r="CS294" s="1589" t="e">
        <f aca="false">IF(BQ294,(CO294*AZ294+CP294*BA294+CQ294*BB294+CR294*BC294)/BQ294,0)</f>
        <v>#VALUE!</v>
      </c>
      <c r="CT294" s="1316" t="e">
        <f aca="false">IF(BS294,CO294,0)</f>
        <v>#VALUE!</v>
      </c>
      <c r="CU294" s="1592" t="e">
        <f aca="false">IF(OR(BQ294,BS294),VLOOKUP(A294,GasTable,14),"")</f>
        <v>#VALUE!</v>
      </c>
      <c r="CV294" s="1568" t="e">
        <f aca="false">IF(OR(BQ294,BS294),IF(CorrPowerGasOverFlag,INDEX(CorrPowerGasOver,C294),CorrPowerGas),"")</f>
        <v>#VALUE!</v>
      </c>
      <c r="CW294" s="1316" t="e">
        <f aca="false">IF(OR($BQ294,$BS294),SpreadOptPowerMargin,0)*((1+Assumptions!$C$26)^($B294-YEAR(Assumptions!$C$17)))</f>
        <v>#VALUE!</v>
      </c>
      <c r="CX294" s="1316" t="e">
        <f aca="false">IF(OR($BQ294,$BS294),SpreadOptPowerMargin,0)*((1+Assumptions!$C$26)^($B294-YEAR(Assumptions!$C$17)))</f>
        <v>#VALUE!</v>
      </c>
      <c r="CY294" s="1316" t="e">
        <f aca="false">IF(OR($BQ294,$BS294),SpreadOptPowerMargin,0)*((1+Assumptions!$C$26)^($B294-YEAR(Assumptions!$C$17)))</f>
        <v>#VALUE!</v>
      </c>
      <c r="CZ294" s="1316" t="e">
        <f aca="false">IF(OR($BQ294,$BS294),SpreadOptPowerMargin,0)*((1+Assumptions!$C$26)^($B294-YEAR(Assumptions!$C$17)))</f>
        <v>#VALUE!</v>
      </c>
      <c r="DA294" s="1316" t="e">
        <f aca="false">IF(OR(BQ294,BS294),(CW294*(AZ294+BH294)+CX294*(BA294+BI294)+CY294*(BB294+BJ294)+CZ294*(BC294+BK294))/(BQ294+BS294),0)</f>
        <v>#VALUE!</v>
      </c>
      <c r="DB294" s="1592" t="e">
        <f aca="false">IF(OR(BQ294,BS294),CG294+IF(OVolSmile,VLOOKUP(MAX(-5,CO294+CW294-BU294),IF(OVolSmile=1,VolSmileBook,VolSmileModel),2),0),"")</f>
        <v>#VALUE!</v>
      </c>
      <c r="DC294" s="1592" t="e">
        <f aca="false">IF(OR(BQ294,BS294),CH294+IF(OVolSmile,VLOOKUP(MAX(-5,CP294+CW294-BV294),IF(OVolSmile=1,VolSmileBook,VolSmileModel),2),0),"")</f>
        <v>#VALUE!</v>
      </c>
      <c r="DD294" s="1592" t="e">
        <f aca="false">IF(OR(BQ294,BS294),CI294+IF(OVolSmile,VLOOKUP(MAX(-5,CQ294+CW294-BW294),IF(OVolSmile=1,VolSmileBook,VolSmileModel),2),0),"")</f>
        <v>#VALUE!</v>
      </c>
      <c r="DE294" s="1592" t="e">
        <f aca="false">IF(OR(BQ294,BS294),CL294+IF(OVolSmile,VLOOKUP(MAX(-5,CR294+CZ294-BX294),IF(OVolSmile=1,VolSmileBook,VolSmileModel),2),0),"")</f>
        <v>#VALUE!</v>
      </c>
      <c r="DF294" s="1592" t="e">
        <f aca="false">IF(BQ294,CM294+IF(OVolSmile,VLOOKUP(MAX(-5,CS294+DA294-BZ294),IF(OVolSmile=1,VolSmileBook,VolSmileModel),2),0),"")</f>
        <v>#VALUE!</v>
      </c>
      <c r="DG294" s="1592" t="e">
        <f aca="false">IF(BS294,CN294+IF(OVolSmile,VLOOKUP(MAX(-5,CT294+DA294-CF294),IF(OVolSmile=1,VolSmileBook,VolSmileModel),2),0),"")</f>
        <v>#VALUE!</v>
      </c>
      <c r="DH294" s="1316" t="e">
        <f aca="false">IF(AND(BU294&gt;0,CO294&gt;0,DB294&gt;0,CU294&gt;0),newSPRDOPT(BU294,CO294,CW294,0,DB294,CU294,CV294,BT294*365.25,OCallPut,0),0)</f>
        <v>#VALUE!</v>
      </c>
      <c r="DI294" s="1316" t="e">
        <f aca="false">IF(AND(BV294&gt;0,CP294&gt;0,DC294&gt;0,CU294&gt;0),newSPRDOPT(BV294,CP294,CX294,0,DC294,CU294,CV294,BT294*365.25,OCallPut,0),0)</f>
        <v>#VALUE!</v>
      </c>
      <c r="DJ294" s="1316" t="e">
        <f aca="false">IF(AND(BW294&gt;0,CQ294&gt;0,DD294&gt;0,CU294&gt;0),newSPRDOPT(BW294,CQ294,CY294,0,DD294,CU294,CV294,BT294*365.25,OCallPut,0),0)</f>
        <v>#VALUE!</v>
      </c>
      <c r="DK294" s="1316" t="e">
        <f aca="false">IF(AND(BX294&gt;0,CR294&gt;0,DE294&gt;0,CU294&gt;0),newSPRDOPT(BX294,CR294,CZ294,0,DE294,CU294,CV294,BT294*365.25,OCallPut,0),0)</f>
        <v>#VALUE!</v>
      </c>
      <c r="DL294" s="1316" t="e">
        <f aca="false">IF(OVolType,IF(AND(BZ294&gt;0,CS294&gt;0,DF294&gt;0,CU294&gt;0),newSPRDOPT(BZ294,CS294,DA294,0,DF294,CU294,CV294,BT294*365.25,OCallPut,0),0),IF(BQ294,(DH294*AZ294+DI294*BA294+DJ294*BB294+DK294*BC294)/BQ294,0))</f>
        <v>#VALUE!</v>
      </c>
      <c r="DM294" s="1316"/>
      <c r="DN294" s="1316"/>
      <c r="DO294" s="1316"/>
      <c r="DP294" s="1316"/>
      <c r="DQ294" s="1316"/>
      <c r="DR294" s="1316"/>
      <c r="DS294" s="1316"/>
      <c r="DT294" s="1316"/>
      <c r="DU294" s="1316"/>
      <c r="DV294" s="1316"/>
      <c r="DW294" s="1316" t="e">
        <f aca="false">IF(AND(BW294&gt;0,CT294&gt;0,DD294&gt;0,CU294&gt;0),newSPRDOPT(BW294,CT294,CY294,0,DD294,CU294,CV294,BT294*365.25,OCallPut,0),0)</f>
        <v>#VALUE!</v>
      </c>
      <c r="DX294" s="1316" t="e">
        <f aca="false">IF(AND(BX294&gt;0,CT294&gt;0,DE294&gt;0,CU294&gt;0),newSPRDOPT(BX294,CT294,CZ294,0,DE294,CU294,CV294,BT294*365.25,OCallPut,0),0)</f>
        <v>#VALUE!</v>
      </c>
      <c r="DY294" s="1316" t="e">
        <f aca="false">IF(BS294,(DH294*BH294+DI294*BI294+DW294*BJ294+DX294*BK294)/BS294,0)</f>
        <v>#VALUE!</v>
      </c>
      <c r="DZ294" s="1551" t="e">
        <f aca="false">DH294*AZ294</f>
        <v>#VALUE!</v>
      </c>
      <c r="EA294" s="1551" t="e">
        <f aca="false">DI294*BA294</f>
        <v>#VALUE!</v>
      </c>
      <c r="EB294" s="1551" t="e">
        <f aca="false">DJ294*BB294</f>
        <v>#VALUE!</v>
      </c>
      <c r="EC294" s="1551" t="e">
        <f aca="false">DK294*BC294</f>
        <v>#VALUE!</v>
      </c>
      <c r="ED294" s="1551" t="e">
        <f aca="false">DL294*BQ294</f>
        <v>#VALUE!</v>
      </c>
      <c r="EE294" s="1596" t="e">
        <f aca="false">IF(BQ294,IF(OCallPut,IF(BU294&gt;(CO294+CW294),BU294-(CO294+CW294),0),IF((CO294+CW294)&gt;BU294,(CO294+CW294)-BU294,0))*AZ294,0)</f>
        <v>#VALUE!</v>
      </c>
      <c r="EF294" s="1596" t="e">
        <f aca="false">IF(BQ294,IF(OCallPut,IF(BV294&gt;(CP294+CX294),BV294-(CP294+CX294),0),IF((CP294+CX294)&gt;BV294,(CP294+CX294)-BV294,0))*BA294,0)</f>
        <v>#VALUE!</v>
      </c>
      <c r="EG294" s="1596" t="e">
        <f aca="false">IF(BQ294,IF(OCallPut,IF(BW294&gt;(CQ294+CY294),BW294-(CQ294+CY294),0),IF((CQ294+CY294)&gt;BW294,(CQ294+CY294)-BW294,0))*BB294,0)</f>
        <v>#VALUE!</v>
      </c>
      <c r="EH294" s="1596" t="e">
        <f aca="false">IF(BQ294,IF(OCallPut,IF(BX294&gt;(CR294+CZ294),BX294-(CR294+CZ294),0),IF((CR294+CZ294)&gt;BX294,(CR294+CZ294)-BX294,0))*BC294,0)</f>
        <v>#VALUE!</v>
      </c>
      <c r="EI294" s="1597" t="e">
        <f aca="false">IF(BQ294,IF(OVolType,IF(OCallPut,IF(BZ294&gt;(CS294+DA294),BZ294-(CS294+DA294),0),IF((CS294+DA294)&gt;BZ294,(CS294+DA294)-BZ294,0))*BQ294,SUM(EE294:EH294)),0)</f>
        <v>#VALUE!</v>
      </c>
      <c r="EJ294" s="1596" t="e">
        <f aca="false">DZ294-EE294</f>
        <v>#VALUE!</v>
      </c>
      <c r="EK294" s="1596" t="e">
        <f aca="false">EA294-EF294</f>
        <v>#VALUE!</v>
      </c>
      <c r="EL294" s="1596" t="e">
        <f aca="false">EB294-EG294</f>
        <v>#VALUE!</v>
      </c>
      <c r="EM294" s="1596" t="e">
        <f aca="false">EC294-EH294</f>
        <v>#VALUE!</v>
      </c>
      <c r="EN294" s="1597" t="e">
        <f aca="false">ED294-EI294</f>
        <v>#VALUE!</v>
      </c>
      <c r="EO294" s="1551" t="e">
        <f aca="false">DH294*BH294</f>
        <v>#VALUE!</v>
      </c>
      <c r="EP294" s="1551" t="e">
        <f aca="false">DI294*BI294</f>
        <v>#VALUE!</v>
      </c>
      <c r="EQ294" s="1551" t="e">
        <f aca="false">DW294*BJ294</f>
        <v>#VALUE!</v>
      </c>
      <c r="ER294" s="1551" t="e">
        <f aca="false">DX294*BK294</f>
        <v>#VALUE!</v>
      </c>
      <c r="ES294" s="1551" t="e">
        <f aca="false">DY294*BS294</f>
        <v>#VALUE!</v>
      </c>
      <c r="ET294" s="1566" t="e">
        <f aca="false">IF(EI294,IF(OCallPut,IF(CA294&gt;(CT294+CW294),CA294-(CT294+CW294),0),IF((CT294+CW294)&gt;CA294,(CT294+CW294)-CA294,0))*BH294,0)</f>
        <v>#VALUE!</v>
      </c>
      <c r="EU294" s="1551" t="e">
        <f aca="false">IF(EI294,IF(OCallPut,IF(CB294&gt;(CT294+CX294),CB294-(CT294+CX294),0),IF((CT294+CX294)&gt;CB294,(CT294+CX294)-CB294,0))*BI294,0)</f>
        <v>#VALUE!</v>
      </c>
      <c r="EV294" s="1551" t="e">
        <f aca="false">IF(EI294,IF(OCallPut,IF(CC294&gt;(CT294+CY294),CC294-(CT294+CY294),0),IF((CT294+CY294)&gt;CC294,(CT294+CY294)-CC294,0))*BJ294,0)</f>
        <v>#VALUE!</v>
      </c>
      <c r="EW294" s="1551" t="e">
        <f aca="false">IF(EI294,IF(OCallPut,IF(CD294&gt;(CT294+CZ294),CD294-(CT294+CZ294),0),IF((CT294+CZ294)&gt;CD294,(CT294+CZ294)-CD294,0))*BK294,0)</f>
        <v>#VALUE!</v>
      </c>
      <c r="EX294" s="1558" t="e">
        <f aca="false">IF(EI294,SUM(ET294:EW294),0)</f>
        <v>#VALUE!</v>
      </c>
      <c r="EY294" s="1551" t="e">
        <f aca="false">EO294-ET294</f>
        <v>#VALUE!</v>
      </c>
      <c r="EZ294" s="1551" t="e">
        <f aca="false">EP294-EU294</f>
        <v>#VALUE!</v>
      </c>
      <c r="FA294" s="1551" t="e">
        <f aca="false">EQ294-EV294</f>
        <v>#VALUE!</v>
      </c>
      <c r="FB294" s="1551" t="e">
        <f aca="false">ER294-EW294</f>
        <v>#VALUE!</v>
      </c>
      <c r="FC294" s="1551" t="e">
        <f aca="false">ES294-EX294</f>
        <v>#VALUE!</v>
      </c>
      <c r="FD294" s="1519" t="n">
        <f aca="false">IF(AX294,IF(VLOOKUP(C294,MAIN!$L$17:$M$28,2)="Yes",VLOOKUP(CALC!B294,MAIN!$H$17:$I$20,2),0),0)</f>
        <v>0</v>
      </c>
      <c r="FE294" s="1553" t="n">
        <f aca="false">$FD294*16*AT294*(1-$AY294)</f>
        <v>0</v>
      </c>
      <c r="FF294" s="1553" t="n">
        <f aca="false">$FD294*16*AU294*(1-$AY294)</f>
        <v>0</v>
      </c>
      <c r="FG294" s="1553" t="n">
        <f aca="false">$FD294*16*(AV294+AW294)*(1-$AY294)</f>
        <v>0</v>
      </c>
      <c r="FH294" s="1553" t="n">
        <f aca="false">$FD294*8*AX294*(1-$AY294)</f>
        <v>0</v>
      </c>
      <c r="FI294" s="1555" t="n">
        <f aca="false">IF(AX294,VLOOKUP(CALC!B294,MAIN!$H$17:$K$20,4),0)</f>
        <v>0</v>
      </c>
      <c r="FJ294" s="1553" t="n">
        <f aca="false">SUM(FE294:FH294)</f>
        <v>0</v>
      </c>
      <c r="FK294" s="1553" t="n">
        <f aca="false">FI294*FJ294</f>
        <v>0</v>
      </c>
      <c r="FL294" s="1551" t="e">
        <f aca="false">IF($EI294&gt;0,MIN(FE294,AZ294*(1+VLOOKUP($C294,WeatherCapacityAdjustment,2))),0)</f>
        <v>#VALUE!</v>
      </c>
      <c r="FM294" s="1551" t="e">
        <f aca="false">IF($EI294&gt;0,MIN(FF294,BA294*(1+VLOOKUP($C294,WeatherCapacityAdjustment,2))),0)</f>
        <v>#VALUE!</v>
      </c>
      <c r="FN294" s="1551" t="e">
        <f aca="false">IF($EI294&gt;0,MIN(FG294,BB294*(1+VLOOKUP($C294,WeatherCapacityAdjustment,2))),0)</f>
        <v>#VALUE!</v>
      </c>
      <c r="FO294" s="1564" t="e">
        <f aca="false">IF($EI294&gt;0,MIN(FH294,BC294*(1+VLOOKUP($C294,WeatherCapacityAdjustment,3))),0)</f>
        <v>#VALUE!</v>
      </c>
      <c r="FP294" s="1551" t="e">
        <f aca="false">IF(ET294&gt;0,MIN(FE294-FL294,BH294*(1+VLOOKUP($C294,WeatherCapacityAdjustment,2))),0)</f>
        <v>#VALUE!</v>
      </c>
      <c r="FQ294" s="1551" t="e">
        <f aca="false">IF(EU294&gt;0,MIN(FF294-FM294,BI294*(1+VLOOKUP($C294,WeatherCapacityAdjustment,2))),0)</f>
        <v>#VALUE!</v>
      </c>
      <c r="FR294" s="1551" t="e">
        <f aca="false">IF(EV294&gt;0,MIN(FG294-FN294,BJ294*(1+VLOOKUP($C294,WeatherCapacityAdjustment,2))),0)</f>
        <v>#VALUE!</v>
      </c>
      <c r="FS294" s="1558" t="e">
        <f aca="false">IF(EW294&gt;0,MIN(FH294-FO294,BK294*(1+VLOOKUP($C294,WeatherCapacityAdjustment,3))),0)</f>
        <v>#VALUE!</v>
      </c>
      <c r="FT294" s="1566" t="n">
        <f aca="false">IF(AND(Assumptions!$H$71="Yes",A294&gt;=Assumptions!$H$72,A294&lt;=Assumptions!$H$73),0,IF(AND($A294&gt;=Assumptions!$C$17,$A294&lt;=Assumptions!$C$18),MAX(AZ294*(1+VLOOKUP($C294,WeatherCapacityAdjustment,2))-FL294,0),0))</f>
        <v>0</v>
      </c>
      <c r="FU294" s="1551" t="n">
        <f aca="false">IF(AND(Assumptions!$H$71="Yes",A294&gt;=Assumptions!$H$72,A294&lt;=Assumptions!$H$73),0,IF(AND($A294&gt;=Assumptions!$C$17,$A294&lt;=Assumptions!$C$18),MAX(BA294*(1+VLOOKUP($C294,WeatherCapacityAdjustment,2))-FM294,0),0))</f>
        <v>0</v>
      </c>
      <c r="FV294" s="1551" t="n">
        <f aca="false">IF(AND(Assumptions!$H$71="Yes",A294&gt;=Assumptions!$H$72,A294&lt;=Assumptions!$H$73),0,IF(AND($A294&gt;=Assumptions!$C$17,$A294&lt;=Assumptions!$C$18),MAX(BB294*(1+VLOOKUP($C294,WeatherCapacityAdjustment,2))-FN294,0),0))</f>
        <v>0</v>
      </c>
      <c r="FW294" s="1564" t="n">
        <f aca="false">IF(AND(Assumptions!$H$71="Yes",A294&gt;=Assumptions!$H$72,A294&lt;=Assumptions!$H$73),0,IF(AND($A294&gt;=Assumptions!$C$17,$A294&lt;=Assumptions!$C$18),MAX(BC294*(1+VLOOKUP($C294,WeatherCapacityAdjustment,3))-FO294,0),0))</f>
        <v>0</v>
      </c>
      <c r="FX294" s="1569" t="e">
        <f aca="false">IF(AND(Assumptions!$H$71="Yes",A294&gt;=Assumptions!$H$72,A294&lt;=Assumptions!$H$73),0,IF(ET294&gt;0,MAX(BH294*(1+VLOOKUP($C294,WeatherCapacityAdjustment,2))-FP294,0),0))</f>
        <v>#VALUE!</v>
      </c>
      <c r="FY294" s="1551" t="e">
        <f aca="false">IF(AND(Assumptions!$H$71="Yes",A294&gt;=Assumptions!$H$72,A294&lt;=Assumptions!$H$73),0,IF(EU294&gt;0,MAX(BI294*(1+VLOOKUP($C294,WeatherCapacityAdjustment,3))-FQ294,0),0))</f>
        <v>#VALUE!</v>
      </c>
      <c r="FZ294" s="1551" t="e">
        <f aca="false">IF(AND(Assumptions!$H$71="Yes",A294&gt;=Assumptions!$H$72,A294&lt;=Assumptions!$H$73),0,IF(EV294&gt;0,MAX(BJ294*(1+VLOOKUP($C294,WeatherCapacityAdjustment,2))-FR294,0),0))</f>
        <v>#VALUE!</v>
      </c>
      <c r="GA294" s="1564" t="e">
        <f aca="false">IF(AND(Assumptions!$H$71="Yes",A294&gt;=Assumptions!$H$72,A294&lt;=Assumptions!$H$73),0,IF(EW294&gt;0,MAX(BK294*(1+VLOOKUP($C294,WeatherCapacityAdjustment,2))-FS294,0),0))</f>
        <v>#VALUE!</v>
      </c>
      <c r="GB294" s="1551" t="e">
        <f aca="false">SUM(FT294:GA294)</f>
        <v>#VALUE!</v>
      </c>
      <c r="GC294" s="1563" t="e">
        <f aca="false">+IF(SUM(FT294:GA294)=0,0,(SUMPRODUCT(BU294:BX294,FT294:FW294)+SUMPRODUCT(CA294:CD294,FX294:GA294))/SUM(FT294:GA294))</f>
        <v>#VALUE!</v>
      </c>
      <c r="GD294" s="1551" t="e">
        <f aca="false">(FT294*BU294+FX294*CA294+FU294*BV294+FY294*CB294+FV294*BW294+FZ294*CC294+FW294*BX294+GA294*CD294)</f>
        <v>#VALUE!</v>
      </c>
      <c r="GE294" s="1561" t="e">
        <f aca="false">+IF(BQ294,((FL294+FM294+FT294+FU294)*HeatRatePeak/1000*(1+VLOOKUP($C294,WeatherHeatRateAdjustment,2))+(FN294+FV294)*IF(EV294&gt;0,HeatRatePeak,HeatRateOffPeak)/1000*(1+VLOOKUP($C294,WeatherHeatRateAdjustment,2))+(FO294+FW294)*IF(EW294&gt;0,HeatRatePeak,HeatRateOffPeak)/1000*(1+VLOOKUP($C294,WeatherHeatRateAdjustment,3)))*(1+VLOOKUP($B294,HeatRateDegradation,$C294+1)),0)</f>
        <v>#VALUE!</v>
      </c>
      <c r="GF294" s="1562" t="e">
        <f aca="false">IF(BQ294,((FP294+FQ294+FR294+FX294+FY294+FZ294)*HeatRatePeak/1000*(1+VLOOKUP($C294,WeatherHeatRateAdjustment,2))+(FS294+GA294)*HeatRatePeak/1000*(1+VLOOKUP($C294,WeatherHeatRateAdjustment,3)))*(1+VLOOKUP($B294,HeatRateDegradation,$C294+1)),0)</f>
        <v>#VALUE!</v>
      </c>
      <c r="GG294" s="1563" t="e">
        <f aca="false">IF(BQ294,VLOOKUP(A294,GasTable,13),0)</f>
        <v>#VALUE!</v>
      </c>
      <c r="GH294" s="1564" t="e">
        <f aca="false">(GE294+GF294)*GG294</f>
        <v>#VALUE!</v>
      </c>
      <c r="GI294" s="1569" t="e">
        <f aca="false">GB294</f>
        <v>#VALUE!</v>
      </c>
      <c r="GJ294" s="1598" t="e">
        <f aca="false">+DA294</f>
        <v>#VALUE!</v>
      </c>
      <c r="GK294" s="1558" t="e">
        <f aca="false">+GI294*GJ294</f>
        <v>#VALUE!</v>
      </c>
      <c r="GL294" s="1566" t="e">
        <f aca="false">MAX(FE294-FL294-FP294,0)</f>
        <v>#VALUE!</v>
      </c>
      <c r="GM294" s="1551" t="e">
        <f aca="false">MAX(FF294-FM294-FQ294,0)</f>
        <v>#VALUE!</v>
      </c>
      <c r="GN294" s="1551" t="e">
        <f aca="false">MAX(FG294-FN294-FR294,0)</f>
        <v>#VALUE!</v>
      </c>
      <c r="GO294" s="1564" t="e">
        <f aca="false">MAX(FH294-FO294-FS294,0)</f>
        <v>#VALUE!</v>
      </c>
      <c r="GP294" s="1551" t="e">
        <f aca="false">SUM(GL294:GO294)</f>
        <v>#VALUE!</v>
      </c>
      <c r="GQ294" s="1563" t="e">
        <f aca="false">IF(SUM(GL294:GO294)=0,0,((GL294*BU294+GM294*BV294+GN294*BW294+GO294*BX294)/SUM(GL294:GO294)))</f>
        <v>#VALUE!</v>
      </c>
      <c r="GR294" s="1558" t="e">
        <f aca="false">(GL294*BU294+GM294*BV294+GN294*BW294+GO294*BX294)</f>
        <v>#VALUE!</v>
      </c>
      <c r="GS294" s="1551" t="n">
        <f aca="false">IF($A294&gt;=BegDate,Assumptions!$C$56*24*($A295-$A294)*(1-VLOOKUP($B294,MAIN!$AA$7:$AM$28,$C294+1))*(1-VLOOKUP($B294,MAIN!$AA$33:$AM$54,$C294+1)),0)*80/168</f>
        <v>249428.571428571</v>
      </c>
      <c r="GT294" s="286" t="n">
        <f aca="false">J294</f>
        <v>51.2416569697523</v>
      </c>
      <c r="GU294" s="286" t="n">
        <f aca="false">IF($A294&gt;=BegDate,VLOOKUP($A294,GasTable,13)+Assumptions!$C$58,0)</f>
        <v>4.58711122179671</v>
      </c>
      <c r="GV294" s="286" t="n">
        <f aca="false">GU294*Assumptions!$C$57/1000</f>
        <v>33.2565563580261</v>
      </c>
      <c r="GW294" s="1551" t="n">
        <f aca="false">IF(Assumptions!$C$60="Hourly",MAX(0,GS294*(GT294-GV294)),GS294*(GT294-GV294))</f>
        <v>4485997.95258199</v>
      </c>
      <c r="GX294" s="1551" t="n">
        <f aca="false">IF($A294&gt;=BegDate,Assumptions!$C$56*24*($A295-$A294)*(1-VLOOKUP($B294,MAIN!$AA$7:$AM$28,$C294+1))*(1-VLOOKUP($B294,MAIN!$AA$33:$AM$54,$C294+1)),0)*16/168</f>
        <v>49885.7142857143</v>
      </c>
      <c r="GY294" s="286" t="n">
        <f aca="false">M294</f>
        <v>51.2416569697523</v>
      </c>
      <c r="GZ294" s="286" t="n">
        <f aca="false">IF($A294&gt;=BegDate,VLOOKUP($A294,GasTable,13)+Assumptions!$C$58,0)</f>
        <v>4.58711122179671</v>
      </c>
      <c r="HA294" s="286" t="n">
        <f aca="false">GZ294*Assumptions!$C$57/1000</f>
        <v>33.2565563580261</v>
      </c>
      <c r="HB294" s="1551" t="n">
        <f aca="false">IF(Assumptions!$C$60="Hourly",MAX(0,GX294*(GY294-HA294)),GX294*(GY294-HA294))</f>
        <v>897199.590516398</v>
      </c>
      <c r="HC294" s="1551" t="n">
        <f aca="false">IF($A294&gt;=BegDate,Assumptions!$C$56*24*($A295-$A294)*(1-VLOOKUP($B294,MAIN!$AA$7:$AM$28,$C294+1))*(1-VLOOKUP($B294,MAIN!$AA$33:$AM$54,$C294+1)),0)*16/168</f>
        <v>49885.7142857143</v>
      </c>
      <c r="HD294" s="286" t="n">
        <f aca="false">P294</f>
        <v>30.7782352183406</v>
      </c>
      <c r="HE294" s="286" t="n">
        <f aca="false">IF($A294&gt;=BegDate,VLOOKUP($A294,GasTable,13)+Assumptions!$C$58,0)</f>
        <v>4.58711122179671</v>
      </c>
      <c r="HF294" s="286" t="n">
        <f aca="false">HE294*Assumptions!$C$57/1000</f>
        <v>33.2565563580261</v>
      </c>
      <c r="HG294" s="1551" t="n">
        <f aca="false">IF(Assumptions!$C$60="Hourly",MAX(0,HC294*(HD294-HF294)),HC294*(HD294-HF294))</f>
        <v>0</v>
      </c>
      <c r="HH294" s="1551" t="n">
        <f aca="false">IF($A294&gt;=BegDate,Assumptions!$C$56*24*($A295-$A294)*(1-VLOOKUP($B294,MAIN!$AA$7:$AM$28,$C294+1))*(1-VLOOKUP($B294,MAIN!$AA$33:$AM$54,$C294+1)),0)*56/168</f>
        <v>174600</v>
      </c>
      <c r="HI294" s="286" t="n">
        <f aca="false">S294</f>
        <v>30.7782352183406</v>
      </c>
      <c r="HJ294" s="286" t="n">
        <f aca="false">IF($A294&gt;=BegDate,VLOOKUP($A294,GasTable,13)+Assumptions!$C$58,0)</f>
        <v>4.58711122179671</v>
      </c>
      <c r="HK294" s="286" t="n">
        <f aca="false">HJ294*Assumptions!$C$57/1000</f>
        <v>33.2565563580261</v>
      </c>
      <c r="HL294" s="1551" t="n">
        <f aca="false">IF(Assumptions!$C$60="Hourly",MAX(0,HH294*(HI294-HK294)),HH294*(HI294-HK294))</f>
        <v>0</v>
      </c>
      <c r="HM294" s="1551" t="n">
        <f aca="false">IF(AND(Assumptions!$H$71="Yes",A294&gt;=Assumptions!$H$72,A294&lt;=Assumptions!$H$73),Assumptions!$H$74*Assumptions!$C$9*1000,0)</f>
        <v>0</v>
      </c>
    </row>
    <row r="295" customFormat="false" ht="12.75" hidden="false" customHeight="false" outlineLevel="0" collapsed="false">
      <c r="A295" s="1617" t="n">
        <f aca="false">EOMONTH(A294,0)+1</f>
        <v>45108</v>
      </c>
      <c r="B295" s="238" t="n">
        <f aca="false">+YEAR(A295)</f>
        <v>2023</v>
      </c>
      <c r="C295" s="320" t="n">
        <f aca="false">MONTH(A295)</f>
        <v>7</v>
      </c>
      <c r="D295" s="1614" t="str">
        <f aca="false">IF(E295="","",Holiday(B295,C295))</f>
        <v/>
      </c>
      <c r="E295" s="1573" t="str">
        <f aca="false">IF(OR(BegDate&gt;=A296,EndDate&lt;A295,AND(VolumeMonthlyOverFlag,INDEX(VolumeMonthlyOver,C295)=0),NOT(INDEX(MonthKnockOutTable,C295))),"",MAX(A295,BegDate))</f>
        <v/>
      </c>
      <c r="F295" s="1614" t="str">
        <f aca="false">IF(E295="","",MIN(A296-1,EndDate))</f>
        <v/>
      </c>
      <c r="G295" s="1615" t="n">
        <v>0</v>
      </c>
      <c r="H295" s="1576" t="n">
        <f aca="false">(1+G295/2)^(-2*(DATE(B296,C296,20)-DateToday)/365.25)</f>
        <v>1</v>
      </c>
      <c r="I295" s="1568" t="n">
        <f aca="false">IF(Assumptions!$L$25=4,VLOOKUP($A295,'Henwood Reference'!$E$9:$R$320,10),(VLOOKUP($A295,PriceTable,2,0)+IF(BasisNumber&lt;&gt;1,VLOOKUP($A295,BasisTable,2,0),0)+I$1)/(1-I$2))</f>
        <v>76.0713550937837</v>
      </c>
      <c r="J295" s="1568" t="n">
        <f aca="false">IF(Assumptions!$L$25=4,VLOOKUP($A295,'Henwood Reference'!$E$9:$R$320,10),(VLOOKUP($A295,PriceTable,3,0)+IF(BasisNumber&lt;&gt;1,VLOOKUP($A295,BasisTable,2,0),0)+J$1)/(1-J$2))</f>
        <v>76.0713550937837</v>
      </c>
      <c r="K295" s="1568" t="n">
        <f aca="false">IF(Assumptions!$L$25=4,VLOOKUP($A295,'Henwood Reference'!$E$9:$R$320,10),(VLOOKUP($A295,PriceTable,4,0)+IF(BasisNumber&lt;&gt;1,VLOOKUP($A295,BasisTable,2,0),0)+K$1)/(1-K$2))</f>
        <v>76.0713550937837</v>
      </c>
      <c r="L295" s="1523" t="n">
        <f aca="false">IF(Assumptions!$L$25=4,VLOOKUP($A295,'Henwood Reference'!$E$9:$R$320,10),(VLOOKUP($A295,PriceTableWeekend,2,0)+IF(BasisNumber&lt;&gt;1,VLOOKUP($A295,BasisTable,2,0),0)+L$1)/(1-L$2))</f>
        <v>76.0713550937837</v>
      </c>
      <c r="M295" s="1568" t="n">
        <f aca="false">IF(Assumptions!$L$25=4,VLOOKUP($A295,'Henwood Reference'!$E$9:$R$320,10),(VLOOKUP($A295,PriceTableWeekend,3,0)+IF(BasisNumber&lt;&gt;1,VLOOKUP($A295,BasisTable,2,0),0)+M$1)/(1-M$2))</f>
        <v>76.0713550937837</v>
      </c>
      <c r="N295" s="1599" t="n">
        <f aca="false">IF(Assumptions!$L$25=4,VLOOKUP($A295,'Henwood Reference'!$E$9:$R$320,10),(VLOOKUP($A295,PriceTableWeekend,4,0)+IF(BasisNumber&lt;&gt;1,VLOOKUP($A295,BasisTable,2,0),0)+N$1)/(1-N$2))</f>
        <v>76.0713550937837</v>
      </c>
      <c r="O295" s="1568" t="n">
        <f aca="false">IF(Assumptions!$L$25=4,VLOOKUP($A295,'Henwood Reference'!$E$9:$R$320,11),(VLOOKUP($A295,PriceTableWeekend,6,0)+IF(BasisNumber&lt;&gt;1,VLOOKUP($A295,BasisTable,3,0),0)+O$1)/(1-O$2))</f>
        <v>36.2786175417666</v>
      </c>
      <c r="P295" s="1568" t="n">
        <f aca="false">IF(Assumptions!$L$25=4,VLOOKUP($A295,'Henwood Reference'!$E$9:$R$320,11),(VLOOKUP($A295,PriceTableWeekend,7,0)+IF(BasisNumber&lt;&gt;1,VLOOKUP($A295,BasisTable,3,0),0)+P$1)/(1-P$2))</f>
        <v>36.2786175417666</v>
      </c>
      <c r="Q295" s="1599" t="n">
        <f aca="false">IF(Assumptions!$L$25=4,VLOOKUP($A295,'Henwood Reference'!$E$9:$R$320,11),(VLOOKUP($A295,PriceTableWeekend,8,0)+IF(BasisNumber&lt;&gt;1,VLOOKUP($A295,BasisTable,3,0),0)+Q$1)/(1-Q$2))</f>
        <v>36.2786175417666</v>
      </c>
      <c r="R295" s="1568" t="n">
        <f aca="false">IF(Assumptions!$L$25=4,VLOOKUP($A295,'Henwood Reference'!$E$9:$R$320,11),(VLOOKUP($A295,PriceTable,6,0)+IF(BasisNumber&lt;&gt;1,VLOOKUP($A295,BasisTable,3,0),0)+R$1)/(1-R$2))</f>
        <v>36.2786175417666</v>
      </c>
      <c r="S295" s="1568" t="n">
        <f aca="false">IF(Assumptions!$L$25=4,VLOOKUP($A295,'Henwood Reference'!$E$9:$R$320,11),(VLOOKUP($A295,PriceTable,7,0)+IF(BasisNumber&lt;&gt;1,VLOOKUP($A295,BasisTable,3,0),0)+S$1)/(1-S$2))</f>
        <v>36.2786175417666</v>
      </c>
      <c r="T295" s="1600" t="n">
        <f aca="false">IF(Assumptions!$L$25=4,VLOOKUP($A295,'Henwood Reference'!$E$9:$R$320,11),(VLOOKUP($A295,PriceTable,8,0)+IF(BasisNumber&lt;&gt;1,VLOOKUP($A295,BasisTable,3,0),0)+T$1)/(1-T$2))</f>
        <v>36.2786175417666</v>
      </c>
      <c r="U295" s="1513" t="n">
        <f aca="false">VLOOKUP($A295,VolatilityTable,14)</f>
        <v>0.09</v>
      </c>
      <c r="V295" s="1513" t="n">
        <f aca="false">VLOOKUP($A295,VolatilityTable,15)</f>
        <v>0.1</v>
      </c>
      <c r="W295" s="1513" t="n">
        <f aca="false">VLOOKUP($A295,VolatilityTable,16)</f>
        <v>0.11</v>
      </c>
      <c r="X295" s="1513" t="n">
        <f aca="false">VLOOKUP($A295,VolatilityTable,14)</f>
        <v>0.09</v>
      </c>
      <c r="Y295" s="1513" t="n">
        <f aca="false">VLOOKUP($A295,VolatilityTable,15)</f>
        <v>0.1</v>
      </c>
      <c r="Z295" s="1513" t="n">
        <f aca="false">VLOOKUP($A295,VolatilityTable,16)</f>
        <v>0.11</v>
      </c>
      <c r="AA295" s="1513" t="n">
        <f aca="false">VLOOKUP($A295,VolatilityTable,18)</f>
        <v>0.09</v>
      </c>
      <c r="AB295" s="1513" t="n">
        <f aca="false">VLOOKUP($A295,VolatilityTable,19)</f>
        <v>0.11</v>
      </c>
      <c r="AC295" s="1513" t="n">
        <f aca="false">VLOOKUP($A295,VolatilityTable,20)</f>
        <v>0.13</v>
      </c>
      <c r="AD295" s="1513" t="n">
        <f aca="false">VLOOKUP($A295,VolatilityTable,18)</f>
        <v>0.09</v>
      </c>
      <c r="AE295" s="1513" t="n">
        <f aca="false">VLOOKUP($A295,VolatilityTable,19)</f>
        <v>0.11</v>
      </c>
      <c r="AF295" s="1513" t="n">
        <f aca="false">VLOOKUP($A295,VolatilityTable,20)</f>
        <v>0.13</v>
      </c>
      <c r="AG295" s="1513" t="n">
        <f aca="false">VLOOKUP($A295,VolatilityTable,22)</f>
        <v>-0.35</v>
      </c>
      <c r="AH295" s="1513" t="n">
        <f aca="false">VLOOKUP($A295,VolatilityTable,23)</f>
        <v>0.65</v>
      </c>
      <c r="AI295" s="1513" t="n">
        <f aca="false">VLOOKUP($A295,VolatilityTable,24)</f>
        <v>0.35</v>
      </c>
      <c r="AJ295" s="1513" t="n">
        <f aca="false">VLOOKUP($A295,VolatilityTable,22)</f>
        <v>-0.35</v>
      </c>
      <c r="AK295" s="1513" t="n">
        <f aca="false">VLOOKUP($A295,VolatilityTable,23)</f>
        <v>0.65</v>
      </c>
      <c r="AL295" s="1513" t="n">
        <f aca="false">VLOOKUP($A295,VolatilityTable,24)</f>
        <v>0.35</v>
      </c>
      <c r="AM295" s="1513" t="n">
        <f aca="false">VLOOKUP($A295,VolatilityTable,26)</f>
        <v>-0.01</v>
      </c>
      <c r="AN295" s="1513" t="n">
        <f aca="false">VLOOKUP($A295,VolatilityTable,27)</f>
        <v>0.16</v>
      </c>
      <c r="AO295" s="1513" t="n">
        <f aca="false">VLOOKUP($A295,VolatilityTable,28)</f>
        <v>0.01</v>
      </c>
      <c r="AP295" s="1513" t="n">
        <f aca="false">VLOOKUP($A295,VolatilityTable,26)</f>
        <v>-0.01</v>
      </c>
      <c r="AQ295" s="1513" t="n">
        <f aca="false">VLOOKUP($A295,VolatilityTable,27)</f>
        <v>0.16</v>
      </c>
      <c r="AR295" s="1513" t="n">
        <f aca="false">VLOOKUP($A295,VolatilityTable,28)</f>
        <v>0.01</v>
      </c>
      <c r="AS295" s="1616" t="n">
        <f aca="false">IF(CorrPeakOffPeakOverFlag,INDEX(CorrPeakOffPeakOver,C295),CorrPeakOffPeak)</f>
        <v>0.5</v>
      </c>
      <c r="AT295" s="238" t="n">
        <f aca="false">AX295-SUM(AU295:AW295)</f>
        <v>0</v>
      </c>
      <c r="AU295" s="238" t="n">
        <f aca="false">IF(E295="",0,INT((F295-MOD(F295,7)-E295)/7)+1-IF(AW295,IF(WEEKDAY(D295)=7,1,0),0))</f>
        <v>0</v>
      </c>
      <c r="AV295" s="238" t="n">
        <f aca="false">IF(E295="",0,INT((F295-MOD(F295-1,7)-E295)/7)+1-IF(AW295,IF(WEEKDAY(D295)=1,1,0),0))</f>
        <v>0</v>
      </c>
      <c r="AW295" s="238" t="n">
        <f aca="false">IF(OR(E295="",D295="",D295&lt;BegDate,D295&gt;EndDate),0,1)</f>
        <v>0</v>
      </c>
      <c r="AX295" s="238" t="n">
        <f aca="false">IF(E295="",0,F295-E295+1)</f>
        <v>0</v>
      </c>
      <c r="AY295" s="1513" t="n">
        <f aca="false">IF(E295="",0,MIN((1-(1-VLOOKUP(B295,MAIN!$AA$7:$AM$28,C295+1))*(1-VLOOKUP(B295,MAIN!$AA$33:$AM$54,C295+1))),1))</f>
        <v>0</v>
      </c>
      <c r="AZ295" s="1519" t="e">
        <f aca="false" t="array" ref="AZ295:BO295">TakeFunction(TakeType,STake,OTake,CombineTakesFlag,MostExpFlag,VolumeEscType,VolumeEsc,DateToday,BegDate,EndDate,OrderedScalars,OrderedPrices,OrderedPricesSat,OrderedPricesSun,AvailDays,FirmWeek,FirmSat,FirmSun,FirmHol,OptWeek,OptSat,OptSun,OptHol)*(1-PlannedOutages)</f>
        <v>#VALUE!</v>
      </c>
      <c r="BA295" s="1519" t="e">
        <v>#VALUE!</v>
      </c>
      <c r="BB295" s="1519" t="e">
        <v>#VALUE!</v>
      </c>
      <c r="BC295" s="1519" t="e">
        <v>#VALUE!</v>
      </c>
      <c r="BD295" s="1568" t="e">
        <v>#VALUE!</v>
      </c>
      <c r="BE295" s="1568" t="e">
        <v>#VALUE!</v>
      </c>
      <c r="BF295" s="1568" t="e">
        <v>#VALUE!</v>
      </c>
      <c r="BG295" s="1568" t="e">
        <v>#VALUE!</v>
      </c>
      <c r="BH295" s="1519" t="e">
        <v>#VALUE!</v>
      </c>
      <c r="BI295" s="1519" t="e">
        <v>#VALUE!</v>
      </c>
      <c r="BJ295" s="1519" t="e">
        <v>#VALUE!</v>
      </c>
      <c r="BK295" s="1519" t="e">
        <v>#VALUE!</v>
      </c>
      <c r="BL295" s="1568" t="e">
        <v>#VALUE!</v>
      </c>
      <c r="BM295" s="1568" t="e">
        <v>#VALUE!</v>
      </c>
      <c r="BN295" s="1568" t="e">
        <v>#VALUE!</v>
      </c>
      <c r="BO295" s="1568" t="e">
        <v>#VALUE!</v>
      </c>
      <c r="BP295" s="1519" t="e">
        <f aca="false">SUM(AZ295:BB295)</f>
        <v>#VALUE!</v>
      </c>
      <c r="BQ295" s="1519" t="e">
        <f aca="false">SUM(AZ295:BC295)</f>
        <v>#VALUE!</v>
      </c>
      <c r="BR295" s="1519" t="e">
        <f aca="false">SUM(BH295:BJ295)</f>
        <v>#VALUE!</v>
      </c>
      <c r="BS295" s="1519" t="e">
        <f aca="false">SUM(BH295:BK295)</f>
        <v>#VALUE!</v>
      </c>
      <c r="BT295" s="1316" t="n">
        <f aca="false">(IF(OVolType&lt;&gt;2,A295+14,IF(OptExpDateShift,ShiftBack(A295,OptExpDateShift,D294),A295))-DateToday)/365.25</f>
        <v>23.211498973306</v>
      </c>
      <c r="BU295" s="1316" t="e">
        <f aca="false">IF(BQ295,IF(OPriceCurve,IF(OBuySell=OCallPut,I295/(1-AY295),K295/(1-AY295)),J295/(1-AY295))*BD295,0)</f>
        <v>#VALUE!</v>
      </c>
      <c r="BV295" s="1316" t="e">
        <f aca="false">IF(BQ295,IF(OPriceCurve,IF(OBuySell=OCallPut,L295/(1-AY295),N295/(1-AY295)),M295/(1-AY295))*BE295,0)</f>
        <v>#VALUE!</v>
      </c>
      <c r="BW295" s="1316" t="e">
        <f aca="false">IF(BQ295,IF(OPriceCurve,IF(OBuySell=OCallPut,O295/(1-AY295),Q295/(1-AY295)),P295/(1-AY295))*BF295,0)</f>
        <v>#VALUE!</v>
      </c>
      <c r="BX295" s="1316" t="e">
        <f aca="false">IF(BQ295,IF(OPriceCurve,IF(OBuySell=OCallPut,R295/(1-AY295),T295/(1-AY295)),S295/(1-AY295))*BG295,0)</f>
        <v>#VALUE!</v>
      </c>
      <c r="BY295" s="1316" t="e">
        <f aca="false">IF(BP295,(BU295*AZ295+BV295*BA295+BW295*BB295)/BP295,0)</f>
        <v>#VALUE!</v>
      </c>
      <c r="BZ295" s="1316" t="e">
        <f aca="false">IF(BQ295,(BY295*BP295+BX295*BC295)/BQ295,0)</f>
        <v>#VALUE!</v>
      </c>
      <c r="CA295" s="1316" t="e">
        <f aca="false">IF(BS295,IF(OPriceCurve,IF(OBuySell=OCallPut,I295/(1-AY295),K295/(1-AY295)),J295/(1-AY295))*BL295,0)</f>
        <v>#VALUE!</v>
      </c>
      <c r="CB295" s="1316" t="e">
        <f aca="false">IF(BS295,IF(OPriceCurve,IF(OBuySell=OCallPut,L295/(1-AY295),N295/(1-AY295)),M295/(1-AY295))*BM295,0)</f>
        <v>#VALUE!</v>
      </c>
      <c r="CC295" s="1316" t="e">
        <f aca="false">IF(BS295,IF(OPriceCurve,IF(OBuySell=OCallPut,O295/(1-AY295),Q295/(1-AY295)),P295/(1-AY295))*BN295,0)</f>
        <v>#VALUE!</v>
      </c>
      <c r="CD295" s="1316" t="e">
        <f aca="false">IF(BS295,IF(OPriceCurve,IF(OBuySell=OCallPut,R295/(1-AY295),T295/(1-AY295)),S295/(1-AY295))*BO295,0)</f>
        <v>#VALUE!</v>
      </c>
      <c r="CE295" s="1316" t="e">
        <f aca="false">IF(BR295,(BU295*BH295+BV295*BI295+BW295*BJ295)/BR295,0)</f>
        <v>#VALUE!</v>
      </c>
      <c r="CF295" s="1316" t="e">
        <f aca="false">IF(BS295,(CE295*BR295+CD295*BK295)/BS295,0)</f>
        <v>#VALUE!</v>
      </c>
      <c r="CG295" s="1587" t="e">
        <f aca="false">IF(OR(BQ295,BS295),IF(OVolType&lt;&gt;2,SQRT(IF(OVolOverMonthlyPeak,OVolOverMonthlyPeak,IF(OVolCurve,IF(OBuySell,U295,W295),V295))^2*(1-15/365.25/BT295)+IF(OVolOverDailyPeak,OVolOverDailyPeak,IF(OVolCurve,IF(OBuySell,AG295,AI295),AH295))^2*15/365.25/BT295),IF(OVolOverMonthlyPeak,OVolOverMonthlyPeak,IF(OVolCurve,IF(OBuySell,U295,W295),V295))),"")</f>
        <v>#VALUE!</v>
      </c>
      <c r="CH295" s="1587" t="e">
        <f aca="false">IF(OR(BQ295,BS295),IF(OVolType&lt;&gt;2,SQRT(IF(OVolOverMonthlyPeak,OVolOverMonthlyPeak,IF(OVolCurve,IF(OBuySell,X295,Z295),Y295))^2*(1-15/365.25/BT295)+IF(OVolOverDailyPeak,OVolOverDailyPeak,IF(OVolCurve,IF(OBuySell,AJ295,AL295),AK295))^2*15/365.25/BT295),IF(OVolOverMonthlyPeak,OVolOverMonthlyPeak,IF(OVolCurve,IF(OBuySell,X295,Z295),Y295))),"")</f>
        <v>#VALUE!</v>
      </c>
      <c r="CI295" s="1587" t="e">
        <f aca="false">IF(OR(BQ295,BS295),IF(OVolType&lt;&gt;2,SQRT(IF(OVolOverMonthlyPeak,OVolOverMonthlyPeak,IF(OVolCurve,IF(OBuySell,AA295,AC295),AB295))^2*(1-15/365.25/BT295)+IF(OVolOverDailyPeak,OVolOverDailyPeak,IF(OVolCurve,IF(OBuySell,AM295,AO295),AN295))^2*15/365.25/BT295),IF(OVolOverMonthlyPeak,OVolOverMonthlyPeak,IF(OVolCurve,IF(OBuySell,AA295,AC295),AB295))),"")</f>
        <v>#VALUE!</v>
      </c>
      <c r="CJ295" s="1587" t="e">
        <f aca="false">IF(BQ295,IF(BP295,SQRT(LN(1+((BU295*AZ295)^2*(EXP(CG295^2*BT295)-1)+(BV295*BA295)^2*(EXP(CH295^2*BT295)-1)+(BW295*BB295)^2*(EXP(CI295^2*BT295)-1)+2*BU295*AZ295*BV295*BA295*(EXP(CG295*CH295*BT295)-1)+2*BV295*BA295*BW295*BB295*(EXP(CH295*CI295*BT295)-1)+2*BW295*BB295*BU295*AZ295*(EXP(CI295*CG295*BT295)-1))/(BY295*BP295)^2)/BT295),0),"")</f>
        <v>#VALUE!</v>
      </c>
      <c r="CK295" s="1587" t="e">
        <f aca="false">IF(BS295,IF(BR295,SQRT(LN(1+((CA295*BH295)^2*(EXP(CG295^2*BT295)-1)+(CB295*BI295)^2*(EXP(CH295^2*BT295)-1)+(CC295*BJ295)^2*(EXP(CI295^2*BT295)-1)+2*CA295*BH295*CB295*BI295*(EXP(CG295*CH295*BT295)-1)+2*CB295*BI295*CC295*BJ295*(EXP(CH295*CI295*BT295)-1)+2*CC295*BJ295*CA295*BH295*(EXP(CI295*CG295*BT295)-1))/(CE295*BR295)^2)/BT295),0),"")</f>
        <v>#VALUE!</v>
      </c>
      <c r="CL295" s="1587" t="e">
        <f aca="false">IF(OR(BQ295,BS295),IF(OVolType&lt;&gt;2,SQRT(IF(OVolOverMonthlyOffPeak,OVolOverMonthlyOffPeak,IF(OVolCurve,IF(OBuySell,AD295,AF295),AE295))^2*(1-15/365.25/BT295)+IF(OVolOverDailyOffPeak,OVolOverDailyOffPeak,IF(OVolCurve,IF(OBuySell,AP295,AR295),AQ295))^2*15/365.25/BT295),IF(OVolOverMonthlyOffPeak,OVolOverMonthlyOffPeak,IF(OVolCurve,IF(OBuySell,AD295,AF295),AE295))),"")</f>
        <v>#VALUE!</v>
      </c>
      <c r="CM295" s="1587" t="e">
        <f aca="false">IF(BQ295,SQRT(LN(1+((BY295*BP295)^2*(EXP(CJ295^2*BT295)-1)+(BX295*BC295)^2*(EXP(CL295^2*BT295)-1)+2*BY295*BP295*BX295*BC295*(EXP(AS295*CJ295*CL295*BT295)-1))/(BY295*BP295+BX295*BC295)^2)/BT295),"")</f>
        <v>#VALUE!</v>
      </c>
      <c r="CN295" s="1587" t="e">
        <f aca="false">IF(BS295,SQRT(LN(1+((CE295*BR295)^2*(EXP(CK295^2*BT295)-1)+(CD295*BK295)^2*(EXP(CL295^2*BT295)-1)+2*CE295*BR295*CD295*BK295*(EXP(AS295*CK295*CL295*BT295)-1))/(CE295*BR295+CD295*BK295)^2)/BT295),"")</f>
        <v>#VALUE!</v>
      </c>
      <c r="CO295" s="1316" t="e">
        <f aca="false">IF(OR(BQ295,BS295),VLOOKUP(A295,GasTable,13)*HeatRatePeak*(1+VLOOKUP($B295,HeatRateDegradation,$C295+1))/1000,0)</f>
        <v>#VALUE!</v>
      </c>
      <c r="CP295" s="1316" t="e">
        <f aca="false">IF(OR(BQ295,BS295),VLOOKUP(A295,GasTable,13)*HeatRatePeak*(1+VLOOKUP($B295,HeatRateDegradation,$C295+1))/1000,0)</f>
        <v>#VALUE!</v>
      </c>
      <c r="CQ295" s="1316" t="e">
        <f aca="false">IF(OR(BQ295,BS295),VLOOKUP(A295,GasTable,13)*IF(EV295,HeatRatePeak,HeatRateOffPeak)*(1+VLOOKUP($B295,HeatRateDegradation,$C295+1))/1000,0)</f>
        <v>#VALUE!</v>
      </c>
      <c r="CR295" s="1316" t="e">
        <f aca="false">IF(OR(BQ295,BS295),VLOOKUP(A295,GasTable,13)*IF(EW295,HeatRatePeak,HeatRateOffPeak)*(1+VLOOKUP($B295,HeatRateDegradation,$C295+1))/1000,0)</f>
        <v>#VALUE!</v>
      </c>
      <c r="CS295" s="1589" t="e">
        <f aca="false">IF(BQ295,(CO295*AZ295+CP295*BA295+CQ295*BB295+CR295*BC295)/BQ295,0)</f>
        <v>#VALUE!</v>
      </c>
      <c r="CT295" s="1316" t="e">
        <f aca="false">IF(BS295,CO295,0)</f>
        <v>#VALUE!</v>
      </c>
      <c r="CU295" s="1592" t="e">
        <f aca="false">IF(OR(BQ295,BS295),VLOOKUP(A295,GasTable,14),"")</f>
        <v>#VALUE!</v>
      </c>
      <c r="CV295" s="1568" t="e">
        <f aca="false">IF(OR(BQ295,BS295),IF(CorrPowerGasOverFlag,INDEX(CorrPowerGasOver,C295),CorrPowerGas),"")</f>
        <v>#VALUE!</v>
      </c>
      <c r="CW295" s="1316" t="e">
        <f aca="false">IF(OR($BQ295,$BS295),SpreadOptPowerMargin,0)*((1+Assumptions!$C$26)^($B295-YEAR(Assumptions!$C$17)))</f>
        <v>#VALUE!</v>
      </c>
      <c r="CX295" s="1316" t="e">
        <f aca="false">IF(OR($BQ295,$BS295),SpreadOptPowerMargin,0)*((1+Assumptions!$C$26)^($B295-YEAR(Assumptions!$C$17)))</f>
        <v>#VALUE!</v>
      </c>
      <c r="CY295" s="1316" t="e">
        <f aca="false">IF(OR($BQ295,$BS295),SpreadOptPowerMargin,0)*((1+Assumptions!$C$26)^($B295-YEAR(Assumptions!$C$17)))</f>
        <v>#VALUE!</v>
      </c>
      <c r="CZ295" s="1316" t="e">
        <f aca="false">IF(OR($BQ295,$BS295),SpreadOptPowerMargin,0)*((1+Assumptions!$C$26)^($B295-YEAR(Assumptions!$C$17)))</f>
        <v>#VALUE!</v>
      </c>
      <c r="DA295" s="1316" t="e">
        <f aca="false">IF(OR(BQ295,BS295),(CW295*(AZ295+BH295)+CX295*(BA295+BI295)+CY295*(BB295+BJ295)+CZ295*(BC295+BK295))/(BQ295+BS295),0)</f>
        <v>#VALUE!</v>
      </c>
      <c r="DB295" s="1592" t="e">
        <f aca="false">IF(OR(BQ295,BS295),CG295+IF(OVolSmile,VLOOKUP(MAX(-5,CO295+CW295-BU295),IF(OVolSmile=1,VolSmileBook,VolSmileModel),2),0),"")</f>
        <v>#VALUE!</v>
      </c>
      <c r="DC295" s="1592" t="e">
        <f aca="false">IF(OR(BQ295,BS295),CH295+IF(OVolSmile,VLOOKUP(MAX(-5,CP295+CW295-BV295),IF(OVolSmile=1,VolSmileBook,VolSmileModel),2),0),"")</f>
        <v>#VALUE!</v>
      </c>
      <c r="DD295" s="1592" t="e">
        <f aca="false">IF(OR(BQ295,BS295),CI295+IF(OVolSmile,VLOOKUP(MAX(-5,CQ295+CW295-BW295),IF(OVolSmile=1,VolSmileBook,VolSmileModel),2),0),"")</f>
        <v>#VALUE!</v>
      </c>
      <c r="DE295" s="1592" t="e">
        <f aca="false">IF(OR(BQ295,BS295),CL295+IF(OVolSmile,VLOOKUP(MAX(-5,CR295+CZ295-BX295),IF(OVolSmile=1,VolSmileBook,VolSmileModel),2),0),"")</f>
        <v>#VALUE!</v>
      </c>
      <c r="DF295" s="1592" t="e">
        <f aca="false">IF(BQ295,CM295+IF(OVolSmile,VLOOKUP(MAX(-5,CS295+DA295-BZ295),IF(OVolSmile=1,VolSmileBook,VolSmileModel),2),0),"")</f>
        <v>#VALUE!</v>
      </c>
      <c r="DG295" s="1592" t="e">
        <f aca="false">IF(BS295,CN295+IF(OVolSmile,VLOOKUP(MAX(-5,CT295+DA295-CF295),IF(OVolSmile=1,VolSmileBook,VolSmileModel),2),0),"")</f>
        <v>#VALUE!</v>
      </c>
      <c r="DH295" s="1316" t="e">
        <f aca="false">IF(AND(BU295&gt;0,CO295&gt;0,DB295&gt;0,CU295&gt;0),newSPRDOPT(BU295,CO295,CW295,0,DB295,CU295,CV295,BT295*365.25,OCallPut,0),0)</f>
        <v>#VALUE!</v>
      </c>
      <c r="DI295" s="1316" t="e">
        <f aca="false">IF(AND(BV295&gt;0,CP295&gt;0,DC295&gt;0,CU295&gt;0),newSPRDOPT(BV295,CP295,CX295,0,DC295,CU295,CV295,BT295*365.25,OCallPut,0),0)</f>
        <v>#VALUE!</v>
      </c>
      <c r="DJ295" s="1316" t="e">
        <f aca="false">IF(AND(BW295&gt;0,CQ295&gt;0,DD295&gt;0,CU295&gt;0),newSPRDOPT(BW295,CQ295,CY295,0,DD295,CU295,CV295,BT295*365.25,OCallPut,0),0)</f>
        <v>#VALUE!</v>
      </c>
      <c r="DK295" s="1316" t="e">
        <f aca="false">IF(AND(BX295&gt;0,CR295&gt;0,DE295&gt;0,CU295&gt;0),newSPRDOPT(BX295,CR295,CZ295,0,DE295,CU295,CV295,BT295*365.25,OCallPut,0),0)</f>
        <v>#VALUE!</v>
      </c>
      <c r="DL295" s="1316" t="e">
        <f aca="false">IF(OVolType,IF(AND(BZ295&gt;0,CS295&gt;0,DF295&gt;0,CU295&gt;0),newSPRDOPT(BZ295,CS295,DA295,0,DF295,CU295,CV295,BT295*365.25,OCallPut,0),0),IF(BQ295,(DH295*AZ295+DI295*BA295+DJ295*BB295+DK295*BC295)/BQ295,0))</f>
        <v>#VALUE!</v>
      </c>
      <c r="DM295" s="1316"/>
      <c r="DN295" s="1316"/>
      <c r="DO295" s="1316"/>
      <c r="DP295" s="1316"/>
      <c r="DQ295" s="1316"/>
      <c r="DR295" s="1316"/>
      <c r="DS295" s="1316"/>
      <c r="DT295" s="1316"/>
      <c r="DU295" s="1316"/>
      <c r="DV295" s="1316"/>
      <c r="DW295" s="1316" t="e">
        <f aca="false">IF(AND(BW295&gt;0,CT295&gt;0,DD295&gt;0,CU295&gt;0),newSPRDOPT(BW295,CT295,CY295,0,DD295,CU295,CV295,BT295*365.25,OCallPut,0),0)</f>
        <v>#VALUE!</v>
      </c>
      <c r="DX295" s="1316" t="e">
        <f aca="false">IF(AND(BX295&gt;0,CT295&gt;0,DE295&gt;0,CU295&gt;0),newSPRDOPT(BX295,CT295,CZ295,0,DE295,CU295,CV295,BT295*365.25,OCallPut,0),0)</f>
        <v>#VALUE!</v>
      </c>
      <c r="DY295" s="1316" t="e">
        <f aca="false">IF(BS295,(DH295*BH295+DI295*BI295+DW295*BJ295+DX295*BK295)/BS295,0)</f>
        <v>#VALUE!</v>
      </c>
      <c r="DZ295" s="1551" t="e">
        <f aca="false">DH295*AZ295</f>
        <v>#VALUE!</v>
      </c>
      <c r="EA295" s="1551" t="e">
        <f aca="false">DI295*BA295</f>
        <v>#VALUE!</v>
      </c>
      <c r="EB295" s="1551" t="e">
        <f aca="false">DJ295*BB295</f>
        <v>#VALUE!</v>
      </c>
      <c r="EC295" s="1551" t="e">
        <f aca="false">DK295*BC295</f>
        <v>#VALUE!</v>
      </c>
      <c r="ED295" s="1551" t="e">
        <f aca="false">DL295*BQ295</f>
        <v>#VALUE!</v>
      </c>
      <c r="EE295" s="1596" t="e">
        <f aca="false">IF(BQ295,IF(OCallPut,IF(BU295&gt;(CO295+CW295),BU295-(CO295+CW295),0),IF((CO295+CW295)&gt;BU295,(CO295+CW295)-BU295,0))*AZ295,0)</f>
        <v>#VALUE!</v>
      </c>
      <c r="EF295" s="1596" t="e">
        <f aca="false">IF(BQ295,IF(OCallPut,IF(BV295&gt;(CP295+CX295),BV295-(CP295+CX295),0),IF((CP295+CX295)&gt;BV295,(CP295+CX295)-BV295,0))*BA295,0)</f>
        <v>#VALUE!</v>
      </c>
      <c r="EG295" s="1596" t="e">
        <f aca="false">IF(BQ295,IF(OCallPut,IF(BW295&gt;(CQ295+CY295),BW295-(CQ295+CY295),0),IF((CQ295+CY295)&gt;BW295,(CQ295+CY295)-BW295,0))*BB295,0)</f>
        <v>#VALUE!</v>
      </c>
      <c r="EH295" s="1596" t="e">
        <f aca="false">IF(BQ295,IF(OCallPut,IF(BX295&gt;(CR295+CZ295),BX295-(CR295+CZ295),0),IF((CR295+CZ295)&gt;BX295,(CR295+CZ295)-BX295,0))*BC295,0)</f>
        <v>#VALUE!</v>
      </c>
      <c r="EI295" s="1597" t="e">
        <f aca="false">IF(BQ295,IF(OVolType,IF(OCallPut,IF(BZ295&gt;(CS295+DA295),BZ295-(CS295+DA295),0),IF((CS295+DA295)&gt;BZ295,(CS295+DA295)-BZ295,0))*BQ295,SUM(EE295:EH295)),0)</f>
        <v>#VALUE!</v>
      </c>
      <c r="EJ295" s="1596" t="e">
        <f aca="false">DZ295-EE295</f>
        <v>#VALUE!</v>
      </c>
      <c r="EK295" s="1596" t="e">
        <f aca="false">EA295-EF295</f>
        <v>#VALUE!</v>
      </c>
      <c r="EL295" s="1596" t="e">
        <f aca="false">EB295-EG295</f>
        <v>#VALUE!</v>
      </c>
      <c r="EM295" s="1596" t="e">
        <f aca="false">EC295-EH295</f>
        <v>#VALUE!</v>
      </c>
      <c r="EN295" s="1597" t="e">
        <f aca="false">ED295-EI295</f>
        <v>#VALUE!</v>
      </c>
      <c r="EO295" s="1551" t="e">
        <f aca="false">DH295*BH295</f>
        <v>#VALUE!</v>
      </c>
      <c r="EP295" s="1551" t="e">
        <f aca="false">DI295*BI295</f>
        <v>#VALUE!</v>
      </c>
      <c r="EQ295" s="1551" t="e">
        <f aca="false">DW295*BJ295</f>
        <v>#VALUE!</v>
      </c>
      <c r="ER295" s="1551" t="e">
        <f aca="false">DX295*BK295</f>
        <v>#VALUE!</v>
      </c>
      <c r="ES295" s="1551" t="e">
        <f aca="false">DY295*BS295</f>
        <v>#VALUE!</v>
      </c>
      <c r="ET295" s="1566" t="e">
        <f aca="false">IF(EI295,IF(OCallPut,IF(CA295&gt;(CT295+CW295),CA295-(CT295+CW295),0),IF((CT295+CW295)&gt;CA295,(CT295+CW295)-CA295,0))*BH295,0)</f>
        <v>#VALUE!</v>
      </c>
      <c r="EU295" s="1551" t="e">
        <f aca="false">IF(EI295,IF(OCallPut,IF(CB295&gt;(CT295+CX295),CB295-(CT295+CX295),0),IF((CT295+CX295)&gt;CB295,(CT295+CX295)-CB295,0))*BI295,0)</f>
        <v>#VALUE!</v>
      </c>
      <c r="EV295" s="1551" t="e">
        <f aca="false">IF(EI295,IF(OCallPut,IF(CC295&gt;(CT295+CY295),CC295-(CT295+CY295),0),IF((CT295+CY295)&gt;CC295,(CT295+CY295)-CC295,0))*BJ295,0)</f>
        <v>#VALUE!</v>
      </c>
      <c r="EW295" s="1551" t="e">
        <f aca="false">IF(EI295,IF(OCallPut,IF(CD295&gt;(CT295+CZ295),CD295-(CT295+CZ295),0),IF((CT295+CZ295)&gt;CD295,(CT295+CZ295)-CD295,0))*BK295,0)</f>
        <v>#VALUE!</v>
      </c>
      <c r="EX295" s="1558" t="e">
        <f aca="false">IF(EI295,SUM(ET295:EW295),0)</f>
        <v>#VALUE!</v>
      </c>
      <c r="EY295" s="1551" t="e">
        <f aca="false">EO295-ET295</f>
        <v>#VALUE!</v>
      </c>
      <c r="EZ295" s="1551" t="e">
        <f aca="false">EP295-EU295</f>
        <v>#VALUE!</v>
      </c>
      <c r="FA295" s="1551" t="e">
        <f aca="false">EQ295-EV295</f>
        <v>#VALUE!</v>
      </c>
      <c r="FB295" s="1551" t="e">
        <f aca="false">ER295-EW295</f>
        <v>#VALUE!</v>
      </c>
      <c r="FC295" s="1551" t="e">
        <f aca="false">ES295-EX295</f>
        <v>#VALUE!</v>
      </c>
      <c r="FD295" s="1519" t="n">
        <f aca="false">IF(AX295,IF(VLOOKUP(C295,MAIN!$L$17:$M$28,2)="Yes",VLOOKUP(CALC!B295,MAIN!$H$17:$I$20,2),0),0)</f>
        <v>0</v>
      </c>
      <c r="FE295" s="1553" t="n">
        <f aca="false">$FD295*16*AT295*(1-$AY295)</f>
        <v>0</v>
      </c>
      <c r="FF295" s="1553" t="n">
        <f aca="false">$FD295*16*AU295*(1-$AY295)</f>
        <v>0</v>
      </c>
      <c r="FG295" s="1553" t="n">
        <f aca="false">$FD295*16*(AV295+AW295)*(1-$AY295)</f>
        <v>0</v>
      </c>
      <c r="FH295" s="1553" t="n">
        <f aca="false">$FD295*8*AX295*(1-$AY295)</f>
        <v>0</v>
      </c>
      <c r="FI295" s="1555" t="n">
        <f aca="false">IF(AX295,VLOOKUP(CALC!B295,MAIN!$H$17:$K$20,4),0)</f>
        <v>0</v>
      </c>
      <c r="FJ295" s="1553" t="n">
        <f aca="false">SUM(FE295:FH295)</f>
        <v>0</v>
      </c>
      <c r="FK295" s="1553" t="n">
        <f aca="false">FI295*FJ295</f>
        <v>0</v>
      </c>
      <c r="FL295" s="1551" t="e">
        <f aca="false">IF($EI295&gt;0,MIN(FE295,AZ295*(1+VLOOKUP($C295,WeatherCapacityAdjustment,2))),0)</f>
        <v>#VALUE!</v>
      </c>
      <c r="FM295" s="1551" t="e">
        <f aca="false">IF($EI295&gt;0,MIN(FF295,BA295*(1+VLOOKUP($C295,WeatherCapacityAdjustment,2))),0)</f>
        <v>#VALUE!</v>
      </c>
      <c r="FN295" s="1551" t="e">
        <f aca="false">IF($EI295&gt;0,MIN(FG295,BB295*(1+VLOOKUP($C295,WeatherCapacityAdjustment,2))),0)</f>
        <v>#VALUE!</v>
      </c>
      <c r="FO295" s="1564" t="e">
        <f aca="false">IF($EI295&gt;0,MIN(FH295,BC295*(1+VLOOKUP($C295,WeatherCapacityAdjustment,3))),0)</f>
        <v>#VALUE!</v>
      </c>
      <c r="FP295" s="1551" t="e">
        <f aca="false">IF(ET295&gt;0,MIN(FE295-FL295,BH295*(1+VLOOKUP($C295,WeatherCapacityAdjustment,2))),0)</f>
        <v>#VALUE!</v>
      </c>
      <c r="FQ295" s="1551" t="e">
        <f aca="false">IF(EU295&gt;0,MIN(FF295-FM295,BI295*(1+VLOOKUP($C295,WeatherCapacityAdjustment,2))),0)</f>
        <v>#VALUE!</v>
      </c>
      <c r="FR295" s="1551" t="e">
        <f aca="false">IF(EV295&gt;0,MIN(FG295-FN295,BJ295*(1+VLOOKUP($C295,WeatherCapacityAdjustment,2))),0)</f>
        <v>#VALUE!</v>
      </c>
      <c r="FS295" s="1558" t="e">
        <f aca="false">IF(EW295&gt;0,MIN(FH295-FO295,BK295*(1+VLOOKUP($C295,WeatherCapacityAdjustment,3))),0)</f>
        <v>#VALUE!</v>
      </c>
      <c r="FT295" s="1566" t="n">
        <f aca="false">IF(AND(Assumptions!$H$71="Yes",A295&gt;=Assumptions!$H$72,A295&lt;=Assumptions!$H$73),0,IF(AND($A295&gt;=Assumptions!$C$17,$A295&lt;=Assumptions!$C$18),MAX(AZ295*(1+VLOOKUP($C295,WeatherCapacityAdjustment,2))-FL295,0),0))</f>
        <v>0</v>
      </c>
      <c r="FU295" s="1551" t="n">
        <f aca="false">IF(AND(Assumptions!$H$71="Yes",A295&gt;=Assumptions!$H$72,A295&lt;=Assumptions!$H$73),0,IF(AND($A295&gt;=Assumptions!$C$17,$A295&lt;=Assumptions!$C$18),MAX(BA295*(1+VLOOKUP($C295,WeatherCapacityAdjustment,2))-FM295,0),0))</f>
        <v>0</v>
      </c>
      <c r="FV295" s="1551" t="n">
        <f aca="false">IF(AND(Assumptions!$H$71="Yes",A295&gt;=Assumptions!$H$72,A295&lt;=Assumptions!$H$73),0,IF(AND($A295&gt;=Assumptions!$C$17,$A295&lt;=Assumptions!$C$18),MAX(BB295*(1+VLOOKUP($C295,WeatherCapacityAdjustment,2))-FN295,0),0))</f>
        <v>0</v>
      </c>
      <c r="FW295" s="1564" t="n">
        <f aca="false">IF(AND(Assumptions!$H$71="Yes",A295&gt;=Assumptions!$H$72,A295&lt;=Assumptions!$H$73),0,IF(AND($A295&gt;=Assumptions!$C$17,$A295&lt;=Assumptions!$C$18),MAX(BC295*(1+VLOOKUP($C295,WeatherCapacityAdjustment,3))-FO295,0),0))</f>
        <v>0</v>
      </c>
      <c r="FX295" s="1569" t="e">
        <f aca="false">IF(AND(Assumptions!$H$71="Yes",A295&gt;=Assumptions!$H$72,A295&lt;=Assumptions!$H$73),0,IF(ET295&gt;0,MAX(BH295*(1+VLOOKUP($C295,WeatherCapacityAdjustment,2))-FP295,0),0))</f>
        <v>#VALUE!</v>
      </c>
      <c r="FY295" s="1551" t="e">
        <f aca="false">IF(AND(Assumptions!$H$71="Yes",A295&gt;=Assumptions!$H$72,A295&lt;=Assumptions!$H$73),0,IF(EU295&gt;0,MAX(BI295*(1+VLOOKUP($C295,WeatherCapacityAdjustment,3))-FQ295,0),0))</f>
        <v>#VALUE!</v>
      </c>
      <c r="FZ295" s="1551" t="e">
        <f aca="false">IF(AND(Assumptions!$H$71="Yes",A295&gt;=Assumptions!$H$72,A295&lt;=Assumptions!$H$73),0,IF(EV295&gt;0,MAX(BJ295*(1+VLOOKUP($C295,WeatherCapacityAdjustment,2))-FR295,0),0))</f>
        <v>#VALUE!</v>
      </c>
      <c r="GA295" s="1564" t="e">
        <f aca="false">IF(AND(Assumptions!$H$71="Yes",A295&gt;=Assumptions!$H$72,A295&lt;=Assumptions!$H$73),0,IF(EW295&gt;0,MAX(BK295*(1+VLOOKUP($C295,WeatherCapacityAdjustment,2))-FS295,0),0))</f>
        <v>#VALUE!</v>
      </c>
      <c r="GB295" s="1551" t="e">
        <f aca="false">SUM(FT295:GA295)</f>
        <v>#VALUE!</v>
      </c>
      <c r="GC295" s="1563" t="e">
        <f aca="false">+IF(SUM(FT295:GA295)=0,0,(SUMPRODUCT(BU295:BX295,FT295:FW295)+SUMPRODUCT(CA295:CD295,FX295:GA295))/SUM(FT295:GA295))</f>
        <v>#VALUE!</v>
      </c>
      <c r="GD295" s="1551" t="e">
        <f aca="false">(FT295*BU295+FX295*CA295+FU295*BV295+FY295*CB295+FV295*BW295+FZ295*CC295+FW295*BX295+GA295*CD295)</f>
        <v>#VALUE!</v>
      </c>
      <c r="GE295" s="1561" t="e">
        <f aca="false">+IF(BQ295,((FL295+FM295+FT295+FU295)*HeatRatePeak/1000*(1+VLOOKUP($C295,WeatherHeatRateAdjustment,2))+(FN295+FV295)*IF(EV295&gt;0,HeatRatePeak,HeatRateOffPeak)/1000*(1+VLOOKUP($C295,WeatherHeatRateAdjustment,2))+(FO295+FW295)*IF(EW295&gt;0,HeatRatePeak,HeatRateOffPeak)/1000*(1+VLOOKUP($C295,WeatherHeatRateAdjustment,3)))*(1+VLOOKUP($B295,HeatRateDegradation,$C295+1)),0)</f>
        <v>#VALUE!</v>
      </c>
      <c r="GF295" s="1562" t="e">
        <f aca="false">IF(BQ295,((FP295+FQ295+FR295+FX295+FY295+FZ295)*HeatRatePeak/1000*(1+VLOOKUP($C295,WeatherHeatRateAdjustment,2))+(FS295+GA295)*HeatRatePeak/1000*(1+VLOOKUP($C295,WeatherHeatRateAdjustment,3)))*(1+VLOOKUP($B295,HeatRateDegradation,$C295+1)),0)</f>
        <v>#VALUE!</v>
      </c>
      <c r="GG295" s="1563" t="e">
        <f aca="false">IF(BQ295,VLOOKUP(A295,GasTable,13),0)</f>
        <v>#VALUE!</v>
      </c>
      <c r="GH295" s="1564" t="e">
        <f aca="false">(GE295+GF295)*GG295</f>
        <v>#VALUE!</v>
      </c>
      <c r="GI295" s="1569" t="e">
        <f aca="false">GB295</f>
        <v>#VALUE!</v>
      </c>
      <c r="GJ295" s="1598" t="e">
        <f aca="false">+DA295</f>
        <v>#VALUE!</v>
      </c>
      <c r="GK295" s="1558" t="e">
        <f aca="false">+GI295*GJ295</f>
        <v>#VALUE!</v>
      </c>
      <c r="GL295" s="1566" t="e">
        <f aca="false">MAX(FE295-FL295-FP295,0)</f>
        <v>#VALUE!</v>
      </c>
      <c r="GM295" s="1551" t="e">
        <f aca="false">MAX(FF295-FM295-FQ295,0)</f>
        <v>#VALUE!</v>
      </c>
      <c r="GN295" s="1551" t="e">
        <f aca="false">MAX(FG295-FN295-FR295,0)</f>
        <v>#VALUE!</v>
      </c>
      <c r="GO295" s="1564" t="e">
        <f aca="false">MAX(FH295-FO295-FS295,0)</f>
        <v>#VALUE!</v>
      </c>
      <c r="GP295" s="1551" t="e">
        <f aca="false">SUM(GL295:GO295)</f>
        <v>#VALUE!</v>
      </c>
      <c r="GQ295" s="1563" t="e">
        <f aca="false">IF(SUM(GL295:GO295)=0,0,((GL295*BU295+GM295*BV295+GN295*BW295+GO295*BX295)/SUM(GL295:GO295)))</f>
        <v>#VALUE!</v>
      </c>
      <c r="GR295" s="1558" t="e">
        <f aca="false">(GL295*BU295+GM295*BV295+GN295*BW295+GO295*BX295)</f>
        <v>#VALUE!</v>
      </c>
      <c r="GS295" s="1551" t="n">
        <f aca="false">IF($A295&gt;=BegDate,Assumptions!$C$56*24*($A296-$A295)*(1-VLOOKUP($B295,MAIN!$AA$7:$AM$28,$C295+1))*(1-VLOOKUP($B295,MAIN!$AA$33:$AM$54,$C295+1)),0)*80/168</f>
        <v>257742.857142857</v>
      </c>
      <c r="GT295" s="286" t="n">
        <f aca="false">J295</f>
        <v>76.0713550937837</v>
      </c>
      <c r="GU295" s="286" t="n">
        <f aca="false">IF($A295&gt;=BegDate,VLOOKUP($A295,GasTable,13)+Assumptions!$C$58,0)</f>
        <v>4.58711122179671</v>
      </c>
      <c r="GV295" s="286" t="n">
        <f aca="false">GU295*Assumptions!$C$57/1000</f>
        <v>33.2565563580261</v>
      </c>
      <c r="GW295" s="1551" t="n">
        <f aca="false">IF(Assumptions!$C$60="Hourly",MAX(0,GS295*(GT295-GV295)),GS295*(GT295-GV295))</f>
        <v>11035208.5541505</v>
      </c>
      <c r="GX295" s="1551" t="n">
        <f aca="false">IF($A295&gt;=BegDate,Assumptions!$C$56*24*($A296-$A295)*(1-VLOOKUP($B295,MAIN!$AA$7:$AM$28,$C295+1))*(1-VLOOKUP($B295,MAIN!$AA$33:$AM$54,$C295+1)),0)*16/168</f>
        <v>51548.5714285714</v>
      </c>
      <c r="GY295" s="286" t="n">
        <f aca="false">M295</f>
        <v>76.0713550937837</v>
      </c>
      <c r="GZ295" s="286" t="n">
        <f aca="false">IF($A295&gt;=BegDate,VLOOKUP($A295,GasTable,13)+Assumptions!$C$58,0)</f>
        <v>4.58711122179671</v>
      </c>
      <c r="HA295" s="286" t="n">
        <f aca="false">GZ295*Assumptions!$C$57/1000</f>
        <v>33.2565563580261</v>
      </c>
      <c r="HB295" s="1551" t="n">
        <f aca="false">IF(Assumptions!$C$60="Hourly",MAX(0,GX295*(GY295-HA295)),GX295*(GY295-HA295))</f>
        <v>2207041.71083011</v>
      </c>
      <c r="HC295" s="1551" t="n">
        <f aca="false">IF($A295&gt;=BegDate,Assumptions!$C$56*24*($A296-$A295)*(1-VLOOKUP($B295,MAIN!$AA$7:$AM$28,$C295+1))*(1-VLOOKUP($B295,MAIN!$AA$33:$AM$54,$C295+1)),0)*16/168</f>
        <v>51548.5714285714</v>
      </c>
      <c r="HD295" s="286" t="n">
        <f aca="false">P295</f>
        <v>36.2786175417666</v>
      </c>
      <c r="HE295" s="286" t="n">
        <f aca="false">IF($A295&gt;=BegDate,VLOOKUP($A295,GasTable,13)+Assumptions!$C$58,0)</f>
        <v>4.58711122179671</v>
      </c>
      <c r="HF295" s="286" t="n">
        <f aca="false">HE295*Assumptions!$C$57/1000</f>
        <v>33.2565563580261</v>
      </c>
      <c r="HG295" s="1551" t="n">
        <f aca="false">IF(Assumptions!$C$60="Hourly",MAX(0,HC295*(HD295-HF295)),HC295*(HD295-HF295))</f>
        <v>155782.936791557</v>
      </c>
      <c r="HH295" s="1551" t="n">
        <f aca="false">IF($A295&gt;=BegDate,Assumptions!$C$56*24*($A296-$A295)*(1-VLOOKUP($B295,MAIN!$AA$7:$AM$28,$C295+1))*(1-VLOOKUP($B295,MAIN!$AA$33:$AM$54,$C295+1)),0)*56/168</f>
        <v>180420</v>
      </c>
      <c r="HI295" s="286" t="n">
        <f aca="false">S295</f>
        <v>36.2786175417666</v>
      </c>
      <c r="HJ295" s="286" t="n">
        <f aca="false">IF($A295&gt;=BegDate,VLOOKUP($A295,GasTable,13)+Assumptions!$C$58,0)</f>
        <v>4.58711122179671</v>
      </c>
      <c r="HK295" s="286" t="n">
        <f aca="false">HJ295*Assumptions!$C$57/1000</f>
        <v>33.2565563580261</v>
      </c>
      <c r="HL295" s="1551" t="n">
        <f aca="false">IF(Assumptions!$C$60="Hourly",MAX(0,HH295*(HI295-HK295)),HH295*(HI295-HK295))</f>
        <v>545240.27877045</v>
      </c>
      <c r="HM295" s="1551" t="n">
        <f aca="false">IF(AND(Assumptions!$H$71="Yes",A295&gt;=Assumptions!$H$72,A295&lt;=Assumptions!$H$73),Assumptions!$H$74*Assumptions!$C$9*1000,0)</f>
        <v>0</v>
      </c>
    </row>
    <row r="296" customFormat="false" ht="12.75" hidden="false" customHeight="false" outlineLevel="0" collapsed="false">
      <c r="A296" s="1571" t="n">
        <f aca="false">EOMONTH(A295,0)+1</f>
        <v>45139</v>
      </c>
      <c r="B296" s="238" t="n">
        <f aca="false">+YEAR(A296)</f>
        <v>2023</v>
      </c>
      <c r="C296" s="320" t="n">
        <f aca="false">MONTH(A296)</f>
        <v>8</v>
      </c>
      <c r="D296" s="1614" t="str">
        <f aca="false">IF(E296="","",Holiday(B296,C296))</f>
        <v/>
      </c>
      <c r="E296" s="1573" t="str">
        <f aca="false">IF(OR(BegDate&gt;=A297,EndDate&lt;A296,AND(VolumeMonthlyOverFlag,INDEX(VolumeMonthlyOver,C296)=0),NOT(INDEX(MonthKnockOutTable,C296))),"",MAX(A296,BegDate))</f>
        <v/>
      </c>
      <c r="F296" s="1614" t="str">
        <f aca="false">IF(E296="","",MIN(A297-1,EndDate))</f>
        <v/>
      </c>
      <c r="G296" s="1615" t="n">
        <v>0</v>
      </c>
      <c r="H296" s="1576" t="n">
        <f aca="false">(1+G296/2)^(-2*(DATE(B297,C297,20)-DateToday)/365.25)</f>
        <v>1</v>
      </c>
      <c r="I296" s="1568" t="n">
        <f aca="false">IF(Assumptions!$L$25=4,VLOOKUP($A296,'Henwood Reference'!$E$9:$R$320,10),(VLOOKUP($A296,PriceTable,2,0)+IF(BasisNumber&lt;&gt;1,VLOOKUP($A296,BasisTable,2,0),0)+I$1)/(1-I$2))</f>
        <v>94.3955553033934</v>
      </c>
      <c r="J296" s="1568" t="n">
        <f aca="false">IF(Assumptions!$L$25=4,VLOOKUP($A296,'Henwood Reference'!$E$9:$R$320,10),(VLOOKUP($A296,PriceTable,3,0)+IF(BasisNumber&lt;&gt;1,VLOOKUP($A296,BasisTable,2,0),0)+J$1)/(1-J$2))</f>
        <v>94.3955553033934</v>
      </c>
      <c r="K296" s="1568" t="n">
        <f aca="false">IF(Assumptions!$L$25=4,VLOOKUP($A296,'Henwood Reference'!$E$9:$R$320,10),(VLOOKUP($A296,PriceTable,4,0)+IF(BasisNumber&lt;&gt;1,VLOOKUP($A296,BasisTable,2,0),0)+K$1)/(1-K$2))</f>
        <v>94.3955553033934</v>
      </c>
      <c r="L296" s="1523" t="n">
        <f aca="false">IF(Assumptions!$L$25=4,VLOOKUP($A296,'Henwood Reference'!$E$9:$R$320,10),(VLOOKUP($A296,PriceTableWeekend,2,0)+IF(BasisNumber&lt;&gt;1,VLOOKUP($A296,BasisTable,2,0),0)+L$1)/(1-L$2))</f>
        <v>94.3955553033934</v>
      </c>
      <c r="M296" s="1568" t="n">
        <f aca="false">IF(Assumptions!$L$25=4,VLOOKUP($A296,'Henwood Reference'!$E$9:$R$320,10),(VLOOKUP($A296,PriceTableWeekend,3,0)+IF(BasisNumber&lt;&gt;1,VLOOKUP($A296,BasisTable,2,0),0)+M$1)/(1-M$2))</f>
        <v>94.3955553033934</v>
      </c>
      <c r="N296" s="1599" t="n">
        <f aca="false">IF(Assumptions!$L$25=4,VLOOKUP($A296,'Henwood Reference'!$E$9:$R$320,10),(VLOOKUP($A296,PriceTableWeekend,4,0)+IF(BasisNumber&lt;&gt;1,VLOOKUP($A296,BasisTable,2,0),0)+N$1)/(1-N$2))</f>
        <v>94.3955553033934</v>
      </c>
      <c r="O296" s="1568" t="n">
        <f aca="false">IF(Assumptions!$L$25=4,VLOOKUP($A296,'Henwood Reference'!$E$9:$R$320,11),(VLOOKUP($A296,PriceTableWeekend,6,0)+IF(BasisNumber&lt;&gt;1,VLOOKUP($A296,BasisTable,3,0),0)+O$1)/(1-O$2))</f>
        <v>38.785571991978</v>
      </c>
      <c r="P296" s="1568" t="n">
        <f aca="false">IF(Assumptions!$L$25=4,VLOOKUP($A296,'Henwood Reference'!$E$9:$R$320,11),(VLOOKUP($A296,PriceTableWeekend,7,0)+IF(BasisNumber&lt;&gt;1,VLOOKUP($A296,BasisTable,3,0),0)+P$1)/(1-P$2))</f>
        <v>38.785571991978</v>
      </c>
      <c r="Q296" s="1599" t="n">
        <f aca="false">IF(Assumptions!$L$25=4,VLOOKUP($A296,'Henwood Reference'!$E$9:$R$320,11),(VLOOKUP($A296,PriceTableWeekend,8,0)+IF(BasisNumber&lt;&gt;1,VLOOKUP($A296,BasisTable,3,0),0)+Q$1)/(1-Q$2))</f>
        <v>38.785571991978</v>
      </c>
      <c r="R296" s="1568" t="n">
        <f aca="false">IF(Assumptions!$L$25=4,VLOOKUP($A296,'Henwood Reference'!$E$9:$R$320,11),(VLOOKUP($A296,PriceTable,6,0)+IF(BasisNumber&lt;&gt;1,VLOOKUP($A296,BasisTable,3,0),0)+R$1)/(1-R$2))</f>
        <v>38.785571991978</v>
      </c>
      <c r="S296" s="1568" t="n">
        <f aca="false">IF(Assumptions!$L$25=4,VLOOKUP($A296,'Henwood Reference'!$E$9:$R$320,11),(VLOOKUP($A296,PriceTable,7,0)+IF(BasisNumber&lt;&gt;1,VLOOKUP($A296,BasisTable,3,0),0)+S$1)/(1-S$2))</f>
        <v>38.785571991978</v>
      </c>
      <c r="T296" s="1600" t="n">
        <f aca="false">IF(Assumptions!$L$25=4,VLOOKUP($A296,'Henwood Reference'!$E$9:$R$320,11),(VLOOKUP($A296,PriceTable,8,0)+IF(BasisNumber&lt;&gt;1,VLOOKUP($A296,BasisTable,3,0),0)+T$1)/(1-T$2))</f>
        <v>38.785571991978</v>
      </c>
      <c r="U296" s="1513" t="n">
        <f aca="false">VLOOKUP($A296,VolatilityTable,14)</f>
        <v>0.09</v>
      </c>
      <c r="V296" s="1513" t="n">
        <f aca="false">VLOOKUP($A296,VolatilityTable,15)</f>
        <v>0.1</v>
      </c>
      <c r="W296" s="1513" t="n">
        <f aca="false">VLOOKUP($A296,VolatilityTable,16)</f>
        <v>0.11</v>
      </c>
      <c r="X296" s="1513" t="n">
        <f aca="false">VLOOKUP($A296,VolatilityTable,14)</f>
        <v>0.09</v>
      </c>
      <c r="Y296" s="1513" t="n">
        <f aca="false">VLOOKUP($A296,VolatilityTable,15)</f>
        <v>0.1</v>
      </c>
      <c r="Z296" s="1513" t="n">
        <f aca="false">VLOOKUP($A296,VolatilityTable,16)</f>
        <v>0.11</v>
      </c>
      <c r="AA296" s="1513" t="n">
        <f aca="false">VLOOKUP($A296,VolatilityTable,18)</f>
        <v>0.09</v>
      </c>
      <c r="AB296" s="1513" t="n">
        <f aca="false">VLOOKUP($A296,VolatilityTable,19)</f>
        <v>0.11</v>
      </c>
      <c r="AC296" s="1513" t="n">
        <f aca="false">VLOOKUP($A296,VolatilityTable,20)</f>
        <v>0.13</v>
      </c>
      <c r="AD296" s="1513" t="n">
        <f aca="false">VLOOKUP($A296,VolatilityTable,18)</f>
        <v>0.09</v>
      </c>
      <c r="AE296" s="1513" t="n">
        <f aca="false">VLOOKUP($A296,VolatilityTable,19)</f>
        <v>0.11</v>
      </c>
      <c r="AF296" s="1513" t="n">
        <f aca="false">VLOOKUP($A296,VolatilityTable,20)</f>
        <v>0.13</v>
      </c>
      <c r="AG296" s="1513" t="n">
        <f aca="false">VLOOKUP($A296,VolatilityTable,22)</f>
        <v>-0.35</v>
      </c>
      <c r="AH296" s="1513" t="n">
        <f aca="false">VLOOKUP($A296,VolatilityTable,23)</f>
        <v>0.65</v>
      </c>
      <c r="AI296" s="1513" t="n">
        <f aca="false">VLOOKUP($A296,VolatilityTable,24)</f>
        <v>0.35</v>
      </c>
      <c r="AJ296" s="1513" t="n">
        <f aca="false">VLOOKUP($A296,VolatilityTable,22)</f>
        <v>-0.35</v>
      </c>
      <c r="AK296" s="1513" t="n">
        <f aca="false">VLOOKUP($A296,VolatilityTable,23)</f>
        <v>0.65</v>
      </c>
      <c r="AL296" s="1513" t="n">
        <f aca="false">VLOOKUP($A296,VolatilityTable,24)</f>
        <v>0.35</v>
      </c>
      <c r="AM296" s="1513" t="n">
        <f aca="false">VLOOKUP($A296,VolatilityTable,26)</f>
        <v>-0.01</v>
      </c>
      <c r="AN296" s="1513" t="n">
        <f aca="false">VLOOKUP($A296,VolatilityTable,27)</f>
        <v>0.16</v>
      </c>
      <c r="AO296" s="1513" t="n">
        <f aca="false">VLOOKUP($A296,VolatilityTable,28)</f>
        <v>0.01</v>
      </c>
      <c r="AP296" s="1513" t="n">
        <f aca="false">VLOOKUP($A296,VolatilityTable,26)</f>
        <v>-0.01</v>
      </c>
      <c r="AQ296" s="1513" t="n">
        <f aca="false">VLOOKUP($A296,VolatilityTable,27)</f>
        <v>0.16</v>
      </c>
      <c r="AR296" s="1513" t="n">
        <f aca="false">VLOOKUP($A296,VolatilityTable,28)</f>
        <v>0.01</v>
      </c>
      <c r="AS296" s="1616" t="n">
        <f aca="false">IF(CorrPeakOffPeakOverFlag,INDEX(CorrPeakOffPeakOver,C296),CorrPeakOffPeak)</f>
        <v>0.5</v>
      </c>
      <c r="AT296" s="238" t="n">
        <f aca="false">AX296-SUM(AU296:AW296)</f>
        <v>0</v>
      </c>
      <c r="AU296" s="238" t="n">
        <f aca="false">IF(E296="",0,INT((F296-MOD(F296,7)-E296)/7)+1-IF(AW296,IF(WEEKDAY(D296)=7,1,0),0))</f>
        <v>0</v>
      </c>
      <c r="AV296" s="238" t="n">
        <f aca="false">IF(E296="",0,INT((F296-MOD(F296-1,7)-E296)/7)+1-IF(AW296,IF(WEEKDAY(D296)=1,1,0),0))</f>
        <v>0</v>
      </c>
      <c r="AW296" s="238" t="n">
        <f aca="false">IF(OR(E296="",D296="",D296&lt;BegDate,D296&gt;EndDate),0,1)</f>
        <v>0</v>
      </c>
      <c r="AX296" s="238" t="n">
        <f aca="false">IF(E296="",0,F296-E296+1)</f>
        <v>0</v>
      </c>
      <c r="AY296" s="1513" t="n">
        <f aca="false">IF(E296="",0,MIN((1-(1-VLOOKUP(B296,MAIN!$AA$7:$AM$28,C296+1))*(1-VLOOKUP(B296,MAIN!$AA$33:$AM$54,C296+1))),1))</f>
        <v>0</v>
      </c>
      <c r="AZ296" s="1519" t="e">
        <f aca="false" t="array" ref="AZ296:BO296">TakeFunction(TakeType,STake,OTake,CombineTakesFlag,MostExpFlag,VolumeEscType,VolumeEsc,DateToday,BegDate,EndDate,OrderedScalars,OrderedPrices,OrderedPricesSat,OrderedPricesSun,AvailDays,FirmWeek,FirmSat,FirmSun,FirmHol,OptWeek,OptSat,OptSun,OptHol)*(1-PlannedOutages)</f>
        <v>#VALUE!</v>
      </c>
      <c r="BA296" s="1519" t="e">
        <v>#VALUE!</v>
      </c>
      <c r="BB296" s="1519" t="e">
        <v>#VALUE!</v>
      </c>
      <c r="BC296" s="1519" t="e">
        <v>#VALUE!</v>
      </c>
      <c r="BD296" s="1568" t="e">
        <v>#VALUE!</v>
      </c>
      <c r="BE296" s="1568" t="e">
        <v>#VALUE!</v>
      </c>
      <c r="BF296" s="1568" t="e">
        <v>#VALUE!</v>
      </c>
      <c r="BG296" s="1568" t="e">
        <v>#VALUE!</v>
      </c>
      <c r="BH296" s="1519" t="e">
        <v>#VALUE!</v>
      </c>
      <c r="BI296" s="1519" t="e">
        <v>#VALUE!</v>
      </c>
      <c r="BJ296" s="1519" t="e">
        <v>#VALUE!</v>
      </c>
      <c r="BK296" s="1519" t="e">
        <v>#VALUE!</v>
      </c>
      <c r="BL296" s="1568" t="e">
        <v>#VALUE!</v>
      </c>
      <c r="BM296" s="1568" t="e">
        <v>#VALUE!</v>
      </c>
      <c r="BN296" s="1568" t="e">
        <v>#VALUE!</v>
      </c>
      <c r="BO296" s="1568" t="e">
        <v>#VALUE!</v>
      </c>
      <c r="BP296" s="1519" t="e">
        <f aca="false">SUM(AZ296:BB296)</f>
        <v>#VALUE!</v>
      </c>
      <c r="BQ296" s="1519" t="e">
        <f aca="false">SUM(AZ296:BC296)</f>
        <v>#VALUE!</v>
      </c>
      <c r="BR296" s="1519" t="e">
        <f aca="false">SUM(BH296:BJ296)</f>
        <v>#VALUE!</v>
      </c>
      <c r="BS296" s="1519" t="e">
        <f aca="false">SUM(BH296:BK296)</f>
        <v>#VALUE!</v>
      </c>
      <c r="BT296" s="1316" t="n">
        <f aca="false">(IF(OVolType&lt;&gt;2,A296+14,IF(OptExpDateShift,ShiftBack(A296,OptExpDateShift,D295),A296))-DateToday)/365.25</f>
        <v>23.2963723477071</v>
      </c>
      <c r="BU296" s="1316" t="e">
        <f aca="false">IF(BQ296,IF(OPriceCurve,IF(OBuySell=OCallPut,I296/(1-AY296),K296/(1-AY296)),J296/(1-AY296))*BD296,0)</f>
        <v>#VALUE!</v>
      </c>
      <c r="BV296" s="1316" t="e">
        <f aca="false">IF(BQ296,IF(OPriceCurve,IF(OBuySell=OCallPut,L296/(1-AY296),N296/(1-AY296)),M296/(1-AY296))*BE296,0)</f>
        <v>#VALUE!</v>
      </c>
      <c r="BW296" s="1316" t="e">
        <f aca="false">IF(BQ296,IF(OPriceCurve,IF(OBuySell=OCallPut,O296/(1-AY296),Q296/(1-AY296)),P296/(1-AY296))*BF296,0)</f>
        <v>#VALUE!</v>
      </c>
      <c r="BX296" s="1316" t="e">
        <f aca="false">IF(BQ296,IF(OPriceCurve,IF(OBuySell=OCallPut,R296/(1-AY296),T296/(1-AY296)),S296/(1-AY296))*BG296,0)</f>
        <v>#VALUE!</v>
      </c>
      <c r="BY296" s="1316" t="e">
        <f aca="false">IF(BP296,(BU296*AZ296+BV296*BA296+BW296*BB296)/BP296,0)</f>
        <v>#VALUE!</v>
      </c>
      <c r="BZ296" s="1316" t="e">
        <f aca="false">IF(BQ296,(BY296*BP296+BX296*BC296)/BQ296,0)</f>
        <v>#VALUE!</v>
      </c>
      <c r="CA296" s="1316" t="e">
        <f aca="false">IF(BS296,IF(OPriceCurve,IF(OBuySell=OCallPut,I296/(1-AY296),K296/(1-AY296)),J296/(1-AY296))*BL296,0)</f>
        <v>#VALUE!</v>
      </c>
      <c r="CB296" s="1316" t="e">
        <f aca="false">IF(BS296,IF(OPriceCurve,IF(OBuySell=OCallPut,L296/(1-AY296),N296/(1-AY296)),M296/(1-AY296))*BM296,0)</f>
        <v>#VALUE!</v>
      </c>
      <c r="CC296" s="1316" t="e">
        <f aca="false">IF(BS296,IF(OPriceCurve,IF(OBuySell=OCallPut,O296/(1-AY296),Q296/(1-AY296)),P296/(1-AY296))*BN296,0)</f>
        <v>#VALUE!</v>
      </c>
      <c r="CD296" s="1316" t="e">
        <f aca="false">IF(BS296,IF(OPriceCurve,IF(OBuySell=OCallPut,R296/(1-AY296),T296/(1-AY296)),S296/(1-AY296))*BO296,0)</f>
        <v>#VALUE!</v>
      </c>
      <c r="CE296" s="1316" t="e">
        <f aca="false">IF(BR296,(BU296*BH296+BV296*BI296+BW296*BJ296)/BR296,0)</f>
        <v>#VALUE!</v>
      </c>
      <c r="CF296" s="1316" t="e">
        <f aca="false">IF(BS296,(CE296*BR296+CD296*BK296)/BS296,0)</f>
        <v>#VALUE!</v>
      </c>
      <c r="CG296" s="1587" t="e">
        <f aca="false">IF(OR(BQ296,BS296),IF(OVolType&lt;&gt;2,SQRT(IF(OVolOverMonthlyPeak,OVolOverMonthlyPeak,IF(OVolCurve,IF(OBuySell,U296,W296),V296))^2*(1-15/365.25/BT296)+IF(OVolOverDailyPeak,OVolOverDailyPeak,IF(OVolCurve,IF(OBuySell,AG296,AI296),AH296))^2*15/365.25/BT296),IF(OVolOverMonthlyPeak,OVolOverMonthlyPeak,IF(OVolCurve,IF(OBuySell,U296,W296),V296))),"")</f>
        <v>#VALUE!</v>
      </c>
      <c r="CH296" s="1587" t="e">
        <f aca="false">IF(OR(BQ296,BS296),IF(OVolType&lt;&gt;2,SQRT(IF(OVolOverMonthlyPeak,OVolOverMonthlyPeak,IF(OVolCurve,IF(OBuySell,X296,Z296),Y296))^2*(1-15/365.25/BT296)+IF(OVolOverDailyPeak,OVolOverDailyPeak,IF(OVolCurve,IF(OBuySell,AJ296,AL296),AK296))^2*15/365.25/BT296),IF(OVolOverMonthlyPeak,OVolOverMonthlyPeak,IF(OVolCurve,IF(OBuySell,X296,Z296),Y296))),"")</f>
        <v>#VALUE!</v>
      </c>
      <c r="CI296" s="1587" t="e">
        <f aca="false">IF(OR(BQ296,BS296),IF(OVolType&lt;&gt;2,SQRT(IF(OVolOverMonthlyPeak,OVolOverMonthlyPeak,IF(OVolCurve,IF(OBuySell,AA296,AC296),AB296))^2*(1-15/365.25/BT296)+IF(OVolOverDailyPeak,OVolOverDailyPeak,IF(OVolCurve,IF(OBuySell,AM296,AO296),AN296))^2*15/365.25/BT296),IF(OVolOverMonthlyPeak,OVolOverMonthlyPeak,IF(OVolCurve,IF(OBuySell,AA296,AC296),AB296))),"")</f>
        <v>#VALUE!</v>
      </c>
      <c r="CJ296" s="1587" t="e">
        <f aca="false">IF(BQ296,IF(BP296,SQRT(LN(1+((BU296*AZ296)^2*(EXP(CG296^2*BT296)-1)+(BV296*BA296)^2*(EXP(CH296^2*BT296)-1)+(BW296*BB296)^2*(EXP(CI296^2*BT296)-1)+2*BU296*AZ296*BV296*BA296*(EXP(CG296*CH296*BT296)-1)+2*BV296*BA296*BW296*BB296*(EXP(CH296*CI296*BT296)-1)+2*BW296*BB296*BU296*AZ296*(EXP(CI296*CG296*BT296)-1))/(BY296*BP296)^2)/BT296),0),"")</f>
        <v>#VALUE!</v>
      </c>
      <c r="CK296" s="1587" t="e">
        <f aca="false">IF(BS296,IF(BR296,SQRT(LN(1+((CA296*BH296)^2*(EXP(CG296^2*BT296)-1)+(CB296*BI296)^2*(EXP(CH296^2*BT296)-1)+(CC296*BJ296)^2*(EXP(CI296^2*BT296)-1)+2*CA296*BH296*CB296*BI296*(EXP(CG296*CH296*BT296)-1)+2*CB296*BI296*CC296*BJ296*(EXP(CH296*CI296*BT296)-1)+2*CC296*BJ296*CA296*BH296*(EXP(CI296*CG296*BT296)-1))/(CE296*BR296)^2)/BT296),0),"")</f>
        <v>#VALUE!</v>
      </c>
      <c r="CL296" s="1587" t="e">
        <f aca="false">IF(OR(BQ296,BS296),IF(OVolType&lt;&gt;2,SQRT(IF(OVolOverMonthlyOffPeak,OVolOverMonthlyOffPeak,IF(OVolCurve,IF(OBuySell,AD296,AF296),AE296))^2*(1-15/365.25/BT296)+IF(OVolOverDailyOffPeak,OVolOverDailyOffPeak,IF(OVolCurve,IF(OBuySell,AP296,AR296),AQ296))^2*15/365.25/BT296),IF(OVolOverMonthlyOffPeak,OVolOverMonthlyOffPeak,IF(OVolCurve,IF(OBuySell,AD296,AF296),AE296))),"")</f>
        <v>#VALUE!</v>
      </c>
      <c r="CM296" s="1587" t="e">
        <f aca="false">IF(BQ296,SQRT(LN(1+((BY296*BP296)^2*(EXP(CJ296^2*BT296)-1)+(BX296*BC296)^2*(EXP(CL296^2*BT296)-1)+2*BY296*BP296*BX296*BC296*(EXP(AS296*CJ296*CL296*BT296)-1))/(BY296*BP296+BX296*BC296)^2)/BT296),"")</f>
        <v>#VALUE!</v>
      </c>
      <c r="CN296" s="1587" t="e">
        <f aca="false">IF(BS296,SQRT(LN(1+((CE296*BR296)^2*(EXP(CK296^2*BT296)-1)+(CD296*BK296)^2*(EXP(CL296^2*BT296)-1)+2*CE296*BR296*CD296*BK296*(EXP(AS296*CK296*CL296*BT296)-1))/(CE296*BR296+CD296*BK296)^2)/BT296),"")</f>
        <v>#VALUE!</v>
      </c>
      <c r="CO296" s="1316" t="e">
        <f aca="false">IF(OR(BQ296,BS296),VLOOKUP(A296,GasTable,13)*HeatRatePeak*(1+VLOOKUP($B296,HeatRateDegradation,$C296+1))/1000,0)</f>
        <v>#VALUE!</v>
      </c>
      <c r="CP296" s="1316" t="e">
        <f aca="false">IF(OR(BQ296,BS296),VLOOKUP(A296,GasTable,13)*HeatRatePeak*(1+VLOOKUP($B296,HeatRateDegradation,$C296+1))/1000,0)</f>
        <v>#VALUE!</v>
      </c>
      <c r="CQ296" s="1316" t="e">
        <f aca="false">IF(OR(BQ296,BS296),VLOOKUP(A296,GasTable,13)*IF(EV296,HeatRatePeak,HeatRateOffPeak)*(1+VLOOKUP($B296,HeatRateDegradation,$C296+1))/1000,0)</f>
        <v>#VALUE!</v>
      </c>
      <c r="CR296" s="1316" t="e">
        <f aca="false">IF(OR(BQ296,BS296),VLOOKUP(A296,GasTable,13)*IF(EW296,HeatRatePeak,HeatRateOffPeak)*(1+VLOOKUP($B296,HeatRateDegradation,$C296+1))/1000,0)</f>
        <v>#VALUE!</v>
      </c>
      <c r="CS296" s="1589" t="e">
        <f aca="false">IF(BQ296,(CO296*AZ296+CP296*BA296+CQ296*BB296+CR296*BC296)/BQ296,0)</f>
        <v>#VALUE!</v>
      </c>
      <c r="CT296" s="1316" t="e">
        <f aca="false">IF(BS296,CO296,0)</f>
        <v>#VALUE!</v>
      </c>
      <c r="CU296" s="1592" t="e">
        <f aca="false">IF(OR(BQ296,BS296),VLOOKUP(A296,GasTable,14),"")</f>
        <v>#VALUE!</v>
      </c>
      <c r="CV296" s="1568" t="e">
        <f aca="false">IF(OR(BQ296,BS296),IF(CorrPowerGasOverFlag,INDEX(CorrPowerGasOver,C296),CorrPowerGas),"")</f>
        <v>#VALUE!</v>
      </c>
      <c r="CW296" s="1316" t="e">
        <f aca="false">IF(OR($BQ296,$BS296),SpreadOptPowerMargin,0)*((1+Assumptions!$C$26)^($B296-YEAR(Assumptions!$C$17)))</f>
        <v>#VALUE!</v>
      </c>
      <c r="CX296" s="1316" t="e">
        <f aca="false">IF(OR($BQ296,$BS296),SpreadOptPowerMargin,0)*((1+Assumptions!$C$26)^($B296-YEAR(Assumptions!$C$17)))</f>
        <v>#VALUE!</v>
      </c>
      <c r="CY296" s="1316" t="e">
        <f aca="false">IF(OR($BQ296,$BS296),SpreadOptPowerMargin,0)*((1+Assumptions!$C$26)^($B296-YEAR(Assumptions!$C$17)))</f>
        <v>#VALUE!</v>
      </c>
      <c r="CZ296" s="1316" t="e">
        <f aca="false">IF(OR($BQ296,$BS296),SpreadOptPowerMargin,0)*((1+Assumptions!$C$26)^($B296-YEAR(Assumptions!$C$17)))</f>
        <v>#VALUE!</v>
      </c>
      <c r="DA296" s="1316" t="e">
        <f aca="false">IF(OR(BQ296,BS296),(CW296*(AZ296+BH296)+CX296*(BA296+BI296)+CY296*(BB296+BJ296)+CZ296*(BC296+BK296))/(BQ296+BS296),0)</f>
        <v>#VALUE!</v>
      </c>
      <c r="DB296" s="1592" t="e">
        <f aca="false">IF(OR(BQ296,BS296),CG296+IF(OVolSmile,VLOOKUP(MAX(-5,CO296+CW296-BU296),IF(OVolSmile=1,VolSmileBook,VolSmileModel),2),0),"")</f>
        <v>#VALUE!</v>
      </c>
      <c r="DC296" s="1592" t="e">
        <f aca="false">IF(OR(BQ296,BS296),CH296+IF(OVolSmile,VLOOKUP(MAX(-5,CP296+CW296-BV296),IF(OVolSmile=1,VolSmileBook,VolSmileModel),2),0),"")</f>
        <v>#VALUE!</v>
      </c>
      <c r="DD296" s="1592" t="e">
        <f aca="false">IF(OR(BQ296,BS296),CI296+IF(OVolSmile,VLOOKUP(MAX(-5,CQ296+CW296-BW296),IF(OVolSmile=1,VolSmileBook,VolSmileModel),2),0),"")</f>
        <v>#VALUE!</v>
      </c>
      <c r="DE296" s="1592" t="e">
        <f aca="false">IF(OR(BQ296,BS296),CL296+IF(OVolSmile,VLOOKUP(MAX(-5,CR296+CZ296-BX296),IF(OVolSmile=1,VolSmileBook,VolSmileModel),2),0),"")</f>
        <v>#VALUE!</v>
      </c>
      <c r="DF296" s="1592" t="e">
        <f aca="false">IF(BQ296,CM296+IF(OVolSmile,VLOOKUP(MAX(-5,CS296+DA296-BZ296),IF(OVolSmile=1,VolSmileBook,VolSmileModel),2),0),"")</f>
        <v>#VALUE!</v>
      </c>
      <c r="DG296" s="1592" t="e">
        <f aca="false">IF(BS296,CN296+IF(OVolSmile,VLOOKUP(MAX(-5,CT296+DA296-CF296),IF(OVolSmile=1,VolSmileBook,VolSmileModel),2),0),"")</f>
        <v>#VALUE!</v>
      </c>
      <c r="DH296" s="1316" t="e">
        <f aca="false">IF(AND(BU296&gt;0,CO296&gt;0,DB296&gt;0,CU296&gt;0),newSPRDOPT(BU296,CO296,CW296,0,DB296,CU296,CV296,BT296*365.25,OCallPut,0),0)</f>
        <v>#VALUE!</v>
      </c>
      <c r="DI296" s="1316" t="e">
        <f aca="false">IF(AND(BV296&gt;0,CP296&gt;0,DC296&gt;0,CU296&gt;0),newSPRDOPT(BV296,CP296,CX296,0,DC296,CU296,CV296,BT296*365.25,OCallPut,0),0)</f>
        <v>#VALUE!</v>
      </c>
      <c r="DJ296" s="1316" t="e">
        <f aca="false">IF(AND(BW296&gt;0,CQ296&gt;0,DD296&gt;0,CU296&gt;0),newSPRDOPT(BW296,CQ296,CY296,0,DD296,CU296,CV296,BT296*365.25,OCallPut,0),0)</f>
        <v>#VALUE!</v>
      </c>
      <c r="DK296" s="1316" t="e">
        <f aca="false">IF(AND(BX296&gt;0,CR296&gt;0,DE296&gt;0,CU296&gt;0),newSPRDOPT(BX296,CR296,CZ296,0,DE296,CU296,CV296,BT296*365.25,OCallPut,0),0)</f>
        <v>#VALUE!</v>
      </c>
      <c r="DL296" s="1316" t="e">
        <f aca="false">IF(OVolType,IF(AND(BZ296&gt;0,CS296&gt;0,DF296&gt;0,CU296&gt;0),newSPRDOPT(BZ296,CS296,DA296,0,DF296,CU296,CV296,BT296*365.25,OCallPut,0),0),IF(BQ296,(DH296*AZ296+DI296*BA296+DJ296*BB296+DK296*BC296)/BQ296,0))</f>
        <v>#VALUE!</v>
      </c>
      <c r="DM296" s="1316"/>
      <c r="DN296" s="1316"/>
      <c r="DO296" s="1316"/>
      <c r="DP296" s="1316"/>
      <c r="DQ296" s="1316"/>
      <c r="DR296" s="1316"/>
      <c r="DS296" s="1316"/>
      <c r="DT296" s="1316"/>
      <c r="DU296" s="1316"/>
      <c r="DV296" s="1316"/>
      <c r="DW296" s="1316" t="e">
        <f aca="false">IF(AND(BW296&gt;0,CT296&gt;0,DD296&gt;0,CU296&gt;0),newSPRDOPT(BW296,CT296,CY296,0,DD296,CU296,CV296,BT296*365.25,OCallPut,0),0)</f>
        <v>#VALUE!</v>
      </c>
      <c r="DX296" s="1316" t="e">
        <f aca="false">IF(AND(BX296&gt;0,CT296&gt;0,DE296&gt;0,CU296&gt;0),newSPRDOPT(BX296,CT296,CZ296,0,DE296,CU296,CV296,BT296*365.25,OCallPut,0),0)</f>
        <v>#VALUE!</v>
      </c>
      <c r="DY296" s="1316" t="e">
        <f aca="false">IF(BS296,(DH296*BH296+DI296*BI296+DW296*BJ296+DX296*BK296)/BS296,0)</f>
        <v>#VALUE!</v>
      </c>
      <c r="DZ296" s="1551" t="e">
        <f aca="false">DH296*AZ296</f>
        <v>#VALUE!</v>
      </c>
      <c r="EA296" s="1551" t="e">
        <f aca="false">DI296*BA296</f>
        <v>#VALUE!</v>
      </c>
      <c r="EB296" s="1551" t="e">
        <f aca="false">DJ296*BB296</f>
        <v>#VALUE!</v>
      </c>
      <c r="EC296" s="1551" t="e">
        <f aca="false">DK296*BC296</f>
        <v>#VALUE!</v>
      </c>
      <c r="ED296" s="1551" t="e">
        <f aca="false">DL296*BQ296</f>
        <v>#VALUE!</v>
      </c>
      <c r="EE296" s="1596" t="e">
        <f aca="false">IF(BQ296,IF(OCallPut,IF(BU296&gt;(CO296+CW296),BU296-(CO296+CW296),0),IF((CO296+CW296)&gt;BU296,(CO296+CW296)-BU296,0))*AZ296,0)</f>
        <v>#VALUE!</v>
      </c>
      <c r="EF296" s="1596" t="e">
        <f aca="false">IF(BQ296,IF(OCallPut,IF(BV296&gt;(CP296+CX296),BV296-(CP296+CX296),0),IF((CP296+CX296)&gt;BV296,(CP296+CX296)-BV296,0))*BA296,0)</f>
        <v>#VALUE!</v>
      </c>
      <c r="EG296" s="1596" t="e">
        <f aca="false">IF(BQ296,IF(OCallPut,IF(BW296&gt;(CQ296+CY296),BW296-(CQ296+CY296),0),IF((CQ296+CY296)&gt;BW296,(CQ296+CY296)-BW296,0))*BB296,0)</f>
        <v>#VALUE!</v>
      </c>
      <c r="EH296" s="1596" t="e">
        <f aca="false">IF(BQ296,IF(OCallPut,IF(BX296&gt;(CR296+CZ296),BX296-(CR296+CZ296),0),IF((CR296+CZ296)&gt;BX296,(CR296+CZ296)-BX296,0))*BC296,0)</f>
        <v>#VALUE!</v>
      </c>
      <c r="EI296" s="1597" t="e">
        <f aca="false">IF(BQ296,IF(OVolType,IF(OCallPut,IF(BZ296&gt;(CS296+DA296),BZ296-(CS296+DA296),0),IF((CS296+DA296)&gt;BZ296,(CS296+DA296)-BZ296,0))*BQ296,SUM(EE296:EH296)),0)</f>
        <v>#VALUE!</v>
      </c>
      <c r="EJ296" s="1596" t="e">
        <f aca="false">DZ296-EE296</f>
        <v>#VALUE!</v>
      </c>
      <c r="EK296" s="1596" t="e">
        <f aca="false">EA296-EF296</f>
        <v>#VALUE!</v>
      </c>
      <c r="EL296" s="1596" t="e">
        <f aca="false">EB296-EG296</f>
        <v>#VALUE!</v>
      </c>
      <c r="EM296" s="1596" t="e">
        <f aca="false">EC296-EH296</f>
        <v>#VALUE!</v>
      </c>
      <c r="EN296" s="1597" t="e">
        <f aca="false">ED296-EI296</f>
        <v>#VALUE!</v>
      </c>
      <c r="EO296" s="1551" t="e">
        <f aca="false">DH296*BH296</f>
        <v>#VALUE!</v>
      </c>
      <c r="EP296" s="1551" t="e">
        <f aca="false">DI296*BI296</f>
        <v>#VALUE!</v>
      </c>
      <c r="EQ296" s="1551" t="e">
        <f aca="false">DW296*BJ296</f>
        <v>#VALUE!</v>
      </c>
      <c r="ER296" s="1551" t="e">
        <f aca="false">DX296*BK296</f>
        <v>#VALUE!</v>
      </c>
      <c r="ES296" s="1551" t="e">
        <f aca="false">DY296*BS296</f>
        <v>#VALUE!</v>
      </c>
      <c r="ET296" s="1566" t="e">
        <f aca="false">IF(EI296,IF(OCallPut,IF(CA296&gt;(CT296+CW296),CA296-(CT296+CW296),0),IF((CT296+CW296)&gt;CA296,(CT296+CW296)-CA296,0))*BH296,0)</f>
        <v>#VALUE!</v>
      </c>
      <c r="EU296" s="1551" t="e">
        <f aca="false">IF(EI296,IF(OCallPut,IF(CB296&gt;(CT296+CX296),CB296-(CT296+CX296),0),IF((CT296+CX296)&gt;CB296,(CT296+CX296)-CB296,0))*BI296,0)</f>
        <v>#VALUE!</v>
      </c>
      <c r="EV296" s="1551" t="e">
        <f aca="false">IF(EI296,IF(OCallPut,IF(CC296&gt;(CT296+CY296),CC296-(CT296+CY296),0),IF((CT296+CY296)&gt;CC296,(CT296+CY296)-CC296,0))*BJ296,0)</f>
        <v>#VALUE!</v>
      </c>
      <c r="EW296" s="1551" t="e">
        <f aca="false">IF(EI296,IF(OCallPut,IF(CD296&gt;(CT296+CZ296),CD296-(CT296+CZ296),0),IF((CT296+CZ296)&gt;CD296,(CT296+CZ296)-CD296,0))*BK296,0)</f>
        <v>#VALUE!</v>
      </c>
      <c r="EX296" s="1558" t="e">
        <f aca="false">IF(EI296,SUM(ET296:EW296),0)</f>
        <v>#VALUE!</v>
      </c>
      <c r="EY296" s="1551" t="e">
        <f aca="false">EO296-ET296</f>
        <v>#VALUE!</v>
      </c>
      <c r="EZ296" s="1551" t="e">
        <f aca="false">EP296-EU296</f>
        <v>#VALUE!</v>
      </c>
      <c r="FA296" s="1551" t="e">
        <f aca="false">EQ296-EV296</f>
        <v>#VALUE!</v>
      </c>
      <c r="FB296" s="1551" t="e">
        <f aca="false">ER296-EW296</f>
        <v>#VALUE!</v>
      </c>
      <c r="FC296" s="1551" t="e">
        <f aca="false">ES296-EX296</f>
        <v>#VALUE!</v>
      </c>
      <c r="FD296" s="1519" t="n">
        <f aca="false">IF(AX296,IF(VLOOKUP(C296,MAIN!$L$17:$M$28,2)="Yes",VLOOKUP(CALC!B296,MAIN!$H$17:$I$20,2),0),0)</f>
        <v>0</v>
      </c>
      <c r="FE296" s="1553" t="n">
        <f aca="false">$FD296*16*AT296*(1-$AY296)</f>
        <v>0</v>
      </c>
      <c r="FF296" s="1553" t="n">
        <f aca="false">$FD296*16*AU296*(1-$AY296)</f>
        <v>0</v>
      </c>
      <c r="FG296" s="1553" t="n">
        <f aca="false">$FD296*16*(AV296+AW296)*(1-$AY296)</f>
        <v>0</v>
      </c>
      <c r="FH296" s="1553" t="n">
        <f aca="false">$FD296*8*AX296*(1-$AY296)</f>
        <v>0</v>
      </c>
      <c r="FI296" s="1555" t="n">
        <f aca="false">IF(AX296,VLOOKUP(CALC!B296,MAIN!$H$17:$K$20,4),0)</f>
        <v>0</v>
      </c>
      <c r="FJ296" s="1553" t="n">
        <f aca="false">SUM(FE296:FH296)</f>
        <v>0</v>
      </c>
      <c r="FK296" s="1553" t="n">
        <f aca="false">FI296*FJ296</f>
        <v>0</v>
      </c>
      <c r="FL296" s="1551" t="e">
        <f aca="false">IF($EI296&gt;0,MIN(FE296,AZ296*(1+VLOOKUP($C296,WeatherCapacityAdjustment,2))),0)</f>
        <v>#VALUE!</v>
      </c>
      <c r="FM296" s="1551" t="e">
        <f aca="false">IF($EI296&gt;0,MIN(FF296,BA296*(1+VLOOKUP($C296,WeatherCapacityAdjustment,2))),0)</f>
        <v>#VALUE!</v>
      </c>
      <c r="FN296" s="1551" t="e">
        <f aca="false">IF($EI296&gt;0,MIN(FG296,BB296*(1+VLOOKUP($C296,WeatherCapacityAdjustment,2))),0)</f>
        <v>#VALUE!</v>
      </c>
      <c r="FO296" s="1564" t="e">
        <f aca="false">IF($EI296&gt;0,MIN(FH296,BC296*(1+VLOOKUP($C296,WeatherCapacityAdjustment,3))),0)</f>
        <v>#VALUE!</v>
      </c>
      <c r="FP296" s="1551" t="e">
        <f aca="false">IF(ET296&gt;0,MIN(FE296-FL296,BH296*(1+VLOOKUP($C296,WeatherCapacityAdjustment,2))),0)</f>
        <v>#VALUE!</v>
      </c>
      <c r="FQ296" s="1551" t="e">
        <f aca="false">IF(EU296&gt;0,MIN(FF296-FM296,BI296*(1+VLOOKUP($C296,WeatherCapacityAdjustment,2))),0)</f>
        <v>#VALUE!</v>
      </c>
      <c r="FR296" s="1551" t="e">
        <f aca="false">IF(EV296&gt;0,MIN(FG296-FN296,BJ296*(1+VLOOKUP($C296,WeatherCapacityAdjustment,2))),0)</f>
        <v>#VALUE!</v>
      </c>
      <c r="FS296" s="1558" t="e">
        <f aca="false">IF(EW296&gt;0,MIN(FH296-FO296,BK296*(1+VLOOKUP($C296,WeatherCapacityAdjustment,3))),0)</f>
        <v>#VALUE!</v>
      </c>
      <c r="FT296" s="1566" t="n">
        <f aca="false">IF(AND(Assumptions!$H$71="Yes",A296&gt;=Assumptions!$H$72,A296&lt;=Assumptions!$H$73),0,IF(AND($A296&gt;=Assumptions!$C$17,$A296&lt;=Assumptions!$C$18),MAX(AZ296*(1+VLOOKUP($C296,WeatherCapacityAdjustment,2))-FL296,0),0))</f>
        <v>0</v>
      </c>
      <c r="FU296" s="1551" t="n">
        <f aca="false">IF(AND(Assumptions!$H$71="Yes",A296&gt;=Assumptions!$H$72,A296&lt;=Assumptions!$H$73),0,IF(AND($A296&gt;=Assumptions!$C$17,$A296&lt;=Assumptions!$C$18),MAX(BA296*(1+VLOOKUP($C296,WeatherCapacityAdjustment,2))-FM296,0),0))</f>
        <v>0</v>
      </c>
      <c r="FV296" s="1551" t="n">
        <f aca="false">IF(AND(Assumptions!$H$71="Yes",A296&gt;=Assumptions!$H$72,A296&lt;=Assumptions!$H$73),0,IF(AND($A296&gt;=Assumptions!$C$17,$A296&lt;=Assumptions!$C$18),MAX(BB296*(1+VLOOKUP($C296,WeatherCapacityAdjustment,2))-FN296,0),0))</f>
        <v>0</v>
      </c>
      <c r="FW296" s="1564" t="n">
        <f aca="false">IF(AND(Assumptions!$H$71="Yes",A296&gt;=Assumptions!$H$72,A296&lt;=Assumptions!$H$73),0,IF(AND($A296&gt;=Assumptions!$C$17,$A296&lt;=Assumptions!$C$18),MAX(BC296*(1+VLOOKUP($C296,WeatherCapacityAdjustment,3))-FO296,0),0))</f>
        <v>0</v>
      </c>
      <c r="FX296" s="1569" t="e">
        <f aca="false">IF(AND(Assumptions!$H$71="Yes",A296&gt;=Assumptions!$H$72,A296&lt;=Assumptions!$H$73),0,IF(ET296&gt;0,MAX(BH296*(1+VLOOKUP($C296,WeatherCapacityAdjustment,2))-FP296,0),0))</f>
        <v>#VALUE!</v>
      </c>
      <c r="FY296" s="1551" t="e">
        <f aca="false">IF(AND(Assumptions!$H$71="Yes",A296&gt;=Assumptions!$H$72,A296&lt;=Assumptions!$H$73),0,IF(EU296&gt;0,MAX(BI296*(1+VLOOKUP($C296,WeatherCapacityAdjustment,3))-FQ296,0),0))</f>
        <v>#VALUE!</v>
      </c>
      <c r="FZ296" s="1551" t="e">
        <f aca="false">IF(AND(Assumptions!$H$71="Yes",A296&gt;=Assumptions!$H$72,A296&lt;=Assumptions!$H$73),0,IF(EV296&gt;0,MAX(BJ296*(1+VLOOKUP($C296,WeatherCapacityAdjustment,2))-FR296,0),0))</f>
        <v>#VALUE!</v>
      </c>
      <c r="GA296" s="1564" t="e">
        <f aca="false">IF(AND(Assumptions!$H$71="Yes",A296&gt;=Assumptions!$H$72,A296&lt;=Assumptions!$H$73),0,IF(EW296&gt;0,MAX(BK296*(1+VLOOKUP($C296,WeatherCapacityAdjustment,2))-FS296,0),0))</f>
        <v>#VALUE!</v>
      </c>
      <c r="GB296" s="1551" t="e">
        <f aca="false">SUM(FT296:GA296)</f>
        <v>#VALUE!</v>
      </c>
      <c r="GC296" s="1563" t="e">
        <f aca="false">+IF(SUM(FT296:GA296)=0,0,(SUMPRODUCT(BU296:BX296,FT296:FW296)+SUMPRODUCT(CA296:CD296,FX296:GA296))/SUM(FT296:GA296))</f>
        <v>#VALUE!</v>
      </c>
      <c r="GD296" s="1551" t="e">
        <f aca="false">(FT296*BU296+FX296*CA296+FU296*BV296+FY296*CB296+FV296*BW296+FZ296*CC296+FW296*BX296+GA296*CD296)</f>
        <v>#VALUE!</v>
      </c>
      <c r="GE296" s="1561" t="e">
        <f aca="false">+IF(BQ296,((FL296+FM296+FT296+FU296)*HeatRatePeak/1000*(1+VLOOKUP($C296,WeatherHeatRateAdjustment,2))+(FN296+FV296)*IF(EV296&gt;0,HeatRatePeak,HeatRateOffPeak)/1000*(1+VLOOKUP($C296,WeatherHeatRateAdjustment,2))+(FO296+FW296)*IF(EW296&gt;0,HeatRatePeak,HeatRateOffPeak)/1000*(1+VLOOKUP($C296,WeatherHeatRateAdjustment,3)))*(1+VLOOKUP($B296,HeatRateDegradation,$C296+1)),0)</f>
        <v>#VALUE!</v>
      </c>
      <c r="GF296" s="1562" t="e">
        <f aca="false">IF(BQ296,((FP296+FQ296+FR296+FX296+FY296+FZ296)*HeatRatePeak/1000*(1+VLOOKUP($C296,WeatherHeatRateAdjustment,2))+(FS296+GA296)*HeatRatePeak/1000*(1+VLOOKUP($C296,WeatherHeatRateAdjustment,3)))*(1+VLOOKUP($B296,HeatRateDegradation,$C296+1)),0)</f>
        <v>#VALUE!</v>
      </c>
      <c r="GG296" s="1563" t="e">
        <f aca="false">IF(BQ296,VLOOKUP(A296,GasTable,13),0)</f>
        <v>#VALUE!</v>
      </c>
      <c r="GH296" s="1564" t="e">
        <f aca="false">(GE296+GF296)*GG296</f>
        <v>#VALUE!</v>
      </c>
      <c r="GI296" s="1569" t="e">
        <f aca="false">GB296</f>
        <v>#VALUE!</v>
      </c>
      <c r="GJ296" s="1598" t="e">
        <f aca="false">+DA296</f>
        <v>#VALUE!</v>
      </c>
      <c r="GK296" s="1558" t="e">
        <f aca="false">+GI296*GJ296</f>
        <v>#VALUE!</v>
      </c>
      <c r="GL296" s="1566" t="e">
        <f aca="false">MAX(FE296-FL296-FP296,0)</f>
        <v>#VALUE!</v>
      </c>
      <c r="GM296" s="1551" t="e">
        <f aca="false">MAX(FF296-FM296-FQ296,0)</f>
        <v>#VALUE!</v>
      </c>
      <c r="GN296" s="1551" t="e">
        <f aca="false">MAX(FG296-FN296-FR296,0)</f>
        <v>#VALUE!</v>
      </c>
      <c r="GO296" s="1564" t="e">
        <f aca="false">MAX(FH296-FO296-FS296,0)</f>
        <v>#VALUE!</v>
      </c>
      <c r="GP296" s="1551" t="e">
        <f aca="false">SUM(GL296:GO296)</f>
        <v>#VALUE!</v>
      </c>
      <c r="GQ296" s="1563" t="e">
        <f aca="false">IF(SUM(GL296:GO296)=0,0,((GL296*BU296+GM296*BV296+GN296*BW296+GO296*BX296)/SUM(GL296:GO296)))</f>
        <v>#VALUE!</v>
      </c>
      <c r="GR296" s="1558" t="e">
        <f aca="false">(GL296*BU296+GM296*BV296+GN296*BW296+GO296*BX296)</f>
        <v>#VALUE!</v>
      </c>
      <c r="GS296" s="1551" t="n">
        <f aca="false">IF($A296&gt;=BegDate,Assumptions!$C$56*24*($A297-$A296)*(1-VLOOKUP($B296,MAIN!$AA$7:$AM$28,$C296+1))*(1-VLOOKUP($B296,MAIN!$AA$33:$AM$54,$C296+1)),0)*80/168</f>
        <v>257742.857142857</v>
      </c>
      <c r="GT296" s="286" t="n">
        <f aca="false">J296</f>
        <v>94.3955553033934</v>
      </c>
      <c r="GU296" s="286" t="n">
        <f aca="false">IF($A296&gt;=BegDate,VLOOKUP($A296,GasTable,13)+Assumptions!$C$58,0)</f>
        <v>4.58711122179671</v>
      </c>
      <c r="GV296" s="286" t="n">
        <f aca="false">GU296*Assumptions!$C$57/1000</f>
        <v>33.2565563580261</v>
      </c>
      <c r="GW296" s="1551" t="n">
        <f aca="false">IF(Assumptions!$C$60="Hourly",MAX(0,GS296*(GT296-GV296)),GS296*(GT296-GV296))</f>
        <v>15758140.2710331</v>
      </c>
      <c r="GX296" s="1551" t="n">
        <f aca="false">IF($A296&gt;=BegDate,Assumptions!$C$56*24*($A297-$A296)*(1-VLOOKUP($B296,MAIN!$AA$7:$AM$28,$C296+1))*(1-VLOOKUP($B296,MAIN!$AA$33:$AM$54,$C296+1)),0)*16/168</f>
        <v>51548.5714285714</v>
      </c>
      <c r="GY296" s="286" t="n">
        <f aca="false">M296</f>
        <v>94.3955553033934</v>
      </c>
      <c r="GZ296" s="286" t="n">
        <f aca="false">IF($A296&gt;=BegDate,VLOOKUP($A296,GasTable,13)+Assumptions!$C$58,0)</f>
        <v>4.58711122179671</v>
      </c>
      <c r="HA296" s="286" t="n">
        <f aca="false">GZ296*Assumptions!$C$57/1000</f>
        <v>33.2565563580261</v>
      </c>
      <c r="HB296" s="1551" t="n">
        <f aca="false">IF(Assumptions!$C$60="Hourly",MAX(0,GX296*(GY296-HA296)),GX296*(GY296-HA296))</f>
        <v>3151628.05420662</v>
      </c>
      <c r="HC296" s="1551" t="n">
        <f aca="false">IF($A296&gt;=BegDate,Assumptions!$C$56*24*($A297-$A296)*(1-VLOOKUP($B296,MAIN!$AA$7:$AM$28,$C296+1))*(1-VLOOKUP($B296,MAIN!$AA$33:$AM$54,$C296+1)),0)*16/168</f>
        <v>51548.5714285714</v>
      </c>
      <c r="HD296" s="286" t="n">
        <f aca="false">P296</f>
        <v>38.785571991978</v>
      </c>
      <c r="HE296" s="286" t="n">
        <f aca="false">IF($A296&gt;=BegDate,VLOOKUP($A296,GasTable,13)+Assumptions!$C$58,0)</f>
        <v>4.58711122179671</v>
      </c>
      <c r="HF296" s="286" t="n">
        <f aca="false">HE296*Assumptions!$C$57/1000</f>
        <v>33.2565563580261</v>
      </c>
      <c r="HG296" s="1551" t="n">
        <f aca="false">IF(Assumptions!$C$60="Hourly",MAX(0,HC296*(HD296-HF296)),HC296*(HD296-HF296))</f>
        <v>285012.857336459</v>
      </c>
      <c r="HH296" s="1551" t="n">
        <f aca="false">IF($A296&gt;=BegDate,Assumptions!$C$56*24*($A297-$A296)*(1-VLOOKUP($B296,MAIN!$AA$7:$AM$28,$C296+1))*(1-VLOOKUP($B296,MAIN!$AA$33:$AM$54,$C296+1)),0)*56/168</f>
        <v>180420</v>
      </c>
      <c r="HI296" s="286" t="n">
        <f aca="false">S296</f>
        <v>38.785571991978</v>
      </c>
      <c r="HJ296" s="286" t="n">
        <f aca="false">IF($A296&gt;=BegDate,VLOOKUP($A296,GasTable,13)+Assumptions!$C$58,0)</f>
        <v>4.58711122179671</v>
      </c>
      <c r="HK296" s="286" t="n">
        <f aca="false">HJ296*Assumptions!$C$57/1000</f>
        <v>33.2565563580261</v>
      </c>
      <c r="HL296" s="1551" t="n">
        <f aca="false">IF(Assumptions!$C$60="Hourly",MAX(0,HH296*(HI296-HK296)),HH296*(HI296-HK296))</f>
        <v>997545.000677606</v>
      </c>
      <c r="HM296" s="1551" t="n">
        <f aca="false">IF(AND(Assumptions!$H$71="Yes",A296&gt;=Assumptions!$H$72,A296&lt;=Assumptions!$H$73),Assumptions!$H$74*Assumptions!$C$9*1000,0)</f>
        <v>0</v>
      </c>
    </row>
    <row r="297" customFormat="false" ht="12.75" hidden="false" customHeight="false" outlineLevel="0" collapsed="false">
      <c r="A297" s="1617" t="n">
        <f aca="false">EOMONTH(A296,0)+1</f>
        <v>45170</v>
      </c>
      <c r="B297" s="238" t="n">
        <f aca="false">+YEAR(A297)</f>
        <v>2023</v>
      </c>
      <c r="C297" s="320" t="n">
        <f aca="false">MONTH(A297)</f>
        <v>9</v>
      </c>
      <c r="D297" s="1614" t="str">
        <f aca="false">IF(E297="","",Holiday(B297,C297))</f>
        <v/>
      </c>
      <c r="E297" s="1573" t="str">
        <f aca="false">IF(OR(BegDate&gt;=A298,EndDate&lt;A297,AND(VolumeMonthlyOverFlag,INDEX(VolumeMonthlyOver,C297)=0),NOT(INDEX(MonthKnockOutTable,C297))),"",MAX(A297,BegDate))</f>
        <v/>
      </c>
      <c r="F297" s="1614" t="str">
        <f aca="false">IF(E297="","",MIN(A298-1,EndDate))</f>
        <v/>
      </c>
      <c r="G297" s="1615" t="n">
        <v>0</v>
      </c>
      <c r="H297" s="1576" t="n">
        <f aca="false">(1+G297/2)^(-2*(DATE(B298,C298,20)-DateToday)/365.25)</f>
        <v>1</v>
      </c>
      <c r="I297" s="1568" t="n">
        <f aca="false">IF(Assumptions!$L$25=4,VLOOKUP($A297,'Henwood Reference'!$E$9:$R$320,10),(VLOOKUP($A297,PriceTable,2,0)+IF(BasisNumber&lt;&gt;1,VLOOKUP($A297,BasisTable,2,0),0)+I$1)/(1-I$2))</f>
        <v>79.2732490497243</v>
      </c>
      <c r="J297" s="1568" t="n">
        <f aca="false">IF(Assumptions!$L$25=4,VLOOKUP($A297,'Henwood Reference'!$E$9:$R$320,10),(VLOOKUP($A297,PriceTable,3,0)+IF(BasisNumber&lt;&gt;1,VLOOKUP($A297,BasisTable,2,0),0)+J$1)/(1-J$2))</f>
        <v>79.2732490497243</v>
      </c>
      <c r="K297" s="1568" t="n">
        <f aca="false">IF(Assumptions!$L$25=4,VLOOKUP($A297,'Henwood Reference'!$E$9:$R$320,10),(VLOOKUP($A297,PriceTable,4,0)+IF(BasisNumber&lt;&gt;1,VLOOKUP($A297,BasisTable,2,0),0)+K$1)/(1-K$2))</f>
        <v>79.2732490497243</v>
      </c>
      <c r="L297" s="1523" t="n">
        <f aca="false">IF(Assumptions!$L$25=4,VLOOKUP($A297,'Henwood Reference'!$E$9:$R$320,10),(VLOOKUP($A297,PriceTableWeekend,2,0)+IF(BasisNumber&lt;&gt;1,VLOOKUP($A297,BasisTable,2,0),0)+L$1)/(1-L$2))</f>
        <v>79.2732490497243</v>
      </c>
      <c r="M297" s="1568" t="n">
        <f aca="false">IF(Assumptions!$L$25=4,VLOOKUP($A297,'Henwood Reference'!$E$9:$R$320,10),(VLOOKUP($A297,PriceTableWeekend,3,0)+IF(BasisNumber&lt;&gt;1,VLOOKUP($A297,BasisTable,2,0),0)+M$1)/(1-M$2))</f>
        <v>79.2732490497243</v>
      </c>
      <c r="N297" s="1599" t="n">
        <f aca="false">IF(Assumptions!$L$25=4,VLOOKUP($A297,'Henwood Reference'!$E$9:$R$320,10),(VLOOKUP($A297,PriceTableWeekend,4,0)+IF(BasisNumber&lt;&gt;1,VLOOKUP($A297,BasisTable,2,0),0)+N$1)/(1-N$2))</f>
        <v>79.2732490497243</v>
      </c>
      <c r="O297" s="1568" t="n">
        <f aca="false">IF(Assumptions!$L$25=4,VLOOKUP($A297,'Henwood Reference'!$E$9:$R$320,11),(VLOOKUP($A297,PriceTableWeekend,6,0)+IF(BasisNumber&lt;&gt;1,VLOOKUP($A297,BasisTable,3,0),0)+O$1)/(1-O$2))</f>
        <v>37.3341939092163</v>
      </c>
      <c r="P297" s="1568" t="n">
        <f aca="false">IF(Assumptions!$L$25=4,VLOOKUP($A297,'Henwood Reference'!$E$9:$R$320,11),(VLOOKUP($A297,PriceTableWeekend,7,0)+IF(BasisNumber&lt;&gt;1,VLOOKUP($A297,BasisTable,3,0),0)+P$1)/(1-P$2))</f>
        <v>37.3341939092163</v>
      </c>
      <c r="Q297" s="1599" t="n">
        <f aca="false">IF(Assumptions!$L$25=4,VLOOKUP($A297,'Henwood Reference'!$E$9:$R$320,11),(VLOOKUP($A297,PriceTableWeekend,8,0)+IF(BasisNumber&lt;&gt;1,VLOOKUP($A297,BasisTable,3,0),0)+Q$1)/(1-Q$2))</f>
        <v>37.3341939092163</v>
      </c>
      <c r="R297" s="1568" t="n">
        <f aca="false">IF(Assumptions!$L$25=4,VLOOKUP($A297,'Henwood Reference'!$E$9:$R$320,11),(VLOOKUP($A297,PriceTable,6,0)+IF(BasisNumber&lt;&gt;1,VLOOKUP($A297,BasisTable,3,0),0)+R$1)/(1-R$2))</f>
        <v>37.3341939092163</v>
      </c>
      <c r="S297" s="1568" t="n">
        <f aca="false">IF(Assumptions!$L$25=4,VLOOKUP($A297,'Henwood Reference'!$E$9:$R$320,11),(VLOOKUP($A297,PriceTable,7,0)+IF(BasisNumber&lt;&gt;1,VLOOKUP($A297,BasisTable,3,0),0)+S$1)/(1-S$2))</f>
        <v>37.3341939092163</v>
      </c>
      <c r="T297" s="1600" t="n">
        <f aca="false">IF(Assumptions!$L$25=4,VLOOKUP($A297,'Henwood Reference'!$E$9:$R$320,11),(VLOOKUP($A297,PriceTable,8,0)+IF(BasisNumber&lt;&gt;1,VLOOKUP($A297,BasisTable,3,0),0)+T$1)/(1-T$2))</f>
        <v>37.3341939092163</v>
      </c>
      <c r="U297" s="1513" t="n">
        <f aca="false">VLOOKUP($A297,VolatilityTable,14)</f>
        <v>0.09</v>
      </c>
      <c r="V297" s="1513" t="n">
        <f aca="false">VLOOKUP($A297,VolatilityTable,15)</f>
        <v>0.1</v>
      </c>
      <c r="W297" s="1513" t="n">
        <f aca="false">VLOOKUP($A297,VolatilityTable,16)</f>
        <v>0.11</v>
      </c>
      <c r="X297" s="1513" t="n">
        <f aca="false">VLOOKUP($A297,VolatilityTable,14)</f>
        <v>0.09</v>
      </c>
      <c r="Y297" s="1513" t="n">
        <f aca="false">VLOOKUP($A297,VolatilityTable,15)</f>
        <v>0.1</v>
      </c>
      <c r="Z297" s="1513" t="n">
        <f aca="false">VLOOKUP($A297,VolatilityTable,16)</f>
        <v>0.11</v>
      </c>
      <c r="AA297" s="1513" t="n">
        <f aca="false">VLOOKUP($A297,VolatilityTable,18)</f>
        <v>0.09</v>
      </c>
      <c r="AB297" s="1513" t="n">
        <f aca="false">VLOOKUP($A297,VolatilityTable,19)</f>
        <v>0.11</v>
      </c>
      <c r="AC297" s="1513" t="n">
        <f aca="false">VLOOKUP($A297,VolatilityTable,20)</f>
        <v>0.13</v>
      </c>
      <c r="AD297" s="1513" t="n">
        <f aca="false">VLOOKUP($A297,VolatilityTable,18)</f>
        <v>0.09</v>
      </c>
      <c r="AE297" s="1513" t="n">
        <f aca="false">VLOOKUP($A297,VolatilityTable,19)</f>
        <v>0.11</v>
      </c>
      <c r="AF297" s="1513" t="n">
        <f aca="false">VLOOKUP($A297,VolatilityTable,20)</f>
        <v>0.13</v>
      </c>
      <c r="AG297" s="1513" t="n">
        <f aca="false">VLOOKUP($A297,VolatilityTable,22)</f>
        <v>-0.35</v>
      </c>
      <c r="AH297" s="1513" t="n">
        <f aca="false">VLOOKUP($A297,VolatilityTable,23)</f>
        <v>3</v>
      </c>
      <c r="AI297" s="1513" t="n">
        <f aca="false">VLOOKUP($A297,VolatilityTable,24)</f>
        <v>0.2</v>
      </c>
      <c r="AJ297" s="1513" t="n">
        <f aca="false">VLOOKUP($A297,VolatilityTable,22)</f>
        <v>-0.35</v>
      </c>
      <c r="AK297" s="1513" t="n">
        <f aca="false">VLOOKUP($A297,VolatilityTable,23)</f>
        <v>3</v>
      </c>
      <c r="AL297" s="1513" t="n">
        <f aca="false">VLOOKUP($A297,VolatilityTable,24)</f>
        <v>0.2</v>
      </c>
      <c r="AM297" s="1513" t="n">
        <f aca="false">VLOOKUP($A297,VolatilityTable,26)</f>
        <v>-0.01</v>
      </c>
      <c r="AN297" s="1513" t="n">
        <f aca="false">VLOOKUP($A297,VolatilityTable,27)</f>
        <v>0.16</v>
      </c>
      <c r="AO297" s="1513" t="n">
        <f aca="false">VLOOKUP($A297,VolatilityTable,28)</f>
        <v>0.01</v>
      </c>
      <c r="AP297" s="1513" t="n">
        <f aca="false">VLOOKUP($A297,VolatilityTable,26)</f>
        <v>-0.01</v>
      </c>
      <c r="AQ297" s="1513" t="n">
        <f aca="false">VLOOKUP($A297,VolatilityTable,27)</f>
        <v>0.16</v>
      </c>
      <c r="AR297" s="1513" t="n">
        <f aca="false">VLOOKUP($A297,VolatilityTable,28)</f>
        <v>0.01</v>
      </c>
      <c r="AS297" s="1616" t="n">
        <f aca="false">IF(CorrPeakOffPeakOverFlag,INDEX(CorrPeakOffPeakOver,C297),CorrPeakOffPeak)</f>
        <v>0.5</v>
      </c>
      <c r="AT297" s="238" t="n">
        <f aca="false">AX297-SUM(AU297:AW297)</f>
        <v>0</v>
      </c>
      <c r="AU297" s="238" t="n">
        <f aca="false">IF(E297="",0,INT((F297-MOD(F297,7)-E297)/7)+1-IF(AW297,IF(WEEKDAY(D297)=7,1,0),0))</f>
        <v>0</v>
      </c>
      <c r="AV297" s="238" t="n">
        <f aca="false">IF(E297="",0,INT((F297-MOD(F297-1,7)-E297)/7)+1-IF(AW297,IF(WEEKDAY(D297)=1,1,0),0))</f>
        <v>0</v>
      </c>
      <c r="AW297" s="238" t="n">
        <f aca="false">IF(OR(E297="",D297="",D297&lt;BegDate,D297&gt;EndDate),0,1)</f>
        <v>0</v>
      </c>
      <c r="AX297" s="238" t="n">
        <f aca="false">IF(E297="",0,F297-E297+1)</f>
        <v>0</v>
      </c>
      <c r="AY297" s="1513" t="n">
        <f aca="false">IF(E297="",0,MIN((1-(1-VLOOKUP(B297,MAIN!$AA$7:$AM$28,C297+1))*(1-VLOOKUP(B297,MAIN!$AA$33:$AM$54,C297+1))),1))</f>
        <v>0</v>
      </c>
      <c r="AZ297" s="1519" t="e">
        <f aca="false" t="array" ref="AZ297:BO297">TakeFunction(TakeType,STake,OTake,CombineTakesFlag,MostExpFlag,VolumeEscType,VolumeEsc,DateToday,BegDate,EndDate,OrderedScalars,OrderedPrices,OrderedPricesSat,OrderedPricesSun,AvailDays,FirmWeek,FirmSat,FirmSun,FirmHol,OptWeek,OptSat,OptSun,OptHol)*(1-PlannedOutages)</f>
        <v>#VALUE!</v>
      </c>
      <c r="BA297" s="1519" t="e">
        <v>#VALUE!</v>
      </c>
      <c r="BB297" s="1519" t="e">
        <v>#VALUE!</v>
      </c>
      <c r="BC297" s="1519" t="e">
        <v>#VALUE!</v>
      </c>
      <c r="BD297" s="1568" t="e">
        <v>#VALUE!</v>
      </c>
      <c r="BE297" s="1568" t="e">
        <v>#VALUE!</v>
      </c>
      <c r="BF297" s="1568" t="e">
        <v>#VALUE!</v>
      </c>
      <c r="BG297" s="1568" t="e">
        <v>#VALUE!</v>
      </c>
      <c r="BH297" s="1519" t="e">
        <v>#VALUE!</v>
      </c>
      <c r="BI297" s="1519" t="e">
        <v>#VALUE!</v>
      </c>
      <c r="BJ297" s="1519" t="e">
        <v>#VALUE!</v>
      </c>
      <c r="BK297" s="1519" t="e">
        <v>#VALUE!</v>
      </c>
      <c r="BL297" s="1568" t="e">
        <v>#VALUE!</v>
      </c>
      <c r="BM297" s="1568" t="e">
        <v>#VALUE!</v>
      </c>
      <c r="BN297" s="1568" t="e">
        <v>#VALUE!</v>
      </c>
      <c r="BO297" s="1568" t="e">
        <v>#VALUE!</v>
      </c>
      <c r="BP297" s="1519" t="e">
        <f aca="false">SUM(AZ297:BB297)</f>
        <v>#VALUE!</v>
      </c>
      <c r="BQ297" s="1519" t="e">
        <f aca="false">SUM(AZ297:BC297)</f>
        <v>#VALUE!</v>
      </c>
      <c r="BR297" s="1519" t="e">
        <f aca="false">SUM(BH297:BJ297)</f>
        <v>#VALUE!</v>
      </c>
      <c r="BS297" s="1519" t="e">
        <f aca="false">SUM(BH297:BK297)</f>
        <v>#VALUE!</v>
      </c>
      <c r="BT297" s="1316" t="n">
        <f aca="false">(IF(OVolType&lt;&gt;2,A297+14,IF(OptExpDateShift,ShiftBack(A297,OptExpDateShift,D296),A297))-DateToday)/365.25</f>
        <v>23.3812457221081</v>
      </c>
      <c r="BU297" s="1316" t="e">
        <f aca="false">IF(BQ297,IF(OPriceCurve,IF(OBuySell=OCallPut,I297/(1-AY297),K297/(1-AY297)),J297/(1-AY297))*BD297,0)</f>
        <v>#VALUE!</v>
      </c>
      <c r="BV297" s="1316" t="e">
        <f aca="false">IF(BQ297,IF(OPriceCurve,IF(OBuySell=OCallPut,L297/(1-AY297),N297/(1-AY297)),M297/(1-AY297))*BE297,0)</f>
        <v>#VALUE!</v>
      </c>
      <c r="BW297" s="1316" t="e">
        <f aca="false">IF(BQ297,IF(OPriceCurve,IF(OBuySell=OCallPut,O297/(1-AY297),Q297/(1-AY297)),P297/(1-AY297))*BF297,0)</f>
        <v>#VALUE!</v>
      </c>
      <c r="BX297" s="1316" t="e">
        <f aca="false">IF(BQ297,IF(OPriceCurve,IF(OBuySell=OCallPut,R297/(1-AY297),T297/(1-AY297)),S297/(1-AY297))*BG297,0)</f>
        <v>#VALUE!</v>
      </c>
      <c r="BY297" s="1316" t="e">
        <f aca="false">IF(BP297,(BU297*AZ297+BV297*BA297+BW297*BB297)/BP297,0)</f>
        <v>#VALUE!</v>
      </c>
      <c r="BZ297" s="1316" t="e">
        <f aca="false">IF(BQ297,(BY297*BP297+BX297*BC297)/BQ297,0)</f>
        <v>#VALUE!</v>
      </c>
      <c r="CA297" s="1316" t="e">
        <f aca="false">IF(BS297,IF(OPriceCurve,IF(OBuySell=OCallPut,I297/(1-AY297),K297/(1-AY297)),J297/(1-AY297))*BL297,0)</f>
        <v>#VALUE!</v>
      </c>
      <c r="CB297" s="1316" t="e">
        <f aca="false">IF(BS297,IF(OPriceCurve,IF(OBuySell=OCallPut,L297/(1-AY297),N297/(1-AY297)),M297/(1-AY297))*BM297,0)</f>
        <v>#VALUE!</v>
      </c>
      <c r="CC297" s="1316" t="e">
        <f aca="false">IF(BS297,IF(OPriceCurve,IF(OBuySell=OCallPut,O297/(1-AY297),Q297/(1-AY297)),P297/(1-AY297))*BN297,0)</f>
        <v>#VALUE!</v>
      </c>
      <c r="CD297" s="1316" t="e">
        <f aca="false">IF(BS297,IF(OPriceCurve,IF(OBuySell=OCallPut,R297/(1-AY297),T297/(1-AY297)),S297/(1-AY297))*BO297,0)</f>
        <v>#VALUE!</v>
      </c>
      <c r="CE297" s="1316" t="e">
        <f aca="false">IF(BR297,(BU297*BH297+BV297*BI297+BW297*BJ297)/BR297,0)</f>
        <v>#VALUE!</v>
      </c>
      <c r="CF297" s="1316" t="e">
        <f aca="false">IF(BS297,(CE297*BR297+CD297*BK297)/BS297,0)</f>
        <v>#VALUE!</v>
      </c>
      <c r="CG297" s="1587" t="e">
        <f aca="false">IF(OR(BQ297,BS297),IF(OVolType&lt;&gt;2,SQRT(IF(OVolOverMonthlyPeak,OVolOverMonthlyPeak,IF(OVolCurve,IF(OBuySell,U297,W297),V297))^2*(1-15/365.25/BT297)+IF(OVolOverDailyPeak,OVolOverDailyPeak,IF(OVolCurve,IF(OBuySell,AG297,AI297),AH297))^2*15/365.25/BT297),IF(OVolOverMonthlyPeak,OVolOverMonthlyPeak,IF(OVolCurve,IF(OBuySell,U297,W297),V297))),"")</f>
        <v>#VALUE!</v>
      </c>
      <c r="CH297" s="1587" t="e">
        <f aca="false">IF(OR(BQ297,BS297),IF(OVolType&lt;&gt;2,SQRT(IF(OVolOverMonthlyPeak,OVolOverMonthlyPeak,IF(OVolCurve,IF(OBuySell,X297,Z297),Y297))^2*(1-15/365.25/BT297)+IF(OVolOverDailyPeak,OVolOverDailyPeak,IF(OVolCurve,IF(OBuySell,AJ297,AL297),AK297))^2*15/365.25/BT297),IF(OVolOverMonthlyPeak,OVolOverMonthlyPeak,IF(OVolCurve,IF(OBuySell,X297,Z297),Y297))),"")</f>
        <v>#VALUE!</v>
      </c>
      <c r="CI297" s="1587" t="e">
        <f aca="false">IF(OR(BQ297,BS297),IF(OVolType&lt;&gt;2,SQRT(IF(OVolOverMonthlyPeak,OVolOverMonthlyPeak,IF(OVolCurve,IF(OBuySell,AA297,AC297),AB297))^2*(1-15/365.25/BT297)+IF(OVolOverDailyPeak,OVolOverDailyPeak,IF(OVolCurve,IF(OBuySell,AM297,AO297),AN297))^2*15/365.25/BT297),IF(OVolOverMonthlyPeak,OVolOverMonthlyPeak,IF(OVolCurve,IF(OBuySell,AA297,AC297),AB297))),"")</f>
        <v>#VALUE!</v>
      </c>
      <c r="CJ297" s="1587" t="e">
        <f aca="false">IF(BQ297,IF(BP297,SQRT(LN(1+((BU297*AZ297)^2*(EXP(CG297^2*BT297)-1)+(BV297*BA297)^2*(EXP(CH297^2*BT297)-1)+(BW297*BB297)^2*(EXP(CI297^2*BT297)-1)+2*BU297*AZ297*BV297*BA297*(EXP(CG297*CH297*BT297)-1)+2*BV297*BA297*BW297*BB297*(EXP(CH297*CI297*BT297)-1)+2*BW297*BB297*BU297*AZ297*(EXP(CI297*CG297*BT297)-1))/(BY297*BP297)^2)/BT297),0),"")</f>
        <v>#VALUE!</v>
      </c>
      <c r="CK297" s="1587" t="e">
        <f aca="false">IF(BS297,IF(BR297,SQRT(LN(1+((CA297*BH297)^2*(EXP(CG297^2*BT297)-1)+(CB297*BI297)^2*(EXP(CH297^2*BT297)-1)+(CC297*BJ297)^2*(EXP(CI297^2*BT297)-1)+2*CA297*BH297*CB297*BI297*(EXP(CG297*CH297*BT297)-1)+2*CB297*BI297*CC297*BJ297*(EXP(CH297*CI297*BT297)-1)+2*CC297*BJ297*CA297*BH297*(EXP(CI297*CG297*BT297)-1))/(CE297*BR297)^2)/BT297),0),"")</f>
        <v>#VALUE!</v>
      </c>
      <c r="CL297" s="1587" t="e">
        <f aca="false">IF(OR(BQ297,BS297),IF(OVolType&lt;&gt;2,SQRT(IF(OVolOverMonthlyOffPeak,OVolOverMonthlyOffPeak,IF(OVolCurve,IF(OBuySell,AD297,AF297),AE297))^2*(1-15/365.25/BT297)+IF(OVolOverDailyOffPeak,OVolOverDailyOffPeak,IF(OVolCurve,IF(OBuySell,AP297,AR297),AQ297))^2*15/365.25/BT297),IF(OVolOverMonthlyOffPeak,OVolOverMonthlyOffPeak,IF(OVolCurve,IF(OBuySell,AD297,AF297),AE297))),"")</f>
        <v>#VALUE!</v>
      </c>
      <c r="CM297" s="1587" t="e">
        <f aca="false">IF(BQ297,SQRT(LN(1+((BY297*BP297)^2*(EXP(CJ297^2*BT297)-1)+(BX297*BC297)^2*(EXP(CL297^2*BT297)-1)+2*BY297*BP297*BX297*BC297*(EXP(AS297*CJ297*CL297*BT297)-1))/(BY297*BP297+BX297*BC297)^2)/BT297),"")</f>
        <v>#VALUE!</v>
      </c>
      <c r="CN297" s="1587" t="e">
        <f aca="false">IF(BS297,SQRT(LN(1+((CE297*BR297)^2*(EXP(CK297^2*BT297)-1)+(CD297*BK297)^2*(EXP(CL297^2*BT297)-1)+2*CE297*BR297*CD297*BK297*(EXP(AS297*CK297*CL297*BT297)-1))/(CE297*BR297+CD297*BK297)^2)/BT297),"")</f>
        <v>#VALUE!</v>
      </c>
      <c r="CO297" s="1316" t="e">
        <f aca="false">IF(OR(BQ297,BS297),VLOOKUP(A297,GasTable,13)*HeatRatePeak*(1+VLOOKUP($B297,HeatRateDegradation,$C297+1))/1000,0)</f>
        <v>#VALUE!</v>
      </c>
      <c r="CP297" s="1316" t="e">
        <f aca="false">IF(OR(BQ297,BS297),VLOOKUP(A297,GasTable,13)*HeatRatePeak*(1+VLOOKUP($B297,HeatRateDegradation,$C297+1))/1000,0)</f>
        <v>#VALUE!</v>
      </c>
      <c r="CQ297" s="1316" t="e">
        <f aca="false">IF(OR(BQ297,BS297),VLOOKUP(A297,GasTable,13)*IF(EV297,HeatRatePeak,HeatRateOffPeak)*(1+VLOOKUP($B297,HeatRateDegradation,$C297+1))/1000,0)</f>
        <v>#VALUE!</v>
      </c>
      <c r="CR297" s="1316" t="e">
        <f aca="false">IF(OR(BQ297,BS297),VLOOKUP(A297,GasTable,13)*IF(EW297,HeatRatePeak,HeatRateOffPeak)*(1+VLOOKUP($B297,HeatRateDegradation,$C297+1))/1000,0)</f>
        <v>#VALUE!</v>
      </c>
      <c r="CS297" s="1589" t="e">
        <f aca="false">IF(BQ297,(CO297*AZ297+CP297*BA297+CQ297*BB297+CR297*BC297)/BQ297,0)</f>
        <v>#VALUE!</v>
      </c>
      <c r="CT297" s="1316" t="e">
        <f aca="false">IF(BS297,CO297,0)</f>
        <v>#VALUE!</v>
      </c>
      <c r="CU297" s="1592" t="e">
        <f aca="false">IF(OR(BQ297,BS297),VLOOKUP(A297,GasTable,14),"")</f>
        <v>#VALUE!</v>
      </c>
      <c r="CV297" s="1568" t="e">
        <f aca="false">IF(OR(BQ297,BS297),IF(CorrPowerGasOverFlag,INDEX(CorrPowerGasOver,C297),CorrPowerGas),"")</f>
        <v>#VALUE!</v>
      </c>
      <c r="CW297" s="1316" t="e">
        <f aca="false">IF(OR($BQ297,$BS297),SpreadOptPowerMargin,0)*((1+Assumptions!$C$26)^($B297-YEAR(Assumptions!$C$17)))</f>
        <v>#VALUE!</v>
      </c>
      <c r="CX297" s="1316" t="e">
        <f aca="false">IF(OR($BQ297,$BS297),SpreadOptPowerMargin,0)*((1+Assumptions!$C$26)^($B297-YEAR(Assumptions!$C$17)))</f>
        <v>#VALUE!</v>
      </c>
      <c r="CY297" s="1316" t="e">
        <f aca="false">IF(OR($BQ297,$BS297),SpreadOptPowerMargin,0)*((1+Assumptions!$C$26)^($B297-YEAR(Assumptions!$C$17)))</f>
        <v>#VALUE!</v>
      </c>
      <c r="CZ297" s="1316" t="e">
        <f aca="false">IF(OR($BQ297,$BS297),SpreadOptPowerMargin,0)*((1+Assumptions!$C$26)^($B297-YEAR(Assumptions!$C$17)))</f>
        <v>#VALUE!</v>
      </c>
      <c r="DA297" s="1316" t="e">
        <f aca="false">IF(OR(BQ297,BS297),(CW297*(AZ297+BH297)+CX297*(BA297+BI297)+CY297*(BB297+BJ297)+CZ297*(BC297+BK297))/(BQ297+BS297),0)</f>
        <v>#VALUE!</v>
      </c>
      <c r="DB297" s="1592" t="e">
        <f aca="false">IF(OR(BQ297,BS297),CG297+IF(OVolSmile,VLOOKUP(MAX(-5,CO297+CW297-BU297),IF(OVolSmile=1,VolSmileBook,VolSmileModel),2),0),"")</f>
        <v>#VALUE!</v>
      </c>
      <c r="DC297" s="1592" t="e">
        <f aca="false">IF(OR(BQ297,BS297),CH297+IF(OVolSmile,VLOOKUP(MAX(-5,CP297+CW297-BV297),IF(OVolSmile=1,VolSmileBook,VolSmileModel),2),0),"")</f>
        <v>#VALUE!</v>
      </c>
      <c r="DD297" s="1592" t="e">
        <f aca="false">IF(OR(BQ297,BS297),CI297+IF(OVolSmile,VLOOKUP(MAX(-5,CQ297+CW297-BW297),IF(OVolSmile=1,VolSmileBook,VolSmileModel),2),0),"")</f>
        <v>#VALUE!</v>
      </c>
      <c r="DE297" s="1592" t="e">
        <f aca="false">IF(OR(BQ297,BS297),CL297+IF(OVolSmile,VLOOKUP(MAX(-5,CR297+CZ297-BX297),IF(OVolSmile=1,VolSmileBook,VolSmileModel),2),0),"")</f>
        <v>#VALUE!</v>
      </c>
      <c r="DF297" s="1592" t="e">
        <f aca="false">IF(BQ297,CM297+IF(OVolSmile,VLOOKUP(MAX(-5,CS297+DA297-BZ297),IF(OVolSmile=1,VolSmileBook,VolSmileModel),2),0),"")</f>
        <v>#VALUE!</v>
      </c>
      <c r="DG297" s="1592" t="e">
        <f aca="false">IF(BS297,CN297+IF(OVolSmile,VLOOKUP(MAX(-5,CT297+DA297-CF297),IF(OVolSmile=1,VolSmileBook,VolSmileModel),2),0),"")</f>
        <v>#VALUE!</v>
      </c>
      <c r="DH297" s="1316" t="e">
        <f aca="false">IF(AND(BU297&gt;0,CO297&gt;0,DB297&gt;0,CU297&gt;0),newSPRDOPT(BU297,CO297,CW297,0,DB297,CU297,CV297,BT297*365.25,OCallPut,0),0)</f>
        <v>#VALUE!</v>
      </c>
      <c r="DI297" s="1316" t="e">
        <f aca="false">IF(AND(BV297&gt;0,CP297&gt;0,DC297&gt;0,CU297&gt;0),newSPRDOPT(BV297,CP297,CX297,0,DC297,CU297,CV297,BT297*365.25,OCallPut,0),0)</f>
        <v>#VALUE!</v>
      </c>
      <c r="DJ297" s="1316" t="e">
        <f aca="false">IF(AND(BW297&gt;0,CQ297&gt;0,DD297&gt;0,CU297&gt;0),newSPRDOPT(BW297,CQ297,CY297,0,DD297,CU297,CV297,BT297*365.25,OCallPut,0),0)</f>
        <v>#VALUE!</v>
      </c>
      <c r="DK297" s="1316" t="e">
        <f aca="false">IF(AND(BX297&gt;0,CR297&gt;0,DE297&gt;0,CU297&gt;0),newSPRDOPT(BX297,CR297,CZ297,0,DE297,CU297,CV297,BT297*365.25,OCallPut,0),0)</f>
        <v>#VALUE!</v>
      </c>
      <c r="DL297" s="1316" t="e">
        <f aca="false">IF(OVolType,IF(AND(BZ297&gt;0,CS297&gt;0,DF297&gt;0,CU297&gt;0),newSPRDOPT(BZ297,CS297,DA297,0,DF297,CU297,CV297,BT297*365.25,OCallPut,0),0),IF(BQ297,(DH297*AZ297+DI297*BA297+DJ297*BB297+DK297*BC297)/BQ297,0))</f>
        <v>#VALUE!</v>
      </c>
      <c r="DM297" s="1316"/>
      <c r="DN297" s="1316"/>
      <c r="DO297" s="1316"/>
      <c r="DP297" s="1316"/>
      <c r="DQ297" s="1316"/>
      <c r="DR297" s="1316"/>
      <c r="DS297" s="1316"/>
      <c r="DT297" s="1316"/>
      <c r="DU297" s="1316"/>
      <c r="DV297" s="1316"/>
      <c r="DW297" s="1316" t="e">
        <f aca="false">IF(AND(BW297&gt;0,CT297&gt;0,DD297&gt;0,CU297&gt;0),newSPRDOPT(BW297,CT297,CY297,0,DD297,CU297,CV297,BT297*365.25,OCallPut,0),0)</f>
        <v>#VALUE!</v>
      </c>
      <c r="DX297" s="1316" t="e">
        <f aca="false">IF(AND(BX297&gt;0,CT297&gt;0,DE297&gt;0,CU297&gt;0),newSPRDOPT(BX297,CT297,CZ297,0,DE297,CU297,CV297,BT297*365.25,OCallPut,0),0)</f>
        <v>#VALUE!</v>
      </c>
      <c r="DY297" s="1316" t="e">
        <f aca="false">IF(BS297,(DH297*BH297+DI297*BI297+DW297*BJ297+DX297*BK297)/BS297,0)</f>
        <v>#VALUE!</v>
      </c>
      <c r="DZ297" s="1551" t="e">
        <f aca="false">DH297*AZ297</f>
        <v>#VALUE!</v>
      </c>
      <c r="EA297" s="1551" t="e">
        <f aca="false">DI297*BA297</f>
        <v>#VALUE!</v>
      </c>
      <c r="EB297" s="1551" t="e">
        <f aca="false">DJ297*BB297</f>
        <v>#VALUE!</v>
      </c>
      <c r="EC297" s="1551" t="e">
        <f aca="false">DK297*BC297</f>
        <v>#VALUE!</v>
      </c>
      <c r="ED297" s="1551" t="e">
        <f aca="false">DL297*BQ297</f>
        <v>#VALUE!</v>
      </c>
      <c r="EE297" s="1596" t="e">
        <f aca="false">IF(BQ297,IF(OCallPut,IF(BU297&gt;(CO297+CW297),BU297-(CO297+CW297),0),IF((CO297+CW297)&gt;BU297,(CO297+CW297)-BU297,0))*AZ297,0)</f>
        <v>#VALUE!</v>
      </c>
      <c r="EF297" s="1596" t="e">
        <f aca="false">IF(BQ297,IF(OCallPut,IF(BV297&gt;(CP297+CX297),BV297-(CP297+CX297),0),IF((CP297+CX297)&gt;BV297,(CP297+CX297)-BV297,0))*BA297,0)</f>
        <v>#VALUE!</v>
      </c>
      <c r="EG297" s="1596" t="e">
        <f aca="false">IF(BQ297,IF(OCallPut,IF(BW297&gt;(CQ297+CY297),BW297-(CQ297+CY297),0),IF((CQ297+CY297)&gt;BW297,(CQ297+CY297)-BW297,0))*BB297,0)</f>
        <v>#VALUE!</v>
      </c>
      <c r="EH297" s="1596" t="e">
        <f aca="false">IF(BQ297,IF(OCallPut,IF(BX297&gt;(CR297+CZ297),BX297-(CR297+CZ297),0),IF((CR297+CZ297)&gt;BX297,(CR297+CZ297)-BX297,0))*BC297,0)</f>
        <v>#VALUE!</v>
      </c>
      <c r="EI297" s="1597" t="e">
        <f aca="false">IF(BQ297,IF(OVolType,IF(OCallPut,IF(BZ297&gt;(CS297+DA297),BZ297-(CS297+DA297),0),IF((CS297+DA297)&gt;BZ297,(CS297+DA297)-BZ297,0))*BQ297,SUM(EE297:EH297)),0)</f>
        <v>#VALUE!</v>
      </c>
      <c r="EJ297" s="1596" t="e">
        <f aca="false">DZ297-EE297</f>
        <v>#VALUE!</v>
      </c>
      <c r="EK297" s="1596" t="e">
        <f aca="false">EA297-EF297</f>
        <v>#VALUE!</v>
      </c>
      <c r="EL297" s="1596" t="e">
        <f aca="false">EB297-EG297</f>
        <v>#VALUE!</v>
      </c>
      <c r="EM297" s="1596" t="e">
        <f aca="false">EC297-EH297</f>
        <v>#VALUE!</v>
      </c>
      <c r="EN297" s="1597" t="e">
        <f aca="false">ED297-EI297</f>
        <v>#VALUE!</v>
      </c>
      <c r="EO297" s="1551" t="e">
        <f aca="false">DH297*BH297</f>
        <v>#VALUE!</v>
      </c>
      <c r="EP297" s="1551" t="e">
        <f aca="false">DI297*BI297</f>
        <v>#VALUE!</v>
      </c>
      <c r="EQ297" s="1551" t="e">
        <f aca="false">DW297*BJ297</f>
        <v>#VALUE!</v>
      </c>
      <c r="ER297" s="1551" t="e">
        <f aca="false">DX297*BK297</f>
        <v>#VALUE!</v>
      </c>
      <c r="ES297" s="1551" t="e">
        <f aca="false">DY297*BS297</f>
        <v>#VALUE!</v>
      </c>
      <c r="ET297" s="1566" t="e">
        <f aca="false">IF(EI297,IF(OCallPut,IF(CA297&gt;(CT297+CW297),CA297-(CT297+CW297),0),IF((CT297+CW297)&gt;CA297,(CT297+CW297)-CA297,0))*BH297,0)</f>
        <v>#VALUE!</v>
      </c>
      <c r="EU297" s="1551" t="e">
        <f aca="false">IF(EI297,IF(OCallPut,IF(CB297&gt;(CT297+CX297),CB297-(CT297+CX297),0),IF((CT297+CX297)&gt;CB297,(CT297+CX297)-CB297,0))*BI297,0)</f>
        <v>#VALUE!</v>
      </c>
      <c r="EV297" s="1551" t="e">
        <f aca="false">IF(EI297,IF(OCallPut,IF(CC297&gt;(CT297+CY297),CC297-(CT297+CY297),0),IF((CT297+CY297)&gt;CC297,(CT297+CY297)-CC297,0))*BJ297,0)</f>
        <v>#VALUE!</v>
      </c>
      <c r="EW297" s="1551" t="e">
        <f aca="false">IF(EI297,IF(OCallPut,IF(CD297&gt;(CT297+CZ297),CD297-(CT297+CZ297),0),IF((CT297+CZ297)&gt;CD297,(CT297+CZ297)-CD297,0))*BK297,0)</f>
        <v>#VALUE!</v>
      </c>
      <c r="EX297" s="1558" t="e">
        <f aca="false">IF(EI297,SUM(ET297:EW297),0)</f>
        <v>#VALUE!</v>
      </c>
      <c r="EY297" s="1551" t="e">
        <f aca="false">EO297-ET297</f>
        <v>#VALUE!</v>
      </c>
      <c r="EZ297" s="1551" t="e">
        <f aca="false">EP297-EU297</f>
        <v>#VALUE!</v>
      </c>
      <c r="FA297" s="1551" t="e">
        <f aca="false">EQ297-EV297</f>
        <v>#VALUE!</v>
      </c>
      <c r="FB297" s="1551" t="e">
        <f aca="false">ER297-EW297</f>
        <v>#VALUE!</v>
      </c>
      <c r="FC297" s="1551" t="e">
        <f aca="false">ES297-EX297</f>
        <v>#VALUE!</v>
      </c>
      <c r="FD297" s="1519" t="n">
        <f aca="false">IF(AX297,IF(VLOOKUP(C297,MAIN!$L$17:$M$28,2)="Yes",VLOOKUP(CALC!B297,MAIN!$H$17:$I$20,2),0),0)</f>
        <v>0</v>
      </c>
      <c r="FE297" s="1553" t="n">
        <f aca="false">$FD297*16*AT297*(1-$AY297)</f>
        <v>0</v>
      </c>
      <c r="FF297" s="1553" t="n">
        <f aca="false">$FD297*16*AU297*(1-$AY297)</f>
        <v>0</v>
      </c>
      <c r="FG297" s="1553" t="n">
        <f aca="false">$FD297*16*(AV297+AW297)*(1-$AY297)</f>
        <v>0</v>
      </c>
      <c r="FH297" s="1553" t="n">
        <f aca="false">$FD297*8*AX297*(1-$AY297)</f>
        <v>0</v>
      </c>
      <c r="FI297" s="1555" t="n">
        <f aca="false">IF(AX297,VLOOKUP(CALC!B297,MAIN!$H$17:$K$20,4),0)</f>
        <v>0</v>
      </c>
      <c r="FJ297" s="1553" t="n">
        <f aca="false">SUM(FE297:FH297)</f>
        <v>0</v>
      </c>
      <c r="FK297" s="1553" t="n">
        <f aca="false">FI297*FJ297</f>
        <v>0</v>
      </c>
      <c r="FL297" s="1551" t="e">
        <f aca="false">IF($EI297&gt;0,MIN(FE297,AZ297*(1+VLOOKUP($C297,WeatherCapacityAdjustment,2))),0)</f>
        <v>#VALUE!</v>
      </c>
      <c r="FM297" s="1551" t="e">
        <f aca="false">IF($EI297&gt;0,MIN(FF297,BA297*(1+VLOOKUP($C297,WeatherCapacityAdjustment,2))),0)</f>
        <v>#VALUE!</v>
      </c>
      <c r="FN297" s="1551" t="e">
        <f aca="false">IF($EI297&gt;0,MIN(FG297,BB297*(1+VLOOKUP($C297,WeatherCapacityAdjustment,2))),0)</f>
        <v>#VALUE!</v>
      </c>
      <c r="FO297" s="1564" t="e">
        <f aca="false">IF($EI297&gt;0,MIN(FH297,BC297*(1+VLOOKUP($C297,WeatherCapacityAdjustment,3))),0)</f>
        <v>#VALUE!</v>
      </c>
      <c r="FP297" s="1551" t="e">
        <f aca="false">IF(ET297&gt;0,MIN(FE297-FL297,BH297*(1+VLOOKUP($C297,WeatherCapacityAdjustment,2))),0)</f>
        <v>#VALUE!</v>
      </c>
      <c r="FQ297" s="1551" t="e">
        <f aca="false">IF(EU297&gt;0,MIN(FF297-FM297,BI297*(1+VLOOKUP($C297,WeatherCapacityAdjustment,2))),0)</f>
        <v>#VALUE!</v>
      </c>
      <c r="FR297" s="1551" t="e">
        <f aca="false">IF(EV297&gt;0,MIN(FG297-FN297,BJ297*(1+VLOOKUP($C297,WeatherCapacityAdjustment,2))),0)</f>
        <v>#VALUE!</v>
      </c>
      <c r="FS297" s="1558" t="e">
        <f aca="false">IF(EW297&gt;0,MIN(FH297-FO297,BK297*(1+VLOOKUP($C297,WeatherCapacityAdjustment,3))),0)</f>
        <v>#VALUE!</v>
      </c>
      <c r="FT297" s="1566" t="n">
        <f aca="false">IF(AND(Assumptions!$H$71="Yes",A297&gt;=Assumptions!$H$72,A297&lt;=Assumptions!$H$73),0,IF(AND($A297&gt;=Assumptions!$C$17,$A297&lt;=Assumptions!$C$18),MAX(AZ297*(1+VLOOKUP($C297,WeatherCapacityAdjustment,2))-FL297,0),0))</f>
        <v>0</v>
      </c>
      <c r="FU297" s="1551" t="n">
        <f aca="false">IF(AND(Assumptions!$H$71="Yes",A297&gt;=Assumptions!$H$72,A297&lt;=Assumptions!$H$73),0,IF(AND($A297&gt;=Assumptions!$C$17,$A297&lt;=Assumptions!$C$18),MAX(BA297*(1+VLOOKUP($C297,WeatherCapacityAdjustment,2))-FM297,0),0))</f>
        <v>0</v>
      </c>
      <c r="FV297" s="1551" t="n">
        <f aca="false">IF(AND(Assumptions!$H$71="Yes",A297&gt;=Assumptions!$H$72,A297&lt;=Assumptions!$H$73),0,IF(AND($A297&gt;=Assumptions!$C$17,$A297&lt;=Assumptions!$C$18),MAX(BB297*(1+VLOOKUP($C297,WeatherCapacityAdjustment,2))-FN297,0),0))</f>
        <v>0</v>
      </c>
      <c r="FW297" s="1564" t="n">
        <f aca="false">IF(AND(Assumptions!$H$71="Yes",A297&gt;=Assumptions!$H$72,A297&lt;=Assumptions!$H$73),0,IF(AND($A297&gt;=Assumptions!$C$17,$A297&lt;=Assumptions!$C$18),MAX(BC297*(1+VLOOKUP($C297,WeatherCapacityAdjustment,3))-FO297,0),0))</f>
        <v>0</v>
      </c>
      <c r="FX297" s="1569" t="e">
        <f aca="false">IF(AND(Assumptions!$H$71="Yes",A297&gt;=Assumptions!$H$72,A297&lt;=Assumptions!$H$73),0,IF(ET297&gt;0,MAX(BH297*(1+VLOOKUP($C297,WeatherCapacityAdjustment,2))-FP297,0),0))</f>
        <v>#VALUE!</v>
      </c>
      <c r="FY297" s="1551" t="e">
        <f aca="false">IF(AND(Assumptions!$H$71="Yes",A297&gt;=Assumptions!$H$72,A297&lt;=Assumptions!$H$73),0,IF(EU297&gt;0,MAX(BI297*(1+VLOOKUP($C297,WeatherCapacityAdjustment,3))-FQ297,0),0))</f>
        <v>#VALUE!</v>
      </c>
      <c r="FZ297" s="1551" t="e">
        <f aca="false">IF(AND(Assumptions!$H$71="Yes",A297&gt;=Assumptions!$H$72,A297&lt;=Assumptions!$H$73),0,IF(EV297&gt;0,MAX(BJ297*(1+VLOOKUP($C297,WeatherCapacityAdjustment,2))-FR297,0),0))</f>
        <v>#VALUE!</v>
      </c>
      <c r="GA297" s="1564" t="e">
        <f aca="false">IF(AND(Assumptions!$H$71="Yes",A297&gt;=Assumptions!$H$72,A297&lt;=Assumptions!$H$73),0,IF(EW297&gt;0,MAX(BK297*(1+VLOOKUP($C297,WeatherCapacityAdjustment,2))-FS297,0),0))</f>
        <v>#VALUE!</v>
      </c>
      <c r="GB297" s="1551" t="e">
        <f aca="false">SUM(FT297:GA297)</f>
        <v>#VALUE!</v>
      </c>
      <c r="GC297" s="1563" t="e">
        <f aca="false">+IF(SUM(FT297:GA297)=0,0,(SUMPRODUCT(BU297:BX297,FT297:FW297)+SUMPRODUCT(CA297:CD297,FX297:GA297))/SUM(FT297:GA297))</f>
        <v>#VALUE!</v>
      </c>
      <c r="GD297" s="1551" t="e">
        <f aca="false">(FT297*BU297+FX297*CA297+FU297*BV297+FY297*CB297+FV297*BW297+FZ297*CC297+FW297*BX297+GA297*CD297)</f>
        <v>#VALUE!</v>
      </c>
      <c r="GE297" s="1561" t="e">
        <f aca="false">+IF(BQ297,((FL297+FM297+FT297+FU297)*HeatRatePeak/1000*(1+VLOOKUP($C297,WeatherHeatRateAdjustment,2))+(FN297+FV297)*IF(EV297&gt;0,HeatRatePeak,HeatRateOffPeak)/1000*(1+VLOOKUP($C297,WeatherHeatRateAdjustment,2))+(FO297+FW297)*IF(EW297&gt;0,HeatRatePeak,HeatRateOffPeak)/1000*(1+VLOOKUP($C297,WeatherHeatRateAdjustment,3)))*(1+VLOOKUP($B297,HeatRateDegradation,$C297+1)),0)</f>
        <v>#VALUE!</v>
      </c>
      <c r="GF297" s="1562" t="e">
        <f aca="false">IF(BQ297,((FP297+FQ297+FR297+FX297+FY297+FZ297)*HeatRatePeak/1000*(1+VLOOKUP($C297,WeatherHeatRateAdjustment,2))+(FS297+GA297)*HeatRatePeak/1000*(1+VLOOKUP($C297,WeatherHeatRateAdjustment,3)))*(1+VLOOKUP($B297,HeatRateDegradation,$C297+1)),0)</f>
        <v>#VALUE!</v>
      </c>
      <c r="GG297" s="1563" t="e">
        <f aca="false">IF(BQ297,VLOOKUP(A297,GasTable,13),0)</f>
        <v>#VALUE!</v>
      </c>
      <c r="GH297" s="1564" t="e">
        <f aca="false">(GE297+GF297)*GG297</f>
        <v>#VALUE!</v>
      </c>
      <c r="GI297" s="1569" t="e">
        <f aca="false">GB297</f>
        <v>#VALUE!</v>
      </c>
      <c r="GJ297" s="1598" t="e">
        <f aca="false">+DA297</f>
        <v>#VALUE!</v>
      </c>
      <c r="GK297" s="1558" t="e">
        <f aca="false">+GI297*GJ297</f>
        <v>#VALUE!</v>
      </c>
      <c r="GL297" s="1566" t="e">
        <f aca="false">MAX(FE297-FL297-FP297,0)</f>
        <v>#VALUE!</v>
      </c>
      <c r="GM297" s="1551" t="e">
        <f aca="false">MAX(FF297-FM297-FQ297,0)</f>
        <v>#VALUE!</v>
      </c>
      <c r="GN297" s="1551" t="e">
        <f aca="false">MAX(FG297-FN297-FR297,0)</f>
        <v>#VALUE!</v>
      </c>
      <c r="GO297" s="1564" t="e">
        <f aca="false">MAX(FH297-FO297-FS297,0)</f>
        <v>#VALUE!</v>
      </c>
      <c r="GP297" s="1551" t="e">
        <f aca="false">SUM(GL297:GO297)</f>
        <v>#VALUE!</v>
      </c>
      <c r="GQ297" s="1563" t="e">
        <f aca="false">IF(SUM(GL297:GO297)=0,0,((GL297*BU297+GM297*BV297+GN297*BW297+GO297*BX297)/SUM(GL297:GO297)))</f>
        <v>#VALUE!</v>
      </c>
      <c r="GR297" s="1558" t="e">
        <f aca="false">(GL297*BU297+GM297*BV297+GN297*BW297+GO297*BX297)</f>
        <v>#VALUE!</v>
      </c>
      <c r="GS297" s="1551" t="n">
        <f aca="false">IF($A297&gt;=BegDate,Assumptions!$C$56*24*($A298-$A297)*(1-VLOOKUP($B297,MAIN!$AA$7:$AM$28,$C297+1))*(1-VLOOKUP($B297,MAIN!$AA$33:$AM$54,$C297+1)),0)*80/168</f>
        <v>249428.571428571</v>
      </c>
      <c r="GT297" s="286" t="n">
        <f aca="false">J297</f>
        <v>79.2732490497243</v>
      </c>
      <c r="GU297" s="286" t="n">
        <f aca="false">IF($A297&gt;=BegDate,VLOOKUP($A297,GasTable,13)+Assumptions!$C$58,0)</f>
        <v>4.58711122179671</v>
      </c>
      <c r="GV297" s="286" t="n">
        <f aca="false">GU297*Assumptions!$C$57/1000</f>
        <v>33.2565563580261</v>
      </c>
      <c r="GW297" s="1551" t="n">
        <f aca="false">IF(Assumptions!$C$60="Hourly",MAX(0,GS297*(GT297-GV297)),GS297*(GT297-GV297))</f>
        <v>11477877.9199579</v>
      </c>
      <c r="GX297" s="1551" t="n">
        <f aca="false">IF($A297&gt;=BegDate,Assumptions!$C$56*24*($A298-$A297)*(1-VLOOKUP($B297,MAIN!$AA$7:$AM$28,$C297+1))*(1-VLOOKUP($B297,MAIN!$AA$33:$AM$54,$C297+1)),0)*16/168</f>
        <v>49885.7142857143</v>
      </c>
      <c r="GY297" s="286" t="n">
        <f aca="false">M297</f>
        <v>79.2732490497243</v>
      </c>
      <c r="GZ297" s="286" t="n">
        <f aca="false">IF($A297&gt;=BegDate,VLOOKUP($A297,GasTable,13)+Assumptions!$C$58,0)</f>
        <v>4.58711122179671</v>
      </c>
      <c r="HA297" s="286" t="n">
        <f aca="false">GZ297*Assumptions!$C$57/1000</f>
        <v>33.2565563580261</v>
      </c>
      <c r="HB297" s="1551" t="n">
        <f aca="false">IF(Assumptions!$C$60="Hourly",MAX(0,GX297*(GY297-HA297)),GX297*(GY297-HA297))</f>
        <v>2295575.58399157</v>
      </c>
      <c r="HC297" s="1551" t="n">
        <f aca="false">IF($A297&gt;=BegDate,Assumptions!$C$56*24*($A298-$A297)*(1-VLOOKUP($B297,MAIN!$AA$7:$AM$28,$C297+1))*(1-VLOOKUP($B297,MAIN!$AA$33:$AM$54,$C297+1)),0)*16/168</f>
        <v>49885.7142857143</v>
      </c>
      <c r="HD297" s="286" t="n">
        <f aca="false">P297</f>
        <v>37.3341939092163</v>
      </c>
      <c r="HE297" s="286" t="n">
        <f aca="false">IF($A297&gt;=BegDate,VLOOKUP($A297,GasTable,13)+Assumptions!$C$58,0)</f>
        <v>4.58711122179671</v>
      </c>
      <c r="HF297" s="286" t="n">
        <f aca="false">HE297*Assumptions!$C$57/1000</f>
        <v>33.2565563580261</v>
      </c>
      <c r="HG297" s="1551" t="n">
        <f aca="false">IF(Assumptions!$C$60="Hourly",MAX(0,HC297*(HD297-HF297)),HC297*(HD297-HF297))</f>
        <v>203415.861839372</v>
      </c>
      <c r="HH297" s="1551" t="n">
        <f aca="false">IF($A297&gt;=BegDate,Assumptions!$C$56*24*($A298-$A297)*(1-VLOOKUP($B297,MAIN!$AA$7:$AM$28,$C297+1))*(1-VLOOKUP($B297,MAIN!$AA$33:$AM$54,$C297+1)),0)*56/168</f>
        <v>174600</v>
      </c>
      <c r="HI297" s="286" t="n">
        <f aca="false">S297</f>
        <v>37.3341939092163</v>
      </c>
      <c r="HJ297" s="286" t="n">
        <f aca="false">IF($A297&gt;=BegDate,VLOOKUP($A297,GasTable,13)+Assumptions!$C$58,0)</f>
        <v>4.58711122179671</v>
      </c>
      <c r="HK297" s="286" t="n">
        <f aca="false">HJ297*Assumptions!$C$57/1000</f>
        <v>33.2565563580261</v>
      </c>
      <c r="HL297" s="1551" t="n">
        <f aca="false">IF(Assumptions!$C$60="Hourly",MAX(0,HH297*(HI297-HK297)),HH297*(HI297-HK297))</f>
        <v>711955.516437802</v>
      </c>
      <c r="HM297" s="1551" t="n">
        <f aca="false">IF(AND(Assumptions!$H$71="Yes",A297&gt;=Assumptions!$H$72,A297&lt;=Assumptions!$H$73),Assumptions!$H$74*Assumptions!$C$9*1000,0)</f>
        <v>0</v>
      </c>
    </row>
    <row r="298" customFormat="false" ht="12.75" hidden="false" customHeight="false" outlineLevel="0" collapsed="false">
      <c r="A298" s="1571" t="n">
        <f aca="false">EOMONTH(A297,0)+1</f>
        <v>45200</v>
      </c>
      <c r="B298" s="238" t="n">
        <f aca="false">+YEAR(A298)</f>
        <v>2023</v>
      </c>
      <c r="C298" s="320" t="n">
        <f aca="false">MONTH(A298)</f>
        <v>10</v>
      </c>
      <c r="D298" s="1614" t="str">
        <f aca="false">IF(E298="","",Holiday(B298,C298))</f>
        <v/>
      </c>
      <c r="E298" s="1573" t="str">
        <f aca="false">IF(OR(BegDate&gt;=A299,EndDate&lt;A298,AND(VolumeMonthlyOverFlag,INDEX(VolumeMonthlyOver,C298)=0),NOT(INDEX(MonthKnockOutTable,C298))),"",MAX(A298,BegDate))</f>
        <v/>
      </c>
      <c r="F298" s="1614" t="str">
        <f aca="false">IF(E298="","",MIN(A299-1,EndDate))</f>
        <v/>
      </c>
      <c r="G298" s="1615" t="n">
        <v>0</v>
      </c>
      <c r="H298" s="1576" t="n">
        <f aca="false">(1+G298/2)^(-2*(DATE(B299,C299,20)-DateToday)/365.25)</f>
        <v>1</v>
      </c>
      <c r="I298" s="1568" t="n">
        <f aca="false">IF(Assumptions!$L$25=4,VLOOKUP($A298,'Henwood Reference'!$E$9:$R$320,10),(VLOOKUP($A298,PriceTable,2,0)+IF(BasisNumber&lt;&gt;1,VLOOKUP($A298,BasisTable,2,0),0)+I$1)/(1-I$2))</f>
        <v>63.9547765275898</v>
      </c>
      <c r="J298" s="1568" t="n">
        <f aca="false">IF(Assumptions!$L$25=4,VLOOKUP($A298,'Henwood Reference'!$E$9:$R$320,10),(VLOOKUP($A298,PriceTable,3,0)+IF(BasisNumber&lt;&gt;1,VLOOKUP($A298,BasisTable,2,0),0)+J$1)/(1-J$2))</f>
        <v>63.9547765275898</v>
      </c>
      <c r="K298" s="1568" t="n">
        <f aca="false">IF(Assumptions!$L$25=4,VLOOKUP($A298,'Henwood Reference'!$E$9:$R$320,10),(VLOOKUP($A298,PriceTable,4,0)+IF(BasisNumber&lt;&gt;1,VLOOKUP($A298,BasisTable,2,0),0)+K$1)/(1-K$2))</f>
        <v>63.9547765275898</v>
      </c>
      <c r="L298" s="1523" t="n">
        <f aca="false">IF(Assumptions!$L$25=4,VLOOKUP($A298,'Henwood Reference'!$E$9:$R$320,10),(VLOOKUP($A298,PriceTableWeekend,2,0)+IF(BasisNumber&lt;&gt;1,VLOOKUP($A298,BasisTable,2,0),0)+L$1)/(1-L$2))</f>
        <v>63.9547765275898</v>
      </c>
      <c r="M298" s="1568" t="n">
        <f aca="false">IF(Assumptions!$L$25=4,VLOOKUP($A298,'Henwood Reference'!$E$9:$R$320,10),(VLOOKUP($A298,PriceTableWeekend,3,0)+IF(BasisNumber&lt;&gt;1,VLOOKUP($A298,BasisTable,2,0),0)+M$1)/(1-M$2))</f>
        <v>63.9547765275898</v>
      </c>
      <c r="N298" s="1599" t="n">
        <f aca="false">IF(Assumptions!$L$25=4,VLOOKUP($A298,'Henwood Reference'!$E$9:$R$320,10),(VLOOKUP($A298,PriceTableWeekend,4,0)+IF(BasisNumber&lt;&gt;1,VLOOKUP($A298,BasisTable,2,0),0)+N$1)/(1-N$2))</f>
        <v>63.9547765275898</v>
      </c>
      <c r="O298" s="1568" t="n">
        <f aca="false">IF(Assumptions!$L$25=4,VLOOKUP($A298,'Henwood Reference'!$E$9:$R$320,11),(VLOOKUP($A298,PriceTableWeekend,6,0)+IF(BasisNumber&lt;&gt;1,VLOOKUP($A298,BasisTable,3,0),0)+O$1)/(1-O$2))</f>
        <v>35.6087507343381</v>
      </c>
      <c r="P298" s="1568" t="n">
        <f aca="false">IF(Assumptions!$L$25=4,VLOOKUP($A298,'Henwood Reference'!$E$9:$R$320,11),(VLOOKUP($A298,PriceTableWeekend,7,0)+IF(BasisNumber&lt;&gt;1,VLOOKUP($A298,BasisTable,3,0),0)+P$1)/(1-P$2))</f>
        <v>35.6087507343381</v>
      </c>
      <c r="Q298" s="1599" t="n">
        <f aca="false">IF(Assumptions!$L$25=4,VLOOKUP($A298,'Henwood Reference'!$E$9:$R$320,11),(VLOOKUP($A298,PriceTableWeekend,8,0)+IF(BasisNumber&lt;&gt;1,VLOOKUP($A298,BasisTable,3,0),0)+Q$1)/(1-Q$2))</f>
        <v>35.6087507343381</v>
      </c>
      <c r="R298" s="1568" t="n">
        <f aca="false">IF(Assumptions!$L$25=4,VLOOKUP($A298,'Henwood Reference'!$E$9:$R$320,11),(VLOOKUP($A298,PriceTable,6,0)+IF(BasisNumber&lt;&gt;1,VLOOKUP($A298,BasisTable,3,0),0)+R$1)/(1-R$2))</f>
        <v>35.6087507343381</v>
      </c>
      <c r="S298" s="1568" t="n">
        <f aca="false">IF(Assumptions!$L$25=4,VLOOKUP($A298,'Henwood Reference'!$E$9:$R$320,11),(VLOOKUP($A298,PriceTable,7,0)+IF(BasisNumber&lt;&gt;1,VLOOKUP($A298,BasisTable,3,0),0)+S$1)/(1-S$2))</f>
        <v>35.6087507343381</v>
      </c>
      <c r="T298" s="1600" t="n">
        <f aca="false">IF(Assumptions!$L$25=4,VLOOKUP($A298,'Henwood Reference'!$E$9:$R$320,11),(VLOOKUP($A298,PriceTable,8,0)+IF(BasisNumber&lt;&gt;1,VLOOKUP($A298,BasisTable,3,0),0)+T$1)/(1-T$2))</f>
        <v>35.6087507343381</v>
      </c>
      <c r="U298" s="1513" t="n">
        <f aca="false">VLOOKUP($A298,VolatilityTable,14)</f>
        <v>0.09</v>
      </c>
      <c r="V298" s="1513" t="n">
        <f aca="false">VLOOKUP($A298,VolatilityTable,15)</f>
        <v>0.1</v>
      </c>
      <c r="W298" s="1513" t="n">
        <f aca="false">VLOOKUP($A298,VolatilityTable,16)</f>
        <v>0.11</v>
      </c>
      <c r="X298" s="1513" t="n">
        <f aca="false">VLOOKUP($A298,VolatilityTable,14)</f>
        <v>0.09</v>
      </c>
      <c r="Y298" s="1513" t="n">
        <f aca="false">VLOOKUP($A298,VolatilityTable,15)</f>
        <v>0.1</v>
      </c>
      <c r="Z298" s="1513" t="n">
        <f aca="false">VLOOKUP($A298,VolatilityTable,16)</f>
        <v>0.11</v>
      </c>
      <c r="AA298" s="1513" t="n">
        <f aca="false">VLOOKUP($A298,VolatilityTable,18)</f>
        <v>0.09</v>
      </c>
      <c r="AB298" s="1513" t="n">
        <f aca="false">VLOOKUP($A298,VolatilityTable,19)</f>
        <v>0.11</v>
      </c>
      <c r="AC298" s="1513" t="n">
        <f aca="false">VLOOKUP($A298,VolatilityTable,20)</f>
        <v>0.13</v>
      </c>
      <c r="AD298" s="1513" t="n">
        <f aca="false">VLOOKUP($A298,VolatilityTable,18)</f>
        <v>0.09</v>
      </c>
      <c r="AE298" s="1513" t="n">
        <f aca="false">VLOOKUP($A298,VolatilityTable,19)</f>
        <v>0.11</v>
      </c>
      <c r="AF298" s="1513" t="n">
        <f aca="false">VLOOKUP($A298,VolatilityTable,20)</f>
        <v>0.13</v>
      </c>
      <c r="AG298" s="1513" t="n">
        <f aca="false">VLOOKUP($A298,VolatilityTable,22)</f>
        <v>-0.1</v>
      </c>
      <c r="AH298" s="1513" t="n">
        <f aca="false">VLOOKUP($A298,VolatilityTable,23)</f>
        <v>3</v>
      </c>
      <c r="AI298" s="1513" t="n">
        <f aca="false">VLOOKUP($A298,VolatilityTable,24)</f>
        <v>0.1</v>
      </c>
      <c r="AJ298" s="1513" t="n">
        <f aca="false">VLOOKUP($A298,VolatilityTable,22)</f>
        <v>-0.1</v>
      </c>
      <c r="AK298" s="1513" t="n">
        <f aca="false">VLOOKUP($A298,VolatilityTable,23)</f>
        <v>3</v>
      </c>
      <c r="AL298" s="1513" t="n">
        <f aca="false">VLOOKUP($A298,VolatilityTable,24)</f>
        <v>0.1</v>
      </c>
      <c r="AM298" s="1513" t="n">
        <f aca="false">VLOOKUP($A298,VolatilityTable,26)</f>
        <v>-0.01</v>
      </c>
      <c r="AN298" s="1513" t="n">
        <f aca="false">VLOOKUP($A298,VolatilityTable,27)</f>
        <v>0.16</v>
      </c>
      <c r="AO298" s="1513" t="n">
        <f aca="false">VLOOKUP($A298,VolatilityTable,28)</f>
        <v>0.01</v>
      </c>
      <c r="AP298" s="1513" t="n">
        <f aca="false">VLOOKUP($A298,VolatilityTable,26)</f>
        <v>-0.01</v>
      </c>
      <c r="AQ298" s="1513" t="n">
        <f aca="false">VLOOKUP($A298,VolatilityTable,27)</f>
        <v>0.16</v>
      </c>
      <c r="AR298" s="1513" t="n">
        <f aca="false">VLOOKUP($A298,VolatilityTable,28)</f>
        <v>0.01</v>
      </c>
      <c r="AS298" s="1616" t="n">
        <f aca="false">IF(CorrPeakOffPeakOverFlag,INDEX(CorrPeakOffPeakOver,C298),CorrPeakOffPeak)</f>
        <v>0.5</v>
      </c>
      <c r="AT298" s="238" t="n">
        <f aca="false">AX298-SUM(AU298:AW298)</f>
        <v>0</v>
      </c>
      <c r="AU298" s="238" t="n">
        <f aca="false">IF(E298="",0,INT((F298-MOD(F298,7)-E298)/7)+1-IF(AW298,IF(WEEKDAY(D298)=7,1,0),0))</f>
        <v>0</v>
      </c>
      <c r="AV298" s="238" t="n">
        <f aca="false">IF(E298="",0,INT((F298-MOD(F298-1,7)-E298)/7)+1-IF(AW298,IF(WEEKDAY(D298)=1,1,0),0))</f>
        <v>0</v>
      </c>
      <c r="AW298" s="238" t="n">
        <f aca="false">IF(OR(E298="",D298="",D298&lt;BegDate,D298&gt;EndDate),0,1)</f>
        <v>0</v>
      </c>
      <c r="AX298" s="238" t="n">
        <f aca="false">IF(E298="",0,F298-E298+1)</f>
        <v>0</v>
      </c>
      <c r="AY298" s="1513" t="n">
        <f aca="false">IF(E298="",0,MIN((1-(1-VLOOKUP(B298,MAIN!$AA$7:$AM$28,C298+1))*(1-VLOOKUP(B298,MAIN!$AA$33:$AM$54,C298+1))),1))</f>
        <v>0</v>
      </c>
      <c r="AZ298" s="1519" t="e">
        <f aca="false" t="array" ref="AZ298:BO298">TakeFunction(TakeType,STake,OTake,CombineTakesFlag,MostExpFlag,VolumeEscType,VolumeEsc,DateToday,BegDate,EndDate,OrderedScalars,OrderedPrices,OrderedPricesSat,OrderedPricesSun,AvailDays,FirmWeek,FirmSat,FirmSun,FirmHol,OptWeek,OptSat,OptSun,OptHol)*(1-PlannedOutages)</f>
        <v>#VALUE!</v>
      </c>
      <c r="BA298" s="1519" t="e">
        <v>#VALUE!</v>
      </c>
      <c r="BB298" s="1519" t="e">
        <v>#VALUE!</v>
      </c>
      <c r="BC298" s="1519" t="e">
        <v>#VALUE!</v>
      </c>
      <c r="BD298" s="1568" t="e">
        <v>#VALUE!</v>
      </c>
      <c r="BE298" s="1568" t="e">
        <v>#VALUE!</v>
      </c>
      <c r="BF298" s="1568" t="e">
        <v>#VALUE!</v>
      </c>
      <c r="BG298" s="1568" t="e">
        <v>#VALUE!</v>
      </c>
      <c r="BH298" s="1519" t="e">
        <v>#VALUE!</v>
      </c>
      <c r="BI298" s="1519" t="e">
        <v>#VALUE!</v>
      </c>
      <c r="BJ298" s="1519" t="e">
        <v>#VALUE!</v>
      </c>
      <c r="BK298" s="1519" t="e">
        <v>#VALUE!</v>
      </c>
      <c r="BL298" s="1568" t="e">
        <v>#VALUE!</v>
      </c>
      <c r="BM298" s="1568" t="e">
        <v>#VALUE!</v>
      </c>
      <c r="BN298" s="1568" t="e">
        <v>#VALUE!</v>
      </c>
      <c r="BO298" s="1568" t="e">
        <v>#VALUE!</v>
      </c>
      <c r="BP298" s="1519" t="e">
        <f aca="false">SUM(AZ298:BB298)</f>
        <v>#VALUE!</v>
      </c>
      <c r="BQ298" s="1519" t="e">
        <f aca="false">SUM(AZ298:BC298)</f>
        <v>#VALUE!</v>
      </c>
      <c r="BR298" s="1519" t="e">
        <f aca="false">SUM(BH298:BJ298)</f>
        <v>#VALUE!</v>
      </c>
      <c r="BS298" s="1519" t="e">
        <f aca="false">SUM(BH298:BK298)</f>
        <v>#VALUE!</v>
      </c>
      <c r="BT298" s="1316" t="n">
        <f aca="false">(IF(OVolType&lt;&gt;2,A298+14,IF(OptExpDateShift,ShiftBack(A298,OptExpDateShift,D297),A298))-DateToday)/365.25</f>
        <v>23.4633812457221</v>
      </c>
      <c r="BU298" s="1316" t="e">
        <f aca="false">IF(BQ298,IF(OPriceCurve,IF(OBuySell=OCallPut,I298/(1-AY298),K298/(1-AY298)),J298/(1-AY298))*BD298,0)</f>
        <v>#VALUE!</v>
      </c>
      <c r="BV298" s="1316" t="e">
        <f aca="false">IF(BQ298,IF(OPriceCurve,IF(OBuySell=OCallPut,L298/(1-AY298),N298/(1-AY298)),M298/(1-AY298))*BE298,0)</f>
        <v>#VALUE!</v>
      </c>
      <c r="BW298" s="1316" t="e">
        <f aca="false">IF(BQ298,IF(OPriceCurve,IF(OBuySell=OCallPut,O298/(1-AY298),Q298/(1-AY298)),P298/(1-AY298))*BF298,0)</f>
        <v>#VALUE!</v>
      </c>
      <c r="BX298" s="1316" t="e">
        <f aca="false">IF(BQ298,IF(OPriceCurve,IF(OBuySell=OCallPut,R298/(1-AY298),T298/(1-AY298)),S298/(1-AY298))*BG298,0)</f>
        <v>#VALUE!</v>
      </c>
      <c r="BY298" s="1316" t="e">
        <f aca="false">IF(BP298,(BU298*AZ298+BV298*BA298+BW298*BB298)/BP298,0)</f>
        <v>#VALUE!</v>
      </c>
      <c r="BZ298" s="1316" t="e">
        <f aca="false">IF(BQ298,(BY298*BP298+BX298*BC298)/BQ298,0)</f>
        <v>#VALUE!</v>
      </c>
      <c r="CA298" s="1316" t="e">
        <f aca="false">IF(BS298,IF(OPriceCurve,IF(OBuySell=OCallPut,I298/(1-AY298),K298/(1-AY298)),J298/(1-AY298))*BL298,0)</f>
        <v>#VALUE!</v>
      </c>
      <c r="CB298" s="1316" t="e">
        <f aca="false">IF(BS298,IF(OPriceCurve,IF(OBuySell=OCallPut,L298/(1-AY298),N298/(1-AY298)),M298/(1-AY298))*BM298,0)</f>
        <v>#VALUE!</v>
      </c>
      <c r="CC298" s="1316" t="e">
        <f aca="false">IF(BS298,IF(OPriceCurve,IF(OBuySell=OCallPut,O298/(1-AY298),Q298/(1-AY298)),P298/(1-AY298))*BN298,0)</f>
        <v>#VALUE!</v>
      </c>
      <c r="CD298" s="1316" t="e">
        <f aca="false">IF(BS298,IF(OPriceCurve,IF(OBuySell=OCallPut,R298/(1-AY298),T298/(1-AY298)),S298/(1-AY298))*BO298,0)</f>
        <v>#VALUE!</v>
      </c>
      <c r="CE298" s="1316" t="e">
        <f aca="false">IF(BR298,(BU298*BH298+BV298*BI298+BW298*BJ298)/BR298,0)</f>
        <v>#VALUE!</v>
      </c>
      <c r="CF298" s="1316" t="e">
        <f aca="false">IF(BS298,(CE298*BR298+CD298*BK298)/BS298,0)</f>
        <v>#VALUE!</v>
      </c>
      <c r="CG298" s="1587" t="e">
        <f aca="false">IF(OR(BQ298,BS298),IF(OVolType&lt;&gt;2,SQRT(IF(OVolOverMonthlyPeak,OVolOverMonthlyPeak,IF(OVolCurve,IF(OBuySell,U298,W298),V298))^2*(1-15/365.25/BT298)+IF(OVolOverDailyPeak,OVolOverDailyPeak,IF(OVolCurve,IF(OBuySell,AG298,AI298),AH298))^2*15/365.25/BT298),IF(OVolOverMonthlyPeak,OVolOverMonthlyPeak,IF(OVolCurve,IF(OBuySell,U298,W298),V298))),"")</f>
        <v>#VALUE!</v>
      </c>
      <c r="CH298" s="1587" t="e">
        <f aca="false">IF(OR(BQ298,BS298),IF(OVolType&lt;&gt;2,SQRT(IF(OVolOverMonthlyPeak,OVolOverMonthlyPeak,IF(OVolCurve,IF(OBuySell,X298,Z298),Y298))^2*(1-15/365.25/BT298)+IF(OVolOverDailyPeak,OVolOverDailyPeak,IF(OVolCurve,IF(OBuySell,AJ298,AL298),AK298))^2*15/365.25/BT298),IF(OVolOverMonthlyPeak,OVolOverMonthlyPeak,IF(OVolCurve,IF(OBuySell,X298,Z298),Y298))),"")</f>
        <v>#VALUE!</v>
      </c>
      <c r="CI298" s="1587" t="e">
        <f aca="false">IF(OR(BQ298,BS298),IF(OVolType&lt;&gt;2,SQRT(IF(OVolOverMonthlyPeak,OVolOverMonthlyPeak,IF(OVolCurve,IF(OBuySell,AA298,AC298),AB298))^2*(1-15/365.25/BT298)+IF(OVolOverDailyPeak,OVolOverDailyPeak,IF(OVolCurve,IF(OBuySell,AM298,AO298),AN298))^2*15/365.25/BT298),IF(OVolOverMonthlyPeak,OVolOverMonthlyPeak,IF(OVolCurve,IF(OBuySell,AA298,AC298),AB298))),"")</f>
        <v>#VALUE!</v>
      </c>
      <c r="CJ298" s="1587" t="e">
        <f aca="false">IF(BQ298,IF(BP298,SQRT(LN(1+((BU298*AZ298)^2*(EXP(CG298^2*BT298)-1)+(BV298*BA298)^2*(EXP(CH298^2*BT298)-1)+(BW298*BB298)^2*(EXP(CI298^2*BT298)-1)+2*BU298*AZ298*BV298*BA298*(EXP(CG298*CH298*BT298)-1)+2*BV298*BA298*BW298*BB298*(EXP(CH298*CI298*BT298)-1)+2*BW298*BB298*BU298*AZ298*(EXP(CI298*CG298*BT298)-1))/(BY298*BP298)^2)/BT298),0),"")</f>
        <v>#VALUE!</v>
      </c>
      <c r="CK298" s="1587" t="e">
        <f aca="false">IF(BS298,IF(BR298,SQRT(LN(1+((CA298*BH298)^2*(EXP(CG298^2*BT298)-1)+(CB298*BI298)^2*(EXP(CH298^2*BT298)-1)+(CC298*BJ298)^2*(EXP(CI298^2*BT298)-1)+2*CA298*BH298*CB298*BI298*(EXP(CG298*CH298*BT298)-1)+2*CB298*BI298*CC298*BJ298*(EXP(CH298*CI298*BT298)-1)+2*CC298*BJ298*CA298*BH298*(EXP(CI298*CG298*BT298)-1))/(CE298*BR298)^2)/BT298),0),"")</f>
        <v>#VALUE!</v>
      </c>
      <c r="CL298" s="1587" t="e">
        <f aca="false">IF(OR(BQ298,BS298),IF(OVolType&lt;&gt;2,SQRT(IF(OVolOverMonthlyOffPeak,OVolOverMonthlyOffPeak,IF(OVolCurve,IF(OBuySell,AD298,AF298),AE298))^2*(1-15/365.25/BT298)+IF(OVolOverDailyOffPeak,OVolOverDailyOffPeak,IF(OVolCurve,IF(OBuySell,AP298,AR298),AQ298))^2*15/365.25/BT298),IF(OVolOverMonthlyOffPeak,OVolOverMonthlyOffPeak,IF(OVolCurve,IF(OBuySell,AD298,AF298),AE298))),"")</f>
        <v>#VALUE!</v>
      </c>
      <c r="CM298" s="1587" t="e">
        <f aca="false">IF(BQ298,SQRT(LN(1+((BY298*BP298)^2*(EXP(CJ298^2*BT298)-1)+(BX298*BC298)^2*(EXP(CL298^2*BT298)-1)+2*BY298*BP298*BX298*BC298*(EXP(AS298*CJ298*CL298*BT298)-1))/(BY298*BP298+BX298*BC298)^2)/BT298),"")</f>
        <v>#VALUE!</v>
      </c>
      <c r="CN298" s="1587" t="e">
        <f aca="false">IF(BS298,SQRT(LN(1+((CE298*BR298)^2*(EXP(CK298^2*BT298)-1)+(CD298*BK298)^2*(EXP(CL298^2*BT298)-1)+2*CE298*BR298*CD298*BK298*(EXP(AS298*CK298*CL298*BT298)-1))/(CE298*BR298+CD298*BK298)^2)/BT298),"")</f>
        <v>#VALUE!</v>
      </c>
      <c r="CO298" s="1316" t="e">
        <f aca="false">IF(OR(BQ298,BS298),VLOOKUP(A298,GasTable,13)*HeatRatePeak*(1+VLOOKUP($B298,HeatRateDegradation,$C298+1))/1000,0)</f>
        <v>#VALUE!</v>
      </c>
      <c r="CP298" s="1316" t="e">
        <f aca="false">IF(OR(BQ298,BS298),VLOOKUP(A298,GasTable,13)*HeatRatePeak*(1+VLOOKUP($B298,HeatRateDegradation,$C298+1))/1000,0)</f>
        <v>#VALUE!</v>
      </c>
      <c r="CQ298" s="1316" t="e">
        <f aca="false">IF(OR(BQ298,BS298),VLOOKUP(A298,GasTable,13)*IF(EV298,HeatRatePeak,HeatRateOffPeak)*(1+VLOOKUP($B298,HeatRateDegradation,$C298+1))/1000,0)</f>
        <v>#VALUE!</v>
      </c>
      <c r="CR298" s="1316" t="e">
        <f aca="false">IF(OR(BQ298,BS298),VLOOKUP(A298,GasTable,13)*IF(EW298,HeatRatePeak,HeatRateOffPeak)*(1+VLOOKUP($B298,HeatRateDegradation,$C298+1))/1000,0)</f>
        <v>#VALUE!</v>
      </c>
      <c r="CS298" s="1589" t="e">
        <f aca="false">IF(BQ298,(CO298*AZ298+CP298*BA298+CQ298*BB298+CR298*BC298)/BQ298,0)</f>
        <v>#VALUE!</v>
      </c>
      <c r="CT298" s="1316" t="e">
        <f aca="false">IF(BS298,CO298,0)</f>
        <v>#VALUE!</v>
      </c>
      <c r="CU298" s="1592" t="e">
        <f aca="false">IF(OR(BQ298,BS298),VLOOKUP(A298,GasTable,14),"")</f>
        <v>#VALUE!</v>
      </c>
      <c r="CV298" s="1568" t="e">
        <f aca="false">IF(OR(BQ298,BS298),IF(CorrPowerGasOverFlag,INDEX(CorrPowerGasOver,C298),CorrPowerGas),"")</f>
        <v>#VALUE!</v>
      </c>
      <c r="CW298" s="1316" t="e">
        <f aca="false">IF(OR($BQ298,$BS298),SpreadOptPowerMargin,0)*((1+Assumptions!$C$26)^($B298-YEAR(Assumptions!$C$17)))</f>
        <v>#VALUE!</v>
      </c>
      <c r="CX298" s="1316" t="e">
        <f aca="false">IF(OR($BQ298,$BS298),SpreadOptPowerMargin,0)*((1+Assumptions!$C$26)^($B298-YEAR(Assumptions!$C$17)))</f>
        <v>#VALUE!</v>
      </c>
      <c r="CY298" s="1316" t="e">
        <f aca="false">IF(OR($BQ298,$BS298),SpreadOptPowerMargin,0)*((1+Assumptions!$C$26)^($B298-YEAR(Assumptions!$C$17)))</f>
        <v>#VALUE!</v>
      </c>
      <c r="CZ298" s="1316" t="e">
        <f aca="false">IF(OR($BQ298,$BS298),SpreadOptPowerMargin,0)*((1+Assumptions!$C$26)^($B298-YEAR(Assumptions!$C$17)))</f>
        <v>#VALUE!</v>
      </c>
      <c r="DA298" s="1316" t="e">
        <f aca="false">IF(OR(BQ298,BS298),(CW298*(AZ298+BH298)+CX298*(BA298+BI298)+CY298*(BB298+BJ298)+CZ298*(BC298+BK298))/(BQ298+BS298),0)</f>
        <v>#VALUE!</v>
      </c>
      <c r="DB298" s="1592" t="e">
        <f aca="false">IF(OR(BQ298,BS298),CG298+IF(OVolSmile,VLOOKUP(MAX(-5,CO298+CW298-BU298),IF(OVolSmile=1,VolSmileBook,VolSmileModel),2),0),"")</f>
        <v>#VALUE!</v>
      </c>
      <c r="DC298" s="1592" t="e">
        <f aca="false">IF(OR(BQ298,BS298),CH298+IF(OVolSmile,VLOOKUP(MAX(-5,CP298+CW298-BV298),IF(OVolSmile=1,VolSmileBook,VolSmileModel),2),0),"")</f>
        <v>#VALUE!</v>
      </c>
      <c r="DD298" s="1592" t="e">
        <f aca="false">IF(OR(BQ298,BS298),CI298+IF(OVolSmile,VLOOKUP(MAX(-5,CQ298+CW298-BW298),IF(OVolSmile=1,VolSmileBook,VolSmileModel),2),0),"")</f>
        <v>#VALUE!</v>
      </c>
      <c r="DE298" s="1592" t="e">
        <f aca="false">IF(OR(BQ298,BS298),CL298+IF(OVolSmile,VLOOKUP(MAX(-5,CR298+CZ298-BX298),IF(OVolSmile=1,VolSmileBook,VolSmileModel),2),0),"")</f>
        <v>#VALUE!</v>
      </c>
      <c r="DF298" s="1592" t="e">
        <f aca="false">IF(BQ298,CM298+IF(OVolSmile,VLOOKUP(MAX(-5,CS298+DA298-BZ298),IF(OVolSmile=1,VolSmileBook,VolSmileModel),2),0),"")</f>
        <v>#VALUE!</v>
      </c>
      <c r="DG298" s="1592" t="e">
        <f aca="false">IF(BS298,CN298+IF(OVolSmile,VLOOKUP(MAX(-5,CT298+DA298-CF298),IF(OVolSmile=1,VolSmileBook,VolSmileModel),2),0),"")</f>
        <v>#VALUE!</v>
      </c>
      <c r="DH298" s="1316" t="e">
        <f aca="false">IF(AND(BU298&gt;0,CO298&gt;0,DB298&gt;0,CU298&gt;0),newSPRDOPT(BU298,CO298,CW298,0,DB298,CU298,CV298,BT298*365.25,OCallPut,0),0)</f>
        <v>#VALUE!</v>
      </c>
      <c r="DI298" s="1316" t="e">
        <f aca="false">IF(AND(BV298&gt;0,CP298&gt;0,DC298&gt;0,CU298&gt;0),newSPRDOPT(BV298,CP298,CX298,0,DC298,CU298,CV298,BT298*365.25,OCallPut,0),0)</f>
        <v>#VALUE!</v>
      </c>
      <c r="DJ298" s="1316" t="e">
        <f aca="false">IF(AND(BW298&gt;0,CQ298&gt;0,DD298&gt;0,CU298&gt;0),newSPRDOPT(BW298,CQ298,CY298,0,DD298,CU298,CV298,BT298*365.25,OCallPut,0),0)</f>
        <v>#VALUE!</v>
      </c>
      <c r="DK298" s="1316" t="e">
        <f aca="false">IF(AND(BX298&gt;0,CR298&gt;0,DE298&gt;0,CU298&gt;0),newSPRDOPT(BX298,CR298,CZ298,0,DE298,CU298,CV298,BT298*365.25,OCallPut,0),0)</f>
        <v>#VALUE!</v>
      </c>
      <c r="DL298" s="1316" t="e">
        <f aca="false">IF(OVolType,IF(AND(BZ298&gt;0,CS298&gt;0,DF298&gt;0,CU298&gt;0),newSPRDOPT(BZ298,CS298,DA298,0,DF298,CU298,CV298,BT298*365.25,OCallPut,0),0),IF(BQ298,(DH298*AZ298+DI298*BA298+DJ298*BB298+DK298*BC298)/BQ298,0))</f>
        <v>#VALUE!</v>
      </c>
      <c r="DM298" s="1316"/>
      <c r="DN298" s="1316"/>
      <c r="DO298" s="1316"/>
      <c r="DP298" s="1316"/>
      <c r="DQ298" s="1316"/>
      <c r="DR298" s="1316"/>
      <c r="DS298" s="1316"/>
      <c r="DT298" s="1316"/>
      <c r="DU298" s="1316"/>
      <c r="DV298" s="1316"/>
      <c r="DW298" s="1316" t="e">
        <f aca="false">IF(AND(BW298&gt;0,CT298&gt;0,DD298&gt;0,CU298&gt;0),newSPRDOPT(BW298,CT298,CY298,0,DD298,CU298,CV298,BT298*365.25,OCallPut,0),0)</f>
        <v>#VALUE!</v>
      </c>
      <c r="DX298" s="1316" t="e">
        <f aca="false">IF(AND(BX298&gt;0,CT298&gt;0,DE298&gt;0,CU298&gt;0),newSPRDOPT(BX298,CT298,CZ298,0,DE298,CU298,CV298,BT298*365.25,OCallPut,0),0)</f>
        <v>#VALUE!</v>
      </c>
      <c r="DY298" s="1316" t="e">
        <f aca="false">IF(BS298,(DH298*BH298+DI298*BI298+DW298*BJ298+DX298*BK298)/BS298,0)</f>
        <v>#VALUE!</v>
      </c>
      <c r="DZ298" s="1551" t="e">
        <f aca="false">DH298*AZ298</f>
        <v>#VALUE!</v>
      </c>
      <c r="EA298" s="1551" t="e">
        <f aca="false">DI298*BA298</f>
        <v>#VALUE!</v>
      </c>
      <c r="EB298" s="1551" t="e">
        <f aca="false">DJ298*BB298</f>
        <v>#VALUE!</v>
      </c>
      <c r="EC298" s="1551" t="e">
        <f aca="false">DK298*BC298</f>
        <v>#VALUE!</v>
      </c>
      <c r="ED298" s="1551" t="e">
        <f aca="false">DL298*BQ298</f>
        <v>#VALUE!</v>
      </c>
      <c r="EE298" s="1596" t="e">
        <f aca="false">IF(BQ298,IF(OCallPut,IF(BU298&gt;(CO298+CW298),BU298-(CO298+CW298),0),IF((CO298+CW298)&gt;BU298,(CO298+CW298)-BU298,0))*AZ298,0)</f>
        <v>#VALUE!</v>
      </c>
      <c r="EF298" s="1596" t="e">
        <f aca="false">IF(BQ298,IF(OCallPut,IF(BV298&gt;(CP298+CX298),BV298-(CP298+CX298),0),IF((CP298+CX298)&gt;BV298,(CP298+CX298)-BV298,0))*BA298,0)</f>
        <v>#VALUE!</v>
      </c>
      <c r="EG298" s="1596" t="e">
        <f aca="false">IF(BQ298,IF(OCallPut,IF(BW298&gt;(CQ298+CY298),BW298-(CQ298+CY298),0),IF((CQ298+CY298)&gt;BW298,(CQ298+CY298)-BW298,0))*BB298,0)</f>
        <v>#VALUE!</v>
      </c>
      <c r="EH298" s="1596" t="e">
        <f aca="false">IF(BQ298,IF(OCallPut,IF(BX298&gt;(CR298+CZ298),BX298-(CR298+CZ298),0),IF((CR298+CZ298)&gt;BX298,(CR298+CZ298)-BX298,0))*BC298,0)</f>
        <v>#VALUE!</v>
      </c>
      <c r="EI298" s="1597" t="e">
        <f aca="false">IF(BQ298,IF(OVolType,IF(OCallPut,IF(BZ298&gt;(CS298+DA298),BZ298-(CS298+DA298),0),IF((CS298+DA298)&gt;BZ298,(CS298+DA298)-BZ298,0))*BQ298,SUM(EE298:EH298)),0)</f>
        <v>#VALUE!</v>
      </c>
      <c r="EJ298" s="1596" t="e">
        <f aca="false">DZ298-EE298</f>
        <v>#VALUE!</v>
      </c>
      <c r="EK298" s="1596" t="e">
        <f aca="false">EA298-EF298</f>
        <v>#VALUE!</v>
      </c>
      <c r="EL298" s="1596" t="e">
        <f aca="false">EB298-EG298</f>
        <v>#VALUE!</v>
      </c>
      <c r="EM298" s="1596" t="e">
        <f aca="false">EC298-EH298</f>
        <v>#VALUE!</v>
      </c>
      <c r="EN298" s="1597" t="e">
        <f aca="false">ED298-EI298</f>
        <v>#VALUE!</v>
      </c>
      <c r="EO298" s="1551" t="e">
        <f aca="false">DH298*BH298</f>
        <v>#VALUE!</v>
      </c>
      <c r="EP298" s="1551" t="e">
        <f aca="false">DI298*BI298</f>
        <v>#VALUE!</v>
      </c>
      <c r="EQ298" s="1551" t="e">
        <f aca="false">DW298*BJ298</f>
        <v>#VALUE!</v>
      </c>
      <c r="ER298" s="1551" t="e">
        <f aca="false">DX298*BK298</f>
        <v>#VALUE!</v>
      </c>
      <c r="ES298" s="1551" t="e">
        <f aca="false">DY298*BS298</f>
        <v>#VALUE!</v>
      </c>
      <c r="ET298" s="1566" t="e">
        <f aca="false">IF(EI298,IF(OCallPut,IF(CA298&gt;(CT298+CW298),CA298-(CT298+CW298),0),IF((CT298+CW298)&gt;CA298,(CT298+CW298)-CA298,0))*BH298,0)</f>
        <v>#VALUE!</v>
      </c>
      <c r="EU298" s="1551" t="e">
        <f aca="false">IF(EI298,IF(OCallPut,IF(CB298&gt;(CT298+CX298),CB298-(CT298+CX298),0),IF((CT298+CX298)&gt;CB298,(CT298+CX298)-CB298,0))*BI298,0)</f>
        <v>#VALUE!</v>
      </c>
      <c r="EV298" s="1551" t="e">
        <f aca="false">IF(EI298,IF(OCallPut,IF(CC298&gt;(CT298+CY298),CC298-(CT298+CY298),0),IF((CT298+CY298)&gt;CC298,(CT298+CY298)-CC298,0))*BJ298,0)</f>
        <v>#VALUE!</v>
      </c>
      <c r="EW298" s="1551" t="e">
        <f aca="false">IF(EI298,IF(OCallPut,IF(CD298&gt;(CT298+CZ298),CD298-(CT298+CZ298),0),IF((CT298+CZ298)&gt;CD298,(CT298+CZ298)-CD298,0))*BK298,0)</f>
        <v>#VALUE!</v>
      </c>
      <c r="EX298" s="1558" t="e">
        <f aca="false">IF(EI298,SUM(ET298:EW298),0)</f>
        <v>#VALUE!</v>
      </c>
      <c r="EY298" s="1551" t="e">
        <f aca="false">EO298-ET298</f>
        <v>#VALUE!</v>
      </c>
      <c r="EZ298" s="1551" t="e">
        <f aca="false">EP298-EU298</f>
        <v>#VALUE!</v>
      </c>
      <c r="FA298" s="1551" t="e">
        <f aca="false">EQ298-EV298</f>
        <v>#VALUE!</v>
      </c>
      <c r="FB298" s="1551" t="e">
        <f aca="false">ER298-EW298</f>
        <v>#VALUE!</v>
      </c>
      <c r="FC298" s="1551" t="e">
        <f aca="false">ES298-EX298</f>
        <v>#VALUE!</v>
      </c>
      <c r="FD298" s="1519" t="n">
        <f aca="false">IF(AX298,IF(VLOOKUP(C298,MAIN!$L$17:$M$28,2)="Yes",VLOOKUP(CALC!B298,MAIN!$H$17:$I$20,2),0),0)</f>
        <v>0</v>
      </c>
      <c r="FE298" s="1553" t="n">
        <f aca="false">$FD298*16*AT298*(1-$AY298)</f>
        <v>0</v>
      </c>
      <c r="FF298" s="1553" t="n">
        <f aca="false">$FD298*16*AU298*(1-$AY298)</f>
        <v>0</v>
      </c>
      <c r="FG298" s="1553" t="n">
        <f aca="false">$FD298*16*(AV298+AW298)*(1-$AY298)</f>
        <v>0</v>
      </c>
      <c r="FH298" s="1553" t="n">
        <f aca="false">$FD298*8*AX298*(1-$AY298)</f>
        <v>0</v>
      </c>
      <c r="FI298" s="1555" t="n">
        <f aca="false">IF(AX298,VLOOKUP(CALC!B298,MAIN!$H$17:$K$20,4),0)</f>
        <v>0</v>
      </c>
      <c r="FJ298" s="1553" t="n">
        <f aca="false">SUM(FE298:FH298)</f>
        <v>0</v>
      </c>
      <c r="FK298" s="1553" t="n">
        <f aca="false">FI298*FJ298</f>
        <v>0</v>
      </c>
      <c r="FL298" s="1551" t="e">
        <f aca="false">IF($EI298&gt;0,MIN(FE298,AZ298*(1+VLOOKUP($C298,WeatherCapacityAdjustment,2))),0)</f>
        <v>#VALUE!</v>
      </c>
      <c r="FM298" s="1551" t="e">
        <f aca="false">IF($EI298&gt;0,MIN(FF298,BA298*(1+VLOOKUP($C298,WeatherCapacityAdjustment,2))),0)</f>
        <v>#VALUE!</v>
      </c>
      <c r="FN298" s="1551" t="e">
        <f aca="false">IF($EI298&gt;0,MIN(FG298,BB298*(1+VLOOKUP($C298,WeatherCapacityAdjustment,2))),0)</f>
        <v>#VALUE!</v>
      </c>
      <c r="FO298" s="1564" t="e">
        <f aca="false">IF($EI298&gt;0,MIN(FH298,BC298*(1+VLOOKUP($C298,WeatherCapacityAdjustment,3))),0)</f>
        <v>#VALUE!</v>
      </c>
      <c r="FP298" s="1551" t="e">
        <f aca="false">IF(ET298&gt;0,MIN(FE298-FL298,BH298*(1+VLOOKUP($C298,WeatherCapacityAdjustment,2))),0)</f>
        <v>#VALUE!</v>
      </c>
      <c r="FQ298" s="1551" t="e">
        <f aca="false">IF(EU298&gt;0,MIN(FF298-FM298,BI298*(1+VLOOKUP($C298,WeatherCapacityAdjustment,2))),0)</f>
        <v>#VALUE!</v>
      </c>
      <c r="FR298" s="1551" t="e">
        <f aca="false">IF(EV298&gt;0,MIN(FG298-FN298,BJ298*(1+VLOOKUP($C298,WeatherCapacityAdjustment,2))),0)</f>
        <v>#VALUE!</v>
      </c>
      <c r="FS298" s="1558" t="e">
        <f aca="false">IF(EW298&gt;0,MIN(FH298-FO298,BK298*(1+VLOOKUP($C298,WeatherCapacityAdjustment,3))),0)</f>
        <v>#VALUE!</v>
      </c>
      <c r="FT298" s="1566" t="n">
        <f aca="false">IF(AND(Assumptions!$H$71="Yes",A298&gt;=Assumptions!$H$72,A298&lt;=Assumptions!$H$73),0,IF(AND($A298&gt;=Assumptions!$C$17,$A298&lt;=Assumptions!$C$18),MAX(AZ298*(1+VLOOKUP($C298,WeatherCapacityAdjustment,2))-FL298,0),0))</f>
        <v>0</v>
      </c>
      <c r="FU298" s="1551" t="n">
        <f aca="false">IF(AND(Assumptions!$H$71="Yes",A298&gt;=Assumptions!$H$72,A298&lt;=Assumptions!$H$73),0,IF(AND($A298&gt;=Assumptions!$C$17,$A298&lt;=Assumptions!$C$18),MAX(BA298*(1+VLOOKUP($C298,WeatherCapacityAdjustment,2))-FM298,0),0))</f>
        <v>0</v>
      </c>
      <c r="FV298" s="1551" t="n">
        <f aca="false">IF(AND(Assumptions!$H$71="Yes",A298&gt;=Assumptions!$H$72,A298&lt;=Assumptions!$H$73),0,IF(AND($A298&gt;=Assumptions!$C$17,$A298&lt;=Assumptions!$C$18),MAX(BB298*(1+VLOOKUP($C298,WeatherCapacityAdjustment,2))-FN298,0),0))</f>
        <v>0</v>
      </c>
      <c r="FW298" s="1564" t="n">
        <f aca="false">IF(AND(Assumptions!$H$71="Yes",A298&gt;=Assumptions!$H$72,A298&lt;=Assumptions!$H$73),0,IF(AND($A298&gt;=Assumptions!$C$17,$A298&lt;=Assumptions!$C$18),MAX(BC298*(1+VLOOKUP($C298,WeatherCapacityAdjustment,3))-FO298,0),0))</f>
        <v>0</v>
      </c>
      <c r="FX298" s="1569" t="e">
        <f aca="false">IF(AND(Assumptions!$H$71="Yes",A298&gt;=Assumptions!$H$72,A298&lt;=Assumptions!$H$73),0,IF(ET298&gt;0,MAX(BH298*(1+VLOOKUP($C298,WeatherCapacityAdjustment,2))-FP298,0),0))</f>
        <v>#VALUE!</v>
      </c>
      <c r="FY298" s="1551" t="e">
        <f aca="false">IF(AND(Assumptions!$H$71="Yes",A298&gt;=Assumptions!$H$72,A298&lt;=Assumptions!$H$73),0,IF(EU298&gt;0,MAX(BI298*(1+VLOOKUP($C298,WeatherCapacityAdjustment,3))-FQ298,0),0))</f>
        <v>#VALUE!</v>
      </c>
      <c r="FZ298" s="1551" t="e">
        <f aca="false">IF(AND(Assumptions!$H$71="Yes",A298&gt;=Assumptions!$H$72,A298&lt;=Assumptions!$H$73),0,IF(EV298&gt;0,MAX(BJ298*(1+VLOOKUP($C298,WeatherCapacityAdjustment,2))-FR298,0),0))</f>
        <v>#VALUE!</v>
      </c>
      <c r="GA298" s="1564" t="e">
        <f aca="false">IF(AND(Assumptions!$H$71="Yes",A298&gt;=Assumptions!$H$72,A298&lt;=Assumptions!$H$73),0,IF(EW298&gt;0,MAX(BK298*(1+VLOOKUP($C298,WeatherCapacityAdjustment,2))-FS298,0),0))</f>
        <v>#VALUE!</v>
      </c>
      <c r="GB298" s="1551" t="e">
        <f aca="false">SUM(FT298:GA298)</f>
        <v>#VALUE!</v>
      </c>
      <c r="GC298" s="1563" t="e">
        <f aca="false">+IF(SUM(FT298:GA298)=0,0,(SUMPRODUCT(BU298:BX298,FT298:FW298)+SUMPRODUCT(CA298:CD298,FX298:GA298))/SUM(FT298:GA298))</f>
        <v>#VALUE!</v>
      </c>
      <c r="GD298" s="1551" t="e">
        <f aca="false">(FT298*BU298+FX298*CA298+FU298*BV298+FY298*CB298+FV298*BW298+FZ298*CC298+FW298*BX298+GA298*CD298)</f>
        <v>#VALUE!</v>
      </c>
      <c r="GE298" s="1561" t="e">
        <f aca="false">+IF(BQ298,((FL298+FM298+FT298+FU298)*HeatRatePeak/1000*(1+VLOOKUP($C298,WeatherHeatRateAdjustment,2))+(FN298+FV298)*IF(EV298&gt;0,HeatRatePeak,HeatRateOffPeak)/1000*(1+VLOOKUP($C298,WeatherHeatRateAdjustment,2))+(FO298+FW298)*IF(EW298&gt;0,HeatRatePeak,HeatRateOffPeak)/1000*(1+VLOOKUP($C298,WeatherHeatRateAdjustment,3)))*(1+VLOOKUP($B298,HeatRateDegradation,$C298+1)),0)</f>
        <v>#VALUE!</v>
      </c>
      <c r="GF298" s="1562" t="e">
        <f aca="false">IF(BQ298,((FP298+FQ298+FR298+FX298+FY298+FZ298)*HeatRatePeak/1000*(1+VLOOKUP($C298,WeatherHeatRateAdjustment,2))+(FS298+GA298)*HeatRatePeak/1000*(1+VLOOKUP($C298,WeatherHeatRateAdjustment,3)))*(1+VLOOKUP($B298,HeatRateDegradation,$C298+1)),0)</f>
        <v>#VALUE!</v>
      </c>
      <c r="GG298" s="1563" t="e">
        <f aca="false">IF(BQ298,VLOOKUP(A298,GasTable,13),0)</f>
        <v>#VALUE!</v>
      </c>
      <c r="GH298" s="1564" t="e">
        <f aca="false">(GE298+GF298)*GG298</f>
        <v>#VALUE!</v>
      </c>
      <c r="GI298" s="1569" t="e">
        <f aca="false">GB298</f>
        <v>#VALUE!</v>
      </c>
      <c r="GJ298" s="1598" t="e">
        <f aca="false">+DA298</f>
        <v>#VALUE!</v>
      </c>
      <c r="GK298" s="1558" t="e">
        <f aca="false">+GI298*GJ298</f>
        <v>#VALUE!</v>
      </c>
      <c r="GL298" s="1566" t="e">
        <f aca="false">MAX(FE298-FL298-FP298,0)</f>
        <v>#VALUE!</v>
      </c>
      <c r="GM298" s="1551" t="e">
        <f aca="false">MAX(FF298-FM298-FQ298,0)</f>
        <v>#VALUE!</v>
      </c>
      <c r="GN298" s="1551" t="e">
        <f aca="false">MAX(FG298-FN298-FR298,0)</f>
        <v>#VALUE!</v>
      </c>
      <c r="GO298" s="1564" t="e">
        <f aca="false">MAX(FH298-FO298-FS298,0)</f>
        <v>#VALUE!</v>
      </c>
      <c r="GP298" s="1551" t="e">
        <f aca="false">SUM(GL298:GO298)</f>
        <v>#VALUE!</v>
      </c>
      <c r="GQ298" s="1563" t="e">
        <f aca="false">IF(SUM(GL298:GO298)=0,0,((GL298*BU298+GM298*BV298+GN298*BW298+GO298*BX298)/SUM(GL298:GO298)))</f>
        <v>#VALUE!</v>
      </c>
      <c r="GR298" s="1558" t="e">
        <f aca="false">(GL298*BU298+GM298*BV298+GN298*BW298+GO298*BX298)</f>
        <v>#VALUE!</v>
      </c>
      <c r="GS298" s="1551" t="n">
        <f aca="false">IF($A298&gt;=BegDate,Assumptions!$C$56*24*($A299-$A298)*(1-VLOOKUP($B298,MAIN!$AA$7:$AM$28,$C298+1))*(1-VLOOKUP($B298,MAIN!$AA$33:$AM$54,$C298+1)),0)*80/168</f>
        <v>257742.857142857</v>
      </c>
      <c r="GT298" s="286" t="n">
        <f aca="false">J298</f>
        <v>63.9547765275898</v>
      </c>
      <c r="GU298" s="286" t="n">
        <f aca="false">IF($A298&gt;=BegDate,VLOOKUP($A298,GasTable,13)+Assumptions!$C$58,0)</f>
        <v>4.58711122179671</v>
      </c>
      <c r="GV298" s="286" t="n">
        <f aca="false">GU298*Assumptions!$C$57/1000</f>
        <v>33.2565563580261</v>
      </c>
      <c r="GW298" s="1551" t="n">
        <f aca="false">IF(Assumptions!$C$60="Hourly",MAX(0,GS298*(GT298-GV298)),GS298*(GT298-GV298))</f>
        <v>7912246.97570382</v>
      </c>
      <c r="GX298" s="1551" t="n">
        <f aca="false">IF($A298&gt;=BegDate,Assumptions!$C$56*24*($A299-$A298)*(1-VLOOKUP($B298,MAIN!$AA$7:$AM$28,$C298+1))*(1-VLOOKUP($B298,MAIN!$AA$33:$AM$54,$C298+1)),0)*16/168</f>
        <v>51548.5714285714</v>
      </c>
      <c r="GY298" s="286" t="n">
        <f aca="false">M298</f>
        <v>63.9547765275898</v>
      </c>
      <c r="GZ298" s="286" t="n">
        <f aca="false">IF($A298&gt;=BegDate,VLOOKUP($A298,GasTable,13)+Assumptions!$C$58,0)</f>
        <v>4.58711122179671</v>
      </c>
      <c r="HA298" s="286" t="n">
        <f aca="false">GZ298*Assumptions!$C$57/1000</f>
        <v>33.2565563580261</v>
      </c>
      <c r="HB298" s="1551" t="n">
        <f aca="false">IF(Assumptions!$C$60="Hourly",MAX(0,GX298*(GY298-HA298)),GX298*(GY298-HA298))</f>
        <v>1582449.39514076</v>
      </c>
      <c r="HC298" s="1551" t="n">
        <f aca="false">IF($A298&gt;=BegDate,Assumptions!$C$56*24*($A299-$A298)*(1-VLOOKUP($B298,MAIN!$AA$7:$AM$28,$C298+1))*(1-VLOOKUP($B298,MAIN!$AA$33:$AM$54,$C298+1)),0)*16/168</f>
        <v>51548.5714285714</v>
      </c>
      <c r="HD298" s="286" t="n">
        <f aca="false">P298</f>
        <v>35.6087507343381</v>
      </c>
      <c r="HE298" s="286" t="n">
        <f aca="false">IF($A298&gt;=BegDate,VLOOKUP($A298,GasTable,13)+Assumptions!$C$58,0)</f>
        <v>4.58711122179671</v>
      </c>
      <c r="HF298" s="286" t="n">
        <f aca="false">HE298*Assumptions!$C$57/1000</f>
        <v>33.2565563580261</v>
      </c>
      <c r="HG298" s="1551" t="n">
        <f aca="false">IF(Assumptions!$C$60="Hourly",MAX(0,HC298*(HD298-HF298)),HC298*(HD298-HF298))</f>
        <v>121252.259821199</v>
      </c>
      <c r="HH298" s="1551" t="n">
        <f aca="false">IF($A298&gt;=BegDate,Assumptions!$C$56*24*($A299-$A298)*(1-VLOOKUP($B298,MAIN!$AA$7:$AM$28,$C298+1))*(1-VLOOKUP($B298,MAIN!$AA$33:$AM$54,$C298+1)),0)*56/168</f>
        <v>180420</v>
      </c>
      <c r="HI298" s="286" t="n">
        <f aca="false">S298</f>
        <v>35.6087507343381</v>
      </c>
      <c r="HJ298" s="286" t="n">
        <f aca="false">IF($A298&gt;=BegDate,VLOOKUP($A298,GasTable,13)+Assumptions!$C$58,0)</f>
        <v>4.58711122179671</v>
      </c>
      <c r="HK298" s="286" t="n">
        <f aca="false">HJ298*Assumptions!$C$57/1000</f>
        <v>33.2565563580261</v>
      </c>
      <c r="HL298" s="1551" t="n">
        <f aca="false">IF(Assumptions!$C$60="Hourly",MAX(0,HH298*(HI298-HK298)),HH298*(HI298-HK298))</f>
        <v>424382.909374198</v>
      </c>
      <c r="HM298" s="1551" t="n">
        <f aca="false">IF(AND(Assumptions!$H$71="Yes",A298&gt;=Assumptions!$H$72,A298&lt;=Assumptions!$H$73),Assumptions!$H$74*Assumptions!$C$9*1000,0)</f>
        <v>0</v>
      </c>
    </row>
    <row r="299" customFormat="false" ht="12.75" hidden="false" customHeight="false" outlineLevel="0" collapsed="false">
      <c r="A299" s="1617" t="n">
        <f aca="false">EOMONTH(A298,0)+1</f>
        <v>45231</v>
      </c>
      <c r="B299" s="238" t="n">
        <f aca="false">+YEAR(A299)</f>
        <v>2023</v>
      </c>
      <c r="C299" s="320" t="n">
        <f aca="false">MONTH(A299)</f>
        <v>11</v>
      </c>
      <c r="D299" s="1614" t="str">
        <f aca="false">IF(E299="","",Holiday(B299,C299))</f>
        <v/>
      </c>
      <c r="E299" s="1573" t="str">
        <f aca="false">IF(OR(BegDate&gt;=A300,EndDate&lt;A299,AND(VolumeMonthlyOverFlag,INDEX(VolumeMonthlyOver,C299)=0),NOT(INDEX(MonthKnockOutTable,C299))),"",MAX(A299,BegDate))</f>
        <v/>
      </c>
      <c r="F299" s="1614" t="str">
        <f aca="false">IF(E299="","",MIN(A300-1,EndDate))</f>
        <v/>
      </c>
      <c r="G299" s="1615" t="n">
        <v>0</v>
      </c>
      <c r="H299" s="1576" t="n">
        <f aca="false">(1+G299/2)^(-2*(DATE(B300,C300,20)-DateToday)/365.25)</f>
        <v>1</v>
      </c>
      <c r="I299" s="1568" t="n">
        <f aca="false">IF(Assumptions!$L$25=4,VLOOKUP($A299,'Henwood Reference'!$E$9:$R$320,10),(VLOOKUP($A299,PriceTable,2,0)+IF(BasisNumber&lt;&gt;1,VLOOKUP($A299,BasisTable,2,0),0)+I$1)/(1-I$2))</f>
        <v>66.1786775598789</v>
      </c>
      <c r="J299" s="1568" t="n">
        <f aca="false">IF(Assumptions!$L$25=4,VLOOKUP($A299,'Henwood Reference'!$E$9:$R$320,10),(VLOOKUP($A299,PriceTable,3,0)+IF(BasisNumber&lt;&gt;1,VLOOKUP($A299,BasisTable,2,0),0)+J$1)/(1-J$2))</f>
        <v>66.1786775598789</v>
      </c>
      <c r="K299" s="1568" t="n">
        <f aca="false">IF(Assumptions!$L$25=4,VLOOKUP($A299,'Henwood Reference'!$E$9:$R$320,10),(VLOOKUP($A299,PriceTable,4,0)+IF(BasisNumber&lt;&gt;1,VLOOKUP($A299,BasisTable,2,0),0)+K$1)/(1-K$2))</f>
        <v>66.1786775598789</v>
      </c>
      <c r="L299" s="1523" t="n">
        <f aca="false">IF(Assumptions!$L$25=4,VLOOKUP($A299,'Henwood Reference'!$E$9:$R$320,10),(VLOOKUP($A299,PriceTableWeekend,2,0)+IF(BasisNumber&lt;&gt;1,VLOOKUP($A299,BasisTable,2,0),0)+L$1)/(1-L$2))</f>
        <v>66.1786775598789</v>
      </c>
      <c r="M299" s="1568" t="n">
        <f aca="false">IF(Assumptions!$L$25=4,VLOOKUP($A299,'Henwood Reference'!$E$9:$R$320,10),(VLOOKUP($A299,PriceTableWeekend,3,0)+IF(BasisNumber&lt;&gt;1,VLOOKUP($A299,BasisTable,2,0),0)+M$1)/(1-M$2))</f>
        <v>66.1786775598789</v>
      </c>
      <c r="N299" s="1599" t="n">
        <f aca="false">IF(Assumptions!$L$25=4,VLOOKUP($A299,'Henwood Reference'!$E$9:$R$320,10),(VLOOKUP($A299,PriceTableWeekend,4,0)+IF(BasisNumber&lt;&gt;1,VLOOKUP($A299,BasisTable,2,0),0)+N$1)/(1-N$2))</f>
        <v>66.1786775598789</v>
      </c>
      <c r="O299" s="1568" t="n">
        <f aca="false">IF(Assumptions!$L$25=4,VLOOKUP($A299,'Henwood Reference'!$E$9:$R$320,11),(VLOOKUP($A299,PriceTableWeekend,6,0)+IF(BasisNumber&lt;&gt;1,VLOOKUP($A299,BasisTable,3,0),0)+O$1)/(1-O$2))</f>
        <v>38.683231229732</v>
      </c>
      <c r="P299" s="1568" t="n">
        <f aca="false">IF(Assumptions!$L$25=4,VLOOKUP($A299,'Henwood Reference'!$E$9:$R$320,11),(VLOOKUP($A299,PriceTableWeekend,7,0)+IF(BasisNumber&lt;&gt;1,VLOOKUP($A299,BasisTable,3,0),0)+P$1)/(1-P$2))</f>
        <v>38.683231229732</v>
      </c>
      <c r="Q299" s="1599" t="n">
        <f aca="false">IF(Assumptions!$L$25=4,VLOOKUP($A299,'Henwood Reference'!$E$9:$R$320,11),(VLOOKUP($A299,PriceTableWeekend,8,0)+IF(BasisNumber&lt;&gt;1,VLOOKUP($A299,BasisTable,3,0),0)+Q$1)/(1-Q$2))</f>
        <v>38.683231229732</v>
      </c>
      <c r="R299" s="1568" t="n">
        <f aca="false">IF(Assumptions!$L$25=4,VLOOKUP($A299,'Henwood Reference'!$E$9:$R$320,11),(VLOOKUP($A299,PriceTable,6,0)+IF(BasisNumber&lt;&gt;1,VLOOKUP($A299,BasisTable,3,0),0)+R$1)/(1-R$2))</f>
        <v>38.683231229732</v>
      </c>
      <c r="S299" s="1568" t="n">
        <f aca="false">IF(Assumptions!$L$25=4,VLOOKUP($A299,'Henwood Reference'!$E$9:$R$320,11),(VLOOKUP($A299,PriceTable,7,0)+IF(BasisNumber&lt;&gt;1,VLOOKUP($A299,BasisTable,3,0),0)+S$1)/(1-S$2))</f>
        <v>38.683231229732</v>
      </c>
      <c r="T299" s="1600" t="n">
        <f aca="false">IF(Assumptions!$L$25=4,VLOOKUP($A299,'Henwood Reference'!$E$9:$R$320,11),(VLOOKUP($A299,PriceTable,8,0)+IF(BasisNumber&lt;&gt;1,VLOOKUP($A299,BasisTable,3,0),0)+T$1)/(1-T$2))</f>
        <v>38.683231229732</v>
      </c>
      <c r="U299" s="1513" t="n">
        <f aca="false">VLOOKUP($A299,VolatilityTable,14)</f>
        <v>0.09</v>
      </c>
      <c r="V299" s="1513" t="n">
        <f aca="false">VLOOKUP($A299,VolatilityTable,15)</f>
        <v>0.1</v>
      </c>
      <c r="W299" s="1513" t="n">
        <f aca="false">VLOOKUP($A299,VolatilityTable,16)</f>
        <v>0.11</v>
      </c>
      <c r="X299" s="1513" t="n">
        <f aca="false">VLOOKUP($A299,VolatilityTable,14)</f>
        <v>0.09</v>
      </c>
      <c r="Y299" s="1513" t="n">
        <f aca="false">VLOOKUP($A299,VolatilityTable,15)</f>
        <v>0.1</v>
      </c>
      <c r="Z299" s="1513" t="n">
        <f aca="false">VLOOKUP($A299,VolatilityTable,16)</f>
        <v>0.11</v>
      </c>
      <c r="AA299" s="1513" t="n">
        <f aca="false">VLOOKUP($A299,VolatilityTable,18)</f>
        <v>0.09</v>
      </c>
      <c r="AB299" s="1513" t="n">
        <f aca="false">VLOOKUP($A299,VolatilityTable,19)</f>
        <v>0.11</v>
      </c>
      <c r="AC299" s="1513" t="n">
        <f aca="false">VLOOKUP($A299,VolatilityTable,20)</f>
        <v>0.13</v>
      </c>
      <c r="AD299" s="1513" t="n">
        <f aca="false">VLOOKUP($A299,VolatilityTable,18)</f>
        <v>0.09</v>
      </c>
      <c r="AE299" s="1513" t="n">
        <f aca="false">VLOOKUP($A299,VolatilityTable,19)</f>
        <v>0.11</v>
      </c>
      <c r="AF299" s="1513" t="n">
        <f aca="false">VLOOKUP($A299,VolatilityTable,20)</f>
        <v>0.13</v>
      </c>
      <c r="AG299" s="1513" t="n">
        <f aca="false">VLOOKUP($A299,VolatilityTable,22)</f>
        <v>-0.1</v>
      </c>
      <c r="AH299" s="1513" t="n">
        <f aca="false">VLOOKUP($A299,VolatilityTable,23)</f>
        <v>3</v>
      </c>
      <c r="AI299" s="1513" t="n">
        <f aca="false">VLOOKUP($A299,VolatilityTable,24)</f>
        <v>0.1</v>
      </c>
      <c r="AJ299" s="1513" t="n">
        <f aca="false">VLOOKUP($A299,VolatilityTable,22)</f>
        <v>-0.1</v>
      </c>
      <c r="AK299" s="1513" t="n">
        <f aca="false">VLOOKUP($A299,VolatilityTable,23)</f>
        <v>3</v>
      </c>
      <c r="AL299" s="1513" t="n">
        <f aca="false">VLOOKUP($A299,VolatilityTable,24)</f>
        <v>0.1</v>
      </c>
      <c r="AM299" s="1513" t="n">
        <f aca="false">VLOOKUP($A299,VolatilityTable,26)</f>
        <v>-0.01</v>
      </c>
      <c r="AN299" s="1513" t="n">
        <f aca="false">VLOOKUP($A299,VolatilityTable,27)</f>
        <v>0.16</v>
      </c>
      <c r="AO299" s="1513" t="n">
        <f aca="false">VLOOKUP($A299,VolatilityTable,28)</f>
        <v>0.01</v>
      </c>
      <c r="AP299" s="1513" t="n">
        <f aca="false">VLOOKUP($A299,VolatilityTable,26)</f>
        <v>-0.01</v>
      </c>
      <c r="AQ299" s="1513" t="n">
        <f aca="false">VLOOKUP($A299,VolatilityTable,27)</f>
        <v>0.16</v>
      </c>
      <c r="AR299" s="1513" t="n">
        <f aca="false">VLOOKUP($A299,VolatilityTable,28)</f>
        <v>0.01</v>
      </c>
      <c r="AS299" s="1616" t="n">
        <f aca="false">IF(CorrPeakOffPeakOverFlag,INDEX(CorrPeakOffPeakOver,C299),CorrPeakOffPeak)</f>
        <v>0.5</v>
      </c>
      <c r="AT299" s="238" t="n">
        <f aca="false">AX299-SUM(AU299:AW299)</f>
        <v>0</v>
      </c>
      <c r="AU299" s="238" t="n">
        <f aca="false">IF(E299="",0,INT((F299-MOD(F299,7)-E299)/7)+1-IF(AW299,IF(WEEKDAY(D299)=7,1,0),0))</f>
        <v>0</v>
      </c>
      <c r="AV299" s="238" t="n">
        <f aca="false">IF(E299="",0,INT((F299-MOD(F299-1,7)-E299)/7)+1-IF(AW299,IF(WEEKDAY(D299)=1,1,0),0))</f>
        <v>0</v>
      </c>
      <c r="AW299" s="238" t="n">
        <f aca="false">IF(OR(E299="",D299="",D299&lt;BegDate,D299&gt;EndDate),0,1)</f>
        <v>0</v>
      </c>
      <c r="AX299" s="238" t="n">
        <f aca="false">IF(E299="",0,F299-E299+1)</f>
        <v>0</v>
      </c>
      <c r="AY299" s="1513" t="n">
        <f aca="false">IF(E299="",0,MIN((1-(1-VLOOKUP(B299,MAIN!$AA$7:$AM$28,C299+1))*(1-VLOOKUP(B299,MAIN!$AA$33:$AM$54,C299+1))),1))</f>
        <v>0</v>
      </c>
      <c r="AZ299" s="1519" t="e">
        <f aca="false" t="array" ref="AZ299:BO299">TakeFunction(TakeType,STake,OTake,CombineTakesFlag,MostExpFlag,VolumeEscType,VolumeEsc,DateToday,BegDate,EndDate,OrderedScalars,OrderedPrices,OrderedPricesSat,OrderedPricesSun,AvailDays,FirmWeek,FirmSat,FirmSun,FirmHol,OptWeek,OptSat,OptSun,OptHol)*(1-PlannedOutages)</f>
        <v>#VALUE!</v>
      </c>
      <c r="BA299" s="1519" t="e">
        <v>#VALUE!</v>
      </c>
      <c r="BB299" s="1519" t="e">
        <v>#VALUE!</v>
      </c>
      <c r="BC299" s="1519" t="e">
        <v>#VALUE!</v>
      </c>
      <c r="BD299" s="1568" t="e">
        <v>#VALUE!</v>
      </c>
      <c r="BE299" s="1568" t="e">
        <v>#VALUE!</v>
      </c>
      <c r="BF299" s="1568" t="e">
        <v>#VALUE!</v>
      </c>
      <c r="BG299" s="1568" t="e">
        <v>#VALUE!</v>
      </c>
      <c r="BH299" s="1519" t="e">
        <v>#VALUE!</v>
      </c>
      <c r="BI299" s="1519" t="e">
        <v>#VALUE!</v>
      </c>
      <c r="BJ299" s="1519" t="e">
        <v>#VALUE!</v>
      </c>
      <c r="BK299" s="1519" t="e">
        <v>#VALUE!</v>
      </c>
      <c r="BL299" s="1568" t="e">
        <v>#VALUE!</v>
      </c>
      <c r="BM299" s="1568" t="e">
        <v>#VALUE!</v>
      </c>
      <c r="BN299" s="1568" t="e">
        <v>#VALUE!</v>
      </c>
      <c r="BO299" s="1568" t="e">
        <v>#VALUE!</v>
      </c>
      <c r="BP299" s="1519" t="e">
        <f aca="false">SUM(AZ299:BB299)</f>
        <v>#VALUE!</v>
      </c>
      <c r="BQ299" s="1519" t="e">
        <f aca="false">SUM(AZ299:BC299)</f>
        <v>#VALUE!</v>
      </c>
      <c r="BR299" s="1519" t="e">
        <f aca="false">SUM(BH299:BJ299)</f>
        <v>#VALUE!</v>
      </c>
      <c r="BS299" s="1519" t="e">
        <f aca="false">SUM(BH299:BK299)</f>
        <v>#VALUE!</v>
      </c>
      <c r="BT299" s="1316" t="n">
        <f aca="false">(IF(OVolType&lt;&gt;2,A299+14,IF(OptExpDateShift,ShiftBack(A299,OptExpDateShift,D298),A299))-DateToday)/365.25</f>
        <v>23.5482546201232</v>
      </c>
      <c r="BU299" s="1316" t="e">
        <f aca="false">IF(BQ299,IF(OPriceCurve,IF(OBuySell=OCallPut,I299/(1-AY299),K299/(1-AY299)),J299/(1-AY299))*BD299,0)</f>
        <v>#VALUE!</v>
      </c>
      <c r="BV299" s="1316" t="e">
        <f aca="false">IF(BQ299,IF(OPriceCurve,IF(OBuySell=OCallPut,L299/(1-AY299),N299/(1-AY299)),M299/(1-AY299))*BE299,0)</f>
        <v>#VALUE!</v>
      </c>
      <c r="BW299" s="1316" t="e">
        <f aca="false">IF(BQ299,IF(OPriceCurve,IF(OBuySell=OCallPut,O299/(1-AY299),Q299/(1-AY299)),P299/(1-AY299))*BF299,0)</f>
        <v>#VALUE!</v>
      </c>
      <c r="BX299" s="1316" t="e">
        <f aca="false">IF(BQ299,IF(OPriceCurve,IF(OBuySell=OCallPut,R299/(1-AY299),T299/(1-AY299)),S299/(1-AY299))*BG299,0)</f>
        <v>#VALUE!</v>
      </c>
      <c r="BY299" s="1316" t="e">
        <f aca="false">IF(BP299,(BU299*AZ299+BV299*BA299+BW299*BB299)/BP299,0)</f>
        <v>#VALUE!</v>
      </c>
      <c r="BZ299" s="1316" t="e">
        <f aca="false">IF(BQ299,(BY299*BP299+BX299*BC299)/BQ299,0)</f>
        <v>#VALUE!</v>
      </c>
      <c r="CA299" s="1316" t="e">
        <f aca="false">IF(BS299,IF(OPriceCurve,IF(OBuySell=OCallPut,I299/(1-AY299),K299/(1-AY299)),J299/(1-AY299))*BL299,0)</f>
        <v>#VALUE!</v>
      </c>
      <c r="CB299" s="1316" t="e">
        <f aca="false">IF(BS299,IF(OPriceCurve,IF(OBuySell=OCallPut,L299/(1-AY299),N299/(1-AY299)),M299/(1-AY299))*BM299,0)</f>
        <v>#VALUE!</v>
      </c>
      <c r="CC299" s="1316" t="e">
        <f aca="false">IF(BS299,IF(OPriceCurve,IF(OBuySell=OCallPut,O299/(1-AY299),Q299/(1-AY299)),P299/(1-AY299))*BN299,0)</f>
        <v>#VALUE!</v>
      </c>
      <c r="CD299" s="1316" t="e">
        <f aca="false">IF(BS299,IF(OPriceCurve,IF(OBuySell=OCallPut,R299/(1-AY299),T299/(1-AY299)),S299/(1-AY299))*BO299,0)</f>
        <v>#VALUE!</v>
      </c>
      <c r="CE299" s="1316" t="e">
        <f aca="false">IF(BR299,(BU299*BH299+BV299*BI299+BW299*BJ299)/BR299,0)</f>
        <v>#VALUE!</v>
      </c>
      <c r="CF299" s="1316" t="e">
        <f aca="false">IF(BS299,(CE299*BR299+CD299*BK299)/BS299,0)</f>
        <v>#VALUE!</v>
      </c>
      <c r="CG299" s="1587" t="e">
        <f aca="false">IF(OR(BQ299,BS299),IF(OVolType&lt;&gt;2,SQRT(IF(OVolOverMonthlyPeak,OVolOverMonthlyPeak,IF(OVolCurve,IF(OBuySell,U299,W299),V299))^2*(1-15/365.25/BT299)+IF(OVolOverDailyPeak,OVolOverDailyPeak,IF(OVolCurve,IF(OBuySell,AG299,AI299),AH299))^2*15/365.25/BT299),IF(OVolOverMonthlyPeak,OVolOverMonthlyPeak,IF(OVolCurve,IF(OBuySell,U299,W299),V299))),"")</f>
        <v>#VALUE!</v>
      </c>
      <c r="CH299" s="1587" t="e">
        <f aca="false">IF(OR(BQ299,BS299),IF(OVolType&lt;&gt;2,SQRT(IF(OVolOverMonthlyPeak,OVolOverMonthlyPeak,IF(OVolCurve,IF(OBuySell,X299,Z299),Y299))^2*(1-15/365.25/BT299)+IF(OVolOverDailyPeak,OVolOverDailyPeak,IF(OVolCurve,IF(OBuySell,AJ299,AL299),AK299))^2*15/365.25/BT299),IF(OVolOverMonthlyPeak,OVolOverMonthlyPeak,IF(OVolCurve,IF(OBuySell,X299,Z299),Y299))),"")</f>
        <v>#VALUE!</v>
      </c>
      <c r="CI299" s="1587" t="e">
        <f aca="false">IF(OR(BQ299,BS299),IF(OVolType&lt;&gt;2,SQRT(IF(OVolOverMonthlyPeak,OVolOverMonthlyPeak,IF(OVolCurve,IF(OBuySell,AA299,AC299),AB299))^2*(1-15/365.25/BT299)+IF(OVolOverDailyPeak,OVolOverDailyPeak,IF(OVolCurve,IF(OBuySell,AM299,AO299),AN299))^2*15/365.25/BT299),IF(OVolOverMonthlyPeak,OVolOverMonthlyPeak,IF(OVolCurve,IF(OBuySell,AA299,AC299),AB299))),"")</f>
        <v>#VALUE!</v>
      </c>
      <c r="CJ299" s="1587" t="e">
        <f aca="false">IF(BQ299,IF(BP299,SQRT(LN(1+((BU299*AZ299)^2*(EXP(CG299^2*BT299)-1)+(BV299*BA299)^2*(EXP(CH299^2*BT299)-1)+(BW299*BB299)^2*(EXP(CI299^2*BT299)-1)+2*BU299*AZ299*BV299*BA299*(EXP(CG299*CH299*BT299)-1)+2*BV299*BA299*BW299*BB299*(EXP(CH299*CI299*BT299)-1)+2*BW299*BB299*BU299*AZ299*(EXP(CI299*CG299*BT299)-1))/(BY299*BP299)^2)/BT299),0),"")</f>
        <v>#VALUE!</v>
      </c>
      <c r="CK299" s="1587" t="e">
        <f aca="false">IF(BS299,IF(BR299,SQRT(LN(1+((CA299*BH299)^2*(EXP(CG299^2*BT299)-1)+(CB299*BI299)^2*(EXP(CH299^2*BT299)-1)+(CC299*BJ299)^2*(EXP(CI299^2*BT299)-1)+2*CA299*BH299*CB299*BI299*(EXP(CG299*CH299*BT299)-1)+2*CB299*BI299*CC299*BJ299*(EXP(CH299*CI299*BT299)-1)+2*CC299*BJ299*CA299*BH299*(EXP(CI299*CG299*BT299)-1))/(CE299*BR299)^2)/BT299),0),"")</f>
        <v>#VALUE!</v>
      </c>
      <c r="CL299" s="1587" t="e">
        <f aca="false">IF(OR(BQ299,BS299),IF(OVolType&lt;&gt;2,SQRT(IF(OVolOverMonthlyOffPeak,OVolOverMonthlyOffPeak,IF(OVolCurve,IF(OBuySell,AD299,AF299),AE299))^2*(1-15/365.25/BT299)+IF(OVolOverDailyOffPeak,OVolOverDailyOffPeak,IF(OVolCurve,IF(OBuySell,AP299,AR299),AQ299))^2*15/365.25/BT299),IF(OVolOverMonthlyOffPeak,OVolOverMonthlyOffPeak,IF(OVolCurve,IF(OBuySell,AD299,AF299),AE299))),"")</f>
        <v>#VALUE!</v>
      </c>
      <c r="CM299" s="1587" t="e">
        <f aca="false">IF(BQ299,SQRT(LN(1+((BY299*BP299)^2*(EXP(CJ299^2*BT299)-1)+(BX299*BC299)^2*(EXP(CL299^2*BT299)-1)+2*BY299*BP299*BX299*BC299*(EXP(AS299*CJ299*CL299*BT299)-1))/(BY299*BP299+BX299*BC299)^2)/BT299),"")</f>
        <v>#VALUE!</v>
      </c>
      <c r="CN299" s="1587" t="e">
        <f aca="false">IF(BS299,SQRT(LN(1+((CE299*BR299)^2*(EXP(CK299^2*BT299)-1)+(CD299*BK299)^2*(EXP(CL299^2*BT299)-1)+2*CE299*BR299*CD299*BK299*(EXP(AS299*CK299*CL299*BT299)-1))/(CE299*BR299+CD299*BK299)^2)/BT299),"")</f>
        <v>#VALUE!</v>
      </c>
      <c r="CO299" s="1316" t="e">
        <f aca="false">IF(OR(BQ299,BS299),VLOOKUP(A299,GasTable,13)*HeatRatePeak*(1+VLOOKUP($B299,HeatRateDegradation,$C299+1))/1000,0)</f>
        <v>#VALUE!</v>
      </c>
      <c r="CP299" s="1316" t="e">
        <f aca="false">IF(OR(BQ299,BS299),VLOOKUP(A299,GasTable,13)*HeatRatePeak*(1+VLOOKUP($B299,HeatRateDegradation,$C299+1))/1000,0)</f>
        <v>#VALUE!</v>
      </c>
      <c r="CQ299" s="1316" t="e">
        <f aca="false">IF(OR(BQ299,BS299),VLOOKUP(A299,GasTable,13)*IF(EV299,HeatRatePeak,HeatRateOffPeak)*(1+VLOOKUP($B299,HeatRateDegradation,$C299+1))/1000,0)</f>
        <v>#VALUE!</v>
      </c>
      <c r="CR299" s="1316" t="e">
        <f aca="false">IF(OR(BQ299,BS299),VLOOKUP(A299,GasTable,13)*IF(EW299,HeatRatePeak,HeatRateOffPeak)*(1+VLOOKUP($B299,HeatRateDegradation,$C299+1))/1000,0)</f>
        <v>#VALUE!</v>
      </c>
      <c r="CS299" s="1589" t="e">
        <f aca="false">IF(BQ299,(CO299*AZ299+CP299*BA299+CQ299*BB299+CR299*BC299)/BQ299,0)</f>
        <v>#VALUE!</v>
      </c>
      <c r="CT299" s="1316" t="e">
        <f aca="false">IF(BS299,CO299,0)</f>
        <v>#VALUE!</v>
      </c>
      <c r="CU299" s="1592" t="e">
        <f aca="false">IF(OR(BQ299,BS299),VLOOKUP(A299,GasTable,14),"")</f>
        <v>#VALUE!</v>
      </c>
      <c r="CV299" s="1568" t="e">
        <f aca="false">IF(OR(BQ299,BS299),IF(CorrPowerGasOverFlag,INDEX(CorrPowerGasOver,C299),CorrPowerGas),"")</f>
        <v>#VALUE!</v>
      </c>
      <c r="CW299" s="1316" t="e">
        <f aca="false">IF(OR($BQ299,$BS299),SpreadOptPowerMargin,0)*((1+Assumptions!$C$26)^($B299-YEAR(Assumptions!$C$17)))</f>
        <v>#VALUE!</v>
      </c>
      <c r="CX299" s="1316" t="e">
        <f aca="false">IF(OR($BQ299,$BS299),SpreadOptPowerMargin,0)*((1+Assumptions!$C$26)^($B299-YEAR(Assumptions!$C$17)))</f>
        <v>#VALUE!</v>
      </c>
      <c r="CY299" s="1316" t="e">
        <f aca="false">IF(OR($BQ299,$BS299),SpreadOptPowerMargin,0)*((1+Assumptions!$C$26)^($B299-YEAR(Assumptions!$C$17)))</f>
        <v>#VALUE!</v>
      </c>
      <c r="CZ299" s="1316" t="e">
        <f aca="false">IF(OR($BQ299,$BS299),SpreadOptPowerMargin,0)*((1+Assumptions!$C$26)^($B299-YEAR(Assumptions!$C$17)))</f>
        <v>#VALUE!</v>
      </c>
      <c r="DA299" s="1316" t="e">
        <f aca="false">IF(OR(BQ299,BS299),(CW299*(AZ299+BH299)+CX299*(BA299+BI299)+CY299*(BB299+BJ299)+CZ299*(BC299+BK299))/(BQ299+BS299),0)</f>
        <v>#VALUE!</v>
      </c>
      <c r="DB299" s="1592" t="e">
        <f aca="false">IF(OR(BQ299,BS299),CG299+IF(OVolSmile,VLOOKUP(MAX(-5,CO299+CW299-BU299),IF(OVolSmile=1,VolSmileBook,VolSmileModel),2),0),"")</f>
        <v>#VALUE!</v>
      </c>
      <c r="DC299" s="1592" t="e">
        <f aca="false">IF(OR(BQ299,BS299),CH299+IF(OVolSmile,VLOOKUP(MAX(-5,CP299+CW299-BV299),IF(OVolSmile=1,VolSmileBook,VolSmileModel),2),0),"")</f>
        <v>#VALUE!</v>
      </c>
      <c r="DD299" s="1592" t="e">
        <f aca="false">IF(OR(BQ299,BS299),CI299+IF(OVolSmile,VLOOKUP(MAX(-5,CQ299+CW299-BW299),IF(OVolSmile=1,VolSmileBook,VolSmileModel),2),0),"")</f>
        <v>#VALUE!</v>
      </c>
      <c r="DE299" s="1592" t="e">
        <f aca="false">IF(OR(BQ299,BS299),CL299+IF(OVolSmile,VLOOKUP(MAX(-5,CR299+CZ299-BX299),IF(OVolSmile=1,VolSmileBook,VolSmileModel),2),0),"")</f>
        <v>#VALUE!</v>
      </c>
      <c r="DF299" s="1592" t="e">
        <f aca="false">IF(BQ299,CM299+IF(OVolSmile,VLOOKUP(MAX(-5,CS299+DA299-BZ299),IF(OVolSmile=1,VolSmileBook,VolSmileModel),2),0),"")</f>
        <v>#VALUE!</v>
      </c>
      <c r="DG299" s="1592" t="e">
        <f aca="false">IF(BS299,CN299+IF(OVolSmile,VLOOKUP(MAX(-5,CT299+DA299-CF299),IF(OVolSmile=1,VolSmileBook,VolSmileModel),2),0),"")</f>
        <v>#VALUE!</v>
      </c>
      <c r="DH299" s="1316" t="e">
        <f aca="false">IF(AND(BU299&gt;0,CO299&gt;0,DB299&gt;0,CU299&gt;0),newSPRDOPT(BU299,CO299,CW299,0,DB299,CU299,CV299,BT299*365.25,OCallPut,0),0)</f>
        <v>#VALUE!</v>
      </c>
      <c r="DI299" s="1316" t="e">
        <f aca="false">IF(AND(BV299&gt;0,CP299&gt;0,DC299&gt;0,CU299&gt;0),newSPRDOPT(BV299,CP299,CX299,0,DC299,CU299,CV299,BT299*365.25,OCallPut,0),0)</f>
        <v>#VALUE!</v>
      </c>
      <c r="DJ299" s="1316" t="e">
        <f aca="false">IF(AND(BW299&gt;0,CQ299&gt;0,DD299&gt;0,CU299&gt;0),newSPRDOPT(BW299,CQ299,CY299,0,DD299,CU299,CV299,BT299*365.25,OCallPut,0),0)</f>
        <v>#VALUE!</v>
      </c>
      <c r="DK299" s="1316" t="e">
        <f aca="false">IF(AND(BX299&gt;0,CR299&gt;0,DE299&gt;0,CU299&gt;0),newSPRDOPT(BX299,CR299,CZ299,0,DE299,CU299,CV299,BT299*365.25,OCallPut,0),0)</f>
        <v>#VALUE!</v>
      </c>
      <c r="DL299" s="1316" t="e">
        <f aca="false">IF(OVolType,IF(AND(BZ299&gt;0,CS299&gt;0,DF299&gt;0,CU299&gt;0),newSPRDOPT(BZ299,CS299,DA299,0,DF299,CU299,CV299,BT299*365.25,OCallPut,0),0),IF(BQ299,(DH299*AZ299+DI299*BA299+DJ299*BB299+DK299*BC299)/BQ299,0))</f>
        <v>#VALUE!</v>
      </c>
      <c r="DM299" s="1316"/>
      <c r="DN299" s="1316"/>
      <c r="DO299" s="1316"/>
      <c r="DP299" s="1316"/>
      <c r="DQ299" s="1316"/>
      <c r="DR299" s="1316"/>
      <c r="DS299" s="1316"/>
      <c r="DT299" s="1316"/>
      <c r="DU299" s="1316"/>
      <c r="DV299" s="1316"/>
      <c r="DW299" s="1316" t="e">
        <f aca="false">IF(AND(BW299&gt;0,CT299&gt;0,DD299&gt;0,CU299&gt;0),newSPRDOPT(BW299,CT299,CY299,0,DD299,CU299,CV299,BT299*365.25,OCallPut,0),0)</f>
        <v>#VALUE!</v>
      </c>
      <c r="DX299" s="1316" t="e">
        <f aca="false">IF(AND(BX299&gt;0,CT299&gt;0,DE299&gt;0,CU299&gt;0),newSPRDOPT(BX299,CT299,CZ299,0,DE299,CU299,CV299,BT299*365.25,OCallPut,0),0)</f>
        <v>#VALUE!</v>
      </c>
      <c r="DY299" s="1316" t="e">
        <f aca="false">IF(BS299,(DH299*BH299+DI299*BI299+DW299*BJ299+DX299*BK299)/BS299,0)</f>
        <v>#VALUE!</v>
      </c>
      <c r="DZ299" s="1551" t="e">
        <f aca="false">DH299*AZ299</f>
        <v>#VALUE!</v>
      </c>
      <c r="EA299" s="1551" t="e">
        <f aca="false">DI299*BA299</f>
        <v>#VALUE!</v>
      </c>
      <c r="EB299" s="1551" t="e">
        <f aca="false">DJ299*BB299</f>
        <v>#VALUE!</v>
      </c>
      <c r="EC299" s="1551" t="e">
        <f aca="false">DK299*BC299</f>
        <v>#VALUE!</v>
      </c>
      <c r="ED299" s="1551" t="e">
        <f aca="false">DL299*BQ299</f>
        <v>#VALUE!</v>
      </c>
      <c r="EE299" s="1596" t="e">
        <f aca="false">IF(BQ299,IF(OCallPut,IF(BU299&gt;(CO299+CW299),BU299-(CO299+CW299),0),IF((CO299+CW299)&gt;BU299,(CO299+CW299)-BU299,0))*AZ299,0)</f>
        <v>#VALUE!</v>
      </c>
      <c r="EF299" s="1596" t="e">
        <f aca="false">IF(BQ299,IF(OCallPut,IF(BV299&gt;(CP299+CX299),BV299-(CP299+CX299),0),IF((CP299+CX299)&gt;BV299,(CP299+CX299)-BV299,0))*BA299,0)</f>
        <v>#VALUE!</v>
      </c>
      <c r="EG299" s="1596" t="e">
        <f aca="false">IF(BQ299,IF(OCallPut,IF(BW299&gt;(CQ299+CY299),BW299-(CQ299+CY299),0),IF((CQ299+CY299)&gt;BW299,(CQ299+CY299)-BW299,0))*BB299,0)</f>
        <v>#VALUE!</v>
      </c>
      <c r="EH299" s="1596" t="e">
        <f aca="false">IF(BQ299,IF(OCallPut,IF(BX299&gt;(CR299+CZ299),BX299-(CR299+CZ299),0),IF((CR299+CZ299)&gt;BX299,(CR299+CZ299)-BX299,0))*BC299,0)</f>
        <v>#VALUE!</v>
      </c>
      <c r="EI299" s="1597" t="e">
        <f aca="false">IF(BQ299,IF(OVolType,IF(OCallPut,IF(BZ299&gt;(CS299+DA299),BZ299-(CS299+DA299),0),IF((CS299+DA299)&gt;BZ299,(CS299+DA299)-BZ299,0))*BQ299,SUM(EE299:EH299)),0)</f>
        <v>#VALUE!</v>
      </c>
      <c r="EJ299" s="1596" t="e">
        <f aca="false">DZ299-EE299</f>
        <v>#VALUE!</v>
      </c>
      <c r="EK299" s="1596" t="e">
        <f aca="false">EA299-EF299</f>
        <v>#VALUE!</v>
      </c>
      <c r="EL299" s="1596" t="e">
        <f aca="false">EB299-EG299</f>
        <v>#VALUE!</v>
      </c>
      <c r="EM299" s="1596" t="e">
        <f aca="false">EC299-EH299</f>
        <v>#VALUE!</v>
      </c>
      <c r="EN299" s="1597" t="e">
        <f aca="false">ED299-EI299</f>
        <v>#VALUE!</v>
      </c>
      <c r="EO299" s="1551" t="e">
        <f aca="false">DH299*BH299</f>
        <v>#VALUE!</v>
      </c>
      <c r="EP299" s="1551" t="e">
        <f aca="false">DI299*BI299</f>
        <v>#VALUE!</v>
      </c>
      <c r="EQ299" s="1551" t="e">
        <f aca="false">DW299*BJ299</f>
        <v>#VALUE!</v>
      </c>
      <c r="ER299" s="1551" t="e">
        <f aca="false">DX299*BK299</f>
        <v>#VALUE!</v>
      </c>
      <c r="ES299" s="1551" t="e">
        <f aca="false">DY299*BS299</f>
        <v>#VALUE!</v>
      </c>
      <c r="ET299" s="1566" t="e">
        <f aca="false">IF(EI299,IF(OCallPut,IF(CA299&gt;(CT299+CW299),CA299-(CT299+CW299),0),IF((CT299+CW299)&gt;CA299,(CT299+CW299)-CA299,0))*BH299,0)</f>
        <v>#VALUE!</v>
      </c>
      <c r="EU299" s="1551" t="e">
        <f aca="false">IF(EI299,IF(OCallPut,IF(CB299&gt;(CT299+CX299),CB299-(CT299+CX299),0),IF((CT299+CX299)&gt;CB299,(CT299+CX299)-CB299,0))*BI299,0)</f>
        <v>#VALUE!</v>
      </c>
      <c r="EV299" s="1551" t="e">
        <f aca="false">IF(EI299,IF(OCallPut,IF(CC299&gt;(CT299+CY299),CC299-(CT299+CY299),0),IF((CT299+CY299)&gt;CC299,(CT299+CY299)-CC299,0))*BJ299,0)</f>
        <v>#VALUE!</v>
      </c>
      <c r="EW299" s="1551" t="e">
        <f aca="false">IF(EI299,IF(OCallPut,IF(CD299&gt;(CT299+CZ299),CD299-(CT299+CZ299),0),IF((CT299+CZ299)&gt;CD299,(CT299+CZ299)-CD299,0))*BK299,0)</f>
        <v>#VALUE!</v>
      </c>
      <c r="EX299" s="1558" t="e">
        <f aca="false">IF(EI299,SUM(ET299:EW299),0)</f>
        <v>#VALUE!</v>
      </c>
      <c r="EY299" s="1551" t="e">
        <f aca="false">EO299-ET299</f>
        <v>#VALUE!</v>
      </c>
      <c r="EZ299" s="1551" t="e">
        <f aca="false">EP299-EU299</f>
        <v>#VALUE!</v>
      </c>
      <c r="FA299" s="1551" t="e">
        <f aca="false">EQ299-EV299</f>
        <v>#VALUE!</v>
      </c>
      <c r="FB299" s="1551" t="e">
        <f aca="false">ER299-EW299</f>
        <v>#VALUE!</v>
      </c>
      <c r="FC299" s="1551" t="e">
        <f aca="false">ES299-EX299</f>
        <v>#VALUE!</v>
      </c>
      <c r="FD299" s="1519" t="n">
        <f aca="false">IF(AX299,IF(VLOOKUP(C299,MAIN!$L$17:$M$28,2)="Yes",VLOOKUP(CALC!B299,MAIN!$H$17:$I$20,2),0),0)</f>
        <v>0</v>
      </c>
      <c r="FE299" s="1553" t="n">
        <f aca="false">$FD299*16*AT299*(1-$AY299)</f>
        <v>0</v>
      </c>
      <c r="FF299" s="1553" t="n">
        <f aca="false">$FD299*16*AU299*(1-$AY299)</f>
        <v>0</v>
      </c>
      <c r="FG299" s="1553" t="n">
        <f aca="false">$FD299*16*(AV299+AW299)*(1-$AY299)</f>
        <v>0</v>
      </c>
      <c r="FH299" s="1553" t="n">
        <f aca="false">$FD299*8*AX299*(1-$AY299)</f>
        <v>0</v>
      </c>
      <c r="FI299" s="1555" t="n">
        <f aca="false">IF(AX299,VLOOKUP(CALC!B299,MAIN!$H$17:$K$20,4),0)</f>
        <v>0</v>
      </c>
      <c r="FJ299" s="1553" t="n">
        <f aca="false">SUM(FE299:FH299)</f>
        <v>0</v>
      </c>
      <c r="FK299" s="1553" t="n">
        <f aca="false">FI299*FJ299</f>
        <v>0</v>
      </c>
      <c r="FL299" s="1551" t="e">
        <f aca="false">IF($EI299&gt;0,MIN(FE299,AZ299*(1+VLOOKUP($C299,WeatherCapacityAdjustment,2))),0)</f>
        <v>#VALUE!</v>
      </c>
      <c r="FM299" s="1551" t="e">
        <f aca="false">IF($EI299&gt;0,MIN(FF299,BA299*(1+VLOOKUP($C299,WeatherCapacityAdjustment,2))),0)</f>
        <v>#VALUE!</v>
      </c>
      <c r="FN299" s="1551" t="e">
        <f aca="false">IF($EI299&gt;0,MIN(FG299,BB299*(1+VLOOKUP($C299,WeatherCapacityAdjustment,2))),0)</f>
        <v>#VALUE!</v>
      </c>
      <c r="FO299" s="1564" t="e">
        <f aca="false">IF($EI299&gt;0,MIN(FH299,BC299*(1+VLOOKUP($C299,WeatherCapacityAdjustment,3))),0)</f>
        <v>#VALUE!</v>
      </c>
      <c r="FP299" s="1551" t="e">
        <f aca="false">IF(ET299&gt;0,MIN(FE299-FL299,BH299*(1+VLOOKUP($C299,WeatherCapacityAdjustment,2))),0)</f>
        <v>#VALUE!</v>
      </c>
      <c r="FQ299" s="1551" t="e">
        <f aca="false">IF(EU299&gt;0,MIN(FF299-FM299,BI299*(1+VLOOKUP($C299,WeatherCapacityAdjustment,2))),0)</f>
        <v>#VALUE!</v>
      </c>
      <c r="FR299" s="1551" t="e">
        <f aca="false">IF(EV299&gt;0,MIN(FG299-FN299,BJ299*(1+VLOOKUP($C299,WeatherCapacityAdjustment,2))),0)</f>
        <v>#VALUE!</v>
      </c>
      <c r="FS299" s="1558" t="e">
        <f aca="false">IF(EW299&gt;0,MIN(FH299-FO299,BK299*(1+VLOOKUP($C299,WeatherCapacityAdjustment,3))),0)</f>
        <v>#VALUE!</v>
      </c>
      <c r="FT299" s="1566" t="n">
        <f aca="false">IF(AND(Assumptions!$H$71="Yes",A299&gt;=Assumptions!$H$72,A299&lt;=Assumptions!$H$73),0,IF(AND($A299&gt;=Assumptions!$C$17,$A299&lt;=Assumptions!$C$18),MAX(AZ299*(1+VLOOKUP($C299,WeatherCapacityAdjustment,2))-FL299,0),0))</f>
        <v>0</v>
      </c>
      <c r="FU299" s="1551" t="n">
        <f aca="false">IF(AND(Assumptions!$H$71="Yes",A299&gt;=Assumptions!$H$72,A299&lt;=Assumptions!$H$73),0,IF(AND($A299&gt;=Assumptions!$C$17,$A299&lt;=Assumptions!$C$18),MAX(BA299*(1+VLOOKUP($C299,WeatherCapacityAdjustment,2))-FM299,0),0))</f>
        <v>0</v>
      </c>
      <c r="FV299" s="1551" t="n">
        <f aca="false">IF(AND(Assumptions!$H$71="Yes",A299&gt;=Assumptions!$H$72,A299&lt;=Assumptions!$H$73),0,IF(AND($A299&gt;=Assumptions!$C$17,$A299&lt;=Assumptions!$C$18),MAX(BB299*(1+VLOOKUP($C299,WeatherCapacityAdjustment,2))-FN299,0),0))</f>
        <v>0</v>
      </c>
      <c r="FW299" s="1564" t="n">
        <f aca="false">IF(AND(Assumptions!$H$71="Yes",A299&gt;=Assumptions!$H$72,A299&lt;=Assumptions!$H$73),0,IF(AND($A299&gt;=Assumptions!$C$17,$A299&lt;=Assumptions!$C$18),MAX(BC299*(1+VLOOKUP($C299,WeatherCapacityAdjustment,3))-FO299,0),0))</f>
        <v>0</v>
      </c>
      <c r="FX299" s="1569" t="e">
        <f aca="false">IF(AND(Assumptions!$H$71="Yes",A299&gt;=Assumptions!$H$72,A299&lt;=Assumptions!$H$73),0,IF(ET299&gt;0,MAX(BH299*(1+VLOOKUP($C299,WeatherCapacityAdjustment,2))-FP299,0),0))</f>
        <v>#VALUE!</v>
      </c>
      <c r="FY299" s="1551" t="e">
        <f aca="false">IF(AND(Assumptions!$H$71="Yes",A299&gt;=Assumptions!$H$72,A299&lt;=Assumptions!$H$73),0,IF(EU299&gt;0,MAX(BI299*(1+VLOOKUP($C299,WeatherCapacityAdjustment,3))-FQ299,0),0))</f>
        <v>#VALUE!</v>
      </c>
      <c r="FZ299" s="1551" t="e">
        <f aca="false">IF(AND(Assumptions!$H$71="Yes",A299&gt;=Assumptions!$H$72,A299&lt;=Assumptions!$H$73),0,IF(EV299&gt;0,MAX(BJ299*(1+VLOOKUP($C299,WeatherCapacityAdjustment,2))-FR299,0),0))</f>
        <v>#VALUE!</v>
      </c>
      <c r="GA299" s="1564" t="e">
        <f aca="false">IF(AND(Assumptions!$H$71="Yes",A299&gt;=Assumptions!$H$72,A299&lt;=Assumptions!$H$73),0,IF(EW299&gt;0,MAX(BK299*(1+VLOOKUP($C299,WeatherCapacityAdjustment,2))-FS299,0),0))</f>
        <v>#VALUE!</v>
      </c>
      <c r="GB299" s="1551" t="e">
        <f aca="false">SUM(FT299:GA299)</f>
        <v>#VALUE!</v>
      </c>
      <c r="GC299" s="1563" t="e">
        <f aca="false">+IF(SUM(FT299:GA299)=0,0,(SUMPRODUCT(BU299:BX299,FT299:FW299)+SUMPRODUCT(CA299:CD299,FX299:GA299))/SUM(FT299:GA299))</f>
        <v>#VALUE!</v>
      </c>
      <c r="GD299" s="1551" t="e">
        <f aca="false">(FT299*BU299+FX299*CA299+FU299*BV299+FY299*CB299+FV299*BW299+FZ299*CC299+FW299*BX299+GA299*CD299)</f>
        <v>#VALUE!</v>
      </c>
      <c r="GE299" s="1561" t="e">
        <f aca="false">+IF(BQ299,((FL299+FM299+FT299+FU299)*HeatRatePeak/1000*(1+VLOOKUP($C299,WeatherHeatRateAdjustment,2))+(FN299+FV299)*IF(EV299&gt;0,HeatRatePeak,HeatRateOffPeak)/1000*(1+VLOOKUP($C299,WeatherHeatRateAdjustment,2))+(FO299+FW299)*IF(EW299&gt;0,HeatRatePeak,HeatRateOffPeak)/1000*(1+VLOOKUP($C299,WeatherHeatRateAdjustment,3)))*(1+VLOOKUP($B299,HeatRateDegradation,$C299+1)),0)</f>
        <v>#VALUE!</v>
      </c>
      <c r="GF299" s="1562" t="e">
        <f aca="false">IF(BQ299,((FP299+FQ299+FR299+FX299+FY299+FZ299)*HeatRatePeak/1000*(1+VLOOKUP($C299,WeatherHeatRateAdjustment,2))+(FS299+GA299)*HeatRatePeak/1000*(1+VLOOKUP($C299,WeatherHeatRateAdjustment,3)))*(1+VLOOKUP($B299,HeatRateDegradation,$C299+1)),0)</f>
        <v>#VALUE!</v>
      </c>
      <c r="GG299" s="1563" t="e">
        <f aca="false">IF(BQ299,VLOOKUP(A299,GasTable,13),0)</f>
        <v>#VALUE!</v>
      </c>
      <c r="GH299" s="1564" t="e">
        <f aca="false">(GE299+GF299)*GG299</f>
        <v>#VALUE!</v>
      </c>
      <c r="GI299" s="1569" t="e">
        <f aca="false">GB299</f>
        <v>#VALUE!</v>
      </c>
      <c r="GJ299" s="1598" t="e">
        <f aca="false">+DA299</f>
        <v>#VALUE!</v>
      </c>
      <c r="GK299" s="1558" t="e">
        <f aca="false">+GI299*GJ299</f>
        <v>#VALUE!</v>
      </c>
      <c r="GL299" s="1566" t="e">
        <f aca="false">MAX(FE299-FL299-FP299,0)</f>
        <v>#VALUE!</v>
      </c>
      <c r="GM299" s="1551" t="e">
        <f aca="false">MAX(FF299-FM299-FQ299,0)</f>
        <v>#VALUE!</v>
      </c>
      <c r="GN299" s="1551" t="e">
        <f aca="false">MAX(FG299-FN299-FR299,0)</f>
        <v>#VALUE!</v>
      </c>
      <c r="GO299" s="1564" t="e">
        <f aca="false">MAX(FH299-FO299-FS299,0)</f>
        <v>#VALUE!</v>
      </c>
      <c r="GP299" s="1551" t="e">
        <f aca="false">SUM(GL299:GO299)</f>
        <v>#VALUE!</v>
      </c>
      <c r="GQ299" s="1563" t="e">
        <f aca="false">IF(SUM(GL299:GO299)=0,0,((GL299*BU299+GM299*BV299+GN299*BW299+GO299*BX299)/SUM(GL299:GO299)))</f>
        <v>#VALUE!</v>
      </c>
      <c r="GR299" s="1558" t="e">
        <f aca="false">(GL299*BU299+GM299*BV299+GN299*BW299+GO299*BX299)</f>
        <v>#VALUE!</v>
      </c>
      <c r="GS299" s="1551" t="n">
        <f aca="false">IF($A299&gt;=BegDate,Assumptions!$C$56*24*($A300-$A299)*(1-VLOOKUP($B299,MAIN!$AA$7:$AM$28,$C299+1))*(1-VLOOKUP($B299,MAIN!$AA$33:$AM$54,$C299+1)),0)*80/168</f>
        <v>249428.571428571</v>
      </c>
      <c r="GT299" s="286" t="n">
        <f aca="false">J299</f>
        <v>66.1786775598789</v>
      </c>
      <c r="GU299" s="286" t="n">
        <f aca="false">IF($A299&gt;=BegDate,VLOOKUP($A299,GasTable,13)+Assumptions!$C$58,0)</f>
        <v>4.58711122179671</v>
      </c>
      <c r="GV299" s="286" t="n">
        <f aca="false">GU299*Assumptions!$C$57/1000</f>
        <v>33.2565563580261</v>
      </c>
      <c r="GW299" s="1551" t="n">
        <f aca="false">IF(Assumptions!$C$60="Hourly",MAX(0,GS299*(GT299-GV299)),GS299*(GT299-GV299))</f>
        <v>8211717.65977643</v>
      </c>
      <c r="GX299" s="1551" t="n">
        <f aca="false">IF($A299&gt;=BegDate,Assumptions!$C$56*24*($A300-$A299)*(1-VLOOKUP($B299,MAIN!$AA$7:$AM$28,$C299+1))*(1-VLOOKUP($B299,MAIN!$AA$33:$AM$54,$C299+1)),0)*16/168</f>
        <v>49885.7142857143</v>
      </c>
      <c r="GY299" s="286" t="n">
        <f aca="false">M299</f>
        <v>66.1786775598789</v>
      </c>
      <c r="GZ299" s="286" t="n">
        <f aca="false">IF($A299&gt;=BegDate,VLOOKUP($A299,GasTable,13)+Assumptions!$C$58,0)</f>
        <v>4.58711122179671</v>
      </c>
      <c r="HA299" s="286" t="n">
        <f aca="false">GZ299*Assumptions!$C$57/1000</f>
        <v>33.2565563580261</v>
      </c>
      <c r="HB299" s="1551" t="n">
        <f aca="false">IF(Assumptions!$C$60="Hourly",MAX(0,GX299*(GY299-HA299)),GX299*(GY299-HA299))</f>
        <v>1642343.53195529</v>
      </c>
      <c r="HC299" s="1551" t="n">
        <f aca="false">IF($A299&gt;=BegDate,Assumptions!$C$56*24*($A300-$A299)*(1-VLOOKUP($B299,MAIN!$AA$7:$AM$28,$C299+1))*(1-VLOOKUP($B299,MAIN!$AA$33:$AM$54,$C299+1)),0)*16/168</f>
        <v>49885.7142857143</v>
      </c>
      <c r="HD299" s="286" t="n">
        <f aca="false">P299</f>
        <v>38.683231229732</v>
      </c>
      <c r="HE299" s="286" t="n">
        <f aca="false">IF($A299&gt;=BegDate,VLOOKUP($A299,GasTable,13)+Assumptions!$C$58,0)</f>
        <v>4.58711122179671</v>
      </c>
      <c r="HF299" s="286" t="n">
        <f aca="false">HE299*Assumptions!$C$57/1000</f>
        <v>33.2565563580261</v>
      </c>
      <c r="HG299" s="1551" t="n">
        <f aca="false">IF(Assumptions!$C$60="Hourly",MAX(0,HC299*(HD299-HF299)),HC299*(HD299-HF299))</f>
        <v>270713.552171386</v>
      </c>
      <c r="HH299" s="1551" t="n">
        <f aca="false">IF($A299&gt;=BegDate,Assumptions!$C$56*24*($A300-$A299)*(1-VLOOKUP($B299,MAIN!$AA$7:$AM$28,$C299+1))*(1-VLOOKUP($B299,MAIN!$AA$33:$AM$54,$C299+1)),0)*56/168</f>
        <v>174600</v>
      </c>
      <c r="HI299" s="286" t="n">
        <f aca="false">S299</f>
        <v>38.683231229732</v>
      </c>
      <c r="HJ299" s="286" t="n">
        <f aca="false">IF($A299&gt;=BegDate,VLOOKUP($A299,GasTable,13)+Assumptions!$C$58,0)</f>
        <v>4.58711122179671</v>
      </c>
      <c r="HK299" s="286" t="n">
        <f aca="false">HJ299*Assumptions!$C$57/1000</f>
        <v>33.2565563580261</v>
      </c>
      <c r="HL299" s="1551" t="n">
        <f aca="false">IF(Assumptions!$C$60="Hourly",MAX(0,HH299*(HI299-HK299)),HH299*(HI299-HK299))</f>
        <v>947497.43259985</v>
      </c>
      <c r="HM299" s="1551" t="n">
        <f aca="false">IF(AND(Assumptions!$H$71="Yes",A299&gt;=Assumptions!$H$72,A299&lt;=Assumptions!$H$73),Assumptions!$H$74*Assumptions!$C$9*1000,0)</f>
        <v>0</v>
      </c>
    </row>
    <row r="300" customFormat="false" ht="12.75" hidden="false" customHeight="false" outlineLevel="0" collapsed="false">
      <c r="A300" s="1571" t="n">
        <f aca="false">EOMONTH(A299,0)+1</f>
        <v>45261</v>
      </c>
      <c r="B300" s="238" t="n">
        <f aca="false">+YEAR(A300)</f>
        <v>2023</v>
      </c>
      <c r="C300" s="320" t="n">
        <f aca="false">MONTH(A300)</f>
        <v>12</v>
      </c>
      <c r="D300" s="1614" t="str">
        <f aca="false">IF(E300="","",Holiday(B300,C300))</f>
        <v/>
      </c>
      <c r="E300" s="1573" t="str">
        <f aca="false">IF(OR(BegDate&gt;=A301,EndDate&lt;A300,AND(VolumeMonthlyOverFlag,INDEX(VolumeMonthlyOver,C300)=0),NOT(INDEX(MonthKnockOutTable,C300))),"",MAX(A300,BegDate))</f>
        <v/>
      </c>
      <c r="F300" s="1614" t="str">
        <f aca="false">IF(E300="","",MIN(A301-1,EndDate))</f>
        <v/>
      </c>
      <c r="G300" s="1615" t="n">
        <v>0</v>
      </c>
      <c r="H300" s="1576" t="n">
        <f aca="false">(1+G300/2)^(-2*(DATE(B301,C301,20)-DateToday)/365.25)</f>
        <v>1</v>
      </c>
      <c r="I300" s="1568" t="n">
        <f aca="false">IF(Assumptions!$L$25=4,VLOOKUP($A300,'Henwood Reference'!$E$9:$R$320,10),(VLOOKUP($A300,PriceTable,2,0)+IF(BasisNumber&lt;&gt;1,VLOOKUP($A300,BasisTable,2,0),0)+I$1)/(1-I$2))</f>
        <v>63.0258251710546</v>
      </c>
      <c r="J300" s="1568" t="n">
        <f aca="false">IF(Assumptions!$L$25=4,VLOOKUP($A300,'Henwood Reference'!$E$9:$R$320,10),(VLOOKUP($A300,PriceTable,3,0)+IF(BasisNumber&lt;&gt;1,VLOOKUP($A300,BasisTable,2,0),0)+J$1)/(1-J$2))</f>
        <v>63.0258251710546</v>
      </c>
      <c r="K300" s="1568" t="n">
        <f aca="false">IF(Assumptions!$L$25=4,VLOOKUP($A300,'Henwood Reference'!$E$9:$R$320,10),(VLOOKUP($A300,PriceTable,4,0)+IF(BasisNumber&lt;&gt;1,VLOOKUP($A300,BasisTable,2,0),0)+K$1)/(1-K$2))</f>
        <v>63.0258251710546</v>
      </c>
      <c r="L300" s="1523" t="n">
        <f aca="false">IF(Assumptions!$L$25=4,VLOOKUP($A300,'Henwood Reference'!$E$9:$R$320,10),(VLOOKUP($A300,PriceTableWeekend,2,0)+IF(BasisNumber&lt;&gt;1,VLOOKUP($A300,BasisTable,2,0),0)+L$1)/(1-L$2))</f>
        <v>63.0258251710546</v>
      </c>
      <c r="M300" s="1568" t="n">
        <f aca="false">IF(Assumptions!$L$25=4,VLOOKUP($A300,'Henwood Reference'!$E$9:$R$320,10),(VLOOKUP($A300,PriceTableWeekend,3,0)+IF(BasisNumber&lt;&gt;1,VLOOKUP($A300,BasisTable,2,0),0)+M$1)/(1-M$2))</f>
        <v>63.0258251710546</v>
      </c>
      <c r="N300" s="1599" t="n">
        <f aca="false">IF(Assumptions!$L$25=4,VLOOKUP($A300,'Henwood Reference'!$E$9:$R$320,10),(VLOOKUP($A300,PriceTableWeekend,4,0)+IF(BasisNumber&lt;&gt;1,VLOOKUP($A300,BasisTable,2,0),0)+N$1)/(1-N$2))</f>
        <v>63.0258251710546</v>
      </c>
      <c r="O300" s="1568" t="n">
        <f aca="false">IF(Assumptions!$L$25=4,VLOOKUP($A300,'Henwood Reference'!$E$9:$R$320,11),(VLOOKUP($A300,PriceTableWeekend,6,0)+IF(BasisNumber&lt;&gt;1,VLOOKUP($A300,BasisTable,3,0),0)+O$1)/(1-O$2))</f>
        <v>39.4988035291718</v>
      </c>
      <c r="P300" s="1568" t="n">
        <f aca="false">IF(Assumptions!$L$25=4,VLOOKUP($A300,'Henwood Reference'!$E$9:$R$320,11),(VLOOKUP($A300,PriceTableWeekend,7,0)+IF(BasisNumber&lt;&gt;1,VLOOKUP($A300,BasisTable,3,0),0)+P$1)/(1-P$2))</f>
        <v>39.4988035291718</v>
      </c>
      <c r="Q300" s="1599" t="n">
        <f aca="false">IF(Assumptions!$L$25=4,VLOOKUP($A300,'Henwood Reference'!$E$9:$R$320,11),(VLOOKUP($A300,PriceTableWeekend,8,0)+IF(BasisNumber&lt;&gt;1,VLOOKUP($A300,BasisTable,3,0),0)+Q$1)/(1-Q$2))</f>
        <v>39.4988035291718</v>
      </c>
      <c r="R300" s="1568" t="n">
        <f aca="false">IF(Assumptions!$L$25=4,VLOOKUP($A300,'Henwood Reference'!$E$9:$R$320,11),(VLOOKUP($A300,PriceTable,6,0)+IF(BasisNumber&lt;&gt;1,VLOOKUP($A300,BasisTable,3,0),0)+R$1)/(1-R$2))</f>
        <v>39.4988035291718</v>
      </c>
      <c r="S300" s="1568" t="n">
        <f aca="false">IF(Assumptions!$L$25=4,VLOOKUP($A300,'Henwood Reference'!$E$9:$R$320,11),(VLOOKUP($A300,PriceTable,7,0)+IF(BasisNumber&lt;&gt;1,VLOOKUP($A300,BasisTable,3,0),0)+S$1)/(1-S$2))</f>
        <v>39.4988035291718</v>
      </c>
      <c r="T300" s="1600" t="n">
        <f aca="false">IF(Assumptions!$L$25=4,VLOOKUP($A300,'Henwood Reference'!$E$9:$R$320,11),(VLOOKUP($A300,PriceTable,8,0)+IF(BasisNumber&lt;&gt;1,VLOOKUP($A300,BasisTable,3,0),0)+T$1)/(1-T$2))</f>
        <v>39.4988035291718</v>
      </c>
      <c r="U300" s="1513" t="n">
        <f aca="false">VLOOKUP($A300,VolatilityTable,14)</f>
        <v>0.09</v>
      </c>
      <c r="V300" s="1513" t="n">
        <f aca="false">VLOOKUP($A300,VolatilityTable,15)</f>
        <v>0.1</v>
      </c>
      <c r="W300" s="1513" t="n">
        <f aca="false">VLOOKUP($A300,VolatilityTable,16)</f>
        <v>0.11</v>
      </c>
      <c r="X300" s="1513" t="n">
        <f aca="false">VLOOKUP($A300,VolatilityTable,14)</f>
        <v>0.09</v>
      </c>
      <c r="Y300" s="1513" t="n">
        <f aca="false">VLOOKUP($A300,VolatilityTable,15)</f>
        <v>0.1</v>
      </c>
      <c r="Z300" s="1513" t="n">
        <f aca="false">VLOOKUP($A300,VolatilityTable,16)</f>
        <v>0.11</v>
      </c>
      <c r="AA300" s="1513" t="n">
        <f aca="false">VLOOKUP($A300,VolatilityTable,18)</f>
        <v>0.09</v>
      </c>
      <c r="AB300" s="1513" t="n">
        <f aca="false">VLOOKUP($A300,VolatilityTable,19)</f>
        <v>0.11</v>
      </c>
      <c r="AC300" s="1513" t="n">
        <f aca="false">VLOOKUP($A300,VolatilityTable,20)</f>
        <v>0.13</v>
      </c>
      <c r="AD300" s="1513" t="n">
        <f aca="false">VLOOKUP($A300,VolatilityTable,18)</f>
        <v>0.09</v>
      </c>
      <c r="AE300" s="1513" t="n">
        <f aca="false">VLOOKUP($A300,VolatilityTable,19)</f>
        <v>0.11</v>
      </c>
      <c r="AF300" s="1513" t="n">
        <f aca="false">VLOOKUP($A300,VolatilityTable,20)</f>
        <v>0.13</v>
      </c>
      <c r="AG300" s="1513" t="n">
        <f aca="false">VLOOKUP($A300,VolatilityTable,22)</f>
        <v>-0.25</v>
      </c>
      <c r="AH300" s="1513" t="n">
        <f aca="false">VLOOKUP($A300,VolatilityTable,23)</f>
        <v>0.6</v>
      </c>
      <c r="AI300" s="1513" t="n">
        <f aca="false">VLOOKUP($A300,VolatilityTable,24)</f>
        <v>0.25</v>
      </c>
      <c r="AJ300" s="1513" t="n">
        <f aca="false">VLOOKUP($A300,VolatilityTable,22)</f>
        <v>-0.25</v>
      </c>
      <c r="AK300" s="1513" t="n">
        <f aca="false">VLOOKUP($A300,VolatilityTable,23)</f>
        <v>0.6</v>
      </c>
      <c r="AL300" s="1513" t="n">
        <f aca="false">VLOOKUP($A300,VolatilityTable,24)</f>
        <v>0.25</v>
      </c>
      <c r="AM300" s="1513" t="n">
        <f aca="false">VLOOKUP($A300,VolatilityTable,26)</f>
        <v>-0.01</v>
      </c>
      <c r="AN300" s="1513" t="n">
        <f aca="false">VLOOKUP($A300,VolatilityTable,27)</f>
        <v>0.16</v>
      </c>
      <c r="AO300" s="1513" t="n">
        <f aca="false">VLOOKUP($A300,VolatilityTable,28)</f>
        <v>0.01</v>
      </c>
      <c r="AP300" s="1513" t="n">
        <f aca="false">VLOOKUP($A300,VolatilityTable,26)</f>
        <v>-0.01</v>
      </c>
      <c r="AQ300" s="1513" t="n">
        <f aca="false">VLOOKUP($A300,VolatilityTable,27)</f>
        <v>0.16</v>
      </c>
      <c r="AR300" s="1513" t="n">
        <f aca="false">VLOOKUP($A300,VolatilityTable,28)</f>
        <v>0.01</v>
      </c>
      <c r="AS300" s="1616" t="n">
        <f aca="false">IF(CorrPeakOffPeakOverFlag,INDEX(CorrPeakOffPeakOver,C300),CorrPeakOffPeak)</f>
        <v>0.5</v>
      </c>
      <c r="AT300" s="238" t="n">
        <f aca="false">AX300-SUM(AU300:AW300)</f>
        <v>0</v>
      </c>
      <c r="AU300" s="238" t="n">
        <f aca="false">IF(E300="",0,INT((F300-MOD(F300,7)-E300)/7)+1-IF(AW300,IF(WEEKDAY(D300)=7,1,0),0))</f>
        <v>0</v>
      </c>
      <c r="AV300" s="238" t="n">
        <f aca="false">IF(E300="",0,INT((F300-MOD(F300-1,7)-E300)/7)+1-IF(AW300,IF(WEEKDAY(D300)=1,1,0),0))</f>
        <v>0</v>
      </c>
      <c r="AW300" s="238" t="n">
        <f aca="false">IF(OR(E300="",D300="",D300&lt;BegDate,D300&gt;EndDate),0,1)</f>
        <v>0</v>
      </c>
      <c r="AX300" s="238" t="n">
        <f aca="false">IF(E300="",0,F300-E300+1)</f>
        <v>0</v>
      </c>
      <c r="AY300" s="1513" t="n">
        <f aca="false">IF(E300="",0,MIN((1-(1-VLOOKUP(B300,MAIN!$AA$7:$AM$28,C300+1))*(1-VLOOKUP(B300,MAIN!$AA$33:$AM$54,C300+1))),1))</f>
        <v>0</v>
      </c>
      <c r="AZ300" s="1519" t="e">
        <f aca="false" t="array" ref="AZ300:BO300">TakeFunction(TakeType,STake,OTake,CombineTakesFlag,MostExpFlag,VolumeEscType,VolumeEsc,DateToday,BegDate,EndDate,OrderedScalars,OrderedPrices,OrderedPricesSat,OrderedPricesSun,AvailDays,FirmWeek,FirmSat,FirmSun,FirmHol,OptWeek,OptSat,OptSun,OptHol)*(1-PlannedOutages)</f>
        <v>#VALUE!</v>
      </c>
      <c r="BA300" s="1519" t="e">
        <v>#VALUE!</v>
      </c>
      <c r="BB300" s="1519" t="e">
        <v>#VALUE!</v>
      </c>
      <c r="BC300" s="1519" t="e">
        <v>#VALUE!</v>
      </c>
      <c r="BD300" s="1568" t="e">
        <v>#VALUE!</v>
      </c>
      <c r="BE300" s="1568" t="e">
        <v>#VALUE!</v>
      </c>
      <c r="BF300" s="1568" t="e">
        <v>#VALUE!</v>
      </c>
      <c r="BG300" s="1568" t="e">
        <v>#VALUE!</v>
      </c>
      <c r="BH300" s="1519" t="e">
        <v>#VALUE!</v>
      </c>
      <c r="BI300" s="1519" t="e">
        <v>#VALUE!</v>
      </c>
      <c r="BJ300" s="1519" t="e">
        <v>#VALUE!</v>
      </c>
      <c r="BK300" s="1519" t="e">
        <v>#VALUE!</v>
      </c>
      <c r="BL300" s="1568" t="e">
        <v>#VALUE!</v>
      </c>
      <c r="BM300" s="1568" t="e">
        <v>#VALUE!</v>
      </c>
      <c r="BN300" s="1568" t="e">
        <v>#VALUE!</v>
      </c>
      <c r="BO300" s="1568" t="e">
        <v>#VALUE!</v>
      </c>
      <c r="BP300" s="1519" t="e">
        <f aca="false">SUM(AZ300:BB300)</f>
        <v>#VALUE!</v>
      </c>
      <c r="BQ300" s="1519" t="e">
        <f aca="false">SUM(AZ300:BC300)</f>
        <v>#VALUE!</v>
      </c>
      <c r="BR300" s="1519" t="e">
        <f aca="false">SUM(BH300:BJ300)</f>
        <v>#VALUE!</v>
      </c>
      <c r="BS300" s="1519" t="e">
        <f aca="false">SUM(BH300:BK300)</f>
        <v>#VALUE!</v>
      </c>
      <c r="BT300" s="1316" t="n">
        <f aca="false">(IF(OVolType&lt;&gt;2,A300+14,IF(OptExpDateShift,ShiftBack(A300,OptExpDateShift,D299),A300))-DateToday)/365.25</f>
        <v>23.6303901437372</v>
      </c>
      <c r="BU300" s="1316" t="e">
        <f aca="false">IF(BQ300,IF(OPriceCurve,IF(OBuySell=OCallPut,I300/(1-AY300),K300/(1-AY300)),J300/(1-AY300))*BD300,0)</f>
        <v>#VALUE!</v>
      </c>
      <c r="BV300" s="1316" t="e">
        <f aca="false">IF(BQ300,IF(OPriceCurve,IF(OBuySell=OCallPut,L300/(1-AY300),N300/(1-AY300)),M300/(1-AY300))*BE300,0)</f>
        <v>#VALUE!</v>
      </c>
      <c r="BW300" s="1316" t="e">
        <f aca="false">IF(BQ300,IF(OPriceCurve,IF(OBuySell=OCallPut,O300/(1-AY300),Q300/(1-AY300)),P300/(1-AY300))*BF300,0)</f>
        <v>#VALUE!</v>
      </c>
      <c r="BX300" s="1316" t="e">
        <f aca="false">IF(BQ300,IF(OPriceCurve,IF(OBuySell=OCallPut,R300/(1-AY300),T300/(1-AY300)),S300/(1-AY300))*BG300,0)</f>
        <v>#VALUE!</v>
      </c>
      <c r="BY300" s="1316" t="e">
        <f aca="false">IF(BP300,(BU300*AZ300+BV300*BA300+BW300*BB300)/BP300,0)</f>
        <v>#VALUE!</v>
      </c>
      <c r="BZ300" s="1316" t="e">
        <f aca="false">IF(BQ300,(BY300*BP300+BX300*BC300)/BQ300,0)</f>
        <v>#VALUE!</v>
      </c>
      <c r="CA300" s="1316" t="e">
        <f aca="false">IF(BS300,IF(OPriceCurve,IF(OBuySell=OCallPut,I300/(1-AY300),K300/(1-AY300)),J300/(1-AY300))*BL300,0)</f>
        <v>#VALUE!</v>
      </c>
      <c r="CB300" s="1316" t="e">
        <f aca="false">IF(BS300,IF(OPriceCurve,IF(OBuySell=OCallPut,L300/(1-AY300),N300/(1-AY300)),M300/(1-AY300))*BM300,0)</f>
        <v>#VALUE!</v>
      </c>
      <c r="CC300" s="1316" t="e">
        <f aca="false">IF(BS300,IF(OPriceCurve,IF(OBuySell=OCallPut,O300/(1-AY300),Q300/(1-AY300)),P300/(1-AY300))*BN300,0)</f>
        <v>#VALUE!</v>
      </c>
      <c r="CD300" s="1316" t="e">
        <f aca="false">IF(BS300,IF(OPriceCurve,IF(OBuySell=OCallPut,R300/(1-AY300),T300/(1-AY300)),S300/(1-AY300))*BO300,0)</f>
        <v>#VALUE!</v>
      </c>
      <c r="CE300" s="1316" t="e">
        <f aca="false">IF(BR300,(BU300*BH300+BV300*BI300+BW300*BJ300)/BR300,0)</f>
        <v>#VALUE!</v>
      </c>
      <c r="CF300" s="1316" t="e">
        <f aca="false">IF(BS300,(CE300*BR300+CD300*BK300)/BS300,0)</f>
        <v>#VALUE!</v>
      </c>
      <c r="CG300" s="1587" t="e">
        <f aca="false">IF(OR(BQ300,BS300),IF(OVolType&lt;&gt;2,SQRT(IF(OVolOverMonthlyPeak,OVolOverMonthlyPeak,IF(OVolCurve,IF(OBuySell,U300,W300),V300))^2*(1-15/365.25/BT300)+IF(OVolOverDailyPeak,OVolOverDailyPeak,IF(OVolCurve,IF(OBuySell,AG300,AI300),AH300))^2*15/365.25/BT300),IF(OVolOverMonthlyPeak,OVolOverMonthlyPeak,IF(OVolCurve,IF(OBuySell,U300,W300),V300))),"")</f>
        <v>#VALUE!</v>
      </c>
      <c r="CH300" s="1587" t="e">
        <f aca="false">IF(OR(BQ300,BS300),IF(OVolType&lt;&gt;2,SQRT(IF(OVolOverMonthlyPeak,OVolOverMonthlyPeak,IF(OVolCurve,IF(OBuySell,X300,Z300),Y300))^2*(1-15/365.25/BT300)+IF(OVolOverDailyPeak,OVolOverDailyPeak,IF(OVolCurve,IF(OBuySell,AJ300,AL300),AK300))^2*15/365.25/BT300),IF(OVolOverMonthlyPeak,OVolOverMonthlyPeak,IF(OVolCurve,IF(OBuySell,X300,Z300),Y300))),"")</f>
        <v>#VALUE!</v>
      </c>
      <c r="CI300" s="1587" t="e">
        <f aca="false">IF(OR(BQ300,BS300),IF(OVolType&lt;&gt;2,SQRT(IF(OVolOverMonthlyPeak,OVolOverMonthlyPeak,IF(OVolCurve,IF(OBuySell,AA300,AC300),AB300))^2*(1-15/365.25/BT300)+IF(OVolOverDailyPeak,OVolOverDailyPeak,IF(OVolCurve,IF(OBuySell,AM300,AO300),AN300))^2*15/365.25/BT300),IF(OVolOverMonthlyPeak,OVolOverMonthlyPeak,IF(OVolCurve,IF(OBuySell,AA300,AC300),AB300))),"")</f>
        <v>#VALUE!</v>
      </c>
      <c r="CJ300" s="1587" t="e">
        <f aca="false">IF(BQ300,IF(BP300,SQRT(LN(1+((BU300*AZ300)^2*(EXP(CG300^2*BT300)-1)+(BV300*BA300)^2*(EXP(CH300^2*BT300)-1)+(BW300*BB300)^2*(EXP(CI300^2*BT300)-1)+2*BU300*AZ300*BV300*BA300*(EXP(CG300*CH300*BT300)-1)+2*BV300*BA300*BW300*BB300*(EXP(CH300*CI300*BT300)-1)+2*BW300*BB300*BU300*AZ300*(EXP(CI300*CG300*BT300)-1))/(BY300*BP300)^2)/BT300),0),"")</f>
        <v>#VALUE!</v>
      </c>
      <c r="CK300" s="1587" t="e">
        <f aca="false">IF(BS300,IF(BR300,SQRT(LN(1+((CA300*BH300)^2*(EXP(CG300^2*BT300)-1)+(CB300*BI300)^2*(EXP(CH300^2*BT300)-1)+(CC300*BJ300)^2*(EXP(CI300^2*BT300)-1)+2*CA300*BH300*CB300*BI300*(EXP(CG300*CH300*BT300)-1)+2*CB300*BI300*CC300*BJ300*(EXP(CH300*CI300*BT300)-1)+2*CC300*BJ300*CA300*BH300*(EXP(CI300*CG300*BT300)-1))/(CE300*BR300)^2)/BT300),0),"")</f>
        <v>#VALUE!</v>
      </c>
      <c r="CL300" s="1587" t="e">
        <f aca="false">IF(OR(BQ300,BS300),IF(OVolType&lt;&gt;2,SQRT(IF(OVolOverMonthlyOffPeak,OVolOverMonthlyOffPeak,IF(OVolCurve,IF(OBuySell,AD300,AF300),AE300))^2*(1-15/365.25/BT300)+IF(OVolOverDailyOffPeak,OVolOverDailyOffPeak,IF(OVolCurve,IF(OBuySell,AP300,AR300),AQ300))^2*15/365.25/BT300),IF(OVolOverMonthlyOffPeak,OVolOverMonthlyOffPeak,IF(OVolCurve,IF(OBuySell,AD300,AF300),AE300))),"")</f>
        <v>#VALUE!</v>
      </c>
      <c r="CM300" s="1587" t="e">
        <f aca="false">IF(BQ300,SQRT(LN(1+((BY300*BP300)^2*(EXP(CJ300^2*BT300)-1)+(BX300*BC300)^2*(EXP(CL300^2*BT300)-1)+2*BY300*BP300*BX300*BC300*(EXP(AS300*CJ300*CL300*BT300)-1))/(BY300*BP300+BX300*BC300)^2)/BT300),"")</f>
        <v>#VALUE!</v>
      </c>
      <c r="CN300" s="1587" t="e">
        <f aca="false">IF(BS300,SQRT(LN(1+((CE300*BR300)^2*(EXP(CK300^2*BT300)-1)+(CD300*BK300)^2*(EXP(CL300^2*BT300)-1)+2*CE300*BR300*CD300*BK300*(EXP(AS300*CK300*CL300*BT300)-1))/(CE300*BR300+CD300*BK300)^2)/BT300),"")</f>
        <v>#VALUE!</v>
      </c>
      <c r="CO300" s="1316" t="e">
        <f aca="false">IF(OR(BQ300,BS300),VLOOKUP(A300,GasTable,13)*HeatRatePeak*(1+VLOOKUP($B300,HeatRateDegradation,$C300+1))/1000,0)</f>
        <v>#VALUE!</v>
      </c>
      <c r="CP300" s="1316" t="e">
        <f aca="false">IF(OR(BQ300,BS300),VLOOKUP(A300,GasTable,13)*HeatRatePeak*(1+VLOOKUP($B300,HeatRateDegradation,$C300+1))/1000,0)</f>
        <v>#VALUE!</v>
      </c>
      <c r="CQ300" s="1316" t="e">
        <f aca="false">IF(OR(BQ300,BS300),VLOOKUP(A300,GasTable,13)*IF(EV300,HeatRatePeak,HeatRateOffPeak)*(1+VLOOKUP($B300,HeatRateDegradation,$C300+1))/1000,0)</f>
        <v>#VALUE!</v>
      </c>
      <c r="CR300" s="1316" t="e">
        <f aca="false">IF(OR(BQ300,BS300),VLOOKUP(A300,GasTable,13)*IF(EW300,HeatRatePeak,HeatRateOffPeak)*(1+VLOOKUP($B300,HeatRateDegradation,$C300+1))/1000,0)</f>
        <v>#VALUE!</v>
      </c>
      <c r="CS300" s="1589" t="e">
        <f aca="false">IF(BQ300,(CO300*AZ300+CP300*BA300+CQ300*BB300+CR300*BC300)/BQ300,0)</f>
        <v>#VALUE!</v>
      </c>
      <c r="CT300" s="1316" t="e">
        <f aca="false">IF(BS300,CO300,0)</f>
        <v>#VALUE!</v>
      </c>
      <c r="CU300" s="1592" t="e">
        <f aca="false">IF(OR(BQ300,BS300),VLOOKUP(A300,GasTable,14),"")</f>
        <v>#VALUE!</v>
      </c>
      <c r="CV300" s="1568" t="e">
        <f aca="false">IF(OR(BQ300,BS300),IF(CorrPowerGasOverFlag,INDEX(CorrPowerGasOver,C300),CorrPowerGas),"")</f>
        <v>#VALUE!</v>
      </c>
      <c r="CW300" s="1316" t="e">
        <f aca="false">IF(OR($BQ300,$BS300),SpreadOptPowerMargin,0)*((1+Assumptions!$C$26)^($B300-YEAR(Assumptions!$C$17)))</f>
        <v>#VALUE!</v>
      </c>
      <c r="CX300" s="1316" t="e">
        <f aca="false">IF(OR($BQ300,$BS300),SpreadOptPowerMargin,0)*((1+Assumptions!$C$26)^($B300-YEAR(Assumptions!$C$17)))</f>
        <v>#VALUE!</v>
      </c>
      <c r="CY300" s="1316" t="e">
        <f aca="false">IF(OR($BQ300,$BS300),SpreadOptPowerMargin,0)*((1+Assumptions!$C$26)^($B300-YEAR(Assumptions!$C$17)))</f>
        <v>#VALUE!</v>
      </c>
      <c r="CZ300" s="1316" t="e">
        <f aca="false">IF(OR($BQ300,$BS300),SpreadOptPowerMargin,0)*((1+Assumptions!$C$26)^($B300-YEAR(Assumptions!$C$17)))</f>
        <v>#VALUE!</v>
      </c>
      <c r="DA300" s="1316" t="e">
        <f aca="false">IF(OR(BQ300,BS300),(CW300*(AZ300+BH300)+CX300*(BA300+BI300)+CY300*(BB300+BJ300)+CZ300*(BC300+BK300))/(BQ300+BS300),0)</f>
        <v>#VALUE!</v>
      </c>
      <c r="DB300" s="1592" t="e">
        <f aca="false">IF(OR(BQ300,BS300),CG300+IF(OVolSmile,VLOOKUP(MAX(-5,CO300+CW300-BU300),IF(OVolSmile=1,VolSmileBook,VolSmileModel),2),0),"")</f>
        <v>#VALUE!</v>
      </c>
      <c r="DC300" s="1592" t="e">
        <f aca="false">IF(OR(BQ300,BS300),CH300+IF(OVolSmile,VLOOKUP(MAX(-5,CP300+CW300-BV300),IF(OVolSmile=1,VolSmileBook,VolSmileModel),2),0),"")</f>
        <v>#VALUE!</v>
      </c>
      <c r="DD300" s="1592" t="e">
        <f aca="false">IF(OR(BQ300,BS300),CI300+IF(OVolSmile,VLOOKUP(MAX(-5,CQ300+CW300-BW300),IF(OVolSmile=1,VolSmileBook,VolSmileModel),2),0),"")</f>
        <v>#VALUE!</v>
      </c>
      <c r="DE300" s="1592" t="e">
        <f aca="false">IF(OR(BQ300,BS300),CL300+IF(OVolSmile,VLOOKUP(MAX(-5,CR300+CZ300-BX300),IF(OVolSmile=1,VolSmileBook,VolSmileModel),2),0),"")</f>
        <v>#VALUE!</v>
      </c>
      <c r="DF300" s="1592" t="e">
        <f aca="false">IF(BQ300,CM300+IF(OVolSmile,VLOOKUP(MAX(-5,CS300+DA300-BZ300),IF(OVolSmile=1,VolSmileBook,VolSmileModel),2),0),"")</f>
        <v>#VALUE!</v>
      </c>
      <c r="DG300" s="1592" t="e">
        <f aca="false">IF(BS300,CN300+IF(OVolSmile,VLOOKUP(MAX(-5,CT300+DA300-CF300),IF(OVolSmile=1,VolSmileBook,VolSmileModel),2),0),"")</f>
        <v>#VALUE!</v>
      </c>
      <c r="DH300" s="1316" t="e">
        <f aca="false">IF(AND(BU300&gt;0,CO300&gt;0,DB300&gt;0,CU300&gt;0),newSPRDOPT(BU300,CO300,CW300,0,DB300,CU300,CV300,BT300*365.25,OCallPut,0),0)</f>
        <v>#VALUE!</v>
      </c>
      <c r="DI300" s="1316" t="e">
        <f aca="false">IF(AND(BV300&gt;0,CP300&gt;0,DC300&gt;0,CU300&gt;0),newSPRDOPT(BV300,CP300,CX300,0,DC300,CU300,CV300,BT300*365.25,OCallPut,0),0)</f>
        <v>#VALUE!</v>
      </c>
      <c r="DJ300" s="1316" t="e">
        <f aca="false">IF(AND(BW300&gt;0,CQ300&gt;0,DD300&gt;0,CU300&gt;0),newSPRDOPT(BW300,CQ300,CY300,0,DD300,CU300,CV300,BT300*365.25,OCallPut,0),0)</f>
        <v>#VALUE!</v>
      </c>
      <c r="DK300" s="1316" t="e">
        <f aca="false">IF(AND(BX300&gt;0,CR300&gt;0,DE300&gt;0,CU300&gt;0),newSPRDOPT(BX300,CR300,CZ300,0,DE300,CU300,CV300,BT300*365.25,OCallPut,0),0)</f>
        <v>#VALUE!</v>
      </c>
      <c r="DL300" s="1316" t="e">
        <f aca="false">IF(OVolType,IF(AND(BZ300&gt;0,CS300&gt;0,DF300&gt;0,CU300&gt;0),newSPRDOPT(BZ300,CS300,DA300,0,DF300,CU300,CV300,BT300*365.25,OCallPut,0),0),IF(BQ300,(DH300*AZ300+DI300*BA300+DJ300*BB300+DK300*BC300)/BQ300,0))</f>
        <v>#VALUE!</v>
      </c>
      <c r="DM300" s="1316"/>
      <c r="DN300" s="1316"/>
      <c r="DO300" s="1316"/>
      <c r="DP300" s="1316"/>
      <c r="DQ300" s="1316"/>
      <c r="DR300" s="1316"/>
      <c r="DS300" s="1316"/>
      <c r="DT300" s="1316"/>
      <c r="DU300" s="1316"/>
      <c r="DV300" s="1316"/>
      <c r="DW300" s="1316" t="e">
        <f aca="false">IF(AND(BW300&gt;0,CT300&gt;0,DD300&gt;0,CU300&gt;0),newSPRDOPT(BW300,CT300,CY300,0,DD300,CU300,CV300,BT300*365.25,OCallPut,0),0)</f>
        <v>#VALUE!</v>
      </c>
      <c r="DX300" s="1316" t="e">
        <f aca="false">IF(AND(BX300&gt;0,CT300&gt;0,DE300&gt;0,CU300&gt;0),newSPRDOPT(BX300,CT300,CZ300,0,DE300,CU300,CV300,BT300*365.25,OCallPut,0),0)</f>
        <v>#VALUE!</v>
      </c>
      <c r="DY300" s="1316" t="e">
        <f aca="false">IF(BS300,(DH300*BH300+DI300*BI300+DW300*BJ300+DX300*BK300)/BS300,0)</f>
        <v>#VALUE!</v>
      </c>
      <c r="DZ300" s="1551" t="e">
        <f aca="false">DH300*AZ300</f>
        <v>#VALUE!</v>
      </c>
      <c r="EA300" s="1551" t="e">
        <f aca="false">DI300*BA300</f>
        <v>#VALUE!</v>
      </c>
      <c r="EB300" s="1551" t="e">
        <f aca="false">DJ300*BB300</f>
        <v>#VALUE!</v>
      </c>
      <c r="EC300" s="1551" t="e">
        <f aca="false">DK300*BC300</f>
        <v>#VALUE!</v>
      </c>
      <c r="ED300" s="1551" t="e">
        <f aca="false">DL300*BQ300</f>
        <v>#VALUE!</v>
      </c>
      <c r="EE300" s="1596" t="e">
        <f aca="false">IF(BQ300,IF(OCallPut,IF(BU300&gt;(CO300+CW300),BU300-(CO300+CW300),0),IF((CO300+CW300)&gt;BU300,(CO300+CW300)-BU300,0))*AZ300,0)</f>
        <v>#VALUE!</v>
      </c>
      <c r="EF300" s="1596" t="e">
        <f aca="false">IF(BQ300,IF(OCallPut,IF(BV300&gt;(CP300+CX300),BV300-(CP300+CX300),0),IF((CP300+CX300)&gt;BV300,(CP300+CX300)-BV300,0))*BA300,0)</f>
        <v>#VALUE!</v>
      </c>
      <c r="EG300" s="1596" t="e">
        <f aca="false">IF(BQ300,IF(OCallPut,IF(BW300&gt;(CQ300+CY300),BW300-(CQ300+CY300),0),IF((CQ300+CY300)&gt;BW300,(CQ300+CY300)-BW300,0))*BB300,0)</f>
        <v>#VALUE!</v>
      </c>
      <c r="EH300" s="1596" t="e">
        <f aca="false">IF(BQ300,IF(OCallPut,IF(BX300&gt;(CR300+CZ300),BX300-(CR300+CZ300),0),IF((CR300+CZ300)&gt;BX300,(CR300+CZ300)-BX300,0))*BC300,0)</f>
        <v>#VALUE!</v>
      </c>
      <c r="EI300" s="1597" t="e">
        <f aca="false">IF(BQ300,IF(OVolType,IF(OCallPut,IF(BZ300&gt;(CS300+DA300),BZ300-(CS300+DA300),0),IF((CS300+DA300)&gt;BZ300,(CS300+DA300)-BZ300,0))*BQ300,SUM(EE300:EH300)),0)</f>
        <v>#VALUE!</v>
      </c>
      <c r="EJ300" s="1596" t="e">
        <f aca="false">DZ300-EE300</f>
        <v>#VALUE!</v>
      </c>
      <c r="EK300" s="1596" t="e">
        <f aca="false">EA300-EF300</f>
        <v>#VALUE!</v>
      </c>
      <c r="EL300" s="1596" t="e">
        <f aca="false">EB300-EG300</f>
        <v>#VALUE!</v>
      </c>
      <c r="EM300" s="1596" t="e">
        <f aca="false">EC300-EH300</f>
        <v>#VALUE!</v>
      </c>
      <c r="EN300" s="1597" t="e">
        <f aca="false">ED300-EI300</f>
        <v>#VALUE!</v>
      </c>
      <c r="EO300" s="1551" t="e">
        <f aca="false">DH300*BH300</f>
        <v>#VALUE!</v>
      </c>
      <c r="EP300" s="1551" t="e">
        <f aca="false">DI300*BI300</f>
        <v>#VALUE!</v>
      </c>
      <c r="EQ300" s="1551" t="e">
        <f aca="false">DW300*BJ300</f>
        <v>#VALUE!</v>
      </c>
      <c r="ER300" s="1551" t="e">
        <f aca="false">DX300*BK300</f>
        <v>#VALUE!</v>
      </c>
      <c r="ES300" s="1551" t="e">
        <f aca="false">DY300*BS300</f>
        <v>#VALUE!</v>
      </c>
      <c r="ET300" s="1566" t="e">
        <f aca="false">IF(EI300,IF(OCallPut,IF(CA300&gt;(CT300+CW300),CA300-(CT300+CW300),0),IF((CT300+CW300)&gt;CA300,(CT300+CW300)-CA300,0))*BH300,0)</f>
        <v>#VALUE!</v>
      </c>
      <c r="EU300" s="1551" t="e">
        <f aca="false">IF(EI300,IF(OCallPut,IF(CB300&gt;(CT300+CX300),CB300-(CT300+CX300),0),IF((CT300+CX300)&gt;CB300,(CT300+CX300)-CB300,0))*BI300,0)</f>
        <v>#VALUE!</v>
      </c>
      <c r="EV300" s="1551" t="e">
        <f aca="false">IF(EI300,IF(OCallPut,IF(CC300&gt;(CT300+CY300),CC300-(CT300+CY300),0),IF((CT300+CY300)&gt;CC300,(CT300+CY300)-CC300,0))*BJ300,0)</f>
        <v>#VALUE!</v>
      </c>
      <c r="EW300" s="1551" t="e">
        <f aca="false">IF(EI300,IF(OCallPut,IF(CD300&gt;(CT300+CZ300),CD300-(CT300+CZ300),0),IF((CT300+CZ300)&gt;CD300,(CT300+CZ300)-CD300,0))*BK300,0)</f>
        <v>#VALUE!</v>
      </c>
      <c r="EX300" s="1558" t="e">
        <f aca="false">IF(EI300,SUM(ET300:EW300),0)</f>
        <v>#VALUE!</v>
      </c>
      <c r="EY300" s="1551" t="e">
        <f aca="false">EO300-ET300</f>
        <v>#VALUE!</v>
      </c>
      <c r="EZ300" s="1551" t="e">
        <f aca="false">EP300-EU300</f>
        <v>#VALUE!</v>
      </c>
      <c r="FA300" s="1551" t="e">
        <f aca="false">EQ300-EV300</f>
        <v>#VALUE!</v>
      </c>
      <c r="FB300" s="1551" t="e">
        <f aca="false">ER300-EW300</f>
        <v>#VALUE!</v>
      </c>
      <c r="FC300" s="1551" t="e">
        <f aca="false">ES300-EX300</f>
        <v>#VALUE!</v>
      </c>
      <c r="FD300" s="1519" t="n">
        <f aca="false">IF(AX300,IF(VLOOKUP(C300,MAIN!$L$17:$M$28,2)="Yes",VLOOKUP(CALC!B300,MAIN!$H$17:$I$20,2),0),0)</f>
        <v>0</v>
      </c>
      <c r="FE300" s="1553" t="n">
        <f aca="false">$FD300*16*AT300*(1-$AY300)</f>
        <v>0</v>
      </c>
      <c r="FF300" s="1553" t="n">
        <f aca="false">$FD300*16*AU300*(1-$AY300)</f>
        <v>0</v>
      </c>
      <c r="FG300" s="1553" t="n">
        <f aca="false">$FD300*16*(AV300+AW300)*(1-$AY300)</f>
        <v>0</v>
      </c>
      <c r="FH300" s="1553" t="n">
        <f aca="false">$FD300*8*AX300*(1-$AY300)</f>
        <v>0</v>
      </c>
      <c r="FI300" s="1555" t="n">
        <f aca="false">IF(AX300,VLOOKUP(CALC!B300,MAIN!$H$17:$K$20,4),0)</f>
        <v>0</v>
      </c>
      <c r="FJ300" s="1553" t="n">
        <f aca="false">SUM(FE300:FH300)</f>
        <v>0</v>
      </c>
      <c r="FK300" s="1553" t="n">
        <f aca="false">FI300*FJ300</f>
        <v>0</v>
      </c>
      <c r="FL300" s="1551" t="e">
        <f aca="false">IF($EI300&gt;0,MIN(FE300,AZ300*(1+VLOOKUP($C300,WeatherCapacityAdjustment,2))),0)</f>
        <v>#VALUE!</v>
      </c>
      <c r="FM300" s="1551" t="e">
        <f aca="false">IF($EI300&gt;0,MIN(FF300,BA300*(1+VLOOKUP($C300,WeatherCapacityAdjustment,2))),0)</f>
        <v>#VALUE!</v>
      </c>
      <c r="FN300" s="1551" t="e">
        <f aca="false">IF($EI300&gt;0,MIN(FG300,BB300*(1+VLOOKUP($C300,WeatherCapacityAdjustment,2))),0)</f>
        <v>#VALUE!</v>
      </c>
      <c r="FO300" s="1564" t="e">
        <f aca="false">IF($EI300&gt;0,MIN(FH300,BC300*(1+VLOOKUP($C300,WeatherCapacityAdjustment,3))),0)</f>
        <v>#VALUE!</v>
      </c>
      <c r="FP300" s="1551" t="e">
        <f aca="false">IF(ET300&gt;0,MIN(FE300-FL300,BH300*(1+VLOOKUP($C300,WeatherCapacityAdjustment,2))),0)</f>
        <v>#VALUE!</v>
      </c>
      <c r="FQ300" s="1551" t="e">
        <f aca="false">IF(EU300&gt;0,MIN(FF300-FM300,BI300*(1+VLOOKUP($C300,WeatherCapacityAdjustment,2))),0)</f>
        <v>#VALUE!</v>
      </c>
      <c r="FR300" s="1551" t="e">
        <f aca="false">IF(EV300&gt;0,MIN(FG300-FN300,BJ300*(1+VLOOKUP($C300,WeatherCapacityAdjustment,2))),0)</f>
        <v>#VALUE!</v>
      </c>
      <c r="FS300" s="1558" t="e">
        <f aca="false">IF(EW300&gt;0,MIN(FH300-FO300,BK300*(1+VLOOKUP($C300,WeatherCapacityAdjustment,3))),0)</f>
        <v>#VALUE!</v>
      </c>
      <c r="FT300" s="1566" t="n">
        <f aca="false">IF(AND(Assumptions!$H$71="Yes",A300&gt;=Assumptions!$H$72,A300&lt;=Assumptions!$H$73),0,IF(AND($A300&gt;=Assumptions!$C$17,$A300&lt;=Assumptions!$C$18),MAX(AZ300*(1+VLOOKUP($C300,WeatherCapacityAdjustment,2))-FL300,0),0))</f>
        <v>0</v>
      </c>
      <c r="FU300" s="1551" t="n">
        <f aca="false">IF(AND(Assumptions!$H$71="Yes",A300&gt;=Assumptions!$H$72,A300&lt;=Assumptions!$H$73),0,IF(AND($A300&gt;=Assumptions!$C$17,$A300&lt;=Assumptions!$C$18),MAX(BA300*(1+VLOOKUP($C300,WeatherCapacityAdjustment,2))-FM300,0),0))</f>
        <v>0</v>
      </c>
      <c r="FV300" s="1551" t="n">
        <f aca="false">IF(AND(Assumptions!$H$71="Yes",A300&gt;=Assumptions!$H$72,A300&lt;=Assumptions!$H$73),0,IF(AND($A300&gt;=Assumptions!$C$17,$A300&lt;=Assumptions!$C$18),MAX(BB300*(1+VLOOKUP($C300,WeatherCapacityAdjustment,2))-FN300,0),0))</f>
        <v>0</v>
      </c>
      <c r="FW300" s="1564" t="n">
        <f aca="false">IF(AND(Assumptions!$H$71="Yes",A300&gt;=Assumptions!$H$72,A300&lt;=Assumptions!$H$73),0,IF(AND($A300&gt;=Assumptions!$C$17,$A300&lt;=Assumptions!$C$18),MAX(BC300*(1+VLOOKUP($C300,WeatherCapacityAdjustment,3))-FO300,0),0))</f>
        <v>0</v>
      </c>
      <c r="FX300" s="1569" t="e">
        <f aca="false">IF(AND(Assumptions!$H$71="Yes",A300&gt;=Assumptions!$H$72,A300&lt;=Assumptions!$H$73),0,IF(ET300&gt;0,MAX(BH300*(1+VLOOKUP($C300,WeatherCapacityAdjustment,2))-FP300,0),0))</f>
        <v>#VALUE!</v>
      </c>
      <c r="FY300" s="1551" t="e">
        <f aca="false">IF(AND(Assumptions!$H$71="Yes",A300&gt;=Assumptions!$H$72,A300&lt;=Assumptions!$H$73),0,IF(EU300&gt;0,MAX(BI300*(1+VLOOKUP($C300,WeatherCapacityAdjustment,3))-FQ300,0),0))</f>
        <v>#VALUE!</v>
      </c>
      <c r="FZ300" s="1551" t="e">
        <f aca="false">IF(AND(Assumptions!$H$71="Yes",A300&gt;=Assumptions!$H$72,A300&lt;=Assumptions!$H$73),0,IF(EV300&gt;0,MAX(BJ300*(1+VLOOKUP($C300,WeatherCapacityAdjustment,2))-FR300,0),0))</f>
        <v>#VALUE!</v>
      </c>
      <c r="GA300" s="1564" t="e">
        <f aca="false">IF(AND(Assumptions!$H$71="Yes",A300&gt;=Assumptions!$H$72,A300&lt;=Assumptions!$H$73),0,IF(EW300&gt;0,MAX(BK300*(1+VLOOKUP($C300,WeatherCapacityAdjustment,2))-FS300,0),0))</f>
        <v>#VALUE!</v>
      </c>
      <c r="GB300" s="1551" t="e">
        <f aca="false">SUM(FT300:GA300)</f>
        <v>#VALUE!</v>
      </c>
      <c r="GC300" s="1563" t="e">
        <f aca="false">+IF(SUM(FT300:GA300)=0,0,(SUMPRODUCT(BU300:BX300,FT300:FW300)+SUMPRODUCT(CA300:CD300,FX300:GA300))/SUM(FT300:GA300))</f>
        <v>#VALUE!</v>
      </c>
      <c r="GD300" s="1551" t="e">
        <f aca="false">(FT300*BU300+FX300*CA300+FU300*BV300+FY300*CB300+FV300*BW300+FZ300*CC300+FW300*BX300+GA300*CD300)</f>
        <v>#VALUE!</v>
      </c>
      <c r="GE300" s="1561" t="e">
        <f aca="false">+IF(BQ300,((FL300+FM300+FT300+FU300)*HeatRatePeak/1000*(1+VLOOKUP($C300,WeatherHeatRateAdjustment,2))+(FN300+FV300)*IF(EV300&gt;0,HeatRatePeak,HeatRateOffPeak)/1000*(1+VLOOKUP($C300,WeatherHeatRateAdjustment,2))+(FO300+FW300)*IF(EW300&gt;0,HeatRatePeak,HeatRateOffPeak)/1000*(1+VLOOKUP($C300,WeatherHeatRateAdjustment,3)))*(1+VLOOKUP($B300,HeatRateDegradation,$C300+1)),0)</f>
        <v>#VALUE!</v>
      </c>
      <c r="GF300" s="1562" t="e">
        <f aca="false">IF(BQ300,((FP300+FQ300+FR300+FX300+FY300+FZ300)*HeatRatePeak/1000*(1+VLOOKUP($C300,WeatherHeatRateAdjustment,2))+(FS300+GA300)*HeatRatePeak/1000*(1+VLOOKUP($C300,WeatherHeatRateAdjustment,3)))*(1+VLOOKUP($B300,HeatRateDegradation,$C300+1)),0)</f>
        <v>#VALUE!</v>
      </c>
      <c r="GG300" s="1563" t="e">
        <f aca="false">IF(BQ300,VLOOKUP(A300,GasTable,13),0)</f>
        <v>#VALUE!</v>
      </c>
      <c r="GH300" s="1564" t="e">
        <f aca="false">(GE300+GF300)*GG300</f>
        <v>#VALUE!</v>
      </c>
      <c r="GI300" s="1569" t="e">
        <f aca="false">GB300</f>
        <v>#VALUE!</v>
      </c>
      <c r="GJ300" s="1598" t="e">
        <f aca="false">+DA300</f>
        <v>#VALUE!</v>
      </c>
      <c r="GK300" s="1558" t="e">
        <f aca="false">+GI300*GJ300</f>
        <v>#VALUE!</v>
      </c>
      <c r="GL300" s="1566" t="e">
        <f aca="false">MAX(FE300-FL300-FP300,0)</f>
        <v>#VALUE!</v>
      </c>
      <c r="GM300" s="1551" t="e">
        <f aca="false">MAX(FF300-FM300-FQ300,0)</f>
        <v>#VALUE!</v>
      </c>
      <c r="GN300" s="1551" t="e">
        <f aca="false">MAX(FG300-FN300-FR300,0)</f>
        <v>#VALUE!</v>
      </c>
      <c r="GO300" s="1564" t="e">
        <f aca="false">MAX(FH300-FO300-FS300,0)</f>
        <v>#VALUE!</v>
      </c>
      <c r="GP300" s="1551" t="e">
        <f aca="false">SUM(GL300:GO300)</f>
        <v>#VALUE!</v>
      </c>
      <c r="GQ300" s="1563" t="e">
        <f aca="false">IF(SUM(GL300:GO300)=0,0,((GL300*BU300+GM300*BV300+GN300*BW300+GO300*BX300)/SUM(GL300:GO300)))</f>
        <v>#VALUE!</v>
      </c>
      <c r="GR300" s="1558" t="e">
        <f aca="false">(GL300*BU300+GM300*BV300+GN300*BW300+GO300*BX300)</f>
        <v>#VALUE!</v>
      </c>
      <c r="GS300" s="1551" t="n">
        <f aca="false">IF($A300&gt;=BegDate,Assumptions!$C$56*24*($A301-$A300)*(1-VLOOKUP($B300,MAIN!$AA$7:$AM$28,$C300+1))*(1-VLOOKUP($B300,MAIN!$AA$33:$AM$54,$C300+1)),0)*80/168</f>
        <v>257742.857142857</v>
      </c>
      <c r="GT300" s="286" t="n">
        <f aca="false">J300</f>
        <v>63.0258251710546</v>
      </c>
      <c r="GU300" s="286" t="n">
        <f aca="false">IF($A300&gt;=BegDate,VLOOKUP($A300,GasTable,13)+Assumptions!$C$58,0)</f>
        <v>4.58711122179671</v>
      </c>
      <c r="GV300" s="286" t="n">
        <f aca="false">GU300*Assumptions!$C$57/1000</f>
        <v>33.2565563580261</v>
      </c>
      <c r="GW300" s="1551" t="n">
        <f aca="false">IF(Assumptions!$C$60="Hourly",MAX(0,GS300*(GT300-GV300)),GS300*(GT300-GV300))</f>
        <v>7672816.39892372</v>
      </c>
      <c r="GX300" s="1551" t="n">
        <f aca="false">IF($A300&gt;=BegDate,Assumptions!$C$56*24*($A301-$A300)*(1-VLOOKUP($B300,MAIN!$AA$7:$AM$28,$C300+1))*(1-VLOOKUP($B300,MAIN!$AA$33:$AM$54,$C300+1)),0)*16/168</f>
        <v>51548.5714285714</v>
      </c>
      <c r="GY300" s="286" t="n">
        <f aca="false">M300</f>
        <v>63.0258251710546</v>
      </c>
      <c r="GZ300" s="286" t="n">
        <f aca="false">IF($A300&gt;=BegDate,VLOOKUP($A300,GasTable,13)+Assumptions!$C$58,0)</f>
        <v>4.58711122179671</v>
      </c>
      <c r="HA300" s="286" t="n">
        <f aca="false">GZ300*Assumptions!$C$57/1000</f>
        <v>33.2565563580261</v>
      </c>
      <c r="HB300" s="1551" t="n">
        <f aca="false">IF(Assumptions!$C$60="Hourly",MAX(0,GX300*(GY300-HA300)),GX300*(GY300-HA300))</f>
        <v>1534563.27978474</v>
      </c>
      <c r="HC300" s="1551" t="n">
        <f aca="false">IF($A300&gt;=BegDate,Assumptions!$C$56*24*($A301-$A300)*(1-VLOOKUP($B300,MAIN!$AA$7:$AM$28,$C300+1))*(1-VLOOKUP($B300,MAIN!$AA$33:$AM$54,$C300+1)),0)*16/168</f>
        <v>51548.5714285714</v>
      </c>
      <c r="HD300" s="286" t="n">
        <f aca="false">P300</f>
        <v>39.4988035291718</v>
      </c>
      <c r="HE300" s="286" t="n">
        <f aca="false">IF($A300&gt;=BegDate,VLOOKUP($A300,GasTable,13)+Assumptions!$C$58,0)</f>
        <v>4.58711122179671</v>
      </c>
      <c r="HF300" s="286" t="n">
        <f aca="false">HE300*Assumptions!$C$57/1000</f>
        <v>33.2565563580261</v>
      </c>
      <c r="HG300" s="1551" t="n">
        <f aca="false">IF(Assumptions!$C$60="Hourly",MAX(0,HC300*(HD300-HF300)),HC300*(HD300-HF300))</f>
        <v>321778.924176602</v>
      </c>
      <c r="HH300" s="1551" t="n">
        <f aca="false">IF($A300&gt;=BegDate,Assumptions!$C$56*24*($A301-$A300)*(1-VLOOKUP($B300,MAIN!$AA$7:$AM$28,$C300+1))*(1-VLOOKUP($B300,MAIN!$AA$33:$AM$54,$C300+1)),0)*56/168</f>
        <v>180420</v>
      </c>
      <c r="HI300" s="286" t="n">
        <f aca="false">S300</f>
        <v>39.4988035291718</v>
      </c>
      <c r="HJ300" s="286" t="n">
        <f aca="false">IF($A300&gt;=BegDate,VLOOKUP($A300,GasTable,13)+Assumptions!$C$58,0)</f>
        <v>4.58711122179671</v>
      </c>
      <c r="HK300" s="286" t="n">
        <f aca="false">HJ300*Assumptions!$C$57/1000</f>
        <v>33.2565563580261</v>
      </c>
      <c r="HL300" s="1551" t="n">
        <f aca="false">IF(Assumptions!$C$60="Hourly",MAX(0,HH300*(HI300-HK300)),HH300*(HI300-HK300))</f>
        <v>1126226.23461811</v>
      </c>
      <c r="HM300" s="1551" t="n">
        <f aca="false">IF(AND(Assumptions!$H$71="Yes",A300&gt;=Assumptions!$H$72,A300&lt;=Assumptions!$H$73),Assumptions!$H$74*Assumptions!$C$9*1000,0)</f>
        <v>0</v>
      </c>
    </row>
    <row r="301" customFormat="false" ht="12.75" hidden="false" customHeight="false" outlineLevel="0" collapsed="false">
      <c r="A301" s="1617" t="n">
        <f aca="false">EOMONTH(A300,0)+1</f>
        <v>45292</v>
      </c>
      <c r="B301" s="238" t="n">
        <f aca="false">+YEAR(A301)</f>
        <v>2024</v>
      </c>
      <c r="C301" s="320" t="n">
        <f aca="false">MONTH(A301)</f>
        <v>1</v>
      </c>
      <c r="D301" s="1600"/>
      <c r="E301" s="1315"/>
      <c r="F301" s="1315"/>
      <c r="I301" s="1315"/>
      <c r="J301" s="1315"/>
      <c r="K301" s="1315"/>
      <c r="L301" s="1315"/>
      <c r="M301" s="1299"/>
      <c r="N301" s="1299"/>
      <c r="O301" s="1299"/>
      <c r="P301" s="1299"/>
      <c r="Q301" s="1315"/>
      <c r="R301" s="1315"/>
      <c r="S301" s="1315"/>
      <c r="T301" s="1315"/>
    </row>
    <row r="302" customFormat="false" ht="12.75" hidden="false" customHeight="false" outlineLevel="0" collapsed="false">
      <c r="A302" s="1318"/>
      <c r="B302" s="1318"/>
      <c r="C302" s="1318"/>
      <c r="D302" s="1315"/>
      <c r="E302" s="1315"/>
      <c r="F302" s="1315"/>
      <c r="I302" s="1315"/>
      <c r="J302" s="1315"/>
      <c r="K302" s="1315"/>
      <c r="L302" s="1315"/>
      <c r="M302" s="1299"/>
      <c r="N302" s="1299"/>
      <c r="O302" s="1299"/>
      <c r="P302" s="1299"/>
      <c r="Q302" s="1315"/>
      <c r="R302" s="1315"/>
      <c r="S302" s="1315"/>
      <c r="T302" s="1315"/>
    </row>
    <row r="303" customFormat="false" ht="12.75" hidden="false" customHeight="false" outlineLevel="0" collapsed="false">
      <c r="A303" s="1318"/>
      <c r="B303" s="1318"/>
      <c r="C303" s="1318"/>
      <c r="D303" s="1315"/>
      <c r="E303" s="1315"/>
      <c r="F303" s="1315"/>
      <c r="I303" s="1315"/>
      <c r="J303" s="1315"/>
      <c r="K303" s="1315"/>
      <c r="L303" s="1315"/>
      <c r="M303" s="1299"/>
      <c r="N303" s="1299"/>
      <c r="O303" s="1299"/>
      <c r="P303" s="1299"/>
      <c r="Q303" s="1315"/>
      <c r="R303" s="1315"/>
      <c r="S303" s="1315"/>
      <c r="T303" s="1315"/>
    </row>
    <row r="304" customFormat="false" ht="12.75" hidden="false" customHeight="false" outlineLevel="0" collapsed="false">
      <c r="A304" s="1318"/>
      <c r="B304" s="1318"/>
      <c r="C304" s="1318"/>
      <c r="D304" s="1315"/>
      <c r="E304" s="1315"/>
      <c r="F304" s="1315"/>
      <c r="I304" s="1315"/>
      <c r="J304" s="1315"/>
      <c r="K304" s="1315"/>
      <c r="L304" s="1315"/>
      <c r="M304" s="1299"/>
      <c r="N304" s="1299"/>
      <c r="O304" s="1299"/>
      <c r="P304" s="1299"/>
      <c r="Q304" s="1315"/>
      <c r="R304" s="1315"/>
      <c r="S304" s="1315"/>
      <c r="T304" s="1315"/>
      <c r="IK304" s="1618"/>
    </row>
    <row r="305" customFormat="false" ht="12.75" hidden="false" customHeight="false" outlineLevel="0" collapsed="false">
      <c r="A305" s="1318"/>
      <c r="B305" s="1318"/>
      <c r="C305" s="1318"/>
      <c r="D305" s="1315"/>
      <c r="E305" s="1315"/>
      <c r="F305" s="1315"/>
      <c r="I305" s="1315"/>
      <c r="J305" s="1315"/>
      <c r="K305" s="1315"/>
      <c r="L305" s="1315"/>
      <c r="M305" s="1299"/>
      <c r="N305" s="1299"/>
      <c r="O305" s="1299"/>
      <c r="P305" s="1299"/>
      <c r="Q305" s="1315"/>
      <c r="R305" s="1315"/>
      <c r="S305" s="1315"/>
      <c r="T305" s="1315"/>
      <c r="IK305" s="1618"/>
    </row>
    <row r="306" customFormat="false" ht="12.75" hidden="false" customHeight="false" outlineLevel="0" collapsed="false">
      <c r="A306" s="1318"/>
      <c r="B306" s="1318"/>
      <c r="C306" s="1318"/>
      <c r="D306" s="1315"/>
      <c r="E306" s="1315"/>
      <c r="F306" s="1315"/>
      <c r="I306" s="1315"/>
      <c r="J306" s="1315"/>
      <c r="K306" s="1315"/>
      <c r="L306" s="1315"/>
      <c r="M306" s="1299"/>
      <c r="N306" s="1299"/>
      <c r="O306" s="1299"/>
      <c r="P306" s="1299"/>
      <c r="Q306" s="1315"/>
      <c r="R306" s="1315"/>
      <c r="S306" s="1315"/>
      <c r="T306" s="1315"/>
      <c r="IK306" s="1618"/>
    </row>
    <row r="307" customFormat="false" ht="12.75" hidden="false" customHeight="false" outlineLevel="0" collapsed="false">
      <c r="A307" s="1318"/>
      <c r="B307" s="1318"/>
      <c r="C307" s="1318"/>
      <c r="D307" s="1315"/>
      <c r="E307" s="1315"/>
      <c r="F307" s="1315"/>
      <c r="I307" s="1315"/>
      <c r="J307" s="1315"/>
      <c r="K307" s="1315"/>
      <c r="L307" s="1315"/>
      <c r="M307" s="1299"/>
      <c r="N307" s="1299"/>
      <c r="O307" s="1299"/>
      <c r="P307" s="1299"/>
      <c r="Q307" s="1315"/>
      <c r="R307" s="1315"/>
      <c r="S307" s="1315"/>
      <c r="T307" s="1315"/>
      <c r="IK307" s="1618"/>
    </row>
    <row r="308" customFormat="false" ht="12.75" hidden="false" customHeight="false" outlineLevel="0" collapsed="false">
      <c r="A308" s="1318"/>
      <c r="B308" s="1318"/>
      <c r="C308" s="1318"/>
      <c r="D308" s="1315"/>
      <c r="E308" s="1315"/>
      <c r="F308" s="1315"/>
      <c r="I308" s="1315"/>
      <c r="J308" s="1315"/>
      <c r="K308" s="1315"/>
      <c r="L308" s="1315"/>
      <c r="M308" s="1299"/>
      <c r="N308" s="1299"/>
      <c r="O308" s="1299"/>
      <c r="P308" s="1299"/>
      <c r="Q308" s="1315"/>
      <c r="R308" s="1315"/>
      <c r="S308" s="1315"/>
      <c r="T308" s="1315"/>
      <c r="IK308" s="1618"/>
    </row>
    <row r="309" customFormat="false" ht="12.75" hidden="false" customHeight="false" outlineLevel="0" collapsed="false">
      <c r="A309" s="1318"/>
      <c r="B309" s="1318"/>
      <c r="C309" s="1318"/>
      <c r="D309" s="1315"/>
      <c r="E309" s="1315"/>
      <c r="F309" s="1315"/>
      <c r="I309" s="1315"/>
      <c r="J309" s="1315"/>
      <c r="K309" s="1315"/>
      <c r="L309" s="1315"/>
      <c r="M309" s="1299"/>
      <c r="N309" s="1299"/>
      <c r="O309" s="1299"/>
      <c r="P309" s="1299"/>
      <c r="Q309" s="1315"/>
      <c r="R309" s="1315"/>
      <c r="S309" s="1315"/>
      <c r="T309" s="1315"/>
      <c r="IK309" s="1618"/>
    </row>
    <row r="310" customFormat="false" ht="12.75" hidden="false" customHeight="false" outlineLevel="0" collapsed="false">
      <c r="A310" s="1318"/>
      <c r="B310" s="1318"/>
      <c r="C310" s="1318"/>
      <c r="D310" s="1315"/>
      <c r="E310" s="1315"/>
      <c r="F310" s="1315"/>
      <c r="I310" s="1315"/>
      <c r="J310" s="1315"/>
      <c r="K310" s="1315"/>
      <c r="L310" s="1315"/>
      <c r="M310" s="1299"/>
      <c r="N310" s="1299"/>
      <c r="O310" s="1299"/>
      <c r="P310" s="1299"/>
      <c r="Q310" s="1315"/>
      <c r="R310" s="1315"/>
      <c r="S310" s="1315"/>
      <c r="T310" s="1315"/>
      <c r="IK310" s="1618"/>
    </row>
    <row r="311" customFormat="false" ht="12.75" hidden="false" customHeight="false" outlineLevel="0" collapsed="false">
      <c r="A311" s="1318"/>
      <c r="B311" s="1318"/>
      <c r="C311" s="1318"/>
      <c r="D311" s="1315"/>
      <c r="E311" s="1315"/>
      <c r="F311" s="1315"/>
      <c r="I311" s="1315"/>
      <c r="J311" s="1315"/>
      <c r="K311" s="1315"/>
      <c r="L311" s="1315"/>
      <c r="M311" s="1299"/>
      <c r="N311" s="1299"/>
      <c r="O311" s="1299"/>
      <c r="P311" s="1299"/>
      <c r="Q311" s="1315"/>
      <c r="R311" s="1315"/>
      <c r="S311" s="1315"/>
      <c r="T311" s="1315"/>
      <c r="IK311" s="1618"/>
    </row>
    <row r="312" customFormat="false" ht="12.75" hidden="false" customHeight="false" outlineLevel="0" collapsed="false">
      <c r="A312" s="1318"/>
      <c r="B312" s="1318"/>
      <c r="C312" s="1318"/>
      <c r="D312" s="1315"/>
      <c r="E312" s="1315"/>
      <c r="F312" s="1315"/>
      <c r="I312" s="1315"/>
      <c r="J312" s="1315"/>
      <c r="K312" s="1315"/>
      <c r="L312" s="1315"/>
      <c r="M312" s="1299"/>
      <c r="N312" s="1299"/>
      <c r="O312" s="1299"/>
      <c r="P312" s="1299"/>
      <c r="Q312" s="1315"/>
      <c r="R312" s="1315"/>
      <c r="S312" s="1315"/>
      <c r="T312" s="1315"/>
      <c r="IK312" s="1618"/>
    </row>
    <row r="313" customFormat="false" ht="12.75" hidden="false" customHeight="false" outlineLevel="0" collapsed="false">
      <c r="A313" s="1318"/>
      <c r="B313" s="1318"/>
      <c r="C313" s="1318"/>
      <c r="D313" s="1315"/>
      <c r="E313" s="1315"/>
      <c r="F313" s="1315"/>
      <c r="I313" s="1315"/>
      <c r="J313" s="1315"/>
      <c r="K313" s="1315"/>
      <c r="L313" s="1315"/>
      <c r="M313" s="1299"/>
      <c r="N313" s="1299"/>
      <c r="O313" s="1299"/>
      <c r="P313" s="1299"/>
      <c r="Q313" s="1315"/>
      <c r="R313" s="1315"/>
      <c r="S313" s="1315"/>
      <c r="T313" s="1315"/>
      <c r="IK313" s="1618"/>
    </row>
    <row r="314" customFormat="false" ht="12.75" hidden="false" customHeight="false" outlineLevel="0" collapsed="false">
      <c r="A314" s="1318"/>
      <c r="B314" s="1318"/>
      <c r="C314" s="1318"/>
      <c r="D314" s="1315"/>
      <c r="E314" s="1315"/>
      <c r="F314" s="1315"/>
      <c r="I314" s="1315"/>
      <c r="J314" s="1315"/>
      <c r="K314" s="1315"/>
      <c r="L314" s="1315"/>
      <c r="M314" s="1299"/>
      <c r="N314" s="1299"/>
      <c r="O314" s="1299"/>
      <c r="P314" s="1299"/>
      <c r="Q314" s="1315"/>
      <c r="R314" s="1315"/>
      <c r="S314" s="1315"/>
      <c r="T314" s="1315"/>
      <c r="IK314" s="1618"/>
    </row>
    <row r="315" customFormat="false" ht="12.75" hidden="false" customHeight="false" outlineLevel="0" collapsed="false">
      <c r="A315" s="1318"/>
      <c r="B315" s="1318"/>
      <c r="C315" s="1318"/>
      <c r="D315" s="1315"/>
      <c r="E315" s="1315"/>
      <c r="F315" s="1315"/>
      <c r="I315" s="1315"/>
      <c r="J315" s="1315"/>
      <c r="K315" s="1315"/>
      <c r="L315" s="1315"/>
      <c r="M315" s="1299"/>
      <c r="N315" s="1299"/>
      <c r="O315" s="1299"/>
      <c r="P315" s="1299"/>
      <c r="Q315" s="1315"/>
      <c r="R315" s="1315"/>
      <c r="S315" s="1315"/>
      <c r="T315" s="1315"/>
      <c r="IK315" s="1618"/>
    </row>
    <row r="316" customFormat="false" ht="12.75" hidden="false" customHeight="false" outlineLevel="0" collapsed="false">
      <c r="A316" s="1318"/>
      <c r="B316" s="1318"/>
      <c r="C316" s="1318"/>
      <c r="D316" s="1315"/>
      <c r="E316" s="1315"/>
      <c r="F316" s="1315"/>
      <c r="I316" s="1315"/>
      <c r="IK316" s="1618"/>
    </row>
    <row r="317" customFormat="false" ht="12.75" hidden="false" customHeight="false" outlineLevel="0" collapsed="false">
      <c r="A317" s="1318"/>
      <c r="B317" s="1318"/>
      <c r="C317" s="1318"/>
      <c r="D317" s="1315"/>
      <c r="E317" s="1315"/>
      <c r="F317" s="1315"/>
      <c r="I317" s="1315"/>
      <c r="IK317" s="1618"/>
    </row>
    <row r="318" customFormat="false" ht="12.75" hidden="false" customHeight="false" outlineLevel="0" collapsed="false">
      <c r="A318" s="1318"/>
      <c r="B318" s="1318"/>
      <c r="C318" s="1318"/>
      <c r="D318" s="1315"/>
      <c r="E318" s="1315"/>
      <c r="F318" s="1315"/>
      <c r="I318" s="1315"/>
      <c r="IK318" s="1618"/>
    </row>
    <row r="319" customFormat="false" ht="12.75" hidden="false" customHeight="false" outlineLevel="0" collapsed="false">
      <c r="A319" s="1318"/>
      <c r="B319" s="1318"/>
      <c r="C319" s="1318"/>
      <c r="D319" s="1315"/>
      <c r="E319" s="1315"/>
      <c r="F319" s="1315"/>
      <c r="I319" s="1315"/>
      <c r="IK319" s="1618"/>
    </row>
    <row r="320" customFormat="false" ht="12.75" hidden="false" customHeight="false" outlineLevel="0" collapsed="false">
      <c r="A320" s="1318"/>
      <c r="B320" s="1318"/>
      <c r="C320" s="1318"/>
      <c r="D320" s="1315"/>
      <c r="E320" s="1315"/>
      <c r="F320" s="1315"/>
      <c r="I320" s="1315"/>
      <c r="IK320" s="1618"/>
    </row>
    <row r="321" customFormat="false" ht="12.75" hidden="false" customHeight="false" outlineLevel="0" collapsed="false">
      <c r="A321" s="1318"/>
      <c r="B321" s="1318"/>
      <c r="C321" s="1318"/>
      <c r="D321" s="1315"/>
      <c r="E321" s="1315"/>
      <c r="F321" s="1315"/>
      <c r="I321" s="1315"/>
      <c r="IK321" s="1618"/>
    </row>
    <row r="322" customFormat="false" ht="12.75" hidden="false" customHeight="false" outlineLevel="0" collapsed="false">
      <c r="A322" s="1318"/>
      <c r="B322" s="1318"/>
      <c r="C322" s="1318"/>
      <c r="D322" s="1315"/>
      <c r="E322" s="1315"/>
      <c r="F322" s="1315"/>
      <c r="I322" s="1315"/>
      <c r="IK322" s="1618"/>
    </row>
    <row r="323" customFormat="false" ht="12.75" hidden="false" customHeight="false" outlineLevel="0" collapsed="false">
      <c r="A323" s="1318"/>
      <c r="B323" s="1318"/>
      <c r="C323" s="1318"/>
      <c r="D323" s="1315"/>
      <c r="E323" s="1315"/>
      <c r="F323" s="1315"/>
      <c r="I323" s="1315"/>
      <c r="IK323" s="1618"/>
    </row>
    <row r="324" customFormat="false" ht="12.75" hidden="false" customHeight="false" outlineLevel="0" collapsed="false">
      <c r="A324" s="1318"/>
      <c r="B324" s="1318"/>
      <c r="C324" s="1318"/>
      <c r="D324" s="1315"/>
      <c r="E324" s="1315"/>
      <c r="F324" s="1315"/>
      <c r="I324" s="1315"/>
      <c r="IK324" s="1618"/>
    </row>
    <row r="325" customFormat="false" ht="12.75" hidden="false" customHeight="false" outlineLevel="0" collapsed="false">
      <c r="A325" s="1318"/>
      <c r="B325" s="1318"/>
      <c r="C325" s="1318"/>
      <c r="D325" s="1315"/>
      <c r="E325" s="1315"/>
      <c r="F325" s="1315"/>
      <c r="I325" s="1315"/>
      <c r="IK325" s="1618"/>
    </row>
    <row r="326" customFormat="false" ht="12.75" hidden="false" customHeight="false" outlineLevel="0" collapsed="false">
      <c r="A326" s="1318"/>
      <c r="B326" s="1318"/>
      <c r="C326" s="1318"/>
      <c r="D326" s="1315"/>
      <c r="E326" s="1315"/>
      <c r="F326" s="1315"/>
      <c r="I326" s="1315"/>
      <c r="IK326" s="1618"/>
    </row>
    <row r="327" customFormat="false" ht="12.75" hidden="false" customHeight="false" outlineLevel="0" collapsed="false">
      <c r="A327" s="1318"/>
      <c r="B327" s="1318"/>
      <c r="C327" s="1318"/>
      <c r="D327" s="1315"/>
      <c r="E327" s="1315"/>
      <c r="F327" s="1315"/>
      <c r="I327" s="1315"/>
      <c r="IK327" s="1618"/>
    </row>
    <row r="328" customFormat="false" ht="12.75" hidden="false" customHeight="false" outlineLevel="0" collapsed="false">
      <c r="A328" s="1318"/>
      <c r="B328" s="1318"/>
      <c r="C328" s="1318"/>
      <c r="D328" s="1315"/>
      <c r="E328" s="1315"/>
      <c r="F328" s="1315"/>
      <c r="I328" s="1315"/>
      <c r="IK328" s="1618"/>
    </row>
    <row r="329" customFormat="false" ht="12.75" hidden="false" customHeight="false" outlineLevel="0" collapsed="false">
      <c r="A329" s="1318"/>
      <c r="B329" s="1318"/>
      <c r="C329" s="1318"/>
      <c r="D329" s="1315"/>
      <c r="E329" s="1315"/>
      <c r="F329" s="1315"/>
      <c r="I329" s="1315"/>
      <c r="IK329" s="1618"/>
    </row>
    <row r="330" customFormat="false" ht="12.75" hidden="false" customHeight="false" outlineLevel="0" collapsed="false">
      <c r="A330" s="1318"/>
      <c r="B330" s="1318"/>
      <c r="C330" s="1318"/>
      <c r="D330" s="1315"/>
      <c r="E330" s="1315"/>
      <c r="F330" s="1315"/>
      <c r="I330" s="1315"/>
      <c r="IK330" s="1618"/>
    </row>
    <row r="331" customFormat="false" ht="12.75" hidden="false" customHeight="false" outlineLevel="0" collapsed="false">
      <c r="A331" s="1318"/>
      <c r="B331" s="1318"/>
      <c r="C331" s="1318"/>
      <c r="D331" s="1315"/>
      <c r="E331" s="1315"/>
      <c r="F331" s="1315"/>
      <c r="I331" s="1315"/>
      <c r="IK331" s="1618"/>
    </row>
    <row r="332" customFormat="false" ht="12.75" hidden="false" customHeight="false" outlineLevel="0" collapsed="false">
      <c r="A332" s="1318"/>
      <c r="B332" s="1318"/>
      <c r="C332" s="1318"/>
      <c r="D332" s="1315"/>
      <c r="E332" s="1315"/>
      <c r="F332" s="1315"/>
      <c r="I332" s="1315"/>
      <c r="IK332" s="1618"/>
    </row>
    <row r="333" customFormat="false" ht="12.75" hidden="false" customHeight="false" outlineLevel="0" collapsed="false">
      <c r="A333" s="1318"/>
      <c r="B333" s="1318"/>
      <c r="C333" s="1318"/>
      <c r="D333" s="1315"/>
      <c r="E333" s="1315"/>
      <c r="F333" s="1315"/>
      <c r="I333" s="1315"/>
      <c r="IK333" s="1618"/>
    </row>
    <row r="334" customFormat="false" ht="12.75" hidden="false" customHeight="false" outlineLevel="0" collapsed="false">
      <c r="A334" s="1318"/>
      <c r="B334" s="1318"/>
      <c r="C334" s="1318"/>
      <c r="D334" s="1315"/>
      <c r="E334" s="1315"/>
      <c r="F334" s="1315"/>
      <c r="I334" s="1315"/>
      <c r="IK334" s="1618"/>
    </row>
    <row r="335" customFormat="false" ht="12.75" hidden="false" customHeight="false" outlineLevel="0" collapsed="false">
      <c r="A335" s="1318"/>
      <c r="B335" s="1318"/>
      <c r="C335" s="1318"/>
      <c r="D335" s="1315"/>
      <c r="E335" s="1315"/>
      <c r="F335" s="1315"/>
      <c r="I335" s="1315"/>
      <c r="IK335" s="1618"/>
    </row>
    <row r="336" customFormat="false" ht="12.75" hidden="false" customHeight="false" outlineLevel="0" collapsed="false">
      <c r="A336" s="1318"/>
      <c r="B336" s="1318"/>
      <c r="C336" s="1318"/>
      <c r="D336" s="1315"/>
      <c r="E336" s="1315"/>
      <c r="F336" s="1315"/>
      <c r="I336" s="1315"/>
      <c r="IK336" s="1618"/>
    </row>
    <row r="337" customFormat="false" ht="12.75" hidden="false" customHeight="false" outlineLevel="0" collapsed="false">
      <c r="A337" s="1318"/>
      <c r="B337" s="1318"/>
      <c r="C337" s="1318"/>
      <c r="D337" s="1315"/>
      <c r="E337" s="1315"/>
      <c r="F337" s="1315"/>
      <c r="I337" s="1315"/>
      <c r="IK337" s="1618"/>
    </row>
    <row r="338" customFormat="false" ht="12.75" hidden="false" customHeight="false" outlineLevel="0" collapsed="false">
      <c r="A338" s="1318"/>
      <c r="B338" s="1318"/>
      <c r="C338" s="1318"/>
      <c r="D338" s="1315"/>
      <c r="E338" s="1315"/>
      <c r="F338" s="1315"/>
      <c r="I338" s="1315"/>
      <c r="IK338" s="1618"/>
    </row>
    <row r="339" customFormat="false" ht="12.75" hidden="false" customHeight="false" outlineLevel="0" collapsed="false">
      <c r="A339" s="1318"/>
      <c r="B339" s="1318"/>
      <c r="C339" s="1318"/>
      <c r="D339" s="1315"/>
      <c r="E339" s="1315"/>
      <c r="F339" s="1315"/>
      <c r="I339" s="1315"/>
      <c r="IK339" s="1618"/>
    </row>
    <row r="340" customFormat="false" ht="12.75" hidden="false" customHeight="false" outlineLevel="0" collapsed="false">
      <c r="A340" s="1318"/>
      <c r="B340" s="1318"/>
      <c r="C340" s="1318"/>
      <c r="D340" s="1315"/>
      <c r="E340" s="1315"/>
      <c r="F340" s="1315"/>
      <c r="I340" s="1315"/>
      <c r="IK340" s="1618"/>
    </row>
    <row r="341" customFormat="false" ht="12.75" hidden="false" customHeight="false" outlineLevel="0" collapsed="false">
      <c r="A341" s="1318"/>
      <c r="B341" s="1318"/>
      <c r="C341" s="1318"/>
      <c r="D341" s="1315"/>
      <c r="E341" s="1315"/>
      <c r="F341" s="1315"/>
      <c r="I341" s="1315"/>
      <c r="IK341" s="1618"/>
    </row>
    <row r="342" customFormat="false" ht="12.75" hidden="false" customHeight="false" outlineLevel="0" collapsed="false">
      <c r="A342" s="1318"/>
      <c r="B342" s="1318"/>
      <c r="C342" s="1318"/>
      <c r="D342" s="1315"/>
      <c r="E342" s="1315"/>
      <c r="F342" s="1315"/>
      <c r="I342" s="1315"/>
    </row>
    <row r="343" customFormat="false" ht="12.75" hidden="false" customHeight="false" outlineLevel="0" collapsed="false">
      <c r="A343" s="1318"/>
      <c r="B343" s="1318"/>
      <c r="C343" s="1318"/>
      <c r="D343" s="1315"/>
      <c r="E343" s="1315"/>
      <c r="F343" s="1315"/>
      <c r="I343" s="1315"/>
    </row>
    <row r="344" customFormat="false" ht="12.75" hidden="false" customHeight="false" outlineLevel="0" collapsed="false">
      <c r="A344" s="1318"/>
      <c r="B344" s="1318"/>
      <c r="C344" s="1318"/>
      <c r="D344" s="1315"/>
      <c r="E344" s="1315"/>
      <c r="F344" s="1315"/>
      <c r="I344" s="1315"/>
    </row>
    <row r="345" customFormat="false" ht="12.75" hidden="false" customHeight="false" outlineLevel="0" collapsed="false">
      <c r="A345" s="1318"/>
      <c r="B345" s="1318"/>
      <c r="C345" s="1318"/>
      <c r="D345" s="1315"/>
      <c r="E345" s="1315"/>
      <c r="F345" s="1315"/>
      <c r="I345" s="1315"/>
    </row>
    <row r="346" customFormat="false" ht="12.75" hidden="false" customHeight="false" outlineLevel="0" collapsed="false">
      <c r="A346" s="1318"/>
      <c r="B346" s="1318"/>
      <c r="C346" s="1318"/>
      <c r="D346" s="1315"/>
      <c r="E346" s="1315"/>
      <c r="F346" s="1315"/>
      <c r="I346" s="1315"/>
    </row>
    <row r="347" customFormat="false" ht="12.75" hidden="false" customHeight="false" outlineLevel="0" collapsed="false">
      <c r="A347" s="1318"/>
      <c r="B347" s="1318"/>
      <c r="C347" s="1318"/>
      <c r="D347" s="1315"/>
      <c r="E347" s="1315"/>
      <c r="F347" s="1315"/>
      <c r="I347" s="1315"/>
    </row>
    <row r="348" customFormat="false" ht="12.75" hidden="false" customHeight="false" outlineLevel="0" collapsed="false">
      <c r="A348" s="1318"/>
      <c r="B348" s="1318"/>
      <c r="C348" s="1318"/>
      <c r="D348" s="1315"/>
      <c r="E348" s="1315"/>
      <c r="F348" s="1315"/>
      <c r="I348" s="1315"/>
    </row>
    <row r="349" customFormat="false" ht="12.75" hidden="false" customHeight="false" outlineLevel="0" collapsed="false">
      <c r="A349" s="1318"/>
      <c r="B349" s="1318"/>
      <c r="C349" s="1318"/>
      <c r="D349" s="1315"/>
      <c r="E349" s="1315"/>
      <c r="F349" s="1315"/>
      <c r="I349" s="1315"/>
    </row>
    <row r="350" customFormat="false" ht="12.75" hidden="false" customHeight="false" outlineLevel="0" collapsed="false">
      <c r="A350" s="1318"/>
      <c r="B350" s="1318"/>
      <c r="C350" s="1318"/>
      <c r="D350" s="1315"/>
      <c r="E350" s="1315"/>
      <c r="F350" s="1315"/>
      <c r="I350" s="1315"/>
    </row>
    <row r="351" customFormat="false" ht="12.75" hidden="false" customHeight="false" outlineLevel="0" collapsed="false">
      <c r="A351" s="1318"/>
      <c r="B351" s="1318"/>
      <c r="C351" s="1318"/>
      <c r="D351" s="1315"/>
      <c r="E351" s="1315"/>
      <c r="F351" s="1315"/>
      <c r="I351" s="1315"/>
    </row>
    <row r="352" customFormat="false" ht="12.75" hidden="false" customHeight="false" outlineLevel="0" collapsed="false">
      <c r="A352" s="1318"/>
      <c r="B352" s="1318"/>
      <c r="C352" s="1318"/>
      <c r="D352" s="1315"/>
      <c r="E352" s="1315"/>
      <c r="F352" s="1315"/>
      <c r="I352" s="1315"/>
    </row>
    <row r="353" customFormat="false" ht="12.75" hidden="false" customHeight="false" outlineLevel="0" collapsed="false">
      <c r="A353" s="1318"/>
      <c r="B353" s="1318"/>
      <c r="C353" s="1318"/>
      <c r="D353" s="1315"/>
      <c r="E353" s="1315"/>
      <c r="F353" s="1315"/>
      <c r="I353" s="1315"/>
    </row>
    <row r="354" customFormat="false" ht="12.75" hidden="false" customHeight="false" outlineLevel="0" collapsed="false">
      <c r="A354" s="1318"/>
      <c r="B354" s="1318"/>
      <c r="C354" s="1318"/>
      <c r="D354" s="1315"/>
      <c r="E354" s="1315"/>
      <c r="F354" s="1315"/>
      <c r="I354" s="1315"/>
    </row>
    <row r="355" customFormat="false" ht="12.75" hidden="false" customHeight="false" outlineLevel="0" collapsed="false">
      <c r="A355" s="1318"/>
      <c r="B355" s="1318"/>
      <c r="C355" s="1318"/>
      <c r="D355" s="1315"/>
      <c r="E355" s="1315"/>
      <c r="F355" s="1315"/>
      <c r="I355" s="1315"/>
    </row>
    <row r="356" customFormat="false" ht="12.75" hidden="false" customHeight="false" outlineLevel="0" collapsed="false">
      <c r="A356" s="1318"/>
      <c r="B356" s="1318"/>
      <c r="C356" s="1318"/>
      <c r="D356" s="1315"/>
      <c r="E356" s="1315"/>
      <c r="F356" s="1315"/>
      <c r="I356" s="1315"/>
    </row>
    <row r="357" customFormat="false" ht="12.75" hidden="false" customHeight="false" outlineLevel="0" collapsed="false">
      <c r="A357" s="1318"/>
      <c r="B357" s="1318"/>
      <c r="C357" s="1318"/>
      <c r="D357" s="1315"/>
      <c r="E357" s="1315"/>
      <c r="F357" s="1315"/>
      <c r="I357" s="1315"/>
    </row>
    <row r="358" customFormat="false" ht="12.75" hidden="false" customHeight="false" outlineLevel="0" collapsed="false">
      <c r="A358" s="1318"/>
      <c r="B358" s="1318"/>
      <c r="C358" s="1318"/>
      <c r="D358" s="1315"/>
      <c r="E358" s="1315"/>
      <c r="F358" s="1315"/>
      <c r="I358" s="1315"/>
    </row>
    <row r="359" customFormat="false" ht="12.75" hidden="false" customHeight="false" outlineLevel="0" collapsed="false">
      <c r="A359" s="1318"/>
      <c r="B359" s="1318"/>
      <c r="C359" s="1318"/>
      <c r="D359" s="1315"/>
      <c r="E359" s="1315"/>
      <c r="F359" s="1315"/>
      <c r="I359" s="1315"/>
    </row>
    <row r="360" customFormat="false" ht="12.75" hidden="false" customHeight="false" outlineLevel="0" collapsed="false">
      <c r="A360" s="1318"/>
      <c r="B360" s="1318"/>
      <c r="C360" s="1318"/>
      <c r="D360" s="1315"/>
      <c r="E360" s="1315"/>
      <c r="F360" s="1315"/>
      <c r="I360" s="1315"/>
    </row>
    <row r="361" customFormat="false" ht="12.75" hidden="false" customHeight="false" outlineLevel="0" collapsed="false">
      <c r="A361" s="1318"/>
      <c r="B361" s="1318"/>
      <c r="C361" s="1318"/>
      <c r="D361" s="1315"/>
      <c r="E361" s="1315"/>
      <c r="F361" s="1315"/>
      <c r="I361" s="1315"/>
    </row>
    <row r="362" customFormat="false" ht="12.75" hidden="false" customHeight="false" outlineLevel="0" collapsed="false">
      <c r="A362" s="1318"/>
      <c r="B362" s="1318"/>
      <c r="C362" s="1318"/>
      <c r="D362" s="1315"/>
      <c r="E362" s="1315"/>
      <c r="F362" s="1315"/>
      <c r="I362" s="1315"/>
    </row>
    <row r="363" customFormat="false" ht="12.75" hidden="false" customHeight="false" outlineLevel="0" collapsed="false">
      <c r="A363" s="1318"/>
      <c r="B363" s="1318"/>
      <c r="C363" s="1318"/>
      <c r="D363" s="1315"/>
      <c r="E363" s="1315"/>
      <c r="F363" s="1315"/>
      <c r="I363" s="1315"/>
    </row>
    <row r="364" customFormat="false" ht="12.75" hidden="false" customHeight="false" outlineLevel="0" collapsed="false">
      <c r="A364" s="1318"/>
      <c r="B364" s="1318"/>
      <c r="C364" s="1318"/>
      <c r="D364" s="1315"/>
      <c r="E364" s="1315"/>
      <c r="F364" s="1315"/>
      <c r="I364" s="1315"/>
    </row>
    <row r="365" customFormat="false" ht="12.75" hidden="false" customHeight="false" outlineLevel="0" collapsed="false">
      <c r="A365" s="1318"/>
      <c r="B365" s="1318"/>
      <c r="C365" s="1318"/>
      <c r="D365" s="1315"/>
      <c r="E365" s="1315"/>
      <c r="F365" s="1315"/>
      <c r="I365" s="1315"/>
    </row>
    <row r="366" customFormat="false" ht="12.75" hidden="false" customHeight="false" outlineLevel="0" collapsed="false">
      <c r="A366" s="1318"/>
      <c r="B366" s="1318"/>
      <c r="C366" s="1318"/>
      <c r="D366" s="1315"/>
      <c r="E366" s="1315"/>
      <c r="F366" s="1315"/>
      <c r="I366" s="1315"/>
    </row>
    <row r="367" customFormat="false" ht="12.75" hidden="false" customHeight="false" outlineLevel="0" collapsed="false">
      <c r="A367" s="1318"/>
      <c r="B367" s="1318"/>
      <c r="C367" s="1318"/>
      <c r="D367" s="1315"/>
      <c r="E367" s="1315"/>
      <c r="F367" s="1315"/>
      <c r="I367" s="1315"/>
    </row>
    <row r="368" customFormat="false" ht="12.75" hidden="false" customHeight="false" outlineLevel="0" collapsed="false">
      <c r="A368" s="1318"/>
      <c r="B368" s="1318"/>
      <c r="C368" s="1318"/>
      <c r="D368" s="1315"/>
      <c r="E368" s="1315"/>
      <c r="F368" s="1315"/>
      <c r="I368" s="1315"/>
    </row>
    <row r="369" customFormat="false" ht="12.75" hidden="false" customHeight="false" outlineLevel="0" collapsed="false">
      <c r="A369" s="1318"/>
      <c r="B369" s="1318"/>
      <c r="C369" s="1318"/>
      <c r="D369" s="1315"/>
      <c r="E369" s="1315"/>
      <c r="F369" s="1315"/>
      <c r="I369" s="1315"/>
    </row>
    <row r="370" customFormat="false" ht="12.75" hidden="false" customHeight="false" outlineLevel="0" collapsed="false">
      <c r="A370" s="1318"/>
      <c r="B370" s="1318"/>
      <c r="C370" s="1318"/>
      <c r="D370" s="1315"/>
      <c r="E370" s="1315"/>
      <c r="F370" s="1315"/>
      <c r="I370" s="1315"/>
    </row>
    <row r="371" customFormat="false" ht="12.75" hidden="false" customHeight="false" outlineLevel="0" collapsed="false">
      <c r="A371" s="1318"/>
      <c r="B371" s="1318"/>
      <c r="C371" s="1318"/>
      <c r="D371" s="1315"/>
      <c r="E371" s="1315"/>
      <c r="F371" s="1315"/>
      <c r="I371" s="1315"/>
    </row>
    <row r="372" customFormat="false" ht="12.75" hidden="false" customHeight="false" outlineLevel="0" collapsed="false">
      <c r="A372" s="1318"/>
      <c r="B372" s="1318"/>
      <c r="C372" s="1318"/>
      <c r="D372" s="1315"/>
      <c r="E372" s="1315"/>
      <c r="F372" s="1315"/>
      <c r="I372" s="1315"/>
    </row>
    <row r="373" customFormat="false" ht="12.75" hidden="false" customHeight="false" outlineLevel="0" collapsed="false">
      <c r="A373" s="1318"/>
      <c r="B373" s="1318"/>
      <c r="C373" s="1318"/>
      <c r="D373" s="1315"/>
      <c r="E373" s="1315"/>
      <c r="F373" s="1315"/>
      <c r="I373" s="1315"/>
    </row>
    <row r="374" customFormat="false" ht="12.75" hidden="false" customHeight="false" outlineLevel="0" collapsed="false">
      <c r="A374" s="1318"/>
      <c r="B374" s="1318"/>
      <c r="C374" s="1318"/>
      <c r="D374" s="1315"/>
      <c r="E374" s="1315"/>
      <c r="F374" s="1315"/>
      <c r="I374" s="1315"/>
    </row>
    <row r="375" customFormat="false" ht="12.75" hidden="false" customHeight="false" outlineLevel="0" collapsed="false">
      <c r="A375" s="1318"/>
      <c r="B375" s="1318"/>
      <c r="C375" s="1318"/>
      <c r="D375" s="1315"/>
      <c r="E375" s="1315"/>
      <c r="F375" s="1315"/>
      <c r="I375" s="1315"/>
    </row>
    <row r="376" customFormat="false" ht="12.75" hidden="false" customHeight="false" outlineLevel="0" collapsed="false">
      <c r="A376" s="1318"/>
      <c r="B376" s="1318"/>
      <c r="C376" s="1318"/>
      <c r="D376" s="1315"/>
      <c r="E376" s="1315"/>
      <c r="F376" s="1315"/>
      <c r="I376" s="1315"/>
    </row>
    <row r="377" customFormat="false" ht="12.75" hidden="false" customHeight="false" outlineLevel="0" collapsed="false">
      <c r="A377" s="1318"/>
      <c r="B377" s="1318"/>
      <c r="C377" s="1318"/>
      <c r="D377" s="1315"/>
      <c r="E377" s="1315"/>
      <c r="F377" s="1315"/>
      <c r="I377" s="1315"/>
    </row>
    <row r="378" customFormat="false" ht="12.75" hidden="false" customHeight="false" outlineLevel="0" collapsed="false">
      <c r="A378" s="1318"/>
      <c r="B378" s="1318"/>
      <c r="C378" s="1318"/>
      <c r="D378" s="1315"/>
      <c r="E378" s="1315"/>
      <c r="F378" s="1315"/>
      <c r="I378" s="1315"/>
    </row>
    <row r="379" customFormat="false" ht="12.75" hidden="false" customHeight="false" outlineLevel="0" collapsed="false">
      <c r="A379" s="1318"/>
      <c r="B379" s="1318"/>
      <c r="C379" s="1318"/>
      <c r="D379" s="1315"/>
      <c r="E379" s="1315"/>
      <c r="F379" s="1315"/>
      <c r="I379" s="1315"/>
    </row>
    <row r="380" customFormat="false" ht="12.75" hidden="false" customHeight="false" outlineLevel="0" collapsed="false">
      <c r="A380" s="1318"/>
      <c r="B380" s="1318"/>
      <c r="C380" s="1318"/>
      <c r="D380" s="1315"/>
      <c r="E380" s="1315"/>
      <c r="F380" s="1315"/>
      <c r="I380" s="1315"/>
    </row>
    <row r="381" customFormat="false" ht="12.75" hidden="false" customHeight="false" outlineLevel="0" collapsed="false">
      <c r="A381" s="1318"/>
      <c r="B381" s="1318"/>
      <c r="C381" s="1318"/>
      <c r="D381" s="1315"/>
      <c r="E381" s="1315"/>
      <c r="F381" s="1315"/>
      <c r="I381" s="1315"/>
    </row>
    <row r="382" customFormat="false" ht="12.75" hidden="false" customHeight="false" outlineLevel="0" collapsed="false">
      <c r="A382" s="1318"/>
      <c r="B382" s="1318"/>
      <c r="C382" s="1318"/>
      <c r="D382" s="1315"/>
      <c r="E382" s="1315"/>
      <c r="F382" s="1315"/>
      <c r="I382" s="1315"/>
    </row>
    <row r="383" customFormat="false" ht="12.75" hidden="false" customHeight="false" outlineLevel="0" collapsed="false">
      <c r="A383" s="1318"/>
      <c r="B383" s="1318"/>
      <c r="C383" s="1318"/>
      <c r="D383" s="1315"/>
      <c r="E383" s="1315"/>
      <c r="F383" s="1315"/>
      <c r="I383" s="1315"/>
    </row>
    <row r="384" customFormat="false" ht="12.75" hidden="false" customHeight="false" outlineLevel="0" collapsed="false">
      <c r="A384" s="1318"/>
      <c r="B384" s="1318"/>
      <c r="C384" s="1318"/>
      <c r="D384" s="1315"/>
      <c r="E384" s="1315"/>
      <c r="F384" s="1315"/>
      <c r="I384" s="1315"/>
    </row>
    <row r="385" customFormat="false" ht="12.75" hidden="false" customHeight="false" outlineLevel="0" collapsed="false">
      <c r="A385" s="1318"/>
      <c r="B385" s="1318"/>
      <c r="C385" s="1318"/>
      <c r="D385" s="1315"/>
      <c r="E385" s="1315"/>
      <c r="F385" s="1315"/>
      <c r="I385" s="1315"/>
    </row>
    <row r="386" customFormat="false" ht="12.75" hidden="false" customHeight="false" outlineLevel="0" collapsed="false">
      <c r="A386" s="1318"/>
      <c r="B386" s="1318"/>
      <c r="C386" s="1318"/>
      <c r="D386" s="1315"/>
      <c r="E386" s="1315"/>
      <c r="F386" s="1315"/>
      <c r="I386" s="1315"/>
    </row>
    <row r="387" customFormat="false" ht="12.75" hidden="false" customHeight="false" outlineLevel="0" collapsed="false">
      <c r="A387" s="1318"/>
      <c r="B387" s="1318"/>
      <c r="C387" s="1318"/>
      <c r="D387" s="1315"/>
      <c r="E387" s="1315"/>
      <c r="F387" s="1315"/>
      <c r="I387" s="1315"/>
    </row>
    <row r="388" customFormat="false" ht="12.75" hidden="false" customHeight="false" outlineLevel="0" collapsed="false">
      <c r="A388" s="1318"/>
      <c r="B388" s="1318"/>
      <c r="C388" s="1318"/>
      <c r="D388" s="1315"/>
      <c r="E388" s="1315"/>
      <c r="F388" s="1315"/>
      <c r="I388" s="1315"/>
    </row>
    <row r="389" customFormat="false" ht="12.75" hidden="false" customHeight="false" outlineLevel="0" collapsed="false">
      <c r="A389" s="1318"/>
      <c r="B389" s="1318"/>
      <c r="C389" s="1318"/>
      <c r="D389" s="1315"/>
      <c r="E389" s="1315"/>
      <c r="F389" s="1315"/>
      <c r="I389" s="1315"/>
    </row>
    <row r="390" customFormat="false" ht="12.75" hidden="false" customHeight="false" outlineLevel="0" collapsed="false">
      <c r="A390" s="1318"/>
      <c r="B390" s="1318"/>
      <c r="C390" s="1318"/>
      <c r="D390" s="1315"/>
      <c r="E390" s="1315"/>
      <c r="F390" s="1315"/>
      <c r="I390" s="1315"/>
    </row>
    <row r="391" customFormat="false" ht="12.75" hidden="false" customHeight="false" outlineLevel="0" collapsed="false">
      <c r="A391" s="1318"/>
      <c r="B391" s="1318"/>
      <c r="C391" s="1318"/>
      <c r="D391" s="1315"/>
      <c r="E391" s="1315"/>
      <c r="F391" s="1315"/>
      <c r="I391" s="1315"/>
    </row>
    <row r="392" customFormat="false" ht="12.75" hidden="false" customHeight="false" outlineLevel="0" collapsed="false">
      <c r="A392" s="1318"/>
      <c r="B392" s="1318"/>
      <c r="C392" s="1318"/>
      <c r="D392" s="1315"/>
      <c r="E392" s="1315"/>
      <c r="F392" s="1315"/>
      <c r="I392" s="1315"/>
    </row>
    <row r="393" customFormat="false" ht="12.75" hidden="false" customHeight="false" outlineLevel="0" collapsed="false">
      <c r="A393" s="1318"/>
      <c r="B393" s="1318"/>
      <c r="C393" s="1318"/>
      <c r="D393" s="1315"/>
      <c r="E393" s="1315"/>
      <c r="F393" s="1315"/>
      <c r="I393" s="1315"/>
    </row>
    <row r="394" customFormat="false" ht="12.75" hidden="false" customHeight="false" outlineLevel="0" collapsed="false">
      <c r="A394" s="1318"/>
      <c r="B394" s="1318"/>
      <c r="C394" s="1318"/>
      <c r="D394" s="1315"/>
      <c r="E394" s="1315"/>
      <c r="F394" s="1315"/>
      <c r="I394" s="1315"/>
    </row>
    <row r="395" customFormat="false" ht="12.75" hidden="false" customHeight="false" outlineLevel="0" collapsed="false">
      <c r="A395" s="1318"/>
      <c r="B395" s="1318"/>
      <c r="C395" s="1318"/>
      <c r="D395" s="1315"/>
      <c r="E395" s="1315"/>
      <c r="F395" s="1315"/>
      <c r="I395" s="1315"/>
    </row>
    <row r="396" customFormat="false" ht="12.75" hidden="false" customHeight="false" outlineLevel="0" collapsed="false">
      <c r="A396" s="1318"/>
      <c r="B396" s="1318"/>
      <c r="C396" s="1318"/>
      <c r="D396" s="1315"/>
      <c r="E396" s="1315"/>
      <c r="F396" s="1315"/>
      <c r="I396" s="1315"/>
    </row>
    <row r="397" customFormat="false" ht="12.75" hidden="false" customHeight="false" outlineLevel="0" collapsed="false">
      <c r="A397" s="1318"/>
      <c r="B397" s="1318"/>
      <c r="C397" s="1318"/>
      <c r="D397" s="1315"/>
      <c r="E397" s="1315"/>
      <c r="F397" s="1315"/>
      <c r="I397" s="1315"/>
    </row>
    <row r="398" customFormat="false" ht="12.75" hidden="false" customHeight="false" outlineLevel="0" collapsed="false">
      <c r="A398" s="1318"/>
      <c r="B398" s="1318"/>
      <c r="C398" s="1318"/>
      <c r="D398" s="1315"/>
      <c r="E398" s="1315"/>
      <c r="F398" s="1315"/>
      <c r="I398" s="1315"/>
    </row>
    <row r="399" customFormat="false" ht="12.75" hidden="false" customHeight="false" outlineLevel="0" collapsed="false">
      <c r="A399" s="1318"/>
      <c r="B399" s="1318"/>
      <c r="C399" s="1318"/>
      <c r="D399" s="1315"/>
      <c r="E399" s="1315"/>
      <c r="F399" s="1315"/>
      <c r="I399" s="1315"/>
    </row>
    <row r="400" customFormat="false" ht="12.75" hidden="false" customHeight="false" outlineLevel="0" collapsed="false">
      <c r="A400" s="1318"/>
      <c r="B400" s="1318"/>
      <c r="C400" s="1318"/>
      <c r="D400" s="1315"/>
      <c r="E400" s="1315"/>
      <c r="F400" s="1315"/>
      <c r="I400" s="1315"/>
    </row>
    <row r="401" customFormat="false" ht="12.75" hidden="false" customHeight="false" outlineLevel="0" collapsed="false">
      <c r="A401" s="1318"/>
      <c r="B401" s="1318"/>
      <c r="C401" s="1318"/>
      <c r="D401" s="1315"/>
      <c r="E401" s="1315"/>
      <c r="F401" s="1315"/>
      <c r="I401" s="1315"/>
    </row>
    <row r="402" customFormat="false" ht="12.75" hidden="false" customHeight="false" outlineLevel="0" collapsed="false">
      <c r="A402" s="1318"/>
      <c r="B402" s="1318"/>
      <c r="C402" s="1318"/>
      <c r="D402" s="1315"/>
      <c r="E402" s="1315"/>
      <c r="F402" s="1315"/>
      <c r="I402" s="1315"/>
    </row>
    <row r="403" customFormat="false" ht="12.75" hidden="false" customHeight="false" outlineLevel="0" collapsed="false">
      <c r="A403" s="1318"/>
      <c r="B403" s="1318"/>
      <c r="C403" s="1318"/>
      <c r="D403" s="1315"/>
      <c r="E403" s="1315"/>
      <c r="F403" s="1315"/>
      <c r="I403" s="1315"/>
    </row>
    <row r="404" customFormat="false" ht="12.75" hidden="false" customHeight="false" outlineLevel="0" collapsed="false">
      <c r="A404" s="1318"/>
      <c r="B404" s="1318"/>
      <c r="C404" s="1318"/>
      <c r="D404" s="1315"/>
      <c r="E404" s="1315"/>
      <c r="F404" s="1315"/>
      <c r="I404" s="1315"/>
    </row>
    <row r="405" customFormat="false" ht="12.75" hidden="false" customHeight="false" outlineLevel="0" collapsed="false">
      <c r="A405" s="1318"/>
      <c r="B405" s="1318"/>
      <c r="C405" s="1318"/>
      <c r="D405" s="1315"/>
      <c r="E405" s="1315"/>
      <c r="F405" s="1315"/>
      <c r="I405" s="1315"/>
    </row>
    <row r="406" customFormat="false" ht="12.75" hidden="false" customHeight="false" outlineLevel="0" collapsed="false">
      <c r="A406" s="1318"/>
      <c r="B406" s="1318"/>
      <c r="C406" s="1318"/>
      <c r="D406" s="1315"/>
      <c r="E406" s="1315"/>
      <c r="F406" s="1315"/>
      <c r="I406" s="1315"/>
    </row>
    <row r="407" customFormat="false" ht="12.75" hidden="false" customHeight="false" outlineLevel="0" collapsed="false">
      <c r="A407" s="1318"/>
      <c r="B407" s="1318"/>
      <c r="C407" s="1318"/>
      <c r="D407" s="1315"/>
      <c r="E407" s="1315"/>
      <c r="F407" s="1315"/>
      <c r="I407" s="1315"/>
    </row>
    <row r="408" customFormat="false" ht="12.75" hidden="false" customHeight="false" outlineLevel="0" collapsed="false">
      <c r="A408" s="1318"/>
      <c r="B408" s="1318"/>
      <c r="C408" s="1318"/>
      <c r="D408" s="1315"/>
      <c r="E408" s="1315"/>
      <c r="F408" s="1315"/>
      <c r="I408" s="1315"/>
    </row>
    <row r="409" customFormat="false" ht="12.75" hidden="false" customHeight="false" outlineLevel="0" collapsed="false">
      <c r="A409" s="1318"/>
      <c r="B409" s="1318"/>
      <c r="C409" s="1318"/>
      <c r="D409" s="1315"/>
      <c r="E409" s="1315"/>
      <c r="F409" s="1315"/>
      <c r="I409" s="1315"/>
    </row>
    <row r="410" customFormat="false" ht="12.75" hidden="false" customHeight="false" outlineLevel="0" collapsed="false">
      <c r="A410" s="1318"/>
      <c r="B410" s="1318"/>
      <c r="C410" s="1318"/>
      <c r="D410" s="1315"/>
      <c r="E410" s="1315"/>
      <c r="F410" s="1315"/>
      <c r="I410" s="1315"/>
    </row>
    <row r="411" customFormat="false" ht="12.75" hidden="false" customHeight="false" outlineLevel="0" collapsed="false">
      <c r="A411" s="1318"/>
      <c r="B411" s="1318"/>
      <c r="C411" s="1318"/>
      <c r="D411" s="1315"/>
      <c r="E411" s="1315"/>
      <c r="F411" s="1315"/>
      <c r="I411" s="1315"/>
    </row>
    <row r="412" customFormat="false" ht="12.75" hidden="false" customHeight="false" outlineLevel="0" collapsed="false">
      <c r="A412" s="1318"/>
      <c r="B412" s="1318"/>
      <c r="C412" s="1318"/>
      <c r="D412" s="1315"/>
      <c r="E412" s="1315"/>
      <c r="F412" s="1315"/>
      <c r="I412" s="1315"/>
    </row>
    <row r="413" customFormat="false" ht="12.75" hidden="false" customHeight="false" outlineLevel="0" collapsed="false">
      <c r="A413" s="1318"/>
      <c r="B413" s="1318"/>
      <c r="C413" s="1318"/>
      <c r="D413" s="1315"/>
      <c r="E413" s="1315"/>
      <c r="F413" s="1315"/>
      <c r="I413" s="1315"/>
    </row>
    <row r="414" customFormat="false" ht="12.75" hidden="false" customHeight="false" outlineLevel="0" collapsed="false">
      <c r="A414" s="1318"/>
      <c r="B414" s="1318"/>
      <c r="C414" s="1318"/>
      <c r="D414" s="1315"/>
      <c r="E414" s="1315"/>
      <c r="F414" s="1315"/>
      <c r="I414" s="1315"/>
    </row>
    <row r="415" customFormat="false" ht="12.75" hidden="false" customHeight="false" outlineLevel="0" collapsed="false">
      <c r="A415" s="1318"/>
      <c r="B415" s="1318"/>
      <c r="C415" s="1318"/>
      <c r="D415" s="1315"/>
      <c r="E415" s="1315"/>
      <c r="F415" s="1315"/>
      <c r="I415" s="1315"/>
    </row>
    <row r="416" customFormat="false" ht="12.75" hidden="false" customHeight="false" outlineLevel="0" collapsed="false">
      <c r="A416" s="1318"/>
      <c r="B416" s="1318"/>
      <c r="C416" s="1318"/>
      <c r="D416" s="1315"/>
      <c r="E416" s="1315"/>
      <c r="F416" s="1315"/>
      <c r="I416" s="1315"/>
    </row>
    <row r="417" customFormat="false" ht="12.75" hidden="false" customHeight="false" outlineLevel="0" collapsed="false">
      <c r="A417" s="1318"/>
      <c r="B417" s="1318"/>
      <c r="C417" s="1318"/>
      <c r="D417" s="1315"/>
      <c r="E417" s="1315"/>
      <c r="F417" s="1315"/>
      <c r="I417" s="1315"/>
    </row>
    <row r="418" customFormat="false" ht="12.75" hidden="false" customHeight="false" outlineLevel="0" collapsed="false">
      <c r="A418" s="1318"/>
      <c r="B418" s="1318"/>
      <c r="C418" s="1318"/>
      <c r="D418" s="1315"/>
      <c r="E418" s="1315"/>
      <c r="F418" s="1315"/>
      <c r="I418" s="1315"/>
    </row>
    <row r="419" customFormat="false" ht="12.75" hidden="false" customHeight="false" outlineLevel="0" collapsed="false">
      <c r="A419" s="1318"/>
      <c r="B419" s="1318"/>
      <c r="C419" s="1318"/>
      <c r="D419" s="1315"/>
      <c r="E419" s="1315"/>
      <c r="F419" s="1315"/>
      <c r="I419" s="1315"/>
    </row>
    <row r="420" customFormat="false" ht="12.75" hidden="false" customHeight="false" outlineLevel="0" collapsed="false">
      <c r="A420" s="1318"/>
      <c r="B420" s="1318"/>
      <c r="C420" s="1318"/>
      <c r="D420" s="1315"/>
      <c r="E420" s="1315"/>
      <c r="F420" s="1315"/>
      <c r="I420" s="1315"/>
    </row>
    <row r="421" customFormat="false" ht="12.75" hidden="false" customHeight="false" outlineLevel="0" collapsed="false">
      <c r="A421" s="1318"/>
      <c r="B421" s="1318"/>
      <c r="C421" s="1318"/>
      <c r="D421" s="1315"/>
      <c r="E421" s="1315"/>
      <c r="F421" s="1315"/>
      <c r="I421" s="1315"/>
    </row>
    <row r="422" customFormat="false" ht="12.75" hidden="false" customHeight="false" outlineLevel="0" collapsed="false">
      <c r="A422" s="1318"/>
      <c r="B422" s="1318"/>
      <c r="C422" s="1318"/>
      <c r="D422" s="1315"/>
      <c r="E422" s="1315"/>
      <c r="F422" s="1315"/>
      <c r="I422" s="1315"/>
    </row>
    <row r="423" customFormat="false" ht="12.75" hidden="false" customHeight="false" outlineLevel="0" collapsed="false">
      <c r="A423" s="1318"/>
      <c r="B423" s="1318"/>
      <c r="C423" s="1318"/>
      <c r="D423" s="1315"/>
      <c r="E423" s="1315"/>
      <c r="F423" s="1315"/>
      <c r="I423" s="1315"/>
    </row>
    <row r="424" customFormat="false" ht="12.75" hidden="false" customHeight="false" outlineLevel="0" collapsed="false">
      <c r="A424" s="1318"/>
      <c r="B424" s="1318"/>
      <c r="C424" s="1318"/>
      <c r="D424" s="1315"/>
      <c r="E424" s="1315"/>
      <c r="F424" s="1315"/>
      <c r="I424" s="1315"/>
    </row>
    <row r="425" customFormat="false" ht="12.75" hidden="false" customHeight="false" outlineLevel="0" collapsed="false">
      <c r="A425" s="1318"/>
      <c r="B425" s="1318"/>
      <c r="C425" s="1318"/>
      <c r="D425" s="1315"/>
      <c r="E425" s="1315"/>
      <c r="F425" s="1315"/>
      <c r="I425" s="1315"/>
    </row>
    <row r="426" customFormat="false" ht="12.75" hidden="false" customHeight="false" outlineLevel="0" collapsed="false">
      <c r="A426" s="1318"/>
      <c r="B426" s="1318"/>
      <c r="C426" s="1318"/>
      <c r="D426" s="1315"/>
      <c r="E426" s="1315"/>
      <c r="F426" s="1315"/>
      <c r="I426" s="1315"/>
    </row>
    <row r="427" customFormat="false" ht="12.75" hidden="false" customHeight="false" outlineLevel="0" collapsed="false">
      <c r="A427" s="1318"/>
      <c r="B427" s="1318"/>
      <c r="C427" s="1318"/>
      <c r="D427" s="1315"/>
      <c r="E427" s="1315"/>
      <c r="F427" s="1315"/>
      <c r="I427" s="1315"/>
    </row>
    <row r="428" customFormat="false" ht="12.75" hidden="false" customHeight="false" outlineLevel="0" collapsed="false">
      <c r="A428" s="1318"/>
      <c r="B428" s="1318"/>
      <c r="C428" s="1318"/>
      <c r="D428" s="1315"/>
      <c r="E428" s="1315"/>
      <c r="F428" s="1315"/>
      <c r="I428" s="1315"/>
    </row>
    <row r="429" customFormat="false" ht="12.75" hidden="false" customHeight="false" outlineLevel="0" collapsed="false">
      <c r="A429" s="1318"/>
      <c r="B429" s="1318"/>
      <c r="C429" s="1318"/>
      <c r="D429" s="1315"/>
      <c r="E429" s="1315"/>
      <c r="F429" s="1315"/>
      <c r="I429" s="1315"/>
    </row>
    <row r="430" customFormat="false" ht="12.75" hidden="false" customHeight="false" outlineLevel="0" collapsed="false">
      <c r="A430" s="1318"/>
      <c r="B430" s="1318"/>
      <c r="C430" s="1318"/>
      <c r="D430" s="1315"/>
      <c r="E430" s="1315"/>
      <c r="F430" s="1315"/>
      <c r="I430" s="1315"/>
    </row>
    <row r="431" customFormat="false" ht="12.75" hidden="false" customHeight="false" outlineLevel="0" collapsed="false">
      <c r="A431" s="1318"/>
      <c r="B431" s="1318"/>
      <c r="C431" s="1318"/>
      <c r="D431" s="1315"/>
      <c r="E431" s="1315"/>
      <c r="F431" s="1315"/>
      <c r="I431" s="1315"/>
    </row>
    <row r="432" customFormat="false" ht="12.75" hidden="false" customHeight="false" outlineLevel="0" collapsed="false">
      <c r="A432" s="1318"/>
      <c r="B432" s="1318"/>
      <c r="C432" s="1318"/>
      <c r="D432" s="1315"/>
      <c r="E432" s="1315"/>
      <c r="F432" s="1315"/>
      <c r="I432" s="1315"/>
    </row>
    <row r="433" customFormat="false" ht="12.75" hidden="false" customHeight="false" outlineLevel="0" collapsed="false">
      <c r="A433" s="1318"/>
      <c r="B433" s="1318"/>
      <c r="C433" s="1318"/>
      <c r="D433" s="1315"/>
      <c r="E433" s="1315"/>
      <c r="F433" s="1315"/>
      <c r="I433" s="1315"/>
    </row>
    <row r="434" customFormat="false" ht="12.75" hidden="false" customHeight="false" outlineLevel="0" collapsed="false">
      <c r="A434" s="1318"/>
      <c r="B434" s="1318"/>
      <c r="C434" s="1318"/>
      <c r="D434" s="1315"/>
      <c r="E434" s="1315"/>
      <c r="F434" s="1315"/>
      <c r="I434" s="1315"/>
    </row>
    <row r="435" customFormat="false" ht="12.75" hidden="false" customHeight="false" outlineLevel="0" collapsed="false">
      <c r="A435" s="1318"/>
      <c r="B435" s="1318"/>
      <c r="C435" s="1318"/>
      <c r="D435" s="1315"/>
      <c r="E435" s="1315"/>
      <c r="F435" s="1315"/>
      <c r="I435" s="1315"/>
    </row>
    <row r="436" customFormat="false" ht="12.75" hidden="false" customHeight="false" outlineLevel="0" collapsed="false">
      <c r="A436" s="1318"/>
      <c r="B436" s="1318"/>
      <c r="C436" s="1318"/>
      <c r="D436" s="1315"/>
      <c r="E436" s="1315"/>
      <c r="F436" s="1315"/>
      <c r="I436" s="1315"/>
    </row>
    <row r="437" customFormat="false" ht="12.75" hidden="false" customHeight="false" outlineLevel="0" collapsed="false">
      <c r="A437" s="1318"/>
      <c r="B437" s="1318"/>
      <c r="C437" s="1318"/>
      <c r="D437" s="1315"/>
      <c r="E437" s="1315"/>
      <c r="F437" s="1315"/>
      <c r="I437" s="1315"/>
    </row>
    <row r="438" customFormat="false" ht="12.75" hidden="false" customHeight="false" outlineLevel="0" collapsed="false">
      <c r="A438" s="1318"/>
      <c r="B438" s="1318"/>
      <c r="C438" s="1318"/>
      <c r="D438" s="1315"/>
      <c r="E438" s="1315"/>
      <c r="F438" s="1315"/>
      <c r="I438" s="1315"/>
    </row>
    <row r="439" customFormat="false" ht="12.75" hidden="false" customHeight="false" outlineLevel="0" collapsed="false">
      <c r="A439" s="1318"/>
      <c r="B439" s="1318"/>
      <c r="C439" s="1318"/>
      <c r="D439" s="1315"/>
      <c r="E439" s="1315"/>
      <c r="F439" s="1315"/>
      <c r="I439" s="1315"/>
    </row>
    <row r="440" customFormat="false" ht="12.75" hidden="false" customHeight="false" outlineLevel="0" collapsed="false">
      <c r="A440" s="1318"/>
      <c r="B440" s="1318"/>
      <c r="C440" s="1318"/>
      <c r="D440" s="1315"/>
      <c r="E440" s="1315"/>
      <c r="F440" s="1315"/>
      <c r="I440" s="1315"/>
    </row>
    <row r="441" customFormat="false" ht="12.75" hidden="false" customHeight="false" outlineLevel="0" collapsed="false">
      <c r="A441" s="1318"/>
      <c r="B441" s="1318"/>
      <c r="C441" s="1318"/>
      <c r="D441" s="1315"/>
      <c r="E441" s="1315"/>
      <c r="F441" s="1315"/>
      <c r="I441" s="1315"/>
    </row>
    <row r="442" customFormat="false" ht="12.75" hidden="false" customHeight="false" outlineLevel="0" collapsed="false">
      <c r="A442" s="1318"/>
      <c r="B442" s="1318"/>
      <c r="C442" s="1318"/>
      <c r="D442" s="1315"/>
      <c r="E442" s="1315"/>
      <c r="F442" s="1315"/>
      <c r="I442" s="1315"/>
    </row>
    <row r="443" customFormat="false" ht="12.75" hidden="false" customHeight="false" outlineLevel="0" collapsed="false">
      <c r="A443" s="1318"/>
      <c r="B443" s="1318"/>
      <c r="C443" s="1318"/>
      <c r="D443" s="1315"/>
      <c r="E443" s="1315"/>
      <c r="F443" s="1315"/>
      <c r="I443" s="1315"/>
    </row>
    <row r="444" customFormat="false" ht="12.75" hidden="false" customHeight="false" outlineLevel="0" collapsed="false">
      <c r="A444" s="1318"/>
      <c r="B444" s="1318"/>
      <c r="C444" s="1318"/>
      <c r="D444" s="1315"/>
      <c r="E444" s="1315"/>
      <c r="F444" s="1315"/>
      <c r="I444" s="1315"/>
    </row>
    <row r="445" customFormat="false" ht="12.75" hidden="false" customHeight="false" outlineLevel="0" collapsed="false">
      <c r="A445" s="1318"/>
      <c r="B445" s="1318"/>
      <c r="C445" s="1318"/>
      <c r="D445" s="1315"/>
      <c r="E445" s="1315"/>
      <c r="F445" s="1315"/>
      <c r="I445" s="1315"/>
    </row>
    <row r="446" customFormat="false" ht="12.75" hidden="false" customHeight="false" outlineLevel="0" collapsed="false">
      <c r="A446" s="1318"/>
      <c r="B446" s="1318"/>
      <c r="C446" s="1318"/>
      <c r="D446" s="1315"/>
      <c r="E446" s="1315"/>
      <c r="F446" s="1315"/>
      <c r="I446" s="1315"/>
    </row>
    <row r="447" customFormat="false" ht="12.75" hidden="false" customHeight="false" outlineLevel="0" collapsed="false">
      <c r="A447" s="1318"/>
      <c r="B447" s="1318"/>
      <c r="C447" s="1318"/>
      <c r="D447" s="1315"/>
      <c r="E447" s="1315"/>
      <c r="F447" s="1315"/>
      <c r="I447" s="1315"/>
    </row>
    <row r="448" customFormat="false" ht="12.75" hidden="false" customHeight="false" outlineLevel="0" collapsed="false">
      <c r="A448" s="1318"/>
      <c r="B448" s="1318"/>
      <c r="C448" s="1318"/>
      <c r="D448" s="1315"/>
      <c r="E448" s="1315"/>
      <c r="F448" s="1315"/>
      <c r="I448" s="1315"/>
    </row>
    <row r="449" customFormat="false" ht="12.75" hidden="false" customHeight="false" outlineLevel="0" collapsed="false">
      <c r="A449" s="1318"/>
      <c r="B449" s="1318"/>
      <c r="C449" s="1318"/>
      <c r="D449" s="1315"/>
      <c r="E449" s="1315"/>
      <c r="F449" s="1315"/>
      <c r="I449" s="1315"/>
    </row>
    <row r="450" customFormat="false" ht="12.75" hidden="false" customHeight="false" outlineLevel="0" collapsed="false">
      <c r="A450" s="1318"/>
      <c r="B450" s="1318"/>
      <c r="C450" s="1318"/>
      <c r="D450" s="1315"/>
      <c r="E450" s="1315"/>
      <c r="F450" s="1315"/>
      <c r="I450" s="1315"/>
    </row>
    <row r="451" customFormat="false" ht="12.75" hidden="false" customHeight="false" outlineLevel="0" collapsed="false">
      <c r="A451" s="1318"/>
      <c r="B451" s="1318"/>
      <c r="C451" s="1318"/>
      <c r="D451" s="1315"/>
      <c r="E451" s="1315"/>
      <c r="F451" s="1315"/>
      <c r="I451" s="1315"/>
    </row>
    <row r="452" customFormat="false" ht="12.75" hidden="false" customHeight="false" outlineLevel="0" collapsed="false">
      <c r="A452" s="1318"/>
      <c r="B452" s="1318"/>
      <c r="C452" s="1318"/>
      <c r="D452" s="1315"/>
      <c r="E452" s="1315"/>
      <c r="F452" s="1315"/>
      <c r="I452" s="1315"/>
    </row>
    <row r="453" customFormat="false" ht="12.75" hidden="false" customHeight="false" outlineLevel="0" collapsed="false">
      <c r="A453" s="1318"/>
      <c r="B453" s="1318"/>
      <c r="C453" s="1318"/>
      <c r="D453" s="1315"/>
      <c r="E453" s="1315"/>
      <c r="F453" s="1315"/>
      <c r="I453" s="1315"/>
    </row>
    <row r="454" customFormat="false" ht="12.75" hidden="false" customHeight="false" outlineLevel="0" collapsed="false">
      <c r="A454" s="1318"/>
      <c r="B454" s="1318"/>
      <c r="C454" s="1318"/>
      <c r="D454" s="1315"/>
      <c r="E454" s="1315"/>
      <c r="F454" s="1315"/>
      <c r="I454" s="1315"/>
    </row>
    <row r="455" customFormat="false" ht="12.75" hidden="false" customHeight="false" outlineLevel="0" collapsed="false">
      <c r="A455" s="1318"/>
      <c r="B455" s="1318"/>
      <c r="C455" s="1318"/>
      <c r="D455" s="1315"/>
      <c r="E455" s="1315"/>
      <c r="F455" s="1315"/>
      <c r="I455" s="1315"/>
    </row>
    <row r="456" customFormat="false" ht="12.75" hidden="false" customHeight="false" outlineLevel="0" collapsed="false">
      <c r="A456" s="1318"/>
      <c r="B456" s="1318"/>
      <c r="C456" s="1318"/>
      <c r="D456" s="1315"/>
      <c r="E456" s="1315"/>
      <c r="F456" s="1315"/>
      <c r="I456" s="1315"/>
    </row>
    <row r="457" customFormat="false" ht="12.75" hidden="false" customHeight="false" outlineLevel="0" collapsed="false">
      <c r="A457" s="1318"/>
      <c r="B457" s="1318"/>
      <c r="C457" s="1318"/>
      <c r="D457" s="1315"/>
      <c r="E457" s="1315"/>
      <c r="F457" s="1315"/>
      <c r="I457" s="1315"/>
    </row>
    <row r="458" customFormat="false" ht="12.75" hidden="false" customHeight="false" outlineLevel="0" collapsed="false">
      <c r="A458" s="1318"/>
      <c r="B458" s="1318"/>
      <c r="C458" s="1318"/>
      <c r="D458" s="1315"/>
      <c r="E458" s="1315"/>
      <c r="F458" s="1315"/>
      <c r="I458" s="1315"/>
    </row>
    <row r="459" customFormat="false" ht="12.75" hidden="false" customHeight="false" outlineLevel="0" collapsed="false">
      <c r="A459" s="1318"/>
      <c r="B459" s="1318"/>
      <c r="C459" s="1318"/>
      <c r="D459" s="1315"/>
      <c r="E459" s="1315"/>
      <c r="F459" s="1315"/>
      <c r="I459" s="1315"/>
    </row>
    <row r="460" customFormat="false" ht="12.75" hidden="false" customHeight="false" outlineLevel="0" collapsed="false">
      <c r="A460" s="1318"/>
      <c r="B460" s="1318"/>
      <c r="C460" s="1318"/>
      <c r="D460" s="1315"/>
      <c r="E460" s="1315"/>
      <c r="F460" s="1315"/>
      <c r="I460" s="1315"/>
    </row>
    <row r="461" customFormat="false" ht="12.75" hidden="false" customHeight="false" outlineLevel="0" collapsed="false">
      <c r="A461" s="1318"/>
      <c r="B461" s="1318"/>
      <c r="C461" s="1318"/>
      <c r="D461" s="1315"/>
      <c r="E461" s="1315"/>
      <c r="F461" s="1315"/>
      <c r="I461" s="1315"/>
    </row>
    <row r="462" customFormat="false" ht="12.75" hidden="false" customHeight="false" outlineLevel="0" collapsed="false">
      <c r="A462" s="1318"/>
      <c r="B462" s="1318"/>
      <c r="C462" s="1318"/>
      <c r="D462" s="1315"/>
      <c r="E462" s="1315"/>
      <c r="F462" s="1315"/>
      <c r="I462" s="1315"/>
    </row>
    <row r="463" customFormat="false" ht="12.75" hidden="false" customHeight="false" outlineLevel="0" collapsed="false">
      <c r="A463" s="1318"/>
      <c r="B463" s="1318"/>
      <c r="C463" s="1318"/>
      <c r="D463" s="1315"/>
      <c r="E463" s="1315"/>
      <c r="F463" s="1315"/>
      <c r="I463" s="1315"/>
    </row>
    <row r="464" customFormat="false" ht="12.75" hidden="false" customHeight="false" outlineLevel="0" collapsed="false">
      <c r="A464" s="1318"/>
      <c r="B464" s="1318"/>
      <c r="C464" s="1318"/>
      <c r="D464" s="1315"/>
      <c r="E464" s="1315"/>
      <c r="F464" s="1315"/>
      <c r="I464" s="1315"/>
    </row>
    <row r="465" customFormat="false" ht="12.75" hidden="false" customHeight="false" outlineLevel="0" collapsed="false">
      <c r="A465" s="1318"/>
      <c r="B465" s="1318"/>
      <c r="C465" s="1318"/>
      <c r="D465" s="1315"/>
      <c r="E465" s="1315"/>
      <c r="F465" s="1315"/>
      <c r="I465" s="1315"/>
    </row>
    <row r="466" customFormat="false" ht="12.75" hidden="false" customHeight="false" outlineLevel="0" collapsed="false">
      <c r="A466" s="1318"/>
      <c r="B466" s="1318"/>
      <c r="C466" s="1318"/>
      <c r="D466" s="1315"/>
      <c r="E466" s="1315"/>
      <c r="F466" s="1315"/>
      <c r="I466" s="1315"/>
    </row>
    <row r="467" customFormat="false" ht="12.75" hidden="false" customHeight="false" outlineLevel="0" collapsed="false">
      <c r="A467" s="1318"/>
      <c r="B467" s="1318"/>
      <c r="C467" s="1318"/>
      <c r="D467" s="1315"/>
      <c r="E467" s="1315"/>
      <c r="F467" s="1315"/>
      <c r="I467" s="1315"/>
    </row>
    <row r="468" customFormat="false" ht="12.75" hidden="false" customHeight="false" outlineLevel="0" collapsed="false">
      <c r="A468" s="1318"/>
      <c r="B468" s="1318"/>
      <c r="C468" s="1318"/>
      <c r="D468" s="1315"/>
      <c r="E468" s="1315"/>
      <c r="F468" s="1315"/>
      <c r="I468" s="1315"/>
    </row>
    <row r="469" customFormat="false" ht="12.75" hidden="false" customHeight="false" outlineLevel="0" collapsed="false">
      <c r="A469" s="1318"/>
      <c r="B469" s="1318"/>
      <c r="C469" s="1318"/>
      <c r="D469" s="1315"/>
      <c r="E469" s="1315"/>
      <c r="F469" s="1315"/>
      <c r="I469" s="1315"/>
    </row>
    <row r="470" customFormat="false" ht="12.75" hidden="false" customHeight="false" outlineLevel="0" collapsed="false">
      <c r="A470" s="1318"/>
      <c r="B470" s="1318"/>
      <c r="C470" s="1318"/>
      <c r="D470" s="1315"/>
      <c r="E470" s="1315"/>
      <c r="F470" s="1315"/>
      <c r="I470" s="1315"/>
    </row>
    <row r="471" customFormat="false" ht="12.75" hidden="false" customHeight="false" outlineLevel="0" collapsed="false">
      <c r="A471" s="1318"/>
      <c r="B471" s="1318"/>
      <c r="C471" s="1318"/>
      <c r="D471" s="1315"/>
      <c r="E471" s="1315"/>
      <c r="F471" s="1315"/>
      <c r="I471" s="1315"/>
    </row>
    <row r="472" customFormat="false" ht="12.75" hidden="false" customHeight="false" outlineLevel="0" collapsed="false">
      <c r="A472" s="1318"/>
      <c r="B472" s="1318"/>
      <c r="C472" s="1318"/>
      <c r="D472" s="1315"/>
      <c r="E472" s="1315"/>
      <c r="F472" s="1315"/>
      <c r="I472" s="1315"/>
    </row>
    <row r="473" customFormat="false" ht="12.75" hidden="false" customHeight="false" outlineLevel="0" collapsed="false">
      <c r="A473" s="1318"/>
      <c r="B473" s="1318"/>
      <c r="C473" s="1318"/>
      <c r="D473" s="1315"/>
      <c r="E473" s="1315"/>
      <c r="F473" s="1315"/>
      <c r="I473" s="1315"/>
    </row>
    <row r="474" customFormat="false" ht="12.75" hidden="false" customHeight="false" outlineLevel="0" collapsed="false">
      <c r="A474" s="1318"/>
      <c r="B474" s="1318"/>
      <c r="C474" s="1318"/>
      <c r="D474" s="1315"/>
      <c r="E474" s="1315"/>
      <c r="F474" s="1315"/>
      <c r="I474" s="1315"/>
    </row>
    <row r="475" customFormat="false" ht="12.75" hidden="false" customHeight="false" outlineLevel="0" collapsed="false">
      <c r="A475" s="1318"/>
      <c r="B475" s="1318"/>
      <c r="C475" s="1318"/>
      <c r="D475" s="1315"/>
      <c r="E475" s="1315"/>
      <c r="F475" s="1315"/>
      <c r="I475" s="1315"/>
    </row>
    <row r="476" customFormat="false" ht="12.75" hidden="false" customHeight="false" outlineLevel="0" collapsed="false">
      <c r="A476" s="1318"/>
      <c r="B476" s="1318"/>
      <c r="C476" s="1318"/>
      <c r="D476" s="1315"/>
      <c r="E476" s="1315"/>
      <c r="F476" s="1315"/>
      <c r="I476" s="1315"/>
    </row>
    <row r="477" customFormat="false" ht="12.75" hidden="false" customHeight="false" outlineLevel="0" collapsed="false">
      <c r="A477" s="1318"/>
      <c r="B477" s="1318"/>
      <c r="C477" s="1318"/>
      <c r="D477" s="1315"/>
      <c r="E477" s="1315"/>
      <c r="F477" s="1315"/>
      <c r="I477" s="1315"/>
    </row>
    <row r="478" customFormat="false" ht="12.75" hidden="false" customHeight="false" outlineLevel="0" collapsed="false">
      <c r="A478" s="1318"/>
      <c r="B478" s="1318"/>
      <c r="C478" s="1318"/>
      <c r="D478" s="1315"/>
      <c r="E478" s="1315"/>
      <c r="F478" s="1315"/>
      <c r="I478" s="1315"/>
    </row>
    <row r="479" customFormat="false" ht="12.75" hidden="false" customHeight="false" outlineLevel="0" collapsed="false">
      <c r="A479" s="1318"/>
      <c r="B479" s="1318"/>
      <c r="C479" s="1318"/>
      <c r="D479" s="1315"/>
      <c r="E479" s="1315"/>
      <c r="F479" s="1315"/>
      <c r="I479" s="1315"/>
    </row>
    <row r="480" customFormat="false" ht="12.75" hidden="false" customHeight="false" outlineLevel="0" collapsed="false">
      <c r="A480" s="1318"/>
      <c r="B480" s="1318"/>
      <c r="C480" s="1318"/>
      <c r="D480" s="1315"/>
      <c r="E480" s="1315"/>
      <c r="F480" s="1315"/>
      <c r="I480" s="1315"/>
    </row>
    <row r="481" customFormat="false" ht="12.75" hidden="false" customHeight="false" outlineLevel="0" collapsed="false">
      <c r="A481" s="1318"/>
      <c r="B481" s="1318"/>
      <c r="C481" s="1318"/>
      <c r="D481" s="1315"/>
      <c r="E481" s="1315"/>
      <c r="F481" s="1315"/>
      <c r="I481" s="1315"/>
    </row>
    <row r="482" customFormat="false" ht="12.75" hidden="false" customHeight="false" outlineLevel="0" collapsed="false">
      <c r="A482" s="1318"/>
      <c r="B482" s="1318"/>
      <c r="C482" s="1318"/>
      <c r="D482" s="1315"/>
      <c r="E482" s="1315"/>
      <c r="F482" s="1315"/>
      <c r="I482" s="1315"/>
    </row>
    <row r="483" customFormat="false" ht="12.75" hidden="false" customHeight="false" outlineLevel="0" collapsed="false">
      <c r="A483" s="1318"/>
      <c r="B483" s="1318"/>
      <c r="C483" s="1318"/>
      <c r="D483" s="1315"/>
      <c r="E483" s="1315"/>
      <c r="F483" s="1315"/>
      <c r="I483" s="1315"/>
    </row>
    <row r="484" customFormat="false" ht="12.75" hidden="false" customHeight="false" outlineLevel="0" collapsed="false">
      <c r="A484" s="1318"/>
      <c r="B484" s="1318"/>
      <c r="C484" s="1318"/>
      <c r="D484" s="1315"/>
      <c r="E484" s="1315"/>
      <c r="F484" s="1315"/>
      <c r="I484" s="1315"/>
    </row>
    <row r="485" customFormat="false" ht="12.75" hidden="false" customHeight="false" outlineLevel="0" collapsed="false">
      <c r="A485" s="1318"/>
      <c r="B485" s="1318"/>
      <c r="C485" s="1318"/>
      <c r="D485" s="1315"/>
      <c r="E485" s="1315"/>
      <c r="F485" s="1315"/>
      <c r="I485" s="1315"/>
    </row>
    <row r="486" customFormat="false" ht="12.75" hidden="false" customHeight="false" outlineLevel="0" collapsed="false">
      <c r="A486" s="1318"/>
      <c r="B486" s="1318"/>
      <c r="C486" s="1318"/>
      <c r="D486" s="1315"/>
      <c r="E486" s="1315"/>
      <c r="F486" s="1315"/>
      <c r="I486" s="1315"/>
    </row>
    <row r="487" customFormat="false" ht="12.75" hidden="false" customHeight="false" outlineLevel="0" collapsed="false">
      <c r="A487" s="1318"/>
      <c r="B487" s="1318"/>
      <c r="C487" s="1318"/>
      <c r="D487" s="1315"/>
      <c r="E487" s="1315"/>
      <c r="F487" s="1315"/>
      <c r="I487" s="1315"/>
    </row>
    <row r="488" customFormat="false" ht="12.75" hidden="false" customHeight="false" outlineLevel="0" collapsed="false">
      <c r="A488" s="1318"/>
      <c r="B488" s="1318"/>
      <c r="C488" s="1318"/>
      <c r="D488" s="1315"/>
      <c r="E488" s="1315"/>
      <c r="F488" s="1315"/>
      <c r="I488" s="1315"/>
    </row>
    <row r="489" customFormat="false" ht="12.75" hidden="false" customHeight="false" outlineLevel="0" collapsed="false">
      <c r="A489" s="1318"/>
      <c r="B489" s="1318"/>
      <c r="C489" s="1318"/>
      <c r="D489" s="1315"/>
      <c r="E489" s="1315"/>
      <c r="F489" s="1315"/>
      <c r="I489" s="1315"/>
    </row>
    <row r="490" customFormat="false" ht="12.75" hidden="false" customHeight="false" outlineLevel="0" collapsed="false">
      <c r="A490" s="1318"/>
      <c r="B490" s="1318"/>
      <c r="C490" s="1318"/>
      <c r="D490" s="1315"/>
      <c r="E490" s="1315"/>
      <c r="F490" s="1315"/>
      <c r="I490" s="1315"/>
    </row>
    <row r="491" customFormat="false" ht="12.75" hidden="false" customHeight="false" outlineLevel="0" collapsed="false">
      <c r="A491" s="1318"/>
      <c r="B491" s="1318"/>
      <c r="C491" s="1318"/>
      <c r="D491" s="1315"/>
      <c r="E491" s="1315"/>
      <c r="F491" s="1315"/>
      <c r="I491" s="1315"/>
    </row>
    <row r="492" customFormat="false" ht="12.75" hidden="false" customHeight="false" outlineLevel="0" collapsed="false">
      <c r="A492" s="1318"/>
      <c r="B492" s="1318"/>
      <c r="C492" s="1318"/>
      <c r="D492" s="1315"/>
      <c r="E492" s="1315"/>
      <c r="F492" s="1315"/>
      <c r="I492" s="1315"/>
    </row>
    <row r="493" customFormat="false" ht="12.75" hidden="false" customHeight="false" outlineLevel="0" collapsed="false">
      <c r="A493" s="1318"/>
      <c r="B493" s="1318"/>
      <c r="C493" s="1318"/>
      <c r="D493" s="1315"/>
      <c r="E493" s="1315"/>
      <c r="F493" s="1315"/>
      <c r="I493" s="1315"/>
    </row>
    <row r="494" customFormat="false" ht="12.75" hidden="false" customHeight="false" outlineLevel="0" collapsed="false">
      <c r="A494" s="1318"/>
      <c r="B494" s="1318"/>
      <c r="C494" s="1318"/>
      <c r="D494" s="1315"/>
      <c r="E494" s="1315"/>
      <c r="F494" s="1315"/>
      <c r="I494" s="1315"/>
    </row>
    <row r="495" customFormat="false" ht="12.75" hidden="false" customHeight="false" outlineLevel="0" collapsed="false">
      <c r="A495" s="1318"/>
      <c r="B495" s="1318"/>
      <c r="C495" s="1318"/>
      <c r="D495" s="1315"/>
      <c r="E495" s="1315"/>
      <c r="F495" s="1315"/>
      <c r="I495" s="1315"/>
    </row>
    <row r="496" customFormat="false" ht="12.75" hidden="false" customHeight="false" outlineLevel="0" collapsed="false">
      <c r="A496" s="1318"/>
      <c r="B496" s="1318"/>
      <c r="C496" s="1318"/>
      <c r="D496" s="1315"/>
      <c r="E496" s="1315"/>
      <c r="F496" s="1315"/>
      <c r="I496" s="1315"/>
    </row>
    <row r="497" customFormat="false" ht="12.75" hidden="false" customHeight="false" outlineLevel="0" collapsed="false">
      <c r="A497" s="1318"/>
      <c r="B497" s="1318"/>
      <c r="C497" s="1318"/>
      <c r="D497" s="1315"/>
      <c r="E497" s="1315"/>
      <c r="F497" s="1315"/>
      <c r="I497" s="1315"/>
    </row>
    <row r="498" customFormat="false" ht="12.75" hidden="false" customHeight="false" outlineLevel="0" collapsed="false">
      <c r="A498" s="1318"/>
      <c r="B498" s="1318"/>
      <c r="C498" s="1318"/>
      <c r="D498" s="1315"/>
      <c r="E498" s="1315"/>
      <c r="F498" s="1315"/>
      <c r="I498" s="1315"/>
    </row>
    <row r="499" customFormat="false" ht="12.75" hidden="false" customHeight="false" outlineLevel="0" collapsed="false">
      <c r="A499" s="1318"/>
      <c r="B499" s="1318"/>
      <c r="C499" s="1318"/>
      <c r="D499" s="1315"/>
      <c r="E499" s="1315"/>
      <c r="F499" s="1315"/>
      <c r="I499" s="1315"/>
    </row>
    <row r="500" customFormat="false" ht="12.75" hidden="false" customHeight="false" outlineLevel="0" collapsed="false">
      <c r="A500" s="1318"/>
      <c r="B500" s="1318"/>
      <c r="C500" s="1318"/>
      <c r="D500" s="1315"/>
      <c r="E500" s="1315"/>
      <c r="F500" s="1315"/>
      <c r="I500" s="1315"/>
    </row>
    <row r="501" customFormat="false" ht="12.75" hidden="false" customHeight="false" outlineLevel="0" collapsed="false">
      <c r="A501" s="1318"/>
      <c r="B501" s="1318"/>
      <c r="C501" s="1318"/>
      <c r="D501" s="1315"/>
      <c r="E501" s="1315"/>
      <c r="F501" s="1315"/>
      <c r="I501" s="1315"/>
    </row>
    <row r="502" customFormat="false" ht="12.75" hidden="false" customHeight="false" outlineLevel="0" collapsed="false">
      <c r="A502" s="1318"/>
      <c r="B502" s="1318"/>
      <c r="C502" s="1318"/>
      <c r="D502" s="1315"/>
      <c r="E502" s="1315"/>
      <c r="F502" s="1315"/>
      <c r="I502" s="1315"/>
    </row>
    <row r="503" customFormat="false" ht="12.75" hidden="false" customHeight="false" outlineLevel="0" collapsed="false">
      <c r="A503" s="1318"/>
      <c r="B503" s="1318"/>
      <c r="C503" s="1318"/>
      <c r="D503" s="1315"/>
      <c r="E503" s="1315"/>
      <c r="F503" s="1315"/>
      <c r="I503" s="1315"/>
    </row>
    <row r="504" customFormat="false" ht="12.75" hidden="false" customHeight="false" outlineLevel="0" collapsed="false">
      <c r="A504" s="1318"/>
      <c r="B504" s="1318"/>
      <c r="C504" s="1318"/>
      <c r="D504" s="1315"/>
      <c r="E504" s="1315"/>
      <c r="F504" s="1315"/>
      <c r="I504" s="1315"/>
    </row>
    <row r="505" customFormat="false" ht="12.75" hidden="false" customHeight="false" outlineLevel="0" collapsed="false">
      <c r="A505" s="1318"/>
      <c r="B505" s="1318"/>
      <c r="C505" s="1318"/>
      <c r="D505" s="1315"/>
      <c r="E505" s="1315"/>
      <c r="F505" s="1315"/>
      <c r="I505" s="1315"/>
    </row>
    <row r="506" customFormat="false" ht="12.75" hidden="false" customHeight="false" outlineLevel="0" collapsed="false">
      <c r="A506" s="1318"/>
      <c r="B506" s="1318"/>
      <c r="C506" s="1318"/>
      <c r="D506" s="1315"/>
      <c r="E506" s="1315"/>
      <c r="F506" s="1315"/>
      <c r="I506" s="1315"/>
    </row>
    <row r="507" customFormat="false" ht="12.75" hidden="false" customHeight="false" outlineLevel="0" collapsed="false">
      <c r="A507" s="1318"/>
      <c r="B507" s="1318"/>
      <c r="C507" s="1318"/>
      <c r="D507" s="1315"/>
      <c r="E507" s="1315"/>
      <c r="F507" s="1315"/>
      <c r="I507" s="1315"/>
    </row>
    <row r="508" customFormat="false" ht="12.75" hidden="false" customHeight="false" outlineLevel="0" collapsed="false">
      <c r="A508" s="1318"/>
      <c r="B508" s="1318"/>
      <c r="C508" s="1318"/>
      <c r="D508" s="1315"/>
      <c r="E508" s="1315"/>
      <c r="F508" s="1315"/>
      <c r="I508" s="1315"/>
    </row>
    <row r="509" customFormat="false" ht="12.75" hidden="false" customHeight="false" outlineLevel="0" collapsed="false">
      <c r="A509" s="1318"/>
      <c r="B509" s="1318"/>
      <c r="C509" s="1318"/>
      <c r="D509" s="1315"/>
      <c r="E509" s="1315"/>
      <c r="F509" s="1315"/>
      <c r="I509" s="1315"/>
    </row>
    <row r="510" customFormat="false" ht="12.75" hidden="false" customHeight="false" outlineLevel="0" collapsed="false">
      <c r="A510" s="1318"/>
      <c r="B510" s="1318"/>
      <c r="C510" s="1318"/>
      <c r="D510" s="1315"/>
      <c r="E510" s="1315"/>
      <c r="F510" s="1315"/>
      <c r="I510" s="1315"/>
    </row>
    <row r="511" customFormat="false" ht="12.75" hidden="false" customHeight="false" outlineLevel="0" collapsed="false">
      <c r="A511" s="1318"/>
      <c r="B511" s="1318"/>
      <c r="C511" s="1318"/>
      <c r="D511" s="1315"/>
      <c r="E511" s="1315"/>
      <c r="F511" s="1315"/>
      <c r="I511" s="1315"/>
    </row>
    <row r="512" customFormat="false" ht="12.75" hidden="false" customHeight="false" outlineLevel="0" collapsed="false">
      <c r="A512" s="1318"/>
      <c r="B512" s="1318"/>
      <c r="C512" s="1318"/>
      <c r="D512" s="1315"/>
      <c r="E512" s="1315"/>
      <c r="F512" s="1315"/>
      <c r="I512" s="1315"/>
    </row>
    <row r="513" customFormat="false" ht="12.75" hidden="false" customHeight="false" outlineLevel="0" collapsed="false">
      <c r="A513" s="1318"/>
      <c r="B513" s="1318"/>
      <c r="C513" s="1318"/>
      <c r="D513" s="1315"/>
      <c r="E513" s="1315"/>
      <c r="F513" s="1315"/>
      <c r="I513" s="1315"/>
    </row>
    <row r="514" customFormat="false" ht="12.75" hidden="false" customHeight="false" outlineLevel="0" collapsed="false">
      <c r="A514" s="1318"/>
      <c r="B514" s="1318"/>
      <c r="C514" s="1318"/>
      <c r="D514" s="1315"/>
      <c r="E514" s="1315"/>
      <c r="F514" s="1315"/>
      <c r="I514" s="1315"/>
    </row>
    <row r="515" customFormat="false" ht="12.75" hidden="false" customHeight="false" outlineLevel="0" collapsed="false">
      <c r="A515" s="1318"/>
      <c r="B515" s="1318"/>
      <c r="C515" s="1318"/>
      <c r="D515" s="1315"/>
      <c r="E515" s="1315"/>
      <c r="F515" s="1315"/>
      <c r="I515" s="1315"/>
    </row>
    <row r="516" customFormat="false" ht="12.75" hidden="false" customHeight="false" outlineLevel="0" collapsed="false">
      <c r="A516" s="1318"/>
      <c r="B516" s="1318"/>
      <c r="C516" s="1318"/>
      <c r="D516" s="1315"/>
      <c r="E516" s="1315"/>
      <c r="F516" s="1315"/>
      <c r="I516" s="1315"/>
    </row>
    <row r="517" customFormat="false" ht="12.75" hidden="false" customHeight="false" outlineLevel="0" collapsed="false">
      <c r="A517" s="1318"/>
      <c r="B517" s="1318"/>
      <c r="C517" s="1318"/>
      <c r="D517" s="1315"/>
      <c r="E517" s="1315"/>
      <c r="F517" s="1315"/>
      <c r="I517" s="1315"/>
    </row>
    <row r="518" customFormat="false" ht="12.75" hidden="false" customHeight="false" outlineLevel="0" collapsed="false">
      <c r="A518" s="1318"/>
      <c r="B518" s="1318"/>
      <c r="C518" s="1318"/>
      <c r="D518" s="1315"/>
      <c r="E518" s="1315"/>
      <c r="F518" s="1315"/>
      <c r="I518" s="1315"/>
    </row>
    <row r="519" customFormat="false" ht="12.75" hidden="false" customHeight="false" outlineLevel="0" collapsed="false">
      <c r="A519" s="1318"/>
      <c r="B519" s="1318"/>
      <c r="C519" s="1318"/>
      <c r="D519" s="1315"/>
      <c r="E519" s="1315"/>
      <c r="F519" s="1315"/>
      <c r="I519" s="1315"/>
    </row>
    <row r="520" customFormat="false" ht="12.75" hidden="false" customHeight="false" outlineLevel="0" collapsed="false">
      <c r="A520" s="1318"/>
      <c r="B520" s="1318"/>
      <c r="C520" s="1318"/>
      <c r="D520" s="1315"/>
      <c r="E520" s="1315"/>
      <c r="F520" s="1315"/>
      <c r="I520" s="1315"/>
    </row>
    <row r="521" customFormat="false" ht="12.75" hidden="false" customHeight="false" outlineLevel="0" collapsed="false">
      <c r="A521" s="1318"/>
      <c r="B521" s="1318"/>
      <c r="C521" s="1318"/>
      <c r="D521" s="1315"/>
      <c r="E521" s="1315"/>
      <c r="F521" s="1315"/>
      <c r="I521" s="1315"/>
    </row>
    <row r="522" customFormat="false" ht="12.75" hidden="false" customHeight="false" outlineLevel="0" collapsed="false">
      <c r="A522" s="1318"/>
      <c r="B522" s="1318"/>
      <c r="C522" s="1318"/>
      <c r="D522" s="1315"/>
      <c r="E522" s="1315"/>
      <c r="F522" s="1315"/>
      <c r="I522" s="1315"/>
    </row>
    <row r="523" customFormat="false" ht="12.75" hidden="false" customHeight="false" outlineLevel="0" collapsed="false">
      <c r="A523" s="1318"/>
      <c r="B523" s="1318"/>
      <c r="C523" s="1318"/>
      <c r="D523" s="1315"/>
      <c r="E523" s="1315"/>
      <c r="F523" s="1315"/>
      <c r="I523" s="1315"/>
    </row>
    <row r="524" customFormat="false" ht="12.75" hidden="false" customHeight="false" outlineLevel="0" collapsed="false">
      <c r="A524" s="1318"/>
      <c r="B524" s="1318"/>
      <c r="C524" s="1318"/>
      <c r="D524" s="1315"/>
      <c r="E524" s="1315"/>
      <c r="F524" s="1315"/>
      <c r="I524" s="1315"/>
    </row>
    <row r="525" customFormat="false" ht="12.75" hidden="false" customHeight="false" outlineLevel="0" collapsed="false">
      <c r="A525" s="1318"/>
      <c r="B525" s="1318"/>
      <c r="C525" s="1318"/>
      <c r="D525" s="1315"/>
      <c r="E525" s="1315"/>
      <c r="F525" s="1315"/>
      <c r="I525" s="1315"/>
    </row>
    <row r="526" customFormat="false" ht="12.75" hidden="false" customHeight="false" outlineLevel="0" collapsed="false">
      <c r="A526" s="1318"/>
      <c r="B526" s="1318"/>
      <c r="C526" s="1318"/>
      <c r="D526" s="1315"/>
      <c r="E526" s="1315"/>
      <c r="F526" s="1315"/>
    </row>
    <row r="527" customFormat="false" ht="12.75" hidden="false" customHeight="false" outlineLevel="0" collapsed="false">
      <c r="A527" s="1318"/>
      <c r="B527" s="1318"/>
      <c r="C527" s="1318"/>
      <c r="D527" s="1315"/>
      <c r="E527" s="1315"/>
      <c r="F527" s="1315"/>
    </row>
    <row r="528" customFormat="false" ht="12.75" hidden="false" customHeight="false" outlineLevel="0" collapsed="false">
      <c r="A528" s="1318"/>
      <c r="B528" s="1318"/>
      <c r="C528" s="1318"/>
      <c r="D528" s="1315"/>
      <c r="E528" s="1315"/>
      <c r="F528" s="1315"/>
    </row>
    <row r="529" customFormat="false" ht="12.75" hidden="false" customHeight="false" outlineLevel="0" collapsed="false">
      <c r="A529" s="1318"/>
      <c r="B529" s="1318"/>
      <c r="C529" s="1318"/>
      <c r="D529" s="1315"/>
      <c r="E529" s="1315"/>
      <c r="F529" s="1315"/>
    </row>
    <row r="530" customFormat="false" ht="12.75" hidden="false" customHeight="false" outlineLevel="0" collapsed="false">
      <c r="A530" s="1318"/>
      <c r="B530" s="1318"/>
      <c r="C530" s="1318"/>
      <c r="D530" s="1315"/>
      <c r="E530" s="1315"/>
      <c r="F530" s="1315"/>
    </row>
    <row r="531" customFormat="false" ht="12.75" hidden="false" customHeight="false" outlineLevel="0" collapsed="false">
      <c r="A531" s="1318"/>
      <c r="B531" s="1318"/>
      <c r="C531" s="1318"/>
      <c r="D531" s="1315"/>
      <c r="E531" s="1315"/>
      <c r="F531" s="1315"/>
    </row>
    <row r="532" customFormat="false" ht="12.75" hidden="false" customHeight="false" outlineLevel="0" collapsed="false">
      <c r="A532" s="1318"/>
      <c r="B532" s="1318"/>
      <c r="C532" s="1318"/>
      <c r="D532" s="1315"/>
      <c r="E532" s="1315"/>
      <c r="F532" s="1315"/>
    </row>
    <row r="533" customFormat="false" ht="12.75" hidden="false" customHeight="false" outlineLevel="0" collapsed="false">
      <c r="A533" s="1318"/>
      <c r="B533" s="1318"/>
      <c r="C533" s="1318"/>
      <c r="D533" s="1315"/>
      <c r="E533" s="1315"/>
      <c r="F533" s="1315"/>
    </row>
    <row r="534" customFormat="false" ht="12.75" hidden="false" customHeight="false" outlineLevel="0" collapsed="false">
      <c r="A534" s="1318"/>
      <c r="B534" s="1318"/>
      <c r="C534" s="1318"/>
      <c r="D534" s="1315"/>
      <c r="E534" s="1315"/>
      <c r="F534" s="1315"/>
    </row>
    <row r="535" customFormat="false" ht="12.75" hidden="false" customHeight="false" outlineLevel="0" collapsed="false">
      <c r="A535" s="1318"/>
      <c r="B535" s="1318"/>
      <c r="C535" s="1318"/>
      <c r="D535" s="1315"/>
      <c r="E535" s="1315"/>
      <c r="F535" s="1315"/>
    </row>
    <row r="536" customFormat="false" ht="12.75" hidden="false" customHeight="false" outlineLevel="0" collapsed="false">
      <c r="A536" s="1318"/>
      <c r="B536" s="1318"/>
      <c r="C536" s="1318"/>
      <c r="D536" s="1315"/>
      <c r="E536" s="1315"/>
      <c r="F536" s="1315"/>
    </row>
    <row r="537" customFormat="false" ht="12.75" hidden="false" customHeight="false" outlineLevel="0" collapsed="false">
      <c r="A537" s="1318"/>
      <c r="B537" s="1318"/>
      <c r="C537" s="1318"/>
      <c r="D537" s="1315"/>
      <c r="E537" s="1315"/>
      <c r="F537" s="1315"/>
    </row>
    <row r="538" customFormat="false" ht="12.75" hidden="false" customHeight="false" outlineLevel="0" collapsed="false">
      <c r="A538" s="1318"/>
      <c r="B538" s="1318"/>
      <c r="C538" s="1318"/>
      <c r="D538" s="1315"/>
      <c r="E538" s="1315"/>
      <c r="F538" s="1315"/>
    </row>
    <row r="539" customFormat="false" ht="12.75" hidden="false" customHeight="false" outlineLevel="0" collapsed="false">
      <c r="A539" s="1318"/>
      <c r="B539" s="1318"/>
      <c r="C539" s="1318"/>
      <c r="D539" s="1315"/>
      <c r="E539" s="1315"/>
      <c r="F539" s="1315"/>
    </row>
    <row r="540" customFormat="false" ht="12.75" hidden="false" customHeight="false" outlineLevel="0" collapsed="false">
      <c r="A540" s="1318"/>
      <c r="B540" s="1318"/>
      <c r="C540" s="1318"/>
      <c r="D540" s="1315"/>
      <c r="E540" s="1315"/>
      <c r="F540" s="1315"/>
    </row>
    <row r="541" customFormat="false" ht="12.75" hidden="false" customHeight="false" outlineLevel="0" collapsed="false">
      <c r="A541" s="1318"/>
      <c r="B541" s="1318"/>
      <c r="C541" s="1318"/>
      <c r="D541" s="1315"/>
      <c r="E541" s="1315"/>
      <c r="F541" s="1315"/>
    </row>
    <row r="542" customFormat="false" ht="12.75" hidden="false" customHeight="false" outlineLevel="0" collapsed="false">
      <c r="A542" s="1318"/>
      <c r="B542" s="1318"/>
      <c r="C542" s="1318"/>
      <c r="D542" s="1315"/>
      <c r="E542" s="1315"/>
      <c r="F542" s="1315"/>
    </row>
    <row r="543" customFormat="false" ht="12.75" hidden="false" customHeight="false" outlineLevel="0" collapsed="false">
      <c r="A543" s="1318"/>
      <c r="B543" s="1318"/>
      <c r="C543" s="1318"/>
      <c r="D543" s="1315"/>
      <c r="E543" s="1315"/>
      <c r="F543" s="1315"/>
    </row>
    <row r="544" customFormat="false" ht="12.75" hidden="false" customHeight="false" outlineLevel="0" collapsed="false">
      <c r="A544" s="1318"/>
      <c r="B544" s="1318"/>
      <c r="C544" s="1318"/>
      <c r="D544" s="1315"/>
      <c r="E544" s="1315"/>
      <c r="F544" s="1315"/>
    </row>
    <row r="545" customFormat="false" ht="12.75" hidden="false" customHeight="false" outlineLevel="0" collapsed="false">
      <c r="A545" s="1318"/>
      <c r="B545" s="1318"/>
      <c r="C545" s="1318"/>
      <c r="D545" s="1315"/>
      <c r="E545" s="1315"/>
      <c r="F545" s="1315"/>
    </row>
    <row r="546" customFormat="false" ht="12.75" hidden="false" customHeight="false" outlineLevel="0" collapsed="false">
      <c r="A546" s="1318"/>
      <c r="B546" s="1318"/>
      <c r="C546" s="1318"/>
      <c r="D546" s="1315"/>
      <c r="E546" s="1315"/>
      <c r="F546" s="1315"/>
    </row>
    <row r="547" customFormat="false" ht="12.75" hidden="false" customHeight="false" outlineLevel="0" collapsed="false">
      <c r="A547" s="1318"/>
      <c r="B547" s="1318"/>
      <c r="C547" s="1318"/>
      <c r="D547" s="1315"/>
      <c r="E547" s="1315"/>
      <c r="F547" s="1315"/>
    </row>
    <row r="548" customFormat="false" ht="12.75" hidden="false" customHeight="false" outlineLevel="0" collapsed="false">
      <c r="A548" s="1318"/>
      <c r="B548" s="1318"/>
      <c r="C548" s="1318"/>
      <c r="D548" s="1315"/>
      <c r="E548" s="1315"/>
      <c r="F548" s="1315"/>
    </row>
    <row r="549" customFormat="false" ht="12.75" hidden="false" customHeight="false" outlineLevel="0" collapsed="false">
      <c r="A549" s="1318"/>
      <c r="B549" s="1318"/>
      <c r="C549" s="1318"/>
      <c r="D549" s="1315"/>
      <c r="E549" s="1315"/>
      <c r="F549" s="1315"/>
    </row>
    <row r="550" customFormat="false" ht="12.75" hidden="false" customHeight="false" outlineLevel="0" collapsed="false">
      <c r="A550" s="1318"/>
      <c r="B550" s="1318"/>
      <c r="C550" s="1318"/>
      <c r="D550" s="1315"/>
      <c r="E550" s="1315"/>
      <c r="F550" s="1315"/>
    </row>
    <row r="551" customFormat="false" ht="12.75" hidden="false" customHeight="false" outlineLevel="0" collapsed="false">
      <c r="A551" s="1318"/>
      <c r="B551" s="1318"/>
      <c r="C551" s="1318"/>
      <c r="D551" s="1315"/>
      <c r="E551" s="1315"/>
      <c r="F551" s="1315"/>
    </row>
    <row r="552" customFormat="false" ht="12.75" hidden="false" customHeight="false" outlineLevel="0" collapsed="false">
      <c r="A552" s="1318"/>
      <c r="B552" s="1318"/>
      <c r="C552" s="1318"/>
      <c r="D552" s="1315"/>
      <c r="E552" s="1315"/>
      <c r="F552" s="1315"/>
    </row>
    <row r="553" customFormat="false" ht="12.75" hidden="false" customHeight="false" outlineLevel="0" collapsed="false">
      <c r="A553" s="1318"/>
      <c r="B553" s="1318"/>
      <c r="C553" s="1318"/>
      <c r="D553" s="1315"/>
      <c r="E553" s="1315"/>
      <c r="F553" s="1315"/>
    </row>
    <row r="554" customFormat="false" ht="12.75" hidden="false" customHeight="false" outlineLevel="0" collapsed="false">
      <c r="A554" s="1318"/>
      <c r="B554" s="1318"/>
      <c r="C554" s="1318"/>
      <c r="D554" s="1315"/>
      <c r="E554" s="1315"/>
      <c r="F554" s="1315"/>
    </row>
    <row r="555" customFormat="false" ht="12.75" hidden="false" customHeight="false" outlineLevel="0" collapsed="false">
      <c r="A555" s="1318"/>
      <c r="B555" s="1318"/>
      <c r="C555" s="1318"/>
      <c r="D555" s="1315"/>
      <c r="E555" s="1315"/>
      <c r="F555" s="1315"/>
    </row>
    <row r="556" customFormat="false" ht="12.75" hidden="false" customHeight="false" outlineLevel="0" collapsed="false">
      <c r="A556" s="1318"/>
      <c r="B556" s="1318"/>
      <c r="C556" s="1318"/>
      <c r="D556" s="1315"/>
      <c r="E556" s="1315"/>
      <c r="F556" s="1315"/>
    </row>
    <row r="557" customFormat="false" ht="12.75" hidden="false" customHeight="false" outlineLevel="0" collapsed="false">
      <c r="A557" s="1318"/>
      <c r="B557" s="1318"/>
      <c r="C557" s="1318"/>
      <c r="D557" s="1315"/>
      <c r="E557" s="1315"/>
      <c r="F557" s="1315"/>
    </row>
    <row r="558" customFormat="false" ht="12.75" hidden="false" customHeight="false" outlineLevel="0" collapsed="false">
      <c r="A558" s="1318"/>
      <c r="B558" s="1318"/>
      <c r="C558" s="1318"/>
      <c r="D558" s="1315"/>
      <c r="E558" s="1315"/>
      <c r="F558" s="1315"/>
    </row>
    <row r="559" customFormat="false" ht="12.75" hidden="false" customHeight="false" outlineLevel="0" collapsed="false">
      <c r="A559" s="1318"/>
      <c r="B559" s="1318"/>
      <c r="C559" s="1318"/>
      <c r="D559" s="1315"/>
      <c r="E559" s="1315"/>
      <c r="F559" s="1315"/>
    </row>
    <row r="560" customFormat="false" ht="12.75" hidden="false" customHeight="false" outlineLevel="0" collapsed="false">
      <c r="A560" s="1318"/>
      <c r="B560" s="1318"/>
      <c r="C560" s="1318"/>
      <c r="D560" s="1315"/>
      <c r="E560" s="1315"/>
      <c r="F560" s="1315"/>
    </row>
    <row r="561" customFormat="false" ht="12.75" hidden="false" customHeight="false" outlineLevel="0" collapsed="false">
      <c r="A561" s="1318"/>
      <c r="B561" s="1318"/>
      <c r="C561" s="1318"/>
      <c r="D561" s="1315"/>
      <c r="E561" s="1315"/>
      <c r="F561" s="1315"/>
    </row>
    <row r="562" customFormat="false" ht="12.75" hidden="false" customHeight="false" outlineLevel="0" collapsed="false">
      <c r="A562" s="1318"/>
      <c r="B562" s="1318"/>
      <c r="C562" s="1318"/>
      <c r="D562" s="1315"/>
      <c r="E562" s="1315"/>
      <c r="F562" s="1315"/>
    </row>
    <row r="563" customFormat="false" ht="12.75" hidden="false" customHeight="false" outlineLevel="0" collapsed="false">
      <c r="A563" s="1318"/>
      <c r="B563" s="1318"/>
      <c r="C563" s="1318"/>
      <c r="D563" s="1315"/>
      <c r="E563" s="1315"/>
      <c r="F563" s="1315"/>
    </row>
    <row r="564" customFormat="false" ht="12.75" hidden="false" customHeight="false" outlineLevel="0" collapsed="false">
      <c r="A564" s="1318"/>
      <c r="B564" s="1318"/>
      <c r="C564" s="1318"/>
      <c r="D564" s="1315"/>
      <c r="E564" s="1315"/>
      <c r="F564" s="1315"/>
    </row>
    <row r="565" customFormat="false" ht="12.75" hidden="false" customHeight="false" outlineLevel="0" collapsed="false">
      <c r="A565" s="1318"/>
      <c r="B565" s="1318"/>
      <c r="C565" s="1318"/>
      <c r="D565" s="1315"/>
      <c r="E565" s="1315"/>
      <c r="F565" s="1315"/>
    </row>
    <row r="566" customFormat="false" ht="12.75" hidden="false" customHeight="false" outlineLevel="0" collapsed="false">
      <c r="A566" s="1318"/>
      <c r="B566" s="1318"/>
      <c r="C566" s="1318"/>
      <c r="D566" s="1315"/>
      <c r="E566" s="1315"/>
      <c r="F566" s="1315"/>
    </row>
    <row r="567" customFormat="false" ht="12.75" hidden="false" customHeight="false" outlineLevel="0" collapsed="false">
      <c r="A567" s="1318"/>
      <c r="B567" s="1318"/>
      <c r="C567" s="1318"/>
      <c r="D567" s="1315"/>
      <c r="E567" s="1315"/>
      <c r="F567" s="1315"/>
    </row>
    <row r="568" customFormat="false" ht="12.75" hidden="false" customHeight="false" outlineLevel="0" collapsed="false">
      <c r="A568" s="1318"/>
      <c r="B568" s="1318"/>
      <c r="C568" s="1318"/>
      <c r="D568" s="1315"/>
      <c r="E568" s="1315"/>
      <c r="F568" s="1315"/>
    </row>
    <row r="569" customFormat="false" ht="12.75" hidden="false" customHeight="false" outlineLevel="0" collapsed="false">
      <c r="A569" s="1318"/>
      <c r="B569" s="1318"/>
      <c r="C569" s="1318"/>
      <c r="D569" s="1315"/>
      <c r="E569" s="1315"/>
      <c r="F569" s="1315"/>
    </row>
    <row r="570" customFormat="false" ht="12.75" hidden="false" customHeight="false" outlineLevel="0" collapsed="false">
      <c r="A570" s="1318"/>
      <c r="B570" s="1318"/>
      <c r="C570" s="1318"/>
      <c r="D570" s="1315"/>
      <c r="E570" s="1315"/>
      <c r="F570" s="1315"/>
    </row>
    <row r="571" customFormat="false" ht="12.75" hidden="false" customHeight="false" outlineLevel="0" collapsed="false">
      <c r="A571" s="1318"/>
      <c r="B571" s="1318"/>
      <c r="C571" s="1318"/>
      <c r="D571" s="1315"/>
      <c r="E571" s="1315"/>
      <c r="F571" s="1315"/>
    </row>
    <row r="572" customFormat="false" ht="12.75" hidden="false" customHeight="false" outlineLevel="0" collapsed="false">
      <c r="A572" s="1318"/>
      <c r="B572" s="1318"/>
      <c r="C572" s="1318"/>
      <c r="D572" s="1315"/>
      <c r="E572" s="1315"/>
      <c r="F572" s="1315"/>
    </row>
    <row r="573" customFormat="false" ht="12.75" hidden="false" customHeight="false" outlineLevel="0" collapsed="false">
      <c r="A573" s="1318"/>
      <c r="B573" s="1318"/>
      <c r="C573" s="1318"/>
      <c r="D573" s="1315"/>
      <c r="E573" s="1315"/>
      <c r="F573" s="1315"/>
    </row>
    <row r="574" customFormat="false" ht="12.75" hidden="false" customHeight="false" outlineLevel="0" collapsed="false">
      <c r="A574" s="1318"/>
      <c r="B574" s="1318"/>
      <c r="C574" s="1318"/>
      <c r="D574" s="1315"/>
      <c r="E574" s="1315"/>
      <c r="F574" s="1315"/>
    </row>
    <row r="575" customFormat="false" ht="12.75" hidden="false" customHeight="false" outlineLevel="0" collapsed="false">
      <c r="A575" s="1318"/>
      <c r="B575" s="1318"/>
      <c r="C575" s="1318"/>
      <c r="D575" s="1315"/>
      <c r="E575" s="1315"/>
      <c r="F575" s="1315"/>
    </row>
    <row r="576" customFormat="false" ht="12.75" hidden="false" customHeight="false" outlineLevel="0" collapsed="false">
      <c r="A576" s="1318"/>
      <c r="B576" s="1318"/>
      <c r="C576" s="1318"/>
      <c r="D576" s="1315"/>
      <c r="E576" s="1315"/>
      <c r="F576" s="1315"/>
    </row>
    <row r="577" customFormat="false" ht="12.75" hidden="false" customHeight="false" outlineLevel="0" collapsed="false">
      <c r="A577" s="1318"/>
      <c r="B577" s="1318"/>
      <c r="C577" s="1318"/>
      <c r="D577" s="1315"/>
      <c r="E577" s="1315"/>
      <c r="F577" s="1315"/>
    </row>
    <row r="578" customFormat="false" ht="12.75" hidden="false" customHeight="false" outlineLevel="0" collapsed="false">
      <c r="A578" s="1318"/>
      <c r="B578" s="1318"/>
      <c r="C578" s="1318"/>
      <c r="D578" s="1315"/>
      <c r="E578" s="1315"/>
      <c r="F578" s="1315"/>
    </row>
    <row r="579" customFormat="false" ht="12.75" hidden="false" customHeight="false" outlineLevel="0" collapsed="false">
      <c r="A579" s="1318"/>
      <c r="B579" s="1318"/>
      <c r="C579" s="1318"/>
      <c r="D579" s="1315"/>
      <c r="E579" s="1315"/>
      <c r="F579" s="1315"/>
    </row>
    <row r="580" customFormat="false" ht="12.75" hidden="false" customHeight="false" outlineLevel="0" collapsed="false">
      <c r="A580" s="1318"/>
      <c r="B580" s="1318"/>
      <c r="C580" s="1318"/>
      <c r="D580" s="1315"/>
      <c r="E580" s="1315"/>
      <c r="F580" s="1315"/>
    </row>
    <row r="581" customFormat="false" ht="12.75" hidden="false" customHeight="false" outlineLevel="0" collapsed="false">
      <c r="A581" s="1318"/>
      <c r="B581" s="1318"/>
      <c r="C581" s="1318"/>
      <c r="D581" s="1315"/>
      <c r="E581" s="1315"/>
      <c r="F581" s="1315"/>
    </row>
    <row r="582" customFormat="false" ht="12.75" hidden="false" customHeight="false" outlineLevel="0" collapsed="false">
      <c r="A582" s="1318"/>
      <c r="B582" s="1318"/>
      <c r="C582" s="1318"/>
      <c r="D582" s="1315"/>
      <c r="E582" s="1315"/>
      <c r="F582" s="1315"/>
    </row>
    <row r="583" customFormat="false" ht="12.75" hidden="false" customHeight="false" outlineLevel="0" collapsed="false">
      <c r="A583" s="1318"/>
      <c r="B583" s="1318"/>
      <c r="C583" s="1318"/>
      <c r="D583" s="1315"/>
      <c r="E583" s="1315"/>
      <c r="F583" s="1315"/>
    </row>
    <row r="584" customFormat="false" ht="12.75" hidden="false" customHeight="false" outlineLevel="0" collapsed="false">
      <c r="A584" s="1318"/>
      <c r="B584" s="1318"/>
      <c r="C584" s="1318"/>
      <c r="D584" s="1315"/>
      <c r="E584" s="1315"/>
      <c r="F584" s="1315"/>
    </row>
    <row r="585" customFormat="false" ht="12.75" hidden="false" customHeight="false" outlineLevel="0" collapsed="false">
      <c r="A585" s="1318"/>
      <c r="B585" s="1318"/>
      <c r="C585" s="1318"/>
      <c r="D585" s="1315"/>
      <c r="E585" s="1315"/>
      <c r="F585" s="1315"/>
    </row>
    <row r="586" customFormat="false" ht="12.75" hidden="false" customHeight="false" outlineLevel="0" collapsed="false">
      <c r="A586" s="1318"/>
      <c r="B586" s="1318"/>
      <c r="C586" s="1318"/>
      <c r="D586" s="1315"/>
      <c r="E586" s="1315"/>
      <c r="F586" s="1315"/>
    </row>
    <row r="587" customFormat="false" ht="12.75" hidden="false" customHeight="false" outlineLevel="0" collapsed="false">
      <c r="A587" s="1318"/>
      <c r="B587" s="1318"/>
      <c r="C587" s="1318"/>
      <c r="D587" s="1315"/>
      <c r="E587" s="1315"/>
      <c r="F587" s="1315"/>
    </row>
    <row r="588" customFormat="false" ht="12.75" hidden="false" customHeight="false" outlineLevel="0" collapsed="false">
      <c r="A588" s="1318"/>
      <c r="B588" s="1318"/>
      <c r="C588" s="1318"/>
      <c r="D588" s="1315"/>
      <c r="E588" s="1315"/>
      <c r="F588" s="1315"/>
    </row>
    <row r="589" customFormat="false" ht="12.75" hidden="false" customHeight="false" outlineLevel="0" collapsed="false">
      <c r="A589" s="1318"/>
      <c r="B589" s="1318"/>
      <c r="C589" s="1318"/>
      <c r="D589" s="1315"/>
      <c r="E589" s="1315"/>
      <c r="F589" s="1315"/>
    </row>
    <row r="590" customFormat="false" ht="12.75" hidden="false" customHeight="false" outlineLevel="0" collapsed="false">
      <c r="A590" s="1318"/>
      <c r="B590" s="1318"/>
      <c r="C590" s="1318"/>
      <c r="D590" s="1315"/>
      <c r="E590" s="1315"/>
      <c r="F590" s="1315"/>
    </row>
    <row r="591" customFormat="false" ht="12.75" hidden="false" customHeight="false" outlineLevel="0" collapsed="false">
      <c r="A591" s="1318"/>
      <c r="B591" s="1318"/>
      <c r="C591" s="1318"/>
      <c r="D591" s="1315"/>
      <c r="E591" s="1315"/>
      <c r="F591" s="1315"/>
    </row>
    <row r="592" customFormat="false" ht="12.75" hidden="false" customHeight="false" outlineLevel="0" collapsed="false">
      <c r="A592" s="1318"/>
      <c r="B592" s="1318"/>
      <c r="C592" s="1318"/>
      <c r="D592" s="1315"/>
      <c r="E592" s="1315"/>
      <c r="F592" s="1315"/>
    </row>
    <row r="593" customFormat="false" ht="12.75" hidden="false" customHeight="false" outlineLevel="0" collapsed="false">
      <c r="A593" s="1318"/>
      <c r="B593" s="1318"/>
      <c r="C593" s="1318"/>
      <c r="D593" s="1315"/>
      <c r="E593" s="1315"/>
      <c r="F593" s="1315"/>
    </row>
    <row r="594" customFormat="false" ht="12.75" hidden="false" customHeight="false" outlineLevel="0" collapsed="false">
      <c r="A594" s="1318"/>
      <c r="B594" s="1318"/>
      <c r="C594" s="1318"/>
      <c r="D594" s="1315"/>
      <c r="E594" s="1315"/>
      <c r="F594" s="1315"/>
    </row>
    <row r="595" customFormat="false" ht="12.75" hidden="false" customHeight="false" outlineLevel="0" collapsed="false">
      <c r="A595" s="1318"/>
      <c r="B595" s="1318"/>
      <c r="C595" s="1318"/>
      <c r="D595" s="1315"/>
      <c r="E595" s="1315"/>
      <c r="F595" s="1315"/>
    </row>
    <row r="596" customFormat="false" ht="12.75" hidden="false" customHeight="false" outlineLevel="0" collapsed="false">
      <c r="A596" s="1318"/>
      <c r="B596" s="1318"/>
      <c r="C596" s="1318"/>
      <c r="D596" s="1315"/>
      <c r="E596" s="1315"/>
      <c r="F596" s="1315"/>
    </row>
    <row r="597" customFormat="false" ht="12.75" hidden="false" customHeight="false" outlineLevel="0" collapsed="false">
      <c r="A597" s="1318"/>
      <c r="B597" s="1318"/>
      <c r="C597" s="1318"/>
      <c r="D597" s="1315"/>
      <c r="E597" s="1315"/>
      <c r="F597" s="1315"/>
    </row>
    <row r="598" customFormat="false" ht="12.75" hidden="false" customHeight="false" outlineLevel="0" collapsed="false">
      <c r="A598" s="1318"/>
      <c r="B598" s="1318"/>
      <c r="C598" s="1318"/>
      <c r="D598" s="1315"/>
      <c r="E598" s="1315"/>
      <c r="F598" s="1315"/>
    </row>
    <row r="599" customFormat="false" ht="12.75" hidden="false" customHeight="false" outlineLevel="0" collapsed="false">
      <c r="A599" s="1318"/>
      <c r="B599" s="1318"/>
      <c r="C599" s="1318"/>
      <c r="D599" s="1315"/>
      <c r="E599" s="1315"/>
      <c r="F599" s="1315"/>
    </row>
    <row r="600" customFormat="false" ht="12.75" hidden="false" customHeight="false" outlineLevel="0" collapsed="false">
      <c r="A600" s="1318"/>
      <c r="B600" s="1318"/>
      <c r="C600" s="1318"/>
      <c r="D600" s="1315"/>
      <c r="E600" s="1315"/>
      <c r="F600" s="1315"/>
    </row>
    <row r="601" customFormat="false" ht="12.75" hidden="false" customHeight="false" outlineLevel="0" collapsed="false">
      <c r="A601" s="1318"/>
      <c r="B601" s="1318"/>
      <c r="C601" s="1318"/>
      <c r="D601" s="1315"/>
      <c r="E601" s="1315"/>
      <c r="F601" s="1315"/>
    </row>
    <row r="602" customFormat="false" ht="12.75" hidden="false" customHeight="false" outlineLevel="0" collapsed="false">
      <c r="A602" s="1318"/>
      <c r="B602" s="1318"/>
      <c r="C602" s="1318"/>
      <c r="D602" s="1315"/>
      <c r="E602" s="1315"/>
      <c r="F602" s="1315"/>
    </row>
    <row r="603" customFormat="false" ht="12.75" hidden="false" customHeight="false" outlineLevel="0" collapsed="false">
      <c r="A603" s="1318"/>
      <c r="B603" s="1318"/>
      <c r="C603" s="1318"/>
      <c r="D603" s="1315"/>
      <c r="E603" s="1315"/>
      <c r="F603" s="1315"/>
    </row>
    <row r="604" customFormat="false" ht="12.75" hidden="false" customHeight="false" outlineLevel="0" collapsed="false">
      <c r="A604" s="1318"/>
      <c r="B604" s="1318"/>
      <c r="C604" s="1318"/>
      <c r="D604" s="1315"/>
      <c r="E604" s="1315"/>
      <c r="F604" s="1315"/>
    </row>
    <row r="605" customFormat="false" ht="12.75" hidden="false" customHeight="false" outlineLevel="0" collapsed="false">
      <c r="A605" s="1318"/>
      <c r="B605" s="1318"/>
      <c r="C605" s="1318"/>
      <c r="D605" s="1315"/>
      <c r="E605" s="1315"/>
      <c r="F605" s="1315"/>
    </row>
    <row r="606" customFormat="false" ht="12.75" hidden="false" customHeight="false" outlineLevel="0" collapsed="false">
      <c r="A606" s="1318"/>
      <c r="B606" s="1318"/>
      <c r="C606" s="1318"/>
      <c r="D606" s="1315"/>
      <c r="E606" s="1315"/>
      <c r="F606" s="1315"/>
    </row>
    <row r="607" customFormat="false" ht="12.75" hidden="false" customHeight="false" outlineLevel="0" collapsed="false">
      <c r="A607" s="1318"/>
      <c r="B607" s="1318"/>
      <c r="C607" s="1318"/>
      <c r="D607" s="1315"/>
      <c r="E607" s="1315"/>
      <c r="F607" s="1315"/>
    </row>
    <row r="608" customFormat="false" ht="12.75" hidden="false" customHeight="false" outlineLevel="0" collapsed="false">
      <c r="A608" s="1318"/>
      <c r="B608" s="1318"/>
      <c r="C608" s="1318"/>
      <c r="D608" s="1315"/>
      <c r="E608" s="1315"/>
      <c r="F608" s="1315"/>
    </row>
    <row r="609" customFormat="false" ht="12.75" hidden="false" customHeight="false" outlineLevel="0" collapsed="false">
      <c r="A609" s="1318"/>
      <c r="B609" s="1318"/>
      <c r="C609" s="1318"/>
      <c r="D609" s="1315"/>
      <c r="E609" s="1315"/>
      <c r="F609" s="1315"/>
    </row>
    <row r="610" customFormat="false" ht="12.75" hidden="false" customHeight="false" outlineLevel="0" collapsed="false">
      <c r="A610" s="1318"/>
      <c r="B610" s="1318"/>
      <c r="C610" s="1318"/>
      <c r="D610" s="1315"/>
      <c r="E610" s="1315"/>
      <c r="F610" s="1315"/>
    </row>
    <row r="611" customFormat="false" ht="12.75" hidden="false" customHeight="false" outlineLevel="0" collapsed="false">
      <c r="A611" s="1318"/>
      <c r="B611" s="1318"/>
      <c r="C611" s="1318"/>
      <c r="D611" s="1315"/>
      <c r="E611" s="1315"/>
      <c r="F611" s="1315"/>
    </row>
    <row r="612" customFormat="false" ht="12.75" hidden="false" customHeight="false" outlineLevel="0" collapsed="false">
      <c r="A612" s="1318"/>
      <c r="B612" s="1318"/>
      <c r="C612" s="1318"/>
      <c r="D612" s="1315"/>
      <c r="E612" s="1315"/>
      <c r="F612" s="1315"/>
    </row>
    <row r="613" customFormat="false" ht="12.75" hidden="false" customHeight="false" outlineLevel="0" collapsed="false">
      <c r="A613" s="1318"/>
      <c r="B613" s="1318"/>
      <c r="C613" s="1318"/>
      <c r="D613" s="1315"/>
      <c r="E613" s="1315"/>
      <c r="F613" s="1315"/>
    </row>
    <row r="614" customFormat="false" ht="12.75" hidden="false" customHeight="false" outlineLevel="0" collapsed="false">
      <c r="A614" s="1318"/>
      <c r="B614" s="1318"/>
      <c r="C614" s="1318"/>
      <c r="D614" s="1315"/>
      <c r="E614" s="1315"/>
      <c r="F614" s="1315"/>
    </row>
    <row r="615" customFormat="false" ht="12.75" hidden="false" customHeight="false" outlineLevel="0" collapsed="false">
      <c r="A615" s="1318"/>
      <c r="B615" s="1318"/>
      <c r="C615" s="1318"/>
      <c r="D615" s="1315"/>
      <c r="E615" s="1315"/>
      <c r="F615" s="1315"/>
    </row>
    <row r="616" customFormat="false" ht="12.75" hidden="false" customHeight="false" outlineLevel="0" collapsed="false">
      <c r="A616" s="1318"/>
      <c r="B616" s="1318"/>
      <c r="C616" s="1318"/>
      <c r="D616" s="1315"/>
      <c r="E616" s="1315"/>
      <c r="F616" s="1315"/>
    </row>
    <row r="617" customFormat="false" ht="12.75" hidden="false" customHeight="false" outlineLevel="0" collapsed="false">
      <c r="A617" s="1318"/>
      <c r="B617" s="1318"/>
      <c r="C617" s="1318"/>
      <c r="D617" s="1315"/>
      <c r="E617" s="1315"/>
      <c r="F617" s="1315"/>
    </row>
    <row r="618" customFormat="false" ht="12.75" hidden="false" customHeight="false" outlineLevel="0" collapsed="false">
      <c r="A618" s="1318"/>
      <c r="B618" s="1318"/>
      <c r="C618" s="1318"/>
      <c r="D618" s="1315"/>
      <c r="E618" s="1315"/>
      <c r="F618" s="1315"/>
    </row>
    <row r="619" customFormat="false" ht="12.75" hidden="false" customHeight="false" outlineLevel="0" collapsed="false">
      <c r="A619" s="1318"/>
      <c r="B619" s="1318"/>
      <c r="C619" s="1318"/>
      <c r="D619" s="1315"/>
      <c r="E619" s="1315"/>
      <c r="F619" s="1315"/>
    </row>
    <row r="620" customFormat="false" ht="12.75" hidden="false" customHeight="false" outlineLevel="0" collapsed="false">
      <c r="A620" s="1318"/>
      <c r="B620" s="1318"/>
      <c r="C620" s="1318"/>
      <c r="D620" s="1315"/>
      <c r="E620" s="1315"/>
      <c r="F620" s="1315"/>
    </row>
    <row r="621" customFormat="false" ht="12.75" hidden="false" customHeight="false" outlineLevel="0" collapsed="false">
      <c r="A621" s="1318"/>
      <c r="B621" s="1318"/>
      <c r="C621" s="1318"/>
      <c r="D621" s="1315"/>
      <c r="E621" s="1315"/>
      <c r="F621" s="1315"/>
    </row>
    <row r="622" customFormat="false" ht="12.75" hidden="false" customHeight="false" outlineLevel="0" collapsed="false">
      <c r="A622" s="1318"/>
      <c r="B622" s="1318"/>
      <c r="C622" s="1318"/>
      <c r="D622" s="1315"/>
      <c r="E622" s="1315"/>
      <c r="F622" s="1315"/>
    </row>
    <row r="623" customFormat="false" ht="12.75" hidden="false" customHeight="false" outlineLevel="0" collapsed="false">
      <c r="A623" s="1318"/>
      <c r="B623" s="1318"/>
      <c r="C623" s="1318"/>
      <c r="D623" s="1315"/>
      <c r="E623" s="1315"/>
      <c r="F623" s="1315"/>
    </row>
    <row r="624" customFormat="false" ht="12.75" hidden="false" customHeight="false" outlineLevel="0" collapsed="false">
      <c r="A624" s="1318"/>
      <c r="B624" s="1318"/>
      <c r="C624" s="1318"/>
      <c r="D624" s="1315"/>
      <c r="E624" s="1315"/>
      <c r="F624" s="1315"/>
    </row>
    <row r="625" customFormat="false" ht="12.75" hidden="false" customHeight="false" outlineLevel="0" collapsed="false">
      <c r="A625" s="1318"/>
      <c r="B625" s="1318"/>
      <c r="C625" s="1318"/>
      <c r="D625" s="1315"/>
      <c r="E625" s="1315"/>
      <c r="F625" s="1315"/>
    </row>
    <row r="626" customFormat="false" ht="12.75" hidden="false" customHeight="false" outlineLevel="0" collapsed="false">
      <c r="A626" s="1318"/>
      <c r="B626" s="1318"/>
      <c r="C626" s="1318"/>
      <c r="D626" s="1315"/>
      <c r="E626" s="1315"/>
      <c r="F626" s="1315"/>
    </row>
    <row r="627" customFormat="false" ht="12.75" hidden="false" customHeight="false" outlineLevel="0" collapsed="false">
      <c r="A627" s="1318"/>
      <c r="B627" s="1318"/>
      <c r="C627" s="1318"/>
      <c r="D627" s="1315"/>
      <c r="E627" s="1315"/>
      <c r="F627" s="1315"/>
    </row>
    <row r="628" customFormat="false" ht="12.75" hidden="false" customHeight="false" outlineLevel="0" collapsed="false">
      <c r="A628" s="1318"/>
      <c r="B628" s="1318"/>
      <c r="C628" s="1318"/>
      <c r="D628" s="1315"/>
      <c r="E628" s="1315"/>
      <c r="F628" s="1315"/>
    </row>
    <row r="629" customFormat="false" ht="12.75" hidden="false" customHeight="false" outlineLevel="0" collapsed="false">
      <c r="A629" s="1318"/>
      <c r="B629" s="1318"/>
      <c r="C629" s="1318"/>
      <c r="D629" s="1315"/>
      <c r="E629" s="1315"/>
      <c r="F629" s="1315"/>
    </row>
    <row r="630" customFormat="false" ht="12.75" hidden="false" customHeight="false" outlineLevel="0" collapsed="false">
      <c r="A630" s="1318"/>
      <c r="B630" s="1318"/>
      <c r="C630" s="1318"/>
      <c r="D630" s="1315"/>
      <c r="E630" s="1315"/>
      <c r="F630" s="1315"/>
    </row>
    <row r="631" customFormat="false" ht="12.75" hidden="false" customHeight="false" outlineLevel="0" collapsed="false">
      <c r="A631" s="1318"/>
      <c r="B631" s="1318"/>
      <c r="C631" s="1318"/>
      <c r="D631" s="1315"/>
      <c r="E631" s="1315"/>
      <c r="F631" s="1315"/>
    </row>
    <row r="632" customFormat="false" ht="12.75" hidden="false" customHeight="false" outlineLevel="0" collapsed="false">
      <c r="A632" s="1318"/>
      <c r="B632" s="1318"/>
      <c r="C632" s="1318"/>
      <c r="D632" s="1315"/>
      <c r="E632" s="1315"/>
      <c r="F632" s="1315"/>
    </row>
    <row r="633" customFormat="false" ht="12.75" hidden="false" customHeight="false" outlineLevel="0" collapsed="false">
      <c r="A633" s="1318"/>
      <c r="B633" s="1318"/>
      <c r="C633" s="1318"/>
      <c r="D633" s="1315"/>
      <c r="E633" s="1315"/>
      <c r="F633" s="1315"/>
    </row>
    <row r="634" customFormat="false" ht="12.75" hidden="false" customHeight="false" outlineLevel="0" collapsed="false">
      <c r="A634" s="1318"/>
      <c r="B634" s="1318"/>
      <c r="C634" s="1318"/>
      <c r="D634" s="1315"/>
      <c r="E634" s="1315"/>
      <c r="F634" s="1315"/>
    </row>
    <row r="635" customFormat="false" ht="12.75" hidden="false" customHeight="false" outlineLevel="0" collapsed="false">
      <c r="A635" s="1318"/>
      <c r="B635" s="1318"/>
      <c r="C635" s="1318"/>
      <c r="D635" s="1315"/>
      <c r="E635" s="1315"/>
      <c r="F635" s="1315"/>
    </row>
    <row r="636" customFormat="false" ht="12.75" hidden="false" customHeight="false" outlineLevel="0" collapsed="false">
      <c r="A636" s="1318"/>
      <c r="B636" s="1318"/>
      <c r="C636" s="1318"/>
      <c r="D636" s="1315"/>
      <c r="E636" s="1315"/>
      <c r="F636" s="1315"/>
    </row>
    <row r="637" customFormat="false" ht="12.75" hidden="false" customHeight="false" outlineLevel="0" collapsed="false">
      <c r="A637" s="1318"/>
      <c r="B637" s="1318"/>
      <c r="C637" s="1318"/>
      <c r="D637" s="1315"/>
      <c r="E637" s="1315"/>
      <c r="F637" s="1315"/>
    </row>
    <row r="638" customFormat="false" ht="12.75" hidden="false" customHeight="false" outlineLevel="0" collapsed="false">
      <c r="A638" s="1318"/>
      <c r="B638" s="1318"/>
      <c r="C638" s="1318"/>
      <c r="D638" s="1315"/>
      <c r="E638" s="1315"/>
      <c r="F638" s="1315"/>
    </row>
    <row r="639" customFormat="false" ht="12.75" hidden="false" customHeight="false" outlineLevel="0" collapsed="false">
      <c r="A639" s="1318"/>
      <c r="B639" s="1318"/>
      <c r="C639" s="1318"/>
      <c r="D639" s="1315"/>
      <c r="E639" s="1315"/>
      <c r="F639" s="1315"/>
    </row>
    <row r="640" customFormat="false" ht="12.75" hidden="false" customHeight="false" outlineLevel="0" collapsed="false">
      <c r="A640" s="1318"/>
      <c r="B640" s="1318"/>
      <c r="C640" s="1318"/>
      <c r="D640" s="1315"/>
      <c r="E640" s="1315"/>
      <c r="F640" s="1315"/>
    </row>
    <row r="641" customFormat="false" ht="12.75" hidden="false" customHeight="false" outlineLevel="0" collapsed="false">
      <c r="A641" s="1318"/>
      <c r="B641" s="1318"/>
      <c r="C641" s="1318"/>
      <c r="D641" s="1315"/>
      <c r="E641" s="1315"/>
      <c r="F641" s="1315"/>
    </row>
    <row r="642" customFormat="false" ht="12.75" hidden="false" customHeight="false" outlineLevel="0" collapsed="false">
      <c r="A642" s="1318"/>
      <c r="B642" s="1318"/>
      <c r="C642" s="1318"/>
      <c r="D642" s="1315"/>
      <c r="E642" s="1315"/>
      <c r="F642" s="1315"/>
    </row>
    <row r="643" customFormat="false" ht="12.75" hidden="false" customHeight="false" outlineLevel="0" collapsed="false">
      <c r="A643" s="1318"/>
      <c r="B643" s="1318"/>
      <c r="C643" s="1318"/>
      <c r="D643" s="1315"/>
      <c r="E643" s="1315"/>
      <c r="F643" s="1315"/>
    </row>
    <row r="644" customFormat="false" ht="12.75" hidden="false" customHeight="false" outlineLevel="0" collapsed="false">
      <c r="A644" s="1318"/>
      <c r="B644" s="1318"/>
      <c r="C644" s="1318"/>
      <c r="D644" s="1315"/>
      <c r="E644" s="1315"/>
      <c r="F644" s="1315"/>
    </row>
    <row r="645" customFormat="false" ht="12.75" hidden="false" customHeight="false" outlineLevel="0" collapsed="false">
      <c r="A645" s="1318"/>
      <c r="B645" s="1318"/>
      <c r="C645" s="1318"/>
      <c r="D645" s="1315"/>
      <c r="E645" s="1315"/>
      <c r="F645" s="1315"/>
    </row>
    <row r="646" customFormat="false" ht="12.75" hidden="false" customHeight="false" outlineLevel="0" collapsed="false">
      <c r="A646" s="1318"/>
      <c r="B646" s="1318"/>
      <c r="C646" s="1318"/>
      <c r="D646" s="1315"/>
      <c r="E646" s="1315"/>
      <c r="F646" s="1315"/>
    </row>
    <row r="647" customFormat="false" ht="12.75" hidden="false" customHeight="false" outlineLevel="0" collapsed="false">
      <c r="A647" s="1318"/>
      <c r="B647" s="1318"/>
      <c r="C647" s="1318"/>
      <c r="D647" s="1315"/>
      <c r="E647" s="1315"/>
      <c r="F647" s="1315"/>
    </row>
    <row r="648" customFormat="false" ht="12.75" hidden="false" customHeight="false" outlineLevel="0" collapsed="false">
      <c r="A648" s="1318"/>
      <c r="B648" s="1318"/>
      <c r="C648" s="1318"/>
      <c r="D648" s="1315"/>
      <c r="E648" s="1315"/>
      <c r="F648" s="1315"/>
    </row>
    <row r="649" customFormat="false" ht="12.75" hidden="false" customHeight="false" outlineLevel="0" collapsed="false">
      <c r="A649" s="1318"/>
      <c r="B649" s="1318"/>
      <c r="C649" s="1318"/>
      <c r="D649" s="1315"/>
      <c r="E649" s="1315"/>
      <c r="F649" s="1315"/>
    </row>
    <row r="650" customFormat="false" ht="12.75" hidden="false" customHeight="false" outlineLevel="0" collapsed="false">
      <c r="A650" s="1318"/>
      <c r="B650" s="1318"/>
      <c r="C650" s="1318"/>
      <c r="D650" s="1315"/>
      <c r="E650" s="1315"/>
      <c r="F650" s="1315"/>
    </row>
    <row r="651" customFormat="false" ht="12.75" hidden="false" customHeight="false" outlineLevel="0" collapsed="false">
      <c r="A651" s="1318"/>
      <c r="B651" s="1318"/>
      <c r="C651" s="1318"/>
      <c r="D651" s="1315"/>
      <c r="E651" s="1315"/>
      <c r="F651" s="1315"/>
    </row>
    <row r="652" customFormat="false" ht="12.75" hidden="false" customHeight="false" outlineLevel="0" collapsed="false">
      <c r="A652" s="1318"/>
      <c r="B652" s="1318"/>
      <c r="C652" s="1318"/>
      <c r="D652" s="1315"/>
      <c r="E652" s="1315"/>
      <c r="F652" s="1315"/>
    </row>
    <row r="653" customFormat="false" ht="12.75" hidden="false" customHeight="false" outlineLevel="0" collapsed="false">
      <c r="A653" s="1318"/>
      <c r="B653" s="1318"/>
      <c r="C653" s="1318"/>
      <c r="D653" s="1315"/>
      <c r="E653" s="1315"/>
      <c r="F653" s="1315"/>
    </row>
    <row r="654" customFormat="false" ht="12.75" hidden="false" customHeight="false" outlineLevel="0" collapsed="false">
      <c r="A654" s="1318"/>
      <c r="B654" s="1318"/>
      <c r="C654" s="1318"/>
      <c r="D654" s="1315"/>
      <c r="E654" s="1315"/>
      <c r="F654" s="1315"/>
    </row>
    <row r="655" customFormat="false" ht="12.75" hidden="false" customHeight="false" outlineLevel="0" collapsed="false">
      <c r="A655" s="1318"/>
      <c r="B655" s="1318"/>
      <c r="C655" s="1318"/>
      <c r="D655" s="1315"/>
      <c r="E655" s="1315"/>
      <c r="F655" s="1315"/>
    </row>
    <row r="656" customFormat="false" ht="12.75" hidden="false" customHeight="false" outlineLevel="0" collapsed="false">
      <c r="A656" s="1318"/>
      <c r="B656" s="1318"/>
      <c r="C656" s="1318"/>
      <c r="D656" s="1315"/>
      <c r="E656" s="1315"/>
      <c r="F656" s="1315"/>
    </row>
    <row r="657" customFormat="false" ht="12.75" hidden="false" customHeight="false" outlineLevel="0" collapsed="false">
      <c r="A657" s="1318"/>
      <c r="B657" s="1318"/>
      <c r="C657" s="1318"/>
      <c r="D657" s="1315"/>
      <c r="E657" s="1315"/>
      <c r="F657" s="1315"/>
    </row>
    <row r="658" customFormat="false" ht="12.75" hidden="false" customHeight="false" outlineLevel="0" collapsed="false">
      <c r="A658" s="1318"/>
      <c r="B658" s="1318"/>
      <c r="C658" s="1318"/>
      <c r="D658" s="1315"/>
      <c r="E658" s="1315"/>
      <c r="F658" s="1315"/>
    </row>
    <row r="659" customFormat="false" ht="12.75" hidden="false" customHeight="false" outlineLevel="0" collapsed="false">
      <c r="A659" s="1318"/>
      <c r="B659" s="1318"/>
      <c r="C659" s="1318"/>
      <c r="D659" s="1315"/>
      <c r="E659" s="1315"/>
      <c r="F659" s="1315"/>
    </row>
    <row r="660" customFormat="false" ht="12.75" hidden="false" customHeight="false" outlineLevel="0" collapsed="false">
      <c r="A660" s="1318"/>
      <c r="B660" s="1318"/>
      <c r="C660" s="1318"/>
      <c r="D660" s="1315"/>
      <c r="E660" s="1315"/>
      <c r="F660" s="1315"/>
    </row>
    <row r="661" customFormat="false" ht="12.75" hidden="false" customHeight="false" outlineLevel="0" collapsed="false">
      <c r="A661" s="1318"/>
      <c r="B661" s="1318"/>
      <c r="C661" s="1318"/>
      <c r="D661" s="1315"/>
      <c r="E661" s="1315"/>
      <c r="F661" s="1315"/>
    </row>
    <row r="662" customFormat="false" ht="12.75" hidden="false" customHeight="false" outlineLevel="0" collapsed="false">
      <c r="A662" s="1318"/>
      <c r="B662" s="1318"/>
      <c r="C662" s="1318"/>
      <c r="D662" s="1315"/>
      <c r="E662" s="1315"/>
      <c r="F662" s="1315"/>
    </row>
    <row r="663" customFormat="false" ht="12.75" hidden="false" customHeight="false" outlineLevel="0" collapsed="false">
      <c r="A663" s="1318"/>
      <c r="B663" s="1318"/>
      <c r="C663" s="1318"/>
      <c r="D663" s="1315"/>
      <c r="E663" s="1315"/>
      <c r="F663" s="1315"/>
    </row>
    <row r="664" customFormat="false" ht="12.75" hidden="false" customHeight="false" outlineLevel="0" collapsed="false">
      <c r="A664" s="1318"/>
      <c r="B664" s="1318"/>
      <c r="C664" s="1318"/>
      <c r="D664" s="1315"/>
      <c r="E664" s="1315"/>
      <c r="F664" s="1315"/>
    </row>
    <row r="665" customFormat="false" ht="12.75" hidden="false" customHeight="false" outlineLevel="0" collapsed="false">
      <c r="A665" s="1318"/>
      <c r="B665" s="1318"/>
      <c r="C665" s="1318"/>
      <c r="D665" s="1315"/>
      <c r="E665" s="1315"/>
      <c r="F665" s="1315"/>
    </row>
    <row r="666" customFormat="false" ht="12.75" hidden="false" customHeight="false" outlineLevel="0" collapsed="false">
      <c r="A666" s="1318"/>
      <c r="B666" s="1318"/>
      <c r="C666" s="1318"/>
      <c r="D666" s="1315"/>
      <c r="E666" s="1315"/>
      <c r="F666" s="1315"/>
    </row>
    <row r="667" customFormat="false" ht="12.75" hidden="false" customHeight="false" outlineLevel="0" collapsed="false">
      <c r="A667" s="1318"/>
      <c r="B667" s="1318"/>
      <c r="C667" s="1318"/>
      <c r="D667" s="1315"/>
      <c r="E667" s="1315"/>
      <c r="F667" s="1315"/>
    </row>
    <row r="668" customFormat="false" ht="12.75" hidden="false" customHeight="false" outlineLevel="0" collapsed="false">
      <c r="A668" s="1318"/>
      <c r="B668" s="1318"/>
      <c r="C668" s="1318"/>
      <c r="D668" s="1315"/>
      <c r="E668" s="1315"/>
      <c r="F668" s="1315"/>
    </row>
    <row r="669" customFormat="false" ht="12.75" hidden="false" customHeight="false" outlineLevel="0" collapsed="false">
      <c r="A669" s="1318"/>
      <c r="B669" s="1318"/>
      <c r="C669" s="1318"/>
      <c r="D669" s="1315"/>
      <c r="E669" s="1315"/>
      <c r="F669" s="1315"/>
    </row>
    <row r="670" customFormat="false" ht="12.75" hidden="false" customHeight="false" outlineLevel="0" collapsed="false">
      <c r="A670" s="1318"/>
      <c r="B670" s="1318"/>
      <c r="C670" s="1318"/>
      <c r="D670" s="1315"/>
      <c r="E670" s="1315"/>
      <c r="F670" s="1315"/>
    </row>
    <row r="671" customFormat="false" ht="12.75" hidden="false" customHeight="false" outlineLevel="0" collapsed="false">
      <c r="A671" s="1318"/>
      <c r="B671" s="1318"/>
      <c r="C671" s="1318"/>
      <c r="D671" s="1315"/>
      <c r="E671" s="1315"/>
      <c r="F671" s="1315"/>
    </row>
    <row r="672" customFormat="false" ht="12.75" hidden="false" customHeight="false" outlineLevel="0" collapsed="false">
      <c r="A672" s="1318"/>
      <c r="B672" s="1318"/>
      <c r="C672" s="1318"/>
      <c r="D672" s="1315"/>
      <c r="E672" s="1315"/>
      <c r="F672" s="1315"/>
    </row>
    <row r="673" customFormat="false" ht="12.75" hidden="false" customHeight="false" outlineLevel="0" collapsed="false">
      <c r="A673" s="1318"/>
      <c r="B673" s="1318"/>
      <c r="C673" s="1318"/>
      <c r="D673" s="1315"/>
      <c r="E673" s="1315"/>
      <c r="F673" s="1315"/>
    </row>
    <row r="674" customFormat="false" ht="12.75" hidden="false" customHeight="false" outlineLevel="0" collapsed="false">
      <c r="A674" s="1318"/>
      <c r="B674" s="1318"/>
      <c r="C674" s="1318"/>
      <c r="D674" s="1315"/>
      <c r="E674" s="1315"/>
      <c r="F674" s="1315"/>
    </row>
    <row r="675" customFormat="false" ht="12.75" hidden="false" customHeight="false" outlineLevel="0" collapsed="false">
      <c r="A675" s="1318"/>
      <c r="B675" s="1318"/>
      <c r="C675" s="1318"/>
      <c r="D675" s="1315"/>
      <c r="E675" s="1315"/>
      <c r="F675" s="1315"/>
    </row>
    <row r="676" customFormat="false" ht="12.75" hidden="false" customHeight="false" outlineLevel="0" collapsed="false">
      <c r="A676" s="1318"/>
      <c r="B676" s="1318"/>
      <c r="C676" s="1318"/>
      <c r="D676" s="1315"/>
      <c r="E676" s="1315"/>
      <c r="F676" s="1315"/>
    </row>
    <row r="677" customFormat="false" ht="12.75" hidden="false" customHeight="false" outlineLevel="0" collapsed="false">
      <c r="A677" s="1318"/>
      <c r="B677" s="1318"/>
      <c r="C677" s="1318"/>
      <c r="D677" s="1315"/>
      <c r="E677" s="1315"/>
      <c r="F677" s="1315"/>
    </row>
    <row r="678" customFormat="false" ht="12.75" hidden="false" customHeight="false" outlineLevel="0" collapsed="false">
      <c r="A678" s="1318"/>
      <c r="B678" s="1318"/>
      <c r="C678" s="1318"/>
      <c r="D678" s="1315"/>
      <c r="E678" s="1315"/>
      <c r="F678" s="1315"/>
    </row>
    <row r="679" customFormat="false" ht="12.75" hidden="false" customHeight="false" outlineLevel="0" collapsed="false">
      <c r="A679" s="1318"/>
      <c r="B679" s="1318"/>
      <c r="C679" s="1318"/>
      <c r="D679" s="1315"/>
      <c r="E679" s="1315"/>
      <c r="F679" s="1315"/>
    </row>
    <row r="680" customFormat="false" ht="12.75" hidden="false" customHeight="false" outlineLevel="0" collapsed="false">
      <c r="A680" s="1318"/>
      <c r="B680" s="1318"/>
      <c r="C680" s="1318"/>
      <c r="D680" s="1315"/>
      <c r="E680" s="1315"/>
      <c r="F680" s="1315"/>
    </row>
    <row r="681" customFormat="false" ht="12.75" hidden="false" customHeight="false" outlineLevel="0" collapsed="false">
      <c r="A681" s="1318"/>
      <c r="B681" s="1318"/>
      <c r="C681" s="1318"/>
      <c r="D681" s="1315"/>
      <c r="E681" s="1315"/>
      <c r="F681" s="1315"/>
    </row>
    <row r="682" customFormat="false" ht="12.75" hidden="false" customHeight="false" outlineLevel="0" collapsed="false">
      <c r="A682" s="1318"/>
      <c r="B682" s="1318"/>
      <c r="C682" s="1318"/>
      <c r="D682" s="1315"/>
      <c r="E682" s="1315"/>
      <c r="F682" s="1315"/>
    </row>
    <row r="683" customFormat="false" ht="12.75" hidden="false" customHeight="false" outlineLevel="0" collapsed="false">
      <c r="A683" s="1318"/>
      <c r="B683" s="1318"/>
      <c r="C683" s="1318"/>
      <c r="D683" s="1315"/>
      <c r="E683" s="1315"/>
      <c r="F683" s="1315"/>
    </row>
    <row r="684" customFormat="false" ht="12.75" hidden="false" customHeight="false" outlineLevel="0" collapsed="false">
      <c r="A684" s="1318"/>
      <c r="B684" s="1318"/>
      <c r="C684" s="1318"/>
      <c r="D684" s="1315"/>
      <c r="E684" s="1315"/>
      <c r="F684" s="1315"/>
    </row>
    <row r="685" customFormat="false" ht="12.75" hidden="false" customHeight="false" outlineLevel="0" collapsed="false">
      <c r="A685" s="1318"/>
      <c r="B685" s="1318"/>
      <c r="C685" s="1318"/>
      <c r="D685" s="1315"/>
      <c r="E685" s="1315"/>
      <c r="F685" s="1315"/>
    </row>
    <row r="686" customFormat="false" ht="12.75" hidden="false" customHeight="false" outlineLevel="0" collapsed="false">
      <c r="A686" s="1318"/>
      <c r="B686" s="1318"/>
      <c r="C686" s="1318"/>
      <c r="D686" s="1315"/>
      <c r="E686" s="1315"/>
      <c r="F686" s="1315"/>
    </row>
    <row r="687" customFormat="false" ht="12.75" hidden="false" customHeight="false" outlineLevel="0" collapsed="false">
      <c r="A687" s="1318"/>
      <c r="B687" s="1318"/>
      <c r="C687" s="1318"/>
      <c r="D687" s="1315"/>
      <c r="E687" s="1315"/>
      <c r="F687" s="1315"/>
    </row>
    <row r="688" customFormat="false" ht="12.75" hidden="false" customHeight="false" outlineLevel="0" collapsed="false">
      <c r="A688" s="1318"/>
      <c r="B688" s="1318"/>
      <c r="C688" s="1318"/>
      <c r="D688" s="1315"/>
      <c r="E688" s="1315"/>
      <c r="F688" s="1315"/>
    </row>
    <row r="689" customFormat="false" ht="12.75" hidden="false" customHeight="false" outlineLevel="0" collapsed="false">
      <c r="A689" s="1318"/>
      <c r="B689" s="1318"/>
      <c r="C689" s="1318"/>
      <c r="D689" s="1315"/>
      <c r="E689" s="1315"/>
      <c r="F689" s="1315"/>
    </row>
    <row r="690" customFormat="false" ht="12.75" hidden="false" customHeight="false" outlineLevel="0" collapsed="false">
      <c r="A690" s="1318"/>
      <c r="B690" s="1318"/>
      <c r="C690" s="1318"/>
      <c r="D690" s="1315"/>
      <c r="E690" s="1315"/>
      <c r="F690" s="1315"/>
    </row>
    <row r="691" customFormat="false" ht="12.75" hidden="false" customHeight="false" outlineLevel="0" collapsed="false">
      <c r="A691" s="1318"/>
      <c r="B691" s="1318"/>
      <c r="C691" s="1318"/>
      <c r="D691" s="1315"/>
      <c r="E691" s="1315"/>
      <c r="F691" s="1315"/>
    </row>
    <row r="692" customFormat="false" ht="12.75" hidden="false" customHeight="false" outlineLevel="0" collapsed="false">
      <c r="A692" s="1318"/>
      <c r="B692" s="1318"/>
      <c r="C692" s="1318"/>
      <c r="D692" s="1315"/>
      <c r="E692" s="1315"/>
      <c r="F692" s="1315"/>
    </row>
    <row r="693" customFormat="false" ht="12.75" hidden="false" customHeight="false" outlineLevel="0" collapsed="false">
      <c r="A693" s="1318"/>
      <c r="B693" s="1318"/>
      <c r="C693" s="1318"/>
      <c r="D693" s="1315"/>
      <c r="E693" s="1315"/>
      <c r="F693" s="1315"/>
    </row>
    <row r="694" customFormat="false" ht="12.75" hidden="false" customHeight="false" outlineLevel="0" collapsed="false">
      <c r="A694" s="1318"/>
      <c r="B694" s="1318"/>
      <c r="C694" s="1318"/>
      <c r="D694" s="1315"/>
      <c r="E694" s="1315"/>
      <c r="F694" s="1315"/>
    </row>
    <row r="695" customFormat="false" ht="12.75" hidden="false" customHeight="false" outlineLevel="0" collapsed="false">
      <c r="A695" s="1318"/>
      <c r="B695" s="1318"/>
      <c r="C695" s="1318"/>
      <c r="D695" s="1315"/>
      <c r="E695" s="1315"/>
      <c r="F695" s="1315"/>
    </row>
    <row r="696" customFormat="false" ht="12.75" hidden="false" customHeight="false" outlineLevel="0" collapsed="false">
      <c r="A696" s="1318"/>
      <c r="B696" s="1318"/>
      <c r="C696" s="1318"/>
      <c r="D696" s="1315"/>
      <c r="E696" s="1315"/>
      <c r="F696" s="1315"/>
    </row>
    <row r="697" customFormat="false" ht="12.75" hidden="false" customHeight="false" outlineLevel="0" collapsed="false">
      <c r="A697" s="1318"/>
      <c r="B697" s="1318"/>
      <c r="C697" s="1318"/>
      <c r="D697" s="1315"/>
      <c r="E697" s="1315"/>
      <c r="F697" s="1315"/>
    </row>
    <row r="698" customFormat="false" ht="12.75" hidden="false" customHeight="false" outlineLevel="0" collapsed="false">
      <c r="A698" s="1318"/>
      <c r="B698" s="1318"/>
      <c r="C698" s="1318"/>
      <c r="D698" s="1315"/>
      <c r="E698" s="1315"/>
      <c r="F698" s="1315"/>
    </row>
    <row r="699" customFormat="false" ht="12.75" hidden="false" customHeight="false" outlineLevel="0" collapsed="false">
      <c r="A699" s="1318"/>
      <c r="B699" s="1318"/>
      <c r="C699" s="1318"/>
      <c r="D699" s="1315"/>
      <c r="E699" s="1315"/>
      <c r="F699" s="1315"/>
    </row>
    <row r="700" customFormat="false" ht="12.75" hidden="false" customHeight="false" outlineLevel="0" collapsed="false">
      <c r="A700" s="1318"/>
      <c r="B700" s="1318"/>
      <c r="C700" s="1318"/>
      <c r="D700" s="1315"/>
      <c r="E700" s="1315"/>
      <c r="F700" s="1315"/>
    </row>
    <row r="701" customFormat="false" ht="12.75" hidden="false" customHeight="false" outlineLevel="0" collapsed="false">
      <c r="A701" s="1318"/>
      <c r="B701" s="1318"/>
      <c r="C701" s="1318"/>
      <c r="D701" s="1315"/>
      <c r="E701" s="1315"/>
      <c r="F701" s="1315"/>
    </row>
    <row r="702" customFormat="false" ht="12.75" hidden="false" customHeight="false" outlineLevel="0" collapsed="false">
      <c r="A702" s="1318"/>
      <c r="B702" s="1318"/>
      <c r="C702" s="1318"/>
      <c r="D702" s="1315"/>
      <c r="E702" s="1315"/>
      <c r="F702" s="1315"/>
    </row>
    <row r="703" customFormat="false" ht="12.75" hidden="false" customHeight="false" outlineLevel="0" collapsed="false">
      <c r="A703" s="1318"/>
      <c r="B703" s="1318"/>
      <c r="C703" s="1318"/>
      <c r="D703" s="1315"/>
      <c r="E703" s="1315"/>
      <c r="F703" s="1315"/>
    </row>
    <row r="704" customFormat="false" ht="12.75" hidden="false" customHeight="false" outlineLevel="0" collapsed="false">
      <c r="A704" s="1318"/>
      <c r="B704" s="1318"/>
      <c r="C704" s="1318"/>
      <c r="D704" s="1315"/>
      <c r="E704" s="1315"/>
      <c r="F704" s="1315"/>
    </row>
    <row r="705" customFormat="false" ht="12.75" hidden="false" customHeight="false" outlineLevel="0" collapsed="false">
      <c r="A705" s="1318"/>
      <c r="B705" s="1318"/>
      <c r="C705" s="1318"/>
      <c r="D705" s="1315"/>
      <c r="E705" s="1315"/>
      <c r="F705" s="1315"/>
    </row>
    <row r="706" customFormat="false" ht="12.75" hidden="false" customHeight="false" outlineLevel="0" collapsed="false">
      <c r="A706" s="1318"/>
      <c r="B706" s="1318"/>
      <c r="C706" s="1318"/>
      <c r="D706" s="1315"/>
      <c r="E706" s="1315"/>
      <c r="F706" s="1315"/>
    </row>
    <row r="707" customFormat="false" ht="12.75" hidden="false" customHeight="false" outlineLevel="0" collapsed="false">
      <c r="A707" s="1318"/>
      <c r="B707" s="1318"/>
      <c r="C707" s="1318"/>
      <c r="D707" s="1315"/>
      <c r="E707" s="1315"/>
      <c r="F707" s="1315"/>
    </row>
    <row r="708" customFormat="false" ht="12.75" hidden="false" customHeight="false" outlineLevel="0" collapsed="false">
      <c r="A708" s="1318"/>
      <c r="B708" s="1318"/>
      <c r="C708" s="1318"/>
      <c r="D708" s="1315"/>
      <c r="E708" s="1315"/>
      <c r="F708" s="1315"/>
    </row>
    <row r="709" customFormat="false" ht="12.75" hidden="false" customHeight="false" outlineLevel="0" collapsed="false">
      <c r="A709" s="1318"/>
      <c r="B709" s="1318"/>
      <c r="C709" s="1318"/>
      <c r="D709" s="1315"/>
      <c r="E709" s="1315"/>
      <c r="F709" s="1315"/>
    </row>
    <row r="710" customFormat="false" ht="12.75" hidden="false" customHeight="false" outlineLevel="0" collapsed="false">
      <c r="A710" s="1318"/>
      <c r="B710" s="1318"/>
      <c r="C710" s="1318"/>
      <c r="D710" s="1315"/>
      <c r="E710" s="1315"/>
      <c r="F710" s="1315"/>
    </row>
    <row r="711" customFormat="false" ht="12.75" hidden="false" customHeight="false" outlineLevel="0" collapsed="false">
      <c r="A711" s="1318"/>
      <c r="B711" s="1318"/>
      <c r="C711" s="1318"/>
      <c r="D711" s="1315"/>
      <c r="E711" s="1315"/>
      <c r="F711" s="1315"/>
    </row>
    <row r="712" customFormat="false" ht="12.75" hidden="false" customHeight="false" outlineLevel="0" collapsed="false">
      <c r="A712" s="1318"/>
      <c r="B712" s="1318"/>
      <c r="C712" s="1318"/>
      <c r="D712" s="1315"/>
      <c r="E712" s="1315"/>
      <c r="F712" s="1315"/>
    </row>
    <row r="713" customFormat="false" ht="12.75" hidden="false" customHeight="false" outlineLevel="0" collapsed="false">
      <c r="A713" s="1318"/>
      <c r="B713" s="1318"/>
      <c r="C713" s="1318"/>
      <c r="D713" s="1315"/>
      <c r="E713" s="1315"/>
      <c r="F713" s="1315"/>
    </row>
    <row r="714" customFormat="false" ht="12.75" hidden="false" customHeight="false" outlineLevel="0" collapsed="false">
      <c r="A714" s="1318"/>
      <c r="B714" s="1318"/>
      <c r="C714" s="1318"/>
      <c r="D714" s="1315"/>
      <c r="E714" s="1315"/>
      <c r="F714" s="1315"/>
    </row>
    <row r="715" customFormat="false" ht="12.75" hidden="false" customHeight="false" outlineLevel="0" collapsed="false">
      <c r="A715" s="1318"/>
      <c r="B715" s="1318"/>
      <c r="C715" s="1318"/>
      <c r="D715" s="1315"/>
      <c r="E715" s="1315"/>
      <c r="F715" s="1315"/>
    </row>
    <row r="716" customFormat="false" ht="12.75" hidden="false" customHeight="false" outlineLevel="0" collapsed="false">
      <c r="A716" s="1318"/>
      <c r="B716" s="1318"/>
      <c r="C716" s="1318"/>
      <c r="D716" s="1315"/>
      <c r="E716" s="1315"/>
      <c r="F716" s="1315"/>
    </row>
    <row r="717" customFormat="false" ht="12.75" hidden="false" customHeight="false" outlineLevel="0" collapsed="false">
      <c r="A717" s="1318"/>
      <c r="B717" s="1318"/>
      <c r="C717" s="1318"/>
      <c r="D717" s="1315"/>
      <c r="E717" s="1315"/>
      <c r="F717" s="1315"/>
    </row>
    <row r="718" customFormat="false" ht="12.75" hidden="false" customHeight="false" outlineLevel="0" collapsed="false">
      <c r="A718" s="1318"/>
      <c r="B718" s="1318"/>
      <c r="C718" s="1318"/>
      <c r="D718" s="1315"/>
      <c r="E718" s="1315"/>
      <c r="F718" s="1315"/>
    </row>
    <row r="719" customFormat="false" ht="12.75" hidden="false" customHeight="false" outlineLevel="0" collapsed="false">
      <c r="A719" s="1318"/>
      <c r="B719" s="1318"/>
      <c r="C719" s="1318"/>
      <c r="D719" s="1315"/>
      <c r="E719" s="1315"/>
      <c r="F719" s="1315"/>
    </row>
    <row r="720" customFormat="false" ht="12.75" hidden="false" customHeight="false" outlineLevel="0" collapsed="false">
      <c r="A720" s="1318"/>
      <c r="B720" s="1318"/>
      <c r="C720" s="1318"/>
      <c r="D720" s="1315"/>
      <c r="E720" s="1315"/>
      <c r="F720" s="1315"/>
    </row>
    <row r="721" customFormat="false" ht="12.75" hidden="false" customHeight="false" outlineLevel="0" collapsed="false">
      <c r="A721" s="1318"/>
      <c r="B721" s="1318"/>
      <c r="C721" s="1318"/>
      <c r="D721" s="1315"/>
      <c r="E721" s="1315"/>
      <c r="F721" s="1315"/>
    </row>
    <row r="722" customFormat="false" ht="12.75" hidden="false" customHeight="false" outlineLevel="0" collapsed="false">
      <c r="A722" s="1318"/>
      <c r="B722" s="1318"/>
      <c r="C722" s="1318"/>
      <c r="D722" s="1315"/>
      <c r="E722" s="1315"/>
      <c r="F722" s="1315"/>
    </row>
    <row r="723" customFormat="false" ht="12.75" hidden="false" customHeight="false" outlineLevel="0" collapsed="false">
      <c r="A723" s="1318"/>
      <c r="B723" s="1318"/>
      <c r="C723" s="1318"/>
      <c r="D723" s="1315"/>
      <c r="E723" s="1315"/>
      <c r="F723" s="1315"/>
    </row>
    <row r="724" customFormat="false" ht="12.75" hidden="false" customHeight="false" outlineLevel="0" collapsed="false">
      <c r="A724" s="1318"/>
      <c r="B724" s="1318"/>
      <c r="C724" s="1318"/>
      <c r="D724" s="1315"/>
      <c r="E724" s="1315"/>
      <c r="F724" s="1315"/>
    </row>
    <row r="725" customFormat="false" ht="12.75" hidden="false" customHeight="false" outlineLevel="0" collapsed="false">
      <c r="A725" s="1318"/>
      <c r="B725" s="1318"/>
      <c r="C725" s="1318"/>
      <c r="D725" s="1315"/>
      <c r="E725" s="1315"/>
      <c r="F725" s="1315"/>
    </row>
    <row r="726" customFormat="false" ht="12.75" hidden="false" customHeight="false" outlineLevel="0" collapsed="false">
      <c r="A726" s="1318"/>
      <c r="B726" s="1318"/>
      <c r="C726" s="1318"/>
      <c r="D726" s="1315"/>
      <c r="E726" s="1315"/>
      <c r="F726" s="1315"/>
    </row>
    <row r="727" customFormat="false" ht="12.75" hidden="false" customHeight="false" outlineLevel="0" collapsed="false">
      <c r="A727" s="1318"/>
      <c r="B727" s="1318"/>
      <c r="C727" s="1318"/>
      <c r="D727" s="1315"/>
      <c r="E727" s="1315"/>
      <c r="F727" s="1315"/>
    </row>
    <row r="728" customFormat="false" ht="12.75" hidden="false" customHeight="false" outlineLevel="0" collapsed="false">
      <c r="A728" s="1318"/>
      <c r="B728" s="1318"/>
      <c r="C728" s="1318"/>
      <c r="D728" s="1315"/>
      <c r="E728" s="1315"/>
      <c r="F728" s="1315"/>
    </row>
    <row r="729" customFormat="false" ht="12.75" hidden="false" customHeight="false" outlineLevel="0" collapsed="false">
      <c r="A729" s="1318"/>
      <c r="B729" s="1318"/>
      <c r="C729" s="1318"/>
      <c r="D729" s="1315"/>
      <c r="E729" s="1315"/>
      <c r="F729" s="1315"/>
    </row>
    <row r="730" customFormat="false" ht="12.75" hidden="false" customHeight="false" outlineLevel="0" collapsed="false">
      <c r="A730" s="1318"/>
      <c r="B730" s="1318"/>
      <c r="C730" s="1318"/>
      <c r="D730" s="1315"/>
      <c r="E730" s="1315"/>
      <c r="F730" s="1315"/>
    </row>
    <row r="731" customFormat="false" ht="12.75" hidden="false" customHeight="false" outlineLevel="0" collapsed="false">
      <c r="A731" s="1318"/>
      <c r="B731" s="1318"/>
      <c r="C731" s="1318"/>
      <c r="D731" s="1315"/>
      <c r="E731" s="1315"/>
      <c r="F731" s="1315"/>
    </row>
    <row r="732" customFormat="false" ht="12.75" hidden="false" customHeight="false" outlineLevel="0" collapsed="false">
      <c r="A732" s="1318"/>
      <c r="B732" s="1318"/>
      <c r="C732" s="1318"/>
      <c r="D732" s="1315"/>
      <c r="E732" s="1315"/>
      <c r="F732" s="1315"/>
    </row>
    <row r="733" customFormat="false" ht="12.75" hidden="false" customHeight="false" outlineLevel="0" collapsed="false">
      <c r="A733" s="1318"/>
      <c r="B733" s="1318"/>
      <c r="C733" s="1318"/>
      <c r="D733" s="1315"/>
      <c r="E733" s="1315"/>
      <c r="F733" s="1315"/>
    </row>
    <row r="734" customFormat="false" ht="12.75" hidden="false" customHeight="false" outlineLevel="0" collapsed="false">
      <c r="A734" s="1318"/>
      <c r="B734" s="1318"/>
      <c r="C734" s="1318"/>
      <c r="D734" s="1315"/>
      <c r="E734" s="1315"/>
      <c r="F734" s="1315"/>
    </row>
    <row r="735" customFormat="false" ht="12.75" hidden="false" customHeight="false" outlineLevel="0" collapsed="false">
      <c r="A735" s="1318"/>
      <c r="B735" s="1318"/>
      <c r="C735" s="1318"/>
      <c r="D735" s="1315"/>
      <c r="E735" s="1315"/>
      <c r="F735" s="1315"/>
    </row>
    <row r="736" customFormat="false" ht="12.75" hidden="false" customHeight="false" outlineLevel="0" collapsed="false">
      <c r="A736" s="1318"/>
      <c r="B736" s="1318"/>
      <c r="C736" s="1318"/>
      <c r="D736" s="1315"/>
      <c r="E736" s="1315"/>
      <c r="F736" s="1315"/>
    </row>
    <row r="737" customFormat="false" ht="12.75" hidden="false" customHeight="false" outlineLevel="0" collapsed="false">
      <c r="A737" s="1318"/>
      <c r="B737" s="1318"/>
      <c r="C737" s="1318"/>
      <c r="D737" s="1315"/>
      <c r="E737" s="1315"/>
      <c r="F737" s="1315"/>
    </row>
    <row r="738" customFormat="false" ht="12.75" hidden="false" customHeight="false" outlineLevel="0" collapsed="false">
      <c r="A738" s="1318"/>
      <c r="B738" s="1318"/>
      <c r="C738" s="1318"/>
      <c r="D738" s="1315"/>
      <c r="E738" s="1315"/>
      <c r="F738" s="1315"/>
    </row>
    <row r="739" customFormat="false" ht="12.75" hidden="false" customHeight="false" outlineLevel="0" collapsed="false">
      <c r="A739" s="1318"/>
      <c r="B739" s="1318"/>
      <c r="C739" s="1318"/>
      <c r="D739" s="1315"/>
      <c r="E739" s="1315"/>
      <c r="F739" s="1315"/>
    </row>
    <row r="740" customFormat="false" ht="12.75" hidden="false" customHeight="false" outlineLevel="0" collapsed="false">
      <c r="A740" s="1318"/>
      <c r="B740" s="1318"/>
      <c r="C740" s="1318"/>
      <c r="D740" s="1315"/>
      <c r="E740" s="1315"/>
      <c r="F740" s="1315"/>
    </row>
    <row r="741" customFormat="false" ht="12.75" hidden="false" customHeight="false" outlineLevel="0" collapsed="false">
      <c r="A741" s="1318"/>
      <c r="B741" s="1318"/>
      <c r="C741" s="1318"/>
      <c r="D741" s="1315"/>
      <c r="E741" s="1315"/>
      <c r="F741" s="1315"/>
    </row>
    <row r="742" customFormat="false" ht="12.75" hidden="false" customHeight="false" outlineLevel="0" collapsed="false">
      <c r="A742" s="1318"/>
      <c r="B742" s="1318"/>
      <c r="C742" s="1318"/>
      <c r="D742" s="1315"/>
      <c r="E742" s="1315"/>
      <c r="F742" s="1315"/>
    </row>
    <row r="743" customFormat="false" ht="12.75" hidden="false" customHeight="false" outlineLevel="0" collapsed="false">
      <c r="A743" s="1318"/>
      <c r="B743" s="1318"/>
      <c r="C743" s="1318"/>
      <c r="D743" s="1315"/>
      <c r="E743" s="1315"/>
      <c r="F743" s="1315"/>
    </row>
    <row r="744" customFormat="false" ht="12.75" hidden="false" customHeight="false" outlineLevel="0" collapsed="false">
      <c r="A744" s="1318"/>
      <c r="B744" s="1318"/>
      <c r="C744" s="1318"/>
      <c r="D744" s="1315"/>
      <c r="E744" s="1315"/>
      <c r="F744" s="1315"/>
    </row>
    <row r="745" customFormat="false" ht="12.75" hidden="false" customHeight="false" outlineLevel="0" collapsed="false">
      <c r="A745" s="1318"/>
      <c r="B745" s="1318"/>
      <c r="C745" s="1318"/>
      <c r="D745" s="1315"/>
      <c r="E745" s="1315"/>
      <c r="F745" s="1315"/>
    </row>
    <row r="746" customFormat="false" ht="12.75" hidden="false" customHeight="false" outlineLevel="0" collapsed="false">
      <c r="A746" s="1318"/>
      <c r="B746" s="1318"/>
      <c r="C746" s="1318"/>
      <c r="D746" s="1315"/>
      <c r="E746" s="1315"/>
      <c r="F746" s="1315"/>
    </row>
    <row r="747" customFormat="false" ht="12.75" hidden="false" customHeight="false" outlineLevel="0" collapsed="false">
      <c r="A747" s="1318"/>
      <c r="B747" s="1318"/>
      <c r="C747" s="1318"/>
      <c r="D747" s="1315"/>
      <c r="E747" s="1315"/>
      <c r="F747" s="1315"/>
    </row>
    <row r="748" customFormat="false" ht="12.75" hidden="false" customHeight="false" outlineLevel="0" collapsed="false">
      <c r="A748" s="1318"/>
      <c r="B748" s="1318"/>
      <c r="C748" s="1318"/>
      <c r="D748" s="1315"/>
      <c r="E748" s="1315"/>
      <c r="F748" s="1315"/>
    </row>
    <row r="749" customFormat="false" ht="12.75" hidden="false" customHeight="false" outlineLevel="0" collapsed="false">
      <c r="A749" s="1318"/>
      <c r="B749" s="1318"/>
      <c r="C749" s="1318"/>
      <c r="D749" s="1315"/>
      <c r="E749" s="1315"/>
      <c r="F749" s="1315"/>
    </row>
    <row r="750" customFormat="false" ht="12.75" hidden="false" customHeight="false" outlineLevel="0" collapsed="false">
      <c r="A750" s="1318"/>
      <c r="B750" s="1318"/>
      <c r="C750" s="1318"/>
      <c r="D750" s="1315"/>
      <c r="E750" s="1315"/>
      <c r="F750" s="1315"/>
    </row>
    <row r="751" customFormat="false" ht="12.75" hidden="false" customHeight="false" outlineLevel="0" collapsed="false">
      <c r="A751" s="1318"/>
      <c r="B751" s="1318"/>
      <c r="C751" s="1318"/>
      <c r="D751" s="1315"/>
      <c r="E751" s="1315"/>
      <c r="F751" s="1315"/>
    </row>
    <row r="752" customFormat="false" ht="12.75" hidden="false" customHeight="false" outlineLevel="0" collapsed="false">
      <c r="A752" s="1318"/>
      <c r="B752" s="1318"/>
      <c r="C752" s="1318"/>
      <c r="D752" s="1315"/>
      <c r="E752" s="1315"/>
      <c r="F752" s="1315"/>
    </row>
    <row r="753" customFormat="false" ht="12.75" hidden="false" customHeight="false" outlineLevel="0" collapsed="false">
      <c r="A753" s="1318"/>
      <c r="B753" s="1318"/>
      <c r="C753" s="1318"/>
      <c r="D753" s="1315"/>
      <c r="E753" s="1315"/>
      <c r="F753" s="1315"/>
    </row>
    <row r="754" customFormat="false" ht="12.75" hidden="false" customHeight="false" outlineLevel="0" collapsed="false">
      <c r="A754" s="1318"/>
      <c r="B754" s="1318"/>
      <c r="C754" s="1318"/>
      <c r="D754" s="1315"/>
      <c r="E754" s="1315"/>
      <c r="F754" s="1315"/>
    </row>
    <row r="755" customFormat="false" ht="12.75" hidden="false" customHeight="false" outlineLevel="0" collapsed="false">
      <c r="A755" s="1318"/>
      <c r="B755" s="1318"/>
      <c r="C755" s="1318"/>
      <c r="D755" s="1315"/>
      <c r="E755" s="1315"/>
      <c r="F755" s="1315"/>
    </row>
    <row r="756" customFormat="false" ht="12.75" hidden="false" customHeight="false" outlineLevel="0" collapsed="false">
      <c r="A756" s="1318"/>
      <c r="B756" s="1318"/>
      <c r="C756" s="1318"/>
      <c r="D756" s="1315"/>
      <c r="E756" s="1315"/>
      <c r="F756" s="1315"/>
    </row>
    <row r="757" customFormat="false" ht="12.75" hidden="false" customHeight="false" outlineLevel="0" collapsed="false">
      <c r="A757" s="1318"/>
      <c r="B757" s="1318"/>
      <c r="C757" s="1318"/>
      <c r="D757" s="1315"/>
      <c r="E757" s="1315"/>
      <c r="F757" s="1315"/>
    </row>
    <row r="758" customFormat="false" ht="12.75" hidden="false" customHeight="false" outlineLevel="0" collapsed="false">
      <c r="A758" s="1318"/>
      <c r="B758" s="1318"/>
      <c r="C758" s="1318"/>
      <c r="D758" s="1315"/>
      <c r="E758" s="1315"/>
      <c r="F758" s="1315"/>
    </row>
    <row r="759" customFormat="false" ht="12.75" hidden="false" customHeight="false" outlineLevel="0" collapsed="false">
      <c r="A759" s="1318"/>
      <c r="B759" s="1318"/>
      <c r="C759" s="1318"/>
      <c r="D759" s="1315"/>
      <c r="E759" s="1315"/>
      <c r="F759" s="1315"/>
    </row>
    <row r="760" customFormat="false" ht="12.75" hidden="false" customHeight="false" outlineLevel="0" collapsed="false">
      <c r="A760" s="1318"/>
      <c r="B760" s="1318"/>
      <c r="C760" s="1318"/>
      <c r="D760" s="1315"/>
      <c r="E760" s="1315"/>
      <c r="F760" s="1315"/>
    </row>
    <row r="761" customFormat="false" ht="12.75" hidden="false" customHeight="false" outlineLevel="0" collapsed="false">
      <c r="A761" s="1318"/>
      <c r="B761" s="1318"/>
      <c r="C761" s="1318"/>
      <c r="D761" s="1315"/>
      <c r="E761" s="1315"/>
      <c r="F761" s="1315"/>
    </row>
    <row r="762" customFormat="false" ht="12.75" hidden="false" customHeight="false" outlineLevel="0" collapsed="false">
      <c r="A762" s="1318"/>
      <c r="B762" s="1318"/>
      <c r="C762" s="1318"/>
      <c r="D762" s="1315"/>
      <c r="E762" s="1315"/>
      <c r="F762" s="1315"/>
    </row>
    <row r="763" customFormat="false" ht="12.75" hidden="false" customHeight="false" outlineLevel="0" collapsed="false">
      <c r="A763" s="1318"/>
      <c r="B763" s="1318"/>
      <c r="C763" s="1318"/>
      <c r="D763" s="1315"/>
      <c r="E763" s="1315"/>
      <c r="F763" s="1315"/>
    </row>
    <row r="764" customFormat="false" ht="12.75" hidden="false" customHeight="false" outlineLevel="0" collapsed="false">
      <c r="A764" s="1318"/>
      <c r="B764" s="1318"/>
      <c r="C764" s="1318"/>
      <c r="D764" s="1315"/>
      <c r="E764" s="1315"/>
      <c r="F764" s="1315"/>
    </row>
    <row r="765" customFormat="false" ht="12.75" hidden="false" customHeight="false" outlineLevel="0" collapsed="false">
      <c r="A765" s="1318"/>
      <c r="B765" s="1318"/>
      <c r="C765" s="1318"/>
      <c r="D765" s="1315"/>
      <c r="E765" s="1315"/>
      <c r="F765" s="1315"/>
    </row>
    <row r="766" customFormat="false" ht="12.75" hidden="false" customHeight="false" outlineLevel="0" collapsed="false">
      <c r="A766" s="1318"/>
      <c r="B766" s="1318"/>
      <c r="C766" s="1318"/>
      <c r="D766" s="1315"/>
      <c r="E766" s="1315"/>
      <c r="F766" s="1315"/>
    </row>
    <row r="767" customFormat="false" ht="12.75" hidden="false" customHeight="false" outlineLevel="0" collapsed="false">
      <c r="A767" s="1318"/>
      <c r="B767" s="1318"/>
      <c r="C767" s="1318"/>
      <c r="D767" s="1315"/>
      <c r="E767" s="1315"/>
      <c r="F767" s="1315"/>
    </row>
    <row r="768" customFormat="false" ht="12.75" hidden="false" customHeight="false" outlineLevel="0" collapsed="false">
      <c r="A768" s="1318"/>
      <c r="B768" s="1318"/>
      <c r="C768" s="1318"/>
      <c r="D768" s="1315"/>
      <c r="E768" s="1315"/>
      <c r="F768" s="1315"/>
    </row>
    <row r="769" customFormat="false" ht="12.75" hidden="false" customHeight="false" outlineLevel="0" collapsed="false">
      <c r="A769" s="1318"/>
      <c r="B769" s="1318"/>
      <c r="C769" s="1318"/>
      <c r="D769" s="1315"/>
      <c r="E769" s="1315"/>
      <c r="F769" s="1315"/>
    </row>
    <row r="770" customFormat="false" ht="12.75" hidden="false" customHeight="false" outlineLevel="0" collapsed="false">
      <c r="A770" s="1318"/>
      <c r="B770" s="1318"/>
      <c r="C770" s="1318"/>
      <c r="D770" s="1315"/>
      <c r="E770" s="1315"/>
      <c r="F770" s="1315"/>
    </row>
    <row r="771" customFormat="false" ht="12.75" hidden="false" customHeight="false" outlineLevel="0" collapsed="false">
      <c r="A771" s="1318"/>
      <c r="B771" s="1318"/>
      <c r="C771" s="1318"/>
      <c r="D771" s="1315"/>
      <c r="E771" s="1315"/>
      <c r="F771" s="1315"/>
    </row>
    <row r="772" customFormat="false" ht="12.75" hidden="false" customHeight="false" outlineLevel="0" collapsed="false">
      <c r="A772" s="1318"/>
      <c r="B772" s="1318"/>
      <c r="C772" s="1318"/>
      <c r="D772" s="1315"/>
      <c r="E772" s="1315"/>
      <c r="F772" s="1315"/>
    </row>
    <row r="773" customFormat="false" ht="12.75" hidden="false" customHeight="false" outlineLevel="0" collapsed="false">
      <c r="A773" s="1318"/>
      <c r="B773" s="1318"/>
      <c r="C773" s="1318"/>
      <c r="D773" s="1315"/>
      <c r="E773" s="1315"/>
      <c r="F773" s="1315"/>
    </row>
    <row r="774" customFormat="false" ht="12.75" hidden="false" customHeight="false" outlineLevel="0" collapsed="false">
      <c r="A774" s="1318"/>
      <c r="B774" s="1318"/>
      <c r="C774" s="1318"/>
      <c r="D774" s="1315"/>
      <c r="E774" s="1315"/>
      <c r="F774" s="1315"/>
    </row>
    <row r="775" customFormat="false" ht="12.75" hidden="false" customHeight="false" outlineLevel="0" collapsed="false">
      <c r="A775" s="1318"/>
      <c r="B775" s="1318"/>
      <c r="C775" s="1318"/>
      <c r="D775" s="1315"/>
      <c r="E775" s="1315"/>
      <c r="F775" s="1315"/>
    </row>
    <row r="776" customFormat="false" ht="12.75" hidden="false" customHeight="false" outlineLevel="0" collapsed="false">
      <c r="A776" s="1318"/>
      <c r="B776" s="1318"/>
      <c r="C776" s="1318"/>
      <c r="D776" s="1315"/>
      <c r="E776" s="1315"/>
      <c r="F776" s="1315"/>
    </row>
    <row r="777" customFormat="false" ht="12.75" hidden="false" customHeight="false" outlineLevel="0" collapsed="false">
      <c r="A777" s="1318"/>
      <c r="B777" s="1318"/>
      <c r="C777" s="1318"/>
      <c r="D777" s="1315"/>
      <c r="E777" s="1315"/>
      <c r="F777" s="1315"/>
    </row>
    <row r="778" customFormat="false" ht="12.75" hidden="false" customHeight="false" outlineLevel="0" collapsed="false">
      <c r="A778" s="1318"/>
      <c r="B778" s="1318"/>
      <c r="C778" s="1318"/>
      <c r="D778" s="1315"/>
      <c r="E778" s="1315"/>
      <c r="F778" s="1315"/>
    </row>
    <row r="779" customFormat="false" ht="12.75" hidden="false" customHeight="false" outlineLevel="0" collapsed="false">
      <c r="A779" s="1318"/>
      <c r="B779" s="1318"/>
      <c r="C779" s="1318"/>
      <c r="D779" s="1315"/>
      <c r="E779" s="1315"/>
      <c r="F779" s="1315"/>
    </row>
    <row r="780" customFormat="false" ht="12.75" hidden="false" customHeight="false" outlineLevel="0" collapsed="false">
      <c r="A780" s="1318"/>
      <c r="B780" s="1318"/>
      <c r="C780" s="1318"/>
      <c r="D780" s="1315"/>
      <c r="E780" s="1315"/>
      <c r="F780" s="1315"/>
    </row>
    <row r="781" customFormat="false" ht="12.75" hidden="false" customHeight="false" outlineLevel="0" collapsed="false">
      <c r="A781" s="1318"/>
      <c r="B781" s="1318"/>
      <c r="C781" s="1318"/>
      <c r="D781" s="1315"/>
      <c r="E781" s="1315"/>
      <c r="F781" s="1315"/>
    </row>
    <row r="782" customFormat="false" ht="12.75" hidden="false" customHeight="false" outlineLevel="0" collapsed="false">
      <c r="A782" s="1318"/>
      <c r="B782" s="1318"/>
      <c r="C782" s="1318"/>
      <c r="D782" s="1315"/>
      <c r="E782" s="1315"/>
      <c r="F782" s="1315"/>
    </row>
    <row r="783" customFormat="false" ht="12.75" hidden="false" customHeight="false" outlineLevel="0" collapsed="false">
      <c r="A783" s="1318"/>
      <c r="B783" s="1318"/>
      <c r="C783" s="1318"/>
      <c r="D783" s="1315"/>
      <c r="E783" s="1315"/>
      <c r="F783" s="1315"/>
    </row>
    <row r="784" customFormat="false" ht="12.75" hidden="false" customHeight="false" outlineLevel="0" collapsed="false">
      <c r="A784" s="1318"/>
      <c r="B784" s="1318"/>
      <c r="C784" s="1318"/>
      <c r="D784" s="1315"/>
      <c r="E784" s="1315"/>
      <c r="F784" s="1315"/>
    </row>
    <row r="785" customFormat="false" ht="12.75" hidden="false" customHeight="false" outlineLevel="0" collapsed="false">
      <c r="A785" s="1318"/>
      <c r="B785" s="1318"/>
      <c r="C785" s="1318"/>
      <c r="D785" s="1315"/>
      <c r="E785" s="1315"/>
      <c r="F785" s="1315"/>
    </row>
    <row r="786" customFormat="false" ht="12.75" hidden="false" customHeight="false" outlineLevel="0" collapsed="false">
      <c r="A786" s="1318"/>
      <c r="B786" s="1318"/>
      <c r="C786" s="1318"/>
      <c r="D786" s="1315"/>
      <c r="E786" s="1315"/>
      <c r="F786" s="1315"/>
    </row>
    <row r="787" customFormat="false" ht="12.75" hidden="false" customHeight="false" outlineLevel="0" collapsed="false">
      <c r="A787" s="1318"/>
      <c r="B787" s="1318"/>
      <c r="C787" s="1318"/>
      <c r="D787" s="1315"/>
      <c r="E787" s="1315"/>
      <c r="F787" s="1315"/>
    </row>
    <row r="788" customFormat="false" ht="12.75" hidden="false" customHeight="false" outlineLevel="0" collapsed="false">
      <c r="A788" s="1318"/>
      <c r="B788" s="1318"/>
      <c r="C788" s="1318"/>
      <c r="D788" s="1315"/>
      <c r="E788" s="1315"/>
      <c r="F788" s="1315"/>
    </row>
    <row r="789" customFormat="false" ht="12.75" hidden="false" customHeight="false" outlineLevel="0" collapsed="false">
      <c r="A789" s="1318"/>
      <c r="B789" s="1318"/>
      <c r="C789" s="1318"/>
      <c r="D789" s="1315"/>
      <c r="E789" s="1315"/>
      <c r="F789" s="1315"/>
    </row>
    <row r="790" customFormat="false" ht="12.75" hidden="false" customHeight="false" outlineLevel="0" collapsed="false">
      <c r="A790" s="1318"/>
      <c r="B790" s="1318"/>
      <c r="C790" s="1318"/>
      <c r="D790" s="1315"/>
      <c r="E790" s="1315"/>
      <c r="F790" s="1315"/>
    </row>
    <row r="791" customFormat="false" ht="12.75" hidden="false" customHeight="false" outlineLevel="0" collapsed="false">
      <c r="A791" s="1318"/>
      <c r="B791" s="1318"/>
      <c r="C791" s="1318"/>
      <c r="D791" s="1315"/>
      <c r="E791" s="1315"/>
      <c r="F791" s="1315"/>
    </row>
    <row r="792" customFormat="false" ht="12.75" hidden="false" customHeight="false" outlineLevel="0" collapsed="false">
      <c r="A792" s="1318"/>
      <c r="B792" s="1318"/>
      <c r="C792" s="1318"/>
      <c r="D792" s="1315"/>
      <c r="E792" s="1315"/>
      <c r="F792" s="1315"/>
    </row>
    <row r="793" customFormat="false" ht="12.75" hidden="false" customHeight="false" outlineLevel="0" collapsed="false">
      <c r="A793" s="1318"/>
      <c r="B793" s="1318"/>
      <c r="C793" s="1318"/>
      <c r="D793" s="1315"/>
      <c r="E793" s="1315"/>
      <c r="F793" s="1315"/>
    </row>
    <row r="794" customFormat="false" ht="12.75" hidden="false" customHeight="false" outlineLevel="0" collapsed="false">
      <c r="A794" s="1318"/>
      <c r="B794" s="1318"/>
      <c r="C794" s="1318"/>
      <c r="D794" s="1315"/>
      <c r="E794" s="1315"/>
      <c r="F794" s="1315"/>
    </row>
    <row r="795" customFormat="false" ht="12.75" hidden="false" customHeight="false" outlineLevel="0" collapsed="false">
      <c r="A795" s="1318"/>
      <c r="B795" s="1318"/>
      <c r="C795" s="1318"/>
      <c r="D795" s="1315"/>
      <c r="E795" s="1315"/>
      <c r="F795" s="1315"/>
    </row>
    <row r="796" customFormat="false" ht="12.75" hidden="false" customHeight="false" outlineLevel="0" collapsed="false">
      <c r="A796" s="1318"/>
      <c r="B796" s="1318"/>
      <c r="C796" s="1318"/>
      <c r="D796" s="1315"/>
      <c r="E796" s="1315"/>
      <c r="F796" s="1315"/>
    </row>
    <row r="797" customFormat="false" ht="12.75" hidden="false" customHeight="false" outlineLevel="0" collapsed="false">
      <c r="A797" s="1318"/>
      <c r="B797" s="1318"/>
      <c r="C797" s="1318"/>
      <c r="D797" s="1315"/>
      <c r="E797" s="1315"/>
      <c r="F797" s="1315"/>
    </row>
    <row r="798" customFormat="false" ht="12.75" hidden="false" customHeight="false" outlineLevel="0" collapsed="false">
      <c r="A798" s="1318"/>
      <c r="B798" s="1318"/>
      <c r="C798" s="1318"/>
      <c r="D798" s="1315"/>
      <c r="E798" s="1315"/>
      <c r="F798" s="1315"/>
    </row>
    <row r="799" customFormat="false" ht="12.75" hidden="false" customHeight="false" outlineLevel="0" collapsed="false">
      <c r="A799" s="1318"/>
      <c r="B799" s="1318"/>
      <c r="C799" s="1318"/>
      <c r="D799" s="1315"/>
      <c r="E799" s="1315"/>
      <c r="F799" s="1315"/>
    </row>
    <row r="800" customFormat="false" ht="12.75" hidden="false" customHeight="false" outlineLevel="0" collapsed="false">
      <c r="A800" s="1318"/>
      <c r="B800" s="1318"/>
      <c r="C800" s="1318"/>
      <c r="D800" s="1315"/>
      <c r="E800" s="1315"/>
      <c r="F800" s="1315"/>
    </row>
    <row r="801" customFormat="false" ht="12.75" hidden="false" customHeight="false" outlineLevel="0" collapsed="false">
      <c r="A801" s="1318"/>
      <c r="B801" s="1318"/>
      <c r="C801" s="1318"/>
      <c r="D801" s="1315"/>
      <c r="E801" s="1315"/>
      <c r="F801" s="1315"/>
    </row>
    <row r="802" customFormat="false" ht="12.75" hidden="false" customHeight="false" outlineLevel="0" collapsed="false">
      <c r="A802" s="1318"/>
      <c r="B802" s="1318"/>
      <c r="C802" s="1318"/>
      <c r="D802" s="1315"/>
      <c r="E802" s="1315"/>
      <c r="F802" s="1315"/>
    </row>
    <row r="803" customFormat="false" ht="12.75" hidden="false" customHeight="false" outlineLevel="0" collapsed="false">
      <c r="A803" s="1318"/>
      <c r="B803" s="1318"/>
      <c r="C803" s="1318"/>
      <c r="D803" s="1315"/>
      <c r="E803" s="1315"/>
      <c r="F803" s="1315"/>
    </row>
    <row r="804" customFormat="false" ht="12.75" hidden="false" customHeight="false" outlineLevel="0" collapsed="false">
      <c r="A804" s="1318"/>
      <c r="B804" s="1318"/>
      <c r="C804" s="1318"/>
      <c r="D804" s="1315"/>
      <c r="E804" s="1315"/>
      <c r="F804" s="1315"/>
    </row>
    <row r="805" customFormat="false" ht="12.75" hidden="false" customHeight="false" outlineLevel="0" collapsed="false">
      <c r="A805" s="1318"/>
      <c r="B805" s="1318"/>
      <c r="C805" s="1318"/>
      <c r="D805" s="1315"/>
      <c r="E805" s="1315"/>
      <c r="F805" s="1315"/>
    </row>
    <row r="806" customFormat="false" ht="12.75" hidden="false" customHeight="false" outlineLevel="0" collapsed="false">
      <c r="A806" s="1318"/>
      <c r="B806" s="1318"/>
      <c r="C806" s="1318"/>
      <c r="D806" s="1315"/>
      <c r="E806" s="1315"/>
      <c r="F806" s="1315"/>
    </row>
    <row r="807" customFormat="false" ht="12.75" hidden="false" customHeight="false" outlineLevel="0" collapsed="false">
      <c r="A807" s="1318"/>
      <c r="B807" s="1318"/>
      <c r="C807" s="1318"/>
      <c r="D807" s="1315"/>
      <c r="E807" s="1315"/>
      <c r="F807" s="1315"/>
    </row>
    <row r="808" customFormat="false" ht="12.75" hidden="false" customHeight="false" outlineLevel="0" collapsed="false">
      <c r="A808" s="1318"/>
      <c r="B808" s="1318"/>
      <c r="C808" s="1318"/>
      <c r="D808" s="1315"/>
      <c r="E808" s="1315"/>
      <c r="F808" s="1315"/>
    </row>
    <row r="809" customFormat="false" ht="12.75" hidden="false" customHeight="false" outlineLevel="0" collapsed="false">
      <c r="A809" s="1318"/>
      <c r="B809" s="1318"/>
      <c r="C809" s="1318"/>
      <c r="D809" s="1315"/>
      <c r="E809" s="1315"/>
      <c r="F809" s="1315"/>
    </row>
    <row r="810" customFormat="false" ht="12.75" hidden="false" customHeight="false" outlineLevel="0" collapsed="false">
      <c r="A810" s="1318"/>
      <c r="B810" s="1318"/>
      <c r="C810" s="1318"/>
      <c r="D810" s="1315"/>
      <c r="E810" s="1315"/>
      <c r="F810" s="1315"/>
    </row>
    <row r="811" customFormat="false" ht="12.75" hidden="false" customHeight="false" outlineLevel="0" collapsed="false">
      <c r="A811" s="1318"/>
      <c r="B811" s="1318"/>
      <c r="C811" s="1318"/>
      <c r="D811" s="1315"/>
      <c r="E811" s="1315"/>
      <c r="F811" s="1315"/>
    </row>
    <row r="812" customFormat="false" ht="12.75" hidden="false" customHeight="false" outlineLevel="0" collapsed="false">
      <c r="A812" s="1318"/>
      <c r="B812" s="1318"/>
      <c r="C812" s="1318"/>
      <c r="D812" s="1315"/>
      <c r="E812" s="1315"/>
      <c r="F812" s="1315"/>
    </row>
    <row r="813" customFormat="false" ht="12.75" hidden="false" customHeight="false" outlineLevel="0" collapsed="false">
      <c r="A813" s="1318"/>
      <c r="B813" s="1318"/>
      <c r="C813" s="1318"/>
      <c r="D813" s="1315"/>
      <c r="E813" s="1315"/>
      <c r="F813" s="1315"/>
    </row>
    <row r="814" customFormat="false" ht="12.75" hidden="false" customHeight="false" outlineLevel="0" collapsed="false">
      <c r="A814" s="1318"/>
      <c r="B814" s="1318"/>
      <c r="C814" s="1318"/>
      <c r="D814" s="1315"/>
      <c r="E814" s="1315"/>
      <c r="F814" s="1315"/>
    </row>
    <row r="815" customFormat="false" ht="12.75" hidden="false" customHeight="false" outlineLevel="0" collapsed="false">
      <c r="A815" s="1318"/>
      <c r="B815" s="1318"/>
      <c r="C815" s="1318"/>
      <c r="D815" s="1315"/>
      <c r="E815" s="1315"/>
      <c r="F815" s="1315"/>
    </row>
    <row r="816" customFormat="false" ht="12.75" hidden="false" customHeight="false" outlineLevel="0" collapsed="false">
      <c r="A816" s="1318"/>
      <c r="B816" s="1318"/>
      <c r="C816" s="1318"/>
      <c r="D816" s="1315"/>
      <c r="E816" s="1315"/>
      <c r="F816" s="1315"/>
    </row>
    <row r="817" customFormat="false" ht="12.75" hidden="false" customHeight="false" outlineLevel="0" collapsed="false">
      <c r="A817" s="1318"/>
      <c r="B817" s="1318"/>
      <c r="C817" s="1318"/>
      <c r="D817" s="1315"/>
      <c r="E817" s="1315"/>
      <c r="F817" s="1315"/>
    </row>
    <row r="818" customFormat="false" ht="12.75" hidden="false" customHeight="false" outlineLevel="0" collapsed="false">
      <c r="A818" s="1318"/>
      <c r="B818" s="1318"/>
      <c r="C818" s="1318"/>
      <c r="D818" s="1315"/>
      <c r="E818" s="1315"/>
      <c r="F818" s="1315"/>
    </row>
    <row r="819" customFormat="false" ht="12.75" hidden="false" customHeight="false" outlineLevel="0" collapsed="false">
      <c r="A819" s="1318"/>
      <c r="B819" s="1318"/>
      <c r="C819" s="1318"/>
      <c r="D819" s="1315"/>
      <c r="E819" s="1315"/>
      <c r="F819" s="1315"/>
    </row>
    <row r="820" customFormat="false" ht="12.75" hidden="false" customHeight="false" outlineLevel="0" collapsed="false">
      <c r="A820" s="1318"/>
      <c r="B820" s="1318"/>
      <c r="C820" s="1318"/>
      <c r="D820" s="1315"/>
      <c r="E820" s="1315"/>
      <c r="F820" s="1315"/>
    </row>
    <row r="821" customFormat="false" ht="12.75" hidden="false" customHeight="false" outlineLevel="0" collapsed="false">
      <c r="A821" s="1318"/>
      <c r="B821" s="1318"/>
      <c r="C821" s="1318"/>
      <c r="D821" s="1315"/>
      <c r="E821" s="1315"/>
      <c r="F821" s="1315"/>
    </row>
    <row r="822" customFormat="false" ht="12.75" hidden="false" customHeight="false" outlineLevel="0" collapsed="false">
      <c r="A822" s="1318"/>
      <c r="B822" s="1318"/>
      <c r="C822" s="1318"/>
      <c r="D822" s="1315"/>
      <c r="E822" s="1315"/>
      <c r="F822" s="1315"/>
    </row>
    <row r="823" customFormat="false" ht="12.75" hidden="false" customHeight="false" outlineLevel="0" collapsed="false">
      <c r="A823" s="1318"/>
      <c r="B823" s="1318"/>
      <c r="C823" s="1318"/>
      <c r="D823" s="1315"/>
      <c r="E823" s="1315"/>
      <c r="F823" s="1315"/>
    </row>
    <row r="824" customFormat="false" ht="12.75" hidden="false" customHeight="false" outlineLevel="0" collapsed="false">
      <c r="A824" s="1318"/>
      <c r="B824" s="1318"/>
      <c r="C824" s="1318"/>
      <c r="D824" s="1315"/>
      <c r="E824" s="1315"/>
      <c r="F824" s="1315"/>
    </row>
    <row r="825" customFormat="false" ht="12.75" hidden="false" customHeight="false" outlineLevel="0" collapsed="false">
      <c r="A825" s="1318"/>
      <c r="B825" s="1318"/>
      <c r="C825" s="1318"/>
      <c r="D825" s="1315"/>
      <c r="E825" s="1315"/>
      <c r="F825" s="1315"/>
    </row>
    <row r="826" customFormat="false" ht="12.75" hidden="false" customHeight="false" outlineLevel="0" collapsed="false">
      <c r="A826" s="1318"/>
      <c r="B826" s="1318"/>
      <c r="C826" s="1318"/>
      <c r="D826" s="1315"/>
      <c r="E826" s="1315"/>
      <c r="F826" s="1315"/>
    </row>
    <row r="827" customFormat="false" ht="12.75" hidden="false" customHeight="false" outlineLevel="0" collapsed="false">
      <c r="A827" s="1318"/>
      <c r="B827" s="1318"/>
      <c r="C827" s="1318"/>
      <c r="D827" s="1315"/>
      <c r="E827" s="1315"/>
      <c r="F827" s="1315"/>
    </row>
    <row r="828" customFormat="false" ht="12.75" hidden="false" customHeight="false" outlineLevel="0" collapsed="false">
      <c r="A828" s="1318"/>
      <c r="B828" s="1318"/>
      <c r="C828" s="1318"/>
      <c r="D828" s="1315"/>
      <c r="E828" s="1315"/>
      <c r="F828" s="1315"/>
    </row>
    <row r="829" customFormat="false" ht="12.75" hidden="false" customHeight="false" outlineLevel="0" collapsed="false">
      <c r="A829" s="1318"/>
      <c r="B829" s="1318"/>
      <c r="C829" s="1318"/>
      <c r="D829" s="1315"/>
      <c r="E829" s="1315"/>
      <c r="F829" s="1315"/>
    </row>
    <row r="830" customFormat="false" ht="12.75" hidden="false" customHeight="false" outlineLevel="0" collapsed="false">
      <c r="A830" s="1318"/>
      <c r="B830" s="1318"/>
      <c r="C830" s="1318"/>
      <c r="D830" s="1315"/>
      <c r="E830" s="1315"/>
      <c r="F830" s="1315"/>
    </row>
    <row r="831" customFormat="false" ht="12.75" hidden="false" customHeight="false" outlineLevel="0" collapsed="false">
      <c r="A831" s="1318"/>
      <c r="B831" s="1318"/>
      <c r="C831" s="1318"/>
      <c r="D831" s="1315"/>
      <c r="E831" s="1315"/>
      <c r="F831" s="1315"/>
    </row>
    <row r="832" customFormat="false" ht="12.75" hidden="false" customHeight="false" outlineLevel="0" collapsed="false">
      <c r="A832" s="1318"/>
      <c r="B832" s="1318"/>
      <c r="C832" s="1318"/>
      <c r="D832" s="1315"/>
      <c r="E832" s="1315"/>
      <c r="F832" s="1315"/>
    </row>
    <row r="833" customFormat="false" ht="12.75" hidden="false" customHeight="false" outlineLevel="0" collapsed="false">
      <c r="A833" s="1318"/>
      <c r="B833" s="1318"/>
      <c r="C833" s="1318"/>
      <c r="D833" s="1315"/>
      <c r="E833" s="1315"/>
      <c r="F833" s="1315"/>
    </row>
    <row r="834" customFormat="false" ht="12.75" hidden="false" customHeight="false" outlineLevel="0" collapsed="false">
      <c r="A834" s="1318"/>
      <c r="B834" s="1318"/>
      <c r="C834" s="1318"/>
      <c r="D834" s="1315"/>
      <c r="E834" s="1315"/>
      <c r="F834" s="1315"/>
    </row>
    <row r="835" customFormat="false" ht="12.75" hidden="false" customHeight="false" outlineLevel="0" collapsed="false">
      <c r="A835" s="1318"/>
      <c r="B835" s="1318"/>
      <c r="C835" s="1318"/>
      <c r="D835" s="1315"/>
      <c r="E835" s="1315"/>
      <c r="F835" s="1315"/>
    </row>
    <row r="836" customFormat="false" ht="12.75" hidden="false" customHeight="false" outlineLevel="0" collapsed="false">
      <c r="A836" s="1318"/>
      <c r="B836" s="1318"/>
      <c r="C836" s="1318"/>
      <c r="D836" s="1315"/>
      <c r="E836" s="1315"/>
      <c r="F836" s="1315"/>
    </row>
    <row r="837" customFormat="false" ht="12.75" hidden="false" customHeight="false" outlineLevel="0" collapsed="false">
      <c r="A837" s="1318"/>
      <c r="B837" s="1318"/>
      <c r="C837" s="1318"/>
      <c r="D837" s="1315"/>
      <c r="E837" s="1315"/>
      <c r="F837" s="1315"/>
    </row>
    <row r="838" customFormat="false" ht="12.75" hidden="false" customHeight="false" outlineLevel="0" collapsed="false">
      <c r="A838" s="1318"/>
      <c r="B838" s="1318"/>
      <c r="C838" s="1318"/>
      <c r="D838" s="1315"/>
      <c r="E838" s="1315"/>
      <c r="F838" s="1315"/>
    </row>
    <row r="839" customFormat="false" ht="12.75" hidden="false" customHeight="false" outlineLevel="0" collapsed="false">
      <c r="A839" s="1318"/>
      <c r="B839" s="1318"/>
      <c r="C839" s="1318"/>
      <c r="D839" s="1315"/>
      <c r="E839" s="1315"/>
      <c r="F839" s="1315"/>
    </row>
    <row r="840" customFormat="false" ht="12.75" hidden="false" customHeight="false" outlineLevel="0" collapsed="false">
      <c r="A840" s="1318"/>
      <c r="B840" s="1318"/>
      <c r="C840" s="1318"/>
      <c r="D840" s="1315"/>
      <c r="E840" s="1315"/>
      <c r="F840" s="1315"/>
    </row>
    <row r="841" customFormat="false" ht="12.75" hidden="false" customHeight="false" outlineLevel="0" collapsed="false">
      <c r="A841" s="1318"/>
      <c r="B841" s="1318"/>
      <c r="C841" s="1318"/>
      <c r="D841" s="1315"/>
      <c r="E841" s="1315"/>
      <c r="F841" s="1315"/>
    </row>
    <row r="842" customFormat="false" ht="12.75" hidden="false" customHeight="false" outlineLevel="0" collapsed="false">
      <c r="A842" s="1318"/>
      <c r="B842" s="1318"/>
      <c r="C842" s="1318"/>
      <c r="D842" s="1315"/>
      <c r="E842" s="1315"/>
      <c r="F842" s="1315"/>
    </row>
    <row r="843" customFormat="false" ht="12.75" hidden="false" customHeight="false" outlineLevel="0" collapsed="false">
      <c r="A843" s="1318"/>
      <c r="B843" s="1318"/>
      <c r="C843" s="1318"/>
      <c r="D843" s="1315"/>
      <c r="E843" s="1315"/>
      <c r="F843" s="1315"/>
    </row>
    <row r="844" customFormat="false" ht="12.75" hidden="false" customHeight="false" outlineLevel="0" collapsed="false">
      <c r="A844" s="1318"/>
      <c r="B844" s="1318"/>
      <c r="C844" s="1318"/>
      <c r="D844" s="1315"/>
      <c r="E844" s="1315"/>
      <c r="F844" s="1315"/>
    </row>
    <row r="845" customFormat="false" ht="12.75" hidden="false" customHeight="false" outlineLevel="0" collapsed="false">
      <c r="A845" s="1318"/>
      <c r="B845" s="1318"/>
      <c r="C845" s="1318"/>
      <c r="D845" s="1315"/>
      <c r="E845" s="1315"/>
      <c r="F845" s="1315"/>
    </row>
    <row r="846" customFormat="false" ht="12.75" hidden="false" customHeight="false" outlineLevel="0" collapsed="false">
      <c r="A846" s="1318"/>
      <c r="B846" s="1318"/>
      <c r="C846" s="1318"/>
      <c r="D846" s="1315"/>
      <c r="E846" s="1315"/>
      <c r="F846" s="1315"/>
    </row>
    <row r="847" customFormat="false" ht="12.75" hidden="false" customHeight="false" outlineLevel="0" collapsed="false">
      <c r="A847" s="1318"/>
      <c r="B847" s="1318"/>
      <c r="C847" s="1318"/>
      <c r="D847" s="1315"/>
      <c r="E847" s="1315"/>
      <c r="F847" s="1315"/>
    </row>
    <row r="848" customFormat="false" ht="12.75" hidden="false" customHeight="false" outlineLevel="0" collapsed="false">
      <c r="A848" s="1318"/>
      <c r="B848" s="1318"/>
      <c r="C848" s="1318"/>
      <c r="D848" s="1315"/>
      <c r="E848" s="1315"/>
      <c r="F848" s="1315"/>
    </row>
    <row r="849" customFormat="false" ht="12.75" hidden="false" customHeight="false" outlineLevel="0" collapsed="false">
      <c r="A849" s="1318"/>
      <c r="B849" s="1318"/>
      <c r="C849" s="1318"/>
      <c r="D849" s="1315"/>
      <c r="E849" s="1315"/>
      <c r="F849" s="1315"/>
    </row>
    <row r="850" customFormat="false" ht="12.75" hidden="false" customHeight="false" outlineLevel="0" collapsed="false">
      <c r="A850" s="1318"/>
      <c r="B850" s="1318"/>
      <c r="C850" s="1318"/>
      <c r="D850" s="1315"/>
      <c r="E850" s="1315"/>
      <c r="F850" s="1315"/>
    </row>
    <row r="851" customFormat="false" ht="12.75" hidden="false" customHeight="false" outlineLevel="0" collapsed="false">
      <c r="A851" s="1318"/>
      <c r="B851" s="1318"/>
      <c r="C851" s="1318"/>
      <c r="D851" s="1315"/>
      <c r="E851" s="1315"/>
      <c r="F851" s="1315"/>
    </row>
    <row r="852" customFormat="false" ht="12.75" hidden="false" customHeight="false" outlineLevel="0" collapsed="false">
      <c r="A852" s="1318"/>
      <c r="B852" s="1318"/>
      <c r="C852" s="1318"/>
      <c r="D852" s="1315"/>
      <c r="E852" s="1315"/>
      <c r="F852" s="1315"/>
    </row>
    <row r="853" customFormat="false" ht="12.75" hidden="false" customHeight="false" outlineLevel="0" collapsed="false">
      <c r="A853" s="1318"/>
      <c r="B853" s="1318"/>
      <c r="C853" s="1318"/>
      <c r="D853" s="1315"/>
      <c r="E853" s="1315"/>
      <c r="F853" s="1315"/>
    </row>
    <row r="854" customFormat="false" ht="12.75" hidden="false" customHeight="false" outlineLevel="0" collapsed="false">
      <c r="A854" s="1318"/>
      <c r="B854" s="1318"/>
      <c r="C854" s="1318"/>
      <c r="D854" s="1315"/>
      <c r="E854" s="1315"/>
      <c r="F854" s="1315"/>
    </row>
    <row r="855" customFormat="false" ht="12.75" hidden="false" customHeight="false" outlineLevel="0" collapsed="false">
      <c r="A855" s="1318"/>
      <c r="B855" s="1318"/>
      <c r="C855" s="1318"/>
      <c r="D855" s="1315"/>
      <c r="E855" s="1315"/>
      <c r="F855" s="1315"/>
    </row>
    <row r="856" customFormat="false" ht="12.75" hidden="false" customHeight="false" outlineLevel="0" collapsed="false">
      <c r="A856" s="1318"/>
      <c r="B856" s="1318"/>
      <c r="C856" s="1318"/>
      <c r="D856" s="1315"/>
      <c r="E856" s="1315"/>
      <c r="F856" s="1315"/>
    </row>
    <row r="857" customFormat="false" ht="12.75" hidden="false" customHeight="false" outlineLevel="0" collapsed="false">
      <c r="A857" s="1318"/>
      <c r="B857" s="1318"/>
      <c r="C857" s="1318"/>
      <c r="D857" s="1315"/>
      <c r="E857" s="1315"/>
      <c r="F857" s="1315"/>
    </row>
    <row r="858" customFormat="false" ht="12.75" hidden="false" customHeight="false" outlineLevel="0" collapsed="false">
      <c r="A858" s="1318"/>
      <c r="B858" s="1318"/>
      <c r="C858" s="1318"/>
      <c r="D858" s="1315"/>
      <c r="E858" s="1315"/>
      <c r="F858" s="1315"/>
    </row>
    <row r="859" customFormat="false" ht="12.75" hidden="false" customHeight="false" outlineLevel="0" collapsed="false">
      <c r="A859" s="1318"/>
      <c r="B859" s="1318"/>
      <c r="C859" s="1318"/>
      <c r="D859" s="1315"/>
      <c r="E859" s="1315"/>
      <c r="F859" s="1315"/>
    </row>
    <row r="860" customFormat="false" ht="12.75" hidden="false" customHeight="false" outlineLevel="0" collapsed="false">
      <c r="A860" s="1318"/>
      <c r="B860" s="1318"/>
      <c r="C860" s="1318"/>
      <c r="D860" s="1315"/>
      <c r="E860" s="1315"/>
      <c r="F860" s="1315"/>
    </row>
    <row r="861" customFormat="false" ht="12.75" hidden="false" customHeight="false" outlineLevel="0" collapsed="false">
      <c r="A861" s="1318"/>
      <c r="B861" s="1318"/>
      <c r="C861" s="1318"/>
      <c r="D861" s="1315"/>
      <c r="E861" s="1315"/>
      <c r="F861" s="1315"/>
    </row>
    <row r="862" customFormat="false" ht="12.75" hidden="false" customHeight="false" outlineLevel="0" collapsed="false">
      <c r="A862" s="1318"/>
      <c r="B862" s="1318"/>
      <c r="C862" s="1318"/>
      <c r="D862" s="1315"/>
      <c r="E862" s="1315"/>
      <c r="F862" s="1315"/>
    </row>
    <row r="863" customFormat="false" ht="12.75" hidden="false" customHeight="false" outlineLevel="0" collapsed="false">
      <c r="A863" s="1318"/>
      <c r="B863" s="1318"/>
      <c r="C863" s="1318"/>
      <c r="D863" s="1315"/>
      <c r="E863" s="1315"/>
      <c r="F863" s="1315"/>
    </row>
    <row r="864" customFormat="false" ht="12.75" hidden="false" customHeight="false" outlineLevel="0" collapsed="false">
      <c r="A864" s="1318"/>
      <c r="B864" s="1318"/>
      <c r="C864" s="1318"/>
      <c r="D864" s="1315"/>
      <c r="E864" s="1315"/>
      <c r="F864" s="1315"/>
    </row>
    <row r="865" customFormat="false" ht="12.75" hidden="false" customHeight="false" outlineLevel="0" collapsed="false">
      <c r="A865" s="1318"/>
      <c r="B865" s="1318"/>
      <c r="C865" s="1318"/>
      <c r="D865" s="1315"/>
      <c r="E865" s="1315"/>
      <c r="F865" s="1315"/>
    </row>
    <row r="866" customFormat="false" ht="12.75" hidden="false" customHeight="false" outlineLevel="0" collapsed="false">
      <c r="A866" s="1318"/>
      <c r="B866" s="1318"/>
      <c r="C866" s="1318"/>
      <c r="D866" s="1315"/>
      <c r="E866" s="1315"/>
      <c r="F866" s="1315"/>
    </row>
    <row r="867" customFormat="false" ht="12.75" hidden="false" customHeight="false" outlineLevel="0" collapsed="false">
      <c r="A867" s="1318"/>
      <c r="B867" s="1318"/>
      <c r="C867" s="1318"/>
      <c r="D867" s="1315"/>
      <c r="E867" s="1315"/>
      <c r="F867" s="1315"/>
    </row>
    <row r="868" customFormat="false" ht="12.75" hidden="false" customHeight="false" outlineLevel="0" collapsed="false">
      <c r="A868" s="1318"/>
      <c r="B868" s="1318"/>
      <c r="C868" s="1318"/>
      <c r="D868" s="1315"/>
      <c r="E868" s="1315"/>
      <c r="F868" s="1315"/>
    </row>
    <row r="869" customFormat="false" ht="12.75" hidden="false" customHeight="false" outlineLevel="0" collapsed="false">
      <c r="A869" s="1318"/>
      <c r="B869" s="1318"/>
      <c r="C869" s="1318"/>
      <c r="D869" s="1315"/>
      <c r="E869" s="1315"/>
      <c r="F869" s="1315"/>
    </row>
    <row r="870" customFormat="false" ht="12.75" hidden="false" customHeight="false" outlineLevel="0" collapsed="false">
      <c r="A870" s="1318"/>
      <c r="B870" s="1318"/>
      <c r="C870" s="1318"/>
      <c r="D870" s="1315"/>
      <c r="E870" s="1315"/>
      <c r="F870" s="1315"/>
    </row>
    <row r="871" customFormat="false" ht="12.75" hidden="false" customHeight="false" outlineLevel="0" collapsed="false">
      <c r="A871" s="1318"/>
      <c r="B871" s="1318"/>
      <c r="C871" s="1318"/>
      <c r="D871" s="1315"/>
      <c r="E871" s="1315"/>
      <c r="F871" s="1315"/>
    </row>
    <row r="872" customFormat="false" ht="12.75" hidden="false" customHeight="false" outlineLevel="0" collapsed="false">
      <c r="A872" s="1318"/>
      <c r="B872" s="1318"/>
      <c r="C872" s="1318"/>
      <c r="D872" s="1315"/>
      <c r="E872" s="1315"/>
      <c r="F872" s="1315"/>
    </row>
    <row r="873" customFormat="false" ht="12.75" hidden="false" customHeight="false" outlineLevel="0" collapsed="false">
      <c r="A873" s="1318"/>
      <c r="B873" s="1318"/>
      <c r="C873" s="1318"/>
      <c r="D873" s="1315"/>
      <c r="E873" s="1315"/>
      <c r="F873" s="1315"/>
    </row>
    <row r="874" customFormat="false" ht="12.75" hidden="false" customHeight="false" outlineLevel="0" collapsed="false">
      <c r="A874" s="1318"/>
      <c r="B874" s="1318"/>
      <c r="C874" s="1318"/>
      <c r="D874" s="1315"/>
      <c r="E874" s="1315"/>
      <c r="F874" s="1315"/>
    </row>
    <row r="875" customFormat="false" ht="12.75" hidden="false" customHeight="false" outlineLevel="0" collapsed="false">
      <c r="A875" s="1318"/>
      <c r="B875" s="1318"/>
      <c r="C875" s="1318"/>
      <c r="D875" s="1315"/>
      <c r="E875" s="1315"/>
      <c r="F875" s="1315"/>
    </row>
    <row r="876" customFormat="false" ht="12.75" hidden="false" customHeight="false" outlineLevel="0" collapsed="false">
      <c r="A876" s="1318"/>
      <c r="B876" s="1318"/>
      <c r="C876" s="1318"/>
      <c r="D876" s="1315"/>
      <c r="E876" s="1315"/>
      <c r="F876" s="1315"/>
    </row>
    <row r="877" customFormat="false" ht="12.75" hidden="false" customHeight="false" outlineLevel="0" collapsed="false">
      <c r="A877" s="1318"/>
      <c r="B877" s="1318"/>
      <c r="C877" s="1318"/>
      <c r="D877" s="1315"/>
      <c r="E877" s="1315"/>
      <c r="F877" s="1315"/>
    </row>
    <row r="878" customFormat="false" ht="12.75" hidden="false" customHeight="false" outlineLevel="0" collapsed="false">
      <c r="A878" s="1318"/>
      <c r="B878" s="1318"/>
      <c r="C878" s="1318"/>
      <c r="D878" s="1315"/>
      <c r="E878" s="1315"/>
      <c r="F878" s="1315"/>
    </row>
    <row r="879" customFormat="false" ht="12.75" hidden="false" customHeight="false" outlineLevel="0" collapsed="false">
      <c r="A879" s="1318"/>
      <c r="B879" s="1318"/>
      <c r="C879" s="1318"/>
      <c r="D879" s="1315"/>
      <c r="E879" s="1315"/>
      <c r="F879" s="1315"/>
    </row>
    <row r="880" customFormat="false" ht="12.75" hidden="false" customHeight="false" outlineLevel="0" collapsed="false">
      <c r="A880" s="1318"/>
      <c r="B880" s="1318"/>
      <c r="C880" s="1318"/>
      <c r="D880" s="1315"/>
      <c r="E880" s="1315"/>
      <c r="F880" s="1315"/>
    </row>
    <row r="881" customFormat="false" ht="12.75" hidden="false" customHeight="false" outlineLevel="0" collapsed="false">
      <c r="A881" s="1318"/>
      <c r="B881" s="1318"/>
      <c r="C881" s="1318"/>
      <c r="D881" s="1315"/>
      <c r="E881" s="1315"/>
      <c r="F881" s="1315"/>
    </row>
    <row r="882" customFormat="false" ht="12.75" hidden="false" customHeight="false" outlineLevel="0" collapsed="false">
      <c r="A882" s="1318"/>
      <c r="B882" s="1318"/>
      <c r="C882" s="1318"/>
      <c r="D882" s="1315"/>
      <c r="E882" s="1315"/>
      <c r="F882" s="1315"/>
    </row>
    <row r="883" customFormat="false" ht="12.75" hidden="false" customHeight="false" outlineLevel="0" collapsed="false">
      <c r="A883" s="1318"/>
      <c r="B883" s="1318"/>
      <c r="C883" s="1318"/>
      <c r="D883" s="1315"/>
      <c r="E883" s="1315"/>
      <c r="F883" s="1315"/>
    </row>
    <row r="884" customFormat="false" ht="12.75" hidden="false" customHeight="false" outlineLevel="0" collapsed="false">
      <c r="A884" s="1318"/>
      <c r="B884" s="1318"/>
      <c r="C884" s="1318"/>
      <c r="D884" s="1315"/>
      <c r="E884" s="1315"/>
      <c r="F884" s="1315"/>
    </row>
    <row r="885" customFormat="false" ht="12.75" hidden="false" customHeight="false" outlineLevel="0" collapsed="false">
      <c r="A885" s="1318"/>
      <c r="B885" s="1318"/>
      <c r="C885" s="1318"/>
      <c r="D885" s="1315"/>
      <c r="E885" s="1315"/>
      <c r="F885" s="1315"/>
    </row>
    <row r="886" customFormat="false" ht="12.75" hidden="false" customHeight="false" outlineLevel="0" collapsed="false">
      <c r="A886" s="1318"/>
      <c r="B886" s="1318"/>
      <c r="C886" s="1318"/>
      <c r="D886" s="1315"/>
      <c r="E886" s="1315"/>
      <c r="F886" s="1315"/>
    </row>
    <row r="887" customFormat="false" ht="12.75" hidden="false" customHeight="false" outlineLevel="0" collapsed="false">
      <c r="A887" s="1318"/>
      <c r="B887" s="1318"/>
      <c r="C887" s="1318"/>
      <c r="D887" s="1315"/>
      <c r="E887" s="1315"/>
      <c r="F887" s="1315"/>
    </row>
    <row r="888" customFormat="false" ht="12.75" hidden="false" customHeight="false" outlineLevel="0" collapsed="false">
      <c r="A888" s="1318"/>
      <c r="B888" s="1318"/>
      <c r="C888" s="1318"/>
      <c r="D888" s="1315"/>
      <c r="E888" s="1315"/>
      <c r="F888" s="1315"/>
    </row>
    <row r="889" customFormat="false" ht="12.75" hidden="false" customHeight="false" outlineLevel="0" collapsed="false">
      <c r="A889" s="1318"/>
      <c r="B889" s="1318"/>
      <c r="C889" s="1318"/>
      <c r="D889" s="1315"/>
      <c r="E889" s="1315"/>
      <c r="F889" s="1315"/>
    </row>
    <row r="890" customFormat="false" ht="12.75" hidden="false" customHeight="false" outlineLevel="0" collapsed="false">
      <c r="A890" s="1318"/>
      <c r="B890" s="1318"/>
      <c r="C890" s="1318"/>
      <c r="D890" s="1315"/>
      <c r="E890" s="1315"/>
      <c r="F890" s="1315"/>
    </row>
    <row r="891" customFormat="false" ht="12.75" hidden="false" customHeight="false" outlineLevel="0" collapsed="false">
      <c r="A891" s="1318"/>
      <c r="B891" s="1318"/>
      <c r="C891" s="1318"/>
      <c r="D891" s="1315"/>
      <c r="E891" s="1315"/>
      <c r="F891" s="1315"/>
    </row>
    <row r="892" customFormat="false" ht="12.75" hidden="false" customHeight="false" outlineLevel="0" collapsed="false">
      <c r="A892" s="1318"/>
      <c r="B892" s="1318"/>
      <c r="C892" s="1318"/>
      <c r="D892" s="1315"/>
      <c r="E892" s="1315"/>
      <c r="F892" s="1315"/>
    </row>
    <row r="893" customFormat="false" ht="12.75" hidden="false" customHeight="false" outlineLevel="0" collapsed="false">
      <c r="A893" s="1318"/>
      <c r="B893" s="1318"/>
      <c r="C893" s="1318"/>
      <c r="D893" s="1315"/>
      <c r="E893" s="1315"/>
      <c r="F893" s="1315"/>
    </row>
    <row r="894" customFormat="false" ht="12.75" hidden="false" customHeight="false" outlineLevel="0" collapsed="false">
      <c r="A894" s="1318"/>
      <c r="B894" s="1318"/>
      <c r="C894" s="1318"/>
      <c r="D894" s="1315"/>
      <c r="E894" s="1315"/>
      <c r="F894" s="1315"/>
    </row>
    <row r="895" customFormat="false" ht="12.75" hidden="false" customHeight="false" outlineLevel="0" collapsed="false">
      <c r="A895" s="1318"/>
      <c r="B895" s="1318"/>
      <c r="C895" s="1318"/>
      <c r="D895" s="1315"/>
      <c r="E895" s="1315"/>
      <c r="F895" s="1315"/>
    </row>
    <row r="896" customFormat="false" ht="12.75" hidden="false" customHeight="false" outlineLevel="0" collapsed="false">
      <c r="A896" s="1318"/>
      <c r="B896" s="1318"/>
      <c r="C896" s="1318"/>
      <c r="D896" s="1315"/>
      <c r="E896" s="1315"/>
      <c r="F896" s="1315"/>
    </row>
    <row r="897" customFormat="false" ht="12.75" hidden="false" customHeight="false" outlineLevel="0" collapsed="false">
      <c r="A897" s="1318"/>
      <c r="B897" s="1318"/>
      <c r="C897" s="1318"/>
      <c r="D897" s="1315"/>
      <c r="E897" s="1315"/>
      <c r="F897" s="1315"/>
    </row>
    <row r="898" customFormat="false" ht="12.75" hidden="false" customHeight="false" outlineLevel="0" collapsed="false">
      <c r="A898" s="1318"/>
      <c r="B898" s="1318"/>
      <c r="C898" s="1318"/>
      <c r="D898" s="1315"/>
      <c r="E898" s="1315"/>
      <c r="F898" s="1315"/>
    </row>
    <row r="899" customFormat="false" ht="12.75" hidden="false" customHeight="false" outlineLevel="0" collapsed="false">
      <c r="A899" s="1318"/>
      <c r="B899" s="1318"/>
      <c r="C899" s="1318"/>
      <c r="D899" s="1315"/>
      <c r="E899" s="1315"/>
      <c r="F899" s="1315"/>
    </row>
    <row r="900" customFormat="false" ht="12.75" hidden="false" customHeight="false" outlineLevel="0" collapsed="false">
      <c r="A900" s="1318"/>
      <c r="B900" s="1318"/>
      <c r="C900" s="1318"/>
      <c r="D900" s="1315"/>
      <c r="E900" s="1315"/>
      <c r="F900" s="1315"/>
    </row>
    <row r="901" customFormat="false" ht="12.75" hidden="false" customHeight="false" outlineLevel="0" collapsed="false">
      <c r="A901" s="1318"/>
      <c r="B901" s="1318"/>
      <c r="C901" s="1318"/>
      <c r="D901" s="1315"/>
      <c r="E901" s="1315"/>
      <c r="F901" s="1315"/>
    </row>
    <row r="902" customFormat="false" ht="12.75" hidden="false" customHeight="false" outlineLevel="0" collapsed="false">
      <c r="A902" s="1318"/>
      <c r="B902" s="1318"/>
      <c r="C902" s="1318"/>
      <c r="D902" s="1315"/>
      <c r="E902" s="1315"/>
      <c r="F902" s="1315"/>
    </row>
    <row r="903" customFormat="false" ht="12.75" hidden="false" customHeight="false" outlineLevel="0" collapsed="false">
      <c r="A903" s="1318"/>
      <c r="B903" s="1318"/>
      <c r="C903" s="1318"/>
      <c r="D903" s="1315"/>
      <c r="E903" s="1315"/>
      <c r="F903" s="1315"/>
    </row>
    <row r="904" customFormat="false" ht="12.75" hidden="false" customHeight="false" outlineLevel="0" collapsed="false">
      <c r="A904" s="1318"/>
      <c r="B904" s="1318"/>
      <c r="C904" s="1318"/>
      <c r="D904" s="1315"/>
      <c r="E904" s="1315"/>
      <c r="F904" s="1315"/>
    </row>
    <row r="905" customFormat="false" ht="12.75" hidden="false" customHeight="false" outlineLevel="0" collapsed="false">
      <c r="A905" s="1318"/>
      <c r="B905" s="1318"/>
      <c r="C905" s="1318"/>
      <c r="D905" s="1315"/>
      <c r="E905" s="1315"/>
      <c r="F905" s="1315"/>
    </row>
    <row r="906" customFormat="false" ht="12.75" hidden="false" customHeight="false" outlineLevel="0" collapsed="false">
      <c r="A906" s="1318"/>
      <c r="B906" s="1318"/>
      <c r="C906" s="1318"/>
      <c r="D906" s="1315"/>
      <c r="E906" s="1315"/>
      <c r="F906" s="1315"/>
    </row>
    <row r="907" customFormat="false" ht="12.75" hidden="false" customHeight="false" outlineLevel="0" collapsed="false">
      <c r="A907" s="1318"/>
      <c r="B907" s="1318"/>
      <c r="C907" s="1318"/>
      <c r="D907" s="1315"/>
      <c r="E907" s="1315"/>
      <c r="F907" s="1315"/>
    </row>
    <row r="908" customFormat="false" ht="12.75" hidden="false" customHeight="false" outlineLevel="0" collapsed="false">
      <c r="A908" s="1318"/>
      <c r="B908" s="1318"/>
      <c r="C908" s="1318"/>
      <c r="D908" s="1315"/>
      <c r="E908" s="1315"/>
      <c r="F908" s="1315"/>
    </row>
    <row r="909" customFormat="false" ht="12.75" hidden="false" customHeight="false" outlineLevel="0" collapsed="false">
      <c r="A909" s="1318"/>
      <c r="B909" s="1318"/>
      <c r="C909" s="1318"/>
      <c r="D909" s="1315"/>
      <c r="E909" s="1315"/>
      <c r="F909" s="1315"/>
    </row>
    <row r="910" customFormat="false" ht="12.75" hidden="false" customHeight="false" outlineLevel="0" collapsed="false">
      <c r="A910" s="1318"/>
      <c r="B910" s="1318"/>
      <c r="C910" s="1318"/>
      <c r="D910" s="1315"/>
      <c r="E910" s="1315"/>
      <c r="F910" s="1315"/>
    </row>
    <row r="911" customFormat="false" ht="12.75" hidden="false" customHeight="false" outlineLevel="0" collapsed="false">
      <c r="A911" s="1318"/>
      <c r="B911" s="1318"/>
      <c r="C911" s="1318"/>
      <c r="D911" s="1315"/>
      <c r="E911" s="1315"/>
      <c r="F911" s="1315"/>
    </row>
    <row r="912" customFormat="false" ht="12.75" hidden="false" customHeight="false" outlineLevel="0" collapsed="false">
      <c r="A912" s="1318"/>
      <c r="B912" s="1318"/>
      <c r="C912" s="1318"/>
      <c r="D912" s="1315"/>
      <c r="E912" s="1315"/>
      <c r="F912" s="1315"/>
    </row>
    <row r="913" customFormat="false" ht="12.75" hidden="false" customHeight="false" outlineLevel="0" collapsed="false">
      <c r="A913" s="1318"/>
      <c r="B913" s="1318"/>
      <c r="C913" s="1318"/>
      <c r="D913" s="1315"/>
      <c r="E913" s="1315"/>
      <c r="F913" s="1315"/>
    </row>
    <row r="914" customFormat="false" ht="12.75" hidden="false" customHeight="false" outlineLevel="0" collapsed="false">
      <c r="A914" s="1318"/>
      <c r="B914" s="1318"/>
      <c r="C914" s="1318"/>
      <c r="D914" s="1315"/>
      <c r="E914" s="1315"/>
      <c r="F914" s="1315"/>
    </row>
    <row r="915" customFormat="false" ht="12.75" hidden="false" customHeight="false" outlineLevel="0" collapsed="false">
      <c r="A915" s="1318"/>
      <c r="B915" s="1318"/>
      <c r="C915" s="1318"/>
      <c r="D915" s="1315"/>
      <c r="E915" s="1315"/>
      <c r="F915" s="1315"/>
    </row>
    <row r="916" customFormat="false" ht="12.75" hidden="false" customHeight="false" outlineLevel="0" collapsed="false">
      <c r="A916" s="1318"/>
      <c r="B916" s="1318"/>
      <c r="C916" s="1318"/>
      <c r="D916" s="1315"/>
      <c r="E916" s="1315"/>
      <c r="F916" s="1315"/>
    </row>
    <row r="917" customFormat="false" ht="12.75" hidden="false" customHeight="false" outlineLevel="0" collapsed="false">
      <c r="A917" s="1318"/>
      <c r="B917" s="1318"/>
      <c r="C917" s="1318"/>
      <c r="D917" s="1315"/>
      <c r="E917" s="1315"/>
      <c r="F917" s="1315"/>
    </row>
    <row r="918" customFormat="false" ht="12.75" hidden="false" customHeight="false" outlineLevel="0" collapsed="false">
      <c r="A918" s="1318"/>
      <c r="B918" s="1318"/>
      <c r="C918" s="1318"/>
      <c r="D918" s="1315"/>
      <c r="E918" s="1315"/>
      <c r="F918" s="1315"/>
    </row>
    <row r="919" customFormat="false" ht="12.75" hidden="false" customHeight="false" outlineLevel="0" collapsed="false">
      <c r="A919" s="1318"/>
      <c r="B919" s="1318"/>
      <c r="C919" s="1318"/>
      <c r="D919" s="1315"/>
      <c r="E919" s="1315"/>
      <c r="F919" s="1315"/>
    </row>
    <row r="920" customFormat="false" ht="12.75" hidden="false" customHeight="false" outlineLevel="0" collapsed="false">
      <c r="A920" s="1318"/>
      <c r="B920" s="1318"/>
      <c r="C920" s="1318"/>
      <c r="D920" s="1315"/>
      <c r="E920" s="1315"/>
      <c r="F920" s="1315"/>
    </row>
    <row r="921" customFormat="false" ht="12.75" hidden="false" customHeight="false" outlineLevel="0" collapsed="false">
      <c r="A921" s="1318"/>
      <c r="B921" s="1318"/>
      <c r="C921" s="1318"/>
      <c r="D921" s="1315"/>
      <c r="E921" s="1315"/>
      <c r="F921" s="1315"/>
    </row>
    <row r="922" customFormat="false" ht="12.75" hidden="false" customHeight="false" outlineLevel="0" collapsed="false">
      <c r="A922" s="1318"/>
      <c r="B922" s="1318"/>
      <c r="C922" s="1318"/>
      <c r="D922" s="1315"/>
      <c r="E922" s="1315"/>
      <c r="F922" s="1315"/>
    </row>
    <row r="923" customFormat="false" ht="12.75" hidden="false" customHeight="false" outlineLevel="0" collapsed="false">
      <c r="A923" s="1318"/>
      <c r="B923" s="1318"/>
      <c r="C923" s="1318"/>
      <c r="D923" s="1315"/>
      <c r="E923" s="1315"/>
      <c r="F923" s="1315"/>
    </row>
    <row r="924" customFormat="false" ht="12.75" hidden="false" customHeight="false" outlineLevel="0" collapsed="false">
      <c r="A924" s="1318"/>
      <c r="B924" s="1318"/>
      <c r="C924" s="1318"/>
      <c r="D924" s="1315"/>
      <c r="E924" s="1315"/>
      <c r="F924" s="1315"/>
    </row>
    <row r="925" customFormat="false" ht="12.75" hidden="false" customHeight="false" outlineLevel="0" collapsed="false">
      <c r="A925" s="1318"/>
      <c r="B925" s="1318"/>
      <c r="C925" s="1318"/>
      <c r="D925" s="1315"/>
      <c r="E925" s="1315"/>
      <c r="F925" s="1315"/>
    </row>
    <row r="926" customFormat="false" ht="12.75" hidden="false" customHeight="false" outlineLevel="0" collapsed="false">
      <c r="A926" s="1318"/>
      <c r="B926" s="1318"/>
      <c r="C926" s="1318"/>
      <c r="D926" s="1315"/>
      <c r="E926" s="1315"/>
      <c r="F926" s="1315"/>
    </row>
    <row r="927" customFormat="false" ht="12.75" hidden="false" customHeight="false" outlineLevel="0" collapsed="false">
      <c r="A927" s="1318"/>
      <c r="B927" s="1318"/>
      <c r="C927" s="1318"/>
      <c r="D927" s="1315"/>
      <c r="E927" s="1315"/>
      <c r="F927" s="1315"/>
    </row>
    <row r="928" customFormat="false" ht="12.75" hidden="false" customHeight="false" outlineLevel="0" collapsed="false">
      <c r="A928" s="1318"/>
      <c r="B928" s="1318"/>
      <c r="C928" s="1318"/>
      <c r="D928" s="1315"/>
      <c r="E928" s="1315"/>
      <c r="F928" s="1315"/>
    </row>
    <row r="929" customFormat="false" ht="12.75" hidden="false" customHeight="false" outlineLevel="0" collapsed="false">
      <c r="A929" s="1318"/>
      <c r="B929" s="1318"/>
      <c r="C929" s="1318"/>
      <c r="D929" s="1315"/>
      <c r="E929" s="1315"/>
      <c r="F929" s="1315"/>
    </row>
    <row r="930" customFormat="false" ht="12.75" hidden="false" customHeight="false" outlineLevel="0" collapsed="false">
      <c r="A930" s="1318"/>
      <c r="B930" s="1318"/>
      <c r="C930" s="1318"/>
      <c r="D930" s="1315"/>
      <c r="E930" s="1315"/>
      <c r="F930" s="1315"/>
    </row>
    <row r="931" customFormat="false" ht="12.75" hidden="false" customHeight="false" outlineLevel="0" collapsed="false">
      <c r="A931" s="1318"/>
      <c r="B931" s="1318"/>
      <c r="C931" s="1318"/>
      <c r="D931" s="1315"/>
      <c r="E931" s="1315"/>
      <c r="F931" s="1315"/>
    </row>
    <row r="932" customFormat="false" ht="12.75" hidden="false" customHeight="false" outlineLevel="0" collapsed="false">
      <c r="A932" s="1318"/>
      <c r="B932" s="1318"/>
      <c r="C932" s="1318"/>
      <c r="D932" s="1315"/>
      <c r="E932" s="1315"/>
      <c r="F932" s="1315"/>
    </row>
    <row r="933" customFormat="false" ht="12.75" hidden="false" customHeight="false" outlineLevel="0" collapsed="false">
      <c r="A933" s="1318"/>
      <c r="B933" s="1318"/>
      <c r="C933" s="1318"/>
      <c r="D933" s="1315"/>
      <c r="E933" s="1315"/>
      <c r="F933" s="1315"/>
    </row>
    <row r="934" customFormat="false" ht="12.75" hidden="false" customHeight="false" outlineLevel="0" collapsed="false">
      <c r="A934" s="1318"/>
      <c r="B934" s="1318"/>
      <c r="C934" s="1318"/>
      <c r="D934" s="1315"/>
      <c r="E934" s="1315"/>
      <c r="F934" s="1315"/>
    </row>
    <row r="935" customFormat="false" ht="12.75" hidden="false" customHeight="false" outlineLevel="0" collapsed="false">
      <c r="A935" s="1318"/>
      <c r="B935" s="1318"/>
      <c r="C935" s="1318"/>
      <c r="D935" s="1315"/>
      <c r="E935" s="1315"/>
      <c r="F935" s="1315"/>
    </row>
    <row r="936" customFormat="false" ht="12.75" hidden="false" customHeight="false" outlineLevel="0" collapsed="false">
      <c r="A936" s="1318"/>
      <c r="B936" s="1318"/>
      <c r="C936" s="1318"/>
      <c r="D936" s="1315"/>
      <c r="E936" s="1315"/>
      <c r="F936" s="1315"/>
    </row>
    <row r="937" customFormat="false" ht="12.75" hidden="false" customHeight="false" outlineLevel="0" collapsed="false">
      <c r="A937" s="1318"/>
      <c r="B937" s="1318"/>
      <c r="C937" s="1318"/>
      <c r="D937" s="1315"/>
      <c r="E937" s="1315"/>
      <c r="F937" s="1315"/>
    </row>
    <row r="938" customFormat="false" ht="12.75" hidden="false" customHeight="false" outlineLevel="0" collapsed="false">
      <c r="A938" s="1318"/>
      <c r="B938" s="1318"/>
      <c r="C938" s="1318"/>
      <c r="D938" s="1315"/>
      <c r="E938" s="1315"/>
      <c r="F938" s="1315"/>
    </row>
    <row r="939" customFormat="false" ht="12.75" hidden="false" customHeight="false" outlineLevel="0" collapsed="false">
      <c r="A939" s="1318"/>
      <c r="B939" s="1318"/>
      <c r="C939" s="1318"/>
      <c r="D939" s="1315"/>
      <c r="E939" s="1315"/>
      <c r="F939" s="1315"/>
    </row>
    <row r="940" customFormat="false" ht="12.75" hidden="false" customHeight="false" outlineLevel="0" collapsed="false">
      <c r="A940" s="1318"/>
      <c r="B940" s="1318"/>
      <c r="C940" s="1318"/>
      <c r="D940" s="1315"/>
      <c r="E940" s="1315"/>
      <c r="F940" s="1315"/>
    </row>
    <row r="941" customFormat="false" ht="12.75" hidden="false" customHeight="false" outlineLevel="0" collapsed="false">
      <c r="A941" s="1318"/>
      <c r="B941" s="1318"/>
      <c r="C941" s="1318"/>
      <c r="D941" s="1315"/>
      <c r="E941" s="1315"/>
      <c r="F941" s="1315"/>
    </row>
    <row r="942" customFormat="false" ht="12.75" hidden="false" customHeight="false" outlineLevel="0" collapsed="false">
      <c r="A942" s="1318"/>
      <c r="B942" s="1318"/>
      <c r="C942" s="1318"/>
      <c r="D942" s="1315"/>
      <c r="E942" s="1315"/>
      <c r="F942" s="1315"/>
    </row>
    <row r="943" customFormat="false" ht="12.75" hidden="false" customHeight="false" outlineLevel="0" collapsed="false">
      <c r="A943" s="1318"/>
      <c r="B943" s="1318"/>
      <c r="C943" s="1318"/>
      <c r="D943" s="1315"/>
      <c r="E943" s="1315"/>
      <c r="F943" s="1315"/>
    </row>
    <row r="944" customFormat="false" ht="12.75" hidden="false" customHeight="false" outlineLevel="0" collapsed="false">
      <c r="A944" s="1318"/>
      <c r="B944" s="1318"/>
      <c r="C944" s="1318"/>
      <c r="D944" s="1315"/>
      <c r="E944" s="1315"/>
      <c r="F944" s="1315"/>
    </row>
    <row r="945" customFormat="false" ht="12.75" hidden="false" customHeight="false" outlineLevel="0" collapsed="false">
      <c r="A945" s="1318"/>
      <c r="B945" s="1318"/>
      <c r="C945" s="1318"/>
      <c r="D945" s="1315"/>
      <c r="E945" s="1315"/>
      <c r="F945" s="1315"/>
    </row>
    <row r="946" customFormat="false" ht="12.75" hidden="false" customHeight="false" outlineLevel="0" collapsed="false">
      <c r="A946" s="1318"/>
      <c r="B946" s="1318"/>
      <c r="C946" s="1318"/>
      <c r="D946" s="1315"/>
      <c r="E946" s="1315"/>
      <c r="F946" s="1315"/>
    </row>
    <row r="947" customFormat="false" ht="12.75" hidden="false" customHeight="false" outlineLevel="0" collapsed="false">
      <c r="A947" s="1318"/>
      <c r="B947" s="1318"/>
      <c r="C947" s="1318"/>
      <c r="D947" s="1315"/>
      <c r="E947" s="1315"/>
      <c r="F947" s="1315"/>
    </row>
    <row r="948" customFormat="false" ht="12.75" hidden="false" customHeight="false" outlineLevel="0" collapsed="false">
      <c r="A948" s="1318"/>
      <c r="B948" s="1318"/>
      <c r="C948" s="1318"/>
      <c r="D948" s="1315"/>
      <c r="E948" s="1315"/>
      <c r="F948" s="1315"/>
    </row>
    <row r="949" customFormat="false" ht="12.75" hidden="false" customHeight="false" outlineLevel="0" collapsed="false">
      <c r="A949" s="1318"/>
      <c r="B949" s="1318"/>
      <c r="C949" s="1318"/>
      <c r="D949" s="1315"/>
      <c r="E949" s="1315"/>
      <c r="F949" s="1315"/>
    </row>
    <row r="950" customFormat="false" ht="12.75" hidden="false" customHeight="false" outlineLevel="0" collapsed="false">
      <c r="A950" s="1318"/>
      <c r="B950" s="1318"/>
      <c r="C950" s="1318"/>
      <c r="D950" s="1315"/>
      <c r="E950" s="1315"/>
      <c r="F950" s="1315"/>
    </row>
    <row r="951" customFormat="false" ht="12.75" hidden="false" customHeight="false" outlineLevel="0" collapsed="false">
      <c r="A951" s="1318"/>
      <c r="B951" s="1318"/>
      <c r="C951" s="1318"/>
      <c r="D951" s="1315"/>
      <c r="E951" s="1315"/>
      <c r="F951" s="1315"/>
    </row>
    <row r="952" customFormat="false" ht="12.75" hidden="false" customHeight="false" outlineLevel="0" collapsed="false">
      <c r="A952" s="1318"/>
      <c r="B952" s="1318"/>
      <c r="C952" s="1318"/>
      <c r="D952" s="1315"/>
      <c r="E952" s="1315"/>
      <c r="F952" s="1315"/>
    </row>
    <row r="953" customFormat="false" ht="12.75" hidden="false" customHeight="false" outlineLevel="0" collapsed="false">
      <c r="A953" s="1318"/>
      <c r="B953" s="1318"/>
      <c r="C953" s="1318"/>
      <c r="D953" s="1315"/>
      <c r="E953" s="1315"/>
      <c r="F953" s="1315"/>
    </row>
    <row r="954" customFormat="false" ht="12.75" hidden="false" customHeight="false" outlineLevel="0" collapsed="false">
      <c r="A954" s="1318"/>
      <c r="B954" s="1318"/>
      <c r="C954" s="1318"/>
      <c r="D954" s="1315"/>
      <c r="E954" s="1315"/>
      <c r="F954" s="1315"/>
    </row>
    <row r="955" customFormat="false" ht="12.75" hidden="false" customHeight="false" outlineLevel="0" collapsed="false">
      <c r="A955" s="1318"/>
      <c r="B955" s="1318"/>
      <c r="C955" s="1318"/>
      <c r="D955" s="1315"/>
      <c r="E955" s="1315"/>
      <c r="F955" s="1315"/>
    </row>
    <row r="956" customFormat="false" ht="12.75" hidden="false" customHeight="false" outlineLevel="0" collapsed="false">
      <c r="A956" s="1318"/>
      <c r="B956" s="1318"/>
      <c r="C956" s="1318"/>
      <c r="D956" s="1315"/>
      <c r="E956" s="1315"/>
      <c r="F956" s="1315"/>
    </row>
    <row r="957" customFormat="false" ht="12.75" hidden="false" customHeight="false" outlineLevel="0" collapsed="false">
      <c r="A957" s="1318"/>
      <c r="B957" s="1318"/>
      <c r="C957" s="1318"/>
      <c r="D957" s="1315"/>
      <c r="E957" s="1315"/>
      <c r="F957" s="1315"/>
    </row>
    <row r="958" customFormat="false" ht="12.75" hidden="false" customHeight="false" outlineLevel="0" collapsed="false">
      <c r="A958" s="1318"/>
      <c r="B958" s="1318"/>
      <c r="C958" s="1318"/>
      <c r="D958" s="1315"/>
      <c r="E958" s="1315"/>
      <c r="F958" s="1315"/>
    </row>
    <row r="959" customFormat="false" ht="12.75" hidden="false" customHeight="false" outlineLevel="0" collapsed="false">
      <c r="A959" s="1318"/>
      <c r="B959" s="1318"/>
      <c r="C959" s="1318"/>
      <c r="D959" s="1315"/>
      <c r="E959" s="1315"/>
      <c r="F959" s="1315"/>
    </row>
    <row r="960" customFormat="false" ht="12.75" hidden="false" customHeight="false" outlineLevel="0" collapsed="false">
      <c r="A960" s="1318"/>
      <c r="B960" s="1318"/>
      <c r="C960" s="1318"/>
      <c r="D960" s="1315"/>
      <c r="E960" s="1315"/>
      <c r="F960" s="1315"/>
    </row>
    <row r="961" customFormat="false" ht="12.75" hidden="false" customHeight="false" outlineLevel="0" collapsed="false">
      <c r="A961" s="1318"/>
      <c r="B961" s="1318"/>
      <c r="C961" s="1318"/>
      <c r="D961" s="1315"/>
      <c r="E961" s="1315"/>
      <c r="F961" s="1315"/>
    </row>
    <row r="962" customFormat="false" ht="12.75" hidden="false" customHeight="false" outlineLevel="0" collapsed="false">
      <c r="A962" s="1318"/>
      <c r="B962" s="1318"/>
      <c r="C962" s="1318"/>
      <c r="D962" s="1315"/>
      <c r="E962" s="1315"/>
      <c r="F962" s="1315"/>
    </row>
    <row r="963" customFormat="false" ht="12.75" hidden="false" customHeight="false" outlineLevel="0" collapsed="false">
      <c r="A963" s="1318"/>
      <c r="B963" s="1318"/>
      <c r="C963" s="1318"/>
      <c r="D963" s="1315"/>
      <c r="E963" s="1315"/>
      <c r="F963" s="1315"/>
    </row>
    <row r="964" customFormat="false" ht="12.75" hidden="false" customHeight="false" outlineLevel="0" collapsed="false">
      <c r="A964" s="1318"/>
      <c r="B964" s="1318"/>
      <c r="C964" s="1318"/>
      <c r="D964" s="1315"/>
      <c r="E964" s="1315"/>
      <c r="F964" s="1315"/>
    </row>
    <row r="965" customFormat="false" ht="12.75" hidden="false" customHeight="false" outlineLevel="0" collapsed="false">
      <c r="A965" s="1318"/>
      <c r="B965" s="1318"/>
      <c r="C965" s="1318"/>
      <c r="D965" s="1315"/>
      <c r="E965" s="1315"/>
      <c r="F965" s="1315"/>
    </row>
    <row r="966" customFormat="false" ht="12.75" hidden="false" customHeight="false" outlineLevel="0" collapsed="false">
      <c r="A966" s="1318"/>
      <c r="B966" s="1318"/>
      <c r="C966" s="1318"/>
      <c r="D966" s="1315"/>
      <c r="E966" s="1315"/>
      <c r="F966" s="1315"/>
    </row>
    <row r="967" customFormat="false" ht="12.75" hidden="false" customHeight="false" outlineLevel="0" collapsed="false">
      <c r="A967" s="1318"/>
      <c r="B967" s="1318"/>
      <c r="C967" s="1318"/>
      <c r="D967" s="1315"/>
      <c r="E967" s="1315"/>
      <c r="F967" s="1315"/>
    </row>
    <row r="968" customFormat="false" ht="12.75" hidden="false" customHeight="false" outlineLevel="0" collapsed="false">
      <c r="A968" s="1318"/>
      <c r="B968" s="1318"/>
      <c r="C968" s="1318"/>
      <c r="D968" s="1315"/>
      <c r="E968" s="1315"/>
      <c r="F968" s="1315"/>
    </row>
    <row r="969" customFormat="false" ht="12.75" hidden="false" customHeight="false" outlineLevel="0" collapsed="false">
      <c r="A969" s="1318"/>
      <c r="B969" s="1318"/>
      <c r="C969" s="1318"/>
      <c r="D969" s="1315"/>
      <c r="E969" s="1315"/>
      <c r="F969" s="1315"/>
    </row>
    <row r="970" customFormat="false" ht="12.75" hidden="false" customHeight="false" outlineLevel="0" collapsed="false">
      <c r="A970" s="1318"/>
      <c r="B970" s="1318"/>
      <c r="C970" s="1318"/>
      <c r="D970" s="1315"/>
      <c r="E970" s="1315"/>
      <c r="F970" s="1315"/>
    </row>
    <row r="971" customFormat="false" ht="12.75" hidden="false" customHeight="false" outlineLevel="0" collapsed="false">
      <c r="A971" s="1318"/>
      <c r="B971" s="1318"/>
      <c r="C971" s="1318"/>
      <c r="D971" s="1315"/>
      <c r="E971" s="1315"/>
      <c r="F971" s="1315"/>
    </row>
    <row r="972" customFormat="false" ht="12.75" hidden="false" customHeight="false" outlineLevel="0" collapsed="false">
      <c r="A972" s="1318"/>
      <c r="B972" s="1318"/>
      <c r="C972" s="1318"/>
      <c r="D972" s="1315"/>
      <c r="E972" s="1315"/>
      <c r="F972" s="1315"/>
    </row>
    <row r="973" customFormat="false" ht="12.75" hidden="false" customHeight="false" outlineLevel="0" collapsed="false">
      <c r="A973" s="1318"/>
      <c r="B973" s="1318"/>
      <c r="C973" s="1318"/>
      <c r="D973" s="1315"/>
      <c r="E973" s="1315"/>
      <c r="F973" s="1315"/>
    </row>
    <row r="974" customFormat="false" ht="12.75" hidden="false" customHeight="false" outlineLevel="0" collapsed="false">
      <c r="A974" s="1318"/>
      <c r="B974" s="1318"/>
      <c r="C974" s="1318"/>
      <c r="D974" s="1315"/>
      <c r="E974" s="1315"/>
      <c r="F974" s="1315"/>
    </row>
    <row r="975" customFormat="false" ht="12.75" hidden="false" customHeight="false" outlineLevel="0" collapsed="false">
      <c r="A975" s="1318"/>
      <c r="B975" s="1318"/>
      <c r="C975" s="1318"/>
      <c r="D975" s="1315"/>
      <c r="E975" s="1315"/>
      <c r="F975" s="1315"/>
    </row>
    <row r="976" customFormat="false" ht="12.75" hidden="false" customHeight="false" outlineLevel="0" collapsed="false">
      <c r="A976" s="1318"/>
      <c r="B976" s="1318"/>
      <c r="C976" s="1318"/>
      <c r="D976" s="1315"/>
      <c r="E976" s="1315"/>
      <c r="F976" s="1315"/>
    </row>
    <row r="977" customFormat="false" ht="12.75" hidden="false" customHeight="false" outlineLevel="0" collapsed="false">
      <c r="A977" s="1318"/>
      <c r="B977" s="1318"/>
      <c r="C977" s="1318"/>
      <c r="D977" s="1315"/>
      <c r="E977" s="1315"/>
      <c r="F977" s="1315"/>
    </row>
    <row r="978" customFormat="false" ht="12.75" hidden="false" customHeight="false" outlineLevel="0" collapsed="false">
      <c r="A978" s="1318"/>
      <c r="B978" s="1318"/>
      <c r="C978" s="1318"/>
      <c r="D978" s="1315"/>
      <c r="E978" s="1315"/>
      <c r="F978" s="1315"/>
    </row>
    <row r="979" customFormat="false" ht="12.75" hidden="false" customHeight="false" outlineLevel="0" collapsed="false">
      <c r="A979" s="1318"/>
      <c r="B979" s="1318"/>
      <c r="C979" s="1318"/>
      <c r="D979" s="1315"/>
      <c r="E979" s="1315"/>
      <c r="F979" s="1315"/>
    </row>
    <row r="980" customFormat="false" ht="12.75" hidden="false" customHeight="false" outlineLevel="0" collapsed="false">
      <c r="A980" s="1318"/>
      <c r="B980" s="1318"/>
      <c r="C980" s="1318"/>
      <c r="D980" s="1315"/>
      <c r="E980" s="1315"/>
      <c r="F980" s="1315"/>
    </row>
    <row r="981" customFormat="false" ht="12.75" hidden="false" customHeight="false" outlineLevel="0" collapsed="false">
      <c r="A981" s="1318"/>
      <c r="B981" s="1318"/>
      <c r="C981" s="1318"/>
      <c r="D981" s="1315"/>
      <c r="E981" s="1315"/>
      <c r="F981" s="1315"/>
    </row>
    <row r="982" customFormat="false" ht="12.75" hidden="false" customHeight="false" outlineLevel="0" collapsed="false">
      <c r="A982" s="1318"/>
      <c r="B982" s="1318"/>
      <c r="C982" s="1318"/>
      <c r="D982" s="1315"/>
      <c r="E982" s="1315"/>
      <c r="F982" s="1315"/>
    </row>
    <row r="983" customFormat="false" ht="12.75" hidden="false" customHeight="false" outlineLevel="0" collapsed="false">
      <c r="A983" s="1318"/>
      <c r="B983" s="1318"/>
      <c r="C983" s="1318"/>
      <c r="D983" s="1315"/>
      <c r="E983" s="1315"/>
      <c r="F983" s="1315"/>
    </row>
    <row r="984" customFormat="false" ht="12.75" hidden="false" customHeight="false" outlineLevel="0" collapsed="false">
      <c r="A984" s="1318"/>
      <c r="B984" s="1318"/>
      <c r="C984" s="1318"/>
      <c r="D984" s="1315"/>
      <c r="E984" s="1315"/>
      <c r="F984" s="1315"/>
    </row>
    <row r="985" customFormat="false" ht="12.75" hidden="false" customHeight="false" outlineLevel="0" collapsed="false">
      <c r="A985" s="1318"/>
      <c r="B985" s="1318"/>
      <c r="C985" s="1318"/>
      <c r="D985" s="1315"/>
      <c r="E985" s="1315"/>
      <c r="F985" s="1315"/>
    </row>
    <row r="986" customFormat="false" ht="12.75" hidden="false" customHeight="false" outlineLevel="0" collapsed="false">
      <c r="A986" s="1318"/>
      <c r="B986" s="1318"/>
      <c r="C986" s="1318"/>
      <c r="D986" s="1315"/>
      <c r="E986" s="1315"/>
      <c r="F986" s="1315"/>
    </row>
    <row r="987" customFormat="false" ht="12.75" hidden="false" customHeight="false" outlineLevel="0" collapsed="false">
      <c r="A987" s="1318"/>
      <c r="B987" s="1318"/>
      <c r="C987" s="1318"/>
      <c r="D987" s="1315"/>
      <c r="E987" s="1315"/>
      <c r="F987" s="1315"/>
    </row>
    <row r="988" customFormat="false" ht="12.75" hidden="false" customHeight="false" outlineLevel="0" collapsed="false">
      <c r="A988" s="1318"/>
      <c r="B988" s="1318"/>
      <c r="C988" s="1318"/>
      <c r="D988" s="1315"/>
      <c r="E988" s="1315"/>
      <c r="F988" s="1315"/>
    </row>
    <row r="989" customFormat="false" ht="12.75" hidden="false" customHeight="false" outlineLevel="0" collapsed="false">
      <c r="A989" s="1318"/>
      <c r="B989" s="1318"/>
      <c r="C989" s="1318"/>
      <c r="D989" s="1315"/>
      <c r="E989" s="1315"/>
      <c r="F989" s="1315"/>
    </row>
    <row r="990" customFormat="false" ht="12.75" hidden="false" customHeight="false" outlineLevel="0" collapsed="false">
      <c r="A990" s="1318"/>
      <c r="B990" s="1318"/>
      <c r="C990" s="1318"/>
      <c r="D990" s="1315"/>
      <c r="E990" s="1315"/>
      <c r="F990" s="1315"/>
    </row>
    <row r="991" customFormat="false" ht="12.75" hidden="false" customHeight="false" outlineLevel="0" collapsed="false">
      <c r="A991" s="1318"/>
      <c r="B991" s="1318"/>
      <c r="C991" s="1318"/>
      <c r="D991" s="1315"/>
      <c r="E991" s="1315"/>
      <c r="F991" s="1315"/>
    </row>
    <row r="992" customFormat="false" ht="12.75" hidden="false" customHeight="false" outlineLevel="0" collapsed="false">
      <c r="A992" s="1318"/>
      <c r="B992" s="1318"/>
      <c r="C992" s="1318"/>
      <c r="D992" s="1315"/>
      <c r="E992" s="1315"/>
      <c r="F992" s="1315"/>
    </row>
    <row r="993" customFormat="false" ht="12.75" hidden="false" customHeight="false" outlineLevel="0" collapsed="false">
      <c r="A993" s="1318"/>
      <c r="B993" s="1318"/>
      <c r="C993" s="1318"/>
      <c r="D993" s="1315"/>
      <c r="E993" s="1315"/>
      <c r="F993" s="1315"/>
    </row>
    <row r="994" customFormat="false" ht="12.75" hidden="false" customHeight="false" outlineLevel="0" collapsed="false">
      <c r="A994" s="1318"/>
      <c r="B994" s="1318"/>
      <c r="C994" s="1318"/>
      <c r="D994" s="1315"/>
      <c r="E994" s="1315"/>
      <c r="F994" s="1315"/>
    </row>
  </sheetData>
  <mergeCells count="67">
    <mergeCell ref="A12:F12"/>
    <mergeCell ref="G12:H12"/>
    <mergeCell ref="I12:T12"/>
    <mergeCell ref="U12:AR12"/>
    <mergeCell ref="AZ12:BG12"/>
    <mergeCell ref="BH12:BO12"/>
    <mergeCell ref="I13:K13"/>
    <mergeCell ref="L13:N13"/>
    <mergeCell ref="U13:W13"/>
    <mergeCell ref="X13:Z13"/>
    <mergeCell ref="AA13:AC13"/>
    <mergeCell ref="AD13:AF13"/>
    <mergeCell ref="AG13:AI13"/>
    <mergeCell ref="AJ13:AL13"/>
    <mergeCell ref="AM13:AO13"/>
    <mergeCell ref="AP13:AR13"/>
    <mergeCell ref="AZ13:BC13"/>
    <mergeCell ref="BD13:BG13"/>
    <mergeCell ref="BH13:BK13"/>
    <mergeCell ref="BL13:BO13"/>
    <mergeCell ref="CG13:CN13"/>
    <mergeCell ref="CW13:DA13"/>
    <mergeCell ref="DB13:DG13"/>
    <mergeCell ref="DH13:DL13"/>
    <mergeCell ref="DM13:DQ13"/>
    <mergeCell ref="DR13:DY13"/>
    <mergeCell ref="DZ13:ED13"/>
    <mergeCell ref="EE13:EI13"/>
    <mergeCell ref="EJ13:EN13"/>
    <mergeCell ref="EO13:ES13"/>
    <mergeCell ref="ET13:EX13"/>
    <mergeCell ref="EY13:FC13"/>
    <mergeCell ref="GE13:GK13"/>
    <mergeCell ref="GS13:GW13"/>
    <mergeCell ref="GX13:HB13"/>
    <mergeCell ref="HC13:HG13"/>
    <mergeCell ref="HH13:HL13"/>
    <mergeCell ref="I14:K14"/>
    <mergeCell ref="L14:N14"/>
    <mergeCell ref="O14:Q14"/>
    <mergeCell ref="U14:W14"/>
    <mergeCell ref="X14:Z14"/>
    <mergeCell ref="AA14:AC14"/>
    <mergeCell ref="AD14:AF14"/>
    <mergeCell ref="AG14:AI14"/>
    <mergeCell ref="AJ14:AL14"/>
    <mergeCell ref="AM14:AO14"/>
    <mergeCell ref="AP14:AR14"/>
    <mergeCell ref="AZ14:BC14"/>
    <mergeCell ref="BD14:BG14"/>
    <mergeCell ref="BH14:BK14"/>
    <mergeCell ref="BL14:BO14"/>
    <mergeCell ref="CG14:CN14"/>
    <mergeCell ref="GE14:GH14"/>
    <mergeCell ref="GI14:GK14"/>
    <mergeCell ref="I15:K15"/>
    <mergeCell ref="L15:N15"/>
    <mergeCell ref="O15:Q15"/>
    <mergeCell ref="R15:T15"/>
    <mergeCell ref="U15:W15"/>
    <mergeCell ref="X15:Z15"/>
    <mergeCell ref="AA15:AC15"/>
    <mergeCell ref="AD15:AF15"/>
    <mergeCell ref="AG15:AI15"/>
    <mergeCell ref="AJ15:AL15"/>
    <mergeCell ref="AM15:AO15"/>
    <mergeCell ref="AP15:AR15"/>
  </mergeCells>
  <printOptions headings="false" gridLines="false" gridLinesSet="true" horizontalCentered="false" verticalCentered="false"/>
  <pageMargins left="0.1" right="0.1" top="0.984027777777778" bottom="0.984027777777778" header="0.5" footer="0.5"/>
  <pageSetup paperSize="5" scale="100" fitToWidth="7" fitToHeight="1" pageOrder="downThenOver" orientation="landscape" blackAndWhite="false" draft="false" cellComments="none" horizontalDpi="300" verticalDpi="300" copies="1"/>
  <headerFooter differentFirst="false" differentOddEven="false">
    <oddHeader>&amp;C&amp;A</oddHeader>
    <oddFooter>&amp;CPage &amp;P</oddFooter>
  </headerFooter>
  <rowBreaks count="1" manualBreakCount="1">
    <brk id="122" man="true" max="16383" min="0"/>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DE80"/>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E17" activeCellId="0" sqref="E17"/>
    </sheetView>
  </sheetViews>
  <sheetFormatPr defaultColWidth="9.13671875" defaultRowHeight="12.75" customHeight="true" zeroHeight="false" outlineLevelRow="0" outlineLevelCol="0"/>
  <cols>
    <col collapsed="false" customWidth="true" hidden="false" outlineLevel="0" max="1" min="1" style="1317" width="6.56"/>
    <col collapsed="false" customWidth="true" hidden="false" outlineLevel="0" max="2" min="2" style="1317" width="10.41"/>
    <col collapsed="false" customWidth="true" hidden="false" outlineLevel="0" max="4" min="3" style="1317" width="9.28"/>
    <col collapsed="false" customWidth="true" hidden="false" outlineLevel="0" max="5" min="5" style="1317" width="15.99"/>
    <col collapsed="false" customWidth="true" hidden="false" outlineLevel="0" max="6" min="6" style="1317" width="6.99"/>
    <col collapsed="false" customWidth="true" hidden="false" outlineLevel="0" max="7" min="7" style="1317" width="7.14"/>
    <col collapsed="false" customWidth="true" hidden="false" outlineLevel="0" max="29" min="8" style="1317" width="6.28"/>
    <col collapsed="false" customWidth="true" hidden="false" outlineLevel="0" max="30" min="30" style="1317" width="5.56"/>
    <col collapsed="false" customWidth="true" hidden="false" outlineLevel="0" max="31" min="31" style="1317" width="16.42"/>
    <col collapsed="false" customWidth="true" hidden="false" outlineLevel="0" max="55" min="32" style="1317" width="5.41"/>
    <col collapsed="false" customWidth="true" hidden="false" outlineLevel="0" max="57" min="56" style="1317" width="6.28"/>
    <col collapsed="false" customWidth="true" hidden="false" outlineLevel="0" max="58" min="58" style="1317" width="8.41"/>
    <col collapsed="false" customWidth="true" hidden="false" outlineLevel="0" max="59" min="59" style="1317" width="9.99"/>
    <col collapsed="false" customWidth="true" hidden="false" outlineLevel="0" max="60" min="60" style="1317" width="10.28"/>
    <col collapsed="false" customWidth="true" hidden="false" outlineLevel="0" max="61" min="61" style="1317" width="5.28"/>
    <col collapsed="false" customWidth="true" hidden="false" outlineLevel="0" max="62" min="62" style="1317" width="16.42"/>
    <col collapsed="false" customWidth="true" hidden="false" outlineLevel="0" max="86" min="63" style="1317" width="5.41"/>
    <col collapsed="false" customWidth="true" hidden="false" outlineLevel="0" max="88" min="87" style="1317" width="6.28"/>
    <col collapsed="false" customWidth="true" hidden="false" outlineLevel="0" max="89" min="89" style="1317" width="8.41"/>
    <col collapsed="false" customWidth="true" hidden="false" outlineLevel="0" max="90" min="90" style="1317" width="9.99"/>
    <col collapsed="false" customWidth="true" hidden="false" outlineLevel="0" max="91" min="91" style="1317" width="10.28"/>
    <col collapsed="false" customWidth="true" hidden="false" outlineLevel="0" max="92" min="92" style="1317" width="5.28"/>
    <col collapsed="false" customWidth="true" hidden="false" outlineLevel="0" max="93" min="93" style="1317" width="7.7"/>
    <col collapsed="false" customWidth="true" hidden="false" outlineLevel="0" max="94" min="94" style="1317" width="5.85"/>
    <col collapsed="false" customWidth="true" hidden="false" outlineLevel="0" max="95" min="95" style="1317" width="6.28"/>
    <col collapsed="false" customWidth="true" hidden="false" outlineLevel="0" max="108" min="96" style="0" width="9.06"/>
    <col collapsed="false" customWidth="true" hidden="false" outlineLevel="0" max="136" min="109" style="1317" width="6.28"/>
    <col collapsed="false" customWidth="false" hidden="false" outlineLevel="0" max="257" min="137" style="1317" width="9.14"/>
  </cols>
  <sheetData>
    <row r="1" customFormat="false" ht="13.5" hidden="false" customHeight="false" outlineLevel="0" collapsed="false">
      <c r="AE1" s="1317" t="s">
        <v>1253</v>
      </c>
      <c r="BD1" s="1619"/>
      <c r="BE1" s="1619"/>
      <c r="BJ1" s="1317" t="s">
        <v>1253</v>
      </c>
      <c r="CI1" s="1619"/>
      <c r="CJ1" s="1619"/>
      <c r="CP1" s="1619"/>
      <c r="CQ1" s="1619"/>
    </row>
    <row r="2" customFormat="false" ht="18.75" hidden="false" customHeight="false" outlineLevel="0" collapsed="false">
      <c r="E2" s="1620" t="s">
        <v>1254</v>
      </c>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1"/>
      <c r="AE2" s="1622" t="s">
        <v>1255</v>
      </c>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3" t="s">
        <v>1256</v>
      </c>
      <c r="BH2" s="1623"/>
      <c r="BJ2" s="1622" t="s">
        <v>1257</v>
      </c>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3" t="s">
        <v>1256</v>
      </c>
      <c r="CM2" s="1623"/>
      <c r="CP2" s="1619"/>
      <c r="CQ2" s="1619"/>
    </row>
    <row r="3" customFormat="false" ht="16.5" hidden="false" customHeight="false" outlineLevel="0" collapsed="false">
      <c r="E3" s="1624"/>
      <c r="F3" s="1623" t="s">
        <v>149</v>
      </c>
      <c r="G3" s="1623"/>
      <c r="H3" s="1623"/>
      <c r="I3" s="1623"/>
      <c r="J3" s="1623"/>
      <c r="K3" s="1623"/>
      <c r="L3" s="1623"/>
      <c r="M3" s="1623"/>
      <c r="N3" s="1623"/>
      <c r="O3" s="1623"/>
      <c r="P3" s="1623"/>
      <c r="Q3" s="1623"/>
      <c r="R3" s="1623"/>
      <c r="S3" s="1623"/>
      <c r="T3" s="1623"/>
      <c r="U3" s="1623"/>
      <c r="V3" s="1623" t="s">
        <v>132</v>
      </c>
      <c r="W3" s="1623"/>
      <c r="X3" s="1623"/>
      <c r="Y3" s="1623"/>
      <c r="Z3" s="1623"/>
      <c r="AA3" s="1623"/>
      <c r="AB3" s="1623"/>
      <c r="AC3" s="1623"/>
      <c r="AD3" s="1621"/>
      <c r="AE3" s="1625" t="s">
        <v>1258</v>
      </c>
      <c r="AF3" s="1626" t="s">
        <v>149</v>
      </c>
      <c r="AG3" s="1627"/>
      <c r="AH3" s="1627"/>
      <c r="AI3" s="1627"/>
      <c r="AJ3" s="1627"/>
      <c r="AK3" s="1627"/>
      <c r="AL3" s="1627"/>
      <c r="AM3" s="1627"/>
      <c r="AN3" s="1627"/>
      <c r="AO3" s="1627"/>
      <c r="AP3" s="1627"/>
      <c r="AQ3" s="1627"/>
      <c r="AR3" s="1627"/>
      <c r="AS3" s="1627"/>
      <c r="AT3" s="1627"/>
      <c r="AU3" s="1628"/>
      <c r="AV3" s="1627" t="s">
        <v>132</v>
      </c>
      <c r="AW3" s="1627"/>
      <c r="AX3" s="1627"/>
      <c r="AY3" s="1627"/>
      <c r="AZ3" s="1627"/>
      <c r="BA3" s="1627"/>
      <c r="BB3" s="1627"/>
      <c r="BC3" s="1628"/>
      <c r="BD3" s="1629"/>
      <c r="BE3" s="1630" t="s">
        <v>1259</v>
      </c>
      <c r="BF3" s="1631"/>
      <c r="BG3" s="1632" t="s">
        <v>1260</v>
      </c>
      <c r="BH3" s="1632"/>
      <c r="BJ3" s="1625" t="s">
        <v>1258</v>
      </c>
      <c r="BK3" s="1626" t="s">
        <v>149</v>
      </c>
      <c r="BL3" s="1627"/>
      <c r="BM3" s="1627"/>
      <c r="BN3" s="1627"/>
      <c r="BO3" s="1627"/>
      <c r="BP3" s="1627"/>
      <c r="BQ3" s="1627"/>
      <c r="BR3" s="1627"/>
      <c r="BS3" s="1627"/>
      <c r="BT3" s="1627"/>
      <c r="BU3" s="1627"/>
      <c r="BV3" s="1627"/>
      <c r="BW3" s="1627"/>
      <c r="BX3" s="1627"/>
      <c r="BY3" s="1627"/>
      <c r="BZ3" s="1628"/>
      <c r="CA3" s="1627" t="s">
        <v>132</v>
      </c>
      <c r="CB3" s="1627"/>
      <c r="CC3" s="1627"/>
      <c r="CD3" s="1627"/>
      <c r="CE3" s="1627"/>
      <c r="CF3" s="1627"/>
      <c r="CG3" s="1627"/>
      <c r="CH3" s="1628"/>
      <c r="CI3" s="1629"/>
      <c r="CJ3" s="1630" t="s">
        <v>1259</v>
      </c>
      <c r="CK3" s="1631"/>
      <c r="CL3" s="1632" t="s">
        <v>1260</v>
      </c>
      <c r="CM3" s="1632"/>
      <c r="CO3" s="1633" t="s">
        <v>16</v>
      </c>
      <c r="CP3" s="1634" t="s">
        <v>1261</v>
      </c>
      <c r="CQ3" s="1634"/>
      <c r="DE3" s="1635"/>
    </row>
    <row r="4" customFormat="false" ht="13.5" hidden="false" customHeight="false" outlineLevel="0" collapsed="false">
      <c r="E4" s="1626" t="s">
        <v>1262</v>
      </c>
      <c r="F4" s="1626" t="n">
        <v>1</v>
      </c>
      <c r="G4" s="1627" t="n">
        <v>2</v>
      </c>
      <c r="H4" s="1627" t="n">
        <v>3</v>
      </c>
      <c r="I4" s="1627" t="n">
        <v>4</v>
      </c>
      <c r="J4" s="1627" t="n">
        <v>5</v>
      </c>
      <c r="K4" s="1627" t="n">
        <v>6</v>
      </c>
      <c r="L4" s="1627" t="n">
        <v>7</v>
      </c>
      <c r="M4" s="1627" t="n">
        <v>8</v>
      </c>
      <c r="N4" s="1627" t="n">
        <v>9</v>
      </c>
      <c r="O4" s="1627" t="n">
        <v>10</v>
      </c>
      <c r="P4" s="1627" t="n">
        <v>11</v>
      </c>
      <c r="Q4" s="1627" t="n">
        <v>12</v>
      </c>
      <c r="R4" s="1627" t="n">
        <v>13</v>
      </c>
      <c r="S4" s="1627" t="n">
        <v>14</v>
      </c>
      <c r="T4" s="1627" t="n">
        <v>15</v>
      </c>
      <c r="U4" s="1628" t="n">
        <v>16</v>
      </c>
      <c r="V4" s="1627" t="n">
        <v>1</v>
      </c>
      <c r="W4" s="1627" t="n">
        <v>2</v>
      </c>
      <c r="X4" s="1627" t="n">
        <v>3</v>
      </c>
      <c r="Y4" s="1627" t="n">
        <v>4</v>
      </c>
      <c r="Z4" s="1627" t="n">
        <v>5</v>
      </c>
      <c r="AA4" s="1627" t="n">
        <v>6</v>
      </c>
      <c r="AB4" s="1627" t="n">
        <v>7</v>
      </c>
      <c r="AC4" s="1628" t="n">
        <v>8</v>
      </c>
      <c r="AD4" s="1621"/>
      <c r="AE4" s="1636" t="s">
        <v>1262</v>
      </c>
      <c r="AF4" s="1636" t="n">
        <v>1</v>
      </c>
      <c r="AG4" s="1621" t="n">
        <v>2</v>
      </c>
      <c r="AH4" s="1621" t="n">
        <v>3</v>
      </c>
      <c r="AI4" s="1621" t="n">
        <v>4</v>
      </c>
      <c r="AJ4" s="1621" t="n">
        <v>5</v>
      </c>
      <c r="AK4" s="1621" t="n">
        <v>6</v>
      </c>
      <c r="AL4" s="1621" t="n">
        <v>7</v>
      </c>
      <c r="AM4" s="1621" t="n">
        <v>8</v>
      </c>
      <c r="AN4" s="1621" t="n">
        <v>9</v>
      </c>
      <c r="AO4" s="1621" t="n">
        <v>10</v>
      </c>
      <c r="AP4" s="1621" t="n">
        <v>11</v>
      </c>
      <c r="AQ4" s="1621" t="n">
        <v>12</v>
      </c>
      <c r="AR4" s="1621" t="n">
        <v>13</v>
      </c>
      <c r="AS4" s="1621" t="n">
        <v>14</v>
      </c>
      <c r="AT4" s="1621" t="n">
        <v>15</v>
      </c>
      <c r="AU4" s="1637" t="n">
        <v>16</v>
      </c>
      <c r="AV4" s="1621" t="n">
        <v>1</v>
      </c>
      <c r="AW4" s="1621" t="n">
        <v>2</v>
      </c>
      <c r="AX4" s="1621" t="n">
        <v>3</v>
      </c>
      <c r="AY4" s="1621" t="n">
        <v>4</v>
      </c>
      <c r="AZ4" s="1621" t="n">
        <v>5</v>
      </c>
      <c r="BA4" s="1621" t="n">
        <v>6</v>
      </c>
      <c r="BB4" s="1621" t="n">
        <v>7</v>
      </c>
      <c r="BC4" s="1637" t="n">
        <v>8</v>
      </c>
      <c r="BD4" s="1638" t="s">
        <v>149</v>
      </c>
      <c r="BE4" s="1639" t="s">
        <v>149</v>
      </c>
      <c r="BF4" s="1640" t="s">
        <v>297</v>
      </c>
      <c r="BG4" s="1641" t="s">
        <v>149</v>
      </c>
      <c r="BH4" s="1641" t="s">
        <v>132</v>
      </c>
      <c r="BJ4" s="1636" t="s">
        <v>1262</v>
      </c>
      <c r="BK4" s="1636" t="n">
        <v>1</v>
      </c>
      <c r="BL4" s="1621" t="n">
        <v>2</v>
      </c>
      <c r="BM4" s="1621" t="n">
        <v>3</v>
      </c>
      <c r="BN4" s="1621" t="n">
        <v>4</v>
      </c>
      <c r="BO4" s="1621" t="n">
        <v>5</v>
      </c>
      <c r="BP4" s="1621" t="n">
        <v>6</v>
      </c>
      <c r="BQ4" s="1621" t="n">
        <v>7</v>
      </c>
      <c r="BR4" s="1621" t="n">
        <v>8</v>
      </c>
      <c r="BS4" s="1621" t="n">
        <v>9</v>
      </c>
      <c r="BT4" s="1621" t="n">
        <v>10</v>
      </c>
      <c r="BU4" s="1621" t="n">
        <v>11</v>
      </c>
      <c r="BV4" s="1621" t="n">
        <v>12</v>
      </c>
      <c r="BW4" s="1621" t="n">
        <v>13</v>
      </c>
      <c r="BX4" s="1621" t="n">
        <v>14</v>
      </c>
      <c r="BY4" s="1621" t="n">
        <v>15</v>
      </c>
      <c r="BZ4" s="1637" t="n">
        <v>16</v>
      </c>
      <c r="CA4" s="1621" t="n">
        <v>1</v>
      </c>
      <c r="CB4" s="1621" t="n">
        <v>2</v>
      </c>
      <c r="CC4" s="1621" t="n">
        <v>3</v>
      </c>
      <c r="CD4" s="1621" t="n">
        <v>4</v>
      </c>
      <c r="CE4" s="1621" t="n">
        <v>5</v>
      </c>
      <c r="CF4" s="1621" t="n">
        <v>6</v>
      </c>
      <c r="CG4" s="1621" t="n">
        <v>7</v>
      </c>
      <c r="CH4" s="1637" t="n">
        <v>8</v>
      </c>
      <c r="CI4" s="1638" t="s">
        <v>149</v>
      </c>
      <c r="CJ4" s="1639" t="s">
        <v>149</v>
      </c>
      <c r="CK4" s="1640" t="s">
        <v>297</v>
      </c>
      <c r="CL4" s="1641" t="s">
        <v>149</v>
      </c>
      <c r="CM4" s="1641" t="s">
        <v>132</v>
      </c>
      <c r="CO4" s="1642"/>
      <c r="CP4" s="1643" t="s">
        <v>1263</v>
      </c>
      <c r="CQ4" s="1644" t="s">
        <v>1264</v>
      </c>
      <c r="DE4" s="1645"/>
    </row>
    <row r="5" customFormat="false" ht="12.75" hidden="false" customHeight="false" outlineLevel="0" collapsed="false">
      <c r="E5" s="1636" t="n">
        <v>1</v>
      </c>
      <c r="F5" s="1646" t="n">
        <v>18</v>
      </c>
      <c r="G5" s="1647" t="n">
        <v>19</v>
      </c>
      <c r="H5" s="1647" t="n">
        <v>20</v>
      </c>
      <c r="I5" s="1647" t="n">
        <v>9</v>
      </c>
      <c r="J5" s="1647" t="n">
        <v>10</v>
      </c>
      <c r="K5" s="1647" t="n">
        <v>11</v>
      </c>
      <c r="L5" s="1647" t="n">
        <v>8</v>
      </c>
      <c r="M5" s="1647" t="n">
        <v>12</v>
      </c>
      <c r="N5" s="1647" t="n">
        <v>21</v>
      </c>
      <c r="O5" s="1647" t="n">
        <v>17</v>
      </c>
      <c r="P5" s="1647" t="n">
        <v>13</v>
      </c>
      <c r="Q5" s="1647" t="n">
        <v>14</v>
      </c>
      <c r="R5" s="1647" t="n">
        <v>16</v>
      </c>
      <c r="S5" s="1647" t="n">
        <v>15</v>
      </c>
      <c r="T5" s="1647" t="n">
        <v>7</v>
      </c>
      <c r="U5" s="1648" t="n">
        <v>22</v>
      </c>
      <c r="V5" s="1647" t="n">
        <v>23</v>
      </c>
      <c r="W5" s="1647" t="n">
        <v>6</v>
      </c>
      <c r="X5" s="1647" t="n">
        <v>24</v>
      </c>
      <c r="Y5" s="1647" t="n">
        <v>5</v>
      </c>
      <c r="Z5" s="1647" t="n">
        <v>1</v>
      </c>
      <c r="AA5" s="1647" t="n">
        <v>2</v>
      </c>
      <c r="AB5" s="1647" t="n">
        <v>4</v>
      </c>
      <c r="AC5" s="1648" t="n">
        <v>3</v>
      </c>
      <c r="AD5" s="1621"/>
      <c r="AE5" s="1636" t="n">
        <v>1</v>
      </c>
      <c r="AF5" s="1649" t="n">
        <f aca="false">IF(AND(WeekDef=8,CustomMFFlag,CustomMFPeriod=4),INDEX(VolumeHourlyOver,F5,1),IF(OR(WeekDef=1,WeekDef=2,WeekDef=4,WeekDef=6,AND(WeekDef=8,CustomMFFlag,OR(CustomMFPeriod=1,CustomMFPeriod=2))),IF(VolumeMonthlyOverFlag,INDEX(VolumeMonthlyOver,AE5),Volume),0))</f>
        <v>150</v>
      </c>
      <c r="AG5" s="1650" t="n">
        <f aca="false">IF(AND(WeekDef=8,CustomMFFlag,CustomMFPeriod=4),INDEX(VolumeHourlyOver,G5,1),IF(OR(WeekDef=1,WeekDef=2,WeekDef=4,WeekDef=6,AND(WeekDef=8,CustomMFFlag,OR(CustomMFPeriod=1,CustomMFPeriod=2))),IF(VolumeMonthlyOverFlag,INDEX(VolumeMonthlyOver,AE5),Volume),0))</f>
        <v>150</v>
      </c>
      <c r="AH5" s="1650" t="n">
        <f aca="false">IF(AND(WeekDef=8,CustomMFFlag,CustomMFPeriod=4),INDEX(VolumeHourlyOver,H5,1),IF(OR(WeekDef=1,WeekDef=2,WeekDef=4,WeekDef=6,AND(WeekDef=8,CustomMFFlag,OR(CustomMFPeriod=1,CustomMFPeriod=2))),IF(VolumeMonthlyOverFlag,INDEX(VolumeMonthlyOver,AE5),Volume),0))</f>
        <v>150</v>
      </c>
      <c r="AI5" s="1650" t="n">
        <f aca="false">IF(AND(WeekDef=8,CustomMFFlag,CustomMFPeriod=4),INDEX(VolumeHourlyOver,I5,1),IF(OR(WeekDef=1,WeekDef=2,WeekDef=4,WeekDef=6,AND(WeekDef=8,CustomMFFlag,OR(CustomMFPeriod=1,CustomMFPeriod=2))),IF(VolumeMonthlyOverFlag,INDEX(VolumeMonthlyOver,AE5),Volume),0))</f>
        <v>150</v>
      </c>
      <c r="AJ5" s="1650" t="n">
        <f aca="false">IF(AND(WeekDef=8,CustomMFFlag,CustomMFPeriod=4),INDEX(VolumeHourlyOver,J5,1),IF(OR(WeekDef=1,WeekDef=2,WeekDef=4,WeekDef=6,AND(WeekDef=8,CustomMFFlag,OR(CustomMFPeriod=1,CustomMFPeriod=2))),IF(VolumeMonthlyOverFlag,INDEX(VolumeMonthlyOver,AE5),Volume),0))</f>
        <v>150</v>
      </c>
      <c r="AK5" s="1650" t="n">
        <f aca="false">IF(AND(WeekDef=8,CustomMFFlag,CustomMFPeriod=4),INDEX(VolumeHourlyOver,K5,1),IF(OR(WeekDef=1,WeekDef=2,WeekDef=4,WeekDef=6,AND(WeekDef=8,CustomMFFlag,OR(CustomMFPeriod=1,CustomMFPeriod=2))),IF(VolumeMonthlyOverFlag,INDEX(VolumeMonthlyOver,AE5),Volume),0))</f>
        <v>150</v>
      </c>
      <c r="AL5" s="1650" t="n">
        <f aca="false">IF(AND(WeekDef=8,CustomMFFlag,CustomMFPeriod=4),INDEX(VolumeHourlyOver,L5,1),IF(OR(WeekDef=1,WeekDef=2,WeekDef=4,WeekDef=6,AND(WeekDef=8,CustomMFFlag,OR(CustomMFPeriod=1,CustomMFPeriod=2))),IF(VolumeMonthlyOverFlag,INDEX(VolumeMonthlyOver,AE5),Volume),0))</f>
        <v>150</v>
      </c>
      <c r="AM5" s="1650" t="n">
        <f aca="false">IF(AND(WeekDef=8,CustomMFFlag,CustomMFPeriod=4),INDEX(VolumeHourlyOver,M5,1),IF(OR(WeekDef=1,WeekDef=2,WeekDef=4,WeekDef=6,AND(WeekDef=8,CustomMFFlag,OR(CustomMFPeriod=1,CustomMFPeriod=2))),IF(VolumeMonthlyOverFlag,INDEX(VolumeMonthlyOver,AE5),Volume),0))</f>
        <v>150</v>
      </c>
      <c r="AN5" s="1650" t="n">
        <f aca="false">IF(AND(WeekDef=8,CustomMFFlag,CustomMFPeriod=4),INDEX(VolumeHourlyOver,N5,1),IF(OR(WeekDef=1,WeekDef=2,WeekDef=4,WeekDef=6,AND(WeekDef=8,CustomMFFlag,OR(CustomMFPeriod=1,CustomMFPeriod=2))),IF(VolumeMonthlyOverFlag,INDEX(VolumeMonthlyOver,AE5),Volume),0))</f>
        <v>150</v>
      </c>
      <c r="AO5" s="1650" t="n">
        <f aca="false">IF(AND(WeekDef=8,CustomMFFlag,CustomMFPeriod=4),INDEX(VolumeHourlyOver,O5,1),IF(OR(WeekDef=1,WeekDef=2,WeekDef=4,WeekDef=6,AND(WeekDef=8,CustomMFFlag,OR(CustomMFPeriod=1,CustomMFPeriod=2))),IF(VolumeMonthlyOverFlag,INDEX(VolumeMonthlyOver,AE5),Volume),0))</f>
        <v>150</v>
      </c>
      <c r="AP5" s="1650" t="n">
        <f aca="false">IF(AND(WeekDef=8,CustomMFFlag,CustomMFPeriod=4),INDEX(VolumeHourlyOver,P5,1),IF(OR(WeekDef=1,WeekDef=2,WeekDef=4,WeekDef=6,AND(WeekDef=8,CustomMFFlag,OR(CustomMFPeriod=1,CustomMFPeriod=2))),IF(VolumeMonthlyOverFlag,INDEX(VolumeMonthlyOver,AE5),Volume),0))</f>
        <v>150</v>
      </c>
      <c r="AQ5" s="1650" t="n">
        <f aca="false">IF(AND(WeekDef=8,CustomMFFlag,CustomMFPeriod=4),INDEX(VolumeHourlyOver,Q5,1),IF(OR(WeekDef=1,WeekDef=2,WeekDef=4,WeekDef=6,AND(WeekDef=8,CustomMFFlag,OR(CustomMFPeriod=1,CustomMFPeriod=2))),IF(VolumeMonthlyOverFlag,INDEX(VolumeMonthlyOver,AE5),Volume),0))</f>
        <v>150</v>
      </c>
      <c r="AR5" s="1650" t="n">
        <f aca="false">IF(AND(WeekDef=8,CustomMFFlag,CustomMFPeriod=4),INDEX(VolumeHourlyOver,R5,1),IF(OR(WeekDef=1,WeekDef=2,WeekDef=4,WeekDef=6,AND(WeekDef=8,CustomMFFlag,OR(CustomMFPeriod=1,CustomMFPeriod=2))),IF(VolumeMonthlyOverFlag,INDEX(VolumeMonthlyOver,AE5),Volume),0))</f>
        <v>150</v>
      </c>
      <c r="AS5" s="1650" t="n">
        <f aca="false">IF(AND(WeekDef=8,CustomMFFlag,CustomMFPeriod=4),INDEX(VolumeHourlyOver,S5,1),IF(OR(WeekDef=1,WeekDef=2,WeekDef=4,WeekDef=6,AND(WeekDef=8,CustomMFFlag,OR(CustomMFPeriod=1,CustomMFPeriod=2))),IF(VolumeMonthlyOverFlag,INDEX(VolumeMonthlyOver,AE5),Volume),0))</f>
        <v>150</v>
      </c>
      <c r="AT5" s="1650" t="n">
        <f aca="false">IF(AND(WeekDef=8,CustomMFFlag,CustomMFPeriod=4),INDEX(VolumeHourlyOver,T5,1),IF(OR(WeekDef=1,WeekDef=2,WeekDef=4,WeekDef=6,AND(WeekDef=8,CustomMFFlag,OR(CustomMFPeriod=1,CustomMFPeriod=2))),IF(VolumeMonthlyOverFlag,INDEX(VolumeMonthlyOver,AE5),Volume),0))</f>
        <v>150</v>
      </c>
      <c r="AU5" s="1651" t="n">
        <f aca="false">IF(AND(WeekDef=8,CustomMFFlag,CustomMFPeriod=4),INDEX(VolumeHourlyOver,U5,1),IF(OR(WeekDef=1,WeekDef=2,WeekDef=4,WeekDef=6,AND(WeekDef=8,CustomMFFlag,OR(CustomMFPeriod=1,CustomMFPeriod=2))),IF(VolumeMonthlyOverFlag,INDEX(VolumeMonthlyOver,AE5),Volume),0))</f>
        <v>150</v>
      </c>
      <c r="AV5" s="1650" t="n">
        <f aca="false">IF(AND(WeekDef=8,CustomMFFlag,CustomMFPeriod=4),INDEX(VolumeHourlyOver,V5,1),IF(OR(WeekDef=1,WeekDef=3,WeekDef=5,WeekDef=7,AND(WeekDef=8,CustomMFFlag,OR(CustomMFPeriod=1,CustomMFPeriod=3))),IF(VolumeMonthlyOverFlag,INDEX(VolumeMonthlyOver,AE5),Volume),0))</f>
        <v>150</v>
      </c>
      <c r="AW5" s="1650" t="n">
        <f aca="false">IF(AND(WeekDef=8,CustomMFFlag,CustomMFPeriod=4),INDEX(VolumeHourlyOver,W5,1),IF(OR(WeekDef=1,WeekDef=3,WeekDef=5,WeekDef=7,AND(WeekDef=8,CustomMFFlag,OR(CustomMFPeriod=1,CustomMFPeriod=3))),IF(VolumeMonthlyOverFlag,INDEX(VolumeMonthlyOver,AE5),Volume),0))</f>
        <v>150</v>
      </c>
      <c r="AX5" s="1650" t="n">
        <f aca="false">IF(AND(WeekDef=8,CustomMFFlag,CustomMFPeriod=4),INDEX(VolumeHourlyOver,X5,1),IF(OR(WeekDef=1,WeekDef=3,WeekDef=5,WeekDef=7,AND(WeekDef=8,CustomMFFlag,OR(CustomMFPeriod=1,CustomMFPeriod=3))),IF(VolumeMonthlyOverFlag,INDEX(VolumeMonthlyOver,AE5),Volume),0))</f>
        <v>150</v>
      </c>
      <c r="AY5" s="1650" t="n">
        <f aca="false">IF(AND(WeekDef=8,CustomMFFlag,CustomMFPeriod=4),INDEX(VolumeHourlyOver,Y5,1),IF(OR(WeekDef=1,WeekDef=3,WeekDef=5,WeekDef=7,AND(WeekDef=8,CustomMFFlag,OR(CustomMFPeriod=1,CustomMFPeriod=3))),IF(VolumeMonthlyOverFlag,INDEX(VolumeMonthlyOver,AE5),Volume),0))</f>
        <v>150</v>
      </c>
      <c r="AZ5" s="1650" t="n">
        <f aca="false">IF(AND(WeekDef=8,CustomMFFlag,CustomMFPeriod=4),INDEX(VolumeHourlyOver,Z5,1),IF(OR(WeekDef=1,WeekDef=3,WeekDef=5,WeekDef=7,AND(WeekDef=8,CustomMFFlag,OR(CustomMFPeriod=1,CustomMFPeriod=3))),IF(VolumeMonthlyOverFlag,INDEX(VolumeMonthlyOver,AE5),Volume),0))</f>
        <v>150</v>
      </c>
      <c r="BA5" s="1650" t="n">
        <f aca="false">IF(AND(WeekDef=8,CustomMFFlag,CustomMFPeriod=4),INDEX(VolumeHourlyOver,AA5,1),IF(OR(WeekDef=1,WeekDef=3,WeekDef=5,WeekDef=7,AND(WeekDef=8,CustomMFFlag,OR(CustomMFPeriod=1,CustomMFPeriod=3))),IF(VolumeMonthlyOverFlag,INDEX(VolumeMonthlyOver,AE5),Volume),0))</f>
        <v>150</v>
      </c>
      <c r="BB5" s="1650" t="n">
        <f aca="false">IF(AND(WeekDef=8,CustomMFFlag,CustomMFPeriod=4),INDEX(VolumeHourlyOver,AB5,1),IF(OR(WeekDef=1,WeekDef=3,WeekDef=5,WeekDef=7,AND(WeekDef=8,CustomMFFlag,OR(CustomMFPeriod=1,CustomMFPeriod=3))),IF(VolumeMonthlyOverFlag,INDEX(VolumeMonthlyOver,AE5),Volume),0))</f>
        <v>150</v>
      </c>
      <c r="BC5" s="1651" t="n">
        <f aca="false">IF(AND(WeekDef=8,CustomMFFlag,CustomMFPeriod=4),INDEX(VolumeHourlyOver,AC5,1),IF(OR(WeekDef=1,WeekDef=3,WeekDef=5,WeekDef=7,AND(WeekDef=8,CustomMFFlag,OR(CustomMFPeriod=1,CustomMFPeriod=3))),IF(VolumeMonthlyOverFlag,INDEX(VolumeMonthlyOver,AE5),Volume),0))</f>
        <v>150</v>
      </c>
      <c r="BD5" s="1652" t="n">
        <f aca="false">SUM(AF5:AU5)</f>
        <v>2400</v>
      </c>
      <c r="BE5" s="1653" t="n">
        <f aca="false">SUM(AV5:BC5)</f>
        <v>1200</v>
      </c>
      <c r="BF5" s="1654" t="n">
        <f aca="false">BD5+BE5</f>
        <v>3600</v>
      </c>
      <c r="BG5" s="1655" t="n">
        <f aca="false">IF(BD5,SUMPRODUCT(AF5:AU5,F21:U21)/BD5,0)</f>
        <v>0.99999999627471</v>
      </c>
      <c r="BH5" s="1655" t="n">
        <f aca="false">IF(BE5,SUMPRODUCT(AV5:BC5,V21:AC21)/BE5,0)</f>
        <v>0.999999992549419</v>
      </c>
      <c r="BJ5" s="1636" t="n">
        <v>1</v>
      </c>
      <c r="BK5" s="1649" t="n">
        <f aca="false">IF(AND(WeekDef=8,CustomMFFlag,CustomMFPeriod=4),INDEX(IF(DiffOptVolumeFlag,DiffOptVolumeHourlyOver,VolumeHourlyOver),F5,1),IF(OR(WeekDef=1,WeekDef=2,WeekDef=4,WeekDef=6,AND(WeekDef=8,CustomMFFlag,OR(CustomMFPeriod=1,CustomMFPeriod=2))),IF(VolumeMonthlyOverFlag,INDEX(IF(DiffOptVolumeFlag,DiffOptVolumeMonthlyOver,VolumeMonthlyOver),BJ5),IF(DiffOptVolumeFlag,DiffOptVolume,Volume)),0))</f>
        <v>600</v>
      </c>
      <c r="BL5" s="1650" t="n">
        <f aca="false">IF(AND(WeekDef=8,CustomMFFlag,CustomMFPeriod=4),INDEX(IF(DiffOptVolumeFlag,DiffOptVolumeHourlyOver,VolumeHourlyOver),G5,1),IF(OR(WeekDef=1,WeekDef=2,WeekDef=4,WeekDef=6,AND(WeekDef=8,CustomMFFlag,OR(CustomMFPeriod=1,CustomMFPeriod=2))),IF(VolumeMonthlyOverFlag,INDEX(IF(DiffOptVolumeFlag,DiffOptVolumeMonthlyOver,VolumeMonthlyOver),BJ5),IF(DiffOptVolumeFlag,DiffOptVolume,Volume)),0))</f>
        <v>600</v>
      </c>
      <c r="BM5" s="1650" t="n">
        <f aca="false">IF(AND(WeekDef=8,CustomMFFlag,CustomMFPeriod=4),INDEX(IF(DiffOptVolumeFlag,DiffOptVolumeHourlyOver,VolumeHourlyOver),H5,1),IF(OR(WeekDef=1,WeekDef=2,WeekDef=4,WeekDef=6,AND(WeekDef=8,CustomMFFlag,OR(CustomMFPeriod=1,CustomMFPeriod=2))),IF(VolumeMonthlyOverFlag,INDEX(IF(DiffOptVolumeFlag,DiffOptVolumeMonthlyOver,VolumeMonthlyOver),BJ5),IF(DiffOptVolumeFlag,DiffOptVolume,Volume)),0))</f>
        <v>600</v>
      </c>
      <c r="BN5" s="1650" t="n">
        <f aca="false">IF(AND(WeekDef=8,CustomMFFlag,CustomMFPeriod=4),INDEX(IF(DiffOptVolumeFlag,DiffOptVolumeHourlyOver,VolumeHourlyOver),I5,1),IF(OR(WeekDef=1,WeekDef=2,WeekDef=4,WeekDef=6,AND(WeekDef=8,CustomMFFlag,OR(CustomMFPeriod=1,CustomMFPeriod=2))),IF(VolumeMonthlyOverFlag,INDEX(IF(DiffOptVolumeFlag,DiffOptVolumeMonthlyOver,VolumeMonthlyOver),BJ5),IF(DiffOptVolumeFlag,DiffOptVolume,Volume)),0))</f>
        <v>600</v>
      </c>
      <c r="BO5" s="1650" t="n">
        <f aca="false">IF(AND(WeekDef=8,CustomMFFlag,CustomMFPeriod=4),INDEX(IF(DiffOptVolumeFlag,DiffOptVolumeHourlyOver,VolumeHourlyOver),J5,1),IF(OR(WeekDef=1,WeekDef=2,WeekDef=4,WeekDef=6,AND(WeekDef=8,CustomMFFlag,OR(CustomMFPeriod=1,CustomMFPeriod=2))),IF(VolumeMonthlyOverFlag,INDEX(IF(DiffOptVolumeFlag,DiffOptVolumeMonthlyOver,VolumeMonthlyOver),BJ5),IF(DiffOptVolumeFlag,DiffOptVolume,Volume)),0))</f>
        <v>600</v>
      </c>
      <c r="BP5" s="1650" t="n">
        <f aca="false">IF(AND(WeekDef=8,CustomMFFlag,CustomMFPeriod=4),INDEX(IF(DiffOptVolumeFlag,DiffOptVolumeHourlyOver,VolumeHourlyOver),K5,1),IF(OR(WeekDef=1,WeekDef=2,WeekDef=4,WeekDef=6,AND(WeekDef=8,CustomMFFlag,OR(CustomMFPeriod=1,CustomMFPeriod=2))),IF(VolumeMonthlyOverFlag,INDEX(IF(DiffOptVolumeFlag,DiffOptVolumeMonthlyOver,VolumeMonthlyOver),BJ5),IF(DiffOptVolumeFlag,DiffOptVolume,Volume)),0))</f>
        <v>600</v>
      </c>
      <c r="BQ5" s="1650" t="n">
        <f aca="false">IF(AND(WeekDef=8,CustomMFFlag,CustomMFPeriod=4),INDEX(IF(DiffOptVolumeFlag,DiffOptVolumeHourlyOver,VolumeHourlyOver),L5,1),IF(OR(WeekDef=1,WeekDef=2,WeekDef=4,WeekDef=6,AND(WeekDef=8,CustomMFFlag,OR(CustomMFPeriod=1,CustomMFPeriod=2))),IF(VolumeMonthlyOverFlag,INDEX(IF(DiffOptVolumeFlag,DiffOptVolumeMonthlyOver,VolumeMonthlyOver),BJ5),IF(DiffOptVolumeFlag,DiffOptVolume,Volume)),0))</f>
        <v>600</v>
      </c>
      <c r="BR5" s="1650" t="n">
        <f aca="false">IF(AND(WeekDef=8,CustomMFFlag,CustomMFPeriod=4),INDEX(IF(DiffOptVolumeFlag,DiffOptVolumeHourlyOver,VolumeHourlyOver),M5,1),IF(OR(WeekDef=1,WeekDef=2,WeekDef=4,WeekDef=6,AND(WeekDef=8,CustomMFFlag,OR(CustomMFPeriod=1,CustomMFPeriod=2))),IF(VolumeMonthlyOverFlag,INDEX(IF(DiffOptVolumeFlag,DiffOptVolumeMonthlyOver,VolumeMonthlyOver),BJ5),IF(DiffOptVolumeFlag,DiffOptVolume,Volume)),0))</f>
        <v>600</v>
      </c>
      <c r="BS5" s="1650" t="n">
        <f aca="false">IF(AND(WeekDef=8,CustomMFFlag,CustomMFPeriod=4),INDEX(IF(DiffOptVolumeFlag,DiffOptVolumeHourlyOver,VolumeHourlyOver),N5,1),IF(OR(WeekDef=1,WeekDef=2,WeekDef=4,WeekDef=6,AND(WeekDef=8,CustomMFFlag,OR(CustomMFPeriod=1,CustomMFPeriod=2))),IF(VolumeMonthlyOverFlag,INDEX(IF(DiffOptVolumeFlag,DiffOptVolumeMonthlyOver,VolumeMonthlyOver),BJ5),IF(DiffOptVolumeFlag,DiffOptVolume,Volume)),0))</f>
        <v>600</v>
      </c>
      <c r="BT5" s="1650" t="n">
        <f aca="false">IF(AND(WeekDef=8,CustomMFFlag,CustomMFPeriod=4),INDEX(IF(DiffOptVolumeFlag,DiffOptVolumeHourlyOver,VolumeHourlyOver),O5,1),IF(OR(WeekDef=1,WeekDef=2,WeekDef=4,WeekDef=6,AND(WeekDef=8,CustomMFFlag,OR(CustomMFPeriod=1,CustomMFPeriod=2))),IF(VolumeMonthlyOverFlag,INDEX(IF(DiffOptVolumeFlag,DiffOptVolumeMonthlyOver,VolumeMonthlyOver),BJ5),IF(DiffOptVolumeFlag,DiffOptVolume,Volume)),0))</f>
        <v>600</v>
      </c>
      <c r="BU5" s="1650" t="n">
        <f aca="false">IF(AND(WeekDef=8,CustomMFFlag,CustomMFPeriod=4),INDEX(IF(DiffOptVolumeFlag,DiffOptVolumeHourlyOver,VolumeHourlyOver),P5,1),IF(OR(WeekDef=1,WeekDef=2,WeekDef=4,WeekDef=6,AND(WeekDef=8,CustomMFFlag,OR(CustomMFPeriod=1,CustomMFPeriod=2))),IF(VolumeMonthlyOverFlag,INDEX(IF(DiffOptVolumeFlag,DiffOptVolumeMonthlyOver,VolumeMonthlyOver),BJ5),IF(DiffOptVolumeFlag,DiffOptVolume,Volume)),0))</f>
        <v>600</v>
      </c>
      <c r="BV5" s="1650" t="n">
        <f aca="false">IF(AND(WeekDef=8,CustomMFFlag,CustomMFPeriod=4),INDEX(IF(DiffOptVolumeFlag,DiffOptVolumeHourlyOver,VolumeHourlyOver),Q5,1),IF(OR(WeekDef=1,WeekDef=2,WeekDef=4,WeekDef=6,AND(WeekDef=8,CustomMFFlag,OR(CustomMFPeriod=1,CustomMFPeriod=2))),IF(VolumeMonthlyOverFlag,INDEX(IF(DiffOptVolumeFlag,DiffOptVolumeMonthlyOver,VolumeMonthlyOver),BJ5),IF(DiffOptVolumeFlag,DiffOptVolume,Volume)),0))</f>
        <v>600</v>
      </c>
      <c r="BW5" s="1650" t="n">
        <f aca="false">IF(AND(WeekDef=8,CustomMFFlag,CustomMFPeriod=4),INDEX(IF(DiffOptVolumeFlag,DiffOptVolumeHourlyOver,VolumeHourlyOver),R5,1),IF(OR(WeekDef=1,WeekDef=2,WeekDef=4,WeekDef=6,AND(WeekDef=8,CustomMFFlag,OR(CustomMFPeriod=1,CustomMFPeriod=2))),IF(VolumeMonthlyOverFlag,INDEX(IF(DiffOptVolumeFlag,DiffOptVolumeMonthlyOver,VolumeMonthlyOver),BJ5),IF(DiffOptVolumeFlag,DiffOptVolume,Volume)),0))</f>
        <v>600</v>
      </c>
      <c r="BX5" s="1650" t="n">
        <f aca="false">IF(AND(WeekDef=8,CustomMFFlag,CustomMFPeriod=4),INDEX(IF(DiffOptVolumeFlag,DiffOptVolumeHourlyOver,VolumeHourlyOver),S5,1),IF(OR(WeekDef=1,WeekDef=2,WeekDef=4,WeekDef=6,AND(WeekDef=8,CustomMFFlag,OR(CustomMFPeriod=1,CustomMFPeriod=2))),IF(VolumeMonthlyOverFlag,INDEX(IF(DiffOptVolumeFlag,DiffOptVolumeMonthlyOver,VolumeMonthlyOver),BJ5),IF(DiffOptVolumeFlag,DiffOptVolume,Volume)),0))</f>
        <v>600</v>
      </c>
      <c r="BY5" s="1650" t="n">
        <f aca="false">IF(AND(WeekDef=8,CustomMFFlag,CustomMFPeriod=4),INDEX(IF(DiffOptVolumeFlag,DiffOptVolumeHourlyOver,VolumeHourlyOver),T5,1),IF(OR(WeekDef=1,WeekDef=2,WeekDef=4,WeekDef=6,AND(WeekDef=8,CustomMFFlag,OR(CustomMFPeriod=1,CustomMFPeriod=2))),IF(VolumeMonthlyOverFlag,INDEX(IF(DiffOptVolumeFlag,DiffOptVolumeMonthlyOver,VolumeMonthlyOver),BJ5),IF(DiffOptVolumeFlag,DiffOptVolume,Volume)),0))</f>
        <v>600</v>
      </c>
      <c r="BZ5" s="1651" t="n">
        <f aca="false">IF(AND(WeekDef=8,CustomMFFlag,CustomMFPeriod=4),INDEX(IF(DiffOptVolumeFlag,DiffOptVolumeHourlyOver,VolumeHourlyOver),U5,1),IF(OR(WeekDef=1,WeekDef=2,WeekDef=4,WeekDef=6,AND(WeekDef=8,CustomMFFlag,OR(CustomMFPeriod=1,CustomMFPeriod=2))),IF(VolumeMonthlyOverFlag,INDEX(IF(DiffOptVolumeFlag,DiffOptVolumeMonthlyOver,VolumeMonthlyOver),BJ5),IF(DiffOptVolumeFlag,DiffOptVolume,Volume)),0))</f>
        <v>600</v>
      </c>
      <c r="CA5" s="1650" t="n">
        <f aca="false">IF(AND(WeekDef=8,CustomMFFlag,CustomMFPeriod=4),INDEX(IF(DiffOptVolumeFlag,DiffOptVolumeHourlyOver,VolumeHourlyOver),V5,1),IF(OR(WeekDef=1,WeekDef=3,WeekDef=5,WeekDef=7,AND(WeekDef=8,CustomMFFlag,OR(CustomMFPeriod=1,CustomMFPeriod=3))),IF(VolumeMonthlyOverFlag,INDEX(IF(DiffOptVolumeFlag,DiffOptVolumeMonthlyOver,VolumeMonthlyOver),BJ5),IF(DiffOptVolumeFlag,DiffOptVolume,Volume)),0))</f>
        <v>600</v>
      </c>
      <c r="CB5" s="1650" t="n">
        <f aca="false">IF(AND(WeekDef=8,CustomMFFlag,CustomMFPeriod=4),INDEX(IF(DiffOptVolumeFlag,DiffOptVolumeHourlyOver,VolumeHourlyOver),W5,1),IF(OR(WeekDef=1,WeekDef=3,WeekDef=5,WeekDef=7,AND(WeekDef=8,CustomMFFlag,OR(CustomMFPeriod=1,CustomMFPeriod=3))),IF(VolumeMonthlyOverFlag,INDEX(IF(DiffOptVolumeFlag,DiffOptVolumeMonthlyOver,VolumeMonthlyOver),BJ5),IF(DiffOptVolumeFlag,DiffOptVolume,Volume)),0))</f>
        <v>600</v>
      </c>
      <c r="CC5" s="1650" t="n">
        <f aca="false">IF(AND(WeekDef=8,CustomMFFlag,CustomMFPeriod=4),INDEX(IF(DiffOptVolumeFlag,DiffOptVolumeHourlyOver,VolumeHourlyOver),X5,1),IF(OR(WeekDef=1,WeekDef=3,WeekDef=5,WeekDef=7,AND(WeekDef=8,CustomMFFlag,OR(CustomMFPeriod=1,CustomMFPeriod=3))),IF(VolumeMonthlyOverFlag,INDEX(IF(DiffOptVolumeFlag,DiffOptVolumeMonthlyOver,VolumeMonthlyOver),BJ5),IF(DiffOptVolumeFlag,DiffOptVolume,Volume)),0))</f>
        <v>600</v>
      </c>
      <c r="CD5" s="1650" t="n">
        <f aca="false">IF(AND(WeekDef=8,CustomMFFlag,CustomMFPeriod=4),INDEX(IF(DiffOptVolumeFlag,DiffOptVolumeHourlyOver,VolumeHourlyOver),Y5,1),IF(OR(WeekDef=1,WeekDef=3,WeekDef=5,WeekDef=7,AND(WeekDef=8,CustomMFFlag,OR(CustomMFPeriod=1,CustomMFPeriod=3))),IF(VolumeMonthlyOverFlag,INDEX(IF(DiffOptVolumeFlag,DiffOptVolumeMonthlyOver,VolumeMonthlyOver),BJ5),IF(DiffOptVolumeFlag,DiffOptVolume,Volume)),0))</f>
        <v>600</v>
      </c>
      <c r="CE5" s="1650" t="n">
        <f aca="false">IF(AND(WeekDef=8,CustomMFFlag,CustomMFPeriod=4),INDEX(IF(DiffOptVolumeFlag,DiffOptVolumeHourlyOver,VolumeHourlyOver),Z5,1),IF(OR(WeekDef=1,WeekDef=3,WeekDef=5,WeekDef=7,AND(WeekDef=8,CustomMFFlag,OR(CustomMFPeriod=1,CustomMFPeriod=3))),IF(VolumeMonthlyOverFlag,INDEX(IF(DiffOptVolumeFlag,DiffOptVolumeMonthlyOver,VolumeMonthlyOver),BJ5),IF(DiffOptVolumeFlag,DiffOptVolume,Volume)),0))</f>
        <v>600</v>
      </c>
      <c r="CF5" s="1650" t="n">
        <f aca="false">IF(AND(WeekDef=8,CustomMFFlag,CustomMFPeriod=4),INDEX(IF(DiffOptVolumeFlag,DiffOptVolumeHourlyOver,VolumeHourlyOver),AA5,1),IF(OR(WeekDef=1,WeekDef=3,WeekDef=5,WeekDef=7,AND(WeekDef=8,CustomMFFlag,OR(CustomMFPeriod=1,CustomMFPeriod=3))),IF(VolumeMonthlyOverFlag,INDEX(IF(DiffOptVolumeFlag,DiffOptVolumeMonthlyOver,VolumeMonthlyOver),BJ5),IF(DiffOptVolumeFlag,DiffOptVolume,Volume)),0))</f>
        <v>600</v>
      </c>
      <c r="CG5" s="1650" t="n">
        <f aca="false">IF(AND(WeekDef=8,CustomMFFlag,CustomMFPeriod=4),INDEX(IF(DiffOptVolumeFlag,DiffOptVolumeHourlyOver,VolumeHourlyOver),AB5,1),IF(OR(WeekDef=1,WeekDef=3,WeekDef=5,WeekDef=7,AND(WeekDef=8,CustomMFFlag,OR(CustomMFPeriod=1,CustomMFPeriod=3))),IF(VolumeMonthlyOverFlag,INDEX(IF(DiffOptVolumeFlag,DiffOptVolumeMonthlyOver,VolumeMonthlyOver),BJ5),IF(DiffOptVolumeFlag,DiffOptVolume,Volume)),0))</f>
        <v>600</v>
      </c>
      <c r="CH5" s="1651" t="n">
        <f aca="false">IF(AND(WeekDef=8,CustomMFFlag,CustomMFPeriod=4),INDEX(IF(DiffOptVolumeFlag,DiffOptVolumeHourlyOver,VolumeHourlyOver),AC5,1),IF(OR(WeekDef=1,WeekDef=3,WeekDef=5,WeekDef=7,AND(WeekDef=8,CustomMFFlag,OR(CustomMFPeriod=1,CustomMFPeriod=3))),IF(VolumeMonthlyOverFlag,INDEX(IF(DiffOptVolumeFlag,DiffOptVolumeMonthlyOver,VolumeMonthlyOver),BJ5),IF(DiffOptVolumeFlag,DiffOptVolume,Volume)),0))</f>
        <v>600</v>
      </c>
      <c r="CI5" s="1652" t="n">
        <f aca="false">SUM(BK5:BZ5)</f>
        <v>9600</v>
      </c>
      <c r="CJ5" s="1653" t="n">
        <f aca="false">SUM(CA5:CH5)</f>
        <v>4800</v>
      </c>
      <c r="CK5" s="1654" t="n">
        <f aca="false">CI5+CJ5</f>
        <v>14400</v>
      </c>
      <c r="CL5" s="1655" t="n">
        <f aca="false">IF(CI5,SUMPRODUCT(BK5:BZ5,F21:U21)/CI5,0)</f>
        <v>0.99999999627471</v>
      </c>
      <c r="CM5" s="1655" t="n">
        <f aca="false">IF(CJ5,SUMPRODUCT(CA5:CH5,V21:AC21)/CJ5,0)</f>
        <v>0.999999992549419</v>
      </c>
      <c r="CO5" s="1649" t="n">
        <v>1</v>
      </c>
      <c r="CP5" s="1656" t="n">
        <f aca="false">MAX(AF5:BC5,AF19:BC19,AF33:BC33,AF47:BC47)</f>
        <v>150</v>
      </c>
      <c r="CQ5" s="1657" t="n">
        <f aca="false">MAX(BK5:CH5,BK19:CH19,BK33:CH33,BK47:CH47)</f>
        <v>600</v>
      </c>
      <c r="DE5" s="1658"/>
    </row>
    <row r="6" customFormat="false" ht="12.75" hidden="false" customHeight="false" outlineLevel="0" collapsed="false">
      <c r="E6" s="1636" t="n">
        <v>2</v>
      </c>
      <c r="F6" s="1646" t="n">
        <v>19</v>
      </c>
      <c r="G6" s="1647" t="n">
        <v>18</v>
      </c>
      <c r="H6" s="1647" t="n">
        <v>20</v>
      </c>
      <c r="I6" s="1647" t="n">
        <v>10</v>
      </c>
      <c r="J6" s="1647" t="n">
        <v>9</v>
      </c>
      <c r="K6" s="1647" t="n">
        <v>8</v>
      </c>
      <c r="L6" s="1647" t="n">
        <v>11</v>
      </c>
      <c r="M6" s="1647" t="n">
        <v>21</v>
      </c>
      <c r="N6" s="1647" t="n">
        <v>12</v>
      </c>
      <c r="O6" s="1647" t="n">
        <v>7</v>
      </c>
      <c r="P6" s="1647" t="n">
        <v>17</v>
      </c>
      <c r="Q6" s="1647" t="n">
        <v>13</v>
      </c>
      <c r="R6" s="1647" t="n">
        <v>16</v>
      </c>
      <c r="S6" s="1647" t="n">
        <v>15</v>
      </c>
      <c r="T6" s="1647" t="n">
        <v>14</v>
      </c>
      <c r="U6" s="1648" t="n">
        <v>22</v>
      </c>
      <c r="V6" s="1647" t="n">
        <v>23</v>
      </c>
      <c r="W6" s="1647" t="n">
        <v>6</v>
      </c>
      <c r="X6" s="1647" t="n">
        <v>24</v>
      </c>
      <c r="Y6" s="1647" t="n">
        <v>5</v>
      </c>
      <c r="Z6" s="1647" t="n">
        <v>1</v>
      </c>
      <c r="AA6" s="1647" t="n">
        <v>4</v>
      </c>
      <c r="AB6" s="1647" t="n">
        <v>2</v>
      </c>
      <c r="AC6" s="1648" t="n">
        <v>3</v>
      </c>
      <c r="AD6" s="1621"/>
      <c r="AE6" s="1636" t="n">
        <v>2</v>
      </c>
      <c r="AF6" s="1646" t="n">
        <f aca="false">IF(AND(WeekDef=8,CustomMFFlag,CustomMFPeriod=4),INDEX(VolumeHourlyOver,F6,1),IF(OR(WeekDef=1,WeekDef=2,WeekDef=4,WeekDef=6,AND(WeekDef=8,CustomMFFlag,OR(CustomMFPeriod=1,CustomMFPeriod=2))),IF(VolumeMonthlyOverFlag,INDEX(VolumeMonthlyOver,AE6),Volume),0))</f>
        <v>150</v>
      </c>
      <c r="AG6" s="1647" t="n">
        <f aca="false">IF(AND(WeekDef=8,CustomMFFlag,CustomMFPeriod=4),INDEX(VolumeHourlyOver,G6,1),IF(OR(WeekDef=1,WeekDef=2,WeekDef=4,WeekDef=6,AND(WeekDef=8,CustomMFFlag,OR(CustomMFPeriod=1,CustomMFPeriod=2))),IF(VolumeMonthlyOverFlag,INDEX(VolumeMonthlyOver,AE6),Volume),0))</f>
        <v>150</v>
      </c>
      <c r="AH6" s="1647" t="n">
        <f aca="false">IF(AND(WeekDef=8,CustomMFFlag,CustomMFPeriod=4),INDEX(VolumeHourlyOver,H6,1),IF(OR(WeekDef=1,WeekDef=2,WeekDef=4,WeekDef=6,AND(WeekDef=8,CustomMFFlag,OR(CustomMFPeriod=1,CustomMFPeriod=2))),IF(VolumeMonthlyOverFlag,INDEX(VolumeMonthlyOver,AE6),Volume),0))</f>
        <v>150</v>
      </c>
      <c r="AI6" s="1647" t="n">
        <f aca="false">IF(AND(WeekDef=8,CustomMFFlag,CustomMFPeriod=4),INDEX(VolumeHourlyOver,I6,1),IF(OR(WeekDef=1,WeekDef=2,WeekDef=4,WeekDef=6,AND(WeekDef=8,CustomMFFlag,OR(CustomMFPeriod=1,CustomMFPeriod=2))),IF(VolumeMonthlyOverFlag,INDEX(VolumeMonthlyOver,AE6),Volume),0))</f>
        <v>150</v>
      </c>
      <c r="AJ6" s="1647" t="n">
        <f aca="false">IF(AND(WeekDef=8,CustomMFFlag,CustomMFPeriod=4),INDEX(VolumeHourlyOver,J6,1),IF(OR(WeekDef=1,WeekDef=2,WeekDef=4,WeekDef=6,AND(WeekDef=8,CustomMFFlag,OR(CustomMFPeriod=1,CustomMFPeriod=2))),IF(VolumeMonthlyOverFlag,INDEX(VolumeMonthlyOver,AE6),Volume),0))</f>
        <v>150</v>
      </c>
      <c r="AK6" s="1647" t="n">
        <f aca="false">IF(AND(WeekDef=8,CustomMFFlag,CustomMFPeriod=4),INDEX(VolumeHourlyOver,K6,1),IF(OR(WeekDef=1,WeekDef=2,WeekDef=4,WeekDef=6,AND(WeekDef=8,CustomMFFlag,OR(CustomMFPeriod=1,CustomMFPeriod=2))),IF(VolumeMonthlyOverFlag,INDEX(VolumeMonthlyOver,AE6),Volume),0))</f>
        <v>150</v>
      </c>
      <c r="AL6" s="1647" t="n">
        <f aca="false">IF(AND(WeekDef=8,CustomMFFlag,CustomMFPeriod=4),INDEX(VolumeHourlyOver,L6,1),IF(OR(WeekDef=1,WeekDef=2,WeekDef=4,WeekDef=6,AND(WeekDef=8,CustomMFFlag,OR(CustomMFPeriod=1,CustomMFPeriod=2))),IF(VolumeMonthlyOverFlag,INDEX(VolumeMonthlyOver,AE6),Volume),0))</f>
        <v>150</v>
      </c>
      <c r="AM6" s="1647" t="n">
        <f aca="false">IF(AND(WeekDef=8,CustomMFFlag,CustomMFPeriod=4),INDEX(VolumeHourlyOver,M6,1),IF(OR(WeekDef=1,WeekDef=2,WeekDef=4,WeekDef=6,AND(WeekDef=8,CustomMFFlag,OR(CustomMFPeriod=1,CustomMFPeriod=2))),IF(VolumeMonthlyOverFlag,INDEX(VolumeMonthlyOver,AE6),Volume),0))</f>
        <v>150</v>
      </c>
      <c r="AN6" s="1647" t="n">
        <f aca="false">IF(AND(WeekDef=8,CustomMFFlag,CustomMFPeriod=4),INDEX(VolumeHourlyOver,N6,1),IF(OR(WeekDef=1,WeekDef=2,WeekDef=4,WeekDef=6,AND(WeekDef=8,CustomMFFlag,OR(CustomMFPeriod=1,CustomMFPeriod=2))),IF(VolumeMonthlyOverFlag,INDEX(VolumeMonthlyOver,AE6),Volume),0))</f>
        <v>150</v>
      </c>
      <c r="AO6" s="1647" t="n">
        <f aca="false">IF(AND(WeekDef=8,CustomMFFlag,CustomMFPeriod=4),INDEX(VolumeHourlyOver,O6,1),IF(OR(WeekDef=1,WeekDef=2,WeekDef=4,WeekDef=6,AND(WeekDef=8,CustomMFFlag,OR(CustomMFPeriod=1,CustomMFPeriod=2))),IF(VolumeMonthlyOverFlag,INDEX(VolumeMonthlyOver,AE6),Volume),0))</f>
        <v>150</v>
      </c>
      <c r="AP6" s="1647" t="n">
        <f aca="false">IF(AND(WeekDef=8,CustomMFFlag,CustomMFPeriod=4),INDEX(VolumeHourlyOver,P6,1),IF(OR(WeekDef=1,WeekDef=2,WeekDef=4,WeekDef=6,AND(WeekDef=8,CustomMFFlag,OR(CustomMFPeriod=1,CustomMFPeriod=2))),IF(VolumeMonthlyOverFlag,INDEX(VolumeMonthlyOver,AE6),Volume),0))</f>
        <v>150</v>
      </c>
      <c r="AQ6" s="1647" t="n">
        <f aca="false">IF(AND(WeekDef=8,CustomMFFlag,CustomMFPeriod=4),INDEX(VolumeHourlyOver,Q6,1),IF(OR(WeekDef=1,WeekDef=2,WeekDef=4,WeekDef=6,AND(WeekDef=8,CustomMFFlag,OR(CustomMFPeriod=1,CustomMFPeriod=2))),IF(VolumeMonthlyOverFlag,INDEX(VolumeMonthlyOver,AE6),Volume),0))</f>
        <v>150</v>
      </c>
      <c r="AR6" s="1647" t="n">
        <f aca="false">IF(AND(WeekDef=8,CustomMFFlag,CustomMFPeriod=4),INDEX(VolumeHourlyOver,R6,1),IF(OR(WeekDef=1,WeekDef=2,WeekDef=4,WeekDef=6,AND(WeekDef=8,CustomMFFlag,OR(CustomMFPeriod=1,CustomMFPeriod=2))),IF(VolumeMonthlyOverFlag,INDEX(VolumeMonthlyOver,AE6),Volume),0))</f>
        <v>150</v>
      </c>
      <c r="AS6" s="1647" t="n">
        <f aca="false">IF(AND(WeekDef=8,CustomMFFlag,CustomMFPeriod=4),INDEX(VolumeHourlyOver,S6,1),IF(OR(WeekDef=1,WeekDef=2,WeekDef=4,WeekDef=6,AND(WeekDef=8,CustomMFFlag,OR(CustomMFPeriod=1,CustomMFPeriod=2))),IF(VolumeMonthlyOverFlag,INDEX(VolumeMonthlyOver,AE6),Volume),0))</f>
        <v>150</v>
      </c>
      <c r="AT6" s="1647" t="n">
        <f aca="false">IF(AND(WeekDef=8,CustomMFFlag,CustomMFPeriod=4),INDEX(VolumeHourlyOver,T6,1),IF(OR(WeekDef=1,WeekDef=2,WeekDef=4,WeekDef=6,AND(WeekDef=8,CustomMFFlag,OR(CustomMFPeriod=1,CustomMFPeriod=2))),IF(VolumeMonthlyOverFlag,INDEX(VolumeMonthlyOver,AE6),Volume),0))</f>
        <v>150</v>
      </c>
      <c r="AU6" s="1648" t="n">
        <f aca="false">IF(AND(WeekDef=8,CustomMFFlag,CustomMFPeriod=4),INDEX(VolumeHourlyOver,U6,1),IF(OR(WeekDef=1,WeekDef=2,WeekDef=4,WeekDef=6,AND(WeekDef=8,CustomMFFlag,OR(CustomMFPeriod=1,CustomMFPeriod=2))),IF(VolumeMonthlyOverFlag,INDEX(VolumeMonthlyOver,AE6),Volume),0))</f>
        <v>150</v>
      </c>
      <c r="AV6" s="1647" t="n">
        <f aca="false">IF(AND(WeekDef=8,CustomMFFlag,CustomMFPeriod=4),INDEX(VolumeHourlyOver,V6,1),IF(OR(WeekDef=1,WeekDef=3,WeekDef=5,WeekDef=7,AND(WeekDef=8,CustomMFFlag,OR(CustomMFPeriod=1,CustomMFPeriod=3))),IF(VolumeMonthlyOverFlag,INDEX(VolumeMonthlyOver,AE6),Volume),0))</f>
        <v>150</v>
      </c>
      <c r="AW6" s="1647" t="n">
        <f aca="false">IF(AND(WeekDef=8,CustomMFFlag,CustomMFPeriod=4),INDEX(VolumeHourlyOver,W6,1),IF(OR(WeekDef=1,WeekDef=3,WeekDef=5,WeekDef=7,AND(WeekDef=8,CustomMFFlag,OR(CustomMFPeriod=1,CustomMFPeriod=3))),IF(VolumeMonthlyOverFlag,INDEX(VolumeMonthlyOver,AE6),Volume),0))</f>
        <v>150</v>
      </c>
      <c r="AX6" s="1647" t="n">
        <f aca="false">IF(AND(WeekDef=8,CustomMFFlag,CustomMFPeriod=4),INDEX(VolumeHourlyOver,X6,1),IF(OR(WeekDef=1,WeekDef=3,WeekDef=5,WeekDef=7,AND(WeekDef=8,CustomMFFlag,OR(CustomMFPeriod=1,CustomMFPeriod=3))),IF(VolumeMonthlyOverFlag,INDEX(VolumeMonthlyOver,AE6),Volume),0))</f>
        <v>150</v>
      </c>
      <c r="AY6" s="1647" t="n">
        <f aca="false">IF(AND(WeekDef=8,CustomMFFlag,CustomMFPeriod=4),INDEX(VolumeHourlyOver,Y6,1),IF(OR(WeekDef=1,WeekDef=3,WeekDef=5,WeekDef=7,AND(WeekDef=8,CustomMFFlag,OR(CustomMFPeriod=1,CustomMFPeriod=3))),IF(VolumeMonthlyOverFlag,INDEX(VolumeMonthlyOver,AE6),Volume),0))</f>
        <v>150</v>
      </c>
      <c r="AZ6" s="1647" t="n">
        <f aca="false">IF(AND(WeekDef=8,CustomMFFlag,CustomMFPeriod=4),INDEX(VolumeHourlyOver,Z6,1),IF(OR(WeekDef=1,WeekDef=3,WeekDef=5,WeekDef=7,AND(WeekDef=8,CustomMFFlag,OR(CustomMFPeriod=1,CustomMFPeriod=3))),IF(VolumeMonthlyOverFlag,INDEX(VolumeMonthlyOver,AE6),Volume),0))</f>
        <v>150</v>
      </c>
      <c r="BA6" s="1647" t="n">
        <f aca="false">IF(AND(WeekDef=8,CustomMFFlag,CustomMFPeriod=4),INDEX(VolumeHourlyOver,AA6,1),IF(OR(WeekDef=1,WeekDef=3,WeekDef=5,WeekDef=7,AND(WeekDef=8,CustomMFFlag,OR(CustomMFPeriod=1,CustomMFPeriod=3))),IF(VolumeMonthlyOverFlag,INDEX(VolumeMonthlyOver,AE6),Volume),0))</f>
        <v>150</v>
      </c>
      <c r="BB6" s="1647" t="n">
        <f aca="false">IF(AND(WeekDef=8,CustomMFFlag,CustomMFPeriod=4),INDEX(VolumeHourlyOver,AB6,1),IF(OR(WeekDef=1,WeekDef=3,WeekDef=5,WeekDef=7,AND(WeekDef=8,CustomMFFlag,OR(CustomMFPeriod=1,CustomMFPeriod=3))),IF(VolumeMonthlyOverFlag,INDEX(VolumeMonthlyOver,AE6),Volume),0))</f>
        <v>150</v>
      </c>
      <c r="BC6" s="1648" t="n">
        <f aca="false">IF(AND(WeekDef=8,CustomMFFlag,CustomMFPeriod=4),INDEX(VolumeHourlyOver,AC6,1),IF(OR(WeekDef=1,WeekDef=3,WeekDef=5,WeekDef=7,AND(WeekDef=8,CustomMFFlag,OR(CustomMFPeriod=1,CustomMFPeriod=3))),IF(VolumeMonthlyOverFlag,INDEX(VolumeMonthlyOver,AE6),Volume),0))</f>
        <v>150</v>
      </c>
      <c r="BD6" s="1652" t="n">
        <f aca="false">SUM(AF6:AU6)</f>
        <v>2400</v>
      </c>
      <c r="BE6" s="1653" t="n">
        <f aca="false">SUM(AV6:BC6)</f>
        <v>1200</v>
      </c>
      <c r="BF6" s="1654" t="n">
        <f aca="false">BD6+BE6</f>
        <v>3600</v>
      </c>
      <c r="BG6" s="1655" t="n">
        <f aca="false">IF(BD6,SUMPRODUCT(AF6:AU6,F22:U22)/BD6,0)</f>
        <v>1</v>
      </c>
      <c r="BH6" s="1655" t="n">
        <f aca="false">IF(BE6,SUMPRODUCT(AV6:BC6,V22:AC22)/BE6,0)</f>
        <v>0.999999992549419</v>
      </c>
      <c r="BJ6" s="1636" t="n">
        <v>2</v>
      </c>
      <c r="BK6" s="1646" t="n">
        <f aca="false">IF(AND(WeekDef=8,CustomMFFlag,CustomMFPeriod=4),INDEX(IF(DiffOptVolumeFlag,DiffOptVolumeHourlyOver,VolumeHourlyOver),F6,1),IF(OR(WeekDef=1,WeekDef=2,WeekDef=4,WeekDef=6,AND(WeekDef=8,CustomMFFlag,OR(CustomMFPeriod=1,CustomMFPeriod=2))),IF(VolumeMonthlyOverFlag,INDEX(IF(DiffOptVolumeFlag,DiffOptVolumeMonthlyOver,VolumeMonthlyOver),BJ6),IF(DiffOptVolumeFlag,DiffOptVolume,Volume)),0))</f>
        <v>600</v>
      </c>
      <c r="BL6" s="1647" t="n">
        <f aca="false">IF(AND(WeekDef=8,CustomMFFlag,CustomMFPeriod=4),INDEX(IF(DiffOptVolumeFlag,DiffOptVolumeHourlyOver,VolumeHourlyOver),G6,1),IF(OR(WeekDef=1,WeekDef=2,WeekDef=4,WeekDef=6,AND(WeekDef=8,CustomMFFlag,OR(CustomMFPeriod=1,CustomMFPeriod=2))),IF(VolumeMonthlyOverFlag,INDEX(IF(DiffOptVolumeFlag,DiffOptVolumeMonthlyOver,VolumeMonthlyOver),BJ6),IF(DiffOptVolumeFlag,DiffOptVolume,Volume)),0))</f>
        <v>600</v>
      </c>
      <c r="BM6" s="1647" t="n">
        <f aca="false">IF(AND(WeekDef=8,CustomMFFlag,CustomMFPeriod=4),INDEX(IF(DiffOptVolumeFlag,DiffOptVolumeHourlyOver,VolumeHourlyOver),H6,1),IF(OR(WeekDef=1,WeekDef=2,WeekDef=4,WeekDef=6,AND(WeekDef=8,CustomMFFlag,OR(CustomMFPeriod=1,CustomMFPeriod=2))),IF(VolumeMonthlyOverFlag,INDEX(IF(DiffOptVolumeFlag,DiffOptVolumeMonthlyOver,VolumeMonthlyOver),BJ6),IF(DiffOptVolumeFlag,DiffOptVolume,Volume)),0))</f>
        <v>600</v>
      </c>
      <c r="BN6" s="1647" t="n">
        <f aca="false">IF(AND(WeekDef=8,CustomMFFlag,CustomMFPeriod=4),INDEX(IF(DiffOptVolumeFlag,DiffOptVolumeHourlyOver,VolumeHourlyOver),I6,1),IF(OR(WeekDef=1,WeekDef=2,WeekDef=4,WeekDef=6,AND(WeekDef=8,CustomMFFlag,OR(CustomMFPeriod=1,CustomMFPeriod=2))),IF(VolumeMonthlyOverFlag,INDEX(IF(DiffOptVolumeFlag,DiffOptVolumeMonthlyOver,VolumeMonthlyOver),BJ6),IF(DiffOptVolumeFlag,DiffOptVolume,Volume)),0))</f>
        <v>600</v>
      </c>
      <c r="BO6" s="1647" t="n">
        <f aca="false">IF(AND(WeekDef=8,CustomMFFlag,CustomMFPeriod=4),INDEX(IF(DiffOptVolumeFlag,DiffOptVolumeHourlyOver,VolumeHourlyOver),J6,1),IF(OR(WeekDef=1,WeekDef=2,WeekDef=4,WeekDef=6,AND(WeekDef=8,CustomMFFlag,OR(CustomMFPeriod=1,CustomMFPeriod=2))),IF(VolumeMonthlyOverFlag,INDEX(IF(DiffOptVolumeFlag,DiffOptVolumeMonthlyOver,VolumeMonthlyOver),BJ6),IF(DiffOptVolumeFlag,DiffOptVolume,Volume)),0))</f>
        <v>600</v>
      </c>
      <c r="BP6" s="1647" t="n">
        <f aca="false">IF(AND(WeekDef=8,CustomMFFlag,CustomMFPeriod=4),INDEX(IF(DiffOptVolumeFlag,DiffOptVolumeHourlyOver,VolumeHourlyOver),K6,1),IF(OR(WeekDef=1,WeekDef=2,WeekDef=4,WeekDef=6,AND(WeekDef=8,CustomMFFlag,OR(CustomMFPeriod=1,CustomMFPeriod=2))),IF(VolumeMonthlyOverFlag,INDEX(IF(DiffOptVolumeFlag,DiffOptVolumeMonthlyOver,VolumeMonthlyOver),BJ6),IF(DiffOptVolumeFlag,DiffOptVolume,Volume)),0))</f>
        <v>600</v>
      </c>
      <c r="BQ6" s="1647" t="n">
        <f aca="false">IF(AND(WeekDef=8,CustomMFFlag,CustomMFPeriod=4),INDEX(IF(DiffOptVolumeFlag,DiffOptVolumeHourlyOver,VolumeHourlyOver),L6,1),IF(OR(WeekDef=1,WeekDef=2,WeekDef=4,WeekDef=6,AND(WeekDef=8,CustomMFFlag,OR(CustomMFPeriod=1,CustomMFPeriod=2))),IF(VolumeMonthlyOverFlag,INDEX(IF(DiffOptVolumeFlag,DiffOptVolumeMonthlyOver,VolumeMonthlyOver),BJ6),IF(DiffOptVolumeFlag,DiffOptVolume,Volume)),0))</f>
        <v>600</v>
      </c>
      <c r="BR6" s="1647" t="n">
        <f aca="false">IF(AND(WeekDef=8,CustomMFFlag,CustomMFPeriod=4),INDEX(IF(DiffOptVolumeFlag,DiffOptVolumeHourlyOver,VolumeHourlyOver),M6,1),IF(OR(WeekDef=1,WeekDef=2,WeekDef=4,WeekDef=6,AND(WeekDef=8,CustomMFFlag,OR(CustomMFPeriod=1,CustomMFPeriod=2))),IF(VolumeMonthlyOverFlag,INDEX(IF(DiffOptVolumeFlag,DiffOptVolumeMonthlyOver,VolumeMonthlyOver),BJ6),IF(DiffOptVolumeFlag,DiffOptVolume,Volume)),0))</f>
        <v>600</v>
      </c>
      <c r="BS6" s="1647" t="n">
        <f aca="false">IF(AND(WeekDef=8,CustomMFFlag,CustomMFPeriod=4),INDEX(IF(DiffOptVolumeFlag,DiffOptVolumeHourlyOver,VolumeHourlyOver),N6,1),IF(OR(WeekDef=1,WeekDef=2,WeekDef=4,WeekDef=6,AND(WeekDef=8,CustomMFFlag,OR(CustomMFPeriod=1,CustomMFPeriod=2))),IF(VolumeMonthlyOverFlag,INDEX(IF(DiffOptVolumeFlag,DiffOptVolumeMonthlyOver,VolumeMonthlyOver),BJ6),IF(DiffOptVolumeFlag,DiffOptVolume,Volume)),0))</f>
        <v>600</v>
      </c>
      <c r="BT6" s="1647" t="n">
        <f aca="false">IF(AND(WeekDef=8,CustomMFFlag,CustomMFPeriod=4),INDEX(IF(DiffOptVolumeFlag,DiffOptVolumeHourlyOver,VolumeHourlyOver),O6,1),IF(OR(WeekDef=1,WeekDef=2,WeekDef=4,WeekDef=6,AND(WeekDef=8,CustomMFFlag,OR(CustomMFPeriod=1,CustomMFPeriod=2))),IF(VolumeMonthlyOverFlag,INDEX(IF(DiffOptVolumeFlag,DiffOptVolumeMonthlyOver,VolumeMonthlyOver),BJ6),IF(DiffOptVolumeFlag,DiffOptVolume,Volume)),0))</f>
        <v>600</v>
      </c>
      <c r="BU6" s="1647" t="n">
        <f aca="false">IF(AND(WeekDef=8,CustomMFFlag,CustomMFPeriod=4),INDEX(IF(DiffOptVolumeFlag,DiffOptVolumeHourlyOver,VolumeHourlyOver),P6,1),IF(OR(WeekDef=1,WeekDef=2,WeekDef=4,WeekDef=6,AND(WeekDef=8,CustomMFFlag,OR(CustomMFPeriod=1,CustomMFPeriod=2))),IF(VolumeMonthlyOverFlag,INDEX(IF(DiffOptVolumeFlag,DiffOptVolumeMonthlyOver,VolumeMonthlyOver),BJ6),IF(DiffOptVolumeFlag,DiffOptVolume,Volume)),0))</f>
        <v>600</v>
      </c>
      <c r="BV6" s="1647" t="n">
        <f aca="false">IF(AND(WeekDef=8,CustomMFFlag,CustomMFPeriod=4),INDEX(IF(DiffOptVolumeFlag,DiffOptVolumeHourlyOver,VolumeHourlyOver),Q6,1),IF(OR(WeekDef=1,WeekDef=2,WeekDef=4,WeekDef=6,AND(WeekDef=8,CustomMFFlag,OR(CustomMFPeriod=1,CustomMFPeriod=2))),IF(VolumeMonthlyOverFlag,INDEX(IF(DiffOptVolumeFlag,DiffOptVolumeMonthlyOver,VolumeMonthlyOver),BJ6),IF(DiffOptVolumeFlag,DiffOptVolume,Volume)),0))</f>
        <v>600</v>
      </c>
      <c r="BW6" s="1647" t="n">
        <f aca="false">IF(AND(WeekDef=8,CustomMFFlag,CustomMFPeriod=4),INDEX(IF(DiffOptVolumeFlag,DiffOptVolumeHourlyOver,VolumeHourlyOver),R6,1),IF(OR(WeekDef=1,WeekDef=2,WeekDef=4,WeekDef=6,AND(WeekDef=8,CustomMFFlag,OR(CustomMFPeriod=1,CustomMFPeriod=2))),IF(VolumeMonthlyOverFlag,INDEX(IF(DiffOptVolumeFlag,DiffOptVolumeMonthlyOver,VolumeMonthlyOver),BJ6),IF(DiffOptVolumeFlag,DiffOptVolume,Volume)),0))</f>
        <v>600</v>
      </c>
      <c r="BX6" s="1647" t="n">
        <f aca="false">IF(AND(WeekDef=8,CustomMFFlag,CustomMFPeriod=4),INDEX(IF(DiffOptVolumeFlag,DiffOptVolumeHourlyOver,VolumeHourlyOver),S6,1),IF(OR(WeekDef=1,WeekDef=2,WeekDef=4,WeekDef=6,AND(WeekDef=8,CustomMFFlag,OR(CustomMFPeriod=1,CustomMFPeriod=2))),IF(VolumeMonthlyOverFlag,INDEX(IF(DiffOptVolumeFlag,DiffOptVolumeMonthlyOver,VolumeMonthlyOver),BJ6),IF(DiffOptVolumeFlag,DiffOptVolume,Volume)),0))</f>
        <v>600</v>
      </c>
      <c r="BY6" s="1647" t="n">
        <f aca="false">IF(AND(WeekDef=8,CustomMFFlag,CustomMFPeriod=4),INDEX(IF(DiffOptVolumeFlag,DiffOptVolumeHourlyOver,VolumeHourlyOver),T6,1),IF(OR(WeekDef=1,WeekDef=2,WeekDef=4,WeekDef=6,AND(WeekDef=8,CustomMFFlag,OR(CustomMFPeriod=1,CustomMFPeriod=2))),IF(VolumeMonthlyOverFlag,INDEX(IF(DiffOptVolumeFlag,DiffOptVolumeMonthlyOver,VolumeMonthlyOver),BJ6),IF(DiffOptVolumeFlag,DiffOptVolume,Volume)),0))</f>
        <v>600</v>
      </c>
      <c r="BZ6" s="1648" t="n">
        <f aca="false">IF(AND(WeekDef=8,CustomMFFlag,CustomMFPeriod=4),INDEX(IF(DiffOptVolumeFlag,DiffOptVolumeHourlyOver,VolumeHourlyOver),U6,1),IF(OR(WeekDef=1,WeekDef=2,WeekDef=4,WeekDef=6,AND(WeekDef=8,CustomMFFlag,OR(CustomMFPeriod=1,CustomMFPeriod=2))),IF(VolumeMonthlyOverFlag,INDEX(IF(DiffOptVolumeFlag,DiffOptVolumeMonthlyOver,VolumeMonthlyOver),BJ6),IF(DiffOptVolumeFlag,DiffOptVolume,Volume)),0))</f>
        <v>600</v>
      </c>
      <c r="CA6" s="1647" t="n">
        <f aca="false">IF(AND(WeekDef=8,CustomMFFlag,CustomMFPeriod=4),INDEX(IF(DiffOptVolumeFlag,DiffOptVolumeHourlyOver,VolumeHourlyOver),V6,1),IF(OR(WeekDef=1,WeekDef=3,WeekDef=5,WeekDef=7,AND(WeekDef=8,CustomMFFlag,OR(CustomMFPeriod=1,CustomMFPeriod=3))),IF(VolumeMonthlyOverFlag,INDEX(IF(DiffOptVolumeFlag,DiffOptVolumeMonthlyOver,VolumeMonthlyOver),BJ6),IF(DiffOptVolumeFlag,DiffOptVolume,Volume)),0))</f>
        <v>600</v>
      </c>
      <c r="CB6" s="1647" t="n">
        <f aca="false">IF(AND(WeekDef=8,CustomMFFlag,CustomMFPeriod=4),INDEX(IF(DiffOptVolumeFlag,DiffOptVolumeHourlyOver,VolumeHourlyOver),W6,1),IF(OR(WeekDef=1,WeekDef=3,WeekDef=5,WeekDef=7,AND(WeekDef=8,CustomMFFlag,OR(CustomMFPeriod=1,CustomMFPeriod=3))),IF(VolumeMonthlyOverFlag,INDEX(IF(DiffOptVolumeFlag,DiffOptVolumeMonthlyOver,VolumeMonthlyOver),BJ6),IF(DiffOptVolumeFlag,DiffOptVolume,Volume)),0))</f>
        <v>600</v>
      </c>
      <c r="CC6" s="1647" t="n">
        <f aca="false">IF(AND(WeekDef=8,CustomMFFlag,CustomMFPeriod=4),INDEX(IF(DiffOptVolumeFlag,DiffOptVolumeHourlyOver,VolumeHourlyOver),X6,1),IF(OR(WeekDef=1,WeekDef=3,WeekDef=5,WeekDef=7,AND(WeekDef=8,CustomMFFlag,OR(CustomMFPeriod=1,CustomMFPeriod=3))),IF(VolumeMonthlyOverFlag,INDEX(IF(DiffOptVolumeFlag,DiffOptVolumeMonthlyOver,VolumeMonthlyOver),BJ6),IF(DiffOptVolumeFlag,DiffOptVolume,Volume)),0))</f>
        <v>600</v>
      </c>
      <c r="CD6" s="1647" t="n">
        <f aca="false">IF(AND(WeekDef=8,CustomMFFlag,CustomMFPeriod=4),INDEX(IF(DiffOptVolumeFlag,DiffOptVolumeHourlyOver,VolumeHourlyOver),Y6,1),IF(OR(WeekDef=1,WeekDef=3,WeekDef=5,WeekDef=7,AND(WeekDef=8,CustomMFFlag,OR(CustomMFPeriod=1,CustomMFPeriod=3))),IF(VolumeMonthlyOverFlag,INDEX(IF(DiffOptVolumeFlag,DiffOptVolumeMonthlyOver,VolumeMonthlyOver),BJ6),IF(DiffOptVolumeFlag,DiffOptVolume,Volume)),0))</f>
        <v>600</v>
      </c>
      <c r="CE6" s="1647" t="n">
        <f aca="false">IF(AND(WeekDef=8,CustomMFFlag,CustomMFPeriod=4),INDEX(IF(DiffOptVolumeFlag,DiffOptVolumeHourlyOver,VolumeHourlyOver),Z6,1),IF(OR(WeekDef=1,WeekDef=3,WeekDef=5,WeekDef=7,AND(WeekDef=8,CustomMFFlag,OR(CustomMFPeriod=1,CustomMFPeriod=3))),IF(VolumeMonthlyOverFlag,INDEX(IF(DiffOptVolumeFlag,DiffOptVolumeMonthlyOver,VolumeMonthlyOver),BJ6),IF(DiffOptVolumeFlag,DiffOptVolume,Volume)),0))</f>
        <v>600</v>
      </c>
      <c r="CF6" s="1647" t="n">
        <f aca="false">IF(AND(WeekDef=8,CustomMFFlag,CustomMFPeriod=4),INDEX(IF(DiffOptVolumeFlag,DiffOptVolumeHourlyOver,VolumeHourlyOver),AA6,1),IF(OR(WeekDef=1,WeekDef=3,WeekDef=5,WeekDef=7,AND(WeekDef=8,CustomMFFlag,OR(CustomMFPeriod=1,CustomMFPeriod=3))),IF(VolumeMonthlyOverFlag,INDEX(IF(DiffOptVolumeFlag,DiffOptVolumeMonthlyOver,VolumeMonthlyOver),BJ6),IF(DiffOptVolumeFlag,DiffOptVolume,Volume)),0))</f>
        <v>600</v>
      </c>
      <c r="CG6" s="1647" t="n">
        <f aca="false">IF(AND(WeekDef=8,CustomMFFlag,CustomMFPeriod=4),INDEX(IF(DiffOptVolumeFlag,DiffOptVolumeHourlyOver,VolumeHourlyOver),AB6,1),IF(OR(WeekDef=1,WeekDef=3,WeekDef=5,WeekDef=7,AND(WeekDef=8,CustomMFFlag,OR(CustomMFPeriod=1,CustomMFPeriod=3))),IF(VolumeMonthlyOverFlag,INDEX(IF(DiffOptVolumeFlag,DiffOptVolumeMonthlyOver,VolumeMonthlyOver),BJ6),IF(DiffOptVolumeFlag,DiffOptVolume,Volume)),0))</f>
        <v>600</v>
      </c>
      <c r="CH6" s="1648" t="n">
        <f aca="false">IF(AND(WeekDef=8,CustomMFFlag,CustomMFPeriod=4),INDEX(IF(DiffOptVolumeFlag,DiffOptVolumeHourlyOver,VolumeHourlyOver),AC6,1),IF(OR(WeekDef=1,WeekDef=3,WeekDef=5,WeekDef=7,AND(WeekDef=8,CustomMFFlag,OR(CustomMFPeriod=1,CustomMFPeriod=3))),IF(VolumeMonthlyOverFlag,INDEX(IF(DiffOptVolumeFlag,DiffOptVolumeMonthlyOver,VolumeMonthlyOver),BJ6),IF(DiffOptVolumeFlag,DiffOptVolume,Volume)),0))</f>
        <v>600</v>
      </c>
      <c r="CI6" s="1652" t="n">
        <f aca="false">SUM(BK6:BZ6)</f>
        <v>9600</v>
      </c>
      <c r="CJ6" s="1653" t="n">
        <f aca="false">SUM(CA6:CH6)</f>
        <v>4800</v>
      </c>
      <c r="CK6" s="1654" t="n">
        <f aca="false">CI6+CJ6</f>
        <v>14400</v>
      </c>
      <c r="CL6" s="1655" t="n">
        <f aca="false">IF(CI6,SUMPRODUCT(BK6:BZ6,F22:U22)/CI6,0)</f>
        <v>1</v>
      </c>
      <c r="CM6" s="1655" t="n">
        <f aca="false">IF(CJ6,SUMPRODUCT(CA6:CH6,V22:AC22)/CJ6,0)</f>
        <v>0.999999992549419</v>
      </c>
      <c r="CO6" s="1646" t="n">
        <v>2</v>
      </c>
      <c r="CP6" s="1659" t="n">
        <f aca="false">MAX(AF6:BC6,AF20:BC20,AF34:BC34,AF48:BC48)</f>
        <v>150</v>
      </c>
      <c r="CQ6" s="1660" t="n">
        <f aca="false">MAX(BK6:CH6,BK20:CH20,BK34:CH34,BK48:CH48)</f>
        <v>600</v>
      </c>
      <c r="DE6" s="1658"/>
    </row>
    <row r="7" customFormat="false" ht="12.75" hidden="false" customHeight="false" outlineLevel="0" collapsed="false">
      <c r="E7" s="1636" t="n">
        <v>3</v>
      </c>
      <c r="F7" s="1646" t="n">
        <v>19</v>
      </c>
      <c r="G7" s="1647" t="n">
        <v>20</v>
      </c>
      <c r="H7" s="1647" t="n">
        <v>11</v>
      </c>
      <c r="I7" s="1647" t="n">
        <v>10</v>
      </c>
      <c r="J7" s="1647" t="n">
        <v>12</v>
      </c>
      <c r="K7" s="1647" t="n">
        <v>9</v>
      </c>
      <c r="L7" s="1647" t="n">
        <v>13</v>
      </c>
      <c r="M7" s="1647" t="n">
        <v>18</v>
      </c>
      <c r="N7" s="1647" t="n">
        <v>21</v>
      </c>
      <c r="O7" s="1647" t="n">
        <v>8</v>
      </c>
      <c r="P7" s="1647" t="n">
        <v>14</v>
      </c>
      <c r="Q7" s="1647" t="n">
        <v>15</v>
      </c>
      <c r="R7" s="1647" t="n">
        <v>17</v>
      </c>
      <c r="S7" s="1647" t="n">
        <v>16</v>
      </c>
      <c r="T7" s="1647" t="n">
        <v>7</v>
      </c>
      <c r="U7" s="1648" t="n">
        <v>22</v>
      </c>
      <c r="V7" s="1647" t="n">
        <v>23</v>
      </c>
      <c r="W7" s="1647" t="n">
        <v>6</v>
      </c>
      <c r="X7" s="1647" t="n">
        <v>24</v>
      </c>
      <c r="Y7" s="1647" t="n">
        <v>5</v>
      </c>
      <c r="Z7" s="1647" t="n">
        <v>1</v>
      </c>
      <c r="AA7" s="1647" t="n">
        <v>4</v>
      </c>
      <c r="AB7" s="1647" t="n">
        <v>2</v>
      </c>
      <c r="AC7" s="1648" t="n">
        <v>3</v>
      </c>
      <c r="AD7" s="1621"/>
      <c r="AE7" s="1636" t="n">
        <v>3</v>
      </c>
      <c r="AF7" s="1646" t="n">
        <f aca="false">IF(AND(WeekDef=8,CustomMFFlag,CustomMFPeriod=4),INDEX(VolumeHourlyOver,F7,1),IF(OR(WeekDef=1,WeekDef=2,WeekDef=4,WeekDef=6,AND(WeekDef=8,CustomMFFlag,OR(CustomMFPeriod=1,CustomMFPeriod=2))),IF(VolumeMonthlyOverFlag,INDEX(VolumeMonthlyOver,AE7),Volume),0))</f>
        <v>150</v>
      </c>
      <c r="AG7" s="1647" t="n">
        <f aca="false">IF(AND(WeekDef=8,CustomMFFlag,CustomMFPeriod=4),INDEX(VolumeHourlyOver,G7,1),IF(OR(WeekDef=1,WeekDef=2,WeekDef=4,WeekDef=6,AND(WeekDef=8,CustomMFFlag,OR(CustomMFPeriod=1,CustomMFPeriod=2))),IF(VolumeMonthlyOverFlag,INDEX(VolumeMonthlyOver,AE7),Volume),0))</f>
        <v>150</v>
      </c>
      <c r="AH7" s="1647" t="n">
        <f aca="false">IF(AND(WeekDef=8,CustomMFFlag,CustomMFPeriod=4),INDEX(VolumeHourlyOver,H7,1),IF(OR(WeekDef=1,WeekDef=2,WeekDef=4,WeekDef=6,AND(WeekDef=8,CustomMFFlag,OR(CustomMFPeriod=1,CustomMFPeriod=2))),IF(VolumeMonthlyOverFlag,INDEX(VolumeMonthlyOver,AE7),Volume),0))</f>
        <v>150</v>
      </c>
      <c r="AI7" s="1647" t="n">
        <f aca="false">IF(AND(WeekDef=8,CustomMFFlag,CustomMFPeriod=4),INDEX(VolumeHourlyOver,I7,1),IF(OR(WeekDef=1,WeekDef=2,WeekDef=4,WeekDef=6,AND(WeekDef=8,CustomMFFlag,OR(CustomMFPeriod=1,CustomMFPeriod=2))),IF(VolumeMonthlyOverFlag,INDEX(VolumeMonthlyOver,AE7),Volume),0))</f>
        <v>150</v>
      </c>
      <c r="AJ7" s="1647" t="n">
        <f aca="false">IF(AND(WeekDef=8,CustomMFFlag,CustomMFPeriod=4),INDEX(VolumeHourlyOver,J7,1),IF(OR(WeekDef=1,WeekDef=2,WeekDef=4,WeekDef=6,AND(WeekDef=8,CustomMFFlag,OR(CustomMFPeriod=1,CustomMFPeriod=2))),IF(VolumeMonthlyOverFlag,INDEX(VolumeMonthlyOver,AE7),Volume),0))</f>
        <v>150</v>
      </c>
      <c r="AK7" s="1647" t="n">
        <f aca="false">IF(AND(WeekDef=8,CustomMFFlag,CustomMFPeriod=4),INDEX(VolumeHourlyOver,K7,1),IF(OR(WeekDef=1,WeekDef=2,WeekDef=4,WeekDef=6,AND(WeekDef=8,CustomMFFlag,OR(CustomMFPeriod=1,CustomMFPeriod=2))),IF(VolumeMonthlyOverFlag,INDEX(VolumeMonthlyOver,AE7),Volume),0))</f>
        <v>150</v>
      </c>
      <c r="AL7" s="1647" t="n">
        <f aca="false">IF(AND(WeekDef=8,CustomMFFlag,CustomMFPeriod=4),INDEX(VolumeHourlyOver,L7,1),IF(OR(WeekDef=1,WeekDef=2,WeekDef=4,WeekDef=6,AND(WeekDef=8,CustomMFFlag,OR(CustomMFPeriod=1,CustomMFPeriod=2))),IF(VolumeMonthlyOverFlag,INDEX(VolumeMonthlyOver,AE7),Volume),0))</f>
        <v>150</v>
      </c>
      <c r="AM7" s="1647" t="n">
        <f aca="false">IF(AND(WeekDef=8,CustomMFFlag,CustomMFPeriod=4),INDEX(VolumeHourlyOver,M7,1),IF(OR(WeekDef=1,WeekDef=2,WeekDef=4,WeekDef=6,AND(WeekDef=8,CustomMFFlag,OR(CustomMFPeriod=1,CustomMFPeriod=2))),IF(VolumeMonthlyOverFlag,INDEX(VolumeMonthlyOver,AE7),Volume),0))</f>
        <v>150</v>
      </c>
      <c r="AN7" s="1647" t="n">
        <f aca="false">IF(AND(WeekDef=8,CustomMFFlag,CustomMFPeriod=4),INDEX(VolumeHourlyOver,N7,1),IF(OR(WeekDef=1,WeekDef=2,WeekDef=4,WeekDef=6,AND(WeekDef=8,CustomMFFlag,OR(CustomMFPeriod=1,CustomMFPeriod=2))),IF(VolumeMonthlyOverFlag,INDEX(VolumeMonthlyOver,AE7),Volume),0))</f>
        <v>150</v>
      </c>
      <c r="AO7" s="1647" t="n">
        <f aca="false">IF(AND(WeekDef=8,CustomMFFlag,CustomMFPeriod=4),INDEX(VolumeHourlyOver,O7,1),IF(OR(WeekDef=1,WeekDef=2,WeekDef=4,WeekDef=6,AND(WeekDef=8,CustomMFFlag,OR(CustomMFPeriod=1,CustomMFPeriod=2))),IF(VolumeMonthlyOverFlag,INDEX(VolumeMonthlyOver,AE7),Volume),0))</f>
        <v>150</v>
      </c>
      <c r="AP7" s="1647" t="n">
        <f aca="false">IF(AND(WeekDef=8,CustomMFFlag,CustomMFPeriod=4),INDEX(VolumeHourlyOver,P7,1),IF(OR(WeekDef=1,WeekDef=2,WeekDef=4,WeekDef=6,AND(WeekDef=8,CustomMFFlag,OR(CustomMFPeriod=1,CustomMFPeriod=2))),IF(VolumeMonthlyOverFlag,INDEX(VolumeMonthlyOver,AE7),Volume),0))</f>
        <v>150</v>
      </c>
      <c r="AQ7" s="1647" t="n">
        <f aca="false">IF(AND(WeekDef=8,CustomMFFlag,CustomMFPeriod=4),INDEX(VolumeHourlyOver,Q7,1),IF(OR(WeekDef=1,WeekDef=2,WeekDef=4,WeekDef=6,AND(WeekDef=8,CustomMFFlag,OR(CustomMFPeriod=1,CustomMFPeriod=2))),IF(VolumeMonthlyOverFlag,INDEX(VolumeMonthlyOver,AE7),Volume),0))</f>
        <v>150</v>
      </c>
      <c r="AR7" s="1647" t="n">
        <f aca="false">IF(AND(WeekDef=8,CustomMFFlag,CustomMFPeriod=4),INDEX(VolumeHourlyOver,R7,1),IF(OR(WeekDef=1,WeekDef=2,WeekDef=4,WeekDef=6,AND(WeekDef=8,CustomMFFlag,OR(CustomMFPeriod=1,CustomMFPeriod=2))),IF(VolumeMonthlyOverFlag,INDEX(VolumeMonthlyOver,AE7),Volume),0))</f>
        <v>150</v>
      </c>
      <c r="AS7" s="1647" t="n">
        <f aca="false">IF(AND(WeekDef=8,CustomMFFlag,CustomMFPeriod=4),INDEX(VolumeHourlyOver,S7,1),IF(OR(WeekDef=1,WeekDef=2,WeekDef=4,WeekDef=6,AND(WeekDef=8,CustomMFFlag,OR(CustomMFPeriod=1,CustomMFPeriod=2))),IF(VolumeMonthlyOverFlag,INDEX(VolumeMonthlyOver,AE7),Volume),0))</f>
        <v>150</v>
      </c>
      <c r="AT7" s="1647" t="n">
        <f aca="false">IF(AND(WeekDef=8,CustomMFFlag,CustomMFPeriod=4),INDEX(VolumeHourlyOver,T7,1),IF(OR(WeekDef=1,WeekDef=2,WeekDef=4,WeekDef=6,AND(WeekDef=8,CustomMFFlag,OR(CustomMFPeriod=1,CustomMFPeriod=2))),IF(VolumeMonthlyOverFlag,INDEX(VolumeMonthlyOver,AE7),Volume),0))</f>
        <v>150</v>
      </c>
      <c r="AU7" s="1648" t="n">
        <f aca="false">IF(AND(WeekDef=8,CustomMFFlag,CustomMFPeriod=4),INDEX(VolumeHourlyOver,U7,1),IF(OR(WeekDef=1,WeekDef=2,WeekDef=4,WeekDef=6,AND(WeekDef=8,CustomMFFlag,OR(CustomMFPeriod=1,CustomMFPeriod=2))),IF(VolumeMonthlyOverFlag,INDEX(VolumeMonthlyOver,AE7),Volume),0))</f>
        <v>150</v>
      </c>
      <c r="AV7" s="1647" t="n">
        <f aca="false">IF(AND(WeekDef=8,CustomMFFlag,CustomMFPeriod=4),INDEX(VolumeHourlyOver,V7,1),IF(OR(WeekDef=1,WeekDef=3,WeekDef=5,WeekDef=7,AND(WeekDef=8,CustomMFFlag,OR(CustomMFPeriod=1,CustomMFPeriod=3))),IF(VolumeMonthlyOverFlag,INDEX(VolumeMonthlyOver,AE7),Volume),0))</f>
        <v>150</v>
      </c>
      <c r="AW7" s="1647" t="n">
        <f aca="false">IF(AND(WeekDef=8,CustomMFFlag,CustomMFPeriod=4),INDEX(VolumeHourlyOver,W7,1),IF(OR(WeekDef=1,WeekDef=3,WeekDef=5,WeekDef=7,AND(WeekDef=8,CustomMFFlag,OR(CustomMFPeriod=1,CustomMFPeriod=3))),IF(VolumeMonthlyOverFlag,INDEX(VolumeMonthlyOver,AE7),Volume),0))</f>
        <v>150</v>
      </c>
      <c r="AX7" s="1647" t="n">
        <f aca="false">IF(AND(WeekDef=8,CustomMFFlag,CustomMFPeriod=4),INDEX(VolumeHourlyOver,X7,1),IF(OR(WeekDef=1,WeekDef=3,WeekDef=5,WeekDef=7,AND(WeekDef=8,CustomMFFlag,OR(CustomMFPeriod=1,CustomMFPeriod=3))),IF(VolumeMonthlyOverFlag,INDEX(VolumeMonthlyOver,AE7),Volume),0))</f>
        <v>150</v>
      </c>
      <c r="AY7" s="1647" t="n">
        <f aca="false">IF(AND(WeekDef=8,CustomMFFlag,CustomMFPeriod=4),INDEX(VolumeHourlyOver,Y7,1),IF(OR(WeekDef=1,WeekDef=3,WeekDef=5,WeekDef=7,AND(WeekDef=8,CustomMFFlag,OR(CustomMFPeriod=1,CustomMFPeriod=3))),IF(VolumeMonthlyOverFlag,INDEX(VolumeMonthlyOver,AE7),Volume),0))</f>
        <v>150</v>
      </c>
      <c r="AZ7" s="1647" t="n">
        <f aca="false">IF(AND(WeekDef=8,CustomMFFlag,CustomMFPeriod=4),INDEX(VolumeHourlyOver,Z7,1),IF(OR(WeekDef=1,WeekDef=3,WeekDef=5,WeekDef=7,AND(WeekDef=8,CustomMFFlag,OR(CustomMFPeriod=1,CustomMFPeriod=3))),IF(VolumeMonthlyOverFlag,INDEX(VolumeMonthlyOver,AE7),Volume),0))</f>
        <v>150</v>
      </c>
      <c r="BA7" s="1647" t="n">
        <f aca="false">IF(AND(WeekDef=8,CustomMFFlag,CustomMFPeriod=4),INDEX(VolumeHourlyOver,AA7,1),IF(OR(WeekDef=1,WeekDef=3,WeekDef=5,WeekDef=7,AND(WeekDef=8,CustomMFFlag,OR(CustomMFPeriod=1,CustomMFPeriod=3))),IF(VolumeMonthlyOverFlag,INDEX(VolumeMonthlyOver,AE7),Volume),0))</f>
        <v>150</v>
      </c>
      <c r="BB7" s="1647" t="n">
        <f aca="false">IF(AND(WeekDef=8,CustomMFFlag,CustomMFPeriod=4),INDEX(VolumeHourlyOver,AB7,1),IF(OR(WeekDef=1,WeekDef=3,WeekDef=5,WeekDef=7,AND(WeekDef=8,CustomMFFlag,OR(CustomMFPeriod=1,CustomMFPeriod=3))),IF(VolumeMonthlyOverFlag,INDEX(VolumeMonthlyOver,AE7),Volume),0))</f>
        <v>150</v>
      </c>
      <c r="BC7" s="1648" t="n">
        <f aca="false">IF(AND(WeekDef=8,CustomMFFlag,CustomMFPeriod=4),INDEX(VolumeHourlyOver,AC7,1),IF(OR(WeekDef=1,WeekDef=3,WeekDef=5,WeekDef=7,AND(WeekDef=8,CustomMFFlag,OR(CustomMFPeriod=1,CustomMFPeriod=3))),IF(VolumeMonthlyOverFlag,INDEX(VolumeMonthlyOver,AE7),Volume),0))</f>
        <v>150</v>
      </c>
      <c r="BD7" s="1652" t="n">
        <f aca="false">SUM(AF7:AU7)</f>
        <v>2400</v>
      </c>
      <c r="BE7" s="1653" t="n">
        <f aca="false">SUM(AV7:BC7)</f>
        <v>1200</v>
      </c>
      <c r="BF7" s="1654" t="n">
        <f aca="false">BD7+BE7</f>
        <v>3600</v>
      </c>
      <c r="BG7" s="1655" t="n">
        <f aca="false">IF(BD7,SUMPRODUCT(AF7:AU7,F23:U23)/BD7,0)</f>
        <v>0.99999999627471</v>
      </c>
      <c r="BH7" s="1655" t="n">
        <f aca="false">IF(BE7,SUMPRODUCT(AV7:BC7,V23:AC23)/BE7,0)</f>
        <v>1.00000000745058</v>
      </c>
      <c r="BJ7" s="1636" t="n">
        <v>3</v>
      </c>
      <c r="BK7" s="1646" t="n">
        <f aca="false">IF(AND(WeekDef=8,CustomMFFlag,CustomMFPeriod=4),INDEX(IF(DiffOptVolumeFlag,DiffOptVolumeHourlyOver,VolumeHourlyOver),F7,1),IF(OR(WeekDef=1,WeekDef=2,WeekDef=4,WeekDef=6,AND(WeekDef=8,CustomMFFlag,OR(CustomMFPeriod=1,CustomMFPeriod=2))),IF(VolumeMonthlyOverFlag,INDEX(IF(DiffOptVolumeFlag,DiffOptVolumeMonthlyOver,VolumeMonthlyOver),BJ7),IF(DiffOptVolumeFlag,DiffOptVolume,Volume)),0))</f>
        <v>600</v>
      </c>
      <c r="BL7" s="1647" t="n">
        <f aca="false">IF(AND(WeekDef=8,CustomMFFlag,CustomMFPeriod=4),INDEX(IF(DiffOptVolumeFlag,DiffOptVolumeHourlyOver,VolumeHourlyOver),G7,1),IF(OR(WeekDef=1,WeekDef=2,WeekDef=4,WeekDef=6,AND(WeekDef=8,CustomMFFlag,OR(CustomMFPeriod=1,CustomMFPeriod=2))),IF(VolumeMonthlyOverFlag,INDEX(IF(DiffOptVolumeFlag,DiffOptVolumeMonthlyOver,VolumeMonthlyOver),BJ7),IF(DiffOptVolumeFlag,DiffOptVolume,Volume)),0))</f>
        <v>600</v>
      </c>
      <c r="BM7" s="1647" t="n">
        <f aca="false">IF(AND(WeekDef=8,CustomMFFlag,CustomMFPeriod=4),INDEX(IF(DiffOptVolumeFlag,DiffOptVolumeHourlyOver,VolumeHourlyOver),H7,1),IF(OR(WeekDef=1,WeekDef=2,WeekDef=4,WeekDef=6,AND(WeekDef=8,CustomMFFlag,OR(CustomMFPeriod=1,CustomMFPeriod=2))),IF(VolumeMonthlyOverFlag,INDEX(IF(DiffOptVolumeFlag,DiffOptVolumeMonthlyOver,VolumeMonthlyOver),BJ7),IF(DiffOptVolumeFlag,DiffOptVolume,Volume)),0))</f>
        <v>600</v>
      </c>
      <c r="BN7" s="1647" t="n">
        <f aca="false">IF(AND(WeekDef=8,CustomMFFlag,CustomMFPeriod=4),INDEX(IF(DiffOptVolumeFlag,DiffOptVolumeHourlyOver,VolumeHourlyOver),I7,1),IF(OR(WeekDef=1,WeekDef=2,WeekDef=4,WeekDef=6,AND(WeekDef=8,CustomMFFlag,OR(CustomMFPeriod=1,CustomMFPeriod=2))),IF(VolumeMonthlyOverFlag,INDEX(IF(DiffOptVolumeFlag,DiffOptVolumeMonthlyOver,VolumeMonthlyOver),BJ7),IF(DiffOptVolumeFlag,DiffOptVolume,Volume)),0))</f>
        <v>600</v>
      </c>
      <c r="BO7" s="1647" t="n">
        <f aca="false">IF(AND(WeekDef=8,CustomMFFlag,CustomMFPeriod=4),INDEX(IF(DiffOptVolumeFlag,DiffOptVolumeHourlyOver,VolumeHourlyOver),J7,1),IF(OR(WeekDef=1,WeekDef=2,WeekDef=4,WeekDef=6,AND(WeekDef=8,CustomMFFlag,OR(CustomMFPeriod=1,CustomMFPeriod=2))),IF(VolumeMonthlyOverFlag,INDEX(IF(DiffOptVolumeFlag,DiffOptVolumeMonthlyOver,VolumeMonthlyOver),BJ7),IF(DiffOptVolumeFlag,DiffOptVolume,Volume)),0))</f>
        <v>600</v>
      </c>
      <c r="BP7" s="1647" t="n">
        <f aca="false">IF(AND(WeekDef=8,CustomMFFlag,CustomMFPeriod=4),INDEX(IF(DiffOptVolumeFlag,DiffOptVolumeHourlyOver,VolumeHourlyOver),K7,1),IF(OR(WeekDef=1,WeekDef=2,WeekDef=4,WeekDef=6,AND(WeekDef=8,CustomMFFlag,OR(CustomMFPeriod=1,CustomMFPeriod=2))),IF(VolumeMonthlyOverFlag,INDEX(IF(DiffOptVolumeFlag,DiffOptVolumeMonthlyOver,VolumeMonthlyOver),BJ7),IF(DiffOptVolumeFlag,DiffOptVolume,Volume)),0))</f>
        <v>600</v>
      </c>
      <c r="BQ7" s="1647" t="n">
        <f aca="false">IF(AND(WeekDef=8,CustomMFFlag,CustomMFPeriod=4),INDEX(IF(DiffOptVolumeFlag,DiffOptVolumeHourlyOver,VolumeHourlyOver),L7,1),IF(OR(WeekDef=1,WeekDef=2,WeekDef=4,WeekDef=6,AND(WeekDef=8,CustomMFFlag,OR(CustomMFPeriod=1,CustomMFPeriod=2))),IF(VolumeMonthlyOverFlag,INDEX(IF(DiffOptVolumeFlag,DiffOptVolumeMonthlyOver,VolumeMonthlyOver),BJ7),IF(DiffOptVolumeFlag,DiffOptVolume,Volume)),0))</f>
        <v>600</v>
      </c>
      <c r="BR7" s="1647" t="n">
        <f aca="false">IF(AND(WeekDef=8,CustomMFFlag,CustomMFPeriod=4),INDEX(IF(DiffOptVolumeFlag,DiffOptVolumeHourlyOver,VolumeHourlyOver),M7,1),IF(OR(WeekDef=1,WeekDef=2,WeekDef=4,WeekDef=6,AND(WeekDef=8,CustomMFFlag,OR(CustomMFPeriod=1,CustomMFPeriod=2))),IF(VolumeMonthlyOverFlag,INDEX(IF(DiffOptVolumeFlag,DiffOptVolumeMonthlyOver,VolumeMonthlyOver),BJ7),IF(DiffOptVolumeFlag,DiffOptVolume,Volume)),0))</f>
        <v>600</v>
      </c>
      <c r="BS7" s="1647" t="n">
        <f aca="false">IF(AND(WeekDef=8,CustomMFFlag,CustomMFPeriod=4),INDEX(IF(DiffOptVolumeFlag,DiffOptVolumeHourlyOver,VolumeHourlyOver),N7,1),IF(OR(WeekDef=1,WeekDef=2,WeekDef=4,WeekDef=6,AND(WeekDef=8,CustomMFFlag,OR(CustomMFPeriod=1,CustomMFPeriod=2))),IF(VolumeMonthlyOverFlag,INDEX(IF(DiffOptVolumeFlag,DiffOptVolumeMonthlyOver,VolumeMonthlyOver),BJ7),IF(DiffOptVolumeFlag,DiffOptVolume,Volume)),0))</f>
        <v>600</v>
      </c>
      <c r="BT7" s="1647" t="n">
        <f aca="false">IF(AND(WeekDef=8,CustomMFFlag,CustomMFPeriod=4),INDEX(IF(DiffOptVolumeFlag,DiffOptVolumeHourlyOver,VolumeHourlyOver),O7,1),IF(OR(WeekDef=1,WeekDef=2,WeekDef=4,WeekDef=6,AND(WeekDef=8,CustomMFFlag,OR(CustomMFPeriod=1,CustomMFPeriod=2))),IF(VolumeMonthlyOverFlag,INDEX(IF(DiffOptVolumeFlag,DiffOptVolumeMonthlyOver,VolumeMonthlyOver),BJ7),IF(DiffOptVolumeFlag,DiffOptVolume,Volume)),0))</f>
        <v>600</v>
      </c>
      <c r="BU7" s="1647" t="n">
        <f aca="false">IF(AND(WeekDef=8,CustomMFFlag,CustomMFPeriod=4),INDEX(IF(DiffOptVolumeFlag,DiffOptVolumeHourlyOver,VolumeHourlyOver),P7,1),IF(OR(WeekDef=1,WeekDef=2,WeekDef=4,WeekDef=6,AND(WeekDef=8,CustomMFFlag,OR(CustomMFPeriod=1,CustomMFPeriod=2))),IF(VolumeMonthlyOverFlag,INDEX(IF(DiffOptVolumeFlag,DiffOptVolumeMonthlyOver,VolumeMonthlyOver),BJ7),IF(DiffOptVolumeFlag,DiffOptVolume,Volume)),0))</f>
        <v>600</v>
      </c>
      <c r="BV7" s="1647" t="n">
        <f aca="false">IF(AND(WeekDef=8,CustomMFFlag,CustomMFPeriod=4),INDEX(IF(DiffOptVolumeFlag,DiffOptVolumeHourlyOver,VolumeHourlyOver),Q7,1),IF(OR(WeekDef=1,WeekDef=2,WeekDef=4,WeekDef=6,AND(WeekDef=8,CustomMFFlag,OR(CustomMFPeriod=1,CustomMFPeriod=2))),IF(VolumeMonthlyOverFlag,INDEX(IF(DiffOptVolumeFlag,DiffOptVolumeMonthlyOver,VolumeMonthlyOver),BJ7),IF(DiffOptVolumeFlag,DiffOptVolume,Volume)),0))</f>
        <v>600</v>
      </c>
      <c r="BW7" s="1647" t="n">
        <f aca="false">IF(AND(WeekDef=8,CustomMFFlag,CustomMFPeriod=4),INDEX(IF(DiffOptVolumeFlag,DiffOptVolumeHourlyOver,VolumeHourlyOver),R7,1),IF(OR(WeekDef=1,WeekDef=2,WeekDef=4,WeekDef=6,AND(WeekDef=8,CustomMFFlag,OR(CustomMFPeriod=1,CustomMFPeriod=2))),IF(VolumeMonthlyOverFlag,INDEX(IF(DiffOptVolumeFlag,DiffOptVolumeMonthlyOver,VolumeMonthlyOver),BJ7),IF(DiffOptVolumeFlag,DiffOptVolume,Volume)),0))</f>
        <v>600</v>
      </c>
      <c r="BX7" s="1647" t="n">
        <f aca="false">IF(AND(WeekDef=8,CustomMFFlag,CustomMFPeriod=4),INDEX(IF(DiffOptVolumeFlag,DiffOptVolumeHourlyOver,VolumeHourlyOver),S7,1),IF(OR(WeekDef=1,WeekDef=2,WeekDef=4,WeekDef=6,AND(WeekDef=8,CustomMFFlag,OR(CustomMFPeriod=1,CustomMFPeriod=2))),IF(VolumeMonthlyOverFlag,INDEX(IF(DiffOptVolumeFlag,DiffOptVolumeMonthlyOver,VolumeMonthlyOver),BJ7),IF(DiffOptVolumeFlag,DiffOptVolume,Volume)),0))</f>
        <v>600</v>
      </c>
      <c r="BY7" s="1647" t="n">
        <f aca="false">IF(AND(WeekDef=8,CustomMFFlag,CustomMFPeriod=4),INDEX(IF(DiffOptVolumeFlag,DiffOptVolumeHourlyOver,VolumeHourlyOver),T7,1),IF(OR(WeekDef=1,WeekDef=2,WeekDef=4,WeekDef=6,AND(WeekDef=8,CustomMFFlag,OR(CustomMFPeriod=1,CustomMFPeriod=2))),IF(VolumeMonthlyOverFlag,INDEX(IF(DiffOptVolumeFlag,DiffOptVolumeMonthlyOver,VolumeMonthlyOver),BJ7),IF(DiffOptVolumeFlag,DiffOptVolume,Volume)),0))</f>
        <v>600</v>
      </c>
      <c r="BZ7" s="1648" t="n">
        <f aca="false">IF(AND(WeekDef=8,CustomMFFlag,CustomMFPeriod=4),INDEX(IF(DiffOptVolumeFlag,DiffOptVolumeHourlyOver,VolumeHourlyOver),U7,1),IF(OR(WeekDef=1,WeekDef=2,WeekDef=4,WeekDef=6,AND(WeekDef=8,CustomMFFlag,OR(CustomMFPeriod=1,CustomMFPeriod=2))),IF(VolumeMonthlyOverFlag,INDEX(IF(DiffOptVolumeFlag,DiffOptVolumeMonthlyOver,VolumeMonthlyOver),BJ7),IF(DiffOptVolumeFlag,DiffOptVolume,Volume)),0))</f>
        <v>600</v>
      </c>
      <c r="CA7" s="1647" t="n">
        <f aca="false">IF(AND(WeekDef=8,CustomMFFlag,CustomMFPeriod=4),INDEX(IF(DiffOptVolumeFlag,DiffOptVolumeHourlyOver,VolumeHourlyOver),V7,1),IF(OR(WeekDef=1,WeekDef=3,WeekDef=5,WeekDef=7,AND(WeekDef=8,CustomMFFlag,OR(CustomMFPeriod=1,CustomMFPeriod=3))),IF(VolumeMonthlyOverFlag,INDEX(IF(DiffOptVolumeFlag,DiffOptVolumeMonthlyOver,VolumeMonthlyOver),BJ7),IF(DiffOptVolumeFlag,DiffOptVolume,Volume)),0))</f>
        <v>600</v>
      </c>
      <c r="CB7" s="1647" t="n">
        <f aca="false">IF(AND(WeekDef=8,CustomMFFlag,CustomMFPeriod=4),INDEX(IF(DiffOptVolumeFlag,DiffOptVolumeHourlyOver,VolumeHourlyOver),W7,1),IF(OR(WeekDef=1,WeekDef=3,WeekDef=5,WeekDef=7,AND(WeekDef=8,CustomMFFlag,OR(CustomMFPeriod=1,CustomMFPeriod=3))),IF(VolumeMonthlyOverFlag,INDEX(IF(DiffOptVolumeFlag,DiffOptVolumeMonthlyOver,VolumeMonthlyOver),BJ7),IF(DiffOptVolumeFlag,DiffOptVolume,Volume)),0))</f>
        <v>600</v>
      </c>
      <c r="CC7" s="1647" t="n">
        <f aca="false">IF(AND(WeekDef=8,CustomMFFlag,CustomMFPeriod=4),INDEX(IF(DiffOptVolumeFlag,DiffOptVolumeHourlyOver,VolumeHourlyOver),X7,1),IF(OR(WeekDef=1,WeekDef=3,WeekDef=5,WeekDef=7,AND(WeekDef=8,CustomMFFlag,OR(CustomMFPeriod=1,CustomMFPeriod=3))),IF(VolumeMonthlyOverFlag,INDEX(IF(DiffOptVolumeFlag,DiffOptVolumeMonthlyOver,VolumeMonthlyOver),BJ7),IF(DiffOptVolumeFlag,DiffOptVolume,Volume)),0))</f>
        <v>600</v>
      </c>
      <c r="CD7" s="1647" t="n">
        <f aca="false">IF(AND(WeekDef=8,CustomMFFlag,CustomMFPeriod=4),INDEX(IF(DiffOptVolumeFlag,DiffOptVolumeHourlyOver,VolumeHourlyOver),Y7,1),IF(OR(WeekDef=1,WeekDef=3,WeekDef=5,WeekDef=7,AND(WeekDef=8,CustomMFFlag,OR(CustomMFPeriod=1,CustomMFPeriod=3))),IF(VolumeMonthlyOverFlag,INDEX(IF(DiffOptVolumeFlag,DiffOptVolumeMonthlyOver,VolumeMonthlyOver),BJ7),IF(DiffOptVolumeFlag,DiffOptVolume,Volume)),0))</f>
        <v>600</v>
      </c>
      <c r="CE7" s="1647" t="n">
        <f aca="false">IF(AND(WeekDef=8,CustomMFFlag,CustomMFPeriod=4),INDEX(IF(DiffOptVolumeFlag,DiffOptVolumeHourlyOver,VolumeHourlyOver),Z7,1),IF(OR(WeekDef=1,WeekDef=3,WeekDef=5,WeekDef=7,AND(WeekDef=8,CustomMFFlag,OR(CustomMFPeriod=1,CustomMFPeriod=3))),IF(VolumeMonthlyOverFlag,INDEX(IF(DiffOptVolumeFlag,DiffOptVolumeMonthlyOver,VolumeMonthlyOver),BJ7),IF(DiffOptVolumeFlag,DiffOptVolume,Volume)),0))</f>
        <v>600</v>
      </c>
      <c r="CF7" s="1647" t="n">
        <f aca="false">IF(AND(WeekDef=8,CustomMFFlag,CustomMFPeriod=4),INDEX(IF(DiffOptVolumeFlag,DiffOptVolumeHourlyOver,VolumeHourlyOver),AA7,1),IF(OR(WeekDef=1,WeekDef=3,WeekDef=5,WeekDef=7,AND(WeekDef=8,CustomMFFlag,OR(CustomMFPeriod=1,CustomMFPeriod=3))),IF(VolumeMonthlyOverFlag,INDEX(IF(DiffOptVolumeFlag,DiffOptVolumeMonthlyOver,VolumeMonthlyOver),BJ7),IF(DiffOptVolumeFlag,DiffOptVolume,Volume)),0))</f>
        <v>600</v>
      </c>
      <c r="CG7" s="1647" t="n">
        <f aca="false">IF(AND(WeekDef=8,CustomMFFlag,CustomMFPeriod=4),INDEX(IF(DiffOptVolumeFlag,DiffOptVolumeHourlyOver,VolumeHourlyOver),AB7,1),IF(OR(WeekDef=1,WeekDef=3,WeekDef=5,WeekDef=7,AND(WeekDef=8,CustomMFFlag,OR(CustomMFPeriod=1,CustomMFPeriod=3))),IF(VolumeMonthlyOverFlag,INDEX(IF(DiffOptVolumeFlag,DiffOptVolumeMonthlyOver,VolumeMonthlyOver),BJ7),IF(DiffOptVolumeFlag,DiffOptVolume,Volume)),0))</f>
        <v>600</v>
      </c>
      <c r="CH7" s="1648" t="n">
        <f aca="false">IF(AND(WeekDef=8,CustomMFFlag,CustomMFPeriod=4),INDEX(IF(DiffOptVolumeFlag,DiffOptVolumeHourlyOver,VolumeHourlyOver),AC7,1),IF(OR(WeekDef=1,WeekDef=3,WeekDef=5,WeekDef=7,AND(WeekDef=8,CustomMFFlag,OR(CustomMFPeriod=1,CustomMFPeriod=3))),IF(VolumeMonthlyOverFlag,INDEX(IF(DiffOptVolumeFlag,DiffOptVolumeMonthlyOver,VolumeMonthlyOver),BJ7),IF(DiffOptVolumeFlag,DiffOptVolume,Volume)),0))</f>
        <v>600</v>
      </c>
      <c r="CI7" s="1652" t="n">
        <f aca="false">SUM(BK7:BZ7)</f>
        <v>9600</v>
      </c>
      <c r="CJ7" s="1653" t="n">
        <f aca="false">SUM(CA7:CH7)</f>
        <v>4800</v>
      </c>
      <c r="CK7" s="1654" t="n">
        <f aca="false">CI7+CJ7</f>
        <v>14400</v>
      </c>
      <c r="CL7" s="1655" t="n">
        <f aca="false">IF(CI7,SUMPRODUCT(BK7:BZ7,F23:U23)/CI7,0)</f>
        <v>0.99999999627471</v>
      </c>
      <c r="CM7" s="1655" t="n">
        <f aca="false">IF(CJ7,SUMPRODUCT(CA7:CH7,V23:AC23)/CJ7,0)</f>
        <v>1.00000000745058</v>
      </c>
      <c r="CO7" s="1646" t="n">
        <v>3</v>
      </c>
      <c r="CP7" s="1659" t="n">
        <f aca="false">MAX(AF7:BC7,AF21:BC21,AF35:BC35,AF49:BC49)</f>
        <v>150</v>
      </c>
      <c r="CQ7" s="1660" t="n">
        <f aca="false">MAX(BK7:CH7,BK21:CH21,BK35:CH35,BK49:CH49)</f>
        <v>600</v>
      </c>
      <c r="DE7" s="1658"/>
    </row>
    <row r="8" customFormat="false" ht="12.75" hidden="false" customHeight="false" outlineLevel="0" collapsed="false">
      <c r="E8" s="1636" t="n">
        <v>4</v>
      </c>
      <c r="F8" s="1646" t="n">
        <v>11</v>
      </c>
      <c r="G8" s="1647" t="n">
        <v>10</v>
      </c>
      <c r="H8" s="1647" t="n">
        <v>20</v>
      </c>
      <c r="I8" s="1647" t="n">
        <v>12</v>
      </c>
      <c r="J8" s="1647" t="n">
        <v>21</v>
      </c>
      <c r="K8" s="1647" t="n">
        <v>9</v>
      </c>
      <c r="L8" s="1647" t="n">
        <v>13</v>
      </c>
      <c r="M8" s="1647" t="n">
        <v>19</v>
      </c>
      <c r="N8" s="1647" t="n">
        <v>14</v>
      </c>
      <c r="O8" s="1647" t="n">
        <v>15</v>
      </c>
      <c r="P8" s="1647" t="n">
        <v>8</v>
      </c>
      <c r="Q8" s="1647" t="n">
        <v>16</v>
      </c>
      <c r="R8" s="1647" t="n">
        <v>18</v>
      </c>
      <c r="S8" s="1647" t="n">
        <v>22</v>
      </c>
      <c r="T8" s="1647" t="n">
        <v>17</v>
      </c>
      <c r="U8" s="1648" t="n">
        <v>7</v>
      </c>
      <c r="V8" s="1647" t="n">
        <v>23</v>
      </c>
      <c r="W8" s="1647" t="n">
        <v>6</v>
      </c>
      <c r="X8" s="1647" t="n">
        <v>24</v>
      </c>
      <c r="Y8" s="1647" t="n">
        <v>1</v>
      </c>
      <c r="Z8" s="1647" t="n">
        <v>5</v>
      </c>
      <c r="AA8" s="1647" t="n">
        <v>2</v>
      </c>
      <c r="AB8" s="1647" t="n">
        <v>4</v>
      </c>
      <c r="AC8" s="1648" t="n">
        <v>3</v>
      </c>
      <c r="AD8" s="1621"/>
      <c r="AE8" s="1636" t="n">
        <v>4</v>
      </c>
      <c r="AF8" s="1646" t="n">
        <f aca="false">IF(AND(WeekDef=8,CustomMFFlag,CustomMFPeriod=4),INDEX(VolumeHourlyOver,F8,1),IF(OR(WeekDef=1,WeekDef=2,WeekDef=4,WeekDef=6,AND(WeekDef=8,CustomMFFlag,OR(CustomMFPeriod=1,CustomMFPeriod=2))),IF(VolumeMonthlyOverFlag,INDEX(VolumeMonthlyOver,AE8),Volume),0))</f>
        <v>150</v>
      </c>
      <c r="AG8" s="1647" t="n">
        <f aca="false">IF(AND(WeekDef=8,CustomMFFlag,CustomMFPeriod=4),INDEX(VolumeHourlyOver,G8,1),IF(OR(WeekDef=1,WeekDef=2,WeekDef=4,WeekDef=6,AND(WeekDef=8,CustomMFFlag,OR(CustomMFPeriod=1,CustomMFPeriod=2))),IF(VolumeMonthlyOverFlag,INDEX(VolumeMonthlyOver,AE8),Volume),0))</f>
        <v>150</v>
      </c>
      <c r="AH8" s="1647" t="n">
        <f aca="false">IF(AND(WeekDef=8,CustomMFFlag,CustomMFPeriod=4),INDEX(VolumeHourlyOver,H8,1),IF(OR(WeekDef=1,WeekDef=2,WeekDef=4,WeekDef=6,AND(WeekDef=8,CustomMFFlag,OR(CustomMFPeriod=1,CustomMFPeriod=2))),IF(VolumeMonthlyOverFlag,INDEX(VolumeMonthlyOver,AE8),Volume),0))</f>
        <v>150</v>
      </c>
      <c r="AI8" s="1647" t="n">
        <f aca="false">IF(AND(WeekDef=8,CustomMFFlag,CustomMFPeriod=4),INDEX(VolumeHourlyOver,I8,1),IF(OR(WeekDef=1,WeekDef=2,WeekDef=4,WeekDef=6,AND(WeekDef=8,CustomMFFlag,OR(CustomMFPeriod=1,CustomMFPeriod=2))),IF(VolumeMonthlyOverFlag,INDEX(VolumeMonthlyOver,AE8),Volume),0))</f>
        <v>150</v>
      </c>
      <c r="AJ8" s="1647" t="n">
        <f aca="false">IF(AND(WeekDef=8,CustomMFFlag,CustomMFPeriod=4),INDEX(VolumeHourlyOver,J8,1),IF(OR(WeekDef=1,WeekDef=2,WeekDef=4,WeekDef=6,AND(WeekDef=8,CustomMFFlag,OR(CustomMFPeriod=1,CustomMFPeriod=2))),IF(VolumeMonthlyOverFlag,INDEX(VolumeMonthlyOver,AE8),Volume),0))</f>
        <v>150</v>
      </c>
      <c r="AK8" s="1647" t="n">
        <f aca="false">IF(AND(WeekDef=8,CustomMFFlag,CustomMFPeriod=4),INDEX(VolumeHourlyOver,K8,1),IF(OR(WeekDef=1,WeekDef=2,WeekDef=4,WeekDef=6,AND(WeekDef=8,CustomMFFlag,OR(CustomMFPeriod=1,CustomMFPeriod=2))),IF(VolumeMonthlyOverFlag,INDEX(VolumeMonthlyOver,AE8),Volume),0))</f>
        <v>150</v>
      </c>
      <c r="AL8" s="1647" t="n">
        <f aca="false">IF(AND(WeekDef=8,CustomMFFlag,CustomMFPeriod=4),INDEX(VolumeHourlyOver,L8,1),IF(OR(WeekDef=1,WeekDef=2,WeekDef=4,WeekDef=6,AND(WeekDef=8,CustomMFFlag,OR(CustomMFPeriod=1,CustomMFPeriod=2))),IF(VolumeMonthlyOverFlag,INDEX(VolumeMonthlyOver,AE8),Volume),0))</f>
        <v>150</v>
      </c>
      <c r="AM8" s="1647" t="n">
        <f aca="false">IF(AND(WeekDef=8,CustomMFFlag,CustomMFPeriod=4),INDEX(VolumeHourlyOver,M8,1),IF(OR(WeekDef=1,WeekDef=2,WeekDef=4,WeekDef=6,AND(WeekDef=8,CustomMFFlag,OR(CustomMFPeriod=1,CustomMFPeriod=2))),IF(VolumeMonthlyOverFlag,INDEX(VolumeMonthlyOver,AE8),Volume),0))</f>
        <v>150</v>
      </c>
      <c r="AN8" s="1647" t="n">
        <f aca="false">IF(AND(WeekDef=8,CustomMFFlag,CustomMFPeriod=4),INDEX(VolumeHourlyOver,N8,1),IF(OR(WeekDef=1,WeekDef=2,WeekDef=4,WeekDef=6,AND(WeekDef=8,CustomMFFlag,OR(CustomMFPeriod=1,CustomMFPeriod=2))),IF(VolumeMonthlyOverFlag,INDEX(VolumeMonthlyOver,AE8),Volume),0))</f>
        <v>150</v>
      </c>
      <c r="AO8" s="1647" t="n">
        <f aca="false">IF(AND(WeekDef=8,CustomMFFlag,CustomMFPeriod=4),INDEX(VolumeHourlyOver,O8,1),IF(OR(WeekDef=1,WeekDef=2,WeekDef=4,WeekDef=6,AND(WeekDef=8,CustomMFFlag,OR(CustomMFPeriod=1,CustomMFPeriod=2))),IF(VolumeMonthlyOverFlag,INDEX(VolumeMonthlyOver,AE8),Volume),0))</f>
        <v>150</v>
      </c>
      <c r="AP8" s="1647" t="n">
        <f aca="false">IF(AND(WeekDef=8,CustomMFFlag,CustomMFPeriod=4),INDEX(VolumeHourlyOver,P8,1),IF(OR(WeekDef=1,WeekDef=2,WeekDef=4,WeekDef=6,AND(WeekDef=8,CustomMFFlag,OR(CustomMFPeriod=1,CustomMFPeriod=2))),IF(VolumeMonthlyOverFlag,INDEX(VolumeMonthlyOver,AE8),Volume),0))</f>
        <v>150</v>
      </c>
      <c r="AQ8" s="1647" t="n">
        <f aca="false">IF(AND(WeekDef=8,CustomMFFlag,CustomMFPeriod=4),INDEX(VolumeHourlyOver,Q8,1),IF(OR(WeekDef=1,WeekDef=2,WeekDef=4,WeekDef=6,AND(WeekDef=8,CustomMFFlag,OR(CustomMFPeriod=1,CustomMFPeriod=2))),IF(VolumeMonthlyOverFlag,INDEX(VolumeMonthlyOver,AE8),Volume),0))</f>
        <v>150</v>
      </c>
      <c r="AR8" s="1647" t="n">
        <f aca="false">IF(AND(WeekDef=8,CustomMFFlag,CustomMFPeriod=4),INDEX(VolumeHourlyOver,R8,1),IF(OR(WeekDef=1,WeekDef=2,WeekDef=4,WeekDef=6,AND(WeekDef=8,CustomMFFlag,OR(CustomMFPeriod=1,CustomMFPeriod=2))),IF(VolumeMonthlyOverFlag,INDEX(VolumeMonthlyOver,AE8),Volume),0))</f>
        <v>150</v>
      </c>
      <c r="AS8" s="1647" t="n">
        <f aca="false">IF(AND(WeekDef=8,CustomMFFlag,CustomMFPeriod=4),INDEX(VolumeHourlyOver,S8,1),IF(OR(WeekDef=1,WeekDef=2,WeekDef=4,WeekDef=6,AND(WeekDef=8,CustomMFFlag,OR(CustomMFPeriod=1,CustomMFPeriod=2))),IF(VolumeMonthlyOverFlag,INDEX(VolumeMonthlyOver,AE8),Volume),0))</f>
        <v>150</v>
      </c>
      <c r="AT8" s="1647" t="n">
        <f aca="false">IF(AND(WeekDef=8,CustomMFFlag,CustomMFPeriod=4),INDEX(VolumeHourlyOver,T8,1),IF(OR(WeekDef=1,WeekDef=2,WeekDef=4,WeekDef=6,AND(WeekDef=8,CustomMFFlag,OR(CustomMFPeriod=1,CustomMFPeriod=2))),IF(VolumeMonthlyOverFlag,INDEX(VolumeMonthlyOver,AE8),Volume),0))</f>
        <v>150</v>
      </c>
      <c r="AU8" s="1648" t="n">
        <f aca="false">IF(AND(WeekDef=8,CustomMFFlag,CustomMFPeriod=4),INDEX(VolumeHourlyOver,U8,1),IF(OR(WeekDef=1,WeekDef=2,WeekDef=4,WeekDef=6,AND(WeekDef=8,CustomMFFlag,OR(CustomMFPeriod=1,CustomMFPeriod=2))),IF(VolumeMonthlyOverFlag,INDEX(VolumeMonthlyOver,AE8),Volume),0))</f>
        <v>150</v>
      </c>
      <c r="AV8" s="1647" t="n">
        <f aca="false">IF(AND(WeekDef=8,CustomMFFlag,CustomMFPeriod=4),INDEX(VolumeHourlyOver,V8,1),IF(OR(WeekDef=1,WeekDef=3,WeekDef=5,WeekDef=7,AND(WeekDef=8,CustomMFFlag,OR(CustomMFPeriod=1,CustomMFPeriod=3))),IF(VolumeMonthlyOverFlag,INDEX(VolumeMonthlyOver,AE8),Volume),0))</f>
        <v>150</v>
      </c>
      <c r="AW8" s="1647" t="n">
        <f aca="false">IF(AND(WeekDef=8,CustomMFFlag,CustomMFPeriod=4),INDEX(VolumeHourlyOver,W8,1),IF(OR(WeekDef=1,WeekDef=3,WeekDef=5,WeekDef=7,AND(WeekDef=8,CustomMFFlag,OR(CustomMFPeriod=1,CustomMFPeriod=3))),IF(VolumeMonthlyOverFlag,INDEX(VolumeMonthlyOver,AE8),Volume),0))</f>
        <v>150</v>
      </c>
      <c r="AX8" s="1647" t="n">
        <f aca="false">IF(AND(WeekDef=8,CustomMFFlag,CustomMFPeriod=4),INDEX(VolumeHourlyOver,X8,1),IF(OR(WeekDef=1,WeekDef=3,WeekDef=5,WeekDef=7,AND(WeekDef=8,CustomMFFlag,OR(CustomMFPeriod=1,CustomMFPeriod=3))),IF(VolumeMonthlyOverFlag,INDEX(VolumeMonthlyOver,AE8),Volume),0))</f>
        <v>150</v>
      </c>
      <c r="AY8" s="1647" t="n">
        <f aca="false">IF(AND(WeekDef=8,CustomMFFlag,CustomMFPeriod=4),INDEX(VolumeHourlyOver,Y8,1),IF(OR(WeekDef=1,WeekDef=3,WeekDef=5,WeekDef=7,AND(WeekDef=8,CustomMFFlag,OR(CustomMFPeriod=1,CustomMFPeriod=3))),IF(VolumeMonthlyOverFlag,INDEX(VolumeMonthlyOver,AE8),Volume),0))</f>
        <v>150</v>
      </c>
      <c r="AZ8" s="1647" t="n">
        <f aca="false">IF(AND(WeekDef=8,CustomMFFlag,CustomMFPeriod=4),INDEX(VolumeHourlyOver,Z8,1),IF(OR(WeekDef=1,WeekDef=3,WeekDef=5,WeekDef=7,AND(WeekDef=8,CustomMFFlag,OR(CustomMFPeriod=1,CustomMFPeriod=3))),IF(VolumeMonthlyOverFlag,INDEX(VolumeMonthlyOver,AE8),Volume),0))</f>
        <v>150</v>
      </c>
      <c r="BA8" s="1647" t="n">
        <f aca="false">IF(AND(WeekDef=8,CustomMFFlag,CustomMFPeriod=4),INDEX(VolumeHourlyOver,AA8,1),IF(OR(WeekDef=1,WeekDef=3,WeekDef=5,WeekDef=7,AND(WeekDef=8,CustomMFFlag,OR(CustomMFPeriod=1,CustomMFPeriod=3))),IF(VolumeMonthlyOverFlag,INDEX(VolumeMonthlyOver,AE8),Volume),0))</f>
        <v>150</v>
      </c>
      <c r="BB8" s="1647" t="n">
        <f aca="false">IF(AND(WeekDef=8,CustomMFFlag,CustomMFPeriod=4),INDEX(VolumeHourlyOver,AB8,1),IF(OR(WeekDef=1,WeekDef=3,WeekDef=5,WeekDef=7,AND(WeekDef=8,CustomMFFlag,OR(CustomMFPeriod=1,CustomMFPeriod=3))),IF(VolumeMonthlyOverFlag,INDEX(VolumeMonthlyOver,AE8),Volume),0))</f>
        <v>150</v>
      </c>
      <c r="BC8" s="1648" t="n">
        <f aca="false">IF(AND(WeekDef=8,CustomMFFlag,CustomMFPeriod=4),INDEX(VolumeHourlyOver,AC8,1),IF(OR(WeekDef=1,WeekDef=3,WeekDef=5,WeekDef=7,AND(WeekDef=8,CustomMFFlag,OR(CustomMFPeriod=1,CustomMFPeriod=3))),IF(VolumeMonthlyOverFlag,INDEX(VolumeMonthlyOver,AE8),Volume),0))</f>
        <v>150</v>
      </c>
      <c r="BD8" s="1652" t="n">
        <f aca="false">SUM(AF8:AU8)</f>
        <v>2400</v>
      </c>
      <c r="BE8" s="1653" t="n">
        <f aca="false">SUM(AV8:BC8)</f>
        <v>1200</v>
      </c>
      <c r="BF8" s="1654" t="n">
        <f aca="false">BD8+BE8</f>
        <v>3600</v>
      </c>
      <c r="BG8" s="1655" t="n">
        <f aca="false">IF(BD8,SUMPRODUCT(AF8:AU8,F24:U24)/BD8,0)</f>
        <v>1</v>
      </c>
      <c r="BH8" s="1655" t="n">
        <f aca="false">IF(BE8,SUMPRODUCT(AV8:BC8,V24:AC24)/BE8,0)</f>
        <v>1.00000000745058</v>
      </c>
      <c r="BJ8" s="1636" t="n">
        <v>4</v>
      </c>
      <c r="BK8" s="1646" t="n">
        <f aca="false">IF(AND(WeekDef=8,CustomMFFlag,CustomMFPeriod=4),INDEX(IF(DiffOptVolumeFlag,DiffOptVolumeHourlyOver,VolumeHourlyOver),F8,1),IF(OR(WeekDef=1,WeekDef=2,WeekDef=4,WeekDef=6,AND(WeekDef=8,CustomMFFlag,OR(CustomMFPeriod=1,CustomMFPeriod=2))),IF(VolumeMonthlyOverFlag,INDEX(IF(DiffOptVolumeFlag,DiffOptVolumeMonthlyOver,VolumeMonthlyOver),BJ8),IF(DiffOptVolumeFlag,DiffOptVolume,Volume)),0))</f>
        <v>600</v>
      </c>
      <c r="BL8" s="1647" t="n">
        <f aca="false">IF(AND(WeekDef=8,CustomMFFlag,CustomMFPeriod=4),INDEX(IF(DiffOptVolumeFlag,DiffOptVolumeHourlyOver,VolumeHourlyOver),G8,1),IF(OR(WeekDef=1,WeekDef=2,WeekDef=4,WeekDef=6,AND(WeekDef=8,CustomMFFlag,OR(CustomMFPeriod=1,CustomMFPeriod=2))),IF(VolumeMonthlyOverFlag,INDEX(IF(DiffOptVolumeFlag,DiffOptVolumeMonthlyOver,VolumeMonthlyOver),BJ8),IF(DiffOptVolumeFlag,DiffOptVolume,Volume)),0))</f>
        <v>600</v>
      </c>
      <c r="BM8" s="1647" t="n">
        <f aca="false">IF(AND(WeekDef=8,CustomMFFlag,CustomMFPeriod=4),INDEX(IF(DiffOptVolumeFlag,DiffOptVolumeHourlyOver,VolumeHourlyOver),H8,1),IF(OR(WeekDef=1,WeekDef=2,WeekDef=4,WeekDef=6,AND(WeekDef=8,CustomMFFlag,OR(CustomMFPeriod=1,CustomMFPeriod=2))),IF(VolumeMonthlyOverFlag,INDEX(IF(DiffOptVolumeFlag,DiffOptVolumeMonthlyOver,VolumeMonthlyOver),BJ8),IF(DiffOptVolumeFlag,DiffOptVolume,Volume)),0))</f>
        <v>600</v>
      </c>
      <c r="BN8" s="1647" t="n">
        <f aca="false">IF(AND(WeekDef=8,CustomMFFlag,CustomMFPeriod=4),INDEX(IF(DiffOptVolumeFlag,DiffOptVolumeHourlyOver,VolumeHourlyOver),I8,1),IF(OR(WeekDef=1,WeekDef=2,WeekDef=4,WeekDef=6,AND(WeekDef=8,CustomMFFlag,OR(CustomMFPeriod=1,CustomMFPeriod=2))),IF(VolumeMonthlyOverFlag,INDEX(IF(DiffOptVolumeFlag,DiffOptVolumeMonthlyOver,VolumeMonthlyOver),BJ8),IF(DiffOptVolumeFlag,DiffOptVolume,Volume)),0))</f>
        <v>600</v>
      </c>
      <c r="BO8" s="1647" t="n">
        <f aca="false">IF(AND(WeekDef=8,CustomMFFlag,CustomMFPeriod=4),INDEX(IF(DiffOptVolumeFlag,DiffOptVolumeHourlyOver,VolumeHourlyOver),J8,1),IF(OR(WeekDef=1,WeekDef=2,WeekDef=4,WeekDef=6,AND(WeekDef=8,CustomMFFlag,OR(CustomMFPeriod=1,CustomMFPeriod=2))),IF(VolumeMonthlyOverFlag,INDEX(IF(DiffOptVolumeFlag,DiffOptVolumeMonthlyOver,VolumeMonthlyOver),BJ8),IF(DiffOptVolumeFlag,DiffOptVolume,Volume)),0))</f>
        <v>600</v>
      </c>
      <c r="BP8" s="1647" t="n">
        <f aca="false">IF(AND(WeekDef=8,CustomMFFlag,CustomMFPeriod=4),INDEX(IF(DiffOptVolumeFlag,DiffOptVolumeHourlyOver,VolumeHourlyOver),K8,1),IF(OR(WeekDef=1,WeekDef=2,WeekDef=4,WeekDef=6,AND(WeekDef=8,CustomMFFlag,OR(CustomMFPeriod=1,CustomMFPeriod=2))),IF(VolumeMonthlyOverFlag,INDEX(IF(DiffOptVolumeFlag,DiffOptVolumeMonthlyOver,VolumeMonthlyOver),BJ8),IF(DiffOptVolumeFlag,DiffOptVolume,Volume)),0))</f>
        <v>600</v>
      </c>
      <c r="BQ8" s="1647" t="n">
        <f aca="false">IF(AND(WeekDef=8,CustomMFFlag,CustomMFPeriod=4),INDEX(IF(DiffOptVolumeFlag,DiffOptVolumeHourlyOver,VolumeHourlyOver),L8,1),IF(OR(WeekDef=1,WeekDef=2,WeekDef=4,WeekDef=6,AND(WeekDef=8,CustomMFFlag,OR(CustomMFPeriod=1,CustomMFPeriod=2))),IF(VolumeMonthlyOverFlag,INDEX(IF(DiffOptVolumeFlag,DiffOptVolumeMonthlyOver,VolumeMonthlyOver),BJ8),IF(DiffOptVolumeFlag,DiffOptVolume,Volume)),0))</f>
        <v>600</v>
      </c>
      <c r="BR8" s="1647" t="n">
        <f aca="false">IF(AND(WeekDef=8,CustomMFFlag,CustomMFPeriod=4),INDEX(IF(DiffOptVolumeFlag,DiffOptVolumeHourlyOver,VolumeHourlyOver),M8,1),IF(OR(WeekDef=1,WeekDef=2,WeekDef=4,WeekDef=6,AND(WeekDef=8,CustomMFFlag,OR(CustomMFPeriod=1,CustomMFPeriod=2))),IF(VolumeMonthlyOverFlag,INDEX(IF(DiffOptVolumeFlag,DiffOptVolumeMonthlyOver,VolumeMonthlyOver),BJ8),IF(DiffOptVolumeFlag,DiffOptVolume,Volume)),0))</f>
        <v>600</v>
      </c>
      <c r="BS8" s="1647" t="n">
        <f aca="false">IF(AND(WeekDef=8,CustomMFFlag,CustomMFPeriod=4),INDEX(IF(DiffOptVolumeFlag,DiffOptVolumeHourlyOver,VolumeHourlyOver),N8,1),IF(OR(WeekDef=1,WeekDef=2,WeekDef=4,WeekDef=6,AND(WeekDef=8,CustomMFFlag,OR(CustomMFPeriod=1,CustomMFPeriod=2))),IF(VolumeMonthlyOverFlag,INDEX(IF(DiffOptVolumeFlag,DiffOptVolumeMonthlyOver,VolumeMonthlyOver),BJ8),IF(DiffOptVolumeFlag,DiffOptVolume,Volume)),0))</f>
        <v>600</v>
      </c>
      <c r="BT8" s="1647" t="n">
        <f aca="false">IF(AND(WeekDef=8,CustomMFFlag,CustomMFPeriod=4),INDEX(IF(DiffOptVolumeFlag,DiffOptVolumeHourlyOver,VolumeHourlyOver),O8,1),IF(OR(WeekDef=1,WeekDef=2,WeekDef=4,WeekDef=6,AND(WeekDef=8,CustomMFFlag,OR(CustomMFPeriod=1,CustomMFPeriod=2))),IF(VolumeMonthlyOverFlag,INDEX(IF(DiffOptVolumeFlag,DiffOptVolumeMonthlyOver,VolumeMonthlyOver),BJ8),IF(DiffOptVolumeFlag,DiffOptVolume,Volume)),0))</f>
        <v>600</v>
      </c>
      <c r="BU8" s="1647" t="n">
        <f aca="false">IF(AND(WeekDef=8,CustomMFFlag,CustomMFPeriod=4),INDEX(IF(DiffOptVolumeFlag,DiffOptVolumeHourlyOver,VolumeHourlyOver),P8,1),IF(OR(WeekDef=1,WeekDef=2,WeekDef=4,WeekDef=6,AND(WeekDef=8,CustomMFFlag,OR(CustomMFPeriod=1,CustomMFPeriod=2))),IF(VolumeMonthlyOverFlag,INDEX(IF(DiffOptVolumeFlag,DiffOptVolumeMonthlyOver,VolumeMonthlyOver),BJ8),IF(DiffOptVolumeFlag,DiffOptVolume,Volume)),0))</f>
        <v>600</v>
      </c>
      <c r="BV8" s="1647" t="n">
        <f aca="false">IF(AND(WeekDef=8,CustomMFFlag,CustomMFPeriod=4),INDEX(IF(DiffOptVolumeFlag,DiffOptVolumeHourlyOver,VolumeHourlyOver),Q8,1),IF(OR(WeekDef=1,WeekDef=2,WeekDef=4,WeekDef=6,AND(WeekDef=8,CustomMFFlag,OR(CustomMFPeriod=1,CustomMFPeriod=2))),IF(VolumeMonthlyOverFlag,INDEX(IF(DiffOptVolumeFlag,DiffOptVolumeMonthlyOver,VolumeMonthlyOver),BJ8),IF(DiffOptVolumeFlag,DiffOptVolume,Volume)),0))</f>
        <v>600</v>
      </c>
      <c r="BW8" s="1647" t="n">
        <f aca="false">IF(AND(WeekDef=8,CustomMFFlag,CustomMFPeriod=4),INDEX(IF(DiffOptVolumeFlag,DiffOptVolumeHourlyOver,VolumeHourlyOver),R8,1),IF(OR(WeekDef=1,WeekDef=2,WeekDef=4,WeekDef=6,AND(WeekDef=8,CustomMFFlag,OR(CustomMFPeriod=1,CustomMFPeriod=2))),IF(VolumeMonthlyOverFlag,INDEX(IF(DiffOptVolumeFlag,DiffOptVolumeMonthlyOver,VolumeMonthlyOver),BJ8),IF(DiffOptVolumeFlag,DiffOptVolume,Volume)),0))</f>
        <v>600</v>
      </c>
      <c r="BX8" s="1647" t="n">
        <f aca="false">IF(AND(WeekDef=8,CustomMFFlag,CustomMFPeriod=4),INDEX(IF(DiffOptVolumeFlag,DiffOptVolumeHourlyOver,VolumeHourlyOver),S8,1),IF(OR(WeekDef=1,WeekDef=2,WeekDef=4,WeekDef=6,AND(WeekDef=8,CustomMFFlag,OR(CustomMFPeriod=1,CustomMFPeriod=2))),IF(VolumeMonthlyOverFlag,INDEX(IF(DiffOptVolumeFlag,DiffOptVolumeMonthlyOver,VolumeMonthlyOver),BJ8),IF(DiffOptVolumeFlag,DiffOptVolume,Volume)),0))</f>
        <v>600</v>
      </c>
      <c r="BY8" s="1647" t="n">
        <f aca="false">IF(AND(WeekDef=8,CustomMFFlag,CustomMFPeriod=4),INDEX(IF(DiffOptVolumeFlag,DiffOptVolumeHourlyOver,VolumeHourlyOver),T8,1),IF(OR(WeekDef=1,WeekDef=2,WeekDef=4,WeekDef=6,AND(WeekDef=8,CustomMFFlag,OR(CustomMFPeriod=1,CustomMFPeriod=2))),IF(VolumeMonthlyOverFlag,INDEX(IF(DiffOptVolumeFlag,DiffOptVolumeMonthlyOver,VolumeMonthlyOver),BJ8),IF(DiffOptVolumeFlag,DiffOptVolume,Volume)),0))</f>
        <v>600</v>
      </c>
      <c r="BZ8" s="1648" t="n">
        <f aca="false">IF(AND(WeekDef=8,CustomMFFlag,CustomMFPeriod=4),INDEX(IF(DiffOptVolumeFlag,DiffOptVolumeHourlyOver,VolumeHourlyOver),U8,1),IF(OR(WeekDef=1,WeekDef=2,WeekDef=4,WeekDef=6,AND(WeekDef=8,CustomMFFlag,OR(CustomMFPeriod=1,CustomMFPeriod=2))),IF(VolumeMonthlyOverFlag,INDEX(IF(DiffOptVolumeFlag,DiffOptVolumeMonthlyOver,VolumeMonthlyOver),BJ8),IF(DiffOptVolumeFlag,DiffOptVolume,Volume)),0))</f>
        <v>600</v>
      </c>
      <c r="CA8" s="1647" t="n">
        <f aca="false">IF(AND(WeekDef=8,CustomMFFlag,CustomMFPeriod=4),INDEX(IF(DiffOptVolumeFlag,DiffOptVolumeHourlyOver,VolumeHourlyOver),V8,1),IF(OR(WeekDef=1,WeekDef=3,WeekDef=5,WeekDef=7,AND(WeekDef=8,CustomMFFlag,OR(CustomMFPeriod=1,CustomMFPeriod=3))),IF(VolumeMonthlyOverFlag,INDEX(IF(DiffOptVolumeFlag,DiffOptVolumeMonthlyOver,VolumeMonthlyOver),BJ8),IF(DiffOptVolumeFlag,DiffOptVolume,Volume)),0))</f>
        <v>600</v>
      </c>
      <c r="CB8" s="1647" t="n">
        <f aca="false">IF(AND(WeekDef=8,CustomMFFlag,CustomMFPeriod=4),INDEX(IF(DiffOptVolumeFlag,DiffOptVolumeHourlyOver,VolumeHourlyOver),W8,1),IF(OR(WeekDef=1,WeekDef=3,WeekDef=5,WeekDef=7,AND(WeekDef=8,CustomMFFlag,OR(CustomMFPeriod=1,CustomMFPeriod=3))),IF(VolumeMonthlyOverFlag,INDEX(IF(DiffOptVolumeFlag,DiffOptVolumeMonthlyOver,VolumeMonthlyOver),BJ8),IF(DiffOptVolumeFlag,DiffOptVolume,Volume)),0))</f>
        <v>600</v>
      </c>
      <c r="CC8" s="1647" t="n">
        <f aca="false">IF(AND(WeekDef=8,CustomMFFlag,CustomMFPeriod=4),INDEX(IF(DiffOptVolumeFlag,DiffOptVolumeHourlyOver,VolumeHourlyOver),X8,1),IF(OR(WeekDef=1,WeekDef=3,WeekDef=5,WeekDef=7,AND(WeekDef=8,CustomMFFlag,OR(CustomMFPeriod=1,CustomMFPeriod=3))),IF(VolumeMonthlyOverFlag,INDEX(IF(DiffOptVolumeFlag,DiffOptVolumeMonthlyOver,VolumeMonthlyOver),BJ8),IF(DiffOptVolumeFlag,DiffOptVolume,Volume)),0))</f>
        <v>600</v>
      </c>
      <c r="CD8" s="1647" t="n">
        <f aca="false">IF(AND(WeekDef=8,CustomMFFlag,CustomMFPeriod=4),INDEX(IF(DiffOptVolumeFlag,DiffOptVolumeHourlyOver,VolumeHourlyOver),Y8,1),IF(OR(WeekDef=1,WeekDef=3,WeekDef=5,WeekDef=7,AND(WeekDef=8,CustomMFFlag,OR(CustomMFPeriod=1,CustomMFPeriod=3))),IF(VolumeMonthlyOverFlag,INDEX(IF(DiffOptVolumeFlag,DiffOptVolumeMonthlyOver,VolumeMonthlyOver),BJ8),IF(DiffOptVolumeFlag,DiffOptVolume,Volume)),0))</f>
        <v>600</v>
      </c>
      <c r="CE8" s="1647" t="n">
        <f aca="false">IF(AND(WeekDef=8,CustomMFFlag,CustomMFPeriod=4),INDEX(IF(DiffOptVolumeFlag,DiffOptVolumeHourlyOver,VolumeHourlyOver),Z8,1),IF(OR(WeekDef=1,WeekDef=3,WeekDef=5,WeekDef=7,AND(WeekDef=8,CustomMFFlag,OR(CustomMFPeriod=1,CustomMFPeriod=3))),IF(VolumeMonthlyOverFlag,INDEX(IF(DiffOptVolumeFlag,DiffOptVolumeMonthlyOver,VolumeMonthlyOver),BJ8),IF(DiffOptVolumeFlag,DiffOptVolume,Volume)),0))</f>
        <v>600</v>
      </c>
      <c r="CF8" s="1647" t="n">
        <f aca="false">IF(AND(WeekDef=8,CustomMFFlag,CustomMFPeriod=4),INDEX(IF(DiffOptVolumeFlag,DiffOptVolumeHourlyOver,VolumeHourlyOver),AA8,1),IF(OR(WeekDef=1,WeekDef=3,WeekDef=5,WeekDef=7,AND(WeekDef=8,CustomMFFlag,OR(CustomMFPeriod=1,CustomMFPeriod=3))),IF(VolumeMonthlyOverFlag,INDEX(IF(DiffOptVolumeFlag,DiffOptVolumeMonthlyOver,VolumeMonthlyOver),BJ8),IF(DiffOptVolumeFlag,DiffOptVolume,Volume)),0))</f>
        <v>600</v>
      </c>
      <c r="CG8" s="1647" t="n">
        <f aca="false">IF(AND(WeekDef=8,CustomMFFlag,CustomMFPeriod=4),INDEX(IF(DiffOptVolumeFlag,DiffOptVolumeHourlyOver,VolumeHourlyOver),AB8,1),IF(OR(WeekDef=1,WeekDef=3,WeekDef=5,WeekDef=7,AND(WeekDef=8,CustomMFFlag,OR(CustomMFPeriod=1,CustomMFPeriod=3))),IF(VolumeMonthlyOverFlag,INDEX(IF(DiffOptVolumeFlag,DiffOptVolumeMonthlyOver,VolumeMonthlyOver),BJ8),IF(DiffOptVolumeFlag,DiffOptVolume,Volume)),0))</f>
        <v>600</v>
      </c>
      <c r="CH8" s="1648" t="n">
        <f aca="false">IF(AND(WeekDef=8,CustomMFFlag,CustomMFPeriod=4),INDEX(IF(DiffOptVolumeFlag,DiffOptVolumeHourlyOver,VolumeHourlyOver),AC8,1),IF(OR(WeekDef=1,WeekDef=3,WeekDef=5,WeekDef=7,AND(WeekDef=8,CustomMFFlag,OR(CustomMFPeriod=1,CustomMFPeriod=3))),IF(VolumeMonthlyOverFlag,INDEX(IF(DiffOptVolumeFlag,DiffOptVolumeMonthlyOver,VolumeMonthlyOver),BJ8),IF(DiffOptVolumeFlag,DiffOptVolume,Volume)),0))</f>
        <v>600</v>
      </c>
      <c r="CI8" s="1652" t="n">
        <f aca="false">SUM(BK8:BZ8)</f>
        <v>9600</v>
      </c>
      <c r="CJ8" s="1653" t="n">
        <f aca="false">SUM(CA8:CH8)</f>
        <v>4800</v>
      </c>
      <c r="CK8" s="1654" t="n">
        <f aca="false">CI8+CJ8</f>
        <v>14400</v>
      </c>
      <c r="CL8" s="1655" t="n">
        <f aca="false">IF(CI8,SUMPRODUCT(BK8:BZ8,F24:U24)/CI8,0)</f>
        <v>1</v>
      </c>
      <c r="CM8" s="1655" t="n">
        <f aca="false">IF(CJ8,SUMPRODUCT(CA8:CH8,V24:AC24)/CJ8,0)</f>
        <v>1.00000000745058</v>
      </c>
      <c r="CO8" s="1646" t="n">
        <v>4</v>
      </c>
      <c r="CP8" s="1659" t="n">
        <f aca="false">MAX(AF8:BC8,AF22:BC22,AF36:BC36,AF50:BC50)</f>
        <v>150</v>
      </c>
      <c r="CQ8" s="1660" t="n">
        <f aca="false">MAX(BK8:CH8,BK22:CH22,BK36:CH36,BK50:CH50)</f>
        <v>600</v>
      </c>
      <c r="DE8" s="1658"/>
    </row>
    <row r="9" customFormat="false" ht="12.75" hidden="false" customHeight="false" outlineLevel="0" collapsed="false">
      <c r="E9" s="1636" t="n">
        <v>5</v>
      </c>
      <c r="F9" s="1646" t="n">
        <v>11</v>
      </c>
      <c r="G9" s="1647" t="n">
        <v>21</v>
      </c>
      <c r="H9" s="1647" t="n">
        <v>12</v>
      </c>
      <c r="I9" s="1647" t="n">
        <v>10</v>
      </c>
      <c r="J9" s="1647" t="n">
        <v>13</v>
      </c>
      <c r="K9" s="1647" t="n">
        <v>14</v>
      </c>
      <c r="L9" s="1647" t="n">
        <v>20</v>
      </c>
      <c r="M9" s="1647" t="n">
        <v>15</v>
      </c>
      <c r="N9" s="1647" t="n">
        <v>16</v>
      </c>
      <c r="O9" s="1647" t="n">
        <v>17</v>
      </c>
      <c r="P9" s="1647" t="n">
        <v>9</v>
      </c>
      <c r="Q9" s="1647" t="n">
        <v>18</v>
      </c>
      <c r="R9" s="1647" t="n">
        <v>19</v>
      </c>
      <c r="S9" s="1647" t="n">
        <v>22</v>
      </c>
      <c r="T9" s="1647" t="n">
        <v>8</v>
      </c>
      <c r="U9" s="1648" t="n">
        <v>7</v>
      </c>
      <c r="V9" s="1647" t="n">
        <v>23</v>
      </c>
      <c r="W9" s="1647" t="n">
        <v>24</v>
      </c>
      <c r="X9" s="1647" t="n">
        <v>6</v>
      </c>
      <c r="Y9" s="1647" t="n">
        <v>1</v>
      </c>
      <c r="Z9" s="1647" t="n">
        <v>5</v>
      </c>
      <c r="AA9" s="1647" t="n">
        <v>2</v>
      </c>
      <c r="AB9" s="1647" t="n">
        <v>3</v>
      </c>
      <c r="AC9" s="1648" t="n">
        <v>4</v>
      </c>
      <c r="AD9" s="1621"/>
      <c r="AE9" s="1636" t="n">
        <v>5</v>
      </c>
      <c r="AF9" s="1646" t="n">
        <f aca="false">IF(AND(WeekDef=8,CustomMFFlag,CustomMFPeriod=4),INDEX(VolumeHourlyOver,F9,1),IF(OR(WeekDef=1,WeekDef=2,WeekDef=4,WeekDef=6,AND(WeekDef=8,CustomMFFlag,OR(CustomMFPeriod=1,CustomMFPeriod=2))),IF(VolumeMonthlyOverFlag,INDEX(VolumeMonthlyOver,AE9),Volume),0))</f>
        <v>150</v>
      </c>
      <c r="AG9" s="1647" t="n">
        <f aca="false">IF(AND(WeekDef=8,CustomMFFlag,CustomMFPeriod=4),INDEX(VolumeHourlyOver,G9,1),IF(OR(WeekDef=1,WeekDef=2,WeekDef=4,WeekDef=6,AND(WeekDef=8,CustomMFFlag,OR(CustomMFPeriod=1,CustomMFPeriod=2))),IF(VolumeMonthlyOverFlag,INDEX(VolumeMonthlyOver,AE9),Volume),0))</f>
        <v>150</v>
      </c>
      <c r="AH9" s="1647" t="n">
        <f aca="false">IF(AND(WeekDef=8,CustomMFFlag,CustomMFPeriod=4),INDEX(VolumeHourlyOver,H9,1),IF(OR(WeekDef=1,WeekDef=2,WeekDef=4,WeekDef=6,AND(WeekDef=8,CustomMFFlag,OR(CustomMFPeriod=1,CustomMFPeriod=2))),IF(VolumeMonthlyOverFlag,INDEX(VolumeMonthlyOver,AE9),Volume),0))</f>
        <v>150</v>
      </c>
      <c r="AI9" s="1647" t="n">
        <f aca="false">IF(AND(WeekDef=8,CustomMFFlag,CustomMFPeriod=4),INDEX(VolumeHourlyOver,I9,1),IF(OR(WeekDef=1,WeekDef=2,WeekDef=4,WeekDef=6,AND(WeekDef=8,CustomMFFlag,OR(CustomMFPeriod=1,CustomMFPeriod=2))),IF(VolumeMonthlyOverFlag,INDEX(VolumeMonthlyOver,AE9),Volume),0))</f>
        <v>150</v>
      </c>
      <c r="AJ9" s="1647" t="n">
        <f aca="false">IF(AND(WeekDef=8,CustomMFFlag,CustomMFPeriod=4),INDEX(VolumeHourlyOver,J9,1),IF(OR(WeekDef=1,WeekDef=2,WeekDef=4,WeekDef=6,AND(WeekDef=8,CustomMFFlag,OR(CustomMFPeriod=1,CustomMFPeriod=2))),IF(VolumeMonthlyOverFlag,INDEX(VolumeMonthlyOver,AE9),Volume),0))</f>
        <v>150</v>
      </c>
      <c r="AK9" s="1647" t="n">
        <f aca="false">IF(AND(WeekDef=8,CustomMFFlag,CustomMFPeriod=4),INDEX(VolumeHourlyOver,K9,1),IF(OR(WeekDef=1,WeekDef=2,WeekDef=4,WeekDef=6,AND(WeekDef=8,CustomMFFlag,OR(CustomMFPeriod=1,CustomMFPeriod=2))),IF(VolumeMonthlyOverFlag,INDEX(VolumeMonthlyOver,AE9),Volume),0))</f>
        <v>150</v>
      </c>
      <c r="AL9" s="1647" t="n">
        <f aca="false">IF(AND(WeekDef=8,CustomMFFlag,CustomMFPeriod=4),INDEX(VolumeHourlyOver,L9,1),IF(OR(WeekDef=1,WeekDef=2,WeekDef=4,WeekDef=6,AND(WeekDef=8,CustomMFFlag,OR(CustomMFPeriod=1,CustomMFPeriod=2))),IF(VolumeMonthlyOverFlag,INDEX(VolumeMonthlyOver,AE9),Volume),0))</f>
        <v>150</v>
      </c>
      <c r="AM9" s="1647" t="n">
        <f aca="false">IF(AND(WeekDef=8,CustomMFFlag,CustomMFPeriod=4),INDEX(VolumeHourlyOver,M9,1),IF(OR(WeekDef=1,WeekDef=2,WeekDef=4,WeekDef=6,AND(WeekDef=8,CustomMFFlag,OR(CustomMFPeriod=1,CustomMFPeriod=2))),IF(VolumeMonthlyOverFlag,INDEX(VolumeMonthlyOver,AE9),Volume),0))</f>
        <v>150</v>
      </c>
      <c r="AN9" s="1647" t="n">
        <f aca="false">IF(AND(WeekDef=8,CustomMFFlag,CustomMFPeriod=4),INDEX(VolumeHourlyOver,N9,1),IF(OR(WeekDef=1,WeekDef=2,WeekDef=4,WeekDef=6,AND(WeekDef=8,CustomMFFlag,OR(CustomMFPeriod=1,CustomMFPeriod=2))),IF(VolumeMonthlyOverFlag,INDEX(VolumeMonthlyOver,AE9),Volume),0))</f>
        <v>150</v>
      </c>
      <c r="AO9" s="1647" t="n">
        <f aca="false">IF(AND(WeekDef=8,CustomMFFlag,CustomMFPeriod=4),INDEX(VolumeHourlyOver,O9,1),IF(OR(WeekDef=1,WeekDef=2,WeekDef=4,WeekDef=6,AND(WeekDef=8,CustomMFFlag,OR(CustomMFPeriod=1,CustomMFPeriod=2))),IF(VolumeMonthlyOverFlag,INDEX(VolumeMonthlyOver,AE9),Volume),0))</f>
        <v>150</v>
      </c>
      <c r="AP9" s="1647" t="n">
        <f aca="false">IF(AND(WeekDef=8,CustomMFFlag,CustomMFPeriod=4),INDEX(VolumeHourlyOver,P9,1),IF(OR(WeekDef=1,WeekDef=2,WeekDef=4,WeekDef=6,AND(WeekDef=8,CustomMFFlag,OR(CustomMFPeriod=1,CustomMFPeriod=2))),IF(VolumeMonthlyOverFlag,INDEX(VolumeMonthlyOver,AE9),Volume),0))</f>
        <v>150</v>
      </c>
      <c r="AQ9" s="1647" t="n">
        <f aca="false">IF(AND(WeekDef=8,CustomMFFlag,CustomMFPeriod=4),INDEX(VolumeHourlyOver,Q9,1),IF(OR(WeekDef=1,WeekDef=2,WeekDef=4,WeekDef=6,AND(WeekDef=8,CustomMFFlag,OR(CustomMFPeriod=1,CustomMFPeriod=2))),IF(VolumeMonthlyOverFlag,INDEX(VolumeMonthlyOver,AE9),Volume),0))</f>
        <v>150</v>
      </c>
      <c r="AR9" s="1647" t="n">
        <f aca="false">IF(AND(WeekDef=8,CustomMFFlag,CustomMFPeriod=4),INDEX(VolumeHourlyOver,R9,1),IF(OR(WeekDef=1,WeekDef=2,WeekDef=4,WeekDef=6,AND(WeekDef=8,CustomMFFlag,OR(CustomMFPeriod=1,CustomMFPeriod=2))),IF(VolumeMonthlyOverFlag,INDEX(VolumeMonthlyOver,AE9),Volume),0))</f>
        <v>150</v>
      </c>
      <c r="AS9" s="1647" t="n">
        <f aca="false">IF(AND(WeekDef=8,CustomMFFlag,CustomMFPeriod=4),INDEX(VolumeHourlyOver,S9,1),IF(OR(WeekDef=1,WeekDef=2,WeekDef=4,WeekDef=6,AND(WeekDef=8,CustomMFFlag,OR(CustomMFPeriod=1,CustomMFPeriod=2))),IF(VolumeMonthlyOverFlag,INDEX(VolumeMonthlyOver,AE9),Volume),0))</f>
        <v>150</v>
      </c>
      <c r="AT9" s="1647" t="n">
        <f aca="false">IF(AND(WeekDef=8,CustomMFFlag,CustomMFPeriod=4),INDEX(VolumeHourlyOver,T9,1),IF(OR(WeekDef=1,WeekDef=2,WeekDef=4,WeekDef=6,AND(WeekDef=8,CustomMFFlag,OR(CustomMFPeriod=1,CustomMFPeriod=2))),IF(VolumeMonthlyOverFlag,INDEX(VolumeMonthlyOver,AE9),Volume),0))</f>
        <v>150</v>
      </c>
      <c r="AU9" s="1648" t="n">
        <f aca="false">IF(AND(WeekDef=8,CustomMFFlag,CustomMFPeriod=4),INDEX(VolumeHourlyOver,U9,1),IF(OR(WeekDef=1,WeekDef=2,WeekDef=4,WeekDef=6,AND(WeekDef=8,CustomMFFlag,OR(CustomMFPeriod=1,CustomMFPeriod=2))),IF(VolumeMonthlyOverFlag,INDEX(VolumeMonthlyOver,AE9),Volume),0))</f>
        <v>150</v>
      </c>
      <c r="AV9" s="1647" t="n">
        <f aca="false">IF(AND(WeekDef=8,CustomMFFlag,CustomMFPeriod=4),INDEX(VolumeHourlyOver,V9,1),IF(OR(WeekDef=1,WeekDef=3,WeekDef=5,WeekDef=7,AND(WeekDef=8,CustomMFFlag,OR(CustomMFPeriod=1,CustomMFPeriod=3))),IF(VolumeMonthlyOverFlag,INDEX(VolumeMonthlyOver,AE9),Volume),0))</f>
        <v>150</v>
      </c>
      <c r="AW9" s="1647" t="n">
        <f aca="false">IF(AND(WeekDef=8,CustomMFFlag,CustomMFPeriod=4),INDEX(VolumeHourlyOver,W9,1),IF(OR(WeekDef=1,WeekDef=3,WeekDef=5,WeekDef=7,AND(WeekDef=8,CustomMFFlag,OR(CustomMFPeriod=1,CustomMFPeriod=3))),IF(VolumeMonthlyOverFlag,INDEX(VolumeMonthlyOver,AE9),Volume),0))</f>
        <v>150</v>
      </c>
      <c r="AX9" s="1647" t="n">
        <f aca="false">IF(AND(WeekDef=8,CustomMFFlag,CustomMFPeriod=4),INDEX(VolumeHourlyOver,X9,1),IF(OR(WeekDef=1,WeekDef=3,WeekDef=5,WeekDef=7,AND(WeekDef=8,CustomMFFlag,OR(CustomMFPeriod=1,CustomMFPeriod=3))),IF(VolumeMonthlyOverFlag,INDEX(VolumeMonthlyOver,AE9),Volume),0))</f>
        <v>150</v>
      </c>
      <c r="AY9" s="1647" t="n">
        <f aca="false">IF(AND(WeekDef=8,CustomMFFlag,CustomMFPeriod=4),INDEX(VolumeHourlyOver,Y9,1),IF(OR(WeekDef=1,WeekDef=3,WeekDef=5,WeekDef=7,AND(WeekDef=8,CustomMFFlag,OR(CustomMFPeriod=1,CustomMFPeriod=3))),IF(VolumeMonthlyOverFlag,INDEX(VolumeMonthlyOver,AE9),Volume),0))</f>
        <v>150</v>
      </c>
      <c r="AZ9" s="1647" t="n">
        <f aca="false">IF(AND(WeekDef=8,CustomMFFlag,CustomMFPeriod=4),INDEX(VolumeHourlyOver,Z9,1),IF(OR(WeekDef=1,WeekDef=3,WeekDef=5,WeekDef=7,AND(WeekDef=8,CustomMFFlag,OR(CustomMFPeriod=1,CustomMFPeriod=3))),IF(VolumeMonthlyOverFlag,INDEX(VolumeMonthlyOver,AE9),Volume),0))</f>
        <v>150</v>
      </c>
      <c r="BA9" s="1647" t="n">
        <f aca="false">IF(AND(WeekDef=8,CustomMFFlag,CustomMFPeriod=4),INDEX(VolumeHourlyOver,AA9,1),IF(OR(WeekDef=1,WeekDef=3,WeekDef=5,WeekDef=7,AND(WeekDef=8,CustomMFFlag,OR(CustomMFPeriod=1,CustomMFPeriod=3))),IF(VolumeMonthlyOverFlag,INDEX(VolumeMonthlyOver,AE9),Volume),0))</f>
        <v>150</v>
      </c>
      <c r="BB9" s="1647" t="n">
        <f aca="false">IF(AND(WeekDef=8,CustomMFFlag,CustomMFPeriod=4),INDEX(VolumeHourlyOver,AB9,1),IF(OR(WeekDef=1,WeekDef=3,WeekDef=5,WeekDef=7,AND(WeekDef=8,CustomMFFlag,OR(CustomMFPeriod=1,CustomMFPeriod=3))),IF(VolumeMonthlyOverFlag,INDEX(VolumeMonthlyOver,AE9),Volume),0))</f>
        <v>150</v>
      </c>
      <c r="BC9" s="1648" t="n">
        <f aca="false">IF(AND(WeekDef=8,CustomMFFlag,CustomMFPeriod=4),INDEX(VolumeHourlyOver,AC9,1),IF(OR(WeekDef=1,WeekDef=3,WeekDef=5,WeekDef=7,AND(WeekDef=8,CustomMFFlag,OR(CustomMFPeriod=1,CustomMFPeriod=3))),IF(VolumeMonthlyOverFlag,INDEX(VolumeMonthlyOver,AE9),Volume),0))</f>
        <v>150</v>
      </c>
      <c r="BD9" s="1652" t="n">
        <f aca="false">SUM(AF9:AU9)</f>
        <v>2400</v>
      </c>
      <c r="BE9" s="1653" t="n">
        <f aca="false">SUM(AV9:BC9)</f>
        <v>1200</v>
      </c>
      <c r="BF9" s="1654" t="n">
        <f aca="false">BD9+BE9</f>
        <v>3600</v>
      </c>
      <c r="BG9" s="1655" t="n">
        <f aca="false">IF(BD9,SUMPRODUCT(AF9:AU9,F25:U25)/BD9,0)</f>
        <v>1</v>
      </c>
      <c r="BH9" s="1655" t="n">
        <f aca="false">IF(BE9,SUMPRODUCT(AV9:BC9,V25:AC25)/BE9,0)</f>
        <v>1</v>
      </c>
      <c r="BJ9" s="1636" t="n">
        <v>5</v>
      </c>
      <c r="BK9" s="1646" t="n">
        <f aca="false">IF(AND(WeekDef=8,CustomMFFlag,CustomMFPeriod=4),INDEX(IF(DiffOptVolumeFlag,DiffOptVolumeHourlyOver,VolumeHourlyOver),F9,1),IF(OR(WeekDef=1,WeekDef=2,WeekDef=4,WeekDef=6,AND(WeekDef=8,CustomMFFlag,OR(CustomMFPeriod=1,CustomMFPeriod=2))),IF(VolumeMonthlyOverFlag,INDEX(IF(DiffOptVolumeFlag,DiffOptVolumeMonthlyOver,VolumeMonthlyOver),BJ9),IF(DiffOptVolumeFlag,DiffOptVolume,Volume)),0))</f>
        <v>600</v>
      </c>
      <c r="BL9" s="1647" t="n">
        <f aca="false">IF(AND(WeekDef=8,CustomMFFlag,CustomMFPeriod=4),INDEX(IF(DiffOptVolumeFlag,DiffOptVolumeHourlyOver,VolumeHourlyOver),G9,1),IF(OR(WeekDef=1,WeekDef=2,WeekDef=4,WeekDef=6,AND(WeekDef=8,CustomMFFlag,OR(CustomMFPeriod=1,CustomMFPeriod=2))),IF(VolumeMonthlyOverFlag,INDEX(IF(DiffOptVolumeFlag,DiffOptVolumeMonthlyOver,VolumeMonthlyOver),BJ9),IF(DiffOptVolumeFlag,DiffOptVolume,Volume)),0))</f>
        <v>600</v>
      </c>
      <c r="BM9" s="1647" t="n">
        <f aca="false">IF(AND(WeekDef=8,CustomMFFlag,CustomMFPeriod=4),INDEX(IF(DiffOptVolumeFlag,DiffOptVolumeHourlyOver,VolumeHourlyOver),H9,1),IF(OR(WeekDef=1,WeekDef=2,WeekDef=4,WeekDef=6,AND(WeekDef=8,CustomMFFlag,OR(CustomMFPeriod=1,CustomMFPeriod=2))),IF(VolumeMonthlyOverFlag,INDEX(IF(DiffOptVolumeFlag,DiffOptVolumeMonthlyOver,VolumeMonthlyOver),BJ9),IF(DiffOptVolumeFlag,DiffOptVolume,Volume)),0))</f>
        <v>600</v>
      </c>
      <c r="BN9" s="1647" t="n">
        <f aca="false">IF(AND(WeekDef=8,CustomMFFlag,CustomMFPeriod=4),INDEX(IF(DiffOptVolumeFlag,DiffOptVolumeHourlyOver,VolumeHourlyOver),I9,1),IF(OR(WeekDef=1,WeekDef=2,WeekDef=4,WeekDef=6,AND(WeekDef=8,CustomMFFlag,OR(CustomMFPeriod=1,CustomMFPeriod=2))),IF(VolumeMonthlyOverFlag,INDEX(IF(DiffOptVolumeFlag,DiffOptVolumeMonthlyOver,VolumeMonthlyOver),BJ9),IF(DiffOptVolumeFlag,DiffOptVolume,Volume)),0))</f>
        <v>600</v>
      </c>
      <c r="BO9" s="1647" t="n">
        <f aca="false">IF(AND(WeekDef=8,CustomMFFlag,CustomMFPeriod=4),INDEX(IF(DiffOptVolumeFlag,DiffOptVolumeHourlyOver,VolumeHourlyOver),J9,1),IF(OR(WeekDef=1,WeekDef=2,WeekDef=4,WeekDef=6,AND(WeekDef=8,CustomMFFlag,OR(CustomMFPeriod=1,CustomMFPeriod=2))),IF(VolumeMonthlyOverFlag,INDEX(IF(DiffOptVolumeFlag,DiffOptVolumeMonthlyOver,VolumeMonthlyOver),BJ9),IF(DiffOptVolumeFlag,DiffOptVolume,Volume)),0))</f>
        <v>600</v>
      </c>
      <c r="BP9" s="1647" t="n">
        <f aca="false">IF(AND(WeekDef=8,CustomMFFlag,CustomMFPeriod=4),INDEX(IF(DiffOptVolumeFlag,DiffOptVolumeHourlyOver,VolumeHourlyOver),K9,1),IF(OR(WeekDef=1,WeekDef=2,WeekDef=4,WeekDef=6,AND(WeekDef=8,CustomMFFlag,OR(CustomMFPeriod=1,CustomMFPeriod=2))),IF(VolumeMonthlyOverFlag,INDEX(IF(DiffOptVolumeFlag,DiffOptVolumeMonthlyOver,VolumeMonthlyOver),BJ9),IF(DiffOptVolumeFlag,DiffOptVolume,Volume)),0))</f>
        <v>600</v>
      </c>
      <c r="BQ9" s="1647" t="n">
        <f aca="false">IF(AND(WeekDef=8,CustomMFFlag,CustomMFPeriod=4),INDEX(IF(DiffOptVolumeFlag,DiffOptVolumeHourlyOver,VolumeHourlyOver),L9,1),IF(OR(WeekDef=1,WeekDef=2,WeekDef=4,WeekDef=6,AND(WeekDef=8,CustomMFFlag,OR(CustomMFPeriod=1,CustomMFPeriod=2))),IF(VolumeMonthlyOverFlag,INDEX(IF(DiffOptVolumeFlag,DiffOptVolumeMonthlyOver,VolumeMonthlyOver),BJ9),IF(DiffOptVolumeFlag,DiffOptVolume,Volume)),0))</f>
        <v>600</v>
      </c>
      <c r="BR9" s="1647" t="n">
        <f aca="false">IF(AND(WeekDef=8,CustomMFFlag,CustomMFPeriod=4),INDEX(IF(DiffOptVolumeFlag,DiffOptVolumeHourlyOver,VolumeHourlyOver),M9,1),IF(OR(WeekDef=1,WeekDef=2,WeekDef=4,WeekDef=6,AND(WeekDef=8,CustomMFFlag,OR(CustomMFPeriod=1,CustomMFPeriod=2))),IF(VolumeMonthlyOverFlag,INDEX(IF(DiffOptVolumeFlag,DiffOptVolumeMonthlyOver,VolumeMonthlyOver),BJ9),IF(DiffOptVolumeFlag,DiffOptVolume,Volume)),0))</f>
        <v>600</v>
      </c>
      <c r="BS9" s="1647" t="n">
        <f aca="false">IF(AND(WeekDef=8,CustomMFFlag,CustomMFPeriod=4),INDEX(IF(DiffOptVolumeFlag,DiffOptVolumeHourlyOver,VolumeHourlyOver),N9,1),IF(OR(WeekDef=1,WeekDef=2,WeekDef=4,WeekDef=6,AND(WeekDef=8,CustomMFFlag,OR(CustomMFPeriod=1,CustomMFPeriod=2))),IF(VolumeMonthlyOverFlag,INDEX(IF(DiffOptVolumeFlag,DiffOptVolumeMonthlyOver,VolumeMonthlyOver),BJ9),IF(DiffOptVolumeFlag,DiffOptVolume,Volume)),0))</f>
        <v>600</v>
      </c>
      <c r="BT9" s="1647" t="n">
        <f aca="false">IF(AND(WeekDef=8,CustomMFFlag,CustomMFPeriod=4),INDEX(IF(DiffOptVolumeFlag,DiffOptVolumeHourlyOver,VolumeHourlyOver),O9,1),IF(OR(WeekDef=1,WeekDef=2,WeekDef=4,WeekDef=6,AND(WeekDef=8,CustomMFFlag,OR(CustomMFPeriod=1,CustomMFPeriod=2))),IF(VolumeMonthlyOverFlag,INDEX(IF(DiffOptVolumeFlag,DiffOptVolumeMonthlyOver,VolumeMonthlyOver),BJ9),IF(DiffOptVolumeFlag,DiffOptVolume,Volume)),0))</f>
        <v>600</v>
      </c>
      <c r="BU9" s="1647" t="n">
        <f aca="false">IF(AND(WeekDef=8,CustomMFFlag,CustomMFPeriod=4),INDEX(IF(DiffOptVolumeFlag,DiffOptVolumeHourlyOver,VolumeHourlyOver),P9,1),IF(OR(WeekDef=1,WeekDef=2,WeekDef=4,WeekDef=6,AND(WeekDef=8,CustomMFFlag,OR(CustomMFPeriod=1,CustomMFPeriod=2))),IF(VolumeMonthlyOverFlag,INDEX(IF(DiffOptVolumeFlag,DiffOptVolumeMonthlyOver,VolumeMonthlyOver),BJ9),IF(DiffOptVolumeFlag,DiffOptVolume,Volume)),0))</f>
        <v>600</v>
      </c>
      <c r="BV9" s="1647" t="n">
        <f aca="false">IF(AND(WeekDef=8,CustomMFFlag,CustomMFPeriod=4),INDEX(IF(DiffOptVolumeFlag,DiffOptVolumeHourlyOver,VolumeHourlyOver),Q9,1),IF(OR(WeekDef=1,WeekDef=2,WeekDef=4,WeekDef=6,AND(WeekDef=8,CustomMFFlag,OR(CustomMFPeriod=1,CustomMFPeriod=2))),IF(VolumeMonthlyOverFlag,INDEX(IF(DiffOptVolumeFlag,DiffOptVolumeMonthlyOver,VolumeMonthlyOver),BJ9),IF(DiffOptVolumeFlag,DiffOptVolume,Volume)),0))</f>
        <v>600</v>
      </c>
      <c r="BW9" s="1647" t="n">
        <f aca="false">IF(AND(WeekDef=8,CustomMFFlag,CustomMFPeriod=4),INDEX(IF(DiffOptVolumeFlag,DiffOptVolumeHourlyOver,VolumeHourlyOver),R9,1),IF(OR(WeekDef=1,WeekDef=2,WeekDef=4,WeekDef=6,AND(WeekDef=8,CustomMFFlag,OR(CustomMFPeriod=1,CustomMFPeriod=2))),IF(VolumeMonthlyOverFlag,INDEX(IF(DiffOptVolumeFlag,DiffOptVolumeMonthlyOver,VolumeMonthlyOver),BJ9),IF(DiffOptVolumeFlag,DiffOptVolume,Volume)),0))</f>
        <v>600</v>
      </c>
      <c r="BX9" s="1647" t="n">
        <f aca="false">IF(AND(WeekDef=8,CustomMFFlag,CustomMFPeriod=4),INDEX(IF(DiffOptVolumeFlag,DiffOptVolumeHourlyOver,VolumeHourlyOver),S9,1),IF(OR(WeekDef=1,WeekDef=2,WeekDef=4,WeekDef=6,AND(WeekDef=8,CustomMFFlag,OR(CustomMFPeriod=1,CustomMFPeriod=2))),IF(VolumeMonthlyOverFlag,INDEX(IF(DiffOptVolumeFlag,DiffOptVolumeMonthlyOver,VolumeMonthlyOver),BJ9),IF(DiffOptVolumeFlag,DiffOptVolume,Volume)),0))</f>
        <v>600</v>
      </c>
      <c r="BY9" s="1647" t="n">
        <f aca="false">IF(AND(WeekDef=8,CustomMFFlag,CustomMFPeriod=4),INDEX(IF(DiffOptVolumeFlag,DiffOptVolumeHourlyOver,VolumeHourlyOver),T9,1),IF(OR(WeekDef=1,WeekDef=2,WeekDef=4,WeekDef=6,AND(WeekDef=8,CustomMFFlag,OR(CustomMFPeriod=1,CustomMFPeriod=2))),IF(VolumeMonthlyOverFlag,INDEX(IF(DiffOptVolumeFlag,DiffOptVolumeMonthlyOver,VolumeMonthlyOver),BJ9),IF(DiffOptVolumeFlag,DiffOptVolume,Volume)),0))</f>
        <v>600</v>
      </c>
      <c r="BZ9" s="1648" t="n">
        <f aca="false">IF(AND(WeekDef=8,CustomMFFlag,CustomMFPeriod=4),INDEX(IF(DiffOptVolumeFlag,DiffOptVolumeHourlyOver,VolumeHourlyOver),U9,1),IF(OR(WeekDef=1,WeekDef=2,WeekDef=4,WeekDef=6,AND(WeekDef=8,CustomMFFlag,OR(CustomMFPeriod=1,CustomMFPeriod=2))),IF(VolumeMonthlyOverFlag,INDEX(IF(DiffOptVolumeFlag,DiffOptVolumeMonthlyOver,VolumeMonthlyOver),BJ9),IF(DiffOptVolumeFlag,DiffOptVolume,Volume)),0))</f>
        <v>600</v>
      </c>
      <c r="CA9" s="1647" t="n">
        <f aca="false">IF(AND(WeekDef=8,CustomMFFlag,CustomMFPeriod=4),INDEX(IF(DiffOptVolumeFlag,DiffOptVolumeHourlyOver,VolumeHourlyOver),V9,1),IF(OR(WeekDef=1,WeekDef=3,WeekDef=5,WeekDef=7,AND(WeekDef=8,CustomMFFlag,OR(CustomMFPeriod=1,CustomMFPeriod=3))),IF(VolumeMonthlyOverFlag,INDEX(IF(DiffOptVolumeFlag,DiffOptVolumeMonthlyOver,VolumeMonthlyOver),BJ9),IF(DiffOptVolumeFlag,DiffOptVolume,Volume)),0))</f>
        <v>600</v>
      </c>
      <c r="CB9" s="1647" t="n">
        <f aca="false">IF(AND(WeekDef=8,CustomMFFlag,CustomMFPeriod=4),INDEX(IF(DiffOptVolumeFlag,DiffOptVolumeHourlyOver,VolumeHourlyOver),W9,1),IF(OR(WeekDef=1,WeekDef=3,WeekDef=5,WeekDef=7,AND(WeekDef=8,CustomMFFlag,OR(CustomMFPeriod=1,CustomMFPeriod=3))),IF(VolumeMonthlyOverFlag,INDEX(IF(DiffOptVolumeFlag,DiffOptVolumeMonthlyOver,VolumeMonthlyOver),BJ9),IF(DiffOptVolumeFlag,DiffOptVolume,Volume)),0))</f>
        <v>600</v>
      </c>
      <c r="CC9" s="1647" t="n">
        <f aca="false">IF(AND(WeekDef=8,CustomMFFlag,CustomMFPeriod=4),INDEX(IF(DiffOptVolumeFlag,DiffOptVolumeHourlyOver,VolumeHourlyOver),X9,1),IF(OR(WeekDef=1,WeekDef=3,WeekDef=5,WeekDef=7,AND(WeekDef=8,CustomMFFlag,OR(CustomMFPeriod=1,CustomMFPeriod=3))),IF(VolumeMonthlyOverFlag,INDEX(IF(DiffOptVolumeFlag,DiffOptVolumeMonthlyOver,VolumeMonthlyOver),BJ9),IF(DiffOptVolumeFlag,DiffOptVolume,Volume)),0))</f>
        <v>600</v>
      </c>
      <c r="CD9" s="1647" t="n">
        <f aca="false">IF(AND(WeekDef=8,CustomMFFlag,CustomMFPeriod=4),INDEX(IF(DiffOptVolumeFlag,DiffOptVolumeHourlyOver,VolumeHourlyOver),Y9,1),IF(OR(WeekDef=1,WeekDef=3,WeekDef=5,WeekDef=7,AND(WeekDef=8,CustomMFFlag,OR(CustomMFPeriod=1,CustomMFPeriod=3))),IF(VolumeMonthlyOverFlag,INDEX(IF(DiffOptVolumeFlag,DiffOptVolumeMonthlyOver,VolumeMonthlyOver),BJ9),IF(DiffOptVolumeFlag,DiffOptVolume,Volume)),0))</f>
        <v>600</v>
      </c>
      <c r="CE9" s="1647" t="n">
        <f aca="false">IF(AND(WeekDef=8,CustomMFFlag,CustomMFPeriod=4),INDEX(IF(DiffOptVolumeFlag,DiffOptVolumeHourlyOver,VolumeHourlyOver),Z9,1),IF(OR(WeekDef=1,WeekDef=3,WeekDef=5,WeekDef=7,AND(WeekDef=8,CustomMFFlag,OR(CustomMFPeriod=1,CustomMFPeriod=3))),IF(VolumeMonthlyOverFlag,INDEX(IF(DiffOptVolumeFlag,DiffOptVolumeMonthlyOver,VolumeMonthlyOver),BJ9),IF(DiffOptVolumeFlag,DiffOptVolume,Volume)),0))</f>
        <v>600</v>
      </c>
      <c r="CF9" s="1647" t="n">
        <f aca="false">IF(AND(WeekDef=8,CustomMFFlag,CustomMFPeriod=4),INDEX(IF(DiffOptVolumeFlag,DiffOptVolumeHourlyOver,VolumeHourlyOver),AA9,1),IF(OR(WeekDef=1,WeekDef=3,WeekDef=5,WeekDef=7,AND(WeekDef=8,CustomMFFlag,OR(CustomMFPeriod=1,CustomMFPeriod=3))),IF(VolumeMonthlyOverFlag,INDEX(IF(DiffOptVolumeFlag,DiffOptVolumeMonthlyOver,VolumeMonthlyOver),BJ9),IF(DiffOptVolumeFlag,DiffOptVolume,Volume)),0))</f>
        <v>600</v>
      </c>
      <c r="CG9" s="1647" t="n">
        <f aca="false">IF(AND(WeekDef=8,CustomMFFlag,CustomMFPeriod=4),INDEX(IF(DiffOptVolumeFlag,DiffOptVolumeHourlyOver,VolumeHourlyOver),AB9,1),IF(OR(WeekDef=1,WeekDef=3,WeekDef=5,WeekDef=7,AND(WeekDef=8,CustomMFFlag,OR(CustomMFPeriod=1,CustomMFPeriod=3))),IF(VolumeMonthlyOverFlag,INDEX(IF(DiffOptVolumeFlag,DiffOptVolumeMonthlyOver,VolumeMonthlyOver),BJ9),IF(DiffOptVolumeFlag,DiffOptVolume,Volume)),0))</f>
        <v>600</v>
      </c>
      <c r="CH9" s="1648" t="n">
        <f aca="false">IF(AND(WeekDef=8,CustomMFFlag,CustomMFPeriod=4),INDEX(IF(DiffOptVolumeFlag,DiffOptVolumeHourlyOver,VolumeHourlyOver),AC9,1),IF(OR(WeekDef=1,WeekDef=3,WeekDef=5,WeekDef=7,AND(WeekDef=8,CustomMFFlag,OR(CustomMFPeriod=1,CustomMFPeriod=3))),IF(VolumeMonthlyOverFlag,INDEX(IF(DiffOptVolumeFlag,DiffOptVolumeMonthlyOver,VolumeMonthlyOver),BJ9),IF(DiffOptVolumeFlag,DiffOptVolume,Volume)),0))</f>
        <v>600</v>
      </c>
      <c r="CI9" s="1652" t="n">
        <f aca="false">SUM(BK9:BZ9)</f>
        <v>9600</v>
      </c>
      <c r="CJ9" s="1653" t="n">
        <f aca="false">SUM(CA9:CH9)</f>
        <v>4800</v>
      </c>
      <c r="CK9" s="1654" t="n">
        <f aca="false">CI9+CJ9</f>
        <v>14400</v>
      </c>
      <c r="CL9" s="1655" t="n">
        <f aca="false">IF(CI9,SUMPRODUCT(BK9:BZ9,F25:U25)/CI9,0)</f>
        <v>1</v>
      </c>
      <c r="CM9" s="1655" t="n">
        <f aca="false">IF(CJ9,SUMPRODUCT(CA9:CH9,V25:AC25)/CJ9,0)</f>
        <v>1</v>
      </c>
      <c r="CO9" s="1646" t="n">
        <v>5</v>
      </c>
      <c r="CP9" s="1659" t="n">
        <f aca="false">MAX(AF9:BC9,AF23:BC23,AF37:BC37,AF51:BC51)</f>
        <v>150</v>
      </c>
      <c r="CQ9" s="1660" t="n">
        <f aca="false">MAX(BK9:CH9,BK23:CH23,BK37:CH37,BK51:CH51)</f>
        <v>600</v>
      </c>
      <c r="DE9" s="1658"/>
    </row>
    <row r="10" customFormat="false" ht="12.75" hidden="false" customHeight="false" outlineLevel="0" collapsed="false">
      <c r="E10" s="1636" t="n">
        <v>6</v>
      </c>
      <c r="F10" s="1646" t="n">
        <v>16</v>
      </c>
      <c r="G10" s="1647" t="n">
        <v>15</v>
      </c>
      <c r="H10" s="1647" t="n">
        <v>14</v>
      </c>
      <c r="I10" s="1647" t="n">
        <v>17</v>
      </c>
      <c r="J10" s="1647" t="n">
        <v>13</v>
      </c>
      <c r="K10" s="1647" t="n">
        <v>12</v>
      </c>
      <c r="L10" s="1647" t="n">
        <v>11</v>
      </c>
      <c r="M10" s="1647" t="n">
        <v>18</v>
      </c>
      <c r="N10" s="1647" t="n">
        <v>21</v>
      </c>
      <c r="O10" s="1647" t="n">
        <v>19</v>
      </c>
      <c r="P10" s="1647" t="n">
        <v>10</v>
      </c>
      <c r="Q10" s="1647" t="n">
        <v>20</v>
      </c>
      <c r="R10" s="1647" t="n">
        <v>22</v>
      </c>
      <c r="S10" s="1647" t="n">
        <v>9</v>
      </c>
      <c r="T10" s="1647" t="n">
        <v>8</v>
      </c>
      <c r="U10" s="1648" t="n">
        <v>7</v>
      </c>
      <c r="V10" s="1647" t="n">
        <v>23</v>
      </c>
      <c r="W10" s="1647" t="n">
        <v>24</v>
      </c>
      <c r="X10" s="1647" t="n">
        <v>6</v>
      </c>
      <c r="Y10" s="1647" t="n">
        <v>1</v>
      </c>
      <c r="Z10" s="1647" t="n">
        <v>2</v>
      </c>
      <c r="AA10" s="1647" t="n">
        <v>5</v>
      </c>
      <c r="AB10" s="1647" t="n">
        <v>3</v>
      </c>
      <c r="AC10" s="1648" t="n">
        <v>4</v>
      </c>
      <c r="AD10" s="1621"/>
      <c r="AE10" s="1636" t="n">
        <v>6</v>
      </c>
      <c r="AF10" s="1646" t="n">
        <f aca="false">IF(AND(WeekDef=8,CustomMFFlag,CustomMFPeriod=4),INDEX(VolumeHourlyOver,F10,1),IF(OR(WeekDef=1,WeekDef=2,WeekDef=4,WeekDef=6,AND(WeekDef=8,CustomMFFlag,OR(CustomMFPeriod=1,CustomMFPeriod=2))),IF(VolumeMonthlyOverFlag,INDEX(VolumeMonthlyOver,AE10),Volume),0))</f>
        <v>150</v>
      </c>
      <c r="AG10" s="1647" t="n">
        <f aca="false">IF(AND(WeekDef=8,CustomMFFlag,CustomMFPeriod=4),INDEX(VolumeHourlyOver,G10,1),IF(OR(WeekDef=1,WeekDef=2,WeekDef=4,WeekDef=6,AND(WeekDef=8,CustomMFFlag,OR(CustomMFPeriod=1,CustomMFPeriod=2))),IF(VolumeMonthlyOverFlag,INDEX(VolumeMonthlyOver,AE10),Volume),0))</f>
        <v>150</v>
      </c>
      <c r="AH10" s="1647" t="n">
        <f aca="false">IF(AND(WeekDef=8,CustomMFFlag,CustomMFPeriod=4),INDEX(VolumeHourlyOver,H10,1),IF(OR(WeekDef=1,WeekDef=2,WeekDef=4,WeekDef=6,AND(WeekDef=8,CustomMFFlag,OR(CustomMFPeriod=1,CustomMFPeriod=2))),IF(VolumeMonthlyOverFlag,INDEX(VolumeMonthlyOver,AE10),Volume),0))</f>
        <v>150</v>
      </c>
      <c r="AI10" s="1647" t="n">
        <f aca="false">IF(AND(WeekDef=8,CustomMFFlag,CustomMFPeriod=4),INDEX(VolumeHourlyOver,I10,1),IF(OR(WeekDef=1,WeekDef=2,WeekDef=4,WeekDef=6,AND(WeekDef=8,CustomMFFlag,OR(CustomMFPeriod=1,CustomMFPeriod=2))),IF(VolumeMonthlyOverFlag,INDEX(VolumeMonthlyOver,AE10),Volume),0))</f>
        <v>150</v>
      </c>
      <c r="AJ10" s="1647" t="n">
        <f aca="false">IF(AND(WeekDef=8,CustomMFFlag,CustomMFPeriod=4),INDEX(VolumeHourlyOver,J10,1),IF(OR(WeekDef=1,WeekDef=2,WeekDef=4,WeekDef=6,AND(WeekDef=8,CustomMFFlag,OR(CustomMFPeriod=1,CustomMFPeriod=2))),IF(VolumeMonthlyOverFlag,INDEX(VolumeMonthlyOver,AE10),Volume),0))</f>
        <v>150</v>
      </c>
      <c r="AK10" s="1647" t="n">
        <f aca="false">IF(AND(WeekDef=8,CustomMFFlag,CustomMFPeriod=4),INDEX(VolumeHourlyOver,K10,1),IF(OR(WeekDef=1,WeekDef=2,WeekDef=4,WeekDef=6,AND(WeekDef=8,CustomMFFlag,OR(CustomMFPeriod=1,CustomMFPeriod=2))),IF(VolumeMonthlyOverFlag,INDEX(VolumeMonthlyOver,AE10),Volume),0))</f>
        <v>150</v>
      </c>
      <c r="AL10" s="1647" t="n">
        <f aca="false">IF(AND(WeekDef=8,CustomMFFlag,CustomMFPeriod=4),INDEX(VolumeHourlyOver,L10,1),IF(OR(WeekDef=1,WeekDef=2,WeekDef=4,WeekDef=6,AND(WeekDef=8,CustomMFFlag,OR(CustomMFPeriod=1,CustomMFPeriod=2))),IF(VolumeMonthlyOverFlag,INDEX(VolumeMonthlyOver,AE10),Volume),0))</f>
        <v>150</v>
      </c>
      <c r="AM10" s="1647" t="n">
        <f aca="false">IF(AND(WeekDef=8,CustomMFFlag,CustomMFPeriod=4),INDEX(VolumeHourlyOver,M10,1),IF(OR(WeekDef=1,WeekDef=2,WeekDef=4,WeekDef=6,AND(WeekDef=8,CustomMFFlag,OR(CustomMFPeriod=1,CustomMFPeriod=2))),IF(VolumeMonthlyOverFlag,INDEX(VolumeMonthlyOver,AE10),Volume),0))</f>
        <v>150</v>
      </c>
      <c r="AN10" s="1647" t="n">
        <f aca="false">IF(AND(WeekDef=8,CustomMFFlag,CustomMFPeriod=4),INDEX(VolumeHourlyOver,N10,1),IF(OR(WeekDef=1,WeekDef=2,WeekDef=4,WeekDef=6,AND(WeekDef=8,CustomMFFlag,OR(CustomMFPeriod=1,CustomMFPeriod=2))),IF(VolumeMonthlyOverFlag,INDEX(VolumeMonthlyOver,AE10),Volume),0))</f>
        <v>150</v>
      </c>
      <c r="AO10" s="1647" t="n">
        <f aca="false">IF(AND(WeekDef=8,CustomMFFlag,CustomMFPeriod=4),INDEX(VolumeHourlyOver,O10,1),IF(OR(WeekDef=1,WeekDef=2,WeekDef=4,WeekDef=6,AND(WeekDef=8,CustomMFFlag,OR(CustomMFPeriod=1,CustomMFPeriod=2))),IF(VolumeMonthlyOverFlag,INDEX(VolumeMonthlyOver,AE10),Volume),0))</f>
        <v>150</v>
      </c>
      <c r="AP10" s="1647" t="n">
        <f aca="false">IF(AND(WeekDef=8,CustomMFFlag,CustomMFPeriod=4),INDEX(VolumeHourlyOver,P10,1),IF(OR(WeekDef=1,WeekDef=2,WeekDef=4,WeekDef=6,AND(WeekDef=8,CustomMFFlag,OR(CustomMFPeriod=1,CustomMFPeriod=2))),IF(VolumeMonthlyOverFlag,INDEX(VolumeMonthlyOver,AE10),Volume),0))</f>
        <v>150</v>
      </c>
      <c r="AQ10" s="1647" t="n">
        <f aca="false">IF(AND(WeekDef=8,CustomMFFlag,CustomMFPeriod=4),INDEX(VolumeHourlyOver,Q10,1),IF(OR(WeekDef=1,WeekDef=2,WeekDef=4,WeekDef=6,AND(WeekDef=8,CustomMFFlag,OR(CustomMFPeriod=1,CustomMFPeriod=2))),IF(VolumeMonthlyOverFlag,INDEX(VolumeMonthlyOver,AE10),Volume),0))</f>
        <v>150</v>
      </c>
      <c r="AR10" s="1647" t="n">
        <f aca="false">IF(AND(WeekDef=8,CustomMFFlag,CustomMFPeriod=4),INDEX(VolumeHourlyOver,R10,1),IF(OR(WeekDef=1,WeekDef=2,WeekDef=4,WeekDef=6,AND(WeekDef=8,CustomMFFlag,OR(CustomMFPeriod=1,CustomMFPeriod=2))),IF(VolumeMonthlyOverFlag,INDEX(VolumeMonthlyOver,AE10),Volume),0))</f>
        <v>150</v>
      </c>
      <c r="AS10" s="1647" t="n">
        <f aca="false">IF(AND(WeekDef=8,CustomMFFlag,CustomMFPeriod=4),INDEX(VolumeHourlyOver,S10,1),IF(OR(WeekDef=1,WeekDef=2,WeekDef=4,WeekDef=6,AND(WeekDef=8,CustomMFFlag,OR(CustomMFPeriod=1,CustomMFPeriod=2))),IF(VolumeMonthlyOverFlag,INDEX(VolumeMonthlyOver,AE10),Volume),0))</f>
        <v>150</v>
      </c>
      <c r="AT10" s="1647" t="n">
        <f aca="false">IF(AND(WeekDef=8,CustomMFFlag,CustomMFPeriod=4),INDEX(VolumeHourlyOver,T10,1),IF(OR(WeekDef=1,WeekDef=2,WeekDef=4,WeekDef=6,AND(WeekDef=8,CustomMFFlag,OR(CustomMFPeriod=1,CustomMFPeriod=2))),IF(VolumeMonthlyOverFlag,INDEX(VolumeMonthlyOver,AE10),Volume),0))</f>
        <v>150</v>
      </c>
      <c r="AU10" s="1648" t="n">
        <f aca="false">IF(AND(WeekDef=8,CustomMFFlag,CustomMFPeriod=4),INDEX(VolumeHourlyOver,U10,1),IF(OR(WeekDef=1,WeekDef=2,WeekDef=4,WeekDef=6,AND(WeekDef=8,CustomMFFlag,OR(CustomMFPeriod=1,CustomMFPeriod=2))),IF(VolumeMonthlyOverFlag,INDEX(VolumeMonthlyOver,AE10),Volume),0))</f>
        <v>150</v>
      </c>
      <c r="AV10" s="1647" t="n">
        <f aca="false">IF(AND(WeekDef=8,CustomMFFlag,CustomMFPeriod=4),INDEX(VolumeHourlyOver,V10,1),IF(OR(WeekDef=1,WeekDef=3,WeekDef=5,WeekDef=7,AND(WeekDef=8,CustomMFFlag,OR(CustomMFPeriod=1,CustomMFPeriod=3))),IF(VolumeMonthlyOverFlag,INDEX(VolumeMonthlyOver,AE10),Volume),0))</f>
        <v>150</v>
      </c>
      <c r="AW10" s="1647" t="n">
        <f aca="false">IF(AND(WeekDef=8,CustomMFFlag,CustomMFPeriod=4),INDEX(VolumeHourlyOver,W10,1),IF(OR(WeekDef=1,WeekDef=3,WeekDef=5,WeekDef=7,AND(WeekDef=8,CustomMFFlag,OR(CustomMFPeriod=1,CustomMFPeriod=3))),IF(VolumeMonthlyOverFlag,INDEX(VolumeMonthlyOver,AE10),Volume),0))</f>
        <v>150</v>
      </c>
      <c r="AX10" s="1647" t="n">
        <f aca="false">IF(AND(WeekDef=8,CustomMFFlag,CustomMFPeriod=4),INDEX(VolumeHourlyOver,X10,1),IF(OR(WeekDef=1,WeekDef=3,WeekDef=5,WeekDef=7,AND(WeekDef=8,CustomMFFlag,OR(CustomMFPeriod=1,CustomMFPeriod=3))),IF(VolumeMonthlyOverFlag,INDEX(VolumeMonthlyOver,AE10),Volume),0))</f>
        <v>150</v>
      </c>
      <c r="AY10" s="1647" t="n">
        <f aca="false">IF(AND(WeekDef=8,CustomMFFlag,CustomMFPeriod=4),INDEX(VolumeHourlyOver,Y10,1),IF(OR(WeekDef=1,WeekDef=3,WeekDef=5,WeekDef=7,AND(WeekDef=8,CustomMFFlag,OR(CustomMFPeriod=1,CustomMFPeriod=3))),IF(VolumeMonthlyOverFlag,INDEX(VolumeMonthlyOver,AE10),Volume),0))</f>
        <v>150</v>
      </c>
      <c r="AZ10" s="1647" t="n">
        <f aca="false">IF(AND(WeekDef=8,CustomMFFlag,CustomMFPeriod=4),INDEX(VolumeHourlyOver,Z10,1),IF(OR(WeekDef=1,WeekDef=3,WeekDef=5,WeekDef=7,AND(WeekDef=8,CustomMFFlag,OR(CustomMFPeriod=1,CustomMFPeriod=3))),IF(VolumeMonthlyOverFlag,INDEX(VolumeMonthlyOver,AE10),Volume),0))</f>
        <v>150</v>
      </c>
      <c r="BA10" s="1647" t="n">
        <f aca="false">IF(AND(WeekDef=8,CustomMFFlag,CustomMFPeriod=4),INDEX(VolumeHourlyOver,AA10,1),IF(OR(WeekDef=1,WeekDef=3,WeekDef=5,WeekDef=7,AND(WeekDef=8,CustomMFFlag,OR(CustomMFPeriod=1,CustomMFPeriod=3))),IF(VolumeMonthlyOverFlag,INDEX(VolumeMonthlyOver,AE10),Volume),0))</f>
        <v>150</v>
      </c>
      <c r="BB10" s="1647" t="n">
        <f aca="false">IF(AND(WeekDef=8,CustomMFFlag,CustomMFPeriod=4),INDEX(VolumeHourlyOver,AB10,1),IF(OR(WeekDef=1,WeekDef=3,WeekDef=5,WeekDef=7,AND(WeekDef=8,CustomMFFlag,OR(CustomMFPeriod=1,CustomMFPeriod=3))),IF(VolumeMonthlyOverFlag,INDEX(VolumeMonthlyOver,AE10),Volume),0))</f>
        <v>150</v>
      </c>
      <c r="BC10" s="1648" t="n">
        <f aca="false">IF(AND(WeekDef=8,CustomMFFlag,CustomMFPeriod=4),INDEX(VolumeHourlyOver,AC10,1),IF(OR(WeekDef=1,WeekDef=3,WeekDef=5,WeekDef=7,AND(WeekDef=8,CustomMFFlag,OR(CustomMFPeriod=1,CustomMFPeriod=3))),IF(VolumeMonthlyOverFlag,INDEX(VolumeMonthlyOver,AE10),Volume),0))</f>
        <v>150</v>
      </c>
      <c r="BD10" s="1652" t="n">
        <f aca="false">SUM(AF10:AU10)</f>
        <v>2400</v>
      </c>
      <c r="BE10" s="1653" t="n">
        <f aca="false">SUM(AV10:BC10)</f>
        <v>1200</v>
      </c>
      <c r="BF10" s="1654" t="n">
        <f aca="false">BD10+BE10</f>
        <v>3600</v>
      </c>
      <c r="BG10" s="1655" t="n">
        <f aca="false">IF(BD10,SUMPRODUCT(AF10:AU10,F26:U26)/BD10,0)</f>
        <v>1.00000000745058</v>
      </c>
      <c r="BH10" s="1655" t="n">
        <f aca="false">IF(BE10,SUMPRODUCT(AV10:BC10,V26:AC26)/BE10,0)</f>
        <v>1.00000000745058</v>
      </c>
      <c r="BJ10" s="1636" t="n">
        <v>6</v>
      </c>
      <c r="BK10" s="1646" t="n">
        <f aca="false">IF(AND(WeekDef=8,CustomMFFlag,CustomMFPeriod=4),INDEX(IF(DiffOptVolumeFlag,DiffOptVolumeHourlyOver,VolumeHourlyOver),F10,1),IF(OR(WeekDef=1,WeekDef=2,WeekDef=4,WeekDef=6,AND(WeekDef=8,CustomMFFlag,OR(CustomMFPeriod=1,CustomMFPeriod=2))),IF(VolumeMonthlyOverFlag,INDEX(IF(DiffOptVolumeFlag,DiffOptVolumeMonthlyOver,VolumeMonthlyOver),BJ10),IF(DiffOptVolumeFlag,DiffOptVolume,Volume)),0))</f>
        <v>600</v>
      </c>
      <c r="BL10" s="1647" t="n">
        <f aca="false">IF(AND(WeekDef=8,CustomMFFlag,CustomMFPeriod=4),INDEX(IF(DiffOptVolumeFlag,DiffOptVolumeHourlyOver,VolumeHourlyOver),G10,1),IF(OR(WeekDef=1,WeekDef=2,WeekDef=4,WeekDef=6,AND(WeekDef=8,CustomMFFlag,OR(CustomMFPeriod=1,CustomMFPeriod=2))),IF(VolumeMonthlyOverFlag,INDEX(IF(DiffOptVolumeFlag,DiffOptVolumeMonthlyOver,VolumeMonthlyOver),BJ10),IF(DiffOptVolumeFlag,DiffOptVolume,Volume)),0))</f>
        <v>600</v>
      </c>
      <c r="BM10" s="1647" t="n">
        <f aca="false">IF(AND(WeekDef=8,CustomMFFlag,CustomMFPeriod=4),INDEX(IF(DiffOptVolumeFlag,DiffOptVolumeHourlyOver,VolumeHourlyOver),H10,1),IF(OR(WeekDef=1,WeekDef=2,WeekDef=4,WeekDef=6,AND(WeekDef=8,CustomMFFlag,OR(CustomMFPeriod=1,CustomMFPeriod=2))),IF(VolumeMonthlyOverFlag,INDEX(IF(DiffOptVolumeFlag,DiffOptVolumeMonthlyOver,VolumeMonthlyOver),BJ10),IF(DiffOptVolumeFlag,DiffOptVolume,Volume)),0))</f>
        <v>600</v>
      </c>
      <c r="BN10" s="1647" t="n">
        <f aca="false">IF(AND(WeekDef=8,CustomMFFlag,CustomMFPeriod=4),INDEX(IF(DiffOptVolumeFlag,DiffOptVolumeHourlyOver,VolumeHourlyOver),I10,1),IF(OR(WeekDef=1,WeekDef=2,WeekDef=4,WeekDef=6,AND(WeekDef=8,CustomMFFlag,OR(CustomMFPeriod=1,CustomMFPeriod=2))),IF(VolumeMonthlyOverFlag,INDEX(IF(DiffOptVolumeFlag,DiffOptVolumeMonthlyOver,VolumeMonthlyOver),BJ10),IF(DiffOptVolumeFlag,DiffOptVolume,Volume)),0))</f>
        <v>600</v>
      </c>
      <c r="BO10" s="1647" t="n">
        <f aca="false">IF(AND(WeekDef=8,CustomMFFlag,CustomMFPeriod=4),INDEX(IF(DiffOptVolumeFlag,DiffOptVolumeHourlyOver,VolumeHourlyOver),J10,1),IF(OR(WeekDef=1,WeekDef=2,WeekDef=4,WeekDef=6,AND(WeekDef=8,CustomMFFlag,OR(CustomMFPeriod=1,CustomMFPeriod=2))),IF(VolumeMonthlyOverFlag,INDEX(IF(DiffOptVolumeFlag,DiffOptVolumeMonthlyOver,VolumeMonthlyOver),BJ10),IF(DiffOptVolumeFlag,DiffOptVolume,Volume)),0))</f>
        <v>600</v>
      </c>
      <c r="BP10" s="1647" t="n">
        <f aca="false">IF(AND(WeekDef=8,CustomMFFlag,CustomMFPeriod=4),INDEX(IF(DiffOptVolumeFlag,DiffOptVolumeHourlyOver,VolumeHourlyOver),K10,1),IF(OR(WeekDef=1,WeekDef=2,WeekDef=4,WeekDef=6,AND(WeekDef=8,CustomMFFlag,OR(CustomMFPeriod=1,CustomMFPeriod=2))),IF(VolumeMonthlyOverFlag,INDEX(IF(DiffOptVolumeFlag,DiffOptVolumeMonthlyOver,VolumeMonthlyOver),BJ10),IF(DiffOptVolumeFlag,DiffOptVolume,Volume)),0))</f>
        <v>600</v>
      </c>
      <c r="BQ10" s="1647" t="n">
        <f aca="false">IF(AND(WeekDef=8,CustomMFFlag,CustomMFPeriod=4),INDEX(IF(DiffOptVolumeFlag,DiffOptVolumeHourlyOver,VolumeHourlyOver),L10,1),IF(OR(WeekDef=1,WeekDef=2,WeekDef=4,WeekDef=6,AND(WeekDef=8,CustomMFFlag,OR(CustomMFPeriod=1,CustomMFPeriod=2))),IF(VolumeMonthlyOverFlag,INDEX(IF(DiffOptVolumeFlag,DiffOptVolumeMonthlyOver,VolumeMonthlyOver),BJ10),IF(DiffOptVolumeFlag,DiffOptVolume,Volume)),0))</f>
        <v>600</v>
      </c>
      <c r="BR10" s="1647" t="n">
        <f aca="false">IF(AND(WeekDef=8,CustomMFFlag,CustomMFPeriod=4),INDEX(IF(DiffOptVolumeFlag,DiffOptVolumeHourlyOver,VolumeHourlyOver),M10,1),IF(OR(WeekDef=1,WeekDef=2,WeekDef=4,WeekDef=6,AND(WeekDef=8,CustomMFFlag,OR(CustomMFPeriod=1,CustomMFPeriod=2))),IF(VolumeMonthlyOverFlag,INDEX(IF(DiffOptVolumeFlag,DiffOptVolumeMonthlyOver,VolumeMonthlyOver),BJ10),IF(DiffOptVolumeFlag,DiffOptVolume,Volume)),0))</f>
        <v>600</v>
      </c>
      <c r="BS10" s="1647" t="n">
        <f aca="false">IF(AND(WeekDef=8,CustomMFFlag,CustomMFPeriod=4),INDEX(IF(DiffOptVolumeFlag,DiffOptVolumeHourlyOver,VolumeHourlyOver),N10,1),IF(OR(WeekDef=1,WeekDef=2,WeekDef=4,WeekDef=6,AND(WeekDef=8,CustomMFFlag,OR(CustomMFPeriod=1,CustomMFPeriod=2))),IF(VolumeMonthlyOverFlag,INDEX(IF(DiffOptVolumeFlag,DiffOptVolumeMonthlyOver,VolumeMonthlyOver),BJ10),IF(DiffOptVolumeFlag,DiffOptVolume,Volume)),0))</f>
        <v>600</v>
      </c>
      <c r="BT10" s="1647" t="n">
        <f aca="false">IF(AND(WeekDef=8,CustomMFFlag,CustomMFPeriod=4),INDEX(IF(DiffOptVolumeFlag,DiffOptVolumeHourlyOver,VolumeHourlyOver),O10,1),IF(OR(WeekDef=1,WeekDef=2,WeekDef=4,WeekDef=6,AND(WeekDef=8,CustomMFFlag,OR(CustomMFPeriod=1,CustomMFPeriod=2))),IF(VolumeMonthlyOverFlag,INDEX(IF(DiffOptVolumeFlag,DiffOptVolumeMonthlyOver,VolumeMonthlyOver),BJ10),IF(DiffOptVolumeFlag,DiffOptVolume,Volume)),0))</f>
        <v>600</v>
      </c>
      <c r="BU10" s="1647" t="n">
        <f aca="false">IF(AND(WeekDef=8,CustomMFFlag,CustomMFPeriod=4),INDEX(IF(DiffOptVolumeFlag,DiffOptVolumeHourlyOver,VolumeHourlyOver),P10,1),IF(OR(WeekDef=1,WeekDef=2,WeekDef=4,WeekDef=6,AND(WeekDef=8,CustomMFFlag,OR(CustomMFPeriod=1,CustomMFPeriod=2))),IF(VolumeMonthlyOverFlag,INDEX(IF(DiffOptVolumeFlag,DiffOptVolumeMonthlyOver,VolumeMonthlyOver),BJ10),IF(DiffOptVolumeFlag,DiffOptVolume,Volume)),0))</f>
        <v>600</v>
      </c>
      <c r="BV10" s="1647" t="n">
        <f aca="false">IF(AND(WeekDef=8,CustomMFFlag,CustomMFPeriod=4),INDEX(IF(DiffOptVolumeFlag,DiffOptVolumeHourlyOver,VolumeHourlyOver),Q10,1),IF(OR(WeekDef=1,WeekDef=2,WeekDef=4,WeekDef=6,AND(WeekDef=8,CustomMFFlag,OR(CustomMFPeriod=1,CustomMFPeriod=2))),IF(VolumeMonthlyOverFlag,INDEX(IF(DiffOptVolumeFlag,DiffOptVolumeMonthlyOver,VolumeMonthlyOver),BJ10),IF(DiffOptVolumeFlag,DiffOptVolume,Volume)),0))</f>
        <v>600</v>
      </c>
      <c r="BW10" s="1647" t="n">
        <f aca="false">IF(AND(WeekDef=8,CustomMFFlag,CustomMFPeriod=4),INDEX(IF(DiffOptVolumeFlag,DiffOptVolumeHourlyOver,VolumeHourlyOver),R10,1),IF(OR(WeekDef=1,WeekDef=2,WeekDef=4,WeekDef=6,AND(WeekDef=8,CustomMFFlag,OR(CustomMFPeriod=1,CustomMFPeriod=2))),IF(VolumeMonthlyOverFlag,INDEX(IF(DiffOptVolumeFlag,DiffOptVolumeMonthlyOver,VolumeMonthlyOver),BJ10),IF(DiffOptVolumeFlag,DiffOptVolume,Volume)),0))</f>
        <v>600</v>
      </c>
      <c r="BX10" s="1647" t="n">
        <f aca="false">IF(AND(WeekDef=8,CustomMFFlag,CustomMFPeriod=4),INDEX(IF(DiffOptVolumeFlag,DiffOptVolumeHourlyOver,VolumeHourlyOver),S10,1),IF(OR(WeekDef=1,WeekDef=2,WeekDef=4,WeekDef=6,AND(WeekDef=8,CustomMFFlag,OR(CustomMFPeriod=1,CustomMFPeriod=2))),IF(VolumeMonthlyOverFlag,INDEX(IF(DiffOptVolumeFlag,DiffOptVolumeMonthlyOver,VolumeMonthlyOver),BJ10),IF(DiffOptVolumeFlag,DiffOptVolume,Volume)),0))</f>
        <v>600</v>
      </c>
      <c r="BY10" s="1647" t="n">
        <f aca="false">IF(AND(WeekDef=8,CustomMFFlag,CustomMFPeriod=4),INDEX(IF(DiffOptVolumeFlag,DiffOptVolumeHourlyOver,VolumeHourlyOver),T10,1),IF(OR(WeekDef=1,WeekDef=2,WeekDef=4,WeekDef=6,AND(WeekDef=8,CustomMFFlag,OR(CustomMFPeriod=1,CustomMFPeriod=2))),IF(VolumeMonthlyOverFlag,INDEX(IF(DiffOptVolumeFlag,DiffOptVolumeMonthlyOver,VolumeMonthlyOver),BJ10),IF(DiffOptVolumeFlag,DiffOptVolume,Volume)),0))</f>
        <v>600</v>
      </c>
      <c r="BZ10" s="1648" t="n">
        <f aca="false">IF(AND(WeekDef=8,CustomMFFlag,CustomMFPeriod=4),INDEX(IF(DiffOptVolumeFlag,DiffOptVolumeHourlyOver,VolumeHourlyOver),U10,1),IF(OR(WeekDef=1,WeekDef=2,WeekDef=4,WeekDef=6,AND(WeekDef=8,CustomMFFlag,OR(CustomMFPeriod=1,CustomMFPeriod=2))),IF(VolumeMonthlyOverFlag,INDEX(IF(DiffOptVolumeFlag,DiffOptVolumeMonthlyOver,VolumeMonthlyOver),BJ10),IF(DiffOptVolumeFlag,DiffOptVolume,Volume)),0))</f>
        <v>600</v>
      </c>
      <c r="CA10" s="1647" t="n">
        <f aca="false">IF(AND(WeekDef=8,CustomMFFlag,CustomMFPeriod=4),INDEX(IF(DiffOptVolumeFlag,DiffOptVolumeHourlyOver,VolumeHourlyOver),V10,1),IF(OR(WeekDef=1,WeekDef=3,WeekDef=5,WeekDef=7,AND(WeekDef=8,CustomMFFlag,OR(CustomMFPeriod=1,CustomMFPeriod=3))),IF(VolumeMonthlyOverFlag,INDEX(IF(DiffOptVolumeFlag,DiffOptVolumeMonthlyOver,VolumeMonthlyOver),BJ10),IF(DiffOptVolumeFlag,DiffOptVolume,Volume)),0))</f>
        <v>600</v>
      </c>
      <c r="CB10" s="1647" t="n">
        <f aca="false">IF(AND(WeekDef=8,CustomMFFlag,CustomMFPeriod=4),INDEX(IF(DiffOptVolumeFlag,DiffOptVolumeHourlyOver,VolumeHourlyOver),W10,1),IF(OR(WeekDef=1,WeekDef=3,WeekDef=5,WeekDef=7,AND(WeekDef=8,CustomMFFlag,OR(CustomMFPeriod=1,CustomMFPeriod=3))),IF(VolumeMonthlyOverFlag,INDEX(IF(DiffOptVolumeFlag,DiffOptVolumeMonthlyOver,VolumeMonthlyOver),BJ10),IF(DiffOptVolumeFlag,DiffOptVolume,Volume)),0))</f>
        <v>600</v>
      </c>
      <c r="CC10" s="1647" t="n">
        <f aca="false">IF(AND(WeekDef=8,CustomMFFlag,CustomMFPeriod=4),INDEX(IF(DiffOptVolumeFlag,DiffOptVolumeHourlyOver,VolumeHourlyOver),X10,1),IF(OR(WeekDef=1,WeekDef=3,WeekDef=5,WeekDef=7,AND(WeekDef=8,CustomMFFlag,OR(CustomMFPeriod=1,CustomMFPeriod=3))),IF(VolumeMonthlyOverFlag,INDEX(IF(DiffOptVolumeFlag,DiffOptVolumeMonthlyOver,VolumeMonthlyOver),BJ10),IF(DiffOptVolumeFlag,DiffOptVolume,Volume)),0))</f>
        <v>600</v>
      </c>
      <c r="CD10" s="1647" t="n">
        <f aca="false">IF(AND(WeekDef=8,CustomMFFlag,CustomMFPeriod=4),INDEX(IF(DiffOptVolumeFlag,DiffOptVolumeHourlyOver,VolumeHourlyOver),Y10,1),IF(OR(WeekDef=1,WeekDef=3,WeekDef=5,WeekDef=7,AND(WeekDef=8,CustomMFFlag,OR(CustomMFPeriod=1,CustomMFPeriod=3))),IF(VolumeMonthlyOverFlag,INDEX(IF(DiffOptVolumeFlag,DiffOptVolumeMonthlyOver,VolumeMonthlyOver),BJ10),IF(DiffOptVolumeFlag,DiffOptVolume,Volume)),0))</f>
        <v>600</v>
      </c>
      <c r="CE10" s="1647" t="n">
        <f aca="false">IF(AND(WeekDef=8,CustomMFFlag,CustomMFPeriod=4),INDEX(IF(DiffOptVolumeFlag,DiffOptVolumeHourlyOver,VolumeHourlyOver),Z10,1),IF(OR(WeekDef=1,WeekDef=3,WeekDef=5,WeekDef=7,AND(WeekDef=8,CustomMFFlag,OR(CustomMFPeriod=1,CustomMFPeriod=3))),IF(VolumeMonthlyOverFlag,INDEX(IF(DiffOptVolumeFlag,DiffOptVolumeMonthlyOver,VolumeMonthlyOver),BJ10),IF(DiffOptVolumeFlag,DiffOptVolume,Volume)),0))</f>
        <v>600</v>
      </c>
      <c r="CF10" s="1647" t="n">
        <f aca="false">IF(AND(WeekDef=8,CustomMFFlag,CustomMFPeriod=4),INDEX(IF(DiffOptVolumeFlag,DiffOptVolumeHourlyOver,VolumeHourlyOver),AA10,1),IF(OR(WeekDef=1,WeekDef=3,WeekDef=5,WeekDef=7,AND(WeekDef=8,CustomMFFlag,OR(CustomMFPeriod=1,CustomMFPeriod=3))),IF(VolumeMonthlyOverFlag,INDEX(IF(DiffOptVolumeFlag,DiffOptVolumeMonthlyOver,VolumeMonthlyOver),BJ10),IF(DiffOptVolumeFlag,DiffOptVolume,Volume)),0))</f>
        <v>600</v>
      </c>
      <c r="CG10" s="1647" t="n">
        <f aca="false">IF(AND(WeekDef=8,CustomMFFlag,CustomMFPeriod=4),INDEX(IF(DiffOptVolumeFlag,DiffOptVolumeHourlyOver,VolumeHourlyOver),AB10,1),IF(OR(WeekDef=1,WeekDef=3,WeekDef=5,WeekDef=7,AND(WeekDef=8,CustomMFFlag,OR(CustomMFPeriod=1,CustomMFPeriod=3))),IF(VolumeMonthlyOverFlag,INDEX(IF(DiffOptVolumeFlag,DiffOptVolumeMonthlyOver,VolumeMonthlyOver),BJ10),IF(DiffOptVolumeFlag,DiffOptVolume,Volume)),0))</f>
        <v>600</v>
      </c>
      <c r="CH10" s="1648" t="n">
        <f aca="false">IF(AND(WeekDef=8,CustomMFFlag,CustomMFPeriod=4),INDEX(IF(DiffOptVolumeFlag,DiffOptVolumeHourlyOver,VolumeHourlyOver),AC10,1),IF(OR(WeekDef=1,WeekDef=3,WeekDef=5,WeekDef=7,AND(WeekDef=8,CustomMFFlag,OR(CustomMFPeriod=1,CustomMFPeriod=3))),IF(VolumeMonthlyOverFlag,INDEX(IF(DiffOptVolumeFlag,DiffOptVolumeMonthlyOver,VolumeMonthlyOver),BJ10),IF(DiffOptVolumeFlag,DiffOptVolume,Volume)),0))</f>
        <v>600</v>
      </c>
      <c r="CI10" s="1652" t="n">
        <f aca="false">SUM(BK10:BZ10)</f>
        <v>9600</v>
      </c>
      <c r="CJ10" s="1653" t="n">
        <f aca="false">SUM(CA10:CH10)</f>
        <v>4800</v>
      </c>
      <c r="CK10" s="1654" t="n">
        <f aca="false">CI10+CJ10</f>
        <v>14400</v>
      </c>
      <c r="CL10" s="1655" t="n">
        <f aca="false">IF(CI10,SUMPRODUCT(BK10:BZ10,F26:U26)/CI10,0)</f>
        <v>1.00000000745058</v>
      </c>
      <c r="CM10" s="1655" t="n">
        <f aca="false">IF(CJ10,SUMPRODUCT(CA10:CH10,V26:AC26)/CJ10,0)</f>
        <v>1.00000000745058</v>
      </c>
      <c r="CO10" s="1646" t="n">
        <v>6</v>
      </c>
      <c r="CP10" s="1659" t="n">
        <f aca="false">MAX(AF10:BC10,AF24:BC24,AF38:BC38,AF52:BC52)</f>
        <v>150</v>
      </c>
      <c r="CQ10" s="1660" t="n">
        <f aca="false">MAX(BK10:CH10,BK24:CH24,BK38:CH38,BK52:CH52)</f>
        <v>600</v>
      </c>
      <c r="DE10" s="1658"/>
    </row>
    <row r="11" customFormat="false" ht="12.75" hidden="false" customHeight="false" outlineLevel="0" collapsed="false">
      <c r="E11" s="1636" t="n">
        <v>7</v>
      </c>
      <c r="F11" s="1646" t="n">
        <v>16</v>
      </c>
      <c r="G11" s="1647" t="n">
        <v>17</v>
      </c>
      <c r="H11" s="1647" t="n">
        <v>15</v>
      </c>
      <c r="I11" s="1647" t="n">
        <v>18</v>
      </c>
      <c r="J11" s="1647" t="n">
        <v>14</v>
      </c>
      <c r="K11" s="1647" t="n">
        <v>13</v>
      </c>
      <c r="L11" s="1647" t="n">
        <v>19</v>
      </c>
      <c r="M11" s="1647" t="n">
        <v>20</v>
      </c>
      <c r="N11" s="1647" t="n">
        <v>21</v>
      </c>
      <c r="O11" s="1647" t="n">
        <v>12</v>
      </c>
      <c r="P11" s="1647" t="n">
        <v>11</v>
      </c>
      <c r="Q11" s="1647" t="n">
        <v>10</v>
      </c>
      <c r="R11" s="1647" t="n">
        <v>22</v>
      </c>
      <c r="S11" s="1647" t="n">
        <v>9</v>
      </c>
      <c r="T11" s="1647" t="n">
        <v>8</v>
      </c>
      <c r="U11" s="1648" t="n">
        <v>7</v>
      </c>
      <c r="V11" s="1647" t="n">
        <v>23</v>
      </c>
      <c r="W11" s="1647" t="n">
        <v>24</v>
      </c>
      <c r="X11" s="1647" t="n">
        <v>1</v>
      </c>
      <c r="Y11" s="1647" t="n">
        <v>6</v>
      </c>
      <c r="Z11" s="1647" t="n">
        <v>2</v>
      </c>
      <c r="AA11" s="1647" t="n">
        <v>5</v>
      </c>
      <c r="AB11" s="1647" t="n">
        <v>4</v>
      </c>
      <c r="AC11" s="1648" t="n">
        <v>3</v>
      </c>
      <c r="AD11" s="1621"/>
      <c r="AE11" s="1636" t="n">
        <v>7</v>
      </c>
      <c r="AF11" s="1646" t="n">
        <f aca="false">IF(AND(WeekDef=8,CustomMFFlag,CustomMFPeriod=4),INDEX(VolumeHourlyOver,F11,1),IF(OR(WeekDef=1,WeekDef=2,WeekDef=4,WeekDef=6,AND(WeekDef=8,CustomMFFlag,OR(CustomMFPeriod=1,CustomMFPeriod=2))),IF(VolumeMonthlyOverFlag,INDEX(VolumeMonthlyOver,AE11),Volume),0))</f>
        <v>150</v>
      </c>
      <c r="AG11" s="1647" t="n">
        <f aca="false">IF(AND(WeekDef=8,CustomMFFlag,CustomMFPeriod=4),INDEX(VolumeHourlyOver,G11,1),IF(OR(WeekDef=1,WeekDef=2,WeekDef=4,WeekDef=6,AND(WeekDef=8,CustomMFFlag,OR(CustomMFPeriod=1,CustomMFPeriod=2))),IF(VolumeMonthlyOverFlag,INDEX(VolumeMonthlyOver,AE11),Volume),0))</f>
        <v>150</v>
      </c>
      <c r="AH11" s="1647" t="n">
        <f aca="false">IF(AND(WeekDef=8,CustomMFFlag,CustomMFPeriod=4),INDEX(VolumeHourlyOver,H11,1),IF(OR(WeekDef=1,WeekDef=2,WeekDef=4,WeekDef=6,AND(WeekDef=8,CustomMFFlag,OR(CustomMFPeriod=1,CustomMFPeriod=2))),IF(VolumeMonthlyOverFlag,INDEX(VolumeMonthlyOver,AE11),Volume),0))</f>
        <v>150</v>
      </c>
      <c r="AI11" s="1647" t="n">
        <f aca="false">IF(AND(WeekDef=8,CustomMFFlag,CustomMFPeriod=4),INDEX(VolumeHourlyOver,I11,1),IF(OR(WeekDef=1,WeekDef=2,WeekDef=4,WeekDef=6,AND(WeekDef=8,CustomMFFlag,OR(CustomMFPeriod=1,CustomMFPeriod=2))),IF(VolumeMonthlyOverFlag,INDEX(VolumeMonthlyOver,AE11),Volume),0))</f>
        <v>150</v>
      </c>
      <c r="AJ11" s="1647" t="n">
        <f aca="false">IF(AND(WeekDef=8,CustomMFFlag,CustomMFPeriod=4),INDEX(VolumeHourlyOver,J11,1),IF(OR(WeekDef=1,WeekDef=2,WeekDef=4,WeekDef=6,AND(WeekDef=8,CustomMFFlag,OR(CustomMFPeriod=1,CustomMFPeriod=2))),IF(VolumeMonthlyOverFlag,INDEX(VolumeMonthlyOver,AE11),Volume),0))</f>
        <v>150</v>
      </c>
      <c r="AK11" s="1647" t="n">
        <f aca="false">IF(AND(WeekDef=8,CustomMFFlag,CustomMFPeriod=4),INDEX(VolumeHourlyOver,K11,1),IF(OR(WeekDef=1,WeekDef=2,WeekDef=4,WeekDef=6,AND(WeekDef=8,CustomMFFlag,OR(CustomMFPeriod=1,CustomMFPeriod=2))),IF(VolumeMonthlyOverFlag,INDEX(VolumeMonthlyOver,AE11),Volume),0))</f>
        <v>150</v>
      </c>
      <c r="AL11" s="1647" t="n">
        <f aca="false">IF(AND(WeekDef=8,CustomMFFlag,CustomMFPeriod=4),INDEX(VolumeHourlyOver,L11,1),IF(OR(WeekDef=1,WeekDef=2,WeekDef=4,WeekDef=6,AND(WeekDef=8,CustomMFFlag,OR(CustomMFPeriod=1,CustomMFPeriod=2))),IF(VolumeMonthlyOverFlag,INDEX(VolumeMonthlyOver,AE11),Volume),0))</f>
        <v>150</v>
      </c>
      <c r="AM11" s="1647" t="n">
        <f aca="false">IF(AND(WeekDef=8,CustomMFFlag,CustomMFPeriod=4),INDEX(VolumeHourlyOver,M11,1),IF(OR(WeekDef=1,WeekDef=2,WeekDef=4,WeekDef=6,AND(WeekDef=8,CustomMFFlag,OR(CustomMFPeriod=1,CustomMFPeriod=2))),IF(VolumeMonthlyOverFlag,INDEX(VolumeMonthlyOver,AE11),Volume),0))</f>
        <v>150</v>
      </c>
      <c r="AN11" s="1647" t="n">
        <f aca="false">IF(AND(WeekDef=8,CustomMFFlag,CustomMFPeriod=4),INDEX(VolumeHourlyOver,N11,1),IF(OR(WeekDef=1,WeekDef=2,WeekDef=4,WeekDef=6,AND(WeekDef=8,CustomMFFlag,OR(CustomMFPeriod=1,CustomMFPeriod=2))),IF(VolumeMonthlyOverFlag,INDEX(VolumeMonthlyOver,AE11),Volume),0))</f>
        <v>150</v>
      </c>
      <c r="AO11" s="1647" t="n">
        <f aca="false">IF(AND(WeekDef=8,CustomMFFlag,CustomMFPeriod=4),INDEX(VolumeHourlyOver,O11,1),IF(OR(WeekDef=1,WeekDef=2,WeekDef=4,WeekDef=6,AND(WeekDef=8,CustomMFFlag,OR(CustomMFPeriod=1,CustomMFPeriod=2))),IF(VolumeMonthlyOverFlag,INDEX(VolumeMonthlyOver,AE11),Volume),0))</f>
        <v>150</v>
      </c>
      <c r="AP11" s="1647" t="n">
        <f aca="false">IF(AND(WeekDef=8,CustomMFFlag,CustomMFPeriod=4),INDEX(VolumeHourlyOver,P11,1),IF(OR(WeekDef=1,WeekDef=2,WeekDef=4,WeekDef=6,AND(WeekDef=8,CustomMFFlag,OR(CustomMFPeriod=1,CustomMFPeriod=2))),IF(VolumeMonthlyOverFlag,INDEX(VolumeMonthlyOver,AE11),Volume),0))</f>
        <v>150</v>
      </c>
      <c r="AQ11" s="1647" t="n">
        <f aca="false">IF(AND(WeekDef=8,CustomMFFlag,CustomMFPeriod=4),INDEX(VolumeHourlyOver,Q11,1),IF(OR(WeekDef=1,WeekDef=2,WeekDef=4,WeekDef=6,AND(WeekDef=8,CustomMFFlag,OR(CustomMFPeriod=1,CustomMFPeriod=2))),IF(VolumeMonthlyOverFlag,INDEX(VolumeMonthlyOver,AE11),Volume),0))</f>
        <v>150</v>
      </c>
      <c r="AR11" s="1647" t="n">
        <f aca="false">IF(AND(WeekDef=8,CustomMFFlag,CustomMFPeriod=4),INDEX(VolumeHourlyOver,R11,1),IF(OR(WeekDef=1,WeekDef=2,WeekDef=4,WeekDef=6,AND(WeekDef=8,CustomMFFlag,OR(CustomMFPeriod=1,CustomMFPeriod=2))),IF(VolumeMonthlyOverFlag,INDEX(VolumeMonthlyOver,AE11),Volume),0))</f>
        <v>150</v>
      </c>
      <c r="AS11" s="1647" t="n">
        <f aca="false">IF(AND(WeekDef=8,CustomMFFlag,CustomMFPeriod=4),INDEX(VolumeHourlyOver,S11,1),IF(OR(WeekDef=1,WeekDef=2,WeekDef=4,WeekDef=6,AND(WeekDef=8,CustomMFFlag,OR(CustomMFPeriod=1,CustomMFPeriod=2))),IF(VolumeMonthlyOverFlag,INDEX(VolumeMonthlyOver,AE11),Volume),0))</f>
        <v>150</v>
      </c>
      <c r="AT11" s="1647" t="n">
        <f aca="false">IF(AND(WeekDef=8,CustomMFFlag,CustomMFPeriod=4),INDEX(VolumeHourlyOver,T11,1),IF(OR(WeekDef=1,WeekDef=2,WeekDef=4,WeekDef=6,AND(WeekDef=8,CustomMFFlag,OR(CustomMFPeriod=1,CustomMFPeriod=2))),IF(VolumeMonthlyOverFlag,INDEX(VolumeMonthlyOver,AE11),Volume),0))</f>
        <v>150</v>
      </c>
      <c r="AU11" s="1648" t="n">
        <f aca="false">IF(AND(WeekDef=8,CustomMFFlag,CustomMFPeriod=4),INDEX(VolumeHourlyOver,U11,1),IF(OR(WeekDef=1,WeekDef=2,WeekDef=4,WeekDef=6,AND(WeekDef=8,CustomMFFlag,OR(CustomMFPeriod=1,CustomMFPeriod=2))),IF(VolumeMonthlyOverFlag,INDEX(VolumeMonthlyOver,AE11),Volume),0))</f>
        <v>150</v>
      </c>
      <c r="AV11" s="1647" t="n">
        <f aca="false">IF(AND(WeekDef=8,CustomMFFlag,CustomMFPeriod=4),INDEX(VolumeHourlyOver,V11,1),IF(OR(WeekDef=1,WeekDef=3,WeekDef=5,WeekDef=7,AND(WeekDef=8,CustomMFFlag,OR(CustomMFPeriod=1,CustomMFPeriod=3))),IF(VolumeMonthlyOverFlag,INDEX(VolumeMonthlyOver,AE11),Volume),0))</f>
        <v>150</v>
      </c>
      <c r="AW11" s="1647" t="n">
        <f aca="false">IF(AND(WeekDef=8,CustomMFFlag,CustomMFPeriod=4),INDEX(VolumeHourlyOver,W11,1),IF(OR(WeekDef=1,WeekDef=3,WeekDef=5,WeekDef=7,AND(WeekDef=8,CustomMFFlag,OR(CustomMFPeriod=1,CustomMFPeriod=3))),IF(VolumeMonthlyOverFlag,INDEX(VolumeMonthlyOver,AE11),Volume),0))</f>
        <v>150</v>
      </c>
      <c r="AX11" s="1647" t="n">
        <f aca="false">IF(AND(WeekDef=8,CustomMFFlag,CustomMFPeriod=4),INDEX(VolumeHourlyOver,X11,1),IF(OR(WeekDef=1,WeekDef=3,WeekDef=5,WeekDef=7,AND(WeekDef=8,CustomMFFlag,OR(CustomMFPeriod=1,CustomMFPeriod=3))),IF(VolumeMonthlyOverFlag,INDEX(VolumeMonthlyOver,AE11),Volume),0))</f>
        <v>150</v>
      </c>
      <c r="AY11" s="1647" t="n">
        <f aca="false">IF(AND(WeekDef=8,CustomMFFlag,CustomMFPeriod=4),INDEX(VolumeHourlyOver,Y11,1),IF(OR(WeekDef=1,WeekDef=3,WeekDef=5,WeekDef=7,AND(WeekDef=8,CustomMFFlag,OR(CustomMFPeriod=1,CustomMFPeriod=3))),IF(VolumeMonthlyOverFlag,INDEX(VolumeMonthlyOver,AE11),Volume),0))</f>
        <v>150</v>
      </c>
      <c r="AZ11" s="1647" t="n">
        <f aca="false">IF(AND(WeekDef=8,CustomMFFlag,CustomMFPeriod=4),INDEX(VolumeHourlyOver,Z11,1),IF(OR(WeekDef=1,WeekDef=3,WeekDef=5,WeekDef=7,AND(WeekDef=8,CustomMFFlag,OR(CustomMFPeriod=1,CustomMFPeriod=3))),IF(VolumeMonthlyOverFlag,INDEX(VolumeMonthlyOver,AE11),Volume),0))</f>
        <v>150</v>
      </c>
      <c r="BA11" s="1647" t="n">
        <f aca="false">IF(AND(WeekDef=8,CustomMFFlag,CustomMFPeriod=4),INDEX(VolumeHourlyOver,AA11,1),IF(OR(WeekDef=1,WeekDef=3,WeekDef=5,WeekDef=7,AND(WeekDef=8,CustomMFFlag,OR(CustomMFPeriod=1,CustomMFPeriod=3))),IF(VolumeMonthlyOverFlag,INDEX(VolumeMonthlyOver,AE11),Volume),0))</f>
        <v>150</v>
      </c>
      <c r="BB11" s="1647" t="n">
        <f aca="false">IF(AND(WeekDef=8,CustomMFFlag,CustomMFPeriod=4),INDEX(VolumeHourlyOver,AB11,1),IF(OR(WeekDef=1,WeekDef=3,WeekDef=5,WeekDef=7,AND(WeekDef=8,CustomMFFlag,OR(CustomMFPeriod=1,CustomMFPeriod=3))),IF(VolumeMonthlyOverFlag,INDEX(VolumeMonthlyOver,AE11),Volume),0))</f>
        <v>150</v>
      </c>
      <c r="BC11" s="1648" t="n">
        <f aca="false">IF(AND(WeekDef=8,CustomMFFlag,CustomMFPeriod=4),INDEX(VolumeHourlyOver,AC11,1),IF(OR(WeekDef=1,WeekDef=3,WeekDef=5,WeekDef=7,AND(WeekDef=8,CustomMFFlag,OR(CustomMFPeriod=1,CustomMFPeriod=3))),IF(VolumeMonthlyOverFlag,INDEX(VolumeMonthlyOver,AE11),Volume),0))</f>
        <v>150</v>
      </c>
      <c r="BD11" s="1652" t="n">
        <f aca="false">SUM(AF11:AU11)</f>
        <v>2400</v>
      </c>
      <c r="BE11" s="1653" t="n">
        <f aca="false">SUM(AV11:BC11)</f>
        <v>1200</v>
      </c>
      <c r="BF11" s="1654" t="n">
        <f aca="false">BD11+BE11</f>
        <v>3600</v>
      </c>
      <c r="BG11" s="1655" t="n">
        <f aca="false">IF(BD11,SUMPRODUCT(AF11:AU11,F27:U27)/BD11,0)</f>
        <v>1.00000000372529</v>
      </c>
      <c r="BH11" s="1655" t="n">
        <f aca="false">IF(BE11,SUMPRODUCT(AV11:BC11,V27:AC27)/BE11,0)</f>
        <v>0.999999985098839</v>
      </c>
      <c r="BJ11" s="1636" t="n">
        <v>7</v>
      </c>
      <c r="BK11" s="1646" t="n">
        <f aca="false">IF(AND(WeekDef=8,CustomMFFlag,CustomMFPeriod=4),INDEX(IF(DiffOptVolumeFlag,DiffOptVolumeHourlyOver,VolumeHourlyOver),F11,1),IF(OR(WeekDef=1,WeekDef=2,WeekDef=4,WeekDef=6,AND(WeekDef=8,CustomMFFlag,OR(CustomMFPeriod=1,CustomMFPeriod=2))),IF(VolumeMonthlyOverFlag,INDEX(IF(DiffOptVolumeFlag,DiffOptVolumeMonthlyOver,VolumeMonthlyOver),BJ11),IF(DiffOptVolumeFlag,DiffOptVolume,Volume)),0))</f>
        <v>600</v>
      </c>
      <c r="BL11" s="1647" t="n">
        <f aca="false">IF(AND(WeekDef=8,CustomMFFlag,CustomMFPeriod=4),INDEX(IF(DiffOptVolumeFlag,DiffOptVolumeHourlyOver,VolumeHourlyOver),G11,1),IF(OR(WeekDef=1,WeekDef=2,WeekDef=4,WeekDef=6,AND(WeekDef=8,CustomMFFlag,OR(CustomMFPeriod=1,CustomMFPeriod=2))),IF(VolumeMonthlyOverFlag,INDEX(IF(DiffOptVolumeFlag,DiffOptVolumeMonthlyOver,VolumeMonthlyOver),BJ11),IF(DiffOptVolumeFlag,DiffOptVolume,Volume)),0))</f>
        <v>600</v>
      </c>
      <c r="BM11" s="1647" t="n">
        <f aca="false">IF(AND(WeekDef=8,CustomMFFlag,CustomMFPeriod=4),INDEX(IF(DiffOptVolumeFlag,DiffOptVolumeHourlyOver,VolumeHourlyOver),H11,1),IF(OR(WeekDef=1,WeekDef=2,WeekDef=4,WeekDef=6,AND(WeekDef=8,CustomMFFlag,OR(CustomMFPeriod=1,CustomMFPeriod=2))),IF(VolumeMonthlyOverFlag,INDEX(IF(DiffOptVolumeFlag,DiffOptVolumeMonthlyOver,VolumeMonthlyOver),BJ11),IF(DiffOptVolumeFlag,DiffOptVolume,Volume)),0))</f>
        <v>600</v>
      </c>
      <c r="BN11" s="1647" t="n">
        <f aca="false">IF(AND(WeekDef=8,CustomMFFlag,CustomMFPeriod=4),INDEX(IF(DiffOptVolumeFlag,DiffOptVolumeHourlyOver,VolumeHourlyOver),I11,1),IF(OR(WeekDef=1,WeekDef=2,WeekDef=4,WeekDef=6,AND(WeekDef=8,CustomMFFlag,OR(CustomMFPeriod=1,CustomMFPeriod=2))),IF(VolumeMonthlyOverFlag,INDEX(IF(DiffOptVolumeFlag,DiffOptVolumeMonthlyOver,VolumeMonthlyOver),BJ11),IF(DiffOptVolumeFlag,DiffOptVolume,Volume)),0))</f>
        <v>600</v>
      </c>
      <c r="BO11" s="1647" t="n">
        <f aca="false">IF(AND(WeekDef=8,CustomMFFlag,CustomMFPeriod=4),INDEX(IF(DiffOptVolumeFlag,DiffOptVolumeHourlyOver,VolumeHourlyOver),J11,1),IF(OR(WeekDef=1,WeekDef=2,WeekDef=4,WeekDef=6,AND(WeekDef=8,CustomMFFlag,OR(CustomMFPeriod=1,CustomMFPeriod=2))),IF(VolumeMonthlyOverFlag,INDEX(IF(DiffOptVolumeFlag,DiffOptVolumeMonthlyOver,VolumeMonthlyOver),BJ11),IF(DiffOptVolumeFlag,DiffOptVolume,Volume)),0))</f>
        <v>600</v>
      </c>
      <c r="BP11" s="1647" t="n">
        <f aca="false">IF(AND(WeekDef=8,CustomMFFlag,CustomMFPeriod=4),INDEX(IF(DiffOptVolumeFlag,DiffOptVolumeHourlyOver,VolumeHourlyOver),K11,1),IF(OR(WeekDef=1,WeekDef=2,WeekDef=4,WeekDef=6,AND(WeekDef=8,CustomMFFlag,OR(CustomMFPeriod=1,CustomMFPeriod=2))),IF(VolumeMonthlyOverFlag,INDEX(IF(DiffOptVolumeFlag,DiffOptVolumeMonthlyOver,VolumeMonthlyOver),BJ11),IF(DiffOptVolumeFlag,DiffOptVolume,Volume)),0))</f>
        <v>600</v>
      </c>
      <c r="BQ11" s="1647" t="n">
        <f aca="false">IF(AND(WeekDef=8,CustomMFFlag,CustomMFPeriod=4),INDEX(IF(DiffOptVolumeFlag,DiffOptVolumeHourlyOver,VolumeHourlyOver),L11,1),IF(OR(WeekDef=1,WeekDef=2,WeekDef=4,WeekDef=6,AND(WeekDef=8,CustomMFFlag,OR(CustomMFPeriod=1,CustomMFPeriod=2))),IF(VolumeMonthlyOverFlag,INDEX(IF(DiffOptVolumeFlag,DiffOptVolumeMonthlyOver,VolumeMonthlyOver),BJ11),IF(DiffOptVolumeFlag,DiffOptVolume,Volume)),0))</f>
        <v>600</v>
      </c>
      <c r="BR11" s="1647" t="n">
        <f aca="false">IF(AND(WeekDef=8,CustomMFFlag,CustomMFPeriod=4),INDEX(IF(DiffOptVolumeFlag,DiffOptVolumeHourlyOver,VolumeHourlyOver),M11,1),IF(OR(WeekDef=1,WeekDef=2,WeekDef=4,WeekDef=6,AND(WeekDef=8,CustomMFFlag,OR(CustomMFPeriod=1,CustomMFPeriod=2))),IF(VolumeMonthlyOverFlag,INDEX(IF(DiffOptVolumeFlag,DiffOptVolumeMonthlyOver,VolumeMonthlyOver),BJ11),IF(DiffOptVolumeFlag,DiffOptVolume,Volume)),0))</f>
        <v>600</v>
      </c>
      <c r="BS11" s="1647" t="n">
        <f aca="false">IF(AND(WeekDef=8,CustomMFFlag,CustomMFPeriod=4),INDEX(IF(DiffOptVolumeFlag,DiffOptVolumeHourlyOver,VolumeHourlyOver),N11,1),IF(OR(WeekDef=1,WeekDef=2,WeekDef=4,WeekDef=6,AND(WeekDef=8,CustomMFFlag,OR(CustomMFPeriod=1,CustomMFPeriod=2))),IF(VolumeMonthlyOverFlag,INDEX(IF(DiffOptVolumeFlag,DiffOptVolumeMonthlyOver,VolumeMonthlyOver),BJ11),IF(DiffOptVolumeFlag,DiffOptVolume,Volume)),0))</f>
        <v>600</v>
      </c>
      <c r="BT11" s="1647" t="n">
        <f aca="false">IF(AND(WeekDef=8,CustomMFFlag,CustomMFPeriod=4),INDEX(IF(DiffOptVolumeFlag,DiffOptVolumeHourlyOver,VolumeHourlyOver),O11,1),IF(OR(WeekDef=1,WeekDef=2,WeekDef=4,WeekDef=6,AND(WeekDef=8,CustomMFFlag,OR(CustomMFPeriod=1,CustomMFPeriod=2))),IF(VolumeMonthlyOverFlag,INDEX(IF(DiffOptVolumeFlag,DiffOptVolumeMonthlyOver,VolumeMonthlyOver),BJ11),IF(DiffOptVolumeFlag,DiffOptVolume,Volume)),0))</f>
        <v>600</v>
      </c>
      <c r="BU11" s="1647" t="n">
        <f aca="false">IF(AND(WeekDef=8,CustomMFFlag,CustomMFPeriod=4),INDEX(IF(DiffOptVolumeFlag,DiffOptVolumeHourlyOver,VolumeHourlyOver),P11,1),IF(OR(WeekDef=1,WeekDef=2,WeekDef=4,WeekDef=6,AND(WeekDef=8,CustomMFFlag,OR(CustomMFPeriod=1,CustomMFPeriod=2))),IF(VolumeMonthlyOverFlag,INDEX(IF(DiffOptVolumeFlag,DiffOptVolumeMonthlyOver,VolumeMonthlyOver),BJ11),IF(DiffOptVolumeFlag,DiffOptVolume,Volume)),0))</f>
        <v>600</v>
      </c>
      <c r="BV11" s="1647" t="n">
        <f aca="false">IF(AND(WeekDef=8,CustomMFFlag,CustomMFPeriod=4),INDEX(IF(DiffOptVolumeFlag,DiffOptVolumeHourlyOver,VolumeHourlyOver),Q11,1),IF(OR(WeekDef=1,WeekDef=2,WeekDef=4,WeekDef=6,AND(WeekDef=8,CustomMFFlag,OR(CustomMFPeriod=1,CustomMFPeriod=2))),IF(VolumeMonthlyOverFlag,INDEX(IF(DiffOptVolumeFlag,DiffOptVolumeMonthlyOver,VolumeMonthlyOver),BJ11),IF(DiffOptVolumeFlag,DiffOptVolume,Volume)),0))</f>
        <v>600</v>
      </c>
      <c r="BW11" s="1647" t="n">
        <f aca="false">IF(AND(WeekDef=8,CustomMFFlag,CustomMFPeriod=4),INDEX(IF(DiffOptVolumeFlag,DiffOptVolumeHourlyOver,VolumeHourlyOver),R11,1),IF(OR(WeekDef=1,WeekDef=2,WeekDef=4,WeekDef=6,AND(WeekDef=8,CustomMFFlag,OR(CustomMFPeriod=1,CustomMFPeriod=2))),IF(VolumeMonthlyOverFlag,INDEX(IF(DiffOptVolumeFlag,DiffOptVolumeMonthlyOver,VolumeMonthlyOver),BJ11),IF(DiffOptVolumeFlag,DiffOptVolume,Volume)),0))</f>
        <v>600</v>
      </c>
      <c r="BX11" s="1647" t="n">
        <f aca="false">IF(AND(WeekDef=8,CustomMFFlag,CustomMFPeriod=4),INDEX(IF(DiffOptVolumeFlag,DiffOptVolumeHourlyOver,VolumeHourlyOver),S11,1),IF(OR(WeekDef=1,WeekDef=2,WeekDef=4,WeekDef=6,AND(WeekDef=8,CustomMFFlag,OR(CustomMFPeriod=1,CustomMFPeriod=2))),IF(VolumeMonthlyOverFlag,INDEX(IF(DiffOptVolumeFlag,DiffOptVolumeMonthlyOver,VolumeMonthlyOver),BJ11),IF(DiffOptVolumeFlag,DiffOptVolume,Volume)),0))</f>
        <v>600</v>
      </c>
      <c r="BY11" s="1647" t="n">
        <f aca="false">IF(AND(WeekDef=8,CustomMFFlag,CustomMFPeriod=4),INDEX(IF(DiffOptVolumeFlag,DiffOptVolumeHourlyOver,VolumeHourlyOver),T11,1),IF(OR(WeekDef=1,WeekDef=2,WeekDef=4,WeekDef=6,AND(WeekDef=8,CustomMFFlag,OR(CustomMFPeriod=1,CustomMFPeriod=2))),IF(VolumeMonthlyOverFlag,INDEX(IF(DiffOptVolumeFlag,DiffOptVolumeMonthlyOver,VolumeMonthlyOver),BJ11),IF(DiffOptVolumeFlag,DiffOptVolume,Volume)),0))</f>
        <v>600</v>
      </c>
      <c r="BZ11" s="1648" t="n">
        <f aca="false">IF(AND(WeekDef=8,CustomMFFlag,CustomMFPeriod=4),INDEX(IF(DiffOptVolumeFlag,DiffOptVolumeHourlyOver,VolumeHourlyOver),U11,1),IF(OR(WeekDef=1,WeekDef=2,WeekDef=4,WeekDef=6,AND(WeekDef=8,CustomMFFlag,OR(CustomMFPeriod=1,CustomMFPeriod=2))),IF(VolumeMonthlyOverFlag,INDEX(IF(DiffOptVolumeFlag,DiffOptVolumeMonthlyOver,VolumeMonthlyOver),BJ11),IF(DiffOptVolumeFlag,DiffOptVolume,Volume)),0))</f>
        <v>600</v>
      </c>
      <c r="CA11" s="1647" t="n">
        <f aca="false">IF(AND(WeekDef=8,CustomMFFlag,CustomMFPeriod=4),INDEX(IF(DiffOptVolumeFlag,DiffOptVolumeHourlyOver,VolumeHourlyOver),V11,1),IF(OR(WeekDef=1,WeekDef=3,WeekDef=5,WeekDef=7,AND(WeekDef=8,CustomMFFlag,OR(CustomMFPeriod=1,CustomMFPeriod=3))),IF(VolumeMonthlyOverFlag,INDEX(IF(DiffOptVolumeFlag,DiffOptVolumeMonthlyOver,VolumeMonthlyOver),BJ11),IF(DiffOptVolumeFlag,DiffOptVolume,Volume)),0))</f>
        <v>600</v>
      </c>
      <c r="CB11" s="1647" t="n">
        <f aca="false">IF(AND(WeekDef=8,CustomMFFlag,CustomMFPeriod=4),INDEX(IF(DiffOptVolumeFlag,DiffOptVolumeHourlyOver,VolumeHourlyOver),W11,1),IF(OR(WeekDef=1,WeekDef=3,WeekDef=5,WeekDef=7,AND(WeekDef=8,CustomMFFlag,OR(CustomMFPeriod=1,CustomMFPeriod=3))),IF(VolumeMonthlyOverFlag,INDEX(IF(DiffOptVolumeFlag,DiffOptVolumeMonthlyOver,VolumeMonthlyOver),BJ11),IF(DiffOptVolumeFlag,DiffOptVolume,Volume)),0))</f>
        <v>600</v>
      </c>
      <c r="CC11" s="1647" t="n">
        <f aca="false">IF(AND(WeekDef=8,CustomMFFlag,CustomMFPeriod=4),INDEX(IF(DiffOptVolumeFlag,DiffOptVolumeHourlyOver,VolumeHourlyOver),X11,1),IF(OR(WeekDef=1,WeekDef=3,WeekDef=5,WeekDef=7,AND(WeekDef=8,CustomMFFlag,OR(CustomMFPeriod=1,CustomMFPeriod=3))),IF(VolumeMonthlyOverFlag,INDEX(IF(DiffOptVolumeFlag,DiffOptVolumeMonthlyOver,VolumeMonthlyOver),BJ11),IF(DiffOptVolumeFlag,DiffOptVolume,Volume)),0))</f>
        <v>600</v>
      </c>
      <c r="CD11" s="1647" t="n">
        <f aca="false">IF(AND(WeekDef=8,CustomMFFlag,CustomMFPeriod=4),INDEX(IF(DiffOptVolumeFlag,DiffOptVolumeHourlyOver,VolumeHourlyOver),Y11,1),IF(OR(WeekDef=1,WeekDef=3,WeekDef=5,WeekDef=7,AND(WeekDef=8,CustomMFFlag,OR(CustomMFPeriod=1,CustomMFPeriod=3))),IF(VolumeMonthlyOverFlag,INDEX(IF(DiffOptVolumeFlag,DiffOptVolumeMonthlyOver,VolumeMonthlyOver),BJ11),IF(DiffOptVolumeFlag,DiffOptVolume,Volume)),0))</f>
        <v>600</v>
      </c>
      <c r="CE11" s="1647" t="n">
        <f aca="false">IF(AND(WeekDef=8,CustomMFFlag,CustomMFPeriod=4),INDEX(IF(DiffOptVolumeFlag,DiffOptVolumeHourlyOver,VolumeHourlyOver),Z11,1),IF(OR(WeekDef=1,WeekDef=3,WeekDef=5,WeekDef=7,AND(WeekDef=8,CustomMFFlag,OR(CustomMFPeriod=1,CustomMFPeriod=3))),IF(VolumeMonthlyOverFlag,INDEX(IF(DiffOptVolumeFlag,DiffOptVolumeMonthlyOver,VolumeMonthlyOver),BJ11),IF(DiffOptVolumeFlag,DiffOptVolume,Volume)),0))</f>
        <v>600</v>
      </c>
      <c r="CF11" s="1647" t="n">
        <f aca="false">IF(AND(WeekDef=8,CustomMFFlag,CustomMFPeriod=4),INDEX(IF(DiffOptVolumeFlag,DiffOptVolumeHourlyOver,VolumeHourlyOver),AA11,1),IF(OR(WeekDef=1,WeekDef=3,WeekDef=5,WeekDef=7,AND(WeekDef=8,CustomMFFlag,OR(CustomMFPeriod=1,CustomMFPeriod=3))),IF(VolumeMonthlyOverFlag,INDEX(IF(DiffOptVolumeFlag,DiffOptVolumeMonthlyOver,VolumeMonthlyOver),BJ11),IF(DiffOptVolumeFlag,DiffOptVolume,Volume)),0))</f>
        <v>600</v>
      </c>
      <c r="CG11" s="1647" t="n">
        <f aca="false">IF(AND(WeekDef=8,CustomMFFlag,CustomMFPeriod=4),INDEX(IF(DiffOptVolumeFlag,DiffOptVolumeHourlyOver,VolumeHourlyOver),AB11,1),IF(OR(WeekDef=1,WeekDef=3,WeekDef=5,WeekDef=7,AND(WeekDef=8,CustomMFFlag,OR(CustomMFPeriod=1,CustomMFPeriod=3))),IF(VolumeMonthlyOverFlag,INDEX(IF(DiffOptVolumeFlag,DiffOptVolumeMonthlyOver,VolumeMonthlyOver),BJ11),IF(DiffOptVolumeFlag,DiffOptVolume,Volume)),0))</f>
        <v>600</v>
      </c>
      <c r="CH11" s="1648" t="n">
        <f aca="false">IF(AND(WeekDef=8,CustomMFFlag,CustomMFPeriod=4),INDEX(IF(DiffOptVolumeFlag,DiffOptVolumeHourlyOver,VolumeHourlyOver),AC11,1),IF(OR(WeekDef=1,WeekDef=3,WeekDef=5,WeekDef=7,AND(WeekDef=8,CustomMFFlag,OR(CustomMFPeriod=1,CustomMFPeriod=3))),IF(VolumeMonthlyOverFlag,INDEX(IF(DiffOptVolumeFlag,DiffOptVolumeMonthlyOver,VolumeMonthlyOver),BJ11),IF(DiffOptVolumeFlag,DiffOptVolume,Volume)),0))</f>
        <v>600</v>
      </c>
      <c r="CI11" s="1652" t="n">
        <f aca="false">SUM(BK11:BZ11)</f>
        <v>9600</v>
      </c>
      <c r="CJ11" s="1653" t="n">
        <f aca="false">SUM(CA11:CH11)</f>
        <v>4800</v>
      </c>
      <c r="CK11" s="1654" t="n">
        <f aca="false">CI11+CJ11</f>
        <v>14400</v>
      </c>
      <c r="CL11" s="1655" t="n">
        <f aca="false">IF(CI11,SUMPRODUCT(BK11:BZ11,F27:U27)/CI11,0)</f>
        <v>1.00000000372529</v>
      </c>
      <c r="CM11" s="1655" t="n">
        <f aca="false">IF(CJ11,SUMPRODUCT(CA11:CH11,V27:AC27)/CJ11,0)</f>
        <v>0.999999985098839</v>
      </c>
      <c r="CO11" s="1646" t="n">
        <v>7</v>
      </c>
      <c r="CP11" s="1659" t="n">
        <f aca="false">MAX(AF11:BC11,AF25:BC25,AF39:BC39,AF53:BC53)</f>
        <v>150</v>
      </c>
      <c r="CQ11" s="1660" t="n">
        <f aca="false">MAX(BK11:CH11,BK25:CH25,BK39:CH39,BK53:CH53)</f>
        <v>600</v>
      </c>
      <c r="DE11" s="1658"/>
    </row>
    <row r="12" customFormat="false" ht="12.75" hidden="false" customHeight="false" outlineLevel="0" collapsed="false">
      <c r="E12" s="1636" t="n">
        <v>8</v>
      </c>
      <c r="F12" s="1646" t="n">
        <v>16</v>
      </c>
      <c r="G12" s="1647" t="n">
        <v>17</v>
      </c>
      <c r="H12" s="1647" t="n">
        <v>15</v>
      </c>
      <c r="I12" s="1647" t="n">
        <v>18</v>
      </c>
      <c r="J12" s="1647" t="n">
        <v>14</v>
      </c>
      <c r="K12" s="1647" t="n">
        <v>13</v>
      </c>
      <c r="L12" s="1647" t="n">
        <v>19</v>
      </c>
      <c r="M12" s="1647" t="n">
        <v>12</v>
      </c>
      <c r="N12" s="1647" t="n">
        <v>20</v>
      </c>
      <c r="O12" s="1647" t="n">
        <v>21</v>
      </c>
      <c r="P12" s="1647" t="n">
        <v>11</v>
      </c>
      <c r="Q12" s="1647" t="n">
        <v>10</v>
      </c>
      <c r="R12" s="1647" t="n">
        <v>22</v>
      </c>
      <c r="S12" s="1647" t="n">
        <v>9</v>
      </c>
      <c r="T12" s="1647" t="n">
        <v>8</v>
      </c>
      <c r="U12" s="1648" t="n">
        <v>7</v>
      </c>
      <c r="V12" s="1647" t="n">
        <v>23</v>
      </c>
      <c r="W12" s="1647" t="n">
        <v>24</v>
      </c>
      <c r="X12" s="1647" t="n">
        <v>6</v>
      </c>
      <c r="Y12" s="1647" t="n">
        <v>1</v>
      </c>
      <c r="Z12" s="1647" t="n">
        <v>5</v>
      </c>
      <c r="AA12" s="1647" t="n">
        <v>2</v>
      </c>
      <c r="AB12" s="1647" t="n">
        <v>3</v>
      </c>
      <c r="AC12" s="1648" t="n">
        <v>4</v>
      </c>
      <c r="AD12" s="1621"/>
      <c r="AE12" s="1636" t="n">
        <v>8</v>
      </c>
      <c r="AF12" s="1646" t="n">
        <f aca="false">IF(AND(WeekDef=8,CustomMFFlag,CustomMFPeriod=4),INDEX(VolumeHourlyOver,F12,1),IF(OR(WeekDef=1,WeekDef=2,WeekDef=4,WeekDef=6,AND(WeekDef=8,CustomMFFlag,OR(CustomMFPeriod=1,CustomMFPeriod=2))),IF(VolumeMonthlyOverFlag,INDEX(VolumeMonthlyOver,AE12),Volume),0))</f>
        <v>150</v>
      </c>
      <c r="AG12" s="1647" t="n">
        <f aca="false">IF(AND(WeekDef=8,CustomMFFlag,CustomMFPeriod=4),INDEX(VolumeHourlyOver,G12,1),IF(OR(WeekDef=1,WeekDef=2,WeekDef=4,WeekDef=6,AND(WeekDef=8,CustomMFFlag,OR(CustomMFPeriod=1,CustomMFPeriod=2))),IF(VolumeMonthlyOverFlag,INDEX(VolumeMonthlyOver,AE12),Volume),0))</f>
        <v>150</v>
      </c>
      <c r="AH12" s="1647" t="n">
        <f aca="false">IF(AND(WeekDef=8,CustomMFFlag,CustomMFPeriod=4),INDEX(VolumeHourlyOver,H12,1),IF(OR(WeekDef=1,WeekDef=2,WeekDef=4,WeekDef=6,AND(WeekDef=8,CustomMFFlag,OR(CustomMFPeriod=1,CustomMFPeriod=2))),IF(VolumeMonthlyOverFlag,INDEX(VolumeMonthlyOver,AE12),Volume),0))</f>
        <v>150</v>
      </c>
      <c r="AI12" s="1647" t="n">
        <f aca="false">IF(AND(WeekDef=8,CustomMFFlag,CustomMFPeriod=4),INDEX(VolumeHourlyOver,I12,1),IF(OR(WeekDef=1,WeekDef=2,WeekDef=4,WeekDef=6,AND(WeekDef=8,CustomMFFlag,OR(CustomMFPeriod=1,CustomMFPeriod=2))),IF(VolumeMonthlyOverFlag,INDEX(VolumeMonthlyOver,AE12),Volume),0))</f>
        <v>150</v>
      </c>
      <c r="AJ12" s="1647" t="n">
        <f aca="false">IF(AND(WeekDef=8,CustomMFFlag,CustomMFPeriod=4),INDEX(VolumeHourlyOver,J12,1),IF(OR(WeekDef=1,WeekDef=2,WeekDef=4,WeekDef=6,AND(WeekDef=8,CustomMFFlag,OR(CustomMFPeriod=1,CustomMFPeriod=2))),IF(VolumeMonthlyOverFlag,INDEX(VolumeMonthlyOver,AE12),Volume),0))</f>
        <v>150</v>
      </c>
      <c r="AK12" s="1647" t="n">
        <f aca="false">IF(AND(WeekDef=8,CustomMFFlag,CustomMFPeriod=4),INDEX(VolumeHourlyOver,K12,1),IF(OR(WeekDef=1,WeekDef=2,WeekDef=4,WeekDef=6,AND(WeekDef=8,CustomMFFlag,OR(CustomMFPeriod=1,CustomMFPeriod=2))),IF(VolumeMonthlyOverFlag,INDEX(VolumeMonthlyOver,AE12),Volume),0))</f>
        <v>150</v>
      </c>
      <c r="AL12" s="1647" t="n">
        <f aca="false">IF(AND(WeekDef=8,CustomMFFlag,CustomMFPeriod=4),INDEX(VolumeHourlyOver,L12,1),IF(OR(WeekDef=1,WeekDef=2,WeekDef=4,WeekDef=6,AND(WeekDef=8,CustomMFFlag,OR(CustomMFPeriod=1,CustomMFPeriod=2))),IF(VolumeMonthlyOverFlag,INDEX(VolumeMonthlyOver,AE12),Volume),0))</f>
        <v>150</v>
      </c>
      <c r="AM12" s="1647" t="n">
        <f aca="false">IF(AND(WeekDef=8,CustomMFFlag,CustomMFPeriod=4),INDEX(VolumeHourlyOver,M12,1),IF(OR(WeekDef=1,WeekDef=2,WeekDef=4,WeekDef=6,AND(WeekDef=8,CustomMFFlag,OR(CustomMFPeriod=1,CustomMFPeriod=2))),IF(VolumeMonthlyOverFlag,INDEX(VolumeMonthlyOver,AE12),Volume),0))</f>
        <v>150</v>
      </c>
      <c r="AN12" s="1647" t="n">
        <f aca="false">IF(AND(WeekDef=8,CustomMFFlag,CustomMFPeriod=4),INDEX(VolumeHourlyOver,N12,1),IF(OR(WeekDef=1,WeekDef=2,WeekDef=4,WeekDef=6,AND(WeekDef=8,CustomMFFlag,OR(CustomMFPeriod=1,CustomMFPeriod=2))),IF(VolumeMonthlyOverFlag,INDEX(VolumeMonthlyOver,AE12),Volume),0))</f>
        <v>150</v>
      </c>
      <c r="AO12" s="1647" t="n">
        <f aca="false">IF(AND(WeekDef=8,CustomMFFlag,CustomMFPeriod=4),INDEX(VolumeHourlyOver,O12,1),IF(OR(WeekDef=1,WeekDef=2,WeekDef=4,WeekDef=6,AND(WeekDef=8,CustomMFFlag,OR(CustomMFPeriod=1,CustomMFPeriod=2))),IF(VolumeMonthlyOverFlag,INDEX(VolumeMonthlyOver,AE12),Volume),0))</f>
        <v>150</v>
      </c>
      <c r="AP12" s="1647" t="n">
        <f aca="false">IF(AND(WeekDef=8,CustomMFFlag,CustomMFPeriod=4),INDEX(VolumeHourlyOver,P12,1),IF(OR(WeekDef=1,WeekDef=2,WeekDef=4,WeekDef=6,AND(WeekDef=8,CustomMFFlag,OR(CustomMFPeriod=1,CustomMFPeriod=2))),IF(VolumeMonthlyOverFlag,INDEX(VolumeMonthlyOver,AE12),Volume),0))</f>
        <v>150</v>
      </c>
      <c r="AQ12" s="1647" t="n">
        <f aca="false">IF(AND(WeekDef=8,CustomMFFlag,CustomMFPeriod=4),INDEX(VolumeHourlyOver,Q12,1),IF(OR(WeekDef=1,WeekDef=2,WeekDef=4,WeekDef=6,AND(WeekDef=8,CustomMFFlag,OR(CustomMFPeriod=1,CustomMFPeriod=2))),IF(VolumeMonthlyOverFlag,INDEX(VolumeMonthlyOver,AE12),Volume),0))</f>
        <v>150</v>
      </c>
      <c r="AR12" s="1647" t="n">
        <f aca="false">IF(AND(WeekDef=8,CustomMFFlag,CustomMFPeriod=4),INDEX(VolumeHourlyOver,R12,1),IF(OR(WeekDef=1,WeekDef=2,WeekDef=4,WeekDef=6,AND(WeekDef=8,CustomMFFlag,OR(CustomMFPeriod=1,CustomMFPeriod=2))),IF(VolumeMonthlyOverFlag,INDEX(VolumeMonthlyOver,AE12),Volume),0))</f>
        <v>150</v>
      </c>
      <c r="AS12" s="1647" t="n">
        <f aca="false">IF(AND(WeekDef=8,CustomMFFlag,CustomMFPeriod=4),INDEX(VolumeHourlyOver,S12,1),IF(OR(WeekDef=1,WeekDef=2,WeekDef=4,WeekDef=6,AND(WeekDef=8,CustomMFFlag,OR(CustomMFPeriod=1,CustomMFPeriod=2))),IF(VolumeMonthlyOverFlag,INDEX(VolumeMonthlyOver,AE12),Volume),0))</f>
        <v>150</v>
      </c>
      <c r="AT12" s="1647" t="n">
        <f aca="false">IF(AND(WeekDef=8,CustomMFFlag,CustomMFPeriod=4),INDEX(VolumeHourlyOver,T12,1),IF(OR(WeekDef=1,WeekDef=2,WeekDef=4,WeekDef=6,AND(WeekDef=8,CustomMFFlag,OR(CustomMFPeriod=1,CustomMFPeriod=2))),IF(VolumeMonthlyOverFlag,INDEX(VolumeMonthlyOver,AE12),Volume),0))</f>
        <v>150</v>
      </c>
      <c r="AU12" s="1648" t="n">
        <f aca="false">IF(AND(WeekDef=8,CustomMFFlag,CustomMFPeriod=4),INDEX(VolumeHourlyOver,U12,1),IF(OR(WeekDef=1,WeekDef=2,WeekDef=4,WeekDef=6,AND(WeekDef=8,CustomMFFlag,OR(CustomMFPeriod=1,CustomMFPeriod=2))),IF(VolumeMonthlyOverFlag,INDEX(VolumeMonthlyOver,AE12),Volume),0))</f>
        <v>150</v>
      </c>
      <c r="AV12" s="1647" t="n">
        <f aca="false">IF(AND(WeekDef=8,CustomMFFlag,CustomMFPeriod=4),INDEX(VolumeHourlyOver,V12,1),IF(OR(WeekDef=1,WeekDef=3,WeekDef=5,WeekDef=7,AND(WeekDef=8,CustomMFFlag,OR(CustomMFPeriod=1,CustomMFPeriod=3))),IF(VolumeMonthlyOverFlag,INDEX(VolumeMonthlyOver,AE12),Volume),0))</f>
        <v>150</v>
      </c>
      <c r="AW12" s="1647" t="n">
        <f aca="false">IF(AND(WeekDef=8,CustomMFFlag,CustomMFPeriod=4),INDEX(VolumeHourlyOver,W12,1),IF(OR(WeekDef=1,WeekDef=3,WeekDef=5,WeekDef=7,AND(WeekDef=8,CustomMFFlag,OR(CustomMFPeriod=1,CustomMFPeriod=3))),IF(VolumeMonthlyOverFlag,INDEX(VolumeMonthlyOver,AE12),Volume),0))</f>
        <v>150</v>
      </c>
      <c r="AX12" s="1647" t="n">
        <f aca="false">IF(AND(WeekDef=8,CustomMFFlag,CustomMFPeriod=4),INDEX(VolumeHourlyOver,X12,1),IF(OR(WeekDef=1,WeekDef=3,WeekDef=5,WeekDef=7,AND(WeekDef=8,CustomMFFlag,OR(CustomMFPeriod=1,CustomMFPeriod=3))),IF(VolumeMonthlyOverFlag,INDEX(VolumeMonthlyOver,AE12),Volume),0))</f>
        <v>150</v>
      </c>
      <c r="AY12" s="1647" t="n">
        <f aca="false">IF(AND(WeekDef=8,CustomMFFlag,CustomMFPeriod=4),INDEX(VolumeHourlyOver,Y12,1),IF(OR(WeekDef=1,WeekDef=3,WeekDef=5,WeekDef=7,AND(WeekDef=8,CustomMFFlag,OR(CustomMFPeriod=1,CustomMFPeriod=3))),IF(VolumeMonthlyOverFlag,INDEX(VolumeMonthlyOver,AE12),Volume),0))</f>
        <v>150</v>
      </c>
      <c r="AZ12" s="1647" t="n">
        <f aca="false">IF(AND(WeekDef=8,CustomMFFlag,CustomMFPeriod=4),INDEX(VolumeHourlyOver,Z12,1),IF(OR(WeekDef=1,WeekDef=3,WeekDef=5,WeekDef=7,AND(WeekDef=8,CustomMFFlag,OR(CustomMFPeriod=1,CustomMFPeriod=3))),IF(VolumeMonthlyOverFlag,INDEX(VolumeMonthlyOver,AE12),Volume),0))</f>
        <v>150</v>
      </c>
      <c r="BA12" s="1647" t="n">
        <f aca="false">IF(AND(WeekDef=8,CustomMFFlag,CustomMFPeriod=4),INDEX(VolumeHourlyOver,AA12,1),IF(OR(WeekDef=1,WeekDef=3,WeekDef=5,WeekDef=7,AND(WeekDef=8,CustomMFFlag,OR(CustomMFPeriod=1,CustomMFPeriod=3))),IF(VolumeMonthlyOverFlag,INDEX(VolumeMonthlyOver,AE12),Volume),0))</f>
        <v>150</v>
      </c>
      <c r="BB12" s="1647" t="n">
        <f aca="false">IF(AND(WeekDef=8,CustomMFFlag,CustomMFPeriod=4),INDEX(VolumeHourlyOver,AB12,1),IF(OR(WeekDef=1,WeekDef=3,WeekDef=5,WeekDef=7,AND(WeekDef=8,CustomMFFlag,OR(CustomMFPeriod=1,CustomMFPeriod=3))),IF(VolumeMonthlyOverFlag,INDEX(VolumeMonthlyOver,AE12),Volume),0))</f>
        <v>150</v>
      </c>
      <c r="BC12" s="1648" t="n">
        <f aca="false">IF(AND(WeekDef=8,CustomMFFlag,CustomMFPeriod=4),INDEX(VolumeHourlyOver,AC12,1),IF(OR(WeekDef=1,WeekDef=3,WeekDef=5,WeekDef=7,AND(WeekDef=8,CustomMFFlag,OR(CustomMFPeriod=1,CustomMFPeriod=3))),IF(VolumeMonthlyOverFlag,INDEX(VolumeMonthlyOver,AE12),Volume),0))</f>
        <v>150</v>
      </c>
      <c r="BD12" s="1652" t="n">
        <f aca="false">SUM(AF12:AU12)</f>
        <v>2400</v>
      </c>
      <c r="BE12" s="1653" t="n">
        <f aca="false">SUM(AV12:BC12)</f>
        <v>1200</v>
      </c>
      <c r="BF12" s="1654" t="n">
        <f aca="false">BD12+BE12</f>
        <v>3600</v>
      </c>
      <c r="BG12" s="1655" t="n">
        <f aca="false">IF(BD12,SUMPRODUCT(AF12:AU12,F28:U28)/BD12,0)</f>
        <v>0.999999988824129</v>
      </c>
      <c r="BH12" s="1655" t="n">
        <f aca="false">IF(BE12,SUMPRODUCT(AV12:BC12,V28:AC28)/BE12,0)</f>
        <v>1.00000000745058</v>
      </c>
      <c r="BJ12" s="1636" t="n">
        <v>8</v>
      </c>
      <c r="BK12" s="1646" t="n">
        <f aca="false">IF(AND(WeekDef=8,CustomMFFlag,CustomMFPeriod=4),INDEX(IF(DiffOptVolumeFlag,DiffOptVolumeHourlyOver,VolumeHourlyOver),F12,1),IF(OR(WeekDef=1,WeekDef=2,WeekDef=4,WeekDef=6,AND(WeekDef=8,CustomMFFlag,OR(CustomMFPeriod=1,CustomMFPeriod=2))),IF(VolumeMonthlyOverFlag,INDEX(IF(DiffOptVolumeFlag,DiffOptVolumeMonthlyOver,VolumeMonthlyOver),BJ12),IF(DiffOptVolumeFlag,DiffOptVolume,Volume)),0))</f>
        <v>600</v>
      </c>
      <c r="BL12" s="1647" t="n">
        <f aca="false">IF(AND(WeekDef=8,CustomMFFlag,CustomMFPeriod=4),INDEX(IF(DiffOptVolumeFlag,DiffOptVolumeHourlyOver,VolumeHourlyOver),G12,1),IF(OR(WeekDef=1,WeekDef=2,WeekDef=4,WeekDef=6,AND(WeekDef=8,CustomMFFlag,OR(CustomMFPeriod=1,CustomMFPeriod=2))),IF(VolumeMonthlyOverFlag,INDEX(IF(DiffOptVolumeFlag,DiffOptVolumeMonthlyOver,VolumeMonthlyOver),BJ12),IF(DiffOptVolumeFlag,DiffOptVolume,Volume)),0))</f>
        <v>600</v>
      </c>
      <c r="BM12" s="1647" t="n">
        <f aca="false">IF(AND(WeekDef=8,CustomMFFlag,CustomMFPeriod=4),INDEX(IF(DiffOptVolumeFlag,DiffOptVolumeHourlyOver,VolumeHourlyOver),H12,1),IF(OR(WeekDef=1,WeekDef=2,WeekDef=4,WeekDef=6,AND(WeekDef=8,CustomMFFlag,OR(CustomMFPeriod=1,CustomMFPeriod=2))),IF(VolumeMonthlyOverFlag,INDEX(IF(DiffOptVolumeFlag,DiffOptVolumeMonthlyOver,VolumeMonthlyOver),BJ12),IF(DiffOptVolumeFlag,DiffOptVolume,Volume)),0))</f>
        <v>600</v>
      </c>
      <c r="BN12" s="1647" t="n">
        <f aca="false">IF(AND(WeekDef=8,CustomMFFlag,CustomMFPeriod=4),INDEX(IF(DiffOptVolumeFlag,DiffOptVolumeHourlyOver,VolumeHourlyOver),I12,1),IF(OR(WeekDef=1,WeekDef=2,WeekDef=4,WeekDef=6,AND(WeekDef=8,CustomMFFlag,OR(CustomMFPeriod=1,CustomMFPeriod=2))),IF(VolumeMonthlyOverFlag,INDEX(IF(DiffOptVolumeFlag,DiffOptVolumeMonthlyOver,VolumeMonthlyOver),BJ12),IF(DiffOptVolumeFlag,DiffOptVolume,Volume)),0))</f>
        <v>600</v>
      </c>
      <c r="BO12" s="1647" t="n">
        <f aca="false">IF(AND(WeekDef=8,CustomMFFlag,CustomMFPeriod=4),INDEX(IF(DiffOptVolumeFlag,DiffOptVolumeHourlyOver,VolumeHourlyOver),J12,1),IF(OR(WeekDef=1,WeekDef=2,WeekDef=4,WeekDef=6,AND(WeekDef=8,CustomMFFlag,OR(CustomMFPeriod=1,CustomMFPeriod=2))),IF(VolumeMonthlyOverFlag,INDEX(IF(DiffOptVolumeFlag,DiffOptVolumeMonthlyOver,VolumeMonthlyOver),BJ12),IF(DiffOptVolumeFlag,DiffOptVolume,Volume)),0))</f>
        <v>600</v>
      </c>
      <c r="BP12" s="1647" t="n">
        <f aca="false">IF(AND(WeekDef=8,CustomMFFlag,CustomMFPeriod=4),INDEX(IF(DiffOptVolumeFlag,DiffOptVolumeHourlyOver,VolumeHourlyOver),K12,1),IF(OR(WeekDef=1,WeekDef=2,WeekDef=4,WeekDef=6,AND(WeekDef=8,CustomMFFlag,OR(CustomMFPeriod=1,CustomMFPeriod=2))),IF(VolumeMonthlyOverFlag,INDEX(IF(DiffOptVolumeFlag,DiffOptVolumeMonthlyOver,VolumeMonthlyOver),BJ12),IF(DiffOptVolumeFlag,DiffOptVolume,Volume)),0))</f>
        <v>600</v>
      </c>
      <c r="BQ12" s="1647" t="n">
        <f aca="false">IF(AND(WeekDef=8,CustomMFFlag,CustomMFPeriod=4),INDEX(IF(DiffOptVolumeFlag,DiffOptVolumeHourlyOver,VolumeHourlyOver),L12,1),IF(OR(WeekDef=1,WeekDef=2,WeekDef=4,WeekDef=6,AND(WeekDef=8,CustomMFFlag,OR(CustomMFPeriod=1,CustomMFPeriod=2))),IF(VolumeMonthlyOverFlag,INDEX(IF(DiffOptVolumeFlag,DiffOptVolumeMonthlyOver,VolumeMonthlyOver),BJ12),IF(DiffOptVolumeFlag,DiffOptVolume,Volume)),0))</f>
        <v>600</v>
      </c>
      <c r="BR12" s="1647" t="n">
        <f aca="false">IF(AND(WeekDef=8,CustomMFFlag,CustomMFPeriod=4),INDEX(IF(DiffOptVolumeFlag,DiffOptVolumeHourlyOver,VolumeHourlyOver),M12,1),IF(OR(WeekDef=1,WeekDef=2,WeekDef=4,WeekDef=6,AND(WeekDef=8,CustomMFFlag,OR(CustomMFPeriod=1,CustomMFPeriod=2))),IF(VolumeMonthlyOverFlag,INDEX(IF(DiffOptVolumeFlag,DiffOptVolumeMonthlyOver,VolumeMonthlyOver),BJ12),IF(DiffOptVolumeFlag,DiffOptVolume,Volume)),0))</f>
        <v>600</v>
      </c>
      <c r="BS12" s="1647" t="n">
        <f aca="false">IF(AND(WeekDef=8,CustomMFFlag,CustomMFPeriod=4),INDEX(IF(DiffOptVolumeFlag,DiffOptVolumeHourlyOver,VolumeHourlyOver),N12,1),IF(OR(WeekDef=1,WeekDef=2,WeekDef=4,WeekDef=6,AND(WeekDef=8,CustomMFFlag,OR(CustomMFPeriod=1,CustomMFPeriod=2))),IF(VolumeMonthlyOverFlag,INDEX(IF(DiffOptVolumeFlag,DiffOptVolumeMonthlyOver,VolumeMonthlyOver),BJ12),IF(DiffOptVolumeFlag,DiffOptVolume,Volume)),0))</f>
        <v>600</v>
      </c>
      <c r="BT12" s="1647" t="n">
        <f aca="false">IF(AND(WeekDef=8,CustomMFFlag,CustomMFPeriod=4),INDEX(IF(DiffOptVolumeFlag,DiffOptVolumeHourlyOver,VolumeHourlyOver),O12,1),IF(OR(WeekDef=1,WeekDef=2,WeekDef=4,WeekDef=6,AND(WeekDef=8,CustomMFFlag,OR(CustomMFPeriod=1,CustomMFPeriod=2))),IF(VolumeMonthlyOverFlag,INDEX(IF(DiffOptVolumeFlag,DiffOptVolumeMonthlyOver,VolumeMonthlyOver),BJ12),IF(DiffOptVolumeFlag,DiffOptVolume,Volume)),0))</f>
        <v>600</v>
      </c>
      <c r="BU12" s="1647" t="n">
        <f aca="false">IF(AND(WeekDef=8,CustomMFFlag,CustomMFPeriod=4),INDEX(IF(DiffOptVolumeFlag,DiffOptVolumeHourlyOver,VolumeHourlyOver),P12,1),IF(OR(WeekDef=1,WeekDef=2,WeekDef=4,WeekDef=6,AND(WeekDef=8,CustomMFFlag,OR(CustomMFPeriod=1,CustomMFPeriod=2))),IF(VolumeMonthlyOverFlag,INDEX(IF(DiffOptVolumeFlag,DiffOptVolumeMonthlyOver,VolumeMonthlyOver),BJ12),IF(DiffOptVolumeFlag,DiffOptVolume,Volume)),0))</f>
        <v>600</v>
      </c>
      <c r="BV12" s="1647" t="n">
        <f aca="false">IF(AND(WeekDef=8,CustomMFFlag,CustomMFPeriod=4),INDEX(IF(DiffOptVolumeFlag,DiffOptVolumeHourlyOver,VolumeHourlyOver),Q12,1),IF(OR(WeekDef=1,WeekDef=2,WeekDef=4,WeekDef=6,AND(WeekDef=8,CustomMFFlag,OR(CustomMFPeriod=1,CustomMFPeriod=2))),IF(VolumeMonthlyOverFlag,INDEX(IF(DiffOptVolumeFlag,DiffOptVolumeMonthlyOver,VolumeMonthlyOver),BJ12),IF(DiffOptVolumeFlag,DiffOptVolume,Volume)),0))</f>
        <v>600</v>
      </c>
      <c r="BW12" s="1647" t="n">
        <f aca="false">IF(AND(WeekDef=8,CustomMFFlag,CustomMFPeriod=4),INDEX(IF(DiffOptVolumeFlag,DiffOptVolumeHourlyOver,VolumeHourlyOver),R12,1),IF(OR(WeekDef=1,WeekDef=2,WeekDef=4,WeekDef=6,AND(WeekDef=8,CustomMFFlag,OR(CustomMFPeriod=1,CustomMFPeriod=2))),IF(VolumeMonthlyOverFlag,INDEX(IF(DiffOptVolumeFlag,DiffOptVolumeMonthlyOver,VolumeMonthlyOver),BJ12),IF(DiffOptVolumeFlag,DiffOptVolume,Volume)),0))</f>
        <v>600</v>
      </c>
      <c r="BX12" s="1647" t="n">
        <f aca="false">IF(AND(WeekDef=8,CustomMFFlag,CustomMFPeriod=4),INDEX(IF(DiffOptVolumeFlag,DiffOptVolumeHourlyOver,VolumeHourlyOver),S12,1),IF(OR(WeekDef=1,WeekDef=2,WeekDef=4,WeekDef=6,AND(WeekDef=8,CustomMFFlag,OR(CustomMFPeriod=1,CustomMFPeriod=2))),IF(VolumeMonthlyOverFlag,INDEX(IF(DiffOptVolumeFlag,DiffOptVolumeMonthlyOver,VolumeMonthlyOver),BJ12),IF(DiffOptVolumeFlag,DiffOptVolume,Volume)),0))</f>
        <v>600</v>
      </c>
      <c r="BY12" s="1647" t="n">
        <f aca="false">IF(AND(WeekDef=8,CustomMFFlag,CustomMFPeriod=4),INDEX(IF(DiffOptVolumeFlag,DiffOptVolumeHourlyOver,VolumeHourlyOver),T12,1),IF(OR(WeekDef=1,WeekDef=2,WeekDef=4,WeekDef=6,AND(WeekDef=8,CustomMFFlag,OR(CustomMFPeriod=1,CustomMFPeriod=2))),IF(VolumeMonthlyOverFlag,INDEX(IF(DiffOptVolumeFlag,DiffOptVolumeMonthlyOver,VolumeMonthlyOver),BJ12),IF(DiffOptVolumeFlag,DiffOptVolume,Volume)),0))</f>
        <v>600</v>
      </c>
      <c r="BZ12" s="1648" t="n">
        <f aca="false">IF(AND(WeekDef=8,CustomMFFlag,CustomMFPeriod=4),INDEX(IF(DiffOptVolumeFlag,DiffOptVolumeHourlyOver,VolumeHourlyOver),U12,1),IF(OR(WeekDef=1,WeekDef=2,WeekDef=4,WeekDef=6,AND(WeekDef=8,CustomMFFlag,OR(CustomMFPeriod=1,CustomMFPeriod=2))),IF(VolumeMonthlyOverFlag,INDEX(IF(DiffOptVolumeFlag,DiffOptVolumeMonthlyOver,VolumeMonthlyOver),BJ12),IF(DiffOptVolumeFlag,DiffOptVolume,Volume)),0))</f>
        <v>600</v>
      </c>
      <c r="CA12" s="1647" t="n">
        <f aca="false">IF(AND(WeekDef=8,CustomMFFlag,CustomMFPeriod=4),INDEX(IF(DiffOptVolumeFlag,DiffOptVolumeHourlyOver,VolumeHourlyOver),V12,1),IF(OR(WeekDef=1,WeekDef=3,WeekDef=5,WeekDef=7,AND(WeekDef=8,CustomMFFlag,OR(CustomMFPeriod=1,CustomMFPeriod=3))),IF(VolumeMonthlyOverFlag,INDEX(IF(DiffOptVolumeFlag,DiffOptVolumeMonthlyOver,VolumeMonthlyOver),BJ12),IF(DiffOptVolumeFlag,DiffOptVolume,Volume)),0))</f>
        <v>600</v>
      </c>
      <c r="CB12" s="1647" t="n">
        <f aca="false">IF(AND(WeekDef=8,CustomMFFlag,CustomMFPeriod=4),INDEX(IF(DiffOptVolumeFlag,DiffOptVolumeHourlyOver,VolumeHourlyOver),W12,1),IF(OR(WeekDef=1,WeekDef=3,WeekDef=5,WeekDef=7,AND(WeekDef=8,CustomMFFlag,OR(CustomMFPeriod=1,CustomMFPeriod=3))),IF(VolumeMonthlyOverFlag,INDEX(IF(DiffOptVolumeFlag,DiffOptVolumeMonthlyOver,VolumeMonthlyOver),BJ12),IF(DiffOptVolumeFlag,DiffOptVolume,Volume)),0))</f>
        <v>600</v>
      </c>
      <c r="CC12" s="1647" t="n">
        <f aca="false">IF(AND(WeekDef=8,CustomMFFlag,CustomMFPeriod=4),INDEX(IF(DiffOptVolumeFlag,DiffOptVolumeHourlyOver,VolumeHourlyOver),X12,1),IF(OR(WeekDef=1,WeekDef=3,WeekDef=5,WeekDef=7,AND(WeekDef=8,CustomMFFlag,OR(CustomMFPeriod=1,CustomMFPeriod=3))),IF(VolumeMonthlyOverFlag,INDEX(IF(DiffOptVolumeFlag,DiffOptVolumeMonthlyOver,VolumeMonthlyOver),BJ12),IF(DiffOptVolumeFlag,DiffOptVolume,Volume)),0))</f>
        <v>600</v>
      </c>
      <c r="CD12" s="1647" t="n">
        <f aca="false">IF(AND(WeekDef=8,CustomMFFlag,CustomMFPeriod=4),INDEX(IF(DiffOptVolumeFlag,DiffOptVolumeHourlyOver,VolumeHourlyOver),Y12,1),IF(OR(WeekDef=1,WeekDef=3,WeekDef=5,WeekDef=7,AND(WeekDef=8,CustomMFFlag,OR(CustomMFPeriod=1,CustomMFPeriod=3))),IF(VolumeMonthlyOverFlag,INDEX(IF(DiffOptVolumeFlag,DiffOptVolumeMonthlyOver,VolumeMonthlyOver),BJ12),IF(DiffOptVolumeFlag,DiffOptVolume,Volume)),0))</f>
        <v>600</v>
      </c>
      <c r="CE12" s="1647" t="n">
        <f aca="false">IF(AND(WeekDef=8,CustomMFFlag,CustomMFPeriod=4),INDEX(IF(DiffOptVolumeFlag,DiffOptVolumeHourlyOver,VolumeHourlyOver),Z12,1),IF(OR(WeekDef=1,WeekDef=3,WeekDef=5,WeekDef=7,AND(WeekDef=8,CustomMFFlag,OR(CustomMFPeriod=1,CustomMFPeriod=3))),IF(VolumeMonthlyOverFlag,INDEX(IF(DiffOptVolumeFlag,DiffOptVolumeMonthlyOver,VolumeMonthlyOver),BJ12),IF(DiffOptVolumeFlag,DiffOptVolume,Volume)),0))</f>
        <v>600</v>
      </c>
      <c r="CF12" s="1647" t="n">
        <f aca="false">IF(AND(WeekDef=8,CustomMFFlag,CustomMFPeriod=4),INDEX(IF(DiffOptVolumeFlag,DiffOptVolumeHourlyOver,VolumeHourlyOver),AA12,1),IF(OR(WeekDef=1,WeekDef=3,WeekDef=5,WeekDef=7,AND(WeekDef=8,CustomMFFlag,OR(CustomMFPeriod=1,CustomMFPeriod=3))),IF(VolumeMonthlyOverFlag,INDEX(IF(DiffOptVolumeFlag,DiffOptVolumeMonthlyOver,VolumeMonthlyOver),BJ12),IF(DiffOptVolumeFlag,DiffOptVolume,Volume)),0))</f>
        <v>600</v>
      </c>
      <c r="CG12" s="1647" t="n">
        <f aca="false">IF(AND(WeekDef=8,CustomMFFlag,CustomMFPeriod=4),INDEX(IF(DiffOptVolumeFlag,DiffOptVolumeHourlyOver,VolumeHourlyOver),AB12,1),IF(OR(WeekDef=1,WeekDef=3,WeekDef=5,WeekDef=7,AND(WeekDef=8,CustomMFFlag,OR(CustomMFPeriod=1,CustomMFPeriod=3))),IF(VolumeMonthlyOverFlag,INDEX(IF(DiffOptVolumeFlag,DiffOptVolumeMonthlyOver,VolumeMonthlyOver),BJ12),IF(DiffOptVolumeFlag,DiffOptVolume,Volume)),0))</f>
        <v>600</v>
      </c>
      <c r="CH12" s="1648" t="n">
        <f aca="false">IF(AND(WeekDef=8,CustomMFFlag,CustomMFPeriod=4),INDEX(IF(DiffOptVolumeFlag,DiffOptVolumeHourlyOver,VolumeHourlyOver),AC12,1),IF(OR(WeekDef=1,WeekDef=3,WeekDef=5,WeekDef=7,AND(WeekDef=8,CustomMFFlag,OR(CustomMFPeriod=1,CustomMFPeriod=3))),IF(VolumeMonthlyOverFlag,INDEX(IF(DiffOptVolumeFlag,DiffOptVolumeMonthlyOver,VolumeMonthlyOver),BJ12),IF(DiffOptVolumeFlag,DiffOptVolume,Volume)),0))</f>
        <v>600</v>
      </c>
      <c r="CI12" s="1652" t="n">
        <f aca="false">SUM(BK12:BZ12)</f>
        <v>9600</v>
      </c>
      <c r="CJ12" s="1653" t="n">
        <f aca="false">SUM(CA12:CH12)</f>
        <v>4800</v>
      </c>
      <c r="CK12" s="1654" t="n">
        <f aca="false">CI12+CJ12</f>
        <v>14400</v>
      </c>
      <c r="CL12" s="1655" t="n">
        <f aca="false">IF(CI12,SUMPRODUCT(BK12:BZ12,F28:U28)/CI12,0)</f>
        <v>0.999999988824129</v>
      </c>
      <c r="CM12" s="1655" t="n">
        <f aca="false">IF(CJ12,SUMPRODUCT(CA12:CH12,V28:AC28)/CJ12,0)</f>
        <v>1.00000000745058</v>
      </c>
      <c r="CO12" s="1646" t="n">
        <v>8</v>
      </c>
      <c r="CP12" s="1659" t="n">
        <f aca="false">MAX(AF12:BC12,AF26:BC26,AF40:BC40,AF54:BC54)</f>
        <v>150</v>
      </c>
      <c r="CQ12" s="1660" t="n">
        <f aca="false">MAX(BK12:CH12,BK26:CH26,BK40:CH40,BK54:CH54)</f>
        <v>600</v>
      </c>
      <c r="DE12" s="1658"/>
    </row>
    <row r="13" customFormat="false" ht="12.75" hidden="false" customHeight="false" outlineLevel="0" collapsed="false">
      <c r="E13" s="1636" t="n">
        <v>9</v>
      </c>
      <c r="F13" s="1646" t="n">
        <v>15</v>
      </c>
      <c r="G13" s="1647" t="n">
        <v>16</v>
      </c>
      <c r="H13" s="1647" t="n">
        <v>17</v>
      </c>
      <c r="I13" s="1647" t="n">
        <v>20</v>
      </c>
      <c r="J13" s="1647" t="n">
        <v>14</v>
      </c>
      <c r="K13" s="1647" t="n">
        <v>13</v>
      </c>
      <c r="L13" s="1647" t="n">
        <v>12</v>
      </c>
      <c r="M13" s="1647" t="n">
        <v>19</v>
      </c>
      <c r="N13" s="1647" t="n">
        <v>18</v>
      </c>
      <c r="O13" s="1647" t="n">
        <v>11</v>
      </c>
      <c r="P13" s="1647" t="n">
        <v>21</v>
      </c>
      <c r="Q13" s="1647" t="n">
        <v>10</v>
      </c>
      <c r="R13" s="1647" t="n">
        <v>9</v>
      </c>
      <c r="S13" s="1647" t="n">
        <v>22</v>
      </c>
      <c r="T13" s="1647" t="n">
        <v>8</v>
      </c>
      <c r="U13" s="1648" t="n">
        <v>7</v>
      </c>
      <c r="V13" s="1647" t="n">
        <v>23</v>
      </c>
      <c r="W13" s="1647" t="n">
        <v>24</v>
      </c>
      <c r="X13" s="1647" t="n">
        <v>6</v>
      </c>
      <c r="Y13" s="1647" t="n">
        <v>1</v>
      </c>
      <c r="Z13" s="1647" t="n">
        <v>5</v>
      </c>
      <c r="AA13" s="1647" t="n">
        <v>2</v>
      </c>
      <c r="AB13" s="1647" t="n">
        <v>4</v>
      </c>
      <c r="AC13" s="1648" t="n">
        <v>3</v>
      </c>
      <c r="AD13" s="1621"/>
      <c r="AE13" s="1636" t="n">
        <v>9</v>
      </c>
      <c r="AF13" s="1646" t="n">
        <f aca="false">IF(AND(WeekDef=8,CustomMFFlag,CustomMFPeriod=4),INDEX(VolumeHourlyOver,F13,1),IF(OR(WeekDef=1,WeekDef=2,WeekDef=4,WeekDef=6,AND(WeekDef=8,CustomMFFlag,OR(CustomMFPeriod=1,CustomMFPeriod=2))),IF(VolumeMonthlyOverFlag,INDEX(VolumeMonthlyOver,AE13),Volume),0))</f>
        <v>150</v>
      </c>
      <c r="AG13" s="1647" t="n">
        <f aca="false">IF(AND(WeekDef=8,CustomMFFlag,CustomMFPeriod=4),INDEX(VolumeHourlyOver,G13,1),IF(OR(WeekDef=1,WeekDef=2,WeekDef=4,WeekDef=6,AND(WeekDef=8,CustomMFFlag,OR(CustomMFPeriod=1,CustomMFPeriod=2))),IF(VolumeMonthlyOverFlag,INDEX(VolumeMonthlyOver,AE13),Volume),0))</f>
        <v>150</v>
      </c>
      <c r="AH13" s="1647" t="n">
        <f aca="false">IF(AND(WeekDef=8,CustomMFFlag,CustomMFPeriod=4),INDEX(VolumeHourlyOver,H13,1),IF(OR(WeekDef=1,WeekDef=2,WeekDef=4,WeekDef=6,AND(WeekDef=8,CustomMFFlag,OR(CustomMFPeriod=1,CustomMFPeriod=2))),IF(VolumeMonthlyOverFlag,INDEX(VolumeMonthlyOver,AE13),Volume),0))</f>
        <v>150</v>
      </c>
      <c r="AI13" s="1647" t="n">
        <f aca="false">IF(AND(WeekDef=8,CustomMFFlag,CustomMFPeriod=4),INDEX(VolumeHourlyOver,I13,1),IF(OR(WeekDef=1,WeekDef=2,WeekDef=4,WeekDef=6,AND(WeekDef=8,CustomMFFlag,OR(CustomMFPeriod=1,CustomMFPeriod=2))),IF(VolumeMonthlyOverFlag,INDEX(VolumeMonthlyOver,AE13),Volume),0))</f>
        <v>150</v>
      </c>
      <c r="AJ13" s="1647" t="n">
        <f aca="false">IF(AND(WeekDef=8,CustomMFFlag,CustomMFPeriod=4),INDEX(VolumeHourlyOver,J13,1),IF(OR(WeekDef=1,WeekDef=2,WeekDef=4,WeekDef=6,AND(WeekDef=8,CustomMFFlag,OR(CustomMFPeriod=1,CustomMFPeriod=2))),IF(VolumeMonthlyOverFlag,INDEX(VolumeMonthlyOver,AE13),Volume),0))</f>
        <v>150</v>
      </c>
      <c r="AK13" s="1647" t="n">
        <f aca="false">IF(AND(WeekDef=8,CustomMFFlag,CustomMFPeriod=4),INDEX(VolumeHourlyOver,K13,1),IF(OR(WeekDef=1,WeekDef=2,WeekDef=4,WeekDef=6,AND(WeekDef=8,CustomMFFlag,OR(CustomMFPeriod=1,CustomMFPeriod=2))),IF(VolumeMonthlyOverFlag,INDEX(VolumeMonthlyOver,AE13),Volume),0))</f>
        <v>150</v>
      </c>
      <c r="AL13" s="1647" t="n">
        <f aca="false">IF(AND(WeekDef=8,CustomMFFlag,CustomMFPeriod=4),INDEX(VolumeHourlyOver,L13,1),IF(OR(WeekDef=1,WeekDef=2,WeekDef=4,WeekDef=6,AND(WeekDef=8,CustomMFFlag,OR(CustomMFPeriod=1,CustomMFPeriod=2))),IF(VolumeMonthlyOverFlag,INDEX(VolumeMonthlyOver,AE13),Volume),0))</f>
        <v>150</v>
      </c>
      <c r="AM13" s="1647" t="n">
        <f aca="false">IF(AND(WeekDef=8,CustomMFFlag,CustomMFPeriod=4),INDEX(VolumeHourlyOver,M13,1),IF(OR(WeekDef=1,WeekDef=2,WeekDef=4,WeekDef=6,AND(WeekDef=8,CustomMFFlag,OR(CustomMFPeriod=1,CustomMFPeriod=2))),IF(VolumeMonthlyOverFlag,INDEX(VolumeMonthlyOver,AE13),Volume),0))</f>
        <v>150</v>
      </c>
      <c r="AN13" s="1647" t="n">
        <f aca="false">IF(AND(WeekDef=8,CustomMFFlag,CustomMFPeriod=4),INDEX(VolumeHourlyOver,N13,1),IF(OR(WeekDef=1,WeekDef=2,WeekDef=4,WeekDef=6,AND(WeekDef=8,CustomMFFlag,OR(CustomMFPeriod=1,CustomMFPeriod=2))),IF(VolumeMonthlyOverFlag,INDEX(VolumeMonthlyOver,AE13),Volume),0))</f>
        <v>150</v>
      </c>
      <c r="AO13" s="1647" t="n">
        <f aca="false">IF(AND(WeekDef=8,CustomMFFlag,CustomMFPeriod=4),INDEX(VolumeHourlyOver,O13,1),IF(OR(WeekDef=1,WeekDef=2,WeekDef=4,WeekDef=6,AND(WeekDef=8,CustomMFFlag,OR(CustomMFPeriod=1,CustomMFPeriod=2))),IF(VolumeMonthlyOverFlag,INDEX(VolumeMonthlyOver,AE13),Volume),0))</f>
        <v>150</v>
      </c>
      <c r="AP13" s="1647" t="n">
        <f aca="false">IF(AND(WeekDef=8,CustomMFFlag,CustomMFPeriod=4),INDEX(VolumeHourlyOver,P13,1),IF(OR(WeekDef=1,WeekDef=2,WeekDef=4,WeekDef=6,AND(WeekDef=8,CustomMFFlag,OR(CustomMFPeriod=1,CustomMFPeriod=2))),IF(VolumeMonthlyOverFlag,INDEX(VolumeMonthlyOver,AE13),Volume),0))</f>
        <v>150</v>
      </c>
      <c r="AQ13" s="1647" t="n">
        <f aca="false">IF(AND(WeekDef=8,CustomMFFlag,CustomMFPeriod=4),INDEX(VolumeHourlyOver,Q13,1),IF(OR(WeekDef=1,WeekDef=2,WeekDef=4,WeekDef=6,AND(WeekDef=8,CustomMFFlag,OR(CustomMFPeriod=1,CustomMFPeriod=2))),IF(VolumeMonthlyOverFlag,INDEX(VolumeMonthlyOver,AE13),Volume),0))</f>
        <v>150</v>
      </c>
      <c r="AR13" s="1647" t="n">
        <f aca="false">IF(AND(WeekDef=8,CustomMFFlag,CustomMFPeriod=4),INDEX(VolumeHourlyOver,R13,1),IF(OR(WeekDef=1,WeekDef=2,WeekDef=4,WeekDef=6,AND(WeekDef=8,CustomMFFlag,OR(CustomMFPeriod=1,CustomMFPeriod=2))),IF(VolumeMonthlyOverFlag,INDEX(VolumeMonthlyOver,AE13),Volume),0))</f>
        <v>150</v>
      </c>
      <c r="AS13" s="1647" t="n">
        <f aca="false">IF(AND(WeekDef=8,CustomMFFlag,CustomMFPeriod=4),INDEX(VolumeHourlyOver,S13,1),IF(OR(WeekDef=1,WeekDef=2,WeekDef=4,WeekDef=6,AND(WeekDef=8,CustomMFFlag,OR(CustomMFPeriod=1,CustomMFPeriod=2))),IF(VolumeMonthlyOverFlag,INDEX(VolumeMonthlyOver,AE13),Volume),0))</f>
        <v>150</v>
      </c>
      <c r="AT13" s="1647" t="n">
        <f aca="false">IF(AND(WeekDef=8,CustomMFFlag,CustomMFPeriod=4),INDEX(VolumeHourlyOver,T13,1),IF(OR(WeekDef=1,WeekDef=2,WeekDef=4,WeekDef=6,AND(WeekDef=8,CustomMFFlag,OR(CustomMFPeriod=1,CustomMFPeriod=2))),IF(VolumeMonthlyOverFlag,INDEX(VolumeMonthlyOver,AE13),Volume),0))</f>
        <v>150</v>
      </c>
      <c r="AU13" s="1648" t="n">
        <f aca="false">IF(AND(WeekDef=8,CustomMFFlag,CustomMFPeriod=4),INDEX(VolumeHourlyOver,U13,1),IF(OR(WeekDef=1,WeekDef=2,WeekDef=4,WeekDef=6,AND(WeekDef=8,CustomMFFlag,OR(CustomMFPeriod=1,CustomMFPeriod=2))),IF(VolumeMonthlyOverFlag,INDEX(VolumeMonthlyOver,AE13),Volume),0))</f>
        <v>150</v>
      </c>
      <c r="AV13" s="1647" t="n">
        <f aca="false">IF(AND(WeekDef=8,CustomMFFlag,CustomMFPeriod=4),INDEX(VolumeHourlyOver,V13,1),IF(OR(WeekDef=1,WeekDef=3,WeekDef=5,WeekDef=7,AND(WeekDef=8,CustomMFFlag,OR(CustomMFPeriod=1,CustomMFPeriod=3))),IF(VolumeMonthlyOverFlag,INDEX(VolumeMonthlyOver,AE13),Volume),0))</f>
        <v>150</v>
      </c>
      <c r="AW13" s="1647" t="n">
        <f aca="false">IF(AND(WeekDef=8,CustomMFFlag,CustomMFPeriod=4),INDEX(VolumeHourlyOver,W13,1),IF(OR(WeekDef=1,WeekDef=3,WeekDef=5,WeekDef=7,AND(WeekDef=8,CustomMFFlag,OR(CustomMFPeriod=1,CustomMFPeriod=3))),IF(VolumeMonthlyOverFlag,INDEX(VolumeMonthlyOver,AE13),Volume),0))</f>
        <v>150</v>
      </c>
      <c r="AX13" s="1647" t="n">
        <f aca="false">IF(AND(WeekDef=8,CustomMFFlag,CustomMFPeriod=4),INDEX(VolumeHourlyOver,X13,1),IF(OR(WeekDef=1,WeekDef=3,WeekDef=5,WeekDef=7,AND(WeekDef=8,CustomMFFlag,OR(CustomMFPeriod=1,CustomMFPeriod=3))),IF(VolumeMonthlyOverFlag,INDEX(VolumeMonthlyOver,AE13),Volume),0))</f>
        <v>150</v>
      </c>
      <c r="AY13" s="1647" t="n">
        <f aca="false">IF(AND(WeekDef=8,CustomMFFlag,CustomMFPeriod=4),INDEX(VolumeHourlyOver,Y13,1),IF(OR(WeekDef=1,WeekDef=3,WeekDef=5,WeekDef=7,AND(WeekDef=8,CustomMFFlag,OR(CustomMFPeriod=1,CustomMFPeriod=3))),IF(VolumeMonthlyOverFlag,INDEX(VolumeMonthlyOver,AE13),Volume),0))</f>
        <v>150</v>
      </c>
      <c r="AZ13" s="1647" t="n">
        <f aca="false">IF(AND(WeekDef=8,CustomMFFlag,CustomMFPeriod=4),INDEX(VolumeHourlyOver,Z13,1),IF(OR(WeekDef=1,WeekDef=3,WeekDef=5,WeekDef=7,AND(WeekDef=8,CustomMFFlag,OR(CustomMFPeriod=1,CustomMFPeriod=3))),IF(VolumeMonthlyOverFlag,INDEX(VolumeMonthlyOver,AE13),Volume),0))</f>
        <v>150</v>
      </c>
      <c r="BA13" s="1647" t="n">
        <f aca="false">IF(AND(WeekDef=8,CustomMFFlag,CustomMFPeriod=4),INDEX(VolumeHourlyOver,AA13,1),IF(OR(WeekDef=1,WeekDef=3,WeekDef=5,WeekDef=7,AND(WeekDef=8,CustomMFFlag,OR(CustomMFPeriod=1,CustomMFPeriod=3))),IF(VolumeMonthlyOverFlag,INDEX(VolumeMonthlyOver,AE13),Volume),0))</f>
        <v>150</v>
      </c>
      <c r="BB13" s="1647" t="n">
        <f aca="false">IF(AND(WeekDef=8,CustomMFFlag,CustomMFPeriod=4),INDEX(VolumeHourlyOver,AB13,1),IF(OR(WeekDef=1,WeekDef=3,WeekDef=5,WeekDef=7,AND(WeekDef=8,CustomMFFlag,OR(CustomMFPeriod=1,CustomMFPeriod=3))),IF(VolumeMonthlyOverFlag,INDEX(VolumeMonthlyOver,AE13),Volume),0))</f>
        <v>150</v>
      </c>
      <c r="BC13" s="1648" t="n">
        <f aca="false">IF(AND(WeekDef=8,CustomMFFlag,CustomMFPeriod=4),INDEX(VolumeHourlyOver,AC13,1),IF(OR(WeekDef=1,WeekDef=3,WeekDef=5,WeekDef=7,AND(WeekDef=8,CustomMFFlag,OR(CustomMFPeriod=1,CustomMFPeriod=3))),IF(VolumeMonthlyOverFlag,INDEX(VolumeMonthlyOver,AE13),Volume),0))</f>
        <v>150</v>
      </c>
      <c r="BD13" s="1652" t="n">
        <f aca="false">SUM(AF13:AU13)</f>
        <v>2400</v>
      </c>
      <c r="BE13" s="1653" t="n">
        <f aca="false">SUM(AV13:BC13)</f>
        <v>1200</v>
      </c>
      <c r="BF13" s="1654" t="n">
        <f aca="false">BD13+BE13</f>
        <v>3600</v>
      </c>
      <c r="BG13" s="1655" t="n">
        <f aca="false">IF(BD13,SUMPRODUCT(AF13:AU13,F29:U29)/BD13,0)</f>
        <v>0.999999992549419</v>
      </c>
      <c r="BH13" s="1655" t="n">
        <f aca="false">IF(BE13,SUMPRODUCT(AV13:BC13,V29:AC29)/BE13,0)</f>
        <v>0.999999992549419</v>
      </c>
      <c r="BJ13" s="1636" t="n">
        <v>9</v>
      </c>
      <c r="BK13" s="1646" t="n">
        <f aca="false">IF(AND(WeekDef=8,CustomMFFlag,CustomMFPeriod=4),INDEX(IF(DiffOptVolumeFlag,DiffOptVolumeHourlyOver,VolumeHourlyOver),F13,1),IF(OR(WeekDef=1,WeekDef=2,WeekDef=4,WeekDef=6,AND(WeekDef=8,CustomMFFlag,OR(CustomMFPeriod=1,CustomMFPeriod=2))),IF(VolumeMonthlyOverFlag,INDEX(IF(DiffOptVolumeFlag,DiffOptVolumeMonthlyOver,VolumeMonthlyOver),BJ13),IF(DiffOptVolumeFlag,DiffOptVolume,Volume)),0))</f>
        <v>600</v>
      </c>
      <c r="BL13" s="1647" t="n">
        <f aca="false">IF(AND(WeekDef=8,CustomMFFlag,CustomMFPeriod=4),INDEX(IF(DiffOptVolumeFlag,DiffOptVolumeHourlyOver,VolumeHourlyOver),G13,1),IF(OR(WeekDef=1,WeekDef=2,WeekDef=4,WeekDef=6,AND(WeekDef=8,CustomMFFlag,OR(CustomMFPeriod=1,CustomMFPeriod=2))),IF(VolumeMonthlyOverFlag,INDEX(IF(DiffOptVolumeFlag,DiffOptVolumeMonthlyOver,VolumeMonthlyOver),BJ13),IF(DiffOptVolumeFlag,DiffOptVolume,Volume)),0))</f>
        <v>600</v>
      </c>
      <c r="BM13" s="1647" t="n">
        <f aca="false">IF(AND(WeekDef=8,CustomMFFlag,CustomMFPeriod=4),INDEX(IF(DiffOptVolumeFlag,DiffOptVolumeHourlyOver,VolumeHourlyOver),H13,1),IF(OR(WeekDef=1,WeekDef=2,WeekDef=4,WeekDef=6,AND(WeekDef=8,CustomMFFlag,OR(CustomMFPeriod=1,CustomMFPeriod=2))),IF(VolumeMonthlyOverFlag,INDEX(IF(DiffOptVolumeFlag,DiffOptVolumeMonthlyOver,VolumeMonthlyOver),BJ13),IF(DiffOptVolumeFlag,DiffOptVolume,Volume)),0))</f>
        <v>600</v>
      </c>
      <c r="BN13" s="1647" t="n">
        <f aca="false">IF(AND(WeekDef=8,CustomMFFlag,CustomMFPeriod=4),INDEX(IF(DiffOptVolumeFlag,DiffOptVolumeHourlyOver,VolumeHourlyOver),I13,1),IF(OR(WeekDef=1,WeekDef=2,WeekDef=4,WeekDef=6,AND(WeekDef=8,CustomMFFlag,OR(CustomMFPeriod=1,CustomMFPeriod=2))),IF(VolumeMonthlyOverFlag,INDEX(IF(DiffOptVolumeFlag,DiffOptVolumeMonthlyOver,VolumeMonthlyOver),BJ13),IF(DiffOptVolumeFlag,DiffOptVolume,Volume)),0))</f>
        <v>600</v>
      </c>
      <c r="BO13" s="1647" t="n">
        <f aca="false">IF(AND(WeekDef=8,CustomMFFlag,CustomMFPeriod=4),INDEX(IF(DiffOptVolumeFlag,DiffOptVolumeHourlyOver,VolumeHourlyOver),J13,1),IF(OR(WeekDef=1,WeekDef=2,WeekDef=4,WeekDef=6,AND(WeekDef=8,CustomMFFlag,OR(CustomMFPeriod=1,CustomMFPeriod=2))),IF(VolumeMonthlyOverFlag,INDEX(IF(DiffOptVolumeFlag,DiffOptVolumeMonthlyOver,VolumeMonthlyOver),BJ13),IF(DiffOptVolumeFlag,DiffOptVolume,Volume)),0))</f>
        <v>600</v>
      </c>
      <c r="BP13" s="1647" t="n">
        <f aca="false">IF(AND(WeekDef=8,CustomMFFlag,CustomMFPeriod=4),INDEX(IF(DiffOptVolumeFlag,DiffOptVolumeHourlyOver,VolumeHourlyOver),K13,1),IF(OR(WeekDef=1,WeekDef=2,WeekDef=4,WeekDef=6,AND(WeekDef=8,CustomMFFlag,OR(CustomMFPeriod=1,CustomMFPeriod=2))),IF(VolumeMonthlyOverFlag,INDEX(IF(DiffOptVolumeFlag,DiffOptVolumeMonthlyOver,VolumeMonthlyOver),BJ13),IF(DiffOptVolumeFlag,DiffOptVolume,Volume)),0))</f>
        <v>600</v>
      </c>
      <c r="BQ13" s="1647" t="n">
        <f aca="false">IF(AND(WeekDef=8,CustomMFFlag,CustomMFPeriod=4),INDEX(IF(DiffOptVolumeFlag,DiffOptVolumeHourlyOver,VolumeHourlyOver),L13,1),IF(OR(WeekDef=1,WeekDef=2,WeekDef=4,WeekDef=6,AND(WeekDef=8,CustomMFFlag,OR(CustomMFPeriod=1,CustomMFPeriod=2))),IF(VolumeMonthlyOverFlag,INDEX(IF(DiffOptVolumeFlag,DiffOptVolumeMonthlyOver,VolumeMonthlyOver),BJ13),IF(DiffOptVolumeFlag,DiffOptVolume,Volume)),0))</f>
        <v>600</v>
      </c>
      <c r="BR13" s="1647" t="n">
        <f aca="false">IF(AND(WeekDef=8,CustomMFFlag,CustomMFPeriod=4),INDEX(IF(DiffOptVolumeFlag,DiffOptVolumeHourlyOver,VolumeHourlyOver),M13,1),IF(OR(WeekDef=1,WeekDef=2,WeekDef=4,WeekDef=6,AND(WeekDef=8,CustomMFFlag,OR(CustomMFPeriod=1,CustomMFPeriod=2))),IF(VolumeMonthlyOverFlag,INDEX(IF(DiffOptVolumeFlag,DiffOptVolumeMonthlyOver,VolumeMonthlyOver),BJ13),IF(DiffOptVolumeFlag,DiffOptVolume,Volume)),0))</f>
        <v>600</v>
      </c>
      <c r="BS13" s="1647" t="n">
        <f aca="false">IF(AND(WeekDef=8,CustomMFFlag,CustomMFPeriod=4),INDEX(IF(DiffOptVolumeFlag,DiffOptVolumeHourlyOver,VolumeHourlyOver),N13,1),IF(OR(WeekDef=1,WeekDef=2,WeekDef=4,WeekDef=6,AND(WeekDef=8,CustomMFFlag,OR(CustomMFPeriod=1,CustomMFPeriod=2))),IF(VolumeMonthlyOverFlag,INDEX(IF(DiffOptVolumeFlag,DiffOptVolumeMonthlyOver,VolumeMonthlyOver),BJ13),IF(DiffOptVolumeFlag,DiffOptVolume,Volume)),0))</f>
        <v>600</v>
      </c>
      <c r="BT13" s="1647" t="n">
        <f aca="false">IF(AND(WeekDef=8,CustomMFFlag,CustomMFPeriod=4),INDEX(IF(DiffOptVolumeFlag,DiffOptVolumeHourlyOver,VolumeHourlyOver),O13,1),IF(OR(WeekDef=1,WeekDef=2,WeekDef=4,WeekDef=6,AND(WeekDef=8,CustomMFFlag,OR(CustomMFPeriod=1,CustomMFPeriod=2))),IF(VolumeMonthlyOverFlag,INDEX(IF(DiffOptVolumeFlag,DiffOptVolumeMonthlyOver,VolumeMonthlyOver),BJ13),IF(DiffOptVolumeFlag,DiffOptVolume,Volume)),0))</f>
        <v>600</v>
      </c>
      <c r="BU13" s="1647" t="n">
        <f aca="false">IF(AND(WeekDef=8,CustomMFFlag,CustomMFPeriod=4),INDEX(IF(DiffOptVolumeFlag,DiffOptVolumeHourlyOver,VolumeHourlyOver),P13,1),IF(OR(WeekDef=1,WeekDef=2,WeekDef=4,WeekDef=6,AND(WeekDef=8,CustomMFFlag,OR(CustomMFPeriod=1,CustomMFPeriod=2))),IF(VolumeMonthlyOverFlag,INDEX(IF(DiffOptVolumeFlag,DiffOptVolumeMonthlyOver,VolumeMonthlyOver),BJ13),IF(DiffOptVolumeFlag,DiffOptVolume,Volume)),0))</f>
        <v>600</v>
      </c>
      <c r="BV13" s="1647" t="n">
        <f aca="false">IF(AND(WeekDef=8,CustomMFFlag,CustomMFPeriod=4),INDEX(IF(DiffOptVolumeFlag,DiffOptVolumeHourlyOver,VolumeHourlyOver),Q13,1),IF(OR(WeekDef=1,WeekDef=2,WeekDef=4,WeekDef=6,AND(WeekDef=8,CustomMFFlag,OR(CustomMFPeriod=1,CustomMFPeriod=2))),IF(VolumeMonthlyOverFlag,INDEX(IF(DiffOptVolumeFlag,DiffOptVolumeMonthlyOver,VolumeMonthlyOver),BJ13),IF(DiffOptVolumeFlag,DiffOptVolume,Volume)),0))</f>
        <v>600</v>
      </c>
      <c r="BW13" s="1647" t="n">
        <f aca="false">IF(AND(WeekDef=8,CustomMFFlag,CustomMFPeriod=4),INDEX(IF(DiffOptVolumeFlag,DiffOptVolumeHourlyOver,VolumeHourlyOver),R13,1),IF(OR(WeekDef=1,WeekDef=2,WeekDef=4,WeekDef=6,AND(WeekDef=8,CustomMFFlag,OR(CustomMFPeriod=1,CustomMFPeriod=2))),IF(VolumeMonthlyOverFlag,INDEX(IF(DiffOptVolumeFlag,DiffOptVolumeMonthlyOver,VolumeMonthlyOver),BJ13),IF(DiffOptVolumeFlag,DiffOptVolume,Volume)),0))</f>
        <v>600</v>
      </c>
      <c r="BX13" s="1647" t="n">
        <f aca="false">IF(AND(WeekDef=8,CustomMFFlag,CustomMFPeriod=4),INDEX(IF(DiffOptVolumeFlag,DiffOptVolumeHourlyOver,VolumeHourlyOver),S13,1),IF(OR(WeekDef=1,WeekDef=2,WeekDef=4,WeekDef=6,AND(WeekDef=8,CustomMFFlag,OR(CustomMFPeriod=1,CustomMFPeriod=2))),IF(VolumeMonthlyOverFlag,INDEX(IF(DiffOptVolumeFlag,DiffOptVolumeMonthlyOver,VolumeMonthlyOver),BJ13),IF(DiffOptVolumeFlag,DiffOptVolume,Volume)),0))</f>
        <v>600</v>
      </c>
      <c r="BY13" s="1647" t="n">
        <f aca="false">IF(AND(WeekDef=8,CustomMFFlag,CustomMFPeriod=4),INDEX(IF(DiffOptVolumeFlag,DiffOptVolumeHourlyOver,VolumeHourlyOver),T13,1),IF(OR(WeekDef=1,WeekDef=2,WeekDef=4,WeekDef=6,AND(WeekDef=8,CustomMFFlag,OR(CustomMFPeriod=1,CustomMFPeriod=2))),IF(VolumeMonthlyOverFlag,INDEX(IF(DiffOptVolumeFlag,DiffOptVolumeMonthlyOver,VolumeMonthlyOver),BJ13),IF(DiffOptVolumeFlag,DiffOptVolume,Volume)),0))</f>
        <v>600</v>
      </c>
      <c r="BZ13" s="1648" t="n">
        <f aca="false">IF(AND(WeekDef=8,CustomMFFlag,CustomMFPeriod=4),INDEX(IF(DiffOptVolumeFlag,DiffOptVolumeHourlyOver,VolumeHourlyOver),U13,1),IF(OR(WeekDef=1,WeekDef=2,WeekDef=4,WeekDef=6,AND(WeekDef=8,CustomMFFlag,OR(CustomMFPeriod=1,CustomMFPeriod=2))),IF(VolumeMonthlyOverFlag,INDEX(IF(DiffOptVolumeFlag,DiffOptVolumeMonthlyOver,VolumeMonthlyOver),BJ13),IF(DiffOptVolumeFlag,DiffOptVolume,Volume)),0))</f>
        <v>600</v>
      </c>
      <c r="CA13" s="1647" t="n">
        <f aca="false">IF(AND(WeekDef=8,CustomMFFlag,CustomMFPeriod=4),INDEX(IF(DiffOptVolumeFlag,DiffOptVolumeHourlyOver,VolumeHourlyOver),V13,1),IF(OR(WeekDef=1,WeekDef=3,WeekDef=5,WeekDef=7,AND(WeekDef=8,CustomMFFlag,OR(CustomMFPeriod=1,CustomMFPeriod=3))),IF(VolumeMonthlyOverFlag,INDEX(IF(DiffOptVolumeFlag,DiffOptVolumeMonthlyOver,VolumeMonthlyOver),BJ13),IF(DiffOptVolumeFlag,DiffOptVolume,Volume)),0))</f>
        <v>600</v>
      </c>
      <c r="CB13" s="1647" t="n">
        <f aca="false">IF(AND(WeekDef=8,CustomMFFlag,CustomMFPeriod=4),INDEX(IF(DiffOptVolumeFlag,DiffOptVolumeHourlyOver,VolumeHourlyOver),W13,1),IF(OR(WeekDef=1,WeekDef=3,WeekDef=5,WeekDef=7,AND(WeekDef=8,CustomMFFlag,OR(CustomMFPeriod=1,CustomMFPeriod=3))),IF(VolumeMonthlyOverFlag,INDEX(IF(DiffOptVolumeFlag,DiffOptVolumeMonthlyOver,VolumeMonthlyOver),BJ13),IF(DiffOptVolumeFlag,DiffOptVolume,Volume)),0))</f>
        <v>600</v>
      </c>
      <c r="CC13" s="1647" t="n">
        <f aca="false">IF(AND(WeekDef=8,CustomMFFlag,CustomMFPeriod=4),INDEX(IF(DiffOptVolumeFlag,DiffOptVolumeHourlyOver,VolumeHourlyOver),X13,1),IF(OR(WeekDef=1,WeekDef=3,WeekDef=5,WeekDef=7,AND(WeekDef=8,CustomMFFlag,OR(CustomMFPeriod=1,CustomMFPeriod=3))),IF(VolumeMonthlyOverFlag,INDEX(IF(DiffOptVolumeFlag,DiffOptVolumeMonthlyOver,VolumeMonthlyOver),BJ13),IF(DiffOptVolumeFlag,DiffOptVolume,Volume)),0))</f>
        <v>600</v>
      </c>
      <c r="CD13" s="1647" t="n">
        <f aca="false">IF(AND(WeekDef=8,CustomMFFlag,CustomMFPeriod=4),INDEX(IF(DiffOptVolumeFlag,DiffOptVolumeHourlyOver,VolumeHourlyOver),Y13,1),IF(OR(WeekDef=1,WeekDef=3,WeekDef=5,WeekDef=7,AND(WeekDef=8,CustomMFFlag,OR(CustomMFPeriod=1,CustomMFPeriod=3))),IF(VolumeMonthlyOverFlag,INDEX(IF(DiffOptVolumeFlag,DiffOptVolumeMonthlyOver,VolumeMonthlyOver),BJ13),IF(DiffOptVolumeFlag,DiffOptVolume,Volume)),0))</f>
        <v>600</v>
      </c>
      <c r="CE13" s="1647" t="n">
        <f aca="false">IF(AND(WeekDef=8,CustomMFFlag,CustomMFPeriod=4),INDEX(IF(DiffOptVolumeFlag,DiffOptVolumeHourlyOver,VolumeHourlyOver),Z13,1),IF(OR(WeekDef=1,WeekDef=3,WeekDef=5,WeekDef=7,AND(WeekDef=8,CustomMFFlag,OR(CustomMFPeriod=1,CustomMFPeriod=3))),IF(VolumeMonthlyOverFlag,INDEX(IF(DiffOptVolumeFlag,DiffOptVolumeMonthlyOver,VolumeMonthlyOver),BJ13),IF(DiffOptVolumeFlag,DiffOptVolume,Volume)),0))</f>
        <v>600</v>
      </c>
      <c r="CF13" s="1647" t="n">
        <f aca="false">IF(AND(WeekDef=8,CustomMFFlag,CustomMFPeriod=4),INDEX(IF(DiffOptVolumeFlag,DiffOptVolumeHourlyOver,VolumeHourlyOver),AA13,1),IF(OR(WeekDef=1,WeekDef=3,WeekDef=5,WeekDef=7,AND(WeekDef=8,CustomMFFlag,OR(CustomMFPeriod=1,CustomMFPeriod=3))),IF(VolumeMonthlyOverFlag,INDEX(IF(DiffOptVolumeFlag,DiffOptVolumeMonthlyOver,VolumeMonthlyOver),BJ13),IF(DiffOptVolumeFlag,DiffOptVolume,Volume)),0))</f>
        <v>600</v>
      </c>
      <c r="CG13" s="1647" t="n">
        <f aca="false">IF(AND(WeekDef=8,CustomMFFlag,CustomMFPeriod=4),INDEX(IF(DiffOptVolumeFlag,DiffOptVolumeHourlyOver,VolumeHourlyOver),AB13,1),IF(OR(WeekDef=1,WeekDef=3,WeekDef=5,WeekDef=7,AND(WeekDef=8,CustomMFFlag,OR(CustomMFPeriod=1,CustomMFPeriod=3))),IF(VolumeMonthlyOverFlag,INDEX(IF(DiffOptVolumeFlag,DiffOptVolumeMonthlyOver,VolumeMonthlyOver),BJ13),IF(DiffOptVolumeFlag,DiffOptVolume,Volume)),0))</f>
        <v>600</v>
      </c>
      <c r="CH13" s="1648" t="n">
        <f aca="false">IF(AND(WeekDef=8,CustomMFFlag,CustomMFPeriod=4),INDEX(IF(DiffOptVolumeFlag,DiffOptVolumeHourlyOver,VolumeHourlyOver),AC13,1),IF(OR(WeekDef=1,WeekDef=3,WeekDef=5,WeekDef=7,AND(WeekDef=8,CustomMFFlag,OR(CustomMFPeriod=1,CustomMFPeriod=3))),IF(VolumeMonthlyOverFlag,INDEX(IF(DiffOptVolumeFlag,DiffOptVolumeMonthlyOver,VolumeMonthlyOver),BJ13),IF(DiffOptVolumeFlag,DiffOptVolume,Volume)),0))</f>
        <v>600</v>
      </c>
      <c r="CI13" s="1652" t="n">
        <f aca="false">SUM(BK13:BZ13)</f>
        <v>9600</v>
      </c>
      <c r="CJ13" s="1653" t="n">
        <f aca="false">SUM(CA13:CH13)</f>
        <v>4800</v>
      </c>
      <c r="CK13" s="1654" t="n">
        <f aca="false">CI13+CJ13</f>
        <v>14400</v>
      </c>
      <c r="CL13" s="1655" t="n">
        <f aca="false">IF(CI13,SUMPRODUCT(BK13:BZ13,F29:U29)/CI13,0)</f>
        <v>0.999999992549419</v>
      </c>
      <c r="CM13" s="1655" t="n">
        <f aca="false">IF(CJ13,SUMPRODUCT(CA13:CH13,V29:AC29)/CJ13,0)</f>
        <v>0.999999992549419</v>
      </c>
      <c r="CO13" s="1646" t="n">
        <v>9</v>
      </c>
      <c r="CP13" s="1659" t="n">
        <f aca="false">MAX(AF13:BC13,AF27:BC27,AF41:BC41,AF55:BC55)</f>
        <v>150</v>
      </c>
      <c r="CQ13" s="1660" t="n">
        <f aca="false">MAX(BK13:CH13,BK27:CH27,BK41:CH41,BK55:CH55)</f>
        <v>600</v>
      </c>
      <c r="DE13" s="1658"/>
    </row>
    <row r="14" customFormat="false" ht="12.75" hidden="false" customHeight="false" outlineLevel="0" collapsed="false">
      <c r="E14" s="1636" t="n">
        <v>10</v>
      </c>
      <c r="F14" s="1646" t="n">
        <v>19</v>
      </c>
      <c r="G14" s="1647" t="n">
        <v>20</v>
      </c>
      <c r="H14" s="1647" t="n">
        <v>11</v>
      </c>
      <c r="I14" s="1647" t="n">
        <v>10</v>
      </c>
      <c r="J14" s="1647" t="n">
        <v>12</v>
      </c>
      <c r="K14" s="1647" t="n">
        <v>13</v>
      </c>
      <c r="L14" s="1647" t="n">
        <v>18</v>
      </c>
      <c r="M14" s="1647" t="n">
        <v>21</v>
      </c>
      <c r="N14" s="1647" t="n">
        <v>14</v>
      </c>
      <c r="O14" s="1647" t="n">
        <v>15</v>
      </c>
      <c r="P14" s="1647" t="n">
        <v>9</v>
      </c>
      <c r="Q14" s="1647" t="n">
        <v>16</v>
      </c>
      <c r="R14" s="1647" t="n">
        <v>17</v>
      </c>
      <c r="S14" s="1647" t="n">
        <v>8</v>
      </c>
      <c r="T14" s="1647" t="n">
        <v>22</v>
      </c>
      <c r="U14" s="1648" t="n">
        <v>7</v>
      </c>
      <c r="V14" s="1647" t="n">
        <v>23</v>
      </c>
      <c r="W14" s="1647" t="n">
        <v>6</v>
      </c>
      <c r="X14" s="1647" t="n">
        <v>24</v>
      </c>
      <c r="Y14" s="1647" t="n">
        <v>1</v>
      </c>
      <c r="Z14" s="1647" t="n">
        <v>5</v>
      </c>
      <c r="AA14" s="1647" t="n">
        <v>2</v>
      </c>
      <c r="AB14" s="1647" t="n">
        <v>3</v>
      </c>
      <c r="AC14" s="1648" t="n">
        <v>4</v>
      </c>
      <c r="AD14" s="1621"/>
      <c r="AE14" s="1636" t="n">
        <v>10</v>
      </c>
      <c r="AF14" s="1646" t="n">
        <f aca="false">IF(AND(WeekDef=8,CustomMFFlag,CustomMFPeriod=4),INDEX(VolumeHourlyOver,F14,1),IF(OR(WeekDef=1,WeekDef=2,WeekDef=4,WeekDef=6,AND(WeekDef=8,CustomMFFlag,OR(CustomMFPeriod=1,CustomMFPeriod=2))),IF(VolumeMonthlyOverFlag,INDEX(VolumeMonthlyOver,AE14),Volume),0))</f>
        <v>150</v>
      </c>
      <c r="AG14" s="1647" t="n">
        <f aca="false">IF(AND(WeekDef=8,CustomMFFlag,CustomMFPeriod=4),INDEX(VolumeHourlyOver,G14,1),IF(OR(WeekDef=1,WeekDef=2,WeekDef=4,WeekDef=6,AND(WeekDef=8,CustomMFFlag,OR(CustomMFPeriod=1,CustomMFPeriod=2))),IF(VolumeMonthlyOverFlag,INDEX(VolumeMonthlyOver,AE14),Volume),0))</f>
        <v>150</v>
      </c>
      <c r="AH14" s="1647" t="n">
        <f aca="false">IF(AND(WeekDef=8,CustomMFFlag,CustomMFPeriod=4),INDEX(VolumeHourlyOver,H14,1),IF(OR(WeekDef=1,WeekDef=2,WeekDef=4,WeekDef=6,AND(WeekDef=8,CustomMFFlag,OR(CustomMFPeriod=1,CustomMFPeriod=2))),IF(VolumeMonthlyOverFlag,INDEX(VolumeMonthlyOver,AE14),Volume),0))</f>
        <v>150</v>
      </c>
      <c r="AI14" s="1647" t="n">
        <f aca="false">IF(AND(WeekDef=8,CustomMFFlag,CustomMFPeriod=4),INDEX(VolumeHourlyOver,I14,1),IF(OR(WeekDef=1,WeekDef=2,WeekDef=4,WeekDef=6,AND(WeekDef=8,CustomMFFlag,OR(CustomMFPeriod=1,CustomMFPeriod=2))),IF(VolumeMonthlyOverFlag,INDEX(VolumeMonthlyOver,AE14),Volume),0))</f>
        <v>150</v>
      </c>
      <c r="AJ14" s="1647" t="n">
        <f aca="false">IF(AND(WeekDef=8,CustomMFFlag,CustomMFPeriod=4),INDEX(VolumeHourlyOver,J14,1),IF(OR(WeekDef=1,WeekDef=2,WeekDef=4,WeekDef=6,AND(WeekDef=8,CustomMFFlag,OR(CustomMFPeriod=1,CustomMFPeriod=2))),IF(VolumeMonthlyOverFlag,INDEX(VolumeMonthlyOver,AE14),Volume),0))</f>
        <v>150</v>
      </c>
      <c r="AK14" s="1647" t="n">
        <f aca="false">IF(AND(WeekDef=8,CustomMFFlag,CustomMFPeriod=4),INDEX(VolumeHourlyOver,K14,1),IF(OR(WeekDef=1,WeekDef=2,WeekDef=4,WeekDef=6,AND(WeekDef=8,CustomMFFlag,OR(CustomMFPeriod=1,CustomMFPeriod=2))),IF(VolumeMonthlyOverFlag,INDEX(VolumeMonthlyOver,AE14),Volume),0))</f>
        <v>150</v>
      </c>
      <c r="AL14" s="1647" t="n">
        <f aca="false">IF(AND(WeekDef=8,CustomMFFlag,CustomMFPeriod=4),INDEX(VolumeHourlyOver,L14,1),IF(OR(WeekDef=1,WeekDef=2,WeekDef=4,WeekDef=6,AND(WeekDef=8,CustomMFFlag,OR(CustomMFPeriod=1,CustomMFPeriod=2))),IF(VolumeMonthlyOverFlag,INDEX(VolumeMonthlyOver,AE14),Volume),0))</f>
        <v>150</v>
      </c>
      <c r="AM14" s="1647" t="n">
        <f aca="false">IF(AND(WeekDef=8,CustomMFFlag,CustomMFPeriod=4),INDEX(VolumeHourlyOver,M14,1),IF(OR(WeekDef=1,WeekDef=2,WeekDef=4,WeekDef=6,AND(WeekDef=8,CustomMFFlag,OR(CustomMFPeriod=1,CustomMFPeriod=2))),IF(VolumeMonthlyOverFlag,INDEX(VolumeMonthlyOver,AE14),Volume),0))</f>
        <v>150</v>
      </c>
      <c r="AN14" s="1647" t="n">
        <f aca="false">IF(AND(WeekDef=8,CustomMFFlag,CustomMFPeriod=4),INDEX(VolumeHourlyOver,N14,1),IF(OR(WeekDef=1,WeekDef=2,WeekDef=4,WeekDef=6,AND(WeekDef=8,CustomMFFlag,OR(CustomMFPeriod=1,CustomMFPeriod=2))),IF(VolumeMonthlyOverFlag,INDEX(VolumeMonthlyOver,AE14),Volume),0))</f>
        <v>150</v>
      </c>
      <c r="AO14" s="1647" t="n">
        <f aca="false">IF(AND(WeekDef=8,CustomMFFlag,CustomMFPeriod=4),INDEX(VolumeHourlyOver,O14,1),IF(OR(WeekDef=1,WeekDef=2,WeekDef=4,WeekDef=6,AND(WeekDef=8,CustomMFFlag,OR(CustomMFPeriod=1,CustomMFPeriod=2))),IF(VolumeMonthlyOverFlag,INDEX(VolumeMonthlyOver,AE14),Volume),0))</f>
        <v>150</v>
      </c>
      <c r="AP14" s="1647" t="n">
        <f aca="false">IF(AND(WeekDef=8,CustomMFFlag,CustomMFPeriod=4),INDEX(VolumeHourlyOver,P14,1),IF(OR(WeekDef=1,WeekDef=2,WeekDef=4,WeekDef=6,AND(WeekDef=8,CustomMFFlag,OR(CustomMFPeriod=1,CustomMFPeriod=2))),IF(VolumeMonthlyOverFlag,INDEX(VolumeMonthlyOver,AE14),Volume),0))</f>
        <v>150</v>
      </c>
      <c r="AQ14" s="1647" t="n">
        <f aca="false">IF(AND(WeekDef=8,CustomMFFlag,CustomMFPeriod=4),INDEX(VolumeHourlyOver,Q14,1),IF(OR(WeekDef=1,WeekDef=2,WeekDef=4,WeekDef=6,AND(WeekDef=8,CustomMFFlag,OR(CustomMFPeriod=1,CustomMFPeriod=2))),IF(VolumeMonthlyOverFlag,INDEX(VolumeMonthlyOver,AE14),Volume),0))</f>
        <v>150</v>
      </c>
      <c r="AR14" s="1647" t="n">
        <f aca="false">IF(AND(WeekDef=8,CustomMFFlag,CustomMFPeriod=4),INDEX(VolumeHourlyOver,R14,1),IF(OR(WeekDef=1,WeekDef=2,WeekDef=4,WeekDef=6,AND(WeekDef=8,CustomMFFlag,OR(CustomMFPeriod=1,CustomMFPeriod=2))),IF(VolumeMonthlyOverFlag,INDEX(VolumeMonthlyOver,AE14),Volume),0))</f>
        <v>150</v>
      </c>
      <c r="AS14" s="1647" t="n">
        <f aca="false">IF(AND(WeekDef=8,CustomMFFlag,CustomMFPeriod=4),INDEX(VolumeHourlyOver,S14,1),IF(OR(WeekDef=1,WeekDef=2,WeekDef=4,WeekDef=6,AND(WeekDef=8,CustomMFFlag,OR(CustomMFPeriod=1,CustomMFPeriod=2))),IF(VolumeMonthlyOverFlag,INDEX(VolumeMonthlyOver,AE14),Volume),0))</f>
        <v>150</v>
      </c>
      <c r="AT14" s="1647" t="n">
        <f aca="false">IF(AND(WeekDef=8,CustomMFFlag,CustomMFPeriod=4),INDEX(VolumeHourlyOver,T14,1),IF(OR(WeekDef=1,WeekDef=2,WeekDef=4,WeekDef=6,AND(WeekDef=8,CustomMFFlag,OR(CustomMFPeriod=1,CustomMFPeriod=2))),IF(VolumeMonthlyOverFlag,INDEX(VolumeMonthlyOver,AE14),Volume),0))</f>
        <v>150</v>
      </c>
      <c r="AU14" s="1648" t="n">
        <f aca="false">IF(AND(WeekDef=8,CustomMFFlag,CustomMFPeriod=4),INDEX(VolumeHourlyOver,U14,1),IF(OR(WeekDef=1,WeekDef=2,WeekDef=4,WeekDef=6,AND(WeekDef=8,CustomMFFlag,OR(CustomMFPeriod=1,CustomMFPeriod=2))),IF(VolumeMonthlyOverFlag,INDEX(VolumeMonthlyOver,AE14),Volume),0))</f>
        <v>150</v>
      </c>
      <c r="AV14" s="1647" t="n">
        <f aca="false">IF(AND(WeekDef=8,CustomMFFlag,CustomMFPeriod=4),INDEX(VolumeHourlyOver,V14,1),IF(OR(WeekDef=1,WeekDef=3,WeekDef=5,WeekDef=7,AND(WeekDef=8,CustomMFFlag,OR(CustomMFPeriod=1,CustomMFPeriod=3))),IF(VolumeMonthlyOverFlag,INDEX(VolumeMonthlyOver,AE14),Volume),0))</f>
        <v>150</v>
      </c>
      <c r="AW14" s="1647" t="n">
        <f aca="false">IF(AND(WeekDef=8,CustomMFFlag,CustomMFPeriod=4),INDEX(VolumeHourlyOver,W14,1),IF(OR(WeekDef=1,WeekDef=3,WeekDef=5,WeekDef=7,AND(WeekDef=8,CustomMFFlag,OR(CustomMFPeriod=1,CustomMFPeriod=3))),IF(VolumeMonthlyOverFlag,INDEX(VolumeMonthlyOver,AE14),Volume),0))</f>
        <v>150</v>
      </c>
      <c r="AX14" s="1647" t="n">
        <f aca="false">IF(AND(WeekDef=8,CustomMFFlag,CustomMFPeriod=4),INDEX(VolumeHourlyOver,X14,1),IF(OR(WeekDef=1,WeekDef=3,WeekDef=5,WeekDef=7,AND(WeekDef=8,CustomMFFlag,OR(CustomMFPeriod=1,CustomMFPeriod=3))),IF(VolumeMonthlyOverFlag,INDEX(VolumeMonthlyOver,AE14),Volume),0))</f>
        <v>150</v>
      </c>
      <c r="AY14" s="1647" t="n">
        <f aca="false">IF(AND(WeekDef=8,CustomMFFlag,CustomMFPeriod=4),INDEX(VolumeHourlyOver,Y14,1),IF(OR(WeekDef=1,WeekDef=3,WeekDef=5,WeekDef=7,AND(WeekDef=8,CustomMFFlag,OR(CustomMFPeriod=1,CustomMFPeriod=3))),IF(VolumeMonthlyOverFlag,INDEX(VolumeMonthlyOver,AE14),Volume),0))</f>
        <v>150</v>
      </c>
      <c r="AZ14" s="1647" t="n">
        <f aca="false">IF(AND(WeekDef=8,CustomMFFlag,CustomMFPeriod=4),INDEX(VolumeHourlyOver,Z14,1),IF(OR(WeekDef=1,WeekDef=3,WeekDef=5,WeekDef=7,AND(WeekDef=8,CustomMFFlag,OR(CustomMFPeriod=1,CustomMFPeriod=3))),IF(VolumeMonthlyOverFlag,INDEX(VolumeMonthlyOver,AE14),Volume),0))</f>
        <v>150</v>
      </c>
      <c r="BA14" s="1647" t="n">
        <f aca="false">IF(AND(WeekDef=8,CustomMFFlag,CustomMFPeriod=4),INDEX(VolumeHourlyOver,AA14,1),IF(OR(WeekDef=1,WeekDef=3,WeekDef=5,WeekDef=7,AND(WeekDef=8,CustomMFFlag,OR(CustomMFPeriod=1,CustomMFPeriod=3))),IF(VolumeMonthlyOverFlag,INDEX(VolumeMonthlyOver,AE14),Volume),0))</f>
        <v>150</v>
      </c>
      <c r="BB14" s="1647" t="n">
        <f aca="false">IF(AND(WeekDef=8,CustomMFFlag,CustomMFPeriod=4),INDEX(VolumeHourlyOver,AB14,1),IF(OR(WeekDef=1,WeekDef=3,WeekDef=5,WeekDef=7,AND(WeekDef=8,CustomMFFlag,OR(CustomMFPeriod=1,CustomMFPeriod=3))),IF(VolumeMonthlyOverFlag,INDEX(VolumeMonthlyOver,AE14),Volume),0))</f>
        <v>150</v>
      </c>
      <c r="BC14" s="1648" t="n">
        <f aca="false">IF(AND(WeekDef=8,CustomMFFlag,CustomMFPeriod=4),INDEX(VolumeHourlyOver,AC14,1),IF(OR(WeekDef=1,WeekDef=3,WeekDef=5,WeekDef=7,AND(WeekDef=8,CustomMFFlag,OR(CustomMFPeriod=1,CustomMFPeriod=3))),IF(VolumeMonthlyOverFlag,INDEX(VolumeMonthlyOver,AE14),Volume),0))</f>
        <v>150</v>
      </c>
      <c r="BD14" s="1652" t="n">
        <f aca="false">SUM(AF14:AU14)</f>
        <v>2400</v>
      </c>
      <c r="BE14" s="1653" t="n">
        <f aca="false">SUM(AV14:BC14)</f>
        <v>1200</v>
      </c>
      <c r="BF14" s="1654" t="n">
        <f aca="false">BD14+BE14</f>
        <v>3600</v>
      </c>
      <c r="BG14" s="1655" t="n">
        <f aca="false">IF(BD14,SUMPRODUCT(AF14:AU14,F30:U30)/BD14,0)</f>
        <v>1.00000001490116</v>
      </c>
      <c r="BH14" s="1655" t="n">
        <f aca="false">IF(BE14,SUMPRODUCT(AV14:BC14,V30:AC30)/BE14,0)</f>
        <v>0.999999992549419</v>
      </c>
      <c r="BJ14" s="1636" t="n">
        <v>10</v>
      </c>
      <c r="BK14" s="1646" t="n">
        <f aca="false">IF(AND(WeekDef=8,CustomMFFlag,CustomMFPeriod=4),INDEX(IF(DiffOptVolumeFlag,DiffOptVolumeHourlyOver,VolumeHourlyOver),F14,1),IF(OR(WeekDef=1,WeekDef=2,WeekDef=4,WeekDef=6,AND(WeekDef=8,CustomMFFlag,OR(CustomMFPeriod=1,CustomMFPeriod=2))),IF(VolumeMonthlyOverFlag,INDEX(IF(DiffOptVolumeFlag,DiffOptVolumeMonthlyOver,VolumeMonthlyOver),BJ14),IF(DiffOptVolumeFlag,DiffOptVolume,Volume)),0))</f>
        <v>600</v>
      </c>
      <c r="BL14" s="1647" t="n">
        <f aca="false">IF(AND(WeekDef=8,CustomMFFlag,CustomMFPeriod=4),INDEX(IF(DiffOptVolumeFlag,DiffOptVolumeHourlyOver,VolumeHourlyOver),G14,1),IF(OR(WeekDef=1,WeekDef=2,WeekDef=4,WeekDef=6,AND(WeekDef=8,CustomMFFlag,OR(CustomMFPeriod=1,CustomMFPeriod=2))),IF(VolumeMonthlyOverFlag,INDEX(IF(DiffOptVolumeFlag,DiffOptVolumeMonthlyOver,VolumeMonthlyOver),BJ14),IF(DiffOptVolumeFlag,DiffOptVolume,Volume)),0))</f>
        <v>600</v>
      </c>
      <c r="BM14" s="1647" t="n">
        <f aca="false">IF(AND(WeekDef=8,CustomMFFlag,CustomMFPeriod=4),INDEX(IF(DiffOptVolumeFlag,DiffOptVolumeHourlyOver,VolumeHourlyOver),H14,1),IF(OR(WeekDef=1,WeekDef=2,WeekDef=4,WeekDef=6,AND(WeekDef=8,CustomMFFlag,OR(CustomMFPeriod=1,CustomMFPeriod=2))),IF(VolumeMonthlyOverFlag,INDEX(IF(DiffOptVolumeFlag,DiffOptVolumeMonthlyOver,VolumeMonthlyOver),BJ14),IF(DiffOptVolumeFlag,DiffOptVolume,Volume)),0))</f>
        <v>600</v>
      </c>
      <c r="BN14" s="1647" t="n">
        <f aca="false">IF(AND(WeekDef=8,CustomMFFlag,CustomMFPeriod=4),INDEX(IF(DiffOptVolumeFlag,DiffOptVolumeHourlyOver,VolumeHourlyOver),I14,1),IF(OR(WeekDef=1,WeekDef=2,WeekDef=4,WeekDef=6,AND(WeekDef=8,CustomMFFlag,OR(CustomMFPeriod=1,CustomMFPeriod=2))),IF(VolumeMonthlyOverFlag,INDEX(IF(DiffOptVolumeFlag,DiffOptVolumeMonthlyOver,VolumeMonthlyOver),BJ14),IF(DiffOptVolumeFlag,DiffOptVolume,Volume)),0))</f>
        <v>600</v>
      </c>
      <c r="BO14" s="1647" t="n">
        <f aca="false">IF(AND(WeekDef=8,CustomMFFlag,CustomMFPeriod=4),INDEX(IF(DiffOptVolumeFlag,DiffOptVolumeHourlyOver,VolumeHourlyOver),J14,1),IF(OR(WeekDef=1,WeekDef=2,WeekDef=4,WeekDef=6,AND(WeekDef=8,CustomMFFlag,OR(CustomMFPeriod=1,CustomMFPeriod=2))),IF(VolumeMonthlyOverFlag,INDEX(IF(DiffOptVolumeFlag,DiffOptVolumeMonthlyOver,VolumeMonthlyOver),BJ14),IF(DiffOptVolumeFlag,DiffOptVolume,Volume)),0))</f>
        <v>600</v>
      </c>
      <c r="BP14" s="1647" t="n">
        <f aca="false">IF(AND(WeekDef=8,CustomMFFlag,CustomMFPeriod=4),INDEX(IF(DiffOptVolumeFlag,DiffOptVolumeHourlyOver,VolumeHourlyOver),K14,1),IF(OR(WeekDef=1,WeekDef=2,WeekDef=4,WeekDef=6,AND(WeekDef=8,CustomMFFlag,OR(CustomMFPeriod=1,CustomMFPeriod=2))),IF(VolumeMonthlyOverFlag,INDEX(IF(DiffOptVolumeFlag,DiffOptVolumeMonthlyOver,VolumeMonthlyOver),BJ14),IF(DiffOptVolumeFlag,DiffOptVolume,Volume)),0))</f>
        <v>600</v>
      </c>
      <c r="BQ14" s="1647" t="n">
        <f aca="false">IF(AND(WeekDef=8,CustomMFFlag,CustomMFPeriod=4),INDEX(IF(DiffOptVolumeFlag,DiffOptVolumeHourlyOver,VolumeHourlyOver),L14,1),IF(OR(WeekDef=1,WeekDef=2,WeekDef=4,WeekDef=6,AND(WeekDef=8,CustomMFFlag,OR(CustomMFPeriod=1,CustomMFPeriod=2))),IF(VolumeMonthlyOverFlag,INDEX(IF(DiffOptVolumeFlag,DiffOptVolumeMonthlyOver,VolumeMonthlyOver),BJ14),IF(DiffOptVolumeFlag,DiffOptVolume,Volume)),0))</f>
        <v>600</v>
      </c>
      <c r="BR14" s="1647" t="n">
        <f aca="false">IF(AND(WeekDef=8,CustomMFFlag,CustomMFPeriod=4),INDEX(IF(DiffOptVolumeFlag,DiffOptVolumeHourlyOver,VolumeHourlyOver),M14,1),IF(OR(WeekDef=1,WeekDef=2,WeekDef=4,WeekDef=6,AND(WeekDef=8,CustomMFFlag,OR(CustomMFPeriod=1,CustomMFPeriod=2))),IF(VolumeMonthlyOverFlag,INDEX(IF(DiffOptVolumeFlag,DiffOptVolumeMonthlyOver,VolumeMonthlyOver),BJ14),IF(DiffOptVolumeFlag,DiffOptVolume,Volume)),0))</f>
        <v>600</v>
      </c>
      <c r="BS14" s="1647" t="n">
        <f aca="false">IF(AND(WeekDef=8,CustomMFFlag,CustomMFPeriod=4),INDEX(IF(DiffOptVolumeFlag,DiffOptVolumeHourlyOver,VolumeHourlyOver),N14,1),IF(OR(WeekDef=1,WeekDef=2,WeekDef=4,WeekDef=6,AND(WeekDef=8,CustomMFFlag,OR(CustomMFPeriod=1,CustomMFPeriod=2))),IF(VolumeMonthlyOverFlag,INDEX(IF(DiffOptVolumeFlag,DiffOptVolumeMonthlyOver,VolumeMonthlyOver),BJ14),IF(DiffOptVolumeFlag,DiffOptVolume,Volume)),0))</f>
        <v>600</v>
      </c>
      <c r="BT14" s="1647" t="n">
        <f aca="false">IF(AND(WeekDef=8,CustomMFFlag,CustomMFPeriod=4),INDEX(IF(DiffOptVolumeFlag,DiffOptVolumeHourlyOver,VolumeHourlyOver),O14,1),IF(OR(WeekDef=1,WeekDef=2,WeekDef=4,WeekDef=6,AND(WeekDef=8,CustomMFFlag,OR(CustomMFPeriod=1,CustomMFPeriod=2))),IF(VolumeMonthlyOverFlag,INDEX(IF(DiffOptVolumeFlag,DiffOptVolumeMonthlyOver,VolumeMonthlyOver),BJ14),IF(DiffOptVolumeFlag,DiffOptVolume,Volume)),0))</f>
        <v>600</v>
      </c>
      <c r="BU14" s="1647" t="n">
        <f aca="false">IF(AND(WeekDef=8,CustomMFFlag,CustomMFPeriod=4),INDEX(IF(DiffOptVolumeFlag,DiffOptVolumeHourlyOver,VolumeHourlyOver),P14,1),IF(OR(WeekDef=1,WeekDef=2,WeekDef=4,WeekDef=6,AND(WeekDef=8,CustomMFFlag,OR(CustomMFPeriod=1,CustomMFPeriod=2))),IF(VolumeMonthlyOverFlag,INDEX(IF(DiffOptVolumeFlag,DiffOptVolumeMonthlyOver,VolumeMonthlyOver),BJ14),IF(DiffOptVolumeFlag,DiffOptVolume,Volume)),0))</f>
        <v>600</v>
      </c>
      <c r="BV14" s="1647" t="n">
        <f aca="false">IF(AND(WeekDef=8,CustomMFFlag,CustomMFPeriod=4),INDEX(IF(DiffOptVolumeFlag,DiffOptVolumeHourlyOver,VolumeHourlyOver),Q14,1),IF(OR(WeekDef=1,WeekDef=2,WeekDef=4,WeekDef=6,AND(WeekDef=8,CustomMFFlag,OR(CustomMFPeriod=1,CustomMFPeriod=2))),IF(VolumeMonthlyOverFlag,INDEX(IF(DiffOptVolumeFlag,DiffOptVolumeMonthlyOver,VolumeMonthlyOver),BJ14),IF(DiffOptVolumeFlag,DiffOptVolume,Volume)),0))</f>
        <v>600</v>
      </c>
      <c r="BW14" s="1647" t="n">
        <f aca="false">IF(AND(WeekDef=8,CustomMFFlag,CustomMFPeriod=4),INDEX(IF(DiffOptVolumeFlag,DiffOptVolumeHourlyOver,VolumeHourlyOver),R14,1),IF(OR(WeekDef=1,WeekDef=2,WeekDef=4,WeekDef=6,AND(WeekDef=8,CustomMFFlag,OR(CustomMFPeriod=1,CustomMFPeriod=2))),IF(VolumeMonthlyOverFlag,INDEX(IF(DiffOptVolumeFlag,DiffOptVolumeMonthlyOver,VolumeMonthlyOver),BJ14),IF(DiffOptVolumeFlag,DiffOptVolume,Volume)),0))</f>
        <v>600</v>
      </c>
      <c r="BX14" s="1647" t="n">
        <f aca="false">IF(AND(WeekDef=8,CustomMFFlag,CustomMFPeriod=4),INDEX(IF(DiffOptVolumeFlag,DiffOptVolumeHourlyOver,VolumeHourlyOver),S14,1),IF(OR(WeekDef=1,WeekDef=2,WeekDef=4,WeekDef=6,AND(WeekDef=8,CustomMFFlag,OR(CustomMFPeriod=1,CustomMFPeriod=2))),IF(VolumeMonthlyOverFlag,INDEX(IF(DiffOptVolumeFlag,DiffOptVolumeMonthlyOver,VolumeMonthlyOver),BJ14),IF(DiffOptVolumeFlag,DiffOptVolume,Volume)),0))</f>
        <v>600</v>
      </c>
      <c r="BY14" s="1647" t="n">
        <f aca="false">IF(AND(WeekDef=8,CustomMFFlag,CustomMFPeriod=4),INDEX(IF(DiffOptVolumeFlag,DiffOptVolumeHourlyOver,VolumeHourlyOver),T14,1),IF(OR(WeekDef=1,WeekDef=2,WeekDef=4,WeekDef=6,AND(WeekDef=8,CustomMFFlag,OR(CustomMFPeriod=1,CustomMFPeriod=2))),IF(VolumeMonthlyOverFlag,INDEX(IF(DiffOptVolumeFlag,DiffOptVolumeMonthlyOver,VolumeMonthlyOver),BJ14),IF(DiffOptVolumeFlag,DiffOptVolume,Volume)),0))</f>
        <v>600</v>
      </c>
      <c r="BZ14" s="1648" t="n">
        <f aca="false">IF(AND(WeekDef=8,CustomMFFlag,CustomMFPeriod=4),INDEX(IF(DiffOptVolumeFlag,DiffOptVolumeHourlyOver,VolumeHourlyOver),U14,1),IF(OR(WeekDef=1,WeekDef=2,WeekDef=4,WeekDef=6,AND(WeekDef=8,CustomMFFlag,OR(CustomMFPeriod=1,CustomMFPeriod=2))),IF(VolumeMonthlyOverFlag,INDEX(IF(DiffOptVolumeFlag,DiffOptVolumeMonthlyOver,VolumeMonthlyOver),BJ14),IF(DiffOptVolumeFlag,DiffOptVolume,Volume)),0))</f>
        <v>600</v>
      </c>
      <c r="CA14" s="1647" t="n">
        <f aca="false">IF(AND(WeekDef=8,CustomMFFlag,CustomMFPeriod=4),INDEX(IF(DiffOptVolumeFlag,DiffOptVolumeHourlyOver,VolumeHourlyOver),V14,1),IF(OR(WeekDef=1,WeekDef=3,WeekDef=5,WeekDef=7,AND(WeekDef=8,CustomMFFlag,OR(CustomMFPeriod=1,CustomMFPeriod=3))),IF(VolumeMonthlyOverFlag,INDEX(IF(DiffOptVolumeFlag,DiffOptVolumeMonthlyOver,VolumeMonthlyOver),BJ14),IF(DiffOptVolumeFlag,DiffOptVolume,Volume)),0))</f>
        <v>600</v>
      </c>
      <c r="CB14" s="1647" t="n">
        <f aca="false">IF(AND(WeekDef=8,CustomMFFlag,CustomMFPeriod=4),INDEX(IF(DiffOptVolumeFlag,DiffOptVolumeHourlyOver,VolumeHourlyOver),W14,1),IF(OR(WeekDef=1,WeekDef=3,WeekDef=5,WeekDef=7,AND(WeekDef=8,CustomMFFlag,OR(CustomMFPeriod=1,CustomMFPeriod=3))),IF(VolumeMonthlyOverFlag,INDEX(IF(DiffOptVolumeFlag,DiffOptVolumeMonthlyOver,VolumeMonthlyOver),BJ14),IF(DiffOptVolumeFlag,DiffOptVolume,Volume)),0))</f>
        <v>600</v>
      </c>
      <c r="CC14" s="1647" t="n">
        <f aca="false">IF(AND(WeekDef=8,CustomMFFlag,CustomMFPeriod=4),INDEX(IF(DiffOptVolumeFlag,DiffOptVolumeHourlyOver,VolumeHourlyOver),X14,1),IF(OR(WeekDef=1,WeekDef=3,WeekDef=5,WeekDef=7,AND(WeekDef=8,CustomMFFlag,OR(CustomMFPeriod=1,CustomMFPeriod=3))),IF(VolumeMonthlyOverFlag,INDEX(IF(DiffOptVolumeFlag,DiffOptVolumeMonthlyOver,VolumeMonthlyOver),BJ14),IF(DiffOptVolumeFlag,DiffOptVolume,Volume)),0))</f>
        <v>600</v>
      </c>
      <c r="CD14" s="1647" t="n">
        <f aca="false">IF(AND(WeekDef=8,CustomMFFlag,CustomMFPeriod=4),INDEX(IF(DiffOptVolumeFlag,DiffOptVolumeHourlyOver,VolumeHourlyOver),Y14,1),IF(OR(WeekDef=1,WeekDef=3,WeekDef=5,WeekDef=7,AND(WeekDef=8,CustomMFFlag,OR(CustomMFPeriod=1,CustomMFPeriod=3))),IF(VolumeMonthlyOverFlag,INDEX(IF(DiffOptVolumeFlag,DiffOptVolumeMonthlyOver,VolumeMonthlyOver),BJ14),IF(DiffOptVolumeFlag,DiffOptVolume,Volume)),0))</f>
        <v>600</v>
      </c>
      <c r="CE14" s="1647" t="n">
        <f aca="false">IF(AND(WeekDef=8,CustomMFFlag,CustomMFPeriod=4),INDEX(IF(DiffOptVolumeFlag,DiffOptVolumeHourlyOver,VolumeHourlyOver),Z14,1),IF(OR(WeekDef=1,WeekDef=3,WeekDef=5,WeekDef=7,AND(WeekDef=8,CustomMFFlag,OR(CustomMFPeriod=1,CustomMFPeriod=3))),IF(VolumeMonthlyOverFlag,INDEX(IF(DiffOptVolumeFlag,DiffOptVolumeMonthlyOver,VolumeMonthlyOver),BJ14),IF(DiffOptVolumeFlag,DiffOptVolume,Volume)),0))</f>
        <v>600</v>
      </c>
      <c r="CF14" s="1647" t="n">
        <f aca="false">IF(AND(WeekDef=8,CustomMFFlag,CustomMFPeriod=4),INDEX(IF(DiffOptVolumeFlag,DiffOptVolumeHourlyOver,VolumeHourlyOver),AA14,1),IF(OR(WeekDef=1,WeekDef=3,WeekDef=5,WeekDef=7,AND(WeekDef=8,CustomMFFlag,OR(CustomMFPeriod=1,CustomMFPeriod=3))),IF(VolumeMonthlyOverFlag,INDEX(IF(DiffOptVolumeFlag,DiffOptVolumeMonthlyOver,VolumeMonthlyOver),BJ14),IF(DiffOptVolumeFlag,DiffOptVolume,Volume)),0))</f>
        <v>600</v>
      </c>
      <c r="CG14" s="1647" t="n">
        <f aca="false">IF(AND(WeekDef=8,CustomMFFlag,CustomMFPeriod=4),INDEX(IF(DiffOptVolumeFlag,DiffOptVolumeHourlyOver,VolumeHourlyOver),AB14,1),IF(OR(WeekDef=1,WeekDef=3,WeekDef=5,WeekDef=7,AND(WeekDef=8,CustomMFFlag,OR(CustomMFPeriod=1,CustomMFPeriod=3))),IF(VolumeMonthlyOverFlag,INDEX(IF(DiffOptVolumeFlag,DiffOptVolumeMonthlyOver,VolumeMonthlyOver),BJ14),IF(DiffOptVolumeFlag,DiffOptVolume,Volume)),0))</f>
        <v>600</v>
      </c>
      <c r="CH14" s="1648" t="n">
        <f aca="false">IF(AND(WeekDef=8,CustomMFFlag,CustomMFPeriod=4),INDEX(IF(DiffOptVolumeFlag,DiffOptVolumeHourlyOver,VolumeHourlyOver),AC14,1),IF(OR(WeekDef=1,WeekDef=3,WeekDef=5,WeekDef=7,AND(WeekDef=8,CustomMFFlag,OR(CustomMFPeriod=1,CustomMFPeriod=3))),IF(VolumeMonthlyOverFlag,INDEX(IF(DiffOptVolumeFlag,DiffOptVolumeMonthlyOver,VolumeMonthlyOver),BJ14),IF(DiffOptVolumeFlag,DiffOptVolume,Volume)),0))</f>
        <v>600</v>
      </c>
      <c r="CI14" s="1652" t="n">
        <f aca="false">SUM(BK14:BZ14)</f>
        <v>9600</v>
      </c>
      <c r="CJ14" s="1653" t="n">
        <f aca="false">SUM(CA14:CH14)</f>
        <v>4800</v>
      </c>
      <c r="CK14" s="1654" t="n">
        <f aca="false">CI14+CJ14</f>
        <v>14400</v>
      </c>
      <c r="CL14" s="1655" t="n">
        <f aca="false">IF(CI14,SUMPRODUCT(BK14:BZ14,F30:U30)/CI14,0)</f>
        <v>1.00000001490116</v>
      </c>
      <c r="CM14" s="1655" t="n">
        <f aca="false">IF(CJ14,SUMPRODUCT(CA14:CH14,V30:AC30)/CJ14,0)</f>
        <v>0.999999992549419</v>
      </c>
      <c r="CO14" s="1646" t="n">
        <v>10</v>
      </c>
      <c r="CP14" s="1659" t="n">
        <f aca="false">MAX(AF14:BC14,AF28:BC28,AF42:BC42,AF56:BC56)</f>
        <v>150</v>
      </c>
      <c r="CQ14" s="1660" t="n">
        <f aca="false">MAX(BK14:CH14,BK28:CH28,BK42:CH42,BK56:CH56)</f>
        <v>600</v>
      </c>
      <c r="DE14" s="1658"/>
    </row>
    <row r="15" customFormat="false" ht="12.75" hidden="false" customHeight="false" outlineLevel="0" collapsed="false">
      <c r="C15" s="1661"/>
      <c r="D15" s="1661"/>
      <c r="E15" s="1636" t="n">
        <v>11</v>
      </c>
      <c r="F15" s="1646" t="n">
        <v>18</v>
      </c>
      <c r="G15" s="1647" t="n">
        <v>19</v>
      </c>
      <c r="H15" s="1647" t="n">
        <v>20</v>
      </c>
      <c r="I15" s="1647" t="n">
        <v>17</v>
      </c>
      <c r="J15" s="1647" t="n">
        <v>10</v>
      </c>
      <c r="K15" s="1647" t="n">
        <v>11</v>
      </c>
      <c r="L15" s="1647" t="n">
        <v>9</v>
      </c>
      <c r="M15" s="1647" t="n">
        <v>12</v>
      </c>
      <c r="N15" s="1647" t="n">
        <v>21</v>
      </c>
      <c r="O15" s="1647" t="n">
        <v>8</v>
      </c>
      <c r="P15" s="1647" t="n">
        <v>13</v>
      </c>
      <c r="Q15" s="1647" t="n">
        <v>14</v>
      </c>
      <c r="R15" s="1647" t="n">
        <v>16</v>
      </c>
      <c r="S15" s="1647" t="n">
        <v>22</v>
      </c>
      <c r="T15" s="1647" t="n">
        <v>15</v>
      </c>
      <c r="U15" s="1648" t="n">
        <v>7</v>
      </c>
      <c r="V15" s="1647" t="n">
        <v>23</v>
      </c>
      <c r="W15" s="1647" t="n">
        <v>6</v>
      </c>
      <c r="X15" s="1647" t="n">
        <v>24</v>
      </c>
      <c r="Y15" s="1647" t="n">
        <v>1</v>
      </c>
      <c r="Z15" s="1647" t="n">
        <v>5</v>
      </c>
      <c r="AA15" s="1647" t="n">
        <v>2</v>
      </c>
      <c r="AB15" s="1647" t="n">
        <v>3</v>
      </c>
      <c r="AC15" s="1648" t="n">
        <v>4</v>
      </c>
      <c r="AD15" s="1621"/>
      <c r="AE15" s="1636" t="n">
        <v>11</v>
      </c>
      <c r="AF15" s="1646" t="n">
        <f aca="false">IF(AND(WeekDef=8,CustomMFFlag,CustomMFPeriod=4),INDEX(VolumeHourlyOver,F15,1),IF(OR(WeekDef=1,WeekDef=2,WeekDef=4,WeekDef=6,AND(WeekDef=8,CustomMFFlag,OR(CustomMFPeriod=1,CustomMFPeriod=2))),IF(VolumeMonthlyOverFlag,INDEX(VolumeMonthlyOver,AE15),Volume),0))</f>
        <v>150</v>
      </c>
      <c r="AG15" s="1647" t="n">
        <f aca="false">IF(AND(WeekDef=8,CustomMFFlag,CustomMFPeriod=4),INDEX(VolumeHourlyOver,G15,1),IF(OR(WeekDef=1,WeekDef=2,WeekDef=4,WeekDef=6,AND(WeekDef=8,CustomMFFlag,OR(CustomMFPeriod=1,CustomMFPeriod=2))),IF(VolumeMonthlyOverFlag,INDEX(VolumeMonthlyOver,AE15),Volume),0))</f>
        <v>150</v>
      </c>
      <c r="AH15" s="1647" t="n">
        <f aca="false">IF(AND(WeekDef=8,CustomMFFlag,CustomMFPeriod=4),INDEX(VolumeHourlyOver,H15,1),IF(OR(WeekDef=1,WeekDef=2,WeekDef=4,WeekDef=6,AND(WeekDef=8,CustomMFFlag,OR(CustomMFPeriod=1,CustomMFPeriod=2))),IF(VolumeMonthlyOverFlag,INDEX(VolumeMonthlyOver,AE15),Volume),0))</f>
        <v>150</v>
      </c>
      <c r="AI15" s="1647" t="n">
        <f aca="false">IF(AND(WeekDef=8,CustomMFFlag,CustomMFPeriod=4),INDEX(VolumeHourlyOver,I15,1),IF(OR(WeekDef=1,WeekDef=2,WeekDef=4,WeekDef=6,AND(WeekDef=8,CustomMFFlag,OR(CustomMFPeriod=1,CustomMFPeriod=2))),IF(VolumeMonthlyOverFlag,INDEX(VolumeMonthlyOver,AE15),Volume),0))</f>
        <v>150</v>
      </c>
      <c r="AJ15" s="1647" t="n">
        <f aca="false">IF(AND(WeekDef=8,CustomMFFlag,CustomMFPeriod=4),INDEX(VolumeHourlyOver,J15,1),IF(OR(WeekDef=1,WeekDef=2,WeekDef=4,WeekDef=6,AND(WeekDef=8,CustomMFFlag,OR(CustomMFPeriod=1,CustomMFPeriod=2))),IF(VolumeMonthlyOverFlag,INDEX(VolumeMonthlyOver,AE15),Volume),0))</f>
        <v>150</v>
      </c>
      <c r="AK15" s="1647" t="n">
        <f aca="false">IF(AND(WeekDef=8,CustomMFFlag,CustomMFPeriod=4),INDEX(VolumeHourlyOver,K15,1),IF(OR(WeekDef=1,WeekDef=2,WeekDef=4,WeekDef=6,AND(WeekDef=8,CustomMFFlag,OR(CustomMFPeriod=1,CustomMFPeriod=2))),IF(VolumeMonthlyOverFlag,INDEX(VolumeMonthlyOver,AE15),Volume),0))</f>
        <v>150</v>
      </c>
      <c r="AL15" s="1647" t="n">
        <f aca="false">IF(AND(WeekDef=8,CustomMFFlag,CustomMFPeriod=4),INDEX(VolumeHourlyOver,L15,1),IF(OR(WeekDef=1,WeekDef=2,WeekDef=4,WeekDef=6,AND(WeekDef=8,CustomMFFlag,OR(CustomMFPeriod=1,CustomMFPeriod=2))),IF(VolumeMonthlyOverFlag,INDEX(VolumeMonthlyOver,AE15),Volume),0))</f>
        <v>150</v>
      </c>
      <c r="AM15" s="1647" t="n">
        <f aca="false">IF(AND(WeekDef=8,CustomMFFlag,CustomMFPeriod=4),INDEX(VolumeHourlyOver,M15,1),IF(OR(WeekDef=1,WeekDef=2,WeekDef=4,WeekDef=6,AND(WeekDef=8,CustomMFFlag,OR(CustomMFPeriod=1,CustomMFPeriod=2))),IF(VolumeMonthlyOverFlag,INDEX(VolumeMonthlyOver,AE15),Volume),0))</f>
        <v>150</v>
      </c>
      <c r="AN15" s="1647" t="n">
        <f aca="false">IF(AND(WeekDef=8,CustomMFFlag,CustomMFPeriod=4),INDEX(VolumeHourlyOver,N15,1),IF(OR(WeekDef=1,WeekDef=2,WeekDef=4,WeekDef=6,AND(WeekDef=8,CustomMFFlag,OR(CustomMFPeriod=1,CustomMFPeriod=2))),IF(VolumeMonthlyOverFlag,INDEX(VolumeMonthlyOver,AE15),Volume),0))</f>
        <v>150</v>
      </c>
      <c r="AO15" s="1647" t="n">
        <f aca="false">IF(AND(WeekDef=8,CustomMFFlag,CustomMFPeriod=4),INDEX(VolumeHourlyOver,O15,1),IF(OR(WeekDef=1,WeekDef=2,WeekDef=4,WeekDef=6,AND(WeekDef=8,CustomMFFlag,OR(CustomMFPeriod=1,CustomMFPeriod=2))),IF(VolumeMonthlyOverFlag,INDEX(VolumeMonthlyOver,AE15),Volume),0))</f>
        <v>150</v>
      </c>
      <c r="AP15" s="1647" t="n">
        <f aca="false">IF(AND(WeekDef=8,CustomMFFlag,CustomMFPeriod=4),INDEX(VolumeHourlyOver,P15,1),IF(OR(WeekDef=1,WeekDef=2,WeekDef=4,WeekDef=6,AND(WeekDef=8,CustomMFFlag,OR(CustomMFPeriod=1,CustomMFPeriod=2))),IF(VolumeMonthlyOverFlag,INDEX(VolumeMonthlyOver,AE15),Volume),0))</f>
        <v>150</v>
      </c>
      <c r="AQ15" s="1647" t="n">
        <f aca="false">IF(AND(WeekDef=8,CustomMFFlag,CustomMFPeriod=4),INDEX(VolumeHourlyOver,Q15,1),IF(OR(WeekDef=1,WeekDef=2,WeekDef=4,WeekDef=6,AND(WeekDef=8,CustomMFFlag,OR(CustomMFPeriod=1,CustomMFPeriod=2))),IF(VolumeMonthlyOverFlag,INDEX(VolumeMonthlyOver,AE15),Volume),0))</f>
        <v>150</v>
      </c>
      <c r="AR15" s="1647" t="n">
        <f aca="false">IF(AND(WeekDef=8,CustomMFFlag,CustomMFPeriod=4),INDEX(VolumeHourlyOver,R15,1),IF(OR(WeekDef=1,WeekDef=2,WeekDef=4,WeekDef=6,AND(WeekDef=8,CustomMFFlag,OR(CustomMFPeriod=1,CustomMFPeriod=2))),IF(VolumeMonthlyOverFlag,INDEX(VolumeMonthlyOver,AE15),Volume),0))</f>
        <v>150</v>
      </c>
      <c r="AS15" s="1647" t="n">
        <f aca="false">IF(AND(WeekDef=8,CustomMFFlag,CustomMFPeriod=4),INDEX(VolumeHourlyOver,S15,1),IF(OR(WeekDef=1,WeekDef=2,WeekDef=4,WeekDef=6,AND(WeekDef=8,CustomMFFlag,OR(CustomMFPeriod=1,CustomMFPeriod=2))),IF(VolumeMonthlyOverFlag,INDEX(VolumeMonthlyOver,AE15),Volume),0))</f>
        <v>150</v>
      </c>
      <c r="AT15" s="1647" t="n">
        <f aca="false">IF(AND(WeekDef=8,CustomMFFlag,CustomMFPeriod=4),INDEX(VolumeHourlyOver,T15,1),IF(OR(WeekDef=1,WeekDef=2,WeekDef=4,WeekDef=6,AND(WeekDef=8,CustomMFFlag,OR(CustomMFPeriod=1,CustomMFPeriod=2))),IF(VolumeMonthlyOverFlag,INDEX(VolumeMonthlyOver,AE15),Volume),0))</f>
        <v>150</v>
      </c>
      <c r="AU15" s="1648" t="n">
        <f aca="false">IF(AND(WeekDef=8,CustomMFFlag,CustomMFPeriod=4),INDEX(VolumeHourlyOver,U15,1),IF(OR(WeekDef=1,WeekDef=2,WeekDef=4,WeekDef=6,AND(WeekDef=8,CustomMFFlag,OR(CustomMFPeriod=1,CustomMFPeriod=2))),IF(VolumeMonthlyOverFlag,INDEX(VolumeMonthlyOver,AE15),Volume),0))</f>
        <v>150</v>
      </c>
      <c r="AV15" s="1647" t="n">
        <f aca="false">IF(AND(WeekDef=8,CustomMFFlag,CustomMFPeriod=4),INDEX(VolumeHourlyOver,V15,1),IF(OR(WeekDef=1,WeekDef=3,WeekDef=5,WeekDef=7,AND(WeekDef=8,CustomMFFlag,OR(CustomMFPeriod=1,CustomMFPeriod=3))),IF(VolumeMonthlyOverFlag,INDEX(VolumeMonthlyOver,AE15),Volume),0))</f>
        <v>150</v>
      </c>
      <c r="AW15" s="1647" t="n">
        <f aca="false">IF(AND(WeekDef=8,CustomMFFlag,CustomMFPeriod=4),INDEX(VolumeHourlyOver,W15,1),IF(OR(WeekDef=1,WeekDef=3,WeekDef=5,WeekDef=7,AND(WeekDef=8,CustomMFFlag,OR(CustomMFPeriod=1,CustomMFPeriod=3))),IF(VolumeMonthlyOverFlag,INDEX(VolumeMonthlyOver,AE15),Volume),0))</f>
        <v>150</v>
      </c>
      <c r="AX15" s="1647" t="n">
        <f aca="false">IF(AND(WeekDef=8,CustomMFFlag,CustomMFPeriod=4),INDEX(VolumeHourlyOver,X15,1),IF(OR(WeekDef=1,WeekDef=3,WeekDef=5,WeekDef=7,AND(WeekDef=8,CustomMFFlag,OR(CustomMFPeriod=1,CustomMFPeriod=3))),IF(VolumeMonthlyOverFlag,INDEX(VolumeMonthlyOver,AE15),Volume),0))</f>
        <v>150</v>
      </c>
      <c r="AY15" s="1647" t="n">
        <f aca="false">IF(AND(WeekDef=8,CustomMFFlag,CustomMFPeriod=4),INDEX(VolumeHourlyOver,Y15,1),IF(OR(WeekDef=1,WeekDef=3,WeekDef=5,WeekDef=7,AND(WeekDef=8,CustomMFFlag,OR(CustomMFPeriod=1,CustomMFPeriod=3))),IF(VolumeMonthlyOverFlag,INDEX(VolumeMonthlyOver,AE15),Volume),0))</f>
        <v>150</v>
      </c>
      <c r="AZ15" s="1647" t="n">
        <f aca="false">IF(AND(WeekDef=8,CustomMFFlag,CustomMFPeriod=4),INDEX(VolumeHourlyOver,Z15,1),IF(OR(WeekDef=1,WeekDef=3,WeekDef=5,WeekDef=7,AND(WeekDef=8,CustomMFFlag,OR(CustomMFPeriod=1,CustomMFPeriod=3))),IF(VolumeMonthlyOverFlag,INDEX(VolumeMonthlyOver,AE15),Volume),0))</f>
        <v>150</v>
      </c>
      <c r="BA15" s="1647" t="n">
        <f aca="false">IF(AND(WeekDef=8,CustomMFFlag,CustomMFPeriod=4),INDEX(VolumeHourlyOver,AA15,1),IF(OR(WeekDef=1,WeekDef=3,WeekDef=5,WeekDef=7,AND(WeekDef=8,CustomMFFlag,OR(CustomMFPeriod=1,CustomMFPeriod=3))),IF(VolumeMonthlyOverFlag,INDEX(VolumeMonthlyOver,AE15),Volume),0))</f>
        <v>150</v>
      </c>
      <c r="BB15" s="1647" t="n">
        <f aca="false">IF(AND(WeekDef=8,CustomMFFlag,CustomMFPeriod=4),INDEX(VolumeHourlyOver,AB15,1),IF(OR(WeekDef=1,WeekDef=3,WeekDef=5,WeekDef=7,AND(WeekDef=8,CustomMFFlag,OR(CustomMFPeriod=1,CustomMFPeriod=3))),IF(VolumeMonthlyOverFlag,INDEX(VolumeMonthlyOver,AE15),Volume),0))</f>
        <v>150</v>
      </c>
      <c r="BC15" s="1648" t="n">
        <f aca="false">IF(AND(WeekDef=8,CustomMFFlag,CustomMFPeriod=4),INDEX(VolumeHourlyOver,AC15,1),IF(OR(WeekDef=1,WeekDef=3,WeekDef=5,WeekDef=7,AND(WeekDef=8,CustomMFFlag,OR(CustomMFPeriod=1,CustomMFPeriod=3))),IF(VolumeMonthlyOverFlag,INDEX(VolumeMonthlyOver,AE15),Volume),0))</f>
        <v>150</v>
      </c>
      <c r="BD15" s="1652" t="n">
        <f aca="false">SUM(AF15:AU15)</f>
        <v>2400</v>
      </c>
      <c r="BE15" s="1653" t="n">
        <f aca="false">SUM(AV15:BC15)</f>
        <v>1200</v>
      </c>
      <c r="BF15" s="1654" t="n">
        <f aca="false">BD15+BE15</f>
        <v>3600</v>
      </c>
      <c r="BG15" s="1655" t="n">
        <f aca="false">IF(BD15,SUMPRODUCT(AF15:AU15,F31:U31)/BD15,0)</f>
        <v>1</v>
      </c>
      <c r="BH15" s="1655" t="n">
        <f aca="false">IF(BE15,SUMPRODUCT(AV15:BC15,V31:AC31)/BE15,0)</f>
        <v>0.999999992549419</v>
      </c>
      <c r="BJ15" s="1636" t="n">
        <v>11</v>
      </c>
      <c r="BK15" s="1646" t="n">
        <f aca="false">IF(AND(WeekDef=8,CustomMFFlag,CustomMFPeriod=4),INDEX(IF(DiffOptVolumeFlag,DiffOptVolumeHourlyOver,VolumeHourlyOver),F15,1),IF(OR(WeekDef=1,WeekDef=2,WeekDef=4,WeekDef=6,AND(WeekDef=8,CustomMFFlag,OR(CustomMFPeriod=1,CustomMFPeriod=2))),IF(VolumeMonthlyOverFlag,INDEX(IF(DiffOptVolumeFlag,DiffOptVolumeMonthlyOver,VolumeMonthlyOver),BJ15),IF(DiffOptVolumeFlag,DiffOptVolume,Volume)),0))</f>
        <v>600</v>
      </c>
      <c r="BL15" s="1647" t="n">
        <f aca="false">IF(AND(WeekDef=8,CustomMFFlag,CustomMFPeriod=4),INDEX(IF(DiffOptVolumeFlag,DiffOptVolumeHourlyOver,VolumeHourlyOver),G15,1),IF(OR(WeekDef=1,WeekDef=2,WeekDef=4,WeekDef=6,AND(WeekDef=8,CustomMFFlag,OR(CustomMFPeriod=1,CustomMFPeriod=2))),IF(VolumeMonthlyOverFlag,INDEX(IF(DiffOptVolumeFlag,DiffOptVolumeMonthlyOver,VolumeMonthlyOver),BJ15),IF(DiffOptVolumeFlag,DiffOptVolume,Volume)),0))</f>
        <v>600</v>
      </c>
      <c r="BM15" s="1647" t="n">
        <f aca="false">IF(AND(WeekDef=8,CustomMFFlag,CustomMFPeriod=4),INDEX(IF(DiffOptVolumeFlag,DiffOptVolumeHourlyOver,VolumeHourlyOver),H15,1),IF(OR(WeekDef=1,WeekDef=2,WeekDef=4,WeekDef=6,AND(WeekDef=8,CustomMFFlag,OR(CustomMFPeriod=1,CustomMFPeriod=2))),IF(VolumeMonthlyOverFlag,INDEX(IF(DiffOptVolumeFlag,DiffOptVolumeMonthlyOver,VolumeMonthlyOver),BJ15),IF(DiffOptVolumeFlag,DiffOptVolume,Volume)),0))</f>
        <v>600</v>
      </c>
      <c r="BN15" s="1647" t="n">
        <f aca="false">IF(AND(WeekDef=8,CustomMFFlag,CustomMFPeriod=4),INDEX(IF(DiffOptVolumeFlag,DiffOptVolumeHourlyOver,VolumeHourlyOver),I15,1),IF(OR(WeekDef=1,WeekDef=2,WeekDef=4,WeekDef=6,AND(WeekDef=8,CustomMFFlag,OR(CustomMFPeriod=1,CustomMFPeriod=2))),IF(VolumeMonthlyOverFlag,INDEX(IF(DiffOptVolumeFlag,DiffOptVolumeMonthlyOver,VolumeMonthlyOver),BJ15),IF(DiffOptVolumeFlag,DiffOptVolume,Volume)),0))</f>
        <v>600</v>
      </c>
      <c r="BO15" s="1647" t="n">
        <f aca="false">IF(AND(WeekDef=8,CustomMFFlag,CustomMFPeriod=4),INDEX(IF(DiffOptVolumeFlag,DiffOptVolumeHourlyOver,VolumeHourlyOver),J15,1),IF(OR(WeekDef=1,WeekDef=2,WeekDef=4,WeekDef=6,AND(WeekDef=8,CustomMFFlag,OR(CustomMFPeriod=1,CustomMFPeriod=2))),IF(VolumeMonthlyOverFlag,INDEX(IF(DiffOptVolumeFlag,DiffOptVolumeMonthlyOver,VolumeMonthlyOver),BJ15),IF(DiffOptVolumeFlag,DiffOptVolume,Volume)),0))</f>
        <v>600</v>
      </c>
      <c r="BP15" s="1647" t="n">
        <f aca="false">IF(AND(WeekDef=8,CustomMFFlag,CustomMFPeriod=4),INDEX(IF(DiffOptVolumeFlag,DiffOptVolumeHourlyOver,VolumeHourlyOver),K15,1),IF(OR(WeekDef=1,WeekDef=2,WeekDef=4,WeekDef=6,AND(WeekDef=8,CustomMFFlag,OR(CustomMFPeriod=1,CustomMFPeriod=2))),IF(VolumeMonthlyOverFlag,INDEX(IF(DiffOptVolumeFlag,DiffOptVolumeMonthlyOver,VolumeMonthlyOver),BJ15),IF(DiffOptVolumeFlag,DiffOptVolume,Volume)),0))</f>
        <v>600</v>
      </c>
      <c r="BQ15" s="1647" t="n">
        <f aca="false">IF(AND(WeekDef=8,CustomMFFlag,CustomMFPeriod=4),INDEX(IF(DiffOptVolumeFlag,DiffOptVolumeHourlyOver,VolumeHourlyOver),L15,1),IF(OR(WeekDef=1,WeekDef=2,WeekDef=4,WeekDef=6,AND(WeekDef=8,CustomMFFlag,OR(CustomMFPeriod=1,CustomMFPeriod=2))),IF(VolumeMonthlyOverFlag,INDEX(IF(DiffOptVolumeFlag,DiffOptVolumeMonthlyOver,VolumeMonthlyOver),BJ15),IF(DiffOptVolumeFlag,DiffOptVolume,Volume)),0))</f>
        <v>600</v>
      </c>
      <c r="BR15" s="1647" t="n">
        <f aca="false">IF(AND(WeekDef=8,CustomMFFlag,CustomMFPeriod=4),INDEX(IF(DiffOptVolumeFlag,DiffOptVolumeHourlyOver,VolumeHourlyOver),M15,1),IF(OR(WeekDef=1,WeekDef=2,WeekDef=4,WeekDef=6,AND(WeekDef=8,CustomMFFlag,OR(CustomMFPeriod=1,CustomMFPeriod=2))),IF(VolumeMonthlyOverFlag,INDEX(IF(DiffOptVolumeFlag,DiffOptVolumeMonthlyOver,VolumeMonthlyOver),BJ15),IF(DiffOptVolumeFlag,DiffOptVolume,Volume)),0))</f>
        <v>600</v>
      </c>
      <c r="BS15" s="1647" t="n">
        <f aca="false">IF(AND(WeekDef=8,CustomMFFlag,CustomMFPeriod=4),INDEX(IF(DiffOptVolumeFlag,DiffOptVolumeHourlyOver,VolumeHourlyOver),N15,1),IF(OR(WeekDef=1,WeekDef=2,WeekDef=4,WeekDef=6,AND(WeekDef=8,CustomMFFlag,OR(CustomMFPeriod=1,CustomMFPeriod=2))),IF(VolumeMonthlyOverFlag,INDEX(IF(DiffOptVolumeFlag,DiffOptVolumeMonthlyOver,VolumeMonthlyOver),BJ15),IF(DiffOptVolumeFlag,DiffOptVolume,Volume)),0))</f>
        <v>600</v>
      </c>
      <c r="BT15" s="1647" t="n">
        <f aca="false">IF(AND(WeekDef=8,CustomMFFlag,CustomMFPeriod=4),INDEX(IF(DiffOptVolumeFlag,DiffOptVolumeHourlyOver,VolumeHourlyOver),O15,1),IF(OR(WeekDef=1,WeekDef=2,WeekDef=4,WeekDef=6,AND(WeekDef=8,CustomMFFlag,OR(CustomMFPeriod=1,CustomMFPeriod=2))),IF(VolumeMonthlyOverFlag,INDEX(IF(DiffOptVolumeFlag,DiffOptVolumeMonthlyOver,VolumeMonthlyOver),BJ15),IF(DiffOptVolumeFlag,DiffOptVolume,Volume)),0))</f>
        <v>600</v>
      </c>
      <c r="BU15" s="1647" t="n">
        <f aca="false">IF(AND(WeekDef=8,CustomMFFlag,CustomMFPeriod=4),INDEX(IF(DiffOptVolumeFlag,DiffOptVolumeHourlyOver,VolumeHourlyOver),P15,1),IF(OR(WeekDef=1,WeekDef=2,WeekDef=4,WeekDef=6,AND(WeekDef=8,CustomMFFlag,OR(CustomMFPeriod=1,CustomMFPeriod=2))),IF(VolumeMonthlyOverFlag,INDEX(IF(DiffOptVolumeFlag,DiffOptVolumeMonthlyOver,VolumeMonthlyOver),BJ15),IF(DiffOptVolumeFlag,DiffOptVolume,Volume)),0))</f>
        <v>600</v>
      </c>
      <c r="BV15" s="1647" t="n">
        <f aca="false">IF(AND(WeekDef=8,CustomMFFlag,CustomMFPeriod=4),INDEX(IF(DiffOptVolumeFlag,DiffOptVolumeHourlyOver,VolumeHourlyOver),Q15,1),IF(OR(WeekDef=1,WeekDef=2,WeekDef=4,WeekDef=6,AND(WeekDef=8,CustomMFFlag,OR(CustomMFPeriod=1,CustomMFPeriod=2))),IF(VolumeMonthlyOverFlag,INDEX(IF(DiffOptVolumeFlag,DiffOptVolumeMonthlyOver,VolumeMonthlyOver),BJ15),IF(DiffOptVolumeFlag,DiffOptVolume,Volume)),0))</f>
        <v>600</v>
      </c>
      <c r="BW15" s="1647" t="n">
        <f aca="false">IF(AND(WeekDef=8,CustomMFFlag,CustomMFPeriod=4),INDEX(IF(DiffOptVolumeFlag,DiffOptVolumeHourlyOver,VolumeHourlyOver),R15,1),IF(OR(WeekDef=1,WeekDef=2,WeekDef=4,WeekDef=6,AND(WeekDef=8,CustomMFFlag,OR(CustomMFPeriod=1,CustomMFPeriod=2))),IF(VolumeMonthlyOverFlag,INDEX(IF(DiffOptVolumeFlag,DiffOptVolumeMonthlyOver,VolumeMonthlyOver),BJ15),IF(DiffOptVolumeFlag,DiffOptVolume,Volume)),0))</f>
        <v>600</v>
      </c>
      <c r="BX15" s="1647" t="n">
        <f aca="false">IF(AND(WeekDef=8,CustomMFFlag,CustomMFPeriod=4),INDEX(IF(DiffOptVolumeFlag,DiffOptVolumeHourlyOver,VolumeHourlyOver),S15,1),IF(OR(WeekDef=1,WeekDef=2,WeekDef=4,WeekDef=6,AND(WeekDef=8,CustomMFFlag,OR(CustomMFPeriod=1,CustomMFPeriod=2))),IF(VolumeMonthlyOverFlag,INDEX(IF(DiffOptVolumeFlag,DiffOptVolumeMonthlyOver,VolumeMonthlyOver),BJ15),IF(DiffOptVolumeFlag,DiffOptVolume,Volume)),0))</f>
        <v>600</v>
      </c>
      <c r="BY15" s="1647" t="n">
        <f aca="false">IF(AND(WeekDef=8,CustomMFFlag,CustomMFPeriod=4),INDEX(IF(DiffOptVolumeFlag,DiffOptVolumeHourlyOver,VolumeHourlyOver),T15,1),IF(OR(WeekDef=1,WeekDef=2,WeekDef=4,WeekDef=6,AND(WeekDef=8,CustomMFFlag,OR(CustomMFPeriod=1,CustomMFPeriod=2))),IF(VolumeMonthlyOverFlag,INDEX(IF(DiffOptVolumeFlag,DiffOptVolumeMonthlyOver,VolumeMonthlyOver),BJ15),IF(DiffOptVolumeFlag,DiffOptVolume,Volume)),0))</f>
        <v>600</v>
      </c>
      <c r="BZ15" s="1648" t="n">
        <f aca="false">IF(AND(WeekDef=8,CustomMFFlag,CustomMFPeriod=4),INDEX(IF(DiffOptVolumeFlag,DiffOptVolumeHourlyOver,VolumeHourlyOver),U15,1),IF(OR(WeekDef=1,WeekDef=2,WeekDef=4,WeekDef=6,AND(WeekDef=8,CustomMFFlag,OR(CustomMFPeriod=1,CustomMFPeriod=2))),IF(VolumeMonthlyOverFlag,INDEX(IF(DiffOptVolumeFlag,DiffOptVolumeMonthlyOver,VolumeMonthlyOver),BJ15),IF(DiffOptVolumeFlag,DiffOptVolume,Volume)),0))</f>
        <v>600</v>
      </c>
      <c r="CA15" s="1647" t="n">
        <f aca="false">IF(AND(WeekDef=8,CustomMFFlag,CustomMFPeriod=4),INDEX(IF(DiffOptVolumeFlag,DiffOptVolumeHourlyOver,VolumeHourlyOver),V15,1),IF(OR(WeekDef=1,WeekDef=3,WeekDef=5,WeekDef=7,AND(WeekDef=8,CustomMFFlag,OR(CustomMFPeriod=1,CustomMFPeriod=3))),IF(VolumeMonthlyOverFlag,INDEX(IF(DiffOptVolumeFlag,DiffOptVolumeMonthlyOver,VolumeMonthlyOver),BJ15),IF(DiffOptVolumeFlag,DiffOptVolume,Volume)),0))</f>
        <v>600</v>
      </c>
      <c r="CB15" s="1647" t="n">
        <f aca="false">IF(AND(WeekDef=8,CustomMFFlag,CustomMFPeriod=4),INDEX(IF(DiffOptVolumeFlag,DiffOptVolumeHourlyOver,VolumeHourlyOver),W15,1),IF(OR(WeekDef=1,WeekDef=3,WeekDef=5,WeekDef=7,AND(WeekDef=8,CustomMFFlag,OR(CustomMFPeriod=1,CustomMFPeriod=3))),IF(VolumeMonthlyOverFlag,INDEX(IF(DiffOptVolumeFlag,DiffOptVolumeMonthlyOver,VolumeMonthlyOver),BJ15),IF(DiffOptVolumeFlag,DiffOptVolume,Volume)),0))</f>
        <v>600</v>
      </c>
      <c r="CC15" s="1647" t="n">
        <f aca="false">IF(AND(WeekDef=8,CustomMFFlag,CustomMFPeriod=4),INDEX(IF(DiffOptVolumeFlag,DiffOptVolumeHourlyOver,VolumeHourlyOver),X15,1),IF(OR(WeekDef=1,WeekDef=3,WeekDef=5,WeekDef=7,AND(WeekDef=8,CustomMFFlag,OR(CustomMFPeriod=1,CustomMFPeriod=3))),IF(VolumeMonthlyOverFlag,INDEX(IF(DiffOptVolumeFlag,DiffOptVolumeMonthlyOver,VolumeMonthlyOver),BJ15),IF(DiffOptVolumeFlag,DiffOptVolume,Volume)),0))</f>
        <v>600</v>
      </c>
      <c r="CD15" s="1647" t="n">
        <f aca="false">IF(AND(WeekDef=8,CustomMFFlag,CustomMFPeriod=4),INDEX(IF(DiffOptVolumeFlag,DiffOptVolumeHourlyOver,VolumeHourlyOver),Y15,1),IF(OR(WeekDef=1,WeekDef=3,WeekDef=5,WeekDef=7,AND(WeekDef=8,CustomMFFlag,OR(CustomMFPeriod=1,CustomMFPeriod=3))),IF(VolumeMonthlyOverFlag,INDEX(IF(DiffOptVolumeFlag,DiffOptVolumeMonthlyOver,VolumeMonthlyOver),BJ15),IF(DiffOptVolumeFlag,DiffOptVolume,Volume)),0))</f>
        <v>600</v>
      </c>
      <c r="CE15" s="1647" t="n">
        <f aca="false">IF(AND(WeekDef=8,CustomMFFlag,CustomMFPeriod=4),INDEX(IF(DiffOptVolumeFlag,DiffOptVolumeHourlyOver,VolumeHourlyOver),Z15,1),IF(OR(WeekDef=1,WeekDef=3,WeekDef=5,WeekDef=7,AND(WeekDef=8,CustomMFFlag,OR(CustomMFPeriod=1,CustomMFPeriod=3))),IF(VolumeMonthlyOverFlag,INDEX(IF(DiffOptVolumeFlag,DiffOptVolumeMonthlyOver,VolumeMonthlyOver),BJ15),IF(DiffOptVolumeFlag,DiffOptVolume,Volume)),0))</f>
        <v>600</v>
      </c>
      <c r="CF15" s="1647" t="n">
        <f aca="false">IF(AND(WeekDef=8,CustomMFFlag,CustomMFPeriod=4),INDEX(IF(DiffOptVolumeFlag,DiffOptVolumeHourlyOver,VolumeHourlyOver),AA15,1),IF(OR(WeekDef=1,WeekDef=3,WeekDef=5,WeekDef=7,AND(WeekDef=8,CustomMFFlag,OR(CustomMFPeriod=1,CustomMFPeriod=3))),IF(VolumeMonthlyOverFlag,INDEX(IF(DiffOptVolumeFlag,DiffOptVolumeMonthlyOver,VolumeMonthlyOver),BJ15),IF(DiffOptVolumeFlag,DiffOptVolume,Volume)),0))</f>
        <v>600</v>
      </c>
      <c r="CG15" s="1647" t="n">
        <f aca="false">IF(AND(WeekDef=8,CustomMFFlag,CustomMFPeriod=4),INDEX(IF(DiffOptVolumeFlag,DiffOptVolumeHourlyOver,VolumeHourlyOver),AB15,1),IF(OR(WeekDef=1,WeekDef=3,WeekDef=5,WeekDef=7,AND(WeekDef=8,CustomMFFlag,OR(CustomMFPeriod=1,CustomMFPeriod=3))),IF(VolumeMonthlyOverFlag,INDEX(IF(DiffOptVolumeFlag,DiffOptVolumeMonthlyOver,VolumeMonthlyOver),BJ15),IF(DiffOptVolumeFlag,DiffOptVolume,Volume)),0))</f>
        <v>600</v>
      </c>
      <c r="CH15" s="1648" t="n">
        <f aca="false">IF(AND(WeekDef=8,CustomMFFlag,CustomMFPeriod=4),INDEX(IF(DiffOptVolumeFlag,DiffOptVolumeHourlyOver,VolumeHourlyOver),AC15,1),IF(OR(WeekDef=1,WeekDef=3,WeekDef=5,WeekDef=7,AND(WeekDef=8,CustomMFFlag,OR(CustomMFPeriod=1,CustomMFPeriod=3))),IF(VolumeMonthlyOverFlag,INDEX(IF(DiffOptVolumeFlag,DiffOptVolumeMonthlyOver,VolumeMonthlyOver),BJ15),IF(DiffOptVolumeFlag,DiffOptVolume,Volume)),0))</f>
        <v>600</v>
      </c>
      <c r="CI15" s="1652" t="n">
        <f aca="false">SUM(BK15:BZ15)</f>
        <v>9600</v>
      </c>
      <c r="CJ15" s="1653" t="n">
        <f aca="false">SUM(CA15:CH15)</f>
        <v>4800</v>
      </c>
      <c r="CK15" s="1654" t="n">
        <f aca="false">CI15+CJ15</f>
        <v>14400</v>
      </c>
      <c r="CL15" s="1655" t="n">
        <f aca="false">IF(CI15,SUMPRODUCT(BK15:BZ15,F31:U31)/CI15,0)</f>
        <v>1</v>
      </c>
      <c r="CM15" s="1655" t="n">
        <f aca="false">IF(CJ15,SUMPRODUCT(CA15:CH15,V31:AC31)/CJ15,0)</f>
        <v>0.999999992549419</v>
      </c>
      <c r="CO15" s="1646" t="n">
        <v>11</v>
      </c>
      <c r="CP15" s="1659" t="n">
        <f aca="false">MAX(AF15:BC15,AF29:BC29,AF43:BC43,AF57:BC57)</f>
        <v>150</v>
      </c>
      <c r="CQ15" s="1660" t="n">
        <f aca="false">MAX(BK15:CH15,BK29:CH29,BK43:CH43,BK57:CH57)</f>
        <v>600</v>
      </c>
      <c r="DE15" s="1658"/>
    </row>
    <row r="16" customFormat="false" ht="13.5" hidden="false" customHeight="false" outlineLevel="0" collapsed="false">
      <c r="C16" s="1658"/>
      <c r="D16" s="1658"/>
      <c r="E16" s="1662" t="n">
        <v>12</v>
      </c>
      <c r="F16" s="1663" t="n">
        <v>18</v>
      </c>
      <c r="G16" s="1664" t="n">
        <v>19</v>
      </c>
      <c r="H16" s="1664" t="n">
        <v>20</v>
      </c>
      <c r="I16" s="1664" t="n">
        <v>17</v>
      </c>
      <c r="J16" s="1664" t="n">
        <v>10</v>
      </c>
      <c r="K16" s="1664" t="n">
        <v>11</v>
      </c>
      <c r="L16" s="1664" t="n">
        <v>9</v>
      </c>
      <c r="M16" s="1664" t="n">
        <v>21</v>
      </c>
      <c r="N16" s="1664" t="n">
        <v>8</v>
      </c>
      <c r="O16" s="1664" t="n">
        <v>12</v>
      </c>
      <c r="P16" s="1664" t="n">
        <v>13</v>
      </c>
      <c r="Q16" s="1664" t="n">
        <v>22</v>
      </c>
      <c r="R16" s="1664" t="n">
        <v>16</v>
      </c>
      <c r="S16" s="1664" t="n">
        <v>14</v>
      </c>
      <c r="T16" s="1664" t="n">
        <v>15</v>
      </c>
      <c r="U16" s="1665" t="n">
        <v>7</v>
      </c>
      <c r="V16" s="1664" t="n">
        <v>23</v>
      </c>
      <c r="W16" s="1664" t="n">
        <v>6</v>
      </c>
      <c r="X16" s="1664" t="n">
        <v>24</v>
      </c>
      <c r="Y16" s="1664" t="n">
        <v>5</v>
      </c>
      <c r="Z16" s="1664" t="n">
        <v>1</v>
      </c>
      <c r="AA16" s="1664" t="n">
        <v>2</v>
      </c>
      <c r="AB16" s="1664" t="n">
        <v>4</v>
      </c>
      <c r="AC16" s="1665" t="n">
        <v>3</v>
      </c>
      <c r="AD16" s="1658"/>
      <c r="AE16" s="1662" t="n">
        <v>12</v>
      </c>
      <c r="AF16" s="1663" t="n">
        <f aca="false">IF(AND(WeekDef=8,CustomMFFlag,CustomMFPeriod=4),INDEX(VolumeHourlyOver,F16,1),IF(OR(WeekDef=1,WeekDef=2,WeekDef=4,WeekDef=6,AND(WeekDef=8,CustomMFFlag,OR(CustomMFPeriod=1,CustomMFPeriod=2))),IF(VolumeMonthlyOverFlag,INDEX(VolumeMonthlyOver,AE16),Volume),0))</f>
        <v>150</v>
      </c>
      <c r="AG16" s="1664" t="n">
        <f aca="false">IF(AND(WeekDef=8,CustomMFFlag,CustomMFPeriod=4),INDEX(VolumeHourlyOver,G16,1),IF(OR(WeekDef=1,WeekDef=2,WeekDef=4,WeekDef=6,AND(WeekDef=8,CustomMFFlag,OR(CustomMFPeriod=1,CustomMFPeriod=2))),IF(VolumeMonthlyOverFlag,INDEX(VolumeMonthlyOver,AE16),Volume),0))</f>
        <v>150</v>
      </c>
      <c r="AH16" s="1664" t="n">
        <f aca="false">IF(AND(WeekDef=8,CustomMFFlag,CustomMFPeriod=4),INDEX(VolumeHourlyOver,H16,1),IF(OR(WeekDef=1,WeekDef=2,WeekDef=4,WeekDef=6,AND(WeekDef=8,CustomMFFlag,OR(CustomMFPeriod=1,CustomMFPeriod=2))),IF(VolumeMonthlyOverFlag,INDEX(VolumeMonthlyOver,AE16),Volume),0))</f>
        <v>150</v>
      </c>
      <c r="AI16" s="1664" t="n">
        <f aca="false">IF(AND(WeekDef=8,CustomMFFlag,CustomMFPeriod=4),INDEX(VolumeHourlyOver,I16,1),IF(OR(WeekDef=1,WeekDef=2,WeekDef=4,WeekDef=6,AND(WeekDef=8,CustomMFFlag,OR(CustomMFPeriod=1,CustomMFPeriod=2))),IF(VolumeMonthlyOverFlag,INDEX(VolumeMonthlyOver,AE16),Volume),0))</f>
        <v>150</v>
      </c>
      <c r="AJ16" s="1664" t="n">
        <f aca="false">IF(AND(WeekDef=8,CustomMFFlag,CustomMFPeriod=4),INDEX(VolumeHourlyOver,J16,1),IF(OR(WeekDef=1,WeekDef=2,WeekDef=4,WeekDef=6,AND(WeekDef=8,CustomMFFlag,OR(CustomMFPeriod=1,CustomMFPeriod=2))),IF(VolumeMonthlyOverFlag,INDEX(VolumeMonthlyOver,AE16),Volume),0))</f>
        <v>150</v>
      </c>
      <c r="AK16" s="1664" t="n">
        <f aca="false">IF(AND(WeekDef=8,CustomMFFlag,CustomMFPeriod=4),INDEX(VolumeHourlyOver,K16,1),IF(OR(WeekDef=1,WeekDef=2,WeekDef=4,WeekDef=6,AND(WeekDef=8,CustomMFFlag,OR(CustomMFPeriod=1,CustomMFPeriod=2))),IF(VolumeMonthlyOverFlag,INDEX(VolumeMonthlyOver,AE16),Volume),0))</f>
        <v>150</v>
      </c>
      <c r="AL16" s="1664" t="n">
        <f aca="false">IF(AND(WeekDef=8,CustomMFFlag,CustomMFPeriod=4),INDEX(VolumeHourlyOver,L16,1),IF(OR(WeekDef=1,WeekDef=2,WeekDef=4,WeekDef=6,AND(WeekDef=8,CustomMFFlag,OR(CustomMFPeriod=1,CustomMFPeriod=2))),IF(VolumeMonthlyOverFlag,INDEX(VolumeMonthlyOver,AE16),Volume),0))</f>
        <v>150</v>
      </c>
      <c r="AM16" s="1664" t="n">
        <f aca="false">IF(AND(WeekDef=8,CustomMFFlag,CustomMFPeriod=4),INDEX(VolumeHourlyOver,M16,1),IF(OR(WeekDef=1,WeekDef=2,WeekDef=4,WeekDef=6,AND(WeekDef=8,CustomMFFlag,OR(CustomMFPeriod=1,CustomMFPeriod=2))),IF(VolumeMonthlyOverFlag,INDEX(VolumeMonthlyOver,AE16),Volume),0))</f>
        <v>150</v>
      </c>
      <c r="AN16" s="1664" t="n">
        <f aca="false">IF(AND(WeekDef=8,CustomMFFlag,CustomMFPeriod=4),INDEX(VolumeHourlyOver,N16,1),IF(OR(WeekDef=1,WeekDef=2,WeekDef=4,WeekDef=6,AND(WeekDef=8,CustomMFFlag,OR(CustomMFPeriod=1,CustomMFPeriod=2))),IF(VolumeMonthlyOverFlag,INDEX(VolumeMonthlyOver,AE16),Volume),0))</f>
        <v>150</v>
      </c>
      <c r="AO16" s="1664" t="n">
        <f aca="false">IF(AND(WeekDef=8,CustomMFFlag,CustomMFPeriod=4),INDEX(VolumeHourlyOver,O16,1),IF(OR(WeekDef=1,WeekDef=2,WeekDef=4,WeekDef=6,AND(WeekDef=8,CustomMFFlag,OR(CustomMFPeriod=1,CustomMFPeriod=2))),IF(VolumeMonthlyOverFlag,INDEX(VolumeMonthlyOver,AE16),Volume),0))</f>
        <v>150</v>
      </c>
      <c r="AP16" s="1664" t="n">
        <f aca="false">IF(AND(WeekDef=8,CustomMFFlag,CustomMFPeriod=4),INDEX(VolumeHourlyOver,P16,1),IF(OR(WeekDef=1,WeekDef=2,WeekDef=4,WeekDef=6,AND(WeekDef=8,CustomMFFlag,OR(CustomMFPeriod=1,CustomMFPeriod=2))),IF(VolumeMonthlyOverFlag,INDEX(VolumeMonthlyOver,AE16),Volume),0))</f>
        <v>150</v>
      </c>
      <c r="AQ16" s="1664" t="n">
        <f aca="false">IF(AND(WeekDef=8,CustomMFFlag,CustomMFPeriod=4),INDEX(VolumeHourlyOver,Q16,1),IF(OR(WeekDef=1,WeekDef=2,WeekDef=4,WeekDef=6,AND(WeekDef=8,CustomMFFlag,OR(CustomMFPeriod=1,CustomMFPeriod=2))),IF(VolumeMonthlyOverFlag,INDEX(VolumeMonthlyOver,AE16),Volume),0))</f>
        <v>150</v>
      </c>
      <c r="AR16" s="1664" t="n">
        <f aca="false">IF(AND(WeekDef=8,CustomMFFlag,CustomMFPeriod=4),INDEX(VolumeHourlyOver,R16,1),IF(OR(WeekDef=1,WeekDef=2,WeekDef=4,WeekDef=6,AND(WeekDef=8,CustomMFFlag,OR(CustomMFPeriod=1,CustomMFPeriod=2))),IF(VolumeMonthlyOverFlag,INDEX(VolumeMonthlyOver,AE16),Volume),0))</f>
        <v>150</v>
      </c>
      <c r="AS16" s="1664" t="n">
        <f aca="false">IF(AND(WeekDef=8,CustomMFFlag,CustomMFPeriod=4),INDEX(VolumeHourlyOver,S16,1),IF(OR(WeekDef=1,WeekDef=2,WeekDef=4,WeekDef=6,AND(WeekDef=8,CustomMFFlag,OR(CustomMFPeriod=1,CustomMFPeriod=2))),IF(VolumeMonthlyOverFlag,INDEX(VolumeMonthlyOver,AE16),Volume),0))</f>
        <v>150</v>
      </c>
      <c r="AT16" s="1664" t="n">
        <f aca="false">IF(AND(WeekDef=8,CustomMFFlag,CustomMFPeriod=4),INDEX(VolumeHourlyOver,T16,1),IF(OR(WeekDef=1,WeekDef=2,WeekDef=4,WeekDef=6,AND(WeekDef=8,CustomMFFlag,OR(CustomMFPeriod=1,CustomMFPeriod=2))),IF(VolumeMonthlyOverFlag,INDEX(VolumeMonthlyOver,AE16),Volume),0))</f>
        <v>150</v>
      </c>
      <c r="AU16" s="1665" t="n">
        <f aca="false">IF(AND(WeekDef=8,CustomMFFlag,CustomMFPeriod=4),INDEX(VolumeHourlyOver,U16,1),IF(OR(WeekDef=1,WeekDef=2,WeekDef=4,WeekDef=6,AND(WeekDef=8,CustomMFFlag,OR(CustomMFPeriod=1,CustomMFPeriod=2))),IF(VolumeMonthlyOverFlag,INDEX(VolumeMonthlyOver,AE16),Volume),0))</f>
        <v>150</v>
      </c>
      <c r="AV16" s="1664" t="n">
        <f aca="false">IF(AND(WeekDef=8,CustomMFFlag,CustomMFPeriod=4),INDEX(VolumeHourlyOver,V16,1),IF(OR(WeekDef=1,WeekDef=3,WeekDef=5,WeekDef=7,AND(WeekDef=8,CustomMFFlag,OR(CustomMFPeriod=1,CustomMFPeriod=3))),IF(VolumeMonthlyOverFlag,INDEX(VolumeMonthlyOver,AE16),Volume),0))</f>
        <v>150</v>
      </c>
      <c r="AW16" s="1664" t="n">
        <f aca="false">IF(AND(WeekDef=8,CustomMFFlag,CustomMFPeriod=4),INDEX(VolumeHourlyOver,W16,1),IF(OR(WeekDef=1,WeekDef=3,WeekDef=5,WeekDef=7,AND(WeekDef=8,CustomMFFlag,OR(CustomMFPeriod=1,CustomMFPeriod=3))),IF(VolumeMonthlyOverFlag,INDEX(VolumeMonthlyOver,AE16),Volume),0))</f>
        <v>150</v>
      </c>
      <c r="AX16" s="1664" t="n">
        <f aca="false">IF(AND(WeekDef=8,CustomMFFlag,CustomMFPeriod=4),INDEX(VolumeHourlyOver,X16,1),IF(OR(WeekDef=1,WeekDef=3,WeekDef=5,WeekDef=7,AND(WeekDef=8,CustomMFFlag,OR(CustomMFPeriod=1,CustomMFPeriod=3))),IF(VolumeMonthlyOverFlag,INDEX(VolumeMonthlyOver,AE16),Volume),0))</f>
        <v>150</v>
      </c>
      <c r="AY16" s="1664" t="n">
        <f aca="false">IF(AND(WeekDef=8,CustomMFFlag,CustomMFPeriod=4),INDEX(VolumeHourlyOver,Y16,1),IF(OR(WeekDef=1,WeekDef=3,WeekDef=5,WeekDef=7,AND(WeekDef=8,CustomMFFlag,OR(CustomMFPeriod=1,CustomMFPeriod=3))),IF(VolumeMonthlyOverFlag,INDEX(VolumeMonthlyOver,AE16),Volume),0))</f>
        <v>150</v>
      </c>
      <c r="AZ16" s="1664" t="n">
        <f aca="false">IF(AND(WeekDef=8,CustomMFFlag,CustomMFPeriod=4),INDEX(VolumeHourlyOver,Z16,1),IF(OR(WeekDef=1,WeekDef=3,WeekDef=5,WeekDef=7,AND(WeekDef=8,CustomMFFlag,OR(CustomMFPeriod=1,CustomMFPeriod=3))),IF(VolumeMonthlyOverFlag,INDEX(VolumeMonthlyOver,AE16),Volume),0))</f>
        <v>150</v>
      </c>
      <c r="BA16" s="1664" t="n">
        <f aca="false">IF(AND(WeekDef=8,CustomMFFlag,CustomMFPeriod=4),INDEX(VolumeHourlyOver,AA16,1),IF(OR(WeekDef=1,WeekDef=3,WeekDef=5,WeekDef=7,AND(WeekDef=8,CustomMFFlag,OR(CustomMFPeriod=1,CustomMFPeriod=3))),IF(VolumeMonthlyOverFlag,INDEX(VolumeMonthlyOver,AE16),Volume),0))</f>
        <v>150</v>
      </c>
      <c r="BB16" s="1664" t="n">
        <f aca="false">IF(AND(WeekDef=8,CustomMFFlag,CustomMFPeriod=4),INDEX(VolumeHourlyOver,AB16,1),IF(OR(WeekDef=1,WeekDef=3,WeekDef=5,WeekDef=7,AND(WeekDef=8,CustomMFFlag,OR(CustomMFPeriod=1,CustomMFPeriod=3))),IF(VolumeMonthlyOverFlag,INDEX(VolumeMonthlyOver,AE16),Volume),0))</f>
        <v>150</v>
      </c>
      <c r="BC16" s="1665" t="n">
        <f aca="false">IF(AND(WeekDef=8,CustomMFFlag,CustomMFPeriod=4),INDEX(VolumeHourlyOver,AC16,1),IF(OR(WeekDef=1,WeekDef=3,WeekDef=5,WeekDef=7,AND(WeekDef=8,CustomMFFlag,OR(CustomMFPeriod=1,CustomMFPeriod=3))),IF(VolumeMonthlyOverFlag,INDEX(VolumeMonthlyOver,AE16),Volume),0))</f>
        <v>150</v>
      </c>
      <c r="BD16" s="1666" t="n">
        <f aca="false">SUM(AF16:AU16)</f>
        <v>2400</v>
      </c>
      <c r="BE16" s="1667" t="n">
        <f aca="false">SUM(AV16:BC16)</f>
        <v>1200</v>
      </c>
      <c r="BF16" s="1668" t="n">
        <f aca="false">BD16+BE16</f>
        <v>3600</v>
      </c>
      <c r="BG16" s="1669" t="n">
        <f aca="false">IF(BD16,SUMPRODUCT(AF16:AU16,F32:U32)/BD16,0)</f>
        <v>1</v>
      </c>
      <c r="BH16" s="1669" t="n">
        <f aca="false">IF(BE16,SUMPRODUCT(AV16:BC16,V32:AC32)/BE16,0)</f>
        <v>1</v>
      </c>
      <c r="BJ16" s="1662" t="n">
        <v>12</v>
      </c>
      <c r="BK16" s="1663" t="n">
        <f aca="false">IF(AND(WeekDef=8,CustomMFFlag,CustomMFPeriod=4),INDEX(IF(DiffOptVolumeFlag,DiffOptVolumeHourlyOver,VolumeHourlyOver),F16,1),IF(OR(WeekDef=1,WeekDef=2,WeekDef=4,WeekDef=6,AND(WeekDef=8,CustomMFFlag,OR(CustomMFPeriod=1,CustomMFPeriod=2))),IF(VolumeMonthlyOverFlag,INDEX(IF(DiffOptVolumeFlag,DiffOptVolumeMonthlyOver,VolumeMonthlyOver),BJ16),IF(DiffOptVolumeFlag,DiffOptVolume,Volume)),0))</f>
        <v>600</v>
      </c>
      <c r="BL16" s="1664" t="n">
        <f aca="false">IF(AND(WeekDef=8,CustomMFFlag,CustomMFPeriod=4),INDEX(IF(DiffOptVolumeFlag,DiffOptVolumeHourlyOver,VolumeHourlyOver),G16,1),IF(OR(WeekDef=1,WeekDef=2,WeekDef=4,WeekDef=6,AND(WeekDef=8,CustomMFFlag,OR(CustomMFPeriod=1,CustomMFPeriod=2))),IF(VolumeMonthlyOverFlag,INDEX(IF(DiffOptVolumeFlag,DiffOptVolumeMonthlyOver,VolumeMonthlyOver),BJ16),IF(DiffOptVolumeFlag,DiffOptVolume,Volume)),0))</f>
        <v>600</v>
      </c>
      <c r="BM16" s="1664" t="n">
        <f aca="false">IF(AND(WeekDef=8,CustomMFFlag,CustomMFPeriod=4),INDEX(IF(DiffOptVolumeFlag,DiffOptVolumeHourlyOver,VolumeHourlyOver),H16,1),IF(OR(WeekDef=1,WeekDef=2,WeekDef=4,WeekDef=6,AND(WeekDef=8,CustomMFFlag,OR(CustomMFPeriod=1,CustomMFPeriod=2))),IF(VolumeMonthlyOverFlag,INDEX(IF(DiffOptVolumeFlag,DiffOptVolumeMonthlyOver,VolumeMonthlyOver),BJ16),IF(DiffOptVolumeFlag,DiffOptVolume,Volume)),0))</f>
        <v>600</v>
      </c>
      <c r="BN16" s="1664" t="n">
        <f aca="false">IF(AND(WeekDef=8,CustomMFFlag,CustomMFPeriod=4),INDEX(IF(DiffOptVolumeFlag,DiffOptVolumeHourlyOver,VolumeHourlyOver),I16,1),IF(OR(WeekDef=1,WeekDef=2,WeekDef=4,WeekDef=6,AND(WeekDef=8,CustomMFFlag,OR(CustomMFPeriod=1,CustomMFPeriod=2))),IF(VolumeMonthlyOverFlag,INDEX(IF(DiffOptVolumeFlag,DiffOptVolumeMonthlyOver,VolumeMonthlyOver),BJ16),IF(DiffOptVolumeFlag,DiffOptVolume,Volume)),0))</f>
        <v>600</v>
      </c>
      <c r="BO16" s="1664" t="n">
        <f aca="false">IF(AND(WeekDef=8,CustomMFFlag,CustomMFPeriod=4),INDEX(IF(DiffOptVolumeFlag,DiffOptVolumeHourlyOver,VolumeHourlyOver),J16,1),IF(OR(WeekDef=1,WeekDef=2,WeekDef=4,WeekDef=6,AND(WeekDef=8,CustomMFFlag,OR(CustomMFPeriod=1,CustomMFPeriod=2))),IF(VolumeMonthlyOverFlag,INDEX(IF(DiffOptVolumeFlag,DiffOptVolumeMonthlyOver,VolumeMonthlyOver),BJ16),IF(DiffOptVolumeFlag,DiffOptVolume,Volume)),0))</f>
        <v>600</v>
      </c>
      <c r="BP16" s="1664" t="n">
        <f aca="false">IF(AND(WeekDef=8,CustomMFFlag,CustomMFPeriod=4),INDEX(IF(DiffOptVolumeFlag,DiffOptVolumeHourlyOver,VolumeHourlyOver),K16,1),IF(OR(WeekDef=1,WeekDef=2,WeekDef=4,WeekDef=6,AND(WeekDef=8,CustomMFFlag,OR(CustomMFPeriod=1,CustomMFPeriod=2))),IF(VolumeMonthlyOverFlag,INDEX(IF(DiffOptVolumeFlag,DiffOptVolumeMonthlyOver,VolumeMonthlyOver),BJ16),IF(DiffOptVolumeFlag,DiffOptVolume,Volume)),0))</f>
        <v>600</v>
      </c>
      <c r="BQ16" s="1664" t="n">
        <f aca="false">IF(AND(WeekDef=8,CustomMFFlag,CustomMFPeriod=4),INDEX(IF(DiffOptVolumeFlag,DiffOptVolumeHourlyOver,VolumeHourlyOver),L16,1),IF(OR(WeekDef=1,WeekDef=2,WeekDef=4,WeekDef=6,AND(WeekDef=8,CustomMFFlag,OR(CustomMFPeriod=1,CustomMFPeriod=2))),IF(VolumeMonthlyOverFlag,INDEX(IF(DiffOptVolumeFlag,DiffOptVolumeMonthlyOver,VolumeMonthlyOver),BJ16),IF(DiffOptVolumeFlag,DiffOptVolume,Volume)),0))</f>
        <v>600</v>
      </c>
      <c r="BR16" s="1664" t="n">
        <f aca="false">IF(AND(WeekDef=8,CustomMFFlag,CustomMFPeriod=4),INDEX(IF(DiffOptVolumeFlag,DiffOptVolumeHourlyOver,VolumeHourlyOver),M16,1),IF(OR(WeekDef=1,WeekDef=2,WeekDef=4,WeekDef=6,AND(WeekDef=8,CustomMFFlag,OR(CustomMFPeriod=1,CustomMFPeriod=2))),IF(VolumeMonthlyOverFlag,INDEX(IF(DiffOptVolumeFlag,DiffOptVolumeMonthlyOver,VolumeMonthlyOver),BJ16),IF(DiffOptVolumeFlag,DiffOptVolume,Volume)),0))</f>
        <v>600</v>
      </c>
      <c r="BS16" s="1664" t="n">
        <f aca="false">IF(AND(WeekDef=8,CustomMFFlag,CustomMFPeriod=4),INDEX(IF(DiffOptVolumeFlag,DiffOptVolumeHourlyOver,VolumeHourlyOver),N16,1),IF(OR(WeekDef=1,WeekDef=2,WeekDef=4,WeekDef=6,AND(WeekDef=8,CustomMFFlag,OR(CustomMFPeriod=1,CustomMFPeriod=2))),IF(VolumeMonthlyOverFlag,INDEX(IF(DiffOptVolumeFlag,DiffOptVolumeMonthlyOver,VolumeMonthlyOver),BJ16),IF(DiffOptVolumeFlag,DiffOptVolume,Volume)),0))</f>
        <v>600</v>
      </c>
      <c r="BT16" s="1664" t="n">
        <f aca="false">IF(AND(WeekDef=8,CustomMFFlag,CustomMFPeriod=4),INDEX(IF(DiffOptVolumeFlag,DiffOptVolumeHourlyOver,VolumeHourlyOver),O16,1),IF(OR(WeekDef=1,WeekDef=2,WeekDef=4,WeekDef=6,AND(WeekDef=8,CustomMFFlag,OR(CustomMFPeriod=1,CustomMFPeriod=2))),IF(VolumeMonthlyOverFlag,INDEX(IF(DiffOptVolumeFlag,DiffOptVolumeMonthlyOver,VolumeMonthlyOver),BJ16),IF(DiffOptVolumeFlag,DiffOptVolume,Volume)),0))</f>
        <v>600</v>
      </c>
      <c r="BU16" s="1664" t="n">
        <f aca="false">IF(AND(WeekDef=8,CustomMFFlag,CustomMFPeriod=4),INDEX(IF(DiffOptVolumeFlag,DiffOptVolumeHourlyOver,VolumeHourlyOver),P16,1),IF(OR(WeekDef=1,WeekDef=2,WeekDef=4,WeekDef=6,AND(WeekDef=8,CustomMFFlag,OR(CustomMFPeriod=1,CustomMFPeriod=2))),IF(VolumeMonthlyOverFlag,INDEX(IF(DiffOptVolumeFlag,DiffOptVolumeMonthlyOver,VolumeMonthlyOver),BJ16),IF(DiffOptVolumeFlag,DiffOptVolume,Volume)),0))</f>
        <v>600</v>
      </c>
      <c r="BV16" s="1664" t="n">
        <f aca="false">IF(AND(WeekDef=8,CustomMFFlag,CustomMFPeriod=4),INDEX(IF(DiffOptVolumeFlag,DiffOptVolumeHourlyOver,VolumeHourlyOver),Q16,1),IF(OR(WeekDef=1,WeekDef=2,WeekDef=4,WeekDef=6,AND(WeekDef=8,CustomMFFlag,OR(CustomMFPeriod=1,CustomMFPeriod=2))),IF(VolumeMonthlyOverFlag,INDEX(IF(DiffOptVolumeFlag,DiffOptVolumeMonthlyOver,VolumeMonthlyOver),BJ16),IF(DiffOptVolumeFlag,DiffOptVolume,Volume)),0))</f>
        <v>600</v>
      </c>
      <c r="BW16" s="1664" t="n">
        <f aca="false">IF(AND(WeekDef=8,CustomMFFlag,CustomMFPeriod=4),INDEX(IF(DiffOptVolumeFlag,DiffOptVolumeHourlyOver,VolumeHourlyOver),R16,1),IF(OR(WeekDef=1,WeekDef=2,WeekDef=4,WeekDef=6,AND(WeekDef=8,CustomMFFlag,OR(CustomMFPeriod=1,CustomMFPeriod=2))),IF(VolumeMonthlyOverFlag,INDEX(IF(DiffOptVolumeFlag,DiffOptVolumeMonthlyOver,VolumeMonthlyOver),BJ16),IF(DiffOptVolumeFlag,DiffOptVolume,Volume)),0))</f>
        <v>600</v>
      </c>
      <c r="BX16" s="1664" t="n">
        <f aca="false">IF(AND(WeekDef=8,CustomMFFlag,CustomMFPeriod=4),INDEX(IF(DiffOptVolumeFlag,DiffOptVolumeHourlyOver,VolumeHourlyOver),S16,1),IF(OR(WeekDef=1,WeekDef=2,WeekDef=4,WeekDef=6,AND(WeekDef=8,CustomMFFlag,OR(CustomMFPeriod=1,CustomMFPeriod=2))),IF(VolumeMonthlyOverFlag,INDEX(IF(DiffOptVolumeFlag,DiffOptVolumeMonthlyOver,VolumeMonthlyOver),BJ16),IF(DiffOptVolumeFlag,DiffOptVolume,Volume)),0))</f>
        <v>600</v>
      </c>
      <c r="BY16" s="1664" t="n">
        <f aca="false">IF(AND(WeekDef=8,CustomMFFlag,CustomMFPeriod=4),INDEX(IF(DiffOptVolumeFlag,DiffOptVolumeHourlyOver,VolumeHourlyOver),T16,1),IF(OR(WeekDef=1,WeekDef=2,WeekDef=4,WeekDef=6,AND(WeekDef=8,CustomMFFlag,OR(CustomMFPeriod=1,CustomMFPeriod=2))),IF(VolumeMonthlyOverFlag,INDEX(IF(DiffOptVolumeFlag,DiffOptVolumeMonthlyOver,VolumeMonthlyOver),BJ16),IF(DiffOptVolumeFlag,DiffOptVolume,Volume)),0))</f>
        <v>600</v>
      </c>
      <c r="BZ16" s="1665" t="n">
        <f aca="false">IF(AND(WeekDef=8,CustomMFFlag,CustomMFPeriod=4),INDEX(IF(DiffOptVolumeFlag,DiffOptVolumeHourlyOver,VolumeHourlyOver),U16,1),IF(OR(WeekDef=1,WeekDef=2,WeekDef=4,WeekDef=6,AND(WeekDef=8,CustomMFFlag,OR(CustomMFPeriod=1,CustomMFPeriod=2))),IF(VolumeMonthlyOverFlag,INDEX(IF(DiffOptVolumeFlag,DiffOptVolumeMonthlyOver,VolumeMonthlyOver),BJ16),IF(DiffOptVolumeFlag,DiffOptVolume,Volume)),0))</f>
        <v>600</v>
      </c>
      <c r="CA16" s="1664" t="n">
        <f aca="false">IF(AND(WeekDef=8,CustomMFFlag,CustomMFPeriod=4),INDEX(IF(DiffOptVolumeFlag,DiffOptVolumeHourlyOver,VolumeHourlyOver),V16,1),IF(OR(WeekDef=1,WeekDef=3,WeekDef=5,WeekDef=7,AND(WeekDef=8,CustomMFFlag,OR(CustomMFPeriod=1,CustomMFPeriod=3))),IF(VolumeMonthlyOverFlag,INDEX(IF(DiffOptVolumeFlag,DiffOptVolumeMonthlyOver,VolumeMonthlyOver),BJ16),IF(DiffOptVolumeFlag,DiffOptVolume,Volume)),0))</f>
        <v>600</v>
      </c>
      <c r="CB16" s="1664" t="n">
        <f aca="false">IF(AND(WeekDef=8,CustomMFFlag,CustomMFPeriod=4),INDEX(IF(DiffOptVolumeFlag,DiffOptVolumeHourlyOver,VolumeHourlyOver),W16,1),IF(OR(WeekDef=1,WeekDef=3,WeekDef=5,WeekDef=7,AND(WeekDef=8,CustomMFFlag,OR(CustomMFPeriod=1,CustomMFPeriod=3))),IF(VolumeMonthlyOverFlag,INDEX(IF(DiffOptVolumeFlag,DiffOptVolumeMonthlyOver,VolumeMonthlyOver),BJ16),IF(DiffOptVolumeFlag,DiffOptVolume,Volume)),0))</f>
        <v>600</v>
      </c>
      <c r="CC16" s="1664" t="n">
        <f aca="false">IF(AND(WeekDef=8,CustomMFFlag,CustomMFPeriod=4),INDEX(IF(DiffOptVolumeFlag,DiffOptVolumeHourlyOver,VolumeHourlyOver),X16,1),IF(OR(WeekDef=1,WeekDef=3,WeekDef=5,WeekDef=7,AND(WeekDef=8,CustomMFFlag,OR(CustomMFPeriod=1,CustomMFPeriod=3))),IF(VolumeMonthlyOverFlag,INDEX(IF(DiffOptVolumeFlag,DiffOptVolumeMonthlyOver,VolumeMonthlyOver),BJ16),IF(DiffOptVolumeFlag,DiffOptVolume,Volume)),0))</f>
        <v>600</v>
      </c>
      <c r="CD16" s="1664" t="n">
        <f aca="false">IF(AND(WeekDef=8,CustomMFFlag,CustomMFPeriod=4),INDEX(IF(DiffOptVolumeFlag,DiffOptVolumeHourlyOver,VolumeHourlyOver),Y16,1),IF(OR(WeekDef=1,WeekDef=3,WeekDef=5,WeekDef=7,AND(WeekDef=8,CustomMFFlag,OR(CustomMFPeriod=1,CustomMFPeriod=3))),IF(VolumeMonthlyOverFlag,INDEX(IF(DiffOptVolumeFlag,DiffOptVolumeMonthlyOver,VolumeMonthlyOver),BJ16),IF(DiffOptVolumeFlag,DiffOptVolume,Volume)),0))</f>
        <v>600</v>
      </c>
      <c r="CE16" s="1664" t="n">
        <f aca="false">IF(AND(WeekDef=8,CustomMFFlag,CustomMFPeriod=4),INDEX(IF(DiffOptVolumeFlag,DiffOptVolumeHourlyOver,VolumeHourlyOver),Z16,1),IF(OR(WeekDef=1,WeekDef=3,WeekDef=5,WeekDef=7,AND(WeekDef=8,CustomMFFlag,OR(CustomMFPeriod=1,CustomMFPeriod=3))),IF(VolumeMonthlyOverFlag,INDEX(IF(DiffOptVolumeFlag,DiffOptVolumeMonthlyOver,VolumeMonthlyOver),BJ16),IF(DiffOptVolumeFlag,DiffOptVolume,Volume)),0))</f>
        <v>600</v>
      </c>
      <c r="CF16" s="1664" t="n">
        <f aca="false">IF(AND(WeekDef=8,CustomMFFlag,CustomMFPeriod=4),INDEX(IF(DiffOptVolumeFlag,DiffOptVolumeHourlyOver,VolumeHourlyOver),AA16,1),IF(OR(WeekDef=1,WeekDef=3,WeekDef=5,WeekDef=7,AND(WeekDef=8,CustomMFFlag,OR(CustomMFPeriod=1,CustomMFPeriod=3))),IF(VolumeMonthlyOverFlag,INDEX(IF(DiffOptVolumeFlag,DiffOptVolumeMonthlyOver,VolumeMonthlyOver),BJ16),IF(DiffOptVolumeFlag,DiffOptVolume,Volume)),0))</f>
        <v>600</v>
      </c>
      <c r="CG16" s="1664" t="n">
        <f aca="false">IF(AND(WeekDef=8,CustomMFFlag,CustomMFPeriod=4),INDEX(IF(DiffOptVolumeFlag,DiffOptVolumeHourlyOver,VolumeHourlyOver),AB16,1),IF(OR(WeekDef=1,WeekDef=3,WeekDef=5,WeekDef=7,AND(WeekDef=8,CustomMFFlag,OR(CustomMFPeriod=1,CustomMFPeriod=3))),IF(VolumeMonthlyOverFlag,INDEX(IF(DiffOptVolumeFlag,DiffOptVolumeMonthlyOver,VolumeMonthlyOver),BJ16),IF(DiffOptVolumeFlag,DiffOptVolume,Volume)),0))</f>
        <v>600</v>
      </c>
      <c r="CH16" s="1665" t="n">
        <f aca="false">IF(AND(WeekDef=8,CustomMFFlag,CustomMFPeriod=4),INDEX(IF(DiffOptVolumeFlag,DiffOptVolumeHourlyOver,VolumeHourlyOver),AC16,1),IF(OR(WeekDef=1,WeekDef=3,WeekDef=5,WeekDef=7,AND(WeekDef=8,CustomMFFlag,OR(CustomMFPeriod=1,CustomMFPeriod=3))),IF(VolumeMonthlyOverFlag,INDEX(IF(DiffOptVolumeFlag,DiffOptVolumeMonthlyOver,VolumeMonthlyOver),BJ16),IF(DiffOptVolumeFlag,DiffOptVolume,Volume)),0))</f>
        <v>600</v>
      </c>
      <c r="CI16" s="1666" t="n">
        <f aca="false">SUM(BK16:BZ16)</f>
        <v>9600</v>
      </c>
      <c r="CJ16" s="1667" t="n">
        <f aca="false">SUM(CA16:CH16)</f>
        <v>4800</v>
      </c>
      <c r="CK16" s="1668" t="n">
        <f aca="false">CI16+CJ16</f>
        <v>14400</v>
      </c>
      <c r="CL16" s="1669" t="n">
        <f aca="false">IF(CI16,SUMPRODUCT(BK16:BZ16,F32:U32)/CI16,0)</f>
        <v>1</v>
      </c>
      <c r="CM16" s="1669" t="n">
        <f aca="false">IF(CJ16,SUMPRODUCT(CA16:CH16,V32:AC32)/CJ16,0)</f>
        <v>1</v>
      </c>
      <c r="CO16" s="1663" t="n">
        <v>12</v>
      </c>
      <c r="CP16" s="1670" t="n">
        <f aca="false">MAX(AF16:BC16,AF30:BC30,AF44:BC44,AF58:BC58)</f>
        <v>150</v>
      </c>
      <c r="CQ16" s="1671" t="n">
        <f aca="false">MAX(BK16:CH16,BK30:CH30,BK44:CH44,BK58:CH58)</f>
        <v>600</v>
      </c>
      <c r="DE16" s="1658"/>
    </row>
    <row r="17" customFormat="false" ht="16.5" hidden="false" customHeight="false" outlineLevel="0" collapsed="false">
      <c r="C17" s="1658"/>
      <c r="D17" s="1658"/>
      <c r="AD17" s="1658"/>
      <c r="AE17" s="1625" t="s">
        <v>1265</v>
      </c>
      <c r="AF17" s="1626" t="s">
        <v>149</v>
      </c>
      <c r="AG17" s="1627"/>
      <c r="AH17" s="1627"/>
      <c r="AI17" s="1627"/>
      <c r="AJ17" s="1627"/>
      <c r="AK17" s="1627"/>
      <c r="AL17" s="1627"/>
      <c r="AM17" s="1627"/>
      <c r="AN17" s="1627"/>
      <c r="AO17" s="1627"/>
      <c r="AP17" s="1627"/>
      <c r="AQ17" s="1627"/>
      <c r="AR17" s="1627"/>
      <c r="AS17" s="1627"/>
      <c r="AT17" s="1627"/>
      <c r="AU17" s="1628"/>
      <c r="AV17" s="1627" t="s">
        <v>132</v>
      </c>
      <c r="AW17" s="1627"/>
      <c r="AX17" s="1627"/>
      <c r="AY17" s="1627"/>
      <c r="AZ17" s="1627"/>
      <c r="BA17" s="1627"/>
      <c r="BB17" s="1627"/>
      <c r="BC17" s="1628"/>
      <c r="BD17" s="1629"/>
      <c r="BE17" s="1630" t="s">
        <v>1259</v>
      </c>
      <c r="BF17" s="1631"/>
      <c r="BG17" s="1672"/>
      <c r="BH17" s="1672"/>
      <c r="BJ17" s="1625" t="s">
        <v>1265</v>
      </c>
      <c r="BK17" s="1626" t="s">
        <v>149</v>
      </c>
      <c r="BL17" s="1627"/>
      <c r="BM17" s="1627"/>
      <c r="BN17" s="1627"/>
      <c r="BO17" s="1627"/>
      <c r="BP17" s="1627"/>
      <c r="BQ17" s="1627"/>
      <c r="BR17" s="1627"/>
      <c r="BS17" s="1627"/>
      <c r="BT17" s="1627"/>
      <c r="BU17" s="1627"/>
      <c r="BV17" s="1627"/>
      <c r="BW17" s="1627"/>
      <c r="BX17" s="1627"/>
      <c r="BY17" s="1627"/>
      <c r="BZ17" s="1628"/>
      <c r="CA17" s="1627" t="s">
        <v>132</v>
      </c>
      <c r="CB17" s="1627"/>
      <c r="CC17" s="1627"/>
      <c r="CD17" s="1627"/>
      <c r="CE17" s="1627"/>
      <c r="CF17" s="1627"/>
      <c r="CG17" s="1627"/>
      <c r="CH17" s="1628"/>
      <c r="CI17" s="1629"/>
      <c r="CJ17" s="1630" t="s">
        <v>1259</v>
      </c>
      <c r="CK17" s="1631"/>
      <c r="CL17" s="1672"/>
      <c r="CM17" s="1672"/>
    </row>
    <row r="18" customFormat="false" ht="18.75" hidden="false" customHeight="false" outlineLevel="0" collapsed="false">
      <c r="C18" s="1658"/>
      <c r="D18" s="1658"/>
      <c r="E18" s="1620" t="s">
        <v>1266</v>
      </c>
      <c r="F18" s="1620"/>
      <c r="G18" s="1620"/>
      <c r="H18" s="1620"/>
      <c r="I18" s="1620"/>
      <c r="J18" s="1620"/>
      <c r="K18" s="1620"/>
      <c r="L18" s="1620"/>
      <c r="M18" s="1620"/>
      <c r="N18" s="1620"/>
      <c r="O18" s="1620"/>
      <c r="P18" s="1620"/>
      <c r="Q18" s="1620"/>
      <c r="R18" s="1620"/>
      <c r="S18" s="1620"/>
      <c r="T18" s="1620"/>
      <c r="U18" s="1620"/>
      <c r="V18" s="1620"/>
      <c r="W18" s="1620"/>
      <c r="X18" s="1620"/>
      <c r="Y18" s="1620"/>
      <c r="Z18" s="1620"/>
      <c r="AA18" s="1620"/>
      <c r="AB18" s="1620"/>
      <c r="AC18" s="1620"/>
      <c r="AD18" s="1658"/>
      <c r="AE18" s="1636" t="s">
        <v>1262</v>
      </c>
      <c r="AF18" s="1636" t="n">
        <v>1</v>
      </c>
      <c r="AG18" s="1621" t="n">
        <v>2</v>
      </c>
      <c r="AH18" s="1621" t="n">
        <v>3</v>
      </c>
      <c r="AI18" s="1621" t="n">
        <v>4</v>
      </c>
      <c r="AJ18" s="1621" t="n">
        <v>5</v>
      </c>
      <c r="AK18" s="1621" t="n">
        <v>6</v>
      </c>
      <c r="AL18" s="1621" t="n">
        <v>7</v>
      </c>
      <c r="AM18" s="1621" t="n">
        <v>8</v>
      </c>
      <c r="AN18" s="1621" t="n">
        <v>9</v>
      </c>
      <c r="AO18" s="1621" t="n">
        <v>10</v>
      </c>
      <c r="AP18" s="1621" t="n">
        <v>11</v>
      </c>
      <c r="AQ18" s="1621" t="n">
        <v>12</v>
      </c>
      <c r="AR18" s="1621" t="n">
        <v>13</v>
      </c>
      <c r="AS18" s="1621" t="n">
        <v>14</v>
      </c>
      <c r="AT18" s="1621" t="n">
        <v>15</v>
      </c>
      <c r="AU18" s="1637" t="n">
        <v>16</v>
      </c>
      <c r="AV18" s="1621" t="n">
        <v>1</v>
      </c>
      <c r="AW18" s="1621" t="n">
        <v>2</v>
      </c>
      <c r="AX18" s="1621" t="n">
        <v>3</v>
      </c>
      <c r="AY18" s="1621" t="n">
        <v>4</v>
      </c>
      <c r="AZ18" s="1621" t="n">
        <v>5</v>
      </c>
      <c r="BA18" s="1621" t="n">
        <v>6</v>
      </c>
      <c r="BB18" s="1621" t="n">
        <v>7</v>
      </c>
      <c r="BC18" s="1637" t="n">
        <v>8</v>
      </c>
      <c r="BD18" s="1638" t="s">
        <v>149</v>
      </c>
      <c r="BE18" s="1639" t="s">
        <v>149</v>
      </c>
      <c r="BF18" s="1640" t="s">
        <v>297</v>
      </c>
      <c r="BG18" s="1673" t="s">
        <v>149</v>
      </c>
      <c r="BH18" s="1673" t="s">
        <v>132</v>
      </c>
      <c r="BJ18" s="1636" t="s">
        <v>1262</v>
      </c>
      <c r="BK18" s="1636" t="n">
        <v>1</v>
      </c>
      <c r="BL18" s="1621" t="n">
        <v>2</v>
      </c>
      <c r="BM18" s="1621" t="n">
        <v>3</v>
      </c>
      <c r="BN18" s="1621" t="n">
        <v>4</v>
      </c>
      <c r="BO18" s="1621" t="n">
        <v>5</v>
      </c>
      <c r="BP18" s="1621" t="n">
        <v>6</v>
      </c>
      <c r="BQ18" s="1621" t="n">
        <v>7</v>
      </c>
      <c r="BR18" s="1621" t="n">
        <v>8</v>
      </c>
      <c r="BS18" s="1621" t="n">
        <v>9</v>
      </c>
      <c r="BT18" s="1621" t="n">
        <v>10</v>
      </c>
      <c r="BU18" s="1621" t="n">
        <v>11</v>
      </c>
      <c r="BV18" s="1621" t="n">
        <v>12</v>
      </c>
      <c r="BW18" s="1621" t="n">
        <v>13</v>
      </c>
      <c r="BX18" s="1621" t="n">
        <v>14</v>
      </c>
      <c r="BY18" s="1621" t="n">
        <v>15</v>
      </c>
      <c r="BZ18" s="1637" t="n">
        <v>16</v>
      </c>
      <c r="CA18" s="1621" t="n">
        <v>1</v>
      </c>
      <c r="CB18" s="1621" t="n">
        <v>2</v>
      </c>
      <c r="CC18" s="1621" t="n">
        <v>3</v>
      </c>
      <c r="CD18" s="1621" t="n">
        <v>4</v>
      </c>
      <c r="CE18" s="1621" t="n">
        <v>5</v>
      </c>
      <c r="CF18" s="1621" t="n">
        <v>6</v>
      </c>
      <c r="CG18" s="1621" t="n">
        <v>7</v>
      </c>
      <c r="CH18" s="1637" t="n">
        <v>8</v>
      </c>
      <c r="CI18" s="1638" t="s">
        <v>149</v>
      </c>
      <c r="CJ18" s="1639" t="s">
        <v>149</v>
      </c>
      <c r="CK18" s="1640" t="s">
        <v>297</v>
      </c>
      <c r="CL18" s="1673" t="s">
        <v>149</v>
      </c>
      <c r="CM18" s="1673" t="s">
        <v>132</v>
      </c>
    </row>
    <row r="19" customFormat="false" ht="13.5" hidden="false" customHeight="false" outlineLevel="0" collapsed="false">
      <c r="C19" s="1658"/>
      <c r="D19" s="1658"/>
      <c r="E19" s="1624"/>
      <c r="F19" s="1623" t="s">
        <v>149</v>
      </c>
      <c r="G19" s="1623"/>
      <c r="H19" s="1623"/>
      <c r="I19" s="1623"/>
      <c r="J19" s="1623"/>
      <c r="K19" s="1623"/>
      <c r="L19" s="1623"/>
      <c r="M19" s="1623"/>
      <c r="N19" s="1623"/>
      <c r="O19" s="1623"/>
      <c r="P19" s="1623"/>
      <c r="Q19" s="1623"/>
      <c r="R19" s="1623"/>
      <c r="S19" s="1623"/>
      <c r="T19" s="1623"/>
      <c r="U19" s="1623"/>
      <c r="V19" s="1623" t="s">
        <v>132</v>
      </c>
      <c r="W19" s="1623"/>
      <c r="X19" s="1623"/>
      <c r="Y19" s="1623"/>
      <c r="Z19" s="1623"/>
      <c r="AA19" s="1623"/>
      <c r="AB19" s="1623"/>
      <c r="AC19" s="1623"/>
      <c r="AD19" s="1658"/>
      <c r="AE19" s="1636" t="n">
        <v>1</v>
      </c>
      <c r="AF19" s="1649" t="n">
        <f aca="false">IF(AND(WeekDef=8,CustomSaFlag,CustomSaPeriod=4),INDEX(VolumeHourlyOver,F5,2),IF(OR(WeekDef=1,WeekDef=2,WeekDef=5,WeekDef=6,AND(WeekDef=8,CustomSaFlag,OR(CustomSaPeriod=1,CustomSaPeriod=2))),IF(VolumeMonthlyOverFlag,INDEX(VolumeMonthlyOver,AE19),Volume),0))</f>
        <v>150</v>
      </c>
      <c r="AG19" s="1650" t="n">
        <f aca="false">IF(AND(WeekDef=8,CustomSaFlag,CustomSaPeriod=4),INDEX(VolumeHourlyOver,G5,2),IF(OR(WeekDef=1,WeekDef=2,WeekDef=5,WeekDef=6,AND(WeekDef=8,CustomSaFlag,OR(CustomSaPeriod=1,CustomSaPeriod=2))),IF(VolumeMonthlyOverFlag,INDEX(VolumeMonthlyOver,AE19),Volume),0))</f>
        <v>150</v>
      </c>
      <c r="AH19" s="1650" t="n">
        <f aca="false">IF(AND(WeekDef=8,CustomSaFlag,CustomSaPeriod=4),INDEX(VolumeHourlyOver,H5,2),IF(OR(WeekDef=1,WeekDef=2,WeekDef=5,WeekDef=6,AND(WeekDef=8,CustomSaFlag,OR(CustomSaPeriod=1,CustomSaPeriod=2))),IF(VolumeMonthlyOverFlag,INDEX(VolumeMonthlyOver,AE19),Volume),0))</f>
        <v>150</v>
      </c>
      <c r="AI19" s="1650" t="n">
        <f aca="false">IF(AND(WeekDef=8,CustomSaFlag,CustomSaPeriod=4),INDEX(VolumeHourlyOver,I5,2),IF(OR(WeekDef=1,WeekDef=2,WeekDef=5,WeekDef=6,AND(WeekDef=8,CustomSaFlag,OR(CustomSaPeriod=1,CustomSaPeriod=2))),IF(VolumeMonthlyOverFlag,INDEX(VolumeMonthlyOver,AE19),Volume),0))</f>
        <v>150</v>
      </c>
      <c r="AJ19" s="1650" t="n">
        <f aca="false">IF(AND(WeekDef=8,CustomSaFlag,CustomSaPeriod=4),INDEX(VolumeHourlyOver,J5,2),IF(OR(WeekDef=1,WeekDef=2,WeekDef=5,WeekDef=6,AND(WeekDef=8,CustomSaFlag,OR(CustomSaPeriod=1,CustomSaPeriod=2))),IF(VolumeMonthlyOverFlag,INDEX(VolumeMonthlyOver,AE19),Volume),0))</f>
        <v>150</v>
      </c>
      <c r="AK19" s="1650" t="n">
        <f aca="false">IF(AND(WeekDef=8,CustomSaFlag,CustomSaPeriod=4),INDEX(VolumeHourlyOver,K5,2),IF(OR(WeekDef=1,WeekDef=2,WeekDef=5,WeekDef=6,AND(WeekDef=8,CustomSaFlag,OR(CustomSaPeriod=1,CustomSaPeriod=2))),IF(VolumeMonthlyOverFlag,INDEX(VolumeMonthlyOver,AE19),Volume),0))</f>
        <v>150</v>
      </c>
      <c r="AL19" s="1650" t="n">
        <f aca="false">IF(AND(WeekDef=8,CustomSaFlag,CustomSaPeriod=4),INDEX(VolumeHourlyOver,L5,2),IF(OR(WeekDef=1,WeekDef=2,WeekDef=5,WeekDef=6,AND(WeekDef=8,CustomSaFlag,OR(CustomSaPeriod=1,CustomSaPeriod=2))),IF(VolumeMonthlyOverFlag,INDEX(VolumeMonthlyOver,AE19),Volume),0))</f>
        <v>150</v>
      </c>
      <c r="AM19" s="1650" t="n">
        <f aca="false">IF(AND(WeekDef=8,CustomSaFlag,CustomSaPeriod=4),INDEX(VolumeHourlyOver,M5,2),IF(OR(WeekDef=1,WeekDef=2,WeekDef=5,WeekDef=6,AND(WeekDef=8,CustomSaFlag,OR(CustomSaPeriod=1,CustomSaPeriod=2))),IF(VolumeMonthlyOverFlag,INDEX(VolumeMonthlyOver,AE19),Volume),0))</f>
        <v>150</v>
      </c>
      <c r="AN19" s="1650" t="n">
        <f aca="false">IF(AND(WeekDef=8,CustomSaFlag,CustomSaPeriod=4),INDEX(VolumeHourlyOver,N5,2),IF(OR(WeekDef=1,WeekDef=2,WeekDef=5,WeekDef=6,AND(WeekDef=8,CustomSaFlag,OR(CustomSaPeriod=1,CustomSaPeriod=2))),IF(VolumeMonthlyOverFlag,INDEX(VolumeMonthlyOver,AE19),Volume),0))</f>
        <v>150</v>
      </c>
      <c r="AO19" s="1650" t="n">
        <f aca="false">IF(AND(WeekDef=8,CustomSaFlag,CustomSaPeriod=4),INDEX(VolumeHourlyOver,O5,2),IF(OR(WeekDef=1,WeekDef=2,WeekDef=5,WeekDef=6,AND(WeekDef=8,CustomSaFlag,OR(CustomSaPeriod=1,CustomSaPeriod=2))),IF(VolumeMonthlyOverFlag,INDEX(VolumeMonthlyOver,AE19),Volume),0))</f>
        <v>150</v>
      </c>
      <c r="AP19" s="1650" t="n">
        <f aca="false">IF(AND(WeekDef=8,CustomSaFlag,CustomSaPeriod=4),INDEX(VolumeHourlyOver,P5,2),IF(OR(WeekDef=1,WeekDef=2,WeekDef=5,WeekDef=6,AND(WeekDef=8,CustomSaFlag,OR(CustomSaPeriod=1,CustomSaPeriod=2))),IF(VolumeMonthlyOverFlag,INDEX(VolumeMonthlyOver,AE19),Volume),0))</f>
        <v>150</v>
      </c>
      <c r="AQ19" s="1650" t="n">
        <f aca="false">IF(AND(WeekDef=8,CustomSaFlag,CustomSaPeriod=4),INDEX(VolumeHourlyOver,Q5,2),IF(OR(WeekDef=1,WeekDef=2,WeekDef=5,WeekDef=6,AND(WeekDef=8,CustomSaFlag,OR(CustomSaPeriod=1,CustomSaPeriod=2))),IF(VolumeMonthlyOverFlag,INDEX(VolumeMonthlyOver,AE19),Volume),0))</f>
        <v>150</v>
      </c>
      <c r="AR19" s="1650" t="n">
        <f aca="false">IF(AND(WeekDef=8,CustomSaFlag,CustomSaPeriod=4),INDEX(VolumeHourlyOver,R5,2),IF(OR(WeekDef=1,WeekDef=2,WeekDef=5,WeekDef=6,AND(WeekDef=8,CustomSaFlag,OR(CustomSaPeriod=1,CustomSaPeriod=2))),IF(VolumeMonthlyOverFlag,INDEX(VolumeMonthlyOver,AE19),Volume),0))</f>
        <v>150</v>
      </c>
      <c r="AS19" s="1650" t="n">
        <f aca="false">IF(AND(WeekDef=8,CustomSaFlag,CustomSaPeriod=4),INDEX(VolumeHourlyOver,S5,2),IF(OR(WeekDef=1,WeekDef=2,WeekDef=5,WeekDef=6,AND(WeekDef=8,CustomSaFlag,OR(CustomSaPeriod=1,CustomSaPeriod=2))),IF(VolumeMonthlyOverFlag,INDEX(VolumeMonthlyOver,AE19),Volume),0))</f>
        <v>150</v>
      </c>
      <c r="AT19" s="1650" t="n">
        <f aca="false">IF(AND(WeekDef=8,CustomSaFlag,CustomSaPeriod=4),INDEX(VolumeHourlyOver,T5,2),IF(OR(WeekDef=1,WeekDef=2,WeekDef=5,WeekDef=6,AND(WeekDef=8,CustomSaFlag,OR(CustomSaPeriod=1,CustomSaPeriod=2))),IF(VolumeMonthlyOverFlag,INDEX(VolumeMonthlyOver,AE19),Volume),0))</f>
        <v>150</v>
      </c>
      <c r="AU19" s="1651" t="n">
        <f aca="false">IF(AND(WeekDef=8,CustomSaFlag,CustomSaPeriod=4),INDEX(VolumeHourlyOver,U5,2),IF(OR(WeekDef=1,WeekDef=2,WeekDef=5,WeekDef=6,AND(WeekDef=8,CustomSaFlag,OR(CustomSaPeriod=1,CustomSaPeriod=2))),IF(VolumeMonthlyOverFlag,INDEX(VolumeMonthlyOver,AE19),Volume),0))</f>
        <v>150</v>
      </c>
      <c r="AV19" s="1650" t="n">
        <f aca="false">IF(AND(WeekDef=8,CustomSaFlag,CustomSaPeriod=4),INDEX(VolumeHourlyOver,V5,2),IF(OR(WeekDef=1,WeekDef=3,WeekDef=5,WeekDef=7,AND(WeekDef=8,CustomSaFlag,OR(CustomSaPeriod=1,CustomSaPeriod=3))),IF(VolumeMonthlyOverFlag,INDEX(VolumeMonthlyOver,AE19),Volume),0))</f>
        <v>150</v>
      </c>
      <c r="AW19" s="1650" t="n">
        <f aca="false">IF(AND(WeekDef=8,CustomSaFlag,CustomSaPeriod=4),INDEX(VolumeHourlyOver,W5,2),IF(OR(WeekDef=1,WeekDef=3,WeekDef=5,WeekDef=7,AND(WeekDef=8,CustomSaFlag,OR(CustomSaPeriod=1,CustomSaPeriod=3))),IF(VolumeMonthlyOverFlag,INDEX(VolumeMonthlyOver,AE19),Volume),0))</f>
        <v>150</v>
      </c>
      <c r="AX19" s="1650" t="n">
        <f aca="false">IF(AND(WeekDef=8,CustomSaFlag,CustomSaPeriod=4),INDEX(VolumeHourlyOver,X5,2),IF(OR(WeekDef=1,WeekDef=3,WeekDef=5,WeekDef=7,AND(WeekDef=8,CustomSaFlag,OR(CustomSaPeriod=1,CustomSaPeriod=3))),IF(VolumeMonthlyOverFlag,INDEX(VolumeMonthlyOver,AE19),Volume),0))</f>
        <v>150</v>
      </c>
      <c r="AY19" s="1650" t="n">
        <f aca="false">IF(AND(WeekDef=8,CustomSaFlag,CustomSaPeriod=4),INDEX(VolumeHourlyOver,Y5,2),IF(OR(WeekDef=1,WeekDef=3,WeekDef=5,WeekDef=7,AND(WeekDef=8,CustomSaFlag,OR(CustomSaPeriod=1,CustomSaPeriod=3))),IF(VolumeMonthlyOverFlag,INDEX(VolumeMonthlyOver,AE19),Volume),0))</f>
        <v>150</v>
      </c>
      <c r="AZ19" s="1650" t="n">
        <f aca="false">IF(AND(WeekDef=8,CustomSaFlag,CustomSaPeriod=4),INDEX(VolumeHourlyOver,Z5,2),IF(OR(WeekDef=1,WeekDef=3,WeekDef=5,WeekDef=7,AND(WeekDef=8,CustomSaFlag,OR(CustomSaPeriod=1,CustomSaPeriod=3))),IF(VolumeMonthlyOverFlag,INDEX(VolumeMonthlyOver,AE19),Volume),0))</f>
        <v>150</v>
      </c>
      <c r="BA19" s="1650" t="n">
        <f aca="false">IF(AND(WeekDef=8,CustomSaFlag,CustomSaPeriod=4),INDEX(VolumeHourlyOver,AA5,2),IF(OR(WeekDef=1,WeekDef=3,WeekDef=5,WeekDef=7,AND(WeekDef=8,CustomSaFlag,OR(CustomSaPeriod=1,CustomSaPeriod=3))),IF(VolumeMonthlyOverFlag,INDEX(VolumeMonthlyOver,AE19),Volume),0))</f>
        <v>150</v>
      </c>
      <c r="BB19" s="1650" t="n">
        <f aca="false">IF(AND(WeekDef=8,CustomSaFlag,CustomSaPeriod=4),INDEX(VolumeHourlyOver,AB5,2),IF(OR(WeekDef=1,WeekDef=3,WeekDef=5,WeekDef=7,AND(WeekDef=8,CustomSaFlag,OR(CustomSaPeriod=1,CustomSaPeriod=3))),IF(VolumeMonthlyOverFlag,INDEX(VolumeMonthlyOver,AE19),Volume),0))</f>
        <v>150</v>
      </c>
      <c r="BC19" s="1651" t="n">
        <f aca="false">IF(AND(WeekDef=8,CustomSaFlag,CustomSaPeriod=4),INDEX(VolumeHourlyOver,AC5,2),IF(OR(WeekDef=1,WeekDef=3,WeekDef=5,WeekDef=7,AND(WeekDef=8,CustomSaFlag,OR(CustomSaPeriod=1,CustomSaPeriod=3))),IF(VolumeMonthlyOverFlag,INDEX(VolumeMonthlyOver,AE19),Volume),0))</f>
        <v>150</v>
      </c>
      <c r="BD19" s="1652" t="n">
        <f aca="false">SUM(AF19:AU19)</f>
        <v>2400</v>
      </c>
      <c r="BE19" s="1653" t="n">
        <f aca="false">SUM(AV19:BC19)</f>
        <v>1200</v>
      </c>
      <c r="BF19" s="1654" t="n">
        <f aca="false">BD19+BE19</f>
        <v>3600</v>
      </c>
      <c r="BG19" s="1674" t="n">
        <f aca="false">IF(BD19,SUMPRODUCT(AF19:AU19,F21:U21)/BD19,0)</f>
        <v>0.99999999627471</v>
      </c>
      <c r="BH19" s="1675" t="n">
        <f aca="false">IF(BE19,SUMPRODUCT(AV19:BC19,V21:AC21)/BE19,0)</f>
        <v>0.999999992549419</v>
      </c>
      <c r="BJ19" s="1636" t="n">
        <v>1</v>
      </c>
      <c r="BK19" s="1649" t="n">
        <f aca="false">IF(AND(WeekDef=8,CustomSaFlag,CustomSaPeriod=4),INDEX(IF(DiffOptVolumeFlag,DiffOptVolumeHourlyOver,VolumeHourlyOver),F5,2),IF(OR(WeekDef=1,WeekDef=2,WeekDef=5,WeekDef=6,AND(WeekDef=8,CustomSaFlag,OR(CustomSaPeriod=1,CustomSaPeriod=2))),IF(VolumeMonthlyOverFlag,INDEX(IF(DiffOptVolumeFlag,DiffOptVolumeMonthlyOver,VolumeMonthlyOver),BJ19),IF(DiffOptVolumeFlag,DiffOptVolume,Volume)),0))</f>
        <v>600</v>
      </c>
      <c r="BL19" s="1650" t="n">
        <f aca="false">IF(AND(WeekDef=8,CustomSaFlag,CustomSaPeriod=4),INDEX(IF(DiffOptVolumeFlag,DiffOptVolumeHourlyOver,VolumeHourlyOver),G5,2),IF(OR(WeekDef=1,WeekDef=2,WeekDef=5,WeekDef=6,AND(WeekDef=8,CustomSaFlag,OR(CustomSaPeriod=1,CustomSaPeriod=2))),IF(VolumeMonthlyOverFlag,INDEX(IF(DiffOptVolumeFlag,DiffOptVolumeMonthlyOver,VolumeMonthlyOver),BJ19),IF(DiffOptVolumeFlag,DiffOptVolume,Volume)),0))</f>
        <v>600</v>
      </c>
      <c r="BM19" s="1650" t="n">
        <f aca="false">IF(AND(WeekDef=8,CustomSaFlag,CustomSaPeriod=4),INDEX(IF(DiffOptVolumeFlag,DiffOptVolumeHourlyOver,VolumeHourlyOver),H5,2),IF(OR(WeekDef=1,WeekDef=2,WeekDef=5,WeekDef=6,AND(WeekDef=8,CustomSaFlag,OR(CustomSaPeriod=1,CustomSaPeriod=2))),IF(VolumeMonthlyOverFlag,INDEX(IF(DiffOptVolumeFlag,DiffOptVolumeMonthlyOver,VolumeMonthlyOver),BJ19),IF(DiffOptVolumeFlag,DiffOptVolume,Volume)),0))</f>
        <v>600</v>
      </c>
      <c r="BN19" s="1650" t="n">
        <f aca="false">IF(AND(WeekDef=8,CustomSaFlag,CustomSaPeriod=4),INDEX(IF(DiffOptVolumeFlag,DiffOptVolumeHourlyOver,VolumeHourlyOver),I5,2),IF(OR(WeekDef=1,WeekDef=2,WeekDef=5,WeekDef=6,AND(WeekDef=8,CustomSaFlag,OR(CustomSaPeriod=1,CustomSaPeriod=2))),IF(VolumeMonthlyOverFlag,INDEX(IF(DiffOptVolumeFlag,DiffOptVolumeMonthlyOver,VolumeMonthlyOver),BJ19),IF(DiffOptVolumeFlag,DiffOptVolume,Volume)),0))</f>
        <v>600</v>
      </c>
      <c r="BO19" s="1650" t="n">
        <f aca="false">IF(AND(WeekDef=8,CustomSaFlag,CustomSaPeriod=4),INDEX(IF(DiffOptVolumeFlag,DiffOptVolumeHourlyOver,VolumeHourlyOver),J5,2),IF(OR(WeekDef=1,WeekDef=2,WeekDef=5,WeekDef=6,AND(WeekDef=8,CustomSaFlag,OR(CustomSaPeriod=1,CustomSaPeriod=2))),IF(VolumeMonthlyOverFlag,INDEX(IF(DiffOptVolumeFlag,DiffOptVolumeMonthlyOver,VolumeMonthlyOver),BJ19),IF(DiffOptVolumeFlag,DiffOptVolume,Volume)),0))</f>
        <v>600</v>
      </c>
      <c r="BP19" s="1650" t="n">
        <f aca="false">IF(AND(WeekDef=8,CustomSaFlag,CustomSaPeriod=4),INDEX(IF(DiffOptVolumeFlag,DiffOptVolumeHourlyOver,VolumeHourlyOver),K5,2),IF(OR(WeekDef=1,WeekDef=2,WeekDef=5,WeekDef=6,AND(WeekDef=8,CustomSaFlag,OR(CustomSaPeriod=1,CustomSaPeriod=2))),IF(VolumeMonthlyOverFlag,INDEX(IF(DiffOptVolumeFlag,DiffOptVolumeMonthlyOver,VolumeMonthlyOver),BJ19),IF(DiffOptVolumeFlag,DiffOptVolume,Volume)),0))</f>
        <v>600</v>
      </c>
      <c r="BQ19" s="1650" t="n">
        <f aca="false">IF(AND(WeekDef=8,CustomSaFlag,CustomSaPeriod=4),INDEX(IF(DiffOptVolumeFlag,DiffOptVolumeHourlyOver,VolumeHourlyOver),L5,2),IF(OR(WeekDef=1,WeekDef=2,WeekDef=5,WeekDef=6,AND(WeekDef=8,CustomSaFlag,OR(CustomSaPeriod=1,CustomSaPeriod=2))),IF(VolumeMonthlyOverFlag,INDEX(IF(DiffOptVolumeFlag,DiffOptVolumeMonthlyOver,VolumeMonthlyOver),BJ19),IF(DiffOptVolumeFlag,DiffOptVolume,Volume)),0))</f>
        <v>600</v>
      </c>
      <c r="BR19" s="1650" t="n">
        <f aca="false">IF(AND(WeekDef=8,CustomSaFlag,CustomSaPeriod=4),INDEX(IF(DiffOptVolumeFlag,DiffOptVolumeHourlyOver,VolumeHourlyOver),M5,2),IF(OR(WeekDef=1,WeekDef=2,WeekDef=5,WeekDef=6,AND(WeekDef=8,CustomSaFlag,OR(CustomSaPeriod=1,CustomSaPeriod=2))),IF(VolumeMonthlyOverFlag,INDEX(IF(DiffOptVolumeFlag,DiffOptVolumeMonthlyOver,VolumeMonthlyOver),BJ19),IF(DiffOptVolumeFlag,DiffOptVolume,Volume)),0))</f>
        <v>600</v>
      </c>
      <c r="BS19" s="1650" t="n">
        <f aca="false">IF(AND(WeekDef=8,CustomSaFlag,CustomSaPeriod=4),INDEX(IF(DiffOptVolumeFlag,DiffOptVolumeHourlyOver,VolumeHourlyOver),N5,2),IF(OR(WeekDef=1,WeekDef=2,WeekDef=5,WeekDef=6,AND(WeekDef=8,CustomSaFlag,OR(CustomSaPeriod=1,CustomSaPeriod=2))),IF(VolumeMonthlyOverFlag,INDEX(IF(DiffOptVolumeFlag,DiffOptVolumeMonthlyOver,VolumeMonthlyOver),BJ19),IF(DiffOptVolumeFlag,DiffOptVolume,Volume)),0))</f>
        <v>600</v>
      </c>
      <c r="BT19" s="1650" t="n">
        <f aca="false">IF(AND(WeekDef=8,CustomSaFlag,CustomSaPeriod=4),INDEX(IF(DiffOptVolumeFlag,DiffOptVolumeHourlyOver,VolumeHourlyOver),O5,2),IF(OR(WeekDef=1,WeekDef=2,WeekDef=5,WeekDef=6,AND(WeekDef=8,CustomSaFlag,OR(CustomSaPeriod=1,CustomSaPeriod=2))),IF(VolumeMonthlyOverFlag,INDEX(IF(DiffOptVolumeFlag,DiffOptVolumeMonthlyOver,VolumeMonthlyOver),BJ19),IF(DiffOptVolumeFlag,DiffOptVolume,Volume)),0))</f>
        <v>600</v>
      </c>
      <c r="BU19" s="1650" t="n">
        <f aca="false">IF(AND(WeekDef=8,CustomSaFlag,CustomSaPeriod=4),INDEX(IF(DiffOptVolumeFlag,DiffOptVolumeHourlyOver,VolumeHourlyOver),P5,2),IF(OR(WeekDef=1,WeekDef=2,WeekDef=5,WeekDef=6,AND(WeekDef=8,CustomSaFlag,OR(CustomSaPeriod=1,CustomSaPeriod=2))),IF(VolumeMonthlyOverFlag,INDEX(IF(DiffOptVolumeFlag,DiffOptVolumeMonthlyOver,VolumeMonthlyOver),BJ19),IF(DiffOptVolumeFlag,DiffOptVolume,Volume)),0))</f>
        <v>600</v>
      </c>
      <c r="BV19" s="1650" t="n">
        <f aca="false">IF(AND(WeekDef=8,CustomSaFlag,CustomSaPeriod=4),INDEX(IF(DiffOptVolumeFlag,DiffOptVolumeHourlyOver,VolumeHourlyOver),Q5,2),IF(OR(WeekDef=1,WeekDef=2,WeekDef=5,WeekDef=6,AND(WeekDef=8,CustomSaFlag,OR(CustomSaPeriod=1,CustomSaPeriod=2))),IF(VolumeMonthlyOverFlag,INDEX(IF(DiffOptVolumeFlag,DiffOptVolumeMonthlyOver,VolumeMonthlyOver),BJ19),IF(DiffOptVolumeFlag,DiffOptVolume,Volume)),0))</f>
        <v>600</v>
      </c>
      <c r="BW19" s="1650" t="n">
        <f aca="false">IF(AND(WeekDef=8,CustomSaFlag,CustomSaPeriod=4),INDEX(IF(DiffOptVolumeFlag,DiffOptVolumeHourlyOver,VolumeHourlyOver),R5,2),IF(OR(WeekDef=1,WeekDef=2,WeekDef=5,WeekDef=6,AND(WeekDef=8,CustomSaFlag,OR(CustomSaPeriod=1,CustomSaPeriod=2))),IF(VolumeMonthlyOverFlag,INDEX(IF(DiffOptVolumeFlag,DiffOptVolumeMonthlyOver,VolumeMonthlyOver),BJ19),IF(DiffOptVolumeFlag,DiffOptVolume,Volume)),0))</f>
        <v>600</v>
      </c>
      <c r="BX19" s="1650" t="n">
        <f aca="false">IF(AND(WeekDef=8,CustomSaFlag,CustomSaPeriod=4),INDEX(IF(DiffOptVolumeFlag,DiffOptVolumeHourlyOver,VolumeHourlyOver),S5,2),IF(OR(WeekDef=1,WeekDef=2,WeekDef=5,WeekDef=6,AND(WeekDef=8,CustomSaFlag,OR(CustomSaPeriod=1,CustomSaPeriod=2))),IF(VolumeMonthlyOverFlag,INDEX(IF(DiffOptVolumeFlag,DiffOptVolumeMonthlyOver,VolumeMonthlyOver),BJ19),IF(DiffOptVolumeFlag,DiffOptVolume,Volume)),0))</f>
        <v>600</v>
      </c>
      <c r="BY19" s="1650" t="n">
        <f aca="false">IF(AND(WeekDef=8,CustomSaFlag,CustomSaPeriod=4),INDEX(IF(DiffOptVolumeFlag,DiffOptVolumeHourlyOver,VolumeHourlyOver),T5,2),IF(OR(WeekDef=1,WeekDef=2,WeekDef=5,WeekDef=6,AND(WeekDef=8,CustomSaFlag,OR(CustomSaPeriod=1,CustomSaPeriod=2))),IF(VolumeMonthlyOverFlag,INDEX(IF(DiffOptVolumeFlag,DiffOptVolumeMonthlyOver,VolumeMonthlyOver),BJ19),IF(DiffOptVolumeFlag,DiffOptVolume,Volume)),0))</f>
        <v>600</v>
      </c>
      <c r="BZ19" s="1651" t="n">
        <f aca="false">IF(AND(WeekDef=8,CustomSaFlag,CustomSaPeriod=4),INDEX(IF(DiffOptVolumeFlag,DiffOptVolumeHourlyOver,VolumeHourlyOver),U5,2),IF(OR(WeekDef=1,WeekDef=2,WeekDef=5,WeekDef=6,AND(WeekDef=8,CustomSaFlag,OR(CustomSaPeriod=1,CustomSaPeriod=2))),IF(VolumeMonthlyOverFlag,INDEX(IF(DiffOptVolumeFlag,DiffOptVolumeMonthlyOver,VolumeMonthlyOver),BJ19),IF(DiffOptVolumeFlag,DiffOptVolume,Volume)),0))</f>
        <v>600</v>
      </c>
      <c r="CA19" s="1650" t="n">
        <f aca="false">IF(AND(WeekDef=8,CustomSaFlag,CustomSaPeriod=4),INDEX(IF(DiffOptVolumeFlag,DiffOptVolumeHourlyOver,VolumeHourlyOver),V5,2),IF(OR(WeekDef=1,WeekDef=3,WeekDef=5,WeekDef=7,AND(WeekDef=8,CustomSaFlag,OR(CustomSaPeriod=1,CustomSaPeriod=3))),IF(VolumeMonthlyOverFlag,INDEX(IF(DiffOptVolumeFlag,DiffOptVolumeMonthlyOver,VolumeMonthlyOver),BJ19),IF(DiffOptVolumeFlag,DiffOptVolume,Volume)),0))</f>
        <v>600</v>
      </c>
      <c r="CB19" s="1650" t="n">
        <f aca="false">IF(AND(WeekDef=8,CustomSaFlag,CustomSaPeriod=4),INDEX(IF(DiffOptVolumeFlag,DiffOptVolumeHourlyOver,VolumeHourlyOver),W5,2),IF(OR(WeekDef=1,WeekDef=3,WeekDef=5,WeekDef=7,AND(WeekDef=8,CustomSaFlag,OR(CustomSaPeriod=1,CustomSaPeriod=3))),IF(VolumeMonthlyOverFlag,INDEX(IF(DiffOptVolumeFlag,DiffOptVolumeMonthlyOver,VolumeMonthlyOver),BJ19),IF(DiffOptVolumeFlag,DiffOptVolume,Volume)),0))</f>
        <v>600</v>
      </c>
      <c r="CC19" s="1650" t="n">
        <f aca="false">IF(AND(WeekDef=8,CustomSaFlag,CustomSaPeriod=4),INDEX(IF(DiffOptVolumeFlag,DiffOptVolumeHourlyOver,VolumeHourlyOver),X5,2),IF(OR(WeekDef=1,WeekDef=3,WeekDef=5,WeekDef=7,AND(WeekDef=8,CustomSaFlag,OR(CustomSaPeriod=1,CustomSaPeriod=3))),IF(VolumeMonthlyOverFlag,INDEX(IF(DiffOptVolumeFlag,DiffOptVolumeMonthlyOver,VolumeMonthlyOver),BJ19),IF(DiffOptVolumeFlag,DiffOptVolume,Volume)),0))</f>
        <v>600</v>
      </c>
      <c r="CD19" s="1650" t="n">
        <f aca="false">IF(AND(WeekDef=8,CustomSaFlag,CustomSaPeriod=4),INDEX(IF(DiffOptVolumeFlag,DiffOptVolumeHourlyOver,VolumeHourlyOver),Y5,2),IF(OR(WeekDef=1,WeekDef=3,WeekDef=5,WeekDef=7,AND(WeekDef=8,CustomSaFlag,OR(CustomSaPeriod=1,CustomSaPeriod=3))),IF(VolumeMonthlyOverFlag,INDEX(IF(DiffOptVolumeFlag,DiffOptVolumeMonthlyOver,VolumeMonthlyOver),BJ19),IF(DiffOptVolumeFlag,DiffOptVolume,Volume)),0))</f>
        <v>600</v>
      </c>
      <c r="CE19" s="1650" t="n">
        <f aca="false">IF(AND(WeekDef=8,CustomSaFlag,CustomSaPeriod=4),INDEX(IF(DiffOptVolumeFlag,DiffOptVolumeHourlyOver,VolumeHourlyOver),Z5,2),IF(OR(WeekDef=1,WeekDef=3,WeekDef=5,WeekDef=7,AND(WeekDef=8,CustomSaFlag,OR(CustomSaPeriod=1,CustomSaPeriod=3))),IF(VolumeMonthlyOverFlag,INDEX(IF(DiffOptVolumeFlag,DiffOptVolumeMonthlyOver,VolumeMonthlyOver),BJ19),IF(DiffOptVolumeFlag,DiffOptVolume,Volume)),0))</f>
        <v>600</v>
      </c>
      <c r="CF19" s="1650" t="n">
        <f aca="false">IF(AND(WeekDef=8,CustomSaFlag,CustomSaPeriod=4),INDEX(IF(DiffOptVolumeFlag,DiffOptVolumeHourlyOver,VolumeHourlyOver),AA5,2),IF(OR(WeekDef=1,WeekDef=3,WeekDef=5,WeekDef=7,AND(WeekDef=8,CustomSaFlag,OR(CustomSaPeriod=1,CustomSaPeriod=3))),IF(VolumeMonthlyOverFlag,INDEX(IF(DiffOptVolumeFlag,DiffOptVolumeMonthlyOver,VolumeMonthlyOver),BJ19),IF(DiffOptVolumeFlag,DiffOptVolume,Volume)),0))</f>
        <v>600</v>
      </c>
      <c r="CG19" s="1650" t="n">
        <f aca="false">IF(AND(WeekDef=8,CustomSaFlag,CustomSaPeriod=4),INDEX(IF(DiffOptVolumeFlag,DiffOptVolumeHourlyOver,VolumeHourlyOver),AB5,2),IF(OR(WeekDef=1,WeekDef=3,WeekDef=5,WeekDef=7,AND(WeekDef=8,CustomSaFlag,OR(CustomSaPeriod=1,CustomSaPeriod=3))),IF(VolumeMonthlyOverFlag,INDEX(IF(DiffOptVolumeFlag,DiffOptVolumeMonthlyOver,VolumeMonthlyOver),BJ19),IF(DiffOptVolumeFlag,DiffOptVolume,Volume)),0))</f>
        <v>600</v>
      </c>
      <c r="CH19" s="1651" t="n">
        <f aca="false">IF(AND(WeekDef=8,CustomSaFlag,CustomSaPeriod=4),INDEX(IF(DiffOptVolumeFlag,DiffOptVolumeHourlyOver,VolumeHourlyOver),AC5,2),IF(OR(WeekDef=1,WeekDef=3,WeekDef=5,WeekDef=7,AND(WeekDef=8,CustomSaFlag,OR(CustomSaPeriod=1,CustomSaPeriod=3))),IF(VolumeMonthlyOverFlag,INDEX(IF(DiffOptVolumeFlag,DiffOptVolumeMonthlyOver,VolumeMonthlyOver),BJ19),IF(DiffOptVolumeFlag,DiffOptVolume,Volume)),0))</f>
        <v>600</v>
      </c>
      <c r="CI19" s="1652" t="n">
        <f aca="false">SUM(BK19:BZ19)</f>
        <v>9600</v>
      </c>
      <c r="CJ19" s="1653" t="n">
        <f aca="false">SUM(CA19:CH19)</f>
        <v>4800</v>
      </c>
      <c r="CK19" s="1654" t="n">
        <f aca="false">CI19+CJ19</f>
        <v>14400</v>
      </c>
      <c r="CL19" s="1674" t="n">
        <f aca="false">IF(CI19,SUMPRODUCT(BK19:BZ19,F21:U21)/CI19,0)</f>
        <v>0.99999999627471</v>
      </c>
      <c r="CM19" s="1675" t="n">
        <f aca="false">IF(CJ19,SUMPRODUCT(CA19:CH19,V21:AC21)/CJ19,0)</f>
        <v>0.999999992549419</v>
      </c>
    </row>
    <row r="20" customFormat="false" ht="12.75" hidden="false" customHeight="false" outlineLevel="0" collapsed="false">
      <c r="C20" s="1658"/>
      <c r="D20" s="1658"/>
      <c r="E20" s="1626" t="s">
        <v>1262</v>
      </c>
      <c r="F20" s="1626" t="n">
        <v>1</v>
      </c>
      <c r="G20" s="1627" t="n">
        <v>2</v>
      </c>
      <c r="H20" s="1627" t="n">
        <v>3</v>
      </c>
      <c r="I20" s="1627" t="n">
        <v>4</v>
      </c>
      <c r="J20" s="1627" t="n">
        <v>5</v>
      </c>
      <c r="K20" s="1627" t="n">
        <v>6</v>
      </c>
      <c r="L20" s="1627" t="n">
        <v>7</v>
      </c>
      <c r="M20" s="1627" t="n">
        <v>8</v>
      </c>
      <c r="N20" s="1627" t="n">
        <v>9</v>
      </c>
      <c r="O20" s="1627" t="n">
        <v>10</v>
      </c>
      <c r="P20" s="1627" t="n">
        <v>11</v>
      </c>
      <c r="Q20" s="1627" t="n">
        <v>12</v>
      </c>
      <c r="R20" s="1627" t="n">
        <v>13</v>
      </c>
      <c r="S20" s="1627" t="n">
        <v>14</v>
      </c>
      <c r="T20" s="1627" t="n">
        <v>15</v>
      </c>
      <c r="U20" s="1628" t="n">
        <v>16</v>
      </c>
      <c r="V20" s="1627" t="n">
        <v>1</v>
      </c>
      <c r="W20" s="1627" t="n">
        <v>2</v>
      </c>
      <c r="X20" s="1627" t="n">
        <v>3</v>
      </c>
      <c r="Y20" s="1627" t="n">
        <v>4</v>
      </c>
      <c r="Z20" s="1627" t="n">
        <v>5</v>
      </c>
      <c r="AA20" s="1627" t="n">
        <v>6</v>
      </c>
      <c r="AB20" s="1627" t="n">
        <v>7</v>
      </c>
      <c r="AC20" s="1628" t="n">
        <v>8</v>
      </c>
      <c r="AD20" s="1658"/>
      <c r="AE20" s="1636" t="n">
        <v>2</v>
      </c>
      <c r="AF20" s="1646" t="n">
        <f aca="false">IF(AND(WeekDef=8,CustomSaFlag,CustomSaPeriod=4),INDEX(VolumeHourlyOver,F6,2),IF(OR(WeekDef=1,WeekDef=2,WeekDef=5,WeekDef=6,AND(WeekDef=8,CustomSaFlag,OR(CustomSaPeriod=1,CustomSaPeriod=2))),IF(VolumeMonthlyOverFlag,INDEX(VolumeMonthlyOver,AE20),Volume),0))</f>
        <v>150</v>
      </c>
      <c r="AG20" s="1647" t="n">
        <f aca="false">IF(AND(WeekDef=8,CustomSaFlag,CustomSaPeriod=4),INDEX(VolumeHourlyOver,G6,2),IF(OR(WeekDef=1,WeekDef=2,WeekDef=5,WeekDef=6,AND(WeekDef=8,CustomSaFlag,OR(CustomSaPeriod=1,CustomSaPeriod=2))),IF(VolumeMonthlyOverFlag,INDEX(VolumeMonthlyOver,AE20),Volume),0))</f>
        <v>150</v>
      </c>
      <c r="AH20" s="1647" t="n">
        <f aca="false">IF(AND(WeekDef=8,CustomSaFlag,CustomSaPeriod=4),INDEX(VolumeHourlyOver,H6,2),IF(OR(WeekDef=1,WeekDef=2,WeekDef=5,WeekDef=6,AND(WeekDef=8,CustomSaFlag,OR(CustomSaPeriod=1,CustomSaPeriod=2))),IF(VolumeMonthlyOverFlag,INDEX(VolumeMonthlyOver,AE20),Volume),0))</f>
        <v>150</v>
      </c>
      <c r="AI20" s="1647" t="n">
        <f aca="false">IF(AND(WeekDef=8,CustomSaFlag,CustomSaPeriod=4),INDEX(VolumeHourlyOver,I6,2),IF(OR(WeekDef=1,WeekDef=2,WeekDef=5,WeekDef=6,AND(WeekDef=8,CustomSaFlag,OR(CustomSaPeriod=1,CustomSaPeriod=2))),IF(VolumeMonthlyOverFlag,INDEX(VolumeMonthlyOver,AE20),Volume),0))</f>
        <v>150</v>
      </c>
      <c r="AJ20" s="1647" t="n">
        <f aca="false">IF(AND(WeekDef=8,CustomSaFlag,CustomSaPeriod=4),INDEX(VolumeHourlyOver,J6,2),IF(OR(WeekDef=1,WeekDef=2,WeekDef=5,WeekDef=6,AND(WeekDef=8,CustomSaFlag,OR(CustomSaPeriod=1,CustomSaPeriod=2))),IF(VolumeMonthlyOverFlag,INDEX(VolumeMonthlyOver,AE20),Volume),0))</f>
        <v>150</v>
      </c>
      <c r="AK20" s="1647" t="n">
        <f aca="false">IF(AND(WeekDef=8,CustomSaFlag,CustomSaPeriod=4),INDEX(VolumeHourlyOver,K6,2),IF(OR(WeekDef=1,WeekDef=2,WeekDef=5,WeekDef=6,AND(WeekDef=8,CustomSaFlag,OR(CustomSaPeriod=1,CustomSaPeriod=2))),IF(VolumeMonthlyOverFlag,INDEX(VolumeMonthlyOver,AE20),Volume),0))</f>
        <v>150</v>
      </c>
      <c r="AL20" s="1647" t="n">
        <f aca="false">IF(AND(WeekDef=8,CustomSaFlag,CustomSaPeriod=4),INDEX(VolumeHourlyOver,L6,2),IF(OR(WeekDef=1,WeekDef=2,WeekDef=5,WeekDef=6,AND(WeekDef=8,CustomSaFlag,OR(CustomSaPeriod=1,CustomSaPeriod=2))),IF(VolumeMonthlyOverFlag,INDEX(VolumeMonthlyOver,AE20),Volume),0))</f>
        <v>150</v>
      </c>
      <c r="AM20" s="1647" t="n">
        <f aca="false">IF(AND(WeekDef=8,CustomSaFlag,CustomSaPeriod=4),INDEX(VolumeHourlyOver,M6,2),IF(OR(WeekDef=1,WeekDef=2,WeekDef=5,WeekDef=6,AND(WeekDef=8,CustomSaFlag,OR(CustomSaPeriod=1,CustomSaPeriod=2))),IF(VolumeMonthlyOverFlag,INDEX(VolumeMonthlyOver,AE20),Volume),0))</f>
        <v>150</v>
      </c>
      <c r="AN20" s="1647" t="n">
        <f aca="false">IF(AND(WeekDef=8,CustomSaFlag,CustomSaPeriod=4),INDEX(VolumeHourlyOver,N6,2),IF(OR(WeekDef=1,WeekDef=2,WeekDef=5,WeekDef=6,AND(WeekDef=8,CustomSaFlag,OR(CustomSaPeriod=1,CustomSaPeriod=2))),IF(VolumeMonthlyOverFlag,INDEX(VolumeMonthlyOver,AE20),Volume),0))</f>
        <v>150</v>
      </c>
      <c r="AO20" s="1647" t="n">
        <f aca="false">IF(AND(WeekDef=8,CustomSaFlag,CustomSaPeriod=4),INDEX(VolumeHourlyOver,O6,2),IF(OR(WeekDef=1,WeekDef=2,WeekDef=5,WeekDef=6,AND(WeekDef=8,CustomSaFlag,OR(CustomSaPeriod=1,CustomSaPeriod=2))),IF(VolumeMonthlyOverFlag,INDEX(VolumeMonthlyOver,AE20),Volume),0))</f>
        <v>150</v>
      </c>
      <c r="AP20" s="1647" t="n">
        <f aca="false">IF(AND(WeekDef=8,CustomSaFlag,CustomSaPeriod=4),INDEX(VolumeHourlyOver,P6,2),IF(OR(WeekDef=1,WeekDef=2,WeekDef=5,WeekDef=6,AND(WeekDef=8,CustomSaFlag,OR(CustomSaPeriod=1,CustomSaPeriod=2))),IF(VolumeMonthlyOverFlag,INDEX(VolumeMonthlyOver,AE20),Volume),0))</f>
        <v>150</v>
      </c>
      <c r="AQ20" s="1647" t="n">
        <f aca="false">IF(AND(WeekDef=8,CustomSaFlag,CustomSaPeriod=4),INDEX(VolumeHourlyOver,Q6,2),IF(OR(WeekDef=1,WeekDef=2,WeekDef=5,WeekDef=6,AND(WeekDef=8,CustomSaFlag,OR(CustomSaPeriod=1,CustomSaPeriod=2))),IF(VolumeMonthlyOverFlag,INDEX(VolumeMonthlyOver,AE20),Volume),0))</f>
        <v>150</v>
      </c>
      <c r="AR20" s="1647" t="n">
        <f aca="false">IF(AND(WeekDef=8,CustomSaFlag,CustomSaPeriod=4),INDEX(VolumeHourlyOver,R6,2),IF(OR(WeekDef=1,WeekDef=2,WeekDef=5,WeekDef=6,AND(WeekDef=8,CustomSaFlag,OR(CustomSaPeriod=1,CustomSaPeriod=2))),IF(VolumeMonthlyOverFlag,INDEX(VolumeMonthlyOver,AE20),Volume),0))</f>
        <v>150</v>
      </c>
      <c r="AS20" s="1647" t="n">
        <f aca="false">IF(AND(WeekDef=8,CustomSaFlag,CustomSaPeriod=4),INDEX(VolumeHourlyOver,S6,2),IF(OR(WeekDef=1,WeekDef=2,WeekDef=5,WeekDef=6,AND(WeekDef=8,CustomSaFlag,OR(CustomSaPeriod=1,CustomSaPeriod=2))),IF(VolumeMonthlyOverFlag,INDEX(VolumeMonthlyOver,AE20),Volume),0))</f>
        <v>150</v>
      </c>
      <c r="AT20" s="1647" t="n">
        <f aca="false">IF(AND(WeekDef=8,CustomSaFlag,CustomSaPeriod=4),INDEX(VolumeHourlyOver,T6,2),IF(OR(WeekDef=1,WeekDef=2,WeekDef=5,WeekDef=6,AND(WeekDef=8,CustomSaFlag,OR(CustomSaPeriod=1,CustomSaPeriod=2))),IF(VolumeMonthlyOverFlag,INDEX(VolumeMonthlyOver,AE20),Volume),0))</f>
        <v>150</v>
      </c>
      <c r="AU20" s="1648" t="n">
        <f aca="false">IF(AND(WeekDef=8,CustomSaFlag,CustomSaPeriod=4),INDEX(VolumeHourlyOver,U6,2),IF(OR(WeekDef=1,WeekDef=2,WeekDef=5,WeekDef=6,AND(WeekDef=8,CustomSaFlag,OR(CustomSaPeriod=1,CustomSaPeriod=2))),IF(VolumeMonthlyOverFlag,INDEX(VolumeMonthlyOver,AE20),Volume),0))</f>
        <v>150</v>
      </c>
      <c r="AV20" s="1647" t="n">
        <f aca="false">IF(AND(WeekDef=8,CustomSaFlag,CustomSaPeriod=4),INDEX(VolumeHourlyOver,V6,2),IF(OR(WeekDef=1,WeekDef=3,WeekDef=5,WeekDef=7,AND(WeekDef=8,CustomSaFlag,OR(CustomSaPeriod=1,CustomSaPeriod=3))),IF(VolumeMonthlyOverFlag,INDEX(VolumeMonthlyOver,AE20),Volume),0))</f>
        <v>150</v>
      </c>
      <c r="AW20" s="1647" t="n">
        <f aca="false">IF(AND(WeekDef=8,CustomSaFlag,CustomSaPeriod=4),INDEX(VolumeHourlyOver,W6,2),IF(OR(WeekDef=1,WeekDef=3,WeekDef=5,WeekDef=7,AND(WeekDef=8,CustomSaFlag,OR(CustomSaPeriod=1,CustomSaPeriod=3))),IF(VolumeMonthlyOverFlag,INDEX(VolumeMonthlyOver,AE20),Volume),0))</f>
        <v>150</v>
      </c>
      <c r="AX20" s="1647" t="n">
        <f aca="false">IF(AND(WeekDef=8,CustomSaFlag,CustomSaPeriod=4),INDEX(VolumeHourlyOver,X6,2),IF(OR(WeekDef=1,WeekDef=3,WeekDef=5,WeekDef=7,AND(WeekDef=8,CustomSaFlag,OR(CustomSaPeriod=1,CustomSaPeriod=3))),IF(VolumeMonthlyOverFlag,INDEX(VolumeMonthlyOver,AE20),Volume),0))</f>
        <v>150</v>
      </c>
      <c r="AY20" s="1647" t="n">
        <f aca="false">IF(AND(WeekDef=8,CustomSaFlag,CustomSaPeriod=4),INDEX(VolumeHourlyOver,Y6,2),IF(OR(WeekDef=1,WeekDef=3,WeekDef=5,WeekDef=7,AND(WeekDef=8,CustomSaFlag,OR(CustomSaPeriod=1,CustomSaPeriod=3))),IF(VolumeMonthlyOverFlag,INDEX(VolumeMonthlyOver,AE20),Volume),0))</f>
        <v>150</v>
      </c>
      <c r="AZ20" s="1647" t="n">
        <f aca="false">IF(AND(WeekDef=8,CustomSaFlag,CustomSaPeriod=4),INDEX(VolumeHourlyOver,Z6,2),IF(OR(WeekDef=1,WeekDef=3,WeekDef=5,WeekDef=7,AND(WeekDef=8,CustomSaFlag,OR(CustomSaPeriod=1,CustomSaPeriod=3))),IF(VolumeMonthlyOverFlag,INDEX(VolumeMonthlyOver,AE20),Volume),0))</f>
        <v>150</v>
      </c>
      <c r="BA20" s="1647" t="n">
        <f aca="false">IF(AND(WeekDef=8,CustomSaFlag,CustomSaPeriod=4),INDEX(VolumeHourlyOver,AA6,2),IF(OR(WeekDef=1,WeekDef=3,WeekDef=5,WeekDef=7,AND(WeekDef=8,CustomSaFlag,OR(CustomSaPeriod=1,CustomSaPeriod=3))),IF(VolumeMonthlyOverFlag,INDEX(VolumeMonthlyOver,AE20),Volume),0))</f>
        <v>150</v>
      </c>
      <c r="BB20" s="1647" t="n">
        <f aca="false">IF(AND(WeekDef=8,CustomSaFlag,CustomSaPeriod=4),INDEX(VolumeHourlyOver,AB6,2),IF(OR(WeekDef=1,WeekDef=3,WeekDef=5,WeekDef=7,AND(WeekDef=8,CustomSaFlag,OR(CustomSaPeriod=1,CustomSaPeriod=3))),IF(VolumeMonthlyOverFlag,INDEX(VolumeMonthlyOver,AE20),Volume),0))</f>
        <v>150</v>
      </c>
      <c r="BC20" s="1648" t="n">
        <f aca="false">IF(AND(WeekDef=8,CustomSaFlag,CustomSaPeriod=4),INDEX(VolumeHourlyOver,AC6,2),IF(OR(WeekDef=1,WeekDef=3,WeekDef=5,WeekDef=7,AND(WeekDef=8,CustomSaFlag,OR(CustomSaPeriod=1,CustomSaPeriod=3))),IF(VolumeMonthlyOverFlag,INDEX(VolumeMonthlyOver,AE20),Volume),0))</f>
        <v>150</v>
      </c>
      <c r="BD20" s="1652" t="n">
        <f aca="false">SUM(AF20:AU20)</f>
        <v>2400</v>
      </c>
      <c r="BE20" s="1653" t="n">
        <f aca="false">SUM(AV20:BC20)</f>
        <v>1200</v>
      </c>
      <c r="BF20" s="1654" t="n">
        <f aca="false">BD20+BE20</f>
        <v>3600</v>
      </c>
      <c r="BG20" s="1674" t="n">
        <f aca="false">IF(BD20,SUMPRODUCT(AF20:AU20,F22:U22)/BD20,0)</f>
        <v>1</v>
      </c>
      <c r="BH20" s="1655" t="n">
        <f aca="false">IF(BE20,SUMPRODUCT(AV20:BC20,V22:AC22)/BE20,0)</f>
        <v>0.999999992549419</v>
      </c>
      <c r="BJ20" s="1636" t="n">
        <v>2</v>
      </c>
      <c r="BK20" s="1646" t="n">
        <f aca="false">IF(AND(WeekDef=8,CustomSaFlag,CustomSaPeriod=4),INDEX(IF(DiffOptVolumeFlag,DiffOptVolumeHourlyOver,VolumeHourlyOver),F6,2),IF(OR(WeekDef=1,WeekDef=2,WeekDef=5,WeekDef=6,AND(WeekDef=8,CustomSaFlag,OR(CustomSaPeriod=1,CustomSaPeriod=2))),IF(VolumeMonthlyOverFlag,INDEX(IF(DiffOptVolumeFlag,DiffOptVolumeMonthlyOver,VolumeMonthlyOver),BJ20),IF(DiffOptVolumeFlag,DiffOptVolume,Volume)),0))</f>
        <v>600</v>
      </c>
      <c r="BL20" s="1647" t="n">
        <f aca="false">IF(AND(WeekDef=8,CustomSaFlag,CustomSaPeriod=4),INDEX(IF(DiffOptVolumeFlag,DiffOptVolumeHourlyOver,VolumeHourlyOver),G6,2),IF(OR(WeekDef=1,WeekDef=2,WeekDef=5,WeekDef=6,AND(WeekDef=8,CustomSaFlag,OR(CustomSaPeriod=1,CustomSaPeriod=2))),IF(VolumeMonthlyOverFlag,INDEX(IF(DiffOptVolumeFlag,DiffOptVolumeMonthlyOver,VolumeMonthlyOver),BJ20),IF(DiffOptVolumeFlag,DiffOptVolume,Volume)),0))</f>
        <v>600</v>
      </c>
      <c r="BM20" s="1647" t="n">
        <f aca="false">IF(AND(WeekDef=8,CustomSaFlag,CustomSaPeriod=4),INDEX(IF(DiffOptVolumeFlag,DiffOptVolumeHourlyOver,VolumeHourlyOver),H6,2),IF(OR(WeekDef=1,WeekDef=2,WeekDef=5,WeekDef=6,AND(WeekDef=8,CustomSaFlag,OR(CustomSaPeriod=1,CustomSaPeriod=2))),IF(VolumeMonthlyOverFlag,INDEX(IF(DiffOptVolumeFlag,DiffOptVolumeMonthlyOver,VolumeMonthlyOver),BJ20),IF(DiffOptVolumeFlag,DiffOptVolume,Volume)),0))</f>
        <v>600</v>
      </c>
      <c r="BN20" s="1647" t="n">
        <f aca="false">IF(AND(WeekDef=8,CustomSaFlag,CustomSaPeriod=4),INDEX(IF(DiffOptVolumeFlag,DiffOptVolumeHourlyOver,VolumeHourlyOver),I6,2),IF(OR(WeekDef=1,WeekDef=2,WeekDef=5,WeekDef=6,AND(WeekDef=8,CustomSaFlag,OR(CustomSaPeriod=1,CustomSaPeriod=2))),IF(VolumeMonthlyOverFlag,INDEX(IF(DiffOptVolumeFlag,DiffOptVolumeMonthlyOver,VolumeMonthlyOver),BJ20),IF(DiffOptVolumeFlag,DiffOptVolume,Volume)),0))</f>
        <v>600</v>
      </c>
      <c r="BO20" s="1647" t="n">
        <f aca="false">IF(AND(WeekDef=8,CustomSaFlag,CustomSaPeriod=4),INDEX(IF(DiffOptVolumeFlag,DiffOptVolumeHourlyOver,VolumeHourlyOver),J6,2),IF(OR(WeekDef=1,WeekDef=2,WeekDef=5,WeekDef=6,AND(WeekDef=8,CustomSaFlag,OR(CustomSaPeriod=1,CustomSaPeriod=2))),IF(VolumeMonthlyOverFlag,INDEX(IF(DiffOptVolumeFlag,DiffOptVolumeMonthlyOver,VolumeMonthlyOver),BJ20),IF(DiffOptVolumeFlag,DiffOptVolume,Volume)),0))</f>
        <v>600</v>
      </c>
      <c r="BP20" s="1647" t="n">
        <f aca="false">IF(AND(WeekDef=8,CustomSaFlag,CustomSaPeriod=4),INDEX(IF(DiffOptVolumeFlag,DiffOptVolumeHourlyOver,VolumeHourlyOver),K6,2),IF(OR(WeekDef=1,WeekDef=2,WeekDef=5,WeekDef=6,AND(WeekDef=8,CustomSaFlag,OR(CustomSaPeriod=1,CustomSaPeriod=2))),IF(VolumeMonthlyOverFlag,INDEX(IF(DiffOptVolumeFlag,DiffOptVolumeMonthlyOver,VolumeMonthlyOver),BJ20),IF(DiffOptVolumeFlag,DiffOptVolume,Volume)),0))</f>
        <v>600</v>
      </c>
      <c r="BQ20" s="1647" t="n">
        <f aca="false">IF(AND(WeekDef=8,CustomSaFlag,CustomSaPeriod=4),INDEX(IF(DiffOptVolumeFlag,DiffOptVolumeHourlyOver,VolumeHourlyOver),L6,2),IF(OR(WeekDef=1,WeekDef=2,WeekDef=5,WeekDef=6,AND(WeekDef=8,CustomSaFlag,OR(CustomSaPeriod=1,CustomSaPeriod=2))),IF(VolumeMonthlyOverFlag,INDEX(IF(DiffOptVolumeFlag,DiffOptVolumeMonthlyOver,VolumeMonthlyOver),BJ20),IF(DiffOptVolumeFlag,DiffOptVolume,Volume)),0))</f>
        <v>600</v>
      </c>
      <c r="BR20" s="1647" t="n">
        <f aca="false">IF(AND(WeekDef=8,CustomSaFlag,CustomSaPeriod=4),INDEX(IF(DiffOptVolumeFlag,DiffOptVolumeHourlyOver,VolumeHourlyOver),M6,2),IF(OR(WeekDef=1,WeekDef=2,WeekDef=5,WeekDef=6,AND(WeekDef=8,CustomSaFlag,OR(CustomSaPeriod=1,CustomSaPeriod=2))),IF(VolumeMonthlyOverFlag,INDEX(IF(DiffOptVolumeFlag,DiffOptVolumeMonthlyOver,VolumeMonthlyOver),BJ20),IF(DiffOptVolumeFlag,DiffOptVolume,Volume)),0))</f>
        <v>600</v>
      </c>
      <c r="BS20" s="1647" t="n">
        <f aca="false">IF(AND(WeekDef=8,CustomSaFlag,CustomSaPeriod=4),INDEX(IF(DiffOptVolumeFlag,DiffOptVolumeHourlyOver,VolumeHourlyOver),N6,2),IF(OR(WeekDef=1,WeekDef=2,WeekDef=5,WeekDef=6,AND(WeekDef=8,CustomSaFlag,OR(CustomSaPeriod=1,CustomSaPeriod=2))),IF(VolumeMonthlyOverFlag,INDEX(IF(DiffOptVolumeFlag,DiffOptVolumeMonthlyOver,VolumeMonthlyOver),BJ20),IF(DiffOptVolumeFlag,DiffOptVolume,Volume)),0))</f>
        <v>600</v>
      </c>
      <c r="BT20" s="1647" t="n">
        <f aca="false">IF(AND(WeekDef=8,CustomSaFlag,CustomSaPeriod=4),INDEX(IF(DiffOptVolumeFlag,DiffOptVolumeHourlyOver,VolumeHourlyOver),O6,2),IF(OR(WeekDef=1,WeekDef=2,WeekDef=5,WeekDef=6,AND(WeekDef=8,CustomSaFlag,OR(CustomSaPeriod=1,CustomSaPeriod=2))),IF(VolumeMonthlyOverFlag,INDEX(IF(DiffOptVolumeFlag,DiffOptVolumeMonthlyOver,VolumeMonthlyOver),BJ20),IF(DiffOptVolumeFlag,DiffOptVolume,Volume)),0))</f>
        <v>600</v>
      </c>
      <c r="BU20" s="1647" t="n">
        <f aca="false">IF(AND(WeekDef=8,CustomSaFlag,CustomSaPeriod=4),INDEX(IF(DiffOptVolumeFlag,DiffOptVolumeHourlyOver,VolumeHourlyOver),P6,2),IF(OR(WeekDef=1,WeekDef=2,WeekDef=5,WeekDef=6,AND(WeekDef=8,CustomSaFlag,OR(CustomSaPeriod=1,CustomSaPeriod=2))),IF(VolumeMonthlyOverFlag,INDEX(IF(DiffOptVolumeFlag,DiffOptVolumeMonthlyOver,VolumeMonthlyOver),BJ20),IF(DiffOptVolumeFlag,DiffOptVolume,Volume)),0))</f>
        <v>600</v>
      </c>
      <c r="BV20" s="1647" t="n">
        <f aca="false">IF(AND(WeekDef=8,CustomSaFlag,CustomSaPeriod=4),INDEX(IF(DiffOptVolumeFlag,DiffOptVolumeHourlyOver,VolumeHourlyOver),Q6,2),IF(OR(WeekDef=1,WeekDef=2,WeekDef=5,WeekDef=6,AND(WeekDef=8,CustomSaFlag,OR(CustomSaPeriod=1,CustomSaPeriod=2))),IF(VolumeMonthlyOverFlag,INDEX(IF(DiffOptVolumeFlag,DiffOptVolumeMonthlyOver,VolumeMonthlyOver),BJ20),IF(DiffOptVolumeFlag,DiffOptVolume,Volume)),0))</f>
        <v>600</v>
      </c>
      <c r="BW20" s="1647" t="n">
        <f aca="false">IF(AND(WeekDef=8,CustomSaFlag,CustomSaPeriod=4),INDEX(IF(DiffOptVolumeFlag,DiffOptVolumeHourlyOver,VolumeHourlyOver),R6,2),IF(OR(WeekDef=1,WeekDef=2,WeekDef=5,WeekDef=6,AND(WeekDef=8,CustomSaFlag,OR(CustomSaPeriod=1,CustomSaPeriod=2))),IF(VolumeMonthlyOverFlag,INDEX(IF(DiffOptVolumeFlag,DiffOptVolumeMonthlyOver,VolumeMonthlyOver),BJ20),IF(DiffOptVolumeFlag,DiffOptVolume,Volume)),0))</f>
        <v>600</v>
      </c>
      <c r="BX20" s="1647" t="n">
        <f aca="false">IF(AND(WeekDef=8,CustomSaFlag,CustomSaPeriod=4),INDEX(IF(DiffOptVolumeFlag,DiffOptVolumeHourlyOver,VolumeHourlyOver),S6,2),IF(OR(WeekDef=1,WeekDef=2,WeekDef=5,WeekDef=6,AND(WeekDef=8,CustomSaFlag,OR(CustomSaPeriod=1,CustomSaPeriod=2))),IF(VolumeMonthlyOverFlag,INDEX(IF(DiffOptVolumeFlag,DiffOptVolumeMonthlyOver,VolumeMonthlyOver),BJ20),IF(DiffOptVolumeFlag,DiffOptVolume,Volume)),0))</f>
        <v>600</v>
      </c>
      <c r="BY20" s="1647" t="n">
        <f aca="false">IF(AND(WeekDef=8,CustomSaFlag,CustomSaPeriod=4),INDEX(IF(DiffOptVolumeFlag,DiffOptVolumeHourlyOver,VolumeHourlyOver),T6,2),IF(OR(WeekDef=1,WeekDef=2,WeekDef=5,WeekDef=6,AND(WeekDef=8,CustomSaFlag,OR(CustomSaPeriod=1,CustomSaPeriod=2))),IF(VolumeMonthlyOverFlag,INDEX(IF(DiffOptVolumeFlag,DiffOptVolumeMonthlyOver,VolumeMonthlyOver),BJ20),IF(DiffOptVolumeFlag,DiffOptVolume,Volume)),0))</f>
        <v>600</v>
      </c>
      <c r="BZ20" s="1648" t="n">
        <f aca="false">IF(AND(WeekDef=8,CustomSaFlag,CustomSaPeriod=4),INDEX(IF(DiffOptVolumeFlag,DiffOptVolumeHourlyOver,VolumeHourlyOver),U6,2),IF(OR(WeekDef=1,WeekDef=2,WeekDef=5,WeekDef=6,AND(WeekDef=8,CustomSaFlag,OR(CustomSaPeriod=1,CustomSaPeriod=2))),IF(VolumeMonthlyOverFlag,INDEX(IF(DiffOptVolumeFlag,DiffOptVolumeMonthlyOver,VolumeMonthlyOver),BJ20),IF(DiffOptVolumeFlag,DiffOptVolume,Volume)),0))</f>
        <v>600</v>
      </c>
      <c r="CA20" s="1647" t="n">
        <f aca="false">IF(AND(WeekDef=8,CustomSaFlag,CustomSaPeriod=4),INDEX(IF(DiffOptVolumeFlag,DiffOptVolumeHourlyOver,VolumeHourlyOver),V6,2),IF(OR(WeekDef=1,WeekDef=3,WeekDef=5,WeekDef=7,AND(WeekDef=8,CustomSaFlag,OR(CustomSaPeriod=1,CustomSaPeriod=3))),IF(VolumeMonthlyOverFlag,INDEX(IF(DiffOptVolumeFlag,DiffOptVolumeMonthlyOver,VolumeMonthlyOver),BJ20),IF(DiffOptVolumeFlag,DiffOptVolume,Volume)),0))</f>
        <v>600</v>
      </c>
      <c r="CB20" s="1647" t="n">
        <f aca="false">IF(AND(WeekDef=8,CustomSaFlag,CustomSaPeriod=4),INDEX(IF(DiffOptVolumeFlag,DiffOptVolumeHourlyOver,VolumeHourlyOver),W6,2),IF(OR(WeekDef=1,WeekDef=3,WeekDef=5,WeekDef=7,AND(WeekDef=8,CustomSaFlag,OR(CustomSaPeriod=1,CustomSaPeriod=3))),IF(VolumeMonthlyOverFlag,INDEX(IF(DiffOptVolumeFlag,DiffOptVolumeMonthlyOver,VolumeMonthlyOver),BJ20),IF(DiffOptVolumeFlag,DiffOptVolume,Volume)),0))</f>
        <v>600</v>
      </c>
      <c r="CC20" s="1647" t="n">
        <f aca="false">IF(AND(WeekDef=8,CustomSaFlag,CustomSaPeriod=4),INDEX(IF(DiffOptVolumeFlag,DiffOptVolumeHourlyOver,VolumeHourlyOver),X6,2),IF(OR(WeekDef=1,WeekDef=3,WeekDef=5,WeekDef=7,AND(WeekDef=8,CustomSaFlag,OR(CustomSaPeriod=1,CustomSaPeriod=3))),IF(VolumeMonthlyOverFlag,INDEX(IF(DiffOptVolumeFlag,DiffOptVolumeMonthlyOver,VolumeMonthlyOver),BJ20),IF(DiffOptVolumeFlag,DiffOptVolume,Volume)),0))</f>
        <v>600</v>
      </c>
      <c r="CD20" s="1647" t="n">
        <f aca="false">IF(AND(WeekDef=8,CustomSaFlag,CustomSaPeriod=4),INDEX(IF(DiffOptVolumeFlag,DiffOptVolumeHourlyOver,VolumeHourlyOver),Y6,2),IF(OR(WeekDef=1,WeekDef=3,WeekDef=5,WeekDef=7,AND(WeekDef=8,CustomSaFlag,OR(CustomSaPeriod=1,CustomSaPeriod=3))),IF(VolumeMonthlyOverFlag,INDEX(IF(DiffOptVolumeFlag,DiffOptVolumeMonthlyOver,VolumeMonthlyOver),BJ20),IF(DiffOptVolumeFlag,DiffOptVolume,Volume)),0))</f>
        <v>600</v>
      </c>
      <c r="CE20" s="1647" t="n">
        <f aca="false">IF(AND(WeekDef=8,CustomSaFlag,CustomSaPeriod=4),INDEX(IF(DiffOptVolumeFlag,DiffOptVolumeHourlyOver,VolumeHourlyOver),Z6,2),IF(OR(WeekDef=1,WeekDef=3,WeekDef=5,WeekDef=7,AND(WeekDef=8,CustomSaFlag,OR(CustomSaPeriod=1,CustomSaPeriod=3))),IF(VolumeMonthlyOverFlag,INDEX(IF(DiffOptVolumeFlag,DiffOptVolumeMonthlyOver,VolumeMonthlyOver),BJ20),IF(DiffOptVolumeFlag,DiffOptVolume,Volume)),0))</f>
        <v>600</v>
      </c>
      <c r="CF20" s="1647" t="n">
        <f aca="false">IF(AND(WeekDef=8,CustomSaFlag,CustomSaPeriod=4),INDEX(IF(DiffOptVolumeFlag,DiffOptVolumeHourlyOver,VolumeHourlyOver),AA6,2),IF(OR(WeekDef=1,WeekDef=3,WeekDef=5,WeekDef=7,AND(WeekDef=8,CustomSaFlag,OR(CustomSaPeriod=1,CustomSaPeriod=3))),IF(VolumeMonthlyOverFlag,INDEX(IF(DiffOptVolumeFlag,DiffOptVolumeMonthlyOver,VolumeMonthlyOver),BJ20),IF(DiffOptVolumeFlag,DiffOptVolume,Volume)),0))</f>
        <v>600</v>
      </c>
      <c r="CG20" s="1647" t="n">
        <f aca="false">IF(AND(WeekDef=8,CustomSaFlag,CustomSaPeriod=4),INDEX(IF(DiffOptVolumeFlag,DiffOptVolumeHourlyOver,VolumeHourlyOver),AB6,2),IF(OR(WeekDef=1,WeekDef=3,WeekDef=5,WeekDef=7,AND(WeekDef=8,CustomSaFlag,OR(CustomSaPeriod=1,CustomSaPeriod=3))),IF(VolumeMonthlyOverFlag,INDEX(IF(DiffOptVolumeFlag,DiffOptVolumeMonthlyOver,VolumeMonthlyOver),BJ20),IF(DiffOptVolumeFlag,DiffOptVolume,Volume)),0))</f>
        <v>600</v>
      </c>
      <c r="CH20" s="1648" t="n">
        <f aca="false">IF(AND(WeekDef=8,CustomSaFlag,CustomSaPeriod=4),INDEX(IF(DiffOptVolumeFlag,DiffOptVolumeHourlyOver,VolumeHourlyOver),AC6,2),IF(OR(WeekDef=1,WeekDef=3,WeekDef=5,WeekDef=7,AND(WeekDef=8,CustomSaFlag,OR(CustomSaPeriod=1,CustomSaPeriod=3))),IF(VolumeMonthlyOverFlag,INDEX(IF(DiffOptVolumeFlag,DiffOptVolumeMonthlyOver,VolumeMonthlyOver),BJ20),IF(DiffOptVolumeFlag,DiffOptVolume,Volume)),0))</f>
        <v>600</v>
      </c>
      <c r="CI20" s="1652" t="n">
        <f aca="false">SUM(BK20:BZ20)</f>
        <v>9600</v>
      </c>
      <c r="CJ20" s="1653" t="n">
        <f aca="false">SUM(CA20:CH20)</f>
        <v>4800</v>
      </c>
      <c r="CK20" s="1654" t="n">
        <f aca="false">CI20+CJ20</f>
        <v>14400</v>
      </c>
      <c r="CL20" s="1674" t="n">
        <f aca="false">IF(CI20,SUMPRODUCT(BK20:BZ20,F22:U22)/CI20,0)</f>
        <v>1</v>
      </c>
      <c r="CM20" s="1655" t="n">
        <f aca="false">IF(CJ20,SUMPRODUCT(CA20:CH20,V22:AC22)/CJ20,0)</f>
        <v>0.999999992549419</v>
      </c>
    </row>
    <row r="21" customFormat="false" ht="12.75" hidden="false" customHeight="false" outlineLevel="0" collapsed="false">
      <c r="C21" s="1676"/>
      <c r="D21" s="1658"/>
      <c r="E21" s="1636" t="n">
        <v>1</v>
      </c>
      <c r="F21" s="1677" t="n">
        <v>1.16824817657471</v>
      </c>
      <c r="G21" s="1678" t="n">
        <v>1.14609122276306</v>
      </c>
      <c r="H21" s="1678" t="n">
        <v>1.07506155967712</v>
      </c>
      <c r="I21" s="1678" t="n">
        <v>1.06241273880005</v>
      </c>
      <c r="J21" s="1678" t="n">
        <v>1.05672109127045</v>
      </c>
      <c r="K21" s="1678" t="n">
        <v>1.04327023029327</v>
      </c>
      <c r="L21" s="1678" t="n">
        <v>1.02412760257721</v>
      </c>
      <c r="M21" s="1678" t="n">
        <v>0.98871386051178</v>
      </c>
      <c r="N21" s="1678" t="n">
        <v>0.982924342155457</v>
      </c>
      <c r="O21" s="1678" t="n">
        <v>0.976271212100983</v>
      </c>
      <c r="P21" s="1678" t="n">
        <v>0.955777406692505</v>
      </c>
      <c r="Q21" s="1678" t="n">
        <v>0.924691438674927</v>
      </c>
      <c r="R21" s="1678" t="n">
        <v>0.915972113609314</v>
      </c>
      <c r="S21" s="1678" t="n">
        <v>0.912212789058685</v>
      </c>
      <c r="T21" s="1678" t="n">
        <v>0.901107132434845</v>
      </c>
      <c r="U21" s="1679" t="n">
        <v>0.866397023200989</v>
      </c>
      <c r="V21" s="1678" t="n">
        <v>1.14336383342743</v>
      </c>
      <c r="W21" s="1678" t="n">
        <v>1.14044225215912</v>
      </c>
      <c r="X21" s="1678" t="n">
        <v>1.01976025104523</v>
      </c>
      <c r="Y21" s="1678" t="n">
        <v>0.973015606403351</v>
      </c>
      <c r="Z21" s="1678" t="n">
        <v>0.966992914676666</v>
      </c>
      <c r="AA21" s="1678" t="n">
        <v>0.925923705101013</v>
      </c>
      <c r="AB21" s="1678" t="n">
        <v>0.921613991260529</v>
      </c>
      <c r="AC21" s="1679" t="n">
        <v>0.908887386322022</v>
      </c>
      <c r="AD21" s="1658"/>
      <c r="AE21" s="1636" t="n">
        <v>3</v>
      </c>
      <c r="AF21" s="1646" t="n">
        <f aca="false">IF(AND(WeekDef=8,CustomSaFlag,CustomSaPeriod=4),INDEX(VolumeHourlyOver,F7,2),IF(OR(WeekDef=1,WeekDef=2,WeekDef=5,WeekDef=6,AND(WeekDef=8,CustomSaFlag,OR(CustomSaPeriod=1,CustomSaPeriod=2))),IF(VolumeMonthlyOverFlag,INDEX(VolumeMonthlyOver,AE21),Volume),0))</f>
        <v>150</v>
      </c>
      <c r="AG21" s="1647" t="n">
        <f aca="false">IF(AND(WeekDef=8,CustomSaFlag,CustomSaPeriod=4),INDEX(VolumeHourlyOver,G7,2),IF(OR(WeekDef=1,WeekDef=2,WeekDef=5,WeekDef=6,AND(WeekDef=8,CustomSaFlag,OR(CustomSaPeriod=1,CustomSaPeriod=2))),IF(VolumeMonthlyOverFlag,INDEX(VolumeMonthlyOver,AE21),Volume),0))</f>
        <v>150</v>
      </c>
      <c r="AH21" s="1647" t="n">
        <f aca="false">IF(AND(WeekDef=8,CustomSaFlag,CustomSaPeriod=4),INDEX(VolumeHourlyOver,H7,2),IF(OR(WeekDef=1,WeekDef=2,WeekDef=5,WeekDef=6,AND(WeekDef=8,CustomSaFlag,OR(CustomSaPeriod=1,CustomSaPeriod=2))),IF(VolumeMonthlyOverFlag,INDEX(VolumeMonthlyOver,AE21),Volume),0))</f>
        <v>150</v>
      </c>
      <c r="AI21" s="1647" t="n">
        <f aca="false">IF(AND(WeekDef=8,CustomSaFlag,CustomSaPeriod=4),INDEX(VolumeHourlyOver,I7,2),IF(OR(WeekDef=1,WeekDef=2,WeekDef=5,WeekDef=6,AND(WeekDef=8,CustomSaFlag,OR(CustomSaPeriod=1,CustomSaPeriod=2))),IF(VolumeMonthlyOverFlag,INDEX(VolumeMonthlyOver,AE21),Volume),0))</f>
        <v>150</v>
      </c>
      <c r="AJ21" s="1647" t="n">
        <f aca="false">IF(AND(WeekDef=8,CustomSaFlag,CustomSaPeriod=4),INDEX(VolumeHourlyOver,J7,2),IF(OR(WeekDef=1,WeekDef=2,WeekDef=5,WeekDef=6,AND(WeekDef=8,CustomSaFlag,OR(CustomSaPeriod=1,CustomSaPeriod=2))),IF(VolumeMonthlyOverFlag,INDEX(VolumeMonthlyOver,AE21),Volume),0))</f>
        <v>150</v>
      </c>
      <c r="AK21" s="1647" t="n">
        <f aca="false">IF(AND(WeekDef=8,CustomSaFlag,CustomSaPeriod=4),INDEX(VolumeHourlyOver,K7,2),IF(OR(WeekDef=1,WeekDef=2,WeekDef=5,WeekDef=6,AND(WeekDef=8,CustomSaFlag,OR(CustomSaPeriod=1,CustomSaPeriod=2))),IF(VolumeMonthlyOverFlag,INDEX(VolumeMonthlyOver,AE21),Volume),0))</f>
        <v>150</v>
      </c>
      <c r="AL21" s="1647" t="n">
        <f aca="false">IF(AND(WeekDef=8,CustomSaFlag,CustomSaPeriod=4),INDEX(VolumeHourlyOver,L7,2),IF(OR(WeekDef=1,WeekDef=2,WeekDef=5,WeekDef=6,AND(WeekDef=8,CustomSaFlag,OR(CustomSaPeriod=1,CustomSaPeriod=2))),IF(VolumeMonthlyOverFlag,INDEX(VolumeMonthlyOver,AE21),Volume),0))</f>
        <v>150</v>
      </c>
      <c r="AM21" s="1647" t="n">
        <f aca="false">IF(AND(WeekDef=8,CustomSaFlag,CustomSaPeriod=4),INDEX(VolumeHourlyOver,M7,2),IF(OR(WeekDef=1,WeekDef=2,WeekDef=5,WeekDef=6,AND(WeekDef=8,CustomSaFlag,OR(CustomSaPeriod=1,CustomSaPeriod=2))),IF(VolumeMonthlyOverFlag,INDEX(VolumeMonthlyOver,AE21),Volume),0))</f>
        <v>150</v>
      </c>
      <c r="AN21" s="1647" t="n">
        <f aca="false">IF(AND(WeekDef=8,CustomSaFlag,CustomSaPeriod=4),INDEX(VolumeHourlyOver,N7,2),IF(OR(WeekDef=1,WeekDef=2,WeekDef=5,WeekDef=6,AND(WeekDef=8,CustomSaFlag,OR(CustomSaPeriod=1,CustomSaPeriod=2))),IF(VolumeMonthlyOverFlag,INDEX(VolumeMonthlyOver,AE21),Volume),0))</f>
        <v>150</v>
      </c>
      <c r="AO21" s="1647" t="n">
        <f aca="false">IF(AND(WeekDef=8,CustomSaFlag,CustomSaPeriod=4),INDEX(VolumeHourlyOver,O7,2),IF(OR(WeekDef=1,WeekDef=2,WeekDef=5,WeekDef=6,AND(WeekDef=8,CustomSaFlag,OR(CustomSaPeriod=1,CustomSaPeriod=2))),IF(VolumeMonthlyOverFlag,INDEX(VolumeMonthlyOver,AE21),Volume),0))</f>
        <v>150</v>
      </c>
      <c r="AP21" s="1647" t="n">
        <f aca="false">IF(AND(WeekDef=8,CustomSaFlag,CustomSaPeriod=4),INDEX(VolumeHourlyOver,P7,2),IF(OR(WeekDef=1,WeekDef=2,WeekDef=5,WeekDef=6,AND(WeekDef=8,CustomSaFlag,OR(CustomSaPeriod=1,CustomSaPeriod=2))),IF(VolumeMonthlyOverFlag,INDEX(VolumeMonthlyOver,AE21),Volume),0))</f>
        <v>150</v>
      </c>
      <c r="AQ21" s="1647" t="n">
        <f aca="false">IF(AND(WeekDef=8,CustomSaFlag,CustomSaPeriod=4),INDEX(VolumeHourlyOver,Q7,2),IF(OR(WeekDef=1,WeekDef=2,WeekDef=5,WeekDef=6,AND(WeekDef=8,CustomSaFlag,OR(CustomSaPeriod=1,CustomSaPeriod=2))),IF(VolumeMonthlyOverFlag,INDEX(VolumeMonthlyOver,AE21),Volume),0))</f>
        <v>150</v>
      </c>
      <c r="AR21" s="1647" t="n">
        <f aca="false">IF(AND(WeekDef=8,CustomSaFlag,CustomSaPeriod=4),INDEX(VolumeHourlyOver,R7,2),IF(OR(WeekDef=1,WeekDef=2,WeekDef=5,WeekDef=6,AND(WeekDef=8,CustomSaFlag,OR(CustomSaPeriod=1,CustomSaPeriod=2))),IF(VolumeMonthlyOverFlag,INDEX(VolumeMonthlyOver,AE21),Volume),0))</f>
        <v>150</v>
      </c>
      <c r="AS21" s="1647" t="n">
        <f aca="false">IF(AND(WeekDef=8,CustomSaFlag,CustomSaPeriod=4),INDEX(VolumeHourlyOver,S7,2),IF(OR(WeekDef=1,WeekDef=2,WeekDef=5,WeekDef=6,AND(WeekDef=8,CustomSaFlag,OR(CustomSaPeriod=1,CustomSaPeriod=2))),IF(VolumeMonthlyOverFlag,INDEX(VolumeMonthlyOver,AE21),Volume),0))</f>
        <v>150</v>
      </c>
      <c r="AT21" s="1647" t="n">
        <f aca="false">IF(AND(WeekDef=8,CustomSaFlag,CustomSaPeriod=4),INDEX(VolumeHourlyOver,T7,2),IF(OR(WeekDef=1,WeekDef=2,WeekDef=5,WeekDef=6,AND(WeekDef=8,CustomSaFlag,OR(CustomSaPeriod=1,CustomSaPeriod=2))),IF(VolumeMonthlyOverFlag,INDEX(VolumeMonthlyOver,AE21),Volume),0))</f>
        <v>150</v>
      </c>
      <c r="AU21" s="1648" t="n">
        <f aca="false">IF(AND(WeekDef=8,CustomSaFlag,CustomSaPeriod=4),INDEX(VolumeHourlyOver,U7,2),IF(OR(WeekDef=1,WeekDef=2,WeekDef=5,WeekDef=6,AND(WeekDef=8,CustomSaFlag,OR(CustomSaPeriod=1,CustomSaPeriod=2))),IF(VolumeMonthlyOverFlag,INDEX(VolumeMonthlyOver,AE21),Volume),0))</f>
        <v>150</v>
      </c>
      <c r="AV21" s="1647" t="n">
        <f aca="false">IF(AND(WeekDef=8,CustomSaFlag,CustomSaPeriod=4),INDEX(VolumeHourlyOver,V7,2),IF(OR(WeekDef=1,WeekDef=3,WeekDef=5,WeekDef=7,AND(WeekDef=8,CustomSaFlag,OR(CustomSaPeriod=1,CustomSaPeriod=3))),IF(VolumeMonthlyOverFlag,INDEX(VolumeMonthlyOver,AE21),Volume),0))</f>
        <v>150</v>
      </c>
      <c r="AW21" s="1647" t="n">
        <f aca="false">IF(AND(WeekDef=8,CustomSaFlag,CustomSaPeriod=4),INDEX(VolumeHourlyOver,W7,2),IF(OR(WeekDef=1,WeekDef=3,WeekDef=5,WeekDef=7,AND(WeekDef=8,CustomSaFlag,OR(CustomSaPeriod=1,CustomSaPeriod=3))),IF(VolumeMonthlyOverFlag,INDEX(VolumeMonthlyOver,AE21),Volume),0))</f>
        <v>150</v>
      </c>
      <c r="AX21" s="1647" t="n">
        <f aca="false">IF(AND(WeekDef=8,CustomSaFlag,CustomSaPeriod=4),INDEX(VolumeHourlyOver,X7,2),IF(OR(WeekDef=1,WeekDef=3,WeekDef=5,WeekDef=7,AND(WeekDef=8,CustomSaFlag,OR(CustomSaPeriod=1,CustomSaPeriod=3))),IF(VolumeMonthlyOverFlag,INDEX(VolumeMonthlyOver,AE21),Volume),0))</f>
        <v>150</v>
      </c>
      <c r="AY21" s="1647" t="n">
        <f aca="false">IF(AND(WeekDef=8,CustomSaFlag,CustomSaPeriod=4),INDEX(VolumeHourlyOver,Y7,2),IF(OR(WeekDef=1,WeekDef=3,WeekDef=5,WeekDef=7,AND(WeekDef=8,CustomSaFlag,OR(CustomSaPeriod=1,CustomSaPeriod=3))),IF(VolumeMonthlyOverFlag,INDEX(VolumeMonthlyOver,AE21),Volume),0))</f>
        <v>150</v>
      </c>
      <c r="AZ21" s="1647" t="n">
        <f aca="false">IF(AND(WeekDef=8,CustomSaFlag,CustomSaPeriod=4),INDEX(VolumeHourlyOver,Z7,2),IF(OR(WeekDef=1,WeekDef=3,WeekDef=5,WeekDef=7,AND(WeekDef=8,CustomSaFlag,OR(CustomSaPeriod=1,CustomSaPeriod=3))),IF(VolumeMonthlyOverFlag,INDEX(VolumeMonthlyOver,AE21),Volume),0))</f>
        <v>150</v>
      </c>
      <c r="BA21" s="1647" t="n">
        <f aca="false">IF(AND(WeekDef=8,CustomSaFlag,CustomSaPeriod=4),INDEX(VolumeHourlyOver,AA7,2),IF(OR(WeekDef=1,WeekDef=3,WeekDef=5,WeekDef=7,AND(WeekDef=8,CustomSaFlag,OR(CustomSaPeriod=1,CustomSaPeriod=3))),IF(VolumeMonthlyOverFlag,INDEX(VolumeMonthlyOver,AE21),Volume),0))</f>
        <v>150</v>
      </c>
      <c r="BB21" s="1647" t="n">
        <f aca="false">IF(AND(WeekDef=8,CustomSaFlag,CustomSaPeriod=4),INDEX(VolumeHourlyOver,AB7,2),IF(OR(WeekDef=1,WeekDef=3,WeekDef=5,WeekDef=7,AND(WeekDef=8,CustomSaFlag,OR(CustomSaPeriod=1,CustomSaPeriod=3))),IF(VolumeMonthlyOverFlag,INDEX(VolumeMonthlyOver,AE21),Volume),0))</f>
        <v>150</v>
      </c>
      <c r="BC21" s="1648" t="n">
        <f aca="false">IF(AND(WeekDef=8,CustomSaFlag,CustomSaPeriod=4),INDEX(VolumeHourlyOver,AC7,2),IF(OR(WeekDef=1,WeekDef=3,WeekDef=5,WeekDef=7,AND(WeekDef=8,CustomSaFlag,OR(CustomSaPeriod=1,CustomSaPeriod=3))),IF(VolumeMonthlyOverFlag,INDEX(VolumeMonthlyOver,AE21),Volume),0))</f>
        <v>150</v>
      </c>
      <c r="BD21" s="1652" t="n">
        <f aca="false">SUM(AF21:AU21)</f>
        <v>2400</v>
      </c>
      <c r="BE21" s="1653" t="n">
        <f aca="false">SUM(AV21:BC21)</f>
        <v>1200</v>
      </c>
      <c r="BF21" s="1654" t="n">
        <f aca="false">BD21+BE21</f>
        <v>3600</v>
      </c>
      <c r="BG21" s="1674" t="n">
        <f aca="false">IF(BD21,SUMPRODUCT(AF21:AU21,F23:U23)/BD21,0)</f>
        <v>0.99999999627471</v>
      </c>
      <c r="BH21" s="1655" t="n">
        <f aca="false">IF(BE21,SUMPRODUCT(AV21:BC21,V23:AC23)/BE21,0)</f>
        <v>1.00000000745058</v>
      </c>
      <c r="BJ21" s="1636" t="n">
        <v>3</v>
      </c>
      <c r="BK21" s="1646" t="n">
        <f aca="false">IF(AND(WeekDef=8,CustomSaFlag,CustomSaPeriod=4),INDEX(IF(DiffOptVolumeFlag,DiffOptVolumeHourlyOver,VolumeHourlyOver),F7,2),IF(OR(WeekDef=1,WeekDef=2,WeekDef=5,WeekDef=6,AND(WeekDef=8,CustomSaFlag,OR(CustomSaPeriod=1,CustomSaPeriod=2))),IF(VolumeMonthlyOverFlag,INDEX(IF(DiffOptVolumeFlag,DiffOptVolumeMonthlyOver,VolumeMonthlyOver),BJ21),IF(DiffOptVolumeFlag,DiffOptVolume,Volume)),0))</f>
        <v>600</v>
      </c>
      <c r="BL21" s="1647" t="n">
        <f aca="false">IF(AND(WeekDef=8,CustomSaFlag,CustomSaPeriod=4),INDEX(IF(DiffOptVolumeFlag,DiffOptVolumeHourlyOver,VolumeHourlyOver),G7,2),IF(OR(WeekDef=1,WeekDef=2,WeekDef=5,WeekDef=6,AND(WeekDef=8,CustomSaFlag,OR(CustomSaPeriod=1,CustomSaPeriod=2))),IF(VolumeMonthlyOverFlag,INDEX(IF(DiffOptVolumeFlag,DiffOptVolumeMonthlyOver,VolumeMonthlyOver),BJ21),IF(DiffOptVolumeFlag,DiffOptVolume,Volume)),0))</f>
        <v>600</v>
      </c>
      <c r="BM21" s="1647" t="n">
        <f aca="false">IF(AND(WeekDef=8,CustomSaFlag,CustomSaPeriod=4),INDEX(IF(DiffOptVolumeFlag,DiffOptVolumeHourlyOver,VolumeHourlyOver),H7,2),IF(OR(WeekDef=1,WeekDef=2,WeekDef=5,WeekDef=6,AND(WeekDef=8,CustomSaFlag,OR(CustomSaPeriod=1,CustomSaPeriod=2))),IF(VolumeMonthlyOverFlag,INDEX(IF(DiffOptVolumeFlag,DiffOptVolumeMonthlyOver,VolumeMonthlyOver),BJ21),IF(DiffOptVolumeFlag,DiffOptVolume,Volume)),0))</f>
        <v>600</v>
      </c>
      <c r="BN21" s="1647" t="n">
        <f aca="false">IF(AND(WeekDef=8,CustomSaFlag,CustomSaPeriod=4),INDEX(IF(DiffOptVolumeFlag,DiffOptVolumeHourlyOver,VolumeHourlyOver),I7,2),IF(OR(WeekDef=1,WeekDef=2,WeekDef=5,WeekDef=6,AND(WeekDef=8,CustomSaFlag,OR(CustomSaPeriod=1,CustomSaPeriod=2))),IF(VolumeMonthlyOverFlag,INDEX(IF(DiffOptVolumeFlag,DiffOptVolumeMonthlyOver,VolumeMonthlyOver),BJ21),IF(DiffOptVolumeFlag,DiffOptVolume,Volume)),0))</f>
        <v>600</v>
      </c>
      <c r="BO21" s="1647" t="n">
        <f aca="false">IF(AND(WeekDef=8,CustomSaFlag,CustomSaPeriod=4),INDEX(IF(DiffOptVolumeFlag,DiffOptVolumeHourlyOver,VolumeHourlyOver),J7,2),IF(OR(WeekDef=1,WeekDef=2,WeekDef=5,WeekDef=6,AND(WeekDef=8,CustomSaFlag,OR(CustomSaPeriod=1,CustomSaPeriod=2))),IF(VolumeMonthlyOverFlag,INDEX(IF(DiffOptVolumeFlag,DiffOptVolumeMonthlyOver,VolumeMonthlyOver),BJ21),IF(DiffOptVolumeFlag,DiffOptVolume,Volume)),0))</f>
        <v>600</v>
      </c>
      <c r="BP21" s="1647" t="n">
        <f aca="false">IF(AND(WeekDef=8,CustomSaFlag,CustomSaPeriod=4),INDEX(IF(DiffOptVolumeFlag,DiffOptVolumeHourlyOver,VolumeHourlyOver),K7,2),IF(OR(WeekDef=1,WeekDef=2,WeekDef=5,WeekDef=6,AND(WeekDef=8,CustomSaFlag,OR(CustomSaPeriod=1,CustomSaPeriod=2))),IF(VolumeMonthlyOverFlag,INDEX(IF(DiffOptVolumeFlag,DiffOptVolumeMonthlyOver,VolumeMonthlyOver),BJ21),IF(DiffOptVolumeFlag,DiffOptVolume,Volume)),0))</f>
        <v>600</v>
      </c>
      <c r="BQ21" s="1647" t="n">
        <f aca="false">IF(AND(WeekDef=8,CustomSaFlag,CustomSaPeriod=4),INDEX(IF(DiffOptVolumeFlag,DiffOptVolumeHourlyOver,VolumeHourlyOver),L7,2),IF(OR(WeekDef=1,WeekDef=2,WeekDef=5,WeekDef=6,AND(WeekDef=8,CustomSaFlag,OR(CustomSaPeriod=1,CustomSaPeriod=2))),IF(VolumeMonthlyOverFlag,INDEX(IF(DiffOptVolumeFlag,DiffOptVolumeMonthlyOver,VolumeMonthlyOver),BJ21),IF(DiffOptVolumeFlag,DiffOptVolume,Volume)),0))</f>
        <v>600</v>
      </c>
      <c r="BR21" s="1647" t="n">
        <f aca="false">IF(AND(WeekDef=8,CustomSaFlag,CustomSaPeriod=4),INDEX(IF(DiffOptVolumeFlag,DiffOptVolumeHourlyOver,VolumeHourlyOver),M7,2),IF(OR(WeekDef=1,WeekDef=2,WeekDef=5,WeekDef=6,AND(WeekDef=8,CustomSaFlag,OR(CustomSaPeriod=1,CustomSaPeriod=2))),IF(VolumeMonthlyOverFlag,INDEX(IF(DiffOptVolumeFlag,DiffOptVolumeMonthlyOver,VolumeMonthlyOver),BJ21),IF(DiffOptVolumeFlag,DiffOptVolume,Volume)),0))</f>
        <v>600</v>
      </c>
      <c r="BS21" s="1647" t="n">
        <f aca="false">IF(AND(WeekDef=8,CustomSaFlag,CustomSaPeriod=4),INDEX(IF(DiffOptVolumeFlag,DiffOptVolumeHourlyOver,VolumeHourlyOver),N7,2),IF(OR(WeekDef=1,WeekDef=2,WeekDef=5,WeekDef=6,AND(WeekDef=8,CustomSaFlag,OR(CustomSaPeriod=1,CustomSaPeriod=2))),IF(VolumeMonthlyOverFlag,INDEX(IF(DiffOptVolumeFlag,DiffOptVolumeMonthlyOver,VolumeMonthlyOver),BJ21),IF(DiffOptVolumeFlag,DiffOptVolume,Volume)),0))</f>
        <v>600</v>
      </c>
      <c r="BT21" s="1647" t="n">
        <f aca="false">IF(AND(WeekDef=8,CustomSaFlag,CustomSaPeriod=4),INDEX(IF(DiffOptVolumeFlag,DiffOptVolumeHourlyOver,VolumeHourlyOver),O7,2),IF(OR(WeekDef=1,WeekDef=2,WeekDef=5,WeekDef=6,AND(WeekDef=8,CustomSaFlag,OR(CustomSaPeriod=1,CustomSaPeriod=2))),IF(VolumeMonthlyOverFlag,INDEX(IF(DiffOptVolumeFlag,DiffOptVolumeMonthlyOver,VolumeMonthlyOver),BJ21),IF(DiffOptVolumeFlag,DiffOptVolume,Volume)),0))</f>
        <v>600</v>
      </c>
      <c r="BU21" s="1647" t="n">
        <f aca="false">IF(AND(WeekDef=8,CustomSaFlag,CustomSaPeriod=4),INDEX(IF(DiffOptVolumeFlag,DiffOptVolumeHourlyOver,VolumeHourlyOver),P7,2),IF(OR(WeekDef=1,WeekDef=2,WeekDef=5,WeekDef=6,AND(WeekDef=8,CustomSaFlag,OR(CustomSaPeriod=1,CustomSaPeriod=2))),IF(VolumeMonthlyOverFlag,INDEX(IF(DiffOptVolumeFlag,DiffOptVolumeMonthlyOver,VolumeMonthlyOver),BJ21),IF(DiffOptVolumeFlag,DiffOptVolume,Volume)),0))</f>
        <v>600</v>
      </c>
      <c r="BV21" s="1647" t="n">
        <f aca="false">IF(AND(WeekDef=8,CustomSaFlag,CustomSaPeriod=4),INDEX(IF(DiffOptVolumeFlag,DiffOptVolumeHourlyOver,VolumeHourlyOver),Q7,2),IF(OR(WeekDef=1,WeekDef=2,WeekDef=5,WeekDef=6,AND(WeekDef=8,CustomSaFlag,OR(CustomSaPeriod=1,CustomSaPeriod=2))),IF(VolumeMonthlyOverFlag,INDEX(IF(DiffOptVolumeFlag,DiffOptVolumeMonthlyOver,VolumeMonthlyOver),BJ21),IF(DiffOptVolumeFlag,DiffOptVolume,Volume)),0))</f>
        <v>600</v>
      </c>
      <c r="BW21" s="1647" t="n">
        <f aca="false">IF(AND(WeekDef=8,CustomSaFlag,CustomSaPeriod=4),INDEX(IF(DiffOptVolumeFlag,DiffOptVolumeHourlyOver,VolumeHourlyOver),R7,2),IF(OR(WeekDef=1,WeekDef=2,WeekDef=5,WeekDef=6,AND(WeekDef=8,CustomSaFlag,OR(CustomSaPeriod=1,CustomSaPeriod=2))),IF(VolumeMonthlyOverFlag,INDEX(IF(DiffOptVolumeFlag,DiffOptVolumeMonthlyOver,VolumeMonthlyOver),BJ21),IF(DiffOptVolumeFlag,DiffOptVolume,Volume)),0))</f>
        <v>600</v>
      </c>
      <c r="BX21" s="1647" t="n">
        <f aca="false">IF(AND(WeekDef=8,CustomSaFlag,CustomSaPeriod=4),INDEX(IF(DiffOptVolumeFlag,DiffOptVolumeHourlyOver,VolumeHourlyOver),S7,2),IF(OR(WeekDef=1,WeekDef=2,WeekDef=5,WeekDef=6,AND(WeekDef=8,CustomSaFlag,OR(CustomSaPeriod=1,CustomSaPeriod=2))),IF(VolumeMonthlyOverFlag,INDEX(IF(DiffOptVolumeFlag,DiffOptVolumeMonthlyOver,VolumeMonthlyOver),BJ21),IF(DiffOptVolumeFlag,DiffOptVolume,Volume)),0))</f>
        <v>600</v>
      </c>
      <c r="BY21" s="1647" t="n">
        <f aca="false">IF(AND(WeekDef=8,CustomSaFlag,CustomSaPeriod=4),INDEX(IF(DiffOptVolumeFlag,DiffOptVolumeHourlyOver,VolumeHourlyOver),T7,2),IF(OR(WeekDef=1,WeekDef=2,WeekDef=5,WeekDef=6,AND(WeekDef=8,CustomSaFlag,OR(CustomSaPeriod=1,CustomSaPeriod=2))),IF(VolumeMonthlyOverFlag,INDEX(IF(DiffOptVolumeFlag,DiffOptVolumeMonthlyOver,VolumeMonthlyOver),BJ21),IF(DiffOptVolumeFlag,DiffOptVolume,Volume)),0))</f>
        <v>600</v>
      </c>
      <c r="BZ21" s="1648" t="n">
        <f aca="false">IF(AND(WeekDef=8,CustomSaFlag,CustomSaPeriod=4),INDEX(IF(DiffOptVolumeFlag,DiffOptVolumeHourlyOver,VolumeHourlyOver),U7,2),IF(OR(WeekDef=1,WeekDef=2,WeekDef=5,WeekDef=6,AND(WeekDef=8,CustomSaFlag,OR(CustomSaPeriod=1,CustomSaPeriod=2))),IF(VolumeMonthlyOverFlag,INDEX(IF(DiffOptVolumeFlag,DiffOptVolumeMonthlyOver,VolumeMonthlyOver),BJ21),IF(DiffOptVolumeFlag,DiffOptVolume,Volume)),0))</f>
        <v>600</v>
      </c>
      <c r="CA21" s="1647" t="n">
        <f aca="false">IF(AND(WeekDef=8,CustomSaFlag,CustomSaPeriod=4),INDEX(IF(DiffOptVolumeFlag,DiffOptVolumeHourlyOver,VolumeHourlyOver),V7,2),IF(OR(WeekDef=1,WeekDef=3,WeekDef=5,WeekDef=7,AND(WeekDef=8,CustomSaFlag,OR(CustomSaPeriod=1,CustomSaPeriod=3))),IF(VolumeMonthlyOverFlag,INDEX(IF(DiffOptVolumeFlag,DiffOptVolumeMonthlyOver,VolumeMonthlyOver),BJ21),IF(DiffOptVolumeFlag,DiffOptVolume,Volume)),0))</f>
        <v>600</v>
      </c>
      <c r="CB21" s="1647" t="n">
        <f aca="false">IF(AND(WeekDef=8,CustomSaFlag,CustomSaPeriod=4),INDEX(IF(DiffOptVolumeFlag,DiffOptVolumeHourlyOver,VolumeHourlyOver),W7,2),IF(OR(WeekDef=1,WeekDef=3,WeekDef=5,WeekDef=7,AND(WeekDef=8,CustomSaFlag,OR(CustomSaPeriod=1,CustomSaPeriod=3))),IF(VolumeMonthlyOverFlag,INDEX(IF(DiffOptVolumeFlag,DiffOptVolumeMonthlyOver,VolumeMonthlyOver),BJ21),IF(DiffOptVolumeFlag,DiffOptVolume,Volume)),0))</f>
        <v>600</v>
      </c>
      <c r="CC21" s="1647" t="n">
        <f aca="false">IF(AND(WeekDef=8,CustomSaFlag,CustomSaPeriod=4),INDEX(IF(DiffOptVolumeFlag,DiffOptVolumeHourlyOver,VolumeHourlyOver),X7,2),IF(OR(WeekDef=1,WeekDef=3,WeekDef=5,WeekDef=7,AND(WeekDef=8,CustomSaFlag,OR(CustomSaPeriod=1,CustomSaPeriod=3))),IF(VolumeMonthlyOverFlag,INDEX(IF(DiffOptVolumeFlag,DiffOptVolumeMonthlyOver,VolumeMonthlyOver),BJ21),IF(DiffOptVolumeFlag,DiffOptVolume,Volume)),0))</f>
        <v>600</v>
      </c>
      <c r="CD21" s="1647" t="n">
        <f aca="false">IF(AND(WeekDef=8,CustomSaFlag,CustomSaPeriod=4),INDEX(IF(DiffOptVolumeFlag,DiffOptVolumeHourlyOver,VolumeHourlyOver),Y7,2),IF(OR(WeekDef=1,WeekDef=3,WeekDef=5,WeekDef=7,AND(WeekDef=8,CustomSaFlag,OR(CustomSaPeriod=1,CustomSaPeriod=3))),IF(VolumeMonthlyOverFlag,INDEX(IF(DiffOptVolumeFlag,DiffOptVolumeMonthlyOver,VolumeMonthlyOver),BJ21),IF(DiffOptVolumeFlag,DiffOptVolume,Volume)),0))</f>
        <v>600</v>
      </c>
      <c r="CE21" s="1647" t="n">
        <f aca="false">IF(AND(WeekDef=8,CustomSaFlag,CustomSaPeriod=4),INDEX(IF(DiffOptVolumeFlag,DiffOptVolumeHourlyOver,VolumeHourlyOver),Z7,2),IF(OR(WeekDef=1,WeekDef=3,WeekDef=5,WeekDef=7,AND(WeekDef=8,CustomSaFlag,OR(CustomSaPeriod=1,CustomSaPeriod=3))),IF(VolumeMonthlyOverFlag,INDEX(IF(DiffOptVolumeFlag,DiffOptVolumeMonthlyOver,VolumeMonthlyOver),BJ21),IF(DiffOptVolumeFlag,DiffOptVolume,Volume)),0))</f>
        <v>600</v>
      </c>
      <c r="CF21" s="1647" t="n">
        <f aca="false">IF(AND(WeekDef=8,CustomSaFlag,CustomSaPeriod=4),INDEX(IF(DiffOptVolumeFlag,DiffOptVolumeHourlyOver,VolumeHourlyOver),AA7,2),IF(OR(WeekDef=1,WeekDef=3,WeekDef=5,WeekDef=7,AND(WeekDef=8,CustomSaFlag,OR(CustomSaPeriod=1,CustomSaPeriod=3))),IF(VolumeMonthlyOverFlag,INDEX(IF(DiffOptVolumeFlag,DiffOptVolumeMonthlyOver,VolumeMonthlyOver),BJ21),IF(DiffOptVolumeFlag,DiffOptVolume,Volume)),0))</f>
        <v>600</v>
      </c>
      <c r="CG21" s="1647" t="n">
        <f aca="false">IF(AND(WeekDef=8,CustomSaFlag,CustomSaPeriod=4),INDEX(IF(DiffOptVolumeFlag,DiffOptVolumeHourlyOver,VolumeHourlyOver),AB7,2),IF(OR(WeekDef=1,WeekDef=3,WeekDef=5,WeekDef=7,AND(WeekDef=8,CustomSaFlag,OR(CustomSaPeriod=1,CustomSaPeriod=3))),IF(VolumeMonthlyOverFlag,INDEX(IF(DiffOptVolumeFlag,DiffOptVolumeMonthlyOver,VolumeMonthlyOver),BJ21),IF(DiffOptVolumeFlag,DiffOptVolume,Volume)),0))</f>
        <v>600</v>
      </c>
      <c r="CH21" s="1648" t="n">
        <f aca="false">IF(AND(WeekDef=8,CustomSaFlag,CustomSaPeriod=4),INDEX(IF(DiffOptVolumeFlag,DiffOptVolumeHourlyOver,VolumeHourlyOver),AC7,2),IF(OR(WeekDef=1,WeekDef=3,WeekDef=5,WeekDef=7,AND(WeekDef=8,CustomSaFlag,OR(CustomSaPeriod=1,CustomSaPeriod=3))),IF(VolumeMonthlyOverFlag,INDEX(IF(DiffOptVolumeFlag,DiffOptVolumeMonthlyOver,VolumeMonthlyOver),BJ21),IF(DiffOptVolumeFlag,DiffOptVolume,Volume)),0))</f>
        <v>600</v>
      </c>
      <c r="CI21" s="1652" t="n">
        <f aca="false">SUM(BK21:BZ21)</f>
        <v>9600</v>
      </c>
      <c r="CJ21" s="1653" t="n">
        <f aca="false">SUM(CA21:CH21)</f>
        <v>4800</v>
      </c>
      <c r="CK21" s="1654" t="n">
        <f aca="false">CI21+CJ21</f>
        <v>14400</v>
      </c>
      <c r="CL21" s="1674" t="n">
        <f aca="false">IF(CI21,SUMPRODUCT(BK21:BZ21,F23:U23)/CI21,0)</f>
        <v>0.99999999627471</v>
      </c>
      <c r="CM21" s="1655" t="n">
        <f aca="false">IF(CJ21,SUMPRODUCT(CA21:CH21,V23:AC23)/CJ21,0)</f>
        <v>1.00000000745058</v>
      </c>
    </row>
    <row r="22" customFormat="false" ht="12.75" hidden="false" customHeight="false" outlineLevel="0" collapsed="false">
      <c r="C22" s="1658"/>
      <c r="D22" s="1658"/>
      <c r="E22" s="1636" t="n">
        <v>2</v>
      </c>
      <c r="F22" s="1677" t="n">
        <v>1.13662755489349</v>
      </c>
      <c r="G22" s="1678" t="n">
        <v>1.10798275470734</v>
      </c>
      <c r="H22" s="1678" t="n">
        <v>1.06722342967987</v>
      </c>
      <c r="I22" s="1678" t="n">
        <v>1.06071984767914</v>
      </c>
      <c r="J22" s="1678" t="n">
        <v>1.05727219581604</v>
      </c>
      <c r="K22" s="1678" t="n">
        <v>1.02624356746674</v>
      </c>
      <c r="L22" s="1678" t="n">
        <v>1.02343964576721</v>
      </c>
      <c r="M22" s="1678" t="n">
        <v>1.00090312957764</v>
      </c>
      <c r="N22" s="1678" t="n">
        <v>0.98922997713089</v>
      </c>
      <c r="O22" s="1678" t="n">
        <v>0.95958948135376</v>
      </c>
      <c r="P22" s="1678" t="n">
        <v>0.959395945072174</v>
      </c>
      <c r="Q22" s="1678" t="n">
        <v>0.949318706989288</v>
      </c>
      <c r="R22" s="1678" t="n">
        <v>0.918733954429627</v>
      </c>
      <c r="S22" s="1678" t="n">
        <v>0.917874217033386</v>
      </c>
      <c r="T22" s="1678" t="n">
        <v>0.917250454425812</v>
      </c>
      <c r="U22" s="1679" t="n">
        <v>0.9081951379776</v>
      </c>
      <c r="V22" s="1678" t="n">
        <v>1.17193520069122</v>
      </c>
      <c r="W22" s="1678" t="n">
        <v>1.13519763946533</v>
      </c>
      <c r="X22" s="1678" t="n">
        <v>1.01100671291351</v>
      </c>
      <c r="Y22" s="1678" t="n">
        <v>0.981240391731262</v>
      </c>
      <c r="Z22" s="1678" t="n">
        <v>0.947634637355804</v>
      </c>
      <c r="AA22" s="1678" t="n">
        <v>0.931216835975647</v>
      </c>
      <c r="AB22" s="1678" t="n">
        <v>0.918759346008301</v>
      </c>
      <c r="AC22" s="1679" t="n">
        <v>0.903009176254273</v>
      </c>
      <c r="AD22" s="1658"/>
      <c r="AE22" s="1636" t="n">
        <v>4</v>
      </c>
      <c r="AF22" s="1646" t="n">
        <f aca="false">IF(AND(WeekDef=8,CustomSaFlag,CustomSaPeriod=4),INDEX(VolumeHourlyOver,F8,2),IF(OR(WeekDef=1,WeekDef=2,WeekDef=5,WeekDef=6,AND(WeekDef=8,CustomSaFlag,OR(CustomSaPeriod=1,CustomSaPeriod=2))),IF(VolumeMonthlyOverFlag,INDEX(VolumeMonthlyOver,AE22),Volume),0))</f>
        <v>150</v>
      </c>
      <c r="AG22" s="1647" t="n">
        <f aca="false">IF(AND(WeekDef=8,CustomSaFlag,CustomSaPeriod=4),INDEX(VolumeHourlyOver,G8,2),IF(OR(WeekDef=1,WeekDef=2,WeekDef=5,WeekDef=6,AND(WeekDef=8,CustomSaFlag,OR(CustomSaPeriod=1,CustomSaPeriod=2))),IF(VolumeMonthlyOverFlag,INDEX(VolumeMonthlyOver,AE22),Volume),0))</f>
        <v>150</v>
      </c>
      <c r="AH22" s="1647" t="n">
        <f aca="false">IF(AND(WeekDef=8,CustomSaFlag,CustomSaPeriod=4),INDEX(VolumeHourlyOver,H8,2),IF(OR(WeekDef=1,WeekDef=2,WeekDef=5,WeekDef=6,AND(WeekDef=8,CustomSaFlag,OR(CustomSaPeriod=1,CustomSaPeriod=2))),IF(VolumeMonthlyOverFlag,INDEX(VolumeMonthlyOver,AE22),Volume),0))</f>
        <v>150</v>
      </c>
      <c r="AI22" s="1647" t="n">
        <f aca="false">IF(AND(WeekDef=8,CustomSaFlag,CustomSaPeriod=4),INDEX(VolumeHourlyOver,I8,2),IF(OR(WeekDef=1,WeekDef=2,WeekDef=5,WeekDef=6,AND(WeekDef=8,CustomSaFlag,OR(CustomSaPeriod=1,CustomSaPeriod=2))),IF(VolumeMonthlyOverFlag,INDEX(VolumeMonthlyOver,AE22),Volume),0))</f>
        <v>150</v>
      </c>
      <c r="AJ22" s="1647" t="n">
        <f aca="false">IF(AND(WeekDef=8,CustomSaFlag,CustomSaPeriod=4),INDEX(VolumeHourlyOver,J8,2),IF(OR(WeekDef=1,WeekDef=2,WeekDef=5,WeekDef=6,AND(WeekDef=8,CustomSaFlag,OR(CustomSaPeriod=1,CustomSaPeriod=2))),IF(VolumeMonthlyOverFlag,INDEX(VolumeMonthlyOver,AE22),Volume),0))</f>
        <v>150</v>
      </c>
      <c r="AK22" s="1647" t="n">
        <f aca="false">IF(AND(WeekDef=8,CustomSaFlag,CustomSaPeriod=4),INDEX(VolumeHourlyOver,K8,2),IF(OR(WeekDef=1,WeekDef=2,WeekDef=5,WeekDef=6,AND(WeekDef=8,CustomSaFlag,OR(CustomSaPeriod=1,CustomSaPeriod=2))),IF(VolumeMonthlyOverFlag,INDEX(VolumeMonthlyOver,AE22),Volume),0))</f>
        <v>150</v>
      </c>
      <c r="AL22" s="1647" t="n">
        <f aca="false">IF(AND(WeekDef=8,CustomSaFlag,CustomSaPeriod=4),INDEX(VolumeHourlyOver,L8,2),IF(OR(WeekDef=1,WeekDef=2,WeekDef=5,WeekDef=6,AND(WeekDef=8,CustomSaFlag,OR(CustomSaPeriod=1,CustomSaPeriod=2))),IF(VolumeMonthlyOverFlag,INDEX(VolumeMonthlyOver,AE22),Volume),0))</f>
        <v>150</v>
      </c>
      <c r="AM22" s="1647" t="n">
        <f aca="false">IF(AND(WeekDef=8,CustomSaFlag,CustomSaPeriod=4),INDEX(VolumeHourlyOver,M8,2),IF(OR(WeekDef=1,WeekDef=2,WeekDef=5,WeekDef=6,AND(WeekDef=8,CustomSaFlag,OR(CustomSaPeriod=1,CustomSaPeriod=2))),IF(VolumeMonthlyOverFlag,INDEX(VolumeMonthlyOver,AE22),Volume),0))</f>
        <v>150</v>
      </c>
      <c r="AN22" s="1647" t="n">
        <f aca="false">IF(AND(WeekDef=8,CustomSaFlag,CustomSaPeriod=4),INDEX(VolumeHourlyOver,N8,2),IF(OR(WeekDef=1,WeekDef=2,WeekDef=5,WeekDef=6,AND(WeekDef=8,CustomSaFlag,OR(CustomSaPeriod=1,CustomSaPeriod=2))),IF(VolumeMonthlyOverFlag,INDEX(VolumeMonthlyOver,AE22),Volume),0))</f>
        <v>150</v>
      </c>
      <c r="AO22" s="1647" t="n">
        <f aca="false">IF(AND(WeekDef=8,CustomSaFlag,CustomSaPeriod=4),INDEX(VolumeHourlyOver,O8,2),IF(OR(WeekDef=1,WeekDef=2,WeekDef=5,WeekDef=6,AND(WeekDef=8,CustomSaFlag,OR(CustomSaPeriod=1,CustomSaPeriod=2))),IF(VolumeMonthlyOverFlag,INDEX(VolumeMonthlyOver,AE22),Volume),0))</f>
        <v>150</v>
      </c>
      <c r="AP22" s="1647" t="n">
        <f aca="false">IF(AND(WeekDef=8,CustomSaFlag,CustomSaPeriod=4),INDEX(VolumeHourlyOver,P8,2),IF(OR(WeekDef=1,WeekDef=2,WeekDef=5,WeekDef=6,AND(WeekDef=8,CustomSaFlag,OR(CustomSaPeriod=1,CustomSaPeriod=2))),IF(VolumeMonthlyOverFlag,INDEX(VolumeMonthlyOver,AE22),Volume),0))</f>
        <v>150</v>
      </c>
      <c r="AQ22" s="1647" t="n">
        <f aca="false">IF(AND(WeekDef=8,CustomSaFlag,CustomSaPeriod=4),INDEX(VolumeHourlyOver,Q8,2),IF(OR(WeekDef=1,WeekDef=2,WeekDef=5,WeekDef=6,AND(WeekDef=8,CustomSaFlag,OR(CustomSaPeriod=1,CustomSaPeriod=2))),IF(VolumeMonthlyOverFlag,INDEX(VolumeMonthlyOver,AE22),Volume),0))</f>
        <v>150</v>
      </c>
      <c r="AR22" s="1647" t="n">
        <f aca="false">IF(AND(WeekDef=8,CustomSaFlag,CustomSaPeriod=4),INDEX(VolumeHourlyOver,R8,2),IF(OR(WeekDef=1,WeekDef=2,WeekDef=5,WeekDef=6,AND(WeekDef=8,CustomSaFlag,OR(CustomSaPeriod=1,CustomSaPeriod=2))),IF(VolumeMonthlyOverFlag,INDEX(VolumeMonthlyOver,AE22),Volume),0))</f>
        <v>150</v>
      </c>
      <c r="AS22" s="1647" t="n">
        <f aca="false">IF(AND(WeekDef=8,CustomSaFlag,CustomSaPeriod=4),INDEX(VolumeHourlyOver,S8,2),IF(OR(WeekDef=1,WeekDef=2,WeekDef=5,WeekDef=6,AND(WeekDef=8,CustomSaFlag,OR(CustomSaPeriod=1,CustomSaPeriod=2))),IF(VolumeMonthlyOverFlag,INDEX(VolumeMonthlyOver,AE22),Volume),0))</f>
        <v>150</v>
      </c>
      <c r="AT22" s="1647" t="n">
        <f aca="false">IF(AND(WeekDef=8,CustomSaFlag,CustomSaPeriod=4),INDEX(VolumeHourlyOver,T8,2),IF(OR(WeekDef=1,WeekDef=2,WeekDef=5,WeekDef=6,AND(WeekDef=8,CustomSaFlag,OR(CustomSaPeriod=1,CustomSaPeriod=2))),IF(VolumeMonthlyOverFlag,INDEX(VolumeMonthlyOver,AE22),Volume),0))</f>
        <v>150</v>
      </c>
      <c r="AU22" s="1648" t="n">
        <f aca="false">IF(AND(WeekDef=8,CustomSaFlag,CustomSaPeriod=4),INDEX(VolumeHourlyOver,U8,2),IF(OR(WeekDef=1,WeekDef=2,WeekDef=5,WeekDef=6,AND(WeekDef=8,CustomSaFlag,OR(CustomSaPeriod=1,CustomSaPeriod=2))),IF(VolumeMonthlyOverFlag,INDEX(VolumeMonthlyOver,AE22),Volume),0))</f>
        <v>150</v>
      </c>
      <c r="AV22" s="1647" t="n">
        <f aca="false">IF(AND(WeekDef=8,CustomSaFlag,CustomSaPeriod=4),INDEX(VolumeHourlyOver,V8,2),IF(OR(WeekDef=1,WeekDef=3,WeekDef=5,WeekDef=7,AND(WeekDef=8,CustomSaFlag,OR(CustomSaPeriod=1,CustomSaPeriod=3))),IF(VolumeMonthlyOverFlag,INDEX(VolumeMonthlyOver,AE22),Volume),0))</f>
        <v>150</v>
      </c>
      <c r="AW22" s="1647" t="n">
        <f aca="false">IF(AND(WeekDef=8,CustomSaFlag,CustomSaPeriod=4),INDEX(VolumeHourlyOver,W8,2),IF(OR(WeekDef=1,WeekDef=3,WeekDef=5,WeekDef=7,AND(WeekDef=8,CustomSaFlag,OR(CustomSaPeriod=1,CustomSaPeriod=3))),IF(VolumeMonthlyOverFlag,INDEX(VolumeMonthlyOver,AE22),Volume),0))</f>
        <v>150</v>
      </c>
      <c r="AX22" s="1647" t="n">
        <f aca="false">IF(AND(WeekDef=8,CustomSaFlag,CustomSaPeriod=4),INDEX(VolumeHourlyOver,X8,2),IF(OR(WeekDef=1,WeekDef=3,WeekDef=5,WeekDef=7,AND(WeekDef=8,CustomSaFlag,OR(CustomSaPeriod=1,CustomSaPeriod=3))),IF(VolumeMonthlyOverFlag,INDEX(VolumeMonthlyOver,AE22),Volume),0))</f>
        <v>150</v>
      </c>
      <c r="AY22" s="1647" t="n">
        <f aca="false">IF(AND(WeekDef=8,CustomSaFlag,CustomSaPeriod=4),INDEX(VolumeHourlyOver,Y8,2),IF(OR(WeekDef=1,WeekDef=3,WeekDef=5,WeekDef=7,AND(WeekDef=8,CustomSaFlag,OR(CustomSaPeriod=1,CustomSaPeriod=3))),IF(VolumeMonthlyOverFlag,INDEX(VolumeMonthlyOver,AE22),Volume),0))</f>
        <v>150</v>
      </c>
      <c r="AZ22" s="1647" t="n">
        <f aca="false">IF(AND(WeekDef=8,CustomSaFlag,CustomSaPeriod=4),INDEX(VolumeHourlyOver,Z8,2),IF(OR(WeekDef=1,WeekDef=3,WeekDef=5,WeekDef=7,AND(WeekDef=8,CustomSaFlag,OR(CustomSaPeriod=1,CustomSaPeriod=3))),IF(VolumeMonthlyOverFlag,INDEX(VolumeMonthlyOver,AE22),Volume),0))</f>
        <v>150</v>
      </c>
      <c r="BA22" s="1647" t="n">
        <f aca="false">IF(AND(WeekDef=8,CustomSaFlag,CustomSaPeriod=4),INDEX(VolumeHourlyOver,AA8,2),IF(OR(WeekDef=1,WeekDef=3,WeekDef=5,WeekDef=7,AND(WeekDef=8,CustomSaFlag,OR(CustomSaPeriod=1,CustomSaPeriod=3))),IF(VolumeMonthlyOverFlag,INDEX(VolumeMonthlyOver,AE22),Volume),0))</f>
        <v>150</v>
      </c>
      <c r="BB22" s="1647" t="n">
        <f aca="false">IF(AND(WeekDef=8,CustomSaFlag,CustomSaPeriod=4),INDEX(VolumeHourlyOver,AB8,2),IF(OR(WeekDef=1,WeekDef=3,WeekDef=5,WeekDef=7,AND(WeekDef=8,CustomSaFlag,OR(CustomSaPeriod=1,CustomSaPeriod=3))),IF(VolumeMonthlyOverFlag,INDEX(VolumeMonthlyOver,AE22),Volume),0))</f>
        <v>150</v>
      </c>
      <c r="BC22" s="1648" t="n">
        <f aca="false">IF(AND(WeekDef=8,CustomSaFlag,CustomSaPeriod=4),INDEX(VolumeHourlyOver,AC8,2),IF(OR(WeekDef=1,WeekDef=3,WeekDef=5,WeekDef=7,AND(WeekDef=8,CustomSaFlag,OR(CustomSaPeriod=1,CustomSaPeriod=3))),IF(VolumeMonthlyOverFlag,INDEX(VolumeMonthlyOver,AE22),Volume),0))</f>
        <v>150</v>
      </c>
      <c r="BD22" s="1652" t="n">
        <f aca="false">SUM(AF22:AU22)</f>
        <v>2400</v>
      </c>
      <c r="BE22" s="1653" t="n">
        <f aca="false">SUM(AV22:BC22)</f>
        <v>1200</v>
      </c>
      <c r="BF22" s="1654" t="n">
        <f aca="false">BD22+BE22</f>
        <v>3600</v>
      </c>
      <c r="BG22" s="1674" t="n">
        <f aca="false">IF(BD22,SUMPRODUCT(AF22:AU22,F24:U24)/BD22,0)</f>
        <v>1</v>
      </c>
      <c r="BH22" s="1655" t="n">
        <f aca="false">IF(BE22,SUMPRODUCT(AV22:BC22,V24:AC24)/BE22,0)</f>
        <v>1.00000000745058</v>
      </c>
      <c r="BJ22" s="1636" t="n">
        <v>4</v>
      </c>
      <c r="BK22" s="1646" t="n">
        <f aca="false">IF(AND(WeekDef=8,CustomSaFlag,CustomSaPeriod=4),INDEX(IF(DiffOptVolumeFlag,DiffOptVolumeHourlyOver,VolumeHourlyOver),F8,2),IF(OR(WeekDef=1,WeekDef=2,WeekDef=5,WeekDef=6,AND(WeekDef=8,CustomSaFlag,OR(CustomSaPeriod=1,CustomSaPeriod=2))),IF(VolumeMonthlyOverFlag,INDEX(IF(DiffOptVolumeFlag,DiffOptVolumeMonthlyOver,VolumeMonthlyOver),BJ22),IF(DiffOptVolumeFlag,DiffOptVolume,Volume)),0))</f>
        <v>600</v>
      </c>
      <c r="BL22" s="1647" t="n">
        <f aca="false">IF(AND(WeekDef=8,CustomSaFlag,CustomSaPeriod=4),INDEX(IF(DiffOptVolumeFlag,DiffOptVolumeHourlyOver,VolumeHourlyOver),G8,2),IF(OR(WeekDef=1,WeekDef=2,WeekDef=5,WeekDef=6,AND(WeekDef=8,CustomSaFlag,OR(CustomSaPeriod=1,CustomSaPeriod=2))),IF(VolumeMonthlyOverFlag,INDEX(IF(DiffOptVolumeFlag,DiffOptVolumeMonthlyOver,VolumeMonthlyOver),BJ22),IF(DiffOptVolumeFlag,DiffOptVolume,Volume)),0))</f>
        <v>600</v>
      </c>
      <c r="BM22" s="1647" t="n">
        <f aca="false">IF(AND(WeekDef=8,CustomSaFlag,CustomSaPeriod=4),INDEX(IF(DiffOptVolumeFlag,DiffOptVolumeHourlyOver,VolumeHourlyOver),H8,2),IF(OR(WeekDef=1,WeekDef=2,WeekDef=5,WeekDef=6,AND(WeekDef=8,CustomSaFlag,OR(CustomSaPeriod=1,CustomSaPeriod=2))),IF(VolumeMonthlyOverFlag,INDEX(IF(DiffOptVolumeFlag,DiffOptVolumeMonthlyOver,VolumeMonthlyOver),BJ22),IF(DiffOptVolumeFlag,DiffOptVolume,Volume)),0))</f>
        <v>600</v>
      </c>
      <c r="BN22" s="1647" t="n">
        <f aca="false">IF(AND(WeekDef=8,CustomSaFlag,CustomSaPeriod=4),INDEX(IF(DiffOptVolumeFlag,DiffOptVolumeHourlyOver,VolumeHourlyOver),I8,2),IF(OR(WeekDef=1,WeekDef=2,WeekDef=5,WeekDef=6,AND(WeekDef=8,CustomSaFlag,OR(CustomSaPeriod=1,CustomSaPeriod=2))),IF(VolumeMonthlyOverFlag,INDEX(IF(DiffOptVolumeFlag,DiffOptVolumeMonthlyOver,VolumeMonthlyOver),BJ22),IF(DiffOptVolumeFlag,DiffOptVolume,Volume)),0))</f>
        <v>600</v>
      </c>
      <c r="BO22" s="1647" t="n">
        <f aca="false">IF(AND(WeekDef=8,CustomSaFlag,CustomSaPeriod=4),INDEX(IF(DiffOptVolumeFlag,DiffOptVolumeHourlyOver,VolumeHourlyOver),J8,2),IF(OR(WeekDef=1,WeekDef=2,WeekDef=5,WeekDef=6,AND(WeekDef=8,CustomSaFlag,OR(CustomSaPeriod=1,CustomSaPeriod=2))),IF(VolumeMonthlyOverFlag,INDEX(IF(DiffOptVolumeFlag,DiffOptVolumeMonthlyOver,VolumeMonthlyOver),BJ22),IF(DiffOptVolumeFlag,DiffOptVolume,Volume)),0))</f>
        <v>600</v>
      </c>
      <c r="BP22" s="1647" t="n">
        <f aca="false">IF(AND(WeekDef=8,CustomSaFlag,CustomSaPeriod=4),INDEX(IF(DiffOptVolumeFlag,DiffOptVolumeHourlyOver,VolumeHourlyOver),K8,2),IF(OR(WeekDef=1,WeekDef=2,WeekDef=5,WeekDef=6,AND(WeekDef=8,CustomSaFlag,OR(CustomSaPeriod=1,CustomSaPeriod=2))),IF(VolumeMonthlyOverFlag,INDEX(IF(DiffOptVolumeFlag,DiffOptVolumeMonthlyOver,VolumeMonthlyOver),BJ22),IF(DiffOptVolumeFlag,DiffOptVolume,Volume)),0))</f>
        <v>600</v>
      </c>
      <c r="BQ22" s="1647" t="n">
        <f aca="false">IF(AND(WeekDef=8,CustomSaFlag,CustomSaPeriod=4),INDEX(IF(DiffOptVolumeFlag,DiffOptVolumeHourlyOver,VolumeHourlyOver),L8,2),IF(OR(WeekDef=1,WeekDef=2,WeekDef=5,WeekDef=6,AND(WeekDef=8,CustomSaFlag,OR(CustomSaPeriod=1,CustomSaPeriod=2))),IF(VolumeMonthlyOverFlag,INDEX(IF(DiffOptVolumeFlag,DiffOptVolumeMonthlyOver,VolumeMonthlyOver),BJ22),IF(DiffOptVolumeFlag,DiffOptVolume,Volume)),0))</f>
        <v>600</v>
      </c>
      <c r="BR22" s="1647" t="n">
        <f aca="false">IF(AND(WeekDef=8,CustomSaFlag,CustomSaPeriod=4),INDEX(IF(DiffOptVolumeFlag,DiffOptVolumeHourlyOver,VolumeHourlyOver),M8,2),IF(OR(WeekDef=1,WeekDef=2,WeekDef=5,WeekDef=6,AND(WeekDef=8,CustomSaFlag,OR(CustomSaPeriod=1,CustomSaPeriod=2))),IF(VolumeMonthlyOverFlag,INDEX(IF(DiffOptVolumeFlag,DiffOptVolumeMonthlyOver,VolumeMonthlyOver),BJ22),IF(DiffOptVolumeFlag,DiffOptVolume,Volume)),0))</f>
        <v>600</v>
      </c>
      <c r="BS22" s="1647" t="n">
        <f aca="false">IF(AND(WeekDef=8,CustomSaFlag,CustomSaPeriod=4),INDEX(IF(DiffOptVolumeFlag,DiffOptVolumeHourlyOver,VolumeHourlyOver),N8,2),IF(OR(WeekDef=1,WeekDef=2,WeekDef=5,WeekDef=6,AND(WeekDef=8,CustomSaFlag,OR(CustomSaPeriod=1,CustomSaPeriod=2))),IF(VolumeMonthlyOverFlag,INDEX(IF(DiffOptVolumeFlag,DiffOptVolumeMonthlyOver,VolumeMonthlyOver),BJ22),IF(DiffOptVolumeFlag,DiffOptVolume,Volume)),0))</f>
        <v>600</v>
      </c>
      <c r="BT22" s="1647" t="n">
        <f aca="false">IF(AND(WeekDef=8,CustomSaFlag,CustomSaPeriod=4),INDEX(IF(DiffOptVolumeFlag,DiffOptVolumeHourlyOver,VolumeHourlyOver),O8,2),IF(OR(WeekDef=1,WeekDef=2,WeekDef=5,WeekDef=6,AND(WeekDef=8,CustomSaFlag,OR(CustomSaPeriod=1,CustomSaPeriod=2))),IF(VolumeMonthlyOverFlag,INDEX(IF(DiffOptVolumeFlag,DiffOptVolumeMonthlyOver,VolumeMonthlyOver),BJ22),IF(DiffOptVolumeFlag,DiffOptVolume,Volume)),0))</f>
        <v>600</v>
      </c>
      <c r="BU22" s="1647" t="n">
        <f aca="false">IF(AND(WeekDef=8,CustomSaFlag,CustomSaPeriod=4),INDEX(IF(DiffOptVolumeFlag,DiffOptVolumeHourlyOver,VolumeHourlyOver),P8,2),IF(OR(WeekDef=1,WeekDef=2,WeekDef=5,WeekDef=6,AND(WeekDef=8,CustomSaFlag,OR(CustomSaPeriod=1,CustomSaPeriod=2))),IF(VolumeMonthlyOverFlag,INDEX(IF(DiffOptVolumeFlag,DiffOptVolumeMonthlyOver,VolumeMonthlyOver),BJ22),IF(DiffOptVolumeFlag,DiffOptVolume,Volume)),0))</f>
        <v>600</v>
      </c>
      <c r="BV22" s="1647" t="n">
        <f aca="false">IF(AND(WeekDef=8,CustomSaFlag,CustomSaPeriod=4),INDEX(IF(DiffOptVolumeFlag,DiffOptVolumeHourlyOver,VolumeHourlyOver),Q8,2),IF(OR(WeekDef=1,WeekDef=2,WeekDef=5,WeekDef=6,AND(WeekDef=8,CustomSaFlag,OR(CustomSaPeriod=1,CustomSaPeriod=2))),IF(VolumeMonthlyOverFlag,INDEX(IF(DiffOptVolumeFlag,DiffOptVolumeMonthlyOver,VolumeMonthlyOver),BJ22),IF(DiffOptVolumeFlag,DiffOptVolume,Volume)),0))</f>
        <v>600</v>
      </c>
      <c r="BW22" s="1647" t="n">
        <f aca="false">IF(AND(WeekDef=8,CustomSaFlag,CustomSaPeriod=4),INDEX(IF(DiffOptVolumeFlag,DiffOptVolumeHourlyOver,VolumeHourlyOver),R8,2),IF(OR(WeekDef=1,WeekDef=2,WeekDef=5,WeekDef=6,AND(WeekDef=8,CustomSaFlag,OR(CustomSaPeriod=1,CustomSaPeriod=2))),IF(VolumeMonthlyOverFlag,INDEX(IF(DiffOptVolumeFlag,DiffOptVolumeMonthlyOver,VolumeMonthlyOver),BJ22),IF(DiffOptVolumeFlag,DiffOptVolume,Volume)),0))</f>
        <v>600</v>
      </c>
      <c r="BX22" s="1647" t="n">
        <f aca="false">IF(AND(WeekDef=8,CustomSaFlag,CustomSaPeriod=4),INDEX(IF(DiffOptVolumeFlag,DiffOptVolumeHourlyOver,VolumeHourlyOver),S8,2),IF(OR(WeekDef=1,WeekDef=2,WeekDef=5,WeekDef=6,AND(WeekDef=8,CustomSaFlag,OR(CustomSaPeriod=1,CustomSaPeriod=2))),IF(VolumeMonthlyOverFlag,INDEX(IF(DiffOptVolumeFlag,DiffOptVolumeMonthlyOver,VolumeMonthlyOver),BJ22),IF(DiffOptVolumeFlag,DiffOptVolume,Volume)),0))</f>
        <v>600</v>
      </c>
      <c r="BY22" s="1647" t="n">
        <f aca="false">IF(AND(WeekDef=8,CustomSaFlag,CustomSaPeriod=4),INDEX(IF(DiffOptVolumeFlag,DiffOptVolumeHourlyOver,VolumeHourlyOver),T8,2),IF(OR(WeekDef=1,WeekDef=2,WeekDef=5,WeekDef=6,AND(WeekDef=8,CustomSaFlag,OR(CustomSaPeriod=1,CustomSaPeriod=2))),IF(VolumeMonthlyOverFlag,INDEX(IF(DiffOptVolumeFlag,DiffOptVolumeMonthlyOver,VolumeMonthlyOver),BJ22),IF(DiffOptVolumeFlag,DiffOptVolume,Volume)),0))</f>
        <v>600</v>
      </c>
      <c r="BZ22" s="1648" t="n">
        <f aca="false">IF(AND(WeekDef=8,CustomSaFlag,CustomSaPeriod=4),INDEX(IF(DiffOptVolumeFlag,DiffOptVolumeHourlyOver,VolumeHourlyOver),U8,2),IF(OR(WeekDef=1,WeekDef=2,WeekDef=5,WeekDef=6,AND(WeekDef=8,CustomSaFlag,OR(CustomSaPeriod=1,CustomSaPeriod=2))),IF(VolumeMonthlyOverFlag,INDEX(IF(DiffOptVolumeFlag,DiffOptVolumeMonthlyOver,VolumeMonthlyOver),BJ22),IF(DiffOptVolumeFlag,DiffOptVolume,Volume)),0))</f>
        <v>600</v>
      </c>
      <c r="CA22" s="1647" t="n">
        <f aca="false">IF(AND(WeekDef=8,CustomSaFlag,CustomSaPeriod=4),INDEX(IF(DiffOptVolumeFlag,DiffOptVolumeHourlyOver,VolumeHourlyOver),V8,2),IF(OR(WeekDef=1,WeekDef=3,WeekDef=5,WeekDef=7,AND(WeekDef=8,CustomSaFlag,OR(CustomSaPeriod=1,CustomSaPeriod=3))),IF(VolumeMonthlyOverFlag,INDEX(IF(DiffOptVolumeFlag,DiffOptVolumeMonthlyOver,VolumeMonthlyOver),BJ22),IF(DiffOptVolumeFlag,DiffOptVolume,Volume)),0))</f>
        <v>600</v>
      </c>
      <c r="CB22" s="1647" t="n">
        <f aca="false">IF(AND(WeekDef=8,CustomSaFlag,CustomSaPeriod=4),INDEX(IF(DiffOptVolumeFlag,DiffOptVolumeHourlyOver,VolumeHourlyOver),W8,2),IF(OR(WeekDef=1,WeekDef=3,WeekDef=5,WeekDef=7,AND(WeekDef=8,CustomSaFlag,OR(CustomSaPeriod=1,CustomSaPeriod=3))),IF(VolumeMonthlyOverFlag,INDEX(IF(DiffOptVolumeFlag,DiffOptVolumeMonthlyOver,VolumeMonthlyOver),BJ22),IF(DiffOptVolumeFlag,DiffOptVolume,Volume)),0))</f>
        <v>600</v>
      </c>
      <c r="CC22" s="1647" t="n">
        <f aca="false">IF(AND(WeekDef=8,CustomSaFlag,CustomSaPeriod=4),INDEX(IF(DiffOptVolumeFlag,DiffOptVolumeHourlyOver,VolumeHourlyOver),X8,2),IF(OR(WeekDef=1,WeekDef=3,WeekDef=5,WeekDef=7,AND(WeekDef=8,CustomSaFlag,OR(CustomSaPeriod=1,CustomSaPeriod=3))),IF(VolumeMonthlyOverFlag,INDEX(IF(DiffOptVolumeFlag,DiffOptVolumeMonthlyOver,VolumeMonthlyOver),BJ22),IF(DiffOptVolumeFlag,DiffOptVolume,Volume)),0))</f>
        <v>600</v>
      </c>
      <c r="CD22" s="1647" t="n">
        <f aca="false">IF(AND(WeekDef=8,CustomSaFlag,CustomSaPeriod=4),INDEX(IF(DiffOptVolumeFlag,DiffOptVolumeHourlyOver,VolumeHourlyOver),Y8,2),IF(OR(WeekDef=1,WeekDef=3,WeekDef=5,WeekDef=7,AND(WeekDef=8,CustomSaFlag,OR(CustomSaPeriod=1,CustomSaPeriod=3))),IF(VolumeMonthlyOverFlag,INDEX(IF(DiffOptVolumeFlag,DiffOptVolumeMonthlyOver,VolumeMonthlyOver),BJ22),IF(DiffOptVolumeFlag,DiffOptVolume,Volume)),0))</f>
        <v>600</v>
      </c>
      <c r="CE22" s="1647" t="n">
        <f aca="false">IF(AND(WeekDef=8,CustomSaFlag,CustomSaPeriod=4),INDEX(IF(DiffOptVolumeFlag,DiffOptVolumeHourlyOver,VolumeHourlyOver),Z8,2),IF(OR(WeekDef=1,WeekDef=3,WeekDef=5,WeekDef=7,AND(WeekDef=8,CustomSaFlag,OR(CustomSaPeriod=1,CustomSaPeriod=3))),IF(VolumeMonthlyOverFlag,INDEX(IF(DiffOptVolumeFlag,DiffOptVolumeMonthlyOver,VolumeMonthlyOver),BJ22),IF(DiffOptVolumeFlag,DiffOptVolume,Volume)),0))</f>
        <v>600</v>
      </c>
      <c r="CF22" s="1647" t="n">
        <f aca="false">IF(AND(WeekDef=8,CustomSaFlag,CustomSaPeriod=4),INDEX(IF(DiffOptVolumeFlag,DiffOptVolumeHourlyOver,VolumeHourlyOver),AA8,2),IF(OR(WeekDef=1,WeekDef=3,WeekDef=5,WeekDef=7,AND(WeekDef=8,CustomSaFlag,OR(CustomSaPeriod=1,CustomSaPeriod=3))),IF(VolumeMonthlyOverFlag,INDEX(IF(DiffOptVolumeFlag,DiffOptVolumeMonthlyOver,VolumeMonthlyOver),BJ22),IF(DiffOptVolumeFlag,DiffOptVolume,Volume)),0))</f>
        <v>600</v>
      </c>
      <c r="CG22" s="1647" t="n">
        <f aca="false">IF(AND(WeekDef=8,CustomSaFlag,CustomSaPeriod=4),INDEX(IF(DiffOptVolumeFlag,DiffOptVolumeHourlyOver,VolumeHourlyOver),AB8,2),IF(OR(WeekDef=1,WeekDef=3,WeekDef=5,WeekDef=7,AND(WeekDef=8,CustomSaFlag,OR(CustomSaPeriod=1,CustomSaPeriod=3))),IF(VolumeMonthlyOverFlag,INDEX(IF(DiffOptVolumeFlag,DiffOptVolumeMonthlyOver,VolumeMonthlyOver),BJ22),IF(DiffOptVolumeFlag,DiffOptVolume,Volume)),0))</f>
        <v>600</v>
      </c>
      <c r="CH22" s="1648" t="n">
        <f aca="false">IF(AND(WeekDef=8,CustomSaFlag,CustomSaPeriod=4),INDEX(IF(DiffOptVolumeFlag,DiffOptVolumeHourlyOver,VolumeHourlyOver),AC8,2),IF(OR(WeekDef=1,WeekDef=3,WeekDef=5,WeekDef=7,AND(WeekDef=8,CustomSaFlag,OR(CustomSaPeriod=1,CustomSaPeriod=3))),IF(VolumeMonthlyOverFlag,INDEX(IF(DiffOptVolumeFlag,DiffOptVolumeMonthlyOver,VolumeMonthlyOver),BJ22),IF(DiffOptVolumeFlag,DiffOptVolume,Volume)),0))</f>
        <v>600</v>
      </c>
      <c r="CI22" s="1652" t="n">
        <f aca="false">SUM(BK22:BZ22)</f>
        <v>9600</v>
      </c>
      <c r="CJ22" s="1653" t="n">
        <f aca="false">SUM(CA22:CH22)</f>
        <v>4800</v>
      </c>
      <c r="CK22" s="1654" t="n">
        <f aca="false">CI22+CJ22</f>
        <v>14400</v>
      </c>
      <c r="CL22" s="1674" t="n">
        <f aca="false">IF(CI22,SUMPRODUCT(BK22:BZ22,F24:U24)/CI22,0)</f>
        <v>1</v>
      </c>
      <c r="CM22" s="1655" t="n">
        <f aca="false">IF(CJ22,SUMPRODUCT(CA22:CH22,V24:AC24)/CJ22,0)</f>
        <v>1.00000000745058</v>
      </c>
    </row>
    <row r="23" customFormat="false" ht="12.75" hidden="false" customHeight="false" outlineLevel="0" collapsed="false">
      <c r="C23" s="1658"/>
      <c r="D23" s="1658"/>
      <c r="E23" s="1636" t="n">
        <v>3</v>
      </c>
      <c r="F23" s="1677" t="n">
        <v>1.12920665740967</v>
      </c>
      <c r="G23" s="1678" t="n">
        <v>1.07710635662079</v>
      </c>
      <c r="H23" s="1678" t="n">
        <v>1.04738187789917</v>
      </c>
      <c r="I23" s="1678" t="n">
        <v>1.04658174514771</v>
      </c>
      <c r="J23" s="1678" t="n">
        <v>1.03159558773041</v>
      </c>
      <c r="K23" s="1678" t="n">
        <v>1.0300567150116</v>
      </c>
      <c r="L23" s="1678" t="n">
        <v>1.01658046245575</v>
      </c>
      <c r="M23" s="1678" t="n">
        <v>1.00087344646454</v>
      </c>
      <c r="N23" s="1678" t="n">
        <v>1.00007486343384</v>
      </c>
      <c r="O23" s="1678" t="n">
        <v>0.993564128875732</v>
      </c>
      <c r="P23" s="1678" t="n">
        <v>0.981465637683868</v>
      </c>
      <c r="Q23" s="1678" t="n">
        <v>0.950777590274811</v>
      </c>
      <c r="R23" s="1678" t="n">
        <v>0.947693288326263</v>
      </c>
      <c r="S23" s="1678" t="n">
        <v>0.937354862689972</v>
      </c>
      <c r="T23" s="1678" t="n">
        <v>0.921267330646515</v>
      </c>
      <c r="U23" s="1679" t="n">
        <v>0.888419389724731</v>
      </c>
      <c r="V23" s="1678" t="n">
        <v>1.17821395397186</v>
      </c>
      <c r="W23" s="1678" t="n">
        <v>1.08695697784424</v>
      </c>
      <c r="X23" s="1678" t="n">
        <v>1.01805067062378</v>
      </c>
      <c r="Y23" s="1678" t="n">
        <v>0.994992554187775</v>
      </c>
      <c r="Z23" s="1678" t="n">
        <v>0.951507389545441</v>
      </c>
      <c r="AA23" s="1678" t="n">
        <v>0.926392138004303</v>
      </c>
      <c r="AB23" s="1678" t="n">
        <v>0.92433512210846</v>
      </c>
      <c r="AC23" s="1679" t="n">
        <v>0.919551253318787</v>
      </c>
      <c r="AD23" s="1658"/>
      <c r="AE23" s="1636" t="n">
        <v>5</v>
      </c>
      <c r="AF23" s="1646" t="n">
        <f aca="false">IF(AND(WeekDef=8,CustomSaFlag,CustomSaPeriod=4),INDEX(VolumeHourlyOver,F9,2),IF(OR(WeekDef=1,WeekDef=2,WeekDef=5,WeekDef=6,AND(WeekDef=8,CustomSaFlag,OR(CustomSaPeriod=1,CustomSaPeriod=2))),IF(VolumeMonthlyOverFlag,INDEX(VolumeMonthlyOver,AE23),Volume),0))</f>
        <v>150</v>
      </c>
      <c r="AG23" s="1647" t="n">
        <f aca="false">IF(AND(WeekDef=8,CustomSaFlag,CustomSaPeriod=4),INDEX(VolumeHourlyOver,G9,2),IF(OR(WeekDef=1,WeekDef=2,WeekDef=5,WeekDef=6,AND(WeekDef=8,CustomSaFlag,OR(CustomSaPeriod=1,CustomSaPeriod=2))),IF(VolumeMonthlyOverFlag,INDEX(VolumeMonthlyOver,AE23),Volume),0))</f>
        <v>150</v>
      </c>
      <c r="AH23" s="1647" t="n">
        <f aca="false">IF(AND(WeekDef=8,CustomSaFlag,CustomSaPeriod=4),INDEX(VolumeHourlyOver,H9,2),IF(OR(WeekDef=1,WeekDef=2,WeekDef=5,WeekDef=6,AND(WeekDef=8,CustomSaFlag,OR(CustomSaPeriod=1,CustomSaPeriod=2))),IF(VolumeMonthlyOverFlag,INDEX(VolumeMonthlyOver,AE23),Volume),0))</f>
        <v>150</v>
      </c>
      <c r="AI23" s="1647" t="n">
        <f aca="false">IF(AND(WeekDef=8,CustomSaFlag,CustomSaPeriod=4),INDEX(VolumeHourlyOver,I9,2),IF(OR(WeekDef=1,WeekDef=2,WeekDef=5,WeekDef=6,AND(WeekDef=8,CustomSaFlag,OR(CustomSaPeriod=1,CustomSaPeriod=2))),IF(VolumeMonthlyOverFlag,INDEX(VolumeMonthlyOver,AE23),Volume),0))</f>
        <v>150</v>
      </c>
      <c r="AJ23" s="1647" t="n">
        <f aca="false">IF(AND(WeekDef=8,CustomSaFlag,CustomSaPeriod=4),INDEX(VolumeHourlyOver,J9,2),IF(OR(WeekDef=1,WeekDef=2,WeekDef=5,WeekDef=6,AND(WeekDef=8,CustomSaFlag,OR(CustomSaPeriod=1,CustomSaPeriod=2))),IF(VolumeMonthlyOverFlag,INDEX(VolumeMonthlyOver,AE23),Volume),0))</f>
        <v>150</v>
      </c>
      <c r="AK23" s="1647" t="n">
        <f aca="false">IF(AND(WeekDef=8,CustomSaFlag,CustomSaPeriod=4),INDEX(VolumeHourlyOver,K9,2),IF(OR(WeekDef=1,WeekDef=2,WeekDef=5,WeekDef=6,AND(WeekDef=8,CustomSaFlag,OR(CustomSaPeriod=1,CustomSaPeriod=2))),IF(VolumeMonthlyOverFlag,INDEX(VolumeMonthlyOver,AE23),Volume),0))</f>
        <v>150</v>
      </c>
      <c r="AL23" s="1647" t="n">
        <f aca="false">IF(AND(WeekDef=8,CustomSaFlag,CustomSaPeriod=4),INDEX(VolumeHourlyOver,L9,2),IF(OR(WeekDef=1,WeekDef=2,WeekDef=5,WeekDef=6,AND(WeekDef=8,CustomSaFlag,OR(CustomSaPeriod=1,CustomSaPeriod=2))),IF(VolumeMonthlyOverFlag,INDEX(VolumeMonthlyOver,AE23),Volume),0))</f>
        <v>150</v>
      </c>
      <c r="AM23" s="1647" t="n">
        <f aca="false">IF(AND(WeekDef=8,CustomSaFlag,CustomSaPeriod=4),INDEX(VolumeHourlyOver,M9,2),IF(OR(WeekDef=1,WeekDef=2,WeekDef=5,WeekDef=6,AND(WeekDef=8,CustomSaFlag,OR(CustomSaPeriod=1,CustomSaPeriod=2))),IF(VolumeMonthlyOverFlag,INDEX(VolumeMonthlyOver,AE23),Volume),0))</f>
        <v>150</v>
      </c>
      <c r="AN23" s="1647" t="n">
        <f aca="false">IF(AND(WeekDef=8,CustomSaFlag,CustomSaPeriod=4),INDEX(VolumeHourlyOver,N9,2),IF(OR(WeekDef=1,WeekDef=2,WeekDef=5,WeekDef=6,AND(WeekDef=8,CustomSaFlag,OR(CustomSaPeriod=1,CustomSaPeriod=2))),IF(VolumeMonthlyOverFlag,INDEX(VolumeMonthlyOver,AE23),Volume),0))</f>
        <v>150</v>
      </c>
      <c r="AO23" s="1647" t="n">
        <f aca="false">IF(AND(WeekDef=8,CustomSaFlag,CustomSaPeriod=4),INDEX(VolumeHourlyOver,O9,2),IF(OR(WeekDef=1,WeekDef=2,WeekDef=5,WeekDef=6,AND(WeekDef=8,CustomSaFlag,OR(CustomSaPeriod=1,CustomSaPeriod=2))),IF(VolumeMonthlyOverFlag,INDEX(VolumeMonthlyOver,AE23),Volume),0))</f>
        <v>150</v>
      </c>
      <c r="AP23" s="1647" t="n">
        <f aca="false">IF(AND(WeekDef=8,CustomSaFlag,CustomSaPeriod=4),INDEX(VolumeHourlyOver,P9,2),IF(OR(WeekDef=1,WeekDef=2,WeekDef=5,WeekDef=6,AND(WeekDef=8,CustomSaFlag,OR(CustomSaPeriod=1,CustomSaPeriod=2))),IF(VolumeMonthlyOverFlag,INDEX(VolumeMonthlyOver,AE23),Volume),0))</f>
        <v>150</v>
      </c>
      <c r="AQ23" s="1647" t="n">
        <f aca="false">IF(AND(WeekDef=8,CustomSaFlag,CustomSaPeriod=4),INDEX(VolumeHourlyOver,Q9,2),IF(OR(WeekDef=1,WeekDef=2,WeekDef=5,WeekDef=6,AND(WeekDef=8,CustomSaFlag,OR(CustomSaPeriod=1,CustomSaPeriod=2))),IF(VolumeMonthlyOverFlag,INDEX(VolumeMonthlyOver,AE23),Volume),0))</f>
        <v>150</v>
      </c>
      <c r="AR23" s="1647" t="n">
        <f aca="false">IF(AND(WeekDef=8,CustomSaFlag,CustomSaPeriod=4),INDEX(VolumeHourlyOver,R9,2),IF(OR(WeekDef=1,WeekDef=2,WeekDef=5,WeekDef=6,AND(WeekDef=8,CustomSaFlag,OR(CustomSaPeriod=1,CustomSaPeriod=2))),IF(VolumeMonthlyOverFlag,INDEX(VolumeMonthlyOver,AE23),Volume),0))</f>
        <v>150</v>
      </c>
      <c r="AS23" s="1647" t="n">
        <f aca="false">IF(AND(WeekDef=8,CustomSaFlag,CustomSaPeriod=4),INDEX(VolumeHourlyOver,S9,2),IF(OR(WeekDef=1,WeekDef=2,WeekDef=5,WeekDef=6,AND(WeekDef=8,CustomSaFlag,OR(CustomSaPeriod=1,CustomSaPeriod=2))),IF(VolumeMonthlyOverFlag,INDEX(VolumeMonthlyOver,AE23),Volume),0))</f>
        <v>150</v>
      </c>
      <c r="AT23" s="1647" t="n">
        <f aca="false">IF(AND(WeekDef=8,CustomSaFlag,CustomSaPeriod=4),INDEX(VolumeHourlyOver,T9,2),IF(OR(WeekDef=1,WeekDef=2,WeekDef=5,WeekDef=6,AND(WeekDef=8,CustomSaFlag,OR(CustomSaPeriod=1,CustomSaPeriod=2))),IF(VolumeMonthlyOverFlag,INDEX(VolumeMonthlyOver,AE23),Volume),0))</f>
        <v>150</v>
      </c>
      <c r="AU23" s="1648" t="n">
        <f aca="false">IF(AND(WeekDef=8,CustomSaFlag,CustomSaPeriod=4),INDEX(VolumeHourlyOver,U9,2),IF(OR(WeekDef=1,WeekDef=2,WeekDef=5,WeekDef=6,AND(WeekDef=8,CustomSaFlag,OR(CustomSaPeriod=1,CustomSaPeriod=2))),IF(VolumeMonthlyOverFlag,INDEX(VolumeMonthlyOver,AE23),Volume),0))</f>
        <v>150</v>
      </c>
      <c r="AV23" s="1647" t="n">
        <f aca="false">IF(AND(WeekDef=8,CustomSaFlag,CustomSaPeriod=4),INDEX(VolumeHourlyOver,V9,2),IF(OR(WeekDef=1,WeekDef=3,WeekDef=5,WeekDef=7,AND(WeekDef=8,CustomSaFlag,OR(CustomSaPeriod=1,CustomSaPeriod=3))),IF(VolumeMonthlyOverFlag,INDEX(VolumeMonthlyOver,AE23),Volume),0))</f>
        <v>150</v>
      </c>
      <c r="AW23" s="1647" t="n">
        <f aca="false">IF(AND(WeekDef=8,CustomSaFlag,CustomSaPeriod=4),INDEX(VolumeHourlyOver,W9,2),IF(OR(WeekDef=1,WeekDef=3,WeekDef=5,WeekDef=7,AND(WeekDef=8,CustomSaFlag,OR(CustomSaPeriod=1,CustomSaPeriod=3))),IF(VolumeMonthlyOverFlag,INDEX(VolumeMonthlyOver,AE23),Volume),0))</f>
        <v>150</v>
      </c>
      <c r="AX23" s="1647" t="n">
        <f aca="false">IF(AND(WeekDef=8,CustomSaFlag,CustomSaPeriod=4),INDEX(VolumeHourlyOver,X9,2),IF(OR(WeekDef=1,WeekDef=3,WeekDef=5,WeekDef=7,AND(WeekDef=8,CustomSaFlag,OR(CustomSaPeriod=1,CustomSaPeriod=3))),IF(VolumeMonthlyOverFlag,INDEX(VolumeMonthlyOver,AE23),Volume),0))</f>
        <v>150</v>
      </c>
      <c r="AY23" s="1647" t="n">
        <f aca="false">IF(AND(WeekDef=8,CustomSaFlag,CustomSaPeriod=4),INDEX(VolumeHourlyOver,Y9,2),IF(OR(WeekDef=1,WeekDef=3,WeekDef=5,WeekDef=7,AND(WeekDef=8,CustomSaFlag,OR(CustomSaPeriod=1,CustomSaPeriod=3))),IF(VolumeMonthlyOverFlag,INDEX(VolumeMonthlyOver,AE23),Volume),0))</f>
        <v>150</v>
      </c>
      <c r="AZ23" s="1647" t="n">
        <f aca="false">IF(AND(WeekDef=8,CustomSaFlag,CustomSaPeriod=4),INDEX(VolumeHourlyOver,Z9,2),IF(OR(WeekDef=1,WeekDef=3,WeekDef=5,WeekDef=7,AND(WeekDef=8,CustomSaFlag,OR(CustomSaPeriod=1,CustomSaPeriod=3))),IF(VolumeMonthlyOverFlag,INDEX(VolumeMonthlyOver,AE23),Volume),0))</f>
        <v>150</v>
      </c>
      <c r="BA23" s="1647" t="n">
        <f aca="false">IF(AND(WeekDef=8,CustomSaFlag,CustomSaPeriod=4),INDEX(VolumeHourlyOver,AA9,2),IF(OR(WeekDef=1,WeekDef=3,WeekDef=5,WeekDef=7,AND(WeekDef=8,CustomSaFlag,OR(CustomSaPeriod=1,CustomSaPeriod=3))),IF(VolumeMonthlyOverFlag,INDEX(VolumeMonthlyOver,AE23),Volume),0))</f>
        <v>150</v>
      </c>
      <c r="BB23" s="1647" t="n">
        <f aca="false">IF(AND(WeekDef=8,CustomSaFlag,CustomSaPeriod=4),INDEX(VolumeHourlyOver,AB9,2),IF(OR(WeekDef=1,WeekDef=3,WeekDef=5,WeekDef=7,AND(WeekDef=8,CustomSaFlag,OR(CustomSaPeriod=1,CustomSaPeriod=3))),IF(VolumeMonthlyOverFlag,INDEX(VolumeMonthlyOver,AE23),Volume),0))</f>
        <v>150</v>
      </c>
      <c r="BC23" s="1648" t="n">
        <f aca="false">IF(AND(WeekDef=8,CustomSaFlag,CustomSaPeriod=4),INDEX(VolumeHourlyOver,AC9,2),IF(OR(WeekDef=1,WeekDef=3,WeekDef=5,WeekDef=7,AND(WeekDef=8,CustomSaFlag,OR(CustomSaPeriod=1,CustomSaPeriod=3))),IF(VolumeMonthlyOverFlag,INDEX(VolumeMonthlyOver,AE23),Volume),0))</f>
        <v>150</v>
      </c>
      <c r="BD23" s="1652" t="n">
        <f aca="false">SUM(AF23:AU23)</f>
        <v>2400</v>
      </c>
      <c r="BE23" s="1653" t="n">
        <f aca="false">SUM(AV23:BC23)</f>
        <v>1200</v>
      </c>
      <c r="BF23" s="1654" t="n">
        <f aca="false">BD23+BE23</f>
        <v>3600</v>
      </c>
      <c r="BG23" s="1674" t="n">
        <f aca="false">IF(BD23,SUMPRODUCT(AF23:AU23,F25:U25)/BD23,0)</f>
        <v>1</v>
      </c>
      <c r="BH23" s="1655" t="n">
        <f aca="false">IF(BE23,SUMPRODUCT(AV23:BC23,V25:AC25)/BE23,0)</f>
        <v>1</v>
      </c>
      <c r="BJ23" s="1636" t="n">
        <v>5</v>
      </c>
      <c r="BK23" s="1646" t="n">
        <f aca="false">IF(AND(WeekDef=8,CustomSaFlag,CustomSaPeriod=4),INDEX(IF(DiffOptVolumeFlag,DiffOptVolumeHourlyOver,VolumeHourlyOver),F9,2),IF(OR(WeekDef=1,WeekDef=2,WeekDef=5,WeekDef=6,AND(WeekDef=8,CustomSaFlag,OR(CustomSaPeriod=1,CustomSaPeriod=2))),IF(VolumeMonthlyOverFlag,INDEX(IF(DiffOptVolumeFlag,DiffOptVolumeMonthlyOver,VolumeMonthlyOver),BJ23),IF(DiffOptVolumeFlag,DiffOptVolume,Volume)),0))</f>
        <v>600</v>
      </c>
      <c r="BL23" s="1647" t="n">
        <f aca="false">IF(AND(WeekDef=8,CustomSaFlag,CustomSaPeriod=4),INDEX(IF(DiffOptVolumeFlag,DiffOptVolumeHourlyOver,VolumeHourlyOver),G9,2),IF(OR(WeekDef=1,WeekDef=2,WeekDef=5,WeekDef=6,AND(WeekDef=8,CustomSaFlag,OR(CustomSaPeriod=1,CustomSaPeriod=2))),IF(VolumeMonthlyOverFlag,INDEX(IF(DiffOptVolumeFlag,DiffOptVolumeMonthlyOver,VolumeMonthlyOver),BJ23),IF(DiffOptVolumeFlag,DiffOptVolume,Volume)),0))</f>
        <v>600</v>
      </c>
      <c r="BM23" s="1647" t="n">
        <f aca="false">IF(AND(WeekDef=8,CustomSaFlag,CustomSaPeriod=4),INDEX(IF(DiffOptVolumeFlag,DiffOptVolumeHourlyOver,VolumeHourlyOver),H9,2),IF(OR(WeekDef=1,WeekDef=2,WeekDef=5,WeekDef=6,AND(WeekDef=8,CustomSaFlag,OR(CustomSaPeriod=1,CustomSaPeriod=2))),IF(VolumeMonthlyOverFlag,INDEX(IF(DiffOptVolumeFlag,DiffOptVolumeMonthlyOver,VolumeMonthlyOver),BJ23),IF(DiffOptVolumeFlag,DiffOptVolume,Volume)),0))</f>
        <v>600</v>
      </c>
      <c r="BN23" s="1647" t="n">
        <f aca="false">IF(AND(WeekDef=8,CustomSaFlag,CustomSaPeriod=4),INDEX(IF(DiffOptVolumeFlag,DiffOptVolumeHourlyOver,VolumeHourlyOver),I9,2),IF(OR(WeekDef=1,WeekDef=2,WeekDef=5,WeekDef=6,AND(WeekDef=8,CustomSaFlag,OR(CustomSaPeriod=1,CustomSaPeriod=2))),IF(VolumeMonthlyOverFlag,INDEX(IF(DiffOptVolumeFlag,DiffOptVolumeMonthlyOver,VolumeMonthlyOver),BJ23),IF(DiffOptVolumeFlag,DiffOptVolume,Volume)),0))</f>
        <v>600</v>
      </c>
      <c r="BO23" s="1647" t="n">
        <f aca="false">IF(AND(WeekDef=8,CustomSaFlag,CustomSaPeriod=4),INDEX(IF(DiffOptVolumeFlag,DiffOptVolumeHourlyOver,VolumeHourlyOver),J9,2),IF(OR(WeekDef=1,WeekDef=2,WeekDef=5,WeekDef=6,AND(WeekDef=8,CustomSaFlag,OR(CustomSaPeriod=1,CustomSaPeriod=2))),IF(VolumeMonthlyOverFlag,INDEX(IF(DiffOptVolumeFlag,DiffOptVolumeMonthlyOver,VolumeMonthlyOver),BJ23),IF(DiffOptVolumeFlag,DiffOptVolume,Volume)),0))</f>
        <v>600</v>
      </c>
      <c r="BP23" s="1647" t="n">
        <f aca="false">IF(AND(WeekDef=8,CustomSaFlag,CustomSaPeriod=4),INDEX(IF(DiffOptVolumeFlag,DiffOptVolumeHourlyOver,VolumeHourlyOver),K9,2),IF(OR(WeekDef=1,WeekDef=2,WeekDef=5,WeekDef=6,AND(WeekDef=8,CustomSaFlag,OR(CustomSaPeriod=1,CustomSaPeriod=2))),IF(VolumeMonthlyOverFlag,INDEX(IF(DiffOptVolumeFlag,DiffOptVolumeMonthlyOver,VolumeMonthlyOver),BJ23),IF(DiffOptVolumeFlag,DiffOptVolume,Volume)),0))</f>
        <v>600</v>
      </c>
      <c r="BQ23" s="1647" t="n">
        <f aca="false">IF(AND(WeekDef=8,CustomSaFlag,CustomSaPeriod=4),INDEX(IF(DiffOptVolumeFlag,DiffOptVolumeHourlyOver,VolumeHourlyOver),L9,2),IF(OR(WeekDef=1,WeekDef=2,WeekDef=5,WeekDef=6,AND(WeekDef=8,CustomSaFlag,OR(CustomSaPeriod=1,CustomSaPeriod=2))),IF(VolumeMonthlyOverFlag,INDEX(IF(DiffOptVolumeFlag,DiffOptVolumeMonthlyOver,VolumeMonthlyOver),BJ23),IF(DiffOptVolumeFlag,DiffOptVolume,Volume)),0))</f>
        <v>600</v>
      </c>
      <c r="BR23" s="1647" t="n">
        <f aca="false">IF(AND(WeekDef=8,CustomSaFlag,CustomSaPeriod=4),INDEX(IF(DiffOptVolumeFlag,DiffOptVolumeHourlyOver,VolumeHourlyOver),M9,2),IF(OR(WeekDef=1,WeekDef=2,WeekDef=5,WeekDef=6,AND(WeekDef=8,CustomSaFlag,OR(CustomSaPeriod=1,CustomSaPeriod=2))),IF(VolumeMonthlyOverFlag,INDEX(IF(DiffOptVolumeFlag,DiffOptVolumeMonthlyOver,VolumeMonthlyOver),BJ23),IF(DiffOptVolumeFlag,DiffOptVolume,Volume)),0))</f>
        <v>600</v>
      </c>
      <c r="BS23" s="1647" t="n">
        <f aca="false">IF(AND(WeekDef=8,CustomSaFlag,CustomSaPeriod=4),INDEX(IF(DiffOptVolumeFlag,DiffOptVolumeHourlyOver,VolumeHourlyOver),N9,2),IF(OR(WeekDef=1,WeekDef=2,WeekDef=5,WeekDef=6,AND(WeekDef=8,CustomSaFlag,OR(CustomSaPeriod=1,CustomSaPeriod=2))),IF(VolumeMonthlyOverFlag,INDEX(IF(DiffOptVolumeFlag,DiffOptVolumeMonthlyOver,VolumeMonthlyOver),BJ23),IF(DiffOptVolumeFlag,DiffOptVolume,Volume)),0))</f>
        <v>600</v>
      </c>
      <c r="BT23" s="1647" t="n">
        <f aca="false">IF(AND(WeekDef=8,CustomSaFlag,CustomSaPeriod=4),INDEX(IF(DiffOptVolumeFlag,DiffOptVolumeHourlyOver,VolumeHourlyOver),O9,2),IF(OR(WeekDef=1,WeekDef=2,WeekDef=5,WeekDef=6,AND(WeekDef=8,CustomSaFlag,OR(CustomSaPeriod=1,CustomSaPeriod=2))),IF(VolumeMonthlyOverFlag,INDEX(IF(DiffOptVolumeFlag,DiffOptVolumeMonthlyOver,VolumeMonthlyOver),BJ23),IF(DiffOptVolumeFlag,DiffOptVolume,Volume)),0))</f>
        <v>600</v>
      </c>
      <c r="BU23" s="1647" t="n">
        <f aca="false">IF(AND(WeekDef=8,CustomSaFlag,CustomSaPeriod=4),INDEX(IF(DiffOptVolumeFlag,DiffOptVolumeHourlyOver,VolumeHourlyOver),P9,2),IF(OR(WeekDef=1,WeekDef=2,WeekDef=5,WeekDef=6,AND(WeekDef=8,CustomSaFlag,OR(CustomSaPeriod=1,CustomSaPeriod=2))),IF(VolumeMonthlyOverFlag,INDEX(IF(DiffOptVolumeFlag,DiffOptVolumeMonthlyOver,VolumeMonthlyOver),BJ23),IF(DiffOptVolumeFlag,DiffOptVolume,Volume)),0))</f>
        <v>600</v>
      </c>
      <c r="BV23" s="1647" t="n">
        <f aca="false">IF(AND(WeekDef=8,CustomSaFlag,CustomSaPeriod=4),INDEX(IF(DiffOptVolumeFlag,DiffOptVolumeHourlyOver,VolumeHourlyOver),Q9,2),IF(OR(WeekDef=1,WeekDef=2,WeekDef=5,WeekDef=6,AND(WeekDef=8,CustomSaFlag,OR(CustomSaPeriod=1,CustomSaPeriod=2))),IF(VolumeMonthlyOverFlag,INDEX(IF(DiffOptVolumeFlag,DiffOptVolumeMonthlyOver,VolumeMonthlyOver),BJ23),IF(DiffOptVolumeFlag,DiffOptVolume,Volume)),0))</f>
        <v>600</v>
      </c>
      <c r="BW23" s="1647" t="n">
        <f aca="false">IF(AND(WeekDef=8,CustomSaFlag,CustomSaPeriod=4),INDEX(IF(DiffOptVolumeFlag,DiffOptVolumeHourlyOver,VolumeHourlyOver),R9,2),IF(OR(WeekDef=1,WeekDef=2,WeekDef=5,WeekDef=6,AND(WeekDef=8,CustomSaFlag,OR(CustomSaPeriod=1,CustomSaPeriod=2))),IF(VolumeMonthlyOverFlag,INDEX(IF(DiffOptVolumeFlag,DiffOptVolumeMonthlyOver,VolumeMonthlyOver),BJ23),IF(DiffOptVolumeFlag,DiffOptVolume,Volume)),0))</f>
        <v>600</v>
      </c>
      <c r="BX23" s="1647" t="n">
        <f aca="false">IF(AND(WeekDef=8,CustomSaFlag,CustomSaPeriod=4),INDEX(IF(DiffOptVolumeFlag,DiffOptVolumeHourlyOver,VolumeHourlyOver),S9,2),IF(OR(WeekDef=1,WeekDef=2,WeekDef=5,WeekDef=6,AND(WeekDef=8,CustomSaFlag,OR(CustomSaPeriod=1,CustomSaPeriod=2))),IF(VolumeMonthlyOverFlag,INDEX(IF(DiffOptVolumeFlag,DiffOptVolumeMonthlyOver,VolumeMonthlyOver),BJ23),IF(DiffOptVolumeFlag,DiffOptVolume,Volume)),0))</f>
        <v>600</v>
      </c>
      <c r="BY23" s="1647" t="n">
        <f aca="false">IF(AND(WeekDef=8,CustomSaFlag,CustomSaPeriod=4),INDEX(IF(DiffOptVolumeFlag,DiffOptVolumeHourlyOver,VolumeHourlyOver),T9,2),IF(OR(WeekDef=1,WeekDef=2,WeekDef=5,WeekDef=6,AND(WeekDef=8,CustomSaFlag,OR(CustomSaPeriod=1,CustomSaPeriod=2))),IF(VolumeMonthlyOverFlag,INDEX(IF(DiffOptVolumeFlag,DiffOptVolumeMonthlyOver,VolumeMonthlyOver),BJ23),IF(DiffOptVolumeFlag,DiffOptVolume,Volume)),0))</f>
        <v>600</v>
      </c>
      <c r="BZ23" s="1648" t="n">
        <f aca="false">IF(AND(WeekDef=8,CustomSaFlag,CustomSaPeriod=4),INDEX(IF(DiffOptVolumeFlag,DiffOptVolumeHourlyOver,VolumeHourlyOver),U9,2),IF(OR(WeekDef=1,WeekDef=2,WeekDef=5,WeekDef=6,AND(WeekDef=8,CustomSaFlag,OR(CustomSaPeriod=1,CustomSaPeriod=2))),IF(VolumeMonthlyOverFlag,INDEX(IF(DiffOptVolumeFlag,DiffOptVolumeMonthlyOver,VolumeMonthlyOver),BJ23),IF(DiffOptVolumeFlag,DiffOptVolume,Volume)),0))</f>
        <v>600</v>
      </c>
      <c r="CA23" s="1647" t="n">
        <f aca="false">IF(AND(WeekDef=8,CustomSaFlag,CustomSaPeriod=4),INDEX(IF(DiffOptVolumeFlag,DiffOptVolumeHourlyOver,VolumeHourlyOver),V9,2),IF(OR(WeekDef=1,WeekDef=3,WeekDef=5,WeekDef=7,AND(WeekDef=8,CustomSaFlag,OR(CustomSaPeriod=1,CustomSaPeriod=3))),IF(VolumeMonthlyOverFlag,INDEX(IF(DiffOptVolumeFlag,DiffOptVolumeMonthlyOver,VolumeMonthlyOver),BJ23),IF(DiffOptVolumeFlag,DiffOptVolume,Volume)),0))</f>
        <v>600</v>
      </c>
      <c r="CB23" s="1647" t="n">
        <f aca="false">IF(AND(WeekDef=8,CustomSaFlag,CustomSaPeriod=4),INDEX(IF(DiffOptVolumeFlag,DiffOptVolumeHourlyOver,VolumeHourlyOver),W9,2),IF(OR(WeekDef=1,WeekDef=3,WeekDef=5,WeekDef=7,AND(WeekDef=8,CustomSaFlag,OR(CustomSaPeriod=1,CustomSaPeriod=3))),IF(VolumeMonthlyOverFlag,INDEX(IF(DiffOptVolumeFlag,DiffOptVolumeMonthlyOver,VolumeMonthlyOver),BJ23),IF(DiffOptVolumeFlag,DiffOptVolume,Volume)),0))</f>
        <v>600</v>
      </c>
      <c r="CC23" s="1647" t="n">
        <f aca="false">IF(AND(WeekDef=8,CustomSaFlag,CustomSaPeriod=4),INDEX(IF(DiffOptVolumeFlag,DiffOptVolumeHourlyOver,VolumeHourlyOver),X9,2),IF(OR(WeekDef=1,WeekDef=3,WeekDef=5,WeekDef=7,AND(WeekDef=8,CustomSaFlag,OR(CustomSaPeriod=1,CustomSaPeriod=3))),IF(VolumeMonthlyOverFlag,INDEX(IF(DiffOptVolumeFlag,DiffOptVolumeMonthlyOver,VolumeMonthlyOver),BJ23),IF(DiffOptVolumeFlag,DiffOptVolume,Volume)),0))</f>
        <v>600</v>
      </c>
      <c r="CD23" s="1647" t="n">
        <f aca="false">IF(AND(WeekDef=8,CustomSaFlag,CustomSaPeriod=4),INDEX(IF(DiffOptVolumeFlag,DiffOptVolumeHourlyOver,VolumeHourlyOver),Y9,2),IF(OR(WeekDef=1,WeekDef=3,WeekDef=5,WeekDef=7,AND(WeekDef=8,CustomSaFlag,OR(CustomSaPeriod=1,CustomSaPeriod=3))),IF(VolumeMonthlyOverFlag,INDEX(IF(DiffOptVolumeFlag,DiffOptVolumeMonthlyOver,VolumeMonthlyOver),BJ23),IF(DiffOptVolumeFlag,DiffOptVolume,Volume)),0))</f>
        <v>600</v>
      </c>
      <c r="CE23" s="1647" t="n">
        <f aca="false">IF(AND(WeekDef=8,CustomSaFlag,CustomSaPeriod=4),INDEX(IF(DiffOptVolumeFlag,DiffOptVolumeHourlyOver,VolumeHourlyOver),Z9,2),IF(OR(WeekDef=1,WeekDef=3,WeekDef=5,WeekDef=7,AND(WeekDef=8,CustomSaFlag,OR(CustomSaPeriod=1,CustomSaPeriod=3))),IF(VolumeMonthlyOverFlag,INDEX(IF(DiffOptVolumeFlag,DiffOptVolumeMonthlyOver,VolumeMonthlyOver),BJ23),IF(DiffOptVolumeFlag,DiffOptVolume,Volume)),0))</f>
        <v>600</v>
      </c>
      <c r="CF23" s="1647" t="n">
        <f aca="false">IF(AND(WeekDef=8,CustomSaFlag,CustomSaPeriod=4),INDEX(IF(DiffOptVolumeFlag,DiffOptVolumeHourlyOver,VolumeHourlyOver),AA9,2),IF(OR(WeekDef=1,WeekDef=3,WeekDef=5,WeekDef=7,AND(WeekDef=8,CustomSaFlag,OR(CustomSaPeriod=1,CustomSaPeriod=3))),IF(VolumeMonthlyOverFlag,INDEX(IF(DiffOptVolumeFlag,DiffOptVolumeMonthlyOver,VolumeMonthlyOver),BJ23),IF(DiffOptVolumeFlag,DiffOptVolume,Volume)),0))</f>
        <v>600</v>
      </c>
      <c r="CG23" s="1647" t="n">
        <f aca="false">IF(AND(WeekDef=8,CustomSaFlag,CustomSaPeriod=4),INDEX(IF(DiffOptVolumeFlag,DiffOptVolumeHourlyOver,VolumeHourlyOver),AB9,2),IF(OR(WeekDef=1,WeekDef=3,WeekDef=5,WeekDef=7,AND(WeekDef=8,CustomSaFlag,OR(CustomSaPeriod=1,CustomSaPeriod=3))),IF(VolumeMonthlyOverFlag,INDEX(IF(DiffOptVolumeFlag,DiffOptVolumeMonthlyOver,VolumeMonthlyOver),BJ23),IF(DiffOptVolumeFlag,DiffOptVolume,Volume)),0))</f>
        <v>600</v>
      </c>
      <c r="CH23" s="1648" t="n">
        <f aca="false">IF(AND(WeekDef=8,CustomSaFlag,CustomSaPeriod=4),INDEX(IF(DiffOptVolumeFlag,DiffOptVolumeHourlyOver,VolumeHourlyOver),AC9,2),IF(OR(WeekDef=1,WeekDef=3,WeekDef=5,WeekDef=7,AND(WeekDef=8,CustomSaFlag,OR(CustomSaPeriod=1,CustomSaPeriod=3))),IF(VolumeMonthlyOverFlag,INDEX(IF(DiffOptVolumeFlag,DiffOptVolumeMonthlyOver,VolumeMonthlyOver),BJ23),IF(DiffOptVolumeFlag,DiffOptVolume,Volume)),0))</f>
        <v>600</v>
      </c>
      <c r="CI23" s="1652" t="n">
        <f aca="false">SUM(BK23:BZ23)</f>
        <v>9600</v>
      </c>
      <c r="CJ23" s="1653" t="n">
        <f aca="false">SUM(CA23:CH23)</f>
        <v>4800</v>
      </c>
      <c r="CK23" s="1654" t="n">
        <f aca="false">CI23+CJ23</f>
        <v>14400</v>
      </c>
      <c r="CL23" s="1674" t="n">
        <f aca="false">IF(CI23,SUMPRODUCT(BK23:BZ23,F25:U25)/CI23,0)</f>
        <v>1</v>
      </c>
      <c r="CM23" s="1655" t="n">
        <f aca="false">IF(CJ23,SUMPRODUCT(CA23:CH23,V25:AC25)/CJ23,0)</f>
        <v>1</v>
      </c>
    </row>
    <row r="24" customFormat="false" ht="12.75" hidden="false" customHeight="false" outlineLevel="0" collapsed="false">
      <c r="C24" s="1658"/>
      <c r="D24" s="1658"/>
      <c r="E24" s="1636" t="n">
        <v>4</v>
      </c>
      <c r="F24" s="1677" t="n">
        <v>1.06671059131622</v>
      </c>
      <c r="G24" s="1678" t="n">
        <v>1.05439507961273</v>
      </c>
      <c r="H24" s="1678" t="n">
        <v>1.05216801166534</v>
      </c>
      <c r="I24" s="1678" t="n">
        <v>1.04597687721252</v>
      </c>
      <c r="J24" s="1678" t="n">
        <v>1.03453767299652</v>
      </c>
      <c r="K24" s="1678" t="n">
        <v>1.02484607696533</v>
      </c>
      <c r="L24" s="1678" t="n">
        <v>1.02221286296844</v>
      </c>
      <c r="M24" s="1678" t="n">
        <v>1.00736939907074</v>
      </c>
      <c r="N24" s="1678" t="n">
        <v>1.00120162963867</v>
      </c>
      <c r="O24" s="1678" t="n">
        <v>0.978056311607361</v>
      </c>
      <c r="P24" s="1678" t="n">
        <v>0.97655862569809</v>
      </c>
      <c r="Q24" s="1678" t="n">
        <v>0.966617107391357</v>
      </c>
      <c r="R24" s="1678" t="n">
        <v>0.963708221912384</v>
      </c>
      <c r="S24" s="1678" t="n">
        <v>0.95867395401001</v>
      </c>
      <c r="T24" s="1678" t="n">
        <v>0.955177843570709</v>
      </c>
      <c r="U24" s="1679" t="n">
        <v>0.891789734363556</v>
      </c>
      <c r="V24" s="1678" t="n">
        <v>1.15833806991577</v>
      </c>
      <c r="W24" s="1678" t="n">
        <v>1.08282494544983</v>
      </c>
      <c r="X24" s="1678" t="n">
        <v>1.04430055618286</v>
      </c>
      <c r="Y24" s="1678" t="n">
        <v>0.982808470726013</v>
      </c>
      <c r="Z24" s="1678" t="n">
        <v>0.978207528591156</v>
      </c>
      <c r="AA24" s="1678" t="n">
        <v>0.938717186450958</v>
      </c>
      <c r="AB24" s="1678" t="n">
        <v>0.910764396190643</v>
      </c>
      <c r="AC24" s="1679" t="n">
        <v>0.904038906097412</v>
      </c>
      <c r="AD24" s="1658"/>
      <c r="AE24" s="1636" t="n">
        <v>6</v>
      </c>
      <c r="AF24" s="1646" t="n">
        <f aca="false">IF(AND(WeekDef=8,CustomSaFlag,CustomSaPeriod=4),INDEX(VolumeHourlyOver,F10,2),IF(OR(WeekDef=1,WeekDef=2,WeekDef=5,WeekDef=6,AND(WeekDef=8,CustomSaFlag,OR(CustomSaPeriod=1,CustomSaPeriod=2))),IF(VolumeMonthlyOverFlag,INDEX(VolumeMonthlyOver,AE24),Volume),0))</f>
        <v>150</v>
      </c>
      <c r="AG24" s="1647" t="n">
        <f aca="false">IF(AND(WeekDef=8,CustomSaFlag,CustomSaPeriod=4),INDEX(VolumeHourlyOver,G10,2),IF(OR(WeekDef=1,WeekDef=2,WeekDef=5,WeekDef=6,AND(WeekDef=8,CustomSaFlag,OR(CustomSaPeriod=1,CustomSaPeriod=2))),IF(VolumeMonthlyOverFlag,INDEX(VolumeMonthlyOver,AE24),Volume),0))</f>
        <v>150</v>
      </c>
      <c r="AH24" s="1647" t="n">
        <f aca="false">IF(AND(WeekDef=8,CustomSaFlag,CustomSaPeriod=4),INDEX(VolumeHourlyOver,H10,2),IF(OR(WeekDef=1,WeekDef=2,WeekDef=5,WeekDef=6,AND(WeekDef=8,CustomSaFlag,OR(CustomSaPeriod=1,CustomSaPeriod=2))),IF(VolumeMonthlyOverFlag,INDEX(VolumeMonthlyOver,AE24),Volume),0))</f>
        <v>150</v>
      </c>
      <c r="AI24" s="1647" t="n">
        <f aca="false">IF(AND(WeekDef=8,CustomSaFlag,CustomSaPeriod=4),INDEX(VolumeHourlyOver,I10,2),IF(OR(WeekDef=1,WeekDef=2,WeekDef=5,WeekDef=6,AND(WeekDef=8,CustomSaFlag,OR(CustomSaPeriod=1,CustomSaPeriod=2))),IF(VolumeMonthlyOverFlag,INDEX(VolumeMonthlyOver,AE24),Volume),0))</f>
        <v>150</v>
      </c>
      <c r="AJ24" s="1647" t="n">
        <f aca="false">IF(AND(WeekDef=8,CustomSaFlag,CustomSaPeriod=4),INDEX(VolumeHourlyOver,J10,2),IF(OR(WeekDef=1,WeekDef=2,WeekDef=5,WeekDef=6,AND(WeekDef=8,CustomSaFlag,OR(CustomSaPeriod=1,CustomSaPeriod=2))),IF(VolumeMonthlyOverFlag,INDEX(VolumeMonthlyOver,AE24),Volume),0))</f>
        <v>150</v>
      </c>
      <c r="AK24" s="1647" t="n">
        <f aca="false">IF(AND(WeekDef=8,CustomSaFlag,CustomSaPeriod=4),INDEX(VolumeHourlyOver,K10,2),IF(OR(WeekDef=1,WeekDef=2,WeekDef=5,WeekDef=6,AND(WeekDef=8,CustomSaFlag,OR(CustomSaPeriod=1,CustomSaPeriod=2))),IF(VolumeMonthlyOverFlag,INDEX(VolumeMonthlyOver,AE24),Volume),0))</f>
        <v>150</v>
      </c>
      <c r="AL24" s="1647" t="n">
        <f aca="false">IF(AND(WeekDef=8,CustomSaFlag,CustomSaPeriod=4),INDEX(VolumeHourlyOver,L10,2),IF(OR(WeekDef=1,WeekDef=2,WeekDef=5,WeekDef=6,AND(WeekDef=8,CustomSaFlag,OR(CustomSaPeriod=1,CustomSaPeriod=2))),IF(VolumeMonthlyOverFlag,INDEX(VolumeMonthlyOver,AE24),Volume),0))</f>
        <v>150</v>
      </c>
      <c r="AM24" s="1647" t="n">
        <f aca="false">IF(AND(WeekDef=8,CustomSaFlag,CustomSaPeriod=4),INDEX(VolumeHourlyOver,M10,2),IF(OR(WeekDef=1,WeekDef=2,WeekDef=5,WeekDef=6,AND(WeekDef=8,CustomSaFlag,OR(CustomSaPeriod=1,CustomSaPeriod=2))),IF(VolumeMonthlyOverFlag,INDEX(VolumeMonthlyOver,AE24),Volume),0))</f>
        <v>150</v>
      </c>
      <c r="AN24" s="1647" t="n">
        <f aca="false">IF(AND(WeekDef=8,CustomSaFlag,CustomSaPeriod=4),INDEX(VolumeHourlyOver,N10,2),IF(OR(WeekDef=1,WeekDef=2,WeekDef=5,WeekDef=6,AND(WeekDef=8,CustomSaFlag,OR(CustomSaPeriod=1,CustomSaPeriod=2))),IF(VolumeMonthlyOverFlag,INDEX(VolumeMonthlyOver,AE24),Volume),0))</f>
        <v>150</v>
      </c>
      <c r="AO24" s="1647" t="n">
        <f aca="false">IF(AND(WeekDef=8,CustomSaFlag,CustomSaPeriod=4),INDEX(VolumeHourlyOver,O10,2),IF(OR(WeekDef=1,WeekDef=2,WeekDef=5,WeekDef=6,AND(WeekDef=8,CustomSaFlag,OR(CustomSaPeriod=1,CustomSaPeriod=2))),IF(VolumeMonthlyOverFlag,INDEX(VolumeMonthlyOver,AE24),Volume),0))</f>
        <v>150</v>
      </c>
      <c r="AP24" s="1647" t="n">
        <f aca="false">IF(AND(WeekDef=8,CustomSaFlag,CustomSaPeriod=4),INDEX(VolumeHourlyOver,P10,2),IF(OR(WeekDef=1,WeekDef=2,WeekDef=5,WeekDef=6,AND(WeekDef=8,CustomSaFlag,OR(CustomSaPeriod=1,CustomSaPeriod=2))),IF(VolumeMonthlyOverFlag,INDEX(VolumeMonthlyOver,AE24),Volume),0))</f>
        <v>150</v>
      </c>
      <c r="AQ24" s="1647" t="n">
        <f aca="false">IF(AND(WeekDef=8,CustomSaFlag,CustomSaPeriod=4),INDEX(VolumeHourlyOver,Q10,2),IF(OR(WeekDef=1,WeekDef=2,WeekDef=5,WeekDef=6,AND(WeekDef=8,CustomSaFlag,OR(CustomSaPeriod=1,CustomSaPeriod=2))),IF(VolumeMonthlyOverFlag,INDEX(VolumeMonthlyOver,AE24),Volume),0))</f>
        <v>150</v>
      </c>
      <c r="AR24" s="1647" t="n">
        <f aca="false">IF(AND(WeekDef=8,CustomSaFlag,CustomSaPeriod=4),INDEX(VolumeHourlyOver,R10,2),IF(OR(WeekDef=1,WeekDef=2,WeekDef=5,WeekDef=6,AND(WeekDef=8,CustomSaFlag,OR(CustomSaPeriod=1,CustomSaPeriod=2))),IF(VolumeMonthlyOverFlag,INDEX(VolumeMonthlyOver,AE24),Volume),0))</f>
        <v>150</v>
      </c>
      <c r="AS24" s="1647" t="n">
        <f aca="false">IF(AND(WeekDef=8,CustomSaFlag,CustomSaPeriod=4),INDEX(VolumeHourlyOver,S10,2),IF(OR(WeekDef=1,WeekDef=2,WeekDef=5,WeekDef=6,AND(WeekDef=8,CustomSaFlag,OR(CustomSaPeriod=1,CustomSaPeriod=2))),IF(VolumeMonthlyOverFlag,INDEX(VolumeMonthlyOver,AE24),Volume),0))</f>
        <v>150</v>
      </c>
      <c r="AT24" s="1647" t="n">
        <f aca="false">IF(AND(WeekDef=8,CustomSaFlag,CustomSaPeriod=4),INDEX(VolumeHourlyOver,T10,2),IF(OR(WeekDef=1,WeekDef=2,WeekDef=5,WeekDef=6,AND(WeekDef=8,CustomSaFlag,OR(CustomSaPeriod=1,CustomSaPeriod=2))),IF(VolumeMonthlyOverFlag,INDEX(VolumeMonthlyOver,AE24),Volume),0))</f>
        <v>150</v>
      </c>
      <c r="AU24" s="1648" t="n">
        <f aca="false">IF(AND(WeekDef=8,CustomSaFlag,CustomSaPeriod=4),INDEX(VolumeHourlyOver,U10,2),IF(OR(WeekDef=1,WeekDef=2,WeekDef=5,WeekDef=6,AND(WeekDef=8,CustomSaFlag,OR(CustomSaPeriod=1,CustomSaPeriod=2))),IF(VolumeMonthlyOverFlag,INDEX(VolumeMonthlyOver,AE24),Volume),0))</f>
        <v>150</v>
      </c>
      <c r="AV24" s="1647" t="n">
        <f aca="false">IF(AND(WeekDef=8,CustomSaFlag,CustomSaPeriod=4),INDEX(VolumeHourlyOver,V10,2),IF(OR(WeekDef=1,WeekDef=3,WeekDef=5,WeekDef=7,AND(WeekDef=8,CustomSaFlag,OR(CustomSaPeriod=1,CustomSaPeriod=3))),IF(VolumeMonthlyOverFlag,INDEX(VolumeMonthlyOver,AE24),Volume),0))</f>
        <v>150</v>
      </c>
      <c r="AW24" s="1647" t="n">
        <f aca="false">IF(AND(WeekDef=8,CustomSaFlag,CustomSaPeriod=4),INDEX(VolumeHourlyOver,W10,2),IF(OR(WeekDef=1,WeekDef=3,WeekDef=5,WeekDef=7,AND(WeekDef=8,CustomSaFlag,OR(CustomSaPeriod=1,CustomSaPeriod=3))),IF(VolumeMonthlyOverFlag,INDEX(VolumeMonthlyOver,AE24),Volume),0))</f>
        <v>150</v>
      </c>
      <c r="AX24" s="1647" t="n">
        <f aca="false">IF(AND(WeekDef=8,CustomSaFlag,CustomSaPeriod=4),INDEX(VolumeHourlyOver,X10,2),IF(OR(WeekDef=1,WeekDef=3,WeekDef=5,WeekDef=7,AND(WeekDef=8,CustomSaFlag,OR(CustomSaPeriod=1,CustomSaPeriod=3))),IF(VolumeMonthlyOverFlag,INDEX(VolumeMonthlyOver,AE24),Volume),0))</f>
        <v>150</v>
      </c>
      <c r="AY24" s="1647" t="n">
        <f aca="false">IF(AND(WeekDef=8,CustomSaFlag,CustomSaPeriod=4),INDEX(VolumeHourlyOver,Y10,2),IF(OR(WeekDef=1,WeekDef=3,WeekDef=5,WeekDef=7,AND(WeekDef=8,CustomSaFlag,OR(CustomSaPeriod=1,CustomSaPeriod=3))),IF(VolumeMonthlyOverFlag,INDEX(VolumeMonthlyOver,AE24),Volume),0))</f>
        <v>150</v>
      </c>
      <c r="AZ24" s="1647" t="n">
        <f aca="false">IF(AND(WeekDef=8,CustomSaFlag,CustomSaPeriod=4),INDEX(VolumeHourlyOver,Z10,2),IF(OR(WeekDef=1,WeekDef=3,WeekDef=5,WeekDef=7,AND(WeekDef=8,CustomSaFlag,OR(CustomSaPeriod=1,CustomSaPeriod=3))),IF(VolumeMonthlyOverFlag,INDEX(VolumeMonthlyOver,AE24),Volume),0))</f>
        <v>150</v>
      </c>
      <c r="BA24" s="1647" t="n">
        <f aca="false">IF(AND(WeekDef=8,CustomSaFlag,CustomSaPeriod=4),INDEX(VolumeHourlyOver,AA10,2),IF(OR(WeekDef=1,WeekDef=3,WeekDef=5,WeekDef=7,AND(WeekDef=8,CustomSaFlag,OR(CustomSaPeriod=1,CustomSaPeriod=3))),IF(VolumeMonthlyOverFlag,INDEX(VolumeMonthlyOver,AE24),Volume),0))</f>
        <v>150</v>
      </c>
      <c r="BB24" s="1647" t="n">
        <f aca="false">IF(AND(WeekDef=8,CustomSaFlag,CustomSaPeriod=4),INDEX(VolumeHourlyOver,AB10,2),IF(OR(WeekDef=1,WeekDef=3,WeekDef=5,WeekDef=7,AND(WeekDef=8,CustomSaFlag,OR(CustomSaPeriod=1,CustomSaPeriod=3))),IF(VolumeMonthlyOverFlag,INDEX(VolumeMonthlyOver,AE24),Volume),0))</f>
        <v>150</v>
      </c>
      <c r="BC24" s="1648" t="n">
        <f aca="false">IF(AND(WeekDef=8,CustomSaFlag,CustomSaPeriod=4),INDEX(VolumeHourlyOver,AC10,2),IF(OR(WeekDef=1,WeekDef=3,WeekDef=5,WeekDef=7,AND(WeekDef=8,CustomSaFlag,OR(CustomSaPeriod=1,CustomSaPeriod=3))),IF(VolumeMonthlyOverFlag,INDEX(VolumeMonthlyOver,AE24),Volume),0))</f>
        <v>150</v>
      </c>
      <c r="BD24" s="1652" t="n">
        <f aca="false">SUM(AF24:AU24)</f>
        <v>2400</v>
      </c>
      <c r="BE24" s="1653" t="n">
        <f aca="false">SUM(AV24:BC24)</f>
        <v>1200</v>
      </c>
      <c r="BF24" s="1654" t="n">
        <f aca="false">BD24+BE24</f>
        <v>3600</v>
      </c>
      <c r="BG24" s="1674" t="n">
        <f aca="false">IF(BD24,SUMPRODUCT(AF24:AU24,F26:U26)/BD24,0)</f>
        <v>1.00000000745058</v>
      </c>
      <c r="BH24" s="1655" t="n">
        <f aca="false">IF(BE24,SUMPRODUCT(AV24:BC24,V26:AC26)/BE24,0)</f>
        <v>1.00000000745058</v>
      </c>
      <c r="BJ24" s="1636" t="n">
        <v>6</v>
      </c>
      <c r="BK24" s="1646" t="n">
        <f aca="false">IF(AND(WeekDef=8,CustomSaFlag,CustomSaPeriod=4),INDEX(IF(DiffOptVolumeFlag,DiffOptVolumeHourlyOver,VolumeHourlyOver),F10,2),IF(OR(WeekDef=1,WeekDef=2,WeekDef=5,WeekDef=6,AND(WeekDef=8,CustomSaFlag,OR(CustomSaPeriod=1,CustomSaPeriod=2))),IF(VolumeMonthlyOverFlag,INDEX(IF(DiffOptVolumeFlag,DiffOptVolumeMonthlyOver,VolumeMonthlyOver),BJ24),IF(DiffOptVolumeFlag,DiffOptVolume,Volume)),0))</f>
        <v>600</v>
      </c>
      <c r="BL24" s="1647" t="n">
        <f aca="false">IF(AND(WeekDef=8,CustomSaFlag,CustomSaPeriod=4),INDEX(IF(DiffOptVolumeFlag,DiffOptVolumeHourlyOver,VolumeHourlyOver),G10,2),IF(OR(WeekDef=1,WeekDef=2,WeekDef=5,WeekDef=6,AND(WeekDef=8,CustomSaFlag,OR(CustomSaPeriod=1,CustomSaPeriod=2))),IF(VolumeMonthlyOverFlag,INDEX(IF(DiffOptVolumeFlag,DiffOptVolumeMonthlyOver,VolumeMonthlyOver),BJ24),IF(DiffOptVolumeFlag,DiffOptVolume,Volume)),0))</f>
        <v>600</v>
      </c>
      <c r="BM24" s="1647" t="n">
        <f aca="false">IF(AND(WeekDef=8,CustomSaFlag,CustomSaPeriod=4),INDEX(IF(DiffOptVolumeFlag,DiffOptVolumeHourlyOver,VolumeHourlyOver),H10,2),IF(OR(WeekDef=1,WeekDef=2,WeekDef=5,WeekDef=6,AND(WeekDef=8,CustomSaFlag,OR(CustomSaPeriod=1,CustomSaPeriod=2))),IF(VolumeMonthlyOverFlag,INDEX(IF(DiffOptVolumeFlag,DiffOptVolumeMonthlyOver,VolumeMonthlyOver),BJ24),IF(DiffOptVolumeFlag,DiffOptVolume,Volume)),0))</f>
        <v>600</v>
      </c>
      <c r="BN24" s="1647" t="n">
        <f aca="false">IF(AND(WeekDef=8,CustomSaFlag,CustomSaPeriod=4),INDEX(IF(DiffOptVolumeFlag,DiffOptVolumeHourlyOver,VolumeHourlyOver),I10,2),IF(OR(WeekDef=1,WeekDef=2,WeekDef=5,WeekDef=6,AND(WeekDef=8,CustomSaFlag,OR(CustomSaPeriod=1,CustomSaPeriod=2))),IF(VolumeMonthlyOverFlag,INDEX(IF(DiffOptVolumeFlag,DiffOptVolumeMonthlyOver,VolumeMonthlyOver),BJ24),IF(DiffOptVolumeFlag,DiffOptVolume,Volume)),0))</f>
        <v>600</v>
      </c>
      <c r="BO24" s="1647" t="n">
        <f aca="false">IF(AND(WeekDef=8,CustomSaFlag,CustomSaPeriod=4),INDEX(IF(DiffOptVolumeFlag,DiffOptVolumeHourlyOver,VolumeHourlyOver),J10,2),IF(OR(WeekDef=1,WeekDef=2,WeekDef=5,WeekDef=6,AND(WeekDef=8,CustomSaFlag,OR(CustomSaPeriod=1,CustomSaPeriod=2))),IF(VolumeMonthlyOverFlag,INDEX(IF(DiffOptVolumeFlag,DiffOptVolumeMonthlyOver,VolumeMonthlyOver),BJ24),IF(DiffOptVolumeFlag,DiffOptVolume,Volume)),0))</f>
        <v>600</v>
      </c>
      <c r="BP24" s="1647" t="n">
        <f aca="false">IF(AND(WeekDef=8,CustomSaFlag,CustomSaPeriod=4),INDEX(IF(DiffOptVolumeFlag,DiffOptVolumeHourlyOver,VolumeHourlyOver),K10,2),IF(OR(WeekDef=1,WeekDef=2,WeekDef=5,WeekDef=6,AND(WeekDef=8,CustomSaFlag,OR(CustomSaPeriod=1,CustomSaPeriod=2))),IF(VolumeMonthlyOverFlag,INDEX(IF(DiffOptVolumeFlag,DiffOptVolumeMonthlyOver,VolumeMonthlyOver),BJ24),IF(DiffOptVolumeFlag,DiffOptVolume,Volume)),0))</f>
        <v>600</v>
      </c>
      <c r="BQ24" s="1647" t="n">
        <f aca="false">IF(AND(WeekDef=8,CustomSaFlag,CustomSaPeriod=4),INDEX(IF(DiffOptVolumeFlag,DiffOptVolumeHourlyOver,VolumeHourlyOver),L10,2),IF(OR(WeekDef=1,WeekDef=2,WeekDef=5,WeekDef=6,AND(WeekDef=8,CustomSaFlag,OR(CustomSaPeriod=1,CustomSaPeriod=2))),IF(VolumeMonthlyOverFlag,INDEX(IF(DiffOptVolumeFlag,DiffOptVolumeMonthlyOver,VolumeMonthlyOver),BJ24),IF(DiffOptVolumeFlag,DiffOptVolume,Volume)),0))</f>
        <v>600</v>
      </c>
      <c r="BR24" s="1647" t="n">
        <f aca="false">IF(AND(WeekDef=8,CustomSaFlag,CustomSaPeriod=4),INDEX(IF(DiffOptVolumeFlag,DiffOptVolumeHourlyOver,VolumeHourlyOver),M10,2),IF(OR(WeekDef=1,WeekDef=2,WeekDef=5,WeekDef=6,AND(WeekDef=8,CustomSaFlag,OR(CustomSaPeriod=1,CustomSaPeriod=2))),IF(VolumeMonthlyOverFlag,INDEX(IF(DiffOptVolumeFlag,DiffOptVolumeMonthlyOver,VolumeMonthlyOver),BJ24),IF(DiffOptVolumeFlag,DiffOptVolume,Volume)),0))</f>
        <v>600</v>
      </c>
      <c r="BS24" s="1647" t="n">
        <f aca="false">IF(AND(WeekDef=8,CustomSaFlag,CustomSaPeriod=4),INDEX(IF(DiffOptVolumeFlag,DiffOptVolumeHourlyOver,VolumeHourlyOver),N10,2),IF(OR(WeekDef=1,WeekDef=2,WeekDef=5,WeekDef=6,AND(WeekDef=8,CustomSaFlag,OR(CustomSaPeriod=1,CustomSaPeriod=2))),IF(VolumeMonthlyOverFlag,INDEX(IF(DiffOptVolumeFlag,DiffOptVolumeMonthlyOver,VolumeMonthlyOver),BJ24),IF(DiffOptVolumeFlag,DiffOptVolume,Volume)),0))</f>
        <v>600</v>
      </c>
      <c r="BT24" s="1647" t="n">
        <f aca="false">IF(AND(WeekDef=8,CustomSaFlag,CustomSaPeriod=4),INDEX(IF(DiffOptVolumeFlag,DiffOptVolumeHourlyOver,VolumeHourlyOver),O10,2),IF(OR(WeekDef=1,WeekDef=2,WeekDef=5,WeekDef=6,AND(WeekDef=8,CustomSaFlag,OR(CustomSaPeriod=1,CustomSaPeriod=2))),IF(VolumeMonthlyOverFlag,INDEX(IF(DiffOptVolumeFlag,DiffOptVolumeMonthlyOver,VolumeMonthlyOver),BJ24),IF(DiffOptVolumeFlag,DiffOptVolume,Volume)),0))</f>
        <v>600</v>
      </c>
      <c r="BU24" s="1647" t="n">
        <f aca="false">IF(AND(WeekDef=8,CustomSaFlag,CustomSaPeriod=4),INDEX(IF(DiffOptVolumeFlag,DiffOptVolumeHourlyOver,VolumeHourlyOver),P10,2),IF(OR(WeekDef=1,WeekDef=2,WeekDef=5,WeekDef=6,AND(WeekDef=8,CustomSaFlag,OR(CustomSaPeriod=1,CustomSaPeriod=2))),IF(VolumeMonthlyOverFlag,INDEX(IF(DiffOptVolumeFlag,DiffOptVolumeMonthlyOver,VolumeMonthlyOver),BJ24),IF(DiffOptVolumeFlag,DiffOptVolume,Volume)),0))</f>
        <v>600</v>
      </c>
      <c r="BV24" s="1647" t="n">
        <f aca="false">IF(AND(WeekDef=8,CustomSaFlag,CustomSaPeriod=4),INDEX(IF(DiffOptVolumeFlag,DiffOptVolumeHourlyOver,VolumeHourlyOver),Q10,2),IF(OR(WeekDef=1,WeekDef=2,WeekDef=5,WeekDef=6,AND(WeekDef=8,CustomSaFlag,OR(CustomSaPeriod=1,CustomSaPeriod=2))),IF(VolumeMonthlyOverFlag,INDEX(IF(DiffOptVolumeFlag,DiffOptVolumeMonthlyOver,VolumeMonthlyOver),BJ24),IF(DiffOptVolumeFlag,DiffOptVolume,Volume)),0))</f>
        <v>600</v>
      </c>
      <c r="BW24" s="1647" t="n">
        <f aca="false">IF(AND(WeekDef=8,CustomSaFlag,CustomSaPeriod=4),INDEX(IF(DiffOptVolumeFlag,DiffOptVolumeHourlyOver,VolumeHourlyOver),R10,2),IF(OR(WeekDef=1,WeekDef=2,WeekDef=5,WeekDef=6,AND(WeekDef=8,CustomSaFlag,OR(CustomSaPeriod=1,CustomSaPeriod=2))),IF(VolumeMonthlyOverFlag,INDEX(IF(DiffOptVolumeFlag,DiffOptVolumeMonthlyOver,VolumeMonthlyOver),BJ24),IF(DiffOptVolumeFlag,DiffOptVolume,Volume)),0))</f>
        <v>600</v>
      </c>
      <c r="BX24" s="1647" t="n">
        <f aca="false">IF(AND(WeekDef=8,CustomSaFlag,CustomSaPeriod=4),INDEX(IF(DiffOptVolumeFlag,DiffOptVolumeHourlyOver,VolumeHourlyOver),S10,2),IF(OR(WeekDef=1,WeekDef=2,WeekDef=5,WeekDef=6,AND(WeekDef=8,CustomSaFlag,OR(CustomSaPeriod=1,CustomSaPeriod=2))),IF(VolumeMonthlyOverFlag,INDEX(IF(DiffOptVolumeFlag,DiffOptVolumeMonthlyOver,VolumeMonthlyOver),BJ24),IF(DiffOptVolumeFlag,DiffOptVolume,Volume)),0))</f>
        <v>600</v>
      </c>
      <c r="BY24" s="1647" t="n">
        <f aca="false">IF(AND(WeekDef=8,CustomSaFlag,CustomSaPeriod=4),INDEX(IF(DiffOptVolumeFlag,DiffOptVolumeHourlyOver,VolumeHourlyOver),T10,2),IF(OR(WeekDef=1,WeekDef=2,WeekDef=5,WeekDef=6,AND(WeekDef=8,CustomSaFlag,OR(CustomSaPeriod=1,CustomSaPeriod=2))),IF(VolumeMonthlyOverFlag,INDEX(IF(DiffOptVolumeFlag,DiffOptVolumeMonthlyOver,VolumeMonthlyOver),BJ24),IF(DiffOptVolumeFlag,DiffOptVolume,Volume)),0))</f>
        <v>600</v>
      </c>
      <c r="BZ24" s="1648" t="n">
        <f aca="false">IF(AND(WeekDef=8,CustomSaFlag,CustomSaPeriod=4),INDEX(IF(DiffOptVolumeFlag,DiffOptVolumeHourlyOver,VolumeHourlyOver),U10,2),IF(OR(WeekDef=1,WeekDef=2,WeekDef=5,WeekDef=6,AND(WeekDef=8,CustomSaFlag,OR(CustomSaPeriod=1,CustomSaPeriod=2))),IF(VolumeMonthlyOverFlag,INDEX(IF(DiffOptVolumeFlag,DiffOptVolumeMonthlyOver,VolumeMonthlyOver),BJ24),IF(DiffOptVolumeFlag,DiffOptVolume,Volume)),0))</f>
        <v>600</v>
      </c>
      <c r="CA24" s="1647" t="n">
        <f aca="false">IF(AND(WeekDef=8,CustomSaFlag,CustomSaPeriod=4),INDEX(IF(DiffOptVolumeFlag,DiffOptVolumeHourlyOver,VolumeHourlyOver),V10,2),IF(OR(WeekDef=1,WeekDef=3,WeekDef=5,WeekDef=7,AND(WeekDef=8,CustomSaFlag,OR(CustomSaPeriod=1,CustomSaPeriod=3))),IF(VolumeMonthlyOverFlag,INDEX(IF(DiffOptVolumeFlag,DiffOptVolumeMonthlyOver,VolumeMonthlyOver),BJ24),IF(DiffOptVolumeFlag,DiffOptVolume,Volume)),0))</f>
        <v>600</v>
      </c>
      <c r="CB24" s="1647" t="n">
        <f aca="false">IF(AND(WeekDef=8,CustomSaFlag,CustomSaPeriod=4),INDEX(IF(DiffOptVolumeFlag,DiffOptVolumeHourlyOver,VolumeHourlyOver),W10,2),IF(OR(WeekDef=1,WeekDef=3,WeekDef=5,WeekDef=7,AND(WeekDef=8,CustomSaFlag,OR(CustomSaPeriod=1,CustomSaPeriod=3))),IF(VolumeMonthlyOverFlag,INDEX(IF(DiffOptVolumeFlag,DiffOptVolumeMonthlyOver,VolumeMonthlyOver),BJ24),IF(DiffOptVolumeFlag,DiffOptVolume,Volume)),0))</f>
        <v>600</v>
      </c>
      <c r="CC24" s="1647" t="n">
        <f aca="false">IF(AND(WeekDef=8,CustomSaFlag,CustomSaPeriod=4),INDEX(IF(DiffOptVolumeFlag,DiffOptVolumeHourlyOver,VolumeHourlyOver),X10,2),IF(OR(WeekDef=1,WeekDef=3,WeekDef=5,WeekDef=7,AND(WeekDef=8,CustomSaFlag,OR(CustomSaPeriod=1,CustomSaPeriod=3))),IF(VolumeMonthlyOverFlag,INDEX(IF(DiffOptVolumeFlag,DiffOptVolumeMonthlyOver,VolumeMonthlyOver),BJ24),IF(DiffOptVolumeFlag,DiffOptVolume,Volume)),0))</f>
        <v>600</v>
      </c>
      <c r="CD24" s="1647" t="n">
        <f aca="false">IF(AND(WeekDef=8,CustomSaFlag,CustomSaPeriod=4),INDEX(IF(DiffOptVolumeFlag,DiffOptVolumeHourlyOver,VolumeHourlyOver),Y10,2),IF(OR(WeekDef=1,WeekDef=3,WeekDef=5,WeekDef=7,AND(WeekDef=8,CustomSaFlag,OR(CustomSaPeriod=1,CustomSaPeriod=3))),IF(VolumeMonthlyOverFlag,INDEX(IF(DiffOptVolumeFlag,DiffOptVolumeMonthlyOver,VolumeMonthlyOver),BJ24),IF(DiffOptVolumeFlag,DiffOptVolume,Volume)),0))</f>
        <v>600</v>
      </c>
      <c r="CE24" s="1647" t="n">
        <f aca="false">IF(AND(WeekDef=8,CustomSaFlag,CustomSaPeriod=4),INDEX(IF(DiffOptVolumeFlag,DiffOptVolumeHourlyOver,VolumeHourlyOver),Z10,2),IF(OR(WeekDef=1,WeekDef=3,WeekDef=5,WeekDef=7,AND(WeekDef=8,CustomSaFlag,OR(CustomSaPeriod=1,CustomSaPeriod=3))),IF(VolumeMonthlyOverFlag,INDEX(IF(DiffOptVolumeFlag,DiffOptVolumeMonthlyOver,VolumeMonthlyOver),BJ24),IF(DiffOptVolumeFlag,DiffOptVolume,Volume)),0))</f>
        <v>600</v>
      </c>
      <c r="CF24" s="1647" t="n">
        <f aca="false">IF(AND(WeekDef=8,CustomSaFlag,CustomSaPeriod=4),INDEX(IF(DiffOptVolumeFlag,DiffOptVolumeHourlyOver,VolumeHourlyOver),AA10,2),IF(OR(WeekDef=1,WeekDef=3,WeekDef=5,WeekDef=7,AND(WeekDef=8,CustomSaFlag,OR(CustomSaPeriod=1,CustomSaPeriod=3))),IF(VolumeMonthlyOverFlag,INDEX(IF(DiffOptVolumeFlag,DiffOptVolumeMonthlyOver,VolumeMonthlyOver),BJ24),IF(DiffOptVolumeFlag,DiffOptVolume,Volume)),0))</f>
        <v>600</v>
      </c>
      <c r="CG24" s="1647" t="n">
        <f aca="false">IF(AND(WeekDef=8,CustomSaFlag,CustomSaPeriod=4),INDEX(IF(DiffOptVolumeFlag,DiffOptVolumeHourlyOver,VolumeHourlyOver),AB10,2),IF(OR(WeekDef=1,WeekDef=3,WeekDef=5,WeekDef=7,AND(WeekDef=8,CustomSaFlag,OR(CustomSaPeriod=1,CustomSaPeriod=3))),IF(VolumeMonthlyOverFlag,INDEX(IF(DiffOptVolumeFlag,DiffOptVolumeMonthlyOver,VolumeMonthlyOver),BJ24),IF(DiffOptVolumeFlag,DiffOptVolume,Volume)),0))</f>
        <v>600</v>
      </c>
      <c r="CH24" s="1648" t="n">
        <f aca="false">IF(AND(WeekDef=8,CustomSaFlag,CustomSaPeriod=4),INDEX(IF(DiffOptVolumeFlag,DiffOptVolumeHourlyOver,VolumeHourlyOver),AC10,2),IF(OR(WeekDef=1,WeekDef=3,WeekDef=5,WeekDef=7,AND(WeekDef=8,CustomSaFlag,OR(CustomSaPeriod=1,CustomSaPeriod=3))),IF(VolumeMonthlyOverFlag,INDEX(IF(DiffOptVolumeFlag,DiffOptVolumeMonthlyOver,VolumeMonthlyOver),BJ24),IF(DiffOptVolumeFlag,DiffOptVolume,Volume)),0))</f>
        <v>600</v>
      </c>
      <c r="CI24" s="1652" t="n">
        <f aca="false">SUM(BK24:BZ24)</f>
        <v>9600</v>
      </c>
      <c r="CJ24" s="1653" t="n">
        <f aca="false">SUM(CA24:CH24)</f>
        <v>4800</v>
      </c>
      <c r="CK24" s="1654" t="n">
        <f aca="false">CI24+CJ24</f>
        <v>14400</v>
      </c>
      <c r="CL24" s="1674" t="n">
        <f aca="false">IF(CI24,SUMPRODUCT(BK24:BZ24,F26:U26)/CI24,0)</f>
        <v>1.00000000745058</v>
      </c>
      <c r="CM24" s="1655" t="n">
        <f aca="false">IF(CJ24,SUMPRODUCT(CA24:CH24,V26:AC26)/CJ24,0)</f>
        <v>1.00000000745058</v>
      </c>
    </row>
    <row r="25" customFormat="false" ht="12.75" hidden="false" customHeight="false" outlineLevel="0" collapsed="false">
      <c r="C25" s="1658"/>
      <c r="D25" s="1658"/>
      <c r="E25" s="1636" t="n">
        <v>5</v>
      </c>
      <c r="F25" s="1677" t="n">
        <v>1.05027735233307</v>
      </c>
      <c r="G25" s="1678" t="n">
        <v>1.05016052722931</v>
      </c>
      <c r="H25" s="1678" t="n">
        <v>1.0424165725708</v>
      </c>
      <c r="I25" s="1678" t="n">
        <v>1.03351545333862</v>
      </c>
      <c r="J25" s="1678" t="n">
        <v>1.03103005886078</v>
      </c>
      <c r="K25" s="1678" t="n">
        <v>1.02039670944214</v>
      </c>
      <c r="L25" s="1678" t="n">
        <v>1.01900911331177</v>
      </c>
      <c r="M25" s="1678" t="n">
        <v>1.0093629360199</v>
      </c>
      <c r="N25" s="1678" t="n">
        <v>0.999541223049164</v>
      </c>
      <c r="O25" s="1678" t="n">
        <v>0.992741644382477</v>
      </c>
      <c r="P25" s="1678" t="n">
        <v>0.992073118686676</v>
      </c>
      <c r="Q25" s="1678" t="n">
        <v>0.986061930656433</v>
      </c>
      <c r="R25" s="1678" t="n">
        <v>0.985420405864716</v>
      </c>
      <c r="S25" s="1678" t="n">
        <v>0.976120412349701</v>
      </c>
      <c r="T25" s="1678" t="n">
        <v>0.944388926029205</v>
      </c>
      <c r="U25" s="1679" t="n">
        <v>0.867483615875244</v>
      </c>
      <c r="V25" s="1678" t="n">
        <v>1.17057406902313</v>
      </c>
      <c r="W25" s="1678" t="n">
        <v>1.06452572345734</v>
      </c>
      <c r="X25" s="1678" t="n">
        <v>1.04996955394745</v>
      </c>
      <c r="Y25" s="1678" t="n">
        <v>0.984701156616211</v>
      </c>
      <c r="Z25" s="1678" t="n">
        <v>0.95348584651947</v>
      </c>
      <c r="AA25" s="1678" t="n">
        <v>0.947810292243958</v>
      </c>
      <c r="AB25" s="1678" t="n">
        <v>0.916594982147217</v>
      </c>
      <c r="AC25" s="1679" t="n">
        <v>0.912338376045227</v>
      </c>
      <c r="AD25" s="1658"/>
      <c r="AE25" s="1636" t="n">
        <v>7</v>
      </c>
      <c r="AF25" s="1646" t="n">
        <f aca="false">IF(AND(WeekDef=8,CustomSaFlag,CustomSaPeriod=4),INDEX(VolumeHourlyOver,F11,2),IF(OR(WeekDef=1,WeekDef=2,WeekDef=5,WeekDef=6,AND(WeekDef=8,CustomSaFlag,OR(CustomSaPeriod=1,CustomSaPeriod=2))),IF(VolumeMonthlyOverFlag,INDEX(VolumeMonthlyOver,AE25),Volume),0))</f>
        <v>150</v>
      </c>
      <c r="AG25" s="1647" t="n">
        <f aca="false">IF(AND(WeekDef=8,CustomSaFlag,CustomSaPeriod=4),INDEX(VolumeHourlyOver,G11,2),IF(OR(WeekDef=1,WeekDef=2,WeekDef=5,WeekDef=6,AND(WeekDef=8,CustomSaFlag,OR(CustomSaPeriod=1,CustomSaPeriod=2))),IF(VolumeMonthlyOverFlag,INDEX(VolumeMonthlyOver,AE25),Volume),0))</f>
        <v>150</v>
      </c>
      <c r="AH25" s="1647" t="n">
        <f aca="false">IF(AND(WeekDef=8,CustomSaFlag,CustomSaPeriod=4),INDEX(VolumeHourlyOver,H11,2),IF(OR(WeekDef=1,WeekDef=2,WeekDef=5,WeekDef=6,AND(WeekDef=8,CustomSaFlag,OR(CustomSaPeriod=1,CustomSaPeriod=2))),IF(VolumeMonthlyOverFlag,INDEX(VolumeMonthlyOver,AE25),Volume),0))</f>
        <v>150</v>
      </c>
      <c r="AI25" s="1647" t="n">
        <f aca="false">IF(AND(WeekDef=8,CustomSaFlag,CustomSaPeriod=4),INDEX(VolumeHourlyOver,I11,2),IF(OR(WeekDef=1,WeekDef=2,WeekDef=5,WeekDef=6,AND(WeekDef=8,CustomSaFlag,OR(CustomSaPeriod=1,CustomSaPeriod=2))),IF(VolumeMonthlyOverFlag,INDEX(VolumeMonthlyOver,AE25),Volume),0))</f>
        <v>150</v>
      </c>
      <c r="AJ25" s="1647" t="n">
        <f aca="false">IF(AND(WeekDef=8,CustomSaFlag,CustomSaPeriod=4),INDEX(VolumeHourlyOver,J11,2),IF(OR(WeekDef=1,WeekDef=2,WeekDef=5,WeekDef=6,AND(WeekDef=8,CustomSaFlag,OR(CustomSaPeriod=1,CustomSaPeriod=2))),IF(VolumeMonthlyOverFlag,INDEX(VolumeMonthlyOver,AE25),Volume),0))</f>
        <v>150</v>
      </c>
      <c r="AK25" s="1647" t="n">
        <f aca="false">IF(AND(WeekDef=8,CustomSaFlag,CustomSaPeriod=4),INDEX(VolumeHourlyOver,K11,2),IF(OR(WeekDef=1,WeekDef=2,WeekDef=5,WeekDef=6,AND(WeekDef=8,CustomSaFlag,OR(CustomSaPeriod=1,CustomSaPeriod=2))),IF(VolumeMonthlyOverFlag,INDEX(VolumeMonthlyOver,AE25),Volume),0))</f>
        <v>150</v>
      </c>
      <c r="AL25" s="1647" t="n">
        <f aca="false">IF(AND(WeekDef=8,CustomSaFlag,CustomSaPeriod=4),INDEX(VolumeHourlyOver,L11,2),IF(OR(WeekDef=1,WeekDef=2,WeekDef=5,WeekDef=6,AND(WeekDef=8,CustomSaFlag,OR(CustomSaPeriod=1,CustomSaPeriod=2))),IF(VolumeMonthlyOverFlag,INDEX(VolumeMonthlyOver,AE25),Volume),0))</f>
        <v>150</v>
      </c>
      <c r="AM25" s="1647" t="n">
        <f aca="false">IF(AND(WeekDef=8,CustomSaFlag,CustomSaPeriod=4),INDEX(VolumeHourlyOver,M11,2),IF(OR(WeekDef=1,WeekDef=2,WeekDef=5,WeekDef=6,AND(WeekDef=8,CustomSaFlag,OR(CustomSaPeriod=1,CustomSaPeriod=2))),IF(VolumeMonthlyOverFlag,INDEX(VolumeMonthlyOver,AE25),Volume),0))</f>
        <v>150</v>
      </c>
      <c r="AN25" s="1647" t="n">
        <f aca="false">IF(AND(WeekDef=8,CustomSaFlag,CustomSaPeriod=4),INDEX(VolumeHourlyOver,N11,2),IF(OR(WeekDef=1,WeekDef=2,WeekDef=5,WeekDef=6,AND(WeekDef=8,CustomSaFlag,OR(CustomSaPeriod=1,CustomSaPeriod=2))),IF(VolumeMonthlyOverFlag,INDEX(VolumeMonthlyOver,AE25),Volume),0))</f>
        <v>150</v>
      </c>
      <c r="AO25" s="1647" t="n">
        <f aca="false">IF(AND(WeekDef=8,CustomSaFlag,CustomSaPeriod=4),INDEX(VolumeHourlyOver,O11,2),IF(OR(WeekDef=1,WeekDef=2,WeekDef=5,WeekDef=6,AND(WeekDef=8,CustomSaFlag,OR(CustomSaPeriod=1,CustomSaPeriod=2))),IF(VolumeMonthlyOverFlag,INDEX(VolumeMonthlyOver,AE25),Volume),0))</f>
        <v>150</v>
      </c>
      <c r="AP25" s="1647" t="n">
        <f aca="false">IF(AND(WeekDef=8,CustomSaFlag,CustomSaPeriod=4),INDEX(VolumeHourlyOver,P11,2),IF(OR(WeekDef=1,WeekDef=2,WeekDef=5,WeekDef=6,AND(WeekDef=8,CustomSaFlag,OR(CustomSaPeriod=1,CustomSaPeriod=2))),IF(VolumeMonthlyOverFlag,INDEX(VolumeMonthlyOver,AE25),Volume),0))</f>
        <v>150</v>
      </c>
      <c r="AQ25" s="1647" t="n">
        <f aca="false">IF(AND(WeekDef=8,CustomSaFlag,CustomSaPeriod=4),INDEX(VolumeHourlyOver,Q11,2),IF(OR(WeekDef=1,WeekDef=2,WeekDef=5,WeekDef=6,AND(WeekDef=8,CustomSaFlag,OR(CustomSaPeriod=1,CustomSaPeriod=2))),IF(VolumeMonthlyOverFlag,INDEX(VolumeMonthlyOver,AE25),Volume),0))</f>
        <v>150</v>
      </c>
      <c r="AR25" s="1647" t="n">
        <f aca="false">IF(AND(WeekDef=8,CustomSaFlag,CustomSaPeriod=4),INDEX(VolumeHourlyOver,R11,2),IF(OR(WeekDef=1,WeekDef=2,WeekDef=5,WeekDef=6,AND(WeekDef=8,CustomSaFlag,OR(CustomSaPeriod=1,CustomSaPeriod=2))),IF(VolumeMonthlyOverFlag,INDEX(VolumeMonthlyOver,AE25),Volume),0))</f>
        <v>150</v>
      </c>
      <c r="AS25" s="1647" t="n">
        <f aca="false">IF(AND(WeekDef=8,CustomSaFlag,CustomSaPeriod=4),INDEX(VolumeHourlyOver,S11,2),IF(OR(WeekDef=1,WeekDef=2,WeekDef=5,WeekDef=6,AND(WeekDef=8,CustomSaFlag,OR(CustomSaPeriod=1,CustomSaPeriod=2))),IF(VolumeMonthlyOverFlag,INDEX(VolumeMonthlyOver,AE25),Volume),0))</f>
        <v>150</v>
      </c>
      <c r="AT25" s="1647" t="n">
        <f aca="false">IF(AND(WeekDef=8,CustomSaFlag,CustomSaPeriod=4),INDEX(VolumeHourlyOver,T11,2),IF(OR(WeekDef=1,WeekDef=2,WeekDef=5,WeekDef=6,AND(WeekDef=8,CustomSaFlag,OR(CustomSaPeriod=1,CustomSaPeriod=2))),IF(VolumeMonthlyOverFlag,INDEX(VolumeMonthlyOver,AE25),Volume),0))</f>
        <v>150</v>
      </c>
      <c r="AU25" s="1648" t="n">
        <f aca="false">IF(AND(WeekDef=8,CustomSaFlag,CustomSaPeriod=4),INDEX(VolumeHourlyOver,U11,2),IF(OR(WeekDef=1,WeekDef=2,WeekDef=5,WeekDef=6,AND(WeekDef=8,CustomSaFlag,OR(CustomSaPeriod=1,CustomSaPeriod=2))),IF(VolumeMonthlyOverFlag,INDEX(VolumeMonthlyOver,AE25),Volume),0))</f>
        <v>150</v>
      </c>
      <c r="AV25" s="1647" t="n">
        <f aca="false">IF(AND(WeekDef=8,CustomSaFlag,CustomSaPeriod=4),INDEX(VolumeHourlyOver,V11,2),IF(OR(WeekDef=1,WeekDef=3,WeekDef=5,WeekDef=7,AND(WeekDef=8,CustomSaFlag,OR(CustomSaPeriod=1,CustomSaPeriod=3))),IF(VolumeMonthlyOverFlag,INDEX(VolumeMonthlyOver,AE25),Volume),0))</f>
        <v>150</v>
      </c>
      <c r="AW25" s="1647" t="n">
        <f aca="false">IF(AND(WeekDef=8,CustomSaFlag,CustomSaPeriod=4),INDEX(VolumeHourlyOver,W11,2),IF(OR(WeekDef=1,WeekDef=3,WeekDef=5,WeekDef=7,AND(WeekDef=8,CustomSaFlag,OR(CustomSaPeriod=1,CustomSaPeriod=3))),IF(VolumeMonthlyOverFlag,INDEX(VolumeMonthlyOver,AE25),Volume),0))</f>
        <v>150</v>
      </c>
      <c r="AX25" s="1647" t="n">
        <f aca="false">IF(AND(WeekDef=8,CustomSaFlag,CustomSaPeriod=4),INDEX(VolumeHourlyOver,X11,2),IF(OR(WeekDef=1,WeekDef=3,WeekDef=5,WeekDef=7,AND(WeekDef=8,CustomSaFlag,OR(CustomSaPeriod=1,CustomSaPeriod=3))),IF(VolumeMonthlyOverFlag,INDEX(VolumeMonthlyOver,AE25),Volume),0))</f>
        <v>150</v>
      </c>
      <c r="AY25" s="1647" t="n">
        <f aca="false">IF(AND(WeekDef=8,CustomSaFlag,CustomSaPeriod=4),INDEX(VolumeHourlyOver,Y11,2),IF(OR(WeekDef=1,WeekDef=3,WeekDef=5,WeekDef=7,AND(WeekDef=8,CustomSaFlag,OR(CustomSaPeriod=1,CustomSaPeriod=3))),IF(VolumeMonthlyOverFlag,INDEX(VolumeMonthlyOver,AE25),Volume),0))</f>
        <v>150</v>
      </c>
      <c r="AZ25" s="1647" t="n">
        <f aca="false">IF(AND(WeekDef=8,CustomSaFlag,CustomSaPeriod=4),INDEX(VolumeHourlyOver,Z11,2),IF(OR(WeekDef=1,WeekDef=3,WeekDef=5,WeekDef=7,AND(WeekDef=8,CustomSaFlag,OR(CustomSaPeriod=1,CustomSaPeriod=3))),IF(VolumeMonthlyOverFlag,INDEX(VolumeMonthlyOver,AE25),Volume),0))</f>
        <v>150</v>
      </c>
      <c r="BA25" s="1647" t="n">
        <f aca="false">IF(AND(WeekDef=8,CustomSaFlag,CustomSaPeriod=4),INDEX(VolumeHourlyOver,AA11,2),IF(OR(WeekDef=1,WeekDef=3,WeekDef=5,WeekDef=7,AND(WeekDef=8,CustomSaFlag,OR(CustomSaPeriod=1,CustomSaPeriod=3))),IF(VolumeMonthlyOverFlag,INDEX(VolumeMonthlyOver,AE25),Volume),0))</f>
        <v>150</v>
      </c>
      <c r="BB25" s="1647" t="n">
        <f aca="false">IF(AND(WeekDef=8,CustomSaFlag,CustomSaPeriod=4),INDEX(VolumeHourlyOver,AB11,2),IF(OR(WeekDef=1,WeekDef=3,WeekDef=5,WeekDef=7,AND(WeekDef=8,CustomSaFlag,OR(CustomSaPeriod=1,CustomSaPeriod=3))),IF(VolumeMonthlyOverFlag,INDEX(VolumeMonthlyOver,AE25),Volume),0))</f>
        <v>150</v>
      </c>
      <c r="BC25" s="1648" t="n">
        <f aca="false">IF(AND(WeekDef=8,CustomSaFlag,CustomSaPeriod=4),INDEX(VolumeHourlyOver,AC11,2),IF(OR(WeekDef=1,WeekDef=3,WeekDef=5,WeekDef=7,AND(WeekDef=8,CustomSaFlag,OR(CustomSaPeriod=1,CustomSaPeriod=3))),IF(VolumeMonthlyOverFlag,INDEX(VolumeMonthlyOver,AE25),Volume),0))</f>
        <v>150</v>
      </c>
      <c r="BD25" s="1652" t="n">
        <f aca="false">SUM(AF25:AU25)</f>
        <v>2400</v>
      </c>
      <c r="BE25" s="1653" t="n">
        <f aca="false">SUM(AV25:BC25)</f>
        <v>1200</v>
      </c>
      <c r="BF25" s="1654" t="n">
        <f aca="false">BD25+BE25</f>
        <v>3600</v>
      </c>
      <c r="BG25" s="1674" t="n">
        <f aca="false">IF(BD25,SUMPRODUCT(AF25:AU25,F27:U27)/BD25,0)</f>
        <v>1.00000000372529</v>
      </c>
      <c r="BH25" s="1655" t="n">
        <f aca="false">IF(BE25,SUMPRODUCT(AV25:BC25,V27:AC27)/BE25,0)</f>
        <v>0.999999985098839</v>
      </c>
      <c r="BJ25" s="1636" t="n">
        <v>7</v>
      </c>
      <c r="BK25" s="1646" t="n">
        <f aca="false">IF(AND(WeekDef=8,CustomSaFlag,CustomSaPeriod=4),INDEX(IF(DiffOptVolumeFlag,DiffOptVolumeHourlyOver,VolumeHourlyOver),F11,2),IF(OR(WeekDef=1,WeekDef=2,WeekDef=5,WeekDef=6,AND(WeekDef=8,CustomSaFlag,OR(CustomSaPeriod=1,CustomSaPeriod=2))),IF(VolumeMonthlyOverFlag,INDEX(IF(DiffOptVolumeFlag,DiffOptVolumeMonthlyOver,VolumeMonthlyOver),BJ25),IF(DiffOptVolumeFlag,DiffOptVolume,Volume)),0))</f>
        <v>600</v>
      </c>
      <c r="BL25" s="1647" t="n">
        <f aca="false">IF(AND(WeekDef=8,CustomSaFlag,CustomSaPeriod=4),INDEX(IF(DiffOptVolumeFlag,DiffOptVolumeHourlyOver,VolumeHourlyOver),G11,2),IF(OR(WeekDef=1,WeekDef=2,WeekDef=5,WeekDef=6,AND(WeekDef=8,CustomSaFlag,OR(CustomSaPeriod=1,CustomSaPeriod=2))),IF(VolumeMonthlyOverFlag,INDEX(IF(DiffOptVolumeFlag,DiffOptVolumeMonthlyOver,VolumeMonthlyOver),BJ25),IF(DiffOptVolumeFlag,DiffOptVolume,Volume)),0))</f>
        <v>600</v>
      </c>
      <c r="BM25" s="1647" t="n">
        <f aca="false">IF(AND(WeekDef=8,CustomSaFlag,CustomSaPeriod=4),INDEX(IF(DiffOptVolumeFlag,DiffOptVolumeHourlyOver,VolumeHourlyOver),H11,2),IF(OR(WeekDef=1,WeekDef=2,WeekDef=5,WeekDef=6,AND(WeekDef=8,CustomSaFlag,OR(CustomSaPeriod=1,CustomSaPeriod=2))),IF(VolumeMonthlyOverFlag,INDEX(IF(DiffOptVolumeFlag,DiffOptVolumeMonthlyOver,VolumeMonthlyOver),BJ25),IF(DiffOptVolumeFlag,DiffOptVolume,Volume)),0))</f>
        <v>600</v>
      </c>
      <c r="BN25" s="1647" t="n">
        <f aca="false">IF(AND(WeekDef=8,CustomSaFlag,CustomSaPeriod=4),INDEX(IF(DiffOptVolumeFlag,DiffOptVolumeHourlyOver,VolumeHourlyOver),I11,2),IF(OR(WeekDef=1,WeekDef=2,WeekDef=5,WeekDef=6,AND(WeekDef=8,CustomSaFlag,OR(CustomSaPeriod=1,CustomSaPeriod=2))),IF(VolumeMonthlyOverFlag,INDEX(IF(DiffOptVolumeFlag,DiffOptVolumeMonthlyOver,VolumeMonthlyOver),BJ25),IF(DiffOptVolumeFlag,DiffOptVolume,Volume)),0))</f>
        <v>600</v>
      </c>
      <c r="BO25" s="1647" t="n">
        <f aca="false">IF(AND(WeekDef=8,CustomSaFlag,CustomSaPeriod=4),INDEX(IF(DiffOptVolumeFlag,DiffOptVolumeHourlyOver,VolumeHourlyOver),J11,2),IF(OR(WeekDef=1,WeekDef=2,WeekDef=5,WeekDef=6,AND(WeekDef=8,CustomSaFlag,OR(CustomSaPeriod=1,CustomSaPeriod=2))),IF(VolumeMonthlyOverFlag,INDEX(IF(DiffOptVolumeFlag,DiffOptVolumeMonthlyOver,VolumeMonthlyOver),BJ25),IF(DiffOptVolumeFlag,DiffOptVolume,Volume)),0))</f>
        <v>600</v>
      </c>
      <c r="BP25" s="1647" t="n">
        <f aca="false">IF(AND(WeekDef=8,CustomSaFlag,CustomSaPeriod=4),INDEX(IF(DiffOptVolumeFlag,DiffOptVolumeHourlyOver,VolumeHourlyOver),K11,2),IF(OR(WeekDef=1,WeekDef=2,WeekDef=5,WeekDef=6,AND(WeekDef=8,CustomSaFlag,OR(CustomSaPeriod=1,CustomSaPeriod=2))),IF(VolumeMonthlyOverFlag,INDEX(IF(DiffOptVolumeFlag,DiffOptVolumeMonthlyOver,VolumeMonthlyOver),BJ25),IF(DiffOptVolumeFlag,DiffOptVolume,Volume)),0))</f>
        <v>600</v>
      </c>
      <c r="BQ25" s="1647" t="n">
        <f aca="false">IF(AND(WeekDef=8,CustomSaFlag,CustomSaPeriod=4),INDEX(IF(DiffOptVolumeFlag,DiffOptVolumeHourlyOver,VolumeHourlyOver),L11,2),IF(OR(WeekDef=1,WeekDef=2,WeekDef=5,WeekDef=6,AND(WeekDef=8,CustomSaFlag,OR(CustomSaPeriod=1,CustomSaPeriod=2))),IF(VolumeMonthlyOverFlag,INDEX(IF(DiffOptVolumeFlag,DiffOptVolumeMonthlyOver,VolumeMonthlyOver),BJ25),IF(DiffOptVolumeFlag,DiffOptVolume,Volume)),0))</f>
        <v>600</v>
      </c>
      <c r="BR25" s="1647" t="n">
        <f aca="false">IF(AND(WeekDef=8,CustomSaFlag,CustomSaPeriod=4),INDEX(IF(DiffOptVolumeFlag,DiffOptVolumeHourlyOver,VolumeHourlyOver),M11,2),IF(OR(WeekDef=1,WeekDef=2,WeekDef=5,WeekDef=6,AND(WeekDef=8,CustomSaFlag,OR(CustomSaPeriod=1,CustomSaPeriod=2))),IF(VolumeMonthlyOverFlag,INDEX(IF(DiffOptVolumeFlag,DiffOptVolumeMonthlyOver,VolumeMonthlyOver),BJ25),IF(DiffOptVolumeFlag,DiffOptVolume,Volume)),0))</f>
        <v>600</v>
      </c>
      <c r="BS25" s="1647" t="n">
        <f aca="false">IF(AND(WeekDef=8,CustomSaFlag,CustomSaPeriod=4),INDEX(IF(DiffOptVolumeFlag,DiffOptVolumeHourlyOver,VolumeHourlyOver),N11,2),IF(OR(WeekDef=1,WeekDef=2,WeekDef=5,WeekDef=6,AND(WeekDef=8,CustomSaFlag,OR(CustomSaPeriod=1,CustomSaPeriod=2))),IF(VolumeMonthlyOverFlag,INDEX(IF(DiffOptVolumeFlag,DiffOptVolumeMonthlyOver,VolumeMonthlyOver),BJ25),IF(DiffOptVolumeFlag,DiffOptVolume,Volume)),0))</f>
        <v>600</v>
      </c>
      <c r="BT25" s="1647" t="n">
        <f aca="false">IF(AND(WeekDef=8,CustomSaFlag,CustomSaPeriod=4),INDEX(IF(DiffOptVolumeFlag,DiffOptVolumeHourlyOver,VolumeHourlyOver),O11,2),IF(OR(WeekDef=1,WeekDef=2,WeekDef=5,WeekDef=6,AND(WeekDef=8,CustomSaFlag,OR(CustomSaPeriod=1,CustomSaPeriod=2))),IF(VolumeMonthlyOverFlag,INDEX(IF(DiffOptVolumeFlag,DiffOptVolumeMonthlyOver,VolumeMonthlyOver),BJ25),IF(DiffOptVolumeFlag,DiffOptVolume,Volume)),0))</f>
        <v>600</v>
      </c>
      <c r="BU25" s="1647" t="n">
        <f aca="false">IF(AND(WeekDef=8,CustomSaFlag,CustomSaPeriod=4),INDEX(IF(DiffOptVolumeFlag,DiffOptVolumeHourlyOver,VolumeHourlyOver),P11,2),IF(OR(WeekDef=1,WeekDef=2,WeekDef=5,WeekDef=6,AND(WeekDef=8,CustomSaFlag,OR(CustomSaPeriod=1,CustomSaPeriod=2))),IF(VolumeMonthlyOverFlag,INDEX(IF(DiffOptVolumeFlag,DiffOptVolumeMonthlyOver,VolumeMonthlyOver),BJ25),IF(DiffOptVolumeFlag,DiffOptVolume,Volume)),0))</f>
        <v>600</v>
      </c>
      <c r="BV25" s="1647" t="n">
        <f aca="false">IF(AND(WeekDef=8,CustomSaFlag,CustomSaPeriod=4),INDEX(IF(DiffOptVolumeFlag,DiffOptVolumeHourlyOver,VolumeHourlyOver),Q11,2),IF(OR(WeekDef=1,WeekDef=2,WeekDef=5,WeekDef=6,AND(WeekDef=8,CustomSaFlag,OR(CustomSaPeriod=1,CustomSaPeriod=2))),IF(VolumeMonthlyOverFlag,INDEX(IF(DiffOptVolumeFlag,DiffOptVolumeMonthlyOver,VolumeMonthlyOver),BJ25),IF(DiffOptVolumeFlag,DiffOptVolume,Volume)),0))</f>
        <v>600</v>
      </c>
      <c r="BW25" s="1647" t="n">
        <f aca="false">IF(AND(WeekDef=8,CustomSaFlag,CustomSaPeriod=4),INDEX(IF(DiffOptVolumeFlag,DiffOptVolumeHourlyOver,VolumeHourlyOver),R11,2),IF(OR(WeekDef=1,WeekDef=2,WeekDef=5,WeekDef=6,AND(WeekDef=8,CustomSaFlag,OR(CustomSaPeriod=1,CustomSaPeriod=2))),IF(VolumeMonthlyOverFlag,INDEX(IF(DiffOptVolumeFlag,DiffOptVolumeMonthlyOver,VolumeMonthlyOver),BJ25),IF(DiffOptVolumeFlag,DiffOptVolume,Volume)),0))</f>
        <v>600</v>
      </c>
      <c r="BX25" s="1647" t="n">
        <f aca="false">IF(AND(WeekDef=8,CustomSaFlag,CustomSaPeriod=4),INDEX(IF(DiffOptVolumeFlag,DiffOptVolumeHourlyOver,VolumeHourlyOver),S11,2),IF(OR(WeekDef=1,WeekDef=2,WeekDef=5,WeekDef=6,AND(WeekDef=8,CustomSaFlag,OR(CustomSaPeriod=1,CustomSaPeriod=2))),IF(VolumeMonthlyOverFlag,INDEX(IF(DiffOptVolumeFlag,DiffOptVolumeMonthlyOver,VolumeMonthlyOver),BJ25),IF(DiffOptVolumeFlag,DiffOptVolume,Volume)),0))</f>
        <v>600</v>
      </c>
      <c r="BY25" s="1647" t="n">
        <f aca="false">IF(AND(WeekDef=8,CustomSaFlag,CustomSaPeriod=4),INDEX(IF(DiffOptVolumeFlag,DiffOptVolumeHourlyOver,VolumeHourlyOver),T11,2),IF(OR(WeekDef=1,WeekDef=2,WeekDef=5,WeekDef=6,AND(WeekDef=8,CustomSaFlag,OR(CustomSaPeriod=1,CustomSaPeriod=2))),IF(VolumeMonthlyOverFlag,INDEX(IF(DiffOptVolumeFlag,DiffOptVolumeMonthlyOver,VolumeMonthlyOver),BJ25),IF(DiffOptVolumeFlag,DiffOptVolume,Volume)),0))</f>
        <v>600</v>
      </c>
      <c r="BZ25" s="1648" t="n">
        <f aca="false">IF(AND(WeekDef=8,CustomSaFlag,CustomSaPeriod=4),INDEX(IF(DiffOptVolumeFlag,DiffOptVolumeHourlyOver,VolumeHourlyOver),U11,2),IF(OR(WeekDef=1,WeekDef=2,WeekDef=5,WeekDef=6,AND(WeekDef=8,CustomSaFlag,OR(CustomSaPeriod=1,CustomSaPeriod=2))),IF(VolumeMonthlyOverFlag,INDEX(IF(DiffOptVolumeFlag,DiffOptVolumeMonthlyOver,VolumeMonthlyOver),BJ25),IF(DiffOptVolumeFlag,DiffOptVolume,Volume)),0))</f>
        <v>600</v>
      </c>
      <c r="CA25" s="1647" t="n">
        <f aca="false">IF(AND(WeekDef=8,CustomSaFlag,CustomSaPeriod=4),INDEX(IF(DiffOptVolumeFlag,DiffOptVolumeHourlyOver,VolumeHourlyOver),V11,2),IF(OR(WeekDef=1,WeekDef=3,WeekDef=5,WeekDef=7,AND(WeekDef=8,CustomSaFlag,OR(CustomSaPeriod=1,CustomSaPeriod=3))),IF(VolumeMonthlyOverFlag,INDEX(IF(DiffOptVolumeFlag,DiffOptVolumeMonthlyOver,VolumeMonthlyOver),BJ25),IF(DiffOptVolumeFlag,DiffOptVolume,Volume)),0))</f>
        <v>600</v>
      </c>
      <c r="CB25" s="1647" t="n">
        <f aca="false">IF(AND(WeekDef=8,CustomSaFlag,CustomSaPeriod=4),INDEX(IF(DiffOptVolumeFlag,DiffOptVolumeHourlyOver,VolumeHourlyOver),W11,2),IF(OR(WeekDef=1,WeekDef=3,WeekDef=5,WeekDef=7,AND(WeekDef=8,CustomSaFlag,OR(CustomSaPeriod=1,CustomSaPeriod=3))),IF(VolumeMonthlyOverFlag,INDEX(IF(DiffOptVolumeFlag,DiffOptVolumeMonthlyOver,VolumeMonthlyOver),BJ25),IF(DiffOptVolumeFlag,DiffOptVolume,Volume)),0))</f>
        <v>600</v>
      </c>
      <c r="CC25" s="1647" t="n">
        <f aca="false">IF(AND(WeekDef=8,CustomSaFlag,CustomSaPeriod=4),INDEX(IF(DiffOptVolumeFlag,DiffOptVolumeHourlyOver,VolumeHourlyOver),X11,2),IF(OR(WeekDef=1,WeekDef=3,WeekDef=5,WeekDef=7,AND(WeekDef=8,CustomSaFlag,OR(CustomSaPeriod=1,CustomSaPeriod=3))),IF(VolumeMonthlyOverFlag,INDEX(IF(DiffOptVolumeFlag,DiffOptVolumeMonthlyOver,VolumeMonthlyOver),BJ25),IF(DiffOptVolumeFlag,DiffOptVolume,Volume)),0))</f>
        <v>600</v>
      </c>
      <c r="CD25" s="1647" t="n">
        <f aca="false">IF(AND(WeekDef=8,CustomSaFlag,CustomSaPeriod=4),INDEX(IF(DiffOptVolumeFlag,DiffOptVolumeHourlyOver,VolumeHourlyOver),Y11,2),IF(OR(WeekDef=1,WeekDef=3,WeekDef=5,WeekDef=7,AND(WeekDef=8,CustomSaFlag,OR(CustomSaPeriod=1,CustomSaPeriod=3))),IF(VolumeMonthlyOverFlag,INDEX(IF(DiffOptVolumeFlag,DiffOptVolumeMonthlyOver,VolumeMonthlyOver),BJ25),IF(DiffOptVolumeFlag,DiffOptVolume,Volume)),0))</f>
        <v>600</v>
      </c>
      <c r="CE25" s="1647" t="n">
        <f aca="false">IF(AND(WeekDef=8,CustomSaFlag,CustomSaPeriod=4),INDEX(IF(DiffOptVolumeFlag,DiffOptVolumeHourlyOver,VolumeHourlyOver),Z11,2),IF(OR(WeekDef=1,WeekDef=3,WeekDef=5,WeekDef=7,AND(WeekDef=8,CustomSaFlag,OR(CustomSaPeriod=1,CustomSaPeriod=3))),IF(VolumeMonthlyOverFlag,INDEX(IF(DiffOptVolumeFlag,DiffOptVolumeMonthlyOver,VolumeMonthlyOver),BJ25),IF(DiffOptVolumeFlag,DiffOptVolume,Volume)),0))</f>
        <v>600</v>
      </c>
      <c r="CF25" s="1647" t="n">
        <f aca="false">IF(AND(WeekDef=8,CustomSaFlag,CustomSaPeriod=4),INDEX(IF(DiffOptVolumeFlag,DiffOptVolumeHourlyOver,VolumeHourlyOver),AA11,2),IF(OR(WeekDef=1,WeekDef=3,WeekDef=5,WeekDef=7,AND(WeekDef=8,CustomSaFlag,OR(CustomSaPeriod=1,CustomSaPeriod=3))),IF(VolumeMonthlyOverFlag,INDEX(IF(DiffOptVolumeFlag,DiffOptVolumeMonthlyOver,VolumeMonthlyOver),BJ25),IF(DiffOptVolumeFlag,DiffOptVolume,Volume)),0))</f>
        <v>600</v>
      </c>
      <c r="CG25" s="1647" t="n">
        <f aca="false">IF(AND(WeekDef=8,CustomSaFlag,CustomSaPeriod=4),INDEX(IF(DiffOptVolumeFlag,DiffOptVolumeHourlyOver,VolumeHourlyOver),AB11,2),IF(OR(WeekDef=1,WeekDef=3,WeekDef=5,WeekDef=7,AND(WeekDef=8,CustomSaFlag,OR(CustomSaPeriod=1,CustomSaPeriod=3))),IF(VolumeMonthlyOverFlag,INDEX(IF(DiffOptVolumeFlag,DiffOptVolumeMonthlyOver,VolumeMonthlyOver),BJ25),IF(DiffOptVolumeFlag,DiffOptVolume,Volume)),0))</f>
        <v>600</v>
      </c>
      <c r="CH25" s="1648" t="n">
        <f aca="false">IF(AND(WeekDef=8,CustomSaFlag,CustomSaPeriod=4),INDEX(IF(DiffOptVolumeFlag,DiffOptVolumeHourlyOver,VolumeHourlyOver),AC11,2),IF(OR(WeekDef=1,WeekDef=3,WeekDef=5,WeekDef=7,AND(WeekDef=8,CustomSaFlag,OR(CustomSaPeriod=1,CustomSaPeriod=3))),IF(VolumeMonthlyOverFlag,INDEX(IF(DiffOptVolumeFlag,DiffOptVolumeMonthlyOver,VolumeMonthlyOver),BJ25),IF(DiffOptVolumeFlag,DiffOptVolume,Volume)),0))</f>
        <v>600</v>
      </c>
      <c r="CI25" s="1652" t="n">
        <f aca="false">SUM(BK25:BZ25)</f>
        <v>9600</v>
      </c>
      <c r="CJ25" s="1653" t="n">
        <f aca="false">SUM(CA25:CH25)</f>
        <v>4800</v>
      </c>
      <c r="CK25" s="1654" t="n">
        <f aca="false">CI25+CJ25</f>
        <v>14400</v>
      </c>
      <c r="CL25" s="1674" t="n">
        <f aca="false">IF(CI25,SUMPRODUCT(BK25:BZ25,F27:U27)/CI25,0)</f>
        <v>1.00000000372529</v>
      </c>
      <c r="CM25" s="1655" t="n">
        <f aca="false">IF(CJ25,SUMPRODUCT(CA25:CH25,V27:AC27)/CJ25,0)</f>
        <v>0.999999985098839</v>
      </c>
    </row>
    <row r="26" customFormat="false" ht="12.75" hidden="false" customHeight="false" outlineLevel="0" collapsed="false">
      <c r="C26" s="1658"/>
      <c r="D26" s="1658"/>
      <c r="E26" s="1636" t="n">
        <v>6</v>
      </c>
      <c r="F26" s="1677" t="n">
        <v>1.08283662796021</v>
      </c>
      <c r="G26" s="1678" t="n">
        <v>1.07643294334412</v>
      </c>
      <c r="H26" s="1678" t="n">
        <v>1.06794214248657</v>
      </c>
      <c r="I26" s="1678" t="n">
        <v>1.06485891342163</v>
      </c>
      <c r="J26" s="1678" t="n">
        <v>1.05399632453918</v>
      </c>
      <c r="K26" s="1678" t="n">
        <v>1.03929162025452</v>
      </c>
      <c r="L26" s="1678" t="n">
        <v>1.0282393693924</v>
      </c>
      <c r="M26" s="1678" t="n">
        <v>1.02316391468048</v>
      </c>
      <c r="N26" s="1678" t="n">
        <v>1.01871526241303</v>
      </c>
      <c r="O26" s="1678" t="n">
        <v>1.00044274330139</v>
      </c>
      <c r="P26" s="1678" t="n">
        <v>0.998071014881134</v>
      </c>
      <c r="Q26" s="1678" t="n">
        <v>0.992498338222504</v>
      </c>
      <c r="R26" s="1678" t="n">
        <v>0.961787045001984</v>
      </c>
      <c r="S26" s="1678" t="n">
        <v>0.934461236000061</v>
      </c>
      <c r="T26" s="1678" t="n">
        <v>0.867009222507477</v>
      </c>
      <c r="U26" s="1679" t="n">
        <v>0.790253400802612</v>
      </c>
      <c r="V26" s="1678" t="n">
        <v>1.18639826774597</v>
      </c>
      <c r="W26" s="1678" t="n">
        <v>1.06646680831909</v>
      </c>
      <c r="X26" s="1678" t="n">
        <v>1.02214980125427</v>
      </c>
      <c r="Y26" s="1678" t="n">
        <v>0.988062679767609</v>
      </c>
      <c r="Z26" s="1678" t="n">
        <v>0.947811663150787</v>
      </c>
      <c r="AA26" s="1678" t="n">
        <v>0.937804579734802</v>
      </c>
      <c r="AB26" s="1678" t="n">
        <v>0.927797496318817</v>
      </c>
      <c r="AC26" s="1679" t="n">
        <v>0.923508763313294</v>
      </c>
      <c r="AD26" s="1658"/>
      <c r="AE26" s="1636" t="n">
        <v>8</v>
      </c>
      <c r="AF26" s="1646" t="n">
        <f aca="false">IF(AND(WeekDef=8,CustomSaFlag,CustomSaPeriod=4),INDEX(VolumeHourlyOver,F12,2),IF(OR(WeekDef=1,WeekDef=2,WeekDef=5,WeekDef=6,AND(WeekDef=8,CustomSaFlag,OR(CustomSaPeriod=1,CustomSaPeriod=2))),IF(VolumeMonthlyOverFlag,INDEX(VolumeMonthlyOver,AE26),Volume),0))</f>
        <v>150</v>
      </c>
      <c r="AG26" s="1647" t="n">
        <f aca="false">IF(AND(WeekDef=8,CustomSaFlag,CustomSaPeriod=4),INDEX(VolumeHourlyOver,G12,2),IF(OR(WeekDef=1,WeekDef=2,WeekDef=5,WeekDef=6,AND(WeekDef=8,CustomSaFlag,OR(CustomSaPeriod=1,CustomSaPeriod=2))),IF(VolumeMonthlyOverFlag,INDEX(VolumeMonthlyOver,AE26),Volume),0))</f>
        <v>150</v>
      </c>
      <c r="AH26" s="1647" t="n">
        <f aca="false">IF(AND(WeekDef=8,CustomSaFlag,CustomSaPeriod=4),INDEX(VolumeHourlyOver,H12,2),IF(OR(WeekDef=1,WeekDef=2,WeekDef=5,WeekDef=6,AND(WeekDef=8,CustomSaFlag,OR(CustomSaPeriod=1,CustomSaPeriod=2))),IF(VolumeMonthlyOverFlag,INDEX(VolumeMonthlyOver,AE26),Volume),0))</f>
        <v>150</v>
      </c>
      <c r="AI26" s="1647" t="n">
        <f aca="false">IF(AND(WeekDef=8,CustomSaFlag,CustomSaPeriod=4),INDEX(VolumeHourlyOver,I12,2),IF(OR(WeekDef=1,WeekDef=2,WeekDef=5,WeekDef=6,AND(WeekDef=8,CustomSaFlag,OR(CustomSaPeriod=1,CustomSaPeriod=2))),IF(VolumeMonthlyOverFlag,INDEX(VolumeMonthlyOver,AE26),Volume),0))</f>
        <v>150</v>
      </c>
      <c r="AJ26" s="1647" t="n">
        <f aca="false">IF(AND(WeekDef=8,CustomSaFlag,CustomSaPeriod=4),INDEX(VolumeHourlyOver,J12,2),IF(OR(WeekDef=1,WeekDef=2,WeekDef=5,WeekDef=6,AND(WeekDef=8,CustomSaFlag,OR(CustomSaPeriod=1,CustomSaPeriod=2))),IF(VolumeMonthlyOverFlag,INDEX(VolumeMonthlyOver,AE26),Volume),0))</f>
        <v>150</v>
      </c>
      <c r="AK26" s="1647" t="n">
        <f aca="false">IF(AND(WeekDef=8,CustomSaFlag,CustomSaPeriod=4),INDEX(VolumeHourlyOver,K12,2),IF(OR(WeekDef=1,WeekDef=2,WeekDef=5,WeekDef=6,AND(WeekDef=8,CustomSaFlag,OR(CustomSaPeriod=1,CustomSaPeriod=2))),IF(VolumeMonthlyOverFlag,INDEX(VolumeMonthlyOver,AE26),Volume),0))</f>
        <v>150</v>
      </c>
      <c r="AL26" s="1647" t="n">
        <f aca="false">IF(AND(WeekDef=8,CustomSaFlag,CustomSaPeriod=4),INDEX(VolumeHourlyOver,L12,2),IF(OR(WeekDef=1,WeekDef=2,WeekDef=5,WeekDef=6,AND(WeekDef=8,CustomSaFlag,OR(CustomSaPeriod=1,CustomSaPeriod=2))),IF(VolumeMonthlyOverFlag,INDEX(VolumeMonthlyOver,AE26),Volume),0))</f>
        <v>150</v>
      </c>
      <c r="AM26" s="1647" t="n">
        <f aca="false">IF(AND(WeekDef=8,CustomSaFlag,CustomSaPeriod=4),INDEX(VolumeHourlyOver,M12,2),IF(OR(WeekDef=1,WeekDef=2,WeekDef=5,WeekDef=6,AND(WeekDef=8,CustomSaFlag,OR(CustomSaPeriod=1,CustomSaPeriod=2))),IF(VolumeMonthlyOverFlag,INDEX(VolumeMonthlyOver,AE26),Volume),0))</f>
        <v>150</v>
      </c>
      <c r="AN26" s="1647" t="n">
        <f aca="false">IF(AND(WeekDef=8,CustomSaFlag,CustomSaPeriod=4),INDEX(VolumeHourlyOver,N12,2),IF(OR(WeekDef=1,WeekDef=2,WeekDef=5,WeekDef=6,AND(WeekDef=8,CustomSaFlag,OR(CustomSaPeriod=1,CustomSaPeriod=2))),IF(VolumeMonthlyOverFlag,INDEX(VolumeMonthlyOver,AE26),Volume),0))</f>
        <v>150</v>
      </c>
      <c r="AO26" s="1647" t="n">
        <f aca="false">IF(AND(WeekDef=8,CustomSaFlag,CustomSaPeriod=4),INDEX(VolumeHourlyOver,O12,2),IF(OR(WeekDef=1,WeekDef=2,WeekDef=5,WeekDef=6,AND(WeekDef=8,CustomSaFlag,OR(CustomSaPeriod=1,CustomSaPeriod=2))),IF(VolumeMonthlyOverFlag,INDEX(VolumeMonthlyOver,AE26),Volume),0))</f>
        <v>150</v>
      </c>
      <c r="AP26" s="1647" t="n">
        <f aca="false">IF(AND(WeekDef=8,CustomSaFlag,CustomSaPeriod=4),INDEX(VolumeHourlyOver,P12,2),IF(OR(WeekDef=1,WeekDef=2,WeekDef=5,WeekDef=6,AND(WeekDef=8,CustomSaFlag,OR(CustomSaPeriod=1,CustomSaPeriod=2))),IF(VolumeMonthlyOverFlag,INDEX(VolumeMonthlyOver,AE26),Volume),0))</f>
        <v>150</v>
      </c>
      <c r="AQ26" s="1647" t="n">
        <f aca="false">IF(AND(WeekDef=8,CustomSaFlag,CustomSaPeriod=4),INDEX(VolumeHourlyOver,Q12,2),IF(OR(WeekDef=1,WeekDef=2,WeekDef=5,WeekDef=6,AND(WeekDef=8,CustomSaFlag,OR(CustomSaPeriod=1,CustomSaPeriod=2))),IF(VolumeMonthlyOverFlag,INDEX(VolumeMonthlyOver,AE26),Volume),0))</f>
        <v>150</v>
      </c>
      <c r="AR26" s="1647" t="n">
        <f aca="false">IF(AND(WeekDef=8,CustomSaFlag,CustomSaPeriod=4),INDEX(VolumeHourlyOver,R12,2),IF(OR(WeekDef=1,WeekDef=2,WeekDef=5,WeekDef=6,AND(WeekDef=8,CustomSaFlag,OR(CustomSaPeriod=1,CustomSaPeriod=2))),IF(VolumeMonthlyOverFlag,INDEX(VolumeMonthlyOver,AE26),Volume),0))</f>
        <v>150</v>
      </c>
      <c r="AS26" s="1647" t="n">
        <f aca="false">IF(AND(WeekDef=8,CustomSaFlag,CustomSaPeriod=4),INDEX(VolumeHourlyOver,S12,2),IF(OR(WeekDef=1,WeekDef=2,WeekDef=5,WeekDef=6,AND(WeekDef=8,CustomSaFlag,OR(CustomSaPeriod=1,CustomSaPeriod=2))),IF(VolumeMonthlyOverFlag,INDEX(VolumeMonthlyOver,AE26),Volume),0))</f>
        <v>150</v>
      </c>
      <c r="AT26" s="1647" t="n">
        <f aca="false">IF(AND(WeekDef=8,CustomSaFlag,CustomSaPeriod=4),INDEX(VolumeHourlyOver,T12,2),IF(OR(WeekDef=1,WeekDef=2,WeekDef=5,WeekDef=6,AND(WeekDef=8,CustomSaFlag,OR(CustomSaPeriod=1,CustomSaPeriod=2))),IF(VolumeMonthlyOverFlag,INDEX(VolumeMonthlyOver,AE26),Volume),0))</f>
        <v>150</v>
      </c>
      <c r="AU26" s="1648" t="n">
        <f aca="false">IF(AND(WeekDef=8,CustomSaFlag,CustomSaPeriod=4),INDEX(VolumeHourlyOver,U12,2),IF(OR(WeekDef=1,WeekDef=2,WeekDef=5,WeekDef=6,AND(WeekDef=8,CustomSaFlag,OR(CustomSaPeriod=1,CustomSaPeriod=2))),IF(VolumeMonthlyOverFlag,INDEX(VolumeMonthlyOver,AE26),Volume),0))</f>
        <v>150</v>
      </c>
      <c r="AV26" s="1647" t="n">
        <f aca="false">IF(AND(WeekDef=8,CustomSaFlag,CustomSaPeriod=4),INDEX(VolumeHourlyOver,V12,2),IF(OR(WeekDef=1,WeekDef=3,WeekDef=5,WeekDef=7,AND(WeekDef=8,CustomSaFlag,OR(CustomSaPeriod=1,CustomSaPeriod=3))),IF(VolumeMonthlyOverFlag,INDEX(VolumeMonthlyOver,AE26),Volume),0))</f>
        <v>150</v>
      </c>
      <c r="AW26" s="1647" t="n">
        <f aca="false">IF(AND(WeekDef=8,CustomSaFlag,CustomSaPeriod=4),INDEX(VolumeHourlyOver,W12,2),IF(OR(WeekDef=1,WeekDef=3,WeekDef=5,WeekDef=7,AND(WeekDef=8,CustomSaFlag,OR(CustomSaPeriod=1,CustomSaPeriod=3))),IF(VolumeMonthlyOverFlag,INDEX(VolumeMonthlyOver,AE26),Volume),0))</f>
        <v>150</v>
      </c>
      <c r="AX26" s="1647" t="n">
        <f aca="false">IF(AND(WeekDef=8,CustomSaFlag,CustomSaPeriod=4),INDEX(VolumeHourlyOver,X12,2),IF(OR(WeekDef=1,WeekDef=3,WeekDef=5,WeekDef=7,AND(WeekDef=8,CustomSaFlag,OR(CustomSaPeriod=1,CustomSaPeriod=3))),IF(VolumeMonthlyOverFlag,INDEX(VolumeMonthlyOver,AE26),Volume),0))</f>
        <v>150</v>
      </c>
      <c r="AY26" s="1647" t="n">
        <f aca="false">IF(AND(WeekDef=8,CustomSaFlag,CustomSaPeriod=4),INDEX(VolumeHourlyOver,Y12,2),IF(OR(WeekDef=1,WeekDef=3,WeekDef=5,WeekDef=7,AND(WeekDef=8,CustomSaFlag,OR(CustomSaPeriod=1,CustomSaPeriod=3))),IF(VolumeMonthlyOverFlag,INDEX(VolumeMonthlyOver,AE26),Volume),0))</f>
        <v>150</v>
      </c>
      <c r="AZ26" s="1647" t="n">
        <f aca="false">IF(AND(WeekDef=8,CustomSaFlag,CustomSaPeriod=4),INDEX(VolumeHourlyOver,Z12,2),IF(OR(WeekDef=1,WeekDef=3,WeekDef=5,WeekDef=7,AND(WeekDef=8,CustomSaFlag,OR(CustomSaPeriod=1,CustomSaPeriod=3))),IF(VolumeMonthlyOverFlag,INDEX(VolumeMonthlyOver,AE26),Volume),0))</f>
        <v>150</v>
      </c>
      <c r="BA26" s="1647" t="n">
        <f aca="false">IF(AND(WeekDef=8,CustomSaFlag,CustomSaPeriod=4),INDEX(VolumeHourlyOver,AA12,2),IF(OR(WeekDef=1,WeekDef=3,WeekDef=5,WeekDef=7,AND(WeekDef=8,CustomSaFlag,OR(CustomSaPeriod=1,CustomSaPeriod=3))),IF(VolumeMonthlyOverFlag,INDEX(VolumeMonthlyOver,AE26),Volume),0))</f>
        <v>150</v>
      </c>
      <c r="BB26" s="1647" t="n">
        <f aca="false">IF(AND(WeekDef=8,CustomSaFlag,CustomSaPeriod=4),INDEX(VolumeHourlyOver,AB12,2),IF(OR(WeekDef=1,WeekDef=3,WeekDef=5,WeekDef=7,AND(WeekDef=8,CustomSaFlag,OR(CustomSaPeriod=1,CustomSaPeriod=3))),IF(VolumeMonthlyOverFlag,INDEX(VolumeMonthlyOver,AE26),Volume),0))</f>
        <v>150</v>
      </c>
      <c r="BC26" s="1648" t="n">
        <f aca="false">IF(AND(WeekDef=8,CustomSaFlag,CustomSaPeriod=4),INDEX(VolumeHourlyOver,AC12,2),IF(OR(WeekDef=1,WeekDef=3,WeekDef=5,WeekDef=7,AND(WeekDef=8,CustomSaFlag,OR(CustomSaPeriod=1,CustomSaPeriod=3))),IF(VolumeMonthlyOverFlag,INDEX(VolumeMonthlyOver,AE26),Volume),0))</f>
        <v>150</v>
      </c>
      <c r="BD26" s="1652" t="n">
        <f aca="false">SUM(AF26:AU26)</f>
        <v>2400</v>
      </c>
      <c r="BE26" s="1653" t="n">
        <f aca="false">SUM(AV26:BC26)</f>
        <v>1200</v>
      </c>
      <c r="BF26" s="1654" t="n">
        <f aca="false">BD26+BE26</f>
        <v>3600</v>
      </c>
      <c r="BG26" s="1674" t="n">
        <f aca="false">IF(BD26,SUMPRODUCT(AF26:AU26,F28:U28)/BD26,0)</f>
        <v>0.999999988824129</v>
      </c>
      <c r="BH26" s="1655" t="n">
        <f aca="false">IF(BE26,SUMPRODUCT(AV26:BC26,V28:AC28)/BE26,0)</f>
        <v>1.00000000745058</v>
      </c>
      <c r="BJ26" s="1636" t="n">
        <v>8</v>
      </c>
      <c r="BK26" s="1646" t="n">
        <f aca="false">IF(AND(WeekDef=8,CustomSaFlag,CustomSaPeriod=4),INDEX(IF(DiffOptVolumeFlag,DiffOptVolumeHourlyOver,VolumeHourlyOver),F12,2),IF(OR(WeekDef=1,WeekDef=2,WeekDef=5,WeekDef=6,AND(WeekDef=8,CustomSaFlag,OR(CustomSaPeriod=1,CustomSaPeriod=2))),IF(VolumeMonthlyOverFlag,INDEX(IF(DiffOptVolumeFlag,DiffOptVolumeMonthlyOver,VolumeMonthlyOver),BJ26),IF(DiffOptVolumeFlag,DiffOptVolume,Volume)),0))</f>
        <v>600</v>
      </c>
      <c r="BL26" s="1647" t="n">
        <f aca="false">IF(AND(WeekDef=8,CustomSaFlag,CustomSaPeriod=4),INDEX(IF(DiffOptVolumeFlag,DiffOptVolumeHourlyOver,VolumeHourlyOver),G12,2),IF(OR(WeekDef=1,WeekDef=2,WeekDef=5,WeekDef=6,AND(WeekDef=8,CustomSaFlag,OR(CustomSaPeriod=1,CustomSaPeriod=2))),IF(VolumeMonthlyOverFlag,INDEX(IF(DiffOptVolumeFlag,DiffOptVolumeMonthlyOver,VolumeMonthlyOver),BJ26),IF(DiffOptVolumeFlag,DiffOptVolume,Volume)),0))</f>
        <v>600</v>
      </c>
      <c r="BM26" s="1647" t="n">
        <f aca="false">IF(AND(WeekDef=8,CustomSaFlag,CustomSaPeriod=4),INDEX(IF(DiffOptVolumeFlag,DiffOptVolumeHourlyOver,VolumeHourlyOver),H12,2),IF(OR(WeekDef=1,WeekDef=2,WeekDef=5,WeekDef=6,AND(WeekDef=8,CustomSaFlag,OR(CustomSaPeriod=1,CustomSaPeriod=2))),IF(VolumeMonthlyOverFlag,INDEX(IF(DiffOptVolumeFlag,DiffOptVolumeMonthlyOver,VolumeMonthlyOver),BJ26),IF(DiffOptVolumeFlag,DiffOptVolume,Volume)),0))</f>
        <v>600</v>
      </c>
      <c r="BN26" s="1647" t="n">
        <f aca="false">IF(AND(WeekDef=8,CustomSaFlag,CustomSaPeriod=4),INDEX(IF(DiffOptVolumeFlag,DiffOptVolumeHourlyOver,VolumeHourlyOver),I12,2),IF(OR(WeekDef=1,WeekDef=2,WeekDef=5,WeekDef=6,AND(WeekDef=8,CustomSaFlag,OR(CustomSaPeriod=1,CustomSaPeriod=2))),IF(VolumeMonthlyOverFlag,INDEX(IF(DiffOptVolumeFlag,DiffOptVolumeMonthlyOver,VolumeMonthlyOver),BJ26),IF(DiffOptVolumeFlag,DiffOptVolume,Volume)),0))</f>
        <v>600</v>
      </c>
      <c r="BO26" s="1647" t="n">
        <f aca="false">IF(AND(WeekDef=8,CustomSaFlag,CustomSaPeriod=4),INDEX(IF(DiffOptVolumeFlag,DiffOptVolumeHourlyOver,VolumeHourlyOver),J12,2),IF(OR(WeekDef=1,WeekDef=2,WeekDef=5,WeekDef=6,AND(WeekDef=8,CustomSaFlag,OR(CustomSaPeriod=1,CustomSaPeriod=2))),IF(VolumeMonthlyOverFlag,INDEX(IF(DiffOptVolumeFlag,DiffOptVolumeMonthlyOver,VolumeMonthlyOver),BJ26),IF(DiffOptVolumeFlag,DiffOptVolume,Volume)),0))</f>
        <v>600</v>
      </c>
      <c r="BP26" s="1647" t="n">
        <f aca="false">IF(AND(WeekDef=8,CustomSaFlag,CustomSaPeriod=4),INDEX(IF(DiffOptVolumeFlag,DiffOptVolumeHourlyOver,VolumeHourlyOver),K12,2),IF(OR(WeekDef=1,WeekDef=2,WeekDef=5,WeekDef=6,AND(WeekDef=8,CustomSaFlag,OR(CustomSaPeriod=1,CustomSaPeriod=2))),IF(VolumeMonthlyOverFlag,INDEX(IF(DiffOptVolumeFlag,DiffOptVolumeMonthlyOver,VolumeMonthlyOver),BJ26),IF(DiffOptVolumeFlag,DiffOptVolume,Volume)),0))</f>
        <v>600</v>
      </c>
      <c r="BQ26" s="1647" t="n">
        <f aca="false">IF(AND(WeekDef=8,CustomSaFlag,CustomSaPeriod=4),INDEX(IF(DiffOptVolumeFlag,DiffOptVolumeHourlyOver,VolumeHourlyOver),L12,2),IF(OR(WeekDef=1,WeekDef=2,WeekDef=5,WeekDef=6,AND(WeekDef=8,CustomSaFlag,OR(CustomSaPeriod=1,CustomSaPeriod=2))),IF(VolumeMonthlyOverFlag,INDEX(IF(DiffOptVolumeFlag,DiffOptVolumeMonthlyOver,VolumeMonthlyOver),BJ26),IF(DiffOptVolumeFlag,DiffOptVolume,Volume)),0))</f>
        <v>600</v>
      </c>
      <c r="BR26" s="1647" t="n">
        <f aca="false">IF(AND(WeekDef=8,CustomSaFlag,CustomSaPeriod=4),INDEX(IF(DiffOptVolumeFlag,DiffOptVolumeHourlyOver,VolumeHourlyOver),M12,2),IF(OR(WeekDef=1,WeekDef=2,WeekDef=5,WeekDef=6,AND(WeekDef=8,CustomSaFlag,OR(CustomSaPeriod=1,CustomSaPeriod=2))),IF(VolumeMonthlyOverFlag,INDEX(IF(DiffOptVolumeFlag,DiffOptVolumeMonthlyOver,VolumeMonthlyOver),BJ26),IF(DiffOptVolumeFlag,DiffOptVolume,Volume)),0))</f>
        <v>600</v>
      </c>
      <c r="BS26" s="1647" t="n">
        <f aca="false">IF(AND(WeekDef=8,CustomSaFlag,CustomSaPeriod=4),INDEX(IF(DiffOptVolumeFlag,DiffOptVolumeHourlyOver,VolumeHourlyOver),N12,2),IF(OR(WeekDef=1,WeekDef=2,WeekDef=5,WeekDef=6,AND(WeekDef=8,CustomSaFlag,OR(CustomSaPeriod=1,CustomSaPeriod=2))),IF(VolumeMonthlyOverFlag,INDEX(IF(DiffOptVolumeFlag,DiffOptVolumeMonthlyOver,VolumeMonthlyOver),BJ26),IF(DiffOptVolumeFlag,DiffOptVolume,Volume)),0))</f>
        <v>600</v>
      </c>
      <c r="BT26" s="1647" t="n">
        <f aca="false">IF(AND(WeekDef=8,CustomSaFlag,CustomSaPeriod=4),INDEX(IF(DiffOptVolumeFlag,DiffOptVolumeHourlyOver,VolumeHourlyOver),O12,2),IF(OR(WeekDef=1,WeekDef=2,WeekDef=5,WeekDef=6,AND(WeekDef=8,CustomSaFlag,OR(CustomSaPeriod=1,CustomSaPeriod=2))),IF(VolumeMonthlyOverFlag,INDEX(IF(DiffOptVolumeFlag,DiffOptVolumeMonthlyOver,VolumeMonthlyOver),BJ26),IF(DiffOptVolumeFlag,DiffOptVolume,Volume)),0))</f>
        <v>600</v>
      </c>
      <c r="BU26" s="1647" t="n">
        <f aca="false">IF(AND(WeekDef=8,CustomSaFlag,CustomSaPeriod=4),INDEX(IF(DiffOptVolumeFlag,DiffOptVolumeHourlyOver,VolumeHourlyOver),P12,2),IF(OR(WeekDef=1,WeekDef=2,WeekDef=5,WeekDef=6,AND(WeekDef=8,CustomSaFlag,OR(CustomSaPeriod=1,CustomSaPeriod=2))),IF(VolumeMonthlyOverFlag,INDEX(IF(DiffOptVolumeFlag,DiffOptVolumeMonthlyOver,VolumeMonthlyOver),BJ26),IF(DiffOptVolumeFlag,DiffOptVolume,Volume)),0))</f>
        <v>600</v>
      </c>
      <c r="BV26" s="1647" t="n">
        <f aca="false">IF(AND(WeekDef=8,CustomSaFlag,CustomSaPeriod=4),INDEX(IF(DiffOptVolumeFlag,DiffOptVolumeHourlyOver,VolumeHourlyOver),Q12,2),IF(OR(WeekDef=1,WeekDef=2,WeekDef=5,WeekDef=6,AND(WeekDef=8,CustomSaFlag,OR(CustomSaPeriod=1,CustomSaPeriod=2))),IF(VolumeMonthlyOverFlag,INDEX(IF(DiffOptVolumeFlag,DiffOptVolumeMonthlyOver,VolumeMonthlyOver),BJ26),IF(DiffOptVolumeFlag,DiffOptVolume,Volume)),0))</f>
        <v>600</v>
      </c>
      <c r="BW26" s="1647" t="n">
        <f aca="false">IF(AND(WeekDef=8,CustomSaFlag,CustomSaPeriod=4),INDEX(IF(DiffOptVolumeFlag,DiffOptVolumeHourlyOver,VolumeHourlyOver),R12,2),IF(OR(WeekDef=1,WeekDef=2,WeekDef=5,WeekDef=6,AND(WeekDef=8,CustomSaFlag,OR(CustomSaPeriod=1,CustomSaPeriod=2))),IF(VolumeMonthlyOverFlag,INDEX(IF(DiffOptVolumeFlag,DiffOptVolumeMonthlyOver,VolumeMonthlyOver),BJ26),IF(DiffOptVolumeFlag,DiffOptVolume,Volume)),0))</f>
        <v>600</v>
      </c>
      <c r="BX26" s="1647" t="n">
        <f aca="false">IF(AND(WeekDef=8,CustomSaFlag,CustomSaPeriod=4),INDEX(IF(DiffOptVolumeFlag,DiffOptVolumeHourlyOver,VolumeHourlyOver),S12,2),IF(OR(WeekDef=1,WeekDef=2,WeekDef=5,WeekDef=6,AND(WeekDef=8,CustomSaFlag,OR(CustomSaPeriod=1,CustomSaPeriod=2))),IF(VolumeMonthlyOverFlag,INDEX(IF(DiffOptVolumeFlag,DiffOptVolumeMonthlyOver,VolumeMonthlyOver),BJ26),IF(DiffOptVolumeFlag,DiffOptVolume,Volume)),0))</f>
        <v>600</v>
      </c>
      <c r="BY26" s="1647" t="n">
        <f aca="false">IF(AND(WeekDef=8,CustomSaFlag,CustomSaPeriod=4),INDEX(IF(DiffOptVolumeFlag,DiffOptVolumeHourlyOver,VolumeHourlyOver),T12,2),IF(OR(WeekDef=1,WeekDef=2,WeekDef=5,WeekDef=6,AND(WeekDef=8,CustomSaFlag,OR(CustomSaPeriod=1,CustomSaPeriod=2))),IF(VolumeMonthlyOverFlag,INDEX(IF(DiffOptVolumeFlag,DiffOptVolumeMonthlyOver,VolumeMonthlyOver),BJ26),IF(DiffOptVolumeFlag,DiffOptVolume,Volume)),0))</f>
        <v>600</v>
      </c>
      <c r="BZ26" s="1648" t="n">
        <f aca="false">IF(AND(WeekDef=8,CustomSaFlag,CustomSaPeriod=4),INDEX(IF(DiffOptVolumeFlag,DiffOptVolumeHourlyOver,VolumeHourlyOver),U12,2),IF(OR(WeekDef=1,WeekDef=2,WeekDef=5,WeekDef=6,AND(WeekDef=8,CustomSaFlag,OR(CustomSaPeriod=1,CustomSaPeriod=2))),IF(VolumeMonthlyOverFlag,INDEX(IF(DiffOptVolumeFlag,DiffOptVolumeMonthlyOver,VolumeMonthlyOver),BJ26),IF(DiffOptVolumeFlag,DiffOptVolume,Volume)),0))</f>
        <v>600</v>
      </c>
      <c r="CA26" s="1647" t="n">
        <f aca="false">IF(AND(WeekDef=8,CustomSaFlag,CustomSaPeriod=4),INDEX(IF(DiffOptVolumeFlag,DiffOptVolumeHourlyOver,VolumeHourlyOver),V12,2),IF(OR(WeekDef=1,WeekDef=3,WeekDef=5,WeekDef=7,AND(WeekDef=8,CustomSaFlag,OR(CustomSaPeriod=1,CustomSaPeriod=3))),IF(VolumeMonthlyOverFlag,INDEX(IF(DiffOptVolumeFlag,DiffOptVolumeMonthlyOver,VolumeMonthlyOver),BJ26),IF(DiffOptVolumeFlag,DiffOptVolume,Volume)),0))</f>
        <v>600</v>
      </c>
      <c r="CB26" s="1647" t="n">
        <f aca="false">IF(AND(WeekDef=8,CustomSaFlag,CustomSaPeriod=4),INDEX(IF(DiffOptVolumeFlag,DiffOptVolumeHourlyOver,VolumeHourlyOver),W12,2),IF(OR(WeekDef=1,WeekDef=3,WeekDef=5,WeekDef=7,AND(WeekDef=8,CustomSaFlag,OR(CustomSaPeriod=1,CustomSaPeriod=3))),IF(VolumeMonthlyOverFlag,INDEX(IF(DiffOptVolumeFlag,DiffOptVolumeMonthlyOver,VolumeMonthlyOver),BJ26),IF(DiffOptVolumeFlag,DiffOptVolume,Volume)),0))</f>
        <v>600</v>
      </c>
      <c r="CC26" s="1647" t="n">
        <f aca="false">IF(AND(WeekDef=8,CustomSaFlag,CustomSaPeriod=4),INDEX(IF(DiffOptVolumeFlag,DiffOptVolumeHourlyOver,VolumeHourlyOver),X12,2),IF(OR(WeekDef=1,WeekDef=3,WeekDef=5,WeekDef=7,AND(WeekDef=8,CustomSaFlag,OR(CustomSaPeriod=1,CustomSaPeriod=3))),IF(VolumeMonthlyOverFlag,INDEX(IF(DiffOptVolumeFlag,DiffOptVolumeMonthlyOver,VolumeMonthlyOver),BJ26),IF(DiffOptVolumeFlag,DiffOptVolume,Volume)),0))</f>
        <v>600</v>
      </c>
      <c r="CD26" s="1647" t="n">
        <f aca="false">IF(AND(WeekDef=8,CustomSaFlag,CustomSaPeriod=4),INDEX(IF(DiffOptVolumeFlag,DiffOptVolumeHourlyOver,VolumeHourlyOver),Y12,2),IF(OR(WeekDef=1,WeekDef=3,WeekDef=5,WeekDef=7,AND(WeekDef=8,CustomSaFlag,OR(CustomSaPeriod=1,CustomSaPeriod=3))),IF(VolumeMonthlyOverFlag,INDEX(IF(DiffOptVolumeFlag,DiffOptVolumeMonthlyOver,VolumeMonthlyOver),BJ26),IF(DiffOptVolumeFlag,DiffOptVolume,Volume)),0))</f>
        <v>600</v>
      </c>
      <c r="CE26" s="1647" t="n">
        <f aca="false">IF(AND(WeekDef=8,CustomSaFlag,CustomSaPeriod=4),INDEX(IF(DiffOptVolumeFlag,DiffOptVolumeHourlyOver,VolumeHourlyOver),Z12,2),IF(OR(WeekDef=1,WeekDef=3,WeekDef=5,WeekDef=7,AND(WeekDef=8,CustomSaFlag,OR(CustomSaPeriod=1,CustomSaPeriod=3))),IF(VolumeMonthlyOverFlag,INDEX(IF(DiffOptVolumeFlag,DiffOptVolumeMonthlyOver,VolumeMonthlyOver),BJ26),IF(DiffOptVolumeFlag,DiffOptVolume,Volume)),0))</f>
        <v>600</v>
      </c>
      <c r="CF26" s="1647" t="n">
        <f aca="false">IF(AND(WeekDef=8,CustomSaFlag,CustomSaPeriod=4),INDEX(IF(DiffOptVolumeFlag,DiffOptVolumeHourlyOver,VolumeHourlyOver),AA12,2),IF(OR(WeekDef=1,WeekDef=3,WeekDef=5,WeekDef=7,AND(WeekDef=8,CustomSaFlag,OR(CustomSaPeriod=1,CustomSaPeriod=3))),IF(VolumeMonthlyOverFlag,INDEX(IF(DiffOptVolumeFlag,DiffOptVolumeMonthlyOver,VolumeMonthlyOver),BJ26),IF(DiffOptVolumeFlag,DiffOptVolume,Volume)),0))</f>
        <v>600</v>
      </c>
      <c r="CG26" s="1647" t="n">
        <f aca="false">IF(AND(WeekDef=8,CustomSaFlag,CustomSaPeriod=4),INDEX(IF(DiffOptVolumeFlag,DiffOptVolumeHourlyOver,VolumeHourlyOver),AB12,2),IF(OR(WeekDef=1,WeekDef=3,WeekDef=5,WeekDef=7,AND(WeekDef=8,CustomSaFlag,OR(CustomSaPeriod=1,CustomSaPeriod=3))),IF(VolumeMonthlyOverFlag,INDEX(IF(DiffOptVolumeFlag,DiffOptVolumeMonthlyOver,VolumeMonthlyOver),BJ26),IF(DiffOptVolumeFlag,DiffOptVolume,Volume)),0))</f>
        <v>600</v>
      </c>
      <c r="CH26" s="1648" t="n">
        <f aca="false">IF(AND(WeekDef=8,CustomSaFlag,CustomSaPeriod=4),INDEX(IF(DiffOptVolumeFlag,DiffOptVolumeHourlyOver,VolumeHourlyOver),AC12,2),IF(OR(WeekDef=1,WeekDef=3,WeekDef=5,WeekDef=7,AND(WeekDef=8,CustomSaFlag,OR(CustomSaPeriod=1,CustomSaPeriod=3))),IF(VolumeMonthlyOverFlag,INDEX(IF(DiffOptVolumeFlag,DiffOptVolumeMonthlyOver,VolumeMonthlyOver),BJ26),IF(DiffOptVolumeFlag,DiffOptVolume,Volume)),0))</f>
        <v>600</v>
      </c>
      <c r="CI26" s="1652" t="n">
        <f aca="false">SUM(BK26:BZ26)</f>
        <v>9600</v>
      </c>
      <c r="CJ26" s="1653" t="n">
        <f aca="false">SUM(CA26:CH26)</f>
        <v>4800</v>
      </c>
      <c r="CK26" s="1654" t="n">
        <f aca="false">CI26+CJ26</f>
        <v>14400</v>
      </c>
      <c r="CL26" s="1674" t="n">
        <f aca="false">IF(CI26,SUMPRODUCT(BK26:BZ26,F28:U28)/CI26,0)</f>
        <v>0.999999988824129</v>
      </c>
      <c r="CM26" s="1655" t="n">
        <f aca="false">IF(CJ26,SUMPRODUCT(CA26:CH26,V28:AC28)/CJ26,0)</f>
        <v>1.00000000745058</v>
      </c>
    </row>
    <row r="27" customFormat="false" ht="12.75" hidden="false" customHeight="false" outlineLevel="0" collapsed="false">
      <c r="C27" s="1658"/>
      <c r="D27" s="1658"/>
      <c r="E27" s="1636" t="n">
        <v>7</v>
      </c>
      <c r="F27" s="1677" t="n">
        <v>1.13232576847076</v>
      </c>
      <c r="G27" s="1678" t="n">
        <v>1.12885904312134</v>
      </c>
      <c r="H27" s="1678" t="n">
        <v>1.11259138584137</v>
      </c>
      <c r="I27" s="1678" t="n">
        <v>1.10213363170624</v>
      </c>
      <c r="J27" s="1678" t="n">
        <v>1.09225678443909</v>
      </c>
      <c r="K27" s="1678" t="n">
        <v>1.06462895870209</v>
      </c>
      <c r="L27" s="1678" t="n">
        <v>1.06457090377808</v>
      </c>
      <c r="M27" s="1678" t="n">
        <v>1.03380966186523</v>
      </c>
      <c r="N27" s="1678" t="n">
        <v>1.03380966186523</v>
      </c>
      <c r="O27" s="1678" t="n">
        <v>1.02876782417297</v>
      </c>
      <c r="P27" s="1678" t="n">
        <v>0.992906630039215</v>
      </c>
      <c r="Q27" s="1678" t="n">
        <v>0.938554525375366</v>
      </c>
      <c r="R27" s="1678" t="n">
        <v>0.886869251728058</v>
      </c>
      <c r="S27" s="1678" t="n">
        <v>0.878599107265472</v>
      </c>
      <c r="T27" s="1678" t="n">
        <v>0.803271412849426</v>
      </c>
      <c r="U27" s="1679" t="n">
        <v>0.706045508384705</v>
      </c>
      <c r="V27" s="1678" t="n">
        <v>1.21517825126648</v>
      </c>
      <c r="W27" s="1678" t="n">
        <v>1.0719473361969</v>
      </c>
      <c r="X27" s="1678" t="n">
        <v>1.00987708568573</v>
      </c>
      <c r="Y27" s="1678" t="n">
        <v>0.981792271137238</v>
      </c>
      <c r="Z27" s="1678" t="n">
        <v>0.95835280418396</v>
      </c>
      <c r="AA27" s="1678" t="n">
        <v>0.940276443958283</v>
      </c>
      <c r="AB27" s="1678" t="n">
        <v>0.914300978183746</v>
      </c>
      <c r="AC27" s="1679" t="n">
        <v>0.908274710178375</v>
      </c>
      <c r="AD27" s="1658"/>
      <c r="AE27" s="1636" t="n">
        <v>9</v>
      </c>
      <c r="AF27" s="1646" t="n">
        <f aca="false">IF(AND(WeekDef=8,CustomSaFlag,CustomSaPeriod=4),INDEX(VolumeHourlyOver,F13,2),IF(OR(WeekDef=1,WeekDef=2,WeekDef=5,WeekDef=6,AND(WeekDef=8,CustomSaFlag,OR(CustomSaPeriod=1,CustomSaPeriod=2))),IF(VolumeMonthlyOverFlag,INDEX(VolumeMonthlyOver,AE27),Volume),0))</f>
        <v>150</v>
      </c>
      <c r="AG27" s="1647" t="n">
        <f aca="false">IF(AND(WeekDef=8,CustomSaFlag,CustomSaPeriod=4),INDEX(VolumeHourlyOver,G13,2),IF(OR(WeekDef=1,WeekDef=2,WeekDef=5,WeekDef=6,AND(WeekDef=8,CustomSaFlag,OR(CustomSaPeriod=1,CustomSaPeriod=2))),IF(VolumeMonthlyOverFlag,INDEX(VolumeMonthlyOver,AE27),Volume),0))</f>
        <v>150</v>
      </c>
      <c r="AH27" s="1647" t="n">
        <f aca="false">IF(AND(WeekDef=8,CustomSaFlag,CustomSaPeriod=4),INDEX(VolumeHourlyOver,H13,2),IF(OR(WeekDef=1,WeekDef=2,WeekDef=5,WeekDef=6,AND(WeekDef=8,CustomSaFlag,OR(CustomSaPeriod=1,CustomSaPeriod=2))),IF(VolumeMonthlyOverFlag,INDEX(VolumeMonthlyOver,AE27),Volume),0))</f>
        <v>150</v>
      </c>
      <c r="AI27" s="1647" t="n">
        <f aca="false">IF(AND(WeekDef=8,CustomSaFlag,CustomSaPeriod=4),INDEX(VolumeHourlyOver,I13,2),IF(OR(WeekDef=1,WeekDef=2,WeekDef=5,WeekDef=6,AND(WeekDef=8,CustomSaFlag,OR(CustomSaPeriod=1,CustomSaPeriod=2))),IF(VolumeMonthlyOverFlag,INDEX(VolumeMonthlyOver,AE27),Volume),0))</f>
        <v>150</v>
      </c>
      <c r="AJ27" s="1647" t="n">
        <f aca="false">IF(AND(WeekDef=8,CustomSaFlag,CustomSaPeriod=4),INDEX(VolumeHourlyOver,J13,2),IF(OR(WeekDef=1,WeekDef=2,WeekDef=5,WeekDef=6,AND(WeekDef=8,CustomSaFlag,OR(CustomSaPeriod=1,CustomSaPeriod=2))),IF(VolumeMonthlyOverFlag,INDEX(VolumeMonthlyOver,AE27),Volume),0))</f>
        <v>150</v>
      </c>
      <c r="AK27" s="1647" t="n">
        <f aca="false">IF(AND(WeekDef=8,CustomSaFlag,CustomSaPeriod=4),INDEX(VolumeHourlyOver,K13,2),IF(OR(WeekDef=1,WeekDef=2,WeekDef=5,WeekDef=6,AND(WeekDef=8,CustomSaFlag,OR(CustomSaPeriod=1,CustomSaPeriod=2))),IF(VolumeMonthlyOverFlag,INDEX(VolumeMonthlyOver,AE27),Volume),0))</f>
        <v>150</v>
      </c>
      <c r="AL27" s="1647" t="n">
        <f aca="false">IF(AND(WeekDef=8,CustomSaFlag,CustomSaPeriod=4),INDEX(VolumeHourlyOver,L13,2),IF(OR(WeekDef=1,WeekDef=2,WeekDef=5,WeekDef=6,AND(WeekDef=8,CustomSaFlag,OR(CustomSaPeriod=1,CustomSaPeriod=2))),IF(VolumeMonthlyOverFlag,INDEX(VolumeMonthlyOver,AE27),Volume),0))</f>
        <v>150</v>
      </c>
      <c r="AM27" s="1647" t="n">
        <f aca="false">IF(AND(WeekDef=8,CustomSaFlag,CustomSaPeriod=4),INDEX(VolumeHourlyOver,M13,2),IF(OR(WeekDef=1,WeekDef=2,WeekDef=5,WeekDef=6,AND(WeekDef=8,CustomSaFlag,OR(CustomSaPeriod=1,CustomSaPeriod=2))),IF(VolumeMonthlyOverFlag,INDEX(VolumeMonthlyOver,AE27),Volume),0))</f>
        <v>150</v>
      </c>
      <c r="AN27" s="1647" t="n">
        <f aca="false">IF(AND(WeekDef=8,CustomSaFlag,CustomSaPeriod=4),INDEX(VolumeHourlyOver,N13,2),IF(OR(WeekDef=1,WeekDef=2,WeekDef=5,WeekDef=6,AND(WeekDef=8,CustomSaFlag,OR(CustomSaPeriod=1,CustomSaPeriod=2))),IF(VolumeMonthlyOverFlag,INDEX(VolumeMonthlyOver,AE27),Volume),0))</f>
        <v>150</v>
      </c>
      <c r="AO27" s="1647" t="n">
        <f aca="false">IF(AND(WeekDef=8,CustomSaFlag,CustomSaPeriod=4),INDEX(VolumeHourlyOver,O13,2),IF(OR(WeekDef=1,WeekDef=2,WeekDef=5,WeekDef=6,AND(WeekDef=8,CustomSaFlag,OR(CustomSaPeriod=1,CustomSaPeriod=2))),IF(VolumeMonthlyOverFlag,INDEX(VolumeMonthlyOver,AE27),Volume),0))</f>
        <v>150</v>
      </c>
      <c r="AP27" s="1647" t="n">
        <f aca="false">IF(AND(WeekDef=8,CustomSaFlag,CustomSaPeriod=4),INDEX(VolumeHourlyOver,P13,2),IF(OR(WeekDef=1,WeekDef=2,WeekDef=5,WeekDef=6,AND(WeekDef=8,CustomSaFlag,OR(CustomSaPeriod=1,CustomSaPeriod=2))),IF(VolumeMonthlyOverFlag,INDEX(VolumeMonthlyOver,AE27),Volume),0))</f>
        <v>150</v>
      </c>
      <c r="AQ27" s="1647" t="n">
        <f aca="false">IF(AND(WeekDef=8,CustomSaFlag,CustomSaPeriod=4),INDEX(VolumeHourlyOver,Q13,2),IF(OR(WeekDef=1,WeekDef=2,WeekDef=5,WeekDef=6,AND(WeekDef=8,CustomSaFlag,OR(CustomSaPeriod=1,CustomSaPeriod=2))),IF(VolumeMonthlyOverFlag,INDEX(VolumeMonthlyOver,AE27),Volume),0))</f>
        <v>150</v>
      </c>
      <c r="AR27" s="1647" t="n">
        <f aca="false">IF(AND(WeekDef=8,CustomSaFlag,CustomSaPeriod=4),INDEX(VolumeHourlyOver,R13,2),IF(OR(WeekDef=1,WeekDef=2,WeekDef=5,WeekDef=6,AND(WeekDef=8,CustomSaFlag,OR(CustomSaPeriod=1,CustomSaPeriod=2))),IF(VolumeMonthlyOverFlag,INDEX(VolumeMonthlyOver,AE27),Volume),0))</f>
        <v>150</v>
      </c>
      <c r="AS27" s="1647" t="n">
        <f aca="false">IF(AND(WeekDef=8,CustomSaFlag,CustomSaPeriod=4),INDEX(VolumeHourlyOver,S13,2),IF(OR(WeekDef=1,WeekDef=2,WeekDef=5,WeekDef=6,AND(WeekDef=8,CustomSaFlag,OR(CustomSaPeriod=1,CustomSaPeriod=2))),IF(VolumeMonthlyOverFlag,INDEX(VolumeMonthlyOver,AE27),Volume),0))</f>
        <v>150</v>
      </c>
      <c r="AT27" s="1647" t="n">
        <f aca="false">IF(AND(WeekDef=8,CustomSaFlag,CustomSaPeriod=4),INDEX(VolumeHourlyOver,T13,2),IF(OR(WeekDef=1,WeekDef=2,WeekDef=5,WeekDef=6,AND(WeekDef=8,CustomSaFlag,OR(CustomSaPeriod=1,CustomSaPeriod=2))),IF(VolumeMonthlyOverFlag,INDEX(VolumeMonthlyOver,AE27),Volume),0))</f>
        <v>150</v>
      </c>
      <c r="AU27" s="1648" t="n">
        <f aca="false">IF(AND(WeekDef=8,CustomSaFlag,CustomSaPeriod=4),INDEX(VolumeHourlyOver,U13,2),IF(OR(WeekDef=1,WeekDef=2,WeekDef=5,WeekDef=6,AND(WeekDef=8,CustomSaFlag,OR(CustomSaPeriod=1,CustomSaPeriod=2))),IF(VolumeMonthlyOverFlag,INDEX(VolumeMonthlyOver,AE27),Volume),0))</f>
        <v>150</v>
      </c>
      <c r="AV27" s="1647" t="n">
        <f aca="false">IF(AND(WeekDef=8,CustomSaFlag,CustomSaPeriod=4),INDEX(VolumeHourlyOver,V13,2),IF(OR(WeekDef=1,WeekDef=3,WeekDef=5,WeekDef=7,AND(WeekDef=8,CustomSaFlag,OR(CustomSaPeriod=1,CustomSaPeriod=3))),IF(VolumeMonthlyOverFlag,INDEX(VolumeMonthlyOver,AE27),Volume),0))</f>
        <v>150</v>
      </c>
      <c r="AW27" s="1647" t="n">
        <f aca="false">IF(AND(WeekDef=8,CustomSaFlag,CustomSaPeriod=4),INDEX(VolumeHourlyOver,W13,2),IF(OR(WeekDef=1,WeekDef=3,WeekDef=5,WeekDef=7,AND(WeekDef=8,CustomSaFlag,OR(CustomSaPeriod=1,CustomSaPeriod=3))),IF(VolumeMonthlyOverFlag,INDEX(VolumeMonthlyOver,AE27),Volume),0))</f>
        <v>150</v>
      </c>
      <c r="AX27" s="1647" t="n">
        <f aca="false">IF(AND(WeekDef=8,CustomSaFlag,CustomSaPeriod=4),INDEX(VolumeHourlyOver,X13,2),IF(OR(WeekDef=1,WeekDef=3,WeekDef=5,WeekDef=7,AND(WeekDef=8,CustomSaFlag,OR(CustomSaPeriod=1,CustomSaPeriod=3))),IF(VolumeMonthlyOverFlag,INDEX(VolumeMonthlyOver,AE27),Volume),0))</f>
        <v>150</v>
      </c>
      <c r="AY27" s="1647" t="n">
        <f aca="false">IF(AND(WeekDef=8,CustomSaFlag,CustomSaPeriod=4),INDEX(VolumeHourlyOver,Y13,2),IF(OR(WeekDef=1,WeekDef=3,WeekDef=5,WeekDef=7,AND(WeekDef=8,CustomSaFlag,OR(CustomSaPeriod=1,CustomSaPeriod=3))),IF(VolumeMonthlyOverFlag,INDEX(VolumeMonthlyOver,AE27),Volume),0))</f>
        <v>150</v>
      </c>
      <c r="AZ27" s="1647" t="n">
        <f aca="false">IF(AND(WeekDef=8,CustomSaFlag,CustomSaPeriod=4),INDEX(VolumeHourlyOver,Z13,2),IF(OR(WeekDef=1,WeekDef=3,WeekDef=5,WeekDef=7,AND(WeekDef=8,CustomSaFlag,OR(CustomSaPeriod=1,CustomSaPeriod=3))),IF(VolumeMonthlyOverFlag,INDEX(VolumeMonthlyOver,AE27),Volume),0))</f>
        <v>150</v>
      </c>
      <c r="BA27" s="1647" t="n">
        <f aca="false">IF(AND(WeekDef=8,CustomSaFlag,CustomSaPeriod=4),INDEX(VolumeHourlyOver,AA13,2),IF(OR(WeekDef=1,WeekDef=3,WeekDef=5,WeekDef=7,AND(WeekDef=8,CustomSaFlag,OR(CustomSaPeriod=1,CustomSaPeriod=3))),IF(VolumeMonthlyOverFlag,INDEX(VolumeMonthlyOver,AE27),Volume),0))</f>
        <v>150</v>
      </c>
      <c r="BB27" s="1647" t="n">
        <f aca="false">IF(AND(WeekDef=8,CustomSaFlag,CustomSaPeriod=4),INDEX(VolumeHourlyOver,AB13,2),IF(OR(WeekDef=1,WeekDef=3,WeekDef=5,WeekDef=7,AND(WeekDef=8,CustomSaFlag,OR(CustomSaPeriod=1,CustomSaPeriod=3))),IF(VolumeMonthlyOverFlag,INDEX(VolumeMonthlyOver,AE27),Volume),0))</f>
        <v>150</v>
      </c>
      <c r="BC27" s="1648" t="n">
        <f aca="false">IF(AND(WeekDef=8,CustomSaFlag,CustomSaPeriod=4),INDEX(VolumeHourlyOver,AC13,2),IF(OR(WeekDef=1,WeekDef=3,WeekDef=5,WeekDef=7,AND(WeekDef=8,CustomSaFlag,OR(CustomSaPeriod=1,CustomSaPeriod=3))),IF(VolumeMonthlyOverFlag,INDEX(VolumeMonthlyOver,AE27),Volume),0))</f>
        <v>150</v>
      </c>
      <c r="BD27" s="1652" t="n">
        <f aca="false">SUM(AF27:AU27)</f>
        <v>2400</v>
      </c>
      <c r="BE27" s="1653" t="n">
        <f aca="false">SUM(AV27:BC27)</f>
        <v>1200</v>
      </c>
      <c r="BF27" s="1654" t="n">
        <f aca="false">BD27+BE27</f>
        <v>3600</v>
      </c>
      <c r="BG27" s="1674" t="n">
        <f aca="false">IF(BD27,SUMPRODUCT(AF27:AU27,F29:U29)/BD27,0)</f>
        <v>0.999999992549419</v>
      </c>
      <c r="BH27" s="1655" t="n">
        <f aca="false">IF(BE27,SUMPRODUCT(AV27:BC27,V29:AC29)/BE27,0)</f>
        <v>0.999999992549419</v>
      </c>
      <c r="BJ27" s="1636" t="n">
        <v>9</v>
      </c>
      <c r="BK27" s="1646" t="n">
        <f aca="false">IF(AND(WeekDef=8,CustomSaFlag,CustomSaPeriod=4),INDEX(IF(DiffOptVolumeFlag,DiffOptVolumeHourlyOver,VolumeHourlyOver),F13,2),IF(OR(WeekDef=1,WeekDef=2,WeekDef=5,WeekDef=6,AND(WeekDef=8,CustomSaFlag,OR(CustomSaPeriod=1,CustomSaPeriod=2))),IF(VolumeMonthlyOverFlag,INDEX(IF(DiffOptVolumeFlag,DiffOptVolumeMonthlyOver,VolumeMonthlyOver),BJ27),IF(DiffOptVolumeFlag,DiffOptVolume,Volume)),0))</f>
        <v>600</v>
      </c>
      <c r="BL27" s="1647" t="n">
        <f aca="false">IF(AND(WeekDef=8,CustomSaFlag,CustomSaPeriod=4),INDEX(IF(DiffOptVolumeFlag,DiffOptVolumeHourlyOver,VolumeHourlyOver),G13,2),IF(OR(WeekDef=1,WeekDef=2,WeekDef=5,WeekDef=6,AND(WeekDef=8,CustomSaFlag,OR(CustomSaPeriod=1,CustomSaPeriod=2))),IF(VolumeMonthlyOverFlag,INDEX(IF(DiffOptVolumeFlag,DiffOptVolumeMonthlyOver,VolumeMonthlyOver),BJ27),IF(DiffOptVolumeFlag,DiffOptVolume,Volume)),0))</f>
        <v>600</v>
      </c>
      <c r="BM27" s="1647" t="n">
        <f aca="false">IF(AND(WeekDef=8,CustomSaFlag,CustomSaPeriod=4),INDEX(IF(DiffOptVolumeFlag,DiffOptVolumeHourlyOver,VolumeHourlyOver),H13,2),IF(OR(WeekDef=1,WeekDef=2,WeekDef=5,WeekDef=6,AND(WeekDef=8,CustomSaFlag,OR(CustomSaPeriod=1,CustomSaPeriod=2))),IF(VolumeMonthlyOverFlag,INDEX(IF(DiffOptVolumeFlag,DiffOptVolumeMonthlyOver,VolumeMonthlyOver),BJ27),IF(DiffOptVolumeFlag,DiffOptVolume,Volume)),0))</f>
        <v>600</v>
      </c>
      <c r="BN27" s="1647" t="n">
        <f aca="false">IF(AND(WeekDef=8,CustomSaFlag,CustomSaPeriod=4),INDEX(IF(DiffOptVolumeFlag,DiffOptVolumeHourlyOver,VolumeHourlyOver),I13,2),IF(OR(WeekDef=1,WeekDef=2,WeekDef=5,WeekDef=6,AND(WeekDef=8,CustomSaFlag,OR(CustomSaPeriod=1,CustomSaPeriod=2))),IF(VolumeMonthlyOverFlag,INDEX(IF(DiffOptVolumeFlag,DiffOptVolumeMonthlyOver,VolumeMonthlyOver),BJ27),IF(DiffOptVolumeFlag,DiffOptVolume,Volume)),0))</f>
        <v>600</v>
      </c>
      <c r="BO27" s="1647" t="n">
        <f aca="false">IF(AND(WeekDef=8,CustomSaFlag,CustomSaPeriod=4),INDEX(IF(DiffOptVolumeFlag,DiffOptVolumeHourlyOver,VolumeHourlyOver),J13,2),IF(OR(WeekDef=1,WeekDef=2,WeekDef=5,WeekDef=6,AND(WeekDef=8,CustomSaFlag,OR(CustomSaPeriod=1,CustomSaPeriod=2))),IF(VolumeMonthlyOverFlag,INDEX(IF(DiffOptVolumeFlag,DiffOptVolumeMonthlyOver,VolumeMonthlyOver),BJ27),IF(DiffOptVolumeFlag,DiffOptVolume,Volume)),0))</f>
        <v>600</v>
      </c>
      <c r="BP27" s="1647" t="n">
        <f aca="false">IF(AND(WeekDef=8,CustomSaFlag,CustomSaPeriod=4),INDEX(IF(DiffOptVolumeFlag,DiffOptVolumeHourlyOver,VolumeHourlyOver),K13,2),IF(OR(WeekDef=1,WeekDef=2,WeekDef=5,WeekDef=6,AND(WeekDef=8,CustomSaFlag,OR(CustomSaPeriod=1,CustomSaPeriod=2))),IF(VolumeMonthlyOverFlag,INDEX(IF(DiffOptVolumeFlag,DiffOptVolumeMonthlyOver,VolumeMonthlyOver),BJ27),IF(DiffOptVolumeFlag,DiffOptVolume,Volume)),0))</f>
        <v>600</v>
      </c>
      <c r="BQ27" s="1647" t="n">
        <f aca="false">IF(AND(WeekDef=8,CustomSaFlag,CustomSaPeriod=4),INDEX(IF(DiffOptVolumeFlag,DiffOptVolumeHourlyOver,VolumeHourlyOver),L13,2),IF(OR(WeekDef=1,WeekDef=2,WeekDef=5,WeekDef=6,AND(WeekDef=8,CustomSaFlag,OR(CustomSaPeriod=1,CustomSaPeriod=2))),IF(VolumeMonthlyOverFlag,INDEX(IF(DiffOptVolumeFlag,DiffOptVolumeMonthlyOver,VolumeMonthlyOver),BJ27),IF(DiffOptVolumeFlag,DiffOptVolume,Volume)),0))</f>
        <v>600</v>
      </c>
      <c r="BR27" s="1647" t="n">
        <f aca="false">IF(AND(WeekDef=8,CustomSaFlag,CustomSaPeriod=4),INDEX(IF(DiffOptVolumeFlag,DiffOptVolumeHourlyOver,VolumeHourlyOver),M13,2),IF(OR(WeekDef=1,WeekDef=2,WeekDef=5,WeekDef=6,AND(WeekDef=8,CustomSaFlag,OR(CustomSaPeriod=1,CustomSaPeriod=2))),IF(VolumeMonthlyOverFlag,INDEX(IF(DiffOptVolumeFlag,DiffOptVolumeMonthlyOver,VolumeMonthlyOver),BJ27),IF(DiffOptVolumeFlag,DiffOptVolume,Volume)),0))</f>
        <v>600</v>
      </c>
      <c r="BS27" s="1647" t="n">
        <f aca="false">IF(AND(WeekDef=8,CustomSaFlag,CustomSaPeriod=4),INDEX(IF(DiffOptVolumeFlag,DiffOptVolumeHourlyOver,VolumeHourlyOver),N13,2),IF(OR(WeekDef=1,WeekDef=2,WeekDef=5,WeekDef=6,AND(WeekDef=8,CustomSaFlag,OR(CustomSaPeriod=1,CustomSaPeriod=2))),IF(VolumeMonthlyOverFlag,INDEX(IF(DiffOptVolumeFlag,DiffOptVolumeMonthlyOver,VolumeMonthlyOver),BJ27),IF(DiffOptVolumeFlag,DiffOptVolume,Volume)),0))</f>
        <v>600</v>
      </c>
      <c r="BT27" s="1647" t="n">
        <f aca="false">IF(AND(WeekDef=8,CustomSaFlag,CustomSaPeriod=4),INDEX(IF(DiffOptVolumeFlag,DiffOptVolumeHourlyOver,VolumeHourlyOver),O13,2),IF(OR(WeekDef=1,WeekDef=2,WeekDef=5,WeekDef=6,AND(WeekDef=8,CustomSaFlag,OR(CustomSaPeriod=1,CustomSaPeriod=2))),IF(VolumeMonthlyOverFlag,INDEX(IF(DiffOptVolumeFlag,DiffOptVolumeMonthlyOver,VolumeMonthlyOver),BJ27),IF(DiffOptVolumeFlag,DiffOptVolume,Volume)),0))</f>
        <v>600</v>
      </c>
      <c r="BU27" s="1647" t="n">
        <f aca="false">IF(AND(WeekDef=8,CustomSaFlag,CustomSaPeriod=4),INDEX(IF(DiffOptVolumeFlag,DiffOptVolumeHourlyOver,VolumeHourlyOver),P13,2),IF(OR(WeekDef=1,WeekDef=2,WeekDef=5,WeekDef=6,AND(WeekDef=8,CustomSaFlag,OR(CustomSaPeriod=1,CustomSaPeriod=2))),IF(VolumeMonthlyOverFlag,INDEX(IF(DiffOptVolumeFlag,DiffOptVolumeMonthlyOver,VolumeMonthlyOver),BJ27),IF(DiffOptVolumeFlag,DiffOptVolume,Volume)),0))</f>
        <v>600</v>
      </c>
      <c r="BV27" s="1647" t="n">
        <f aca="false">IF(AND(WeekDef=8,CustomSaFlag,CustomSaPeriod=4),INDEX(IF(DiffOptVolumeFlag,DiffOptVolumeHourlyOver,VolumeHourlyOver),Q13,2),IF(OR(WeekDef=1,WeekDef=2,WeekDef=5,WeekDef=6,AND(WeekDef=8,CustomSaFlag,OR(CustomSaPeriod=1,CustomSaPeriod=2))),IF(VolumeMonthlyOverFlag,INDEX(IF(DiffOptVolumeFlag,DiffOptVolumeMonthlyOver,VolumeMonthlyOver),BJ27),IF(DiffOptVolumeFlag,DiffOptVolume,Volume)),0))</f>
        <v>600</v>
      </c>
      <c r="BW27" s="1647" t="n">
        <f aca="false">IF(AND(WeekDef=8,CustomSaFlag,CustomSaPeriod=4),INDEX(IF(DiffOptVolumeFlag,DiffOptVolumeHourlyOver,VolumeHourlyOver),R13,2),IF(OR(WeekDef=1,WeekDef=2,WeekDef=5,WeekDef=6,AND(WeekDef=8,CustomSaFlag,OR(CustomSaPeriod=1,CustomSaPeriod=2))),IF(VolumeMonthlyOverFlag,INDEX(IF(DiffOptVolumeFlag,DiffOptVolumeMonthlyOver,VolumeMonthlyOver),BJ27),IF(DiffOptVolumeFlag,DiffOptVolume,Volume)),0))</f>
        <v>600</v>
      </c>
      <c r="BX27" s="1647" t="n">
        <f aca="false">IF(AND(WeekDef=8,CustomSaFlag,CustomSaPeriod=4),INDEX(IF(DiffOptVolumeFlag,DiffOptVolumeHourlyOver,VolumeHourlyOver),S13,2),IF(OR(WeekDef=1,WeekDef=2,WeekDef=5,WeekDef=6,AND(WeekDef=8,CustomSaFlag,OR(CustomSaPeriod=1,CustomSaPeriod=2))),IF(VolumeMonthlyOverFlag,INDEX(IF(DiffOptVolumeFlag,DiffOptVolumeMonthlyOver,VolumeMonthlyOver),BJ27),IF(DiffOptVolumeFlag,DiffOptVolume,Volume)),0))</f>
        <v>600</v>
      </c>
      <c r="BY27" s="1647" t="n">
        <f aca="false">IF(AND(WeekDef=8,CustomSaFlag,CustomSaPeriod=4),INDEX(IF(DiffOptVolumeFlag,DiffOptVolumeHourlyOver,VolumeHourlyOver),T13,2),IF(OR(WeekDef=1,WeekDef=2,WeekDef=5,WeekDef=6,AND(WeekDef=8,CustomSaFlag,OR(CustomSaPeriod=1,CustomSaPeriod=2))),IF(VolumeMonthlyOverFlag,INDEX(IF(DiffOptVolumeFlag,DiffOptVolumeMonthlyOver,VolumeMonthlyOver),BJ27),IF(DiffOptVolumeFlag,DiffOptVolume,Volume)),0))</f>
        <v>600</v>
      </c>
      <c r="BZ27" s="1648" t="n">
        <f aca="false">IF(AND(WeekDef=8,CustomSaFlag,CustomSaPeriod=4),INDEX(IF(DiffOptVolumeFlag,DiffOptVolumeHourlyOver,VolumeHourlyOver),U13,2),IF(OR(WeekDef=1,WeekDef=2,WeekDef=5,WeekDef=6,AND(WeekDef=8,CustomSaFlag,OR(CustomSaPeriod=1,CustomSaPeriod=2))),IF(VolumeMonthlyOverFlag,INDEX(IF(DiffOptVolumeFlag,DiffOptVolumeMonthlyOver,VolumeMonthlyOver),BJ27),IF(DiffOptVolumeFlag,DiffOptVolume,Volume)),0))</f>
        <v>600</v>
      </c>
      <c r="CA27" s="1647" t="n">
        <f aca="false">IF(AND(WeekDef=8,CustomSaFlag,CustomSaPeriod=4),INDEX(IF(DiffOptVolumeFlag,DiffOptVolumeHourlyOver,VolumeHourlyOver),V13,2),IF(OR(WeekDef=1,WeekDef=3,WeekDef=5,WeekDef=7,AND(WeekDef=8,CustomSaFlag,OR(CustomSaPeriod=1,CustomSaPeriod=3))),IF(VolumeMonthlyOverFlag,INDEX(IF(DiffOptVolumeFlag,DiffOptVolumeMonthlyOver,VolumeMonthlyOver),BJ27),IF(DiffOptVolumeFlag,DiffOptVolume,Volume)),0))</f>
        <v>600</v>
      </c>
      <c r="CB27" s="1647" t="n">
        <f aca="false">IF(AND(WeekDef=8,CustomSaFlag,CustomSaPeriod=4),INDEX(IF(DiffOptVolumeFlag,DiffOptVolumeHourlyOver,VolumeHourlyOver),W13,2),IF(OR(WeekDef=1,WeekDef=3,WeekDef=5,WeekDef=7,AND(WeekDef=8,CustomSaFlag,OR(CustomSaPeriod=1,CustomSaPeriod=3))),IF(VolumeMonthlyOverFlag,INDEX(IF(DiffOptVolumeFlag,DiffOptVolumeMonthlyOver,VolumeMonthlyOver),BJ27),IF(DiffOptVolumeFlag,DiffOptVolume,Volume)),0))</f>
        <v>600</v>
      </c>
      <c r="CC27" s="1647" t="n">
        <f aca="false">IF(AND(WeekDef=8,CustomSaFlag,CustomSaPeriod=4),INDEX(IF(DiffOptVolumeFlag,DiffOptVolumeHourlyOver,VolumeHourlyOver),X13,2),IF(OR(WeekDef=1,WeekDef=3,WeekDef=5,WeekDef=7,AND(WeekDef=8,CustomSaFlag,OR(CustomSaPeriod=1,CustomSaPeriod=3))),IF(VolumeMonthlyOverFlag,INDEX(IF(DiffOptVolumeFlag,DiffOptVolumeMonthlyOver,VolumeMonthlyOver),BJ27),IF(DiffOptVolumeFlag,DiffOptVolume,Volume)),0))</f>
        <v>600</v>
      </c>
      <c r="CD27" s="1647" t="n">
        <f aca="false">IF(AND(WeekDef=8,CustomSaFlag,CustomSaPeriod=4),INDEX(IF(DiffOptVolumeFlag,DiffOptVolumeHourlyOver,VolumeHourlyOver),Y13,2),IF(OR(WeekDef=1,WeekDef=3,WeekDef=5,WeekDef=7,AND(WeekDef=8,CustomSaFlag,OR(CustomSaPeriod=1,CustomSaPeriod=3))),IF(VolumeMonthlyOverFlag,INDEX(IF(DiffOptVolumeFlag,DiffOptVolumeMonthlyOver,VolumeMonthlyOver),BJ27),IF(DiffOptVolumeFlag,DiffOptVolume,Volume)),0))</f>
        <v>600</v>
      </c>
      <c r="CE27" s="1647" t="n">
        <f aca="false">IF(AND(WeekDef=8,CustomSaFlag,CustomSaPeriod=4),INDEX(IF(DiffOptVolumeFlag,DiffOptVolumeHourlyOver,VolumeHourlyOver),Z13,2),IF(OR(WeekDef=1,WeekDef=3,WeekDef=5,WeekDef=7,AND(WeekDef=8,CustomSaFlag,OR(CustomSaPeriod=1,CustomSaPeriod=3))),IF(VolumeMonthlyOverFlag,INDEX(IF(DiffOptVolumeFlag,DiffOptVolumeMonthlyOver,VolumeMonthlyOver),BJ27),IF(DiffOptVolumeFlag,DiffOptVolume,Volume)),0))</f>
        <v>600</v>
      </c>
      <c r="CF27" s="1647" t="n">
        <f aca="false">IF(AND(WeekDef=8,CustomSaFlag,CustomSaPeriod=4),INDEX(IF(DiffOptVolumeFlag,DiffOptVolumeHourlyOver,VolumeHourlyOver),AA13,2),IF(OR(WeekDef=1,WeekDef=3,WeekDef=5,WeekDef=7,AND(WeekDef=8,CustomSaFlag,OR(CustomSaPeriod=1,CustomSaPeriod=3))),IF(VolumeMonthlyOverFlag,INDEX(IF(DiffOptVolumeFlag,DiffOptVolumeMonthlyOver,VolumeMonthlyOver),BJ27),IF(DiffOptVolumeFlag,DiffOptVolume,Volume)),0))</f>
        <v>600</v>
      </c>
      <c r="CG27" s="1647" t="n">
        <f aca="false">IF(AND(WeekDef=8,CustomSaFlag,CustomSaPeriod=4),INDEX(IF(DiffOptVolumeFlag,DiffOptVolumeHourlyOver,VolumeHourlyOver),AB13,2),IF(OR(WeekDef=1,WeekDef=3,WeekDef=5,WeekDef=7,AND(WeekDef=8,CustomSaFlag,OR(CustomSaPeriod=1,CustomSaPeriod=3))),IF(VolumeMonthlyOverFlag,INDEX(IF(DiffOptVolumeFlag,DiffOptVolumeMonthlyOver,VolumeMonthlyOver),BJ27),IF(DiffOptVolumeFlag,DiffOptVolume,Volume)),0))</f>
        <v>600</v>
      </c>
      <c r="CH27" s="1648" t="n">
        <f aca="false">IF(AND(WeekDef=8,CustomSaFlag,CustomSaPeriod=4),INDEX(IF(DiffOptVolumeFlag,DiffOptVolumeHourlyOver,VolumeHourlyOver),AC13,2),IF(OR(WeekDef=1,WeekDef=3,WeekDef=5,WeekDef=7,AND(WeekDef=8,CustomSaFlag,OR(CustomSaPeriod=1,CustomSaPeriod=3))),IF(VolumeMonthlyOverFlag,INDEX(IF(DiffOptVolumeFlag,DiffOptVolumeMonthlyOver,VolumeMonthlyOver),BJ27),IF(DiffOptVolumeFlag,DiffOptVolume,Volume)),0))</f>
        <v>600</v>
      </c>
      <c r="CI27" s="1652" t="n">
        <f aca="false">SUM(BK27:BZ27)</f>
        <v>9600</v>
      </c>
      <c r="CJ27" s="1653" t="n">
        <f aca="false">SUM(CA27:CH27)</f>
        <v>4800</v>
      </c>
      <c r="CK27" s="1654" t="n">
        <f aca="false">CI27+CJ27</f>
        <v>14400</v>
      </c>
      <c r="CL27" s="1674" t="n">
        <f aca="false">IF(CI27,SUMPRODUCT(BK27:BZ27,F29:U29)/CI27,0)</f>
        <v>0.999999992549419</v>
      </c>
      <c r="CM27" s="1655" t="n">
        <f aca="false">IF(CJ27,SUMPRODUCT(CA27:CH27,V29:AC29)/CJ27,0)</f>
        <v>0.999999992549419</v>
      </c>
    </row>
    <row r="28" customFormat="false" ht="12.75" hidden="false" customHeight="false" outlineLevel="0" collapsed="false">
      <c r="C28" s="1658"/>
      <c r="D28" s="1658"/>
      <c r="E28" s="1636" t="n">
        <v>8</v>
      </c>
      <c r="F28" s="1677" t="n">
        <v>1.12558710575104</v>
      </c>
      <c r="G28" s="1678" t="n">
        <v>1.12504601478577</v>
      </c>
      <c r="H28" s="1678" t="n">
        <v>1.12008666992188</v>
      </c>
      <c r="I28" s="1678" t="n">
        <v>1.10258531570435</v>
      </c>
      <c r="J28" s="1678" t="n">
        <v>1.09408462047577</v>
      </c>
      <c r="K28" s="1678" t="n">
        <v>1.05204892158508</v>
      </c>
      <c r="L28" s="1678" t="n">
        <v>1.04639720916748</v>
      </c>
      <c r="M28" s="1678" t="n">
        <v>1.02018094062805</v>
      </c>
      <c r="N28" s="1678" t="n">
        <v>1.01091980934143</v>
      </c>
      <c r="O28" s="1678" t="n">
        <v>1.00116574764252</v>
      </c>
      <c r="P28" s="1678" t="n">
        <v>0.988476574420929</v>
      </c>
      <c r="Q28" s="1678" t="n">
        <v>0.943572998046875</v>
      </c>
      <c r="R28" s="1678" t="n">
        <v>0.923571467399597</v>
      </c>
      <c r="S28" s="1678" t="n">
        <v>0.890068888664246</v>
      </c>
      <c r="T28" s="1678" t="n">
        <v>0.824834704399109</v>
      </c>
      <c r="U28" s="1679" t="n">
        <v>0.731372833251953</v>
      </c>
      <c r="V28" s="1678" t="n">
        <v>1.17842245101929</v>
      </c>
      <c r="W28" s="1678" t="n">
        <v>1.06852686405182</v>
      </c>
      <c r="X28" s="1678" t="n">
        <v>1.03978443145752</v>
      </c>
      <c r="Y28" s="1678" t="n">
        <v>0.984925210475922</v>
      </c>
      <c r="Z28" s="1678" t="n">
        <v>0.952547132968903</v>
      </c>
      <c r="AA28" s="1678" t="n">
        <v>0.935656368732452</v>
      </c>
      <c r="AB28" s="1678" t="n">
        <v>0.920068800449371</v>
      </c>
      <c r="AC28" s="1679" t="n">
        <v>0.920068800449371</v>
      </c>
      <c r="AD28" s="1658"/>
      <c r="AE28" s="1636" t="n">
        <v>10</v>
      </c>
      <c r="AF28" s="1646" t="n">
        <f aca="false">IF(AND(WeekDef=8,CustomSaFlag,CustomSaPeriod=4),INDEX(VolumeHourlyOver,F14,2),IF(OR(WeekDef=1,WeekDef=2,WeekDef=5,WeekDef=6,AND(WeekDef=8,CustomSaFlag,OR(CustomSaPeriod=1,CustomSaPeriod=2))),IF(VolumeMonthlyOverFlag,INDEX(VolumeMonthlyOver,AE28),Volume),0))</f>
        <v>150</v>
      </c>
      <c r="AG28" s="1647" t="n">
        <f aca="false">IF(AND(WeekDef=8,CustomSaFlag,CustomSaPeriod=4),INDEX(VolumeHourlyOver,G14,2),IF(OR(WeekDef=1,WeekDef=2,WeekDef=5,WeekDef=6,AND(WeekDef=8,CustomSaFlag,OR(CustomSaPeriod=1,CustomSaPeriod=2))),IF(VolumeMonthlyOverFlag,INDEX(VolumeMonthlyOver,AE28),Volume),0))</f>
        <v>150</v>
      </c>
      <c r="AH28" s="1647" t="n">
        <f aca="false">IF(AND(WeekDef=8,CustomSaFlag,CustomSaPeriod=4),INDEX(VolumeHourlyOver,H14,2),IF(OR(WeekDef=1,WeekDef=2,WeekDef=5,WeekDef=6,AND(WeekDef=8,CustomSaFlag,OR(CustomSaPeriod=1,CustomSaPeriod=2))),IF(VolumeMonthlyOverFlag,INDEX(VolumeMonthlyOver,AE28),Volume),0))</f>
        <v>150</v>
      </c>
      <c r="AI28" s="1647" t="n">
        <f aca="false">IF(AND(WeekDef=8,CustomSaFlag,CustomSaPeriod=4),INDEX(VolumeHourlyOver,I14,2),IF(OR(WeekDef=1,WeekDef=2,WeekDef=5,WeekDef=6,AND(WeekDef=8,CustomSaFlag,OR(CustomSaPeriod=1,CustomSaPeriod=2))),IF(VolumeMonthlyOverFlag,INDEX(VolumeMonthlyOver,AE28),Volume),0))</f>
        <v>150</v>
      </c>
      <c r="AJ28" s="1647" t="n">
        <f aca="false">IF(AND(WeekDef=8,CustomSaFlag,CustomSaPeriod=4),INDEX(VolumeHourlyOver,J14,2),IF(OR(WeekDef=1,WeekDef=2,WeekDef=5,WeekDef=6,AND(WeekDef=8,CustomSaFlag,OR(CustomSaPeriod=1,CustomSaPeriod=2))),IF(VolumeMonthlyOverFlag,INDEX(VolumeMonthlyOver,AE28),Volume),0))</f>
        <v>150</v>
      </c>
      <c r="AK28" s="1647" t="n">
        <f aca="false">IF(AND(WeekDef=8,CustomSaFlag,CustomSaPeriod=4),INDEX(VolumeHourlyOver,K14,2),IF(OR(WeekDef=1,WeekDef=2,WeekDef=5,WeekDef=6,AND(WeekDef=8,CustomSaFlag,OR(CustomSaPeriod=1,CustomSaPeriod=2))),IF(VolumeMonthlyOverFlag,INDEX(VolumeMonthlyOver,AE28),Volume),0))</f>
        <v>150</v>
      </c>
      <c r="AL28" s="1647" t="n">
        <f aca="false">IF(AND(WeekDef=8,CustomSaFlag,CustomSaPeriod=4),INDEX(VolumeHourlyOver,L14,2),IF(OR(WeekDef=1,WeekDef=2,WeekDef=5,WeekDef=6,AND(WeekDef=8,CustomSaFlag,OR(CustomSaPeriod=1,CustomSaPeriod=2))),IF(VolumeMonthlyOverFlag,INDEX(VolumeMonthlyOver,AE28),Volume),0))</f>
        <v>150</v>
      </c>
      <c r="AM28" s="1647" t="n">
        <f aca="false">IF(AND(WeekDef=8,CustomSaFlag,CustomSaPeriod=4),INDEX(VolumeHourlyOver,M14,2),IF(OR(WeekDef=1,WeekDef=2,WeekDef=5,WeekDef=6,AND(WeekDef=8,CustomSaFlag,OR(CustomSaPeriod=1,CustomSaPeriod=2))),IF(VolumeMonthlyOverFlag,INDEX(VolumeMonthlyOver,AE28),Volume),0))</f>
        <v>150</v>
      </c>
      <c r="AN28" s="1647" t="n">
        <f aca="false">IF(AND(WeekDef=8,CustomSaFlag,CustomSaPeriod=4),INDEX(VolumeHourlyOver,N14,2),IF(OR(WeekDef=1,WeekDef=2,WeekDef=5,WeekDef=6,AND(WeekDef=8,CustomSaFlag,OR(CustomSaPeriod=1,CustomSaPeriod=2))),IF(VolumeMonthlyOverFlag,INDEX(VolumeMonthlyOver,AE28),Volume),0))</f>
        <v>150</v>
      </c>
      <c r="AO28" s="1647" t="n">
        <f aca="false">IF(AND(WeekDef=8,CustomSaFlag,CustomSaPeriod=4),INDEX(VolumeHourlyOver,O14,2),IF(OR(WeekDef=1,WeekDef=2,WeekDef=5,WeekDef=6,AND(WeekDef=8,CustomSaFlag,OR(CustomSaPeriod=1,CustomSaPeriod=2))),IF(VolumeMonthlyOverFlag,INDEX(VolumeMonthlyOver,AE28),Volume),0))</f>
        <v>150</v>
      </c>
      <c r="AP28" s="1647" t="n">
        <f aca="false">IF(AND(WeekDef=8,CustomSaFlag,CustomSaPeriod=4),INDEX(VolumeHourlyOver,P14,2),IF(OR(WeekDef=1,WeekDef=2,WeekDef=5,WeekDef=6,AND(WeekDef=8,CustomSaFlag,OR(CustomSaPeriod=1,CustomSaPeriod=2))),IF(VolumeMonthlyOverFlag,INDEX(VolumeMonthlyOver,AE28),Volume),0))</f>
        <v>150</v>
      </c>
      <c r="AQ28" s="1647" t="n">
        <f aca="false">IF(AND(WeekDef=8,CustomSaFlag,CustomSaPeriod=4),INDEX(VolumeHourlyOver,Q14,2),IF(OR(WeekDef=1,WeekDef=2,WeekDef=5,WeekDef=6,AND(WeekDef=8,CustomSaFlag,OR(CustomSaPeriod=1,CustomSaPeriod=2))),IF(VolumeMonthlyOverFlag,INDEX(VolumeMonthlyOver,AE28),Volume),0))</f>
        <v>150</v>
      </c>
      <c r="AR28" s="1647" t="n">
        <f aca="false">IF(AND(WeekDef=8,CustomSaFlag,CustomSaPeriod=4),INDEX(VolumeHourlyOver,R14,2),IF(OR(WeekDef=1,WeekDef=2,WeekDef=5,WeekDef=6,AND(WeekDef=8,CustomSaFlag,OR(CustomSaPeriod=1,CustomSaPeriod=2))),IF(VolumeMonthlyOverFlag,INDEX(VolumeMonthlyOver,AE28),Volume),0))</f>
        <v>150</v>
      </c>
      <c r="AS28" s="1647" t="n">
        <f aca="false">IF(AND(WeekDef=8,CustomSaFlag,CustomSaPeriod=4),INDEX(VolumeHourlyOver,S14,2),IF(OR(WeekDef=1,WeekDef=2,WeekDef=5,WeekDef=6,AND(WeekDef=8,CustomSaFlag,OR(CustomSaPeriod=1,CustomSaPeriod=2))),IF(VolumeMonthlyOverFlag,INDEX(VolumeMonthlyOver,AE28),Volume),0))</f>
        <v>150</v>
      </c>
      <c r="AT28" s="1647" t="n">
        <f aca="false">IF(AND(WeekDef=8,CustomSaFlag,CustomSaPeriod=4),INDEX(VolumeHourlyOver,T14,2),IF(OR(WeekDef=1,WeekDef=2,WeekDef=5,WeekDef=6,AND(WeekDef=8,CustomSaFlag,OR(CustomSaPeriod=1,CustomSaPeriod=2))),IF(VolumeMonthlyOverFlag,INDEX(VolumeMonthlyOver,AE28),Volume),0))</f>
        <v>150</v>
      </c>
      <c r="AU28" s="1648" t="n">
        <f aca="false">IF(AND(WeekDef=8,CustomSaFlag,CustomSaPeriod=4),INDEX(VolumeHourlyOver,U14,2),IF(OR(WeekDef=1,WeekDef=2,WeekDef=5,WeekDef=6,AND(WeekDef=8,CustomSaFlag,OR(CustomSaPeriod=1,CustomSaPeriod=2))),IF(VolumeMonthlyOverFlag,INDEX(VolumeMonthlyOver,AE28),Volume),0))</f>
        <v>150</v>
      </c>
      <c r="AV28" s="1647" t="n">
        <f aca="false">IF(AND(WeekDef=8,CustomSaFlag,CustomSaPeriod=4),INDEX(VolumeHourlyOver,V14,2),IF(OR(WeekDef=1,WeekDef=3,WeekDef=5,WeekDef=7,AND(WeekDef=8,CustomSaFlag,OR(CustomSaPeriod=1,CustomSaPeriod=3))),IF(VolumeMonthlyOverFlag,INDEX(VolumeMonthlyOver,AE28),Volume),0))</f>
        <v>150</v>
      </c>
      <c r="AW28" s="1647" t="n">
        <f aca="false">IF(AND(WeekDef=8,CustomSaFlag,CustomSaPeriod=4),INDEX(VolumeHourlyOver,W14,2),IF(OR(WeekDef=1,WeekDef=3,WeekDef=5,WeekDef=7,AND(WeekDef=8,CustomSaFlag,OR(CustomSaPeriod=1,CustomSaPeriod=3))),IF(VolumeMonthlyOverFlag,INDEX(VolumeMonthlyOver,AE28),Volume),0))</f>
        <v>150</v>
      </c>
      <c r="AX28" s="1647" t="n">
        <f aca="false">IF(AND(WeekDef=8,CustomSaFlag,CustomSaPeriod=4),INDEX(VolumeHourlyOver,X14,2),IF(OR(WeekDef=1,WeekDef=3,WeekDef=5,WeekDef=7,AND(WeekDef=8,CustomSaFlag,OR(CustomSaPeriod=1,CustomSaPeriod=3))),IF(VolumeMonthlyOverFlag,INDEX(VolumeMonthlyOver,AE28),Volume),0))</f>
        <v>150</v>
      </c>
      <c r="AY28" s="1647" t="n">
        <f aca="false">IF(AND(WeekDef=8,CustomSaFlag,CustomSaPeriod=4),INDEX(VolumeHourlyOver,Y14,2),IF(OR(WeekDef=1,WeekDef=3,WeekDef=5,WeekDef=7,AND(WeekDef=8,CustomSaFlag,OR(CustomSaPeriod=1,CustomSaPeriod=3))),IF(VolumeMonthlyOverFlag,INDEX(VolumeMonthlyOver,AE28),Volume),0))</f>
        <v>150</v>
      </c>
      <c r="AZ28" s="1647" t="n">
        <f aca="false">IF(AND(WeekDef=8,CustomSaFlag,CustomSaPeriod=4),INDEX(VolumeHourlyOver,Z14,2),IF(OR(WeekDef=1,WeekDef=3,WeekDef=5,WeekDef=7,AND(WeekDef=8,CustomSaFlag,OR(CustomSaPeriod=1,CustomSaPeriod=3))),IF(VolumeMonthlyOverFlag,INDEX(VolumeMonthlyOver,AE28),Volume),0))</f>
        <v>150</v>
      </c>
      <c r="BA28" s="1647" t="n">
        <f aca="false">IF(AND(WeekDef=8,CustomSaFlag,CustomSaPeriod=4),INDEX(VolumeHourlyOver,AA14,2),IF(OR(WeekDef=1,WeekDef=3,WeekDef=5,WeekDef=7,AND(WeekDef=8,CustomSaFlag,OR(CustomSaPeriod=1,CustomSaPeriod=3))),IF(VolumeMonthlyOverFlag,INDEX(VolumeMonthlyOver,AE28),Volume),0))</f>
        <v>150</v>
      </c>
      <c r="BB28" s="1647" t="n">
        <f aca="false">IF(AND(WeekDef=8,CustomSaFlag,CustomSaPeriod=4),INDEX(VolumeHourlyOver,AB14,2),IF(OR(WeekDef=1,WeekDef=3,WeekDef=5,WeekDef=7,AND(WeekDef=8,CustomSaFlag,OR(CustomSaPeriod=1,CustomSaPeriod=3))),IF(VolumeMonthlyOverFlag,INDEX(VolumeMonthlyOver,AE28),Volume),0))</f>
        <v>150</v>
      </c>
      <c r="BC28" s="1648" t="n">
        <f aca="false">IF(AND(WeekDef=8,CustomSaFlag,CustomSaPeriod=4),INDEX(VolumeHourlyOver,AC14,2),IF(OR(WeekDef=1,WeekDef=3,WeekDef=5,WeekDef=7,AND(WeekDef=8,CustomSaFlag,OR(CustomSaPeriod=1,CustomSaPeriod=3))),IF(VolumeMonthlyOverFlag,INDEX(VolumeMonthlyOver,AE28),Volume),0))</f>
        <v>150</v>
      </c>
      <c r="BD28" s="1652" t="n">
        <f aca="false">SUM(AF28:AU28)</f>
        <v>2400</v>
      </c>
      <c r="BE28" s="1653" t="n">
        <f aca="false">SUM(AV28:BC28)</f>
        <v>1200</v>
      </c>
      <c r="BF28" s="1654" t="n">
        <f aca="false">BD28+BE28</f>
        <v>3600</v>
      </c>
      <c r="BG28" s="1674" t="n">
        <f aca="false">IF(BD28,SUMPRODUCT(AF28:AU28,F30:U30)/BD28,0)</f>
        <v>1.00000001490116</v>
      </c>
      <c r="BH28" s="1655" t="n">
        <f aca="false">IF(BE28,SUMPRODUCT(AV28:BC28,V30:AC30)/BE28,0)</f>
        <v>0.999999992549419</v>
      </c>
      <c r="BJ28" s="1636" t="n">
        <v>10</v>
      </c>
      <c r="BK28" s="1646" t="n">
        <f aca="false">IF(AND(WeekDef=8,CustomSaFlag,CustomSaPeriod=4),INDEX(IF(DiffOptVolumeFlag,DiffOptVolumeHourlyOver,VolumeHourlyOver),F14,2),IF(OR(WeekDef=1,WeekDef=2,WeekDef=5,WeekDef=6,AND(WeekDef=8,CustomSaFlag,OR(CustomSaPeriod=1,CustomSaPeriod=2))),IF(VolumeMonthlyOverFlag,INDEX(IF(DiffOptVolumeFlag,DiffOptVolumeMonthlyOver,VolumeMonthlyOver),BJ28),IF(DiffOptVolumeFlag,DiffOptVolume,Volume)),0))</f>
        <v>600</v>
      </c>
      <c r="BL28" s="1647" t="n">
        <f aca="false">IF(AND(WeekDef=8,CustomSaFlag,CustomSaPeriod=4),INDEX(IF(DiffOptVolumeFlag,DiffOptVolumeHourlyOver,VolumeHourlyOver),G14,2),IF(OR(WeekDef=1,WeekDef=2,WeekDef=5,WeekDef=6,AND(WeekDef=8,CustomSaFlag,OR(CustomSaPeriod=1,CustomSaPeriod=2))),IF(VolumeMonthlyOverFlag,INDEX(IF(DiffOptVolumeFlag,DiffOptVolumeMonthlyOver,VolumeMonthlyOver),BJ28),IF(DiffOptVolumeFlag,DiffOptVolume,Volume)),0))</f>
        <v>600</v>
      </c>
      <c r="BM28" s="1647" t="n">
        <f aca="false">IF(AND(WeekDef=8,CustomSaFlag,CustomSaPeriod=4),INDEX(IF(DiffOptVolumeFlag,DiffOptVolumeHourlyOver,VolumeHourlyOver),H14,2),IF(OR(WeekDef=1,WeekDef=2,WeekDef=5,WeekDef=6,AND(WeekDef=8,CustomSaFlag,OR(CustomSaPeriod=1,CustomSaPeriod=2))),IF(VolumeMonthlyOverFlag,INDEX(IF(DiffOptVolumeFlag,DiffOptVolumeMonthlyOver,VolumeMonthlyOver),BJ28),IF(DiffOptVolumeFlag,DiffOptVolume,Volume)),0))</f>
        <v>600</v>
      </c>
      <c r="BN28" s="1647" t="n">
        <f aca="false">IF(AND(WeekDef=8,CustomSaFlag,CustomSaPeriod=4),INDEX(IF(DiffOptVolumeFlag,DiffOptVolumeHourlyOver,VolumeHourlyOver),I14,2),IF(OR(WeekDef=1,WeekDef=2,WeekDef=5,WeekDef=6,AND(WeekDef=8,CustomSaFlag,OR(CustomSaPeriod=1,CustomSaPeriod=2))),IF(VolumeMonthlyOverFlag,INDEX(IF(DiffOptVolumeFlag,DiffOptVolumeMonthlyOver,VolumeMonthlyOver),BJ28),IF(DiffOptVolumeFlag,DiffOptVolume,Volume)),0))</f>
        <v>600</v>
      </c>
      <c r="BO28" s="1647" t="n">
        <f aca="false">IF(AND(WeekDef=8,CustomSaFlag,CustomSaPeriod=4),INDEX(IF(DiffOptVolumeFlag,DiffOptVolumeHourlyOver,VolumeHourlyOver),J14,2),IF(OR(WeekDef=1,WeekDef=2,WeekDef=5,WeekDef=6,AND(WeekDef=8,CustomSaFlag,OR(CustomSaPeriod=1,CustomSaPeriod=2))),IF(VolumeMonthlyOverFlag,INDEX(IF(DiffOptVolumeFlag,DiffOptVolumeMonthlyOver,VolumeMonthlyOver),BJ28),IF(DiffOptVolumeFlag,DiffOptVolume,Volume)),0))</f>
        <v>600</v>
      </c>
      <c r="BP28" s="1647" t="n">
        <f aca="false">IF(AND(WeekDef=8,CustomSaFlag,CustomSaPeriod=4),INDEX(IF(DiffOptVolumeFlag,DiffOptVolumeHourlyOver,VolumeHourlyOver),K14,2),IF(OR(WeekDef=1,WeekDef=2,WeekDef=5,WeekDef=6,AND(WeekDef=8,CustomSaFlag,OR(CustomSaPeriod=1,CustomSaPeriod=2))),IF(VolumeMonthlyOverFlag,INDEX(IF(DiffOptVolumeFlag,DiffOptVolumeMonthlyOver,VolumeMonthlyOver),BJ28),IF(DiffOptVolumeFlag,DiffOptVolume,Volume)),0))</f>
        <v>600</v>
      </c>
      <c r="BQ28" s="1647" t="n">
        <f aca="false">IF(AND(WeekDef=8,CustomSaFlag,CustomSaPeriod=4),INDEX(IF(DiffOptVolumeFlag,DiffOptVolumeHourlyOver,VolumeHourlyOver),L14,2),IF(OR(WeekDef=1,WeekDef=2,WeekDef=5,WeekDef=6,AND(WeekDef=8,CustomSaFlag,OR(CustomSaPeriod=1,CustomSaPeriod=2))),IF(VolumeMonthlyOverFlag,INDEX(IF(DiffOptVolumeFlag,DiffOptVolumeMonthlyOver,VolumeMonthlyOver),BJ28),IF(DiffOptVolumeFlag,DiffOptVolume,Volume)),0))</f>
        <v>600</v>
      </c>
      <c r="BR28" s="1647" t="n">
        <f aca="false">IF(AND(WeekDef=8,CustomSaFlag,CustomSaPeriod=4),INDEX(IF(DiffOptVolumeFlag,DiffOptVolumeHourlyOver,VolumeHourlyOver),M14,2),IF(OR(WeekDef=1,WeekDef=2,WeekDef=5,WeekDef=6,AND(WeekDef=8,CustomSaFlag,OR(CustomSaPeriod=1,CustomSaPeriod=2))),IF(VolumeMonthlyOverFlag,INDEX(IF(DiffOptVolumeFlag,DiffOptVolumeMonthlyOver,VolumeMonthlyOver),BJ28),IF(DiffOptVolumeFlag,DiffOptVolume,Volume)),0))</f>
        <v>600</v>
      </c>
      <c r="BS28" s="1647" t="n">
        <f aca="false">IF(AND(WeekDef=8,CustomSaFlag,CustomSaPeriod=4),INDEX(IF(DiffOptVolumeFlag,DiffOptVolumeHourlyOver,VolumeHourlyOver),N14,2),IF(OR(WeekDef=1,WeekDef=2,WeekDef=5,WeekDef=6,AND(WeekDef=8,CustomSaFlag,OR(CustomSaPeriod=1,CustomSaPeriod=2))),IF(VolumeMonthlyOverFlag,INDEX(IF(DiffOptVolumeFlag,DiffOptVolumeMonthlyOver,VolumeMonthlyOver),BJ28),IF(DiffOptVolumeFlag,DiffOptVolume,Volume)),0))</f>
        <v>600</v>
      </c>
      <c r="BT28" s="1647" t="n">
        <f aca="false">IF(AND(WeekDef=8,CustomSaFlag,CustomSaPeriod=4),INDEX(IF(DiffOptVolumeFlag,DiffOptVolumeHourlyOver,VolumeHourlyOver),O14,2),IF(OR(WeekDef=1,WeekDef=2,WeekDef=5,WeekDef=6,AND(WeekDef=8,CustomSaFlag,OR(CustomSaPeriod=1,CustomSaPeriod=2))),IF(VolumeMonthlyOverFlag,INDEX(IF(DiffOptVolumeFlag,DiffOptVolumeMonthlyOver,VolumeMonthlyOver),BJ28),IF(DiffOptVolumeFlag,DiffOptVolume,Volume)),0))</f>
        <v>600</v>
      </c>
      <c r="BU28" s="1647" t="n">
        <f aca="false">IF(AND(WeekDef=8,CustomSaFlag,CustomSaPeriod=4),INDEX(IF(DiffOptVolumeFlag,DiffOptVolumeHourlyOver,VolumeHourlyOver),P14,2),IF(OR(WeekDef=1,WeekDef=2,WeekDef=5,WeekDef=6,AND(WeekDef=8,CustomSaFlag,OR(CustomSaPeriod=1,CustomSaPeriod=2))),IF(VolumeMonthlyOverFlag,INDEX(IF(DiffOptVolumeFlag,DiffOptVolumeMonthlyOver,VolumeMonthlyOver),BJ28),IF(DiffOptVolumeFlag,DiffOptVolume,Volume)),0))</f>
        <v>600</v>
      </c>
      <c r="BV28" s="1647" t="n">
        <f aca="false">IF(AND(WeekDef=8,CustomSaFlag,CustomSaPeriod=4),INDEX(IF(DiffOptVolumeFlag,DiffOptVolumeHourlyOver,VolumeHourlyOver),Q14,2),IF(OR(WeekDef=1,WeekDef=2,WeekDef=5,WeekDef=6,AND(WeekDef=8,CustomSaFlag,OR(CustomSaPeriod=1,CustomSaPeriod=2))),IF(VolumeMonthlyOverFlag,INDEX(IF(DiffOptVolumeFlag,DiffOptVolumeMonthlyOver,VolumeMonthlyOver),BJ28),IF(DiffOptVolumeFlag,DiffOptVolume,Volume)),0))</f>
        <v>600</v>
      </c>
      <c r="BW28" s="1647" t="n">
        <f aca="false">IF(AND(WeekDef=8,CustomSaFlag,CustomSaPeriod=4),INDEX(IF(DiffOptVolumeFlag,DiffOptVolumeHourlyOver,VolumeHourlyOver),R14,2),IF(OR(WeekDef=1,WeekDef=2,WeekDef=5,WeekDef=6,AND(WeekDef=8,CustomSaFlag,OR(CustomSaPeriod=1,CustomSaPeriod=2))),IF(VolumeMonthlyOverFlag,INDEX(IF(DiffOptVolumeFlag,DiffOptVolumeMonthlyOver,VolumeMonthlyOver),BJ28),IF(DiffOptVolumeFlag,DiffOptVolume,Volume)),0))</f>
        <v>600</v>
      </c>
      <c r="BX28" s="1647" t="n">
        <f aca="false">IF(AND(WeekDef=8,CustomSaFlag,CustomSaPeriod=4),INDEX(IF(DiffOptVolumeFlag,DiffOptVolumeHourlyOver,VolumeHourlyOver),S14,2),IF(OR(WeekDef=1,WeekDef=2,WeekDef=5,WeekDef=6,AND(WeekDef=8,CustomSaFlag,OR(CustomSaPeriod=1,CustomSaPeriod=2))),IF(VolumeMonthlyOverFlag,INDEX(IF(DiffOptVolumeFlag,DiffOptVolumeMonthlyOver,VolumeMonthlyOver),BJ28),IF(DiffOptVolumeFlag,DiffOptVolume,Volume)),0))</f>
        <v>600</v>
      </c>
      <c r="BY28" s="1647" t="n">
        <f aca="false">IF(AND(WeekDef=8,CustomSaFlag,CustomSaPeriod=4),INDEX(IF(DiffOptVolumeFlag,DiffOptVolumeHourlyOver,VolumeHourlyOver),T14,2),IF(OR(WeekDef=1,WeekDef=2,WeekDef=5,WeekDef=6,AND(WeekDef=8,CustomSaFlag,OR(CustomSaPeriod=1,CustomSaPeriod=2))),IF(VolumeMonthlyOverFlag,INDEX(IF(DiffOptVolumeFlag,DiffOptVolumeMonthlyOver,VolumeMonthlyOver),BJ28),IF(DiffOptVolumeFlag,DiffOptVolume,Volume)),0))</f>
        <v>600</v>
      </c>
      <c r="BZ28" s="1648" t="n">
        <f aca="false">IF(AND(WeekDef=8,CustomSaFlag,CustomSaPeriod=4),INDEX(IF(DiffOptVolumeFlag,DiffOptVolumeHourlyOver,VolumeHourlyOver),U14,2),IF(OR(WeekDef=1,WeekDef=2,WeekDef=5,WeekDef=6,AND(WeekDef=8,CustomSaFlag,OR(CustomSaPeriod=1,CustomSaPeriod=2))),IF(VolumeMonthlyOverFlag,INDEX(IF(DiffOptVolumeFlag,DiffOptVolumeMonthlyOver,VolumeMonthlyOver),BJ28),IF(DiffOptVolumeFlag,DiffOptVolume,Volume)),0))</f>
        <v>600</v>
      </c>
      <c r="CA28" s="1647" t="n">
        <f aca="false">IF(AND(WeekDef=8,CustomSaFlag,CustomSaPeriod=4),INDEX(IF(DiffOptVolumeFlag,DiffOptVolumeHourlyOver,VolumeHourlyOver),V14,2),IF(OR(WeekDef=1,WeekDef=3,WeekDef=5,WeekDef=7,AND(WeekDef=8,CustomSaFlag,OR(CustomSaPeriod=1,CustomSaPeriod=3))),IF(VolumeMonthlyOverFlag,INDEX(IF(DiffOptVolumeFlag,DiffOptVolumeMonthlyOver,VolumeMonthlyOver),BJ28),IF(DiffOptVolumeFlag,DiffOptVolume,Volume)),0))</f>
        <v>600</v>
      </c>
      <c r="CB28" s="1647" t="n">
        <f aca="false">IF(AND(WeekDef=8,CustomSaFlag,CustomSaPeriod=4),INDEX(IF(DiffOptVolumeFlag,DiffOptVolumeHourlyOver,VolumeHourlyOver),W14,2),IF(OR(WeekDef=1,WeekDef=3,WeekDef=5,WeekDef=7,AND(WeekDef=8,CustomSaFlag,OR(CustomSaPeriod=1,CustomSaPeriod=3))),IF(VolumeMonthlyOverFlag,INDEX(IF(DiffOptVolumeFlag,DiffOptVolumeMonthlyOver,VolumeMonthlyOver),BJ28),IF(DiffOptVolumeFlag,DiffOptVolume,Volume)),0))</f>
        <v>600</v>
      </c>
      <c r="CC28" s="1647" t="n">
        <f aca="false">IF(AND(WeekDef=8,CustomSaFlag,CustomSaPeriod=4),INDEX(IF(DiffOptVolumeFlag,DiffOptVolumeHourlyOver,VolumeHourlyOver),X14,2),IF(OR(WeekDef=1,WeekDef=3,WeekDef=5,WeekDef=7,AND(WeekDef=8,CustomSaFlag,OR(CustomSaPeriod=1,CustomSaPeriod=3))),IF(VolumeMonthlyOverFlag,INDEX(IF(DiffOptVolumeFlag,DiffOptVolumeMonthlyOver,VolumeMonthlyOver),BJ28),IF(DiffOptVolumeFlag,DiffOptVolume,Volume)),0))</f>
        <v>600</v>
      </c>
      <c r="CD28" s="1647" t="n">
        <f aca="false">IF(AND(WeekDef=8,CustomSaFlag,CustomSaPeriod=4),INDEX(IF(DiffOptVolumeFlag,DiffOptVolumeHourlyOver,VolumeHourlyOver),Y14,2),IF(OR(WeekDef=1,WeekDef=3,WeekDef=5,WeekDef=7,AND(WeekDef=8,CustomSaFlag,OR(CustomSaPeriod=1,CustomSaPeriod=3))),IF(VolumeMonthlyOverFlag,INDEX(IF(DiffOptVolumeFlag,DiffOptVolumeMonthlyOver,VolumeMonthlyOver),BJ28),IF(DiffOptVolumeFlag,DiffOptVolume,Volume)),0))</f>
        <v>600</v>
      </c>
      <c r="CE28" s="1647" t="n">
        <f aca="false">IF(AND(WeekDef=8,CustomSaFlag,CustomSaPeriod=4),INDEX(IF(DiffOptVolumeFlag,DiffOptVolumeHourlyOver,VolumeHourlyOver),Z14,2),IF(OR(WeekDef=1,WeekDef=3,WeekDef=5,WeekDef=7,AND(WeekDef=8,CustomSaFlag,OR(CustomSaPeriod=1,CustomSaPeriod=3))),IF(VolumeMonthlyOverFlag,INDEX(IF(DiffOptVolumeFlag,DiffOptVolumeMonthlyOver,VolumeMonthlyOver),BJ28),IF(DiffOptVolumeFlag,DiffOptVolume,Volume)),0))</f>
        <v>600</v>
      </c>
      <c r="CF28" s="1647" t="n">
        <f aca="false">IF(AND(WeekDef=8,CustomSaFlag,CustomSaPeriod=4),INDEX(IF(DiffOptVolumeFlag,DiffOptVolumeHourlyOver,VolumeHourlyOver),AA14,2),IF(OR(WeekDef=1,WeekDef=3,WeekDef=5,WeekDef=7,AND(WeekDef=8,CustomSaFlag,OR(CustomSaPeriod=1,CustomSaPeriod=3))),IF(VolumeMonthlyOverFlag,INDEX(IF(DiffOptVolumeFlag,DiffOptVolumeMonthlyOver,VolumeMonthlyOver),BJ28),IF(DiffOptVolumeFlag,DiffOptVolume,Volume)),0))</f>
        <v>600</v>
      </c>
      <c r="CG28" s="1647" t="n">
        <f aca="false">IF(AND(WeekDef=8,CustomSaFlag,CustomSaPeriod=4),INDEX(IF(DiffOptVolumeFlag,DiffOptVolumeHourlyOver,VolumeHourlyOver),AB14,2),IF(OR(WeekDef=1,WeekDef=3,WeekDef=5,WeekDef=7,AND(WeekDef=8,CustomSaFlag,OR(CustomSaPeriod=1,CustomSaPeriod=3))),IF(VolumeMonthlyOverFlag,INDEX(IF(DiffOptVolumeFlag,DiffOptVolumeMonthlyOver,VolumeMonthlyOver),BJ28),IF(DiffOptVolumeFlag,DiffOptVolume,Volume)),0))</f>
        <v>600</v>
      </c>
      <c r="CH28" s="1648" t="n">
        <f aca="false">IF(AND(WeekDef=8,CustomSaFlag,CustomSaPeriod=4),INDEX(IF(DiffOptVolumeFlag,DiffOptVolumeHourlyOver,VolumeHourlyOver),AC14,2),IF(OR(WeekDef=1,WeekDef=3,WeekDef=5,WeekDef=7,AND(WeekDef=8,CustomSaFlag,OR(CustomSaPeriod=1,CustomSaPeriod=3))),IF(VolumeMonthlyOverFlag,INDEX(IF(DiffOptVolumeFlag,DiffOptVolumeMonthlyOver,VolumeMonthlyOver),BJ28),IF(DiffOptVolumeFlag,DiffOptVolume,Volume)),0))</f>
        <v>600</v>
      </c>
      <c r="CI28" s="1652" t="n">
        <f aca="false">SUM(BK28:BZ28)</f>
        <v>9600</v>
      </c>
      <c r="CJ28" s="1653" t="n">
        <f aca="false">SUM(CA28:CH28)</f>
        <v>4800</v>
      </c>
      <c r="CK28" s="1654" t="n">
        <f aca="false">CI28+CJ28</f>
        <v>14400</v>
      </c>
      <c r="CL28" s="1674" t="n">
        <f aca="false">IF(CI28,SUMPRODUCT(BK28:BZ28,F30:U30)/CI28,0)</f>
        <v>1.00000001490116</v>
      </c>
      <c r="CM28" s="1655" t="n">
        <f aca="false">IF(CJ28,SUMPRODUCT(CA28:CH28,V30:AC30)/CJ28,0)</f>
        <v>0.999999992549419</v>
      </c>
    </row>
    <row r="29" customFormat="false" ht="12.75" hidden="false" customHeight="false" outlineLevel="0" collapsed="false">
      <c r="C29" s="1658"/>
      <c r="D29" s="1658"/>
      <c r="E29" s="1636" t="n">
        <v>9</v>
      </c>
      <c r="F29" s="1677" t="n">
        <v>1.07401371002197</v>
      </c>
      <c r="G29" s="1678" t="n">
        <v>1.07231676578522</v>
      </c>
      <c r="H29" s="1678" t="n">
        <v>1.06853640079498</v>
      </c>
      <c r="I29" s="1678" t="n">
        <v>1.06765151023865</v>
      </c>
      <c r="J29" s="1678" t="n">
        <v>1.06536090373993</v>
      </c>
      <c r="K29" s="1678" t="n">
        <v>1.05143225193024</v>
      </c>
      <c r="L29" s="1678" t="n">
        <v>1.03197932243347</v>
      </c>
      <c r="M29" s="1678" t="n">
        <v>1.03197932243347</v>
      </c>
      <c r="N29" s="1678" t="n">
        <v>1.02800023555756</v>
      </c>
      <c r="O29" s="1678" t="n">
        <v>1.02520489692688</v>
      </c>
      <c r="P29" s="1678" t="n">
        <v>1.01288723945618</v>
      </c>
      <c r="Q29" s="1678" t="n">
        <v>0.991087734699249</v>
      </c>
      <c r="R29" s="1678" t="n">
        <v>0.929746747016907</v>
      </c>
      <c r="S29" s="1678" t="n">
        <v>0.918933868408203</v>
      </c>
      <c r="T29" s="1678" t="n">
        <v>0.852613866329193</v>
      </c>
      <c r="U29" s="1679" t="n">
        <v>0.778255105018616</v>
      </c>
      <c r="V29" s="1678" t="n">
        <v>1.18187177181244</v>
      </c>
      <c r="W29" s="1678" t="n">
        <v>1.04639792442322</v>
      </c>
      <c r="X29" s="1678" t="n">
        <v>1.03020799160004</v>
      </c>
      <c r="Y29" s="1678" t="n">
        <v>0.985941231250763</v>
      </c>
      <c r="Z29" s="1678" t="n">
        <v>0.963352859020233</v>
      </c>
      <c r="AA29" s="1678" t="n">
        <v>0.945698738098145</v>
      </c>
      <c r="AB29" s="1678" t="n">
        <v>0.923437833786011</v>
      </c>
      <c r="AC29" s="1679" t="n">
        <v>0.923091590404511</v>
      </c>
      <c r="AD29" s="1658"/>
      <c r="AE29" s="1636" t="n">
        <v>11</v>
      </c>
      <c r="AF29" s="1646" t="n">
        <f aca="false">IF(AND(WeekDef=8,CustomSaFlag,CustomSaPeriod=4),INDEX(VolumeHourlyOver,F15,2),IF(OR(WeekDef=1,WeekDef=2,WeekDef=5,WeekDef=6,AND(WeekDef=8,CustomSaFlag,OR(CustomSaPeriod=1,CustomSaPeriod=2))),IF(VolumeMonthlyOverFlag,INDEX(VolumeMonthlyOver,AE29),Volume),0))</f>
        <v>150</v>
      </c>
      <c r="AG29" s="1647" t="n">
        <f aca="false">IF(AND(WeekDef=8,CustomSaFlag,CustomSaPeriod=4),INDEX(VolumeHourlyOver,G15,2),IF(OR(WeekDef=1,WeekDef=2,WeekDef=5,WeekDef=6,AND(WeekDef=8,CustomSaFlag,OR(CustomSaPeriod=1,CustomSaPeriod=2))),IF(VolumeMonthlyOverFlag,INDEX(VolumeMonthlyOver,AE29),Volume),0))</f>
        <v>150</v>
      </c>
      <c r="AH29" s="1647" t="n">
        <f aca="false">IF(AND(WeekDef=8,CustomSaFlag,CustomSaPeriod=4),INDEX(VolumeHourlyOver,H15,2),IF(OR(WeekDef=1,WeekDef=2,WeekDef=5,WeekDef=6,AND(WeekDef=8,CustomSaFlag,OR(CustomSaPeriod=1,CustomSaPeriod=2))),IF(VolumeMonthlyOverFlag,INDEX(VolumeMonthlyOver,AE29),Volume),0))</f>
        <v>150</v>
      </c>
      <c r="AI29" s="1647" t="n">
        <f aca="false">IF(AND(WeekDef=8,CustomSaFlag,CustomSaPeriod=4),INDEX(VolumeHourlyOver,I15,2),IF(OR(WeekDef=1,WeekDef=2,WeekDef=5,WeekDef=6,AND(WeekDef=8,CustomSaFlag,OR(CustomSaPeriod=1,CustomSaPeriod=2))),IF(VolumeMonthlyOverFlag,INDEX(VolumeMonthlyOver,AE29),Volume),0))</f>
        <v>150</v>
      </c>
      <c r="AJ29" s="1647" t="n">
        <f aca="false">IF(AND(WeekDef=8,CustomSaFlag,CustomSaPeriod=4),INDEX(VolumeHourlyOver,J15,2),IF(OR(WeekDef=1,WeekDef=2,WeekDef=5,WeekDef=6,AND(WeekDef=8,CustomSaFlag,OR(CustomSaPeriod=1,CustomSaPeriod=2))),IF(VolumeMonthlyOverFlag,INDEX(VolumeMonthlyOver,AE29),Volume),0))</f>
        <v>150</v>
      </c>
      <c r="AK29" s="1647" t="n">
        <f aca="false">IF(AND(WeekDef=8,CustomSaFlag,CustomSaPeriod=4),INDEX(VolumeHourlyOver,K15,2),IF(OR(WeekDef=1,WeekDef=2,WeekDef=5,WeekDef=6,AND(WeekDef=8,CustomSaFlag,OR(CustomSaPeriod=1,CustomSaPeriod=2))),IF(VolumeMonthlyOverFlag,INDEX(VolumeMonthlyOver,AE29),Volume),0))</f>
        <v>150</v>
      </c>
      <c r="AL29" s="1647" t="n">
        <f aca="false">IF(AND(WeekDef=8,CustomSaFlag,CustomSaPeriod=4),INDEX(VolumeHourlyOver,L15,2),IF(OR(WeekDef=1,WeekDef=2,WeekDef=5,WeekDef=6,AND(WeekDef=8,CustomSaFlag,OR(CustomSaPeriod=1,CustomSaPeriod=2))),IF(VolumeMonthlyOverFlag,INDEX(VolumeMonthlyOver,AE29),Volume),0))</f>
        <v>150</v>
      </c>
      <c r="AM29" s="1647" t="n">
        <f aca="false">IF(AND(WeekDef=8,CustomSaFlag,CustomSaPeriod=4),INDEX(VolumeHourlyOver,M15,2),IF(OR(WeekDef=1,WeekDef=2,WeekDef=5,WeekDef=6,AND(WeekDef=8,CustomSaFlag,OR(CustomSaPeriod=1,CustomSaPeriod=2))),IF(VolumeMonthlyOverFlag,INDEX(VolumeMonthlyOver,AE29),Volume),0))</f>
        <v>150</v>
      </c>
      <c r="AN29" s="1647" t="n">
        <f aca="false">IF(AND(WeekDef=8,CustomSaFlag,CustomSaPeriod=4),INDEX(VolumeHourlyOver,N15,2),IF(OR(WeekDef=1,WeekDef=2,WeekDef=5,WeekDef=6,AND(WeekDef=8,CustomSaFlag,OR(CustomSaPeriod=1,CustomSaPeriod=2))),IF(VolumeMonthlyOverFlag,INDEX(VolumeMonthlyOver,AE29),Volume),0))</f>
        <v>150</v>
      </c>
      <c r="AO29" s="1647" t="n">
        <f aca="false">IF(AND(WeekDef=8,CustomSaFlag,CustomSaPeriod=4),INDEX(VolumeHourlyOver,O15,2),IF(OR(WeekDef=1,WeekDef=2,WeekDef=5,WeekDef=6,AND(WeekDef=8,CustomSaFlag,OR(CustomSaPeriod=1,CustomSaPeriod=2))),IF(VolumeMonthlyOverFlag,INDEX(VolumeMonthlyOver,AE29),Volume),0))</f>
        <v>150</v>
      </c>
      <c r="AP29" s="1647" t="n">
        <f aca="false">IF(AND(WeekDef=8,CustomSaFlag,CustomSaPeriod=4),INDEX(VolumeHourlyOver,P15,2),IF(OR(WeekDef=1,WeekDef=2,WeekDef=5,WeekDef=6,AND(WeekDef=8,CustomSaFlag,OR(CustomSaPeriod=1,CustomSaPeriod=2))),IF(VolumeMonthlyOverFlag,INDEX(VolumeMonthlyOver,AE29),Volume),0))</f>
        <v>150</v>
      </c>
      <c r="AQ29" s="1647" t="n">
        <f aca="false">IF(AND(WeekDef=8,CustomSaFlag,CustomSaPeriod=4),INDEX(VolumeHourlyOver,Q15,2),IF(OR(WeekDef=1,WeekDef=2,WeekDef=5,WeekDef=6,AND(WeekDef=8,CustomSaFlag,OR(CustomSaPeriod=1,CustomSaPeriod=2))),IF(VolumeMonthlyOverFlag,INDEX(VolumeMonthlyOver,AE29),Volume),0))</f>
        <v>150</v>
      </c>
      <c r="AR29" s="1647" t="n">
        <f aca="false">IF(AND(WeekDef=8,CustomSaFlag,CustomSaPeriod=4),INDEX(VolumeHourlyOver,R15,2),IF(OR(WeekDef=1,WeekDef=2,WeekDef=5,WeekDef=6,AND(WeekDef=8,CustomSaFlag,OR(CustomSaPeriod=1,CustomSaPeriod=2))),IF(VolumeMonthlyOverFlag,INDEX(VolumeMonthlyOver,AE29),Volume),0))</f>
        <v>150</v>
      </c>
      <c r="AS29" s="1647" t="n">
        <f aca="false">IF(AND(WeekDef=8,CustomSaFlag,CustomSaPeriod=4),INDEX(VolumeHourlyOver,S15,2),IF(OR(WeekDef=1,WeekDef=2,WeekDef=5,WeekDef=6,AND(WeekDef=8,CustomSaFlag,OR(CustomSaPeriod=1,CustomSaPeriod=2))),IF(VolumeMonthlyOverFlag,INDEX(VolumeMonthlyOver,AE29),Volume),0))</f>
        <v>150</v>
      </c>
      <c r="AT29" s="1647" t="n">
        <f aca="false">IF(AND(WeekDef=8,CustomSaFlag,CustomSaPeriod=4),INDEX(VolumeHourlyOver,T15,2),IF(OR(WeekDef=1,WeekDef=2,WeekDef=5,WeekDef=6,AND(WeekDef=8,CustomSaFlag,OR(CustomSaPeriod=1,CustomSaPeriod=2))),IF(VolumeMonthlyOverFlag,INDEX(VolumeMonthlyOver,AE29),Volume),0))</f>
        <v>150</v>
      </c>
      <c r="AU29" s="1648" t="n">
        <f aca="false">IF(AND(WeekDef=8,CustomSaFlag,CustomSaPeriod=4),INDEX(VolumeHourlyOver,U15,2),IF(OR(WeekDef=1,WeekDef=2,WeekDef=5,WeekDef=6,AND(WeekDef=8,CustomSaFlag,OR(CustomSaPeriod=1,CustomSaPeriod=2))),IF(VolumeMonthlyOverFlag,INDEX(VolumeMonthlyOver,AE29),Volume),0))</f>
        <v>150</v>
      </c>
      <c r="AV29" s="1647" t="n">
        <f aca="false">IF(AND(WeekDef=8,CustomSaFlag,CustomSaPeriod=4),INDEX(VolumeHourlyOver,V15,2),IF(OR(WeekDef=1,WeekDef=3,WeekDef=5,WeekDef=7,AND(WeekDef=8,CustomSaFlag,OR(CustomSaPeriod=1,CustomSaPeriod=3))),IF(VolumeMonthlyOverFlag,INDEX(VolumeMonthlyOver,AE29),Volume),0))</f>
        <v>150</v>
      </c>
      <c r="AW29" s="1647" t="n">
        <f aca="false">IF(AND(WeekDef=8,CustomSaFlag,CustomSaPeriod=4),INDEX(VolumeHourlyOver,W15,2),IF(OR(WeekDef=1,WeekDef=3,WeekDef=5,WeekDef=7,AND(WeekDef=8,CustomSaFlag,OR(CustomSaPeriod=1,CustomSaPeriod=3))),IF(VolumeMonthlyOverFlag,INDEX(VolumeMonthlyOver,AE29),Volume),0))</f>
        <v>150</v>
      </c>
      <c r="AX29" s="1647" t="n">
        <f aca="false">IF(AND(WeekDef=8,CustomSaFlag,CustomSaPeriod=4),INDEX(VolumeHourlyOver,X15,2),IF(OR(WeekDef=1,WeekDef=3,WeekDef=5,WeekDef=7,AND(WeekDef=8,CustomSaFlag,OR(CustomSaPeriod=1,CustomSaPeriod=3))),IF(VolumeMonthlyOverFlag,INDEX(VolumeMonthlyOver,AE29),Volume),0))</f>
        <v>150</v>
      </c>
      <c r="AY29" s="1647" t="n">
        <f aca="false">IF(AND(WeekDef=8,CustomSaFlag,CustomSaPeriod=4),INDEX(VolumeHourlyOver,Y15,2),IF(OR(WeekDef=1,WeekDef=3,WeekDef=5,WeekDef=7,AND(WeekDef=8,CustomSaFlag,OR(CustomSaPeriod=1,CustomSaPeriod=3))),IF(VolumeMonthlyOverFlag,INDEX(VolumeMonthlyOver,AE29),Volume),0))</f>
        <v>150</v>
      </c>
      <c r="AZ29" s="1647" t="n">
        <f aca="false">IF(AND(WeekDef=8,CustomSaFlag,CustomSaPeriod=4),INDEX(VolumeHourlyOver,Z15,2),IF(OR(WeekDef=1,WeekDef=3,WeekDef=5,WeekDef=7,AND(WeekDef=8,CustomSaFlag,OR(CustomSaPeriod=1,CustomSaPeriod=3))),IF(VolumeMonthlyOverFlag,INDEX(VolumeMonthlyOver,AE29),Volume),0))</f>
        <v>150</v>
      </c>
      <c r="BA29" s="1647" t="n">
        <f aca="false">IF(AND(WeekDef=8,CustomSaFlag,CustomSaPeriod=4),INDEX(VolumeHourlyOver,AA15,2),IF(OR(WeekDef=1,WeekDef=3,WeekDef=5,WeekDef=7,AND(WeekDef=8,CustomSaFlag,OR(CustomSaPeriod=1,CustomSaPeriod=3))),IF(VolumeMonthlyOverFlag,INDEX(VolumeMonthlyOver,AE29),Volume),0))</f>
        <v>150</v>
      </c>
      <c r="BB29" s="1647" t="n">
        <f aca="false">IF(AND(WeekDef=8,CustomSaFlag,CustomSaPeriod=4),INDEX(VolumeHourlyOver,AB15,2),IF(OR(WeekDef=1,WeekDef=3,WeekDef=5,WeekDef=7,AND(WeekDef=8,CustomSaFlag,OR(CustomSaPeriod=1,CustomSaPeriod=3))),IF(VolumeMonthlyOverFlag,INDEX(VolumeMonthlyOver,AE29),Volume),0))</f>
        <v>150</v>
      </c>
      <c r="BC29" s="1648" t="n">
        <f aca="false">IF(AND(WeekDef=8,CustomSaFlag,CustomSaPeriod=4),INDEX(VolumeHourlyOver,AC15,2),IF(OR(WeekDef=1,WeekDef=3,WeekDef=5,WeekDef=7,AND(WeekDef=8,CustomSaFlag,OR(CustomSaPeriod=1,CustomSaPeriod=3))),IF(VolumeMonthlyOverFlag,INDEX(VolumeMonthlyOver,AE29),Volume),0))</f>
        <v>150</v>
      </c>
      <c r="BD29" s="1652" t="n">
        <f aca="false">SUM(AF29:AU29)</f>
        <v>2400</v>
      </c>
      <c r="BE29" s="1653" t="n">
        <f aca="false">SUM(AV29:BC29)</f>
        <v>1200</v>
      </c>
      <c r="BF29" s="1654" t="n">
        <f aca="false">BD29+BE29</f>
        <v>3600</v>
      </c>
      <c r="BG29" s="1674" t="n">
        <f aca="false">IF(BD29,SUMPRODUCT(AF29:AU29,F31:U31)/BD29,0)</f>
        <v>1</v>
      </c>
      <c r="BH29" s="1655" t="n">
        <f aca="false">IF(BE29,SUMPRODUCT(AV29:BC29,V31:AC31)/BE29,0)</f>
        <v>0.999999992549419</v>
      </c>
      <c r="BJ29" s="1636" t="n">
        <v>11</v>
      </c>
      <c r="BK29" s="1646" t="n">
        <f aca="false">IF(AND(WeekDef=8,CustomSaFlag,CustomSaPeriod=4),INDEX(IF(DiffOptVolumeFlag,DiffOptVolumeHourlyOver,VolumeHourlyOver),F15,2),IF(OR(WeekDef=1,WeekDef=2,WeekDef=5,WeekDef=6,AND(WeekDef=8,CustomSaFlag,OR(CustomSaPeriod=1,CustomSaPeriod=2))),IF(VolumeMonthlyOverFlag,INDEX(IF(DiffOptVolumeFlag,DiffOptVolumeMonthlyOver,VolumeMonthlyOver),BJ29),IF(DiffOptVolumeFlag,DiffOptVolume,Volume)),0))</f>
        <v>600</v>
      </c>
      <c r="BL29" s="1647" t="n">
        <f aca="false">IF(AND(WeekDef=8,CustomSaFlag,CustomSaPeriod=4),INDEX(IF(DiffOptVolumeFlag,DiffOptVolumeHourlyOver,VolumeHourlyOver),G15,2),IF(OR(WeekDef=1,WeekDef=2,WeekDef=5,WeekDef=6,AND(WeekDef=8,CustomSaFlag,OR(CustomSaPeriod=1,CustomSaPeriod=2))),IF(VolumeMonthlyOverFlag,INDEX(IF(DiffOptVolumeFlag,DiffOptVolumeMonthlyOver,VolumeMonthlyOver),BJ29),IF(DiffOptVolumeFlag,DiffOptVolume,Volume)),0))</f>
        <v>600</v>
      </c>
      <c r="BM29" s="1647" t="n">
        <f aca="false">IF(AND(WeekDef=8,CustomSaFlag,CustomSaPeriod=4),INDEX(IF(DiffOptVolumeFlag,DiffOptVolumeHourlyOver,VolumeHourlyOver),H15,2),IF(OR(WeekDef=1,WeekDef=2,WeekDef=5,WeekDef=6,AND(WeekDef=8,CustomSaFlag,OR(CustomSaPeriod=1,CustomSaPeriod=2))),IF(VolumeMonthlyOverFlag,INDEX(IF(DiffOptVolumeFlag,DiffOptVolumeMonthlyOver,VolumeMonthlyOver),BJ29),IF(DiffOptVolumeFlag,DiffOptVolume,Volume)),0))</f>
        <v>600</v>
      </c>
      <c r="BN29" s="1647" t="n">
        <f aca="false">IF(AND(WeekDef=8,CustomSaFlag,CustomSaPeriod=4),INDEX(IF(DiffOptVolumeFlag,DiffOptVolumeHourlyOver,VolumeHourlyOver),I15,2),IF(OR(WeekDef=1,WeekDef=2,WeekDef=5,WeekDef=6,AND(WeekDef=8,CustomSaFlag,OR(CustomSaPeriod=1,CustomSaPeriod=2))),IF(VolumeMonthlyOverFlag,INDEX(IF(DiffOptVolumeFlag,DiffOptVolumeMonthlyOver,VolumeMonthlyOver),BJ29),IF(DiffOptVolumeFlag,DiffOptVolume,Volume)),0))</f>
        <v>600</v>
      </c>
      <c r="BO29" s="1647" t="n">
        <f aca="false">IF(AND(WeekDef=8,CustomSaFlag,CustomSaPeriod=4),INDEX(IF(DiffOptVolumeFlag,DiffOptVolumeHourlyOver,VolumeHourlyOver),J15,2),IF(OR(WeekDef=1,WeekDef=2,WeekDef=5,WeekDef=6,AND(WeekDef=8,CustomSaFlag,OR(CustomSaPeriod=1,CustomSaPeriod=2))),IF(VolumeMonthlyOverFlag,INDEX(IF(DiffOptVolumeFlag,DiffOptVolumeMonthlyOver,VolumeMonthlyOver),BJ29),IF(DiffOptVolumeFlag,DiffOptVolume,Volume)),0))</f>
        <v>600</v>
      </c>
      <c r="BP29" s="1647" t="n">
        <f aca="false">IF(AND(WeekDef=8,CustomSaFlag,CustomSaPeriod=4),INDEX(IF(DiffOptVolumeFlag,DiffOptVolumeHourlyOver,VolumeHourlyOver),K15,2),IF(OR(WeekDef=1,WeekDef=2,WeekDef=5,WeekDef=6,AND(WeekDef=8,CustomSaFlag,OR(CustomSaPeriod=1,CustomSaPeriod=2))),IF(VolumeMonthlyOverFlag,INDEX(IF(DiffOptVolumeFlag,DiffOptVolumeMonthlyOver,VolumeMonthlyOver),BJ29),IF(DiffOptVolumeFlag,DiffOptVolume,Volume)),0))</f>
        <v>600</v>
      </c>
      <c r="BQ29" s="1647" t="n">
        <f aca="false">IF(AND(WeekDef=8,CustomSaFlag,CustomSaPeriod=4),INDEX(IF(DiffOptVolumeFlag,DiffOptVolumeHourlyOver,VolumeHourlyOver),L15,2),IF(OR(WeekDef=1,WeekDef=2,WeekDef=5,WeekDef=6,AND(WeekDef=8,CustomSaFlag,OR(CustomSaPeriod=1,CustomSaPeriod=2))),IF(VolumeMonthlyOverFlag,INDEX(IF(DiffOptVolumeFlag,DiffOptVolumeMonthlyOver,VolumeMonthlyOver),BJ29),IF(DiffOptVolumeFlag,DiffOptVolume,Volume)),0))</f>
        <v>600</v>
      </c>
      <c r="BR29" s="1647" t="n">
        <f aca="false">IF(AND(WeekDef=8,CustomSaFlag,CustomSaPeriod=4),INDEX(IF(DiffOptVolumeFlag,DiffOptVolumeHourlyOver,VolumeHourlyOver),M15,2),IF(OR(WeekDef=1,WeekDef=2,WeekDef=5,WeekDef=6,AND(WeekDef=8,CustomSaFlag,OR(CustomSaPeriod=1,CustomSaPeriod=2))),IF(VolumeMonthlyOverFlag,INDEX(IF(DiffOptVolumeFlag,DiffOptVolumeMonthlyOver,VolumeMonthlyOver),BJ29),IF(DiffOptVolumeFlag,DiffOptVolume,Volume)),0))</f>
        <v>600</v>
      </c>
      <c r="BS29" s="1647" t="n">
        <f aca="false">IF(AND(WeekDef=8,CustomSaFlag,CustomSaPeriod=4),INDEX(IF(DiffOptVolumeFlag,DiffOptVolumeHourlyOver,VolumeHourlyOver),N15,2),IF(OR(WeekDef=1,WeekDef=2,WeekDef=5,WeekDef=6,AND(WeekDef=8,CustomSaFlag,OR(CustomSaPeriod=1,CustomSaPeriod=2))),IF(VolumeMonthlyOverFlag,INDEX(IF(DiffOptVolumeFlag,DiffOptVolumeMonthlyOver,VolumeMonthlyOver),BJ29),IF(DiffOptVolumeFlag,DiffOptVolume,Volume)),0))</f>
        <v>600</v>
      </c>
      <c r="BT29" s="1647" t="n">
        <f aca="false">IF(AND(WeekDef=8,CustomSaFlag,CustomSaPeriod=4),INDEX(IF(DiffOptVolumeFlag,DiffOptVolumeHourlyOver,VolumeHourlyOver),O15,2),IF(OR(WeekDef=1,WeekDef=2,WeekDef=5,WeekDef=6,AND(WeekDef=8,CustomSaFlag,OR(CustomSaPeriod=1,CustomSaPeriod=2))),IF(VolumeMonthlyOverFlag,INDEX(IF(DiffOptVolumeFlag,DiffOptVolumeMonthlyOver,VolumeMonthlyOver),BJ29),IF(DiffOptVolumeFlag,DiffOptVolume,Volume)),0))</f>
        <v>600</v>
      </c>
      <c r="BU29" s="1647" t="n">
        <f aca="false">IF(AND(WeekDef=8,CustomSaFlag,CustomSaPeriod=4),INDEX(IF(DiffOptVolumeFlag,DiffOptVolumeHourlyOver,VolumeHourlyOver),P15,2),IF(OR(WeekDef=1,WeekDef=2,WeekDef=5,WeekDef=6,AND(WeekDef=8,CustomSaFlag,OR(CustomSaPeriod=1,CustomSaPeriod=2))),IF(VolumeMonthlyOverFlag,INDEX(IF(DiffOptVolumeFlag,DiffOptVolumeMonthlyOver,VolumeMonthlyOver),BJ29),IF(DiffOptVolumeFlag,DiffOptVolume,Volume)),0))</f>
        <v>600</v>
      </c>
      <c r="BV29" s="1647" t="n">
        <f aca="false">IF(AND(WeekDef=8,CustomSaFlag,CustomSaPeriod=4),INDEX(IF(DiffOptVolumeFlag,DiffOptVolumeHourlyOver,VolumeHourlyOver),Q15,2),IF(OR(WeekDef=1,WeekDef=2,WeekDef=5,WeekDef=6,AND(WeekDef=8,CustomSaFlag,OR(CustomSaPeriod=1,CustomSaPeriod=2))),IF(VolumeMonthlyOverFlag,INDEX(IF(DiffOptVolumeFlag,DiffOptVolumeMonthlyOver,VolumeMonthlyOver),BJ29),IF(DiffOptVolumeFlag,DiffOptVolume,Volume)),0))</f>
        <v>600</v>
      </c>
      <c r="BW29" s="1647" t="n">
        <f aca="false">IF(AND(WeekDef=8,CustomSaFlag,CustomSaPeriod=4),INDEX(IF(DiffOptVolumeFlag,DiffOptVolumeHourlyOver,VolumeHourlyOver),R15,2),IF(OR(WeekDef=1,WeekDef=2,WeekDef=5,WeekDef=6,AND(WeekDef=8,CustomSaFlag,OR(CustomSaPeriod=1,CustomSaPeriod=2))),IF(VolumeMonthlyOverFlag,INDEX(IF(DiffOptVolumeFlag,DiffOptVolumeMonthlyOver,VolumeMonthlyOver),BJ29),IF(DiffOptVolumeFlag,DiffOptVolume,Volume)),0))</f>
        <v>600</v>
      </c>
      <c r="BX29" s="1647" t="n">
        <f aca="false">IF(AND(WeekDef=8,CustomSaFlag,CustomSaPeriod=4),INDEX(IF(DiffOptVolumeFlag,DiffOptVolumeHourlyOver,VolumeHourlyOver),S15,2),IF(OR(WeekDef=1,WeekDef=2,WeekDef=5,WeekDef=6,AND(WeekDef=8,CustomSaFlag,OR(CustomSaPeriod=1,CustomSaPeriod=2))),IF(VolumeMonthlyOverFlag,INDEX(IF(DiffOptVolumeFlag,DiffOptVolumeMonthlyOver,VolumeMonthlyOver),BJ29),IF(DiffOptVolumeFlag,DiffOptVolume,Volume)),0))</f>
        <v>600</v>
      </c>
      <c r="BY29" s="1647" t="n">
        <f aca="false">IF(AND(WeekDef=8,CustomSaFlag,CustomSaPeriod=4),INDEX(IF(DiffOptVolumeFlag,DiffOptVolumeHourlyOver,VolumeHourlyOver),T15,2),IF(OR(WeekDef=1,WeekDef=2,WeekDef=5,WeekDef=6,AND(WeekDef=8,CustomSaFlag,OR(CustomSaPeriod=1,CustomSaPeriod=2))),IF(VolumeMonthlyOverFlag,INDEX(IF(DiffOptVolumeFlag,DiffOptVolumeMonthlyOver,VolumeMonthlyOver),BJ29),IF(DiffOptVolumeFlag,DiffOptVolume,Volume)),0))</f>
        <v>600</v>
      </c>
      <c r="BZ29" s="1648" t="n">
        <f aca="false">IF(AND(WeekDef=8,CustomSaFlag,CustomSaPeriod=4),INDEX(IF(DiffOptVolumeFlag,DiffOptVolumeHourlyOver,VolumeHourlyOver),U15,2),IF(OR(WeekDef=1,WeekDef=2,WeekDef=5,WeekDef=6,AND(WeekDef=8,CustomSaFlag,OR(CustomSaPeriod=1,CustomSaPeriod=2))),IF(VolumeMonthlyOverFlag,INDEX(IF(DiffOptVolumeFlag,DiffOptVolumeMonthlyOver,VolumeMonthlyOver),BJ29),IF(DiffOptVolumeFlag,DiffOptVolume,Volume)),0))</f>
        <v>600</v>
      </c>
      <c r="CA29" s="1647" t="n">
        <f aca="false">IF(AND(WeekDef=8,CustomSaFlag,CustomSaPeriod=4),INDEX(IF(DiffOptVolumeFlag,DiffOptVolumeHourlyOver,VolumeHourlyOver),V15,2),IF(OR(WeekDef=1,WeekDef=3,WeekDef=5,WeekDef=7,AND(WeekDef=8,CustomSaFlag,OR(CustomSaPeriod=1,CustomSaPeriod=3))),IF(VolumeMonthlyOverFlag,INDEX(IF(DiffOptVolumeFlag,DiffOptVolumeMonthlyOver,VolumeMonthlyOver),BJ29),IF(DiffOptVolumeFlag,DiffOptVolume,Volume)),0))</f>
        <v>600</v>
      </c>
      <c r="CB29" s="1647" t="n">
        <f aca="false">IF(AND(WeekDef=8,CustomSaFlag,CustomSaPeriod=4),INDEX(IF(DiffOptVolumeFlag,DiffOptVolumeHourlyOver,VolumeHourlyOver),W15,2),IF(OR(WeekDef=1,WeekDef=3,WeekDef=5,WeekDef=7,AND(WeekDef=8,CustomSaFlag,OR(CustomSaPeriod=1,CustomSaPeriod=3))),IF(VolumeMonthlyOverFlag,INDEX(IF(DiffOptVolumeFlag,DiffOptVolumeMonthlyOver,VolumeMonthlyOver),BJ29),IF(DiffOptVolumeFlag,DiffOptVolume,Volume)),0))</f>
        <v>600</v>
      </c>
      <c r="CC29" s="1647" t="n">
        <f aca="false">IF(AND(WeekDef=8,CustomSaFlag,CustomSaPeriod=4),INDEX(IF(DiffOptVolumeFlag,DiffOptVolumeHourlyOver,VolumeHourlyOver),X15,2),IF(OR(WeekDef=1,WeekDef=3,WeekDef=5,WeekDef=7,AND(WeekDef=8,CustomSaFlag,OR(CustomSaPeriod=1,CustomSaPeriod=3))),IF(VolumeMonthlyOverFlag,INDEX(IF(DiffOptVolumeFlag,DiffOptVolumeMonthlyOver,VolumeMonthlyOver),BJ29),IF(DiffOptVolumeFlag,DiffOptVolume,Volume)),0))</f>
        <v>600</v>
      </c>
      <c r="CD29" s="1647" t="n">
        <f aca="false">IF(AND(WeekDef=8,CustomSaFlag,CustomSaPeriod=4),INDEX(IF(DiffOptVolumeFlag,DiffOptVolumeHourlyOver,VolumeHourlyOver),Y15,2),IF(OR(WeekDef=1,WeekDef=3,WeekDef=5,WeekDef=7,AND(WeekDef=8,CustomSaFlag,OR(CustomSaPeriod=1,CustomSaPeriod=3))),IF(VolumeMonthlyOverFlag,INDEX(IF(DiffOptVolumeFlag,DiffOptVolumeMonthlyOver,VolumeMonthlyOver),BJ29),IF(DiffOptVolumeFlag,DiffOptVolume,Volume)),0))</f>
        <v>600</v>
      </c>
      <c r="CE29" s="1647" t="n">
        <f aca="false">IF(AND(WeekDef=8,CustomSaFlag,CustomSaPeriod=4),INDEX(IF(DiffOptVolumeFlag,DiffOptVolumeHourlyOver,VolumeHourlyOver),Z15,2),IF(OR(WeekDef=1,WeekDef=3,WeekDef=5,WeekDef=7,AND(WeekDef=8,CustomSaFlag,OR(CustomSaPeriod=1,CustomSaPeriod=3))),IF(VolumeMonthlyOverFlag,INDEX(IF(DiffOptVolumeFlag,DiffOptVolumeMonthlyOver,VolumeMonthlyOver),BJ29),IF(DiffOptVolumeFlag,DiffOptVolume,Volume)),0))</f>
        <v>600</v>
      </c>
      <c r="CF29" s="1647" t="n">
        <f aca="false">IF(AND(WeekDef=8,CustomSaFlag,CustomSaPeriod=4),INDEX(IF(DiffOptVolumeFlag,DiffOptVolumeHourlyOver,VolumeHourlyOver),AA15,2),IF(OR(WeekDef=1,WeekDef=3,WeekDef=5,WeekDef=7,AND(WeekDef=8,CustomSaFlag,OR(CustomSaPeriod=1,CustomSaPeriod=3))),IF(VolumeMonthlyOverFlag,INDEX(IF(DiffOptVolumeFlag,DiffOptVolumeMonthlyOver,VolumeMonthlyOver),BJ29),IF(DiffOptVolumeFlag,DiffOptVolume,Volume)),0))</f>
        <v>600</v>
      </c>
      <c r="CG29" s="1647" t="n">
        <f aca="false">IF(AND(WeekDef=8,CustomSaFlag,CustomSaPeriod=4),INDEX(IF(DiffOptVolumeFlag,DiffOptVolumeHourlyOver,VolumeHourlyOver),AB15,2),IF(OR(WeekDef=1,WeekDef=3,WeekDef=5,WeekDef=7,AND(WeekDef=8,CustomSaFlag,OR(CustomSaPeriod=1,CustomSaPeriod=3))),IF(VolumeMonthlyOverFlag,INDEX(IF(DiffOptVolumeFlag,DiffOptVolumeMonthlyOver,VolumeMonthlyOver),BJ29),IF(DiffOptVolumeFlag,DiffOptVolume,Volume)),0))</f>
        <v>600</v>
      </c>
      <c r="CH29" s="1648" t="n">
        <f aca="false">IF(AND(WeekDef=8,CustomSaFlag,CustomSaPeriod=4),INDEX(IF(DiffOptVolumeFlag,DiffOptVolumeHourlyOver,VolumeHourlyOver),AC15,2),IF(OR(WeekDef=1,WeekDef=3,WeekDef=5,WeekDef=7,AND(WeekDef=8,CustomSaFlag,OR(CustomSaPeriod=1,CustomSaPeriod=3))),IF(VolumeMonthlyOverFlag,INDEX(IF(DiffOptVolumeFlag,DiffOptVolumeMonthlyOver,VolumeMonthlyOver),BJ29),IF(DiffOptVolumeFlag,DiffOptVolume,Volume)),0))</f>
        <v>600</v>
      </c>
      <c r="CI29" s="1652" t="n">
        <f aca="false">SUM(BK29:BZ29)</f>
        <v>9600</v>
      </c>
      <c r="CJ29" s="1653" t="n">
        <f aca="false">SUM(CA29:CH29)</f>
        <v>4800</v>
      </c>
      <c r="CK29" s="1654" t="n">
        <f aca="false">CI29+CJ29</f>
        <v>14400</v>
      </c>
      <c r="CL29" s="1674" t="n">
        <f aca="false">IF(CI29,SUMPRODUCT(BK29:BZ29,F31:U31)/CI29,0)</f>
        <v>1</v>
      </c>
      <c r="CM29" s="1655" t="n">
        <f aca="false">IF(CJ29,SUMPRODUCT(CA29:CH29,V31:AC31)/CJ29,0)</f>
        <v>0.999999992549419</v>
      </c>
    </row>
    <row r="30" customFormat="false" ht="13.5" hidden="false" customHeight="false" outlineLevel="0" collapsed="false">
      <c r="C30" s="1658"/>
      <c r="D30" s="1658"/>
      <c r="E30" s="1636" t="n">
        <v>10</v>
      </c>
      <c r="F30" s="1677" t="n">
        <v>1.11046433448792</v>
      </c>
      <c r="G30" s="1678" t="n">
        <v>1.08948123455048</v>
      </c>
      <c r="H30" s="1678" t="n">
        <v>1.0418164730072</v>
      </c>
      <c r="I30" s="1678" t="n">
        <v>1.02774608135223</v>
      </c>
      <c r="J30" s="1678" t="n">
        <v>1.01687908172607</v>
      </c>
      <c r="K30" s="1678" t="n">
        <v>1.0077189207077</v>
      </c>
      <c r="L30" s="1678" t="n">
        <v>1.0077189207077</v>
      </c>
      <c r="M30" s="1678" t="n">
        <v>1.0077189207077</v>
      </c>
      <c r="N30" s="1678" t="n">
        <v>0.999272644519806</v>
      </c>
      <c r="O30" s="1678" t="n">
        <v>0.997671365737915</v>
      </c>
      <c r="P30" s="1678" t="n">
        <v>0.994757771492004</v>
      </c>
      <c r="Q30" s="1678" t="n">
        <v>0.992586970329285</v>
      </c>
      <c r="R30" s="1678" t="n">
        <v>0.992586970329285</v>
      </c>
      <c r="S30" s="1678" t="n">
        <v>0.929463684558868</v>
      </c>
      <c r="T30" s="1678" t="n">
        <v>0.926251411437988</v>
      </c>
      <c r="U30" s="1679" t="n">
        <v>0.857865452766419</v>
      </c>
      <c r="V30" s="1678" t="n">
        <v>1.15693390369415</v>
      </c>
      <c r="W30" s="1678" t="n">
        <v>1.0528792142868</v>
      </c>
      <c r="X30" s="1678" t="n">
        <v>1.04002392292023</v>
      </c>
      <c r="Y30" s="1678" t="n">
        <v>1.00233483314514</v>
      </c>
      <c r="Z30" s="1678" t="n">
        <v>0.954900801181793</v>
      </c>
      <c r="AA30" s="1678" t="n">
        <v>0.946036517620087</v>
      </c>
      <c r="AB30" s="1678" t="n">
        <v>0.926006436347961</v>
      </c>
      <c r="AC30" s="1679" t="n">
        <v>0.920884311199188</v>
      </c>
      <c r="AD30" s="1658"/>
      <c r="AE30" s="1662" t="n">
        <v>12</v>
      </c>
      <c r="AF30" s="1663" t="n">
        <f aca="false">IF(AND(WeekDef=8,CustomSaFlag,CustomSaPeriod=4),INDEX(VolumeHourlyOver,F16,2),IF(OR(WeekDef=1,WeekDef=2,WeekDef=5,WeekDef=6,AND(WeekDef=8,CustomSaFlag,OR(CustomSaPeriod=1,CustomSaPeriod=2))),IF(VolumeMonthlyOverFlag,INDEX(VolumeMonthlyOver,AE30),Volume),0))</f>
        <v>150</v>
      </c>
      <c r="AG30" s="1664" t="n">
        <f aca="false">IF(AND(WeekDef=8,CustomSaFlag,CustomSaPeriod=4),INDEX(VolumeHourlyOver,G16,2),IF(OR(WeekDef=1,WeekDef=2,WeekDef=5,WeekDef=6,AND(WeekDef=8,CustomSaFlag,OR(CustomSaPeriod=1,CustomSaPeriod=2))),IF(VolumeMonthlyOverFlag,INDEX(VolumeMonthlyOver,AE30),Volume),0))</f>
        <v>150</v>
      </c>
      <c r="AH30" s="1664" t="n">
        <f aca="false">IF(AND(WeekDef=8,CustomSaFlag,CustomSaPeriod=4),INDEX(VolumeHourlyOver,H16,2),IF(OR(WeekDef=1,WeekDef=2,WeekDef=5,WeekDef=6,AND(WeekDef=8,CustomSaFlag,OR(CustomSaPeriod=1,CustomSaPeriod=2))),IF(VolumeMonthlyOverFlag,INDEX(VolumeMonthlyOver,AE30),Volume),0))</f>
        <v>150</v>
      </c>
      <c r="AI30" s="1664" t="n">
        <f aca="false">IF(AND(WeekDef=8,CustomSaFlag,CustomSaPeriod=4),INDEX(VolumeHourlyOver,I16,2),IF(OR(WeekDef=1,WeekDef=2,WeekDef=5,WeekDef=6,AND(WeekDef=8,CustomSaFlag,OR(CustomSaPeriod=1,CustomSaPeriod=2))),IF(VolumeMonthlyOverFlag,INDEX(VolumeMonthlyOver,AE30),Volume),0))</f>
        <v>150</v>
      </c>
      <c r="AJ30" s="1664" t="n">
        <f aca="false">IF(AND(WeekDef=8,CustomSaFlag,CustomSaPeriod=4),INDEX(VolumeHourlyOver,J16,2),IF(OR(WeekDef=1,WeekDef=2,WeekDef=5,WeekDef=6,AND(WeekDef=8,CustomSaFlag,OR(CustomSaPeriod=1,CustomSaPeriod=2))),IF(VolumeMonthlyOverFlag,INDEX(VolumeMonthlyOver,AE30),Volume),0))</f>
        <v>150</v>
      </c>
      <c r="AK30" s="1664" t="n">
        <f aca="false">IF(AND(WeekDef=8,CustomSaFlag,CustomSaPeriod=4),INDEX(VolumeHourlyOver,K16,2),IF(OR(WeekDef=1,WeekDef=2,WeekDef=5,WeekDef=6,AND(WeekDef=8,CustomSaFlag,OR(CustomSaPeriod=1,CustomSaPeriod=2))),IF(VolumeMonthlyOverFlag,INDEX(VolumeMonthlyOver,AE30),Volume),0))</f>
        <v>150</v>
      </c>
      <c r="AL30" s="1664" t="n">
        <f aca="false">IF(AND(WeekDef=8,CustomSaFlag,CustomSaPeriod=4),INDEX(VolumeHourlyOver,L16,2),IF(OR(WeekDef=1,WeekDef=2,WeekDef=5,WeekDef=6,AND(WeekDef=8,CustomSaFlag,OR(CustomSaPeriod=1,CustomSaPeriod=2))),IF(VolumeMonthlyOverFlag,INDEX(VolumeMonthlyOver,AE30),Volume),0))</f>
        <v>150</v>
      </c>
      <c r="AM30" s="1664" t="n">
        <f aca="false">IF(AND(WeekDef=8,CustomSaFlag,CustomSaPeriod=4),INDEX(VolumeHourlyOver,M16,2),IF(OR(WeekDef=1,WeekDef=2,WeekDef=5,WeekDef=6,AND(WeekDef=8,CustomSaFlag,OR(CustomSaPeriod=1,CustomSaPeriod=2))),IF(VolumeMonthlyOverFlag,INDEX(VolumeMonthlyOver,AE30),Volume),0))</f>
        <v>150</v>
      </c>
      <c r="AN30" s="1664" t="n">
        <f aca="false">IF(AND(WeekDef=8,CustomSaFlag,CustomSaPeriod=4),INDEX(VolumeHourlyOver,N16,2),IF(OR(WeekDef=1,WeekDef=2,WeekDef=5,WeekDef=6,AND(WeekDef=8,CustomSaFlag,OR(CustomSaPeriod=1,CustomSaPeriod=2))),IF(VolumeMonthlyOverFlag,INDEX(VolumeMonthlyOver,AE30),Volume),0))</f>
        <v>150</v>
      </c>
      <c r="AO30" s="1664" t="n">
        <f aca="false">IF(AND(WeekDef=8,CustomSaFlag,CustomSaPeriod=4),INDEX(VolumeHourlyOver,O16,2),IF(OR(WeekDef=1,WeekDef=2,WeekDef=5,WeekDef=6,AND(WeekDef=8,CustomSaFlag,OR(CustomSaPeriod=1,CustomSaPeriod=2))),IF(VolumeMonthlyOverFlag,INDEX(VolumeMonthlyOver,AE30),Volume),0))</f>
        <v>150</v>
      </c>
      <c r="AP30" s="1664" t="n">
        <f aca="false">IF(AND(WeekDef=8,CustomSaFlag,CustomSaPeriod=4),INDEX(VolumeHourlyOver,P16,2),IF(OR(WeekDef=1,WeekDef=2,WeekDef=5,WeekDef=6,AND(WeekDef=8,CustomSaFlag,OR(CustomSaPeriod=1,CustomSaPeriod=2))),IF(VolumeMonthlyOverFlag,INDEX(VolumeMonthlyOver,AE30),Volume),0))</f>
        <v>150</v>
      </c>
      <c r="AQ30" s="1664" t="n">
        <f aca="false">IF(AND(WeekDef=8,CustomSaFlag,CustomSaPeriod=4),INDEX(VolumeHourlyOver,Q16,2),IF(OR(WeekDef=1,WeekDef=2,WeekDef=5,WeekDef=6,AND(WeekDef=8,CustomSaFlag,OR(CustomSaPeriod=1,CustomSaPeriod=2))),IF(VolumeMonthlyOverFlag,INDEX(VolumeMonthlyOver,AE30),Volume),0))</f>
        <v>150</v>
      </c>
      <c r="AR30" s="1664" t="n">
        <f aca="false">IF(AND(WeekDef=8,CustomSaFlag,CustomSaPeriod=4),INDEX(VolumeHourlyOver,R16,2),IF(OR(WeekDef=1,WeekDef=2,WeekDef=5,WeekDef=6,AND(WeekDef=8,CustomSaFlag,OR(CustomSaPeriod=1,CustomSaPeriod=2))),IF(VolumeMonthlyOverFlag,INDEX(VolumeMonthlyOver,AE30),Volume),0))</f>
        <v>150</v>
      </c>
      <c r="AS30" s="1664" t="n">
        <f aca="false">IF(AND(WeekDef=8,CustomSaFlag,CustomSaPeriod=4),INDEX(VolumeHourlyOver,S16,2),IF(OR(WeekDef=1,WeekDef=2,WeekDef=5,WeekDef=6,AND(WeekDef=8,CustomSaFlag,OR(CustomSaPeriod=1,CustomSaPeriod=2))),IF(VolumeMonthlyOverFlag,INDEX(VolumeMonthlyOver,AE30),Volume),0))</f>
        <v>150</v>
      </c>
      <c r="AT30" s="1664" t="n">
        <f aca="false">IF(AND(WeekDef=8,CustomSaFlag,CustomSaPeriod=4),INDEX(VolumeHourlyOver,T16,2),IF(OR(WeekDef=1,WeekDef=2,WeekDef=5,WeekDef=6,AND(WeekDef=8,CustomSaFlag,OR(CustomSaPeriod=1,CustomSaPeriod=2))),IF(VolumeMonthlyOverFlag,INDEX(VolumeMonthlyOver,AE30),Volume),0))</f>
        <v>150</v>
      </c>
      <c r="AU30" s="1665" t="n">
        <f aca="false">IF(AND(WeekDef=8,CustomSaFlag,CustomSaPeriod=4),INDEX(VolumeHourlyOver,U16,2),IF(OR(WeekDef=1,WeekDef=2,WeekDef=5,WeekDef=6,AND(WeekDef=8,CustomSaFlag,OR(CustomSaPeriod=1,CustomSaPeriod=2))),IF(VolumeMonthlyOverFlag,INDEX(VolumeMonthlyOver,AE30),Volume),0))</f>
        <v>150</v>
      </c>
      <c r="AV30" s="1664" t="n">
        <f aca="false">IF(AND(WeekDef=8,CustomSaFlag,CustomSaPeriod=4),INDEX(VolumeHourlyOver,V16,2),IF(OR(WeekDef=1,WeekDef=3,WeekDef=5,WeekDef=7,AND(WeekDef=8,CustomSaFlag,OR(CustomSaPeriod=1,CustomSaPeriod=3))),IF(VolumeMonthlyOverFlag,INDEX(VolumeMonthlyOver,AE30),Volume),0))</f>
        <v>150</v>
      </c>
      <c r="AW30" s="1664" t="n">
        <f aca="false">IF(AND(WeekDef=8,CustomSaFlag,CustomSaPeriod=4),INDEX(VolumeHourlyOver,W16,2),IF(OR(WeekDef=1,WeekDef=3,WeekDef=5,WeekDef=7,AND(WeekDef=8,CustomSaFlag,OR(CustomSaPeriod=1,CustomSaPeriod=3))),IF(VolumeMonthlyOverFlag,INDEX(VolumeMonthlyOver,AE30),Volume),0))</f>
        <v>150</v>
      </c>
      <c r="AX30" s="1664" t="n">
        <f aca="false">IF(AND(WeekDef=8,CustomSaFlag,CustomSaPeriod=4),INDEX(VolumeHourlyOver,X16,2),IF(OR(WeekDef=1,WeekDef=3,WeekDef=5,WeekDef=7,AND(WeekDef=8,CustomSaFlag,OR(CustomSaPeriod=1,CustomSaPeriod=3))),IF(VolumeMonthlyOverFlag,INDEX(VolumeMonthlyOver,AE30),Volume),0))</f>
        <v>150</v>
      </c>
      <c r="AY30" s="1664" t="n">
        <f aca="false">IF(AND(WeekDef=8,CustomSaFlag,CustomSaPeriod=4),INDEX(VolumeHourlyOver,Y16,2),IF(OR(WeekDef=1,WeekDef=3,WeekDef=5,WeekDef=7,AND(WeekDef=8,CustomSaFlag,OR(CustomSaPeriod=1,CustomSaPeriod=3))),IF(VolumeMonthlyOverFlag,INDEX(VolumeMonthlyOver,AE30),Volume),0))</f>
        <v>150</v>
      </c>
      <c r="AZ30" s="1664" t="n">
        <f aca="false">IF(AND(WeekDef=8,CustomSaFlag,CustomSaPeriod=4),INDEX(VolumeHourlyOver,Z16,2),IF(OR(WeekDef=1,WeekDef=3,WeekDef=5,WeekDef=7,AND(WeekDef=8,CustomSaFlag,OR(CustomSaPeriod=1,CustomSaPeriod=3))),IF(VolumeMonthlyOverFlag,INDEX(VolumeMonthlyOver,AE30),Volume),0))</f>
        <v>150</v>
      </c>
      <c r="BA30" s="1664" t="n">
        <f aca="false">IF(AND(WeekDef=8,CustomSaFlag,CustomSaPeriod=4),INDEX(VolumeHourlyOver,AA16,2),IF(OR(WeekDef=1,WeekDef=3,WeekDef=5,WeekDef=7,AND(WeekDef=8,CustomSaFlag,OR(CustomSaPeriod=1,CustomSaPeriod=3))),IF(VolumeMonthlyOverFlag,INDEX(VolumeMonthlyOver,AE30),Volume),0))</f>
        <v>150</v>
      </c>
      <c r="BB30" s="1664" t="n">
        <f aca="false">IF(AND(WeekDef=8,CustomSaFlag,CustomSaPeriod=4),INDEX(VolumeHourlyOver,AB16,2),IF(OR(WeekDef=1,WeekDef=3,WeekDef=5,WeekDef=7,AND(WeekDef=8,CustomSaFlag,OR(CustomSaPeriod=1,CustomSaPeriod=3))),IF(VolumeMonthlyOverFlag,INDEX(VolumeMonthlyOver,AE30),Volume),0))</f>
        <v>150</v>
      </c>
      <c r="BC30" s="1665" t="n">
        <f aca="false">IF(AND(WeekDef=8,CustomSaFlag,CustomSaPeriod=4),INDEX(VolumeHourlyOver,AC16,2),IF(OR(WeekDef=1,WeekDef=3,WeekDef=5,WeekDef=7,AND(WeekDef=8,CustomSaFlag,OR(CustomSaPeriod=1,CustomSaPeriod=3))),IF(VolumeMonthlyOverFlag,INDEX(VolumeMonthlyOver,AE30),Volume),0))</f>
        <v>150</v>
      </c>
      <c r="BD30" s="1666" t="n">
        <f aca="false">SUM(AF30:AU30)</f>
        <v>2400</v>
      </c>
      <c r="BE30" s="1667" t="n">
        <f aca="false">SUM(AV30:BC30)</f>
        <v>1200</v>
      </c>
      <c r="BF30" s="1668" t="n">
        <f aca="false">BD30+BE30</f>
        <v>3600</v>
      </c>
      <c r="BG30" s="1680" t="n">
        <f aca="false">IF(BD30,SUMPRODUCT(AF30:AU30,F32:U32)/BD30,0)</f>
        <v>1</v>
      </c>
      <c r="BH30" s="1669" t="n">
        <f aca="false">IF(BE30,SUMPRODUCT(AV30:BC30,V32:AC32)/BE30,0)</f>
        <v>1</v>
      </c>
      <c r="BJ30" s="1662" t="n">
        <v>12</v>
      </c>
      <c r="BK30" s="1663" t="n">
        <f aca="false">IF(AND(WeekDef=8,CustomSaFlag,CustomSaPeriod=4),INDEX(IF(DiffOptVolumeFlag,DiffOptVolumeHourlyOver,VolumeHourlyOver),F16,2),IF(OR(WeekDef=1,WeekDef=2,WeekDef=5,WeekDef=6,AND(WeekDef=8,CustomSaFlag,OR(CustomSaPeriod=1,CustomSaPeriod=2))),IF(VolumeMonthlyOverFlag,INDEX(IF(DiffOptVolumeFlag,DiffOptVolumeMonthlyOver,VolumeMonthlyOver),BJ30),IF(DiffOptVolumeFlag,DiffOptVolume,Volume)),0))</f>
        <v>600</v>
      </c>
      <c r="BL30" s="1664" t="n">
        <f aca="false">IF(AND(WeekDef=8,CustomSaFlag,CustomSaPeriod=4),INDEX(IF(DiffOptVolumeFlag,DiffOptVolumeHourlyOver,VolumeHourlyOver),G16,2),IF(OR(WeekDef=1,WeekDef=2,WeekDef=5,WeekDef=6,AND(WeekDef=8,CustomSaFlag,OR(CustomSaPeriod=1,CustomSaPeriod=2))),IF(VolumeMonthlyOverFlag,INDEX(IF(DiffOptVolumeFlag,DiffOptVolumeMonthlyOver,VolumeMonthlyOver),BJ30),IF(DiffOptVolumeFlag,DiffOptVolume,Volume)),0))</f>
        <v>600</v>
      </c>
      <c r="BM30" s="1664" t="n">
        <f aca="false">IF(AND(WeekDef=8,CustomSaFlag,CustomSaPeriod=4),INDEX(IF(DiffOptVolumeFlag,DiffOptVolumeHourlyOver,VolumeHourlyOver),H16,2),IF(OR(WeekDef=1,WeekDef=2,WeekDef=5,WeekDef=6,AND(WeekDef=8,CustomSaFlag,OR(CustomSaPeriod=1,CustomSaPeriod=2))),IF(VolumeMonthlyOverFlag,INDEX(IF(DiffOptVolumeFlag,DiffOptVolumeMonthlyOver,VolumeMonthlyOver),BJ30),IF(DiffOptVolumeFlag,DiffOptVolume,Volume)),0))</f>
        <v>600</v>
      </c>
      <c r="BN30" s="1664" t="n">
        <f aca="false">IF(AND(WeekDef=8,CustomSaFlag,CustomSaPeriod=4),INDEX(IF(DiffOptVolumeFlag,DiffOptVolumeHourlyOver,VolumeHourlyOver),I16,2),IF(OR(WeekDef=1,WeekDef=2,WeekDef=5,WeekDef=6,AND(WeekDef=8,CustomSaFlag,OR(CustomSaPeriod=1,CustomSaPeriod=2))),IF(VolumeMonthlyOverFlag,INDEX(IF(DiffOptVolumeFlag,DiffOptVolumeMonthlyOver,VolumeMonthlyOver),BJ30),IF(DiffOptVolumeFlag,DiffOptVolume,Volume)),0))</f>
        <v>600</v>
      </c>
      <c r="BO30" s="1664" t="n">
        <f aca="false">IF(AND(WeekDef=8,CustomSaFlag,CustomSaPeriod=4),INDEX(IF(DiffOptVolumeFlag,DiffOptVolumeHourlyOver,VolumeHourlyOver),J16,2),IF(OR(WeekDef=1,WeekDef=2,WeekDef=5,WeekDef=6,AND(WeekDef=8,CustomSaFlag,OR(CustomSaPeriod=1,CustomSaPeriod=2))),IF(VolumeMonthlyOverFlag,INDEX(IF(DiffOptVolumeFlag,DiffOptVolumeMonthlyOver,VolumeMonthlyOver),BJ30),IF(DiffOptVolumeFlag,DiffOptVolume,Volume)),0))</f>
        <v>600</v>
      </c>
      <c r="BP30" s="1664" t="n">
        <f aca="false">IF(AND(WeekDef=8,CustomSaFlag,CustomSaPeriod=4),INDEX(IF(DiffOptVolumeFlag,DiffOptVolumeHourlyOver,VolumeHourlyOver),K16,2),IF(OR(WeekDef=1,WeekDef=2,WeekDef=5,WeekDef=6,AND(WeekDef=8,CustomSaFlag,OR(CustomSaPeriod=1,CustomSaPeriod=2))),IF(VolumeMonthlyOverFlag,INDEX(IF(DiffOptVolumeFlag,DiffOptVolumeMonthlyOver,VolumeMonthlyOver),BJ30),IF(DiffOptVolumeFlag,DiffOptVolume,Volume)),0))</f>
        <v>600</v>
      </c>
      <c r="BQ30" s="1664" t="n">
        <f aca="false">IF(AND(WeekDef=8,CustomSaFlag,CustomSaPeriod=4),INDEX(IF(DiffOptVolumeFlag,DiffOptVolumeHourlyOver,VolumeHourlyOver),L16,2),IF(OR(WeekDef=1,WeekDef=2,WeekDef=5,WeekDef=6,AND(WeekDef=8,CustomSaFlag,OR(CustomSaPeriod=1,CustomSaPeriod=2))),IF(VolumeMonthlyOverFlag,INDEX(IF(DiffOptVolumeFlag,DiffOptVolumeMonthlyOver,VolumeMonthlyOver),BJ30),IF(DiffOptVolumeFlag,DiffOptVolume,Volume)),0))</f>
        <v>600</v>
      </c>
      <c r="BR30" s="1664" t="n">
        <f aca="false">IF(AND(WeekDef=8,CustomSaFlag,CustomSaPeriod=4),INDEX(IF(DiffOptVolumeFlag,DiffOptVolumeHourlyOver,VolumeHourlyOver),M16,2),IF(OR(WeekDef=1,WeekDef=2,WeekDef=5,WeekDef=6,AND(WeekDef=8,CustomSaFlag,OR(CustomSaPeriod=1,CustomSaPeriod=2))),IF(VolumeMonthlyOverFlag,INDEX(IF(DiffOptVolumeFlag,DiffOptVolumeMonthlyOver,VolumeMonthlyOver),BJ30),IF(DiffOptVolumeFlag,DiffOptVolume,Volume)),0))</f>
        <v>600</v>
      </c>
      <c r="BS30" s="1664" t="n">
        <f aca="false">IF(AND(WeekDef=8,CustomSaFlag,CustomSaPeriod=4),INDEX(IF(DiffOptVolumeFlag,DiffOptVolumeHourlyOver,VolumeHourlyOver),N16,2),IF(OR(WeekDef=1,WeekDef=2,WeekDef=5,WeekDef=6,AND(WeekDef=8,CustomSaFlag,OR(CustomSaPeriod=1,CustomSaPeriod=2))),IF(VolumeMonthlyOverFlag,INDEX(IF(DiffOptVolumeFlag,DiffOptVolumeMonthlyOver,VolumeMonthlyOver),BJ30),IF(DiffOptVolumeFlag,DiffOptVolume,Volume)),0))</f>
        <v>600</v>
      </c>
      <c r="BT30" s="1664" t="n">
        <f aca="false">IF(AND(WeekDef=8,CustomSaFlag,CustomSaPeriod=4),INDEX(IF(DiffOptVolumeFlag,DiffOptVolumeHourlyOver,VolumeHourlyOver),O16,2),IF(OR(WeekDef=1,WeekDef=2,WeekDef=5,WeekDef=6,AND(WeekDef=8,CustomSaFlag,OR(CustomSaPeriod=1,CustomSaPeriod=2))),IF(VolumeMonthlyOverFlag,INDEX(IF(DiffOptVolumeFlag,DiffOptVolumeMonthlyOver,VolumeMonthlyOver),BJ30),IF(DiffOptVolumeFlag,DiffOptVolume,Volume)),0))</f>
        <v>600</v>
      </c>
      <c r="BU30" s="1664" t="n">
        <f aca="false">IF(AND(WeekDef=8,CustomSaFlag,CustomSaPeriod=4),INDEX(IF(DiffOptVolumeFlag,DiffOptVolumeHourlyOver,VolumeHourlyOver),P16,2),IF(OR(WeekDef=1,WeekDef=2,WeekDef=5,WeekDef=6,AND(WeekDef=8,CustomSaFlag,OR(CustomSaPeriod=1,CustomSaPeriod=2))),IF(VolumeMonthlyOverFlag,INDEX(IF(DiffOptVolumeFlag,DiffOptVolumeMonthlyOver,VolumeMonthlyOver),BJ30),IF(DiffOptVolumeFlag,DiffOptVolume,Volume)),0))</f>
        <v>600</v>
      </c>
      <c r="BV30" s="1664" t="n">
        <f aca="false">IF(AND(WeekDef=8,CustomSaFlag,CustomSaPeriod=4),INDEX(IF(DiffOptVolumeFlag,DiffOptVolumeHourlyOver,VolumeHourlyOver),Q16,2),IF(OR(WeekDef=1,WeekDef=2,WeekDef=5,WeekDef=6,AND(WeekDef=8,CustomSaFlag,OR(CustomSaPeriod=1,CustomSaPeriod=2))),IF(VolumeMonthlyOverFlag,INDEX(IF(DiffOptVolumeFlag,DiffOptVolumeMonthlyOver,VolumeMonthlyOver),BJ30),IF(DiffOptVolumeFlag,DiffOptVolume,Volume)),0))</f>
        <v>600</v>
      </c>
      <c r="BW30" s="1664" t="n">
        <f aca="false">IF(AND(WeekDef=8,CustomSaFlag,CustomSaPeriod=4),INDEX(IF(DiffOptVolumeFlag,DiffOptVolumeHourlyOver,VolumeHourlyOver),R16,2),IF(OR(WeekDef=1,WeekDef=2,WeekDef=5,WeekDef=6,AND(WeekDef=8,CustomSaFlag,OR(CustomSaPeriod=1,CustomSaPeriod=2))),IF(VolumeMonthlyOverFlag,INDEX(IF(DiffOptVolumeFlag,DiffOptVolumeMonthlyOver,VolumeMonthlyOver),BJ30),IF(DiffOptVolumeFlag,DiffOptVolume,Volume)),0))</f>
        <v>600</v>
      </c>
      <c r="BX30" s="1664" t="n">
        <f aca="false">IF(AND(WeekDef=8,CustomSaFlag,CustomSaPeriod=4),INDEX(IF(DiffOptVolumeFlag,DiffOptVolumeHourlyOver,VolumeHourlyOver),S16,2),IF(OR(WeekDef=1,WeekDef=2,WeekDef=5,WeekDef=6,AND(WeekDef=8,CustomSaFlag,OR(CustomSaPeriod=1,CustomSaPeriod=2))),IF(VolumeMonthlyOverFlag,INDEX(IF(DiffOptVolumeFlag,DiffOptVolumeMonthlyOver,VolumeMonthlyOver),BJ30),IF(DiffOptVolumeFlag,DiffOptVolume,Volume)),0))</f>
        <v>600</v>
      </c>
      <c r="BY30" s="1664" t="n">
        <f aca="false">IF(AND(WeekDef=8,CustomSaFlag,CustomSaPeriod=4),INDEX(IF(DiffOptVolumeFlag,DiffOptVolumeHourlyOver,VolumeHourlyOver),T16,2),IF(OR(WeekDef=1,WeekDef=2,WeekDef=5,WeekDef=6,AND(WeekDef=8,CustomSaFlag,OR(CustomSaPeriod=1,CustomSaPeriod=2))),IF(VolumeMonthlyOverFlag,INDEX(IF(DiffOptVolumeFlag,DiffOptVolumeMonthlyOver,VolumeMonthlyOver),BJ30),IF(DiffOptVolumeFlag,DiffOptVolume,Volume)),0))</f>
        <v>600</v>
      </c>
      <c r="BZ30" s="1665" t="n">
        <f aca="false">IF(AND(WeekDef=8,CustomSaFlag,CustomSaPeriod=4),INDEX(IF(DiffOptVolumeFlag,DiffOptVolumeHourlyOver,VolumeHourlyOver),U16,2),IF(OR(WeekDef=1,WeekDef=2,WeekDef=5,WeekDef=6,AND(WeekDef=8,CustomSaFlag,OR(CustomSaPeriod=1,CustomSaPeriod=2))),IF(VolumeMonthlyOverFlag,INDEX(IF(DiffOptVolumeFlag,DiffOptVolumeMonthlyOver,VolumeMonthlyOver),BJ30),IF(DiffOptVolumeFlag,DiffOptVolume,Volume)),0))</f>
        <v>600</v>
      </c>
      <c r="CA30" s="1664" t="n">
        <f aca="false">IF(AND(WeekDef=8,CustomSaFlag,CustomSaPeriod=4),INDEX(IF(DiffOptVolumeFlag,DiffOptVolumeHourlyOver,VolumeHourlyOver),V16,2),IF(OR(WeekDef=1,WeekDef=3,WeekDef=5,WeekDef=7,AND(WeekDef=8,CustomSaFlag,OR(CustomSaPeriod=1,CustomSaPeriod=3))),IF(VolumeMonthlyOverFlag,INDEX(IF(DiffOptVolumeFlag,DiffOptVolumeMonthlyOver,VolumeMonthlyOver),BJ30),IF(DiffOptVolumeFlag,DiffOptVolume,Volume)),0))</f>
        <v>600</v>
      </c>
      <c r="CB30" s="1664" t="n">
        <f aca="false">IF(AND(WeekDef=8,CustomSaFlag,CustomSaPeriod=4),INDEX(IF(DiffOptVolumeFlag,DiffOptVolumeHourlyOver,VolumeHourlyOver),W16,2),IF(OR(WeekDef=1,WeekDef=3,WeekDef=5,WeekDef=7,AND(WeekDef=8,CustomSaFlag,OR(CustomSaPeriod=1,CustomSaPeriod=3))),IF(VolumeMonthlyOverFlag,INDEX(IF(DiffOptVolumeFlag,DiffOptVolumeMonthlyOver,VolumeMonthlyOver),BJ30),IF(DiffOptVolumeFlag,DiffOptVolume,Volume)),0))</f>
        <v>600</v>
      </c>
      <c r="CC30" s="1664" t="n">
        <f aca="false">IF(AND(WeekDef=8,CustomSaFlag,CustomSaPeriod=4),INDEX(IF(DiffOptVolumeFlag,DiffOptVolumeHourlyOver,VolumeHourlyOver),X16,2),IF(OR(WeekDef=1,WeekDef=3,WeekDef=5,WeekDef=7,AND(WeekDef=8,CustomSaFlag,OR(CustomSaPeriod=1,CustomSaPeriod=3))),IF(VolumeMonthlyOverFlag,INDEX(IF(DiffOptVolumeFlag,DiffOptVolumeMonthlyOver,VolumeMonthlyOver),BJ30),IF(DiffOptVolumeFlag,DiffOptVolume,Volume)),0))</f>
        <v>600</v>
      </c>
      <c r="CD30" s="1664" t="n">
        <f aca="false">IF(AND(WeekDef=8,CustomSaFlag,CustomSaPeriod=4),INDEX(IF(DiffOptVolumeFlag,DiffOptVolumeHourlyOver,VolumeHourlyOver),Y16,2),IF(OR(WeekDef=1,WeekDef=3,WeekDef=5,WeekDef=7,AND(WeekDef=8,CustomSaFlag,OR(CustomSaPeriod=1,CustomSaPeriod=3))),IF(VolumeMonthlyOverFlag,INDEX(IF(DiffOptVolumeFlag,DiffOptVolumeMonthlyOver,VolumeMonthlyOver),BJ30),IF(DiffOptVolumeFlag,DiffOptVolume,Volume)),0))</f>
        <v>600</v>
      </c>
      <c r="CE30" s="1664" t="n">
        <f aca="false">IF(AND(WeekDef=8,CustomSaFlag,CustomSaPeriod=4),INDEX(IF(DiffOptVolumeFlag,DiffOptVolumeHourlyOver,VolumeHourlyOver),Z16,2),IF(OR(WeekDef=1,WeekDef=3,WeekDef=5,WeekDef=7,AND(WeekDef=8,CustomSaFlag,OR(CustomSaPeriod=1,CustomSaPeriod=3))),IF(VolumeMonthlyOverFlag,INDEX(IF(DiffOptVolumeFlag,DiffOptVolumeMonthlyOver,VolumeMonthlyOver),BJ30),IF(DiffOptVolumeFlag,DiffOptVolume,Volume)),0))</f>
        <v>600</v>
      </c>
      <c r="CF30" s="1664" t="n">
        <f aca="false">IF(AND(WeekDef=8,CustomSaFlag,CustomSaPeriod=4),INDEX(IF(DiffOptVolumeFlag,DiffOptVolumeHourlyOver,VolumeHourlyOver),AA16,2),IF(OR(WeekDef=1,WeekDef=3,WeekDef=5,WeekDef=7,AND(WeekDef=8,CustomSaFlag,OR(CustomSaPeriod=1,CustomSaPeriod=3))),IF(VolumeMonthlyOverFlag,INDEX(IF(DiffOptVolumeFlag,DiffOptVolumeMonthlyOver,VolumeMonthlyOver),BJ30),IF(DiffOptVolumeFlag,DiffOptVolume,Volume)),0))</f>
        <v>600</v>
      </c>
      <c r="CG30" s="1664" t="n">
        <f aca="false">IF(AND(WeekDef=8,CustomSaFlag,CustomSaPeriod=4),INDEX(IF(DiffOptVolumeFlag,DiffOptVolumeHourlyOver,VolumeHourlyOver),AB16,2),IF(OR(WeekDef=1,WeekDef=3,WeekDef=5,WeekDef=7,AND(WeekDef=8,CustomSaFlag,OR(CustomSaPeriod=1,CustomSaPeriod=3))),IF(VolumeMonthlyOverFlag,INDEX(IF(DiffOptVolumeFlag,DiffOptVolumeMonthlyOver,VolumeMonthlyOver),BJ30),IF(DiffOptVolumeFlag,DiffOptVolume,Volume)),0))</f>
        <v>600</v>
      </c>
      <c r="CH30" s="1665" t="n">
        <f aca="false">IF(AND(WeekDef=8,CustomSaFlag,CustomSaPeriod=4),INDEX(IF(DiffOptVolumeFlag,DiffOptVolumeHourlyOver,VolumeHourlyOver),AC16,2),IF(OR(WeekDef=1,WeekDef=3,WeekDef=5,WeekDef=7,AND(WeekDef=8,CustomSaFlag,OR(CustomSaPeriod=1,CustomSaPeriod=3))),IF(VolumeMonthlyOverFlag,INDEX(IF(DiffOptVolumeFlag,DiffOptVolumeMonthlyOver,VolumeMonthlyOver),BJ30),IF(DiffOptVolumeFlag,DiffOptVolume,Volume)),0))</f>
        <v>600</v>
      </c>
      <c r="CI30" s="1666" t="n">
        <f aca="false">SUM(BK30:BZ30)</f>
        <v>9600</v>
      </c>
      <c r="CJ30" s="1667" t="n">
        <f aca="false">SUM(CA30:CH30)</f>
        <v>4800</v>
      </c>
      <c r="CK30" s="1668" t="n">
        <f aca="false">CI30+CJ30</f>
        <v>14400</v>
      </c>
      <c r="CL30" s="1680" t="n">
        <f aca="false">IF(CI30,SUMPRODUCT(BK30:BZ30,F32:U32)/CI30,0)</f>
        <v>1</v>
      </c>
      <c r="CM30" s="1669" t="n">
        <f aca="false">IF(CJ30,SUMPRODUCT(CA30:CH30,V32:AC32)/CJ30,0)</f>
        <v>1</v>
      </c>
    </row>
    <row r="31" customFormat="false" ht="16.5" hidden="false" customHeight="false" outlineLevel="0" collapsed="false">
      <c r="C31" s="1658"/>
      <c r="D31" s="1658"/>
      <c r="E31" s="1636" t="n">
        <v>11</v>
      </c>
      <c r="F31" s="1677" t="n">
        <v>1.14356982707977</v>
      </c>
      <c r="G31" s="1678" t="n">
        <v>1.11421608924866</v>
      </c>
      <c r="H31" s="1678" t="n">
        <v>1.06500005722046</v>
      </c>
      <c r="I31" s="1678" t="n">
        <v>1.05510115623474</v>
      </c>
      <c r="J31" s="1678" t="n">
        <v>1.04054272174835</v>
      </c>
      <c r="K31" s="1678" t="n">
        <v>1.03478479385376</v>
      </c>
      <c r="L31" s="1678" t="n">
        <v>1.03301322460175</v>
      </c>
      <c r="M31" s="1678" t="n">
        <v>1.00805139541626</v>
      </c>
      <c r="N31" s="1678" t="n">
        <v>1.00495529174805</v>
      </c>
      <c r="O31" s="1678" t="n">
        <v>0.990366339683533</v>
      </c>
      <c r="P31" s="1678" t="n">
        <v>0.95766019821167</v>
      </c>
      <c r="Q31" s="1678" t="n">
        <v>0.927389740943909</v>
      </c>
      <c r="R31" s="1678" t="n">
        <v>0.927389740943909</v>
      </c>
      <c r="S31" s="1678" t="n">
        <v>0.920491456985474</v>
      </c>
      <c r="T31" s="1678" t="n">
        <v>0.916720688343048</v>
      </c>
      <c r="U31" s="1679" t="n">
        <v>0.860747277736664</v>
      </c>
      <c r="V31" s="1678" t="n">
        <v>1.1382155418396</v>
      </c>
      <c r="W31" s="1678" t="n">
        <v>1.12426197528839</v>
      </c>
      <c r="X31" s="1678" t="n">
        <v>0.991653740406036</v>
      </c>
      <c r="Y31" s="1678" t="n">
        <v>0.988235414028168</v>
      </c>
      <c r="Z31" s="1678" t="n">
        <v>0.977127015590668</v>
      </c>
      <c r="AA31" s="1678" t="n">
        <v>0.93997448682785</v>
      </c>
      <c r="AB31" s="1678" t="n">
        <v>0.923640012741089</v>
      </c>
      <c r="AC31" s="1679" t="n">
        <v>0.916891753673554</v>
      </c>
      <c r="AD31" s="1658"/>
      <c r="AE31" s="1625" t="s">
        <v>1267</v>
      </c>
      <c r="AF31" s="1626" t="s">
        <v>149</v>
      </c>
      <c r="AG31" s="1627"/>
      <c r="AH31" s="1627"/>
      <c r="AI31" s="1627"/>
      <c r="AJ31" s="1627"/>
      <c r="AK31" s="1627"/>
      <c r="AL31" s="1627"/>
      <c r="AM31" s="1627"/>
      <c r="AN31" s="1627"/>
      <c r="AO31" s="1627"/>
      <c r="AP31" s="1627"/>
      <c r="AQ31" s="1627"/>
      <c r="AR31" s="1627"/>
      <c r="AS31" s="1627"/>
      <c r="AT31" s="1627"/>
      <c r="AU31" s="1628"/>
      <c r="AV31" s="1627" t="s">
        <v>132</v>
      </c>
      <c r="AW31" s="1627"/>
      <c r="AX31" s="1627"/>
      <c r="AY31" s="1627"/>
      <c r="AZ31" s="1627"/>
      <c r="BA31" s="1627"/>
      <c r="BB31" s="1627"/>
      <c r="BC31" s="1628"/>
      <c r="BD31" s="1629"/>
      <c r="BE31" s="1630" t="s">
        <v>1259</v>
      </c>
      <c r="BF31" s="1631"/>
      <c r="BG31" s="1672"/>
      <c r="BH31" s="1672"/>
      <c r="BJ31" s="1625" t="s">
        <v>1267</v>
      </c>
      <c r="BK31" s="1626" t="s">
        <v>149</v>
      </c>
      <c r="BL31" s="1627"/>
      <c r="BM31" s="1627"/>
      <c r="BN31" s="1627"/>
      <c r="BO31" s="1627"/>
      <c r="BP31" s="1627"/>
      <c r="BQ31" s="1627"/>
      <c r="BR31" s="1627"/>
      <c r="BS31" s="1627"/>
      <c r="BT31" s="1627"/>
      <c r="BU31" s="1627"/>
      <c r="BV31" s="1627"/>
      <c r="BW31" s="1627"/>
      <c r="BX31" s="1627"/>
      <c r="BY31" s="1627"/>
      <c r="BZ31" s="1628"/>
      <c r="CA31" s="1627" t="s">
        <v>132</v>
      </c>
      <c r="CB31" s="1627"/>
      <c r="CC31" s="1627"/>
      <c r="CD31" s="1627"/>
      <c r="CE31" s="1627"/>
      <c r="CF31" s="1627"/>
      <c r="CG31" s="1627"/>
      <c r="CH31" s="1628"/>
      <c r="CI31" s="1629"/>
      <c r="CJ31" s="1630" t="s">
        <v>1259</v>
      </c>
      <c r="CK31" s="1631"/>
      <c r="CL31" s="1672"/>
      <c r="CM31" s="1672"/>
    </row>
    <row r="32" customFormat="false" ht="13.5" hidden="false" customHeight="false" outlineLevel="0" collapsed="false">
      <c r="C32" s="1658"/>
      <c r="D32" s="1658"/>
      <c r="E32" s="1662" t="n">
        <v>12</v>
      </c>
      <c r="F32" s="1681" t="n">
        <v>1.16194975376129</v>
      </c>
      <c r="G32" s="1682" t="n">
        <v>1.13572442531586</v>
      </c>
      <c r="H32" s="1682" t="n">
        <v>1.08398008346558</v>
      </c>
      <c r="I32" s="1682" t="n">
        <v>1.07989001274109</v>
      </c>
      <c r="J32" s="1682" t="n">
        <v>1.04055202007294</v>
      </c>
      <c r="K32" s="1682" t="n">
        <v>1.03589916229248</v>
      </c>
      <c r="L32" s="1682" t="n">
        <v>1.02997732162476</v>
      </c>
      <c r="M32" s="1682" t="n">
        <v>1.02894079685211</v>
      </c>
      <c r="N32" s="1682" t="n">
        <v>0.983144700527191</v>
      </c>
      <c r="O32" s="1682" t="n">
        <v>0.979770421981812</v>
      </c>
      <c r="P32" s="1682" t="n">
        <v>0.936919867992401</v>
      </c>
      <c r="Q32" s="1682" t="n">
        <v>0.927818357944489</v>
      </c>
      <c r="R32" s="1682" t="n">
        <v>0.915770411491394</v>
      </c>
      <c r="S32" s="1682" t="n">
        <v>0.907518208026886</v>
      </c>
      <c r="T32" s="1682" t="n">
        <v>0.895043969154358</v>
      </c>
      <c r="U32" s="1683" t="n">
        <v>0.857100486755371</v>
      </c>
      <c r="V32" s="1682" t="n">
        <v>1.1787565946579</v>
      </c>
      <c r="W32" s="1682" t="n">
        <v>1.11704480648041</v>
      </c>
      <c r="X32" s="1682" t="n">
        <v>1.03855216503143</v>
      </c>
      <c r="Y32" s="1682" t="n">
        <v>0.958386242389679</v>
      </c>
      <c r="Z32" s="1682" t="n">
        <v>0.9542356133461</v>
      </c>
      <c r="AA32" s="1682" t="n">
        <v>0.92133092880249</v>
      </c>
      <c r="AB32" s="1682" t="n">
        <v>0.918406069278717</v>
      </c>
      <c r="AC32" s="1683" t="n">
        <v>0.913287580013275</v>
      </c>
      <c r="AD32" s="1658"/>
      <c r="AE32" s="1636" t="s">
        <v>1262</v>
      </c>
      <c r="AF32" s="1636" t="n">
        <v>1</v>
      </c>
      <c r="AG32" s="1621" t="n">
        <v>2</v>
      </c>
      <c r="AH32" s="1621" t="n">
        <v>3</v>
      </c>
      <c r="AI32" s="1621" t="n">
        <v>4</v>
      </c>
      <c r="AJ32" s="1621" t="n">
        <v>5</v>
      </c>
      <c r="AK32" s="1621" t="n">
        <v>6</v>
      </c>
      <c r="AL32" s="1621" t="n">
        <v>7</v>
      </c>
      <c r="AM32" s="1621" t="n">
        <v>8</v>
      </c>
      <c r="AN32" s="1621" t="n">
        <v>9</v>
      </c>
      <c r="AO32" s="1621" t="n">
        <v>10</v>
      </c>
      <c r="AP32" s="1621" t="n">
        <v>11</v>
      </c>
      <c r="AQ32" s="1621" t="n">
        <v>12</v>
      </c>
      <c r="AR32" s="1621" t="n">
        <v>13</v>
      </c>
      <c r="AS32" s="1621" t="n">
        <v>14</v>
      </c>
      <c r="AT32" s="1621" t="n">
        <v>15</v>
      </c>
      <c r="AU32" s="1637" t="n">
        <v>16</v>
      </c>
      <c r="AV32" s="1621" t="n">
        <v>1</v>
      </c>
      <c r="AW32" s="1621" t="n">
        <v>2</v>
      </c>
      <c r="AX32" s="1621" t="n">
        <v>3</v>
      </c>
      <c r="AY32" s="1621" t="n">
        <v>4</v>
      </c>
      <c r="AZ32" s="1621" t="n">
        <v>5</v>
      </c>
      <c r="BA32" s="1621" t="n">
        <v>6</v>
      </c>
      <c r="BB32" s="1621" t="n">
        <v>7</v>
      </c>
      <c r="BC32" s="1637" t="n">
        <v>8</v>
      </c>
      <c r="BD32" s="1638" t="s">
        <v>149</v>
      </c>
      <c r="BE32" s="1639" t="s">
        <v>149</v>
      </c>
      <c r="BF32" s="1640" t="s">
        <v>297</v>
      </c>
      <c r="BG32" s="1673" t="s">
        <v>149</v>
      </c>
      <c r="BH32" s="1673" t="s">
        <v>132</v>
      </c>
      <c r="BJ32" s="1636" t="s">
        <v>1262</v>
      </c>
      <c r="BK32" s="1636" t="n">
        <v>1</v>
      </c>
      <c r="BL32" s="1621" t="n">
        <v>2</v>
      </c>
      <c r="BM32" s="1621" t="n">
        <v>3</v>
      </c>
      <c r="BN32" s="1621" t="n">
        <v>4</v>
      </c>
      <c r="BO32" s="1621" t="n">
        <v>5</v>
      </c>
      <c r="BP32" s="1621" t="n">
        <v>6</v>
      </c>
      <c r="BQ32" s="1621" t="n">
        <v>7</v>
      </c>
      <c r="BR32" s="1621" t="n">
        <v>8</v>
      </c>
      <c r="BS32" s="1621" t="n">
        <v>9</v>
      </c>
      <c r="BT32" s="1621" t="n">
        <v>10</v>
      </c>
      <c r="BU32" s="1621" t="n">
        <v>11</v>
      </c>
      <c r="BV32" s="1621" t="n">
        <v>12</v>
      </c>
      <c r="BW32" s="1621" t="n">
        <v>13</v>
      </c>
      <c r="BX32" s="1621" t="n">
        <v>14</v>
      </c>
      <c r="BY32" s="1621" t="n">
        <v>15</v>
      </c>
      <c r="BZ32" s="1637" t="n">
        <v>16</v>
      </c>
      <c r="CA32" s="1621" t="n">
        <v>1</v>
      </c>
      <c r="CB32" s="1621" t="n">
        <v>2</v>
      </c>
      <c r="CC32" s="1621" t="n">
        <v>3</v>
      </c>
      <c r="CD32" s="1621" t="n">
        <v>4</v>
      </c>
      <c r="CE32" s="1621" t="n">
        <v>5</v>
      </c>
      <c r="CF32" s="1621" t="n">
        <v>6</v>
      </c>
      <c r="CG32" s="1621" t="n">
        <v>7</v>
      </c>
      <c r="CH32" s="1637" t="n">
        <v>8</v>
      </c>
      <c r="CI32" s="1638" t="s">
        <v>149</v>
      </c>
      <c r="CJ32" s="1639" t="s">
        <v>149</v>
      </c>
      <c r="CK32" s="1640" t="s">
        <v>297</v>
      </c>
      <c r="CL32" s="1673" t="s">
        <v>149</v>
      </c>
      <c r="CM32" s="1673" t="s">
        <v>132</v>
      </c>
    </row>
    <row r="33" customFormat="false" ht="13.5" hidden="false" customHeight="false" outlineLevel="0" collapsed="false">
      <c r="C33" s="1658"/>
      <c r="D33" s="1658"/>
      <c r="AD33" s="1658"/>
      <c r="AE33" s="1636" t="n">
        <v>1</v>
      </c>
      <c r="AF33" s="1649" t="n">
        <f aca="false">IF(AND(WeekDef=8,CustomSuFlag,CustomSuPeriod=4),INDEX(VolumeHourlyOver,F5,3),IF(OR(WeekDef=1,WeekDef=3,WeekDef=5,WeekDef=6,AND(WeekDef=8,CustomSuFlag,OR(CustomSuPeriod=1,CustomSuPeriod=2))),IF(VolumeMonthlyOverFlag,INDEX(VolumeMonthlyOver,AE33),Volume),0))</f>
        <v>150</v>
      </c>
      <c r="AG33" s="1650" t="n">
        <f aca="false">IF(AND(WeekDef=8,CustomSuFlag,CustomSuPeriod=4),INDEX(VolumeHourlyOver,G5,3),IF(OR(WeekDef=1,WeekDef=3,WeekDef=5,WeekDef=6,AND(WeekDef=8,CustomSuFlag,OR(CustomSuPeriod=1,CustomSuPeriod=2))),IF(VolumeMonthlyOverFlag,INDEX(VolumeMonthlyOver,AE33),Volume),0))</f>
        <v>150</v>
      </c>
      <c r="AH33" s="1650" t="n">
        <f aca="false">IF(AND(WeekDef=8,CustomSuFlag,CustomSuPeriod=4),INDEX(VolumeHourlyOver,H5,3),IF(OR(WeekDef=1,WeekDef=3,WeekDef=5,WeekDef=6,AND(WeekDef=8,CustomSuFlag,OR(CustomSuPeriod=1,CustomSuPeriod=2))),IF(VolumeMonthlyOverFlag,INDEX(VolumeMonthlyOver,AE33),Volume),0))</f>
        <v>150</v>
      </c>
      <c r="AI33" s="1650" t="n">
        <f aca="false">IF(AND(WeekDef=8,CustomSuFlag,CustomSuPeriod=4),INDEX(VolumeHourlyOver,I5,3),IF(OR(WeekDef=1,WeekDef=3,WeekDef=5,WeekDef=6,AND(WeekDef=8,CustomSuFlag,OR(CustomSuPeriod=1,CustomSuPeriod=2))),IF(VolumeMonthlyOverFlag,INDEX(VolumeMonthlyOver,AE33),Volume),0))</f>
        <v>150</v>
      </c>
      <c r="AJ33" s="1650" t="n">
        <f aca="false">IF(AND(WeekDef=8,CustomSuFlag,CustomSuPeriod=4),INDEX(VolumeHourlyOver,J5,3),IF(OR(WeekDef=1,WeekDef=3,WeekDef=5,WeekDef=6,AND(WeekDef=8,CustomSuFlag,OR(CustomSuPeriod=1,CustomSuPeriod=2))),IF(VolumeMonthlyOverFlag,INDEX(VolumeMonthlyOver,AE33),Volume),0))</f>
        <v>150</v>
      </c>
      <c r="AK33" s="1650" t="n">
        <f aca="false">IF(AND(WeekDef=8,CustomSuFlag,CustomSuPeriod=4),INDEX(VolumeHourlyOver,K5,3),IF(OR(WeekDef=1,WeekDef=3,WeekDef=5,WeekDef=6,AND(WeekDef=8,CustomSuFlag,OR(CustomSuPeriod=1,CustomSuPeriod=2))),IF(VolumeMonthlyOverFlag,INDEX(VolumeMonthlyOver,AE33),Volume),0))</f>
        <v>150</v>
      </c>
      <c r="AL33" s="1650" t="n">
        <f aca="false">IF(AND(WeekDef=8,CustomSuFlag,CustomSuPeriod=4),INDEX(VolumeHourlyOver,L5,3),IF(OR(WeekDef=1,WeekDef=3,WeekDef=5,WeekDef=6,AND(WeekDef=8,CustomSuFlag,OR(CustomSuPeriod=1,CustomSuPeriod=2))),IF(VolumeMonthlyOverFlag,INDEX(VolumeMonthlyOver,AE33),Volume),0))</f>
        <v>150</v>
      </c>
      <c r="AM33" s="1650" t="n">
        <f aca="false">IF(AND(WeekDef=8,CustomSuFlag,CustomSuPeriod=4),INDEX(VolumeHourlyOver,M5,3),IF(OR(WeekDef=1,WeekDef=3,WeekDef=5,WeekDef=6,AND(WeekDef=8,CustomSuFlag,OR(CustomSuPeriod=1,CustomSuPeriod=2))),IF(VolumeMonthlyOverFlag,INDEX(VolumeMonthlyOver,AE33),Volume),0))</f>
        <v>150</v>
      </c>
      <c r="AN33" s="1650" t="n">
        <f aca="false">IF(AND(WeekDef=8,CustomSuFlag,CustomSuPeriod=4),INDEX(VolumeHourlyOver,N5,3),IF(OR(WeekDef=1,WeekDef=3,WeekDef=5,WeekDef=6,AND(WeekDef=8,CustomSuFlag,OR(CustomSuPeriod=1,CustomSuPeriod=2))),IF(VolumeMonthlyOverFlag,INDEX(VolumeMonthlyOver,AE33),Volume),0))</f>
        <v>150</v>
      </c>
      <c r="AO33" s="1650" t="n">
        <f aca="false">IF(AND(WeekDef=8,CustomSuFlag,CustomSuPeriod=4),INDEX(VolumeHourlyOver,O5,3),IF(OR(WeekDef=1,WeekDef=3,WeekDef=5,WeekDef=6,AND(WeekDef=8,CustomSuFlag,OR(CustomSuPeriod=1,CustomSuPeriod=2))),IF(VolumeMonthlyOverFlag,INDEX(VolumeMonthlyOver,AE33),Volume),0))</f>
        <v>150</v>
      </c>
      <c r="AP33" s="1650" t="n">
        <f aca="false">IF(AND(WeekDef=8,CustomSuFlag,CustomSuPeriod=4),INDEX(VolumeHourlyOver,P5,3),IF(OR(WeekDef=1,WeekDef=3,WeekDef=5,WeekDef=6,AND(WeekDef=8,CustomSuFlag,OR(CustomSuPeriod=1,CustomSuPeriod=2))),IF(VolumeMonthlyOverFlag,INDEX(VolumeMonthlyOver,AE33),Volume),0))</f>
        <v>150</v>
      </c>
      <c r="AQ33" s="1650" t="n">
        <f aca="false">IF(AND(WeekDef=8,CustomSuFlag,CustomSuPeriod=4),INDEX(VolumeHourlyOver,Q5,3),IF(OR(WeekDef=1,WeekDef=3,WeekDef=5,WeekDef=6,AND(WeekDef=8,CustomSuFlag,OR(CustomSuPeriod=1,CustomSuPeriod=2))),IF(VolumeMonthlyOverFlag,INDEX(VolumeMonthlyOver,AE33),Volume),0))</f>
        <v>150</v>
      </c>
      <c r="AR33" s="1650" t="n">
        <f aca="false">IF(AND(WeekDef=8,CustomSuFlag,CustomSuPeriod=4),INDEX(VolumeHourlyOver,R5,3),IF(OR(WeekDef=1,WeekDef=3,WeekDef=5,WeekDef=6,AND(WeekDef=8,CustomSuFlag,OR(CustomSuPeriod=1,CustomSuPeriod=2))),IF(VolumeMonthlyOverFlag,INDEX(VolumeMonthlyOver,AE33),Volume),0))</f>
        <v>150</v>
      </c>
      <c r="AS33" s="1650" t="n">
        <f aca="false">IF(AND(WeekDef=8,CustomSuFlag,CustomSuPeriod=4),INDEX(VolumeHourlyOver,S5,3),IF(OR(WeekDef=1,WeekDef=3,WeekDef=5,WeekDef=6,AND(WeekDef=8,CustomSuFlag,OR(CustomSuPeriod=1,CustomSuPeriod=2))),IF(VolumeMonthlyOverFlag,INDEX(VolumeMonthlyOver,AE33),Volume),0))</f>
        <v>150</v>
      </c>
      <c r="AT33" s="1650" t="n">
        <f aca="false">IF(AND(WeekDef=8,CustomSuFlag,CustomSuPeriod=4),INDEX(VolumeHourlyOver,T5,3),IF(OR(WeekDef=1,WeekDef=3,WeekDef=5,WeekDef=6,AND(WeekDef=8,CustomSuFlag,OR(CustomSuPeriod=1,CustomSuPeriod=2))),IF(VolumeMonthlyOverFlag,INDEX(VolumeMonthlyOver,AE33),Volume),0))</f>
        <v>150</v>
      </c>
      <c r="AU33" s="1651" t="n">
        <f aca="false">IF(AND(WeekDef=8,CustomSuFlag,CustomSuPeriod=4),INDEX(VolumeHourlyOver,U5,3),IF(OR(WeekDef=1,WeekDef=3,WeekDef=5,WeekDef=6,AND(WeekDef=8,CustomSuFlag,OR(CustomSuPeriod=1,CustomSuPeriod=2))),IF(VolumeMonthlyOverFlag,INDEX(VolumeMonthlyOver,AE33),Volume),0))</f>
        <v>150</v>
      </c>
      <c r="AV33" s="1650" t="n">
        <f aca="false">IF(AND(WeekDef=8,CustomSuFlag,CustomSuPeriod=4),INDEX(VolumeHourlyOver,V5,3),IF(OR(WeekDef=1,WeekDef=3,WeekDef=5,WeekDef=7,AND(WeekDef=8,CustomSuFlag,OR(CustomSuPeriod=1,CustomSuPeriod=3))),IF(VolumeMonthlyOverFlag,INDEX(VolumeMonthlyOver,AE33),Volume),0))</f>
        <v>150</v>
      </c>
      <c r="AW33" s="1650" t="n">
        <f aca="false">IF(AND(WeekDef=8,CustomSuFlag,CustomSuPeriod=4),INDEX(VolumeHourlyOver,W5,3),IF(OR(WeekDef=1,WeekDef=3,WeekDef=5,WeekDef=7,AND(WeekDef=8,CustomSuFlag,OR(CustomSuPeriod=1,CustomSuPeriod=3))),IF(VolumeMonthlyOverFlag,INDEX(VolumeMonthlyOver,AE33),Volume),0))</f>
        <v>150</v>
      </c>
      <c r="AX33" s="1650" t="n">
        <f aca="false">IF(AND(WeekDef=8,CustomSuFlag,CustomSuPeriod=4),INDEX(VolumeHourlyOver,X5,3),IF(OR(WeekDef=1,WeekDef=3,WeekDef=5,WeekDef=7,AND(WeekDef=8,CustomSuFlag,OR(CustomSuPeriod=1,CustomSuPeriod=3))),IF(VolumeMonthlyOverFlag,INDEX(VolumeMonthlyOver,AE33),Volume),0))</f>
        <v>150</v>
      </c>
      <c r="AY33" s="1650" t="n">
        <f aca="false">IF(AND(WeekDef=8,CustomSuFlag,CustomSuPeriod=4),INDEX(VolumeHourlyOver,Y5,3),IF(OR(WeekDef=1,WeekDef=3,WeekDef=5,WeekDef=7,AND(WeekDef=8,CustomSuFlag,OR(CustomSuPeriod=1,CustomSuPeriod=3))),IF(VolumeMonthlyOverFlag,INDEX(VolumeMonthlyOver,AE33),Volume),0))</f>
        <v>150</v>
      </c>
      <c r="AZ33" s="1650" t="n">
        <f aca="false">IF(AND(WeekDef=8,CustomSuFlag,CustomSuPeriod=4),INDEX(VolumeHourlyOver,Z5,3),IF(OR(WeekDef=1,WeekDef=3,WeekDef=5,WeekDef=7,AND(WeekDef=8,CustomSuFlag,OR(CustomSuPeriod=1,CustomSuPeriod=3))),IF(VolumeMonthlyOverFlag,INDEX(VolumeMonthlyOver,AE33),Volume),0))</f>
        <v>150</v>
      </c>
      <c r="BA33" s="1650" t="n">
        <f aca="false">IF(AND(WeekDef=8,CustomSuFlag,CustomSuPeriod=4),INDEX(VolumeHourlyOver,AA5,3),IF(OR(WeekDef=1,WeekDef=3,WeekDef=5,WeekDef=7,AND(WeekDef=8,CustomSuFlag,OR(CustomSuPeriod=1,CustomSuPeriod=3))),IF(VolumeMonthlyOverFlag,INDEX(VolumeMonthlyOver,AE33),Volume),0))</f>
        <v>150</v>
      </c>
      <c r="BB33" s="1650" t="n">
        <f aca="false">IF(AND(WeekDef=8,CustomSuFlag,CustomSuPeriod=4),INDEX(VolumeHourlyOver,AB5,3),IF(OR(WeekDef=1,WeekDef=3,WeekDef=5,WeekDef=7,AND(WeekDef=8,CustomSuFlag,OR(CustomSuPeriod=1,CustomSuPeriod=3))),IF(VolumeMonthlyOverFlag,INDEX(VolumeMonthlyOver,AE33),Volume),0))</f>
        <v>150</v>
      </c>
      <c r="BC33" s="1651" t="n">
        <f aca="false">IF(AND(WeekDef=8,CustomSuFlag,CustomSuPeriod=4),INDEX(VolumeHourlyOver,AC5,3),IF(OR(WeekDef=1,WeekDef=3,WeekDef=5,WeekDef=7,AND(WeekDef=8,CustomSuFlag,OR(CustomSuPeriod=1,CustomSuPeriod=3))),IF(VolumeMonthlyOverFlag,INDEX(VolumeMonthlyOver,AE33),Volume),0))</f>
        <v>150</v>
      </c>
      <c r="BD33" s="1652" t="n">
        <f aca="false">SUM(AF33:AU33)</f>
        <v>2400</v>
      </c>
      <c r="BE33" s="1653" t="n">
        <f aca="false">SUM(AV33:BC33)</f>
        <v>1200</v>
      </c>
      <c r="BF33" s="1654" t="n">
        <f aca="false">BD33+BE33</f>
        <v>3600</v>
      </c>
      <c r="BG33" s="1674" t="n">
        <f aca="false">IF(BD33,SUMPRODUCT(AF33:AU33,F21:U21)/BD33,0)</f>
        <v>0.99999999627471</v>
      </c>
      <c r="BH33" s="1675" t="n">
        <f aca="false">IF(BE33,SUMPRODUCT(AV33:BC33,V21:AC21)/BE33,0)</f>
        <v>0.999999992549419</v>
      </c>
      <c r="BJ33" s="1636" t="n">
        <v>1</v>
      </c>
      <c r="BK33" s="1649" t="n">
        <f aca="false">IF(AND(WeekDef=8,CustomSuFlag,CustomSuPeriod=4),INDEX(IF(DiffOptVolumeFlag,DiffOptVolumeHourlyOver,VolumeHourlyOver),F5,3),IF(OR(WeekDef=1,WeekDef=3,WeekDef=5,WeekDef=6,AND(WeekDef=8,CustomSuFlag,OR(CustomSuPeriod=1,CustomSuPeriod=2))),IF(VolumeMonthlyOverFlag,INDEX(IF(DiffOptVolumeFlag,DiffOptVolumeMonthlyOver,VolumeMonthlyOver),BJ33),IF(DiffOptVolumeFlag,DiffOptVolume,Volume)),0))</f>
        <v>600</v>
      </c>
      <c r="BL33" s="1650" t="n">
        <f aca="false">IF(AND(WeekDef=8,CustomSuFlag,CustomSuPeriod=4),INDEX(IF(DiffOptVolumeFlag,DiffOptVolumeHourlyOver,VolumeHourlyOver),G5,3),IF(OR(WeekDef=1,WeekDef=3,WeekDef=5,WeekDef=6,AND(WeekDef=8,CustomSuFlag,OR(CustomSuPeriod=1,CustomSuPeriod=2))),IF(VolumeMonthlyOverFlag,INDEX(IF(DiffOptVolumeFlag,DiffOptVolumeMonthlyOver,VolumeMonthlyOver),BJ33),IF(DiffOptVolumeFlag,DiffOptVolume,Volume)),0))</f>
        <v>600</v>
      </c>
      <c r="BM33" s="1650" t="n">
        <f aca="false">IF(AND(WeekDef=8,CustomSuFlag,CustomSuPeriod=4),INDEX(IF(DiffOptVolumeFlag,DiffOptVolumeHourlyOver,VolumeHourlyOver),H5,3),IF(OR(WeekDef=1,WeekDef=3,WeekDef=5,WeekDef=6,AND(WeekDef=8,CustomSuFlag,OR(CustomSuPeriod=1,CustomSuPeriod=2))),IF(VolumeMonthlyOverFlag,INDEX(IF(DiffOptVolumeFlag,DiffOptVolumeMonthlyOver,VolumeMonthlyOver),BJ33),IF(DiffOptVolumeFlag,DiffOptVolume,Volume)),0))</f>
        <v>600</v>
      </c>
      <c r="BN33" s="1650" t="n">
        <f aca="false">IF(AND(WeekDef=8,CustomSuFlag,CustomSuPeriod=4),INDEX(IF(DiffOptVolumeFlag,DiffOptVolumeHourlyOver,VolumeHourlyOver),I5,3),IF(OR(WeekDef=1,WeekDef=3,WeekDef=5,WeekDef=6,AND(WeekDef=8,CustomSuFlag,OR(CustomSuPeriod=1,CustomSuPeriod=2))),IF(VolumeMonthlyOverFlag,INDEX(IF(DiffOptVolumeFlag,DiffOptVolumeMonthlyOver,VolumeMonthlyOver),BJ33),IF(DiffOptVolumeFlag,DiffOptVolume,Volume)),0))</f>
        <v>600</v>
      </c>
      <c r="BO33" s="1650" t="n">
        <f aca="false">IF(AND(WeekDef=8,CustomSuFlag,CustomSuPeriod=4),INDEX(IF(DiffOptVolumeFlag,DiffOptVolumeHourlyOver,VolumeHourlyOver),J5,3),IF(OR(WeekDef=1,WeekDef=3,WeekDef=5,WeekDef=6,AND(WeekDef=8,CustomSuFlag,OR(CustomSuPeriod=1,CustomSuPeriod=2))),IF(VolumeMonthlyOverFlag,INDEX(IF(DiffOptVolumeFlag,DiffOptVolumeMonthlyOver,VolumeMonthlyOver),BJ33),IF(DiffOptVolumeFlag,DiffOptVolume,Volume)),0))</f>
        <v>600</v>
      </c>
      <c r="BP33" s="1650" t="n">
        <f aca="false">IF(AND(WeekDef=8,CustomSuFlag,CustomSuPeriod=4),INDEX(IF(DiffOptVolumeFlag,DiffOptVolumeHourlyOver,VolumeHourlyOver),K5,3),IF(OR(WeekDef=1,WeekDef=3,WeekDef=5,WeekDef=6,AND(WeekDef=8,CustomSuFlag,OR(CustomSuPeriod=1,CustomSuPeriod=2))),IF(VolumeMonthlyOverFlag,INDEX(IF(DiffOptVolumeFlag,DiffOptVolumeMonthlyOver,VolumeMonthlyOver),BJ33),IF(DiffOptVolumeFlag,DiffOptVolume,Volume)),0))</f>
        <v>600</v>
      </c>
      <c r="BQ33" s="1650" t="n">
        <f aca="false">IF(AND(WeekDef=8,CustomSuFlag,CustomSuPeriod=4),INDEX(IF(DiffOptVolumeFlag,DiffOptVolumeHourlyOver,VolumeHourlyOver),L5,3),IF(OR(WeekDef=1,WeekDef=3,WeekDef=5,WeekDef=6,AND(WeekDef=8,CustomSuFlag,OR(CustomSuPeriod=1,CustomSuPeriod=2))),IF(VolumeMonthlyOverFlag,INDEX(IF(DiffOptVolumeFlag,DiffOptVolumeMonthlyOver,VolumeMonthlyOver),BJ33),IF(DiffOptVolumeFlag,DiffOptVolume,Volume)),0))</f>
        <v>600</v>
      </c>
      <c r="BR33" s="1650" t="n">
        <f aca="false">IF(AND(WeekDef=8,CustomSuFlag,CustomSuPeriod=4),INDEX(IF(DiffOptVolumeFlag,DiffOptVolumeHourlyOver,VolumeHourlyOver),M5,3),IF(OR(WeekDef=1,WeekDef=3,WeekDef=5,WeekDef=6,AND(WeekDef=8,CustomSuFlag,OR(CustomSuPeriod=1,CustomSuPeriod=2))),IF(VolumeMonthlyOverFlag,INDEX(IF(DiffOptVolumeFlag,DiffOptVolumeMonthlyOver,VolumeMonthlyOver),BJ33),IF(DiffOptVolumeFlag,DiffOptVolume,Volume)),0))</f>
        <v>600</v>
      </c>
      <c r="BS33" s="1650" t="n">
        <f aca="false">IF(AND(WeekDef=8,CustomSuFlag,CustomSuPeriod=4),INDEX(IF(DiffOptVolumeFlag,DiffOptVolumeHourlyOver,VolumeHourlyOver),N5,3),IF(OR(WeekDef=1,WeekDef=3,WeekDef=5,WeekDef=6,AND(WeekDef=8,CustomSuFlag,OR(CustomSuPeriod=1,CustomSuPeriod=2))),IF(VolumeMonthlyOverFlag,INDEX(IF(DiffOptVolumeFlag,DiffOptVolumeMonthlyOver,VolumeMonthlyOver),BJ33),IF(DiffOptVolumeFlag,DiffOptVolume,Volume)),0))</f>
        <v>600</v>
      </c>
      <c r="BT33" s="1650" t="n">
        <f aca="false">IF(AND(WeekDef=8,CustomSuFlag,CustomSuPeriod=4),INDEX(IF(DiffOptVolumeFlag,DiffOptVolumeHourlyOver,VolumeHourlyOver),O5,3),IF(OR(WeekDef=1,WeekDef=3,WeekDef=5,WeekDef=6,AND(WeekDef=8,CustomSuFlag,OR(CustomSuPeriod=1,CustomSuPeriod=2))),IF(VolumeMonthlyOverFlag,INDEX(IF(DiffOptVolumeFlag,DiffOptVolumeMonthlyOver,VolumeMonthlyOver),BJ33),IF(DiffOptVolumeFlag,DiffOptVolume,Volume)),0))</f>
        <v>600</v>
      </c>
      <c r="BU33" s="1650" t="n">
        <f aca="false">IF(AND(WeekDef=8,CustomSuFlag,CustomSuPeriod=4),INDEX(IF(DiffOptVolumeFlag,DiffOptVolumeHourlyOver,VolumeHourlyOver),P5,3),IF(OR(WeekDef=1,WeekDef=3,WeekDef=5,WeekDef=6,AND(WeekDef=8,CustomSuFlag,OR(CustomSuPeriod=1,CustomSuPeriod=2))),IF(VolumeMonthlyOverFlag,INDEX(IF(DiffOptVolumeFlag,DiffOptVolumeMonthlyOver,VolumeMonthlyOver),BJ33),IF(DiffOptVolumeFlag,DiffOptVolume,Volume)),0))</f>
        <v>600</v>
      </c>
      <c r="BV33" s="1650" t="n">
        <f aca="false">IF(AND(WeekDef=8,CustomSuFlag,CustomSuPeriod=4),INDEX(IF(DiffOptVolumeFlag,DiffOptVolumeHourlyOver,VolumeHourlyOver),Q5,3),IF(OR(WeekDef=1,WeekDef=3,WeekDef=5,WeekDef=6,AND(WeekDef=8,CustomSuFlag,OR(CustomSuPeriod=1,CustomSuPeriod=2))),IF(VolumeMonthlyOverFlag,INDEX(IF(DiffOptVolumeFlag,DiffOptVolumeMonthlyOver,VolumeMonthlyOver),BJ33),IF(DiffOptVolumeFlag,DiffOptVolume,Volume)),0))</f>
        <v>600</v>
      </c>
      <c r="BW33" s="1650" t="n">
        <f aca="false">IF(AND(WeekDef=8,CustomSuFlag,CustomSuPeriod=4),INDEX(IF(DiffOptVolumeFlag,DiffOptVolumeHourlyOver,VolumeHourlyOver),R5,3),IF(OR(WeekDef=1,WeekDef=3,WeekDef=5,WeekDef=6,AND(WeekDef=8,CustomSuFlag,OR(CustomSuPeriod=1,CustomSuPeriod=2))),IF(VolumeMonthlyOverFlag,INDEX(IF(DiffOptVolumeFlag,DiffOptVolumeMonthlyOver,VolumeMonthlyOver),BJ33),IF(DiffOptVolumeFlag,DiffOptVolume,Volume)),0))</f>
        <v>600</v>
      </c>
      <c r="BX33" s="1650" t="n">
        <f aca="false">IF(AND(WeekDef=8,CustomSuFlag,CustomSuPeriod=4),INDEX(IF(DiffOptVolumeFlag,DiffOptVolumeHourlyOver,VolumeHourlyOver),S5,3),IF(OR(WeekDef=1,WeekDef=3,WeekDef=5,WeekDef=6,AND(WeekDef=8,CustomSuFlag,OR(CustomSuPeriod=1,CustomSuPeriod=2))),IF(VolumeMonthlyOverFlag,INDEX(IF(DiffOptVolumeFlag,DiffOptVolumeMonthlyOver,VolumeMonthlyOver),BJ33),IF(DiffOptVolumeFlag,DiffOptVolume,Volume)),0))</f>
        <v>600</v>
      </c>
      <c r="BY33" s="1650" t="n">
        <f aca="false">IF(AND(WeekDef=8,CustomSuFlag,CustomSuPeriod=4),INDEX(IF(DiffOptVolumeFlag,DiffOptVolumeHourlyOver,VolumeHourlyOver),T5,3),IF(OR(WeekDef=1,WeekDef=3,WeekDef=5,WeekDef=6,AND(WeekDef=8,CustomSuFlag,OR(CustomSuPeriod=1,CustomSuPeriod=2))),IF(VolumeMonthlyOverFlag,INDEX(IF(DiffOptVolumeFlag,DiffOptVolumeMonthlyOver,VolumeMonthlyOver),BJ33),IF(DiffOptVolumeFlag,DiffOptVolume,Volume)),0))</f>
        <v>600</v>
      </c>
      <c r="BZ33" s="1651" t="n">
        <f aca="false">IF(AND(WeekDef=8,CustomSuFlag,CustomSuPeriod=4),INDEX(IF(DiffOptVolumeFlag,DiffOptVolumeHourlyOver,VolumeHourlyOver),U5,3),IF(OR(WeekDef=1,WeekDef=3,WeekDef=5,WeekDef=6,AND(WeekDef=8,CustomSuFlag,OR(CustomSuPeriod=1,CustomSuPeriod=2))),IF(VolumeMonthlyOverFlag,INDEX(IF(DiffOptVolumeFlag,DiffOptVolumeMonthlyOver,VolumeMonthlyOver),BJ33),IF(DiffOptVolumeFlag,DiffOptVolume,Volume)),0))</f>
        <v>600</v>
      </c>
      <c r="CA33" s="1650" t="n">
        <f aca="false">IF(AND(WeekDef=8,CustomSuFlag,CustomSuPeriod=4),INDEX(IF(DiffOptVolumeFlag,DiffOptVolumeHourlyOver,VolumeHourlyOver),V5,3),IF(OR(WeekDef=1,WeekDef=3,WeekDef=5,WeekDef=7,AND(WeekDef=8,CustomSuFlag,OR(CustomSuPeriod=1,CustomSuPeriod=3))),IF(VolumeMonthlyOverFlag,INDEX(IF(DiffOptVolumeFlag,DiffOptVolumeMonthlyOver,VolumeMonthlyOver),BJ33),IF(DiffOptVolumeFlag,DiffOptVolume,Volume)),0))</f>
        <v>600</v>
      </c>
      <c r="CB33" s="1650" t="n">
        <f aca="false">IF(AND(WeekDef=8,CustomSuFlag,CustomSuPeriod=4),INDEX(IF(DiffOptVolumeFlag,DiffOptVolumeHourlyOver,VolumeHourlyOver),W5,3),IF(OR(WeekDef=1,WeekDef=3,WeekDef=5,WeekDef=7,AND(WeekDef=8,CustomSuFlag,OR(CustomSuPeriod=1,CustomSuPeriod=3))),IF(VolumeMonthlyOverFlag,INDEX(IF(DiffOptVolumeFlag,DiffOptVolumeMonthlyOver,VolumeMonthlyOver),BJ33),IF(DiffOptVolumeFlag,DiffOptVolume,Volume)),0))</f>
        <v>600</v>
      </c>
      <c r="CC33" s="1650" t="n">
        <f aca="false">IF(AND(WeekDef=8,CustomSuFlag,CustomSuPeriod=4),INDEX(IF(DiffOptVolumeFlag,DiffOptVolumeHourlyOver,VolumeHourlyOver),X5,3),IF(OR(WeekDef=1,WeekDef=3,WeekDef=5,WeekDef=7,AND(WeekDef=8,CustomSuFlag,OR(CustomSuPeriod=1,CustomSuPeriod=3))),IF(VolumeMonthlyOverFlag,INDEX(IF(DiffOptVolumeFlag,DiffOptVolumeMonthlyOver,VolumeMonthlyOver),BJ33),IF(DiffOptVolumeFlag,DiffOptVolume,Volume)),0))</f>
        <v>600</v>
      </c>
      <c r="CD33" s="1650" t="n">
        <f aca="false">IF(AND(WeekDef=8,CustomSuFlag,CustomSuPeriod=4),INDEX(IF(DiffOptVolumeFlag,DiffOptVolumeHourlyOver,VolumeHourlyOver),Y5,3),IF(OR(WeekDef=1,WeekDef=3,WeekDef=5,WeekDef=7,AND(WeekDef=8,CustomSuFlag,OR(CustomSuPeriod=1,CustomSuPeriod=3))),IF(VolumeMonthlyOverFlag,INDEX(IF(DiffOptVolumeFlag,DiffOptVolumeMonthlyOver,VolumeMonthlyOver),BJ33),IF(DiffOptVolumeFlag,DiffOptVolume,Volume)),0))</f>
        <v>600</v>
      </c>
      <c r="CE33" s="1650" t="n">
        <f aca="false">IF(AND(WeekDef=8,CustomSuFlag,CustomSuPeriod=4),INDEX(IF(DiffOptVolumeFlag,DiffOptVolumeHourlyOver,VolumeHourlyOver),Z5,3),IF(OR(WeekDef=1,WeekDef=3,WeekDef=5,WeekDef=7,AND(WeekDef=8,CustomSuFlag,OR(CustomSuPeriod=1,CustomSuPeriod=3))),IF(VolumeMonthlyOverFlag,INDEX(IF(DiffOptVolumeFlag,DiffOptVolumeMonthlyOver,VolumeMonthlyOver),BJ33),IF(DiffOptVolumeFlag,DiffOptVolume,Volume)),0))</f>
        <v>600</v>
      </c>
      <c r="CF33" s="1650" t="n">
        <f aca="false">IF(AND(WeekDef=8,CustomSuFlag,CustomSuPeriod=4),INDEX(IF(DiffOptVolumeFlag,DiffOptVolumeHourlyOver,VolumeHourlyOver),AA5,3),IF(OR(WeekDef=1,WeekDef=3,WeekDef=5,WeekDef=7,AND(WeekDef=8,CustomSuFlag,OR(CustomSuPeriod=1,CustomSuPeriod=3))),IF(VolumeMonthlyOverFlag,INDEX(IF(DiffOptVolumeFlag,DiffOptVolumeMonthlyOver,VolumeMonthlyOver),BJ33),IF(DiffOptVolumeFlag,DiffOptVolume,Volume)),0))</f>
        <v>600</v>
      </c>
      <c r="CG33" s="1650" t="n">
        <f aca="false">IF(AND(WeekDef=8,CustomSuFlag,CustomSuPeriod=4),INDEX(IF(DiffOptVolumeFlag,DiffOptVolumeHourlyOver,VolumeHourlyOver),AB5,3),IF(OR(WeekDef=1,WeekDef=3,WeekDef=5,WeekDef=7,AND(WeekDef=8,CustomSuFlag,OR(CustomSuPeriod=1,CustomSuPeriod=3))),IF(VolumeMonthlyOverFlag,INDEX(IF(DiffOptVolumeFlag,DiffOptVolumeMonthlyOver,VolumeMonthlyOver),BJ33),IF(DiffOptVolumeFlag,DiffOptVolume,Volume)),0))</f>
        <v>600</v>
      </c>
      <c r="CH33" s="1651" t="n">
        <f aca="false">IF(AND(WeekDef=8,CustomSuFlag,CustomSuPeriod=4),INDEX(IF(DiffOptVolumeFlag,DiffOptVolumeHourlyOver,VolumeHourlyOver),AC5,3),IF(OR(WeekDef=1,WeekDef=3,WeekDef=5,WeekDef=7,AND(WeekDef=8,CustomSuFlag,OR(CustomSuPeriod=1,CustomSuPeriod=3))),IF(VolumeMonthlyOverFlag,INDEX(IF(DiffOptVolumeFlag,DiffOptVolumeMonthlyOver,VolumeMonthlyOver),BJ33),IF(DiffOptVolumeFlag,DiffOptVolume,Volume)),0))</f>
        <v>600</v>
      </c>
      <c r="CI33" s="1652" t="n">
        <f aca="false">SUM(BK33:BZ33)</f>
        <v>9600</v>
      </c>
      <c r="CJ33" s="1653" t="n">
        <f aca="false">SUM(CA33:CH33)</f>
        <v>4800</v>
      </c>
      <c r="CK33" s="1654" t="n">
        <f aca="false">CI33+CJ33</f>
        <v>14400</v>
      </c>
      <c r="CL33" s="1674" t="n">
        <f aca="false">IF(CI33,SUMPRODUCT(BK33:BZ33,F21:U21)/CI33,0)</f>
        <v>0.99999999627471</v>
      </c>
      <c r="CM33" s="1675" t="n">
        <f aca="false">IF(CJ33,SUMPRODUCT(CA33:CH33,V21:AC21)/CJ33,0)</f>
        <v>0.999999992549419</v>
      </c>
    </row>
    <row r="34" customFormat="false" ht="18.75" hidden="false" customHeight="false" outlineLevel="0" collapsed="false">
      <c r="A34" s="1621"/>
      <c r="B34" s="1621"/>
      <c r="C34" s="1621"/>
      <c r="D34" s="0"/>
      <c r="E34" s="1620" t="s">
        <v>1268</v>
      </c>
      <c r="F34" s="1620"/>
      <c r="G34" s="1620"/>
      <c r="H34" s="1620"/>
      <c r="I34" s="1620"/>
      <c r="J34" s="1620"/>
      <c r="K34" s="1620"/>
      <c r="L34" s="1620"/>
      <c r="M34" s="1620"/>
      <c r="N34" s="1620"/>
      <c r="O34" s="1620"/>
      <c r="P34" s="1620"/>
      <c r="Q34" s="1620"/>
      <c r="R34" s="1620"/>
      <c r="S34" s="1620"/>
      <c r="T34" s="1620"/>
      <c r="U34" s="1620"/>
      <c r="V34" s="1620"/>
      <c r="W34" s="1620"/>
      <c r="X34" s="1620"/>
      <c r="Y34" s="1620"/>
      <c r="Z34" s="1620"/>
      <c r="AA34" s="1620"/>
      <c r="AB34" s="1620"/>
      <c r="AC34" s="1620"/>
      <c r="AD34" s="1658"/>
      <c r="AE34" s="1636" t="n">
        <v>2</v>
      </c>
      <c r="AF34" s="1646" t="n">
        <f aca="false">IF(AND(WeekDef=8,CustomSuFlag,CustomSuPeriod=4),INDEX(VolumeHourlyOver,F6,3),IF(OR(WeekDef=1,WeekDef=3,WeekDef=5,WeekDef=6,AND(WeekDef=8,CustomSuFlag,OR(CustomSuPeriod=1,CustomSuPeriod=2))),IF(VolumeMonthlyOverFlag,INDEX(VolumeMonthlyOver,AE34),Volume),0))</f>
        <v>150</v>
      </c>
      <c r="AG34" s="1647" t="n">
        <f aca="false">IF(AND(WeekDef=8,CustomSuFlag,CustomSuPeriod=4),INDEX(VolumeHourlyOver,G6,3),IF(OR(WeekDef=1,WeekDef=3,WeekDef=5,WeekDef=6,AND(WeekDef=8,CustomSuFlag,OR(CustomSuPeriod=1,CustomSuPeriod=2))),IF(VolumeMonthlyOverFlag,INDEX(VolumeMonthlyOver,AE34),Volume),0))</f>
        <v>150</v>
      </c>
      <c r="AH34" s="1647" t="n">
        <f aca="false">IF(AND(WeekDef=8,CustomSuFlag,CustomSuPeriod=4),INDEX(VolumeHourlyOver,H6,3),IF(OR(WeekDef=1,WeekDef=3,WeekDef=5,WeekDef=6,AND(WeekDef=8,CustomSuFlag,OR(CustomSuPeriod=1,CustomSuPeriod=2))),IF(VolumeMonthlyOverFlag,INDEX(VolumeMonthlyOver,AE34),Volume),0))</f>
        <v>150</v>
      </c>
      <c r="AI34" s="1647" t="n">
        <f aca="false">IF(AND(WeekDef=8,CustomSuFlag,CustomSuPeriod=4),INDEX(VolumeHourlyOver,I6,3),IF(OR(WeekDef=1,WeekDef=3,WeekDef=5,WeekDef=6,AND(WeekDef=8,CustomSuFlag,OR(CustomSuPeriod=1,CustomSuPeriod=2))),IF(VolumeMonthlyOverFlag,INDEX(VolumeMonthlyOver,AE34),Volume),0))</f>
        <v>150</v>
      </c>
      <c r="AJ34" s="1647" t="n">
        <f aca="false">IF(AND(WeekDef=8,CustomSuFlag,CustomSuPeriod=4),INDEX(VolumeHourlyOver,J6,3),IF(OR(WeekDef=1,WeekDef=3,WeekDef=5,WeekDef=6,AND(WeekDef=8,CustomSuFlag,OR(CustomSuPeriod=1,CustomSuPeriod=2))),IF(VolumeMonthlyOverFlag,INDEX(VolumeMonthlyOver,AE34),Volume),0))</f>
        <v>150</v>
      </c>
      <c r="AK34" s="1647" t="n">
        <f aca="false">IF(AND(WeekDef=8,CustomSuFlag,CustomSuPeriod=4),INDEX(VolumeHourlyOver,K6,3),IF(OR(WeekDef=1,WeekDef=3,WeekDef=5,WeekDef=6,AND(WeekDef=8,CustomSuFlag,OR(CustomSuPeriod=1,CustomSuPeriod=2))),IF(VolumeMonthlyOverFlag,INDEX(VolumeMonthlyOver,AE34),Volume),0))</f>
        <v>150</v>
      </c>
      <c r="AL34" s="1647" t="n">
        <f aca="false">IF(AND(WeekDef=8,CustomSuFlag,CustomSuPeriod=4),INDEX(VolumeHourlyOver,L6,3),IF(OR(WeekDef=1,WeekDef=3,WeekDef=5,WeekDef=6,AND(WeekDef=8,CustomSuFlag,OR(CustomSuPeriod=1,CustomSuPeriod=2))),IF(VolumeMonthlyOverFlag,INDEX(VolumeMonthlyOver,AE34),Volume),0))</f>
        <v>150</v>
      </c>
      <c r="AM34" s="1647" t="n">
        <f aca="false">IF(AND(WeekDef=8,CustomSuFlag,CustomSuPeriod=4),INDEX(VolumeHourlyOver,M6,3),IF(OR(WeekDef=1,WeekDef=3,WeekDef=5,WeekDef=6,AND(WeekDef=8,CustomSuFlag,OR(CustomSuPeriod=1,CustomSuPeriod=2))),IF(VolumeMonthlyOverFlag,INDEX(VolumeMonthlyOver,AE34),Volume),0))</f>
        <v>150</v>
      </c>
      <c r="AN34" s="1647" t="n">
        <f aca="false">IF(AND(WeekDef=8,CustomSuFlag,CustomSuPeriod=4),INDEX(VolumeHourlyOver,N6,3),IF(OR(WeekDef=1,WeekDef=3,WeekDef=5,WeekDef=6,AND(WeekDef=8,CustomSuFlag,OR(CustomSuPeriod=1,CustomSuPeriod=2))),IF(VolumeMonthlyOverFlag,INDEX(VolumeMonthlyOver,AE34),Volume),0))</f>
        <v>150</v>
      </c>
      <c r="AO34" s="1647" t="n">
        <f aca="false">IF(AND(WeekDef=8,CustomSuFlag,CustomSuPeriod=4),INDEX(VolumeHourlyOver,O6,3),IF(OR(WeekDef=1,WeekDef=3,WeekDef=5,WeekDef=6,AND(WeekDef=8,CustomSuFlag,OR(CustomSuPeriod=1,CustomSuPeriod=2))),IF(VolumeMonthlyOverFlag,INDEX(VolumeMonthlyOver,AE34),Volume),0))</f>
        <v>150</v>
      </c>
      <c r="AP34" s="1647" t="n">
        <f aca="false">IF(AND(WeekDef=8,CustomSuFlag,CustomSuPeriod=4),INDEX(VolumeHourlyOver,P6,3),IF(OR(WeekDef=1,WeekDef=3,WeekDef=5,WeekDef=6,AND(WeekDef=8,CustomSuFlag,OR(CustomSuPeriod=1,CustomSuPeriod=2))),IF(VolumeMonthlyOverFlag,INDEX(VolumeMonthlyOver,AE34),Volume),0))</f>
        <v>150</v>
      </c>
      <c r="AQ34" s="1647" t="n">
        <f aca="false">IF(AND(WeekDef=8,CustomSuFlag,CustomSuPeriod=4),INDEX(VolumeHourlyOver,Q6,3),IF(OR(WeekDef=1,WeekDef=3,WeekDef=5,WeekDef=6,AND(WeekDef=8,CustomSuFlag,OR(CustomSuPeriod=1,CustomSuPeriod=2))),IF(VolumeMonthlyOverFlag,INDEX(VolumeMonthlyOver,AE34),Volume),0))</f>
        <v>150</v>
      </c>
      <c r="AR34" s="1647" t="n">
        <f aca="false">IF(AND(WeekDef=8,CustomSuFlag,CustomSuPeriod=4),INDEX(VolumeHourlyOver,R6,3),IF(OR(WeekDef=1,WeekDef=3,WeekDef=5,WeekDef=6,AND(WeekDef=8,CustomSuFlag,OR(CustomSuPeriod=1,CustomSuPeriod=2))),IF(VolumeMonthlyOverFlag,INDEX(VolumeMonthlyOver,AE34),Volume),0))</f>
        <v>150</v>
      </c>
      <c r="AS34" s="1647" t="n">
        <f aca="false">IF(AND(WeekDef=8,CustomSuFlag,CustomSuPeriod=4),INDEX(VolumeHourlyOver,S6,3),IF(OR(WeekDef=1,WeekDef=3,WeekDef=5,WeekDef=6,AND(WeekDef=8,CustomSuFlag,OR(CustomSuPeriod=1,CustomSuPeriod=2))),IF(VolumeMonthlyOverFlag,INDEX(VolumeMonthlyOver,AE34),Volume),0))</f>
        <v>150</v>
      </c>
      <c r="AT34" s="1647" t="n">
        <f aca="false">IF(AND(WeekDef=8,CustomSuFlag,CustomSuPeriod=4),INDEX(VolumeHourlyOver,T6,3),IF(OR(WeekDef=1,WeekDef=3,WeekDef=5,WeekDef=6,AND(WeekDef=8,CustomSuFlag,OR(CustomSuPeriod=1,CustomSuPeriod=2))),IF(VolumeMonthlyOverFlag,INDEX(VolumeMonthlyOver,AE34),Volume),0))</f>
        <v>150</v>
      </c>
      <c r="AU34" s="1648" t="n">
        <f aca="false">IF(AND(WeekDef=8,CustomSuFlag,CustomSuPeriod=4),INDEX(VolumeHourlyOver,U6,3),IF(OR(WeekDef=1,WeekDef=3,WeekDef=5,WeekDef=6,AND(WeekDef=8,CustomSuFlag,OR(CustomSuPeriod=1,CustomSuPeriod=2))),IF(VolumeMonthlyOverFlag,INDEX(VolumeMonthlyOver,AE34),Volume),0))</f>
        <v>150</v>
      </c>
      <c r="AV34" s="1647" t="n">
        <f aca="false">IF(AND(WeekDef=8,CustomSuFlag,CustomSuPeriod=4),INDEX(VolumeHourlyOver,V6,3),IF(OR(WeekDef=1,WeekDef=3,WeekDef=5,WeekDef=7,AND(WeekDef=8,CustomSuFlag,OR(CustomSuPeriod=1,CustomSuPeriod=3))),IF(VolumeMonthlyOverFlag,INDEX(VolumeMonthlyOver,AE34),Volume),0))</f>
        <v>150</v>
      </c>
      <c r="AW34" s="1647" t="n">
        <f aca="false">IF(AND(WeekDef=8,CustomSuFlag,CustomSuPeriod=4),INDEX(VolumeHourlyOver,W6,3),IF(OR(WeekDef=1,WeekDef=3,WeekDef=5,WeekDef=7,AND(WeekDef=8,CustomSuFlag,OR(CustomSuPeriod=1,CustomSuPeriod=3))),IF(VolumeMonthlyOverFlag,INDEX(VolumeMonthlyOver,AE34),Volume),0))</f>
        <v>150</v>
      </c>
      <c r="AX34" s="1647" t="n">
        <f aca="false">IF(AND(WeekDef=8,CustomSuFlag,CustomSuPeriod=4),INDEX(VolumeHourlyOver,X6,3),IF(OR(WeekDef=1,WeekDef=3,WeekDef=5,WeekDef=7,AND(WeekDef=8,CustomSuFlag,OR(CustomSuPeriod=1,CustomSuPeriod=3))),IF(VolumeMonthlyOverFlag,INDEX(VolumeMonthlyOver,AE34),Volume),0))</f>
        <v>150</v>
      </c>
      <c r="AY34" s="1647" t="n">
        <f aca="false">IF(AND(WeekDef=8,CustomSuFlag,CustomSuPeriod=4),INDEX(VolumeHourlyOver,Y6,3),IF(OR(WeekDef=1,WeekDef=3,WeekDef=5,WeekDef=7,AND(WeekDef=8,CustomSuFlag,OR(CustomSuPeriod=1,CustomSuPeriod=3))),IF(VolumeMonthlyOverFlag,INDEX(VolumeMonthlyOver,AE34),Volume),0))</f>
        <v>150</v>
      </c>
      <c r="AZ34" s="1647" t="n">
        <f aca="false">IF(AND(WeekDef=8,CustomSuFlag,CustomSuPeriod=4),INDEX(VolumeHourlyOver,Z6,3),IF(OR(WeekDef=1,WeekDef=3,WeekDef=5,WeekDef=7,AND(WeekDef=8,CustomSuFlag,OR(CustomSuPeriod=1,CustomSuPeriod=3))),IF(VolumeMonthlyOverFlag,INDEX(VolumeMonthlyOver,AE34),Volume),0))</f>
        <v>150</v>
      </c>
      <c r="BA34" s="1647" t="n">
        <f aca="false">IF(AND(WeekDef=8,CustomSuFlag,CustomSuPeriod=4),INDEX(VolumeHourlyOver,AA6,3),IF(OR(WeekDef=1,WeekDef=3,WeekDef=5,WeekDef=7,AND(WeekDef=8,CustomSuFlag,OR(CustomSuPeriod=1,CustomSuPeriod=3))),IF(VolumeMonthlyOverFlag,INDEX(VolumeMonthlyOver,AE34),Volume),0))</f>
        <v>150</v>
      </c>
      <c r="BB34" s="1647" t="n">
        <f aca="false">IF(AND(WeekDef=8,CustomSuFlag,CustomSuPeriod=4),INDEX(VolumeHourlyOver,AB6,3),IF(OR(WeekDef=1,WeekDef=3,WeekDef=5,WeekDef=7,AND(WeekDef=8,CustomSuFlag,OR(CustomSuPeriod=1,CustomSuPeriod=3))),IF(VolumeMonthlyOverFlag,INDEX(VolumeMonthlyOver,AE34),Volume),0))</f>
        <v>150</v>
      </c>
      <c r="BC34" s="1648" t="n">
        <f aca="false">IF(AND(WeekDef=8,CustomSuFlag,CustomSuPeriod=4),INDEX(VolumeHourlyOver,AC6,3),IF(OR(WeekDef=1,WeekDef=3,WeekDef=5,WeekDef=7,AND(WeekDef=8,CustomSuFlag,OR(CustomSuPeriod=1,CustomSuPeriod=3))),IF(VolumeMonthlyOverFlag,INDEX(VolumeMonthlyOver,AE34),Volume),0))</f>
        <v>150</v>
      </c>
      <c r="BD34" s="1652" t="n">
        <f aca="false">SUM(AF34:AU34)</f>
        <v>2400</v>
      </c>
      <c r="BE34" s="1653" t="n">
        <f aca="false">SUM(AV34:BC34)</f>
        <v>1200</v>
      </c>
      <c r="BF34" s="1654" t="n">
        <f aca="false">BD34+BE34</f>
        <v>3600</v>
      </c>
      <c r="BG34" s="1674" t="n">
        <f aca="false">IF(BD34,SUMPRODUCT(AF34:AU34,F22:U22)/BD34,0)</f>
        <v>1</v>
      </c>
      <c r="BH34" s="1655" t="n">
        <f aca="false">IF(BE34,SUMPRODUCT(AV34:BC34,V22:AC22)/BE34,0)</f>
        <v>0.999999992549419</v>
      </c>
      <c r="BJ34" s="1636" t="n">
        <v>2</v>
      </c>
      <c r="BK34" s="1646" t="n">
        <f aca="false">IF(AND(WeekDef=8,CustomSuFlag,CustomSuPeriod=4),INDEX(IF(DiffOptVolumeFlag,DiffOptVolumeHourlyOver,VolumeHourlyOver),F6,3),IF(OR(WeekDef=1,WeekDef=3,WeekDef=5,WeekDef=6,AND(WeekDef=8,CustomSuFlag,OR(CustomSuPeriod=1,CustomSuPeriod=2))),IF(VolumeMonthlyOverFlag,INDEX(IF(DiffOptVolumeFlag,DiffOptVolumeMonthlyOver,VolumeMonthlyOver),BJ34),IF(DiffOptVolumeFlag,DiffOptVolume,Volume)),0))</f>
        <v>600</v>
      </c>
      <c r="BL34" s="1647" t="n">
        <f aca="false">IF(AND(WeekDef=8,CustomSuFlag,CustomSuPeriod=4),INDEX(IF(DiffOptVolumeFlag,DiffOptVolumeHourlyOver,VolumeHourlyOver),G6,3),IF(OR(WeekDef=1,WeekDef=3,WeekDef=5,WeekDef=6,AND(WeekDef=8,CustomSuFlag,OR(CustomSuPeriod=1,CustomSuPeriod=2))),IF(VolumeMonthlyOverFlag,INDEX(IF(DiffOptVolumeFlag,DiffOptVolumeMonthlyOver,VolumeMonthlyOver),BJ34),IF(DiffOptVolumeFlag,DiffOptVolume,Volume)),0))</f>
        <v>600</v>
      </c>
      <c r="BM34" s="1647" t="n">
        <f aca="false">IF(AND(WeekDef=8,CustomSuFlag,CustomSuPeriod=4),INDEX(IF(DiffOptVolumeFlag,DiffOptVolumeHourlyOver,VolumeHourlyOver),H6,3),IF(OR(WeekDef=1,WeekDef=3,WeekDef=5,WeekDef=6,AND(WeekDef=8,CustomSuFlag,OR(CustomSuPeriod=1,CustomSuPeriod=2))),IF(VolumeMonthlyOverFlag,INDEX(IF(DiffOptVolumeFlag,DiffOptVolumeMonthlyOver,VolumeMonthlyOver),BJ34),IF(DiffOptVolumeFlag,DiffOptVolume,Volume)),0))</f>
        <v>600</v>
      </c>
      <c r="BN34" s="1647" t="n">
        <f aca="false">IF(AND(WeekDef=8,CustomSuFlag,CustomSuPeriod=4),INDEX(IF(DiffOptVolumeFlag,DiffOptVolumeHourlyOver,VolumeHourlyOver),I6,3),IF(OR(WeekDef=1,WeekDef=3,WeekDef=5,WeekDef=6,AND(WeekDef=8,CustomSuFlag,OR(CustomSuPeriod=1,CustomSuPeriod=2))),IF(VolumeMonthlyOverFlag,INDEX(IF(DiffOptVolumeFlag,DiffOptVolumeMonthlyOver,VolumeMonthlyOver),BJ34),IF(DiffOptVolumeFlag,DiffOptVolume,Volume)),0))</f>
        <v>600</v>
      </c>
      <c r="BO34" s="1647" t="n">
        <f aca="false">IF(AND(WeekDef=8,CustomSuFlag,CustomSuPeriod=4),INDEX(IF(DiffOptVolumeFlag,DiffOptVolumeHourlyOver,VolumeHourlyOver),J6,3),IF(OR(WeekDef=1,WeekDef=3,WeekDef=5,WeekDef=6,AND(WeekDef=8,CustomSuFlag,OR(CustomSuPeriod=1,CustomSuPeriod=2))),IF(VolumeMonthlyOverFlag,INDEX(IF(DiffOptVolumeFlag,DiffOptVolumeMonthlyOver,VolumeMonthlyOver),BJ34),IF(DiffOptVolumeFlag,DiffOptVolume,Volume)),0))</f>
        <v>600</v>
      </c>
      <c r="BP34" s="1647" t="n">
        <f aca="false">IF(AND(WeekDef=8,CustomSuFlag,CustomSuPeriod=4),INDEX(IF(DiffOptVolumeFlag,DiffOptVolumeHourlyOver,VolumeHourlyOver),K6,3),IF(OR(WeekDef=1,WeekDef=3,WeekDef=5,WeekDef=6,AND(WeekDef=8,CustomSuFlag,OR(CustomSuPeriod=1,CustomSuPeriod=2))),IF(VolumeMonthlyOverFlag,INDEX(IF(DiffOptVolumeFlag,DiffOptVolumeMonthlyOver,VolumeMonthlyOver),BJ34),IF(DiffOptVolumeFlag,DiffOptVolume,Volume)),0))</f>
        <v>600</v>
      </c>
      <c r="BQ34" s="1647" t="n">
        <f aca="false">IF(AND(WeekDef=8,CustomSuFlag,CustomSuPeriod=4),INDEX(IF(DiffOptVolumeFlag,DiffOptVolumeHourlyOver,VolumeHourlyOver),L6,3),IF(OR(WeekDef=1,WeekDef=3,WeekDef=5,WeekDef=6,AND(WeekDef=8,CustomSuFlag,OR(CustomSuPeriod=1,CustomSuPeriod=2))),IF(VolumeMonthlyOverFlag,INDEX(IF(DiffOptVolumeFlag,DiffOptVolumeMonthlyOver,VolumeMonthlyOver),BJ34),IF(DiffOptVolumeFlag,DiffOptVolume,Volume)),0))</f>
        <v>600</v>
      </c>
      <c r="BR34" s="1647" t="n">
        <f aca="false">IF(AND(WeekDef=8,CustomSuFlag,CustomSuPeriod=4),INDEX(IF(DiffOptVolumeFlag,DiffOptVolumeHourlyOver,VolumeHourlyOver),M6,3),IF(OR(WeekDef=1,WeekDef=3,WeekDef=5,WeekDef=6,AND(WeekDef=8,CustomSuFlag,OR(CustomSuPeriod=1,CustomSuPeriod=2))),IF(VolumeMonthlyOverFlag,INDEX(IF(DiffOptVolumeFlag,DiffOptVolumeMonthlyOver,VolumeMonthlyOver),BJ34),IF(DiffOptVolumeFlag,DiffOptVolume,Volume)),0))</f>
        <v>600</v>
      </c>
      <c r="BS34" s="1647" t="n">
        <f aca="false">IF(AND(WeekDef=8,CustomSuFlag,CustomSuPeriod=4),INDEX(IF(DiffOptVolumeFlag,DiffOptVolumeHourlyOver,VolumeHourlyOver),N6,3),IF(OR(WeekDef=1,WeekDef=3,WeekDef=5,WeekDef=6,AND(WeekDef=8,CustomSuFlag,OR(CustomSuPeriod=1,CustomSuPeriod=2))),IF(VolumeMonthlyOverFlag,INDEX(IF(DiffOptVolumeFlag,DiffOptVolumeMonthlyOver,VolumeMonthlyOver),BJ34),IF(DiffOptVolumeFlag,DiffOptVolume,Volume)),0))</f>
        <v>600</v>
      </c>
      <c r="BT34" s="1647" t="n">
        <f aca="false">IF(AND(WeekDef=8,CustomSuFlag,CustomSuPeriod=4),INDEX(IF(DiffOptVolumeFlag,DiffOptVolumeHourlyOver,VolumeHourlyOver),O6,3),IF(OR(WeekDef=1,WeekDef=3,WeekDef=5,WeekDef=6,AND(WeekDef=8,CustomSuFlag,OR(CustomSuPeriod=1,CustomSuPeriod=2))),IF(VolumeMonthlyOverFlag,INDEX(IF(DiffOptVolumeFlag,DiffOptVolumeMonthlyOver,VolumeMonthlyOver),BJ34),IF(DiffOptVolumeFlag,DiffOptVolume,Volume)),0))</f>
        <v>600</v>
      </c>
      <c r="BU34" s="1647" t="n">
        <f aca="false">IF(AND(WeekDef=8,CustomSuFlag,CustomSuPeriod=4),INDEX(IF(DiffOptVolumeFlag,DiffOptVolumeHourlyOver,VolumeHourlyOver),P6,3),IF(OR(WeekDef=1,WeekDef=3,WeekDef=5,WeekDef=6,AND(WeekDef=8,CustomSuFlag,OR(CustomSuPeriod=1,CustomSuPeriod=2))),IF(VolumeMonthlyOverFlag,INDEX(IF(DiffOptVolumeFlag,DiffOptVolumeMonthlyOver,VolumeMonthlyOver),BJ34),IF(DiffOptVolumeFlag,DiffOptVolume,Volume)),0))</f>
        <v>600</v>
      </c>
      <c r="BV34" s="1647" t="n">
        <f aca="false">IF(AND(WeekDef=8,CustomSuFlag,CustomSuPeriod=4),INDEX(IF(DiffOptVolumeFlag,DiffOptVolumeHourlyOver,VolumeHourlyOver),Q6,3),IF(OR(WeekDef=1,WeekDef=3,WeekDef=5,WeekDef=6,AND(WeekDef=8,CustomSuFlag,OR(CustomSuPeriod=1,CustomSuPeriod=2))),IF(VolumeMonthlyOverFlag,INDEX(IF(DiffOptVolumeFlag,DiffOptVolumeMonthlyOver,VolumeMonthlyOver),BJ34),IF(DiffOptVolumeFlag,DiffOptVolume,Volume)),0))</f>
        <v>600</v>
      </c>
      <c r="BW34" s="1647" t="n">
        <f aca="false">IF(AND(WeekDef=8,CustomSuFlag,CustomSuPeriod=4),INDEX(IF(DiffOptVolumeFlag,DiffOptVolumeHourlyOver,VolumeHourlyOver),R6,3),IF(OR(WeekDef=1,WeekDef=3,WeekDef=5,WeekDef=6,AND(WeekDef=8,CustomSuFlag,OR(CustomSuPeriod=1,CustomSuPeriod=2))),IF(VolumeMonthlyOverFlag,INDEX(IF(DiffOptVolumeFlag,DiffOptVolumeMonthlyOver,VolumeMonthlyOver),BJ34),IF(DiffOptVolumeFlag,DiffOptVolume,Volume)),0))</f>
        <v>600</v>
      </c>
      <c r="BX34" s="1647" t="n">
        <f aca="false">IF(AND(WeekDef=8,CustomSuFlag,CustomSuPeriod=4),INDEX(IF(DiffOptVolumeFlag,DiffOptVolumeHourlyOver,VolumeHourlyOver),S6,3),IF(OR(WeekDef=1,WeekDef=3,WeekDef=5,WeekDef=6,AND(WeekDef=8,CustomSuFlag,OR(CustomSuPeriod=1,CustomSuPeriod=2))),IF(VolumeMonthlyOverFlag,INDEX(IF(DiffOptVolumeFlag,DiffOptVolumeMonthlyOver,VolumeMonthlyOver),BJ34),IF(DiffOptVolumeFlag,DiffOptVolume,Volume)),0))</f>
        <v>600</v>
      </c>
      <c r="BY34" s="1647" t="n">
        <f aca="false">IF(AND(WeekDef=8,CustomSuFlag,CustomSuPeriod=4),INDEX(IF(DiffOptVolumeFlag,DiffOptVolumeHourlyOver,VolumeHourlyOver),T6,3),IF(OR(WeekDef=1,WeekDef=3,WeekDef=5,WeekDef=6,AND(WeekDef=8,CustomSuFlag,OR(CustomSuPeriod=1,CustomSuPeriod=2))),IF(VolumeMonthlyOverFlag,INDEX(IF(DiffOptVolumeFlag,DiffOptVolumeMonthlyOver,VolumeMonthlyOver),BJ34),IF(DiffOptVolumeFlag,DiffOptVolume,Volume)),0))</f>
        <v>600</v>
      </c>
      <c r="BZ34" s="1648" t="n">
        <f aca="false">IF(AND(WeekDef=8,CustomSuFlag,CustomSuPeriod=4),INDEX(IF(DiffOptVolumeFlag,DiffOptVolumeHourlyOver,VolumeHourlyOver),U6,3),IF(OR(WeekDef=1,WeekDef=3,WeekDef=5,WeekDef=6,AND(WeekDef=8,CustomSuFlag,OR(CustomSuPeriod=1,CustomSuPeriod=2))),IF(VolumeMonthlyOverFlag,INDEX(IF(DiffOptVolumeFlag,DiffOptVolumeMonthlyOver,VolumeMonthlyOver),BJ34),IF(DiffOptVolumeFlag,DiffOptVolume,Volume)),0))</f>
        <v>600</v>
      </c>
      <c r="CA34" s="1647" t="n">
        <f aca="false">IF(AND(WeekDef=8,CustomSuFlag,CustomSuPeriod=4),INDEX(IF(DiffOptVolumeFlag,DiffOptVolumeHourlyOver,VolumeHourlyOver),V6,3),IF(OR(WeekDef=1,WeekDef=3,WeekDef=5,WeekDef=7,AND(WeekDef=8,CustomSuFlag,OR(CustomSuPeriod=1,CustomSuPeriod=3))),IF(VolumeMonthlyOverFlag,INDEX(IF(DiffOptVolumeFlag,DiffOptVolumeMonthlyOver,VolumeMonthlyOver),BJ34),IF(DiffOptVolumeFlag,DiffOptVolume,Volume)),0))</f>
        <v>600</v>
      </c>
      <c r="CB34" s="1647" t="n">
        <f aca="false">IF(AND(WeekDef=8,CustomSuFlag,CustomSuPeriod=4),INDEX(IF(DiffOptVolumeFlag,DiffOptVolumeHourlyOver,VolumeHourlyOver),W6,3),IF(OR(WeekDef=1,WeekDef=3,WeekDef=5,WeekDef=7,AND(WeekDef=8,CustomSuFlag,OR(CustomSuPeriod=1,CustomSuPeriod=3))),IF(VolumeMonthlyOverFlag,INDEX(IF(DiffOptVolumeFlag,DiffOptVolumeMonthlyOver,VolumeMonthlyOver),BJ34),IF(DiffOptVolumeFlag,DiffOptVolume,Volume)),0))</f>
        <v>600</v>
      </c>
      <c r="CC34" s="1647" t="n">
        <f aca="false">IF(AND(WeekDef=8,CustomSuFlag,CustomSuPeriod=4),INDEX(IF(DiffOptVolumeFlag,DiffOptVolumeHourlyOver,VolumeHourlyOver),X6,3),IF(OR(WeekDef=1,WeekDef=3,WeekDef=5,WeekDef=7,AND(WeekDef=8,CustomSuFlag,OR(CustomSuPeriod=1,CustomSuPeriod=3))),IF(VolumeMonthlyOverFlag,INDEX(IF(DiffOptVolumeFlag,DiffOptVolumeMonthlyOver,VolumeMonthlyOver),BJ34),IF(DiffOptVolumeFlag,DiffOptVolume,Volume)),0))</f>
        <v>600</v>
      </c>
      <c r="CD34" s="1647" t="n">
        <f aca="false">IF(AND(WeekDef=8,CustomSuFlag,CustomSuPeriod=4),INDEX(IF(DiffOptVolumeFlag,DiffOptVolumeHourlyOver,VolumeHourlyOver),Y6,3),IF(OR(WeekDef=1,WeekDef=3,WeekDef=5,WeekDef=7,AND(WeekDef=8,CustomSuFlag,OR(CustomSuPeriod=1,CustomSuPeriod=3))),IF(VolumeMonthlyOverFlag,INDEX(IF(DiffOptVolumeFlag,DiffOptVolumeMonthlyOver,VolumeMonthlyOver),BJ34),IF(DiffOptVolumeFlag,DiffOptVolume,Volume)),0))</f>
        <v>600</v>
      </c>
      <c r="CE34" s="1647" t="n">
        <f aca="false">IF(AND(WeekDef=8,CustomSuFlag,CustomSuPeriod=4),INDEX(IF(DiffOptVolumeFlag,DiffOptVolumeHourlyOver,VolumeHourlyOver),Z6,3),IF(OR(WeekDef=1,WeekDef=3,WeekDef=5,WeekDef=7,AND(WeekDef=8,CustomSuFlag,OR(CustomSuPeriod=1,CustomSuPeriod=3))),IF(VolumeMonthlyOverFlag,INDEX(IF(DiffOptVolumeFlag,DiffOptVolumeMonthlyOver,VolumeMonthlyOver),BJ34),IF(DiffOptVolumeFlag,DiffOptVolume,Volume)),0))</f>
        <v>600</v>
      </c>
      <c r="CF34" s="1647" t="n">
        <f aca="false">IF(AND(WeekDef=8,CustomSuFlag,CustomSuPeriod=4),INDEX(IF(DiffOptVolumeFlag,DiffOptVolumeHourlyOver,VolumeHourlyOver),AA6,3),IF(OR(WeekDef=1,WeekDef=3,WeekDef=5,WeekDef=7,AND(WeekDef=8,CustomSuFlag,OR(CustomSuPeriod=1,CustomSuPeriod=3))),IF(VolumeMonthlyOverFlag,INDEX(IF(DiffOptVolumeFlag,DiffOptVolumeMonthlyOver,VolumeMonthlyOver),BJ34),IF(DiffOptVolumeFlag,DiffOptVolume,Volume)),0))</f>
        <v>600</v>
      </c>
      <c r="CG34" s="1647" t="n">
        <f aca="false">IF(AND(WeekDef=8,CustomSuFlag,CustomSuPeriod=4),INDEX(IF(DiffOptVolumeFlag,DiffOptVolumeHourlyOver,VolumeHourlyOver),AB6,3),IF(OR(WeekDef=1,WeekDef=3,WeekDef=5,WeekDef=7,AND(WeekDef=8,CustomSuFlag,OR(CustomSuPeriod=1,CustomSuPeriod=3))),IF(VolumeMonthlyOverFlag,INDEX(IF(DiffOptVolumeFlag,DiffOptVolumeMonthlyOver,VolumeMonthlyOver),BJ34),IF(DiffOptVolumeFlag,DiffOptVolume,Volume)),0))</f>
        <v>600</v>
      </c>
      <c r="CH34" s="1648" t="n">
        <f aca="false">IF(AND(WeekDef=8,CustomSuFlag,CustomSuPeriod=4),INDEX(IF(DiffOptVolumeFlag,DiffOptVolumeHourlyOver,VolumeHourlyOver),AC6,3),IF(OR(WeekDef=1,WeekDef=3,WeekDef=5,WeekDef=7,AND(WeekDef=8,CustomSuFlag,OR(CustomSuPeriod=1,CustomSuPeriod=3))),IF(VolumeMonthlyOverFlag,INDEX(IF(DiffOptVolumeFlag,DiffOptVolumeMonthlyOver,VolumeMonthlyOver),BJ34),IF(DiffOptVolumeFlag,DiffOptVolume,Volume)),0))</f>
        <v>600</v>
      </c>
      <c r="CI34" s="1652" t="n">
        <f aca="false">SUM(BK34:BZ34)</f>
        <v>9600</v>
      </c>
      <c r="CJ34" s="1653" t="n">
        <f aca="false">SUM(CA34:CH34)</f>
        <v>4800</v>
      </c>
      <c r="CK34" s="1654" t="n">
        <f aca="false">CI34+CJ34</f>
        <v>14400</v>
      </c>
      <c r="CL34" s="1674" t="n">
        <f aca="false">IF(CI34,SUMPRODUCT(BK34:BZ34,F22:U22)/CI34,0)</f>
        <v>1</v>
      </c>
      <c r="CM34" s="1655" t="n">
        <f aca="false">IF(CJ34,SUMPRODUCT(CA34:CH34,V22:AC22)/CJ34,0)</f>
        <v>0.999999992549419</v>
      </c>
    </row>
    <row r="35" customFormat="false" ht="13.5" hidden="false" customHeight="false" outlineLevel="0" collapsed="false">
      <c r="A35" s="1624"/>
      <c r="B35" s="1684" t="s">
        <v>1269</v>
      </c>
      <c r="C35" s="1685" t="s">
        <v>1270</v>
      </c>
      <c r="D35" s="1685"/>
      <c r="E35" s="1624"/>
      <c r="F35" s="1623" t="s">
        <v>149</v>
      </c>
      <c r="G35" s="1623"/>
      <c r="H35" s="1623"/>
      <c r="I35" s="1623"/>
      <c r="J35" s="1623"/>
      <c r="K35" s="1623"/>
      <c r="L35" s="1623"/>
      <c r="M35" s="1623"/>
      <c r="N35" s="1623"/>
      <c r="O35" s="1623"/>
      <c r="P35" s="1623"/>
      <c r="Q35" s="1623"/>
      <c r="R35" s="1623"/>
      <c r="S35" s="1623"/>
      <c r="T35" s="1623"/>
      <c r="U35" s="1623"/>
      <c r="V35" s="1623" t="s">
        <v>132</v>
      </c>
      <c r="W35" s="1623"/>
      <c r="X35" s="1623"/>
      <c r="Y35" s="1623"/>
      <c r="Z35" s="1623"/>
      <c r="AA35" s="1623"/>
      <c r="AB35" s="1623"/>
      <c r="AC35" s="1623"/>
      <c r="AD35" s="1658"/>
      <c r="AE35" s="1636" t="n">
        <v>3</v>
      </c>
      <c r="AF35" s="1646" t="n">
        <f aca="false">IF(AND(WeekDef=8,CustomSuFlag,CustomSuPeriod=4),INDEX(VolumeHourlyOver,F7,3),IF(OR(WeekDef=1,WeekDef=3,WeekDef=5,WeekDef=6,AND(WeekDef=8,CustomSuFlag,OR(CustomSuPeriod=1,CustomSuPeriod=2))),IF(VolumeMonthlyOverFlag,INDEX(VolumeMonthlyOver,AE35),Volume),0))</f>
        <v>150</v>
      </c>
      <c r="AG35" s="1647" t="n">
        <f aca="false">IF(AND(WeekDef=8,CustomSuFlag,CustomSuPeriod=4),INDEX(VolumeHourlyOver,G7,3),IF(OR(WeekDef=1,WeekDef=3,WeekDef=5,WeekDef=6,AND(WeekDef=8,CustomSuFlag,OR(CustomSuPeriod=1,CustomSuPeriod=2))),IF(VolumeMonthlyOverFlag,INDEX(VolumeMonthlyOver,AE35),Volume),0))</f>
        <v>150</v>
      </c>
      <c r="AH35" s="1647" t="n">
        <f aca="false">IF(AND(WeekDef=8,CustomSuFlag,CustomSuPeriod=4),INDEX(VolumeHourlyOver,H7,3),IF(OR(WeekDef=1,WeekDef=3,WeekDef=5,WeekDef=6,AND(WeekDef=8,CustomSuFlag,OR(CustomSuPeriod=1,CustomSuPeriod=2))),IF(VolumeMonthlyOverFlag,INDEX(VolumeMonthlyOver,AE35),Volume),0))</f>
        <v>150</v>
      </c>
      <c r="AI35" s="1647" t="n">
        <f aca="false">IF(AND(WeekDef=8,CustomSuFlag,CustomSuPeriod=4),INDEX(VolumeHourlyOver,I7,3),IF(OR(WeekDef=1,WeekDef=3,WeekDef=5,WeekDef=6,AND(WeekDef=8,CustomSuFlag,OR(CustomSuPeriod=1,CustomSuPeriod=2))),IF(VolumeMonthlyOverFlag,INDEX(VolumeMonthlyOver,AE35),Volume),0))</f>
        <v>150</v>
      </c>
      <c r="AJ35" s="1647" t="n">
        <f aca="false">IF(AND(WeekDef=8,CustomSuFlag,CustomSuPeriod=4),INDEX(VolumeHourlyOver,J7,3),IF(OR(WeekDef=1,WeekDef=3,WeekDef=5,WeekDef=6,AND(WeekDef=8,CustomSuFlag,OR(CustomSuPeriod=1,CustomSuPeriod=2))),IF(VolumeMonthlyOverFlag,INDEX(VolumeMonthlyOver,AE35),Volume),0))</f>
        <v>150</v>
      </c>
      <c r="AK35" s="1647" t="n">
        <f aca="false">IF(AND(WeekDef=8,CustomSuFlag,CustomSuPeriod=4),INDEX(VolumeHourlyOver,K7,3),IF(OR(WeekDef=1,WeekDef=3,WeekDef=5,WeekDef=6,AND(WeekDef=8,CustomSuFlag,OR(CustomSuPeriod=1,CustomSuPeriod=2))),IF(VolumeMonthlyOverFlag,INDEX(VolumeMonthlyOver,AE35),Volume),0))</f>
        <v>150</v>
      </c>
      <c r="AL35" s="1647" t="n">
        <f aca="false">IF(AND(WeekDef=8,CustomSuFlag,CustomSuPeriod=4),INDEX(VolumeHourlyOver,L7,3),IF(OR(WeekDef=1,WeekDef=3,WeekDef=5,WeekDef=6,AND(WeekDef=8,CustomSuFlag,OR(CustomSuPeriod=1,CustomSuPeriod=2))),IF(VolumeMonthlyOverFlag,INDEX(VolumeMonthlyOver,AE35),Volume),0))</f>
        <v>150</v>
      </c>
      <c r="AM35" s="1647" t="n">
        <f aca="false">IF(AND(WeekDef=8,CustomSuFlag,CustomSuPeriod=4),INDEX(VolumeHourlyOver,M7,3),IF(OR(WeekDef=1,WeekDef=3,WeekDef=5,WeekDef=6,AND(WeekDef=8,CustomSuFlag,OR(CustomSuPeriod=1,CustomSuPeriod=2))),IF(VolumeMonthlyOverFlag,INDEX(VolumeMonthlyOver,AE35),Volume),0))</f>
        <v>150</v>
      </c>
      <c r="AN35" s="1647" t="n">
        <f aca="false">IF(AND(WeekDef=8,CustomSuFlag,CustomSuPeriod=4),INDEX(VolumeHourlyOver,N7,3),IF(OR(WeekDef=1,WeekDef=3,WeekDef=5,WeekDef=6,AND(WeekDef=8,CustomSuFlag,OR(CustomSuPeriod=1,CustomSuPeriod=2))),IF(VolumeMonthlyOverFlag,INDEX(VolumeMonthlyOver,AE35),Volume),0))</f>
        <v>150</v>
      </c>
      <c r="AO35" s="1647" t="n">
        <f aca="false">IF(AND(WeekDef=8,CustomSuFlag,CustomSuPeriod=4),INDEX(VolumeHourlyOver,O7,3),IF(OR(WeekDef=1,WeekDef=3,WeekDef=5,WeekDef=6,AND(WeekDef=8,CustomSuFlag,OR(CustomSuPeriod=1,CustomSuPeriod=2))),IF(VolumeMonthlyOverFlag,INDEX(VolumeMonthlyOver,AE35),Volume),0))</f>
        <v>150</v>
      </c>
      <c r="AP35" s="1647" t="n">
        <f aca="false">IF(AND(WeekDef=8,CustomSuFlag,CustomSuPeriod=4),INDEX(VolumeHourlyOver,P7,3),IF(OR(WeekDef=1,WeekDef=3,WeekDef=5,WeekDef=6,AND(WeekDef=8,CustomSuFlag,OR(CustomSuPeriod=1,CustomSuPeriod=2))),IF(VolumeMonthlyOverFlag,INDEX(VolumeMonthlyOver,AE35),Volume),0))</f>
        <v>150</v>
      </c>
      <c r="AQ35" s="1647" t="n">
        <f aca="false">IF(AND(WeekDef=8,CustomSuFlag,CustomSuPeriod=4),INDEX(VolumeHourlyOver,Q7,3),IF(OR(WeekDef=1,WeekDef=3,WeekDef=5,WeekDef=6,AND(WeekDef=8,CustomSuFlag,OR(CustomSuPeriod=1,CustomSuPeriod=2))),IF(VolumeMonthlyOverFlag,INDEX(VolumeMonthlyOver,AE35),Volume),0))</f>
        <v>150</v>
      </c>
      <c r="AR35" s="1647" t="n">
        <f aca="false">IF(AND(WeekDef=8,CustomSuFlag,CustomSuPeriod=4),INDEX(VolumeHourlyOver,R7,3),IF(OR(WeekDef=1,WeekDef=3,WeekDef=5,WeekDef=6,AND(WeekDef=8,CustomSuFlag,OR(CustomSuPeriod=1,CustomSuPeriod=2))),IF(VolumeMonthlyOverFlag,INDEX(VolumeMonthlyOver,AE35),Volume),0))</f>
        <v>150</v>
      </c>
      <c r="AS35" s="1647" t="n">
        <f aca="false">IF(AND(WeekDef=8,CustomSuFlag,CustomSuPeriod=4),INDEX(VolumeHourlyOver,S7,3),IF(OR(WeekDef=1,WeekDef=3,WeekDef=5,WeekDef=6,AND(WeekDef=8,CustomSuFlag,OR(CustomSuPeriod=1,CustomSuPeriod=2))),IF(VolumeMonthlyOverFlag,INDEX(VolumeMonthlyOver,AE35),Volume),0))</f>
        <v>150</v>
      </c>
      <c r="AT35" s="1647" t="n">
        <f aca="false">IF(AND(WeekDef=8,CustomSuFlag,CustomSuPeriod=4),INDEX(VolumeHourlyOver,T7,3),IF(OR(WeekDef=1,WeekDef=3,WeekDef=5,WeekDef=6,AND(WeekDef=8,CustomSuFlag,OR(CustomSuPeriod=1,CustomSuPeriod=2))),IF(VolumeMonthlyOverFlag,INDEX(VolumeMonthlyOver,AE35),Volume),0))</f>
        <v>150</v>
      </c>
      <c r="AU35" s="1648" t="n">
        <f aca="false">IF(AND(WeekDef=8,CustomSuFlag,CustomSuPeriod=4),INDEX(VolumeHourlyOver,U7,3),IF(OR(WeekDef=1,WeekDef=3,WeekDef=5,WeekDef=6,AND(WeekDef=8,CustomSuFlag,OR(CustomSuPeriod=1,CustomSuPeriod=2))),IF(VolumeMonthlyOverFlag,INDEX(VolumeMonthlyOver,AE35),Volume),0))</f>
        <v>150</v>
      </c>
      <c r="AV35" s="1647" t="n">
        <f aca="false">IF(AND(WeekDef=8,CustomSuFlag,CustomSuPeriod=4),INDEX(VolumeHourlyOver,V7,3),IF(OR(WeekDef=1,WeekDef=3,WeekDef=5,WeekDef=7,AND(WeekDef=8,CustomSuFlag,OR(CustomSuPeriod=1,CustomSuPeriod=3))),IF(VolumeMonthlyOverFlag,INDEX(VolumeMonthlyOver,AE35),Volume),0))</f>
        <v>150</v>
      </c>
      <c r="AW35" s="1647" t="n">
        <f aca="false">IF(AND(WeekDef=8,CustomSuFlag,CustomSuPeriod=4),INDEX(VolumeHourlyOver,W7,3),IF(OR(WeekDef=1,WeekDef=3,WeekDef=5,WeekDef=7,AND(WeekDef=8,CustomSuFlag,OR(CustomSuPeriod=1,CustomSuPeriod=3))),IF(VolumeMonthlyOverFlag,INDEX(VolumeMonthlyOver,AE35),Volume),0))</f>
        <v>150</v>
      </c>
      <c r="AX35" s="1647" t="n">
        <f aca="false">IF(AND(WeekDef=8,CustomSuFlag,CustomSuPeriod=4),INDEX(VolumeHourlyOver,X7,3),IF(OR(WeekDef=1,WeekDef=3,WeekDef=5,WeekDef=7,AND(WeekDef=8,CustomSuFlag,OR(CustomSuPeriod=1,CustomSuPeriod=3))),IF(VolumeMonthlyOverFlag,INDEX(VolumeMonthlyOver,AE35),Volume),0))</f>
        <v>150</v>
      </c>
      <c r="AY35" s="1647" t="n">
        <f aca="false">IF(AND(WeekDef=8,CustomSuFlag,CustomSuPeriod=4),INDEX(VolumeHourlyOver,Y7,3),IF(OR(WeekDef=1,WeekDef=3,WeekDef=5,WeekDef=7,AND(WeekDef=8,CustomSuFlag,OR(CustomSuPeriod=1,CustomSuPeriod=3))),IF(VolumeMonthlyOverFlag,INDEX(VolumeMonthlyOver,AE35),Volume),0))</f>
        <v>150</v>
      </c>
      <c r="AZ35" s="1647" t="n">
        <f aca="false">IF(AND(WeekDef=8,CustomSuFlag,CustomSuPeriod=4),INDEX(VolumeHourlyOver,Z7,3),IF(OR(WeekDef=1,WeekDef=3,WeekDef=5,WeekDef=7,AND(WeekDef=8,CustomSuFlag,OR(CustomSuPeriod=1,CustomSuPeriod=3))),IF(VolumeMonthlyOverFlag,INDEX(VolumeMonthlyOver,AE35),Volume),0))</f>
        <v>150</v>
      </c>
      <c r="BA35" s="1647" t="n">
        <f aca="false">IF(AND(WeekDef=8,CustomSuFlag,CustomSuPeriod=4),INDEX(VolumeHourlyOver,AA7,3),IF(OR(WeekDef=1,WeekDef=3,WeekDef=5,WeekDef=7,AND(WeekDef=8,CustomSuFlag,OR(CustomSuPeriod=1,CustomSuPeriod=3))),IF(VolumeMonthlyOverFlag,INDEX(VolumeMonthlyOver,AE35),Volume),0))</f>
        <v>150</v>
      </c>
      <c r="BB35" s="1647" t="n">
        <f aca="false">IF(AND(WeekDef=8,CustomSuFlag,CustomSuPeriod=4),INDEX(VolumeHourlyOver,AB7,3),IF(OR(WeekDef=1,WeekDef=3,WeekDef=5,WeekDef=7,AND(WeekDef=8,CustomSuFlag,OR(CustomSuPeriod=1,CustomSuPeriod=3))),IF(VolumeMonthlyOverFlag,INDEX(VolumeMonthlyOver,AE35),Volume),0))</f>
        <v>150</v>
      </c>
      <c r="BC35" s="1648" t="n">
        <f aca="false">IF(AND(WeekDef=8,CustomSuFlag,CustomSuPeriod=4),INDEX(VolumeHourlyOver,AC7,3),IF(OR(WeekDef=1,WeekDef=3,WeekDef=5,WeekDef=7,AND(WeekDef=8,CustomSuFlag,OR(CustomSuPeriod=1,CustomSuPeriod=3))),IF(VolumeMonthlyOverFlag,INDEX(VolumeMonthlyOver,AE35),Volume),0))</f>
        <v>150</v>
      </c>
      <c r="BD35" s="1652" t="n">
        <f aca="false">SUM(AF35:AU35)</f>
        <v>2400</v>
      </c>
      <c r="BE35" s="1653" t="n">
        <f aca="false">SUM(AV35:BC35)</f>
        <v>1200</v>
      </c>
      <c r="BF35" s="1654" t="n">
        <f aca="false">BD35+BE35</f>
        <v>3600</v>
      </c>
      <c r="BG35" s="1674" t="n">
        <f aca="false">IF(BD35,SUMPRODUCT(AF35:AU35,F23:U23)/BD35,0)</f>
        <v>0.99999999627471</v>
      </c>
      <c r="BH35" s="1655" t="n">
        <f aca="false">IF(BE35,SUMPRODUCT(AV35:BC35,V23:AC23)/BE35,0)</f>
        <v>1.00000000745058</v>
      </c>
      <c r="BJ35" s="1636" t="n">
        <v>3</v>
      </c>
      <c r="BK35" s="1646" t="n">
        <f aca="false">IF(AND(WeekDef=8,CustomSuFlag,CustomSuPeriod=4),INDEX(IF(DiffOptVolumeFlag,DiffOptVolumeHourlyOver,VolumeHourlyOver),F7,3),IF(OR(WeekDef=1,WeekDef=3,WeekDef=5,WeekDef=6,AND(WeekDef=8,CustomSuFlag,OR(CustomSuPeriod=1,CustomSuPeriod=2))),IF(VolumeMonthlyOverFlag,INDEX(IF(DiffOptVolumeFlag,DiffOptVolumeMonthlyOver,VolumeMonthlyOver),BJ35),IF(DiffOptVolumeFlag,DiffOptVolume,Volume)),0))</f>
        <v>600</v>
      </c>
      <c r="BL35" s="1647" t="n">
        <f aca="false">IF(AND(WeekDef=8,CustomSuFlag,CustomSuPeriod=4),INDEX(IF(DiffOptVolumeFlag,DiffOptVolumeHourlyOver,VolumeHourlyOver),G7,3),IF(OR(WeekDef=1,WeekDef=3,WeekDef=5,WeekDef=6,AND(WeekDef=8,CustomSuFlag,OR(CustomSuPeriod=1,CustomSuPeriod=2))),IF(VolumeMonthlyOverFlag,INDEX(IF(DiffOptVolumeFlag,DiffOptVolumeMonthlyOver,VolumeMonthlyOver),BJ35),IF(DiffOptVolumeFlag,DiffOptVolume,Volume)),0))</f>
        <v>600</v>
      </c>
      <c r="BM35" s="1647" t="n">
        <f aca="false">IF(AND(WeekDef=8,CustomSuFlag,CustomSuPeriod=4),INDEX(IF(DiffOptVolumeFlag,DiffOptVolumeHourlyOver,VolumeHourlyOver),H7,3),IF(OR(WeekDef=1,WeekDef=3,WeekDef=5,WeekDef=6,AND(WeekDef=8,CustomSuFlag,OR(CustomSuPeriod=1,CustomSuPeriod=2))),IF(VolumeMonthlyOverFlag,INDEX(IF(DiffOptVolumeFlag,DiffOptVolumeMonthlyOver,VolumeMonthlyOver),BJ35),IF(DiffOptVolumeFlag,DiffOptVolume,Volume)),0))</f>
        <v>600</v>
      </c>
      <c r="BN35" s="1647" t="n">
        <f aca="false">IF(AND(WeekDef=8,CustomSuFlag,CustomSuPeriod=4),INDEX(IF(DiffOptVolumeFlag,DiffOptVolumeHourlyOver,VolumeHourlyOver),I7,3),IF(OR(WeekDef=1,WeekDef=3,WeekDef=5,WeekDef=6,AND(WeekDef=8,CustomSuFlag,OR(CustomSuPeriod=1,CustomSuPeriod=2))),IF(VolumeMonthlyOverFlag,INDEX(IF(DiffOptVolumeFlag,DiffOptVolumeMonthlyOver,VolumeMonthlyOver),BJ35),IF(DiffOptVolumeFlag,DiffOptVolume,Volume)),0))</f>
        <v>600</v>
      </c>
      <c r="BO35" s="1647" t="n">
        <f aca="false">IF(AND(WeekDef=8,CustomSuFlag,CustomSuPeriod=4),INDEX(IF(DiffOptVolumeFlag,DiffOptVolumeHourlyOver,VolumeHourlyOver),J7,3),IF(OR(WeekDef=1,WeekDef=3,WeekDef=5,WeekDef=6,AND(WeekDef=8,CustomSuFlag,OR(CustomSuPeriod=1,CustomSuPeriod=2))),IF(VolumeMonthlyOverFlag,INDEX(IF(DiffOptVolumeFlag,DiffOptVolumeMonthlyOver,VolumeMonthlyOver),BJ35),IF(DiffOptVolumeFlag,DiffOptVolume,Volume)),0))</f>
        <v>600</v>
      </c>
      <c r="BP35" s="1647" t="n">
        <f aca="false">IF(AND(WeekDef=8,CustomSuFlag,CustomSuPeriod=4),INDEX(IF(DiffOptVolumeFlag,DiffOptVolumeHourlyOver,VolumeHourlyOver),K7,3),IF(OR(WeekDef=1,WeekDef=3,WeekDef=5,WeekDef=6,AND(WeekDef=8,CustomSuFlag,OR(CustomSuPeriod=1,CustomSuPeriod=2))),IF(VolumeMonthlyOverFlag,INDEX(IF(DiffOptVolumeFlag,DiffOptVolumeMonthlyOver,VolumeMonthlyOver),BJ35),IF(DiffOptVolumeFlag,DiffOptVolume,Volume)),0))</f>
        <v>600</v>
      </c>
      <c r="BQ35" s="1647" t="n">
        <f aca="false">IF(AND(WeekDef=8,CustomSuFlag,CustomSuPeriod=4),INDEX(IF(DiffOptVolumeFlag,DiffOptVolumeHourlyOver,VolumeHourlyOver),L7,3),IF(OR(WeekDef=1,WeekDef=3,WeekDef=5,WeekDef=6,AND(WeekDef=8,CustomSuFlag,OR(CustomSuPeriod=1,CustomSuPeriod=2))),IF(VolumeMonthlyOverFlag,INDEX(IF(DiffOptVolumeFlag,DiffOptVolumeMonthlyOver,VolumeMonthlyOver),BJ35),IF(DiffOptVolumeFlag,DiffOptVolume,Volume)),0))</f>
        <v>600</v>
      </c>
      <c r="BR35" s="1647" t="n">
        <f aca="false">IF(AND(WeekDef=8,CustomSuFlag,CustomSuPeriod=4),INDEX(IF(DiffOptVolumeFlag,DiffOptVolumeHourlyOver,VolumeHourlyOver),M7,3),IF(OR(WeekDef=1,WeekDef=3,WeekDef=5,WeekDef=6,AND(WeekDef=8,CustomSuFlag,OR(CustomSuPeriod=1,CustomSuPeriod=2))),IF(VolumeMonthlyOverFlag,INDEX(IF(DiffOptVolumeFlag,DiffOptVolumeMonthlyOver,VolumeMonthlyOver),BJ35),IF(DiffOptVolumeFlag,DiffOptVolume,Volume)),0))</f>
        <v>600</v>
      </c>
      <c r="BS35" s="1647" t="n">
        <f aca="false">IF(AND(WeekDef=8,CustomSuFlag,CustomSuPeriod=4),INDEX(IF(DiffOptVolumeFlag,DiffOptVolumeHourlyOver,VolumeHourlyOver),N7,3),IF(OR(WeekDef=1,WeekDef=3,WeekDef=5,WeekDef=6,AND(WeekDef=8,CustomSuFlag,OR(CustomSuPeriod=1,CustomSuPeriod=2))),IF(VolumeMonthlyOverFlag,INDEX(IF(DiffOptVolumeFlag,DiffOptVolumeMonthlyOver,VolumeMonthlyOver),BJ35),IF(DiffOptVolumeFlag,DiffOptVolume,Volume)),0))</f>
        <v>600</v>
      </c>
      <c r="BT35" s="1647" t="n">
        <f aca="false">IF(AND(WeekDef=8,CustomSuFlag,CustomSuPeriod=4),INDEX(IF(DiffOptVolumeFlag,DiffOptVolumeHourlyOver,VolumeHourlyOver),O7,3),IF(OR(WeekDef=1,WeekDef=3,WeekDef=5,WeekDef=6,AND(WeekDef=8,CustomSuFlag,OR(CustomSuPeriod=1,CustomSuPeriod=2))),IF(VolumeMonthlyOverFlag,INDEX(IF(DiffOptVolumeFlag,DiffOptVolumeMonthlyOver,VolumeMonthlyOver),BJ35),IF(DiffOptVolumeFlag,DiffOptVolume,Volume)),0))</f>
        <v>600</v>
      </c>
      <c r="BU35" s="1647" t="n">
        <f aca="false">IF(AND(WeekDef=8,CustomSuFlag,CustomSuPeriod=4),INDEX(IF(DiffOptVolumeFlag,DiffOptVolumeHourlyOver,VolumeHourlyOver),P7,3),IF(OR(WeekDef=1,WeekDef=3,WeekDef=5,WeekDef=6,AND(WeekDef=8,CustomSuFlag,OR(CustomSuPeriod=1,CustomSuPeriod=2))),IF(VolumeMonthlyOverFlag,INDEX(IF(DiffOptVolumeFlag,DiffOptVolumeMonthlyOver,VolumeMonthlyOver),BJ35),IF(DiffOptVolumeFlag,DiffOptVolume,Volume)),0))</f>
        <v>600</v>
      </c>
      <c r="BV35" s="1647" t="n">
        <f aca="false">IF(AND(WeekDef=8,CustomSuFlag,CustomSuPeriod=4),INDEX(IF(DiffOptVolumeFlag,DiffOptVolumeHourlyOver,VolumeHourlyOver),Q7,3),IF(OR(WeekDef=1,WeekDef=3,WeekDef=5,WeekDef=6,AND(WeekDef=8,CustomSuFlag,OR(CustomSuPeriod=1,CustomSuPeriod=2))),IF(VolumeMonthlyOverFlag,INDEX(IF(DiffOptVolumeFlag,DiffOptVolumeMonthlyOver,VolumeMonthlyOver),BJ35),IF(DiffOptVolumeFlag,DiffOptVolume,Volume)),0))</f>
        <v>600</v>
      </c>
      <c r="BW35" s="1647" t="n">
        <f aca="false">IF(AND(WeekDef=8,CustomSuFlag,CustomSuPeriod=4),INDEX(IF(DiffOptVolumeFlag,DiffOptVolumeHourlyOver,VolumeHourlyOver),R7,3),IF(OR(WeekDef=1,WeekDef=3,WeekDef=5,WeekDef=6,AND(WeekDef=8,CustomSuFlag,OR(CustomSuPeriod=1,CustomSuPeriod=2))),IF(VolumeMonthlyOverFlag,INDEX(IF(DiffOptVolumeFlag,DiffOptVolumeMonthlyOver,VolumeMonthlyOver),BJ35),IF(DiffOptVolumeFlag,DiffOptVolume,Volume)),0))</f>
        <v>600</v>
      </c>
      <c r="BX35" s="1647" t="n">
        <f aca="false">IF(AND(WeekDef=8,CustomSuFlag,CustomSuPeriod=4),INDEX(IF(DiffOptVolumeFlag,DiffOptVolumeHourlyOver,VolumeHourlyOver),S7,3),IF(OR(WeekDef=1,WeekDef=3,WeekDef=5,WeekDef=6,AND(WeekDef=8,CustomSuFlag,OR(CustomSuPeriod=1,CustomSuPeriod=2))),IF(VolumeMonthlyOverFlag,INDEX(IF(DiffOptVolumeFlag,DiffOptVolumeMonthlyOver,VolumeMonthlyOver),BJ35),IF(DiffOptVolumeFlag,DiffOptVolume,Volume)),0))</f>
        <v>600</v>
      </c>
      <c r="BY35" s="1647" t="n">
        <f aca="false">IF(AND(WeekDef=8,CustomSuFlag,CustomSuPeriod=4),INDEX(IF(DiffOptVolumeFlag,DiffOptVolumeHourlyOver,VolumeHourlyOver),T7,3),IF(OR(WeekDef=1,WeekDef=3,WeekDef=5,WeekDef=6,AND(WeekDef=8,CustomSuFlag,OR(CustomSuPeriod=1,CustomSuPeriod=2))),IF(VolumeMonthlyOverFlag,INDEX(IF(DiffOptVolumeFlag,DiffOptVolumeMonthlyOver,VolumeMonthlyOver),BJ35),IF(DiffOptVolumeFlag,DiffOptVolume,Volume)),0))</f>
        <v>600</v>
      </c>
      <c r="BZ35" s="1648" t="n">
        <f aca="false">IF(AND(WeekDef=8,CustomSuFlag,CustomSuPeriod=4),INDEX(IF(DiffOptVolumeFlag,DiffOptVolumeHourlyOver,VolumeHourlyOver),U7,3),IF(OR(WeekDef=1,WeekDef=3,WeekDef=5,WeekDef=6,AND(WeekDef=8,CustomSuFlag,OR(CustomSuPeriod=1,CustomSuPeriod=2))),IF(VolumeMonthlyOverFlag,INDEX(IF(DiffOptVolumeFlag,DiffOptVolumeMonthlyOver,VolumeMonthlyOver),BJ35),IF(DiffOptVolumeFlag,DiffOptVolume,Volume)),0))</f>
        <v>600</v>
      </c>
      <c r="CA35" s="1647" t="n">
        <f aca="false">IF(AND(WeekDef=8,CustomSuFlag,CustomSuPeriod=4),INDEX(IF(DiffOptVolumeFlag,DiffOptVolumeHourlyOver,VolumeHourlyOver),V7,3),IF(OR(WeekDef=1,WeekDef=3,WeekDef=5,WeekDef=7,AND(WeekDef=8,CustomSuFlag,OR(CustomSuPeriod=1,CustomSuPeriod=3))),IF(VolumeMonthlyOverFlag,INDEX(IF(DiffOptVolumeFlag,DiffOptVolumeMonthlyOver,VolumeMonthlyOver),BJ35),IF(DiffOptVolumeFlag,DiffOptVolume,Volume)),0))</f>
        <v>600</v>
      </c>
      <c r="CB35" s="1647" t="n">
        <f aca="false">IF(AND(WeekDef=8,CustomSuFlag,CustomSuPeriod=4),INDEX(IF(DiffOptVolumeFlag,DiffOptVolumeHourlyOver,VolumeHourlyOver),W7,3),IF(OR(WeekDef=1,WeekDef=3,WeekDef=5,WeekDef=7,AND(WeekDef=8,CustomSuFlag,OR(CustomSuPeriod=1,CustomSuPeriod=3))),IF(VolumeMonthlyOverFlag,INDEX(IF(DiffOptVolumeFlag,DiffOptVolumeMonthlyOver,VolumeMonthlyOver),BJ35),IF(DiffOptVolumeFlag,DiffOptVolume,Volume)),0))</f>
        <v>600</v>
      </c>
      <c r="CC35" s="1647" t="n">
        <f aca="false">IF(AND(WeekDef=8,CustomSuFlag,CustomSuPeriod=4),INDEX(IF(DiffOptVolumeFlag,DiffOptVolumeHourlyOver,VolumeHourlyOver),X7,3),IF(OR(WeekDef=1,WeekDef=3,WeekDef=5,WeekDef=7,AND(WeekDef=8,CustomSuFlag,OR(CustomSuPeriod=1,CustomSuPeriod=3))),IF(VolumeMonthlyOverFlag,INDEX(IF(DiffOptVolumeFlag,DiffOptVolumeMonthlyOver,VolumeMonthlyOver),BJ35),IF(DiffOptVolumeFlag,DiffOptVolume,Volume)),0))</f>
        <v>600</v>
      </c>
      <c r="CD35" s="1647" t="n">
        <f aca="false">IF(AND(WeekDef=8,CustomSuFlag,CustomSuPeriod=4),INDEX(IF(DiffOptVolumeFlag,DiffOptVolumeHourlyOver,VolumeHourlyOver),Y7,3),IF(OR(WeekDef=1,WeekDef=3,WeekDef=5,WeekDef=7,AND(WeekDef=8,CustomSuFlag,OR(CustomSuPeriod=1,CustomSuPeriod=3))),IF(VolumeMonthlyOverFlag,INDEX(IF(DiffOptVolumeFlag,DiffOptVolumeMonthlyOver,VolumeMonthlyOver),BJ35),IF(DiffOptVolumeFlag,DiffOptVolume,Volume)),0))</f>
        <v>600</v>
      </c>
      <c r="CE35" s="1647" t="n">
        <f aca="false">IF(AND(WeekDef=8,CustomSuFlag,CustomSuPeriod=4),INDEX(IF(DiffOptVolumeFlag,DiffOptVolumeHourlyOver,VolumeHourlyOver),Z7,3),IF(OR(WeekDef=1,WeekDef=3,WeekDef=5,WeekDef=7,AND(WeekDef=8,CustomSuFlag,OR(CustomSuPeriod=1,CustomSuPeriod=3))),IF(VolumeMonthlyOverFlag,INDEX(IF(DiffOptVolumeFlag,DiffOptVolumeMonthlyOver,VolumeMonthlyOver),BJ35),IF(DiffOptVolumeFlag,DiffOptVolume,Volume)),0))</f>
        <v>600</v>
      </c>
      <c r="CF35" s="1647" t="n">
        <f aca="false">IF(AND(WeekDef=8,CustomSuFlag,CustomSuPeriod=4),INDEX(IF(DiffOptVolumeFlag,DiffOptVolumeHourlyOver,VolumeHourlyOver),AA7,3),IF(OR(WeekDef=1,WeekDef=3,WeekDef=5,WeekDef=7,AND(WeekDef=8,CustomSuFlag,OR(CustomSuPeriod=1,CustomSuPeriod=3))),IF(VolumeMonthlyOverFlag,INDEX(IF(DiffOptVolumeFlag,DiffOptVolumeMonthlyOver,VolumeMonthlyOver),BJ35),IF(DiffOptVolumeFlag,DiffOptVolume,Volume)),0))</f>
        <v>600</v>
      </c>
      <c r="CG35" s="1647" t="n">
        <f aca="false">IF(AND(WeekDef=8,CustomSuFlag,CustomSuPeriod=4),INDEX(IF(DiffOptVolumeFlag,DiffOptVolumeHourlyOver,VolumeHourlyOver),AB7,3),IF(OR(WeekDef=1,WeekDef=3,WeekDef=5,WeekDef=7,AND(WeekDef=8,CustomSuFlag,OR(CustomSuPeriod=1,CustomSuPeriod=3))),IF(VolumeMonthlyOverFlag,INDEX(IF(DiffOptVolumeFlag,DiffOptVolumeMonthlyOver,VolumeMonthlyOver),BJ35),IF(DiffOptVolumeFlag,DiffOptVolume,Volume)),0))</f>
        <v>600</v>
      </c>
      <c r="CH35" s="1648" t="n">
        <f aca="false">IF(AND(WeekDef=8,CustomSuFlag,CustomSuPeriod=4),INDEX(IF(DiffOptVolumeFlag,DiffOptVolumeHourlyOver,VolumeHourlyOver),AC7,3),IF(OR(WeekDef=1,WeekDef=3,WeekDef=5,WeekDef=7,AND(WeekDef=8,CustomSuFlag,OR(CustomSuPeriod=1,CustomSuPeriod=3))),IF(VolumeMonthlyOverFlag,INDEX(IF(DiffOptVolumeFlag,DiffOptVolumeMonthlyOver,VolumeMonthlyOver),BJ35),IF(DiffOptVolumeFlag,DiffOptVolume,Volume)),0))</f>
        <v>600</v>
      </c>
      <c r="CI35" s="1652" t="n">
        <f aca="false">SUM(BK35:BZ35)</f>
        <v>9600</v>
      </c>
      <c r="CJ35" s="1653" t="n">
        <f aca="false">SUM(CA35:CH35)</f>
        <v>4800</v>
      </c>
      <c r="CK35" s="1654" t="n">
        <f aca="false">CI35+CJ35</f>
        <v>14400</v>
      </c>
      <c r="CL35" s="1674" t="n">
        <f aca="false">IF(CI35,SUMPRODUCT(BK35:BZ35,F23:U23)/CI35,0)</f>
        <v>0.99999999627471</v>
      </c>
      <c r="CM35" s="1655" t="n">
        <f aca="false">IF(CJ35,SUMPRODUCT(CA35:CH35,V23:AC23)/CJ35,0)</f>
        <v>1.00000000745058</v>
      </c>
    </row>
    <row r="36" customFormat="false" ht="13.5" hidden="false" customHeight="false" outlineLevel="0" collapsed="false">
      <c r="A36" s="1686" t="s">
        <v>16</v>
      </c>
      <c r="B36" s="1687" t="s">
        <v>286</v>
      </c>
      <c r="C36" s="1685" t="s">
        <v>149</v>
      </c>
      <c r="D36" s="1685" t="s">
        <v>132</v>
      </c>
      <c r="E36" s="1626" t="s">
        <v>1262</v>
      </c>
      <c r="F36" s="1626" t="n">
        <v>1</v>
      </c>
      <c r="G36" s="1627" t="n">
        <v>2</v>
      </c>
      <c r="H36" s="1627" t="n">
        <v>3</v>
      </c>
      <c r="I36" s="1627" t="n">
        <v>4</v>
      </c>
      <c r="J36" s="1627" t="n">
        <v>5</v>
      </c>
      <c r="K36" s="1627" t="n">
        <v>6</v>
      </c>
      <c r="L36" s="1627" t="n">
        <v>7</v>
      </c>
      <c r="M36" s="1627" t="n">
        <v>8</v>
      </c>
      <c r="N36" s="1627" t="n">
        <v>9</v>
      </c>
      <c r="O36" s="1627" t="n">
        <v>10</v>
      </c>
      <c r="P36" s="1627" t="n">
        <v>11</v>
      </c>
      <c r="Q36" s="1627" t="n">
        <v>12</v>
      </c>
      <c r="R36" s="1627" t="n">
        <v>13</v>
      </c>
      <c r="S36" s="1627" t="n">
        <v>14</v>
      </c>
      <c r="T36" s="1627" t="n">
        <v>15</v>
      </c>
      <c r="U36" s="1628" t="n">
        <v>16</v>
      </c>
      <c r="V36" s="1627" t="n">
        <v>1</v>
      </c>
      <c r="W36" s="1627" t="n">
        <v>2</v>
      </c>
      <c r="X36" s="1627" t="n">
        <v>3</v>
      </c>
      <c r="Y36" s="1627" t="n">
        <v>4</v>
      </c>
      <c r="Z36" s="1627" t="n">
        <v>5</v>
      </c>
      <c r="AA36" s="1627" t="n">
        <v>6</v>
      </c>
      <c r="AB36" s="1627" t="n">
        <v>7</v>
      </c>
      <c r="AC36" s="1628" t="n">
        <v>8</v>
      </c>
      <c r="AD36" s="1658"/>
      <c r="AE36" s="1636" t="n">
        <v>4</v>
      </c>
      <c r="AF36" s="1646" t="n">
        <f aca="false">IF(AND(WeekDef=8,CustomSuFlag,CustomSuPeriod=4),INDEX(VolumeHourlyOver,F8,3),IF(OR(WeekDef=1,WeekDef=3,WeekDef=5,WeekDef=6,AND(WeekDef=8,CustomSuFlag,OR(CustomSuPeriod=1,CustomSuPeriod=2))),IF(VolumeMonthlyOverFlag,INDEX(VolumeMonthlyOver,AE36),Volume),0))</f>
        <v>150</v>
      </c>
      <c r="AG36" s="1647" t="n">
        <f aca="false">IF(AND(WeekDef=8,CustomSuFlag,CustomSuPeriod=4),INDEX(VolumeHourlyOver,G8,3),IF(OR(WeekDef=1,WeekDef=3,WeekDef=5,WeekDef=6,AND(WeekDef=8,CustomSuFlag,OR(CustomSuPeriod=1,CustomSuPeriod=2))),IF(VolumeMonthlyOverFlag,INDEX(VolumeMonthlyOver,AE36),Volume),0))</f>
        <v>150</v>
      </c>
      <c r="AH36" s="1647" t="n">
        <f aca="false">IF(AND(WeekDef=8,CustomSuFlag,CustomSuPeriod=4),INDEX(VolumeHourlyOver,H8,3),IF(OR(WeekDef=1,WeekDef=3,WeekDef=5,WeekDef=6,AND(WeekDef=8,CustomSuFlag,OR(CustomSuPeriod=1,CustomSuPeriod=2))),IF(VolumeMonthlyOverFlag,INDEX(VolumeMonthlyOver,AE36),Volume),0))</f>
        <v>150</v>
      </c>
      <c r="AI36" s="1647" t="n">
        <f aca="false">IF(AND(WeekDef=8,CustomSuFlag,CustomSuPeriod=4),INDEX(VolumeHourlyOver,I8,3),IF(OR(WeekDef=1,WeekDef=3,WeekDef=5,WeekDef=6,AND(WeekDef=8,CustomSuFlag,OR(CustomSuPeriod=1,CustomSuPeriod=2))),IF(VolumeMonthlyOverFlag,INDEX(VolumeMonthlyOver,AE36),Volume),0))</f>
        <v>150</v>
      </c>
      <c r="AJ36" s="1647" t="n">
        <f aca="false">IF(AND(WeekDef=8,CustomSuFlag,CustomSuPeriod=4),INDEX(VolumeHourlyOver,J8,3),IF(OR(WeekDef=1,WeekDef=3,WeekDef=5,WeekDef=6,AND(WeekDef=8,CustomSuFlag,OR(CustomSuPeriod=1,CustomSuPeriod=2))),IF(VolumeMonthlyOverFlag,INDEX(VolumeMonthlyOver,AE36),Volume),0))</f>
        <v>150</v>
      </c>
      <c r="AK36" s="1647" t="n">
        <f aca="false">IF(AND(WeekDef=8,CustomSuFlag,CustomSuPeriod=4),INDEX(VolumeHourlyOver,K8,3),IF(OR(WeekDef=1,WeekDef=3,WeekDef=5,WeekDef=6,AND(WeekDef=8,CustomSuFlag,OR(CustomSuPeriod=1,CustomSuPeriod=2))),IF(VolumeMonthlyOverFlag,INDEX(VolumeMonthlyOver,AE36),Volume),0))</f>
        <v>150</v>
      </c>
      <c r="AL36" s="1647" t="n">
        <f aca="false">IF(AND(WeekDef=8,CustomSuFlag,CustomSuPeriod=4),INDEX(VolumeHourlyOver,L8,3),IF(OR(WeekDef=1,WeekDef=3,WeekDef=5,WeekDef=6,AND(WeekDef=8,CustomSuFlag,OR(CustomSuPeriod=1,CustomSuPeriod=2))),IF(VolumeMonthlyOverFlag,INDEX(VolumeMonthlyOver,AE36),Volume),0))</f>
        <v>150</v>
      </c>
      <c r="AM36" s="1647" t="n">
        <f aca="false">IF(AND(WeekDef=8,CustomSuFlag,CustomSuPeriod=4),INDEX(VolumeHourlyOver,M8,3),IF(OR(WeekDef=1,WeekDef=3,WeekDef=5,WeekDef=6,AND(WeekDef=8,CustomSuFlag,OR(CustomSuPeriod=1,CustomSuPeriod=2))),IF(VolumeMonthlyOverFlag,INDEX(VolumeMonthlyOver,AE36),Volume),0))</f>
        <v>150</v>
      </c>
      <c r="AN36" s="1647" t="n">
        <f aca="false">IF(AND(WeekDef=8,CustomSuFlag,CustomSuPeriod=4),INDEX(VolumeHourlyOver,N8,3),IF(OR(WeekDef=1,WeekDef=3,WeekDef=5,WeekDef=6,AND(WeekDef=8,CustomSuFlag,OR(CustomSuPeriod=1,CustomSuPeriod=2))),IF(VolumeMonthlyOverFlag,INDEX(VolumeMonthlyOver,AE36),Volume),0))</f>
        <v>150</v>
      </c>
      <c r="AO36" s="1647" t="n">
        <f aca="false">IF(AND(WeekDef=8,CustomSuFlag,CustomSuPeriod=4),INDEX(VolumeHourlyOver,O8,3),IF(OR(WeekDef=1,WeekDef=3,WeekDef=5,WeekDef=6,AND(WeekDef=8,CustomSuFlag,OR(CustomSuPeriod=1,CustomSuPeriod=2))),IF(VolumeMonthlyOverFlag,INDEX(VolumeMonthlyOver,AE36),Volume),0))</f>
        <v>150</v>
      </c>
      <c r="AP36" s="1647" t="n">
        <f aca="false">IF(AND(WeekDef=8,CustomSuFlag,CustomSuPeriod=4),INDEX(VolumeHourlyOver,P8,3),IF(OR(WeekDef=1,WeekDef=3,WeekDef=5,WeekDef=6,AND(WeekDef=8,CustomSuFlag,OR(CustomSuPeriod=1,CustomSuPeriod=2))),IF(VolumeMonthlyOverFlag,INDEX(VolumeMonthlyOver,AE36),Volume),0))</f>
        <v>150</v>
      </c>
      <c r="AQ36" s="1647" t="n">
        <f aca="false">IF(AND(WeekDef=8,CustomSuFlag,CustomSuPeriod=4),INDEX(VolumeHourlyOver,Q8,3),IF(OR(WeekDef=1,WeekDef=3,WeekDef=5,WeekDef=6,AND(WeekDef=8,CustomSuFlag,OR(CustomSuPeriod=1,CustomSuPeriod=2))),IF(VolumeMonthlyOverFlag,INDEX(VolumeMonthlyOver,AE36),Volume),0))</f>
        <v>150</v>
      </c>
      <c r="AR36" s="1647" t="n">
        <f aca="false">IF(AND(WeekDef=8,CustomSuFlag,CustomSuPeriod=4),INDEX(VolumeHourlyOver,R8,3),IF(OR(WeekDef=1,WeekDef=3,WeekDef=5,WeekDef=6,AND(WeekDef=8,CustomSuFlag,OR(CustomSuPeriod=1,CustomSuPeriod=2))),IF(VolumeMonthlyOverFlag,INDEX(VolumeMonthlyOver,AE36),Volume),0))</f>
        <v>150</v>
      </c>
      <c r="AS36" s="1647" t="n">
        <f aca="false">IF(AND(WeekDef=8,CustomSuFlag,CustomSuPeriod=4),INDEX(VolumeHourlyOver,S8,3),IF(OR(WeekDef=1,WeekDef=3,WeekDef=5,WeekDef=6,AND(WeekDef=8,CustomSuFlag,OR(CustomSuPeriod=1,CustomSuPeriod=2))),IF(VolumeMonthlyOverFlag,INDEX(VolumeMonthlyOver,AE36),Volume),0))</f>
        <v>150</v>
      </c>
      <c r="AT36" s="1647" t="n">
        <f aca="false">IF(AND(WeekDef=8,CustomSuFlag,CustomSuPeriod=4),INDEX(VolumeHourlyOver,T8,3),IF(OR(WeekDef=1,WeekDef=3,WeekDef=5,WeekDef=6,AND(WeekDef=8,CustomSuFlag,OR(CustomSuPeriod=1,CustomSuPeriod=2))),IF(VolumeMonthlyOverFlag,INDEX(VolumeMonthlyOver,AE36),Volume),0))</f>
        <v>150</v>
      </c>
      <c r="AU36" s="1648" t="n">
        <f aca="false">IF(AND(WeekDef=8,CustomSuFlag,CustomSuPeriod=4),INDEX(VolumeHourlyOver,U8,3),IF(OR(WeekDef=1,WeekDef=3,WeekDef=5,WeekDef=6,AND(WeekDef=8,CustomSuFlag,OR(CustomSuPeriod=1,CustomSuPeriod=2))),IF(VolumeMonthlyOverFlag,INDEX(VolumeMonthlyOver,AE36),Volume),0))</f>
        <v>150</v>
      </c>
      <c r="AV36" s="1647" t="n">
        <f aca="false">IF(AND(WeekDef=8,CustomSuFlag,CustomSuPeriod=4),INDEX(VolumeHourlyOver,V8,3),IF(OR(WeekDef=1,WeekDef=3,WeekDef=5,WeekDef=7,AND(WeekDef=8,CustomSuFlag,OR(CustomSuPeriod=1,CustomSuPeriod=3))),IF(VolumeMonthlyOverFlag,INDEX(VolumeMonthlyOver,AE36),Volume),0))</f>
        <v>150</v>
      </c>
      <c r="AW36" s="1647" t="n">
        <f aca="false">IF(AND(WeekDef=8,CustomSuFlag,CustomSuPeriod=4),INDEX(VolumeHourlyOver,W8,3),IF(OR(WeekDef=1,WeekDef=3,WeekDef=5,WeekDef=7,AND(WeekDef=8,CustomSuFlag,OR(CustomSuPeriod=1,CustomSuPeriod=3))),IF(VolumeMonthlyOverFlag,INDEX(VolumeMonthlyOver,AE36),Volume),0))</f>
        <v>150</v>
      </c>
      <c r="AX36" s="1647" t="n">
        <f aca="false">IF(AND(WeekDef=8,CustomSuFlag,CustomSuPeriod=4),INDEX(VolumeHourlyOver,X8,3),IF(OR(WeekDef=1,WeekDef=3,WeekDef=5,WeekDef=7,AND(WeekDef=8,CustomSuFlag,OR(CustomSuPeriod=1,CustomSuPeriod=3))),IF(VolumeMonthlyOverFlag,INDEX(VolumeMonthlyOver,AE36),Volume),0))</f>
        <v>150</v>
      </c>
      <c r="AY36" s="1647" t="n">
        <f aca="false">IF(AND(WeekDef=8,CustomSuFlag,CustomSuPeriod=4),INDEX(VolumeHourlyOver,Y8,3),IF(OR(WeekDef=1,WeekDef=3,WeekDef=5,WeekDef=7,AND(WeekDef=8,CustomSuFlag,OR(CustomSuPeriod=1,CustomSuPeriod=3))),IF(VolumeMonthlyOverFlag,INDEX(VolumeMonthlyOver,AE36),Volume),0))</f>
        <v>150</v>
      </c>
      <c r="AZ36" s="1647" t="n">
        <f aca="false">IF(AND(WeekDef=8,CustomSuFlag,CustomSuPeriod=4),INDEX(VolumeHourlyOver,Z8,3),IF(OR(WeekDef=1,WeekDef=3,WeekDef=5,WeekDef=7,AND(WeekDef=8,CustomSuFlag,OR(CustomSuPeriod=1,CustomSuPeriod=3))),IF(VolumeMonthlyOverFlag,INDEX(VolumeMonthlyOver,AE36),Volume),0))</f>
        <v>150</v>
      </c>
      <c r="BA36" s="1647" t="n">
        <f aca="false">IF(AND(WeekDef=8,CustomSuFlag,CustomSuPeriod=4),INDEX(VolumeHourlyOver,AA8,3),IF(OR(WeekDef=1,WeekDef=3,WeekDef=5,WeekDef=7,AND(WeekDef=8,CustomSuFlag,OR(CustomSuPeriod=1,CustomSuPeriod=3))),IF(VolumeMonthlyOverFlag,INDEX(VolumeMonthlyOver,AE36),Volume),0))</f>
        <v>150</v>
      </c>
      <c r="BB36" s="1647" t="n">
        <f aca="false">IF(AND(WeekDef=8,CustomSuFlag,CustomSuPeriod=4),INDEX(VolumeHourlyOver,AB8,3),IF(OR(WeekDef=1,WeekDef=3,WeekDef=5,WeekDef=7,AND(WeekDef=8,CustomSuFlag,OR(CustomSuPeriod=1,CustomSuPeriod=3))),IF(VolumeMonthlyOverFlag,INDEX(VolumeMonthlyOver,AE36),Volume),0))</f>
        <v>150</v>
      </c>
      <c r="BC36" s="1648" t="n">
        <f aca="false">IF(AND(WeekDef=8,CustomSuFlag,CustomSuPeriod=4),INDEX(VolumeHourlyOver,AC8,3),IF(OR(WeekDef=1,WeekDef=3,WeekDef=5,WeekDef=7,AND(WeekDef=8,CustomSuFlag,OR(CustomSuPeriod=1,CustomSuPeriod=3))),IF(VolumeMonthlyOverFlag,INDEX(VolumeMonthlyOver,AE36),Volume),0))</f>
        <v>150</v>
      </c>
      <c r="BD36" s="1652" t="n">
        <f aca="false">SUM(AF36:AU36)</f>
        <v>2400</v>
      </c>
      <c r="BE36" s="1653" t="n">
        <f aca="false">SUM(AV36:BC36)</f>
        <v>1200</v>
      </c>
      <c r="BF36" s="1654" t="n">
        <f aca="false">BD36+BE36</f>
        <v>3600</v>
      </c>
      <c r="BG36" s="1674" t="n">
        <f aca="false">IF(BD36,SUMPRODUCT(AF36:AU36,F24:U24)/BD36,0)</f>
        <v>1</v>
      </c>
      <c r="BH36" s="1655" t="n">
        <f aca="false">IF(BE36,SUMPRODUCT(AV36:BC36,V24:AC24)/BE36,0)</f>
        <v>1.00000000745058</v>
      </c>
      <c r="BJ36" s="1636" t="n">
        <v>4</v>
      </c>
      <c r="BK36" s="1646" t="n">
        <f aca="false">IF(AND(WeekDef=8,CustomSuFlag,CustomSuPeriod=4),INDEX(IF(DiffOptVolumeFlag,DiffOptVolumeHourlyOver,VolumeHourlyOver),F8,3),IF(OR(WeekDef=1,WeekDef=3,WeekDef=5,WeekDef=6,AND(WeekDef=8,CustomSuFlag,OR(CustomSuPeriod=1,CustomSuPeriod=2))),IF(VolumeMonthlyOverFlag,INDEX(IF(DiffOptVolumeFlag,DiffOptVolumeMonthlyOver,VolumeMonthlyOver),BJ36),IF(DiffOptVolumeFlag,DiffOptVolume,Volume)),0))</f>
        <v>600</v>
      </c>
      <c r="BL36" s="1647" t="n">
        <f aca="false">IF(AND(WeekDef=8,CustomSuFlag,CustomSuPeriod=4),INDEX(IF(DiffOptVolumeFlag,DiffOptVolumeHourlyOver,VolumeHourlyOver),G8,3),IF(OR(WeekDef=1,WeekDef=3,WeekDef=5,WeekDef=6,AND(WeekDef=8,CustomSuFlag,OR(CustomSuPeriod=1,CustomSuPeriod=2))),IF(VolumeMonthlyOverFlag,INDEX(IF(DiffOptVolumeFlag,DiffOptVolumeMonthlyOver,VolumeMonthlyOver),BJ36),IF(DiffOptVolumeFlag,DiffOptVolume,Volume)),0))</f>
        <v>600</v>
      </c>
      <c r="BM36" s="1647" t="n">
        <f aca="false">IF(AND(WeekDef=8,CustomSuFlag,CustomSuPeriod=4),INDEX(IF(DiffOptVolumeFlag,DiffOptVolumeHourlyOver,VolumeHourlyOver),H8,3),IF(OR(WeekDef=1,WeekDef=3,WeekDef=5,WeekDef=6,AND(WeekDef=8,CustomSuFlag,OR(CustomSuPeriod=1,CustomSuPeriod=2))),IF(VolumeMonthlyOverFlag,INDEX(IF(DiffOptVolumeFlag,DiffOptVolumeMonthlyOver,VolumeMonthlyOver),BJ36),IF(DiffOptVolumeFlag,DiffOptVolume,Volume)),0))</f>
        <v>600</v>
      </c>
      <c r="BN36" s="1647" t="n">
        <f aca="false">IF(AND(WeekDef=8,CustomSuFlag,CustomSuPeriod=4),INDEX(IF(DiffOptVolumeFlag,DiffOptVolumeHourlyOver,VolumeHourlyOver),I8,3),IF(OR(WeekDef=1,WeekDef=3,WeekDef=5,WeekDef=6,AND(WeekDef=8,CustomSuFlag,OR(CustomSuPeriod=1,CustomSuPeriod=2))),IF(VolumeMonthlyOverFlag,INDEX(IF(DiffOptVolumeFlag,DiffOptVolumeMonthlyOver,VolumeMonthlyOver),BJ36),IF(DiffOptVolumeFlag,DiffOptVolume,Volume)),0))</f>
        <v>600</v>
      </c>
      <c r="BO36" s="1647" t="n">
        <f aca="false">IF(AND(WeekDef=8,CustomSuFlag,CustomSuPeriod=4),INDEX(IF(DiffOptVolumeFlag,DiffOptVolumeHourlyOver,VolumeHourlyOver),J8,3),IF(OR(WeekDef=1,WeekDef=3,WeekDef=5,WeekDef=6,AND(WeekDef=8,CustomSuFlag,OR(CustomSuPeriod=1,CustomSuPeriod=2))),IF(VolumeMonthlyOverFlag,INDEX(IF(DiffOptVolumeFlag,DiffOptVolumeMonthlyOver,VolumeMonthlyOver),BJ36),IF(DiffOptVolumeFlag,DiffOptVolume,Volume)),0))</f>
        <v>600</v>
      </c>
      <c r="BP36" s="1647" t="n">
        <f aca="false">IF(AND(WeekDef=8,CustomSuFlag,CustomSuPeriod=4),INDEX(IF(DiffOptVolumeFlag,DiffOptVolumeHourlyOver,VolumeHourlyOver),K8,3),IF(OR(WeekDef=1,WeekDef=3,WeekDef=5,WeekDef=6,AND(WeekDef=8,CustomSuFlag,OR(CustomSuPeriod=1,CustomSuPeriod=2))),IF(VolumeMonthlyOverFlag,INDEX(IF(DiffOptVolumeFlag,DiffOptVolumeMonthlyOver,VolumeMonthlyOver),BJ36),IF(DiffOptVolumeFlag,DiffOptVolume,Volume)),0))</f>
        <v>600</v>
      </c>
      <c r="BQ36" s="1647" t="n">
        <f aca="false">IF(AND(WeekDef=8,CustomSuFlag,CustomSuPeriod=4),INDEX(IF(DiffOptVolumeFlag,DiffOptVolumeHourlyOver,VolumeHourlyOver),L8,3),IF(OR(WeekDef=1,WeekDef=3,WeekDef=5,WeekDef=6,AND(WeekDef=8,CustomSuFlag,OR(CustomSuPeriod=1,CustomSuPeriod=2))),IF(VolumeMonthlyOverFlag,INDEX(IF(DiffOptVolumeFlag,DiffOptVolumeMonthlyOver,VolumeMonthlyOver),BJ36),IF(DiffOptVolumeFlag,DiffOptVolume,Volume)),0))</f>
        <v>600</v>
      </c>
      <c r="BR36" s="1647" t="n">
        <f aca="false">IF(AND(WeekDef=8,CustomSuFlag,CustomSuPeriod=4),INDEX(IF(DiffOptVolumeFlag,DiffOptVolumeHourlyOver,VolumeHourlyOver),M8,3),IF(OR(WeekDef=1,WeekDef=3,WeekDef=5,WeekDef=6,AND(WeekDef=8,CustomSuFlag,OR(CustomSuPeriod=1,CustomSuPeriod=2))),IF(VolumeMonthlyOverFlag,INDEX(IF(DiffOptVolumeFlag,DiffOptVolumeMonthlyOver,VolumeMonthlyOver),BJ36),IF(DiffOptVolumeFlag,DiffOptVolume,Volume)),0))</f>
        <v>600</v>
      </c>
      <c r="BS36" s="1647" t="n">
        <f aca="false">IF(AND(WeekDef=8,CustomSuFlag,CustomSuPeriod=4),INDEX(IF(DiffOptVolumeFlag,DiffOptVolumeHourlyOver,VolumeHourlyOver),N8,3),IF(OR(WeekDef=1,WeekDef=3,WeekDef=5,WeekDef=6,AND(WeekDef=8,CustomSuFlag,OR(CustomSuPeriod=1,CustomSuPeriod=2))),IF(VolumeMonthlyOverFlag,INDEX(IF(DiffOptVolumeFlag,DiffOptVolumeMonthlyOver,VolumeMonthlyOver),BJ36),IF(DiffOptVolumeFlag,DiffOptVolume,Volume)),0))</f>
        <v>600</v>
      </c>
      <c r="BT36" s="1647" t="n">
        <f aca="false">IF(AND(WeekDef=8,CustomSuFlag,CustomSuPeriod=4),INDEX(IF(DiffOptVolumeFlag,DiffOptVolumeHourlyOver,VolumeHourlyOver),O8,3),IF(OR(WeekDef=1,WeekDef=3,WeekDef=5,WeekDef=6,AND(WeekDef=8,CustomSuFlag,OR(CustomSuPeriod=1,CustomSuPeriod=2))),IF(VolumeMonthlyOverFlag,INDEX(IF(DiffOptVolumeFlag,DiffOptVolumeMonthlyOver,VolumeMonthlyOver),BJ36),IF(DiffOptVolumeFlag,DiffOptVolume,Volume)),0))</f>
        <v>600</v>
      </c>
      <c r="BU36" s="1647" t="n">
        <f aca="false">IF(AND(WeekDef=8,CustomSuFlag,CustomSuPeriod=4),INDEX(IF(DiffOptVolumeFlag,DiffOptVolumeHourlyOver,VolumeHourlyOver),P8,3),IF(OR(WeekDef=1,WeekDef=3,WeekDef=5,WeekDef=6,AND(WeekDef=8,CustomSuFlag,OR(CustomSuPeriod=1,CustomSuPeriod=2))),IF(VolumeMonthlyOverFlag,INDEX(IF(DiffOptVolumeFlag,DiffOptVolumeMonthlyOver,VolumeMonthlyOver),BJ36),IF(DiffOptVolumeFlag,DiffOptVolume,Volume)),0))</f>
        <v>600</v>
      </c>
      <c r="BV36" s="1647" t="n">
        <f aca="false">IF(AND(WeekDef=8,CustomSuFlag,CustomSuPeriod=4),INDEX(IF(DiffOptVolumeFlag,DiffOptVolumeHourlyOver,VolumeHourlyOver),Q8,3),IF(OR(WeekDef=1,WeekDef=3,WeekDef=5,WeekDef=6,AND(WeekDef=8,CustomSuFlag,OR(CustomSuPeriod=1,CustomSuPeriod=2))),IF(VolumeMonthlyOverFlag,INDEX(IF(DiffOptVolumeFlag,DiffOptVolumeMonthlyOver,VolumeMonthlyOver),BJ36),IF(DiffOptVolumeFlag,DiffOptVolume,Volume)),0))</f>
        <v>600</v>
      </c>
      <c r="BW36" s="1647" t="n">
        <f aca="false">IF(AND(WeekDef=8,CustomSuFlag,CustomSuPeriod=4),INDEX(IF(DiffOptVolumeFlag,DiffOptVolumeHourlyOver,VolumeHourlyOver),R8,3),IF(OR(WeekDef=1,WeekDef=3,WeekDef=5,WeekDef=6,AND(WeekDef=8,CustomSuFlag,OR(CustomSuPeriod=1,CustomSuPeriod=2))),IF(VolumeMonthlyOverFlag,INDEX(IF(DiffOptVolumeFlag,DiffOptVolumeMonthlyOver,VolumeMonthlyOver),BJ36),IF(DiffOptVolumeFlag,DiffOptVolume,Volume)),0))</f>
        <v>600</v>
      </c>
      <c r="BX36" s="1647" t="n">
        <f aca="false">IF(AND(WeekDef=8,CustomSuFlag,CustomSuPeriod=4),INDEX(IF(DiffOptVolumeFlag,DiffOptVolumeHourlyOver,VolumeHourlyOver),S8,3),IF(OR(WeekDef=1,WeekDef=3,WeekDef=5,WeekDef=6,AND(WeekDef=8,CustomSuFlag,OR(CustomSuPeriod=1,CustomSuPeriod=2))),IF(VolumeMonthlyOverFlag,INDEX(IF(DiffOptVolumeFlag,DiffOptVolumeMonthlyOver,VolumeMonthlyOver),BJ36),IF(DiffOptVolumeFlag,DiffOptVolume,Volume)),0))</f>
        <v>600</v>
      </c>
      <c r="BY36" s="1647" t="n">
        <f aca="false">IF(AND(WeekDef=8,CustomSuFlag,CustomSuPeriod=4),INDEX(IF(DiffOptVolumeFlag,DiffOptVolumeHourlyOver,VolumeHourlyOver),T8,3),IF(OR(WeekDef=1,WeekDef=3,WeekDef=5,WeekDef=6,AND(WeekDef=8,CustomSuFlag,OR(CustomSuPeriod=1,CustomSuPeriod=2))),IF(VolumeMonthlyOverFlag,INDEX(IF(DiffOptVolumeFlag,DiffOptVolumeMonthlyOver,VolumeMonthlyOver),BJ36),IF(DiffOptVolumeFlag,DiffOptVolume,Volume)),0))</f>
        <v>600</v>
      </c>
      <c r="BZ36" s="1648" t="n">
        <f aca="false">IF(AND(WeekDef=8,CustomSuFlag,CustomSuPeriod=4),INDEX(IF(DiffOptVolumeFlag,DiffOptVolumeHourlyOver,VolumeHourlyOver),U8,3),IF(OR(WeekDef=1,WeekDef=3,WeekDef=5,WeekDef=6,AND(WeekDef=8,CustomSuFlag,OR(CustomSuPeriod=1,CustomSuPeriod=2))),IF(VolumeMonthlyOverFlag,INDEX(IF(DiffOptVolumeFlag,DiffOptVolumeMonthlyOver,VolumeMonthlyOver),BJ36),IF(DiffOptVolumeFlag,DiffOptVolume,Volume)),0))</f>
        <v>600</v>
      </c>
      <c r="CA36" s="1647" t="n">
        <f aca="false">IF(AND(WeekDef=8,CustomSuFlag,CustomSuPeriod=4),INDEX(IF(DiffOptVolumeFlag,DiffOptVolumeHourlyOver,VolumeHourlyOver),V8,3),IF(OR(WeekDef=1,WeekDef=3,WeekDef=5,WeekDef=7,AND(WeekDef=8,CustomSuFlag,OR(CustomSuPeriod=1,CustomSuPeriod=3))),IF(VolumeMonthlyOverFlag,INDEX(IF(DiffOptVolumeFlag,DiffOptVolumeMonthlyOver,VolumeMonthlyOver),BJ36),IF(DiffOptVolumeFlag,DiffOptVolume,Volume)),0))</f>
        <v>600</v>
      </c>
      <c r="CB36" s="1647" t="n">
        <f aca="false">IF(AND(WeekDef=8,CustomSuFlag,CustomSuPeriod=4),INDEX(IF(DiffOptVolumeFlag,DiffOptVolumeHourlyOver,VolumeHourlyOver),W8,3),IF(OR(WeekDef=1,WeekDef=3,WeekDef=5,WeekDef=7,AND(WeekDef=8,CustomSuFlag,OR(CustomSuPeriod=1,CustomSuPeriod=3))),IF(VolumeMonthlyOverFlag,INDEX(IF(DiffOptVolumeFlag,DiffOptVolumeMonthlyOver,VolumeMonthlyOver),BJ36),IF(DiffOptVolumeFlag,DiffOptVolume,Volume)),0))</f>
        <v>600</v>
      </c>
      <c r="CC36" s="1647" t="n">
        <f aca="false">IF(AND(WeekDef=8,CustomSuFlag,CustomSuPeriod=4),INDEX(IF(DiffOptVolumeFlag,DiffOptVolumeHourlyOver,VolumeHourlyOver),X8,3),IF(OR(WeekDef=1,WeekDef=3,WeekDef=5,WeekDef=7,AND(WeekDef=8,CustomSuFlag,OR(CustomSuPeriod=1,CustomSuPeriod=3))),IF(VolumeMonthlyOverFlag,INDEX(IF(DiffOptVolumeFlag,DiffOptVolumeMonthlyOver,VolumeMonthlyOver),BJ36),IF(DiffOptVolumeFlag,DiffOptVolume,Volume)),0))</f>
        <v>600</v>
      </c>
      <c r="CD36" s="1647" t="n">
        <f aca="false">IF(AND(WeekDef=8,CustomSuFlag,CustomSuPeriod=4),INDEX(IF(DiffOptVolumeFlag,DiffOptVolumeHourlyOver,VolumeHourlyOver),Y8,3),IF(OR(WeekDef=1,WeekDef=3,WeekDef=5,WeekDef=7,AND(WeekDef=8,CustomSuFlag,OR(CustomSuPeriod=1,CustomSuPeriod=3))),IF(VolumeMonthlyOverFlag,INDEX(IF(DiffOptVolumeFlag,DiffOptVolumeMonthlyOver,VolumeMonthlyOver),BJ36),IF(DiffOptVolumeFlag,DiffOptVolume,Volume)),0))</f>
        <v>600</v>
      </c>
      <c r="CE36" s="1647" t="n">
        <f aca="false">IF(AND(WeekDef=8,CustomSuFlag,CustomSuPeriod=4),INDEX(IF(DiffOptVolumeFlag,DiffOptVolumeHourlyOver,VolumeHourlyOver),Z8,3),IF(OR(WeekDef=1,WeekDef=3,WeekDef=5,WeekDef=7,AND(WeekDef=8,CustomSuFlag,OR(CustomSuPeriod=1,CustomSuPeriod=3))),IF(VolumeMonthlyOverFlag,INDEX(IF(DiffOptVolumeFlag,DiffOptVolumeMonthlyOver,VolumeMonthlyOver),BJ36),IF(DiffOptVolumeFlag,DiffOptVolume,Volume)),0))</f>
        <v>600</v>
      </c>
      <c r="CF36" s="1647" t="n">
        <f aca="false">IF(AND(WeekDef=8,CustomSuFlag,CustomSuPeriod=4),INDEX(IF(DiffOptVolumeFlag,DiffOptVolumeHourlyOver,VolumeHourlyOver),AA8,3),IF(OR(WeekDef=1,WeekDef=3,WeekDef=5,WeekDef=7,AND(WeekDef=8,CustomSuFlag,OR(CustomSuPeriod=1,CustomSuPeriod=3))),IF(VolumeMonthlyOverFlag,INDEX(IF(DiffOptVolumeFlag,DiffOptVolumeMonthlyOver,VolumeMonthlyOver),BJ36),IF(DiffOptVolumeFlag,DiffOptVolume,Volume)),0))</f>
        <v>600</v>
      </c>
      <c r="CG36" s="1647" t="n">
        <f aca="false">IF(AND(WeekDef=8,CustomSuFlag,CustomSuPeriod=4),INDEX(IF(DiffOptVolumeFlag,DiffOptVolumeHourlyOver,VolumeHourlyOver),AB8,3),IF(OR(WeekDef=1,WeekDef=3,WeekDef=5,WeekDef=7,AND(WeekDef=8,CustomSuFlag,OR(CustomSuPeriod=1,CustomSuPeriod=3))),IF(VolumeMonthlyOverFlag,INDEX(IF(DiffOptVolumeFlag,DiffOptVolumeMonthlyOver,VolumeMonthlyOver),BJ36),IF(DiffOptVolumeFlag,DiffOptVolume,Volume)),0))</f>
        <v>600</v>
      </c>
      <c r="CH36" s="1648" t="n">
        <f aca="false">IF(AND(WeekDef=8,CustomSuFlag,CustomSuPeriod=4),INDEX(IF(DiffOptVolumeFlag,DiffOptVolumeHourlyOver,VolumeHourlyOver),AC8,3),IF(OR(WeekDef=1,WeekDef=3,WeekDef=5,WeekDef=7,AND(WeekDef=8,CustomSuFlag,OR(CustomSuPeriod=1,CustomSuPeriod=3))),IF(VolumeMonthlyOverFlag,INDEX(IF(DiffOptVolumeFlag,DiffOptVolumeMonthlyOver,VolumeMonthlyOver),BJ36),IF(DiffOptVolumeFlag,DiffOptVolume,Volume)),0))</f>
        <v>600</v>
      </c>
      <c r="CI36" s="1652" t="n">
        <f aca="false">SUM(BK36:BZ36)</f>
        <v>9600</v>
      </c>
      <c r="CJ36" s="1653" t="n">
        <f aca="false">SUM(CA36:CH36)</f>
        <v>4800</v>
      </c>
      <c r="CK36" s="1654" t="n">
        <f aca="false">CI36+CJ36</f>
        <v>14400</v>
      </c>
      <c r="CL36" s="1674" t="n">
        <f aca="false">IF(CI36,SUMPRODUCT(BK36:BZ36,F24:U24)/CI36,0)</f>
        <v>1</v>
      </c>
      <c r="CM36" s="1655" t="n">
        <f aca="false">IF(CJ36,SUMPRODUCT(CA36:CH36,V24:AC24)/CJ36,0)</f>
        <v>1.00000000745058</v>
      </c>
    </row>
    <row r="37" customFormat="false" ht="12.75" hidden="false" customHeight="false" outlineLevel="0" collapsed="false">
      <c r="A37" s="1688" t="n">
        <v>1</v>
      </c>
      <c r="B37" s="1689" t="n">
        <f aca="false">IF(A37=MONTH(CurveDate+31),EOMONTH(CurveDate+31,0),EOMONTH(CurveDate+31,MOD(A37-MONTH(CurveDate+31),12)-1)+1)</f>
        <v>36892</v>
      </c>
      <c r="C37" s="1690" t="n">
        <f aca="false">VLOOKUP(B37,PriceTable,3,0)+IF(BasisNumber&lt;&gt;1,VLOOKUP(B37,BasisTable,2,0),0)</f>
        <v>35</v>
      </c>
      <c r="D37" s="1690" t="n">
        <f aca="false">VLOOKUP(B37,PriceTable,7,0)+IF(BasisNumber&lt;&gt;1,VLOOKUP(B37,BasisTable,3,0),0)</f>
        <v>19.3064516129032</v>
      </c>
      <c r="E37" s="1636" t="n">
        <v>1</v>
      </c>
      <c r="F37" s="1691" t="n">
        <f aca="false">C37*F21</f>
        <v>40.8886861801147</v>
      </c>
      <c r="G37" s="1692" t="n">
        <f aca="false">C37*G21</f>
        <v>40.1131927967072</v>
      </c>
      <c r="H37" s="1692" t="n">
        <f aca="false">C37*H21</f>
        <v>37.6271545886993</v>
      </c>
      <c r="I37" s="1692" t="n">
        <f aca="false">C37*I21</f>
        <v>37.1844458580017</v>
      </c>
      <c r="J37" s="1692" t="n">
        <f aca="false">C37*J21</f>
        <v>36.9852381944656</v>
      </c>
      <c r="K37" s="1692" t="n">
        <f aca="false">C37*K21</f>
        <v>36.5144580602646</v>
      </c>
      <c r="L37" s="1692" t="n">
        <f aca="false">C37*L21</f>
        <v>35.8444660902023</v>
      </c>
      <c r="M37" s="1692" t="n">
        <f aca="false">C37*M21</f>
        <v>34.6049851179123</v>
      </c>
      <c r="N37" s="1692" t="n">
        <f aca="false">C37*N21</f>
        <v>34.402351975441</v>
      </c>
      <c r="O37" s="1692" t="n">
        <f aca="false">C37*O21</f>
        <v>34.1694924235344</v>
      </c>
      <c r="P37" s="1692" t="n">
        <f aca="false">C37*P21</f>
        <v>33.4522092342377</v>
      </c>
      <c r="Q37" s="1692" t="n">
        <f aca="false">C37*Q21</f>
        <v>32.3642003536224</v>
      </c>
      <c r="R37" s="1692" t="n">
        <f aca="false">C37*R21</f>
        <v>32.059023976326</v>
      </c>
      <c r="S37" s="1692" t="n">
        <f aca="false">C37*S21</f>
        <v>31.927447617054</v>
      </c>
      <c r="T37" s="1692" t="n">
        <f aca="false">C37*T21</f>
        <v>31.5387496352196</v>
      </c>
      <c r="U37" s="1693" t="n">
        <f aca="false">C37*U21</f>
        <v>30.3238958120346</v>
      </c>
      <c r="V37" s="1692" t="n">
        <f aca="false">D37*V21</f>
        <v>22.0742985260102</v>
      </c>
      <c r="W37" s="1692" t="n">
        <f aca="false">D37*W21</f>
        <v>22.0178931586204</v>
      </c>
      <c r="X37" s="1692" t="n">
        <f aca="false">D37*X21</f>
        <v>19.6879519435667</v>
      </c>
      <c r="Y37" s="1692" t="n">
        <f aca="false">D37*Y21</f>
        <v>18.785478723626</v>
      </c>
      <c r="Z37" s="1692" t="n">
        <f aca="false">D37*Z21</f>
        <v>18.6692019172253</v>
      </c>
      <c r="AA37" s="1692" t="n">
        <f aca="false">D37*AA21</f>
        <v>17.8763012097728</v>
      </c>
      <c r="AB37" s="1692" t="n">
        <f aca="false">D37*AB21</f>
        <v>17.793095928046</v>
      </c>
      <c r="AC37" s="1693" t="n">
        <f aca="false">D37*AC21</f>
        <v>17.5473903456042</v>
      </c>
      <c r="AD37" s="1658"/>
      <c r="AE37" s="1636" t="n">
        <v>5</v>
      </c>
      <c r="AF37" s="1646" t="n">
        <f aca="false">IF(AND(WeekDef=8,CustomSuFlag,CustomSuPeriod=4),INDEX(VolumeHourlyOver,F9,3),IF(OR(WeekDef=1,WeekDef=3,WeekDef=5,WeekDef=6,AND(WeekDef=8,CustomSuFlag,OR(CustomSuPeriod=1,CustomSuPeriod=2))),IF(VolumeMonthlyOverFlag,INDEX(VolumeMonthlyOver,AE37),Volume),0))</f>
        <v>150</v>
      </c>
      <c r="AG37" s="1647" t="n">
        <f aca="false">IF(AND(WeekDef=8,CustomSuFlag,CustomSuPeriod=4),INDEX(VolumeHourlyOver,G9,3),IF(OR(WeekDef=1,WeekDef=3,WeekDef=5,WeekDef=6,AND(WeekDef=8,CustomSuFlag,OR(CustomSuPeriod=1,CustomSuPeriod=2))),IF(VolumeMonthlyOverFlag,INDEX(VolumeMonthlyOver,AE37),Volume),0))</f>
        <v>150</v>
      </c>
      <c r="AH37" s="1647" t="n">
        <f aca="false">IF(AND(WeekDef=8,CustomSuFlag,CustomSuPeriod=4),INDEX(VolumeHourlyOver,H9,3),IF(OR(WeekDef=1,WeekDef=3,WeekDef=5,WeekDef=6,AND(WeekDef=8,CustomSuFlag,OR(CustomSuPeriod=1,CustomSuPeriod=2))),IF(VolumeMonthlyOverFlag,INDEX(VolumeMonthlyOver,AE37),Volume),0))</f>
        <v>150</v>
      </c>
      <c r="AI37" s="1647" t="n">
        <f aca="false">IF(AND(WeekDef=8,CustomSuFlag,CustomSuPeriod=4),INDEX(VolumeHourlyOver,I9,3),IF(OR(WeekDef=1,WeekDef=3,WeekDef=5,WeekDef=6,AND(WeekDef=8,CustomSuFlag,OR(CustomSuPeriod=1,CustomSuPeriod=2))),IF(VolumeMonthlyOverFlag,INDEX(VolumeMonthlyOver,AE37),Volume),0))</f>
        <v>150</v>
      </c>
      <c r="AJ37" s="1647" t="n">
        <f aca="false">IF(AND(WeekDef=8,CustomSuFlag,CustomSuPeriod=4),INDEX(VolumeHourlyOver,J9,3),IF(OR(WeekDef=1,WeekDef=3,WeekDef=5,WeekDef=6,AND(WeekDef=8,CustomSuFlag,OR(CustomSuPeriod=1,CustomSuPeriod=2))),IF(VolumeMonthlyOverFlag,INDEX(VolumeMonthlyOver,AE37),Volume),0))</f>
        <v>150</v>
      </c>
      <c r="AK37" s="1647" t="n">
        <f aca="false">IF(AND(WeekDef=8,CustomSuFlag,CustomSuPeriod=4),INDEX(VolumeHourlyOver,K9,3),IF(OR(WeekDef=1,WeekDef=3,WeekDef=5,WeekDef=6,AND(WeekDef=8,CustomSuFlag,OR(CustomSuPeriod=1,CustomSuPeriod=2))),IF(VolumeMonthlyOverFlag,INDEX(VolumeMonthlyOver,AE37),Volume),0))</f>
        <v>150</v>
      </c>
      <c r="AL37" s="1647" t="n">
        <f aca="false">IF(AND(WeekDef=8,CustomSuFlag,CustomSuPeriod=4),INDEX(VolumeHourlyOver,L9,3),IF(OR(WeekDef=1,WeekDef=3,WeekDef=5,WeekDef=6,AND(WeekDef=8,CustomSuFlag,OR(CustomSuPeriod=1,CustomSuPeriod=2))),IF(VolumeMonthlyOverFlag,INDEX(VolumeMonthlyOver,AE37),Volume),0))</f>
        <v>150</v>
      </c>
      <c r="AM37" s="1647" t="n">
        <f aca="false">IF(AND(WeekDef=8,CustomSuFlag,CustomSuPeriod=4),INDEX(VolumeHourlyOver,M9,3),IF(OR(WeekDef=1,WeekDef=3,WeekDef=5,WeekDef=6,AND(WeekDef=8,CustomSuFlag,OR(CustomSuPeriod=1,CustomSuPeriod=2))),IF(VolumeMonthlyOverFlag,INDEX(VolumeMonthlyOver,AE37),Volume),0))</f>
        <v>150</v>
      </c>
      <c r="AN37" s="1647" t="n">
        <f aca="false">IF(AND(WeekDef=8,CustomSuFlag,CustomSuPeriod=4),INDEX(VolumeHourlyOver,N9,3),IF(OR(WeekDef=1,WeekDef=3,WeekDef=5,WeekDef=6,AND(WeekDef=8,CustomSuFlag,OR(CustomSuPeriod=1,CustomSuPeriod=2))),IF(VolumeMonthlyOverFlag,INDEX(VolumeMonthlyOver,AE37),Volume),0))</f>
        <v>150</v>
      </c>
      <c r="AO37" s="1647" t="n">
        <f aca="false">IF(AND(WeekDef=8,CustomSuFlag,CustomSuPeriod=4),INDEX(VolumeHourlyOver,O9,3),IF(OR(WeekDef=1,WeekDef=3,WeekDef=5,WeekDef=6,AND(WeekDef=8,CustomSuFlag,OR(CustomSuPeriod=1,CustomSuPeriod=2))),IF(VolumeMonthlyOverFlag,INDEX(VolumeMonthlyOver,AE37),Volume),0))</f>
        <v>150</v>
      </c>
      <c r="AP37" s="1647" t="n">
        <f aca="false">IF(AND(WeekDef=8,CustomSuFlag,CustomSuPeriod=4),INDEX(VolumeHourlyOver,P9,3),IF(OR(WeekDef=1,WeekDef=3,WeekDef=5,WeekDef=6,AND(WeekDef=8,CustomSuFlag,OR(CustomSuPeriod=1,CustomSuPeriod=2))),IF(VolumeMonthlyOverFlag,INDEX(VolumeMonthlyOver,AE37),Volume),0))</f>
        <v>150</v>
      </c>
      <c r="AQ37" s="1647" t="n">
        <f aca="false">IF(AND(WeekDef=8,CustomSuFlag,CustomSuPeriod=4),INDEX(VolumeHourlyOver,Q9,3),IF(OR(WeekDef=1,WeekDef=3,WeekDef=5,WeekDef=6,AND(WeekDef=8,CustomSuFlag,OR(CustomSuPeriod=1,CustomSuPeriod=2))),IF(VolumeMonthlyOverFlag,INDEX(VolumeMonthlyOver,AE37),Volume),0))</f>
        <v>150</v>
      </c>
      <c r="AR37" s="1647" t="n">
        <f aca="false">IF(AND(WeekDef=8,CustomSuFlag,CustomSuPeriod=4),INDEX(VolumeHourlyOver,R9,3),IF(OR(WeekDef=1,WeekDef=3,WeekDef=5,WeekDef=6,AND(WeekDef=8,CustomSuFlag,OR(CustomSuPeriod=1,CustomSuPeriod=2))),IF(VolumeMonthlyOverFlag,INDEX(VolumeMonthlyOver,AE37),Volume),0))</f>
        <v>150</v>
      </c>
      <c r="AS37" s="1647" t="n">
        <f aca="false">IF(AND(WeekDef=8,CustomSuFlag,CustomSuPeriod=4),INDEX(VolumeHourlyOver,S9,3),IF(OR(WeekDef=1,WeekDef=3,WeekDef=5,WeekDef=6,AND(WeekDef=8,CustomSuFlag,OR(CustomSuPeriod=1,CustomSuPeriod=2))),IF(VolumeMonthlyOverFlag,INDEX(VolumeMonthlyOver,AE37),Volume),0))</f>
        <v>150</v>
      </c>
      <c r="AT37" s="1647" t="n">
        <f aca="false">IF(AND(WeekDef=8,CustomSuFlag,CustomSuPeriod=4),INDEX(VolumeHourlyOver,T9,3),IF(OR(WeekDef=1,WeekDef=3,WeekDef=5,WeekDef=6,AND(WeekDef=8,CustomSuFlag,OR(CustomSuPeriod=1,CustomSuPeriod=2))),IF(VolumeMonthlyOverFlag,INDEX(VolumeMonthlyOver,AE37),Volume),0))</f>
        <v>150</v>
      </c>
      <c r="AU37" s="1648" t="n">
        <f aca="false">IF(AND(WeekDef=8,CustomSuFlag,CustomSuPeriod=4),INDEX(VolumeHourlyOver,U9,3),IF(OR(WeekDef=1,WeekDef=3,WeekDef=5,WeekDef=6,AND(WeekDef=8,CustomSuFlag,OR(CustomSuPeriod=1,CustomSuPeriod=2))),IF(VolumeMonthlyOverFlag,INDEX(VolumeMonthlyOver,AE37),Volume),0))</f>
        <v>150</v>
      </c>
      <c r="AV37" s="1647" t="n">
        <f aca="false">IF(AND(WeekDef=8,CustomSuFlag,CustomSuPeriod=4),INDEX(VolumeHourlyOver,V9,3),IF(OR(WeekDef=1,WeekDef=3,WeekDef=5,WeekDef=7,AND(WeekDef=8,CustomSuFlag,OR(CustomSuPeriod=1,CustomSuPeriod=3))),IF(VolumeMonthlyOverFlag,INDEX(VolumeMonthlyOver,AE37),Volume),0))</f>
        <v>150</v>
      </c>
      <c r="AW37" s="1647" t="n">
        <f aca="false">IF(AND(WeekDef=8,CustomSuFlag,CustomSuPeriod=4),INDEX(VolumeHourlyOver,W9,3),IF(OR(WeekDef=1,WeekDef=3,WeekDef=5,WeekDef=7,AND(WeekDef=8,CustomSuFlag,OR(CustomSuPeriod=1,CustomSuPeriod=3))),IF(VolumeMonthlyOverFlag,INDEX(VolumeMonthlyOver,AE37),Volume),0))</f>
        <v>150</v>
      </c>
      <c r="AX37" s="1647" t="n">
        <f aca="false">IF(AND(WeekDef=8,CustomSuFlag,CustomSuPeriod=4),INDEX(VolumeHourlyOver,X9,3),IF(OR(WeekDef=1,WeekDef=3,WeekDef=5,WeekDef=7,AND(WeekDef=8,CustomSuFlag,OR(CustomSuPeriod=1,CustomSuPeriod=3))),IF(VolumeMonthlyOverFlag,INDEX(VolumeMonthlyOver,AE37),Volume),0))</f>
        <v>150</v>
      </c>
      <c r="AY37" s="1647" t="n">
        <f aca="false">IF(AND(WeekDef=8,CustomSuFlag,CustomSuPeriod=4),INDEX(VolumeHourlyOver,Y9,3),IF(OR(WeekDef=1,WeekDef=3,WeekDef=5,WeekDef=7,AND(WeekDef=8,CustomSuFlag,OR(CustomSuPeriod=1,CustomSuPeriod=3))),IF(VolumeMonthlyOverFlag,INDEX(VolumeMonthlyOver,AE37),Volume),0))</f>
        <v>150</v>
      </c>
      <c r="AZ37" s="1647" t="n">
        <f aca="false">IF(AND(WeekDef=8,CustomSuFlag,CustomSuPeriod=4),INDEX(VolumeHourlyOver,Z9,3),IF(OR(WeekDef=1,WeekDef=3,WeekDef=5,WeekDef=7,AND(WeekDef=8,CustomSuFlag,OR(CustomSuPeriod=1,CustomSuPeriod=3))),IF(VolumeMonthlyOverFlag,INDEX(VolumeMonthlyOver,AE37),Volume),0))</f>
        <v>150</v>
      </c>
      <c r="BA37" s="1647" t="n">
        <f aca="false">IF(AND(WeekDef=8,CustomSuFlag,CustomSuPeriod=4),INDEX(VolumeHourlyOver,AA9,3),IF(OR(WeekDef=1,WeekDef=3,WeekDef=5,WeekDef=7,AND(WeekDef=8,CustomSuFlag,OR(CustomSuPeriod=1,CustomSuPeriod=3))),IF(VolumeMonthlyOverFlag,INDEX(VolumeMonthlyOver,AE37),Volume),0))</f>
        <v>150</v>
      </c>
      <c r="BB37" s="1647" t="n">
        <f aca="false">IF(AND(WeekDef=8,CustomSuFlag,CustomSuPeriod=4),INDEX(VolumeHourlyOver,AB9,3),IF(OR(WeekDef=1,WeekDef=3,WeekDef=5,WeekDef=7,AND(WeekDef=8,CustomSuFlag,OR(CustomSuPeriod=1,CustomSuPeriod=3))),IF(VolumeMonthlyOverFlag,INDEX(VolumeMonthlyOver,AE37),Volume),0))</f>
        <v>150</v>
      </c>
      <c r="BC37" s="1648" t="n">
        <f aca="false">IF(AND(WeekDef=8,CustomSuFlag,CustomSuPeriod=4),INDEX(VolumeHourlyOver,AC9,3),IF(OR(WeekDef=1,WeekDef=3,WeekDef=5,WeekDef=7,AND(WeekDef=8,CustomSuFlag,OR(CustomSuPeriod=1,CustomSuPeriod=3))),IF(VolumeMonthlyOverFlag,INDEX(VolumeMonthlyOver,AE37),Volume),0))</f>
        <v>150</v>
      </c>
      <c r="BD37" s="1652" t="n">
        <f aca="false">SUM(AF37:AU37)</f>
        <v>2400</v>
      </c>
      <c r="BE37" s="1653" t="n">
        <f aca="false">SUM(AV37:BC37)</f>
        <v>1200</v>
      </c>
      <c r="BF37" s="1654" t="n">
        <f aca="false">BD37+BE37</f>
        <v>3600</v>
      </c>
      <c r="BG37" s="1674" t="n">
        <f aca="false">IF(BD37,SUMPRODUCT(AF37:AU37,F25:U25)/BD37,0)</f>
        <v>1</v>
      </c>
      <c r="BH37" s="1655" t="n">
        <f aca="false">IF(BE37,SUMPRODUCT(AV37:BC37,V25:AC25)/BE37,0)</f>
        <v>1</v>
      </c>
      <c r="BJ37" s="1636" t="n">
        <v>5</v>
      </c>
      <c r="BK37" s="1646" t="n">
        <f aca="false">IF(AND(WeekDef=8,CustomSuFlag,CustomSuPeriod=4),INDEX(IF(DiffOptVolumeFlag,DiffOptVolumeHourlyOver,VolumeHourlyOver),F9,3),IF(OR(WeekDef=1,WeekDef=3,WeekDef=5,WeekDef=6,AND(WeekDef=8,CustomSuFlag,OR(CustomSuPeriod=1,CustomSuPeriod=2))),IF(VolumeMonthlyOverFlag,INDEX(IF(DiffOptVolumeFlag,DiffOptVolumeMonthlyOver,VolumeMonthlyOver),BJ37),IF(DiffOptVolumeFlag,DiffOptVolume,Volume)),0))</f>
        <v>600</v>
      </c>
      <c r="BL37" s="1647" t="n">
        <f aca="false">IF(AND(WeekDef=8,CustomSuFlag,CustomSuPeriod=4),INDEX(IF(DiffOptVolumeFlag,DiffOptVolumeHourlyOver,VolumeHourlyOver),G9,3),IF(OR(WeekDef=1,WeekDef=3,WeekDef=5,WeekDef=6,AND(WeekDef=8,CustomSuFlag,OR(CustomSuPeriod=1,CustomSuPeriod=2))),IF(VolumeMonthlyOverFlag,INDEX(IF(DiffOptVolumeFlag,DiffOptVolumeMonthlyOver,VolumeMonthlyOver),BJ37),IF(DiffOptVolumeFlag,DiffOptVolume,Volume)),0))</f>
        <v>600</v>
      </c>
      <c r="BM37" s="1647" t="n">
        <f aca="false">IF(AND(WeekDef=8,CustomSuFlag,CustomSuPeriod=4),INDEX(IF(DiffOptVolumeFlag,DiffOptVolumeHourlyOver,VolumeHourlyOver),H9,3),IF(OR(WeekDef=1,WeekDef=3,WeekDef=5,WeekDef=6,AND(WeekDef=8,CustomSuFlag,OR(CustomSuPeriod=1,CustomSuPeriod=2))),IF(VolumeMonthlyOverFlag,INDEX(IF(DiffOptVolumeFlag,DiffOptVolumeMonthlyOver,VolumeMonthlyOver),BJ37),IF(DiffOptVolumeFlag,DiffOptVolume,Volume)),0))</f>
        <v>600</v>
      </c>
      <c r="BN37" s="1647" t="n">
        <f aca="false">IF(AND(WeekDef=8,CustomSuFlag,CustomSuPeriod=4),INDEX(IF(DiffOptVolumeFlag,DiffOptVolumeHourlyOver,VolumeHourlyOver),I9,3),IF(OR(WeekDef=1,WeekDef=3,WeekDef=5,WeekDef=6,AND(WeekDef=8,CustomSuFlag,OR(CustomSuPeriod=1,CustomSuPeriod=2))),IF(VolumeMonthlyOverFlag,INDEX(IF(DiffOptVolumeFlag,DiffOptVolumeMonthlyOver,VolumeMonthlyOver),BJ37),IF(DiffOptVolumeFlag,DiffOptVolume,Volume)),0))</f>
        <v>600</v>
      </c>
      <c r="BO37" s="1647" t="n">
        <f aca="false">IF(AND(WeekDef=8,CustomSuFlag,CustomSuPeriod=4),INDEX(IF(DiffOptVolumeFlag,DiffOptVolumeHourlyOver,VolumeHourlyOver),J9,3),IF(OR(WeekDef=1,WeekDef=3,WeekDef=5,WeekDef=6,AND(WeekDef=8,CustomSuFlag,OR(CustomSuPeriod=1,CustomSuPeriod=2))),IF(VolumeMonthlyOverFlag,INDEX(IF(DiffOptVolumeFlag,DiffOptVolumeMonthlyOver,VolumeMonthlyOver),BJ37),IF(DiffOptVolumeFlag,DiffOptVolume,Volume)),0))</f>
        <v>600</v>
      </c>
      <c r="BP37" s="1647" t="n">
        <f aca="false">IF(AND(WeekDef=8,CustomSuFlag,CustomSuPeriod=4),INDEX(IF(DiffOptVolumeFlag,DiffOptVolumeHourlyOver,VolumeHourlyOver),K9,3),IF(OR(WeekDef=1,WeekDef=3,WeekDef=5,WeekDef=6,AND(WeekDef=8,CustomSuFlag,OR(CustomSuPeriod=1,CustomSuPeriod=2))),IF(VolumeMonthlyOverFlag,INDEX(IF(DiffOptVolumeFlag,DiffOptVolumeMonthlyOver,VolumeMonthlyOver),BJ37),IF(DiffOptVolumeFlag,DiffOptVolume,Volume)),0))</f>
        <v>600</v>
      </c>
      <c r="BQ37" s="1647" t="n">
        <f aca="false">IF(AND(WeekDef=8,CustomSuFlag,CustomSuPeriod=4),INDEX(IF(DiffOptVolumeFlag,DiffOptVolumeHourlyOver,VolumeHourlyOver),L9,3),IF(OR(WeekDef=1,WeekDef=3,WeekDef=5,WeekDef=6,AND(WeekDef=8,CustomSuFlag,OR(CustomSuPeriod=1,CustomSuPeriod=2))),IF(VolumeMonthlyOverFlag,INDEX(IF(DiffOptVolumeFlag,DiffOptVolumeMonthlyOver,VolumeMonthlyOver),BJ37),IF(DiffOptVolumeFlag,DiffOptVolume,Volume)),0))</f>
        <v>600</v>
      </c>
      <c r="BR37" s="1647" t="n">
        <f aca="false">IF(AND(WeekDef=8,CustomSuFlag,CustomSuPeriod=4),INDEX(IF(DiffOptVolumeFlag,DiffOptVolumeHourlyOver,VolumeHourlyOver),M9,3),IF(OR(WeekDef=1,WeekDef=3,WeekDef=5,WeekDef=6,AND(WeekDef=8,CustomSuFlag,OR(CustomSuPeriod=1,CustomSuPeriod=2))),IF(VolumeMonthlyOverFlag,INDEX(IF(DiffOptVolumeFlag,DiffOptVolumeMonthlyOver,VolumeMonthlyOver),BJ37),IF(DiffOptVolumeFlag,DiffOptVolume,Volume)),0))</f>
        <v>600</v>
      </c>
      <c r="BS37" s="1647" t="n">
        <f aca="false">IF(AND(WeekDef=8,CustomSuFlag,CustomSuPeriod=4),INDEX(IF(DiffOptVolumeFlag,DiffOptVolumeHourlyOver,VolumeHourlyOver),N9,3),IF(OR(WeekDef=1,WeekDef=3,WeekDef=5,WeekDef=6,AND(WeekDef=8,CustomSuFlag,OR(CustomSuPeriod=1,CustomSuPeriod=2))),IF(VolumeMonthlyOverFlag,INDEX(IF(DiffOptVolumeFlag,DiffOptVolumeMonthlyOver,VolumeMonthlyOver),BJ37),IF(DiffOptVolumeFlag,DiffOptVolume,Volume)),0))</f>
        <v>600</v>
      </c>
      <c r="BT37" s="1647" t="n">
        <f aca="false">IF(AND(WeekDef=8,CustomSuFlag,CustomSuPeriod=4),INDEX(IF(DiffOptVolumeFlag,DiffOptVolumeHourlyOver,VolumeHourlyOver),O9,3),IF(OR(WeekDef=1,WeekDef=3,WeekDef=5,WeekDef=6,AND(WeekDef=8,CustomSuFlag,OR(CustomSuPeriod=1,CustomSuPeriod=2))),IF(VolumeMonthlyOverFlag,INDEX(IF(DiffOptVolumeFlag,DiffOptVolumeMonthlyOver,VolumeMonthlyOver),BJ37),IF(DiffOptVolumeFlag,DiffOptVolume,Volume)),0))</f>
        <v>600</v>
      </c>
      <c r="BU37" s="1647" t="n">
        <f aca="false">IF(AND(WeekDef=8,CustomSuFlag,CustomSuPeriod=4),INDEX(IF(DiffOptVolumeFlag,DiffOptVolumeHourlyOver,VolumeHourlyOver),P9,3),IF(OR(WeekDef=1,WeekDef=3,WeekDef=5,WeekDef=6,AND(WeekDef=8,CustomSuFlag,OR(CustomSuPeriod=1,CustomSuPeriod=2))),IF(VolumeMonthlyOverFlag,INDEX(IF(DiffOptVolumeFlag,DiffOptVolumeMonthlyOver,VolumeMonthlyOver),BJ37),IF(DiffOptVolumeFlag,DiffOptVolume,Volume)),0))</f>
        <v>600</v>
      </c>
      <c r="BV37" s="1647" t="n">
        <f aca="false">IF(AND(WeekDef=8,CustomSuFlag,CustomSuPeriod=4),INDEX(IF(DiffOptVolumeFlag,DiffOptVolumeHourlyOver,VolumeHourlyOver),Q9,3),IF(OR(WeekDef=1,WeekDef=3,WeekDef=5,WeekDef=6,AND(WeekDef=8,CustomSuFlag,OR(CustomSuPeriod=1,CustomSuPeriod=2))),IF(VolumeMonthlyOverFlag,INDEX(IF(DiffOptVolumeFlag,DiffOptVolumeMonthlyOver,VolumeMonthlyOver),BJ37),IF(DiffOptVolumeFlag,DiffOptVolume,Volume)),0))</f>
        <v>600</v>
      </c>
      <c r="BW37" s="1647" t="n">
        <f aca="false">IF(AND(WeekDef=8,CustomSuFlag,CustomSuPeriod=4),INDEX(IF(DiffOptVolumeFlag,DiffOptVolumeHourlyOver,VolumeHourlyOver),R9,3),IF(OR(WeekDef=1,WeekDef=3,WeekDef=5,WeekDef=6,AND(WeekDef=8,CustomSuFlag,OR(CustomSuPeriod=1,CustomSuPeriod=2))),IF(VolumeMonthlyOverFlag,INDEX(IF(DiffOptVolumeFlag,DiffOptVolumeMonthlyOver,VolumeMonthlyOver),BJ37),IF(DiffOptVolumeFlag,DiffOptVolume,Volume)),0))</f>
        <v>600</v>
      </c>
      <c r="BX37" s="1647" t="n">
        <f aca="false">IF(AND(WeekDef=8,CustomSuFlag,CustomSuPeriod=4),INDEX(IF(DiffOptVolumeFlag,DiffOptVolumeHourlyOver,VolumeHourlyOver),S9,3),IF(OR(WeekDef=1,WeekDef=3,WeekDef=5,WeekDef=6,AND(WeekDef=8,CustomSuFlag,OR(CustomSuPeriod=1,CustomSuPeriod=2))),IF(VolumeMonthlyOverFlag,INDEX(IF(DiffOptVolumeFlag,DiffOptVolumeMonthlyOver,VolumeMonthlyOver),BJ37),IF(DiffOptVolumeFlag,DiffOptVolume,Volume)),0))</f>
        <v>600</v>
      </c>
      <c r="BY37" s="1647" t="n">
        <f aca="false">IF(AND(WeekDef=8,CustomSuFlag,CustomSuPeriod=4),INDEX(IF(DiffOptVolumeFlag,DiffOptVolumeHourlyOver,VolumeHourlyOver),T9,3),IF(OR(WeekDef=1,WeekDef=3,WeekDef=5,WeekDef=6,AND(WeekDef=8,CustomSuFlag,OR(CustomSuPeriod=1,CustomSuPeriod=2))),IF(VolumeMonthlyOverFlag,INDEX(IF(DiffOptVolumeFlag,DiffOptVolumeMonthlyOver,VolumeMonthlyOver),BJ37),IF(DiffOptVolumeFlag,DiffOptVolume,Volume)),0))</f>
        <v>600</v>
      </c>
      <c r="BZ37" s="1648" t="n">
        <f aca="false">IF(AND(WeekDef=8,CustomSuFlag,CustomSuPeriod=4),INDEX(IF(DiffOptVolumeFlag,DiffOptVolumeHourlyOver,VolumeHourlyOver),U9,3),IF(OR(WeekDef=1,WeekDef=3,WeekDef=5,WeekDef=6,AND(WeekDef=8,CustomSuFlag,OR(CustomSuPeriod=1,CustomSuPeriod=2))),IF(VolumeMonthlyOverFlag,INDEX(IF(DiffOptVolumeFlag,DiffOptVolumeMonthlyOver,VolumeMonthlyOver),BJ37),IF(DiffOptVolumeFlag,DiffOptVolume,Volume)),0))</f>
        <v>600</v>
      </c>
      <c r="CA37" s="1647" t="n">
        <f aca="false">IF(AND(WeekDef=8,CustomSuFlag,CustomSuPeriod=4),INDEX(IF(DiffOptVolumeFlag,DiffOptVolumeHourlyOver,VolumeHourlyOver),V9,3),IF(OR(WeekDef=1,WeekDef=3,WeekDef=5,WeekDef=7,AND(WeekDef=8,CustomSuFlag,OR(CustomSuPeriod=1,CustomSuPeriod=3))),IF(VolumeMonthlyOverFlag,INDEX(IF(DiffOptVolumeFlag,DiffOptVolumeMonthlyOver,VolumeMonthlyOver),BJ37),IF(DiffOptVolumeFlag,DiffOptVolume,Volume)),0))</f>
        <v>600</v>
      </c>
      <c r="CB37" s="1647" t="n">
        <f aca="false">IF(AND(WeekDef=8,CustomSuFlag,CustomSuPeriod=4),INDEX(IF(DiffOptVolumeFlag,DiffOptVolumeHourlyOver,VolumeHourlyOver),W9,3),IF(OR(WeekDef=1,WeekDef=3,WeekDef=5,WeekDef=7,AND(WeekDef=8,CustomSuFlag,OR(CustomSuPeriod=1,CustomSuPeriod=3))),IF(VolumeMonthlyOverFlag,INDEX(IF(DiffOptVolumeFlag,DiffOptVolumeMonthlyOver,VolumeMonthlyOver),BJ37),IF(DiffOptVolumeFlag,DiffOptVolume,Volume)),0))</f>
        <v>600</v>
      </c>
      <c r="CC37" s="1647" t="n">
        <f aca="false">IF(AND(WeekDef=8,CustomSuFlag,CustomSuPeriod=4),INDEX(IF(DiffOptVolumeFlag,DiffOptVolumeHourlyOver,VolumeHourlyOver),X9,3),IF(OR(WeekDef=1,WeekDef=3,WeekDef=5,WeekDef=7,AND(WeekDef=8,CustomSuFlag,OR(CustomSuPeriod=1,CustomSuPeriod=3))),IF(VolumeMonthlyOverFlag,INDEX(IF(DiffOptVolumeFlag,DiffOptVolumeMonthlyOver,VolumeMonthlyOver),BJ37),IF(DiffOptVolumeFlag,DiffOptVolume,Volume)),0))</f>
        <v>600</v>
      </c>
      <c r="CD37" s="1647" t="n">
        <f aca="false">IF(AND(WeekDef=8,CustomSuFlag,CustomSuPeriod=4),INDEX(IF(DiffOptVolumeFlag,DiffOptVolumeHourlyOver,VolumeHourlyOver),Y9,3),IF(OR(WeekDef=1,WeekDef=3,WeekDef=5,WeekDef=7,AND(WeekDef=8,CustomSuFlag,OR(CustomSuPeriod=1,CustomSuPeriod=3))),IF(VolumeMonthlyOverFlag,INDEX(IF(DiffOptVolumeFlag,DiffOptVolumeMonthlyOver,VolumeMonthlyOver),BJ37),IF(DiffOptVolumeFlag,DiffOptVolume,Volume)),0))</f>
        <v>600</v>
      </c>
      <c r="CE37" s="1647" t="n">
        <f aca="false">IF(AND(WeekDef=8,CustomSuFlag,CustomSuPeriod=4),INDEX(IF(DiffOptVolumeFlag,DiffOptVolumeHourlyOver,VolumeHourlyOver),Z9,3),IF(OR(WeekDef=1,WeekDef=3,WeekDef=5,WeekDef=7,AND(WeekDef=8,CustomSuFlag,OR(CustomSuPeriod=1,CustomSuPeriod=3))),IF(VolumeMonthlyOverFlag,INDEX(IF(DiffOptVolumeFlag,DiffOptVolumeMonthlyOver,VolumeMonthlyOver),BJ37),IF(DiffOptVolumeFlag,DiffOptVolume,Volume)),0))</f>
        <v>600</v>
      </c>
      <c r="CF37" s="1647" t="n">
        <f aca="false">IF(AND(WeekDef=8,CustomSuFlag,CustomSuPeriod=4),INDEX(IF(DiffOptVolumeFlag,DiffOptVolumeHourlyOver,VolumeHourlyOver),AA9,3),IF(OR(WeekDef=1,WeekDef=3,WeekDef=5,WeekDef=7,AND(WeekDef=8,CustomSuFlag,OR(CustomSuPeriod=1,CustomSuPeriod=3))),IF(VolumeMonthlyOverFlag,INDEX(IF(DiffOptVolumeFlag,DiffOptVolumeMonthlyOver,VolumeMonthlyOver),BJ37),IF(DiffOptVolumeFlag,DiffOptVolume,Volume)),0))</f>
        <v>600</v>
      </c>
      <c r="CG37" s="1647" t="n">
        <f aca="false">IF(AND(WeekDef=8,CustomSuFlag,CustomSuPeriod=4),INDEX(IF(DiffOptVolumeFlag,DiffOptVolumeHourlyOver,VolumeHourlyOver),AB9,3),IF(OR(WeekDef=1,WeekDef=3,WeekDef=5,WeekDef=7,AND(WeekDef=8,CustomSuFlag,OR(CustomSuPeriod=1,CustomSuPeriod=3))),IF(VolumeMonthlyOverFlag,INDEX(IF(DiffOptVolumeFlag,DiffOptVolumeMonthlyOver,VolumeMonthlyOver),BJ37),IF(DiffOptVolumeFlag,DiffOptVolume,Volume)),0))</f>
        <v>600</v>
      </c>
      <c r="CH37" s="1648" t="n">
        <f aca="false">IF(AND(WeekDef=8,CustomSuFlag,CustomSuPeriod=4),INDEX(IF(DiffOptVolumeFlag,DiffOptVolumeHourlyOver,VolumeHourlyOver),AC9,3),IF(OR(WeekDef=1,WeekDef=3,WeekDef=5,WeekDef=7,AND(WeekDef=8,CustomSuFlag,OR(CustomSuPeriod=1,CustomSuPeriod=3))),IF(VolumeMonthlyOverFlag,INDEX(IF(DiffOptVolumeFlag,DiffOptVolumeMonthlyOver,VolumeMonthlyOver),BJ37),IF(DiffOptVolumeFlag,DiffOptVolume,Volume)),0))</f>
        <v>600</v>
      </c>
      <c r="CI37" s="1652" t="n">
        <f aca="false">SUM(BK37:BZ37)</f>
        <v>9600</v>
      </c>
      <c r="CJ37" s="1653" t="n">
        <f aca="false">SUM(CA37:CH37)</f>
        <v>4800</v>
      </c>
      <c r="CK37" s="1654" t="n">
        <f aca="false">CI37+CJ37</f>
        <v>14400</v>
      </c>
      <c r="CL37" s="1674" t="n">
        <f aca="false">IF(CI37,SUMPRODUCT(BK37:BZ37,F25:U25)/CI37,0)</f>
        <v>1</v>
      </c>
      <c r="CM37" s="1655" t="n">
        <f aca="false">IF(CJ37,SUMPRODUCT(CA37:CH37,V25:AC25)/CJ37,0)</f>
        <v>1</v>
      </c>
    </row>
    <row r="38" customFormat="false" ht="12.75" hidden="false" customHeight="false" outlineLevel="0" collapsed="false">
      <c r="A38" s="1694" t="n">
        <v>2</v>
      </c>
      <c r="B38" s="1695" t="n">
        <f aca="false">IF(A38=MONTH(CurveDate+31),EOMONTH(CurveDate+31,0),EOMONTH(CurveDate+31,MOD(A38-MONTH(CurveDate+31),12)-1)+1)</f>
        <v>36923</v>
      </c>
      <c r="C38" s="1696" t="n">
        <f aca="false">VLOOKUP(B38,PriceTable,3,0)+IF(BasisNumber&lt;&gt;1,VLOOKUP(B38,BasisTable,2,0),0)</f>
        <v>34.5</v>
      </c>
      <c r="D38" s="1696" t="n">
        <f aca="false">VLOOKUP(B38,PriceTable,7,0)+IF(BasisNumber&lt;&gt;1,VLOOKUP(B38,BasisTable,3,0),0)</f>
        <v>19.6071428571429</v>
      </c>
      <c r="E38" s="1636" t="n">
        <v>2</v>
      </c>
      <c r="F38" s="1691" t="n">
        <f aca="false">C38*F22</f>
        <v>39.2136506438255</v>
      </c>
      <c r="G38" s="1692" t="n">
        <f aca="false">C38*G22</f>
        <v>38.2254050374031</v>
      </c>
      <c r="H38" s="1692" t="n">
        <f aca="false">C38*H22</f>
        <v>36.8192083239555</v>
      </c>
      <c r="I38" s="1692" t="n">
        <f aca="false">C38*I22</f>
        <v>36.5948347449303</v>
      </c>
      <c r="J38" s="1692" t="n">
        <f aca="false">C38*J22</f>
        <v>36.4758907556534</v>
      </c>
      <c r="K38" s="1692" t="n">
        <f aca="false">C38*K22</f>
        <v>35.4054030776024</v>
      </c>
      <c r="L38" s="1692" t="n">
        <f aca="false">C38*L22</f>
        <v>35.3086677789688</v>
      </c>
      <c r="M38" s="1692" t="n">
        <f aca="false">C38*M22</f>
        <v>34.5311579704285</v>
      </c>
      <c r="N38" s="1692" t="n">
        <f aca="false">C38*N22</f>
        <v>34.1284342110157</v>
      </c>
      <c r="O38" s="1692" t="n">
        <f aca="false">C38*O22</f>
        <v>33.1058371067047</v>
      </c>
      <c r="P38" s="1692" t="n">
        <f aca="false">C38*P22</f>
        <v>33.09916010499</v>
      </c>
      <c r="Q38" s="1692" t="n">
        <f aca="false">C38*Q22</f>
        <v>32.7514953911305</v>
      </c>
      <c r="R38" s="1692" t="n">
        <f aca="false">C38*R22</f>
        <v>31.6963214278221</v>
      </c>
      <c r="S38" s="1692" t="n">
        <f aca="false">C38*S22</f>
        <v>31.6666604876518</v>
      </c>
      <c r="T38" s="1692" t="n">
        <f aca="false">C38*T22</f>
        <v>31.6451406776905</v>
      </c>
      <c r="U38" s="1693" t="n">
        <f aca="false">C38*U22</f>
        <v>31.3327322602272</v>
      </c>
      <c r="V38" s="1692" t="n">
        <f aca="false">D38*V22</f>
        <v>22.9783008992672</v>
      </c>
      <c r="W38" s="1692" t="n">
        <f aca="false">D38*W22</f>
        <v>22.2579822880881</v>
      </c>
      <c r="X38" s="1692" t="n">
        <f aca="false">D38*X22</f>
        <v>19.8229530496257</v>
      </c>
      <c r="Y38" s="1692" t="n">
        <f aca="false">D38*Y22</f>
        <v>19.2393205378737</v>
      </c>
      <c r="Z38" s="1692" t="n">
        <f aca="false">D38*Z22</f>
        <v>18.580407711012</v>
      </c>
      <c r="AA38" s="1692" t="n">
        <f aca="false">D38*AA22</f>
        <v>18.2585015339511</v>
      </c>
      <c r="AB38" s="1692" t="n">
        <f aca="false">D38*AB22</f>
        <v>18.0142457485199</v>
      </c>
      <c r="AC38" s="1693" t="n">
        <f aca="false">D38*AC22</f>
        <v>17.7054299201284</v>
      </c>
      <c r="AD38" s="1658"/>
      <c r="AE38" s="1636" t="n">
        <v>6</v>
      </c>
      <c r="AF38" s="1646" t="n">
        <f aca="false">IF(AND(WeekDef=8,CustomSuFlag,CustomSuPeriod=4),INDEX(VolumeHourlyOver,F10,3),IF(OR(WeekDef=1,WeekDef=3,WeekDef=5,WeekDef=6,AND(WeekDef=8,CustomSuFlag,OR(CustomSuPeriod=1,CustomSuPeriod=2))),IF(VolumeMonthlyOverFlag,INDEX(VolumeMonthlyOver,AE38),Volume),0))</f>
        <v>150</v>
      </c>
      <c r="AG38" s="1647" t="n">
        <f aca="false">IF(AND(WeekDef=8,CustomSuFlag,CustomSuPeriod=4),INDEX(VolumeHourlyOver,G10,3),IF(OR(WeekDef=1,WeekDef=3,WeekDef=5,WeekDef=6,AND(WeekDef=8,CustomSuFlag,OR(CustomSuPeriod=1,CustomSuPeriod=2))),IF(VolumeMonthlyOverFlag,INDEX(VolumeMonthlyOver,AE38),Volume),0))</f>
        <v>150</v>
      </c>
      <c r="AH38" s="1647" t="n">
        <f aca="false">IF(AND(WeekDef=8,CustomSuFlag,CustomSuPeriod=4),INDEX(VolumeHourlyOver,H10,3),IF(OR(WeekDef=1,WeekDef=3,WeekDef=5,WeekDef=6,AND(WeekDef=8,CustomSuFlag,OR(CustomSuPeriod=1,CustomSuPeriod=2))),IF(VolumeMonthlyOverFlag,INDEX(VolumeMonthlyOver,AE38),Volume),0))</f>
        <v>150</v>
      </c>
      <c r="AI38" s="1647" t="n">
        <f aca="false">IF(AND(WeekDef=8,CustomSuFlag,CustomSuPeriod=4),INDEX(VolumeHourlyOver,I10,3),IF(OR(WeekDef=1,WeekDef=3,WeekDef=5,WeekDef=6,AND(WeekDef=8,CustomSuFlag,OR(CustomSuPeriod=1,CustomSuPeriod=2))),IF(VolumeMonthlyOverFlag,INDEX(VolumeMonthlyOver,AE38),Volume),0))</f>
        <v>150</v>
      </c>
      <c r="AJ38" s="1647" t="n">
        <f aca="false">IF(AND(WeekDef=8,CustomSuFlag,CustomSuPeriod=4),INDEX(VolumeHourlyOver,J10,3),IF(OR(WeekDef=1,WeekDef=3,WeekDef=5,WeekDef=6,AND(WeekDef=8,CustomSuFlag,OR(CustomSuPeriod=1,CustomSuPeriod=2))),IF(VolumeMonthlyOverFlag,INDEX(VolumeMonthlyOver,AE38),Volume),0))</f>
        <v>150</v>
      </c>
      <c r="AK38" s="1647" t="n">
        <f aca="false">IF(AND(WeekDef=8,CustomSuFlag,CustomSuPeriod=4),INDEX(VolumeHourlyOver,K10,3),IF(OR(WeekDef=1,WeekDef=3,WeekDef=5,WeekDef=6,AND(WeekDef=8,CustomSuFlag,OR(CustomSuPeriod=1,CustomSuPeriod=2))),IF(VolumeMonthlyOverFlag,INDEX(VolumeMonthlyOver,AE38),Volume),0))</f>
        <v>150</v>
      </c>
      <c r="AL38" s="1647" t="n">
        <f aca="false">IF(AND(WeekDef=8,CustomSuFlag,CustomSuPeriod=4),INDEX(VolumeHourlyOver,L10,3),IF(OR(WeekDef=1,WeekDef=3,WeekDef=5,WeekDef=6,AND(WeekDef=8,CustomSuFlag,OR(CustomSuPeriod=1,CustomSuPeriod=2))),IF(VolumeMonthlyOverFlag,INDEX(VolumeMonthlyOver,AE38),Volume),0))</f>
        <v>150</v>
      </c>
      <c r="AM38" s="1647" t="n">
        <f aca="false">IF(AND(WeekDef=8,CustomSuFlag,CustomSuPeriod=4),INDEX(VolumeHourlyOver,M10,3),IF(OR(WeekDef=1,WeekDef=3,WeekDef=5,WeekDef=6,AND(WeekDef=8,CustomSuFlag,OR(CustomSuPeriod=1,CustomSuPeriod=2))),IF(VolumeMonthlyOverFlag,INDEX(VolumeMonthlyOver,AE38),Volume),0))</f>
        <v>150</v>
      </c>
      <c r="AN38" s="1647" t="n">
        <f aca="false">IF(AND(WeekDef=8,CustomSuFlag,CustomSuPeriod=4),INDEX(VolumeHourlyOver,N10,3),IF(OR(WeekDef=1,WeekDef=3,WeekDef=5,WeekDef=6,AND(WeekDef=8,CustomSuFlag,OR(CustomSuPeriod=1,CustomSuPeriod=2))),IF(VolumeMonthlyOverFlag,INDEX(VolumeMonthlyOver,AE38),Volume),0))</f>
        <v>150</v>
      </c>
      <c r="AO38" s="1647" t="n">
        <f aca="false">IF(AND(WeekDef=8,CustomSuFlag,CustomSuPeriod=4),INDEX(VolumeHourlyOver,O10,3),IF(OR(WeekDef=1,WeekDef=3,WeekDef=5,WeekDef=6,AND(WeekDef=8,CustomSuFlag,OR(CustomSuPeriod=1,CustomSuPeriod=2))),IF(VolumeMonthlyOverFlag,INDEX(VolumeMonthlyOver,AE38),Volume),0))</f>
        <v>150</v>
      </c>
      <c r="AP38" s="1647" t="n">
        <f aca="false">IF(AND(WeekDef=8,CustomSuFlag,CustomSuPeriod=4),INDEX(VolumeHourlyOver,P10,3),IF(OR(WeekDef=1,WeekDef=3,WeekDef=5,WeekDef=6,AND(WeekDef=8,CustomSuFlag,OR(CustomSuPeriod=1,CustomSuPeriod=2))),IF(VolumeMonthlyOverFlag,INDEX(VolumeMonthlyOver,AE38),Volume),0))</f>
        <v>150</v>
      </c>
      <c r="AQ38" s="1647" t="n">
        <f aca="false">IF(AND(WeekDef=8,CustomSuFlag,CustomSuPeriod=4),INDEX(VolumeHourlyOver,Q10,3),IF(OR(WeekDef=1,WeekDef=3,WeekDef=5,WeekDef=6,AND(WeekDef=8,CustomSuFlag,OR(CustomSuPeriod=1,CustomSuPeriod=2))),IF(VolumeMonthlyOverFlag,INDEX(VolumeMonthlyOver,AE38),Volume),0))</f>
        <v>150</v>
      </c>
      <c r="AR38" s="1647" t="n">
        <f aca="false">IF(AND(WeekDef=8,CustomSuFlag,CustomSuPeriod=4),INDEX(VolumeHourlyOver,R10,3),IF(OR(WeekDef=1,WeekDef=3,WeekDef=5,WeekDef=6,AND(WeekDef=8,CustomSuFlag,OR(CustomSuPeriod=1,CustomSuPeriod=2))),IF(VolumeMonthlyOverFlag,INDEX(VolumeMonthlyOver,AE38),Volume),0))</f>
        <v>150</v>
      </c>
      <c r="AS38" s="1647" t="n">
        <f aca="false">IF(AND(WeekDef=8,CustomSuFlag,CustomSuPeriod=4),INDEX(VolumeHourlyOver,S10,3),IF(OR(WeekDef=1,WeekDef=3,WeekDef=5,WeekDef=6,AND(WeekDef=8,CustomSuFlag,OR(CustomSuPeriod=1,CustomSuPeriod=2))),IF(VolumeMonthlyOverFlag,INDEX(VolumeMonthlyOver,AE38),Volume),0))</f>
        <v>150</v>
      </c>
      <c r="AT38" s="1647" t="n">
        <f aca="false">IF(AND(WeekDef=8,CustomSuFlag,CustomSuPeriod=4),INDEX(VolumeHourlyOver,T10,3),IF(OR(WeekDef=1,WeekDef=3,WeekDef=5,WeekDef=6,AND(WeekDef=8,CustomSuFlag,OR(CustomSuPeriod=1,CustomSuPeriod=2))),IF(VolumeMonthlyOverFlag,INDEX(VolumeMonthlyOver,AE38),Volume),0))</f>
        <v>150</v>
      </c>
      <c r="AU38" s="1648" t="n">
        <f aca="false">IF(AND(WeekDef=8,CustomSuFlag,CustomSuPeriod=4),INDEX(VolumeHourlyOver,U10,3),IF(OR(WeekDef=1,WeekDef=3,WeekDef=5,WeekDef=6,AND(WeekDef=8,CustomSuFlag,OR(CustomSuPeriod=1,CustomSuPeriod=2))),IF(VolumeMonthlyOverFlag,INDEX(VolumeMonthlyOver,AE38),Volume),0))</f>
        <v>150</v>
      </c>
      <c r="AV38" s="1647" t="n">
        <f aca="false">IF(AND(WeekDef=8,CustomSuFlag,CustomSuPeriod=4),INDEX(VolumeHourlyOver,V10,3),IF(OR(WeekDef=1,WeekDef=3,WeekDef=5,WeekDef=7,AND(WeekDef=8,CustomSuFlag,OR(CustomSuPeriod=1,CustomSuPeriod=3))),IF(VolumeMonthlyOverFlag,INDEX(VolumeMonthlyOver,AE38),Volume),0))</f>
        <v>150</v>
      </c>
      <c r="AW38" s="1647" t="n">
        <f aca="false">IF(AND(WeekDef=8,CustomSuFlag,CustomSuPeriod=4),INDEX(VolumeHourlyOver,W10,3),IF(OR(WeekDef=1,WeekDef=3,WeekDef=5,WeekDef=7,AND(WeekDef=8,CustomSuFlag,OR(CustomSuPeriod=1,CustomSuPeriod=3))),IF(VolumeMonthlyOverFlag,INDEX(VolumeMonthlyOver,AE38),Volume),0))</f>
        <v>150</v>
      </c>
      <c r="AX38" s="1647" t="n">
        <f aca="false">IF(AND(WeekDef=8,CustomSuFlag,CustomSuPeriod=4),INDEX(VolumeHourlyOver,X10,3),IF(OR(WeekDef=1,WeekDef=3,WeekDef=5,WeekDef=7,AND(WeekDef=8,CustomSuFlag,OR(CustomSuPeriod=1,CustomSuPeriod=3))),IF(VolumeMonthlyOverFlag,INDEX(VolumeMonthlyOver,AE38),Volume),0))</f>
        <v>150</v>
      </c>
      <c r="AY38" s="1647" t="n">
        <f aca="false">IF(AND(WeekDef=8,CustomSuFlag,CustomSuPeriod=4),INDEX(VolumeHourlyOver,Y10,3),IF(OR(WeekDef=1,WeekDef=3,WeekDef=5,WeekDef=7,AND(WeekDef=8,CustomSuFlag,OR(CustomSuPeriod=1,CustomSuPeriod=3))),IF(VolumeMonthlyOverFlag,INDEX(VolumeMonthlyOver,AE38),Volume),0))</f>
        <v>150</v>
      </c>
      <c r="AZ38" s="1647" t="n">
        <f aca="false">IF(AND(WeekDef=8,CustomSuFlag,CustomSuPeriod=4),INDEX(VolumeHourlyOver,Z10,3),IF(OR(WeekDef=1,WeekDef=3,WeekDef=5,WeekDef=7,AND(WeekDef=8,CustomSuFlag,OR(CustomSuPeriod=1,CustomSuPeriod=3))),IF(VolumeMonthlyOverFlag,INDEX(VolumeMonthlyOver,AE38),Volume),0))</f>
        <v>150</v>
      </c>
      <c r="BA38" s="1647" t="n">
        <f aca="false">IF(AND(WeekDef=8,CustomSuFlag,CustomSuPeriod=4),INDEX(VolumeHourlyOver,AA10,3),IF(OR(WeekDef=1,WeekDef=3,WeekDef=5,WeekDef=7,AND(WeekDef=8,CustomSuFlag,OR(CustomSuPeriod=1,CustomSuPeriod=3))),IF(VolumeMonthlyOverFlag,INDEX(VolumeMonthlyOver,AE38),Volume),0))</f>
        <v>150</v>
      </c>
      <c r="BB38" s="1647" t="n">
        <f aca="false">IF(AND(WeekDef=8,CustomSuFlag,CustomSuPeriod=4),INDEX(VolumeHourlyOver,AB10,3),IF(OR(WeekDef=1,WeekDef=3,WeekDef=5,WeekDef=7,AND(WeekDef=8,CustomSuFlag,OR(CustomSuPeriod=1,CustomSuPeriod=3))),IF(VolumeMonthlyOverFlag,INDEX(VolumeMonthlyOver,AE38),Volume),0))</f>
        <v>150</v>
      </c>
      <c r="BC38" s="1648" t="n">
        <f aca="false">IF(AND(WeekDef=8,CustomSuFlag,CustomSuPeriod=4),INDEX(VolumeHourlyOver,AC10,3),IF(OR(WeekDef=1,WeekDef=3,WeekDef=5,WeekDef=7,AND(WeekDef=8,CustomSuFlag,OR(CustomSuPeriod=1,CustomSuPeriod=3))),IF(VolumeMonthlyOverFlag,INDEX(VolumeMonthlyOver,AE38),Volume),0))</f>
        <v>150</v>
      </c>
      <c r="BD38" s="1652" t="n">
        <f aca="false">SUM(AF38:AU38)</f>
        <v>2400</v>
      </c>
      <c r="BE38" s="1653" t="n">
        <f aca="false">SUM(AV38:BC38)</f>
        <v>1200</v>
      </c>
      <c r="BF38" s="1654" t="n">
        <f aca="false">BD38+BE38</f>
        <v>3600</v>
      </c>
      <c r="BG38" s="1674" t="n">
        <f aca="false">IF(BD38,SUMPRODUCT(AF38:AU38,F26:U26)/BD38,0)</f>
        <v>1.00000000745058</v>
      </c>
      <c r="BH38" s="1655" t="n">
        <f aca="false">IF(BE38,SUMPRODUCT(AV38:BC38,V26:AC26)/BE38,0)</f>
        <v>1.00000000745058</v>
      </c>
      <c r="BJ38" s="1636" t="n">
        <v>6</v>
      </c>
      <c r="BK38" s="1646" t="n">
        <f aca="false">IF(AND(WeekDef=8,CustomSuFlag,CustomSuPeriod=4),INDEX(IF(DiffOptVolumeFlag,DiffOptVolumeHourlyOver,VolumeHourlyOver),F10,3),IF(OR(WeekDef=1,WeekDef=3,WeekDef=5,WeekDef=6,AND(WeekDef=8,CustomSuFlag,OR(CustomSuPeriod=1,CustomSuPeriod=2))),IF(VolumeMonthlyOverFlag,INDEX(IF(DiffOptVolumeFlag,DiffOptVolumeMonthlyOver,VolumeMonthlyOver),BJ38),IF(DiffOptVolumeFlag,DiffOptVolume,Volume)),0))</f>
        <v>600</v>
      </c>
      <c r="BL38" s="1647" t="n">
        <f aca="false">IF(AND(WeekDef=8,CustomSuFlag,CustomSuPeriod=4),INDEX(IF(DiffOptVolumeFlag,DiffOptVolumeHourlyOver,VolumeHourlyOver),G10,3),IF(OR(WeekDef=1,WeekDef=3,WeekDef=5,WeekDef=6,AND(WeekDef=8,CustomSuFlag,OR(CustomSuPeriod=1,CustomSuPeriod=2))),IF(VolumeMonthlyOverFlag,INDEX(IF(DiffOptVolumeFlag,DiffOptVolumeMonthlyOver,VolumeMonthlyOver),BJ38),IF(DiffOptVolumeFlag,DiffOptVolume,Volume)),0))</f>
        <v>600</v>
      </c>
      <c r="BM38" s="1647" t="n">
        <f aca="false">IF(AND(WeekDef=8,CustomSuFlag,CustomSuPeriod=4),INDEX(IF(DiffOptVolumeFlag,DiffOptVolumeHourlyOver,VolumeHourlyOver),H10,3),IF(OR(WeekDef=1,WeekDef=3,WeekDef=5,WeekDef=6,AND(WeekDef=8,CustomSuFlag,OR(CustomSuPeriod=1,CustomSuPeriod=2))),IF(VolumeMonthlyOverFlag,INDEX(IF(DiffOptVolumeFlag,DiffOptVolumeMonthlyOver,VolumeMonthlyOver),BJ38),IF(DiffOptVolumeFlag,DiffOptVolume,Volume)),0))</f>
        <v>600</v>
      </c>
      <c r="BN38" s="1647" t="n">
        <f aca="false">IF(AND(WeekDef=8,CustomSuFlag,CustomSuPeriod=4),INDEX(IF(DiffOptVolumeFlag,DiffOptVolumeHourlyOver,VolumeHourlyOver),I10,3),IF(OR(WeekDef=1,WeekDef=3,WeekDef=5,WeekDef=6,AND(WeekDef=8,CustomSuFlag,OR(CustomSuPeriod=1,CustomSuPeriod=2))),IF(VolumeMonthlyOverFlag,INDEX(IF(DiffOptVolumeFlag,DiffOptVolumeMonthlyOver,VolumeMonthlyOver),BJ38),IF(DiffOptVolumeFlag,DiffOptVolume,Volume)),0))</f>
        <v>600</v>
      </c>
      <c r="BO38" s="1647" t="n">
        <f aca="false">IF(AND(WeekDef=8,CustomSuFlag,CustomSuPeriod=4),INDEX(IF(DiffOptVolumeFlag,DiffOptVolumeHourlyOver,VolumeHourlyOver),J10,3),IF(OR(WeekDef=1,WeekDef=3,WeekDef=5,WeekDef=6,AND(WeekDef=8,CustomSuFlag,OR(CustomSuPeriod=1,CustomSuPeriod=2))),IF(VolumeMonthlyOverFlag,INDEX(IF(DiffOptVolumeFlag,DiffOptVolumeMonthlyOver,VolumeMonthlyOver),BJ38),IF(DiffOptVolumeFlag,DiffOptVolume,Volume)),0))</f>
        <v>600</v>
      </c>
      <c r="BP38" s="1647" t="n">
        <f aca="false">IF(AND(WeekDef=8,CustomSuFlag,CustomSuPeriod=4),INDEX(IF(DiffOptVolumeFlag,DiffOptVolumeHourlyOver,VolumeHourlyOver),K10,3),IF(OR(WeekDef=1,WeekDef=3,WeekDef=5,WeekDef=6,AND(WeekDef=8,CustomSuFlag,OR(CustomSuPeriod=1,CustomSuPeriod=2))),IF(VolumeMonthlyOverFlag,INDEX(IF(DiffOptVolumeFlag,DiffOptVolumeMonthlyOver,VolumeMonthlyOver),BJ38),IF(DiffOptVolumeFlag,DiffOptVolume,Volume)),0))</f>
        <v>600</v>
      </c>
      <c r="BQ38" s="1647" t="n">
        <f aca="false">IF(AND(WeekDef=8,CustomSuFlag,CustomSuPeriod=4),INDEX(IF(DiffOptVolumeFlag,DiffOptVolumeHourlyOver,VolumeHourlyOver),L10,3),IF(OR(WeekDef=1,WeekDef=3,WeekDef=5,WeekDef=6,AND(WeekDef=8,CustomSuFlag,OR(CustomSuPeriod=1,CustomSuPeriod=2))),IF(VolumeMonthlyOverFlag,INDEX(IF(DiffOptVolumeFlag,DiffOptVolumeMonthlyOver,VolumeMonthlyOver),BJ38),IF(DiffOptVolumeFlag,DiffOptVolume,Volume)),0))</f>
        <v>600</v>
      </c>
      <c r="BR38" s="1647" t="n">
        <f aca="false">IF(AND(WeekDef=8,CustomSuFlag,CustomSuPeriod=4),INDEX(IF(DiffOptVolumeFlag,DiffOptVolumeHourlyOver,VolumeHourlyOver),M10,3),IF(OR(WeekDef=1,WeekDef=3,WeekDef=5,WeekDef=6,AND(WeekDef=8,CustomSuFlag,OR(CustomSuPeriod=1,CustomSuPeriod=2))),IF(VolumeMonthlyOverFlag,INDEX(IF(DiffOptVolumeFlag,DiffOptVolumeMonthlyOver,VolumeMonthlyOver),BJ38),IF(DiffOptVolumeFlag,DiffOptVolume,Volume)),0))</f>
        <v>600</v>
      </c>
      <c r="BS38" s="1647" t="n">
        <f aca="false">IF(AND(WeekDef=8,CustomSuFlag,CustomSuPeriod=4),INDEX(IF(DiffOptVolumeFlag,DiffOptVolumeHourlyOver,VolumeHourlyOver),N10,3),IF(OR(WeekDef=1,WeekDef=3,WeekDef=5,WeekDef=6,AND(WeekDef=8,CustomSuFlag,OR(CustomSuPeriod=1,CustomSuPeriod=2))),IF(VolumeMonthlyOverFlag,INDEX(IF(DiffOptVolumeFlag,DiffOptVolumeMonthlyOver,VolumeMonthlyOver),BJ38),IF(DiffOptVolumeFlag,DiffOptVolume,Volume)),0))</f>
        <v>600</v>
      </c>
      <c r="BT38" s="1647" t="n">
        <f aca="false">IF(AND(WeekDef=8,CustomSuFlag,CustomSuPeriod=4),INDEX(IF(DiffOptVolumeFlag,DiffOptVolumeHourlyOver,VolumeHourlyOver),O10,3),IF(OR(WeekDef=1,WeekDef=3,WeekDef=5,WeekDef=6,AND(WeekDef=8,CustomSuFlag,OR(CustomSuPeriod=1,CustomSuPeriod=2))),IF(VolumeMonthlyOverFlag,INDEX(IF(DiffOptVolumeFlag,DiffOptVolumeMonthlyOver,VolumeMonthlyOver),BJ38),IF(DiffOptVolumeFlag,DiffOptVolume,Volume)),0))</f>
        <v>600</v>
      </c>
      <c r="BU38" s="1647" t="n">
        <f aca="false">IF(AND(WeekDef=8,CustomSuFlag,CustomSuPeriod=4),INDEX(IF(DiffOptVolumeFlag,DiffOptVolumeHourlyOver,VolumeHourlyOver),P10,3),IF(OR(WeekDef=1,WeekDef=3,WeekDef=5,WeekDef=6,AND(WeekDef=8,CustomSuFlag,OR(CustomSuPeriod=1,CustomSuPeriod=2))),IF(VolumeMonthlyOverFlag,INDEX(IF(DiffOptVolumeFlag,DiffOptVolumeMonthlyOver,VolumeMonthlyOver),BJ38),IF(DiffOptVolumeFlag,DiffOptVolume,Volume)),0))</f>
        <v>600</v>
      </c>
      <c r="BV38" s="1647" t="n">
        <f aca="false">IF(AND(WeekDef=8,CustomSuFlag,CustomSuPeriod=4),INDEX(IF(DiffOptVolumeFlag,DiffOptVolumeHourlyOver,VolumeHourlyOver),Q10,3),IF(OR(WeekDef=1,WeekDef=3,WeekDef=5,WeekDef=6,AND(WeekDef=8,CustomSuFlag,OR(CustomSuPeriod=1,CustomSuPeriod=2))),IF(VolumeMonthlyOverFlag,INDEX(IF(DiffOptVolumeFlag,DiffOptVolumeMonthlyOver,VolumeMonthlyOver),BJ38),IF(DiffOptVolumeFlag,DiffOptVolume,Volume)),0))</f>
        <v>600</v>
      </c>
      <c r="BW38" s="1647" t="n">
        <f aca="false">IF(AND(WeekDef=8,CustomSuFlag,CustomSuPeriod=4),INDEX(IF(DiffOptVolumeFlag,DiffOptVolumeHourlyOver,VolumeHourlyOver),R10,3),IF(OR(WeekDef=1,WeekDef=3,WeekDef=5,WeekDef=6,AND(WeekDef=8,CustomSuFlag,OR(CustomSuPeriod=1,CustomSuPeriod=2))),IF(VolumeMonthlyOverFlag,INDEX(IF(DiffOptVolumeFlag,DiffOptVolumeMonthlyOver,VolumeMonthlyOver),BJ38),IF(DiffOptVolumeFlag,DiffOptVolume,Volume)),0))</f>
        <v>600</v>
      </c>
      <c r="BX38" s="1647" t="n">
        <f aca="false">IF(AND(WeekDef=8,CustomSuFlag,CustomSuPeriod=4),INDEX(IF(DiffOptVolumeFlag,DiffOptVolumeHourlyOver,VolumeHourlyOver),S10,3),IF(OR(WeekDef=1,WeekDef=3,WeekDef=5,WeekDef=6,AND(WeekDef=8,CustomSuFlag,OR(CustomSuPeriod=1,CustomSuPeriod=2))),IF(VolumeMonthlyOverFlag,INDEX(IF(DiffOptVolumeFlag,DiffOptVolumeMonthlyOver,VolumeMonthlyOver),BJ38),IF(DiffOptVolumeFlag,DiffOptVolume,Volume)),0))</f>
        <v>600</v>
      </c>
      <c r="BY38" s="1647" t="n">
        <f aca="false">IF(AND(WeekDef=8,CustomSuFlag,CustomSuPeriod=4),INDEX(IF(DiffOptVolumeFlag,DiffOptVolumeHourlyOver,VolumeHourlyOver),T10,3),IF(OR(WeekDef=1,WeekDef=3,WeekDef=5,WeekDef=6,AND(WeekDef=8,CustomSuFlag,OR(CustomSuPeriod=1,CustomSuPeriod=2))),IF(VolumeMonthlyOverFlag,INDEX(IF(DiffOptVolumeFlag,DiffOptVolumeMonthlyOver,VolumeMonthlyOver),BJ38),IF(DiffOptVolumeFlag,DiffOptVolume,Volume)),0))</f>
        <v>600</v>
      </c>
      <c r="BZ38" s="1648" t="n">
        <f aca="false">IF(AND(WeekDef=8,CustomSuFlag,CustomSuPeriod=4),INDEX(IF(DiffOptVolumeFlag,DiffOptVolumeHourlyOver,VolumeHourlyOver),U10,3),IF(OR(WeekDef=1,WeekDef=3,WeekDef=5,WeekDef=6,AND(WeekDef=8,CustomSuFlag,OR(CustomSuPeriod=1,CustomSuPeriod=2))),IF(VolumeMonthlyOverFlag,INDEX(IF(DiffOptVolumeFlag,DiffOptVolumeMonthlyOver,VolumeMonthlyOver),BJ38),IF(DiffOptVolumeFlag,DiffOptVolume,Volume)),0))</f>
        <v>600</v>
      </c>
      <c r="CA38" s="1647" t="n">
        <f aca="false">IF(AND(WeekDef=8,CustomSuFlag,CustomSuPeriod=4),INDEX(IF(DiffOptVolumeFlag,DiffOptVolumeHourlyOver,VolumeHourlyOver),V10,3),IF(OR(WeekDef=1,WeekDef=3,WeekDef=5,WeekDef=7,AND(WeekDef=8,CustomSuFlag,OR(CustomSuPeriod=1,CustomSuPeriod=3))),IF(VolumeMonthlyOverFlag,INDEX(IF(DiffOptVolumeFlag,DiffOptVolumeMonthlyOver,VolumeMonthlyOver),BJ38),IF(DiffOptVolumeFlag,DiffOptVolume,Volume)),0))</f>
        <v>600</v>
      </c>
      <c r="CB38" s="1647" t="n">
        <f aca="false">IF(AND(WeekDef=8,CustomSuFlag,CustomSuPeriod=4),INDEX(IF(DiffOptVolumeFlag,DiffOptVolumeHourlyOver,VolumeHourlyOver),W10,3),IF(OR(WeekDef=1,WeekDef=3,WeekDef=5,WeekDef=7,AND(WeekDef=8,CustomSuFlag,OR(CustomSuPeriod=1,CustomSuPeriod=3))),IF(VolumeMonthlyOverFlag,INDEX(IF(DiffOptVolumeFlag,DiffOptVolumeMonthlyOver,VolumeMonthlyOver),BJ38),IF(DiffOptVolumeFlag,DiffOptVolume,Volume)),0))</f>
        <v>600</v>
      </c>
      <c r="CC38" s="1647" t="n">
        <f aca="false">IF(AND(WeekDef=8,CustomSuFlag,CustomSuPeriod=4),INDEX(IF(DiffOptVolumeFlag,DiffOptVolumeHourlyOver,VolumeHourlyOver),X10,3),IF(OR(WeekDef=1,WeekDef=3,WeekDef=5,WeekDef=7,AND(WeekDef=8,CustomSuFlag,OR(CustomSuPeriod=1,CustomSuPeriod=3))),IF(VolumeMonthlyOverFlag,INDEX(IF(DiffOptVolumeFlag,DiffOptVolumeMonthlyOver,VolumeMonthlyOver),BJ38),IF(DiffOptVolumeFlag,DiffOptVolume,Volume)),0))</f>
        <v>600</v>
      </c>
      <c r="CD38" s="1647" t="n">
        <f aca="false">IF(AND(WeekDef=8,CustomSuFlag,CustomSuPeriod=4),INDEX(IF(DiffOptVolumeFlag,DiffOptVolumeHourlyOver,VolumeHourlyOver),Y10,3),IF(OR(WeekDef=1,WeekDef=3,WeekDef=5,WeekDef=7,AND(WeekDef=8,CustomSuFlag,OR(CustomSuPeriod=1,CustomSuPeriod=3))),IF(VolumeMonthlyOverFlag,INDEX(IF(DiffOptVolumeFlag,DiffOptVolumeMonthlyOver,VolumeMonthlyOver),BJ38),IF(DiffOptVolumeFlag,DiffOptVolume,Volume)),0))</f>
        <v>600</v>
      </c>
      <c r="CE38" s="1647" t="n">
        <f aca="false">IF(AND(WeekDef=8,CustomSuFlag,CustomSuPeriod=4),INDEX(IF(DiffOptVolumeFlag,DiffOptVolumeHourlyOver,VolumeHourlyOver),Z10,3),IF(OR(WeekDef=1,WeekDef=3,WeekDef=5,WeekDef=7,AND(WeekDef=8,CustomSuFlag,OR(CustomSuPeriod=1,CustomSuPeriod=3))),IF(VolumeMonthlyOverFlag,INDEX(IF(DiffOptVolumeFlag,DiffOptVolumeMonthlyOver,VolumeMonthlyOver),BJ38),IF(DiffOptVolumeFlag,DiffOptVolume,Volume)),0))</f>
        <v>600</v>
      </c>
      <c r="CF38" s="1647" t="n">
        <f aca="false">IF(AND(WeekDef=8,CustomSuFlag,CustomSuPeriod=4),INDEX(IF(DiffOptVolumeFlag,DiffOptVolumeHourlyOver,VolumeHourlyOver),AA10,3),IF(OR(WeekDef=1,WeekDef=3,WeekDef=5,WeekDef=7,AND(WeekDef=8,CustomSuFlag,OR(CustomSuPeriod=1,CustomSuPeriod=3))),IF(VolumeMonthlyOverFlag,INDEX(IF(DiffOptVolumeFlag,DiffOptVolumeMonthlyOver,VolumeMonthlyOver),BJ38),IF(DiffOptVolumeFlag,DiffOptVolume,Volume)),0))</f>
        <v>600</v>
      </c>
      <c r="CG38" s="1647" t="n">
        <f aca="false">IF(AND(WeekDef=8,CustomSuFlag,CustomSuPeriod=4),INDEX(IF(DiffOptVolumeFlag,DiffOptVolumeHourlyOver,VolumeHourlyOver),AB10,3),IF(OR(WeekDef=1,WeekDef=3,WeekDef=5,WeekDef=7,AND(WeekDef=8,CustomSuFlag,OR(CustomSuPeriod=1,CustomSuPeriod=3))),IF(VolumeMonthlyOverFlag,INDEX(IF(DiffOptVolumeFlag,DiffOptVolumeMonthlyOver,VolumeMonthlyOver),BJ38),IF(DiffOptVolumeFlag,DiffOptVolume,Volume)),0))</f>
        <v>600</v>
      </c>
      <c r="CH38" s="1648" t="n">
        <f aca="false">IF(AND(WeekDef=8,CustomSuFlag,CustomSuPeriod=4),INDEX(IF(DiffOptVolumeFlag,DiffOptVolumeHourlyOver,VolumeHourlyOver),AC10,3),IF(OR(WeekDef=1,WeekDef=3,WeekDef=5,WeekDef=7,AND(WeekDef=8,CustomSuFlag,OR(CustomSuPeriod=1,CustomSuPeriod=3))),IF(VolumeMonthlyOverFlag,INDEX(IF(DiffOptVolumeFlag,DiffOptVolumeMonthlyOver,VolumeMonthlyOver),BJ38),IF(DiffOptVolumeFlag,DiffOptVolume,Volume)),0))</f>
        <v>600</v>
      </c>
      <c r="CI38" s="1652" t="n">
        <f aca="false">SUM(BK38:BZ38)</f>
        <v>9600</v>
      </c>
      <c r="CJ38" s="1653" t="n">
        <f aca="false">SUM(CA38:CH38)</f>
        <v>4800</v>
      </c>
      <c r="CK38" s="1654" t="n">
        <f aca="false">CI38+CJ38</f>
        <v>14400</v>
      </c>
      <c r="CL38" s="1674" t="n">
        <f aca="false">IF(CI38,SUMPRODUCT(BK38:BZ38,F26:U26)/CI38,0)</f>
        <v>1.00000000745058</v>
      </c>
      <c r="CM38" s="1655" t="n">
        <f aca="false">IF(CJ38,SUMPRODUCT(CA38:CH38,V26:AC26)/CJ38,0)</f>
        <v>1.00000000745058</v>
      </c>
    </row>
    <row r="39" customFormat="false" ht="12.75" hidden="false" customHeight="false" outlineLevel="0" collapsed="false">
      <c r="A39" s="1694" t="n">
        <v>3</v>
      </c>
      <c r="B39" s="1695" t="n">
        <f aca="false">IF(A39=MONTH(CurveDate+31),EOMONTH(CurveDate+31,0),EOMONTH(CurveDate+31,MOD(A39-MONTH(CurveDate+31),12)-1)+1)</f>
        <v>36951</v>
      </c>
      <c r="C39" s="1696" t="n">
        <f aca="false">VLOOKUP(B39,PriceTable,3,0)+IF(BasisNumber&lt;&gt;1,VLOOKUP(B39,BasisTable,2,0),0)</f>
        <v>33.75</v>
      </c>
      <c r="D39" s="1696" t="n">
        <f aca="false">VLOOKUP(B39,PriceTable,7,0)+IF(BasisNumber&lt;&gt;1,VLOOKUP(B39,BasisTable,3,0),0)</f>
        <v>19.8870967741935</v>
      </c>
      <c r="E39" s="1636" t="n">
        <v>3</v>
      </c>
      <c r="F39" s="1691" t="n">
        <f aca="false">C39*F23</f>
        <v>38.1107246875763</v>
      </c>
      <c r="G39" s="1692" t="n">
        <f aca="false">C39*G23</f>
        <v>36.3523395359516</v>
      </c>
      <c r="H39" s="1692" t="n">
        <f aca="false">C39*H23</f>
        <v>35.349138379097</v>
      </c>
      <c r="I39" s="1692" t="n">
        <f aca="false">C39*I23</f>
        <v>35.322133898735</v>
      </c>
      <c r="J39" s="1692" t="n">
        <f aca="false">C39*J23</f>
        <v>34.8163510859013</v>
      </c>
      <c r="K39" s="1692" t="n">
        <f aca="false">C39*K23</f>
        <v>34.7644141316414</v>
      </c>
      <c r="L39" s="1692" t="n">
        <f aca="false">C39*L23</f>
        <v>34.3095906078815</v>
      </c>
      <c r="M39" s="1692" t="n">
        <f aca="false">C39*M23</f>
        <v>33.7794788181782</v>
      </c>
      <c r="N39" s="1692" t="n">
        <f aca="false">C39*N23</f>
        <v>33.752526640892</v>
      </c>
      <c r="O39" s="1692" t="n">
        <f aca="false">C39*O23</f>
        <v>33.532789349556</v>
      </c>
      <c r="P39" s="1692" t="n">
        <f aca="false">C39*P23</f>
        <v>33.1244652718306</v>
      </c>
      <c r="Q39" s="1692" t="n">
        <f aca="false">C39*Q23</f>
        <v>32.0887436717749</v>
      </c>
      <c r="R39" s="1692" t="n">
        <f aca="false">C39*R23</f>
        <v>31.9846484810114</v>
      </c>
      <c r="S39" s="1692" t="n">
        <f aca="false">C39*S23</f>
        <v>31.6357266157866</v>
      </c>
      <c r="T39" s="1692" t="n">
        <f aca="false">C39*T23</f>
        <v>31.0927724093199</v>
      </c>
      <c r="U39" s="1693" t="n">
        <f aca="false">C39*U23</f>
        <v>29.9841544032097</v>
      </c>
      <c r="V39" s="1692" t="n">
        <f aca="false">D39*V23</f>
        <v>23.4312549233437</v>
      </c>
      <c r="W39" s="1692" t="n">
        <f aca="false">D39*W23</f>
        <v>21.6164186077733</v>
      </c>
      <c r="X39" s="1692" t="n">
        <f aca="false">D39*X23</f>
        <v>20.2460722077277</v>
      </c>
      <c r="Y39" s="1692" t="n">
        <f aca="false">D39*Y23</f>
        <v>19.7875132147343</v>
      </c>
      <c r="Z39" s="1692" t="n">
        <f aca="false">D39*Z23</f>
        <v>18.9227195372505</v>
      </c>
      <c r="AA39" s="1692" t="n">
        <f aca="false">D39*AA23</f>
        <v>18.4232500993436</v>
      </c>
      <c r="AB39" s="1692" t="n">
        <f aca="false">D39*AB23</f>
        <v>18.3823420251569</v>
      </c>
      <c r="AC39" s="1693" t="n">
        <f aca="false">D39*AC23</f>
        <v>18.2872047635817</v>
      </c>
      <c r="AD39" s="1658"/>
      <c r="AE39" s="1636" t="n">
        <v>7</v>
      </c>
      <c r="AF39" s="1646" t="n">
        <f aca="false">IF(AND(WeekDef=8,CustomSuFlag,CustomSuPeriod=4),INDEX(VolumeHourlyOver,F11,3),IF(OR(WeekDef=1,WeekDef=3,WeekDef=5,WeekDef=6,AND(WeekDef=8,CustomSuFlag,OR(CustomSuPeriod=1,CustomSuPeriod=2))),IF(VolumeMonthlyOverFlag,INDEX(VolumeMonthlyOver,AE39),Volume),0))</f>
        <v>150</v>
      </c>
      <c r="AG39" s="1647" t="n">
        <f aca="false">IF(AND(WeekDef=8,CustomSuFlag,CustomSuPeriod=4),INDEX(VolumeHourlyOver,G11,3),IF(OR(WeekDef=1,WeekDef=3,WeekDef=5,WeekDef=6,AND(WeekDef=8,CustomSuFlag,OR(CustomSuPeriod=1,CustomSuPeriod=2))),IF(VolumeMonthlyOverFlag,INDEX(VolumeMonthlyOver,AE39),Volume),0))</f>
        <v>150</v>
      </c>
      <c r="AH39" s="1647" t="n">
        <f aca="false">IF(AND(WeekDef=8,CustomSuFlag,CustomSuPeriod=4),INDEX(VolumeHourlyOver,H11,3),IF(OR(WeekDef=1,WeekDef=3,WeekDef=5,WeekDef=6,AND(WeekDef=8,CustomSuFlag,OR(CustomSuPeriod=1,CustomSuPeriod=2))),IF(VolumeMonthlyOverFlag,INDEX(VolumeMonthlyOver,AE39),Volume),0))</f>
        <v>150</v>
      </c>
      <c r="AI39" s="1647" t="n">
        <f aca="false">IF(AND(WeekDef=8,CustomSuFlag,CustomSuPeriod=4),INDEX(VolumeHourlyOver,I11,3),IF(OR(WeekDef=1,WeekDef=3,WeekDef=5,WeekDef=6,AND(WeekDef=8,CustomSuFlag,OR(CustomSuPeriod=1,CustomSuPeriod=2))),IF(VolumeMonthlyOverFlag,INDEX(VolumeMonthlyOver,AE39),Volume),0))</f>
        <v>150</v>
      </c>
      <c r="AJ39" s="1647" t="n">
        <f aca="false">IF(AND(WeekDef=8,CustomSuFlag,CustomSuPeriod=4),INDEX(VolumeHourlyOver,J11,3),IF(OR(WeekDef=1,WeekDef=3,WeekDef=5,WeekDef=6,AND(WeekDef=8,CustomSuFlag,OR(CustomSuPeriod=1,CustomSuPeriod=2))),IF(VolumeMonthlyOverFlag,INDEX(VolumeMonthlyOver,AE39),Volume),0))</f>
        <v>150</v>
      </c>
      <c r="AK39" s="1647" t="n">
        <f aca="false">IF(AND(WeekDef=8,CustomSuFlag,CustomSuPeriod=4),INDEX(VolumeHourlyOver,K11,3),IF(OR(WeekDef=1,WeekDef=3,WeekDef=5,WeekDef=6,AND(WeekDef=8,CustomSuFlag,OR(CustomSuPeriod=1,CustomSuPeriod=2))),IF(VolumeMonthlyOverFlag,INDEX(VolumeMonthlyOver,AE39),Volume),0))</f>
        <v>150</v>
      </c>
      <c r="AL39" s="1647" t="n">
        <f aca="false">IF(AND(WeekDef=8,CustomSuFlag,CustomSuPeriod=4),INDEX(VolumeHourlyOver,L11,3),IF(OR(WeekDef=1,WeekDef=3,WeekDef=5,WeekDef=6,AND(WeekDef=8,CustomSuFlag,OR(CustomSuPeriod=1,CustomSuPeriod=2))),IF(VolumeMonthlyOverFlag,INDEX(VolumeMonthlyOver,AE39),Volume),0))</f>
        <v>150</v>
      </c>
      <c r="AM39" s="1647" t="n">
        <f aca="false">IF(AND(WeekDef=8,CustomSuFlag,CustomSuPeriod=4),INDEX(VolumeHourlyOver,M11,3),IF(OR(WeekDef=1,WeekDef=3,WeekDef=5,WeekDef=6,AND(WeekDef=8,CustomSuFlag,OR(CustomSuPeriod=1,CustomSuPeriod=2))),IF(VolumeMonthlyOverFlag,INDEX(VolumeMonthlyOver,AE39),Volume),0))</f>
        <v>150</v>
      </c>
      <c r="AN39" s="1647" t="n">
        <f aca="false">IF(AND(WeekDef=8,CustomSuFlag,CustomSuPeriod=4),INDEX(VolumeHourlyOver,N11,3),IF(OR(WeekDef=1,WeekDef=3,WeekDef=5,WeekDef=6,AND(WeekDef=8,CustomSuFlag,OR(CustomSuPeriod=1,CustomSuPeriod=2))),IF(VolumeMonthlyOverFlag,INDEX(VolumeMonthlyOver,AE39),Volume),0))</f>
        <v>150</v>
      </c>
      <c r="AO39" s="1647" t="n">
        <f aca="false">IF(AND(WeekDef=8,CustomSuFlag,CustomSuPeriod=4),INDEX(VolumeHourlyOver,O11,3),IF(OR(WeekDef=1,WeekDef=3,WeekDef=5,WeekDef=6,AND(WeekDef=8,CustomSuFlag,OR(CustomSuPeriod=1,CustomSuPeriod=2))),IF(VolumeMonthlyOverFlag,INDEX(VolumeMonthlyOver,AE39),Volume),0))</f>
        <v>150</v>
      </c>
      <c r="AP39" s="1647" t="n">
        <f aca="false">IF(AND(WeekDef=8,CustomSuFlag,CustomSuPeriod=4),INDEX(VolumeHourlyOver,P11,3),IF(OR(WeekDef=1,WeekDef=3,WeekDef=5,WeekDef=6,AND(WeekDef=8,CustomSuFlag,OR(CustomSuPeriod=1,CustomSuPeriod=2))),IF(VolumeMonthlyOverFlag,INDEX(VolumeMonthlyOver,AE39),Volume),0))</f>
        <v>150</v>
      </c>
      <c r="AQ39" s="1647" t="n">
        <f aca="false">IF(AND(WeekDef=8,CustomSuFlag,CustomSuPeriod=4),INDEX(VolumeHourlyOver,Q11,3),IF(OR(WeekDef=1,WeekDef=3,WeekDef=5,WeekDef=6,AND(WeekDef=8,CustomSuFlag,OR(CustomSuPeriod=1,CustomSuPeriod=2))),IF(VolumeMonthlyOverFlag,INDEX(VolumeMonthlyOver,AE39),Volume),0))</f>
        <v>150</v>
      </c>
      <c r="AR39" s="1647" t="n">
        <f aca="false">IF(AND(WeekDef=8,CustomSuFlag,CustomSuPeriod=4),INDEX(VolumeHourlyOver,R11,3),IF(OR(WeekDef=1,WeekDef=3,WeekDef=5,WeekDef=6,AND(WeekDef=8,CustomSuFlag,OR(CustomSuPeriod=1,CustomSuPeriod=2))),IF(VolumeMonthlyOverFlag,INDEX(VolumeMonthlyOver,AE39),Volume),0))</f>
        <v>150</v>
      </c>
      <c r="AS39" s="1647" t="n">
        <f aca="false">IF(AND(WeekDef=8,CustomSuFlag,CustomSuPeriod=4),INDEX(VolumeHourlyOver,S11,3),IF(OR(WeekDef=1,WeekDef=3,WeekDef=5,WeekDef=6,AND(WeekDef=8,CustomSuFlag,OR(CustomSuPeriod=1,CustomSuPeriod=2))),IF(VolumeMonthlyOverFlag,INDEX(VolumeMonthlyOver,AE39),Volume),0))</f>
        <v>150</v>
      </c>
      <c r="AT39" s="1647" t="n">
        <f aca="false">IF(AND(WeekDef=8,CustomSuFlag,CustomSuPeriod=4),INDEX(VolumeHourlyOver,T11,3),IF(OR(WeekDef=1,WeekDef=3,WeekDef=5,WeekDef=6,AND(WeekDef=8,CustomSuFlag,OR(CustomSuPeriod=1,CustomSuPeriod=2))),IF(VolumeMonthlyOverFlag,INDEX(VolumeMonthlyOver,AE39),Volume),0))</f>
        <v>150</v>
      </c>
      <c r="AU39" s="1648" t="n">
        <f aca="false">IF(AND(WeekDef=8,CustomSuFlag,CustomSuPeriod=4),INDEX(VolumeHourlyOver,U11,3),IF(OR(WeekDef=1,WeekDef=3,WeekDef=5,WeekDef=6,AND(WeekDef=8,CustomSuFlag,OR(CustomSuPeriod=1,CustomSuPeriod=2))),IF(VolumeMonthlyOverFlag,INDEX(VolumeMonthlyOver,AE39),Volume),0))</f>
        <v>150</v>
      </c>
      <c r="AV39" s="1647" t="n">
        <f aca="false">IF(AND(WeekDef=8,CustomSuFlag,CustomSuPeriod=4),INDEX(VolumeHourlyOver,V11,3),IF(OR(WeekDef=1,WeekDef=3,WeekDef=5,WeekDef=7,AND(WeekDef=8,CustomSuFlag,OR(CustomSuPeriod=1,CustomSuPeriod=3))),IF(VolumeMonthlyOverFlag,INDEX(VolumeMonthlyOver,AE39),Volume),0))</f>
        <v>150</v>
      </c>
      <c r="AW39" s="1647" t="n">
        <f aca="false">IF(AND(WeekDef=8,CustomSuFlag,CustomSuPeriod=4),INDEX(VolumeHourlyOver,W11,3),IF(OR(WeekDef=1,WeekDef=3,WeekDef=5,WeekDef=7,AND(WeekDef=8,CustomSuFlag,OR(CustomSuPeriod=1,CustomSuPeriod=3))),IF(VolumeMonthlyOverFlag,INDEX(VolumeMonthlyOver,AE39),Volume),0))</f>
        <v>150</v>
      </c>
      <c r="AX39" s="1647" t="n">
        <f aca="false">IF(AND(WeekDef=8,CustomSuFlag,CustomSuPeriod=4),INDEX(VolumeHourlyOver,X11,3),IF(OR(WeekDef=1,WeekDef=3,WeekDef=5,WeekDef=7,AND(WeekDef=8,CustomSuFlag,OR(CustomSuPeriod=1,CustomSuPeriod=3))),IF(VolumeMonthlyOverFlag,INDEX(VolumeMonthlyOver,AE39),Volume),0))</f>
        <v>150</v>
      </c>
      <c r="AY39" s="1647" t="n">
        <f aca="false">IF(AND(WeekDef=8,CustomSuFlag,CustomSuPeriod=4),INDEX(VolumeHourlyOver,Y11,3),IF(OR(WeekDef=1,WeekDef=3,WeekDef=5,WeekDef=7,AND(WeekDef=8,CustomSuFlag,OR(CustomSuPeriod=1,CustomSuPeriod=3))),IF(VolumeMonthlyOverFlag,INDEX(VolumeMonthlyOver,AE39),Volume),0))</f>
        <v>150</v>
      </c>
      <c r="AZ39" s="1647" t="n">
        <f aca="false">IF(AND(WeekDef=8,CustomSuFlag,CustomSuPeriod=4),INDEX(VolumeHourlyOver,Z11,3),IF(OR(WeekDef=1,WeekDef=3,WeekDef=5,WeekDef=7,AND(WeekDef=8,CustomSuFlag,OR(CustomSuPeriod=1,CustomSuPeriod=3))),IF(VolumeMonthlyOverFlag,INDEX(VolumeMonthlyOver,AE39),Volume),0))</f>
        <v>150</v>
      </c>
      <c r="BA39" s="1647" t="n">
        <f aca="false">IF(AND(WeekDef=8,CustomSuFlag,CustomSuPeriod=4),INDEX(VolumeHourlyOver,AA11,3),IF(OR(WeekDef=1,WeekDef=3,WeekDef=5,WeekDef=7,AND(WeekDef=8,CustomSuFlag,OR(CustomSuPeriod=1,CustomSuPeriod=3))),IF(VolumeMonthlyOverFlag,INDEX(VolumeMonthlyOver,AE39),Volume),0))</f>
        <v>150</v>
      </c>
      <c r="BB39" s="1647" t="n">
        <f aca="false">IF(AND(WeekDef=8,CustomSuFlag,CustomSuPeriod=4),INDEX(VolumeHourlyOver,AB11,3),IF(OR(WeekDef=1,WeekDef=3,WeekDef=5,WeekDef=7,AND(WeekDef=8,CustomSuFlag,OR(CustomSuPeriod=1,CustomSuPeriod=3))),IF(VolumeMonthlyOverFlag,INDEX(VolumeMonthlyOver,AE39),Volume),0))</f>
        <v>150</v>
      </c>
      <c r="BC39" s="1648" t="n">
        <f aca="false">IF(AND(WeekDef=8,CustomSuFlag,CustomSuPeriod=4),INDEX(VolumeHourlyOver,AC11,3),IF(OR(WeekDef=1,WeekDef=3,WeekDef=5,WeekDef=7,AND(WeekDef=8,CustomSuFlag,OR(CustomSuPeriod=1,CustomSuPeriod=3))),IF(VolumeMonthlyOverFlag,INDEX(VolumeMonthlyOver,AE39),Volume),0))</f>
        <v>150</v>
      </c>
      <c r="BD39" s="1652" t="n">
        <f aca="false">SUM(AF39:AU39)</f>
        <v>2400</v>
      </c>
      <c r="BE39" s="1653" t="n">
        <f aca="false">SUM(AV39:BC39)</f>
        <v>1200</v>
      </c>
      <c r="BF39" s="1654" t="n">
        <f aca="false">BD39+BE39</f>
        <v>3600</v>
      </c>
      <c r="BG39" s="1674" t="n">
        <f aca="false">IF(BD39,SUMPRODUCT(AF39:AU39,F27:U27)/BD39,0)</f>
        <v>1.00000000372529</v>
      </c>
      <c r="BH39" s="1655" t="n">
        <f aca="false">IF(BE39,SUMPRODUCT(AV39:BC39,V27:AC27)/BE39,0)</f>
        <v>0.999999985098839</v>
      </c>
      <c r="BJ39" s="1636" t="n">
        <v>7</v>
      </c>
      <c r="BK39" s="1646" t="n">
        <f aca="false">IF(AND(WeekDef=8,CustomSuFlag,CustomSuPeriod=4),INDEX(IF(DiffOptVolumeFlag,DiffOptVolumeHourlyOver,VolumeHourlyOver),F11,3),IF(OR(WeekDef=1,WeekDef=3,WeekDef=5,WeekDef=6,AND(WeekDef=8,CustomSuFlag,OR(CustomSuPeriod=1,CustomSuPeriod=2))),IF(VolumeMonthlyOverFlag,INDEX(IF(DiffOptVolumeFlag,DiffOptVolumeMonthlyOver,VolumeMonthlyOver),BJ39),IF(DiffOptVolumeFlag,DiffOptVolume,Volume)),0))</f>
        <v>600</v>
      </c>
      <c r="BL39" s="1647" t="n">
        <f aca="false">IF(AND(WeekDef=8,CustomSuFlag,CustomSuPeriod=4),INDEX(IF(DiffOptVolumeFlag,DiffOptVolumeHourlyOver,VolumeHourlyOver),G11,3),IF(OR(WeekDef=1,WeekDef=3,WeekDef=5,WeekDef=6,AND(WeekDef=8,CustomSuFlag,OR(CustomSuPeriod=1,CustomSuPeriod=2))),IF(VolumeMonthlyOverFlag,INDEX(IF(DiffOptVolumeFlag,DiffOptVolumeMonthlyOver,VolumeMonthlyOver),BJ39),IF(DiffOptVolumeFlag,DiffOptVolume,Volume)),0))</f>
        <v>600</v>
      </c>
      <c r="BM39" s="1647" t="n">
        <f aca="false">IF(AND(WeekDef=8,CustomSuFlag,CustomSuPeriod=4),INDEX(IF(DiffOptVolumeFlag,DiffOptVolumeHourlyOver,VolumeHourlyOver),H11,3),IF(OR(WeekDef=1,WeekDef=3,WeekDef=5,WeekDef=6,AND(WeekDef=8,CustomSuFlag,OR(CustomSuPeriod=1,CustomSuPeriod=2))),IF(VolumeMonthlyOverFlag,INDEX(IF(DiffOptVolumeFlag,DiffOptVolumeMonthlyOver,VolumeMonthlyOver),BJ39),IF(DiffOptVolumeFlag,DiffOptVolume,Volume)),0))</f>
        <v>600</v>
      </c>
      <c r="BN39" s="1647" t="n">
        <f aca="false">IF(AND(WeekDef=8,CustomSuFlag,CustomSuPeriod=4),INDEX(IF(DiffOptVolumeFlag,DiffOptVolumeHourlyOver,VolumeHourlyOver),I11,3),IF(OR(WeekDef=1,WeekDef=3,WeekDef=5,WeekDef=6,AND(WeekDef=8,CustomSuFlag,OR(CustomSuPeriod=1,CustomSuPeriod=2))),IF(VolumeMonthlyOverFlag,INDEX(IF(DiffOptVolumeFlag,DiffOptVolumeMonthlyOver,VolumeMonthlyOver),BJ39),IF(DiffOptVolumeFlag,DiffOptVolume,Volume)),0))</f>
        <v>600</v>
      </c>
      <c r="BO39" s="1647" t="n">
        <f aca="false">IF(AND(WeekDef=8,CustomSuFlag,CustomSuPeriod=4),INDEX(IF(DiffOptVolumeFlag,DiffOptVolumeHourlyOver,VolumeHourlyOver),J11,3),IF(OR(WeekDef=1,WeekDef=3,WeekDef=5,WeekDef=6,AND(WeekDef=8,CustomSuFlag,OR(CustomSuPeriod=1,CustomSuPeriod=2))),IF(VolumeMonthlyOverFlag,INDEX(IF(DiffOptVolumeFlag,DiffOptVolumeMonthlyOver,VolumeMonthlyOver),BJ39),IF(DiffOptVolumeFlag,DiffOptVolume,Volume)),0))</f>
        <v>600</v>
      </c>
      <c r="BP39" s="1647" t="n">
        <f aca="false">IF(AND(WeekDef=8,CustomSuFlag,CustomSuPeriod=4),INDEX(IF(DiffOptVolumeFlag,DiffOptVolumeHourlyOver,VolumeHourlyOver),K11,3),IF(OR(WeekDef=1,WeekDef=3,WeekDef=5,WeekDef=6,AND(WeekDef=8,CustomSuFlag,OR(CustomSuPeriod=1,CustomSuPeriod=2))),IF(VolumeMonthlyOverFlag,INDEX(IF(DiffOptVolumeFlag,DiffOptVolumeMonthlyOver,VolumeMonthlyOver),BJ39),IF(DiffOptVolumeFlag,DiffOptVolume,Volume)),0))</f>
        <v>600</v>
      </c>
      <c r="BQ39" s="1647" t="n">
        <f aca="false">IF(AND(WeekDef=8,CustomSuFlag,CustomSuPeriod=4),INDEX(IF(DiffOptVolumeFlag,DiffOptVolumeHourlyOver,VolumeHourlyOver),L11,3),IF(OR(WeekDef=1,WeekDef=3,WeekDef=5,WeekDef=6,AND(WeekDef=8,CustomSuFlag,OR(CustomSuPeriod=1,CustomSuPeriod=2))),IF(VolumeMonthlyOverFlag,INDEX(IF(DiffOptVolumeFlag,DiffOptVolumeMonthlyOver,VolumeMonthlyOver),BJ39),IF(DiffOptVolumeFlag,DiffOptVolume,Volume)),0))</f>
        <v>600</v>
      </c>
      <c r="BR39" s="1647" t="n">
        <f aca="false">IF(AND(WeekDef=8,CustomSuFlag,CustomSuPeriod=4),INDEX(IF(DiffOptVolumeFlag,DiffOptVolumeHourlyOver,VolumeHourlyOver),M11,3),IF(OR(WeekDef=1,WeekDef=3,WeekDef=5,WeekDef=6,AND(WeekDef=8,CustomSuFlag,OR(CustomSuPeriod=1,CustomSuPeriod=2))),IF(VolumeMonthlyOverFlag,INDEX(IF(DiffOptVolumeFlag,DiffOptVolumeMonthlyOver,VolumeMonthlyOver),BJ39),IF(DiffOptVolumeFlag,DiffOptVolume,Volume)),0))</f>
        <v>600</v>
      </c>
      <c r="BS39" s="1647" t="n">
        <f aca="false">IF(AND(WeekDef=8,CustomSuFlag,CustomSuPeriod=4),INDEX(IF(DiffOptVolumeFlag,DiffOptVolumeHourlyOver,VolumeHourlyOver),N11,3),IF(OR(WeekDef=1,WeekDef=3,WeekDef=5,WeekDef=6,AND(WeekDef=8,CustomSuFlag,OR(CustomSuPeriod=1,CustomSuPeriod=2))),IF(VolumeMonthlyOverFlag,INDEX(IF(DiffOptVolumeFlag,DiffOptVolumeMonthlyOver,VolumeMonthlyOver),BJ39),IF(DiffOptVolumeFlag,DiffOptVolume,Volume)),0))</f>
        <v>600</v>
      </c>
      <c r="BT39" s="1647" t="n">
        <f aca="false">IF(AND(WeekDef=8,CustomSuFlag,CustomSuPeriod=4),INDEX(IF(DiffOptVolumeFlag,DiffOptVolumeHourlyOver,VolumeHourlyOver),O11,3),IF(OR(WeekDef=1,WeekDef=3,WeekDef=5,WeekDef=6,AND(WeekDef=8,CustomSuFlag,OR(CustomSuPeriod=1,CustomSuPeriod=2))),IF(VolumeMonthlyOverFlag,INDEX(IF(DiffOptVolumeFlag,DiffOptVolumeMonthlyOver,VolumeMonthlyOver),BJ39),IF(DiffOptVolumeFlag,DiffOptVolume,Volume)),0))</f>
        <v>600</v>
      </c>
      <c r="BU39" s="1647" t="n">
        <f aca="false">IF(AND(WeekDef=8,CustomSuFlag,CustomSuPeriod=4),INDEX(IF(DiffOptVolumeFlag,DiffOptVolumeHourlyOver,VolumeHourlyOver),P11,3),IF(OR(WeekDef=1,WeekDef=3,WeekDef=5,WeekDef=6,AND(WeekDef=8,CustomSuFlag,OR(CustomSuPeriod=1,CustomSuPeriod=2))),IF(VolumeMonthlyOverFlag,INDEX(IF(DiffOptVolumeFlag,DiffOptVolumeMonthlyOver,VolumeMonthlyOver),BJ39),IF(DiffOptVolumeFlag,DiffOptVolume,Volume)),0))</f>
        <v>600</v>
      </c>
      <c r="BV39" s="1647" t="n">
        <f aca="false">IF(AND(WeekDef=8,CustomSuFlag,CustomSuPeriod=4),INDEX(IF(DiffOptVolumeFlag,DiffOptVolumeHourlyOver,VolumeHourlyOver),Q11,3),IF(OR(WeekDef=1,WeekDef=3,WeekDef=5,WeekDef=6,AND(WeekDef=8,CustomSuFlag,OR(CustomSuPeriod=1,CustomSuPeriod=2))),IF(VolumeMonthlyOverFlag,INDEX(IF(DiffOptVolumeFlag,DiffOptVolumeMonthlyOver,VolumeMonthlyOver),BJ39),IF(DiffOptVolumeFlag,DiffOptVolume,Volume)),0))</f>
        <v>600</v>
      </c>
      <c r="BW39" s="1647" t="n">
        <f aca="false">IF(AND(WeekDef=8,CustomSuFlag,CustomSuPeriod=4),INDEX(IF(DiffOptVolumeFlag,DiffOptVolumeHourlyOver,VolumeHourlyOver),R11,3),IF(OR(WeekDef=1,WeekDef=3,WeekDef=5,WeekDef=6,AND(WeekDef=8,CustomSuFlag,OR(CustomSuPeriod=1,CustomSuPeriod=2))),IF(VolumeMonthlyOverFlag,INDEX(IF(DiffOptVolumeFlag,DiffOptVolumeMonthlyOver,VolumeMonthlyOver),BJ39),IF(DiffOptVolumeFlag,DiffOptVolume,Volume)),0))</f>
        <v>600</v>
      </c>
      <c r="BX39" s="1647" t="n">
        <f aca="false">IF(AND(WeekDef=8,CustomSuFlag,CustomSuPeriod=4),INDEX(IF(DiffOptVolumeFlag,DiffOptVolumeHourlyOver,VolumeHourlyOver),S11,3),IF(OR(WeekDef=1,WeekDef=3,WeekDef=5,WeekDef=6,AND(WeekDef=8,CustomSuFlag,OR(CustomSuPeriod=1,CustomSuPeriod=2))),IF(VolumeMonthlyOverFlag,INDEX(IF(DiffOptVolumeFlag,DiffOptVolumeMonthlyOver,VolumeMonthlyOver),BJ39),IF(DiffOptVolumeFlag,DiffOptVolume,Volume)),0))</f>
        <v>600</v>
      </c>
      <c r="BY39" s="1647" t="n">
        <f aca="false">IF(AND(WeekDef=8,CustomSuFlag,CustomSuPeriod=4),INDEX(IF(DiffOptVolumeFlag,DiffOptVolumeHourlyOver,VolumeHourlyOver),T11,3),IF(OR(WeekDef=1,WeekDef=3,WeekDef=5,WeekDef=6,AND(WeekDef=8,CustomSuFlag,OR(CustomSuPeriod=1,CustomSuPeriod=2))),IF(VolumeMonthlyOverFlag,INDEX(IF(DiffOptVolumeFlag,DiffOptVolumeMonthlyOver,VolumeMonthlyOver),BJ39),IF(DiffOptVolumeFlag,DiffOptVolume,Volume)),0))</f>
        <v>600</v>
      </c>
      <c r="BZ39" s="1648" t="n">
        <f aca="false">IF(AND(WeekDef=8,CustomSuFlag,CustomSuPeriod=4),INDEX(IF(DiffOptVolumeFlag,DiffOptVolumeHourlyOver,VolumeHourlyOver),U11,3),IF(OR(WeekDef=1,WeekDef=3,WeekDef=5,WeekDef=6,AND(WeekDef=8,CustomSuFlag,OR(CustomSuPeriod=1,CustomSuPeriod=2))),IF(VolumeMonthlyOverFlag,INDEX(IF(DiffOptVolumeFlag,DiffOptVolumeMonthlyOver,VolumeMonthlyOver),BJ39),IF(DiffOptVolumeFlag,DiffOptVolume,Volume)),0))</f>
        <v>600</v>
      </c>
      <c r="CA39" s="1647" t="n">
        <f aca="false">IF(AND(WeekDef=8,CustomSuFlag,CustomSuPeriod=4),INDEX(IF(DiffOptVolumeFlag,DiffOptVolumeHourlyOver,VolumeHourlyOver),V11,3),IF(OR(WeekDef=1,WeekDef=3,WeekDef=5,WeekDef=7,AND(WeekDef=8,CustomSuFlag,OR(CustomSuPeriod=1,CustomSuPeriod=3))),IF(VolumeMonthlyOverFlag,INDEX(IF(DiffOptVolumeFlag,DiffOptVolumeMonthlyOver,VolumeMonthlyOver),BJ39),IF(DiffOptVolumeFlag,DiffOptVolume,Volume)),0))</f>
        <v>600</v>
      </c>
      <c r="CB39" s="1647" t="n">
        <f aca="false">IF(AND(WeekDef=8,CustomSuFlag,CustomSuPeriod=4),INDEX(IF(DiffOptVolumeFlag,DiffOptVolumeHourlyOver,VolumeHourlyOver),W11,3),IF(OR(WeekDef=1,WeekDef=3,WeekDef=5,WeekDef=7,AND(WeekDef=8,CustomSuFlag,OR(CustomSuPeriod=1,CustomSuPeriod=3))),IF(VolumeMonthlyOverFlag,INDEX(IF(DiffOptVolumeFlag,DiffOptVolumeMonthlyOver,VolumeMonthlyOver),BJ39),IF(DiffOptVolumeFlag,DiffOptVolume,Volume)),0))</f>
        <v>600</v>
      </c>
      <c r="CC39" s="1647" t="n">
        <f aca="false">IF(AND(WeekDef=8,CustomSuFlag,CustomSuPeriod=4),INDEX(IF(DiffOptVolumeFlag,DiffOptVolumeHourlyOver,VolumeHourlyOver),X11,3),IF(OR(WeekDef=1,WeekDef=3,WeekDef=5,WeekDef=7,AND(WeekDef=8,CustomSuFlag,OR(CustomSuPeriod=1,CustomSuPeriod=3))),IF(VolumeMonthlyOverFlag,INDEX(IF(DiffOptVolumeFlag,DiffOptVolumeMonthlyOver,VolumeMonthlyOver),BJ39),IF(DiffOptVolumeFlag,DiffOptVolume,Volume)),0))</f>
        <v>600</v>
      </c>
      <c r="CD39" s="1647" t="n">
        <f aca="false">IF(AND(WeekDef=8,CustomSuFlag,CustomSuPeriod=4),INDEX(IF(DiffOptVolumeFlag,DiffOptVolumeHourlyOver,VolumeHourlyOver),Y11,3),IF(OR(WeekDef=1,WeekDef=3,WeekDef=5,WeekDef=7,AND(WeekDef=8,CustomSuFlag,OR(CustomSuPeriod=1,CustomSuPeriod=3))),IF(VolumeMonthlyOverFlag,INDEX(IF(DiffOptVolumeFlag,DiffOptVolumeMonthlyOver,VolumeMonthlyOver),BJ39),IF(DiffOptVolumeFlag,DiffOptVolume,Volume)),0))</f>
        <v>600</v>
      </c>
      <c r="CE39" s="1647" t="n">
        <f aca="false">IF(AND(WeekDef=8,CustomSuFlag,CustomSuPeriod=4),INDEX(IF(DiffOptVolumeFlag,DiffOptVolumeHourlyOver,VolumeHourlyOver),Z11,3),IF(OR(WeekDef=1,WeekDef=3,WeekDef=5,WeekDef=7,AND(WeekDef=8,CustomSuFlag,OR(CustomSuPeriod=1,CustomSuPeriod=3))),IF(VolumeMonthlyOverFlag,INDEX(IF(DiffOptVolumeFlag,DiffOptVolumeMonthlyOver,VolumeMonthlyOver),BJ39),IF(DiffOptVolumeFlag,DiffOptVolume,Volume)),0))</f>
        <v>600</v>
      </c>
      <c r="CF39" s="1647" t="n">
        <f aca="false">IF(AND(WeekDef=8,CustomSuFlag,CustomSuPeriod=4),INDEX(IF(DiffOptVolumeFlag,DiffOptVolumeHourlyOver,VolumeHourlyOver),AA11,3),IF(OR(WeekDef=1,WeekDef=3,WeekDef=5,WeekDef=7,AND(WeekDef=8,CustomSuFlag,OR(CustomSuPeriod=1,CustomSuPeriod=3))),IF(VolumeMonthlyOverFlag,INDEX(IF(DiffOptVolumeFlag,DiffOptVolumeMonthlyOver,VolumeMonthlyOver),BJ39),IF(DiffOptVolumeFlag,DiffOptVolume,Volume)),0))</f>
        <v>600</v>
      </c>
      <c r="CG39" s="1647" t="n">
        <f aca="false">IF(AND(WeekDef=8,CustomSuFlag,CustomSuPeriod=4),INDEX(IF(DiffOptVolumeFlag,DiffOptVolumeHourlyOver,VolumeHourlyOver),AB11,3),IF(OR(WeekDef=1,WeekDef=3,WeekDef=5,WeekDef=7,AND(WeekDef=8,CustomSuFlag,OR(CustomSuPeriod=1,CustomSuPeriod=3))),IF(VolumeMonthlyOverFlag,INDEX(IF(DiffOptVolumeFlag,DiffOptVolumeMonthlyOver,VolumeMonthlyOver),BJ39),IF(DiffOptVolumeFlag,DiffOptVolume,Volume)),0))</f>
        <v>600</v>
      </c>
      <c r="CH39" s="1648" t="n">
        <f aca="false">IF(AND(WeekDef=8,CustomSuFlag,CustomSuPeriod=4),INDEX(IF(DiffOptVolumeFlag,DiffOptVolumeHourlyOver,VolumeHourlyOver),AC11,3),IF(OR(WeekDef=1,WeekDef=3,WeekDef=5,WeekDef=7,AND(WeekDef=8,CustomSuFlag,OR(CustomSuPeriod=1,CustomSuPeriod=3))),IF(VolumeMonthlyOverFlag,INDEX(IF(DiffOptVolumeFlag,DiffOptVolumeMonthlyOver,VolumeMonthlyOver),BJ39),IF(DiffOptVolumeFlag,DiffOptVolume,Volume)),0))</f>
        <v>600</v>
      </c>
      <c r="CI39" s="1652" t="n">
        <f aca="false">SUM(BK39:BZ39)</f>
        <v>9600</v>
      </c>
      <c r="CJ39" s="1653" t="n">
        <f aca="false">SUM(CA39:CH39)</f>
        <v>4800</v>
      </c>
      <c r="CK39" s="1654" t="n">
        <f aca="false">CI39+CJ39</f>
        <v>14400</v>
      </c>
      <c r="CL39" s="1674" t="n">
        <f aca="false">IF(CI39,SUMPRODUCT(BK39:BZ39,F27:U27)/CI39,0)</f>
        <v>1.00000000372529</v>
      </c>
      <c r="CM39" s="1655" t="n">
        <f aca="false">IF(CJ39,SUMPRODUCT(CA39:CH39,V27:AC27)/CJ39,0)</f>
        <v>0.999999985098839</v>
      </c>
    </row>
    <row r="40" customFormat="false" ht="12.75" hidden="false" customHeight="false" outlineLevel="0" collapsed="false">
      <c r="A40" s="1694" t="n">
        <v>4</v>
      </c>
      <c r="B40" s="1695" t="n">
        <f aca="false">IF(A40=MONTH(CurveDate+31),EOMONTH(CurveDate+31,0),EOMONTH(CurveDate+31,MOD(A40-MONTH(CurveDate+31),12)-1)+1)</f>
        <v>36982</v>
      </c>
      <c r="C40" s="1696" t="n">
        <f aca="false">VLOOKUP(B40,PriceTable,3,0)+IF(BasisNumber&lt;&gt;1,VLOOKUP(B40,BasisTable,2,0),0)</f>
        <v>33.25</v>
      </c>
      <c r="D40" s="1696" t="n">
        <f aca="false">VLOOKUP(B40,PriceTable,7,0)+IF(BasisNumber&lt;&gt;1,VLOOKUP(B40,BasisTable,3,0),0)</f>
        <v>17.6875</v>
      </c>
      <c r="E40" s="1636" t="n">
        <v>4</v>
      </c>
      <c r="F40" s="1691" t="n">
        <f aca="false">C40*F24</f>
        <v>35.4681271612644</v>
      </c>
      <c r="G40" s="1692" t="n">
        <f aca="false">C40*G24</f>
        <v>35.0586363971233</v>
      </c>
      <c r="H40" s="1692" t="n">
        <f aca="false">C40*H24</f>
        <v>34.9845863878727</v>
      </c>
      <c r="I40" s="1692" t="n">
        <f aca="false">C40*I24</f>
        <v>34.7787311673164</v>
      </c>
      <c r="J40" s="1692" t="n">
        <f aca="false">C40*J24</f>
        <v>34.3983776271343</v>
      </c>
      <c r="K40" s="1692" t="n">
        <f aca="false">C40*K24</f>
        <v>34.0761320590973</v>
      </c>
      <c r="L40" s="1692" t="n">
        <f aca="false">C40*L24</f>
        <v>33.9885776937008</v>
      </c>
      <c r="M40" s="1692" t="n">
        <f aca="false">C40*M24</f>
        <v>33.4950325191021</v>
      </c>
      <c r="N40" s="1692" t="n">
        <f aca="false">C40*N24</f>
        <v>33.2899541854858</v>
      </c>
      <c r="O40" s="1692" t="n">
        <f aca="false">C40*O24</f>
        <v>32.5203723609448</v>
      </c>
      <c r="P40" s="1692" t="n">
        <f aca="false">C40*P24</f>
        <v>32.4705743044615</v>
      </c>
      <c r="Q40" s="1692" t="n">
        <f aca="false">C40*Q24</f>
        <v>32.1400188207626</v>
      </c>
      <c r="R40" s="1692" t="n">
        <f aca="false">C40*R24</f>
        <v>32.0432983785868</v>
      </c>
      <c r="S40" s="1692" t="n">
        <f aca="false">C40*S24</f>
        <v>31.8759089708328</v>
      </c>
      <c r="T40" s="1692" t="n">
        <f aca="false">C40*T24</f>
        <v>31.7596632987261</v>
      </c>
      <c r="U40" s="1693" t="n">
        <f aca="false">C40*U24</f>
        <v>29.6520086675882</v>
      </c>
      <c r="V40" s="1692" t="n">
        <f aca="false">D40*V24</f>
        <v>20.4881046116352</v>
      </c>
      <c r="W40" s="1692" t="n">
        <f aca="false">D40*W24</f>
        <v>19.1524662226439</v>
      </c>
      <c r="X40" s="1692" t="n">
        <f aca="false">D40*X24</f>
        <v>18.4710660874844</v>
      </c>
      <c r="Y40" s="1692" t="n">
        <f aca="false">D40*Y24</f>
        <v>17.3834248259664</v>
      </c>
      <c r="Z40" s="1692" t="n">
        <f aca="false">D40*Z24</f>
        <v>17.3020456619561</v>
      </c>
      <c r="AA40" s="1692" t="n">
        <f aca="false">D40*AA24</f>
        <v>16.6035602353513</v>
      </c>
      <c r="AB40" s="1692" t="n">
        <f aca="false">D40*AB24</f>
        <v>16.109145257622</v>
      </c>
      <c r="AC40" s="1693" t="n">
        <f aca="false">D40*AC24</f>
        <v>15.990188151598</v>
      </c>
      <c r="AD40" s="1658"/>
      <c r="AE40" s="1636" t="n">
        <v>8</v>
      </c>
      <c r="AF40" s="1646" t="n">
        <f aca="false">IF(AND(WeekDef=8,CustomSuFlag,CustomSuPeriod=4),INDEX(VolumeHourlyOver,F12,3),IF(OR(WeekDef=1,WeekDef=3,WeekDef=5,WeekDef=6,AND(WeekDef=8,CustomSuFlag,OR(CustomSuPeriod=1,CustomSuPeriod=2))),IF(VolumeMonthlyOverFlag,INDEX(VolumeMonthlyOver,AE40),Volume),0))</f>
        <v>150</v>
      </c>
      <c r="AG40" s="1647" t="n">
        <f aca="false">IF(AND(WeekDef=8,CustomSuFlag,CustomSuPeriod=4),INDEX(VolumeHourlyOver,G12,3),IF(OR(WeekDef=1,WeekDef=3,WeekDef=5,WeekDef=6,AND(WeekDef=8,CustomSuFlag,OR(CustomSuPeriod=1,CustomSuPeriod=2))),IF(VolumeMonthlyOverFlag,INDEX(VolumeMonthlyOver,AE40),Volume),0))</f>
        <v>150</v>
      </c>
      <c r="AH40" s="1647" t="n">
        <f aca="false">IF(AND(WeekDef=8,CustomSuFlag,CustomSuPeriod=4),INDEX(VolumeHourlyOver,H12,3),IF(OR(WeekDef=1,WeekDef=3,WeekDef=5,WeekDef=6,AND(WeekDef=8,CustomSuFlag,OR(CustomSuPeriod=1,CustomSuPeriod=2))),IF(VolumeMonthlyOverFlag,INDEX(VolumeMonthlyOver,AE40),Volume),0))</f>
        <v>150</v>
      </c>
      <c r="AI40" s="1647" t="n">
        <f aca="false">IF(AND(WeekDef=8,CustomSuFlag,CustomSuPeriod=4),INDEX(VolumeHourlyOver,I12,3),IF(OR(WeekDef=1,WeekDef=3,WeekDef=5,WeekDef=6,AND(WeekDef=8,CustomSuFlag,OR(CustomSuPeriod=1,CustomSuPeriod=2))),IF(VolumeMonthlyOverFlag,INDEX(VolumeMonthlyOver,AE40),Volume),0))</f>
        <v>150</v>
      </c>
      <c r="AJ40" s="1647" t="n">
        <f aca="false">IF(AND(WeekDef=8,CustomSuFlag,CustomSuPeriod=4),INDEX(VolumeHourlyOver,J12,3),IF(OR(WeekDef=1,WeekDef=3,WeekDef=5,WeekDef=6,AND(WeekDef=8,CustomSuFlag,OR(CustomSuPeriod=1,CustomSuPeriod=2))),IF(VolumeMonthlyOverFlag,INDEX(VolumeMonthlyOver,AE40),Volume),0))</f>
        <v>150</v>
      </c>
      <c r="AK40" s="1647" t="n">
        <f aca="false">IF(AND(WeekDef=8,CustomSuFlag,CustomSuPeriod=4),INDEX(VolumeHourlyOver,K12,3),IF(OR(WeekDef=1,WeekDef=3,WeekDef=5,WeekDef=6,AND(WeekDef=8,CustomSuFlag,OR(CustomSuPeriod=1,CustomSuPeriod=2))),IF(VolumeMonthlyOverFlag,INDEX(VolumeMonthlyOver,AE40),Volume),0))</f>
        <v>150</v>
      </c>
      <c r="AL40" s="1647" t="n">
        <f aca="false">IF(AND(WeekDef=8,CustomSuFlag,CustomSuPeriod=4),INDEX(VolumeHourlyOver,L12,3),IF(OR(WeekDef=1,WeekDef=3,WeekDef=5,WeekDef=6,AND(WeekDef=8,CustomSuFlag,OR(CustomSuPeriod=1,CustomSuPeriod=2))),IF(VolumeMonthlyOverFlag,INDEX(VolumeMonthlyOver,AE40),Volume),0))</f>
        <v>150</v>
      </c>
      <c r="AM40" s="1647" t="n">
        <f aca="false">IF(AND(WeekDef=8,CustomSuFlag,CustomSuPeriod=4),INDEX(VolumeHourlyOver,M12,3),IF(OR(WeekDef=1,WeekDef=3,WeekDef=5,WeekDef=6,AND(WeekDef=8,CustomSuFlag,OR(CustomSuPeriod=1,CustomSuPeriod=2))),IF(VolumeMonthlyOverFlag,INDEX(VolumeMonthlyOver,AE40),Volume),0))</f>
        <v>150</v>
      </c>
      <c r="AN40" s="1647" t="n">
        <f aca="false">IF(AND(WeekDef=8,CustomSuFlag,CustomSuPeriod=4),INDEX(VolumeHourlyOver,N12,3),IF(OR(WeekDef=1,WeekDef=3,WeekDef=5,WeekDef=6,AND(WeekDef=8,CustomSuFlag,OR(CustomSuPeriod=1,CustomSuPeriod=2))),IF(VolumeMonthlyOverFlag,INDEX(VolumeMonthlyOver,AE40),Volume),0))</f>
        <v>150</v>
      </c>
      <c r="AO40" s="1647" t="n">
        <f aca="false">IF(AND(WeekDef=8,CustomSuFlag,CustomSuPeriod=4),INDEX(VolumeHourlyOver,O12,3),IF(OR(WeekDef=1,WeekDef=3,WeekDef=5,WeekDef=6,AND(WeekDef=8,CustomSuFlag,OR(CustomSuPeriod=1,CustomSuPeriod=2))),IF(VolumeMonthlyOverFlag,INDEX(VolumeMonthlyOver,AE40),Volume),0))</f>
        <v>150</v>
      </c>
      <c r="AP40" s="1647" t="n">
        <f aca="false">IF(AND(WeekDef=8,CustomSuFlag,CustomSuPeriod=4),INDEX(VolumeHourlyOver,P12,3),IF(OR(WeekDef=1,WeekDef=3,WeekDef=5,WeekDef=6,AND(WeekDef=8,CustomSuFlag,OR(CustomSuPeriod=1,CustomSuPeriod=2))),IF(VolumeMonthlyOverFlag,INDEX(VolumeMonthlyOver,AE40),Volume),0))</f>
        <v>150</v>
      </c>
      <c r="AQ40" s="1647" t="n">
        <f aca="false">IF(AND(WeekDef=8,CustomSuFlag,CustomSuPeriod=4),INDEX(VolumeHourlyOver,Q12,3),IF(OR(WeekDef=1,WeekDef=3,WeekDef=5,WeekDef=6,AND(WeekDef=8,CustomSuFlag,OR(CustomSuPeriod=1,CustomSuPeriod=2))),IF(VolumeMonthlyOverFlag,INDEX(VolumeMonthlyOver,AE40),Volume),0))</f>
        <v>150</v>
      </c>
      <c r="AR40" s="1647" t="n">
        <f aca="false">IF(AND(WeekDef=8,CustomSuFlag,CustomSuPeriod=4),INDEX(VolumeHourlyOver,R12,3),IF(OR(WeekDef=1,WeekDef=3,WeekDef=5,WeekDef=6,AND(WeekDef=8,CustomSuFlag,OR(CustomSuPeriod=1,CustomSuPeriod=2))),IF(VolumeMonthlyOverFlag,INDEX(VolumeMonthlyOver,AE40),Volume),0))</f>
        <v>150</v>
      </c>
      <c r="AS40" s="1647" t="n">
        <f aca="false">IF(AND(WeekDef=8,CustomSuFlag,CustomSuPeriod=4),INDEX(VolumeHourlyOver,S12,3),IF(OR(WeekDef=1,WeekDef=3,WeekDef=5,WeekDef=6,AND(WeekDef=8,CustomSuFlag,OR(CustomSuPeriod=1,CustomSuPeriod=2))),IF(VolumeMonthlyOverFlag,INDEX(VolumeMonthlyOver,AE40),Volume),0))</f>
        <v>150</v>
      </c>
      <c r="AT40" s="1647" t="n">
        <f aca="false">IF(AND(WeekDef=8,CustomSuFlag,CustomSuPeriod=4),INDEX(VolumeHourlyOver,T12,3),IF(OR(WeekDef=1,WeekDef=3,WeekDef=5,WeekDef=6,AND(WeekDef=8,CustomSuFlag,OR(CustomSuPeriod=1,CustomSuPeriod=2))),IF(VolumeMonthlyOverFlag,INDEX(VolumeMonthlyOver,AE40),Volume),0))</f>
        <v>150</v>
      </c>
      <c r="AU40" s="1648" t="n">
        <f aca="false">IF(AND(WeekDef=8,CustomSuFlag,CustomSuPeriod=4),INDEX(VolumeHourlyOver,U12,3),IF(OR(WeekDef=1,WeekDef=3,WeekDef=5,WeekDef=6,AND(WeekDef=8,CustomSuFlag,OR(CustomSuPeriod=1,CustomSuPeriod=2))),IF(VolumeMonthlyOverFlag,INDEX(VolumeMonthlyOver,AE40),Volume),0))</f>
        <v>150</v>
      </c>
      <c r="AV40" s="1647" t="n">
        <f aca="false">IF(AND(WeekDef=8,CustomSuFlag,CustomSuPeriod=4),INDEX(VolumeHourlyOver,V12,3),IF(OR(WeekDef=1,WeekDef=3,WeekDef=5,WeekDef=7,AND(WeekDef=8,CustomSuFlag,OR(CustomSuPeriod=1,CustomSuPeriod=3))),IF(VolumeMonthlyOverFlag,INDEX(VolumeMonthlyOver,AE40),Volume),0))</f>
        <v>150</v>
      </c>
      <c r="AW40" s="1647" t="n">
        <f aca="false">IF(AND(WeekDef=8,CustomSuFlag,CustomSuPeriod=4),INDEX(VolumeHourlyOver,W12,3),IF(OR(WeekDef=1,WeekDef=3,WeekDef=5,WeekDef=7,AND(WeekDef=8,CustomSuFlag,OR(CustomSuPeriod=1,CustomSuPeriod=3))),IF(VolumeMonthlyOverFlag,INDEX(VolumeMonthlyOver,AE40),Volume),0))</f>
        <v>150</v>
      </c>
      <c r="AX40" s="1647" t="n">
        <f aca="false">IF(AND(WeekDef=8,CustomSuFlag,CustomSuPeriod=4),INDEX(VolumeHourlyOver,X12,3),IF(OR(WeekDef=1,WeekDef=3,WeekDef=5,WeekDef=7,AND(WeekDef=8,CustomSuFlag,OR(CustomSuPeriod=1,CustomSuPeriod=3))),IF(VolumeMonthlyOverFlag,INDEX(VolumeMonthlyOver,AE40),Volume),0))</f>
        <v>150</v>
      </c>
      <c r="AY40" s="1647" t="n">
        <f aca="false">IF(AND(WeekDef=8,CustomSuFlag,CustomSuPeriod=4),INDEX(VolumeHourlyOver,Y12,3),IF(OR(WeekDef=1,WeekDef=3,WeekDef=5,WeekDef=7,AND(WeekDef=8,CustomSuFlag,OR(CustomSuPeriod=1,CustomSuPeriod=3))),IF(VolumeMonthlyOverFlag,INDEX(VolumeMonthlyOver,AE40),Volume),0))</f>
        <v>150</v>
      </c>
      <c r="AZ40" s="1647" t="n">
        <f aca="false">IF(AND(WeekDef=8,CustomSuFlag,CustomSuPeriod=4),INDEX(VolumeHourlyOver,Z12,3),IF(OR(WeekDef=1,WeekDef=3,WeekDef=5,WeekDef=7,AND(WeekDef=8,CustomSuFlag,OR(CustomSuPeriod=1,CustomSuPeriod=3))),IF(VolumeMonthlyOverFlag,INDEX(VolumeMonthlyOver,AE40),Volume),0))</f>
        <v>150</v>
      </c>
      <c r="BA40" s="1647" t="n">
        <f aca="false">IF(AND(WeekDef=8,CustomSuFlag,CustomSuPeriod=4),INDEX(VolumeHourlyOver,AA12,3),IF(OR(WeekDef=1,WeekDef=3,WeekDef=5,WeekDef=7,AND(WeekDef=8,CustomSuFlag,OR(CustomSuPeriod=1,CustomSuPeriod=3))),IF(VolumeMonthlyOverFlag,INDEX(VolumeMonthlyOver,AE40),Volume),0))</f>
        <v>150</v>
      </c>
      <c r="BB40" s="1647" t="n">
        <f aca="false">IF(AND(WeekDef=8,CustomSuFlag,CustomSuPeriod=4),INDEX(VolumeHourlyOver,AB12,3),IF(OR(WeekDef=1,WeekDef=3,WeekDef=5,WeekDef=7,AND(WeekDef=8,CustomSuFlag,OR(CustomSuPeriod=1,CustomSuPeriod=3))),IF(VolumeMonthlyOverFlag,INDEX(VolumeMonthlyOver,AE40),Volume),0))</f>
        <v>150</v>
      </c>
      <c r="BC40" s="1648" t="n">
        <f aca="false">IF(AND(WeekDef=8,CustomSuFlag,CustomSuPeriod=4),INDEX(VolumeHourlyOver,AC12,3),IF(OR(WeekDef=1,WeekDef=3,WeekDef=5,WeekDef=7,AND(WeekDef=8,CustomSuFlag,OR(CustomSuPeriod=1,CustomSuPeriod=3))),IF(VolumeMonthlyOverFlag,INDEX(VolumeMonthlyOver,AE40),Volume),0))</f>
        <v>150</v>
      </c>
      <c r="BD40" s="1652" t="n">
        <f aca="false">SUM(AF40:AU40)</f>
        <v>2400</v>
      </c>
      <c r="BE40" s="1653" t="n">
        <f aca="false">SUM(AV40:BC40)</f>
        <v>1200</v>
      </c>
      <c r="BF40" s="1654" t="n">
        <f aca="false">BD40+BE40</f>
        <v>3600</v>
      </c>
      <c r="BG40" s="1674" t="n">
        <f aca="false">IF(BD40,SUMPRODUCT(AF40:AU40,F28:U28)/BD40,0)</f>
        <v>0.999999988824129</v>
      </c>
      <c r="BH40" s="1655" t="n">
        <f aca="false">IF(BE40,SUMPRODUCT(AV40:BC40,V28:AC28)/BE40,0)</f>
        <v>1.00000000745058</v>
      </c>
      <c r="BJ40" s="1636" t="n">
        <v>8</v>
      </c>
      <c r="BK40" s="1646" t="n">
        <f aca="false">IF(AND(WeekDef=8,CustomSuFlag,CustomSuPeriod=4),INDEX(IF(DiffOptVolumeFlag,DiffOptVolumeHourlyOver,VolumeHourlyOver),F12,3),IF(OR(WeekDef=1,WeekDef=3,WeekDef=5,WeekDef=6,AND(WeekDef=8,CustomSuFlag,OR(CustomSuPeriod=1,CustomSuPeriod=2))),IF(VolumeMonthlyOverFlag,INDEX(IF(DiffOptVolumeFlag,DiffOptVolumeMonthlyOver,VolumeMonthlyOver),BJ40),IF(DiffOptVolumeFlag,DiffOptVolume,Volume)),0))</f>
        <v>600</v>
      </c>
      <c r="BL40" s="1647" t="n">
        <f aca="false">IF(AND(WeekDef=8,CustomSuFlag,CustomSuPeriod=4),INDEX(IF(DiffOptVolumeFlag,DiffOptVolumeHourlyOver,VolumeHourlyOver),G12,3),IF(OR(WeekDef=1,WeekDef=3,WeekDef=5,WeekDef=6,AND(WeekDef=8,CustomSuFlag,OR(CustomSuPeriod=1,CustomSuPeriod=2))),IF(VolumeMonthlyOverFlag,INDEX(IF(DiffOptVolumeFlag,DiffOptVolumeMonthlyOver,VolumeMonthlyOver),BJ40),IF(DiffOptVolumeFlag,DiffOptVolume,Volume)),0))</f>
        <v>600</v>
      </c>
      <c r="BM40" s="1647" t="n">
        <f aca="false">IF(AND(WeekDef=8,CustomSuFlag,CustomSuPeriod=4),INDEX(IF(DiffOptVolumeFlag,DiffOptVolumeHourlyOver,VolumeHourlyOver),H12,3),IF(OR(WeekDef=1,WeekDef=3,WeekDef=5,WeekDef=6,AND(WeekDef=8,CustomSuFlag,OR(CustomSuPeriod=1,CustomSuPeriod=2))),IF(VolumeMonthlyOverFlag,INDEX(IF(DiffOptVolumeFlag,DiffOptVolumeMonthlyOver,VolumeMonthlyOver),BJ40),IF(DiffOptVolumeFlag,DiffOptVolume,Volume)),0))</f>
        <v>600</v>
      </c>
      <c r="BN40" s="1647" t="n">
        <f aca="false">IF(AND(WeekDef=8,CustomSuFlag,CustomSuPeriod=4),INDEX(IF(DiffOptVolumeFlag,DiffOptVolumeHourlyOver,VolumeHourlyOver),I12,3),IF(OR(WeekDef=1,WeekDef=3,WeekDef=5,WeekDef=6,AND(WeekDef=8,CustomSuFlag,OR(CustomSuPeriod=1,CustomSuPeriod=2))),IF(VolumeMonthlyOverFlag,INDEX(IF(DiffOptVolumeFlag,DiffOptVolumeMonthlyOver,VolumeMonthlyOver),BJ40),IF(DiffOptVolumeFlag,DiffOptVolume,Volume)),0))</f>
        <v>600</v>
      </c>
      <c r="BO40" s="1647" t="n">
        <f aca="false">IF(AND(WeekDef=8,CustomSuFlag,CustomSuPeriod=4),INDEX(IF(DiffOptVolumeFlag,DiffOptVolumeHourlyOver,VolumeHourlyOver),J12,3),IF(OR(WeekDef=1,WeekDef=3,WeekDef=5,WeekDef=6,AND(WeekDef=8,CustomSuFlag,OR(CustomSuPeriod=1,CustomSuPeriod=2))),IF(VolumeMonthlyOverFlag,INDEX(IF(DiffOptVolumeFlag,DiffOptVolumeMonthlyOver,VolumeMonthlyOver),BJ40),IF(DiffOptVolumeFlag,DiffOptVolume,Volume)),0))</f>
        <v>600</v>
      </c>
      <c r="BP40" s="1647" t="n">
        <f aca="false">IF(AND(WeekDef=8,CustomSuFlag,CustomSuPeriod=4),INDEX(IF(DiffOptVolumeFlag,DiffOptVolumeHourlyOver,VolumeHourlyOver),K12,3),IF(OR(WeekDef=1,WeekDef=3,WeekDef=5,WeekDef=6,AND(WeekDef=8,CustomSuFlag,OR(CustomSuPeriod=1,CustomSuPeriod=2))),IF(VolumeMonthlyOverFlag,INDEX(IF(DiffOptVolumeFlag,DiffOptVolumeMonthlyOver,VolumeMonthlyOver),BJ40),IF(DiffOptVolumeFlag,DiffOptVolume,Volume)),0))</f>
        <v>600</v>
      </c>
      <c r="BQ40" s="1647" t="n">
        <f aca="false">IF(AND(WeekDef=8,CustomSuFlag,CustomSuPeriod=4),INDEX(IF(DiffOptVolumeFlag,DiffOptVolumeHourlyOver,VolumeHourlyOver),L12,3),IF(OR(WeekDef=1,WeekDef=3,WeekDef=5,WeekDef=6,AND(WeekDef=8,CustomSuFlag,OR(CustomSuPeriod=1,CustomSuPeriod=2))),IF(VolumeMonthlyOverFlag,INDEX(IF(DiffOptVolumeFlag,DiffOptVolumeMonthlyOver,VolumeMonthlyOver),BJ40),IF(DiffOptVolumeFlag,DiffOptVolume,Volume)),0))</f>
        <v>600</v>
      </c>
      <c r="BR40" s="1647" t="n">
        <f aca="false">IF(AND(WeekDef=8,CustomSuFlag,CustomSuPeriod=4),INDEX(IF(DiffOptVolumeFlag,DiffOptVolumeHourlyOver,VolumeHourlyOver),M12,3),IF(OR(WeekDef=1,WeekDef=3,WeekDef=5,WeekDef=6,AND(WeekDef=8,CustomSuFlag,OR(CustomSuPeriod=1,CustomSuPeriod=2))),IF(VolumeMonthlyOverFlag,INDEX(IF(DiffOptVolumeFlag,DiffOptVolumeMonthlyOver,VolumeMonthlyOver),BJ40),IF(DiffOptVolumeFlag,DiffOptVolume,Volume)),0))</f>
        <v>600</v>
      </c>
      <c r="BS40" s="1647" t="n">
        <f aca="false">IF(AND(WeekDef=8,CustomSuFlag,CustomSuPeriod=4),INDEX(IF(DiffOptVolumeFlag,DiffOptVolumeHourlyOver,VolumeHourlyOver),N12,3),IF(OR(WeekDef=1,WeekDef=3,WeekDef=5,WeekDef=6,AND(WeekDef=8,CustomSuFlag,OR(CustomSuPeriod=1,CustomSuPeriod=2))),IF(VolumeMonthlyOverFlag,INDEX(IF(DiffOptVolumeFlag,DiffOptVolumeMonthlyOver,VolumeMonthlyOver),BJ40),IF(DiffOptVolumeFlag,DiffOptVolume,Volume)),0))</f>
        <v>600</v>
      </c>
      <c r="BT40" s="1647" t="n">
        <f aca="false">IF(AND(WeekDef=8,CustomSuFlag,CustomSuPeriod=4),INDEX(IF(DiffOptVolumeFlag,DiffOptVolumeHourlyOver,VolumeHourlyOver),O12,3),IF(OR(WeekDef=1,WeekDef=3,WeekDef=5,WeekDef=6,AND(WeekDef=8,CustomSuFlag,OR(CustomSuPeriod=1,CustomSuPeriod=2))),IF(VolumeMonthlyOverFlag,INDEX(IF(DiffOptVolumeFlag,DiffOptVolumeMonthlyOver,VolumeMonthlyOver),BJ40),IF(DiffOptVolumeFlag,DiffOptVolume,Volume)),0))</f>
        <v>600</v>
      </c>
      <c r="BU40" s="1647" t="n">
        <f aca="false">IF(AND(WeekDef=8,CustomSuFlag,CustomSuPeriod=4),INDEX(IF(DiffOptVolumeFlag,DiffOptVolumeHourlyOver,VolumeHourlyOver),P12,3),IF(OR(WeekDef=1,WeekDef=3,WeekDef=5,WeekDef=6,AND(WeekDef=8,CustomSuFlag,OR(CustomSuPeriod=1,CustomSuPeriod=2))),IF(VolumeMonthlyOverFlag,INDEX(IF(DiffOptVolumeFlag,DiffOptVolumeMonthlyOver,VolumeMonthlyOver),BJ40),IF(DiffOptVolumeFlag,DiffOptVolume,Volume)),0))</f>
        <v>600</v>
      </c>
      <c r="BV40" s="1647" t="n">
        <f aca="false">IF(AND(WeekDef=8,CustomSuFlag,CustomSuPeriod=4),INDEX(IF(DiffOptVolumeFlag,DiffOptVolumeHourlyOver,VolumeHourlyOver),Q12,3),IF(OR(WeekDef=1,WeekDef=3,WeekDef=5,WeekDef=6,AND(WeekDef=8,CustomSuFlag,OR(CustomSuPeriod=1,CustomSuPeriod=2))),IF(VolumeMonthlyOverFlag,INDEX(IF(DiffOptVolumeFlag,DiffOptVolumeMonthlyOver,VolumeMonthlyOver),BJ40),IF(DiffOptVolumeFlag,DiffOptVolume,Volume)),0))</f>
        <v>600</v>
      </c>
      <c r="BW40" s="1647" t="n">
        <f aca="false">IF(AND(WeekDef=8,CustomSuFlag,CustomSuPeriod=4),INDEX(IF(DiffOptVolumeFlag,DiffOptVolumeHourlyOver,VolumeHourlyOver),R12,3),IF(OR(WeekDef=1,WeekDef=3,WeekDef=5,WeekDef=6,AND(WeekDef=8,CustomSuFlag,OR(CustomSuPeriod=1,CustomSuPeriod=2))),IF(VolumeMonthlyOverFlag,INDEX(IF(DiffOptVolumeFlag,DiffOptVolumeMonthlyOver,VolumeMonthlyOver),BJ40),IF(DiffOptVolumeFlag,DiffOptVolume,Volume)),0))</f>
        <v>600</v>
      </c>
      <c r="BX40" s="1647" t="n">
        <f aca="false">IF(AND(WeekDef=8,CustomSuFlag,CustomSuPeriod=4),INDEX(IF(DiffOptVolumeFlag,DiffOptVolumeHourlyOver,VolumeHourlyOver),S12,3),IF(OR(WeekDef=1,WeekDef=3,WeekDef=5,WeekDef=6,AND(WeekDef=8,CustomSuFlag,OR(CustomSuPeriod=1,CustomSuPeriod=2))),IF(VolumeMonthlyOverFlag,INDEX(IF(DiffOptVolumeFlag,DiffOptVolumeMonthlyOver,VolumeMonthlyOver),BJ40),IF(DiffOptVolumeFlag,DiffOptVolume,Volume)),0))</f>
        <v>600</v>
      </c>
      <c r="BY40" s="1647" t="n">
        <f aca="false">IF(AND(WeekDef=8,CustomSuFlag,CustomSuPeriod=4),INDEX(IF(DiffOptVolumeFlag,DiffOptVolumeHourlyOver,VolumeHourlyOver),T12,3),IF(OR(WeekDef=1,WeekDef=3,WeekDef=5,WeekDef=6,AND(WeekDef=8,CustomSuFlag,OR(CustomSuPeriod=1,CustomSuPeriod=2))),IF(VolumeMonthlyOverFlag,INDEX(IF(DiffOptVolumeFlag,DiffOptVolumeMonthlyOver,VolumeMonthlyOver),BJ40),IF(DiffOptVolumeFlag,DiffOptVolume,Volume)),0))</f>
        <v>600</v>
      </c>
      <c r="BZ40" s="1648" t="n">
        <f aca="false">IF(AND(WeekDef=8,CustomSuFlag,CustomSuPeriod=4),INDEX(IF(DiffOptVolumeFlag,DiffOptVolumeHourlyOver,VolumeHourlyOver),U12,3),IF(OR(WeekDef=1,WeekDef=3,WeekDef=5,WeekDef=6,AND(WeekDef=8,CustomSuFlag,OR(CustomSuPeriod=1,CustomSuPeriod=2))),IF(VolumeMonthlyOverFlag,INDEX(IF(DiffOptVolumeFlag,DiffOptVolumeMonthlyOver,VolumeMonthlyOver),BJ40),IF(DiffOptVolumeFlag,DiffOptVolume,Volume)),0))</f>
        <v>600</v>
      </c>
      <c r="CA40" s="1647" t="n">
        <f aca="false">IF(AND(WeekDef=8,CustomSuFlag,CustomSuPeriod=4),INDEX(IF(DiffOptVolumeFlag,DiffOptVolumeHourlyOver,VolumeHourlyOver),V12,3),IF(OR(WeekDef=1,WeekDef=3,WeekDef=5,WeekDef=7,AND(WeekDef=8,CustomSuFlag,OR(CustomSuPeriod=1,CustomSuPeriod=3))),IF(VolumeMonthlyOverFlag,INDEX(IF(DiffOptVolumeFlag,DiffOptVolumeMonthlyOver,VolumeMonthlyOver),BJ40),IF(DiffOptVolumeFlag,DiffOptVolume,Volume)),0))</f>
        <v>600</v>
      </c>
      <c r="CB40" s="1647" t="n">
        <f aca="false">IF(AND(WeekDef=8,CustomSuFlag,CustomSuPeriod=4),INDEX(IF(DiffOptVolumeFlag,DiffOptVolumeHourlyOver,VolumeHourlyOver),W12,3),IF(OR(WeekDef=1,WeekDef=3,WeekDef=5,WeekDef=7,AND(WeekDef=8,CustomSuFlag,OR(CustomSuPeriod=1,CustomSuPeriod=3))),IF(VolumeMonthlyOverFlag,INDEX(IF(DiffOptVolumeFlag,DiffOptVolumeMonthlyOver,VolumeMonthlyOver),BJ40),IF(DiffOptVolumeFlag,DiffOptVolume,Volume)),0))</f>
        <v>600</v>
      </c>
      <c r="CC40" s="1647" t="n">
        <f aca="false">IF(AND(WeekDef=8,CustomSuFlag,CustomSuPeriod=4),INDEX(IF(DiffOptVolumeFlag,DiffOptVolumeHourlyOver,VolumeHourlyOver),X12,3),IF(OR(WeekDef=1,WeekDef=3,WeekDef=5,WeekDef=7,AND(WeekDef=8,CustomSuFlag,OR(CustomSuPeriod=1,CustomSuPeriod=3))),IF(VolumeMonthlyOverFlag,INDEX(IF(DiffOptVolumeFlag,DiffOptVolumeMonthlyOver,VolumeMonthlyOver),BJ40),IF(DiffOptVolumeFlag,DiffOptVolume,Volume)),0))</f>
        <v>600</v>
      </c>
      <c r="CD40" s="1647" t="n">
        <f aca="false">IF(AND(WeekDef=8,CustomSuFlag,CustomSuPeriod=4),INDEX(IF(DiffOptVolumeFlag,DiffOptVolumeHourlyOver,VolumeHourlyOver),Y12,3),IF(OR(WeekDef=1,WeekDef=3,WeekDef=5,WeekDef=7,AND(WeekDef=8,CustomSuFlag,OR(CustomSuPeriod=1,CustomSuPeriod=3))),IF(VolumeMonthlyOverFlag,INDEX(IF(DiffOptVolumeFlag,DiffOptVolumeMonthlyOver,VolumeMonthlyOver),BJ40),IF(DiffOptVolumeFlag,DiffOptVolume,Volume)),0))</f>
        <v>600</v>
      </c>
      <c r="CE40" s="1647" t="n">
        <f aca="false">IF(AND(WeekDef=8,CustomSuFlag,CustomSuPeriod=4),INDEX(IF(DiffOptVolumeFlag,DiffOptVolumeHourlyOver,VolumeHourlyOver),Z12,3),IF(OR(WeekDef=1,WeekDef=3,WeekDef=5,WeekDef=7,AND(WeekDef=8,CustomSuFlag,OR(CustomSuPeriod=1,CustomSuPeriod=3))),IF(VolumeMonthlyOverFlag,INDEX(IF(DiffOptVolumeFlag,DiffOptVolumeMonthlyOver,VolumeMonthlyOver),BJ40),IF(DiffOptVolumeFlag,DiffOptVolume,Volume)),0))</f>
        <v>600</v>
      </c>
      <c r="CF40" s="1647" t="n">
        <f aca="false">IF(AND(WeekDef=8,CustomSuFlag,CustomSuPeriod=4),INDEX(IF(DiffOptVolumeFlag,DiffOptVolumeHourlyOver,VolumeHourlyOver),AA12,3),IF(OR(WeekDef=1,WeekDef=3,WeekDef=5,WeekDef=7,AND(WeekDef=8,CustomSuFlag,OR(CustomSuPeriod=1,CustomSuPeriod=3))),IF(VolumeMonthlyOverFlag,INDEX(IF(DiffOptVolumeFlag,DiffOptVolumeMonthlyOver,VolumeMonthlyOver),BJ40),IF(DiffOptVolumeFlag,DiffOptVolume,Volume)),0))</f>
        <v>600</v>
      </c>
      <c r="CG40" s="1647" t="n">
        <f aca="false">IF(AND(WeekDef=8,CustomSuFlag,CustomSuPeriod=4),INDEX(IF(DiffOptVolumeFlag,DiffOptVolumeHourlyOver,VolumeHourlyOver),AB12,3),IF(OR(WeekDef=1,WeekDef=3,WeekDef=5,WeekDef=7,AND(WeekDef=8,CustomSuFlag,OR(CustomSuPeriod=1,CustomSuPeriod=3))),IF(VolumeMonthlyOverFlag,INDEX(IF(DiffOptVolumeFlag,DiffOptVolumeMonthlyOver,VolumeMonthlyOver),BJ40),IF(DiffOptVolumeFlag,DiffOptVolume,Volume)),0))</f>
        <v>600</v>
      </c>
      <c r="CH40" s="1648" t="n">
        <f aca="false">IF(AND(WeekDef=8,CustomSuFlag,CustomSuPeriod=4),INDEX(IF(DiffOptVolumeFlag,DiffOptVolumeHourlyOver,VolumeHourlyOver),AC12,3),IF(OR(WeekDef=1,WeekDef=3,WeekDef=5,WeekDef=7,AND(WeekDef=8,CustomSuFlag,OR(CustomSuPeriod=1,CustomSuPeriod=3))),IF(VolumeMonthlyOverFlag,INDEX(IF(DiffOptVolumeFlag,DiffOptVolumeMonthlyOver,VolumeMonthlyOver),BJ40),IF(DiffOptVolumeFlag,DiffOptVolume,Volume)),0))</f>
        <v>600</v>
      </c>
      <c r="CI40" s="1652" t="n">
        <f aca="false">SUM(BK40:BZ40)</f>
        <v>9600</v>
      </c>
      <c r="CJ40" s="1653" t="n">
        <f aca="false">SUM(CA40:CH40)</f>
        <v>4800</v>
      </c>
      <c r="CK40" s="1654" t="n">
        <f aca="false">CI40+CJ40</f>
        <v>14400</v>
      </c>
      <c r="CL40" s="1674" t="n">
        <f aca="false">IF(CI40,SUMPRODUCT(BK40:BZ40,F28:U28)/CI40,0)</f>
        <v>0.999999988824129</v>
      </c>
      <c r="CM40" s="1655" t="n">
        <f aca="false">IF(CJ40,SUMPRODUCT(CA40:CH40,V28:AC28)/CJ40,0)</f>
        <v>1.00000000745058</v>
      </c>
    </row>
    <row r="41" customFormat="false" ht="12.75" hidden="false" customHeight="false" outlineLevel="0" collapsed="false">
      <c r="A41" s="1694" t="n">
        <v>5</v>
      </c>
      <c r="B41" s="1695" t="n">
        <f aca="false">IF(A41=MONTH(CurveDate+31),EOMONTH(CurveDate+31,0),EOMONTH(CurveDate+31,MOD(A41-MONTH(CurveDate+31),12)-1)+1)</f>
        <v>36677</v>
      </c>
      <c r="C41" s="1696" t="n">
        <f aca="false">VLOOKUP(B41,PriceTable,3,0)+IF(BasisNumber&lt;&gt;1,VLOOKUP(B41,BasisTable,2,0),0)</f>
        <v>35.35</v>
      </c>
      <c r="D41" s="1696" t="n">
        <f aca="false">VLOOKUP(B41,PriceTable,7,0)+IF(BasisNumber&lt;&gt;1,VLOOKUP(B41,BasisTable,3,0),0)</f>
        <v>15.5846774193548</v>
      </c>
      <c r="E41" s="1636" t="n">
        <v>5</v>
      </c>
      <c r="F41" s="1691" t="n">
        <f aca="false">C41*F25</f>
        <v>37.127304404974</v>
      </c>
      <c r="G41" s="1692" t="n">
        <f aca="false">C41*G25</f>
        <v>37.1231746375561</v>
      </c>
      <c r="H41" s="1692" t="n">
        <f aca="false">C41*H25</f>
        <v>36.8494258403778</v>
      </c>
      <c r="I41" s="1692" t="n">
        <f aca="false">C41*I25</f>
        <v>36.5347712755203</v>
      </c>
      <c r="J41" s="1692" t="n">
        <f aca="false">C41*J25</f>
        <v>36.4469125807285</v>
      </c>
      <c r="K41" s="1692" t="n">
        <f aca="false">C41*K25</f>
        <v>36.0710236787796</v>
      </c>
      <c r="L41" s="1692" t="n">
        <f aca="false">C41*L25</f>
        <v>36.021972155571</v>
      </c>
      <c r="M41" s="1692" t="n">
        <f aca="false">C41*M25</f>
        <v>35.6809797883034</v>
      </c>
      <c r="N41" s="1692" t="n">
        <f aca="false">C41*N25</f>
        <v>35.3337822347879</v>
      </c>
      <c r="O41" s="1692" t="n">
        <f aca="false">C41*O25</f>
        <v>35.0934171289206</v>
      </c>
      <c r="P41" s="1692" t="n">
        <f aca="false">C41*P25</f>
        <v>35.069784745574</v>
      </c>
      <c r="Q41" s="1692" t="n">
        <f aca="false">C41*Q25</f>
        <v>34.8572892487049</v>
      </c>
      <c r="R41" s="1692" t="n">
        <f aca="false">C41*R25</f>
        <v>34.8346113473177</v>
      </c>
      <c r="S41" s="1692" t="n">
        <f aca="false">C41*S25</f>
        <v>34.5058565765619</v>
      </c>
      <c r="T41" s="1692" t="n">
        <f aca="false">C41*T25</f>
        <v>33.3841485351324</v>
      </c>
      <c r="U41" s="1693" t="n">
        <f aca="false">C41*U25</f>
        <v>30.6655458211899</v>
      </c>
      <c r="V41" s="1692" t="n">
        <f aca="false">D41*V25</f>
        <v>18.2430192611871</v>
      </c>
      <c r="W41" s="1692" t="n">
        <f aca="false">D41*W25</f>
        <v>16.5902900046879</v>
      </c>
      <c r="X41" s="1692" t="n">
        <f aca="false">D41*X25</f>
        <v>16.3634367984149</v>
      </c>
      <c r="Y41" s="1692" t="n">
        <f aca="false">D41*Y25</f>
        <v>15.3462498803293</v>
      </c>
      <c r="Z41" s="1692" t="n">
        <f aca="false">D41*Z25</f>
        <v>14.8597693419264</v>
      </c>
      <c r="AA41" s="1692" t="n">
        <f aca="false">D41*AA25</f>
        <v>14.7713176593665</v>
      </c>
      <c r="AB41" s="1692" t="n">
        <f aca="false">D41*AB25</f>
        <v>14.2848371209637</v>
      </c>
      <c r="AC41" s="1693" t="n">
        <f aca="false">D41*AC25</f>
        <v>14.2184992879629</v>
      </c>
      <c r="AE41" s="1636" t="n">
        <v>9</v>
      </c>
      <c r="AF41" s="1646" t="n">
        <f aca="false">IF(AND(WeekDef=8,CustomSuFlag,CustomSuPeriod=4),INDEX(VolumeHourlyOver,F13,3),IF(OR(WeekDef=1,WeekDef=3,WeekDef=5,WeekDef=6,AND(WeekDef=8,CustomSuFlag,OR(CustomSuPeriod=1,CustomSuPeriod=2))),IF(VolumeMonthlyOverFlag,INDEX(VolumeMonthlyOver,AE41),Volume),0))</f>
        <v>150</v>
      </c>
      <c r="AG41" s="1647" t="n">
        <f aca="false">IF(AND(WeekDef=8,CustomSuFlag,CustomSuPeriod=4),INDEX(VolumeHourlyOver,G13,3),IF(OR(WeekDef=1,WeekDef=3,WeekDef=5,WeekDef=6,AND(WeekDef=8,CustomSuFlag,OR(CustomSuPeriod=1,CustomSuPeriod=2))),IF(VolumeMonthlyOverFlag,INDEX(VolumeMonthlyOver,AE41),Volume),0))</f>
        <v>150</v>
      </c>
      <c r="AH41" s="1647" t="n">
        <f aca="false">IF(AND(WeekDef=8,CustomSuFlag,CustomSuPeriod=4),INDEX(VolumeHourlyOver,H13,3),IF(OR(WeekDef=1,WeekDef=3,WeekDef=5,WeekDef=6,AND(WeekDef=8,CustomSuFlag,OR(CustomSuPeriod=1,CustomSuPeriod=2))),IF(VolumeMonthlyOverFlag,INDEX(VolumeMonthlyOver,AE41),Volume),0))</f>
        <v>150</v>
      </c>
      <c r="AI41" s="1647" t="n">
        <f aca="false">IF(AND(WeekDef=8,CustomSuFlag,CustomSuPeriod=4),INDEX(VolumeHourlyOver,I13,3),IF(OR(WeekDef=1,WeekDef=3,WeekDef=5,WeekDef=6,AND(WeekDef=8,CustomSuFlag,OR(CustomSuPeriod=1,CustomSuPeriod=2))),IF(VolumeMonthlyOverFlag,INDEX(VolumeMonthlyOver,AE41),Volume),0))</f>
        <v>150</v>
      </c>
      <c r="AJ41" s="1647" t="n">
        <f aca="false">IF(AND(WeekDef=8,CustomSuFlag,CustomSuPeriod=4),INDEX(VolumeHourlyOver,J13,3),IF(OR(WeekDef=1,WeekDef=3,WeekDef=5,WeekDef=6,AND(WeekDef=8,CustomSuFlag,OR(CustomSuPeriod=1,CustomSuPeriod=2))),IF(VolumeMonthlyOverFlag,INDEX(VolumeMonthlyOver,AE41),Volume),0))</f>
        <v>150</v>
      </c>
      <c r="AK41" s="1647" t="n">
        <f aca="false">IF(AND(WeekDef=8,CustomSuFlag,CustomSuPeriod=4),INDEX(VolumeHourlyOver,K13,3),IF(OR(WeekDef=1,WeekDef=3,WeekDef=5,WeekDef=6,AND(WeekDef=8,CustomSuFlag,OR(CustomSuPeriod=1,CustomSuPeriod=2))),IF(VolumeMonthlyOverFlag,INDEX(VolumeMonthlyOver,AE41),Volume),0))</f>
        <v>150</v>
      </c>
      <c r="AL41" s="1647" t="n">
        <f aca="false">IF(AND(WeekDef=8,CustomSuFlag,CustomSuPeriod=4),INDEX(VolumeHourlyOver,L13,3),IF(OR(WeekDef=1,WeekDef=3,WeekDef=5,WeekDef=6,AND(WeekDef=8,CustomSuFlag,OR(CustomSuPeriod=1,CustomSuPeriod=2))),IF(VolumeMonthlyOverFlag,INDEX(VolumeMonthlyOver,AE41),Volume),0))</f>
        <v>150</v>
      </c>
      <c r="AM41" s="1647" t="n">
        <f aca="false">IF(AND(WeekDef=8,CustomSuFlag,CustomSuPeriod=4),INDEX(VolumeHourlyOver,M13,3),IF(OR(WeekDef=1,WeekDef=3,WeekDef=5,WeekDef=6,AND(WeekDef=8,CustomSuFlag,OR(CustomSuPeriod=1,CustomSuPeriod=2))),IF(VolumeMonthlyOverFlag,INDEX(VolumeMonthlyOver,AE41),Volume),0))</f>
        <v>150</v>
      </c>
      <c r="AN41" s="1647" t="n">
        <f aca="false">IF(AND(WeekDef=8,CustomSuFlag,CustomSuPeriod=4),INDEX(VolumeHourlyOver,N13,3),IF(OR(WeekDef=1,WeekDef=3,WeekDef=5,WeekDef=6,AND(WeekDef=8,CustomSuFlag,OR(CustomSuPeriod=1,CustomSuPeriod=2))),IF(VolumeMonthlyOverFlag,INDEX(VolumeMonthlyOver,AE41),Volume),0))</f>
        <v>150</v>
      </c>
      <c r="AO41" s="1647" t="n">
        <f aca="false">IF(AND(WeekDef=8,CustomSuFlag,CustomSuPeriod=4),INDEX(VolumeHourlyOver,O13,3),IF(OR(WeekDef=1,WeekDef=3,WeekDef=5,WeekDef=6,AND(WeekDef=8,CustomSuFlag,OR(CustomSuPeriod=1,CustomSuPeriod=2))),IF(VolumeMonthlyOverFlag,INDEX(VolumeMonthlyOver,AE41),Volume),0))</f>
        <v>150</v>
      </c>
      <c r="AP41" s="1647" t="n">
        <f aca="false">IF(AND(WeekDef=8,CustomSuFlag,CustomSuPeriod=4),INDEX(VolumeHourlyOver,P13,3),IF(OR(WeekDef=1,WeekDef=3,WeekDef=5,WeekDef=6,AND(WeekDef=8,CustomSuFlag,OR(CustomSuPeriod=1,CustomSuPeriod=2))),IF(VolumeMonthlyOverFlag,INDEX(VolumeMonthlyOver,AE41),Volume),0))</f>
        <v>150</v>
      </c>
      <c r="AQ41" s="1647" t="n">
        <f aca="false">IF(AND(WeekDef=8,CustomSuFlag,CustomSuPeriod=4),INDEX(VolumeHourlyOver,Q13,3),IF(OR(WeekDef=1,WeekDef=3,WeekDef=5,WeekDef=6,AND(WeekDef=8,CustomSuFlag,OR(CustomSuPeriod=1,CustomSuPeriod=2))),IF(VolumeMonthlyOverFlag,INDEX(VolumeMonthlyOver,AE41),Volume),0))</f>
        <v>150</v>
      </c>
      <c r="AR41" s="1647" t="n">
        <f aca="false">IF(AND(WeekDef=8,CustomSuFlag,CustomSuPeriod=4),INDEX(VolumeHourlyOver,R13,3),IF(OR(WeekDef=1,WeekDef=3,WeekDef=5,WeekDef=6,AND(WeekDef=8,CustomSuFlag,OR(CustomSuPeriod=1,CustomSuPeriod=2))),IF(VolumeMonthlyOverFlag,INDEX(VolumeMonthlyOver,AE41),Volume),0))</f>
        <v>150</v>
      </c>
      <c r="AS41" s="1647" t="n">
        <f aca="false">IF(AND(WeekDef=8,CustomSuFlag,CustomSuPeriod=4),INDEX(VolumeHourlyOver,S13,3),IF(OR(WeekDef=1,WeekDef=3,WeekDef=5,WeekDef=6,AND(WeekDef=8,CustomSuFlag,OR(CustomSuPeriod=1,CustomSuPeriod=2))),IF(VolumeMonthlyOverFlag,INDEX(VolumeMonthlyOver,AE41),Volume),0))</f>
        <v>150</v>
      </c>
      <c r="AT41" s="1647" t="n">
        <f aca="false">IF(AND(WeekDef=8,CustomSuFlag,CustomSuPeriod=4),INDEX(VolumeHourlyOver,T13,3),IF(OR(WeekDef=1,WeekDef=3,WeekDef=5,WeekDef=6,AND(WeekDef=8,CustomSuFlag,OR(CustomSuPeriod=1,CustomSuPeriod=2))),IF(VolumeMonthlyOverFlag,INDEX(VolumeMonthlyOver,AE41),Volume),0))</f>
        <v>150</v>
      </c>
      <c r="AU41" s="1648" t="n">
        <f aca="false">IF(AND(WeekDef=8,CustomSuFlag,CustomSuPeriod=4),INDEX(VolumeHourlyOver,U13,3),IF(OR(WeekDef=1,WeekDef=3,WeekDef=5,WeekDef=6,AND(WeekDef=8,CustomSuFlag,OR(CustomSuPeriod=1,CustomSuPeriod=2))),IF(VolumeMonthlyOverFlag,INDEX(VolumeMonthlyOver,AE41),Volume),0))</f>
        <v>150</v>
      </c>
      <c r="AV41" s="1647" t="n">
        <f aca="false">IF(AND(WeekDef=8,CustomSuFlag,CustomSuPeriod=4),INDEX(VolumeHourlyOver,V13,3),IF(OR(WeekDef=1,WeekDef=3,WeekDef=5,WeekDef=7,AND(WeekDef=8,CustomSuFlag,OR(CustomSuPeriod=1,CustomSuPeriod=3))),IF(VolumeMonthlyOverFlag,INDEX(VolumeMonthlyOver,AE41),Volume),0))</f>
        <v>150</v>
      </c>
      <c r="AW41" s="1647" t="n">
        <f aca="false">IF(AND(WeekDef=8,CustomSuFlag,CustomSuPeriod=4),INDEX(VolumeHourlyOver,W13,3),IF(OR(WeekDef=1,WeekDef=3,WeekDef=5,WeekDef=7,AND(WeekDef=8,CustomSuFlag,OR(CustomSuPeriod=1,CustomSuPeriod=3))),IF(VolumeMonthlyOverFlag,INDEX(VolumeMonthlyOver,AE41),Volume),0))</f>
        <v>150</v>
      </c>
      <c r="AX41" s="1647" t="n">
        <f aca="false">IF(AND(WeekDef=8,CustomSuFlag,CustomSuPeriod=4),INDEX(VolumeHourlyOver,X13,3),IF(OR(WeekDef=1,WeekDef=3,WeekDef=5,WeekDef=7,AND(WeekDef=8,CustomSuFlag,OR(CustomSuPeriod=1,CustomSuPeriod=3))),IF(VolumeMonthlyOverFlag,INDEX(VolumeMonthlyOver,AE41),Volume),0))</f>
        <v>150</v>
      </c>
      <c r="AY41" s="1647" t="n">
        <f aca="false">IF(AND(WeekDef=8,CustomSuFlag,CustomSuPeriod=4),INDEX(VolumeHourlyOver,Y13,3),IF(OR(WeekDef=1,WeekDef=3,WeekDef=5,WeekDef=7,AND(WeekDef=8,CustomSuFlag,OR(CustomSuPeriod=1,CustomSuPeriod=3))),IF(VolumeMonthlyOverFlag,INDEX(VolumeMonthlyOver,AE41),Volume),0))</f>
        <v>150</v>
      </c>
      <c r="AZ41" s="1647" t="n">
        <f aca="false">IF(AND(WeekDef=8,CustomSuFlag,CustomSuPeriod=4),INDEX(VolumeHourlyOver,Z13,3),IF(OR(WeekDef=1,WeekDef=3,WeekDef=5,WeekDef=7,AND(WeekDef=8,CustomSuFlag,OR(CustomSuPeriod=1,CustomSuPeriod=3))),IF(VolumeMonthlyOverFlag,INDEX(VolumeMonthlyOver,AE41),Volume),0))</f>
        <v>150</v>
      </c>
      <c r="BA41" s="1647" t="n">
        <f aca="false">IF(AND(WeekDef=8,CustomSuFlag,CustomSuPeriod=4),INDEX(VolumeHourlyOver,AA13,3),IF(OR(WeekDef=1,WeekDef=3,WeekDef=5,WeekDef=7,AND(WeekDef=8,CustomSuFlag,OR(CustomSuPeriod=1,CustomSuPeriod=3))),IF(VolumeMonthlyOverFlag,INDEX(VolumeMonthlyOver,AE41),Volume),0))</f>
        <v>150</v>
      </c>
      <c r="BB41" s="1647" t="n">
        <f aca="false">IF(AND(WeekDef=8,CustomSuFlag,CustomSuPeriod=4),INDEX(VolumeHourlyOver,AB13,3),IF(OR(WeekDef=1,WeekDef=3,WeekDef=5,WeekDef=7,AND(WeekDef=8,CustomSuFlag,OR(CustomSuPeriod=1,CustomSuPeriod=3))),IF(VolumeMonthlyOverFlag,INDEX(VolumeMonthlyOver,AE41),Volume),0))</f>
        <v>150</v>
      </c>
      <c r="BC41" s="1648" t="n">
        <f aca="false">IF(AND(WeekDef=8,CustomSuFlag,CustomSuPeriod=4),INDEX(VolumeHourlyOver,AC13,3),IF(OR(WeekDef=1,WeekDef=3,WeekDef=5,WeekDef=7,AND(WeekDef=8,CustomSuFlag,OR(CustomSuPeriod=1,CustomSuPeriod=3))),IF(VolumeMonthlyOverFlag,INDEX(VolumeMonthlyOver,AE41),Volume),0))</f>
        <v>150</v>
      </c>
      <c r="BD41" s="1652" t="n">
        <f aca="false">SUM(AF41:AU41)</f>
        <v>2400</v>
      </c>
      <c r="BE41" s="1653" t="n">
        <f aca="false">SUM(AV41:BC41)</f>
        <v>1200</v>
      </c>
      <c r="BF41" s="1654" t="n">
        <f aca="false">BD41+BE41</f>
        <v>3600</v>
      </c>
      <c r="BG41" s="1674" t="n">
        <f aca="false">IF(BD41,SUMPRODUCT(AF41:AU41,F29:U29)/BD41,0)</f>
        <v>0.999999992549419</v>
      </c>
      <c r="BH41" s="1655" t="n">
        <f aca="false">IF(BE41,SUMPRODUCT(AV41:BC41,V29:AC29)/BE41,0)</f>
        <v>0.999999992549419</v>
      </c>
      <c r="BJ41" s="1636" t="n">
        <v>9</v>
      </c>
      <c r="BK41" s="1646" t="n">
        <f aca="false">IF(AND(WeekDef=8,CustomSuFlag,CustomSuPeriod=4),INDEX(IF(DiffOptVolumeFlag,DiffOptVolumeHourlyOver,VolumeHourlyOver),F13,3),IF(OR(WeekDef=1,WeekDef=3,WeekDef=5,WeekDef=6,AND(WeekDef=8,CustomSuFlag,OR(CustomSuPeriod=1,CustomSuPeriod=2))),IF(VolumeMonthlyOverFlag,INDEX(IF(DiffOptVolumeFlag,DiffOptVolumeMonthlyOver,VolumeMonthlyOver),BJ41),IF(DiffOptVolumeFlag,DiffOptVolume,Volume)),0))</f>
        <v>600</v>
      </c>
      <c r="BL41" s="1647" t="n">
        <f aca="false">IF(AND(WeekDef=8,CustomSuFlag,CustomSuPeriod=4),INDEX(IF(DiffOptVolumeFlag,DiffOptVolumeHourlyOver,VolumeHourlyOver),G13,3),IF(OR(WeekDef=1,WeekDef=3,WeekDef=5,WeekDef=6,AND(WeekDef=8,CustomSuFlag,OR(CustomSuPeriod=1,CustomSuPeriod=2))),IF(VolumeMonthlyOverFlag,INDEX(IF(DiffOptVolumeFlag,DiffOptVolumeMonthlyOver,VolumeMonthlyOver),BJ41),IF(DiffOptVolumeFlag,DiffOptVolume,Volume)),0))</f>
        <v>600</v>
      </c>
      <c r="BM41" s="1647" t="n">
        <f aca="false">IF(AND(WeekDef=8,CustomSuFlag,CustomSuPeriod=4),INDEX(IF(DiffOptVolumeFlag,DiffOptVolumeHourlyOver,VolumeHourlyOver),H13,3),IF(OR(WeekDef=1,WeekDef=3,WeekDef=5,WeekDef=6,AND(WeekDef=8,CustomSuFlag,OR(CustomSuPeriod=1,CustomSuPeriod=2))),IF(VolumeMonthlyOverFlag,INDEX(IF(DiffOptVolumeFlag,DiffOptVolumeMonthlyOver,VolumeMonthlyOver),BJ41),IF(DiffOptVolumeFlag,DiffOptVolume,Volume)),0))</f>
        <v>600</v>
      </c>
      <c r="BN41" s="1647" t="n">
        <f aca="false">IF(AND(WeekDef=8,CustomSuFlag,CustomSuPeriod=4),INDEX(IF(DiffOptVolumeFlag,DiffOptVolumeHourlyOver,VolumeHourlyOver),I13,3),IF(OR(WeekDef=1,WeekDef=3,WeekDef=5,WeekDef=6,AND(WeekDef=8,CustomSuFlag,OR(CustomSuPeriod=1,CustomSuPeriod=2))),IF(VolumeMonthlyOverFlag,INDEX(IF(DiffOptVolumeFlag,DiffOptVolumeMonthlyOver,VolumeMonthlyOver),BJ41),IF(DiffOptVolumeFlag,DiffOptVolume,Volume)),0))</f>
        <v>600</v>
      </c>
      <c r="BO41" s="1647" t="n">
        <f aca="false">IF(AND(WeekDef=8,CustomSuFlag,CustomSuPeriod=4),INDEX(IF(DiffOptVolumeFlag,DiffOptVolumeHourlyOver,VolumeHourlyOver),J13,3),IF(OR(WeekDef=1,WeekDef=3,WeekDef=5,WeekDef=6,AND(WeekDef=8,CustomSuFlag,OR(CustomSuPeriod=1,CustomSuPeriod=2))),IF(VolumeMonthlyOverFlag,INDEX(IF(DiffOptVolumeFlag,DiffOptVolumeMonthlyOver,VolumeMonthlyOver),BJ41),IF(DiffOptVolumeFlag,DiffOptVolume,Volume)),0))</f>
        <v>600</v>
      </c>
      <c r="BP41" s="1647" t="n">
        <f aca="false">IF(AND(WeekDef=8,CustomSuFlag,CustomSuPeriod=4),INDEX(IF(DiffOptVolumeFlag,DiffOptVolumeHourlyOver,VolumeHourlyOver),K13,3),IF(OR(WeekDef=1,WeekDef=3,WeekDef=5,WeekDef=6,AND(WeekDef=8,CustomSuFlag,OR(CustomSuPeriod=1,CustomSuPeriod=2))),IF(VolumeMonthlyOverFlag,INDEX(IF(DiffOptVolumeFlag,DiffOptVolumeMonthlyOver,VolumeMonthlyOver),BJ41),IF(DiffOptVolumeFlag,DiffOptVolume,Volume)),0))</f>
        <v>600</v>
      </c>
      <c r="BQ41" s="1647" t="n">
        <f aca="false">IF(AND(WeekDef=8,CustomSuFlag,CustomSuPeriod=4),INDEX(IF(DiffOptVolumeFlag,DiffOptVolumeHourlyOver,VolumeHourlyOver),L13,3),IF(OR(WeekDef=1,WeekDef=3,WeekDef=5,WeekDef=6,AND(WeekDef=8,CustomSuFlag,OR(CustomSuPeriod=1,CustomSuPeriod=2))),IF(VolumeMonthlyOverFlag,INDEX(IF(DiffOptVolumeFlag,DiffOptVolumeMonthlyOver,VolumeMonthlyOver),BJ41),IF(DiffOptVolumeFlag,DiffOptVolume,Volume)),0))</f>
        <v>600</v>
      </c>
      <c r="BR41" s="1647" t="n">
        <f aca="false">IF(AND(WeekDef=8,CustomSuFlag,CustomSuPeriod=4),INDEX(IF(DiffOptVolumeFlag,DiffOptVolumeHourlyOver,VolumeHourlyOver),M13,3),IF(OR(WeekDef=1,WeekDef=3,WeekDef=5,WeekDef=6,AND(WeekDef=8,CustomSuFlag,OR(CustomSuPeriod=1,CustomSuPeriod=2))),IF(VolumeMonthlyOverFlag,INDEX(IF(DiffOptVolumeFlag,DiffOptVolumeMonthlyOver,VolumeMonthlyOver),BJ41),IF(DiffOptVolumeFlag,DiffOptVolume,Volume)),0))</f>
        <v>600</v>
      </c>
      <c r="BS41" s="1647" t="n">
        <f aca="false">IF(AND(WeekDef=8,CustomSuFlag,CustomSuPeriod=4),INDEX(IF(DiffOptVolumeFlag,DiffOptVolumeHourlyOver,VolumeHourlyOver),N13,3),IF(OR(WeekDef=1,WeekDef=3,WeekDef=5,WeekDef=6,AND(WeekDef=8,CustomSuFlag,OR(CustomSuPeriod=1,CustomSuPeriod=2))),IF(VolumeMonthlyOverFlag,INDEX(IF(DiffOptVolumeFlag,DiffOptVolumeMonthlyOver,VolumeMonthlyOver),BJ41),IF(DiffOptVolumeFlag,DiffOptVolume,Volume)),0))</f>
        <v>600</v>
      </c>
      <c r="BT41" s="1647" t="n">
        <f aca="false">IF(AND(WeekDef=8,CustomSuFlag,CustomSuPeriod=4),INDEX(IF(DiffOptVolumeFlag,DiffOptVolumeHourlyOver,VolumeHourlyOver),O13,3),IF(OR(WeekDef=1,WeekDef=3,WeekDef=5,WeekDef=6,AND(WeekDef=8,CustomSuFlag,OR(CustomSuPeriod=1,CustomSuPeriod=2))),IF(VolumeMonthlyOverFlag,INDEX(IF(DiffOptVolumeFlag,DiffOptVolumeMonthlyOver,VolumeMonthlyOver),BJ41),IF(DiffOptVolumeFlag,DiffOptVolume,Volume)),0))</f>
        <v>600</v>
      </c>
      <c r="BU41" s="1647" t="n">
        <f aca="false">IF(AND(WeekDef=8,CustomSuFlag,CustomSuPeriod=4),INDEX(IF(DiffOptVolumeFlag,DiffOptVolumeHourlyOver,VolumeHourlyOver),P13,3),IF(OR(WeekDef=1,WeekDef=3,WeekDef=5,WeekDef=6,AND(WeekDef=8,CustomSuFlag,OR(CustomSuPeriod=1,CustomSuPeriod=2))),IF(VolumeMonthlyOverFlag,INDEX(IF(DiffOptVolumeFlag,DiffOptVolumeMonthlyOver,VolumeMonthlyOver),BJ41),IF(DiffOptVolumeFlag,DiffOptVolume,Volume)),0))</f>
        <v>600</v>
      </c>
      <c r="BV41" s="1647" t="n">
        <f aca="false">IF(AND(WeekDef=8,CustomSuFlag,CustomSuPeriod=4),INDEX(IF(DiffOptVolumeFlag,DiffOptVolumeHourlyOver,VolumeHourlyOver),Q13,3),IF(OR(WeekDef=1,WeekDef=3,WeekDef=5,WeekDef=6,AND(WeekDef=8,CustomSuFlag,OR(CustomSuPeriod=1,CustomSuPeriod=2))),IF(VolumeMonthlyOverFlag,INDEX(IF(DiffOptVolumeFlag,DiffOptVolumeMonthlyOver,VolumeMonthlyOver),BJ41),IF(DiffOptVolumeFlag,DiffOptVolume,Volume)),0))</f>
        <v>600</v>
      </c>
      <c r="BW41" s="1647" t="n">
        <f aca="false">IF(AND(WeekDef=8,CustomSuFlag,CustomSuPeriod=4),INDEX(IF(DiffOptVolumeFlag,DiffOptVolumeHourlyOver,VolumeHourlyOver),R13,3),IF(OR(WeekDef=1,WeekDef=3,WeekDef=5,WeekDef=6,AND(WeekDef=8,CustomSuFlag,OR(CustomSuPeriod=1,CustomSuPeriod=2))),IF(VolumeMonthlyOverFlag,INDEX(IF(DiffOptVolumeFlag,DiffOptVolumeMonthlyOver,VolumeMonthlyOver),BJ41),IF(DiffOptVolumeFlag,DiffOptVolume,Volume)),0))</f>
        <v>600</v>
      </c>
      <c r="BX41" s="1647" t="n">
        <f aca="false">IF(AND(WeekDef=8,CustomSuFlag,CustomSuPeriod=4),INDEX(IF(DiffOptVolumeFlag,DiffOptVolumeHourlyOver,VolumeHourlyOver),S13,3),IF(OR(WeekDef=1,WeekDef=3,WeekDef=5,WeekDef=6,AND(WeekDef=8,CustomSuFlag,OR(CustomSuPeriod=1,CustomSuPeriod=2))),IF(VolumeMonthlyOverFlag,INDEX(IF(DiffOptVolumeFlag,DiffOptVolumeMonthlyOver,VolumeMonthlyOver),BJ41),IF(DiffOptVolumeFlag,DiffOptVolume,Volume)),0))</f>
        <v>600</v>
      </c>
      <c r="BY41" s="1647" t="n">
        <f aca="false">IF(AND(WeekDef=8,CustomSuFlag,CustomSuPeriod=4),INDEX(IF(DiffOptVolumeFlag,DiffOptVolumeHourlyOver,VolumeHourlyOver),T13,3),IF(OR(WeekDef=1,WeekDef=3,WeekDef=5,WeekDef=6,AND(WeekDef=8,CustomSuFlag,OR(CustomSuPeriod=1,CustomSuPeriod=2))),IF(VolumeMonthlyOverFlag,INDEX(IF(DiffOptVolumeFlag,DiffOptVolumeMonthlyOver,VolumeMonthlyOver),BJ41),IF(DiffOptVolumeFlag,DiffOptVolume,Volume)),0))</f>
        <v>600</v>
      </c>
      <c r="BZ41" s="1648" t="n">
        <f aca="false">IF(AND(WeekDef=8,CustomSuFlag,CustomSuPeriod=4),INDEX(IF(DiffOptVolumeFlag,DiffOptVolumeHourlyOver,VolumeHourlyOver),U13,3),IF(OR(WeekDef=1,WeekDef=3,WeekDef=5,WeekDef=6,AND(WeekDef=8,CustomSuFlag,OR(CustomSuPeriod=1,CustomSuPeriod=2))),IF(VolumeMonthlyOverFlag,INDEX(IF(DiffOptVolumeFlag,DiffOptVolumeMonthlyOver,VolumeMonthlyOver),BJ41),IF(DiffOptVolumeFlag,DiffOptVolume,Volume)),0))</f>
        <v>600</v>
      </c>
      <c r="CA41" s="1647" t="n">
        <f aca="false">IF(AND(WeekDef=8,CustomSuFlag,CustomSuPeriod=4),INDEX(IF(DiffOptVolumeFlag,DiffOptVolumeHourlyOver,VolumeHourlyOver),V13,3),IF(OR(WeekDef=1,WeekDef=3,WeekDef=5,WeekDef=7,AND(WeekDef=8,CustomSuFlag,OR(CustomSuPeriod=1,CustomSuPeriod=3))),IF(VolumeMonthlyOverFlag,INDEX(IF(DiffOptVolumeFlag,DiffOptVolumeMonthlyOver,VolumeMonthlyOver),BJ41),IF(DiffOptVolumeFlag,DiffOptVolume,Volume)),0))</f>
        <v>600</v>
      </c>
      <c r="CB41" s="1647" t="n">
        <f aca="false">IF(AND(WeekDef=8,CustomSuFlag,CustomSuPeriod=4),INDEX(IF(DiffOptVolumeFlag,DiffOptVolumeHourlyOver,VolumeHourlyOver),W13,3),IF(OR(WeekDef=1,WeekDef=3,WeekDef=5,WeekDef=7,AND(WeekDef=8,CustomSuFlag,OR(CustomSuPeriod=1,CustomSuPeriod=3))),IF(VolumeMonthlyOverFlag,INDEX(IF(DiffOptVolumeFlag,DiffOptVolumeMonthlyOver,VolumeMonthlyOver),BJ41),IF(DiffOptVolumeFlag,DiffOptVolume,Volume)),0))</f>
        <v>600</v>
      </c>
      <c r="CC41" s="1647" t="n">
        <f aca="false">IF(AND(WeekDef=8,CustomSuFlag,CustomSuPeriod=4),INDEX(IF(DiffOptVolumeFlag,DiffOptVolumeHourlyOver,VolumeHourlyOver),X13,3),IF(OR(WeekDef=1,WeekDef=3,WeekDef=5,WeekDef=7,AND(WeekDef=8,CustomSuFlag,OR(CustomSuPeriod=1,CustomSuPeriod=3))),IF(VolumeMonthlyOverFlag,INDEX(IF(DiffOptVolumeFlag,DiffOptVolumeMonthlyOver,VolumeMonthlyOver),BJ41),IF(DiffOptVolumeFlag,DiffOptVolume,Volume)),0))</f>
        <v>600</v>
      </c>
      <c r="CD41" s="1647" t="n">
        <f aca="false">IF(AND(WeekDef=8,CustomSuFlag,CustomSuPeriod=4),INDEX(IF(DiffOptVolumeFlag,DiffOptVolumeHourlyOver,VolumeHourlyOver),Y13,3),IF(OR(WeekDef=1,WeekDef=3,WeekDef=5,WeekDef=7,AND(WeekDef=8,CustomSuFlag,OR(CustomSuPeriod=1,CustomSuPeriod=3))),IF(VolumeMonthlyOverFlag,INDEX(IF(DiffOptVolumeFlag,DiffOptVolumeMonthlyOver,VolumeMonthlyOver),BJ41),IF(DiffOptVolumeFlag,DiffOptVolume,Volume)),0))</f>
        <v>600</v>
      </c>
      <c r="CE41" s="1647" t="n">
        <f aca="false">IF(AND(WeekDef=8,CustomSuFlag,CustomSuPeriod=4),INDEX(IF(DiffOptVolumeFlag,DiffOptVolumeHourlyOver,VolumeHourlyOver),Z13,3),IF(OR(WeekDef=1,WeekDef=3,WeekDef=5,WeekDef=7,AND(WeekDef=8,CustomSuFlag,OR(CustomSuPeriod=1,CustomSuPeriod=3))),IF(VolumeMonthlyOverFlag,INDEX(IF(DiffOptVolumeFlag,DiffOptVolumeMonthlyOver,VolumeMonthlyOver),BJ41),IF(DiffOptVolumeFlag,DiffOptVolume,Volume)),0))</f>
        <v>600</v>
      </c>
      <c r="CF41" s="1647" t="n">
        <f aca="false">IF(AND(WeekDef=8,CustomSuFlag,CustomSuPeriod=4),INDEX(IF(DiffOptVolumeFlag,DiffOptVolumeHourlyOver,VolumeHourlyOver),AA13,3),IF(OR(WeekDef=1,WeekDef=3,WeekDef=5,WeekDef=7,AND(WeekDef=8,CustomSuFlag,OR(CustomSuPeriod=1,CustomSuPeriod=3))),IF(VolumeMonthlyOverFlag,INDEX(IF(DiffOptVolumeFlag,DiffOptVolumeMonthlyOver,VolumeMonthlyOver),BJ41),IF(DiffOptVolumeFlag,DiffOptVolume,Volume)),0))</f>
        <v>600</v>
      </c>
      <c r="CG41" s="1647" t="n">
        <f aca="false">IF(AND(WeekDef=8,CustomSuFlag,CustomSuPeriod=4),INDEX(IF(DiffOptVolumeFlag,DiffOptVolumeHourlyOver,VolumeHourlyOver),AB13,3),IF(OR(WeekDef=1,WeekDef=3,WeekDef=5,WeekDef=7,AND(WeekDef=8,CustomSuFlag,OR(CustomSuPeriod=1,CustomSuPeriod=3))),IF(VolumeMonthlyOverFlag,INDEX(IF(DiffOptVolumeFlag,DiffOptVolumeMonthlyOver,VolumeMonthlyOver),BJ41),IF(DiffOptVolumeFlag,DiffOptVolume,Volume)),0))</f>
        <v>600</v>
      </c>
      <c r="CH41" s="1648" t="n">
        <f aca="false">IF(AND(WeekDef=8,CustomSuFlag,CustomSuPeriod=4),INDEX(IF(DiffOptVolumeFlag,DiffOptVolumeHourlyOver,VolumeHourlyOver),AC13,3),IF(OR(WeekDef=1,WeekDef=3,WeekDef=5,WeekDef=7,AND(WeekDef=8,CustomSuFlag,OR(CustomSuPeriod=1,CustomSuPeriod=3))),IF(VolumeMonthlyOverFlag,INDEX(IF(DiffOptVolumeFlag,DiffOptVolumeMonthlyOver,VolumeMonthlyOver),BJ41),IF(DiffOptVolumeFlag,DiffOptVolume,Volume)),0))</f>
        <v>600</v>
      </c>
      <c r="CI41" s="1652" t="n">
        <f aca="false">SUM(BK41:BZ41)</f>
        <v>9600</v>
      </c>
      <c r="CJ41" s="1653" t="n">
        <f aca="false">SUM(CA41:CH41)</f>
        <v>4800</v>
      </c>
      <c r="CK41" s="1654" t="n">
        <f aca="false">CI41+CJ41</f>
        <v>14400</v>
      </c>
      <c r="CL41" s="1674" t="n">
        <f aca="false">IF(CI41,SUMPRODUCT(BK41:BZ41,F29:U29)/CI41,0)</f>
        <v>0.999999992549419</v>
      </c>
      <c r="CM41" s="1655" t="n">
        <f aca="false">IF(CJ41,SUMPRODUCT(CA41:CH41,V29:AC29)/CJ41,0)</f>
        <v>0.999999992549419</v>
      </c>
    </row>
    <row r="42" customFormat="false" ht="12.75" hidden="false" customHeight="false" outlineLevel="0" collapsed="false">
      <c r="A42" s="1694" t="n">
        <v>6</v>
      </c>
      <c r="B42" s="1695" t="n">
        <f aca="false">IF(A42=MONTH(CurveDate+31),EOMONTH(CurveDate+31,0),EOMONTH(CurveDate+31,MOD(A42-MONTH(CurveDate+31),12)-1)+1)</f>
        <v>36678</v>
      </c>
      <c r="C42" s="1696" t="n">
        <f aca="false">VLOOKUP(B42,PriceTable,3,0)+IF(BasisNumber&lt;&gt;1,VLOOKUP(B42,BasisTable,2,0),0)</f>
        <v>39.625</v>
      </c>
      <c r="D42" s="1696" t="n">
        <f aca="false">VLOOKUP(B42,PriceTable,7,0)+IF(BasisNumber&lt;&gt;1,VLOOKUP(B42,BasisTable,3,0),0)</f>
        <v>16.1416666666667</v>
      </c>
      <c r="E42" s="1636" t="n">
        <v>6</v>
      </c>
      <c r="F42" s="1691" t="n">
        <f aca="false">C42*F26</f>
        <v>42.9074013829231</v>
      </c>
      <c r="G42" s="1692" t="n">
        <f aca="false">C42*G26</f>
        <v>42.6536553800106</v>
      </c>
      <c r="H42" s="1692" t="n">
        <f aca="false">C42*H26</f>
        <v>42.3172073960304</v>
      </c>
      <c r="I42" s="1692" t="n">
        <f aca="false">C42*I26</f>
        <v>42.1950344443321</v>
      </c>
      <c r="J42" s="1692" t="n">
        <f aca="false">C42*J26</f>
        <v>41.7646043598652</v>
      </c>
      <c r="K42" s="1692" t="n">
        <f aca="false">C42*K26</f>
        <v>41.1819304525852</v>
      </c>
      <c r="L42" s="1692" t="n">
        <f aca="false">C42*L26</f>
        <v>40.7439850121737</v>
      </c>
      <c r="M42" s="1692" t="n">
        <f aca="false">C42*M26</f>
        <v>40.5428701192141</v>
      </c>
      <c r="N42" s="1692" t="n">
        <f aca="false">C42*N26</f>
        <v>40.3665922731161</v>
      </c>
      <c r="O42" s="1692" t="n">
        <f aca="false">C42*O26</f>
        <v>39.6425437033176</v>
      </c>
      <c r="P42" s="1692" t="n">
        <f aca="false">C42*P26</f>
        <v>39.5485639646649</v>
      </c>
      <c r="Q42" s="1692" t="n">
        <f aca="false">C42*Q26</f>
        <v>39.3277466520667</v>
      </c>
      <c r="R42" s="1692" t="n">
        <f aca="false">C42*R26</f>
        <v>38.1108116582036</v>
      </c>
      <c r="S42" s="1692" t="n">
        <f aca="false">C42*S26</f>
        <v>37.0280264765024</v>
      </c>
      <c r="T42" s="1692" t="n">
        <f aca="false">C42*T26</f>
        <v>34.3552404418588</v>
      </c>
      <c r="U42" s="1693" t="n">
        <f aca="false">C42*U26</f>
        <v>31.3137910068035</v>
      </c>
      <c r="V42" s="1692" t="n">
        <f aca="false">D42*V26</f>
        <v>19.1504453718662</v>
      </c>
      <c r="W42" s="1692" t="n">
        <f aca="false">D42*W26</f>
        <v>17.2145517309507</v>
      </c>
      <c r="X42" s="1692" t="n">
        <f aca="false">D42*X26</f>
        <v>16.4992013752461</v>
      </c>
      <c r="Y42" s="1692" t="n">
        <f aca="false">D42*Y26</f>
        <v>15.9489784225822</v>
      </c>
      <c r="Z42" s="1692" t="n">
        <f aca="false">D42*Z26</f>
        <v>15.299259929359</v>
      </c>
      <c r="AA42" s="1692" t="n">
        <f aca="false">D42*AA26</f>
        <v>15.1377289245526</v>
      </c>
      <c r="AB42" s="1692" t="n">
        <f aca="false">D42*AB26</f>
        <v>14.9761979197462</v>
      </c>
      <c r="AC42" s="1693" t="n">
        <f aca="false">D42*AC26</f>
        <v>14.9069706211487</v>
      </c>
      <c r="AE42" s="1636" t="n">
        <v>10</v>
      </c>
      <c r="AF42" s="1646" t="n">
        <f aca="false">IF(AND(WeekDef=8,CustomSuFlag,CustomSuPeriod=4),INDEX(VolumeHourlyOver,F14,3),IF(OR(WeekDef=1,WeekDef=3,WeekDef=5,WeekDef=6,AND(WeekDef=8,CustomSuFlag,OR(CustomSuPeriod=1,CustomSuPeriod=2))),IF(VolumeMonthlyOverFlag,INDEX(VolumeMonthlyOver,AE42),Volume),0))</f>
        <v>150</v>
      </c>
      <c r="AG42" s="1647" t="n">
        <f aca="false">IF(AND(WeekDef=8,CustomSuFlag,CustomSuPeriod=4),INDEX(VolumeHourlyOver,G14,3),IF(OR(WeekDef=1,WeekDef=3,WeekDef=5,WeekDef=6,AND(WeekDef=8,CustomSuFlag,OR(CustomSuPeriod=1,CustomSuPeriod=2))),IF(VolumeMonthlyOverFlag,INDEX(VolumeMonthlyOver,AE42),Volume),0))</f>
        <v>150</v>
      </c>
      <c r="AH42" s="1647" t="n">
        <f aca="false">IF(AND(WeekDef=8,CustomSuFlag,CustomSuPeriod=4),INDEX(VolumeHourlyOver,H14,3),IF(OR(WeekDef=1,WeekDef=3,WeekDef=5,WeekDef=6,AND(WeekDef=8,CustomSuFlag,OR(CustomSuPeriod=1,CustomSuPeriod=2))),IF(VolumeMonthlyOverFlag,INDEX(VolumeMonthlyOver,AE42),Volume),0))</f>
        <v>150</v>
      </c>
      <c r="AI42" s="1647" t="n">
        <f aca="false">IF(AND(WeekDef=8,CustomSuFlag,CustomSuPeriod=4),INDEX(VolumeHourlyOver,I14,3),IF(OR(WeekDef=1,WeekDef=3,WeekDef=5,WeekDef=6,AND(WeekDef=8,CustomSuFlag,OR(CustomSuPeriod=1,CustomSuPeriod=2))),IF(VolumeMonthlyOverFlag,INDEX(VolumeMonthlyOver,AE42),Volume),0))</f>
        <v>150</v>
      </c>
      <c r="AJ42" s="1647" t="n">
        <f aca="false">IF(AND(WeekDef=8,CustomSuFlag,CustomSuPeriod=4),INDEX(VolumeHourlyOver,J14,3),IF(OR(WeekDef=1,WeekDef=3,WeekDef=5,WeekDef=6,AND(WeekDef=8,CustomSuFlag,OR(CustomSuPeriod=1,CustomSuPeriod=2))),IF(VolumeMonthlyOverFlag,INDEX(VolumeMonthlyOver,AE42),Volume),0))</f>
        <v>150</v>
      </c>
      <c r="AK42" s="1647" t="n">
        <f aca="false">IF(AND(WeekDef=8,CustomSuFlag,CustomSuPeriod=4),INDEX(VolumeHourlyOver,K14,3),IF(OR(WeekDef=1,WeekDef=3,WeekDef=5,WeekDef=6,AND(WeekDef=8,CustomSuFlag,OR(CustomSuPeriod=1,CustomSuPeriod=2))),IF(VolumeMonthlyOverFlag,INDEX(VolumeMonthlyOver,AE42),Volume),0))</f>
        <v>150</v>
      </c>
      <c r="AL42" s="1647" t="n">
        <f aca="false">IF(AND(WeekDef=8,CustomSuFlag,CustomSuPeriod=4),INDEX(VolumeHourlyOver,L14,3),IF(OR(WeekDef=1,WeekDef=3,WeekDef=5,WeekDef=6,AND(WeekDef=8,CustomSuFlag,OR(CustomSuPeriod=1,CustomSuPeriod=2))),IF(VolumeMonthlyOverFlag,INDEX(VolumeMonthlyOver,AE42),Volume),0))</f>
        <v>150</v>
      </c>
      <c r="AM42" s="1647" t="n">
        <f aca="false">IF(AND(WeekDef=8,CustomSuFlag,CustomSuPeriod=4),INDEX(VolumeHourlyOver,M14,3),IF(OR(WeekDef=1,WeekDef=3,WeekDef=5,WeekDef=6,AND(WeekDef=8,CustomSuFlag,OR(CustomSuPeriod=1,CustomSuPeriod=2))),IF(VolumeMonthlyOverFlag,INDEX(VolumeMonthlyOver,AE42),Volume),0))</f>
        <v>150</v>
      </c>
      <c r="AN42" s="1647" t="n">
        <f aca="false">IF(AND(WeekDef=8,CustomSuFlag,CustomSuPeriod=4),INDEX(VolumeHourlyOver,N14,3),IF(OR(WeekDef=1,WeekDef=3,WeekDef=5,WeekDef=6,AND(WeekDef=8,CustomSuFlag,OR(CustomSuPeriod=1,CustomSuPeriod=2))),IF(VolumeMonthlyOverFlag,INDEX(VolumeMonthlyOver,AE42),Volume),0))</f>
        <v>150</v>
      </c>
      <c r="AO42" s="1647" t="n">
        <f aca="false">IF(AND(WeekDef=8,CustomSuFlag,CustomSuPeriod=4),INDEX(VolumeHourlyOver,O14,3),IF(OR(WeekDef=1,WeekDef=3,WeekDef=5,WeekDef=6,AND(WeekDef=8,CustomSuFlag,OR(CustomSuPeriod=1,CustomSuPeriod=2))),IF(VolumeMonthlyOverFlag,INDEX(VolumeMonthlyOver,AE42),Volume),0))</f>
        <v>150</v>
      </c>
      <c r="AP42" s="1647" t="n">
        <f aca="false">IF(AND(WeekDef=8,CustomSuFlag,CustomSuPeriod=4),INDEX(VolumeHourlyOver,P14,3),IF(OR(WeekDef=1,WeekDef=3,WeekDef=5,WeekDef=6,AND(WeekDef=8,CustomSuFlag,OR(CustomSuPeriod=1,CustomSuPeriod=2))),IF(VolumeMonthlyOverFlag,INDEX(VolumeMonthlyOver,AE42),Volume),0))</f>
        <v>150</v>
      </c>
      <c r="AQ42" s="1647" t="n">
        <f aca="false">IF(AND(WeekDef=8,CustomSuFlag,CustomSuPeriod=4),INDEX(VolumeHourlyOver,Q14,3),IF(OR(WeekDef=1,WeekDef=3,WeekDef=5,WeekDef=6,AND(WeekDef=8,CustomSuFlag,OR(CustomSuPeriod=1,CustomSuPeriod=2))),IF(VolumeMonthlyOverFlag,INDEX(VolumeMonthlyOver,AE42),Volume),0))</f>
        <v>150</v>
      </c>
      <c r="AR42" s="1647" t="n">
        <f aca="false">IF(AND(WeekDef=8,CustomSuFlag,CustomSuPeriod=4),INDEX(VolumeHourlyOver,R14,3),IF(OR(WeekDef=1,WeekDef=3,WeekDef=5,WeekDef=6,AND(WeekDef=8,CustomSuFlag,OR(CustomSuPeriod=1,CustomSuPeriod=2))),IF(VolumeMonthlyOverFlag,INDEX(VolumeMonthlyOver,AE42),Volume),0))</f>
        <v>150</v>
      </c>
      <c r="AS42" s="1647" t="n">
        <f aca="false">IF(AND(WeekDef=8,CustomSuFlag,CustomSuPeriod=4),INDEX(VolumeHourlyOver,S14,3),IF(OR(WeekDef=1,WeekDef=3,WeekDef=5,WeekDef=6,AND(WeekDef=8,CustomSuFlag,OR(CustomSuPeriod=1,CustomSuPeriod=2))),IF(VolumeMonthlyOverFlag,INDEX(VolumeMonthlyOver,AE42),Volume),0))</f>
        <v>150</v>
      </c>
      <c r="AT42" s="1647" t="n">
        <f aca="false">IF(AND(WeekDef=8,CustomSuFlag,CustomSuPeriod=4),INDEX(VolumeHourlyOver,T14,3),IF(OR(WeekDef=1,WeekDef=3,WeekDef=5,WeekDef=6,AND(WeekDef=8,CustomSuFlag,OR(CustomSuPeriod=1,CustomSuPeriod=2))),IF(VolumeMonthlyOverFlag,INDEX(VolumeMonthlyOver,AE42),Volume),0))</f>
        <v>150</v>
      </c>
      <c r="AU42" s="1648" t="n">
        <f aca="false">IF(AND(WeekDef=8,CustomSuFlag,CustomSuPeriod=4),INDEX(VolumeHourlyOver,U14,3),IF(OR(WeekDef=1,WeekDef=3,WeekDef=5,WeekDef=6,AND(WeekDef=8,CustomSuFlag,OR(CustomSuPeriod=1,CustomSuPeriod=2))),IF(VolumeMonthlyOverFlag,INDEX(VolumeMonthlyOver,AE42),Volume),0))</f>
        <v>150</v>
      </c>
      <c r="AV42" s="1647" t="n">
        <f aca="false">IF(AND(WeekDef=8,CustomSuFlag,CustomSuPeriod=4),INDEX(VolumeHourlyOver,V14,3),IF(OR(WeekDef=1,WeekDef=3,WeekDef=5,WeekDef=7,AND(WeekDef=8,CustomSuFlag,OR(CustomSuPeriod=1,CustomSuPeriod=3))),IF(VolumeMonthlyOverFlag,INDEX(VolumeMonthlyOver,AE42),Volume),0))</f>
        <v>150</v>
      </c>
      <c r="AW42" s="1647" t="n">
        <f aca="false">IF(AND(WeekDef=8,CustomSuFlag,CustomSuPeriod=4),INDEX(VolumeHourlyOver,W14,3),IF(OR(WeekDef=1,WeekDef=3,WeekDef=5,WeekDef=7,AND(WeekDef=8,CustomSuFlag,OR(CustomSuPeriod=1,CustomSuPeriod=3))),IF(VolumeMonthlyOverFlag,INDEX(VolumeMonthlyOver,AE42),Volume),0))</f>
        <v>150</v>
      </c>
      <c r="AX42" s="1647" t="n">
        <f aca="false">IF(AND(WeekDef=8,CustomSuFlag,CustomSuPeriod=4),INDEX(VolumeHourlyOver,X14,3),IF(OR(WeekDef=1,WeekDef=3,WeekDef=5,WeekDef=7,AND(WeekDef=8,CustomSuFlag,OR(CustomSuPeriod=1,CustomSuPeriod=3))),IF(VolumeMonthlyOverFlag,INDEX(VolumeMonthlyOver,AE42),Volume),0))</f>
        <v>150</v>
      </c>
      <c r="AY42" s="1647" t="n">
        <f aca="false">IF(AND(WeekDef=8,CustomSuFlag,CustomSuPeriod=4),INDEX(VolumeHourlyOver,Y14,3),IF(OR(WeekDef=1,WeekDef=3,WeekDef=5,WeekDef=7,AND(WeekDef=8,CustomSuFlag,OR(CustomSuPeriod=1,CustomSuPeriod=3))),IF(VolumeMonthlyOverFlag,INDEX(VolumeMonthlyOver,AE42),Volume),0))</f>
        <v>150</v>
      </c>
      <c r="AZ42" s="1647" t="n">
        <f aca="false">IF(AND(WeekDef=8,CustomSuFlag,CustomSuPeriod=4),INDEX(VolumeHourlyOver,Z14,3),IF(OR(WeekDef=1,WeekDef=3,WeekDef=5,WeekDef=7,AND(WeekDef=8,CustomSuFlag,OR(CustomSuPeriod=1,CustomSuPeriod=3))),IF(VolumeMonthlyOverFlag,INDEX(VolumeMonthlyOver,AE42),Volume),0))</f>
        <v>150</v>
      </c>
      <c r="BA42" s="1647" t="n">
        <f aca="false">IF(AND(WeekDef=8,CustomSuFlag,CustomSuPeriod=4),INDEX(VolumeHourlyOver,AA14,3),IF(OR(WeekDef=1,WeekDef=3,WeekDef=5,WeekDef=7,AND(WeekDef=8,CustomSuFlag,OR(CustomSuPeriod=1,CustomSuPeriod=3))),IF(VolumeMonthlyOverFlag,INDEX(VolumeMonthlyOver,AE42),Volume),0))</f>
        <v>150</v>
      </c>
      <c r="BB42" s="1647" t="n">
        <f aca="false">IF(AND(WeekDef=8,CustomSuFlag,CustomSuPeriod=4),INDEX(VolumeHourlyOver,AB14,3),IF(OR(WeekDef=1,WeekDef=3,WeekDef=5,WeekDef=7,AND(WeekDef=8,CustomSuFlag,OR(CustomSuPeriod=1,CustomSuPeriod=3))),IF(VolumeMonthlyOverFlag,INDEX(VolumeMonthlyOver,AE42),Volume),0))</f>
        <v>150</v>
      </c>
      <c r="BC42" s="1648" t="n">
        <f aca="false">IF(AND(WeekDef=8,CustomSuFlag,CustomSuPeriod=4),INDEX(VolumeHourlyOver,AC14,3),IF(OR(WeekDef=1,WeekDef=3,WeekDef=5,WeekDef=7,AND(WeekDef=8,CustomSuFlag,OR(CustomSuPeriod=1,CustomSuPeriod=3))),IF(VolumeMonthlyOverFlag,INDEX(VolumeMonthlyOver,AE42),Volume),0))</f>
        <v>150</v>
      </c>
      <c r="BD42" s="1652" t="n">
        <f aca="false">SUM(AF42:AU42)</f>
        <v>2400</v>
      </c>
      <c r="BE42" s="1653" t="n">
        <f aca="false">SUM(AV42:BC42)</f>
        <v>1200</v>
      </c>
      <c r="BF42" s="1654" t="n">
        <f aca="false">BD42+BE42</f>
        <v>3600</v>
      </c>
      <c r="BG42" s="1674" t="n">
        <f aca="false">IF(BD42,SUMPRODUCT(AF42:AU42,F30:U30)/BD42,0)</f>
        <v>1.00000001490116</v>
      </c>
      <c r="BH42" s="1655" t="n">
        <f aca="false">IF(BE42,SUMPRODUCT(AV42:BC42,V30:AC30)/BE42,0)</f>
        <v>0.999999992549419</v>
      </c>
      <c r="BJ42" s="1636" t="n">
        <v>10</v>
      </c>
      <c r="BK42" s="1646" t="n">
        <f aca="false">IF(AND(WeekDef=8,CustomSuFlag,CustomSuPeriod=4),INDEX(IF(DiffOptVolumeFlag,DiffOptVolumeHourlyOver,VolumeHourlyOver),F14,3),IF(OR(WeekDef=1,WeekDef=3,WeekDef=5,WeekDef=6,AND(WeekDef=8,CustomSuFlag,OR(CustomSuPeriod=1,CustomSuPeriod=2))),IF(VolumeMonthlyOverFlag,INDEX(IF(DiffOptVolumeFlag,DiffOptVolumeMonthlyOver,VolumeMonthlyOver),BJ42),IF(DiffOptVolumeFlag,DiffOptVolume,Volume)),0))</f>
        <v>600</v>
      </c>
      <c r="BL42" s="1647" t="n">
        <f aca="false">IF(AND(WeekDef=8,CustomSuFlag,CustomSuPeriod=4),INDEX(IF(DiffOptVolumeFlag,DiffOptVolumeHourlyOver,VolumeHourlyOver),G14,3),IF(OR(WeekDef=1,WeekDef=3,WeekDef=5,WeekDef=6,AND(WeekDef=8,CustomSuFlag,OR(CustomSuPeriod=1,CustomSuPeriod=2))),IF(VolumeMonthlyOverFlag,INDEX(IF(DiffOptVolumeFlag,DiffOptVolumeMonthlyOver,VolumeMonthlyOver),BJ42),IF(DiffOptVolumeFlag,DiffOptVolume,Volume)),0))</f>
        <v>600</v>
      </c>
      <c r="BM42" s="1647" t="n">
        <f aca="false">IF(AND(WeekDef=8,CustomSuFlag,CustomSuPeriod=4),INDEX(IF(DiffOptVolumeFlag,DiffOptVolumeHourlyOver,VolumeHourlyOver),H14,3),IF(OR(WeekDef=1,WeekDef=3,WeekDef=5,WeekDef=6,AND(WeekDef=8,CustomSuFlag,OR(CustomSuPeriod=1,CustomSuPeriod=2))),IF(VolumeMonthlyOverFlag,INDEX(IF(DiffOptVolumeFlag,DiffOptVolumeMonthlyOver,VolumeMonthlyOver),BJ42),IF(DiffOptVolumeFlag,DiffOptVolume,Volume)),0))</f>
        <v>600</v>
      </c>
      <c r="BN42" s="1647" t="n">
        <f aca="false">IF(AND(WeekDef=8,CustomSuFlag,CustomSuPeriod=4),INDEX(IF(DiffOptVolumeFlag,DiffOptVolumeHourlyOver,VolumeHourlyOver),I14,3),IF(OR(WeekDef=1,WeekDef=3,WeekDef=5,WeekDef=6,AND(WeekDef=8,CustomSuFlag,OR(CustomSuPeriod=1,CustomSuPeriod=2))),IF(VolumeMonthlyOverFlag,INDEX(IF(DiffOptVolumeFlag,DiffOptVolumeMonthlyOver,VolumeMonthlyOver),BJ42),IF(DiffOptVolumeFlag,DiffOptVolume,Volume)),0))</f>
        <v>600</v>
      </c>
      <c r="BO42" s="1647" t="n">
        <f aca="false">IF(AND(WeekDef=8,CustomSuFlag,CustomSuPeriod=4),INDEX(IF(DiffOptVolumeFlag,DiffOptVolumeHourlyOver,VolumeHourlyOver),J14,3),IF(OR(WeekDef=1,WeekDef=3,WeekDef=5,WeekDef=6,AND(WeekDef=8,CustomSuFlag,OR(CustomSuPeriod=1,CustomSuPeriod=2))),IF(VolumeMonthlyOverFlag,INDEX(IF(DiffOptVolumeFlag,DiffOptVolumeMonthlyOver,VolumeMonthlyOver),BJ42),IF(DiffOptVolumeFlag,DiffOptVolume,Volume)),0))</f>
        <v>600</v>
      </c>
      <c r="BP42" s="1647" t="n">
        <f aca="false">IF(AND(WeekDef=8,CustomSuFlag,CustomSuPeriod=4),INDEX(IF(DiffOptVolumeFlag,DiffOptVolumeHourlyOver,VolumeHourlyOver),K14,3),IF(OR(WeekDef=1,WeekDef=3,WeekDef=5,WeekDef=6,AND(WeekDef=8,CustomSuFlag,OR(CustomSuPeriod=1,CustomSuPeriod=2))),IF(VolumeMonthlyOverFlag,INDEX(IF(DiffOptVolumeFlag,DiffOptVolumeMonthlyOver,VolumeMonthlyOver),BJ42),IF(DiffOptVolumeFlag,DiffOptVolume,Volume)),0))</f>
        <v>600</v>
      </c>
      <c r="BQ42" s="1647" t="n">
        <f aca="false">IF(AND(WeekDef=8,CustomSuFlag,CustomSuPeriod=4),INDEX(IF(DiffOptVolumeFlag,DiffOptVolumeHourlyOver,VolumeHourlyOver),L14,3),IF(OR(WeekDef=1,WeekDef=3,WeekDef=5,WeekDef=6,AND(WeekDef=8,CustomSuFlag,OR(CustomSuPeriod=1,CustomSuPeriod=2))),IF(VolumeMonthlyOverFlag,INDEX(IF(DiffOptVolumeFlag,DiffOptVolumeMonthlyOver,VolumeMonthlyOver),BJ42),IF(DiffOptVolumeFlag,DiffOptVolume,Volume)),0))</f>
        <v>600</v>
      </c>
      <c r="BR42" s="1647" t="n">
        <f aca="false">IF(AND(WeekDef=8,CustomSuFlag,CustomSuPeriod=4),INDEX(IF(DiffOptVolumeFlag,DiffOptVolumeHourlyOver,VolumeHourlyOver),M14,3),IF(OR(WeekDef=1,WeekDef=3,WeekDef=5,WeekDef=6,AND(WeekDef=8,CustomSuFlag,OR(CustomSuPeriod=1,CustomSuPeriod=2))),IF(VolumeMonthlyOverFlag,INDEX(IF(DiffOptVolumeFlag,DiffOptVolumeMonthlyOver,VolumeMonthlyOver),BJ42),IF(DiffOptVolumeFlag,DiffOptVolume,Volume)),0))</f>
        <v>600</v>
      </c>
      <c r="BS42" s="1647" t="n">
        <f aca="false">IF(AND(WeekDef=8,CustomSuFlag,CustomSuPeriod=4),INDEX(IF(DiffOptVolumeFlag,DiffOptVolumeHourlyOver,VolumeHourlyOver),N14,3),IF(OR(WeekDef=1,WeekDef=3,WeekDef=5,WeekDef=6,AND(WeekDef=8,CustomSuFlag,OR(CustomSuPeriod=1,CustomSuPeriod=2))),IF(VolumeMonthlyOverFlag,INDEX(IF(DiffOptVolumeFlag,DiffOptVolumeMonthlyOver,VolumeMonthlyOver),BJ42),IF(DiffOptVolumeFlag,DiffOptVolume,Volume)),0))</f>
        <v>600</v>
      </c>
      <c r="BT42" s="1647" t="n">
        <f aca="false">IF(AND(WeekDef=8,CustomSuFlag,CustomSuPeriod=4),INDEX(IF(DiffOptVolumeFlag,DiffOptVolumeHourlyOver,VolumeHourlyOver),O14,3),IF(OR(WeekDef=1,WeekDef=3,WeekDef=5,WeekDef=6,AND(WeekDef=8,CustomSuFlag,OR(CustomSuPeriod=1,CustomSuPeriod=2))),IF(VolumeMonthlyOverFlag,INDEX(IF(DiffOptVolumeFlag,DiffOptVolumeMonthlyOver,VolumeMonthlyOver),BJ42),IF(DiffOptVolumeFlag,DiffOptVolume,Volume)),0))</f>
        <v>600</v>
      </c>
      <c r="BU42" s="1647" t="n">
        <f aca="false">IF(AND(WeekDef=8,CustomSuFlag,CustomSuPeriod=4),INDEX(IF(DiffOptVolumeFlag,DiffOptVolumeHourlyOver,VolumeHourlyOver),P14,3),IF(OR(WeekDef=1,WeekDef=3,WeekDef=5,WeekDef=6,AND(WeekDef=8,CustomSuFlag,OR(CustomSuPeriod=1,CustomSuPeriod=2))),IF(VolumeMonthlyOverFlag,INDEX(IF(DiffOptVolumeFlag,DiffOptVolumeMonthlyOver,VolumeMonthlyOver),BJ42),IF(DiffOptVolumeFlag,DiffOptVolume,Volume)),0))</f>
        <v>600</v>
      </c>
      <c r="BV42" s="1647" t="n">
        <f aca="false">IF(AND(WeekDef=8,CustomSuFlag,CustomSuPeriod=4),INDEX(IF(DiffOptVolumeFlag,DiffOptVolumeHourlyOver,VolumeHourlyOver),Q14,3),IF(OR(WeekDef=1,WeekDef=3,WeekDef=5,WeekDef=6,AND(WeekDef=8,CustomSuFlag,OR(CustomSuPeriod=1,CustomSuPeriod=2))),IF(VolumeMonthlyOverFlag,INDEX(IF(DiffOptVolumeFlag,DiffOptVolumeMonthlyOver,VolumeMonthlyOver),BJ42),IF(DiffOptVolumeFlag,DiffOptVolume,Volume)),0))</f>
        <v>600</v>
      </c>
      <c r="BW42" s="1647" t="n">
        <f aca="false">IF(AND(WeekDef=8,CustomSuFlag,CustomSuPeriod=4),INDEX(IF(DiffOptVolumeFlag,DiffOptVolumeHourlyOver,VolumeHourlyOver),R14,3),IF(OR(WeekDef=1,WeekDef=3,WeekDef=5,WeekDef=6,AND(WeekDef=8,CustomSuFlag,OR(CustomSuPeriod=1,CustomSuPeriod=2))),IF(VolumeMonthlyOverFlag,INDEX(IF(DiffOptVolumeFlag,DiffOptVolumeMonthlyOver,VolumeMonthlyOver),BJ42),IF(DiffOptVolumeFlag,DiffOptVolume,Volume)),0))</f>
        <v>600</v>
      </c>
      <c r="BX42" s="1647" t="n">
        <f aca="false">IF(AND(WeekDef=8,CustomSuFlag,CustomSuPeriod=4),INDEX(IF(DiffOptVolumeFlag,DiffOptVolumeHourlyOver,VolumeHourlyOver),S14,3),IF(OR(WeekDef=1,WeekDef=3,WeekDef=5,WeekDef=6,AND(WeekDef=8,CustomSuFlag,OR(CustomSuPeriod=1,CustomSuPeriod=2))),IF(VolumeMonthlyOverFlag,INDEX(IF(DiffOptVolumeFlag,DiffOptVolumeMonthlyOver,VolumeMonthlyOver),BJ42),IF(DiffOptVolumeFlag,DiffOptVolume,Volume)),0))</f>
        <v>600</v>
      </c>
      <c r="BY42" s="1647" t="n">
        <f aca="false">IF(AND(WeekDef=8,CustomSuFlag,CustomSuPeriod=4),INDEX(IF(DiffOptVolumeFlag,DiffOptVolumeHourlyOver,VolumeHourlyOver),T14,3),IF(OR(WeekDef=1,WeekDef=3,WeekDef=5,WeekDef=6,AND(WeekDef=8,CustomSuFlag,OR(CustomSuPeriod=1,CustomSuPeriod=2))),IF(VolumeMonthlyOverFlag,INDEX(IF(DiffOptVolumeFlag,DiffOptVolumeMonthlyOver,VolumeMonthlyOver),BJ42),IF(DiffOptVolumeFlag,DiffOptVolume,Volume)),0))</f>
        <v>600</v>
      </c>
      <c r="BZ42" s="1648" t="n">
        <f aca="false">IF(AND(WeekDef=8,CustomSuFlag,CustomSuPeriod=4),INDEX(IF(DiffOptVolumeFlag,DiffOptVolumeHourlyOver,VolumeHourlyOver),U14,3),IF(OR(WeekDef=1,WeekDef=3,WeekDef=5,WeekDef=6,AND(WeekDef=8,CustomSuFlag,OR(CustomSuPeriod=1,CustomSuPeriod=2))),IF(VolumeMonthlyOverFlag,INDEX(IF(DiffOptVolumeFlag,DiffOptVolumeMonthlyOver,VolumeMonthlyOver),BJ42),IF(DiffOptVolumeFlag,DiffOptVolume,Volume)),0))</f>
        <v>600</v>
      </c>
      <c r="CA42" s="1647" t="n">
        <f aca="false">IF(AND(WeekDef=8,CustomSuFlag,CustomSuPeriod=4),INDEX(IF(DiffOptVolumeFlag,DiffOptVolumeHourlyOver,VolumeHourlyOver),V14,3),IF(OR(WeekDef=1,WeekDef=3,WeekDef=5,WeekDef=7,AND(WeekDef=8,CustomSuFlag,OR(CustomSuPeriod=1,CustomSuPeriod=3))),IF(VolumeMonthlyOverFlag,INDEX(IF(DiffOptVolumeFlag,DiffOptVolumeMonthlyOver,VolumeMonthlyOver),BJ42),IF(DiffOptVolumeFlag,DiffOptVolume,Volume)),0))</f>
        <v>600</v>
      </c>
      <c r="CB42" s="1647" t="n">
        <f aca="false">IF(AND(WeekDef=8,CustomSuFlag,CustomSuPeriod=4),INDEX(IF(DiffOptVolumeFlag,DiffOptVolumeHourlyOver,VolumeHourlyOver),W14,3),IF(OR(WeekDef=1,WeekDef=3,WeekDef=5,WeekDef=7,AND(WeekDef=8,CustomSuFlag,OR(CustomSuPeriod=1,CustomSuPeriod=3))),IF(VolumeMonthlyOverFlag,INDEX(IF(DiffOptVolumeFlag,DiffOptVolumeMonthlyOver,VolumeMonthlyOver),BJ42),IF(DiffOptVolumeFlag,DiffOptVolume,Volume)),0))</f>
        <v>600</v>
      </c>
      <c r="CC42" s="1647" t="n">
        <f aca="false">IF(AND(WeekDef=8,CustomSuFlag,CustomSuPeriod=4),INDEX(IF(DiffOptVolumeFlag,DiffOptVolumeHourlyOver,VolumeHourlyOver),X14,3),IF(OR(WeekDef=1,WeekDef=3,WeekDef=5,WeekDef=7,AND(WeekDef=8,CustomSuFlag,OR(CustomSuPeriod=1,CustomSuPeriod=3))),IF(VolumeMonthlyOverFlag,INDEX(IF(DiffOptVolumeFlag,DiffOptVolumeMonthlyOver,VolumeMonthlyOver),BJ42),IF(DiffOptVolumeFlag,DiffOptVolume,Volume)),0))</f>
        <v>600</v>
      </c>
      <c r="CD42" s="1647" t="n">
        <f aca="false">IF(AND(WeekDef=8,CustomSuFlag,CustomSuPeriod=4),INDEX(IF(DiffOptVolumeFlag,DiffOptVolumeHourlyOver,VolumeHourlyOver),Y14,3),IF(OR(WeekDef=1,WeekDef=3,WeekDef=5,WeekDef=7,AND(WeekDef=8,CustomSuFlag,OR(CustomSuPeriod=1,CustomSuPeriod=3))),IF(VolumeMonthlyOverFlag,INDEX(IF(DiffOptVolumeFlag,DiffOptVolumeMonthlyOver,VolumeMonthlyOver),BJ42),IF(DiffOptVolumeFlag,DiffOptVolume,Volume)),0))</f>
        <v>600</v>
      </c>
      <c r="CE42" s="1647" t="n">
        <f aca="false">IF(AND(WeekDef=8,CustomSuFlag,CustomSuPeriod=4),INDEX(IF(DiffOptVolumeFlag,DiffOptVolumeHourlyOver,VolumeHourlyOver),Z14,3),IF(OR(WeekDef=1,WeekDef=3,WeekDef=5,WeekDef=7,AND(WeekDef=8,CustomSuFlag,OR(CustomSuPeriod=1,CustomSuPeriod=3))),IF(VolumeMonthlyOverFlag,INDEX(IF(DiffOptVolumeFlag,DiffOptVolumeMonthlyOver,VolumeMonthlyOver),BJ42),IF(DiffOptVolumeFlag,DiffOptVolume,Volume)),0))</f>
        <v>600</v>
      </c>
      <c r="CF42" s="1647" t="n">
        <f aca="false">IF(AND(WeekDef=8,CustomSuFlag,CustomSuPeriod=4),INDEX(IF(DiffOptVolumeFlag,DiffOptVolumeHourlyOver,VolumeHourlyOver),AA14,3),IF(OR(WeekDef=1,WeekDef=3,WeekDef=5,WeekDef=7,AND(WeekDef=8,CustomSuFlag,OR(CustomSuPeriod=1,CustomSuPeriod=3))),IF(VolumeMonthlyOverFlag,INDEX(IF(DiffOptVolumeFlag,DiffOptVolumeMonthlyOver,VolumeMonthlyOver),BJ42),IF(DiffOptVolumeFlag,DiffOptVolume,Volume)),0))</f>
        <v>600</v>
      </c>
      <c r="CG42" s="1647" t="n">
        <f aca="false">IF(AND(WeekDef=8,CustomSuFlag,CustomSuPeriod=4),INDEX(IF(DiffOptVolumeFlag,DiffOptVolumeHourlyOver,VolumeHourlyOver),AB14,3),IF(OR(WeekDef=1,WeekDef=3,WeekDef=5,WeekDef=7,AND(WeekDef=8,CustomSuFlag,OR(CustomSuPeriod=1,CustomSuPeriod=3))),IF(VolumeMonthlyOverFlag,INDEX(IF(DiffOptVolumeFlag,DiffOptVolumeMonthlyOver,VolumeMonthlyOver),BJ42),IF(DiffOptVolumeFlag,DiffOptVolume,Volume)),0))</f>
        <v>600</v>
      </c>
      <c r="CH42" s="1648" t="n">
        <f aca="false">IF(AND(WeekDef=8,CustomSuFlag,CustomSuPeriod=4),INDEX(IF(DiffOptVolumeFlag,DiffOptVolumeHourlyOver,VolumeHourlyOver),AC14,3),IF(OR(WeekDef=1,WeekDef=3,WeekDef=5,WeekDef=7,AND(WeekDef=8,CustomSuFlag,OR(CustomSuPeriod=1,CustomSuPeriod=3))),IF(VolumeMonthlyOverFlag,INDEX(IF(DiffOptVolumeFlag,DiffOptVolumeMonthlyOver,VolumeMonthlyOver),BJ42),IF(DiffOptVolumeFlag,DiffOptVolume,Volume)),0))</f>
        <v>600</v>
      </c>
      <c r="CI42" s="1652" t="n">
        <f aca="false">SUM(BK42:BZ42)</f>
        <v>9600</v>
      </c>
      <c r="CJ42" s="1653" t="n">
        <f aca="false">SUM(CA42:CH42)</f>
        <v>4800</v>
      </c>
      <c r="CK42" s="1654" t="n">
        <f aca="false">CI42+CJ42</f>
        <v>14400</v>
      </c>
      <c r="CL42" s="1674" t="n">
        <f aca="false">IF(CI42,SUMPRODUCT(BK42:BZ42,F30:U30)/CI42,0)</f>
        <v>1.00000001490116</v>
      </c>
      <c r="CM42" s="1655" t="n">
        <f aca="false">IF(CJ42,SUMPRODUCT(CA42:CH42,V30:AC30)/CJ42,0)</f>
        <v>0.999999992549419</v>
      </c>
    </row>
    <row r="43" customFormat="false" ht="12.75" hidden="false" customHeight="false" outlineLevel="0" collapsed="false">
      <c r="A43" s="1694" t="n">
        <v>7</v>
      </c>
      <c r="B43" s="1695" t="n">
        <f aca="false">IF(A43=MONTH(CurveDate+31),EOMONTH(CurveDate+31,0),EOMONTH(CurveDate+31,MOD(A43-MONTH(CurveDate+31),12)-1)+1)</f>
        <v>36708</v>
      </c>
      <c r="C43" s="1696" t="n">
        <f aca="false">VLOOKUP(B43,PriceTable,3,0)+IF(BasisNumber&lt;&gt;1,VLOOKUP(B43,BasisTable,2,0),0)</f>
        <v>57.325</v>
      </c>
      <c r="D43" s="1696" t="n">
        <f aca="false">VLOOKUP(B43,PriceTable,7,0)+IF(BasisNumber&lt;&gt;1,VLOOKUP(B43,BasisTable,3,0),0)</f>
        <v>23.583064516129</v>
      </c>
      <c r="E43" s="1636" t="n">
        <v>7</v>
      </c>
      <c r="F43" s="1691" t="n">
        <f aca="false">C43*F27</f>
        <v>64.9105746775866</v>
      </c>
      <c r="G43" s="1692" t="n">
        <f aca="false">C43*G27</f>
        <v>64.7118446469307</v>
      </c>
      <c r="H43" s="1692" t="n">
        <f aca="false">C43*H27</f>
        <v>63.7793011933565</v>
      </c>
      <c r="I43" s="1692" t="n">
        <f aca="false">C43*I27</f>
        <v>63.1798104375601</v>
      </c>
      <c r="J43" s="1692" t="n">
        <f aca="false">C43*J27</f>
        <v>62.6136201679707</v>
      </c>
      <c r="K43" s="1692" t="n">
        <f aca="false">C43*K27</f>
        <v>61.0298550575972</v>
      </c>
      <c r="L43" s="1692" t="n">
        <f aca="false">C43*L27</f>
        <v>61.0265270590782</v>
      </c>
      <c r="M43" s="1692" t="n">
        <f aca="false">C43*M27</f>
        <v>59.2631388664246</v>
      </c>
      <c r="N43" s="1692" t="n">
        <f aca="false">C43*N27</f>
        <v>59.2631388664246</v>
      </c>
      <c r="O43" s="1692" t="n">
        <f aca="false">C43*O27</f>
        <v>58.9741155207157</v>
      </c>
      <c r="P43" s="1692" t="n">
        <f aca="false">C43*P27</f>
        <v>56.918372566998</v>
      </c>
      <c r="Q43" s="1692" t="n">
        <f aca="false">C43*Q27</f>
        <v>53.8026381671429</v>
      </c>
      <c r="R43" s="1692" t="n">
        <f aca="false">C43*R27</f>
        <v>50.8397798553109</v>
      </c>
      <c r="S43" s="1692" t="n">
        <f aca="false">C43*S27</f>
        <v>50.3656938239932</v>
      </c>
      <c r="T43" s="1692" t="n">
        <f aca="false">C43*T27</f>
        <v>46.0475337415934</v>
      </c>
      <c r="U43" s="1693" t="n">
        <f aca="false">C43*U27</f>
        <v>40.4740587681532</v>
      </c>
      <c r="V43" s="1692" t="n">
        <f aca="false">D43*V27</f>
        <v>28.6576270982142</v>
      </c>
      <c r="W43" s="1692" t="n">
        <f aca="false">D43*W27</f>
        <v>25.2798031874241</v>
      </c>
      <c r="X43" s="1692" t="n">
        <f aca="false">D43*X27</f>
        <v>23.8159964650869</v>
      </c>
      <c r="Y43" s="1692" t="n">
        <f aca="false">D43*Y27</f>
        <v>23.1536704716663</v>
      </c>
      <c r="Z43" s="1692" t="n">
        <f aca="false">D43*Z27</f>
        <v>22.6008960102835</v>
      </c>
      <c r="AA43" s="1692" t="n">
        <f aca="false">D43*AA27</f>
        <v>22.1746000408646</v>
      </c>
      <c r="AB43" s="1692" t="n">
        <f aca="false">D43*AB27</f>
        <v>21.5620189556672</v>
      </c>
      <c r="AC43" s="1693" t="n">
        <f aca="false">D43*AC27</f>
        <v>21.419901088505</v>
      </c>
      <c r="AE43" s="1636" t="n">
        <v>11</v>
      </c>
      <c r="AF43" s="1646" t="n">
        <f aca="false">IF(AND(WeekDef=8,CustomSuFlag,CustomSuPeriod=4),INDEX(VolumeHourlyOver,F15,3),IF(OR(WeekDef=1,WeekDef=3,WeekDef=5,WeekDef=6,AND(WeekDef=8,CustomSuFlag,OR(CustomSuPeriod=1,CustomSuPeriod=2))),IF(VolumeMonthlyOverFlag,INDEX(VolumeMonthlyOver,AE43),Volume),0))</f>
        <v>150</v>
      </c>
      <c r="AG43" s="1647" t="n">
        <f aca="false">IF(AND(WeekDef=8,CustomSuFlag,CustomSuPeriod=4),INDEX(VolumeHourlyOver,G15,3),IF(OR(WeekDef=1,WeekDef=3,WeekDef=5,WeekDef=6,AND(WeekDef=8,CustomSuFlag,OR(CustomSuPeriod=1,CustomSuPeriod=2))),IF(VolumeMonthlyOverFlag,INDEX(VolumeMonthlyOver,AE43),Volume),0))</f>
        <v>150</v>
      </c>
      <c r="AH43" s="1647" t="n">
        <f aca="false">IF(AND(WeekDef=8,CustomSuFlag,CustomSuPeriod=4),INDEX(VolumeHourlyOver,H15,3),IF(OR(WeekDef=1,WeekDef=3,WeekDef=5,WeekDef=6,AND(WeekDef=8,CustomSuFlag,OR(CustomSuPeriod=1,CustomSuPeriod=2))),IF(VolumeMonthlyOverFlag,INDEX(VolumeMonthlyOver,AE43),Volume),0))</f>
        <v>150</v>
      </c>
      <c r="AI43" s="1647" t="n">
        <f aca="false">IF(AND(WeekDef=8,CustomSuFlag,CustomSuPeriod=4),INDEX(VolumeHourlyOver,I15,3),IF(OR(WeekDef=1,WeekDef=3,WeekDef=5,WeekDef=6,AND(WeekDef=8,CustomSuFlag,OR(CustomSuPeriod=1,CustomSuPeriod=2))),IF(VolumeMonthlyOverFlag,INDEX(VolumeMonthlyOver,AE43),Volume),0))</f>
        <v>150</v>
      </c>
      <c r="AJ43" s="1647" t="n">
        <f aca="false">IF(AND(WeekDef=8,CustomSuFlag,CustomSuPeriod=4),INDEX(VolumeHourlyOver,J15,3),IF(OR(WeekDef=1,WeekDef=3,WeekDef=5,WeekDef=6,AND(WeekDef=8,CustomSuFlag,OR(CustomSuPeriod=1,CustomSuPeriod=2))),IF(VolumeMonthlyOverFlag,INDEX(VolumeMonthlyOver,AE43),Volume),0))</f>
        <v>150</v>
      </c>
      <c r="AK43" s="1647" t="n">
        <f aca="false">IF(AND(WeekDef=8,CustomSuFlag,CustomSuPeriod=4),INDEX(VolumeHourlyOver,K15,3),IF(OR(WeekDef=1,WeekDef=3,WeekDef=5,WeekDef=6,AND(WeekDef=8,CustomSuFlag,OR(CustomSuPeriod=1,CustomSuPeriod=2))),IF(VolumeMonthlyOverFlag,INDEX(VolumeMonthlyOver,AE43),Volume),0))</f>
        <v>150</v>
      </c>
      <c r="AL43" s="1647" t="n">
        <f aca="false">IF(AND(WeekDef=8,CustomSuFlag,CustomSuPeriod=4),INDEX(VolumeHourlyOver,L15,3),IF(OR(WeekDef=1,WeekDef=3,WeekDef=5,WeekDef=6,AND(WeekDef=8,CustomSuFlag,OR(CustomSuPeriod=1,CustomSuPeriod=2))),IF(VolumeMonthlyOverFlag,INDEX(VolumeMonthlyOver,AE43),Volume),0))</f>
        <v>150</v>
      </c>
      <c r="AM43" s="1647" t="n">
        <f aca="false">IF(AND(WeekDef=8,CustomSuFlag,CustomSuPeriod=4),INDEX(VolumeHourlyOver,M15,3),IF(OR(WeekDef=1,WeekDef=3,WeekDef=5,WeekDef=6,AND(WeekDef=8,CustomSuFlag,OR(CustomSuPeriod=1,CustomSuPeriod=2))),IF(VolumeMonthlyOverFlag,INDEX(VolumeMonthlyOver,AE43),Volume),0))</f>
        <v>150</v>
      </c>
      <c r="AN43" s="1647" t="n">
        <f aca="false">IF(AND(WeekDef=8,CustomSuFlag,CustomSuPeriod=4),INDEX(VolumeHourlyOver,N15,3),IF(OR(WeekDef=1,WeekDef=3,WeekDef=5,WeekDef=6,AND(WeekDef=8,CustomSuFlag,OR(CustomSuPeriod=1,CustomSuPeriod=2))),IF(VolumeMonthlyOverFlag,INDEX(VolumeMonthlyOver,AE43),Volume),0))</f>
        <v>150</v>
      </c>
      <c r="AO43" s="1647" t="n">
        <f aca="false">IF(AND(WeekDef=8,CustomSuFlag,CustomSuPeriod=4),INDEX(VolumeHourlyOver,O15,3),IF(OR(WeekDef=1,WeekDef=3,WeekDef=5,WeekDef=6,AND(WeekDef=8,CustomSuFlag,OR(CustomSuPeriod=1,CustomSuPeriod=2))),IF(VolumeMonthlyOverFlag,INDEX(VolumeMonthlyOver,AE43),Volume),0))</f>
        <v>150</v>
      </c>
      <c r="AP43" s="1647" t="n">
        <f aca="false">IF(AND(WeekDef=8,CustomSuFlag,CustomSuPeriod=4),INDEX(VolumeHourlyOver,P15,3),IF(OR(WeekDef=1,WeekDef=3,WeekDef=5,WeekDef=6,AND(WeekDef=8,CustomSuFlag,OR(CustomSuPeriod=1,CustomSuPeriod=2))),IF(VolumeMonthlyOverFlag,INDEX(VolumeMonthlyOver,AE43),Volume),0))</f>
        <v>150</v>
      </c>
      <c r="AQ43" s="1647" t="n">
        <f aca="false">IF(AND(WeekDef=8,CustomSuFlag,CustomSuPeriod=4),INDEX(VolumeHourlyOver,Q15,3),IF(OR(WeekDef=1,WeekDef=3,WeekDef=5,WeekDef=6,AND(WeekDef=8,CustomSuFlag,OR(CustomSuPeriod=1,CustomSuPeriod=2))),IF(VolumeMonthlyOverFlag,INDEX(VolumeMonthlyOver,AE43),Volume),0))</f>
        <v>150</v>
      </c>
      <c r="AR43" s="1647" t="n">
        <f aca="false">IF(AND(WeekDef=8,CustomSuFlag,CustomSuPeriod=4),INDEX(VolumeHourlyOver,R15,3),IF(OR(WeekDef=1,WeekDef=3,WeekDef=5,WeekDef=6,AND(WeekDef=8,CustomSuFlag,OR(CustomSuPeriod=1,CustomSuPeriod=2))),IF(VolumeMonthlyOverFlag,INDEX(VolumeMonthlyOver,AE43),Volume),0))</f>
        <v>150</v>
      </c>
      <c r="AS43" s="1647" t="n">
        <f aca="false">IF(AND(WeekDef=8,CustomSuFlag,CustomSuPeriod=4),INDEX(VolumeHourlyOver,S15,3),IF(OR(WeekDef=1,WeekDef=3,WeekDef=5,WeekDef=6,AND(WeekDef=8,CustomSuFlag,OR(CustomSuPeriod=1,CustomSuPeriod=2))),IF(VolumeMonthlyOverFlag,INDEX(VolumeMonthlyOver,AE43),Volume),0))</f>
        <v>150</v>
      </c>
      <c r="AT43" s="1647" t="n">
        <f aca="false">IF(AND(WeekDef=8,CustomSuFlag,CustomSuPeriod=4),INDEX(VolumeHourlyOver,T15,3),IF(OR(WeekDef=1,WeekDef=3,WeekDef=5,WeekDef=6,AND(WeekDef=8,CustomSuFlag,OR(CustomSuPeriod=1,CustomSuPeriod=2))),IF(VolumeMonthlyOverFlag,INDEX(VolumeMonthlyOver,AE43),Volume),0))</f>
        <v>150</v>
      </c>
      <c r="AU43" s="1648" t="n">
        <f aca="false">IF(AND(WeekDef=8,CustomSuFlag,CustomSuPeriod=4),INDEX(VolumeHourlyOver,U15,3),IF(OR(WeekDef=1,WeekDef=3,WeekDef=5,WeekDef=6,AND(WeekDef=8,CustomSuFlag,OR(CustomSuPeriod=1,CustomSuPeriod=2))),IF(VolumeMonthlyOverFlag,INDEX(VolumeMonthlyOver,AE43),Volume),0))</f>
        <v>150</v>
      </c>
      <c r="AV43" s="1647" t="n">
        <f aca="false">IF(AND(WeekDef=8,CustomSuFlag,CustomSuPeriod=4),INDEX(VolumeHourlyOver,V15,3),IF(OR(WeekDef=1,WeekDef=3,WeekDef=5,WeekDef=7,AND(WeekDef=8,CustomSuFlag,OR(CustomSuPeriod=1,CustomSuPeriod=3))),IF(VolumeMonthlyOverFlag,INDEX(VolumeMonthlyOver,AE43),Volume),0))</f>
        <v>150</v>
      </c>
      <c r="AW43" s="1647" t="n">
        <f aca="false">IF(AND(WeekDef=8,CustomSuFlag,CustomSuPeriod=4),INDEX(VolumeHourlyOver,W15,3),IF(OR(WeekDef=1,WeekDef=3,WeekDef=5,WeekDef=7,AND(WeekDef=8,CustomSuFlag,OR(CustomSuPeriod=1,CustomSuPeriod=3))),IF(VolumeMonthlyOverFlag,INDEX(VolumeMonthlyOver,AE43),Volume),0))</f>
        <v>150</v>
      </c>
      <c r="AX43" s="1647" t="n">
        <f aca="false">IF(AND(WeekDef=8,CustomSuFlag,CustomSuPeriod=4),INDEX(VolumeHourlyOver,X15,3),IF(OR(WeekDef=1,WeekDef=3,WeekDef=5,WeekDef=7,AND(WeekDef=8,CustomSuFlag,OR(CustomSuPeriod=1,CustomSuPeriod=3))),IF(VolumeMonthlyOverFlag,INDEX(VolumeMonthlyOver,AE43),Volume),0))</f>
        <v>150</v>
      </c>
      <c r="AY43" s="1647" t="n">
        <f aca="false">IF(AND(WeekDef=8,CustomSuFlag,CustomSuPeriod=4),INDEX(VolumeHourlyOver,Y15,3),IF(OR(WeekDef=1,WeekDef=3,WeekDef=5,WeekDef=7,AND(WeekDef=8,CustomSuFlag,OR(CustomSuPeriod=1,CustomSuPeriod=3))),IF(VolumeMonthlyOverFlag,INDEX(VolumeMonthlyOver,AE43),Volume),0))</f>
        <v>150</v>
      </c>
      <c r="AZ43" s="1647" t="n">
        <f aca="false">IF(AND(WeekDef=8,CustomSuFlag,CustomSuPeriod=4),INDEX(VolumeHourlyOver,Z15,3),IF(OR(WeekDef=1,WeekDef=3,WeekDef=5,WeekDef=7,AND(WeekDef=8,CustomSuFlag,OR(CustomSuPeriod=1,CustomSuPeriod=3))),IF(VolumeMonthlyOverFlag,INDEX(VolumeMonthlyOver,AE43),Volume),0))</f>
        <v>150</v>
      </c>
      <c r="BA43" s="1647" t="n">
        <f aca="false">IF(AND(WeekDef=8,CustomSuFlag,CustomSuPeriod=4),INDEX(VolumeHourlyOver,AA15,3),IF(OR(WeekDef=1,WeekDef=3,WeekDef=5,WeekDef=7,AND(WeekDef=8,CustomSuFlag,OR(CustomSuPeriod=1,CustomSuPeriod=3))),IF(VolumeMonthlyOverFlag,INDEX(VolumeMonthlyOver,AE43),Volume),0))</f>
        <v>150</v>
      </c>
      <c r="BB43" s="1647" t="n">
        <f aca="false">IF(AND(WeekDef=8,CustomSuFlag,CustomSuPeriod=4),INDEX(VolumeHourlyOver,AB15,3),IF(OR(WeekDef=1,WeekDef=3,WeekDef=5,WeekDef=7,AND(WeekDef=8,CustomSuFlag,OR(CustomSuPeriod=1,CustomSuPeriod=3))),IF(VolumeMonthlyOverFlag,INDEX(VolumeMonthlyOver,AE43),Volume),0))</f>
        <v>150</v>
      </c>
      <c r="BC43" s="1648" t="n">
        <f aca="false">IF(AND(WeekDef=8,CustomSuFlag,CustomSuPeriod=4),INDEX(VolumeHourlyOver,AC15,3),IF(OR(WeekDef=1,WeekDef=3,WeekDef=5,WeekDef=7,AND(WeekDef=8,CustomSuFlag,OR(CustomSuPeriod=1,CustomSuPeriod=3))),IF(VolumeMonthlyOverFlag,INDEX(VolumeMonthlyOver,AE43),Volume),0))</f>
        <v>150</v>
      </c>
      <c r="BD43" s="1652" t="n">
        <f aca="false">SUM(AF43:AU43)</f>
        <v>2400</v>
      </c>
      <c r="BE43" s="1653" t="n">
        <f aca="false">SUM(AV43:BC43)</f>
        <v>1200</v>
      </c>
      <c r="BF43" s="1654" t="n">
        <f aca="false">BD43+BE43</f>
        <v>3600</v>
      </c>
      <c r="BG43" s="1674" t="n">
        <f aca="false">IF(BD43,SUMPRODUCT(AF43:AU43,F31:U31)/BD43,0)</f>
        <v>1</v>
      </c>
      <c r="BH43" s="1655" t="n">
        <f aca="false">IF(BE43,SUMPRODUCT(AV43:BC43,V31:AC31)/BE43,0)</f>
        <v>0.999999992549419</v>
      </c>
      <c r="BJ43" s="1636" t="n">
        <v>11</v>
      </c>
      <c r="BK43" s="1646" t="n">
        <f aca="false">IF(AND(WeekDef=8,CustomSuFlag,CustomSuPeriod=4),INDEX(IF(DiffOptVolumeFlag,DiffOptVolumeHourlyOver,VolumeHourlyOver),F15,3),IF(OR(WeekDef=1,WeekDef=3,WeekDef=5,WeekDef=6,AND(WeekDef=8,CustomSuFlag,OR(CustomSuPeriod=1,CustomSuPeriod=2))),IF(VolumeMonthlyOverFlag,INDEX(IF(DiffOptVolumeFlag,DiffOptVolumeMonthlyOver,VolumeMonthlyOver),BJ43),IF(DiffOptVolumeFlag,DiffOptVolume,Volume)),0))</f>
        <v>600</v>
      </c>
      <c r="BL43" s="1647" t="n">
        <f aca="false">IF(AND(WeekDef=8,CustomSuFlag,CustomSuPeriod=4),INDEX(IF(DiffOptVolumeFlag,DiffOptVolumeHourlyOver,VolumeHourlyOver),G15,3),IF(OR(WeekDef=1,WeekDef=3,WeekDef=5,WeekDef=6,AND(WeekDef=8,CustomSuFlag,OR(CustomSuPeriod=1,CustomSuPeriod=2))),IF(VolumeMonthlyOverFlag,INDEX(IF(DiffOptVolumeFlag,DiffOptVolumeMonthlyOver,VolumeMonthlyOver),BJ43),IF(DiffOptVolumeFlag,DiffOptVolume,Volume)),0))</f>
        <v>600</v>
      </c>
      <c r="BM43" s="1647" t="n">
        <f aca="false">IF(AND(WeekDef=8,CustomSuFlag,CustomSuPeriod=4),INDEX(IF(DiffOptVolumeFlag,DiffOptVolumeHourlyOver,VolumeHourlyOver),H15,3),IF(OR(WeekDef=1,WeekDef=3,WeekDef=5,WeekDef=6,AND(WeekDef=8,CustomSuFlag,OR(CustomSuPeriod=1,CustomSuPeriod=2))),IF(VolumeMonthlyOverFlag,INDEX(IF(DiffOptVolumeFlag,DiffOptVolumeMonthlyOver,VolumeMonthlyOver),BJ43),IF(DiffOptVolumeFlag,DiffOptVolume,Volume)),0))</f>
        <v>600</v>
      </c>
      <c r="BN43" s="1647" t="n">
        <f aca="false">IF(AND(WeekDef=8,CustomSuFlag,CustomSuPeriod=4),INDEX(IF(DiffOptVolumeFlag,DiffOptVolumeHourlyOver,VolumeHourlyOver),I15,3),IF(OR(WeekDef=1,WeekDef=3,WeekDef=5,WeekDef=6,AND(WeekDef=8,CustomSuFlag,OR(CustomSuPeriod=1,CustomSuPeriod=2))),IF(VolumeMonthlyOverFlag,INDEX(IF(DiffOptVolumeFlag,DiffOptVolumeMonthlyOver,VolumeMonthlyOver),BJ43),IF(DiffOptVolumeFlag,DiffOptVolume,Volume)),0))</f>
        <v>600</v>
      </c>
      <c r="BO43" s="1647" t="n">
        <f aca="false">IF(AND(WeekDef=8,CustomSuFlag,CustomSuPeriod=4),INDEX(IF(DiffOptVolumeFlag,DiffOptVolumeHourlyOver,VolumeHourlyOver),J15,3),IF(OR(WeekDef=1,WeekDef=3,WeekDef=5,WeekDef=6,AND(WeekDef=8,CustomSuFlag,OR(CustomSuPeriod=1,CustomSuPeriod=2))),IF(VolumeMonthlyOverFlag,INDEX(IF(DiffOptVolumeFlag,DiffOptVolumeMonthlyOver,VolumeMonthlyOver),BJ43),IF(DiffOptVolumeFlag,DiffOptVolume,Volume)),0))</f>
        <v>600</v>
      </c>
      <c r="BP43" s="1647" t="n">
        <f aca="false">IF(AND(WeekDef=8,CustomSuFlag,CustomSuPeriod=4),INDEX(IF(DiffOptVolumeFlag,DiffOptVolumeHourlyOver,VolumeHourlyOver),K15,3),IF(OR(WeekDef=1,WeekDef=3,WeekDef=5,WeekDef=6,AND(WeekDef=8,CustomSuFlag,OR(CustomSuPeriod=1,CustomSuPeriod=2))),IF(VolumeMonthlyOverFlag,INDEX(IF(DiffOptVolumeFlag,DiffOptVolumeMonthlyOver,VolumeMonthlyOver),BJ43),IF(DiffOptVolumeFlag,DiffOptVolume,Volume)),0))</f>
        <v>600</v>
      </c>
      <c r="BQ43" s="1647" t="n">
        <f aca="false">IF(AND(WeekDef=8,CustomSuFlag,CustomSuPeriod=4),INDEX(IF(DiffOptVolumeFlag,DiffOptVolumeHourlyOver,VolumeHourlyOver),L15,3),IF(OR(WeekDef=1,WeekDef=3,WeekDef=5,WeekDef=6,AND(WeekDef=8,CustomSuFlag,OR(CustomSuPeriod=1,CustomSuPeriod=2))),IF(VolumeMonthlyOverFlag,INDEX(IF(DiffOptVolumeFlag,DiffOptVolumeMonthlyOver,VolumeMonthlyOver),BJ43),IF(DiffOptVolumeFlag,DiffOptVolume,Volume)),0))</f>
        <v>600</v>
      </c>
      <c r="BR43" s="1647" t="n">
        <f aca="false">IF(AND(WeekDef=8,CustomSuFlag,CustomSuPeriod=4),INDEX(IF(DiffOptVolumeFlag,DiffOptVolumeHourlyOver,VolumeHourlyOver),M15,3),IF(OR(WeekDef=1,WeekDef=3,WeekDef=5,WeekDef=6,AND(WeekDef=8,CustomSuFlag,OR(CustomSuPeriod=1,CustomSuPeriod=2))),IF(VolumeMonthlyOverFlag,INDEX(IF(DiffOptVolumeFlag,DiffOptVolumeMonthlyOver,VolumeMonthlyOver),BJ43),IF(DiffOptVolumeFlag,DiffOptVolume,Volume)),0))</f>
        <v>600</v>
      </c>
      <c r="BS43" s="1647" t="n">
        <f aca="false">IF(AND(WeekDef=8,CustomSuFlag,CustomSuPeriod=4),INDEX(IF(DiffOptVolumeFlag,DiffOptVolumeHourlyOver,VolumeHourlyOver),N15,3),IF(OR(WeekDef=1,WeekDef=3,WeekDef=5,WeekDef=6,AND(WeekDef=8,CustomSuFlag,OR(CustomSuPeriod=1,CustomSuPeriod=2))),IF(VolumeMonthlyOverFlag,INDEX(IF(DiffOptVolumeFlag,DiffOptVolumeMonthlyOver,VolumeMonthlyOver),BJ43),IF(DiffOptVolumeFlag,DiffOptVolume,Volume)),0))</f>
        <v>600</v>
      </c>
      <c r="BT43" s="1647" t="n">
        <f aca="false">IF(AND(WeekDef=8,CustomSuFlag,CustomSuPeriod=4),INDEX(IF(DiffOptVolumeFlag,DiffOptVolumeHourlyOver,VolumeHourlyOver),O15,3),IF(OR(WeekDef=1,WeekDef=3,WeekDef=5,WeekDef=6,AND(WeekDef=8,CustomSuFlag,OR(CustomSuPeriod=1,CustomSuPeriod=2))),IF(VolumeMonthlyOverFlag,INDEX(IF(DiffOptVolumeFlag,DiffOptVolumeMonthlyOver,VolumeMonthlyOver),BJ43),IF(DiffOptVolumeFlag,DiffOptVolume,Volume)),0))</f>
        <v>600</v>
      </c>
      <c r="BU43" s="1647" t="n">
        <f aca="false">IF(AND(WeekDef=8,CustomSuFlag,CustomSuPeriod=4),INDEX(IF(DiffOptVolumeFlag,DiffOptVolumeHourlyOver,VolumeHourlyOver),P15,3),IF(OR(WeekDef=1,WeekDef=3,WeekDef=5,WeekDef=6,AND(WeekDef=8,CustomSuFlag,OR(CustomSuPeriod=1,CustomSuPeriod=2))),IF(VolumeMonthlyOverFlag,INDEX(IF(DiffOptVolumeFlag,DiffOptVolumeMonthlyOver,VolumeMonthlyOver),BJ43),IF(DiffOptVolumeFlag,DiffOptVolume,Volume)),0))</f>
        <v>600</v>
      </c>
      <c r="BV43" s="1647" t="n">
        <f aca="false">IF(AND(WeekDef=8,CustomSuFlag,CustomSuPeriod=4),INDEX(IF(DiffOptVolumeFlag,DiffOptVolumeHourlyOver,VolumeHourlyOver),Q15,3),IF(OR(WeekDef=1,WeekDef=3,WeekDef=5,WeekDef=6,AND(WeekDef=8,CustomSuFlag,OR(CustomSuPeriod=1,CustomSuPeriod=2))),IF(VolumeMonthlyOverFlag,INDEX(IF(DiffOptVolumeFlag,DiffOptVolumeMonthlyOver,VolumeMonthlyOver),BJ43),IF(DiffOptVolumeFlag,DiffOptVolume,Volume)),0))</f>
        <v>600</v>
      </c>
      <c r="BW43" s="1647" t="n">
        <f aca="false">IF(AND(WeekDef=8,CustomSuFlag,CustomSuPeriod=4),INDEX(IF(DiffOptVolumeFlag,DiffOptVolumeHourlyOver,VolumeHourlyOver),R15,3),IF(OR(WeekDef=1,WeekDef=3,WeekDef=5,WeekDef=6,AND(WeekDef=8,CustomSuFlag,OR(CustomSuPeriod=1,CustomSuPeriod=2))),IF(VolumeMonthlyOverFlag,INDEX(IF(DiffOptVolumeFlag,DiffOptVolumeMonthlyOver,VolumeMonthlyOver),BJ43),IF(DiffOptVolumeFlag,DiffOptVolume,Volume)),0))</f>
        <v>600</v>
      </c>
      <c r="BX43" s="1647" t="n">
        <f aca="false">IF(AND(WeekDef=8,CustomSuFlag,CustomSuPeriod=4),INDEX(IF(DiffOptVolumeFlag,DiffOptVolumeHourlyOver,VolumeHourlyOver),S15,3),IF(OR(WeekDef=1,WeekDef=3,WeekDef=5,WeekDef=6,AND(WeekDef=8,CustomSuFlag,OR(CustomSuPeriod=1,CustomSuPeriod=2))),IF(VolumeMonthlyOverFlag,INDEX(IF(DiffOptVolumeFlag,DiffOptVolumeMonthlyOver,VolumeMonthlyOver),BJ43),IF(DiffOptVolumeFlag,DiffOptVolume,Volume)),0))</f>
        <v>600</v>
      </c>
      <c r="BY43" s="1647" t="n">
        <f aca="false">IF(AND(WeekDef=8,CustomSuFlag,CustomSuPeriod=4),INDEX(IF(DiffOptVolumeFlag,DiffOptVolumeHourlyOver,VolumeHourlyOver),T15,3),IF(OR(WeekDef=1,WeekDef=3,WeekDef=5,WeekDef=6,AND(WeekDef=8,CustomSuFlag,OR(CustomSuPeriod=1,CustomSuPeriod=2))),IF(VolumeMonthlyOverFlag,INDEX(IF(DiffOptVolumeFlag,DiffOptVolumeMonthlyOver,VolumeMonthlyOver),BJ43),IF(DiffOptVolumeFlag,DiffOptVolume,Volume)),0))</f>
        <v>600</v>
      </c>
      <c r="BZ43" s="1648" t="n">
        <f aca="false">IF(AND(WeekDef=8,CustomSuFlag,CustomSuPeriod=4),INDEX(IF(DiffOptVolumeFlag,DiffOptVolumeHourlyOver,VolumeHourlyOver),U15,3),IF(OR(WeekDef=1,WeekDef=3,WeekDef=5,WeekDef=6,AND(WeekDef=8,CustomSuFlag,OR(CustomSuPeriod=1,CustomSuPeriod=2))),IF(VolumeMonthlyOverFlag,INDEX(IF(DiffOptVolumeFlag,DiffOptVolumeMonthlyOver,VolumeMonthlyOver),BJ43),IF(DiffOptVolumeFlag,DiffOptVolume,Volume)),0))</f>
        <v>600</v>
      </c>
      <c r="CA43" s="1647" t="n">
        <f aca="false">IF(AND(WeekDef=8,CustomSuFlag,CustomSuPeriod=4),INDEX(IF(DiffOptVolumeFlag,DiffOptVolumeHourlyOver,VolumeHourlyOver),V15,3),IF(OR(WeekDef=1,WeekDef=3,WeekDef=5,WeekDef=7,AND(WeekDef=8,CustomSuFlag,OR(CustomSuPeriod=1,CustomSuPeriod=3))),IF(VolumeMonthlyOverFlag,INDEX(IF(DiffOptVolumeFlag,DiffOptVolumeMonthlyOver,VolumeMonthlyOver),BJ43),IF(DiffOptVolumeFlag,DiffOptVolume,Volume)),0))</f>
        <v>600</v>
      </c>
      <c r="CB43" s="1647" t="n">
        <f aca="false">IF(AND(WeekDef=8,CustomSuFlag,CustomSuPeriod=4),INDEX(IF(DiffOptVolumeFlag,DiffOptVolumeHourlyOver,VolumeHourlyOver),W15,3),IF(OR(WeekDef=1,WeekDef=3,WeekDef=5,WeekDef=7,AND(WeekDef=8,CustomSuFlag,OR(CustomSuPeriod=1,CustomSuPeriod=3))),IF(VolumeMonthlyOverFlag,INDEX(IF(DiffOptVolumeFlag,DiffOptVolumeMonthlyOver,VolumeMonthlyOver),BJ43),IF(DiffOptVolumeFlag,DiffOptVolume,Volume)),0))</f>
        <v>600</v>
      </c>
      <c r="CC43" s="1647" t="n">
        <f aca="false">IF(AND(WeekDef=8,CustomSuFlag,CustomSuPeriod=4),INDEX(IF(DiffOptVolumeFlag,DiffOptVolumeHourlyOver,VolumeHourlyOver),X15,3),IF(OR(WeekDef=1,WeekDef=3,WeekDef=5,WeekDef=7,AND(WeekDef=8,CustomSuFlag,OR(CustomSuPeriod=1,CustomSuPeriod=3))),IF(VolumeMonthlyOverFlag,INDEX(IF(DiffOptVolumeFlag,DiffOptVolumeMonthlyOver,VolumeMonthlyOver),BJ43),IF(DiffOptVolumeFlag,DiffOptVolume,Volume)),0))</f>
        <v>600</v>
      </c>
      <c r="CD43" s="1647" t="n">
        <f aca="false">IF(AND(WeekDef=8,CustomSuFlag,CustomSuPeriod=4),INDEX(IF(DiffOptVolumeFlag,DiffOptVolumeHourlyOver,VolumeHourlyOver),Y15,3),IF(OR(WeekDef=1,WeekDef=3,WeekDef=5,WeekDef=7,AND(WeekDef=8,CustomSuFlag,OR(CustomSuPeriod=1,CustomSuPeriod=3))),IF(VolumeMonthlyOverFlag,INDEX(IF(DiffOptVolumeFlag,DiffOptVolumeMonthlyOver,VolumeMonthlyOver),BJ43),IF(DiffOptVolumeFlag,DiffOptVolume,Volume)),0))</f>
        <v>600</v>
      </c>
      <c r="CE43" s="1647" t="n">
        <f aca="false">IF(AND(WeekDef=8,CustomSuFlag,CustomSuPeriod=4),INDEX(IF(DiffOptVolumeFlag,DiffOptVolumeHourlyOver,VolumeHourlyOver),Z15,3),IF(OR(WeekDef=1,WeekDef=3,WeekDef=5,WeekDef=7,AND(WeekDef=8,CustomSuFlag,OR(CustomSuPeriod=1,CustomSuPeriod=3))),IF(VolumeMonthlyOverFlag,INDEX(IF(DiffOptVolumeFlag,DiffOptVolumeMonthlyOver,VolumeMonthlyOver),BJ43),IF(DiffOptVolumeFlag,DiffOptVolume,Volume)),0))</f>
        <v>600</v>
      </c>
      <c r="CF43" s="1647" t="n">
        <f aca="false">IF(AND(WeekDef=8,CustomSuFlag,CustomSuPeriod=4),INDEX(IF(DiffOptVolumeFlag,DiffOptVolumeHourlyOver,VolumeHourlyOver),AA15,3),IF(OR(WeekDef=1,WeekDef=3,WeekDef=5,WeekDef=7,AND(WeekDef=8,CustomSuFlag,OR(CustomSuPeriod=1,CustomSuPeriod=3))),IF(VolumeMonthlyOverFlag,INDEX(IF(DiffOptVolumeFlag,DiffOptVolumeMonthlyOver,VolumeMonthlyOver),BJ43),IF(DiffOptVolumeFlag,DiffOptVolume,Volume)),0))</f>
        <v>600</v>
      </c>
      <c r="CG43" s="1647" t="n">
        <f aca="false">IF(AND(WeekDef=8,CustomSuFlag,CustomSuPeriod=4),INDEX(IF(DiffOptVolumeFlag,DiffOptVolumeHourlyOver,VolumeHourlyOver),AB15,3),IF(OR(WeekDef=1,WeekDef=3,WeekDef=5,WeekDef=7,AND(WeekDef=8,CustomSuFlag,OR(CustomSuPeriod=1,CustomSuPeriod=3))),IF(VolumeMonthlyOverFlag,INDEX(IF(DiffOptVolumeFlag,DiffOptVolumeMonthlyOver,VolumeMonthlyOver),BJ43),IF(DiffOptVolumeFlag,DiffOptVolume,Volume)),0))</f>
        <v>600</v>
      </c>
      <c r="CH43" s="1648" t="n">
        <f aca="false">IF(AND(WeekDef=8,CustomSuFlag,CustomSuPeriod=4),INDEX(IF(DiffOptVolumeFlag,DiffOptVolumeHourlyOver,VolumeHourlyOver),AC15,3),IF(OR(WeekDef=1,WeekDef=3,WeekDef=5,WeekDef=7,AND(WeekDef=8,CustomSuFlag,OR(CustomSuPeriod=1,CustomSuPeriod=3))),IF(VolumeMonthlyOverFlag,INDEX(IF(DiffOptVolumeFlag,DiffOptVolumeMonthlyOver,VolumeMonthlyOver),BJ43),IF(DiffOptVolumeFlag,DiffOptVolume,Volume)),0))</f>
        <v>600</v>
      </c>
      <c r="CI43" s="1652" t="n">
        <f aca="false">SUM(BK43:BZ43)</f>
        <v>9600</v>
      </c>
      <c r="CJ43" s="1653" t="n">
        <f aca="false">SUM(CA43:CH43)</f>
        <v>4800</v>
      </c>
      <c r="CK43" s="1654" t="n">
        <f aca="false">CI43+CJ43</f>
        <v>14400</v>
      </c>
      <c r="CL43" s="1674" t="n">
        <f aca="false">IF(CI43,SUMPRODUCT(BK43:BZ43,F31:U31)/CI43,0)</f>
        <v>1</v>
      </c>
      <c r="CM43" s="1655" t="n">
        <f aca="false">IF(CJ43,SUMPRODUCT(CA43:CH43,V31:AC31)/CJ43,0)</f>
        <v>0.999999992549419</v>
      </c>
    </row>
    <row r="44" customFormat="false" ht="13.5" hidden="false" customHeight="false" outlineLevel="0" collapsed="false">
      <c r="A44" s="1694" t="n">
        <v>8</v>
      </c>
      <c r="B44" s="1695" t="n">
        <f aca="false">IF(A44=MONTH(CurveDate+31),EOMONTH(CurveDate+31,0),EOMONTH(CurveDate+31,MOD(A44-MONTH(CurveDate+31),12)-1)+1)</f>
        <v>36739</v>
      </c>
      <c r="C44" s="1696" t="n">
        <f aca="false">VLOOKUP(B44,PriceTable,3,0)+IF(BasisNumber&lt;&gt;1,VLOOKUP(B44,BasisTable,2,0),0)</f>
        <v>77.875</v>
      </c>
      <c r="D44" s="1696" t="n">
        <f aca="false">VLOOKUP(B44,PriceTable,7,0)+IF(BasisNumber&lt;&gt;1,VLOOKUP(B44,BasisTable,3,0),0)</f>
        <v>21.4112903225806</v>
      </c>
      <c r="E44" s="1636" t="n">
        <v>8</v>
      </c>
      <c r="F44" s="1691" t="n">
        <f aca="false">C44*F28</f>
        <v>87.6550958603621</v>
      </c>
      <c r="G44" s="1692" t="n">
        <f aca="false">C44*G28</f>
        <v>87.6129584014416</v>
      </c>
      <c r="H44" s="1692" t="n">
        <f aca="false">C44*H28</f>
        <v>87.226749420166</v>
      </c>
      <c r="I44" s="1692" t="n">
        <f aca="false">C44*I28</f>
        <v>85.8638314604759</v>
      </c>
      <c r="J44" s="1692" t="n">
        <f aca="false">C44*J28</f>
        <v>85.2018398195505</v>
      </c>
      <c r="K44" s="1692" t="n">
        <f aca="false">C44*K28</f>
        <v>81.9283097684383</v>
      </c>
      <c r="L44" s="1692" t="n">
        <f aca="false">C44*L28</f>
        <v>81.4881826639175</v>
      </c>
      <c r="M44" s="1692" t="n">
        <f aca="false">C44*M28</f>
        <v>79.4465907514095</v>
      </c>
      <c r="N44" s="1692" t="n">
        <f aca="false">C44*N28</f>
        <v>78.7253801524639</v>
      </c>
      <c r="O44" s="1692" t="n">
        <f aca="false">C44*O28</f>
        <v>77.965782597661</v>
      </c>
      <c r="P44" s="1692" t="n">
        <f aca="false">C44*P28</f>
        <v>76.9776132330298</v>
      </c>
      <c r="Q44" s="1692" t="n">
        <f aca="false">C44*Q28</f>
        <v>73.4807472229004</v>
      </c>
      <c r="R44" s="1692" t="n">
        <f aca="false">C44*R28</f>
        <v>71.9231280237436</v>
      </c>
      <c r="S44" s="1692" t="n">
        <f aca="false">C44*S28</f>
        <v>69.3141147047281</v>
      </c>
      <c r="T44" s="1692" t="n">
        <f aca="false">C44*T28</f>
        <v>64.2340026050806</v>
      </c>
      <c r="U44" s="1693" t="n">
        <f aca="false">C44*U28</f>
        <v>56.9556593894959</v>
      </c>
      <c r="V44" s="1692" t="n">
        <f aca="false">D44*V28</f>
        <v>25.231545221421</v>
      </c>
      <c r="W44" s="1692" t="n">
        <f aca="false">D44*W28</f>
        <v>22.8785389036902</v>
      </c>
      <c r="X44" s="1692" t="n">
        <f aca="false">D44*X28</f>
        <v>22.2631263348364</v>
      </c>
      <c r="Y44" s="1692" t="n">
        <f aca="false">D44*Y28</f>
        <v>21.0885196275288</v>
      </c>
      <c r="Z44" s="1692" t="n">
        <f aca="false">D44*Z28</f>
        <v>20.395263209939</v>
      </c>
      <c r="AA44" s="1692" t="n">
        <f aca="false">D44*AA28</f>
        <v>20.0336101531021</v>
      </c>
      <c r="AB44" s="1692" t="n">
        <f aca="false">D44*AB28</f>
        <v>19.69986020317</v>
      </c>
      <c r="AC44" s="1693" t="n">
        <f aca="false">D44*AC28</f>
        <v>19.69986020317</v>
      </c>
      <c r="AE44" s="1662" t="n">
        <v>12</v>
      </c>
      <c r="AF44" s="1663" t="n">
        <f aca="false">IF(AND(WeekDef=8,CustomSuFlag,CustomSuPeriod=4),INDEX(VolumeHourlyOver,F16,3),IF(OR(WeekDef=1,WeekDef=3,WeekDef=5,WeekDef=6,AND(WeekDef=8,CustomSuFlag,OR(CustomSuPeriod=1,CustomSuPeriod=2))),IF(VolumeMonthlyOverFlag,INDEX(VolumeMonthlyOver,AE44),Volume),0))</f>
        <v>150</v>
      </c>
      <c r="AG44" s="1664" t="n">
        <f aca="false">IF(AND(WeekDef=8,CustomSuFlag,CustomSuPeriod=4),INDEX(VolumeHourlyOver,G16,3),IF(OR(WeekDef=1,WeekDef=3,WeekDef=5,WeekDef=6,AND(WeekDef=8,CustomSuFlag,OR(CustomSuPeriod=1,CustomSuPeriod=2))),IF(VolumeMonthlyOverFlag,INDEX(VolumeMonthlyOver,AE44),Volume),0))</f>
        <v>150</v>
      </c>
      <c r="AH44" s="1664" t="n">
        <f aca="false">IF(AND(WeekDef=8,CustomSuFlag,CustomSuPeriod=4),INDEX(VolumeHourlyOver,H16,3),IF(OR(WeekDef=1,WeekDef=3,WeekDef=5,WeekDef=6,AND(WeekDef=8,CustomSuFlag,OR(CustomSuPeriod=1,CustomSuPeriod=2))),IF(VolumeMonthlyOverFlag,INDEX(VolumeMonthlyOver,AE44),Volume),0))</f>
        <v>150</v>
      </c>
      <c r="AI44" s="1664" t="n">
        <f aca="false">IF(AND(WeekDef=8,CustomSuFlag,CustomSuPeriod=4),INDEX(VolumeHourlyOver,I16,3),IF(OR(WeekDef=1,WeekDef=3,WeekDef=5,WeekDef=6,AND(WeekDef=8,CustomSuFlag,OR(CustomSuPeriod=1,CustomSuPeriod=2))),IF(VolumeMonthlyOverFlag,INDEX(VolumeMonthlyOver,AE44),Volume),0))</f>
        <v>150</v>
      </c>
      <c r="AJ44" s="1664" t="n">
        <f aca="false">IF(AND(WeekDef=8,CustomSuFlag,CustomSuPeriod=4),INDEX(VolumeHourlyOver,J16,3),IF(OR(WeekDef=1,WeekDef=3,WeekDef=5,WeekDef=6,AND(WeekDef=8,CustomSuFlag,OR(CustomSuPeriod=1,CustomSuPeriod=2))),IF(VolumeMonthlyOverFlag,INDEX(VolumeMonthlyOver,AE44),Volume),0))</f>
        <v>150</v>
      </c>
      <c r="AK44" s="1664" t="n">
        <f aca="false">IF(AND(WeekDef=8,CustomSuFlag,CustomSuPeriod=4),INDEX(VolumeHourlyOver,K16,3),IF(OR(WeekDef=1,WeekDef=3,WeekDef=5,WeekDef=6,AND(WeekDef=8,CustomSuFlag,OR(CustomSuPeriod=1,CustomSuPeriod=2))),IF(VolumeMonthlyOverFlag,INDEX(VolumeMonthlyOver,AE44),Volume),0))</f>
        <v>150</v>
      </c>
      <c r="AL44" s="1664" t="n">
        <f aca="false">IF(AND(WeekDef=8,CustomSuFlag,CustomSuPeriod=4),INDEX(VolumeHourlyOver,L16,3),IF(OR(WeekDef=1,WeekDef=3,WeekDef=5,WeekDef=6,AND(WeekDef=8,CustomSuFlag,OR(CustomSuPeriod=1,CustomSuPeriod=2))),IF(VolumeMonthlyOverFlag,INDEX(VolumeMonthlyOver,AE44),Volume),0))</f>
        <v>150</v>
      </c>
      <c r="AM44" s="1664" t="n">
        <f aca="false">IF(AND(WeekDef=8,CustomSuFlag,CustomSuPeriod=4),INDEX(VolumeHourlyOver,M16,3),IF(OR(WeekDef=1,WeekDef=3,WeekDef=5,WeekDef=6,AND(WeekDef=8,CustomSuFlag,OR(CustomSuPeriod=1,CustomSuPeriod=2))),IF(VolumeMonthlyOverFlag,INDEX(VolumeMonthlyOver,AE44),Volume),0))</f>
        <v>150</v>
      </c>
      <c r="AN44" s="1664" t="n">
        <f aca="false">IF(AND(WeekDef=8,CustomSuFlag,CustomSuPeriod=4),INDEX(VolumeHourlyOver,N16,3),IF(OR(WeekDef=1,WeekDef=3,WeekDef=5,WeekDef=6,AND(WeekDef=8,CustomSuFlag,OR(CustomSuPeriod=1,CustomSuPeriod=2))),IF(VolumeMonthlyOverFlag,INDEX(VolumeMonthlyOver,AE44),Volume),0))</f>
        <v>150</v>
      </c>
      <c r="AO44" s="1664" t="n">
        <f aca="false">IF(AND(WeekDef=8,CustomSuFlag,CustomSuPeriod=4),INDEX(VolumeHourlyOver,O16,3),IF(OR(WeekDef=1,WeekDef=3,WeekDef=5,WeekDef=6,AND(WeekDef=8,CustomSuFlag,OR(CustomSuPeriod=1,CustomSuPeriod=2))),IF(VolumeMonthlyOverFlag,INDEX(VolumeMonthlyOver,AE44),Volume),0))</f>
        <v>150</v>
      </c>
      <c r="AP44" s="1664" t="n">
        <f aca="false">IF(AND(WeekDef=8,CustomSuFlag,CustomSuPeriod=4),INDEX(VolumeHourlyOver,P16,3),IF(OR(WeekDef=1,WeekDef=3,WeekDef=5,WeekDef=6,AND(WeekDef=8,CustomSuFlag,OR(CustomSuPeriod=1,CustomSuPeriod=2))),IF(VolumeMonthlyOverFlag,INDEX(VolumeMonthlyOver,AE44),Volume),0))</f>
        <v>150</v>
      </c>
      <c r="AQ44" s="1664" t="n">
        <f aca="false">IF(AND(WeekDef=8,CustomSuFlag,CustomSuPeriod=4),INDEX(VolumeHourlyOver,Q16,3),IF(OR(WeekDef=1,WeekDef=3,WeekDef=5,WeekDef=6,AND(WeekDef=8,CustomSuFlag,OR(CustomSuPeriod=1,CustomSuPeriod=2))),IF(VolumeMonthlyOverFlag,INDEX(VolumeMonthlyOver,AE44),Volume),0))</f>
        <v>150</v>
      </c>
      <c r="AR44" s="1664" t="n">
        <f aca="false">IF(AND(WeekDef=8,CustomSuFlag,CustomSuPeriod=4),INDEX(VolumeHourlyOver,R16,3),IF(OR(WeekDef=1,WeekDef=3,WeekDef=5,WeekDef=6,AND(WeekDef=8,CustomSuFlag,OR(CustomSuPeriod=1,CustomSuPeriod=2))),IF(VolumeMonthlyOverFlag,INDEX(VolumeMonthlyOver,AE44),Volume),0))</f>
        <v>150</v>
      </c>
      <c r="AS44" s="1664" t="n">
        <f aca="false">IF(AND(WeekDef=8,CustomSuFlag,CustomSuPeriod=4),INDEX(VolumeHourlyOver,S16,3),IF(OR(WeekDef=1,WeekDef=3,WeekDef=5,WeekDef=6,AND(WeekDef=8,CustomSuFlag,OR(CustomSuPeriod=1,CustomSuPeriod=2))),IF(VolumeMonthlyOverFlag,INDEX(VolumeMonthlyOver,AE44),Volume),0))</f>
        <v>150</v>
      </c>
      <c r="AT44" s="1664" t="n">
        <f aca="false">IF(AND(WeekDef=8,CustomSuFlag,CustomSuPeriod=4),INDEX(VolumeHourlyOver,T16,3),IF(OR(WeekDef=1,WeekDef=3,WeekDef=5,WeekDef=6,AND(WeekDef=8,CustomSuFlag,OR(CustomSuPeriod=1,CustomSuPeriod=2))),IF(VolumeMonthlyOverFlag,INDEX(VolumeMonthlyOver,AE44),Volume),0))</f>
        <v>150</v>
      </c>
      <c r="AU44" s="1665" t="n">
        <f aca="false">IF(AND(WeekDef=8,CustomSuFlag,CustomSuPeriod=4),INDEX(VolumeHourlyOver,U16,3),IF(OR(WeekDef=1,WeekDef=3,WeekDef=5,WeekDef=6,AND(WeekDef=8,CustomSuFlag,OR(CustomSuPeriod=1,CustomSuPeriod=2))),IF(VolumeMonthlyOverFlag,INDEX(VolumeMonthlyOver,AE44),Volume),0))</f>
        <v>150</v>
      </c>
      <c r="AV44" s="1664" t="n">
        <f aca="false">IF(AND(WeekDef=8,CustomSuFlag,CustomSuPeriod=4),INDEX(VolumeHourlyOver,V16,3),IF(OR(WeekDef=1,WeekDef=3,WeekDef=5,WeekDef=7,AND(WeekDef=8,CustomSuFlag,OR(CustomSuPeriod=1,CustomSuPeriod=3))),IF(VolumeMonthlyOverFlag,INDEX(VolumeMonthlyOver,AE44),Volume),0))</f>
        <v>150</v>
      </c>
      <c r="AW44" s="1664" t="n">
        <f aca="false">IF(AND(WeekDef=8,CustomSuFlag,CustomSuPeriod=4),INDEX(VolumeHourlyOver,W16,3),IF(OR(WeekDef=1,WeekDef=3,WeekDef=5,WeekDef=7,AND(WeekDef=8,CustomSuFlag,OR(CustomSuPeriod=1,CustomSuPeriod=3))),IF(VolumeMonthlyOverFlag,INDEX(VolumeMonthlyOver,AE44),Volume),0))</f>
        <v>150</v>
      </c>
      <c r="AX44" s="1664" t="n">
        <f aca="false">IF(AND(WeekDef=8,CustomSuFlag,CustomSuPeriod=4),INDEX(VolumeHourlyOver,X16,3),IF(OR(WeekDef=1,WeekDef=3,WeekDef=5,WeekDef=7,AND(WeekDef=8,CustomSuFlag,OR(CustomSuPeriod=1,CustomSuPeriod=3))),IF(VolumeMonthlyOverFlag,INDEX(VolumeMonthlyOver,AE44),Volume),0))</f>
        <v>150</v>
      </c>
      <c r="AY44" s="1664" t="n">
        <f aca="false">IF(AND(WeekDef=8,CustomSuFlag,CustomSuPeriod=4),INDEX(VolumeHourlyOver,Y16,3),IF(OR(WeekDef=1,WeekDef=3,WeekDef=5,WeekDef=7,AND(WeekDef=8,CustomSuFlag,OR(CustomSuPeriod=1,CustomSuPeriod=3))),IF(VolumeMonthlyOverFlag,INDEX(VolumeMonthlyOver,AE44),Volume),0))</f>
        <v>150</v>
      </c>
      <c r="AZ44" s="1664" t="n">
        <f aca="false">IF(AND(WeekDef=8,CustomSuFlag,CustomSuPeriod=4),INDEX(VolumeHourlyOver,Z16,3),IF(OR(WeekDef=1,WeekDef=3,WeekDef=5,WeekDef=7,AND(WeekDef=8,CustomSuFlag,OR(CustomSuPeriod=1,CustomSuPeriod=3))),IF(VolumeMonthlyOverFlag,INDEX(VolumeMonthlyOver,AE44),Volume),0))</f>
        <v>150</v>
      </c>
      <c r="BA44" s="1664" t="n">
        <f aca="false">IF(AND(WeekDef=8,CustomSuFlag,CustomSuPeriod=4),INDEX(VolumeHourlyOver,AA16,3),IF(OR(WeekDef=1,WeekDef=3,WeekDef=5,WeekDef=7,AND(WeekDef=8,CustomSuFlag,OR(CustomSuPeriod=1,CustomSuPeriod=3))),IF(VolumeMonthlyOverFlag,INDEX(VolumeMonthlyOver,AE44),Volume),0))</f>
        <v>150</v>
      </c>
      <c r="BB44" s="1664" t="n">
        <f aca="false">IF(AND(WeekDef=8,CustomSuFlag,CustomSuPeriod=4),INDEX(VolumeHourlyOver,AB16,3),IF(OR(WeekDef=1,WeekDef=3,WeekDef=5,WeekDef=7,AND(WeekDef=8,CustomSuFlag,OR(CustomSuPeriod=1,CustomSuPeriod=3))),IF(VolumeMonthlyOverFlag,INDEX(VolumeMonthlyOver,AE44),Volume),0))</f>
        <v>150</v>
      </c>
      <c r="BC44" s="1665" t="n">
        <f aca="false">IF(AND(WeekDef=8,CustomSuFlag,CustomSuPeriod=4),INDEX(VolumeHourlyOver,AC16,3),IF(OR(WeekDef=1,WeekDef=3,WeekDef=5,WeekDef=7,AND(WeekDef=8,CustomSuFlag,OR(CustomSuPeriod=1,CustomSuPeriod=3))),IF(VolumeMonthlyOverFlag,INDEX(VolumeMonthlyOver,AE44),Volume),0))</f>
        <v>150</v>
      </c>
      <c r="BD44" s="1666" t="n">
        <f aca="false">SUM(AF44:AU44)</f>
        <v>2400</v>
      </c>
      <c r="BE44" s="1667" t="n">
        <f aca="false">SUM(AV44:BC44)</f>
        <v>1200</v>
      </c>
      <c r="BF44" s="1668" t="n">
        <f aca="false">BD44+BE44</f>
        <v>3600</v>
      </c>
      <c r="BG44" s="1680" t="n">
        <f aca="false">IF(BD44,SUMPRODUCT(AF44:AU44,F32:U32)/BD44,0)</f>
        <v>1</v>
      </c>
      <c r="BH44" s="1669" t="n">
        <f aca="false">IF(BE44,SUMPRODUCT(AV44:BC44,V32:AC32)/BE44,0)</f>
        <v>1</v>
      </c>
      <c r="BJ44" s="1662" t="n">
        <v>12</v>
      </c>
      <c r="BK44" s="1663" t="n">
        <f aca="false">IF(AND(WeekDef=8,CustomSuFlag,CustomSuPeriod=4),INDEX(IF(DiffOptVolumeFlag,DiffOptVolumeHourlyOver,VolumeHourlyOver),F16,3),IF(OR(WeekDef=1,WeekDef=3,WeekDef=5,WeekDef=6,AND(WeekDef=8,CustomSuFlag,OR(CustomSuPeriod=1,CustomSuPeriod=2))),IF(VolumeMonthlyOverFlag,INDEX(IF(DiffOptVolumeFlag,DiffOptVolumeMonthlyOver,VolumeMonthlyOver),BJ44),IF(DiffOptVolumeFlag,DiffOptVolume,Volume)),0))</f>
        <v>600</v>
      </c>
      <c r="BL44" s="1664" t="n">
        <f aca="false">IF(AND(WeekDef=8,CustomSuFlag,CustomSuPeriod=4),INDEX(IF(DiffOptVolumeFlag,DiffOptVolumeHourlyOver,VolumeHourlyOver),G16,3),IF(OR(WeekDef=1,WeekDef=3,WeekDef=5,WeekDef=6,AND(WeekDef=8,CustomSuFlag,OR(CustomSuPeriod=1,CustomSuPeriod=2))),IF(VolumeMonthlyOverFlag,INDEX(IF(DiffOptVolumeFlag,DiffOptVolumeMonthlyOver,VolumeMonthlyOver),BJ44),IF(DiffOptVolumeFlag,DiffOptVolume,Volume)),0))</f>
        <v>600</v>
      </c>
      <c r="BM44" s="1664" t="n">
        <f aca="false">IF(AND(WeekDef=8,CustomSuFlag,CustomSuPeriod=4),INDEX(IF(DiffOptVolumeFlag,DiffOptVolumeHourlyOver,VolumeHourlyOver),H16,3),IF(OR(WeekDef=1,WeekDef=3,WeekDef=5,WeekDef=6,AND(WeekDef=8,CustomSuFlag,OR(CustomSuPeriod=1,CustomSuPeriod=2))),IF(VolumeMonthlyOverFlag,INDEX(IF(DiffOptVolumeFlag,DiffOptVolumeMonthlyOver,VolumeMonthlyOver),BJ44),IF(DiffOptVolumeFlag,DiffOptVolume,Volume)),0))</f>
        <v>600</v>
      </c>
      <c r="BN44" s="1664" t="n">
        <f aca="false">IF(AND(WeekDef=8,CustomSuFlag,CustomSuPeriod=4),INDEX(IF(DiffOptVolumeFlag,DiffOptVolumeHourlyOver,VolumeHourlyOver),I16,3),IF(OR(WeekDef=1,WeekDef=3,WeekDef=5,WeekDef=6,AND(WeekDef=8,CustomSuFlag,OR(CustomSuPeriod=1,CustomSuPeriod=2))),IF(VolumeMonthlyOverFlag,INDEX(IF(DiffOptVolumeFlag,DiffOptVolumeMonthlyOver,VolumeMonthlyOver),BJ44),IF(DiffOptVolumeFlag,DiffOptVolume,Volume)),0))</f>
        <v>600</v>
      </c>
      <c r="BO44" s="1664" t="n">
        <f aca="false">IF(AND(WeekDef=8,CustomSuFlag,CustomSuPeriod=4),INDEX(IF(DiffOptVolumeFlag,DiffOptVolumeHourlyOver,VolumeHourlyOver),J16,3),IF(OR(WeekDef=1,WeekDef=3,WeekDef=5,WeekDef=6,AND(WeekDef=8,CustomSuFlag,OR(CustomSuPeriod=1,CustomSuPeriod=2))),IF(VolumeMonthlyOverFlag,INDEX(IF(DiffOptVolumeFlag,DiffOptVolumeMonthlyOver,VolumeMonthlyOver),BJ44),IF(DiffOptVolumeFlag,DiffOptVolume,Volume)),0))</f>
        <v>600</v>
      </c>
      <c r="BP44" s="1664" t="n">
        <f aca="false">IF(AND(WeekDef=8,CustomSuFlag,CustomSuPeriod=4),INDEX(IF(DiffOptVolumeFlag,DiffOptVolumeHourlyOver,VolumeHourlyOver),K16,3),IF(OR(WeekDef=1,WeekDef=3,WeekDef=5,WeekDef=6,AND(WeekDef=8,CustomSuFlag,OR(CustomSuPeriod=1,CustomSuPeriod=2))),IF(VolumeMonthlyOverFlag,INDEX(IF(DiffOptVolumeFlag,DiffOptVolumeMonthlyOver,VolumeMonthlyOver),BJ44),IF(DiffOptVolumeFlag,DiffOptVolume,Volume)),0))</f>
        <v>600</v>
      </c>
      <c r="BQ44" s="1664" t="n">
        <f aca="false">IF(AND(WeekDef=8,CustomSuFlag,CustomSuPeriod=4),INDEX(IF(DiffOptVolumeFlag,DiffOptVolumeHourlyOver,VolumeHourlyOver),L16,3),IF(OR(WeekDef=1,WeekDef=3,WeekDef=5,WeekDef=6,AND(WeekDef=8,CustomSuFlag,OR(CustomSuPeriod=1,CustomSuPeriod=2))),IF(VolumeMonthlyOverFlag,INDEX(IF(DiffOptVolumeFlag,DiffOptVolumeMonthlyOver,VolumeMonthlyOver),BJ44),IF(DiffOptVolumeFlag,DiffOptVolume,Volume)),0))</f>
        <v>600</v>
      </c>
      <c r="BR44" s="1664" t="n">
        <f aca="false">IF(AND(WeekDef=8,CustomSuFlag,CustomSuPeriod=4),INDEX(IF(DiffOptVolumeFlag,DiffOptVolumeHourlyOver,VolumeHourlyOver),M16,3),IF(OR(WeekDef=1,WeekDef=3,WeekDef=5,WeekDef=6,AND(WeekDef=8,CustomSuFlag,OR(CustomSuPeriod=1,CustomSuPeriod=2))),IF(VolumeMonthlyOverFlag,INDEX(IF(DiffOptVolumeFlag,DiffOptVolumeMonthlyOver,VolumeMonthlyOver),BJ44),IF(DiffOptVolumeFlag,DiffOptVolume,Volume)),0))</f>
        <v>600</v>
      </c>
      <c r="BS44" s="1664" t="n">
        <f aca="false">IF(AND(WeekDef=8,CustomSuFlag,CustomSuPeriod=4),INDEX(IF(DiffOptVolumeFlag,DiffOptVolumeHourlyOver,VolumeHourlyOver),N16,3),IF(OR(WeekDef=1,WeekDef=3,WeekDef=5,WeekDef=6,AND(WeekDef=8,CustomSuFlag,OR(CustomSuPeriod=1,CustomSuPeriod=2))),IF(VolumeMonthlyOverFlag,INDEX(IF(DiffOptVolumeFlag,DiffOptVolumeMonthlyOver,VolumeMonthlyOver),BJ44),IF(DiffOptVolumeFlag,DiffOptVolume,Volume)),0))</f>
        <v>600</v>
      </c>
      <c r="BT44" s="1664" t="n">
        <f aca="false">IF(AND(WeekDef=8,CustomSuFlag,CustomSuPeriod=4),INDEX(IF(DiffOptVolumeFlag,DiffOptVolumeHourlyOver,VolumeHourlyOver),O16,3),IF(OR(WeekDef=1,WeekDef=3,WeekDef=5,WeekDef=6,AND(WeekDef=8,CustomSuFlag,OR(CustomSuPeriod=1,CustomSuPeriod=2))),IF(VolumeMonthlyOverFlag,INDEX(IF(DiffOptVolumeFlag,DiffOptVolumeMonthlyOver,VolumeMonthlyOver),BJ44),IF(DiffOptVolumeFlag,DiffOptVolume,Volume)),0))</f>
        <v>600</v>
      </c>
      <c r="BU44" s="1664" t="n">
        <f aca="false">IF(AND(WeekDef=8,CustomSuFlag,CustomSuPeriod=4),INDEX(IF(DiffOptVolumeFlag,DiffOptVolumeHourlyOver,VolumeHourlyOver),P16,3),IF(OR(WeekDef=1,WeekDef=3,WeekDef=5,WeekDef=6,AND(WeekDef=8,CustomSuFlag,OR(CustomSuPeriod=1,CustomSuPeriod=2))),IF(VolumeMonthlyOverFlag,INDEX(IF(DiffOptVolumeFlag,DiffOptVolumeMonthlyOver,VolumeMonthlyOver),BJ44),IF(DiffOptVolumeFlag,DiffOptVolume,Volume)),0))</f>
        <v>600</v>
      </c>
      <c r="BV44" s="1664" t="n">
        <f aca="false">IF(AND(WeekDef=8,CustomSuFlag,CustomSuPeriod=4),INDEX(IF(DiffOptVolumeFlag,DiffOptVolumeHourlyOver,VolumeHourlyOver),Q16,3),IF(OR(WeekDef=1,WeekDef=3,WeekDef=5,WeekDef=6,AND(WeekDef=8,CustomSuFlag,OR(CustomSuPeriod=1,CustomSuPeriod=2))),IF(VolumeMonthlyOverFlag,INDEX(IF(DiffOptVolumeFlag,DiffOptVolumeMonthlyOver,VolumeMonthlyOver),BJ44),IF(DiffOptVolumeFlag,DiffOptVolume,Volume)),0))</f>
        <v>600</v>
      </c>
      <c r="BW44" s="1664" t="n">
        <f aca="false">IF(AND(WeekDef=8,CustomSuFlag,CustomSuPeriod=4),INDEX(IF(DiffOptVolumeFlag,DiffOptVolumeHourlyOver,VolumeHourlyOver),R16,3),IF(OR(WeekDef=1,WeekDef=3,WeekDef=5,WeekDef=6,AND(WeekDef=8,CustomSuFlag,OR(CustomSuPeriod=1,CustomSuPeriod=2))),IF(VolumeMonthlyOverFlag,INDEX(IF(DiffOptVolumeFlag,DiffOptVolumeMonthlyOver,VolumeMonthlyOver),BJ44),IF(DiffOptVolumeFlag,DiffOptVolume,Volume)),0))</f>
        <v>600</v>
      </c>
      <c r="BX44" s="1664" t="n">
        <f aca="false">IF(AND(WeekDef=8,CustomSuFlag,CustomSuPeriod=4),INDEX(IF(DiffOptVolumeFlag,DiffOptVolumeHourlyOver,VolumeHourlyOver),S16,3),IF(OR(WeekDef=1,WeekDef=3,WeekDef=5,WeekDef=6,AND(WeekDef=8,CustomSuFlag,OR(CustomSuPeriod=1,CustomSuPeriod=2))),IF(VolumeMonthlyOverFlag,INDEX(IF(DiffOptVolumeFlag,DiffOptVolumeMonthlyOver,VolumeMonthlyOver),BJ44),IF(DiffOptVolumeFlag,DiffOptVolume,Volume)),0))</f>
        <v>600</v>
      </c>
      <c r="BY44" s="1664" t="n">
        <f aca="false">IF(AND(WeekDef=8,CustomSuFlag,CustomSuPeriod=4),INDEX(IF(DiffOptVolumeFlag,DiffOptVolumeHourlyOver,VolumeHourlyOver),T16,3),IF(OR(WeekDef=1,WeekDef=3,WeekDef=5,WeekDef=6,AND(WeekDef=8,CustomSuFlag,OR(CustomSuPeriod=1,CustomSuPeriod=2))),IF(VolumeMonthlyOverFlag,INDEX(IF(DiffOptVolumeFlag,DiffOptVolumeMonthlyOver,VolumeMonthlyOver),BJ44),IF(DiffOptVolumeFlag,DiffOptVolume,Volume)),0))</f>
        <v>600</v>
      </c>
      <c r="BZ44" s="1665" t="n">
        <f aca="false">IF(AND(WeekDef=8,CustomSuFlag,CustomSuPeriod=4),INDEX(IF(DiffOptVolumeFlag,DiffOptVolumeHourlyOver,VolumeHourlyOver),U16,3),IF(OR(WeekDef=1,WeekDef=3,WeekDef=5,WeekDef=6,AND(WeekDef=8,CustomSuFlag,OR(CustomSuPeriod=1,CustomSuPeriod=2))),IF(VolumeMonthlyOverFlag,INDEX(IF(DiffOptVolumeFlag,DiffOptVolumeMonthlyOver,VolumeMonthlyOver),BJ44),IF(DiffOptVolumeFlag,DiffOptVolume,Volume)),0))</f>
        <v>600</v>
      </c>
      <c r="CA44" s="1664" t="n">
        <f aca="false">IF(AND(WeekDef=8,CustomSuFlag,CustomSuPeriod=4),INDEX(IF(DiffOptVolumeFlag,DiffOptVolumeHourlyOver,VolumeHourlyOver),V16,3),IF(OR(WeekDef=1,WeekDef=3,WeekDef=5,WeekDef=7,AND(WeekDef=8,CustomSuFlag,OR(CustomSuPeriod=1,CustomSuPeriod=3))),IF(VolumeMonthlyOverFlag,INDEX(IF(DiffOptVolumeFlag,DiffOptVolumeMonthlyOver,VolumeMonthlyOver),BJ44),IF(DiffOptVolumeFlag,DiffOptVolume,Volume)),0))</f>
        <v>600</v>
      </c>
      <c r="CB44" s="1664" t="n">
        <f aca="false">IF(AND(WeekDef=8,CustomSuFlag,CustomSuPeriod=4),INDEX(IF(DiffOptVolumeFlag,DiffOptVolumeHourlyOver,VolumeHourlyOver),W16,3),IF(OR(WeekDef=1,WeekDef=3,WeekDef=5,WeekDef=7,AND(WeekDef=8,CustomSuFlag,OR(CustomSuPeriod=1,CustomSuPeriod=3))),IF(VolumeMonthlyOverFlag,INDEX(IF(DiffOptVolumeFlag,DiffOptVolumeMonthlyOver,VolumeMonthlyOver),BJ44),IF(DiffOptVolumeFlag,DiffOptVolume,Volume)),0))</f>
        <v>600</v>
      </c>
      <c r="CC44" s="1664" t="n">
        <f aca="false">IF(AND(WeekDef=8,CustomSuFlag,CustomSuPeriod=4),INDEX(IF(DiffOptVolumeFlag,DiffOptVolumeHourlyOver,VolumeHourlyOver),X16,3),IF(OR(WeekDef=1,WeekDef=3,WeekDef=5,WeekDef=7,AND(WeekDef=8,CustomSuFlag,OR(CustomSuPeriod=1,CustomSuPeriod=3))),IF(VolumeMonthlyOverFlag,INDEX(IF(DiffOptVolumeFlag,DiffOptVolumeMonthlyOver,VolumeMonthlyOver),BJ44),IF(DiffOptVolumeFlag,DiffOptVolume,Volume)),0))</f>
        <v>600</v>
      </c>
      <c r="CD44" s="1664" t="n">
        <f aca="false">IF(AND(WeekDef=8,CustomSuFlag,CustomSuPeriod=4),INDEX(IF(DiffOptVolumeFlag,DiffOptVolumeHourlyOver,VolumeHourlyOver),Y16,3),IF(OR(WeekDef=1,WeekDef=3,WeekDef=5,WeekDef=7,AND(WeekDef=8,CustomSuFlag,OR(CustomSuPeriod=1,CustomSuPeriod=3))),IF(VolumeMonthlyOverFlag,INDEX(IF(DiffOptVolumeFlag,DiffOptVolumeMonthlyOver,VolumeMonthlyOver),BJ44),IF(DiffOptVolumeFlag,DiffOptVolume,Volume)),0))</f>
        <v>600</v>
      </c>
      <c r="CE44" s="1664" t="n">
        <f aca="false">IF(AND(WeekDef=8,CustomSuFlag,CustomSuPeriod=4),INDEX(IF(DiffOptVolumeFlag,DiffOptVolumeHourlyOver,VolumeHourlyOver),Z16,3),IF(OR(WeekDef=1,WeekDef=3,WeekDef=5,WeekDef=7,AND(WeekDef=8,CustomSuFlag,OR(CustomSuPeriod=1,CustomSuPeriod=3))),IF(VolumeMonthlyOverFlag,INDEX(IF(DiffOptVolumeFlag,DiffOptVolumeMonthlyOver,VolumeMonthlyOver),BJ44),IF(DiffOptVolumeFlag,DiffOptVolume,Volume)),0))</f>
        <v>600</v>
      </c>
      <c r="CF44" s="1664" t="n">
        <f aca="false">IF(AND(WeekDef=8,CustomSuFlag,CustomSuPeriod=4),INDEX(IF(DiffOptVolumeFlag,DiffOptVolumeHourlyOver,VolumeHourlyOver),AA16,3),IF(OR(WeekDef=1,WeekDef=3,WeekDef=5,WeekDef=7,AND(WeekDef=8,CustomSuFlag,OR(CustomSuPeriod=1,CustomSuPeriod=3))),IF(VolumeMonthlyOverFlag,INDEX(IF(DiffOptVolumeFlag,DiffOptVolumeMonthlyOver,VolumeMonthlyOver),BJ44),IF(DiffOptVolumeFlag,DiffOptVolume,Volume)),0))</f>
        <v>600</v>
      </c>
      <c r="CG44" s="1664" t="n">
        <f aca="false">IF(AND(WeekDef=8,CustomSuFlag,CustomSuPeriod=4),INDEX(IF(DiffOptVolumeFlag,DiffOptVolumeHourlyOver,VolumeHourlyOver),AB16,3),IF(OR(WeekDef=1,WeekDef=3,WeekDef=5,WeekDef=7,AND(WeekDef=8,CustomSuFlag,OR(CustomSuPeriod=1,CustomSuPeriod=3))),IF(VolumeMonthlyOverFlag,INDEX(IF(DiffOptVolumeFlag,DiffOptVolumeMonthlyOver,VolumeMonthlyOver),BJ44),IF(DiffOptVolumeFlag,DiffOptVolume,Volume)),0))</f>
        <v>600</v>
      </c>
      <c r="CH44" s="1665" t="n">
        <f aca="false">IF(AND(WeekDef=8,CustomSuFlag,CustomSuPeriod=4),INDEX(IF(DiffOptVolumeFlag,DiffOptVolumeHourlyOver,VolumeHourlyOver),AC16,3),IF(OR(WeekDef=1,WeekDef=3,WeekDef=5,WeekDef=7,AND(WeekDef=8,CustomSuFlag,OR(CustomSuPeriod=1,CustomSuPeriod=3))),IF(VolumeMonthlyOverFlag,INDEX(IF(DiffOptVolumeFlag,DiffOptVolumeMonthlyOver,VolumeMonthlyOver),BJ44),IF(DiffOptVolumeFlag,DiffOptVolume,Volume)),0))</f>
        <v>600</v>
      </c>
      <c r="CI44" s="1666" t="n">
        <f aca="false">SUM(BK44:BZ44)</f>
        <v>9600</v>
      </c>
      <c r="CJ44" s="1667" t="n">
        <f aca="false">SUM(CA44:CH44)</f>
        <v>4800</v>
      </c>
      <c r="CK44" s="1668" t="n">
        <f aca="false">CI44+CJ44</f>
        <v>14400</v>
      </c>
      <c r="CL44" s="1680" t="n">
        <f aca="false">IF(CI44,SUMPRODUCT(BK44:BZ44,F32:U32)/CI44,0)</f>
        <v>1</v>
      </c>
      <c r="CM44" s="1669" t="n">
        <f aca="false">IF(CJ44,SUMPRODUCT(CA44:CH44,V32:AC32)/CJ44,0)</f>
        <v>1</v>
      </c>
    </row>
    <row r="45" customFormat="false" ht="16.5" hidden="false" customHeight="false" outlineLevel="0" collapsed="false">
      <c r="A45" s="1694" t="n">
        <v>9</v>
      </c>
      <c r="B45" s="1695" t="n">
        <f aca="false">IF(A45=MONTH(CurveDate+31),EOMONTH(CurveDate+31,0),EOMONTH(CurveDate+31,MOD(A45-MONTH(CurveDate+31),12)-1)+1)</f>
        <v>36770</v>
      </c>
      <c r="C45" s="1696" t="n">
        <f aca="false">VLOOKUP(B45,PriceTable,3,0)+IF(BasisNumber&lt;&gt;1,VLOOKUP(B45,BasisTable,2,0),0)</f>
        <v>61.875</v>
      </c>
      <c r="D45" s="1696" t="n">
        <f aca="false">VLOOKUP(B45,PriceTable,7,0)+IF(BasisNumber&lt;&gt;1,VLOOKUP(B45,BasisTable,3,0),0)</f>
        <v>23.1979166666667</v>
      </c>
      <c r="E45" s="1636" t="n">
        <v>9</v>
      </c>
      <c r="F45" s="1691" t="n">
        <f aca="false">C45*F29</f>
        <v>66.4545983076096</v>
      </c>
      <c r="G45" s="1692" t="n">
        <f aca="false">C45*G29</f>
        <v>66.3495998829603</v>
      </c>
      <c r="H45" s="1692" t="n">
        <f aca="false">C45*H29</f>
        <v>66.1156897991896</v>
      </c>
      <c r="I45" s="1692" t="n">
        <f aca="false">C45*I29</f>
        <v>66.0609371960163</v>
      </c>
      <c r="J45" s="1692" t="n">
        <f aca="false">C45*J29</f>
        <v>65.9192059189081</v>
      </c>
      <c r="K45" s="1692" t="n">
        <f aca="false">C45*K29</f>
        <v>65.0573705881834</v>
      </c>
      <c r="L45" s="1692" t="n">
        <f aca="false">C45*L29</f>
        <v>63.8537205755711</v>
      </c>
      <c r="M45" s="1692" t="n">
        <f aca="false">C45*M29</f>
        <v>63.8537205755711</v>
      </c>
      <c r="N45" s="1692" t="n">
        <f aca="false">C45*N29</f>
        <v>63.6075145751238</v>
      </c>
      <c r="O45" s="1692" t="n">
        <f aca="false">C45*O29</f>
        <v>63.4345529973507</v>
      </c>
      <c r="P45" s="1692" t="n">
        <f aca="false">C45*P29</f>
        <v>62.6723979413509</v>
      </c>
      <c r="Q45" s="1692" t="n">
        <f aca="false">C45*Q29</f>
        <v>61.3235535845161</v>
      </c>
      <c r="R45" s="1692" t="n">
        <f aca="false">C45*R29</f>
        <v>57.5280799716711</v>
      </c>
      <c r="S45" s="1692" t="n">
        <f aca="false">C45*S29</f>
        <v>56.8590331077576</v>
      </c>
      <c r="T45" s="1692" t="n">
        <f aca="false">C45*T29</f>
        <v>52.7554829791188</v>
      </c>
      <c r="U45" s="1693" t="n">
        <f aca="false">C45*U29</f>
        <v>48.1545346230269</v>
      </c>
      <c r="V45" s="1692" t="n">
        <f aca="false">D45*V29</f>
        <v>27.4169628731906</v>
      </c>
      <c r="W45" s="1692" t="n">
        <f aca="false">D45*W29</f>
        <v>24.2742518509428</v>
      </c>
      <c r="X45" s="1692" t="n">
        <f aca="false">D45*X29</f>
        <v>23.8986791384717</v>
      </c>
      <c r="Y45" s="1692" t="n">
        <f aca="false">D45*Y29</f>
        <v>22.8717825207859</v>
      </c>
      <c r="Z45" s="1692" t="n">
        <f aca="false">D45*Z29</f>
        <v>22.3477793441465</v>
      </c>
      <c r="AA45" s="1692" t="n">
        <f aca="false">D45*AA29</f>
        <v>21.9382405181726</v>
      </c>
      <c r="AB45" s="1692" t="n">
        <f aca="false">D45*AB29</f>
        <v>21.4218339150151</v>
      </c>
      <c r="AC45" s="1693" t="n">
        <f aca="false">D45*AC29</f>
        <v>21.4138017899046</v>
      </c>
      <c r="AE45" s="1625" t="s">
        <v>73</v>
      </c>
      <c r="AF45" s="1626" t="s">
        <v>149</v>
      </c>
      <c r="AG45" s="1627"/>
      <c r="AH45" s="1627"/>
      <c r="AI45" s="1627"/>
      <c r="AJ45" s="1627"/>
      <c r="AK45" s="1627"/>
      <c r="AL45" s="1627"/>
      <c r="AM45" s="1627"/>
      <c r="AN45" s="1627"/>
      <c r="AO45" s="1627"/>
      <c r="AP45" s="1627"/>
      <c r="AQ45" s="1627"/>
      <c r="AR45" s="1627"/>
      <c r="AS45" s="1627"/>
      <c r="AT45" s="1627"/>
      <c r="AU45" s="1628"/>
      <c r="AV45" s="1627" t="s">
        <v>132</v>
      </c>
      <c r="AW45" s="1627"/>
      <c r="AX45" s="1627"/>
      <c r="AY45" s="1627"/>
      <c r="AZ45" s="1627"/>
      <c r="BA45" s="1627"/>
      <c r="BB45" s="1627"/>
      <c r="BC45" s="1628"/>
      <c r="BD45" s="1629"/>
      <c r="BE45" s="1630" t="s">
        <v>1259</v>
      </c>
      <c r="BF45" s="1631"/>
      <c r="BG45" s="1672"/>
      <c r="BH45" s="1672"/>
      <c r="BJ45" s="1625" t="s">
        <v>73</v>
      </c>
      <c r="BK45" s="1626" t="s">
        <v>149</v>
      </c>
      <c r="BL45" s="1627"/>
      <c r="BM45" s="1627"/>
      <c r="BN45" s="1627"/>
      <c r="BO45" s="1627"/>
      <c r="BP45" s="1627"/>
      <c r="BQ45" s="1627"/>
      <c r="BR45" s="1627"/>
      <c r="BS45" s="1627"/>
      <c r="BT45" s="1627"/>
      <c r="BU45" s="1627"/>
      <c r="BV45" s="1627"/>
      <c r="BW45" s="1627"/>
      <c r="BX45" s="1627"/>
      <c r="BY45" s="1627"/>
      <c r="BZ45" s="1628"/>
      <c r="CA45" s="1627" t="s">
        <v>132</v>
      </c>
      <c r="CB45" s="1627"/>
      <c r="CC45" s="1627"/>
      <c r="CD45" s="1627"/>
      <c r="CE45" s="1627"/>
      <c r="CF45" s="1627"/>
      <c r="CG45" s="1627"/>
      <c r="CH45" s="1628"/>
      <c r="CI45" s="1629"/>
      <c r="CJ45" s="1630" t="s">
        <v>1259</v>
      </c>
      <c r="CK45" s="1631"/>
      <c r="CL45" s="1672"/>
      <c r="CM45" s="1672"/>
    </row>
    <row r="46" customFormat="false" ht="13.5" hidden="false" customHeight="false" outlineLevel="0" collapsed="false">
      <c r="A46" s="1694" t="n">
        <v>10</v>
      </c>
      <c r="B46" s="1695" t="n">
        <f aca="false">IF(A46=MONTH(CurveDate+31),EOMONTH(CurveDate+31,0),EOMONTH(CurveDate+31,MOD(A46-MONTH(CurveDate+31),12)-1)+1)</f>
        <v>36800</v>
      </c>
      <c r="C46" s="1696" t="n">
        <f aca="false">VLOOKUP(B46,PriceTable,3,0)+IF(BasisNumber&lt;&gt;1,VLOOKUP(B46,BasisTable,2,0),0)</f>
        <v>43.125</v>
      </c>
      <c r="D46" s="1696" t="n">
        <f aca="false">VLOOKUP(B46,PriceTable,7,0)+IF(BasisNumber&lt;&gt;1,VLOOKUP(B46,BasisTable,3,0),0)</f>
        <v>22.3004032258065</v>
      </c>
      <c r="E46" s="1636" t="n">
        <v>10</v>
      </c>
      <c r="F46" s="1691" t="n">
        <f aca="false">C46*F30</f>
        <v>47.8887744247913</v>
      </c>
      <c r="G46" s="1692" t="n">
        <f aca="false">C46*G30</f>
        <v>46.9838782399893</v>
      </c>
      <c r="H46" s="1692" t="n">
        <f aca="false">C46*H30</f>
        <v>44.9283353984356</v>
      </c>
      <c r="I46" s="1692" t="n">
        <f aca="false">C46*I30</f>
        <v>44.3215497583151</v>
      </c>
      <c r="J46" s="1692" t="n">
        <f aca="false">C46*J30</f>
        <v>43.852910399437</v>
      </c>
      <c r="K46" s="1692" t="n">
        <f aca="false">C46*K30</f>
        <v>43.4578784555197</v>
      </c>
      <c r="L46" s="1692" t="n">
        <f aca="false">C46*L30</f>
        <v>43.4578784555197</v>
      </c>
      <c r="M46" s="1692" t="n">
        <f aca="false">C46*M30</f>
        <v>43.4578784555197</v>
      </c>
      <c r="N46" s="1692" t="n">
        <f aca="false">C46*N30</f>
        <v>43.0936327949166</v>
      </c>
      <c r="O46" s="1692" t="n">
        <f aca="false">C46*O30</f>
        <v>43.0245776474476</v>
      </c>
      <c r="P46" s="1692" t="n">
        <f aca="false">C46*P30</f>
        <v>42.8989288955927</v>
      </c>
      <c r="Q46" s="1692" t="n">
        <f aca="false">C46*Q30</f>
        <v>42.8053130954504</v>
      </c>
      <c r="R46" s="1692" t="n">
        <f aca="false">C46*R30</f>
        <v>42.8053130954504</v>
      </c>
      <c r="S46" s="1692" t="n">
        <f aca="false">C46*S30</f>
        <v>40.0831213966012</v>
      </c>
      <c r="T46" s="1692" t="n">
        <f aca="false">C46*T30</f>
        <v>39.9445921182632</v>
      </c>
      <c r="U46" s="1693" t="n">
        <f aca="false">C46*U30</f>
        <v>36.9954476505518</v>
      </c>
      <c r="V46" s="1692" t="n">
        <f aca="false">D46*V30</f>
        <v>25.8000925579859</v>
      </c>
      <c r="W46" s="1692" t="n">
        <f aca="false">D46*W30</f>
        <v>23.479631026666</v>
      </c>
      <c r="X46" s="1692" t="n">
        <f aca="false">D46*X30</f>
        <v>23.1929528456061</v>
      </c>
      <c r="Y46" s="1692" t="n">
        <f aca="false">D46*Y30</f>
        <v>22.3524709464081</v>
      </c>
      <c r="Z46" s="1692" t="n">
        <f aca="false">D46*Z30</f>
        <v>21.2946729069996</v>
      </c>
      <c r="AA46" s="1692" t="n">
        <f aca="false">D46*AA30</f>
        <v>21.0969958092657</v>
      </c>
      <c r="AB46" s="1692" t="n">
        <f aca="false">D46*AB30</f>
        <v>20.6503169202516</v>
      </c>
      <c r="AC46" s="1693" t="n">
        <f aca="false">D46*AC30</f>
        <v>20.5360914640609</v>
      </c>
      <c r="AE46" s="1636" t="s">
        <v>1262</v>
      </c>
      <c r="AF46" s="1636" t="n">
        <v>1</v>
      </c>
      <c r="AG46" s="1621" t="n">
        <v>2</v>
      </c>
      <c r="AH46" s="1621" t="n">
        <v>3</v>
      </c>
      <c r="AI46" s="1621" t="n">
        <v>4</v>
      </c>
      <c r="AJ46" s="1621" t="n">
        <v>5</v>
      </c>
      <c r="AK46" s="1621" t="n">
        <v>6</v>
      </c>
      <c r="AL46" s="1621" t="n">
        <v>7</v>
      </c>
      <c r="AM46" s="1621" t="n">
        <v>8</v>
      </c>
      <c r="AN46" s="1621" t="n">
        <v>9</v>
      </c>
      <c r="AO46" s="1621" t="n">
        <v>10</v>
      </c>
      <c r="AP46" s="1621" t="n">
        <v>11</v>
      </c>
      <c r="AQ46" s="1621" t="n">
        <v>12</v>
      </c>
      <c r="AR46" s="1621" t="n">
        <v>13</v>
      </c>
      <c r="AS46" s="1621" t="n">
        <v>14</v>
      </c>
      <c r="AT46" s="1621" t="n">
        <v>15</v>
      </c>
      <c r="AU46" s="1637" t="n">
        <v>16</v>
      </c>
      <c r="AV46" s="1621" t="n">
        <v>1</v>
      </c>
      <c r="AW46" s="1621" t="n">
        <v>2</v>
      </c>
      <c r="AX46" s="1621" t="n">
        <v>3</v>
      </c>
      <c r="AY46" s="1621" t="n">
        <v>4</v>
      </c>
      <c r="AZ46" s="1621" t="n">
        <v>5</v>
      </c>
      <c r="BA46" s="1621" t="n">
        <v>6</v>
      </c>
      <c r="BB46" s="1621" t="n">
        <v>7</v>
      </c>
      <c r="BC46" s="1637" t="n">
        <v>8</v>
      </c>
      <c r="BD46" s="1638" t="s">
        <v>149</v>
      </c>
      <c r="BE46" s="1639" t="s">
        <v>149</v>
      </c>
      <c r="BF46" s="1640" t="s">
        <v>297</v>
      </c>
      <c r="BG46" s="1673" t="s">
        <v>149</v>
      </c>
      <c r="BH46" s="1673" t="s">
        <v>132</v>
      </c>
      <c r="BJ46" s="1636" t="s">
        <v>1262</v>
      </c>
      <c r="BK46" s="1636" t="n">
        <v>1</v>
      </c>
      <c r="BL46" s="1621" t="n">
        <v>2</v>
      </c>
      <c r="BM46" s="1621" t="n">
        <v>3</v>
      </c>
      <c r="BN46" s="1621" t="n">
        <v>4</v>
      </c>
      <c r="BO46" s="1621" t="n">
        <v>5</v>
      </c>
      <c r="BP46" s="1621" t="n">
        <v>6</v>
      </c>
      <c r="BQ46" s="1621" t="n">
        <v>7</v>
      </c>
      <c r="BR46" s="1621" t="n">
        <v>8</v>
      </c>
      <c r="BS46" s="1621" t="n">
        <v>9</v>
      </c>
      <c r="BT46" s="1621" t="n">
        <v>10</v>
      </c>
      <c r="BU46" s="1621" t="n">
        <v>11</v>
      </c>
      <c r="BV46" s="1621" t="n">
        <v>12</v>
      </c>
      <c r="BW46" s="1621" t="n">
        <v>13</v>
      </c>
      <c r="BX46" s="1621" t="n">
        <v>14</v>
      </c>
      <c r="BY46" s="1621" t="n">
        <v>15</v>
      </c>
      <c r="BZ46" s="1637" t="n">
        <v>16</v>
      </c>
      <c r="CA46" s="1621" t="n">
        <v>1</v>
      </c>
      <c r="CB46" s="1621" t="n">
        <v>2</v>
      </c>
      <c r="CC46" s="1621" t="n">
        <v>3</v>
      </c>
      <c r="CD46" s="1621" t="n">
        <v>4</v>
      </c>
      <c r="CE46" s="1621" t="n">
        <v>5</v>
      </c>
      <c r="CF46" s="1621" t="n">
        <v>6</v>
      </c>
      <c r="CG46" s="1621" t="n">
        <v>7</v>
      </c>
      <c r="CH46" s="1637" t="n">
        <v>8</v>
      </c>
      <c r="CI46" s="1638" t="s">
        <v>149</v>
      </c>
      <c r="CJ46" s="1639" t="s">
        <v>149</v>
      </c>
      <c r="CK46" s="1640" t="s">
        <v>297</v>
      </c>
      <c r="CL46" s="1673" t="s">
        <v>149</v>
      </c>
      <c r="CM46" s="1673" t="s">
        <v>132</v>
      </c>
    </row>
    <row r="47" customFormat="false" ht="12.75" hidden="false" customHeight="false" outlineLevel="0" collapsed="false">
      <c r="A47" s="1694" t="n">
        <v>11</v>
      </c>
      <c r="B47" s="1695" t="n">
        <f aca="false">IF(A47=MONTH(CurveDate+31),EOMONTH(CurveDate+31,0),EOMONTH(CurveDate+31,MOD(A47-MONTH(CurveDate+31),12)-1)+1)</f>
        <v>36831</v>
      </c>
      <c r="C47" s="1696" t="n">
        <f aca="false">VLOOKUP(B47,PriceTable,3,0)+IF(BasisNumber&lt;&gt;1,VLOOKUP(B47,BasisTable,2,0),0)</f>
        <v>35.375</v>
      </c>
      <c r="D47" s="1696" t="n">
        <f aca="false">VLOOKUP(B47,PriceTable,7,0)+IF(BasisNumber&lt;&gt;1,VLOOKUP(B47,BasisTable,3,0),0)</f>
        <v>24.15625</v>
      </c>
      <c r="E47" s="1636" t="n">
        <v>11</v>
      </c>
      <c r="F47" s="1691" t="n">
        <f aca="false">C47*F31</f>
        <v>40.453782632947</v>
      </c>
      <c r="G47" s="1692" t="n">
        <f aca="false">C47*G31</f>
        <v>39.4153941571713</v>
      </c>
      <c r="H47" s="1692" t="n">
        <f aca="false">C47*H31</f>
        <v>37.6743770241737</v>
      </c>
      <c r="I47" s="1692" t="n">
        <f aca="false">C47*I31</f>
        <v>37.324203401804</v>
      </c>
      <c r="J47" s="1692" t="n">
        <f aca="false">C47*J31</f>
        <v>36.809198781848</v>
      </c>
      <c r="K47" s="1692" t="n">
        <f aca="false">C47*K31</f>
        <v>36.6055120825768</v>
      </c>
      <c r="L47" s="1692" t="n">
        <f aca="false">C47*L31</f>
        <v>36.5428428202868</v>
      </c>
      <c r="M47" s="1692" t="n">
        <f aca="false">C47*M31</f>
        <v>35.6598181128502</v>
      </c>
      <c r="N47" s="1692" t="n">
        <f aca="false">C47*N31</f>
        <v>35.5502934455872</v>
      </c>
      <c r="O47" s="1692" t="n">
        <f aca="false">C47*O31</f>
        <v>35.034209266305</v>
      </c>
      <c r="P47" s="1692" t="n">
        <f aca="false">C47*P31</f>
        <v>33.8772295117378</v>
      </c>
      <c r="Q47" s="1692" t="n">
        <f aca="false">C47*Q31</f>
        <v>32.8064120858908</v>
      </c>
      <c r="R47" s="1692" t="n">
        <f aca="false">C47*R31</f>
        <v>32.8064120858908</v>
      </c>
      <c r="S47" s="1692" t="n">
        <f aca="false">C47*S31</f>
        <v>32.5623852908611</v>
      </c>
      <c r="T47" s="1692" t="n">
        <f aca="false">C47*T31</f>
        <v>32.4289943501353</v>
      </c>
      <c r="U47" s="1693" t="n">
        <f aca="false">C47*U31</f>
        <v>30.4489349499345</v>
      </c>
      <c r="V47" s="1692" t="n">
        <f aca="false">D47*V31</f>
        <v>27.4950191825628</v>
      </c>
      <c r="W47" s="1692" t="n">
        <f aca="false">D47*W31</f>
        <v>27.1579533405602</v>
      </c>
      <c r="X47" s="1692" t="n">
        <f aca="false">D47*X31</f>
        <v>23.9546356666833</v>
      </c>
      <c r="Y47" s="1692" t="n">
        <f aca="false">D47*Y31</f>
        <v>23.8720617201179</v>
      </c>
      <c r="Z47" s="1692" t="n">
        <f aca="false">D47*Z31</f>
        <v>23.6037244703621</v>
      </c>
      <c r="AA47" s="1692" t="n">
        <f aca="false">D47*AA31</f>
        <v>22.7062586974353</v>
      </c>
      <c r="AB47" s="1692" t="n">
        <f aca="false">D47*AB31</f>
        <v>22.3116790577769</v>
      </c>
      <c r="AC47" s="1693" t="n">
        <f aca="false">D47*AC31</f>
        <v>22.1486664246768</v>
      </c>
      <c r="AE47" s="1636" t="n">
        <v>1</v>
      </c>
      <c r="AF47" s="1649" t="n">
        <f aca="false">IF(WeekDef=8,IF(CustomHoFlag,IF(CustomHoPeriod=4,INDEX(VolumeHourlyOver,F5,4),IF(OR(CustomHoPeriod=1,CustomHoPeriod=2),IF(VolumeMonthlyOverFlag,INDEX(VolumeMonthlyOver,AE47),Volume),0)),0),AF33)</f>
        <v>150</v>
      </c>
      <c r="AG47" s="1650" t="n">
        <f aca="false">IF(WeekDef=8,IF(CustomHoFlag,IF(CustomHoPeriod=4,INDEX(VolumeHourlyOver,G5,4),IF(OR(CustomHoPeriod=1,CustomHoPeriod=2),IF(VolumeMonthlyOverFlag,INDEX(VolumeMonthlyOver,AE47),Volume),0)),0),AG33)</f>
        <v>150</v>
      </c>
      <c r="AH47" s="1650" t="n">
        <f aca="false">IF(WeekDef=8,IF(CustomHoFlag,IF(CustomHoPeriod=4,INDEX(VolumeHourlyOver,H5,4),IF(OR(CustomHoPeriod=1,CustomHoPeriod=2),IF(VolumeMonthlyOverFlag,INDEX(VolumeMonthlyOver,AE47),Volume),0)),0),AH33)</f>
        <v>150</v>
      </c>
      <c r="AI47" s="1650" t="n">
        <f aca="false">IF(WeekDef=8,IF(CustomHoFlag,IF(CustomHoPeriod=4,INDEX(VolumeHourlyOver,I5,4),IF(OR(CustomHoPeriod=1,CustomHoPeriod=2),IF(VolumeMonthlyOverFlag,INDEX(VolumeMonthlyOver,AE47),Volume),0)),0),AI33)</f>
        <v>150</v>
      </c>
      <c r="AJ47" s="1650" t="n">
        <f aca="false">IF(WeekDef=8,IF(CustomHoFlag,IF(CustomHoPeriod=4,INDEX(VolumeHourlyOver,J5,4),IF(OR(CustomHoPeriod=1,CustomHoPeriod=2),IF(VolumeMonthlyOverFlag,INDEX(VolumeMonthlyOver,AE47),Volume),0)),0),AJ33)</f>
        <v>150</v>
      </c>
      <c r="AK47" s="1650" t="n">
        <f aca="false">IF(WeekDef=8,IF(CustomHoFlag,IF(CustomHoPeriod=4,INDEX(VolumeHourlyOver,K5,4),IF(OR(CustomHoPeriod=1,CustomHoPeriod=2),IF(VolumeMonthlyOverFlag,INDEX(VolumeMonthlyOver,AE47),Volume),0)),0),AK33)</f>
        <v>150</v>
      </c>
      <c r="AL47" s="1650" t="n">
        <f aca="false">IF(WeekDef=8,IF(CustomHoFlag,IF(CustomHoPeriod=4,INDEX(VolumeHourlyOver,L5,4),IF(OR(CustomHoPeriod=1,CustomHoPeriod=2),IF(VolumeMonthlyOverFlag,INDEX(VolumeMonthlyOver,AE47),Volume),0)),0),AL33)</f>
        <v>150</v>
      </c>
      <c r="AM47" s="1650" t="n">
        <f aca="false">IF(WeekDef=8,IF(CustomHoFlag,IF(CustomHoPeriod=4,INDEX(VolumeHourlyOver,M5,4),IF(OR(CustomHoPeriod=1,CustomHoPeriod=2),IF(VolumeMonthlyOverFlag,INDEX(VolumeMonthlyOver,AE47),Volume),0)),0),AM33)</f>
        <v>150</v>
      </c>
      <c r="AN47" s="1650" t="n">
        <f aca="false">IF(WeekDef=8,IF(CustomHoFlag,IF(CustomHoPeriod=4,INDEX(VolumeHourlyOver,N5,4),IF(OR(CustomHoPeriod=1,CustomHoPeriod=2),IF(VolumeMonthlyOverFlag,INDEX(VolumeMonthlyOver,AE47),Volume),0)),0),AN33)</f>
        <v>150</v>
      </c>
      <c r="AO47" s="1650" t="n">
        <f aca="false">IF(WeekDef=8,IF(CustomHoFlag,IF(CustomHoPeriod=4,INDEX(VolumeHourlyOver,O5,4),IF(OR(CustomHoPeriod=1,CustomHoPeriod=2),IF(VolumeMonthlyOverFlag,INDEX(VolumeMonthlyOver,AE47),Volume),0)),0),AO33)</f>
        <v>150</v>
      </c>
      <c r="AP47" s="1650" t="n">
        <f aca="false">IF(WeekDef=8,IF(CustomHoFlag,IF(CustomHoPeriod=4,INDEX(VolumeHourlyOver,P5,4),IF(OR(CustomHoPeriod=1,CustomHoPeriod=2),IF(VolumeMonthlyOverFlag,INDEX(VolumeMonthlyOver,AE47),Volume),0)),0),AP33)</f>
        <v>150</v>
      </c>
      <c r="AQ47" s="1650" t="n">
        <f aca="false">IF(WeekDef=8,IF(CustomHoFlag,IF(CustomHoPeriod=4,INDEX(VolumeHourlyOver,Q5,4),IF(OR(CustomHoPeriod=1,CustomHoPeriod=2),IF(VolumeMonthlyOverFlag,INDEX(VolumeMonthlyOver,AE47),Volume),0)),0),AQ33)</f>
        <v>150</v>
      </c>
      <c r="AR47" s="1650" t="n">
        <f aca="false">IF(WeekDef=8,IF(CustomHoFlag,IF(CustomHoPeriod=4,INDEX(VolumeHourlyOver,R5,4),IF(OR(CustomHoPeriod=1,CustomHoPeriod=2),IF(VolumeMonthlyOverFlag,INDEX(VolumeMonthlyOver,AE47),Volume),0)),0),AR33)</f>
        <v>150</v>
      </c>
      <c r="AS47" s="1650" t="n">
        <f aca="false">IF(WeekDef=8,IF(CustomHoFlag,IF(CustomHoPeriod=4,INDEX(VolumeHourlyOver,S5,4),IF(OR(CustomHoPeriod=1,CustomHoPeriod=2),IF(VolumeMonthlyOverFlag,INDEX(VolumeMonthlyOver,AE47),Volume),0)),0),AS33)</f>
        <v>150</v>
      </c>
      <c r="AT47" s="1650" t="n">
        <f aca="false">IF(WeekDef=8,IF(CustomHoFlag,IF(CustomHoPeriod=4,INDEX(VolumeHourlyOver,T5,4),IF(OR(CustomHoPeriod=1,CustomHoPeriod=2),IF(VolumeMonthlyOverFlag,INDEX(VolumeMonthlyOver,AE47),Volume),0)),0),AT33)</f>
        <v>150</v>
      </c>
      <c r="AU47" s="1651" t="n">
        <f aca="false">IF(WeekDef=8,IF(CustomHoFlag,IF(CustomHoPeriod=4,INDEX(VolumeHourlyOver,U5,4),IF(OR(CustomHoPeriod=1,CustomHoPeriod=2),IF(VolumeMonthlyOverFlag,INDEX(VolumeMonthlyOver,AE47),Volume),0)),0),AU33)</f>
        <v>150</v>
      </c>
      <c r="AV47" s="1650" t="n">
        <f aca="false">IF(WeekDef=8,IF(CustomHoFlag,IF(CustomHoPeriod=4,INDEX(VolumeHourlyOver,V5,4),IF(OR(CustomHoPeriod=1,CustomHoPeriod=3),IF(VolumeMonthlyOverFlag,INDEX(VolumeMonthlyOver,AE47),Volume),0)),0),AV33)</f>
        <v>150</v>
      </c>
      <c r="AW47" s="1650" t="n">
        <f aca="false">IF(WeekDef=8,IF(CustomHoFlag,IF(CustomHoPeriod=4,INDEX(VolumeHourlyOver,W5,4),IF(OR(CustomHoPeriod=1,CustomHoPeriod=3),IF(VolumeMonthlyOverFlag,INDEX(VolumeMonthlyOver,AE47),Volume),0)),0),AW33)</f>
        <v>150</v>
      </c>
      <c r="AX47" s="1650" t="n">
        <f aca="false">IF(WeekDef=8,IF(CustomHoFlag,IF(CustomHoPeriod=4,INDEX(VolumeHourlyOver,X5,4),IF(OR(CustomHoPeriod=1,CustomHoPeriod=3),IF(VolumeMonthlyOverFlag,INDEX(VolumeMonthlyOver,AE47),Volume),0)),0),AX33)</f>
        <v>150</v>
      </c>
      <c r="AY47" s="1650" t="n">
        <f aca="false">IF(WeekDef=8,IF(CustomHoFlag,IF(CustomHoPeriod=4,INDEX(VolumeHourlyOver,Y5,4),IF(OR(CustomHoPeriod=1,CustomHoPeriod=3),IF(VolumeMonthlyOverFlag,INDEX(VolumeMonthlyOver,AE47),Volume),0)),0),AY33)</f>
        <v>150</v>
      </c>
      <c r="AZ47" s="1650" t="n">
        <f aca="false">IF(WeekDef=8,IF(CustomHoFlag,IF(CustomHoPeriod=4,INDEX(VolumeHourlyOver,Z5,4),IF(OR(CustomHoPeriod=1,CustomHoPeriod=3),IF(VolumeMonthlyOverFlag,INDEX(VolumeMonthlyOver,AE47),Volume),0)),0),AZ33)</f>
        <v>150</v>
      </c>
      <c r="BA47" s="1650" t="n">
        <f aca="false">IF(WeekDef=8,IF(CustomHoFlag,IF(CustomHoPeriod=4,INDEX(VolumeHourlyOver,AA5,4),IF(OR(CustomHoPeriod=1,CustomHoPeriod=3),IF(VolumeMonthlyOverFlag,INDEX(VolumeMonthlyOver,AE47),Volume),0)),0),BA33)</f>
        <v>150</v>
      </c>
      <c r="BB47" s="1650" t="n">
        <f aca="false">IF(WeekDef=8,IF(CustomHoFlag,IF(CustomHoPeriod=4,INDEX(VolumeHourlyOver,AB5,4),IF(OR(CustomHoPeriod=1,CustomHoPeriod=3),IF(VolumeMonthlyOverFlag,INDEX(VolumeMonthlyOver,AE47),Volume),0)),0),BB33)</f>
        <v>150</v>
      </c>
      <c r="BC47" s="1651" t="n">
        <f aca="false">IF(WeekDef=8,IF(CustomHoFlag,IF(CustomHoPeriod=4,INDEX(VolumeHourlyOver,AC5,4),IF(OR(CustomHoPeriod=1,CustomHoPeriod=3),IF(VolumeMonthlyOverFlag,INDEX(VolumeMonthlyOver,AE47),Volume),0)),0),BC33)</f>
        <v>150</v>
      </c>
      <c r="BD47" s="1652" t="n">
        <f aca="false">SUM(AF47:AU47)</f>
        <v>2400</v>
      </c>
      <c r="BE47" s="1653" t="n">
        <f aca="false">SUM(AV47:BC47)</f>
        <v>1200</v>
      </c>
      <c r="BF47" s="1654" t="n">
        <f aca="false">BD47+BE47</f>
        <v>3600</v>
      </c>
      <c r="BG47" s="1674" t="n">
        <f aca="false">IF(BD47,SUMPRODUCT(AF47:AU47,F21:U21)/BD47,0)</f>
        <v>0.99999999627471</v>
      </c>
      <c r="BH47" s="1675" t="n">
        <f aca="false">IF(BE47,SUMPRODUCT(AV47:BC47,V21:AC21)/BE47,0)</f>
        <v>0.999999992549419</v>
      </c>
      <c r="BJ47" s="1636" t="n">
        <v>1</v>
      </c>
      <c r="BK47" s="1649" t="n">
        <f aca="false">IF(WeekDef=8,IF(CustomHoFlag,IF(CustomHoPeriod=4,INDEX(IF(DiffOptVolumeFlag,DiffOptVolumeHourlyOver,VolumeHourlyOver),F5,4),IF(OR(CustomHoPeriod=1,CustomHoPeriod=2),IF(VolumeMonthlyOverFlag,INDEX(IF(DiffOptVolumeFlag,DiffOptVolumeMonthlyOver,VolumeMonthlyOver),BJ47),IF(DiffOptVolumeFlag,DiffOptVolume,Volume)),0)),0),BK33)</f>
        <v>600</v>
      </c>
      <c r="BL47" s="1650" t="n">
        <f aca="false">IF(WeekDef=8,IF(CustomHoFlag,IF(CustomHoPeriod=4,INDEX(IF(DiffOptVolumeFlag,DiffOptVolumeHourlyOver,VolumeHourlyOver),G5,4),IF(OR(CustomHoPeriod=1,CustomHoPeriod=2),IF(VolumeMonthlyOverFlag,INDEX(IF(DiffOptVolumeFlag,DiffOptVolumeMonthlyOver,VolumeMonthlyOver),BJ47),IF(DiffOptVolumeFlag,DiffOptVolume,Volume)),0)),0),BL33)</f>
        <v>600</v>
      </c>
      <c r="BM47" s="1650" t="n">
        <f aca="false">IF(WeekDef=8,IF(CustomHoFlag,IF(CustomHoPeriod=4,INDEX(IF(DiffOptVolumeFlag,DiffOptVolumeHourlyOver,VolumeHourlyOver),H5,4),IF(OR(CustomHoPeriod=1,CustomHoPeriod=2),IF(VolumeMonthlyOverFlag,INDEX(IF(DiffOptVolumeFlag,DiffOptVolumeMonthlyOver,VolumeMonthlyOver),BJ47),IF(DiffOptVolumeFlag,DiffOptVolume,Volume)),0)),0),BM33)</f>
        <v>600</v>
      </c>
      <c r="BN47" s="1650" t="n">
        <f aca="false">IF(WeekDef=8,IF(CustomHoFlag,IF(CustomHoPeriod=4,INDEX(IF(DiffOptVolumeFlag,DiffOptVolumeHourlyOver,VolumeHourlyOver),I5,4),IF(OR(CustomHoPeriod=1,CustomHoPeriod=2),IF(VolumeMonthlyOverFlag,INDEX(IF(DiffOptVolumeFlag,DiffOptVolumeMonthlyOver,VolumeMonthlyOver),BJ47),IF(DiffOptVolumeFlag,DiffOptVolume,Volume)),0)),0),BN33)</f>
        <v>600</v>
      </c>
      <c r="BO47" s="1650" t="n">
        <f aca="false">IF(WeekDef=8,IF(CustomHoFlag,IF(CustomHoPeriod=4,INDEX(IF(DiffOptVolumeFlag,DiffOptVolumeHourlyOver,VolumeHourlyOver),J5,4),IF(OR(CustomHoPeriod=1,CustomHoPeriod=2),IF(VolumeMonthlyOverFlag,INDEX(IF(DiffOptVolumeFlag,DiffOptVolumeMonthlyOver,VolumeMonthlyOver),BJ47),IF(DiffOptVolumeFlag,DiffOptVolume,Volume)),0)),0),BO33)</f>
        <v>600</v>
      </c>
      <c r="BP47" s="1650" t="n">
        <f aca="false">IF(WeekDef=8,IF(CustomHoFlag,IF(CustomHoPeriod=4,INDEX(IF(DiffOptVolumeFlag,DiffOptVolumeHourlyOver,VolumeHourlyOver),K5,4),IF(OR(CustomHoPeriod=1,CustomHoPeriod=2),IF(VolumeMonthlyOverFlag,INDEX(IF(DiffOptVolumeFlag,DiffOptVolumeMonthlyOver,VolumeMonthlyOver),BJ47),IF(DiffOptVolumeFlag,DiffOptVolume,Volume)),0)),0),BP33)</f>
        <v>600</v>
      </c>
      <c r="BQ47" s="1650" t="n">
        <f aca="false">IF(WeekDef=8,IF(CustomHoFlag,IF(CustomHoPeriod=4,INDEX(IF(DiffOptVolumeFlag,DiffOptVolumeHourlyOver,VolumeHourlyOver),L5,4),IF(OR(CustomHoPeriod=1,CustomHoPeriod=2),IF(VolumeMonthlyOverFlag,INDEX(IF(DiffOptVolumeFlag,DiffOptVolumeMonthlyOver,VolumeMonthlyOver),BJ47),IF(DiffOptVolumeFlag,DiffOptVolume,Volume)),0)),0),BQ33)</f>
        <v>600</v>
      </c>
      <c r="BR47" s="1650" t="n">
        <f aca="false">IF(WeekDef=8,IF(CustomHoFlag,IF(CustomHoPeriod=4,INDEX(IF(DiffOptVolumeFlag,DiffOptVolumeHourlyOver,VolumeHourlyOver),M5,4),IF(OR(CustomHoPeriod=1,CustomHoPeriod=2),IF(VolumeMonthlyOverFlag,INDEX(IF(DiffOptVolumeFlag,DiffOptVolumeMonthlyOver,VolumeMonthlyOver),BJ47),IF(DiffOptVolumeFlag,DiffOptVolume,Volume)),0)),0),BR33)</f>
        <v>600</v>
      </c>
      <c r="BS47" s="1650" t="n">
        <f aca="false">IF(WeekDef=8,IF(CustomHoFlag,IF(CustomHoPeriod=4,INDEX(IF(DiffOptVolumeFlag,DiffOptVolumeHourlyOver,VolumeHourlyOver),N5,4),IF(OR(CustomHoPeriod=1,CustomHoPeriod=2),IF(VolumeMonthlyOverFlag,INDEX(IF(DiffOptVolumeFlag,DiffOptVolumeMonthlyOver,VolumeMonthlyOver),BJ47),IF(DiffOptVolumeFlag,DiffOptVolume,Volume)),0)),0),BS33)</f>
        <v>600</v>
      </c>
      <c r="BT47" s="1650" t="n">
        <f aca="false">IF(WeekDef=8,IF(CustomHoFlag,IF(CustomHoPeriod=4,INDEX(IF(DiffOptVolumeFlag,DiffOptVolumeHourlyOver,VolumeHourlyOver),O5,4),IF(OR(CustomHoPeriod=1,CustomHoPeriod=2),IF(VolumeMonthlyOverFlag,INDEX(IF(DiffOptVolumeFlag,DiffOptVolumeMonthlyOver,VolumeMonthlyOver),BJ47),IF(DiffOptVolumeFlag,DiffOptVolume,Volume)),0)),0),BT33)</f>
        <v>600</v>
      </c>
      <c r="BU47" s="1650" t="n">
        <f aca="false">IF(WeekDef=8,IF(CustomHoFlag,IF(CustomHoPeriod=4,INDEX(IF(DiffOptVolumeFlag,DiffOptVolumeHourlyOver,VolumeHourlyOver),P5,4),IF(OR(CustomHoPeriod=1,CustomHoPeriod=2),IF(VolumeMonthlyOverFlag,INDEX(IF(DiffOptVolumeFlag,DiffOptVolumeMonthlyOver,VolumeMonthlyOver),BJ47),IF(DiffOptVolumeFlag,DiffOptVolume,Volume)),0)),0),BU33)</f>
        <v>600</v>
      </c>
      <c r="BV47" s="1650" t="n">
        <f aca="false">IF(WeekDef=8,IF(CustomHoFlag,IF(CustomHoPeriod=4,INDEX(IF(DiffOptVolumeFlag,DiffOptVolumeHourlyOver,VolumeHourlyOver),Q5,4),IF(OR(CustomHoPeriod=1,CustomHoPeriod=2),IF(VolumeMonthlyOverFlag,INDEX(IF(DiffOptVolumeFlag,DiffOptVolumeMonthlyOver,VolumeMonthlyOver),BJ47),IF(DiffOptVolumeFlag,DiffOptVolume,Volume)),0)),0),BV33)</f>
        <v>600</v>
      </c>
      <c r="BW47" s="1650" t="n">
        <f aca="false">IF(WeekDef=8,IF(CustomHoFlag,IF(CustomHoPeriod=4,INDEX(IF(DiffOptVolumeFlag,DiffOptVolumeHourlyOver,VolumeHourlyOver),R5,4),IF(OR(CustomHoPeriod=1,CustomHoPeriod=2),IF(VolumeMonthlyOverFlag,INDEX(IF(DiffOptVolumeFlag,DiffOptVolumeMonthlyOver,VolumeMonthlyOver),BJ47),IF(DiffOptVolumeFlag,DiffOptVolume,Volume)),0)),0),BW33)</f>
        <v>600</v>
      </c>
      <c r="BX47" s="1650" t="n">
        <f aca="false">IF(WeekDef=8,IF(CustomHoFlag,IF(CustomHoPeriod=4,INDEX(IF(DiffOptVolumeFlag,DiffOptVolumeHourlyOver,VolumeHourlyOver),S5,4),IF(OR(CustomHoPeriod=1,CustomHoPeriod=2),IF(VolumeMonthlyOverFlag,INDEX(IF(DiffOptVolumeFlag,DiffOptVolumeMonthlyOver,VolumeMonthlyOver),BJ47),IF(DiffOptVolumeFlag,DiffOptVolume,Volume)),0)),0),BX33)</f>
        <v>600</v>
      </c>
      <c r="BY47" s="1650" t="n">
        <f aca="false">IF(WeekDef=8,IF(CustomHoFlag,IF(CustomHoPeriod=4,INDEX(IF(DiffOptVolumeFlag,DiffOptVolumeHourlyOver,VolumeHourlyOver),T5,4),IF(OR(CustomHoPeriod=1,CustomHoPeriod=2),IF(VolumeMonthlyOverFlag,INDEX(IF(DiffOptVolumeFlag,DiffOptVolumeMonthlyOver,VolumeMonthlyOver),BJ47),IF(DiffOptVolumeFlag,DiffOptVolume,Volume)),0)),0),BY33)</f>
        <v>600</v>
      </c>
      <c r="BZ47" s="1651" t="n">
        <f aca="false">IF(WeekDef=8,IF(CustomHoFlag,IF(CustomHoPeriod=4,INDEX(IF(DiffOptVolumeFlag,DiffOptVolumeHourlyOver,VolumeHourlyOver),U5,4),IF(OR(CustomHoPeriod=1,CustomHoPeriod=2),IF(VolumeMonthlyOverFlag,INDEX(IF(DiffOptVolumeFlag,DiffOptVolumeMonthlyOver,VolumeMonthlyOver),BJ47),IF(DiffOptVolumeFlag,DiffOptVolume,Volume)),0)),0),BZ33)</f>
        <v>600</v>
      </c>
      <c r="CA47" s="1650" t="n">
        <f aca="false">IF(WeekDef=8,IF(CustomHoFlag,IF(CustomHoPeriod=4,INDEX(IF(DiffOptVolumeFlag,DiffOptVolumeHourlyOver,VolumeHourlyOver),V5,4),IF(OR(CustomHoPeriod=1,CustomHoPeriod=3),IF(VolumeMonthlyOverFlag,INDEX(IF(DiffOptVolumeFlag,DiffOptVolumeMonthlyOver,VolumeMonthlyOver),BJ47),IF(DiffOptVolumeFlag,DiffOptVolume,Volume)),0)),0),CA33)</f>
        <v>600</v>
      </c>
      <c r="CB47" s="1650" t="n">
        <f aca="false">IF(WeekDef=8,IF(CustomHoFlag,IF(CustomHoPeriod=4,INDEX(IF(DiffOptVolumeFlag,DiffOptVolumeHourlyOver,VolumeHourlyOver),W5,4),IF(OR(CustomHoPeriod=1,CustomHoPeriod=3),IF(VolumeMonthlyOverFlag,INDEX(IF(DiffOptVolumeFlag,DiffOptVolumeMonthlyOver,VolumeMonthlyOver),BJ47),IF(DiffOptVolumeFlag,DiffOptVolume,Volume)),0)),0),CB33)</f>
        <v>600</v>
      </c>
      <c r="CC47" s="1650" t="n">
        <f aca="false">IF(WeekDef=8,IF(CustomHoFlag,IF(CustomHoPeriod=4,INDEX(IF(DiffOptVolumeFlag,DiffOptVolumeHourlyOver,VolumeHourlyOver),X5,4),IF(OR(CustomHoPeriod=1,CustomHoPeriod=3),IF(VolumeMonthlyOverFlag,INDEX(IF(DiffOptVolumeFlag,DiffOptVolumeMonthlyOver,VolumeMonthlyOver),BJ47),IF(DiffOptVolumeFlag,DiffOptVolume,Volume)),0)),0),CC33)</f>
        <v>600</v>
      </c>
      <c r="CD47" s="1650" t="n">
        <f aca="false">IF(WeekDef=8,IF(CustomHoFlag,IF(CustomHoPeriod=4,INDEX(IF(DiffOptVolumeFlag,DiffOptVolumeHourlyOver,VolumeHourlyOver),Y5,4),IF(OR(CustomHoPeriod=1,CustomHoPeriod=3),IF(VolumeMonthlyOverFlag,INDEX(IF(DiffOptVolumeFlag,DiffOptVolumeMonthlyOver,VolumeMonthlyOver),BJ47),IF(DiffOptVolumeFlag,DiffOptVolume,Volume)),0)),0),CD33)</f>
        <v>600</v>
      </c>
      <c r="CE47" s="1650" t="n">
        <f aca="false">IF(WeekDef=8,IF(CustomHoFlag,IF(CustomHoPeriod=4,INDEX(IF(DiffOptVolumeFlag,DiffOptVolumeHourlyOver,VolumeHourlyOver),Z5,4),IF(OR(CustomHoPeriod=1,CustomHoPeriod=3),IF(VolumeMonthlyOverFlag,INDEX(IF(DiffOptVolumeFlag,DiffOptVolumeMonthlyOver,VolumeMonthlyOver),BJ47),IF(DiffOptVolumeFlag,DiffOptVolume,Volume)),0)),0),CE33)</f>
        <v>600</v>
      </c>
      <c r="CF47" s="1650" t="n">
        <f aca="false">IF(WeekDef=8,IF(CustomHoFlag,IF(CustomHoPeriod=4,INDEX(IF(DiffOptVolumeFlag,DiffOptVolumeHourlyOver,VolumeHourlyOver),AA5,4),IF(OR(CustomHoPeriod=1,CustomHoPeriod=3),IF(VolumeMonthlyOverFlag,INDEX(IF(DiffOptVolumeFlag,DiffOptVolumeMonthlyOver,VolumeMonthlyOver),BJ47),IF(DiffOptVolumeFlag,DiffOptVolume,Volume)),0)),0),CF33)</f>
        <v>600</v>
      </c>
      <c r="CG47" s="1650" t="n">
        <f aca="false">IF(WeekDef=8,IF(CustomHoFlag,IF(CustomHoPeriod=4,INDEX(IF(DiffOptVolumeFlag,DiffOptVolumeHourlyOver,VolumeHourlyOver),AB5,4),IF(OR(CustomHoPeriod=1,CustomHoPeriod=3),IF(VolumeMonthlyOverFlag,INDEX(IF(DiffOptVolumeFlag,DiffOptVolumeMonthlyOver,VolumeMonthlyOver),BJ47),IF(DiffOptVolumeFlag,DiffOptVolume,Volume)),0)),0),CG33)</f>
        <v>600</v>
      </c>
      <c r="CH47" s="1651" t="n">
        <f aca="false">IF(WeekDef=8,IF(CustomHoFlag,IF(CustomHoPeriod=4,INDEX(IF(DiffOptVolumeFlag,DiffOptVolumeHourlyOver,VolumeHourlyOver),AC5,4),IF(OR(CustomHoPeriod=1,CustomHoPeriod=3),IF(VolumeMonthlyOverFlag,INDEX(IF(DiffOptVolumeFlag,DiffOptVolumeMonthlyOver,VolumeMonthlyOver),BJ47),IF(DiffOptVolumeFlag,DiffOptVolume,Volume)),0)),0),CH33)</f>
        <v>600</v>
      </c>
      <c r="CI47" s="1652" t="n">
        <f aca="false">SUM(BK47:BZ47)</f>
        <v>9600</v>
      </c>
      <c r="CJ47" s="1653" t="n">
        <f aca="false">SUM(CA47:CH47)</f>
        <v>4800</v>
      </c>
      <c r="CK47" s="1654" t="n">
        <f aca="false">CI47+CJ47</f>
        <v>14400</v>
      </c>
      <c r="CL47" s="1674" t="n">
        <f aca="false">IF(CI47,SUMPRODUCT(BK47:BZ47,F21:U21)/CI47,0)</f>
        <v>0.99999999627471</v>
      </c>
      <c r="CM47" s="1675" t="n">
        <f aca="false">IF(CJ47,SUMPRODUCT(CA47:CH47,V21:AC21)/CJ47,0)</f>
        <v>0.999999992549419</v>
      </c>
    </row>
    <row r="48" customFormat="false" ht="13.5" hidden="false" customHeight="false" outlineLevel="0" collapsed="false">
      <c r="A48" s="1697" t="n">
        <v>12</v>
      </c>
      <c r="B48" s="1698" t="n">
        <f aca="false">IF(A48=MONTH(CurveDate+31),EOMONTH(CurveDate+31,0),EOMONTH(CurveDate+31,MOD(A48-MONTH(CurveDate+31),12)-1)+1)</f>
        <v>36861</v>
      </c>
      <c r="C48" s="1699" t="n">
        <f aca="false">VLOOKUP(B48,PriceTable,3,0)+IF(BasisNumber&lt;&gt;1,VLOOKUP(B48,BasisTable,2,0),0)</f>
        <v>35.375</v>
      </c>
      <c r="D48" s="1699" t="n">
        <f aca="false">VLOOKUP(B48,PriceTable,7,0)+IF(BasisNumber&lt;&gt;1,VLOOKUP(B48,BasisTable,3,0),0)</f>
        <v>24.0604838709677</v>
      </c>
      <c r="E48" s="1662" t="n">
        <v>12</v>
      </c>
      <c r="F48" s="1700" t="n">
        <f aca="false">C48*F32</f>
        <v>41.1039725393057</v>
      </c>
      <c r="G48" s="1701" t="n">
        <f aca="false">C48*G32</f>
        <v>40.1762515455484</v>
      </c>
      <c r="H48" s="1701" t="n">
        <f aca="false">C48*H32</f>
        <v>38.3457954525948</v>
      </c>
      <c r="I48" s="1701" t="n">
        <f aca="false">C48*I32</f>
        <v>38.201109200716</v>
      </c>
      <c r="J48" s="1701" t="n">
        <f aca="false">C48*J32</f>
        <v>36.8095277100802</v>
      </c>
      <c r="K48" s="1701" t="n">
        <f aca="false">C48*K32</f>
        <v>36.6449328660965</v>
      </c>
      <c r="L48" s="1701" t="n">
        <f aca="false">C48*L32</f>
        <v>36.4354477524757</v>
      </c>
      <c r="M48" s="1701" t="n">
        <f aca="false">C48*M32</f>
        <v>36.3987806886435</v>
      </c>
      <c r="N48" s="1701" t="n">
        <f aca="false">C48*N32</f>
        <v>34.7787437811494</v>
      </c>
      <c r="O48" s="1701" t="n">
        <f aca="false">C48*O32</f>
        <v>34.6593786776066</v>
      </c>
      <c r="P48" s="1701" t="n">
        <f aca="false">C48*P32</f>
        <v>33.1435403302312</v>
      </c>
      <c r="Q48" s="1701" t="n">
        <f aca="false">C48*Q32</f>
        <v>32.8215744122863</v>
      </c>
      <c r="R48" s="1701" t="n">
        <f aca="false">C48*R32</f>
        <v>32.3953783065081</v>
      </c>
      <c r="S48" s="1701" t="n">
        <f aca="false">C48*S32</f>
        <v>32.1034566089511</v>
      </c>
      <c r="T48" s="1701" t="n">
        <f aca="false">C48*T32</f>
        <v>31.6621804088354</v>
      </c>
      <c r="U48" s="1702" t="n">
        <f aca="false">C48*U32</f>
        <v>30.3199297189713</v>
      </c>
      <c r="V48" s="1701" t="n">
        <f aca="false">D48*V32</f>
        <v>28.3614540335632</v>
      </c>
      <c r="W48" s="1701" t="n">
        <f aca="false">D48*W32</f>
        <v>26.8766385494701</v>
      </c>
      <c r="X48" s="1701" t="n">
        <f aca="false">D48*X32</f>
        <v>24.9880676158974</v>
      </c>
      <c r="Y48" s="1701" t="n">
        <f aca="false">D48*Y32</f>
        <v>23.0592367271743</v>
      </c>
      <c r="Z48" s="1701" t="n">
        <f aca="false">D48*Z32</f>
        <v>22.9593705840169</v>
      </c>
      <c r="AA48" s="1701" t="n">
        <f aca="false">D48*AA32</f>
        <v>22.1676679522761</v>
      </c>
      <c r="AB48" s="1701" t="n">
        <f aca="false">D48*AB32</f>
        <v>22.0972944168795</v>
      </c>
      <c r="AC48" s="1702" t="n">
        <f aca="false">D48*AC32</f>
        <v>21.9741410884646</v>
      </c>
      <c r="AE48" s="1636" t="n">
        <v>2</v>
      </c>
      <c r="AF48" s="1646" t="n">
        <f aca="false">IF(WeekDef=8,IF(CustomHoFlag,IF(CustomHoPeriod=4,INDEX(VolumeHourlyOver,F6,4),IF(OR(CustomHoPeriod=1,CustomHoPeriod=2),IF(VolumeMonthlyOverFlag,INDEX(VolumeMonthlyOver,AE48),Volume),0)),0),AF34)</f>
        <v>150</v>
      </c>
      <c r="AG48" s="1647" t="n">
        <f aca="false">IF(WeekDef=8,IF(CustomHoFlag,IF(CustomHoPeriod=4,INDEX(VolumeHourlyOver,G6,4),IF(OR(CustomHoPeriod=1,CustomHoPeriod=2),IF(VolumeMonthlyOverFlag,INDEX(VolumeMonthlyOver,AE48),Volume),0)),0),AG34)</f>
        <v>150</v>
      </c>
      <c r="AH48" s="1647" t="n">
        <f aca="false">IF(WeekDef=8,IF(CustomHoFlag,IF(CustomHoPeriod=4,INDEX(VolumeHourlyOver,H6,4),IF(OR(CustomHoPeriod=1,CustomHoPeriod=2),IF(VolumeMonthlyOverFlag,INDEX(VolumeMonthlyOver,AE48),Volume),0)),0),AH34)</f>
        <v>150</v>
      </c>
      <c r="AI48" s="1647" t="n">
        <f aca="false">IF(WeekDef=8,IF(CustomHoFlag,IF(CustomHoPeriod=4,INDEX(VolumeHourlyOver,I6,4),IF(OR(CustomHoPeriod=1,CustomHoPeriod=2),IF(VolumeMonthlyOverFlag,INDEX(VolumeMonthlyOver,AE48),Volume),0)),0),AI34)</f>
        <v>150</v>
      </c>
      <c r="AJ48" s="1647" t="n">
        <f aca="false">IF(WeekDef=8,IF(CustomHoFlag,IF(CustomHoPeriod=4,INDEX(VolumeHourlyOver,J6,4),IF(OR(CustomHoPeriod=1,CustomHoPeriod=2),IF(VolumeMonthlyOverFlag,INDEX(VolumeMonthlyOver,AE48),Volume),0)),0),AJ34)</f>
        <v>150</v>
      </c>
      <c r="AK48" s="1647" t="n">
        <f aca="false">IF(WeekDef=8,IF(CustomHoFlag,IF(CustomHoPeriod=4,INDEX(VolumeHourlyOver,K6,4),IF(OR(CustomHoPeriod=1,CustomHoPeriod=2),IF(VolumeMonthlyOverFlag,INDEX(VolumeMonthlyOver,AE48),Volume),0)),0),AK34)</f>
        <v>150</v>
      </c>
      <c r="AL48" s="1647" t="n">
        <f aca="false">IF(WeekDef=8,IF(CustomHoFlag,IF(CustomHoPeriod=4,INDEX(VolumeHourlyOver,L6,4),IF(OR(CustomHoPeriod=1,CustomHoPeriod=2),IF(VolumeMonthlyOverFlag,INDEX(VolumeMonthlyOver,AE48),Volume),0)),0),AL34)</f>
        <v>150</v>
      </c>
      <c r="AM48" s="1647" t="n">
        <f aca="false">IF(WeekDef=8,IF(CustomHoFlag,IF(CustomHoPeriod=4,INDEX(VolumeHourlyOver,M6,4),IF(OR(CustomHoPeriod=1,CustomHoPeriod=2),IF(VolumeMonthlyOverFlag,INDEX(VolumeMonthlyOver,AE48),Volume),0)),0),AM34)</f>
        <v>150</v>
      </c>
      <c r="AN48" s="1647" t="n">
        <f aca="false">IF(WeekDef=8,IF(CustomHoFlag,IF(CustomHoPeriod=4,INDEX(VolumeHourlyOver,N6,4),IF(OR(CustomHoPeriod=1,CustomHoPeriod=2),IF(VolumeMonthlyOverFlag,INDEX(VolumeMonthlyOver,AE48),Volume),0)),0),AN34)</f>
        <v>150</v>
      </c>
      <c r="AO48" s="1647" t="n">
        <f aca="false">IF(WeekDef=8,IF(CustomHoFlag,IF(CustomHoPeriod=4,INDEX(VolumeHourlyOver,O6,4),IF(OR(CustomHoPeriod=1,CustomHoPeriod=2),IF(VolumeMonthlyOverFlag,INDEX(VolumeMonthlyOver,AE48),Volume),0)),0),AO34)</f>
        <v>150</v>
      </c>
      <c r="AP48" s="1647" t="n">
        <f aca="false">IF(WeekDef=8,IF(CustomHoFlag,IF(CustomHoPeriod=4,INDEX(VolumeHourlyOver,P6,4),IF(OR(CustomHoPeriod=1,CustomHoPeriod=2),IF(VolumeMonthlyOverFlag,INDEX(VolumeMonthlyOver,AE48),Volume),0)),0),AP34)</f>
        <v>150</v>
      </c>
      <c r="AQ48" s="1647" t="n">
        <f aca="false">IF(WeekDef=8,IF(CustomHoFlag,IF(CustomHoPeriod=4,INDEX(VolumeHourlyOver,Q6,4),IF(OR(CustomHoPeriod=1,CustomHoPeriod=2),IF(VolumeMonthlyOverFlag,INDEX(VolumeMonthlyOver,AE48),Volume),0)),0),AQ34)</f>
        <v>150</v>
      </c>
      <c r="AR48" s="1647" t="n">
        <f aca="false">IF(WeekDef=8,IF(CustomHoFlag,IF(CustomHoPeriod=4,INDEX(VolumeHourlyOver,R6,4),IF(OR(CustomHoPeriod=1,CustomHoPeriod=2),IF(VolumeMonthlyOverFlag,INDEX(VolumeMonthlyOver,AE48),Volume),0)),0),AR34)</f>
        <v>150</v>
      </c>
      <c r="AS48" s="1647" t="n">
        <f aca="false">IF(WeekDef=8,IF(CustomHoFlag,IF(CustomHoPeriod=4,INDEX(VolumeHourlyOver,S6,4),IF(OR(CustomHoPeriod=1,CustomHoPeriod=2),IF(VolumeMonthlyOverFlag,INDEX(VolumeMonthlyOver,AE48),Volume),0)),0),AS34)</f>
        <v>150</v>
      </c>
      <c r="AT48" s="1647" t="n">
        <f aca="false">IF(WeekDef=8,IF(CustomHoFlag,IF(CustomHoPeriod=4,INDEX(VolumeHourlyOver,T6,4),IF(OR(CustomHoPeriod=1,CustomHoPeriod=2),IF(VolumeMonthlyOverFlag,INDEX(VolumeMonthlyOver,AE48),Volume),0)),0),AT34)</f>
        <v>150</v>
      </c>
      <c r="AU48" s="1648" t="n">
        <f aca="false">IF(WeekDef=8,IF(CustomHoFlag,IF(CustomHoPeriod=4,INDEX(VolumeHourlyOver,U6,4),IF(OR(CustomHoPeriod=1,CustomHoPeriod=2),IF(VolumeMonthlyOverFlag,INDEX(VolumeMonthlyOver,AE48),Volume),0)),0),AU34)</f>
        <v>150</v>
      </c>
      <c r="AV48" s="1647" t="n">
        <f aca="false">IF(WeekDef=8,IF(CustomHoFlag,IF(CustomHoPeriod=4,INDEX(VolumeHourlyOver,V6,4),IF(OR(CustomHoPeriod=1,CustomHoPeriod=3),IF(VolumeMonthlyOverFlag,INDEX(VolumeMonthlyOver,AE48),Volume),0)),0),AV34)</f>
        <v>150</v>
      </c>
      <c r="AW48" s="1647" t="n">
        <f aca="false">IF(WeekDef=8,IF(CustomHoFlag,IF(CustomHoPeriod=4,INDEX(VolumeHourlyOver,W6,4),IF(OR(CustomHoPeriod=1,CustomHoPeriod=3),IF(VolumeMonthlyOverFlag,INDEX(VolumeMonthlyOver,AE48),Volume),0)),0),AW34)</f>
        <v>150</v>
      </c>
      <c r="AX48" s="1647" t="n">
        <f aca="false">IF(WeekDef=8,IF(CustomHoFlag,IF(CustomHoPeriod=4,INDEX(VolumeHourlyOver,X6,4),IF(OR(CustomHoPeriod=1,CustomHoPeriod=3),IF(VolumeMonthlyOverFlag,INDEX(VolumeMonthlyOver,AE48),Volume),0)),0),AX34)</f>
        <v>150</v>
      </c>
      <c r="AY48" s="1647" t="n">
        <f aca="false">IF(WeekDef=8,IF(CustomHoFlag,IF(CustomHoPeriod=4,INDEX(VolumeHourlyOver,Y6,4),IF(OR(CustomHoPeriod=1,CustomHoPeriod=3),IF(VolumeMonthlyOverFlag,INDEX(VolumeMonthlyOver,AE48),Volume),0)),0),AY34)</f>
        <v>150</v>
      </c>
      <c r="AZ48" s="1647" t="n">
        <f aca="false">IF(WeekDef=8,IF(CustomHoFlag,IF(CustomHoPeriod=4,INDEX(VolumeHourlyOver,Z6,4),IF(OR(CustomHoPeriod=1,CustomHoPeriod=3),IF(VolumeMonthlyOverFlag,INDEX(VolumeMonthlyOver,AE48),Volume),0)),0),AZ34)</f>
        <v>150</v>
      </c>
      <c r="BA48" s="1647" t="n">
        <f aca="false">IF(WeekDef=8,IF(CustomHoFlag,IF(CustomHoPeriod=4,INDEX(VolumeHourlyOver,AA6,4),IF(OR(CustomHoPeriod=1,CustomHoPeriod=3),IF(VolumeMonthlyOverFlag,INDEX(VolumeMonthlyOver,AE48),Volume),0)),0),BA34)</f>
        <v>150</v>
      </c>
      <c r="BB48" s="1647" t="n">
        <f aca="false">IF(WeekDef=8,IF(CustomHoFlag,IF(CustomHoPeriod=4,INDEX(VolumeHourlyOver,AB6,4),IF(OR(CustomHoPeriod=1,CustomHoPeriod=3),IF(VolumeMonthlyOverFlag,INDEX(VolumeMonthlyOver,AE48),Volume),0)),0),BB34)</f>
        <v>150</v>
      </c>
      <c r="BC48" s="1648" t="n">
        <f aca="false">IF(WeekDef=8,IF(CustomHoFlag,IF(CustomHoPeriod=4,INDEX(VolumeHourlyOver,AC6,4),IF(OR(CustomHoPeriod=1,CustomHoPeriod=3),IF(VolumeMonthlyOverFlag,INDEX(VolumeMonthlyOver,AE48),Volume),0)),0),BC34)</f>
        <v>150</v>
      </c>
      <c r="BD48" s="1652" t="n">
        <f aca="false">SUM(AF48:AU48)</f>
        <v>2400</v>
      </c>
      <c r="BE48" s="1653" t="n">
        <f aca="false">SUM(AV48:BC48)</f>
        <v>1200</v>
      </c>
      <c r="BF48" s="1654" t="n">
        <f aca="false">BD48+BE48</f>
        <v>3600</v>
      </c>
      <c r="BG48" s="1674" t="n">
        <f aca="false">IF(BD48,SUMPRODUCT(AF48:AU48,F22:U22)/BD48,0)</f>
        <v>1</v>
      </c>
      <c r="BH48" s="1655" t="n">
        <f aca="false">IF(BE48,SUMPRODUCT(AV48:BC48,V22:AC22)/BE48,0)</f>
        <v>0.999999992549419</v>
      </c>
      <c r="BJ48" s="1636" t="n">
        <v>2</v>
      </c>
      <c r="BK48" s="1646" t="n">
        <f aca="false">IF(WeekDef=8,IF(CustomHoFlag,IF(CustomHoPeriod=4,INDEX(IF(DiffOptVolumeFlag,DiffOptVolumeHourlyOver,VolumeHourlyOver),F6,4),IF(OR(CustomHoPeriod=1,CustomHoPeriod=2),IF(VolumeMonthlyOverFlag,INDEX(IF(DiffOptVolumeFlag,DiffOptVolumeMonthlyOver,VolumeMonthlyOver),BJ48),IF(DiffOptVolumeFlag,DiffOptVolume,Volume)),0)),0),BK34)</f>
        <v>600</v>
      </c>
      <c r="BL48" s="1647" t="n">
        <f aca="false">IF(WeekDef=8,IF(CustomHoFlag,IF(CustomHoPeriod=4,INDEX(IF(DiffOptVolumeFlag,DiffOptVolumeHourlyOver,VolumeHourlyOver),G6,4),IF(OR(CustomHoPeriod=1,CustomHoPeriod=2),IF(VolumeMonthlyOverFlag,INDEX(IF(DiffOptVolumeFlag,DiffOptVolumeMonthlyOver,VolumeMonthlyOver),BJ48),IF(DiffOptVolumeFlag,DiffOptVolume,Volume)),0)),0),BL34)</f>
        <v>600</v>
      </c>
      <c r="BM48" s="1647" t="n">
        <f aca="false">IF(WeekDef=8,IF(CustomHoFlag,IF(CustomHoPeriod=4,INDEX(IF(DiffOptVolumeFlag,DiffOptVolumeHourlyOver,VolumeHourlyOver),H6,4),IF(OR(CustomHoPeriod=1,CustomHoPeriod=2),IF(VolumeMonthlyOverFlag,INDEX(IF(DiffOptVolumeFlag,DiffOptVolumeMonthlyOver,VolumeMonthlyOver),BJ48),IF(DiffOptVolumeFlag,DiffOptVolume,Volume)),0)),0),BM34)</f>
        <v>600</v>
      </c>
      <c r="BN48" s="1647" t="n">
        <f aca="false">IF(WeekDef=8,IF(CustomHoFlag,IF(CustomHoPeriod=4,INDEX(IF(DiffOptVolumeFlag,DiffOptVolumeHourlyOver,VolumeHourlyOver),I6,4),IF(OR(CustomHoPeriod=1,CustomHoPeriod=2),IF(VolumeMonthlyOverFlag,INDEX(IF(DiffOptVolumeFlag,DiffOptVolumeMonthlyOver,VolumeMonthlyOver),BJ48),IF(DiffOptVolumeFlag,DiffOptVolume,Volume)),0)),0),BN34)</f>
        <v>600</v>
      </c>
      <c r="BO48" s="1647" t="n">
        <f aca="false">IF(WeekDef=8,IF(CustomHoFlag,IF(CustomHoPeriod=4,INDEX(IF(DiffOptVolumeFlag,DiffOptVolumeHourlyOver,VolumeHourlyOver),J6,4),IF(OR(CustomHoPeriod=1,CustomHoPeriod=2),IF(VolumeMonthlyOverFlag,INDEX(IF(DiffOptVolumeFlag,DiffOptVolumeMonthlyOver,VolumeMonthlyOver),BJ48),IF(DiffOptVolumeFlag,DiffOptVolume,Volume)),0)),0),BO34)</f>
        <v>600</v>
      </c>
      <c r="BP48" s="1647" t="n">
        <f aca="false">IF(WeekDef=8,IF(CustomHoFlag,IF(CustomHoPeriod=4,INDEX(IF(DiffOptVolumeFlag,DiffOptVolumeHourlyOver,VolumeHourlyOver),K6,4),IF(OR(CustomHoPeriod=1,CustomHoPeriod=2),IF(VolumeMonthlyOverFlag,INDEX(IF(DiffOptVolumeFlag,DiffOptVolumeMonthlyOver,VolumeMonthlyOver),BJ48),IF(DiffOptVolumeFlag,DiffOptVolume,Volume)),0)),0),BP34)</f>
        <v>600</v>
      </c>
      <c r="BQ48" s="1647" t="n">
        <f aca="false">IF(WeekDef=8,IF(CustomHoFlag,IF(CustomHoPeriod=4,INDEX(IF(DiffOptVolumeFlag,DiffOptVolumeHourlyOver,VolumeHourlyOver),L6,4),IF(OR(CustomHoPeriod=1,CustomHoPeriod=2),IF(VolumeMonthlyOverFlag,INDEX(IF(DiffOptVolumeFlag,DiffOptVolumeMonthlyOver,VolumeMonthlyOver),BJ48),IF(DiffOptVolumeFlag,DiffOptVolume,Volume)),0)),0),BQ34)</f>
        <v>600</v>
      </c>
      <c r="BR48" s="1647" t="n">
        <f aca="false">IF(WeekDef=8,IF(CustomHoFlag,IF(CustomHoPeriod=4,INDEX(IF(DiffOptVolumeFlag,DiffOptVolumeHourlyOver,VolumeHourlyOver),M6,4),IF(OR(CustomHoPeriod=1,CustomHoPeriod=2),IF(VolumeMonthlyOverFlag,INDEX(IF(DiffOptVolumeFlag,DiffOptVolumeMonthlyOver,VolumeMonthlyOver),BJ48),IF(DiffOptVolumeFlag,DiffOptVolume,Volume)),0)),0),BR34)</f>
        <v>600</v>
      </c>
      <c r="BS48" s="1647" t="n">
        <f aca="false">IF(WeekDef=8,IF(CustomHoFlag,IF(CustomHoPeriod=4,INDEX(IF(DiffOptVolumeFlag,DiffOptVolumeHourlyOver,VolumeHourlyOver),N6,4),IF(OR(CustomHoPeriod=1,CustomHoPeriod=2),IF(VolumeMonthlyOverFlag,INDEX(IF(DiffOptVolumeFlag,DiffOptVolumeMonthlyOver,VolumeMonthlyOver),BJ48),IF(DiffOptVolumeFlag,DiffOptVolume,Volume)),0)),0),BS34)</f>
        <v>600</v>
      </c>
      <c r="BT48" s="1647" t="n">
        <f aca="false">IF(WeekDef=8,IF(CustomHoFlag,IF(CustomHoPeriod=4,INDEX(IF(DiffOptVolumeFlag,DiffOptVolumeHourlyOver,VolumeHourlyOver),O6,4),IF(OR(CustomHoPeriod=1,CustomHoPeriod=2),IF(VolumeMonthlyOverFlag,INDEX(IF(DiffOptVolumeFlag,DiffOptVolumeMonthlyOver,VolumeMonthlyOver),BJ48),IF(DiffOptVolumeFlag,DiffOptVolume,Volume)),0)),0),BT34)</f>
        <v>600</v>
      </c>
      <c r="BU48" s="1647" t="n">
        <f aca="false">IF(WeekDef=8,IF(CustomHoFlag,IF(CustomHoPeriod=4,INDEX(IF(DiffOptVolumeFlag,DiffOptVolumeHourlyOver,VolumeHourlyOver),P6,4),IF(OR(CustomHoPeriod=1,CustomHoPeriod=2),IF(VolumeMonthlyOverFlag,INDEX(IF(DiffOptVolumeFlag,DiffOptVolumeMonthlyOver,VolumeMonthlyOver),BJ48),IF(DiffOptVolumeFlag,DiffOptVolume,Volume)),0)),0),BU34)</f>
        <v>600</v>
      </c>
      <c r="BV48" s="1647" t="n">
        <f aca="false">IF(WeekDef=8,IF(CustomHoFlag,IF(CustomHoPeriod=4,INDEX(IF(DiffOptVolumeFlag,DiffOptVolumeHourlyOver,VolumeHourlyOver),Q6,4),IF(OR(CustomHoPeriod=1,CustomHoPeriod=2),IF(VolumeMonthlyOverFlag,INDEX(IF(DiffOptVolumeFlag,DiffOptVolumeMonthlyOver,VolumeMonthlyOver),BJ48),IF(DiffOptVolumeFlag,DiffOptVolume,Volume)),0)),0),BV34)</f>
        <v>600</v>
      </c>
      <c r="BW48" s="1647" t="n">
        <f aca="false">IF(WeekDef=8,IF(CustomHoFlag,IF(CustomHoPeriod=4,INDEX(IF(DiffOptVolumeFlag,DiffOptVolumeHourlyOver,VolumeHourlyOver),R6,4),IF(OR(CustomHoPeriod=1,CustomHoPeriod=2),IF(VolumeMonthlyOverFlag,INDEX(IF(DiffOptVolumeFlag,DiffOptVolumeMonthlyOver,VolumeMonthlyOver),BJ48),IF(DiffOptVolumeFlag,DiffOptVolume,Volume)),0)),0),BW34)</f>
        <v>600</v>
      </c>
      <c r="BX48" s="1647" t="n">
        <f aca="false">IF(WeekDef=8,IF(CustomHoFlag,IF(CustomHoPeriod=4,INDEX(IF(DiffOptVolumeFlag,DiffOptVolumeHourlyOver,VolumeHourlyOver),S6,4),IF(OR(CustomHoPeriod=1,CustomHoPeriod=2),IF(VolumeMonthlyOverFlag,INDEX(IF(DiffOptVolumeFlag,DiffOptVolumeMonthlyOver,VolumeMonthlyOver),BJ48),IF(DiffOptVolumeFlag,DiffOptVolume,Volume)),0)),0),BX34)</f>
        <v>600</v>
      </c>
      <c r="BY48" s="1647" t="n">
        <f aca="false">IF(WeekDef=8,IF(CustomHoFlag,IF(CustomHoPeriod=4,INDEX(IF(DiffOptVolumeFlag,DiffOptVolumeHourlyOver,VolumeHourlyOver),T6,4),IF(OR(CustomHoPeriod=1,CustomHoPeriod=2),IF(VolumeMonthlyOverFlag,INDEX(IF(DiffOptVolumeFlag,DiffOptVolumeMonthlyOver,VolumeMonthlyOver),BJ48),IF(DiffOptVolumeFlag,DiffOptVolume,Volume)),0)),0),BY34)</f>
        <v>600</v>
      </c>
      <c r="BZ48" s="1648" t="n">
        <f aca="false">IF(WeekDef=8,IF(CustomHoFlag,IF(CustomHoPeriod=4,INDEX(IF(DiffOptVolumeFlag,DiffOptVolumeHourlyOver,VolumeHourlyOver),U6,4),IF(OR(CustomHoPeriod=1,CustomHoPeriod=2),IF(VolumeMonthlyOverFlag,INDEX(IF(DiffOptVolumeFlag,DiffOptVolumeMonthlyOver,VolumeMonthlyOver),BJ48),IF(DiffOptVolumeFlag,DiffOptVolume,Volume)),0)),0),BZ34)</f>
        <v>600</v>
      </c>
      <c r="CA48" s="1647" t="n">
        <f aca="false">IF(WeekDef=8,IF(CustomHoFlag,IF(CustomHoPeriod=4,INDEX(IF(DiffOptVolumeFlag,DiffOptVolumeHourlyOver,VolumeHourlyOver),V6,4),IF(OR(CustomHoPeriod=1,CustomHoPeriod=3),IF(VolumeMonthlyOverFlag,INDEX(IF(DiffOptVolumeFlag,DiffOptVolumeMonthlyOver,VolumeMonthlyOver),BJ48),IF(DiffOptVolumeFlag,DiffOptVolume,Volume)),0)),0),CA34)</f>
        <v>600</v>
      </c>
      <c r="CB48" s="1647" t="n">
        <f aca="false">IF(WeekDef=8,IF(CustomHoFlag,IF(CustomHoPeriod=4,INDEX(IF(DiffOptVolumeFlag,DiffOptVolumeHourlyOver,VolumeHourlyOver),W6,4),IF(OR(CustomHoPeriod=1,CustomHoPeriod=3),IF(VolumeMonthlyOverFlag,INDEX(IF(DiffOptVolumeFlag,DiffOptVolumeMonthlyOver,VolumeMonthlyOver),BJ48),IF(DiffOptVolumeFlag,DiffOptVolume,Volume)),0)),0),CB34)</f>
        <v>600</v>
      </c>
      <c r="CC48" s="1647" t="n">
        <f aca="false">IF(WeekDef=8,IF(CustomHoFlag,IF(CustomHoPeriod=4,INDEX(IF(DiffOptVolumeFlag,DiffOptVolumeHourlyOver,VolumeHourlyOver),X6,4),IF(OR(CustomHoPeriod=1,CustomHoPeriod=3),IF(VolumeMonthlyOverFlag,INDEX(IF(DiffOptVolumeFlag,DiffOptVolumeMonthlyOver,VolumeMonthlyOver),BJ48),IF(DiffOptVolumeFlag,DiffOptVolume,Volume)),0)),0),CC34)</f>
        <v>600</v>
      </c>
      <c r="CD48" s="1647" t="n">
        <f aca="false">IF(WeekDef=8,IF(CustomHoFlag,IF(CustomHoPeriod=4,INDEX(IF(DiffOptVolumeFlag,DiffOptVolumeHourlyOver,VolumeHourlyOver),Y6,4),IF(OR(CustomHoPeriod=1,CustomHoPeriod=3),IF(VolumeMonthlyOverFlag,INDEX(IF(DiffOptVolumeFlag,DiffOptVolumeMonthlyOver,VolumeMonthlyOver),BJ48),IF(DiffOptVolumeFlag,DiffOptVolume,Volume)),0)),0),CD34)</f>
        <v>600</v>
      </c>
      <c r="CE48" s="1647" t="n">
        <f aca="false">IF(WeekDef=8,IF(CustomHoFlag,IF(CustomHoPeriod=4,INDEX(IF(DiffOptVolumeFlag,DiffOptVolumeHourlyOver,VolumeHourlyOver),Z6,4),IF(OR(CustomHoPeriod=1,CustomHoPeriod=3),IF(VolumeMonthlyOverFlag,INDEX(IF(DiffOptVolumeFlag,DiffOptVolumeMonthlyOver,VolumeMonthlyOver),BJ48),IF(DiffOptVolumeFlag,DiffOptVolume,Volume)),0)),0),CE34)</f>
        <v>600</v>
      </c>
      <c r="CF48" s="1647" t="n">
        <f aca="false">IF(WeekDef=8,IF(CustomHoFlag,IF(CustomHoPeriod=4,INDEX(IF(DiffOptVolumeFlag,DiffOptVolumeHourlyOver,VolumeHourlyOver),AA6,4),IF(OR(CustomHoPeriod=1,CustomHoPeriod=3),IF(VolumeMonthlyOverFlag,INDEX(IF(DiffOptVolumeFlag,DiffOptVolumeMonthlyOver,VolumeMonthlyOver),BJ48),IF(DiffOptVolumeFlag,DiffOptVolume,Volume)),0)),0),CF34)</f>
        <v>600</v>
      </c>
      <c r="CG48" s="1647" t="n">
        <f aca="false">IF(WeekDef=8,IF(CustomHoFlag,IF(CustomHoPeriod=4,INDEX(IF(DiffOptVolumeFlag,DiffOptVolumeHourlyOver,VolumeHourlyOver),AB6,4),IF(OR(CustomHoPeriod=1,CustomHoPeriod=3),IF(VolumeMonthlyOverFlag,INDEX(IF(DiffOptVolumeFlag,DiffOptVolumeMonthlyOver,VolumeMonthlyOver),BJ48),IF(DiffOptVolumeFlag,DiffOptVolume,Volume)),0)),0),CG34)</f>
        <v>600</v>
      </c>
      <c r="CH48" s="1648" t="n">
        <f aca="false">IF(WeekDef=8,IF(CustomHoFlag,IF(CustomHoPeriod=4,INDEX(IF(DiffOptVolumeFlag,DiffOptVolumeHourlyOver,VolumeHourlyOver),AC6,4),IF(OR(CustomHoPeriod=1,CustomHoPeriod=3),IF(VolumeMonthlyOverFlag,INDEX(IF(DiffOptVolumeFlag,DiffOptVolumeMonthlyOver,VolumeMonthlyOver),BJ48),IF(DiffOptVolumeFlag,DiffOptVolume,Volume)),0)),0),CH34)</f>
        <v>600</v>
      </c>
      <c r="CI48" s="1652" t="n">
        <f aca="false">SUM(BK48:BZ48)</f>
        <v>9600</v>
      </c>
      <c r="CJ48" s="1653" t="n">
        <f aca="false">SUM(CA48:CH48)</f>
        <v>4800</v>
      </c>
      <c r="CK48" s="1654" t="n">
        <f aca="false">CI48+CJ48</f>
        <v>14400</v>
      </c>
      <c r="CL48" s="1674" t="n">
        <f aca="false">IF(CI48,SUMPRODUCT(BK48:BZ48,F22:U22)/CI48,0)</f>
        <v>1</v>
      </c>
      <c r="CM48" s="1655" t="n">
        <f aca="false">IF(CJ48,SUMPRODUCT(CA48:CH48,V22:AC22)/CJ48,0)</f>
        <v>0.999999992549419</v>
      </c>
    </row>
    <row r="49" customFormat="false" ht="13.5" hidden="false" customHeight="false" outlineLevel="0" collapsed="false">
      <c r="Z49" s="0"/>
      <c r="AE49" s="1636" t="n">
        <v>3</v>
      </c>
      <c r="AF49" s="1646" t="n">
        <f aca="false">IF(WeekDef=8,IF(CustomHoFlag,IF(CustomHoPeriod=4,INDEX(VolumeHourlyOver,F7,4),IF(OR(CustomHoPeriod=1,CustomHoPeriod=2),IF(VolumeMonthlyOverFlag,INDEX(VolumeMonthlyOver,AE49),Volume),0)),0),AF35)</f>
        <v>150</v>
      </c>
      <c r="AG49" s="1647" t="n">
        <f aca="false">IF(WeekDef=8,IF(CustomHoFlag,IF(CustomHoPeriod=4,INDEX(VolumeHourlyOver,G7,4),IF(OR(CustomHoPeriod=1,CustomHoPeriod=2),IF(VolumeMonthlyOverFlag,INDEX(VolumeMonthlyOver,AE49),Volume),0)),0),AG35)</f>
        <v>150</v>
      </c>
      <c r="AH49" s="1647" t="n">
        <f aca="false">IF(WeekDef=8,IF(CustomHoFlag,IF(CustomHoPeriod=4,INDEX(VolumeHourlyOver,H7,4),IF(OR(CustomHoPeriod=1,CustomHoPeriod=2),IF(VolumeMonthlyOverFlag,INDEX(VolumeMonthlyOver,AE49),Volume),0)),0),AH35)</f>
        <v>150</v>
      </c>
      <c r="AI49" s="1647" t="n">
        <f aca="false">IF(WeekDef=8,IF(CustomHoFlag,IF(CustomHoPeriod=4,INDEX(VolumeHourlyOver,I7,4),IF(OR(CustomHoPeriod=1,CustomHoPeriod=2),IF(VolumeMonthlyOverFlag,INDEX(VolumeMonthlyOver,AE49),Volume),0)),0),AI35)</f>
        <v>150</v>
      </c>
      <c r="AJ49" s="1647" t="n">
        <f aca="false">IF(WeekDef=8,IF(CustomHoFlag,IF(CustomHoPeriod=4,INDEX(VolumeHourlyOver,J7,4),IF(OR(CustomHoPeriod=1,CustomHoPeriod=2),IF(VolumeMonthlyOverFlag,INDEX(VolumeMonthlyOver,AE49),Volume),0)),0),AJ35)</f>
        <v>150</v>
      </c>
      <c r="AK49" s="1647" t="n">
        <f aca="false">IF(WeekDef=8,IF(CustomHoFlag,IF(CustomHoPeriod=4,INDEX(VolumeHourlyOver,K7,4),IF(OR(CustomHoPeriod=1,CustomHoPeriod=2),IF(VolumeMonthlyOverFlag,INDEX(VolumeMonthlyOver,AE49),Volume),0)),0),AK35)</f>
        <v>150</v>
      </c>
      <c r="AL49" s="1647" t="n">
        <f aca="false">IF(WeekDef=8,IF(CustomHoFlag,IF(CustomHoPeriod=4,INDEX(VolumeHourlyOver,L7,4),IF(OR(CustomHoPeriod=1,CustomHoPeriod=2),IF(VolumeMonthlyOverFlag,INDEX(VolumeMonthlyOver,AE49),Volume),0)),0),AL35)</f>
        <v>150</v>
      </c>
      <c r="AM49" s="1647" t="n">
        <f aca="false">IF(WeekDef=8,IF(CustomHoFlag,IF(CustomHoPeriod=4,INDEX(VolumeHourlyOver,M7,4),IF(OR(CustomHoPeriod=1,CustomHoPeriod=2),IF(VolumeMonthlyOverFlag,INDEX(VolumeMonthlyOver,AE49),Volume),0)),0),AM35)</f>
        <v>150</v>
      </c>
      <c r="AN49" s="1647" t="n">
        <f aca="false">IF(WeekDef=8,IF(CustomHoFlag,IF(CustomHoPeriod=4,INDEX(VolumeHourlyOver,N7,4),IF(OR(CustomHoPeriod=1,CustomHoPeriod=2),IF(VolumeMonthlyOverFlag,INDEX(VolumeMonthlyOver,AE49),Volume),0)),0),AN35)</f>
        <v>150</v>
      </c>
      <c r="AO49" s="1647" t="n">
        <f aca="false">IF(WeekDef=8,IF(CustomHoFlag,IF(CustomHoPeriod=4,INDEX(VolumeHourlyOver,O7,4),IF(OR(CustomHoPeriod=1,CustomHoPeriod=2),IF(VolumeMonthlyOverFlag,INDEX(VolumeMonthlyOver,AE49),Volume),0)),0),AO35)</f>
        <v>150</v>
      </c>
      <c r="AP49" s="1647" t="n">
        <f aca="false">IF(WeekDef=8,IF(CustomHoFlag,IF(CustomHoPeriod=4,INDEX(VolumeHourlyOver,P7,4),IF(OR(CustomHoPeriod=1,CustomHoPeriod=2),IF(VolumeMonthlyOverFlag,INDEX(VolumeMonthlyOver,AE49),Volume),0)),0),AP35)</f>
        <v>150</v>
      </c>
      <c r="AQ49" s="1647" t="n">
        <f aca="false">IF(WeekDef=8,IF(CustomHoFlag,IF(CustomHoPeriod=4,INDEX(VolumeHourlyOver,Q7,4),IF(OR(CustomHoPeriod=1,CustomHoPeriod=2),IF(VolumeMonthlyOverFlag,INDEX(VolumeMonthlyOver,AE49),Volume),0)),0),AQ35)</f>
        <v>150</v>
      </c>
      <c r="AR49" s="1647" t="n">
        <f aca="false">IF(WeekDef=8,IF(CustomHoFlag,IF(CustomHoPeriod=4,INDEX(VolumeHourlyOver,R7,4),IF(OR(CustomHoPeriod=1,CustomHoPeriod=2),IF(VolumeMonthlyOverFlag,INDEX(VolumeMonthlyOver,AE49),Volume),0)),0),AR35)</f>
        <v>150</v>
      </c>
      <c r="AS49" s="1647" t="n">
        <f aca="false">IF(WeekDef=8,IF(CustomHoFlag,IF(CustomHoPeriod=4,INDEX(VolumeHourlyOver,S7,4),IF(OR(CustomHoPeriod=1,CustomHoPeriod=2),IF(VolumeMonthlyOverFlag,INDEX(VolumeMonthlyOver,AE49),Volume),0)),0),AS35)</f>
        <v>150</v>
      </c>
      <c r="AT49" s="1647" t="n">
        <f aca="false">IF(WeekDef=8,IF(CustomHoFlag,IF(CustomHoPeriod=4,INDEX(VolumeHourlyOver,T7,4),IF(OR(CustomHoPeriod=1,CustomHoPeriod=2),IF(VolumeMonthlyOverFlag,INDEX(VolumeMonthlyOver,AE49),Volume),0)),0),AT35)</f>
        <v>150</v>
      </c>
      <c r="AU49" s="1648" t="n">
        <f aca="false">IF(WeekDef=8,IF(CustomHoFlag,IF(CustomHoPeriod=4,INDEX(VolumeHourlyOver,U7,4),IF(OR(CustomHoPeriod=1,CustomHoPeriod=2),IF(VolumeMonthlyOverFlag,INDEX(VolumeMonthlyOver,AE49),Volume),0)),0),AU35)</f>
        <v>150</v>
      </c>
      <c r="AV49" s="1647" t="n">
        <f aca="false">IF(WeekDef=8,IF(CustomHoFlag,IF(CustomHoPeriod=4,INDEX(VolumeHourlyOver,V7,4),IF(OR(CustomHoPeriod=1,CustomHoPeriod=3),IF(VolumeMonthlyOverFlag,INDEX(VolumeMonthlyOver,AE49),Volume),0)),0),AV35)</f>
        <v>150</v>
      </c>
      <c r="AW49" s="1647" t="n">
        <f aca="false">IF(WeekDef=8,IF(CustomHoFlag,IF(CustomHoPeriod=4,INDEX(VolumeHourlyOver,W7,4),IF(OR(CustomHoPeriod=1,CustomHoPeriod=3),IF(VolumeMonthlyOverFlag,INDEX(VolumeMonthlyOver,AE49),Volume),0)),0),AW35)</f>
        <v>150</v>
      </c>
      <c r="AX49" s="1647" t="n">
        <f aca="false">IF(WeekDef=8,IF(CustomHoFlag,IF(CustomHoPeriod=4,INDEX(VolumeHourlyOver,X7,4),IF(OR(CustomHoPeriod=1,CustomHoPeriod=3),IF(VolumeMonthlyOverFlag,INDEX(VolumeMonthlyOver,AE49),Volume),0)),0),AX35)</f>
        <v>150</v>
      </c>
      <c r="AY49" s="1647" t="n">
        <f aca="false">IF(WeekDef=8,IF(CustomHoFlag,IF(CustomHoPeriod=4,INDEX(VolumeHourlyOver,Y7,4),IF(OR(CustomHoPeriod=1,CustomHoPeriod=3),IF(VolumeMonthlyOverFlag,INDEX(VolumeMonthlyOver,AE49),Volume),0)),0),AY35)</f>
        <v>150</v>
      </c>
      <c r="AZ49" s="1647" t="n">
        <f aca="false">IF(WeekDef=8,IF(CustomHoFlag,IF(CustomHoPeriod=4,INDEX(VolumeHourlyOver,Z7,4),IF(OR(CustomHoPeriod=1,CustomHoPeriod=3),IF(VolumeMonthlyOverFlag,INDEX(VolumeMonthlyOver,AE49),Volume),0)),0),AZ35)</f>
        <v>150</v>
      </c>
      <c r="BA49" s="1647" t="n">
        <f aca="false">IF(WeekDef=8,IF(CustomHoFlag,IF(CustomHoPeriod=4,INDEX(VolumeHourlyOver,AA7,4),IF(OR(CustomHoPeriod=1,CustomHoPeriod=3),IF(VolumeMonthlyOverFlag,INDEX(VolumeMonthlyOver,AE49),Volume),0)),0),BA35)</f>
        <v>150</v>
      </c>
      <c r="BB49" s="1647" t="n">
        <f aca="false">IF(WeekDef=8,IF(CustomHoFlag,IF(CustomHoPeriod=4,INDEX(VolumeHourlyOver,AB7,4),IF(OR(CustomHoPeriod=1,CustomHoPeriod=3),IF(VolumeMonthlyOverFlag,INDEX(VolumeMonthlyOver,AE49),Volume),0)),0),BB35)</f>
        <v>150</v>
      </c>
      <c r="BC49" s="1648" t="n">
        <f aca="false">IF(WeekDef=8,IF(CustomHoFlag,IF(CustomHoPeriod=4,INDEX(VolumeHourlyOver,AC7,4),IF(OR(CustomHoPeriod=1,CustomHoPeriod=3),IF(VolumeMonthlyOverFlag,INDEX(VolumeMonthlyOver,AE49),Volume),0)),0),BC35)</f>
        <v>150</v>
      </c>
      <c r="BD49" s="1652" t="n">
        <f aca="false">SUM(AF49:AU49)</f>
        <v>2400</v>
      </c>
      <c r="BE49" s="1653" t="n">
        <f aca="false">SUM(AV49:BC49)</f>
        <v>1200</v>
      </c>
      <c r="BF49" s="1654" t="n">
        <f aca="false">BD49+BE49</f>
        <v>3600</v>
      </c>
      <c r="BG49" s="1674" t="n">
        <f aca="false">IF(BD49,SUMPRODUCT(AF49:AU49,F23:U23)/BD49,0)</f>
        <v>0.99999999627471</v>
      </c>
      <c r="BH49" s="1655" t="n">
        <f aca="false">IF(BE49,SUMPRODUCT(AV49:BC49,V23:AC23)/BE49,0)</f>
        <v>1.00000000745058</v>
      </c>
      <c r="BJ49" s="1636" t="n">
        <v>3</v>
      </c>
      <c r="BK49" s="1646" t="n">
        <f aca="false">IF(WeekDef=8,IF(CustomHoFlag,IF(CustomHoPeriod=4,INDEX(IF(DiffOptVolumeFlag,DiffOptVolumeHourlyOver,VolumeHourlyOver),F7,4),IF(OR(CustomHoPeriod=1,CustomHoPeriod=2),IF(VolumeMonthlyOverFlag,INDEX(IF(DiffOptVolumeFlag,DiffOptVolumeMonthlyOver,VolumeMonthlyOver),BJ49),IF(DiffOptVolumeFlag,DiffOptVolume,Volume)),0)),0),BK35)</f>
        <v>600</v>
      </c>
      <c r="BL49" s="1647" t="n">
        <f aca="false">IF(WeekDef=8,IF(CustomHoFlag,IF(CustomHoPeriod=4,INDEX(IF(DiffOptVolumeFlag,DiffOptVolumeHourlyOver,VolumeHourlyOver),G7,4),IF(OR(CustomHoPeriod=1,CustomHoPeriod=2),IF(VolumeMonthlyOverFlag,INDEX(IF(DiffOptVolumeFlag,DiffOptVolumeMonthlyOver,VolumeMonthlyOver),BJ49),IF(DiffOptVolumeFlag,DiffOptVolume,Volume)),0)),0),BL35)</f>
        <v>600</v>
      </c>
      <c r="BM49" s="1647" t="n">
        <f aca="false">IF(WeekDef=8,IF(CustomHoFlag,IF(CustomHoPeriod=4,INDEX(IF(DiffOptVolumeFlag,DiffOptVolumeHourlyOver,VolumeHourlyOver),H7,4),IF(OR(CustomHoPeriod=1,CustomHoPeriod=2),IF(VolumeMonthlyOverFlag,INDEX(IF(DiffOptVolumeFlag,DiffOptVolumeMonthlyOver,VolumeMonthlyOver),BJ49),IF(DiffOptVolumeFlag,DiffOptVolume,Volume)),0)),0),BM35)</f>
        <v>600</v>
      </c>
      <c r="BN49" s="1647" t="n">
        <f aca="false">IF(WeekDef=8,IF(CustomHoFlag,IF(CustomHoPeriod=4,INDEX(IF(DiffOptVolumeFlag,DiffOptVolumeHourlyOver,VolumeHourlyOver),I7,4),IF(OR(CustomHoPeriod=1,CustomHoPeriod=2),IF(VolumeMonthlyOverFlag,INDEX(IF(DiffOptVolumeFlag,DiffOptVolumeMonthlyOver,VolumeMonthlyOver),BJ49),IF(DiffOptVolumeFlag,DiffOptVolume,Volume)),0)),0),BN35)</f>
        <v>600</v>
      </c>
      <c r="BO49" s="1647" t="n">
        <f aca="false">IF(WeekDef=8,IF(CustomHoFlag,IF(CustomHoPeriod=4,INDEX(IF(DiffOptVolumeFlag,DiffOptVolumeHourlyOver,VolumeHourlyOver),J7,4),IF(OR(CustomHoPeriod=1,CustomHoPeriod=2),IF(VolumeMonthlyOverFlag,INDEX(IF(DiffOptVolumeFlag,DiffOptVolumeMonthlyOver,VolumeMonthlyOver),BJ49),IF(DiffOptVolumeFlag,DiffOptVolume,Volume)),0)),0),BO35)</f>
        <v>600</v>
      </c>
      <c r="BP49" s="1647" t="n">
        <f aca="false">IF(WeekDef=8,IF(CustomHoFlag,IF(CustomHoPeriod=4,INDEX(IF(DiffOptVolumeFlag,DiffOptVolumeHourlyOver,VolumeHourlyOver),K7,4),IF(OR(CustomHoPeriod=1,CustomHoPeriod=2),IF(VolumeMonthlyOverFlag,INDEX(IF(DiffOptVolumeFlag,DiffOptVolumeMonthlyOver,VolumeMonthlyOver),BJ49),IF(DiffOptVolumeFlag,DiffOptVolume,Volume)),0)),0),BP35)</f>
        <v>600</v>
      </c>
      <c r="BQ49" s="1647" t="n">
        <f aca="false">IF(WeekDef=8,IF(CustomHoFlag,IF(CustomHoPeriod=4,INDEX(IF(DiffOptVolumeFlag,DiffOptVolumeHourlyOver,VolumeHourlyOver),L7,4),IF(OR(CustomHoPeriod=1,CustomHoPeriod=2),IF(VolumeMonthlyOverFlag,INDEX(IF(DiffOptVolumeFlag,DiffOptVolumeMonthlyOver,VolumeMonthlyOver),BJ49),IF(DiffOptVolumeFlag,DiffOptVolume,Volume)),0)),0),BQ35)</f>
        <v>600</v>
      </c>
      <c r="BR49" s="1647" t="n">
        <f aca="false">IF(WeekDef=8,IF(CustomHoFlag,IF(CustomHoPeriod=4,INDEX(IF(DiffOptVolumeFlag,DiffOptVolumeHourlyOver,VolumeHourlyOver),M7,4),IF(OR(CustomHoPeriod=1,CustomHoPeriod=2),IF(VolumeMonthlyOverFlag,INDEX(IF(DiffOptVolumeFlag,DiffOptVolumeMonthlyOver,VolumeMonthlyOver),BJ49),IF(DiffOptVolumeFlag,DiffOptVolume,Volume)),0)),0),BR35)</f>
        <v>600</v>
      </c>
      <c r="BS49" s="1647" t="n">
        <f aca="false">IF(WeekDef=8,IF(CustomHoFlag,IF(CustomHoPeriod=4,INDEX(IF(DiffOptVolumeFlag,DiffOptVolumeHourlyOver,VolumeHourlyOver),N7,4),IF(OR(CustomHoPeriod=1,CustomHoPeriod=2),IF(VolumeMonthlyOverFlag,INDEX(IF(DiffOptVolumeFlag,DiffOptVolumeMonthlyOver,VolumeMonthlyOver),BJ49),IF(DiffOptVolumeFlag,DiffOptVolume,Volume)),0)),0),BS35)</f>
        <v>600</v>
      </c>
      <c r="BT49" s="1647" t="n">
        <f aca="false">IF(WeekDef=8,IF(CustomHoFlag,IF(CustomHoPeriod=4,INDEX(IF(DiffOptVolumeFlag,DiffOptVolumeHourlyOver,VolumeHourlyOver),O7,4),IF(OR(CustomHoPeriod=1,CustomHoPeriod=2),IF(VolumeMonthlyOverFlag,INDEX(IF(DiffOptVolumeFlag,DiffOptVolumeMonthlyOver,VolumeMonthlyOver),BJ49),IF(DiffOptVolumeFlag,DiffOptVolume,Volume)),0)),0),BT35)</f>
        <v>600</v>
      </c>
      <c r="BU49" s="1647" t="n">
        <f aca="false">IF(WeekDef=8,IF(CustomHoFlag,IF(CustomHoPeriod=4,INDEX(IF(DiffOptVolumeFlag,DiffOptVolumeHourlyOver,VolumeHourlyOver),P7,4),IF(OR(CustomHoPeriod=1,CustomHoPeriod=2),IF(VolumeMonthlyOverFlag,INDEX(IF(DiffOptVolumeFlag,DiffOptVolumeMonthlyOver,VolumeMonthlyOver),BJ49),IF(DiffOptVolumeFlag,DiffOptVolume,Volume)),0)),0),BU35)</f>
        <v>600</v>
      </c>
      <c r="BV49" s="1647" t="n">
        <f aca="false">IF(WeekDef=8,IF(CustomHoFlag,IF(CustomHoPeriod=4,INDEX(IF(DiffOptVolumeFlag,DiffOptVolumeHourlyOver,VolumeHourlyOver),Q7,4),IF(OR(CustomHoPeriod=1,CustomHoPeriod=2),IF(VolumeMonthlyOverFlag,INDEX(IF(DiffOptVolumeFlag,DiffOptVolumeMonthlyOver,VolumeMonthlyOver),BJ49),IF(DiffOptVolumeFlag,DiffOptVolume,Volume)),0)),0),BV35)</f>
        <v>600</v>
      </c>
      <c r="BW49" s="1647" t="n">
        <f aca="false">IF(WeekDef=8,IF(CustomHoFlag,IF(CustomHoPeriod=4,INDEX(IF(DiffOptVolumeFlag,DiffOptVolumeHourlyOver,VolumeHourlyOver),R7,4),IF(OR(CustomHoPeriod=1,CustomHoPeriod=2),IF(VolumeMonthlyOverFlag,INDEX(IF(DiffOptVolumeFlag,DiffOptVolumeMonthlyOver,VolumeMonthlyOver),BJ49),IF(DiffOptVolumeFlag,DiffOptVolume,Volume)),0)),0),BW35)</f>
        <v>600</v>
      </c>
      <c r="BX49" s="1647" t="n">
        <f aca="false">IF(WeekDef=8,IF(CustomHoFlag,IF(CustomHoPeriod=4,INDEX(IF(DiffOptVolumeFlag,DiffOptVolumeHourlyOver,VolumeHourlyOver),S7,4),IF(OR(CustomHoPeriod=1,CustomHoPeriod=2),IF(VolumeMonthlyOverFlag,INDEX(IF(DiffOptVolumeFlag,DiffOptVolumeMonthlyOver,VolumeMonthlyOver),BJ49),IF(DiffOptVolumeFlag,DiffOptVolume,Volume)),0)),0),BX35)</f>
        <v>600</v>
      </c>
      <c r="BY49" s="1647" t="n">
        <f aca="false">IF(WeekDef=8,IF(CustomHoFlag,IF(CustomHoPeriod=4,INDEX(IF(DiffOptVolumeFlag,DiffOptVolumeHourlyOver,VolumeHourlyOver),T7,4),IF(OR(CustomHoPeriod=1,CustomHoPeriod=2),IF(VolumeMonthlyOverFlag,INDEX(IF(DiffOptVolumeFlag,DiffOptVolumeMonthlyOver,VolumeMonthlyOver),BJ49),IF(DiffOptVolumeFlag,DiffOptVolume,Volume)),0)),0),BY35)</f>
        <v>600</v>
      </c>
      <c r="BZ49" s="1648" t="n">
        <f aca="false">IF(WeekDef=8,IF(CustomHoFlag,IF(CustomHoPeriod=4,INDEX(IF(DiffOptVolumeFlag,DiffOptVolumeHourlyOver,VolumeHourlyOver),U7,4),IF(OR(CustomHoPeriod=1,CustomHoPeriod=2),IF(VolumeMonthlyOverFlag,INDEX(IF(DiffOptVolumeFlag,DiffOptVolumeMonthlyOver,VolumeMonthlyOver),BJ49),IF(DiffOptVolumeFlag,DiffOptVolume,Volume)),0)),0),BZ35)</f>
        <v>600</v>
      </c>
      <c r="CA49" s="1647" t="n">
        <f aca="false">IF(WeekDef=8,IF(CustomHoFlag,IF(CustomHoPeriod=4,INDEX(IF(DiffOptVolumeFlag,DiffOptVolumeHourlyOver,VolumeHourlyOver),V7,4),IF(OR(CustomHoPeriod=1,CustomHoPeriod=3),IF(VolumeMonthlyOverFlag,INDEX(IF(DiffOptVolumeFlag,DiffOptVolumeMonthlyOver,VolumeMonthlyOver),BJ49),IF(DiffOptVolumeFlag,DiffOptVolume,Volume)),0)),0),CA35)</f>
        <v>600</v>
      </c>
      <c r="CB49" s="1647" t="n">
        <f aca="false">IF(WeekDef=8,IF(CustomHoFlag,IF(CustomHoPeriod=4,INDEX(IF(DiffOptVolumeFlag,DiffOptVolumeHourlyOver,VolumeHourlyOver),W7,4),IF(OR(CustomHoPeriod=1,CustomHoPeriod=3),IF(VolumeMonthlyOverFlag,INDEX(IF(DiffOptVolumeFlag,DiffOptVolumeMonthlyOver,VolumeMonthlyOver),BJ49),IF(DiffOptVolumeFlag,DiffOptVolume,Volume)),0)),0),CB35)</f>
        <v>600</v>
      </c>
      <c r="CC49" s="1647" t="n">
        <f aca="false">IF(WeekDef=8,IF(CustomHoFlag,IF(CustomHoPeriod=4,INDEX(IF(DiffOptVolumeFlag,DiffOptVolumeHourlyOver,VolumeHourlyOver),X7,4),IF(OR(CustomHoPeriod=1,CustomHoPeriod=3),IF(VolumeMonthlyOverFlag,INDEX(IF(DiffOptVolumeFlag,DiffOptVolumeMonthlyOver,VolumeMonthlyOver),BJ49),IF(DiffOptVolumeFlag,DiffOptVolume,Volume)),0)),0),CC35)</f>
        <v>600</v>
      </c>
      <c r="CD49" s="1647" t="n">
        <f aca="false">IF(WeekDef=8,IF(CustomHoFlag,IF(CustomHoPeriod=4,INDEX(IF(DiffOptVolumeFlag,DiffOptVolumeHourlyOver,VolumeHourlyOver),Y7,4),IF(OR(CustomHoPeriod=1,CustomHoPeriod=3),IF(VolumeMonthlyOverFlag,INDEX(IF(DiffOptVolumeFlag,DiffOptVolumeMonthlyOver,VolumeMonthlyOver),BJ49),IF(DiffOptVolumeFlag,DiffOptVolume,Volume)),0)),0),CD35)</f>
        <v>600</v>
      </c>
      <c r="CE49" s="1647" t="n">
        <f aca="false">IF(WeekDef=8,IF(CustomHoFlag,IF(CustomHoPeriod=4,INDEX(IF(DiffOptVolumeFlag,DiffOptVolumeHourlyOver,VolumeHourlyOver),Z7,4),IF(OR(CustomHoPeriod=1,CustomHoPeriod=3),IF(VolumeMonthlyOverFlag,INDEX(IF(DiffOptVolumeFlag,DiffOptVolumeMonthlyOver,VolumeMonthlyOver),BJ49),IF(DiffOptVolumeFlag,DiffOptVolume,Volume)),0)),0),CE35)</f>
        <v>600</v>
      </c>
      <c r="CF49" s="1647" t="n">
        <f aca="false">IF(WeekDef=8,IF(CustomHoFlag,IF(CustomHoPeriod=4,INDEX(IF(DiffOptVolumeFlag,DiffOptVolumeHourlyOver,VolumeHourlyOver),AA7,4),IF(OR(CustomHoPeriod=1,CustomHoPeriod=3),IF(VolumeMonthlyOverFlag,INDEX(IF(DiffOptVolumeFlag,DiffOptVolumeMonthlyOver,VolumeMonthlyOver),BJ49),IF(DiffOptVolumeFlag,DiffOptVolume,Volume)),0)),0),CF35)</f>
        <v>600</v>
      </c>
      <c r="CG49" s="1647" t="n">
        <f aca="false">IF(WeekDef=8,IF(CustomHoFlag,IF(CustomHoPeriod=4,INDEX(IF(DiffOptVolumeFlag,DiffOptVolumeHourlyOver,VolumeHourlyOver),AB7,4),IF(OR(CustomHoPeriod=1,CustomHoPeriod=3),IF(VolumeMonthlyOverFlag,INDEX(IF(DiffOptVolumeFlag,DiffOptVolumeMonthlyOver,VolumeMonthlyOver),BJ49),IF(DiffOptVolumeFlag,DiffOptVolume,Volume)),0)),0),CG35)</f>
        <v>600</v>
      </c>
      <c r="CH49" s="1648" t="n">
        <f aca="false">IF(WeekDef=8,IF(CustomHoFlag,IF(CustomHoPeriod=4,INDEX(IF(DiffOptVolumeFlag,DiffOptVolumeHourlyOver,VolumeHourlyOver),AC7,4),IF(OR(CustomHoPeriod=1,CustomHoPeriod=3),IF(VolumeMonthlyOverFlag,INDEX(IF(DiffOptVolumeFlag,DiffOptVolumeMonthlyOver,VolumeMonthlyOver),BJ49),IF(DiffOptVolumeFlag,DiffOptVolume,Volume)),0)),0),CH35)</f>
        <v>600</v>
      </c>
      <c r="CI49" s="1652" t="n">
        <f aca="false">SUM(BK49:BZ49)</f>
        <v>9600</v>
      </c>
      <c r="CJ49" s="1653" t="n">
        <f aca="false">SUM(CA49:CH49)</f>
        <v>4800</v>
      </c>
      <c r="CK49" s="1654" t="n">
        <f aca="false">CI49+CJ49</f>
        <v>14400</v>
      </c>
      <c r="CL49" s="1674" t="n">
        <f aca="false">IF(CI49,SUMPRODUCT(BK49:BZ49,F23:U23)/CI49,0)</f>
        <v>0.99999999627471</v>
      </c>
      <c r="CM49" s="1655" t="n">
        <f aca="false">IF(CJ49,SUMPRODUCT(CA49:CH49,V23:AC23)/CJ49,0)</f>
        <v>1.00000000745058</v>
      </c>
    </row>
    <row r="50" customFormat="false" ht="18.75" hidden="false" customHeight="false" outlineLevel="0" collapsed="false">
      <c r="A50" s="1621"/>
      <c r="B50" s="1621"/>
      <c r="C50" s="1621"/>
      <c r="D50" s="0"/>
      <c r="E50" s="1620" t="s">
        <v>1271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1620"/>
      <c r="AB50" s="1620"/>
      <c r="AC50" s="1620"/>
      <c r="AE50" s="1636" t="n">
        <v>4</v>
      </c>
      <c r="AF50" s="1646" t="n">
        <f aca="false">IF(WeekDef=8,IF(CustomHoFlag,IF(CustomHoPeriod=4,INDEX(VolumeHourlyOver,F8,4),IF(OR(CustomHoPeriod=1,CustomHoPeriod=2),IF(VolumeMonthlyOverFlag,INDEX(VolumeMonthlyOver,AE50),Volume),0)),0),AF36)</f>
        <v>150</v>
      </c>
      <c r="AG50" s="1647" t="n">
        <f aca="false">IF(WeekDef=8,IF(CustomHoFlag,IF(CustomHoPeriod=4,INDEX(VolumeHourlyOver,G8,4),IF(OR(CustomHoPeriod=1,CustomHoPeriod=2),IF(VolumeMonthlyOverFlag,INDEX(VolumeMonthlyOver,AE50),Volume),0)),0),AG36)</f>
        <v>150</v>
      </c>
      <c r="AH50" s="1647" t="n">
        <f aca="false">IF(WeekDef=8,IF(CustomHoFlag,IF(CustomHoPeriod=4,INDEX(VolumeHourlyOver,H8,4),IF(OR(CustomHoPeriod=1,CustomHoPeriod=2),IF(VolumeMonthlyOverFlag,INDEX(VolumeMonthlyOver,AE50),Volume),0)),0),AH36)</f>
        <v>150</v>
      </c>
      <c r="AI50" s="1647" t="n">
        <f aca="false">IF(WeekDef=8,IF(CustomHoFlag,IF(CustomHoPeriod=4,INDEX(VolumeHourlyOver,I8,4),IF(OR(CustomHoPeriod=1,CustomHoPeriod=2),IF(VolumeMonthlyOverFlag,INDEX(VolumeMonthlyOver,AE50),Volume),0)),0),AI36)</f>
        <v>150</v>
      </c>
      <c r="AJ50" s="1647" t="n">
        <f aca="false">IF(WeekDef=8,IF(CustomHoFlag,IF(CustomHoPeriod=4,INDEX(VolumeHourlyOver,J8,4),IF(OR(CustomHoPeriod=1,CustomHoPeriod=2),IF(VolumeMonthlyOverFlag,INDEX(VolumeMonthlyOver,AE50),Volume),0)),0),AJ36)</f>
        <v>150</v>
      </c>
      <c r="AK50" s="1647" t="n">
        <f aca="false">IF(WeekDef=8,IF(CustomHoFlag,IF(CustomHoPeriod=4,INDEX(VolumeHourlyOver,K8,4),IF(OR(CustomHoPeriod=1,CustomHoPeriod=2),IF(VolumeMonthlyOverFlag,INDEX(VolumeMonthlyOver,AE50),Volume),0)),0),AK36)</f>
        <v>150</v>
      </c>
      <c r="AL50" s="1647" t="n">
        <f aca="false">IF(WeekDef=8,IF(CustomHoFlag,IF(CustomHoPeriod=4,INDEX(VolumeHourlyOver,L8,4),IF(OR(CustomHoPeriod=1,CustomHoPeriod=2),IF(VolumeMonthlyOverFlag,INDEX(VolumeMonthlyOver,AE50),Volume),0)),0),AL36)</f>
        <v>150</v>
      </c>
      <c r="AM50" s="1647" t="n">
        <f aca="false">IF(WeekDef=8,IF(CustomHoFlag,IF(CustomHoPeriod=4,INDEX(VolumeHourlyOver,M8,4),IF(OR(CustomHoPeriod=1,CustomHoPeriod=2),IF(VolumeMonthlyOverFlag,INDEX(VolumeMonthlyOver,AE50),Volume),0)),0),AM36)</f>
        <v>150</v>
      </c>
      <c r="AN50" s="1647" t="n">
        <f aca="false">IF(WeekDef=8,IF(CustomHoFlag,IF(CustomHoPeriod=4,INDEX(VolumeHourlyOver,N8,4),IF(OR(CustomHoPeriod=1,CustomHoPeriod=2),IF(VolumeMonthlyOverFlag,INDEX(VolumeMonthlyOver,AE50),Volume),0)),0),AN36)</f>
        <v>150</v>
      </c>
      <c r="AO50" s="1647" t="n">
        <f aca="false">IF(WeekDef=8,IF(CustomHoFlag,IF(CustomHoPeriod=4,INDEX(VolumeHourlyOver,O8,4),IF(OR(CustomHoPeriod=1,CustomHoPeriod=2),IF(VolumeMonthlyOverFlag,INDEX(VolumeMonthlyOver,AE50),Volume),0)),0),AO36)</f>
        <v>150</v>
      </c>
      <c r="AP50" s="1647" t="n">
        <f aca="false">IF(WeekDef=8,IF(CustomHoFlag,IF(CustomHoPeriod=4,INDEX(VolumeHourlyOver,P8,4),IF(OR(CustomHoPeriod=1,CustomHoPeriod=2),IF(VolumeMonthlyOverFlag,INDEX(VolumeMonthlyOver,AE50),Volume),0)),0),AP36)</f>
        <v>150</v>
      </c>
      <c r="AQ50" s="1647" t="n">
        <f aca="false">IF(WeekDef=8,IF(CustomHoFlag,IF(CustomHoPeriod=4,INDEX(VolumeHourlyOver,Q8,4),IF(OR(CustomHoPeriod=1,CustomHoPeriod=2),IF(VolumeMonthlyOverFlag,INDEX(VolumeMonthlyOver,AE50),Volume),0)),0),AQ36)</f>
        <v>150</v>
      </c>
      <c r="AR50" s="1647" t="n">
        <f aca="false">IF(WeekDef=8,IF(CustomHoFlag,IF(CustomHoPeriod=4,INDEX(VolumeHourlyOver,R8,4),IF(OR(CustomHoPeriod=1,CustomHoPeriod=2),IF(VolumeMonthlyOverFlag,INDEX(VolumeMonthlyOver,AE50),Volume),0)),0),AR36)</f>
        <v>150</v>
      </c>
      <c r="AS50" s="1647" t="n">
        <f aca="false">IF(WeekDef=8,IF(CustomHoFlag,IF(CustomHoPeriod=4,INDEX(VolumeHourlyOver,S8,4),IF(OR(CustomHoPeriod=1,CustomHoPeriod=2),IF(VolumeMonthlyOverFlag,INDEX(VolumeMonthlyOver,AE50),Volume),0)),0),AS36)</f>
        <v>150</v>
      </c>
      <c r="AT50" s="1647" t="n">
        <f aca="false">IF(WeekDef=8,IF(CustomHoFlag,IF(CustomHoPeriod=4,INDEX(VolumeHourlyOver,T8,4),IF(OR(CustomHoPeriod=1,CustomHoPeriod=2),IF(VolumeMonthlyOverFlag,INDEX(VolumeMonthlyOver,AE50),Volume),0)),0),AT36)</f>
        <v>150</v>
      </c>
      <c r="AU50" s="1648" t="n">
        <f aca="false">IF(WeekDef=8,IF(CustomHoFlag,IF(CustomHoPeriod=4,INDEX(VolumeHourlyOver,U8,4),IF(OR(CustomHoPeriod=1,CustomHoPeriod=2),IF(VolumeMonthlyOverFlag,INDEX(VolumeMonthlyOver,AE50),Volume),0)),0),AU36)</f>
        <v>150</v>
      </c>
      <c r="AV50" s="1647" t="n">
        <f aca="false">IF(WeekDef=8,IF(CustomHoFlag,IF(CustomHoPeriod=4,INDEX(VolumeHourlyOver,V8,4),IF(OR(CustomHoPeriod=1,CustomHoPeriod=3),IF(VolumeMonthlyOverFlag,INDEX(VolumeMonthlyOver,AE50),Volume),0)),0),AV36)</f>
        <v>150</v>
      </c>
      <c r="AW50" s="1647" t="n">
        <f aca="false">IF(WeekDef=8,IF(CustomHoFlag,IF(CustomHoPeriod=4,INDEX(VolumeHourlyOver,W8,4),IF(OR(CustomHoPeriod=1,CustomHoPeriod=3),IF(VolumeMonthlyOverFlag,INDEX(VolumeMonthlyOver,AE50),Volume),0)),0),AW36)</f>
        <v>150</v>
      </c>
      <c r="AX50" s="1647" t="n">
        <f aca="false">IF(WeekDef=8,IF(CustomHoFlag,IF(CustomHoPeriod=4,INDEX(VolumeHourlyOver,X8,4),IF(OR(CustomHoPeriod=1,CustomHoPeriod=3),IF(VolumeMonthlyOverFlag,INDEX(VolumeMonthlyOver,AE50),Volume),0)),0),AX36)</f>
        <v>150</v>
      </c>
      <c r="AY50" s="1647" t="n">
        <f aca="false">IF(WeekDef=8,IF(CustomHoFlag,IF(CustomHoPeriod=4,INDEX(VolumeHourlyOver,Y8,4),IF(OR(CustomHoPeriod=1,CustomHoPeriod=3),IF(VolumeMonthlyOverFlag,INDEX(VolumeMonthlyOver,AE50),Volume),0)),0),AY36)</f>
        <v>150</v>
      </c>
      <c r="AZ50" s="1647" t="n">
        <f aca="false">IF(WeekDef=8,IF(CustomHoFlag,IF(CustomHoPeriod=4,INDEX(VolumeHourlyOver,Z8,4),IF(OR(CustomHoPeriod=1,CustomHoPeriod=3),IF(VolumeMonthlyOverFlag,INDEX(VolumeMonthlyOver,AE50),Volume),0)),0),AZ36)</f>
        <v>150</v>
      </c>
      <c r="BA50" s="1647" t="n">
        <f aca="false">IF(WeekDef=8,IF(CustomHoFlag,IF(CustomHoPeriod=4,INDEX(VolumeHourlyOver,AA8,4),IF(OR(CustomHoPeriod=1,CustomHoPeriod=3),IF(VolumeMonthlyOverFlag,INDEX(VolumeMonthlyOver,AE50),Volume),0)),0),BA36)</f>
        <v>150</v>
      </c>
      <c r="BB50" s="1647" t="n">
        <f aca="false">IF(WeekDef=8,IF(CustomHoFlag,IF(CustomHoPeriod=4,INDEX(VolumeHourlyOver,AB8,4),IF(OR(CustomHoPeriod=1,CustomHoPeriod=3),IF(VolumeMonthlyOverFlag,INDEX(VolumeMonthlyOver,AE50),Volume),0)),0),BB36)</f>
        <v>150</v>
      </c>
      <c r="BC50" s="1648" t="n">
        <f aca="false">IF(WeekDef=8,IF(CustomHoFlag,IF(CustomHoPeriod=4,INDEX(VolumeHourlyOver,AC8,4),IF(OR(CustomHoPeriod=1,CustomHoPeriod=3),IF(VolumeMonthlyOverFlag,INDEX(VolumeMonthlyOver,AE50),Volume),0)),0),BC36)</f>
        <v>150</v>
      </c>
      <c r="BD50" s="1652" t="n">
        <f aca="false">SUM(AF50:AU50)</f>
        <v>2400</v>
      </c>
      <c r="BE50" s="1653" t="n">
        <f aca="false">SUM(AV50:BC50)</f>
        <v>1200</v>
      </c>
      <c r="BF50" s="1654" t="n">
        <f aca="false">BD50+BE50</f>
        <v>3600</v>
      </c>
      <c r="BG50" s="1674" t="n">
        <f aca="false">IF(BD50,SUMPRODUCT(AF50:AU50,F24:U24)/BD50,0)</f>
        <v>1</v>
      </c>
      <c r="BH50" s="1655" t="n">
        <f aca="false">IF(BE50,SUMPRODUCT(AV50:BC50,V24:AC24)/BE50,0)</f>
        <v>1.00000000745058</v>
      </c>
      <c r="BJ50" s="1636" t="n">
        <v>4</v>
      </c>
      <c r="BK50" s="1646" t="n">
        <f aca="false">IF(WeekDef=8,IF(CustomHoFlag,IF(CustomHoPeriod=4,INDEX(IF(DiffOptVolumeFlag,DiffOptVolumeHourlyOver,VolumeHourlyOver),F8,4),IF(OR(CustomHoPeriod=1,CustomHoPeriod=2),IF(VolumeMonthlyOverFlag,INDEX(IF(DiffOptVolumeFlag,DiffOptVolumeMonthlyOver,VolumeMonthlyOver),BJ50),IF(DiffOptVolumeFlag,DiffOptVolume,Volume)),0)),0),BK36)</f>
        <v>600</v>
      </c>
      <c r="BL50" s="1647" t="n">
        <f aca="false">IF(WeekDef=8,IF(CustomHoFlag,IF(CustomHoPeriod=4,INDEX(IF(DiffOptVolumeFlag,DiffOptVolumeHourlyOver,VolumeHourlyOver),G8,4),IF(OR(CustomHoPeriod=1,CustomHoPeriod=2),IF(VolumeMonthlyOverFlag,INDEX(IF(DiffOptVolumeFlag,DiffOptVolumeMonthlyOver,VolumeMonthlyOver),BJ50),IF(DiffOptVolumeFlag,DiffOptVolume,Volume)),0)),0),BL36)</f>
        <v>600</v>
      </c>
      <c r="BM50" s="1647" t="n">
        <f aca="false">IF(WeekDef=8,IF(CustomHoFlag,IF(CustomHoPeriod=4,INDEX(IF(DiffOptVolumeFlag,DiffOptVolumeHourlyOver,VolumeHourlyOver),H8,4),IF(OR(CustomHoPeriod=1,CustomHoPeriod=2),IF(VolumeMonthlyOverFlag,INDEX(IF(DiffOptVolumeFlag,DiffOptVolumeMonthlyOver,VolumeMonthlyOver),BJ50),IF(DiffOptVolumeFlag,DiffOptVolume,Volume)),0)),0),BM36)</f>
        <v>600</v>
      </c>
      <c r="BN50" s="1647" t="n">
        <f aca="false">IF(WeekDef=8,IF(CustomHoFlag,IF(CustomHoPeriod=4,INDEX(IF(DiffOptVolumeFlag,DiffOptVolumeHourlyOver,VolumeHourlyOver),I8,4),IF(OR(CustomHoPeriod=1,CustomHoPeriod=2),IF(VolumeMonthlyOverFlag,INDEX(IF(DiffOptVolumeFlag,DiffOptVolumeMonthlyOver,VolumeMonthlyOver),BJ50),IF(DiffOptVolumeFlag,DiffOptVolume,Volume)),0)),0),BN36)</f>
        <v>600</v>
      </c>
      <c r="BO50" s="1647" t="n">
        <f aca="false">IF(WeekDef=8,IF(CustomHoFlag,IF(CustomHoPeriod=4,INDEX(IF(DiffOptVolumeFlag,DiffOptVolumeHourlyOver,VolumeHourlyOver),J8,4),IF(OR(CustomHoPeriod=1,CustomHoPeriod=2),IF(VolumeMonthlyOverFlag,INDEX(IF(DiffOptVolumeFlag,DiffOptVolumeMonthlyOver,VolumeMonthlyOver),BJ50),IF(DiffOptVolumeFlag,DiffOptVolume,Volume)),0)),0),BO36)</f>
        <v>600</v>
      </c>
      <c r="BP50" s="1647" t="n">
        <f aca="false">IF(WeekDef=8,IF(CustomHoFlag,IF(CustomHoPeriod=4,INDEX(IF(DiffOptVolumeFlag,DiffOptVolumeHourlyOver,VolumeHourlyOver),K8,4),IF(OR(CustomHoPeriod=1,CustomHoPeriod=2),IF(VolumeMonthlyOverFlag,INDEX(IF(DiffOptVolumeFlag,DiffOptVolumeMonthlyOver,VolumeMonthlyOver),BJ50),IF(DiffOptVolumeFlag,DiffOptVolume,Volume)),0)),0),BP36)</f>
        <v>600</v>
      </c>
      <c r="BQ50" s="1647" t="n">
        <f aca="false">IF(WeekDef=8,IF(CustomHoFlag,IF(CustomHoPeriod=4,INDEX(IF(DiffOptVolumeFlag,DiffOptVolumeHourlyOver,VolumeHourlyOver),L8,4),IF(OR(CustomHoPeriod=1,CustomHoPeriod=2),IF(VolumeMonthlyOverFlag,INDEX(IF(DiffOptVolumeFlag,DiffOptVolumeMonthlyOver,VolumeMonthlyOver),BJ50),IF(DiffOptVolumeFlag,DiffOptVolume,Volume)),0)),0),BQ36)</f>
        <v>600</v>
      </c>
      <c r="BR50" s="1647" t="n">
        <f aca="false">IF(WeekDef=8,IF(CustomHoFlag,IF(CustomHoPeriod=4,INDEX(IF(DiffOptVolumeFlag,DiffOptVolumeHourlyOver,VolumeHourlyOver),M8,4),IF(OR(CustomHoPeriod=1,CustomHoPeriod=2),IF(VolumeMonthlyOverFlag,INDEX(IF(DiffOptVolumeFlag,DiffOptVolumeMonthlyOver,VolumeMonthlyOver),BJ50),IF(DiffOptVolumeFlag,DiffOptVolume,Volume)),0)),0),BR36)</f>
        <v>600</v>
      </c>
      <c r="BS50" s="1647" t="n">
        <f aca="false">IF(WeekDef=8,IF(CustomHoFlag,IF(CustomHoPeriod=4,INDEX(IF(DiffOptVolumeFlag,DiffOptVolumeHourlyOver,VolumeHourlyOver),N8,4),IF(OR(CustomHoPeriod=1,CustomHoPeriod=2),IF(VolumeMonthlyOverFlag,INDEX(IF(DiffOptVolumeFlag,DiffOptVolumeMonthlyOver,VolumeMonthlyOver),BJ50),IF(DiffOptVolumeFlag,DiffOptVolume,Volume)),0)),0),BS36)</f>
        <v>600</v>
      </c>
      <c r="BT50" s="1647" t="n">
        <f aca="false">IF(WeekDef=8,IF(CustomHoFlag,IF(CustomHoPeriod=4,INDEX(IF(DiffOptVolumeFlag,DiffOptVolumeHourlyOver,VolumeHourlyOver),O8,4),IF(OR(CustomHoPeriod=1,CustomHoPeriod=2),IF(VolumeMonthlyOverFlag,INDEX(IF(DiffOptVolumeFlag,DiffOptVolumeMonthlyOver,VolumeMonthlyOver),BJ50),IF(DiffOptVolumeFlag,DiffOptVolume,Volume)),0)),0),BT36)</f>
        <v>600</v>
      </c>
      <c r="BU50" s="1647" t="n">
        <f aca="false">IF(WeekDef=8,IF(CustomHoFlag,IF(CustomHoPeriod=4,INDEX(IF(DiffOptVolumeFlag,DiffOptVolumeHourlyOver,VolumeHourlyOver),P8,4),IF(OR(CustomHoPeriod=1,CustomHoPeriod=2),IF(VolumeMonthlyOverFlag,INDEX(IF(DiffOptVolumeFlag,DiffOptVolumeMonthlyOver,VolumeMonthlyOver),BJ50),IF(DiffOptVolumeFlag,DiffOptVolume,Volume)),0)),0),BU36)</f>
        <v>600</v>
      </c>
      <c r="BV50" s="1647" t="n">
        <f aca="false">IF(WeekDef=8,IF(CustomHoFlag,IF(CustomHoPeriod=4,INDEX(IF(DiffOptVolumeFlag,DiffOptVolumeHourlyOver,VolumeHourlyOver),Q8,4),IF(OR(CustomHoPeriod=1,CustomHoPeriod=2),IF(VolumeMonthlyOverFlag,INDEX(IF(DiffOptVolumeFlag,DiffOptVolumeMonthlyOver,VolumeMonthlyOver),BJ50),IF(DiffOptVolumeFlag,DiffOptVolume,Volume)),0)),0),BV36)</f>
        <v>600</v>
      </c>
      <c r="BW50" s="1647" t="n">
        <f aca="false">IF(WeekDef=8,IF(CustomHoFlag,IF(CustomHoPeriod=4,INDEX(IF(DiffOptVolumeFlag,DiffOptVolumeHourlyOver,VolumeHourlyOver),R8,4),IF(OR(CustomHoPeriod=1,CustomHoPeriod=2),IF(VolumeMonthlyOverFlag,INDEX(IF(DiffOptVolumeFlag,DiffOptVolumeMonthlyOver,VolumeMonthlyOver),BJ50),IF(DiffOptVolumeFlag,DiffOptVolume,Volume)),0)),0),BW36)</f>
        <v>600</v>
      </c>
      <c r="BX50" s="1647" t="n">
        <f aca="false">IF(WeekDef=8,IF(CustomHoFlag,IF(CustomHoPeriod=4,INDEX(IF(DiffOptVolumeFlag,DiffOptVolumeHourlyOver,VolumeHourlyOver),S8,4),IF(OR(CustomHoPeriod=1,CustomHoPeriod=2),IF(VolumeMonthlyOverFlag,INDEX(IF(DiffOptVolumeFlag,DiffOptVolumeMonthlyOver,VolumeMonthlyOver),BJ50),IF(DiffOptVolumeFlag,DiffOptVolume,Volume)),0)),0),BX36)</f>
        <v>600</v>
      </c>
      <c r="BY50" s="1647" t="n">
        <f aca="false">IF(WeekDef=8,IF(CustomHoFlag,IF(CustomHoPeriod=4,INDEX(IF(DiffOptVolumeFlag,DiffOptVolumeHourlyOver,VolumeHourlyOver),T8,4),IF(OR(CustomHoPeriod=1,CustomHoPeriod=2),IF(VolumeMonthlyOverFlag,INDEX(IF(DiffOptVolumeFlag,DiffOptVolumeMonthlyOver,VolumeMonthlyOver),BJ50),IF(DiffOptVolumeFlag,DiffOptVolume,Volume)),0)),0),BY36)</f>
        <v>600</v>
      </c>
      <c r="BZ50" s="1648" t="n">
        <f aca="false">IF(WeekDef=8,IF(CustomHoFlag,IF(CustomHoPeriod=4,INDEX(IF(DiffOptVolumeFlag,DiffOptVolumeHourlyOver,VolumeHourlyOver),U8,4),IF(OR(CustomHoPeriod=1,CustomHoPeriod=2),IF(VolumeMonthlyOverFlag,INDEX(IF(DiffOptVolumeFlag,DiffOptVolumeMonthlyOver,VolumeMonthlyOver),BJ50),IF(DiffOptVolumeFlag,DiffOptVolume,Volume)),0)),0),BZ36)</f>
        <v>600</v>
      </c>
      <c r="CA50" s="1647" t="n">
        <f aca="false">IF(WeekDef=8,IF(CustomHoFlag,IF(CustomHoPeriod=4,INDEX(IF(DiffOptVolumeFlag,DiffOptVolumeHourlyOver,VolumeHourlyOver),V8,4),IF(OR(CustomHoPeriod=1,CustomHoPeriod=3),IF(VolumeMonthlyOverFlag,INDEX(IF(DiffOptVolumeFlag,DiffOptVolumeMonthlyOver,VolumeMonthlyOver),BJ50),IF(DiffOptVolumeFlag,DiffOptVolume,Volume)),0)),0),CA36)</f>
        <v>600</v>
      </c>
      <c r="CB50" s="1647" t="n">
        <f aca="false">IF(WeekDef=8,IF(CustomHoFlag,IF(CustomHoPeriod=4,INDEX(IF(DiffOptVolumeFlag,DiffOptVolumeHourlyOver,VolumeHourlyOver),W8,4),IF(OR(CustomHoPeriod=1,CustomHoPeriod=3),IF(VolumeMonthlyOverFlag,INDEX(IF(DiffOptVolumeFlag,DiffOptVolumeMonthlyOver,VolumeMonthlyOver),BJ50),IF(DiffOptVolumeFlag,DiffOptVolume,Volume)),0)),0),CB36)</f>
        <v>600</v>
      </c>
      <c r="CC50" s="1647" t="n">
        <f aca="false">IF(WeekDef=8,IF(CustomHoFlag,IF(CustomHoPeriod=4,INDEX(IF(DiffOptVolumeFlag,DiffOptVolumeHourlyOver,VolumeHourlyOver),X8,4),IF(OR(CustomHoPeriod=1,CustomHoPeriod=3),IF(VolumeMonthlyOverFlag,INDEX(IF(DiffOptVolumeFlag,DiffOptVolumeMonthlyOver,VolumeMonthlyOver),BJ50),IF(DiffOptVolumeFlag,DiffOptVolume,Volume)),0)),0),CC36)</f>
        <v>600</v>
      </c>
      <c r="CD50" s="1647" t="n">
        <f aca="false">IF(WeekDef=8,IF(CustomHoFlag,IF(CustomHoPeriod=4,INDEX(IF(DiffOptVolumeFlag,DiffOptVolumeHourlyOver,VolumeHourlyOver),Y8,4),IF(OR(CustomHoPeriod=1,CustomHoPeriod=3),IF(VolumeMonthlyOverFlag,INDEX(IF(DiffOptVolumeFlag,DiffOptVolumeMonthlyOver,VolumeMonthlyOver),BJ50),IF(DiffOptVolumeFlag,DiffOptVolume,Volume)),0)),0),CD36)</f>
        <v>600</v>
      </c>
      <c r="CE50" s="1647" t="n">
        <f aca="false">IF(WeekDef=8,IF(CustomHoFlag,IF(CustomHoPeriod=4,INDEX(IF(DiffOptVolumeFlag,DiffOptVolumeHourlyOver,VolumeHourlyOver),Z8,4),IF(OR(CustomHoPeriod=1,CustomHoPeriod=3),IF(VolumeMonthlyOverFlag,INDEX(IF(DiffOptVolumeFlag,DiffOptVolumeMonthlyOver,VolumeMonthlyOver),BJ50),IF(DiffOptVolumeFlag,DiffOptVolume,Volume)),0)),0),CE36)</f>
        <v>600</v>
      </c>
      <c r="CF50" s="1647" t="n">
        <f aca="false">IF(WeekDef=8,IF(CustomHoFlag,IF(CustomHoPeriod=4,INDEX(IF(DiffOptVolumeFlag,DiffOptVolumeHourlyOver,VolumeHourlyOver),AA8,4),IF(OR(CustomHoPeriod=1,CustomHoPeriod=3),IF(VolumeMonthlyOverFlag,INDEX(IF(DiffOptVolumeFlag,DiffOptVolumeMonthlyOver,VolumeMonthlyOver),BJ50),IF(DiffOptVolumeFlag,DiffOptVolume,Volume)),0)),0),CF36)</f>
        <v>600</v>
      </c>
      <c r="CG50" s="1647" t="n">
        <f aca="false">IF(WeekDef=8,IF(CustomHoFlag,IF(CustomHoPeriod=4,INDEX(IF(DiffOptVolumeFlag,DiffOptVolumeHourlyOver,VolumeHourlyOver),AB8,4),IF(OR(CustomHoPeriod=1,CustomHoPeriod=3),IF(VolumeMonthlyOverFlag,INDEX(IF(DiffOptVolumeFlag,DiffOptVolumeMonthlyOver,VolumeMonthlyOver),BJ50),IF(DiffOptVolumeFlag,DiffOptVolume,Volume)),0)),0),CG36)</f>
        <v>600</v>
      </c>
      <c r="CH50" s="1648" t="n">
        <f aca="false">IF(WeekDef=8,IF(CustomHoFlag,IF(CustomHoPeriod=4,INDEX(IF(DiffOptVolumeFlag,DiffOptVolumeHourlyOver,VolumeHourlyOver),AC8,4),IF(OR(CustomHoPeriod=1,CustomHoPeriod=3),IF(VolumeMonthlyOverFlag,INDEX(IF(DiffOptVolumeFlag,DiffOptVolumeMonthlyOver,VolumeMonthlyOver),BJ50),IF(DiffOptVolumeFlag,DiffOptVolume,Volume)),0)),0),CH36)</f>
        <v>600</v>
      </c>
      <c r="CI50" s="1652" t="n">
        <f aca="false">SUM(BK50:BZ50)</f>
        <v>9600</v>
      </c>
      <c r="CJ50" s="1653" t="n">
        <f aca="false">SUM(CA50:CH50)</f>
        <v>4800</v>
      </c>
      <c r="CK50" s="1654" t="n">
        <f aca="false">CI50+CJ50</f>
        <v>14400</v>
      </c>
      <c r="CL50" s="1674" t="n">
        <f aca="false">IF(CI50,SUMPRODUCT(BK50:BZ50,F24:U24)/CI50,0)</f>
        <v>1</v>
      </c>
      <c r="CM50" s="1655" t="n">
        <f aca="false">IF(CJ50,SUMPRODUCT(CA50:CH50,V24:AC24)/CJ50,0)</f>
        <v>1.00000000745058</v>
      </c>
    </row>
    <row r="51" customFormat="false" ht="13.5" hidden="false" customHeight="false" outlineLevel="0" collapsed="false">
      <c r="A51" s="1624"/>
      <c r="B51" s="1684" t="s">
        <v>1269</v>
      </c>
      <c r="C51" s="1685" t="s">
        <v>1270</v>
      </c>
      <c r="D51" s="1685"/>
      <c r="E51" s="1624"/>
      <c r="F51" s="1623" t="s">
        <v>149</v>
      </c>
      <c r="G51" s="1623"/>
      <c r="H51" s="1623"/>
      <c r="I51" s="1623"/>
      <c r="J51" s="1623"/>
      <c r="K51" s="1623"/>
      <c r="L51" s="1623"/>
      <c r="M51" s="1623"/>
      <c r="N51" s="1623"/>
      <c r="O51" s="1623"/>
      <c r="P51" s="1623"/>
      <c r="Q51" s="1623"/>
      <c r="R51" s="1623"/>
      <c r="S51" s="1623"/>
      <c r="T51" s="1623"/>
      <c r="U51" s="1623"/>
      <c r="V51" s="1623" t="s">
        <v>132</v>
      </c>
      <c r="W51" s="1623"/>
      <c r="X51" s="1623"/>
      <c r="Y51" s="1623"/>
      <c r="Z51" s="1623"/>
      <c r="AA51" s="1623"/>
      <c r="AB51" s="1623"/>
      <c r="AC51" s="1623"/>
      <c r="AE51" s="1636" t="n">
        <v>5</v>
      </c>
      <c r="AF51" s="1646" t="n">
        <f aca="false">IF(WeekDef=8,IF(CustomHoFlag,IF(CustomHoPeriod=4,INDEX(VolumeHourlyOver,F9,4),IF(OR(CustomHoPeriod=1,CustomHoPeriod=2),IF(VolumeMonthlyOverFlag,INDEX(VolumeMonthlyOver,AE51),Volume),0)),0),AF37)</f>
        <v>150</v>
      </c>
      <c r="AG51" s="1647" t="n">
        <f aca="false">IF(WeekDef=8,IF(CustomHoFlag,IF(CustomHoPeriod=4,INDEX(VolumeHourlyOver,G9,4),IF(OR(CustomHoPeriod=1,CustomHoPeriod=2),IF(VolumeMonthlyOverFlag,INDEX(VolumeMonthlyOver,AE51),Volume),0)),0),AG37)</f>
        <v>150</v>
      </c>
      <c r="AH51" s="1647" t="n">
        <f aca="false">IF(WeekDef=8,IF(CustomHoFlag,IF(CustomHoPeriod=4,INDEX(VolumeHourlyOver,H9,4),IF(OR(CustomHoPeriod=1,CustomHoPeriod=2),IF(VolumeMonthlyOverFlag,INDEX(VolumeMonthlyOver,AE51),Volume),0)),0),AH37)</f>
        <v>150</v>
      </c>
      <c r="AI51" s="1647" t="n">
        <f aca="false">IF(WeekDef=8,IF(CustomHoFlag,IF(CustomHoPeriod=4,INDEX(VolumeHourlyOver,I9,4),IF(OR(CustomHoPeriod=1,CustomHoPeriod=2),IF(VolumeMonthlyOverFlag,INDEX(VolumeMonthlyOver,AE51),Volume),0)),0),AI37)</f>
        <v>150</v>
      </c>
      <c r="AJ51" s="1647" t="n">
        <f aca="false">IF(WeekDef=8,IF(CustomHoFlag,IF(CustomHoPeriod=4,INDEX(VolumeHourlyOver,J9,4),IF(OR(CustomHoPeriod=1,CustomHoPeriod=2),IF(VolumeMonthlyOverFlag,INDEX(VolumeMonthlyOver,AE51),Volume),0)),0),AJ37)</f>
        <v>150</v>
      </c>
      <c r="AK51" s="1647" t="n">
        <f aca="false">IF(WeekDef=8,IF(CustomHoFlag,IF(CustomHoPeriod=4,INDEX(VolumeHourlyOver,K9,4),IF(OR(CustomHoPeriod=1,CustomHoPeriod=2),IF(VolumeMonthlyOverFlag,INDEX(VolumeMonthlyOver,AE51),Volume),0)),0),AK37)</f>
        <v>150</v>
      </c>
      <c r="AL51" s="1647" t="n">
        <f aca="false">IF(WeekDef=8,IF(CustomHoFlag,IF(CustomHoPeriod=4,INDEX(VolumeHourlyOver,L9,4),IF(OR(CustomHoPeriod=1,CustomHoPeriod=2),IF(VolumeMonthlyOverFlag,INDEX(VolumeMonthlyOver,AE51),Volume),0)),0),AL37)</f>
        <v>150</v>
      </c>
      <c r="AM51" s="1647" t="n">
        <f aca="false">IF(WeekDef=8,IF(CustomHoFlag,IF(CustomHoPeriod=4,INDEX(VolumeHourlyOver,M9,4),IF(OR(CustomHoPeriod=1,CustomHoPeriod=2),IF(VolumeMonthlyOverFlag,INDEX(VolumeMonthlyOver,AE51),Volume),0)),0),AM37)</f>
        <v>150</v>
      </c>
      <c r="AN51" s="1647" t="n">
        <f aca="false">IF(WeekDef=8,IF(CustomHoFlag,IF(CustomHoPeriod=4,INDEX(VolumeHourlyOver,N9,4),IF(OR(CustomHoPeriod=1,CustomHoPeriod=2),IF(VolumeMonthlyOverFlag,INDEX(VolumeMonthlyOver,AE51),Volume),0)),0),AN37)</f>
        <v>150</v>
      </c>
      <c r="AO51" s="1647" t="n">
        <f aca="false">IF(WeekDef=8,IF(CustomHoFlag,IF(CustomHoPeriod=4,INDEX(VolumeHourlyOver,O9,4),IF(OR(CustomHoPeriod=1,CustomHoPeriod=2),IF(VolumeMonthlyOverFlag,INDEX(VolumeMonthlyOver,AE51),Volume),0)),0),AO37)</f>
        <v>150</v>
      </c>
      <c r="AP51" s="1647" t="n">
        <f aca="false">IF(WeekDef=8,IF(CustomHoFlag,IF(CustomHoPeriod=4,INDEX(VolumeHourlyOver,P9,4),IF(OR(CustomHoPeriod=1,CustomHoPeriod=2),IF(VolumeMonthlyOverFlag,INDEX(VolumeMonthlyOver,AE51),Volume),0)),0),AP37)</f>
        <v>150</v>
      </c>
      <c r="AQ51" s="1647" t="n">
        <f aca="false">IF(WeekDef=8,IF(CustomHoFlag,IF(CustomHoPeriod=4,INDEX(VolumeHourlyOver,Q9,4),IF(OR(CustomHoPeriod=1,CustomHoPeriod=2),IF(VolumeMonthlyOverFlag,INDEX(VolumeMonthlyOver,AE51),Volume),0)),0),AQ37)</f>
        <v>150</v>
      </c>
      <c r="AR51" s="1647" t="n">
        <f aca="false">IF(WeekDef=8,IF(CustomHoFlag,IF(CustomHoPeriod=4,INDEX(VolumeHourlyOver,R9,4),IF(OR(CustomHoPeriod=1,CustomHoPeriod=2),IF(VolumeMonthlyOverFlag,INDEX(VolumeMonthlyOver,AE51),Volume),0)),0),AR37)</f>
        <v>150</v>
      </c>
      <c r="AS51" s="1647" t="n">
        <f aca="false">IF(WeekDef=8,IF(CustomHoFlag,IF(CustomHoPeriod=4,INDEX(VolumeHourlyOver,S9,4),IF(OR(CustomHoPeriod=1,CustomHoPeriod=2),IF(VolumeMonthlyOverFlag,INDEX(VolumeMonthlyOver,AE51),Volume),0)),0),AS37)</f>
        <v>150</v>
      </c>
      <c r="AT51" s="1647" t="n">
        <f aca="false">IF(WeekDef=8,IF(CustomHoFlag,IF(CustomHoPeriod=4,INDEX(VolumeHourlyOver,T9,4),IF(OR(CustomHoPeriod=1,CustomHoPeriod=2),IF(VolumeMonthlyOverFlag,INDEX(VolumeMonthlyOver,AE51),Volume),0)),0),AT37)</f>
        <v>150</v>
      </c>
      <c r="AU51" s="1648" t="n">
        <f aca="false">IF(WeekDef=8,IF(CustomHoFlag,IF(CustomHoPeriod=4,INDEX(VolumeHourlyOver,U9,4),IF(OR(CustomHoPeriod=1,CustomHoPeriod=2),IF(VolumeMonthlyOverFlag,INDEX(VolumeMonthlyOver,AE51),Volume),0)),0),AU37)</f>
        <v>150</v>
      </c>
      <c r="AV51" s="1647" t="n">
        <f aca="false">IF(WeekDef=8,IF(CustomHoFlag,IF(CustomHoPeriod=4,INDEX(VolumeHourlyOver,V9,4),IF(OR(CustomHoPeriod=1,CustomHoPeriod=3),IF(VolumeMonthlyOverFlag,INDEX(VolumeMonthlyOver,AE51),Volume),0)),0),AV37)</f>
        <v>150</v>
      </c>
      <c r="AW51" s="1647" t="n">
        <f aca="false">IF(WeekDef=8,IF(CustomHoFlag,IF(CustomHoPeriod=4,INDEX(VolumeHourlyOver,W9,4),IF(OR(CustomHoPeriod=1,CustomHoPeriod=3),IF(VolumeMonthlyOverFlag,INDEX(VolumeMonthlyOver,AE51),Volume),0)),0),AW37)</f>
        <v>150</v>
      </c>
      <c r="AX51" s="1647" t="n">
        <f aca="false">IF(WeekDef=8,IF(CustomHoFlag,IF(CustomHoPeriod=4,INDEX(VolumeHourlyOver,X9,4),IF(OR(CustomHoPeriod=1,CustomHoPeriod=3),IF(VolumeMonthlyOverFlag,INDEX(VolumeMonthlyOver,AE51),Volume),0)),0),AX37)</f>
        <v>150</v>
      </c>
      <c r="AY51" s="1647" t="n">
        <f aca="false">IF(WeekDef=8,IF(CustomHoFlag,IF(CustomHoPeriod=4,INDEX(VolumeHourlyOver,Y9,4),IF(OR(CustomHoPeriod=1,CustomHoPeriod=3),IF(VolumeMonthlyOverFlag,INDEX(VolumeMonthlyOver,AE51),Volume),0)),0),AY37)</f>
        <v>150</v>
      </c>
      <c r="AZ51" s="1647" t="n">
        <f aca="false">IF(WeekDef=8,IF(CustomHoFlag,IF(CustomHoPeriod=4,INDEX(VolumeHourlyOver,Z9,4),IF(OR(CustomHoPeriod=1,CustomHoPeriod=3),IF(VolumeMonthlyOverFlag,INDEX(VolumeMonthlyOver,AE51),Volume),0)),0),AZ37)</f>
        <v>150</v>
      </c>
      <c r="BA51" s="1647" t="n">
        <f aca="false">IF(WeekDef=8,IF(CustomHoFlag,IF(CustomHoPeriod=4,INDEX(VolumeHourlyOver,AA9,4),IF(OR(CustomHoPeriod=1,CustomHoPeriod=3),IF(VolumeMonthlyOverFlag,INDEX(VolumeMonthlyOver,AE51),Volume),0)),0),BA37)</f>
        <v>150</v>
      </c>
      <c r="BB51" s="1647" t="n">
        <f aca="false">IF(WeekDef=8,IF(CustomHoFlag,IF(CustomHoPeriod=4,INDEX(VolumeHourlyOver,AB9,4),IF(OR(CustomHoPeriod=1,CustomHoPeriod=3),IF(VolumeMonthlyOverFlag,INDEX(VolumeMonthlyOver,AE51),Volume),0)),0),BB37)</f>
        <v>150</v>
      </c>
      <c r="BC51" s="1648" t="n">
        <f aca="false">IF(WeekDef=8,IF(CustomHoFlag,IF(CustomHoPeriod=4,INDEX(VolumeHourlyOver,AC9,4),IF(OR(CustomHoPeriod=1,CustomHoPeriod=3),IF(VolumeMonthlyOverFlag,INDEX(VolumeMonthlyOver,AE51),Volume),0)),0),BC37)</f>
        <v>150</v>
      </c>
      <c r="BD51" s="1652" t="n">
        <f aca="false">SUM(AF51:AU51)</f>
        <v>2400</v>
      </c>
      <c r="BE51" s="1653" t="n">
        <f aca="false">SUM(AV51:BC51)</f>
        <v>1200</v>
      </c>
      <c r="BF51" s="1654" t="n">
        <f aca="false">BD51+BE51</f>
        <v>3600</v>
      </c>
      <c r="BG51" s="1674" t="n">
        <f aca="false">IF(BD51,SUMPRODUCT(AF51:AU51,F25:U25)/BD51,0)</f>
        <v>1</v>
      </c>
      <c r="BH51" s="1655" t="n">
        <f aca="false">IF(BE51,SUMPRODUCT(AV51:BC51,V25:AC25)/BE51,0)</f>
        <v>1</v>
      </c>
      <c r="BJ51" s="1636" t="n">
        <v>5</v>
      </c>
      <c r="BK51" s="1646" t="n">
        <f aca="false">IF(WeekDef=8,IF(CustomHoFlag,IF(CustomHoPeriod=4,INDEX(IF(DiffOptVolumeFlag,DiffOptVolumeHourlyOver,VolumeHourlyOver),F9,4),IF(OR(CustomHoPeriod=1,CustomHoPeriod=2),IF(VolumeMonthlyOverFlag,INDEX(IF(DiffOptVolumeFlag,DiffOptVolumeMonthlyOver,VolumeMonthlyOver),BJ51),IF(DiffOptVolumeFlag,DiffOptVolume,Volume)),0)),0),BK37)</f>
        <v>600</v>
      </c>
      <c r="BL51" s="1647" t="n">
        <f aca="false">IF(WeekDef=8,IF(CustomHoFlag,IF(CustomHoPeriod=4,INDEX(IF(DiffOptVolumeFlag,DiffOptVolumeHourlyOver,VolumeHourlyOver),G9,4),IF(OR(CustomHoPeriod=1,CustomHoPeriod=2),IF(VolumeMonthlyOverFlag,INDEX(IF(DiffOptVolumeFlag,DiffOptVolumeMonthlyOver,VolumeMonthlyOver),BJ51),IF(DiffOptVolumeFlag,DiffOptVolume,Volume)),0)),0),BL37)</f>
        <v>600</v>
      </c>
      <c r="BM51" s="1647" t="n">
        <f aca="false">IF(WeekDef=8,IF(CustomHoFlag,IF(CustomHoPeriod=4,INDEX(IF(DiffOptVolumeFlag,DiffOptVolumeHourlyOver,VolumeHourlyOver),H9,4),IF(OR(CustomHoPeriod=1,CustomHoPeriod=2),IF(VolumeMonthlyOverFlag,INDEX(IF(DiffOptVolumeFlag,DiffOptVolumeMonthlyOver,VolumeMonthlyOver),BJ51),IF(DiffOptVolumeFlag,DiffOptVolume,Volume)),0)),0),BM37)</f>
        <v>600</v>
      </c>
      <c r="BN51" s="1647" t="n">
        <f aca="false">IF(WeekDef=8,IF(CustomHoFlag,IF(CustomHoPeriod=4,INDEX(IF(DiffOptVolumeFlag,DiffOptVolumeHourlyOver,VolumeHourlyOver),I9,4),IF(OR(CustomHoPeriod=1,CustomHoPeriod=2),IF(VolumeMonthlyOverFlag,INDEX(IF(DiffOptVolumeFlag,DiffOptVolumeMonthlyOver,VolumeMonthlyOver),BJ51),IF(DiffOptVolumeFlag,DiffOptVolume,Volume)),0)),0),BN37)</f>
        <v>600</v>
      </c>
      <c r="BO51" s="1647" t="n">
        <f aca="false">IF(WeekDef=8,IF(CustomHoFlag,IF(CustomHoPeriod=4,INDEX(IF(DiffOptVolumeFlag,DiffOptVolumeHourlyOver,VolumeHourlyOver),J9,4),IF(OR(CustomHoPeriod=1,CustomHoPeriod=2),IF(VolumeMonthlyOverFlag,INDEX(IF(DiffOptVolumeFlag,DiffOptVolumeMonthlyOver,VolumeMonthlyOver),BJ51),IF(DiffOptVolumeFlag,DiffOptVolume,Volume)),0)),0),BO37)</f>
        <v>600</v>
      </c>
      <c r="BP51" s="1647" t="n">
        <f aca="false">IF(WeekDef=8,IF(CustomHoFlag,IF(CustomHoPeriod=4,INDEX(IF(DiffOptVolumeFlag,DiffOptVolumeHourlyOver,VolumeHourlyOver),K9,4),IF(OR(CustomHoPeriod=1,CustomHoPeriod=2),IF(VolumeMonthlyOverFlag,INDEX(IF(DiffOptVolumeFlag,DiffOptVolumeMonthlyOver,VolumeMonthlyOver),BJ51),IF(DiffOptVolumeFlag,DiffOptVolume,Volume)),0)),0),BP37)</f>
        <v>600</v>
      </c>
      <c r="BQ51" s="1647" t="n">
        <f aca="false">IF(WeekDef=8,IF(CustomHoFlag,IF(CustomHoPeriod=4,INDEX(IF(DiffOptVolumeFlag,DiffOptVolumeHourlyOver,VolumeHourlyOver),L9,4),IF(OR(CustomHoPeriod=1,CustomHoPeriod=2),IF(VolumeMonthlyOverFlag,INDEX(IF(DiffOptVolumeFlag,DiffOptVolumeMonthlyOver,VolumeMonthlyOver),BJ51),IF(DiffOptVolumeFlag,DiffOptVolume,Volume)),0)),0),BQ37)</f>
        <v>600</v>
      </c>
      <c r="BR51" s="1647" t="n">
        <f aca="false">IF(WeekDef=8,IF(CustomHoFlag,IF(CustomHoPeriod=4,INDEX(IF(DiffOptVolumeFlag,DiffOptVolumeHourlyOver,VolumeHourlyOver),M9,4),IF(OR(CustomHoPeriod=1,CustomHoPeriod=2),IF(VolumeMonthlyOverFlag,INDEX(IF(DiffOptVolumeFlag,DiffOptVolumeMonthlyOver,VolumeMonthlyOver),BJ51),IF(DiffOptVolumeFlag,DiffOptVolume,Volume)),0)),0),BR37)</f>
        <v>600</v>
      </c>
      <c r="BS51" s="1647" t="n">
        <f aca="false">IF(WeekDef=8,IF(CustomHoFlag,IF(CustomHoPeriod=4,INDEX(IF(DiffOptVolumeFlag,DiffOptVolumeHourlyOver,VolumeHourlyOver),N9,4),IF(OR(CustomHoPeriod=1,CustomHoPeriod=2),IF(VolumeMonthlyOverFlag,INDEX(IF(DiffOptVolumeFlag,DiffOptVolumeMonthlyOver,VolumeMonthlyOver),BJ51),IF(DiffOptVolumeFlag,DiffOptVolume,Volume)),0)),0),BS37)</f>
        <v>600</v>
      </c>
      <c r="BT51" s="1647" t="n">
        <f aca="false">IF(WeekDef=8,IF(CustomHoFlag,IF(CustomHoPeriod=4,INDEX(IF(DiffOptVolumeFlag,DiffOptVolumeHourlyOver,VolumeHourlyOver),O9,4),IF(OR(CustomHoPeriod=1,CustomHoPeriod=2),IF(VolumeMonthlyOverFlag,INDEX(IF(DiffOptVolumeFlag,DiffOptVolumeMonthlyOver,VolumeMonthlyOver),BJ51),IF(DiffOptVolumeFlag,DiffOptVolume,Volume)),0)),0),BT37)</f>
        <v>600</v>
      </c>
      <c r="BU51" s="1647" t="n">
        <f aca="false">IF(WeekDef=8,IF(CustomHoFlag,IF(CustomHoPeriod=4,INDEX(IF(DiffOptVolumeFlag,DiffOptVolumeHourlyOver,VolumeHourlyOver),P9,4),IF(OR(CustomHoPeriod=1,CustomHoPeriod=2),IF(VolumeMonthlyOverFlag,INDEX(IF(DiffOptVolumeFlag,DiffOptVolumeMonthlyOver,VolumeMonthlyOver),BJ51),IF(DiffOptVolumeFlag,DiffOptVolume,Volume)),0)),0),BU37)</f>
        <v>600</v>
      </c>
      <c r="BV51" s="1647" t="n">
        <f aca="false">IF(WeekDef=8,IF(CustomHoFlag,IF(CustomHoPeriod=4,INDEX(IF(DiffOptVolumeFlag,DiffOptVolumeHourlyOver,VolumeHourlyOver),Q9,4),IF(OR(CustomHoPeriod=1,CustomHoPeriod=2),IF(VolumeMonthlyOverFlag,INDEX(IF(DiffOptVolumeFlag,DiffOptVolumeMonthlyOver,VolumeMonthlyOver),BJ51),IF(DiffOptVolumeFlag,DiffOptVolume,Volume)),0)),0),BV37)</f>
        <v>600</v>
      </c>
      <c r="BW51" s="1647" t="n">
        <f aca="false">IF(WeekDef=8,IF(CustomHoFlag,IF(CustomHoPeriod=4,INDEX(IF(DiffOptVolumeFlag,DiffOptVolumeHourlyOver,VolumeHourlyOver),R9,4),IF(OR(CustomHoPeriod=1,CustomHoPeriod=2),IF(VolumeMonthlyOverFlag,INDEX(IF(DiffOptVolumeFlag,DiffOptVolumeMonthlyOver,VolumeMonthlyOver),BJ51),IF(DiffOptVolumeFlag,DiffOptVolume,Volume)),0)),0),BW37)</f>
        <v>600</v>
      </c>
      <c r="BX51" s="1647" t="n">
        <f aca="false">IF(WeekDef=8,IF(CustomHoFlag,IF(CustomHoPeriod=4,INDEX(IF(DiffOptVolumeFlag,DiffOptVolumeHourlyOver,VolumeHourlyOver),S9,4),IF(OR(CustomHoPeriod=1,CustomHoPeriod=2),IF(VolumeMonthlyOverFlag,INDEX(IF(DiffOptVolumeFlag,DiffOptVolumeMonthlyOver,VolumeMonthlyOver),BJ51),IF(DiffOptVolumeFlag,DiffOptVolume,Volume)),0)),0),BX37)</f>
        <v>600</v>
      </c>
      <c r="BY51" s="1647" t="n">
        <f aca="false">IF(WeekDef=8,IF(CustomHoFlag,IF(CustomHoPeriod=4,INDEX(IF(DiffOptVolumeFlag,DiffOptVolumeHourlyOver,VolumeHourlyOver),T9,4),IF(OR(CustomHoPeriod=1,CustomHoPeriod=2),IF(VolumeMonthlyOverFlag,INDEX(IF(DiffOptVolumeFlag,DiffOptVolumeMonthlyOver,VolumeMonthlyOver),BJ51),IF(DiffOptVolumeFlag,DiffOptVolume,Volume)),0)),0),BY37)</f>
        <v>600</v>
      </c>
      <c r="BZ51" s="1648" t="n">
        <f aca="false">IF(WeekDef=8,IF(CustomHoFlag,IF(CustomHoPeriod=4,INDEX(IF(DiffOptVolumeFlag,DiffOptVolumeHourlyOver,VolumeHourlyOver),U9,4),IF(OR(CustomHoPeriod=1,CustomHoPeriod=2),IF(VolumeMonthlyOverFlag,INDEX(IF(DiffOptVolumeFlag,DiffOptVolumeMonthlyOver,VolumeMonthlyOver),BJ51),IF(DiffOptVolumeFlag,DiffOptVolume,Volume)),0)),0),BZ37)</f>
        <v>600</v>
      </c>
      <c r="CA51" s="1647" t="n">
        <f aca="false">IF(WeekDef=8,IF(CustomHoFlag,IF(CustomHoPeriod=4,INDEX(IF(DiffOptVolumeFlag,DiffOptVolumeHourlyOver,VolumeHourlyOver),V9,4),IF(OR(CustomHoPeriod=1,CustomHoPeriod=3),IF(VolumeMonthlyOverFlag,INDEX(IF(DiffOptVolumeFlag,DiffOptVolumeMonthlyOver,VolumeMonthlyOver),BJ51),IF(DiffOptVolumeFlag,DiffOptVolume,Volume)),0)),0),CA37)</f>
        <v>600</v>
      </c>
      <c r="CB51" s="1647" t="n">
        <f aca="false">IF(WeekDef=8,IF(CustomHoFlag,IF(CustomHoPeriod=4,INDEX(IF(DiffOptVolumeFlag,DiffOptVolumeHourlyOver,VolumeHourlyOver),W9,4),IF(OR(CustomHoPeriod=1,CustomHoPeriod=3),IF(VolumeMonthlyOverFlag,INDEX(IF(DiffOptVolumeFlag,DiffOptVolumeMonthlyOver,VolumeMonthlyOver),BJ51),IF(DiffOptVolumeFlag,DiffOptVolume,Volume)),0)),0),CB37)</f>
        <v>600</v>
      </c>
      <c r="CC51" s="1647" t="n">
        <f aca="false">IF(WeekDef=8,IF(CustomHoFlag,IF(CustomHoPeriod=4,INDEX(IF(DiffOptVolumeFlag,DiffOptVolumeHourlyOver,VolumeHourlyOver),X9,4),IF(OR(CustomHoPeriod=1,CustomHoPeriod=3),IF(VolumeMonthlyOverFlag,INDEX(IF(DiffOptVolumeFlag,DiffOptVolumeMonthlyOver,VolumeMonthlyOver),BJ51),IF(DiffOptVolumeFlag,DiffOptVolume,Volume)),0)),0),CC37)</f>
        <v>600</v>
      </c>
      <c r="CD51" s="1647" t="n">
        <f aca="false">IF(WeekDef=8,IF(CustomHoFlag,IF(CustomHoPeriod=4,INDEX(IF(DiffOptVolumeFlag,DiffOptVolumeHourlyOver,VolumeHourlyOver),Y9,4),IF(OR(CustomHoPeriod=1,CustomHoPeriod=3),IF(VolumeMonthlyOverFlag,INDEX(IF(DiffOptVolumeFlag,DiffOptVolumeMonthlyOver,VolumeMonthlyOver),BJ51),IF(DiffOptVolumeFlag,DiffOptVolume,Volume)),0)),0),CD37)</f>
        <v>600</v>
      </c>
      <c r="CE51" s="1647" t="n">
        <f aca="false">IF(WeekDef=8,IF(CustomHoFlag,IF(CustomHoPeriod=4,INDEX(IF(DiffOptVolumeFlag,DiffOptVolumeHourlyOver,VolumeHourlyOver),Z9,4),IF(OR(CustomHoPeriod=1,CustomHoPeriod=3),IF(VolumeMonthlyOverFlag,INDEX(IF(DiffOptVolumeFlag,DiffOptVolumeMonthlyOver,VolumeMonthlyOver),BJ51),IF(DiffOptVolumeFlag,DiffOptVolume,Volume)),0)),0),CE37)</f>
        <v>600</v>
      </c>
      <c r="CF51" s="1647" t="n">
        <f aca="false">IF(WeekDef=8,IF(CustomHoFlag,IF(CustomHoPeriod=4,INDEX(IF(DiffOptVolumeFlag,DiffOptVolumeHourlyOver,VolumeHourlyOver),AA9,4),IF(OR(CustomHoPeriod=1,CustomHoPeriod=3),IF(VolumeMonthlyOverFlag,INDEX(IF(DiffOptVolumeFlag,DiffOptVolumeMonthlyOver,VolumeMonthlyOver),BJ51),IF(DiffOptVolumeFlag,DiffOptVolume,Volume)),0)),0),CF37)</f>
        <v>600</v>
      </c>
      <c r="CG51" s="1647" t="n">
        <f aca="false">IF(WeekDef=8,IF(CustomHoFlag,IF(CustomHoPeriod=4,INDEX(IF(DiffOptVolumeFlag,DiffOptVolumeHourlyOver,VolumeHourlyOver),AB9,4),IF(OR(CustomHoPeriod=1,CustomHoPeriod=3),IF(VolumeMonthlyOverFlag,INDEX(IF(DiffOptVolumeFlag,DiffOptVolumeMonthlyOver,VolumeMonthlyOver),BJ51),IF(DiffOptVolumeFlag,DiffOptVolume,Volume)),0)),0),CG37)</f>
        <v>600</v>
      </c>
      <c r="CH51" s="1648" t="n">
        <f aca="false">IF(WeekDef=8,IF(CustomHoFlag,IF(CustomHoPeriod=4,INDEX(IF(DiffOptVolumeFlag,DiffOptVolumeHourlyOver,VolumeHourlyOver),AC9,4),IF(OR(CustomHoPeriod=1,CustomHoPeriod=3),IF(VolumeMonthlyOverFlag,INDEX(IF(DiffOptVolumeFlag,DiffOptVolumeMonthlyOver,VolumeMonthlyOver),BJ51),IF(DiffOptVolumeFlag,DiffOptVolume,Volume)),0)),0),CH37)</f>
        <v>600</v>
      </c>
      <c r="CI51" s="1652" t="n">
        <f aca="false">SUM(BK51:BZ51)</f>
        <v>9600</v>
      </c>
      <c r="CJ51" s="1653" t="n">
        <f aca="false">SUM(CA51:CH51)</f>
        <v>4800</v>
      </c>
      <c r="CK51" s="1654" t="n">
        <f aca="false">CI51+CJ51</f>
        <v>14400</v>
      </c>
      <c r="CL51" s="1674" t="n">
        <f aca="false">IF(CI51,SUMPRODUCT(BK51:BZ51,F25:U25)/CI51,0)</f>
        <v>1</v>
      </c>
      <c r="CM51" s="1655" t="n">
        <f aca="false">IF(CJ51,SUMPRODUCT(CA51:CH51,V25:AC25)/CJ51,0)</f>
        <v>1</v>
      </c>
    </row>
    <row r="52" customFormat="false" ht="13.5" hidden="false" customHeight="false" outlineLevel="0" collapsed="false">
      <c r="A52" s="1686" t="s">
        <v>16</v>
      </c>
      <c r="B52" s="1687" t="s">
        <v>286</v>
      </c>
      <c r="C52" s="1685" t="s">
        <v>149</v>
      </c>
      <c r="D52" s="1685" t="s">
        <v>132</v>
      </c>
      <c r="E52" s="1626" t="s">
        <v>1262</v>
      </c>
      <c r="F52" s="1626" t="n">
        <v>1</v>
      </c>
      <c r="G52" s="1627" t="n">
        <v>2</v>
      </c>
      <c r="H52" s="1627" t="n">
        <v>3</v>
      </c>
      <c r="I52" s="1627" t="n">
        <v>4</v>
      </c>
      <c r="J52" s="1627" t="n">
        <v>5</v>
      </c>
      <c r="K52" s="1627" t="n">
        <v>6</v>
      </c>
      <c r="L52" s="1627" t="n">
        <v>7</v>
      </c>
      <c r="M52" s="1627" t="n">
        <v>8</v>
      </c>
      <c r="N52" s="1627" t="n">
        <v>9</v>
      </c>
      <c r="O52" s="1627" t="n">
        <v>10</v>
      </c>
      <c r="P52" s="1627" t="n">
        <v>11</v>
      </c>
      <c r="Q52" s="1627" t="n">
        <v>12</v>
      </c>
      <c r="R52" s="1627" t="n">
        <v>13</v>
      </c>
      <c r="S52" s="1627" t="n">
        <v>14</v>
      </c>
      <c r="T52" s="1627" t="n">
        <v>15</v>
      </c>
      <c r="U52" s="1628" t="n">
        <v>16</v>
      </c>
      <c r="V52" s="1627" t="n">
        <v>1</v>
      </c>
      <c r="W52" s="1627" t="n">
        <v>2</v>
      </c>
      <c r="X52" s="1627" t="n">
        <v>3</v>
      </c>
      <c r="Y52" s="1627" t="n">
        <v>4</v>
      </c>
      <c r="Z52" s="1627" t="n">
        <v>5</v>
      </c>
      <c r="AA52" s="1627" t="n">
        <v>6</v>
      </c>
      <c r="AB52" s="1627" t="n">
        <v>7</v>
      </c>
      <c r="AC52" s="1628" t="n">
        <v>8</v>
      </c>
      <c r="AE52" s="1636" t="n">
        <v>6</v>
      </c>
      <c r="AF52" s="1646" t="n">
        <f aca="false">IF(WeekDef=8,IF(CustomHoFlag,IF(CustomHoPeriod=4,INDEX(VolumeHourlyOver,F10,4),IF(OR(CustomHoPeriod=1,CustomHoPeriod=2),IF(VolumeMonthlyOverFlag,INDEX(VolumeMonthlyOver,AE52),Volume),0)),0),AF38)</f>
        <v>150</v>
      </c>
      <c r="AG52" s="1647" t="n">
        <f aca="false">IF(WeekDef=8,IF(CustomHoFlag,IF(CustomHoPeriod=4,INDEX(VolumeHourlyOver,G10,4),IF(OR(CustomHoPeriod=1,CustomHoPeriod=2),IF(VolumeMonthlyOverFlag,INDEX(VolumeMonthlyOver,AE52),Volume),0)),0),AG38)</f>
        <v>150</v>
      </c>
      <c r="AH52" s="1647" t="n">
        <f aca="false">IF(WeekDef=8,IF(CustomHoFlag,IF(CustomHoPeriod=4,INDEX(VolumeHourlyOver,H10,4),IF(OR(CustomHoPeriod=1,CustomHoPeriod=2),IF(VolumeMonthlyOverFlag,INDEX(VolumeMonthlyOver,AE52),Volume),0)),0),AH38)</f>
        <v>150</v>
      </c>
      <c r="AI52" s="1647" t="n">
        <f aca="false">IF(WeekDef=8,IF(CustomHoFlag,IF(CustomHoPeriod=4,INDEX(VolumeHourlyOver,I10,4),IF(OR(CustomHoPeriod=1,CustomHoPeriod=2),IF(VolumeMonthlyOverFlag,INDEX(VolumeMonthlyOver,AE52),Volume),0)),0),AI38)</f>
        <v>150</v>
      </c>
      <c r="AJ52" s="1647" t="n">
        <f aca="false">IF(WeekDef=8,IF(CustomHoFlag,IF(CustomHoPeriod=4,INDEX(VolumeHourlyOver,J10,4),IF(OR(CustomHoPeriod=1,CustomHoPeriod=2),IF(VolumeMonthlyOverFlag,INDEX(VolumeMonthlyOver,AE52),Volume),0)),0),AJ38)</f>
        <v>150</v>
      </c>
      <c r="AK52" s="1647" t="n">
        <f aca="false">IF(WeekDef=8,IF(CustomHoFlag,IF(CustomHoPeriod=4,INDEX(VolumeHourlyOver,K10,4),IF(OR(CustomHoPeriod=1,CustomHoPeriod=2),IF(VolumeMonthlyOverFlag,INDEX(VolumeMonthlyOver,AE52),Volume),0)),0),AK38)</f>
        <v>150</v>
      </c>
      <c r="AL52" s="1647" t="n">
        <f aca="false">IF(WeekDef=8,IF(CustomHoFlag,IF(CustomHoPeriod=4,INDEX(VolumeHourlyOver,L10,4),IF(OR(CustomHoPeriod=1,CustomHoPeriod=2),IF(VolumeMonthlyOverFlag,INDEX(VolumeMonthlyOver,AE52),Volume),0)),0),AL38)</f>
        <v>150</v>
      </c>
      <c r="AM52" s="1647" t="n">
        <f aca="false">IF(WeekDef=8,IF(CustomHoFlag,IF(CustomHoPeriod=4,INDEX(VolumeHourlyOver,M10,4),IF(OR(CustomHoPeriod=1,CustomHoPeriod=2),IF(VolumeMonthlyOverFlag,INDEX(VolumeMonthlyOver,AE52),Volume),0)),0),AM38)</f>
        <v>150</v>
      </c>
      <c r="AN52" s="1647" t="n">
        <f aca="false">IF(WeekDef=8,IF(CustomHoFlag,IF(CustomHoPeriod=4,INDEX(VolumeHourlyOver,N10,4),IF(OR(CustomHoPeriod=1,CustomHoPeriod=2),IF(VolumeMonthlyOverFlag,INDEX(VolumeMonthlyOver,AE52),Volume),0)),0),AN38)</f>
        <v>150</v>
      </c>
      <c r="AO52" s="1647" t="n">
        <f aca="false">IF(WeekDef=8,IF(CustomHoFlag,IF(CustomHoPeriod=4,INDEX(VolumeHourlyOver,O10,4),IF(OR(CustomHoPeriod=1,CustomHoPeriod=2),IF(VolumeMonthlyOverFlag,INDEX(VolumeMonthlyOver,AE52),Volume),0)),0),AO38)</f>
        <v>150</v>
      </c>
      <c r="AP52" s="1647" t="n">
        <f aca="false">IF(WeekDef=8,IF(CustomHoFlag,IF(CustomHoPeriod=4,INDEX(VolumeHourlyOver,P10,4),IF(OR(CustomHoPeriod=1,CustomHoPeriod=2),IF(VolumeMonthlyOverFlag,INDEX(VolumeMonthlyOver,AE52),Volume),0)),0),AP38)</f>
        <v>150</v>
      </c>
      <c r="AQ52" s="1647" t="n">
        <f aca="false">IF(WeekDef=8,IF(CustomHoFlag,IF(CustomHoPeriod=4,INDEX(VolumeHourlyOver,Q10,4),IF(OR(CustomHoPeriod=1,CustomHoPeriod=2),IF(VolumeMonthlyOverFlag,INDEX(VolumeMonthlyOver,AE52),Volume),0)),0),AQ38)</f>
        <v>150</v>
      </c>
      <c r="AR52" s="1647" t="n">
        <f aca="false">IF(WeekDef=8,IF(CustomHoFlag,IF(CustomHoPeriod=4,INDEX(VolumeHourlyOver,R10,4),IF(OR(CustomHoPeriod=1,CustomHoPeriod=2),IF(VolumeMonthlyOverFlag,INDEX(VolumeMonthlyOver,AE52),Volume),0)),0),AR38)</f>
        <v>150</v>
      </c>
      <c r="AS52" s="1647" t="n">
        <f aca="false">IF(WeekDef=8,IF(CustomHoFlag,IF(CustomHoPeriod=4,INDEX(VolumeHourlyOver,S10,4),IF(OR(CustomHoPeriod=1,CustomHoPeriod=2),IF(VolumeMonthlyOverFlag,INDEX(VolumeMonthlyOver,AE52),Volume),0)),0),AS38)</f>
        <v>150</v>
      </c>
      <c r="AT52" s="1647" t="n">
        <f aca="false">IF(WeekDef=8,IF(CustomHoFlag,IF(CustomHoPeriod=4,INDEX(VolumeHourlyOver,T10,4),IF(OR(CustomHoPeriod=1,CustomHoPeriod=2),IF(VolumeMonthlyOverFlag,INDEX(VolumeMonthlyOver,AE52),Volume),0)),0),AT38)</f>
        <v>150</v>
      </c>
      <c r="AU52" s="1648" t="n">
        <f aca="false">IF(WeekDef=8,IF(CustomHoFlag,IF(CustomHoPeriod=4,INDEX(VolumeHourlyOver,U10,4),IF(OR(CustomHoPeriod=1,CustomHoPeriod=2),IF(VolumeMonthlyOverFlag,INDEX(VolumeMonthlyOver,AE52),Volume),0)),0),AU38)</f>
        <v>150</v>
      </c>
      <c r="AV52" s="1647" t="n">
        <f aca="false">IF(WeekDef=8,IF(CustomHoFlag,IF(CustomHoPeriod=4,INDEX(VolumeHourlyOver,V10,4),IF(OR(CustomHoPeriod=1,CustomHoPeriod=3),IF(VolumeMonthlyOverFlag,INDEX(VolumeMonthlyOver,AE52),Volume),0)),0),AV38)</f>
        <v>150</v>
      </c>
      <c r="AW52" s="1647" t="n">
        <f aca="false">IF(WeekDef=8,IF(CustomHoFlag,IF(CustomHoPeriod=4,INDEX(VolumeHourlyOver,W10,4),IF(OR(CustomHoPeriod=1,CustomHoPeriod=3),IF(VolumeMonthlyOverFlag,INDEX(VolumeMonthlyOver,AE52),Volume),0)),0),AW38)</f>
        <v>150</v>
      </c>
      <c r="AX52" s="1647" t="n">
        <f aca="false">IF(WeekDef=8,IF(CustomHoFlag,IF(CustomHoPeriod=4,INDEX(VolumeHourlyOver,X10,4),IF(OR(CustomHoPeriod=1,CustomHoPeriod=3),IF(VolumeMonthlyOverFlag,INDEX(VolumeMonthlyOver,AE52),Volume),0)),0),AX38)</f>
        <v>150</v>
      </c>
      <c r="AY52" s="1647" t="n">
        <f aca="false">IF(WeekDef=8,IF(CustomHoFlag,IF(CustomHoPeriod=4,INDEX(VolumeHourlyOver,Y10,4),IF(OR(CustomHoPeriod=1,CustomHoPeriod=3),IF(VolumeMonthlyOverFlag,INDEX(VolumeMonthlyOver,AE52),Volume),0)),0),AY38)</f>
        <v>150</v>
      </c>
      <c r="AZ52" s="1647" t="n">
        <f aca="false">IF(WeekDef=8,IF(CustomHoFlag,IF(CustomHoPeriod=4,INDEX(VolumeHourlyOver,Z10,4),IF(OR(CustomHoPeriod=1,CustomHoPeriod=3),IF(VolumeMonthlyOverFlag,INDEX(VolumeMonthlyOver,AE52),Volume),0)),0),AZ38)</f>
        <v>150</v>
      </c>
      <c r="BA52" s="1647" t="n">
        <f aca="false">IF(WeekDef=8,IF(CustomHoFlag,IF(CustomHoPeriod=4,INDEX(VolumeHourlyOver,AA10,4),IF(OR(CustomHoPeriod=1,CustomHoPeriod=3),IF(VolumeMonthlyOverFlag,INDEX(VolumeMonthlyOver,AE52),Volume),0)),0),BA38)</f>
        <v>150</v>
      </c>
      <c r="BB52" s="1647" t="n">
        <f aca="false">IF(WeekDef=8,IF(CustomHoFlag,IF(CustomHoPeriod=4,INDEX(VolumeHourlyOver,AB10,4),IF(OR(CustomHoPeriod=1,CustomHoPeriod=3),IF(VolumeMonthlyOverFlag,INDEX(VolumeMonthlyOver,AE52),Volume),0)),0),BB38)</f>
        <v>150</v>
      </c>
      <c r="BC52" s="1648" t="n">
        <f aca="false">IF(WeekDef=8,IF(CustomHoFlag,IF(CustomHoPeriod=4,INDEX(VolumeHourlyOver,AC10,4),IF(OR(CustomHoPeriod=1,CustomHoPeriod=3),IF(VolumeMonthlyOverFlag,INDEX(VolumeMonthlyOver,AE52),Volume),0)),0),BC38)</f>
        <v>150</v>
      </c>
      <c r="BD52" s="1652" t="n">
        <f aca="false">SUM(AF52:AU52)</f>
        <v>2400</v>
      </c>
      <c r="BE52" s="1653" t="n">
        <f aca="false">SUM(AV52:BC52)</f>
        <v>1200</v>
      </c>
      <c r="BF52" s="1654" t="n">
        <f aca="false">BD52+BE52</f>
        <v>3600</v>
      </c>
      <c r="BG52" s="1674" t="n">
        <f aca="false">IF(BD52,SUMPRODUCT(AF52:AU52,F26:U26)/BD52,0)</f>
        <v>1.00000000745058</v>
      </c>
      <c r="BH52" s="1655" t="n">
        <f aca="false">IF(BE52,SUMPRODUCT(AV52:BC52,V26:AC26)/BE52,0)</f>
        <v>1.00000000745058</v>
      </c>
      <c r="BJ52" s="1636" t="n">
        <v>6</v>
      </c>
      <c r="BK52" s="1646" t="n">
        <f aca="false">IF(WeekDef=8,IF(CustomHoFlag,IF(CustomHoPeriod=4,INDEX(IF(DiffOptVolumeFlag,DiffOptVolumeHourlyOver,VolumeHourlyOver),F10,4),IF(OR(CustomHoPeriod=1,CustomHoPeriod=2),IF(VolumeMonthlyOverFlag,INDEX(IF(DiffOptVolumeFlag,DiffOptVolumeMonthlyOver,VolumeMonthlyOver),BJ52),IF(DiffOptVolumeFlag,DiffOptVolume,Volume)),0)),0),BK38)</f>
        <v>600</v>
      </c>
      <c r="BL52" s="1647" t="n">
        <f aca="false">IF(WeekDef=8,IF(CustomHoFlag,IF(CustomHoPeriod=4,INDEX(IF(DiffOptVolumeFlag,DiffOptVolumeHourlyOver,VolumeHourlyOver),G10,4),IF(OR(CustomHoPeriod=1,CustomHoPeriod=2),IF(VolumeMonthlyOverFlag,INDEX(IF(DiffOptVolumeFlag,DiffOptVolumeMonthlyOver,VolumeMonthlyOver),BJ52),IF(DiffOptVolumeFlag,DiffOptVolume,Volume)),0)),0),BL38)</f>
        <v>600</v>
      </c>
      <c r="BM52" s="1647" t="n">
        <f aca="false">IF(WeekDef=8,IF(CustomHoFlag,IF(CustomHoPeriod=4,INDEX(IF(DiffOptVolumeFlag,DiffOptVolumeHourlyOver,VolumeHourlyOver),H10,4),IF(OR(CustomHoPeriod=1,CustomHoPeriod=2),IF(VolumeMonthlyOverFlag,INDEX(IF(DiffOptVolumeFlag,DiffOptVolumeMonthlyOver,VolumeMonthlyOver),BJ52),IF(DiffOptVolumeFlag,DiffOptVolume,Volume)),0)),0),BM38)</f>
        <v>600</v>
      </c>
      <c r="BN52" s="1647" t="n">
        <f aca="false">IF(WeekDef=8,IF(CustomHoFlag,IF(CustomHoPeriod=4,INDEX(IF(DiffOptVolumeFlag,DiffOptVolumeHourlyOver,VolumeHourlyOver),I10,4),IF(OR(CustomHoPeriod=1,CustomHoPeriod=2),IF(VolumeMonthlyOverFlag,INDEX(IF(DiffOptVolumeFlag,DiffOptVolumeMonthlyOver,VolumeMonthlyOver),BJ52),IF(DiffOptVolumeFlag,DiffOptVolume,Volume)),0)),0),BN38)</f>
        <v>600</v>
      </c>
      <c r="BO52" s="1647" t="n">
        <f aca="false">IF(WeekDef=8,IF(CustomHoFlag,IF(CustomHoPeriod=4,INDEX(IF(DiffOptVolumeFlag,DiffOptVolumeHourlyOver,VolumeHourlyOver),J10,4),IF(OR(CustomHoPeriod=1,CustomHoPeriod=2),IF(VolumeMonthlyOverFlag,INDEX(IF(DiffOptVolumeFlag,DiffOptVolumeMonthlyOver,VolumeMonthlyOver),BJ52),IF(DiffOptVolumeFlag,DiffOptVolume,Volume)),0)),0),BO38)</f>
        <v>600</v>
      </c>
      <c r="BP52" s="1647" t="n">
        <f aca="false">IF(WeekDef=8,IF(CustomHoFlag,IF(CustomHoPeriod=4,INDEX(IF(DiffOptVolumeFlag,DiffOptVolumeHourlyOver,VolumeHourlyOver),K10,4),IF(OR(CustomHoPeriod=1,CustomHoPeriod=2),IF(VolumeMonthlyOverFlag,INDEX(IF(DiffOptVolumeFlag,DiffOptVolumeMonthlyOver,VolumeMonthlyOver),BJ52),IF(DiffOptVolumeFlag,DiffOptVolume,Volume)),0)),0),BP38)</f>
        <v>600</v>
      </c>
      <c r="BQ52" s="1647" t="n">
        <f aca="false">IF(WeekDef=8,IF(CustomHoFlag,IF(CustomHoPeriod=4,INDEX(IF(DiffOptVolumeFlag,DiffOptVolumeHourlyOver,VolumeHourlyOver),L10,4),IF(OR(CustomHoPeriod=1,CustomHoPeriod=2),IF(VolumeMonthlyOverFlag,INDEX(IF(DiffOptVolumeFlag,DiffOptVolumeMonthlyOver,VolumeMonthlyOver),BJ52),IF(DiffOptVolumeFlag,DiffOptVolume,Volume)),0)),0),BQ38)</f>
        <v>600</v>
      </c>
      <c r="BR52" s="1647" t="n">
        <f aca="false">IF(WeekDef=8,IF(CustomHoFlag,IF(CustomHoPeriod=4,INDEX(IF(DiffOptVolumeFlag,DiffOptVolumeHourlyOver,VolumeHourlyOver),M10,4),IF(OR(CustomHoPeriod=1,CustomHoPeriod=2),IF(VolumeMonthlyOverFlag,INDEX(IF(DiffOptVolumeFlag,DiffOptVolumeMonthlyOver,VolumeMonthlyOver),BJ52),IF(DiffOptVolumeFlag,DiffOptVolume,Volume)),0)),0),BR38)</f>
        <v>600</v>
      </c>
      <c r="BS52" s="1647" t="n">
        <f aca="false">IF(WeekDef=8,IF(CustomHoFlag,IF(CustomHoPeriod=4,INDEX(IF(DiffOptVolumeFlag,DiffOptVolumeHourlyOver,VolumeHourlyOver),N10,4),IF(OR(CustomHoPeriod=1,CustomHoPeriod=2),IF(VolumeMonthlyOverFlag,INDEX(IF(DiffOptVolumeFlag,DiffOptVolumeMonthlyOver,VolumeMonthlyOver),BJ52),IF(DiffOptVolumeFlag,DiffOptVolume,Volume)),0)),0),BS38)</f>
        <v>600</v>
      </c>
      <c r="BT52" s="1647" t="n">
        <f aca="false">IF(WeekDef=8,IF(CustomHoFlag,IF(CustomHoPeriod=4,INDEX(IF(DiffOptVolumeFlag,DiffOptVolumeHourlyOver,VolumeHourlyOver),O10,4),IF(OR(CustomHoPeriod=1,CustomHoPeriod=2),IF(VolumeMonthlyOverFlag,INDEX(IF(DiffOptVolumeFlag,DiffOptVolumeMonthlyOver,VolumeMonthlyOver),BJ52),IF(DiffOptVolumeFlag,DiffOptVolume,Volume)),0)),0),BT38)</f>
        <v>600</v>
      </c>
      <c r="BU52" s="1647" t="n">
        <f aca="false">IF(WeekDef=8,IF(CustomHoFlag,IF(CustomHoPeriod=4,INDEX(IF(DiffOptVolumeFlag,DiffOptVolumeHourlyOver,VolumeHourlyOver),P10,4),IF(OR(CustomHoPeriod=1,CustomHoPeriod=2),IF(VolumeMonthlyOverFlag,INDEX(IF(DiffOptVolumeFlag,DiffOptVolumeMonthlyOver,VolumeMonthlyOver),BJ52),IF(DiffOptVolumeFlag,DiffOptVolume,Volume)),0)),0),BU38)</f>
        <v>600</v>
      </c>
      <c r="BV52" s="1647" t="n">
        <f aca="false">IF(WeekDef=8,IF(CustomHoFlag,IF(CustomHoPeriod=4,INDEX(IF(DiffOptVolumeFlag,DiffOptVolumeHourlyOver,VolumeHourlyOver),Q10,4),IF(OR(CustomHoPeriod=1,CustomHoPeriod=2),IF(VolumeMonthlyOverFlag,INDEX(IF(DiffOptVolumeFlag,DiffOptVolumeMonthlyOver,VolumeMonthlyOver),BJ52),IF(DiffOptVolumeFlag,DiffOptVolume,Volume)),0)),0),BV38)</f>
        <v>600</v>
      </c>
      <c r="BW52" s="1647" t="n">
        <f aca="false">IF(WeekDef=8,IF(CustomHoFlag,IF(CustomHoPeriod=4,INDEX(IF(DiffOptVolumeFlag,DiffOptVolumeHourlyOver,VolumeHourlyOver),R10,4),IF(OR(CustomHoPeriod=1,CustomHoPeriod=2),IF(VolumeMonthlyOverFlag,INDEX(IF(DiffOptVolumeFlag,DiffOptVolumeMonthlyOver,VolumeMonthlyOver),BJ52),IF(DiffOptVolumeFlag,DiffOptVolume,Volume)),0)),0),BW38)</f>
        <v>600</v>
      </c>
      <c r="BX52" s="1647" t="n">
        <f aca="false">IF(WeekDef=8,IF(CustomHoFlag,IF(CustomHoPeriod=4,INDEX(IF(DiffOptVolumeFlag,DiffOptVolumeHourlyOver,VolumeHourlyOver),S10,4),IF(OR(CustomHoPeriod=1,CustomHoPeriod=2),IF(VolumeMonthlyOverFlag,INDEX(IF(DiffOptVolumeFlag,DiffOptVolumeMonthlyOver,VolumeMonthlyOver),BJ52),IF(DiffOptVolumeFlag,DiffOptVolume,Volume)),0)),0),BX38)</f>
        <v>600</v>
      </c>
      <c r="BY52" s="1647" t="n">
        <f aca="false">IF(WeekDef=8,IF(CustomHoFlag,IF(CustomHoPeriod=4,INDEX(IF(DiffOptVolumeFlag,DiffOptVolumeHourlyOver,VolumeHourlyOver),T10,4),IF(OR(CustomHoPeriod=1,CustomHoPeriod=2),IF(VolumeMonthlyOverFlag,INDEX(IF(DiffOptVolumeFlag,DiffOptVolumeMonthlyOver,VolumeMonthlyOver),BJ52),IF(DiffOptVolumeFlag,DiffOptVolume,Volume)),0)),0),BY38)</f>
        <v>600</v>
      </c>
      <c r="BZ52" s="1648" t="n">
        <f aca="false">IF(WeekDef=8,IF(CustomHoFlag,IF(CustomHoPeriod=4,INDEX(IF(DiffOptVolumeFlag,DiffOptVolumeHourlyOver,VolumeHourlyOver),U10,4),IF(OR(CustomHoPeriod=1,CustomHoPeriod=2),IF(VolumeMonthlyOverFlag,INDEX(IF(DiffOptVolumeFlag,DiffOptVolumeMonthlyOver,VolumeMonthlyOver),BJ52),IF(DiffOptVolumeFlag,DiffOptVolume,Volume)),0)),0),BZ38)</f>
        <v>600</v>
      </c>
      <c r="CA52" s="1647" t="n">
        <f aca="false">IF(WeekDef=8,IF(CustomHoFlag,IF(CustomHoPeriod=4,INDEX(IF(DiffOptVolumeFlag,DiffOptVolumeHourlyOver,VolumeHourlyOver),V10,4),IF(OR(CustomHoPeriod=1,CustomHoPeriod=3),IF(VolumeMonthlyOverFlag,INDEX(IF(DiffOptVolumeFlag,DiffOptVolumeMonthlyOver,VolumeMonthlyOver),BJ52),IF(DiffOptVolumeFlag,DiffOptVolume,Volume)),0)),0),CA38)</f>
        <v>600</v>
      </c>
      <c r="CB52" s="1647" t="n">
        <f aca="false">IF(WeekDef=8,IF(CustomHoFlag,IF(CustomHoPeriod=4,INDEX(IF(DiffOptVolumeFlag,DiffOptVolumeHourlyOver,VolumeHourlyOver),W10,4),IF(OR(CustomHoPeriod=1,CustomHoPeriod=3),IF(VolumeMonthlyOverFlag,INDEX(IF(DiffOptVolumeFlag,DiffOptVolumeMonthlyOver,VolumeMonthlyOver),BJ52),IF(DiffOptVolumeFlag,DiffOptVolume,Volume)),0)),0),CB38)</f>
        <v>600</v>
      </c>
      <c r="CC52" s="1647" t="n">
        <f aca="false">IF(WeekDef=8,IF(CustomHoFlag,IF(CustomHoPeriod=4,INDEX(IF(DiffOptVolumeFlag,DiffOptVolumeHourlyOver,VolumeHourlyOver),X10,4),IF(OR(CustomHoPeriod=1,CustomHoPeriod=3),IF(VolumeMonthlyOverFlag,INDEX(IF(DiffOptVolumeFlag,DiffOptVolumeMonthlyOver,VolumeMonthlyOver),BJ52),IF(DiffOptVolumeFlag,DiffOptVolume,Volume)),0)),0),CC38)</f>
        <v>600</v>
      </c>
      <c r="CD52" s="1647" t="n">
        <f aca="false">IF(WeekDef=8,IF(CustomHoFlag,IF(CustomHoPeriod=4,INDEX(IF(DiffOptVolumeFlag,DiffOptVolumeHourlyOver,VolumeHourlyOver),Y10,4),IF(OR(CustomHoPeriod=1,CustomHoPeriod=3),IF(VolumeMonthlyOverFlag,INDEX(IF(DiffOptVolumeFlag,DiffOptVolumeMonthlyOver,VolumeMonthlyOver),BJ52),IF(DiffOptVolumeFlag,DiffOptVolume,Volume)),0)),0),CD38)</f>
        <v>600</v>
      </c>
      <c r="CE52" s="1647" t="n">
        <f aca="false">IF(WeekDef=8,IF(CustomHoFlag,IF(CustomHoPeriod=4,INDEX(IF(DiffOptVolumeFlag,DiffOptVolumeHourlyOver,VolumeHourlyOver),Z10,4),IF(OR(CustomHoPeriod=1,CustomHoPeriod=3),IF(VolumeMonthlyOverFlag,INDEX(IF(DiffOptVolumeFlag,DiffOptVolumeMonthlyOver,VolumeMonthlyOver),BJ52),IF(DiffOptVolumeFlag,DiffOptVolume,Volume)),0)),0),CE38)</f>
        <v>600</v>
      </c>
      <c r="CF52" s="1647" t="n">
        <f aca="false">IF(WeekDef=8,IF(CustomHoFlag,IF(CustomHoPeriod=4,INDEX(IF(DiffOptVolumeFlag,DiffOptVolumeHourlyOver,VolumeHourlyOver),AA10,4),IF(OR(CustomHoPeriod=1,CustomHoPeriod=3),IF(VolumeMonthlyOverFlag,INDEX(IF(DiffOptVolumeFlag,DiffOptVolumeMonthlyOver,VolumeMonthlyOver),BJ52),IF(DiffOptVolumeFlag,DiffOptVolume,Volume)),0)),0),CF38)</f>
        <v>600</v>
      </c>
      <c r="CG52" s="1647" t="n">
        <f aca="false">IF(WeekDef=8,IF(CustomHoFlag,IF(CustomHoPeriod=4,INDEX(IF(DiffOptVolumeFlag,DiffOptVolumeHourlyOver,VolumeHourlyOver),AB10,4),IF(OR(CustomHoPeriod=1,CustomHoPeriod=3),IF(VolumeMonthlyOverFlag,INDEX(IF(DiffOptVolumeFlag,DiffOptVolumeMonthlyOver,VolumeMonthlyOver),BJ52),IF(DiffOptVolumeFlag,DiffOptVolume,Volume)),0)),0),CG38)</f>
        <v>600</v>
      </c>
      <c r="CH52" s="1648" t="n">
        <f aca="false">IF(WeekDef=8,IF(CustomHoFlag,IF(CustomHoPeriod=4,INDEX(IF(DiffOptVolumeFlag,DiffOptVolumeHourlyOver,VolumeHourlyOver),AC10,4),IF(OR(CustomHoPeriod=1,CustomHoPeriod=3),IF(VolumeMonthlyOverFlag,INDEX(IF(DiffOptVolumeFlag,DiffOptVolumeMonthlyOver,VolumeMonthlyOver),BJ52),IF(DiffOptVolumeFlag,DiffOptVolume,Volume)),0)),0),CH38)</f>
        <v>600</v>
      </c>
      <c r="CI52" s="1652" t="n">
        <f aca="false">SUM(BK52:BZ52)</f>
        <v>9600</v>
      </c>
      <c r="CJ52" s="1653" t="n">
        <f aca="false">SUM(CA52:CH52)</f>
        <v>4800</v>
      </c>
      <c r="CK52" s="1654" t="n">
        <f aca="false">CI52+CJ52</f>
        <v>14400</v>
      </c>
      <c r="CL52" s="1674" t="n">
        <f aca="false">IF(CI52,SUMPRODUCT(BK52:BZ52,F26:U26)/CI52,0)</f>
        <v>1.00000000745058</v>
      </c>
      <c r="CM52" s="1655" t="n">
        <f aca="false">IF(CJ52,SUMPRODUCT(CA52:CH52,V26:AC26)/CJ52,0)</f>
        <v>1.00000000745058</v>
      </c>
    </row>
    <row r="53" customFormat="false" ht="12.75" hidden="false" customHeight="false" outlineLevel="0" collapsed="false">
      <c r="A53" s="1688" t="n">
        <v>1</v>
      </c>
      <c r="B53" s="1689" t="n">
        <f aca="false">EOMONTH(CurveDate+31,MOD(A37-MONTH(CurveDate+31),12)-1)+1</f>
        <v>36892</v>
      </c>
      <c r="C53" s="1690" t="n">
        <f aca="false">VLOOKUP(B53,PriceTableWeekend,3,0)+IF(BasisNumber&lt;&gt;1,VLOOKUP(B37,BasisTable,2,0),0)</f>
        <v>35</v>
      </c>
      <c r="D53" s="1690" t="n">
        <f aca="false">VLOOKUP(B37,PriceTable,7,0)+IF(BasisNumber&lt;&gt;1,VLOOKUP(B37,BasisTable,3,0),0)</f>
        <v>19.3064516129032</v>
      </c>
      <c r="E53" s="1636" t="n">
        <v>1</v>
      </c>
      <c r="F53" s="1691" t="n">
        <f aca="false">C53*F21</f>
        <v>40.8886861801147</v>
      </c>
      <c r="G53" s="1692" t="n">
        <f aca="false">C53*G21</f>
        <v>40.1131927967072</v>
      </c>
      <c r="H53" s="1692" t="n">
        <f aca="false">C53*H21</f>
        <v>37.6271545886993</v>
      </c>
      <c r="I53" s="1692" t="n">
        <f aca="false">C53*I21</f>
        <v>37.1844458580017</v>
      </c>
      <c r="J53" s="1692" t="n">
        <f aca="false">C53*J21</f>
        <v>36.9852381944656</v>
      </c>
      <c r="K53" s="1692" t="n">
        <f aca="false">C53*K21</f>
        <v>36.5144580602646</v>
      </c>
      <c r="L53" s="1692" t="n">
        <f aca="false">C53*L21</f>
        <v>35.8444660902023</v>
      </c>
      <c r="M53" s="1692" t="n">
        <f aca="false">C53*M21</f>
        <v>34.6049851179123</v>
      </c>
      <c r="N53" s="1692" t="n">
        <f aca="false">C53*N21</f>
        <v>34.402351975441</v>
      </c>
      <c r="O53" s="1692" t="n">
        <f aca="false">C53*O21</f>
        <v>34.1694924235344</v>
      </c>
      <c r="P53" s="1692" t="n">
        <f aca="false">C53*P21</f>
        <v>33.4522092342377</v>
      </c>
      <c r="Q53" s="1692" t="n">
        <f aca="false">C53*Q21</f>
        <v>32.3642003536224</v>
      </c>
      <c r="R53" s="1692" t="n">
        <f aca="false">C53*R21</f>
        <v>32.059023976326</v>
      </c>
      <c r="S53" s="1692" t="n">
        <f aca="false">C53*S21</f>
        <v>31.927447617054</v>
      </c>
      <c r="T53" s="1692" t="n">
        <f aca="false">C53*T21</f>
        <v>31.5387496352196</v>
      </c>
      <c r="U53" s="1693" t="n">
        <f aca="false">C53*U21</f>
        <v>30.3238958120346</v>
      </c>
      <c r="V53" s="1692" t="n">
        <f aca="false">D53*V21</f>
        <v>22.0742985260102</v>
      </c>
      <c r="W53" s="1692" t="n">
        <f aca="false">D53*W21</f>
        <v>22.0178931586204</v>
      </c>
      <c r="X53" s="1692" t="n">
        <f aca="false">D53*X21</f>
        <v>19.6879519435667</v>
      </c>
      <c r="Y53" s="1692" t="n">
        <f aca="false">D53*Y21</f>
        <v>18.785478723626</v>
      </c>
      <c r="Z53" s="1692" t="n">
        <f aca="false">D53*Z21</f>
        <v>18.6692019172253</v>
      </c>
      <c r="AA53" s="1692" t="n">
        <f aca="false">D53*AA21</f>
        <v>17.8763012097728</v>
      </c>
      <c r="AB53" s="1692" t="n">
        <f aca="false">D53*AB21</f>
        <v>17.793095928046</v>
      </c>
      <c r="AC53" s="1693" t="n">
        <f aca="false">D53*AC21</f>
        <v>17.5473903456042</v>
      </c>
      <c r="AE53" s="1636" t="n">
        <v>7</v>
      </c>
      <c r="AF53" s="1646" t="n">
        <f aca="false">IF(WeekDef=8,IF(CustomHoFlag,IF(CustomHoPeriod=4,INDEX(VolumeHourlyOver,F11,4),IF(OR(CustomHoPeriod=1,CustomHoPeriod=2),IF(VolumeMonthlyOverFlag,INDEX(VolumeMonthlyOver,AE53),Volume),0)),0),AF39)</f>
        <v>150</v>
      </c>
      <c r="AG53" s="1647" t="n">
        <f aca="false">IF(WeekDef=8,IF(CustomHoFlag,IF(CustomHoPeriod=4,INDEX(VolumeHourlyOver,G11,4),IF(OR(CustomHoPeriod=1,CustomHoPeriod=2),IF(VolumeMonthlyOverFlag,INDEX(VolumeMonthlyOver,AE53),Volume),0)),0),AG39)</f>
        <v>150</v>
      </c>
      <c r="AH53" s="1647" t="n">
        <f aca="false">IF(WeekDef=8,IF(CustomHoFlag,IF(CustomHoPeriod=4,INDEX(VolumeHourlyOver,H11,4),IF(OR(CustomHoPeriod=1,CustomHoPeriod=2),IF(VolumeMonthlyOverFlag,INDEX(VolumeMonthlyOver,AE53),Volume),0)),0),AH39)</f>
        <v>150</v>
      </c>
      <c r="AI53" s="1647" t="n">
        <f aca="false">IF(WeekDef=8,IF(CustomHoFlag,IF(CustomHoPeriod=4,INDEX(VolumeHourlyOver,I11,4),IF(OR(CustomHoPeriod=1,CustomHoPeriod=2),IF(VolumeMonthlyOverFlag,INDEX(VolumeMonthlyOver,AE53),Volume),0)),0),AI39)</f>
        <v>150</v>
      </c>
      <c r="AJ53" s="1647" t="n">
        <f aca="false">IF(WeekDef=8,IF(CustomHoFlag,IF(CustomHoPeriod=4,INDEX(VolumeHourlyOver,J11,4),IF(OR(CustomHoPeriod=1,CustomHoPeriod=2),IF(VolumeMonthlyOverFlag,INDEX(VolumeMonthlyOver,AE53),Volume),0)),0),AJ39)</f>
        <v>150</v>
      </c>
      <c r="AK53" s="1647" t="n">
        <f aca="false">IF(WeekDef=8,IF(CustomHoFlag,IF(CustomHoPeriod=4,INDEX(VolumeHourlyOver,K11,4),IF(OR(CustomHoPeriod=1,CustomHoPeriod=2),IF(VolumeMonthlyOverFlag,INDEX(VolumeMonthlyOver,AE53),Volume),0)),0),AK39)</f>
        <v>150</v>
      </c>
      <c r="AL53" s="1647" t="n">
        <f aca="false">IF(WeekDef=8,IF(CustomHoFlag,IF(CustomHoPeriod=4,INDEX(VolumeHourlyOver,L11,4),IF(OR(CustomHoPeriod=1,CustomHoPeriod=2),IF(VolumeMonthlyOverFlag,INDEX(VolumeMonthlyOver,AE53),Volume),0)),0),AL39)</f>
        <v>150</v>
      </c>
      <c r="AM53" s="1647" t="n">
        <f aca="false">IF(WeekDef=8,IF(CustomHoFlag,IF(CustomHoPeriod=4,INDEX(VolumeHourlyOver,M11,4),IF(OR(CustomHoPeriod=1,CustomHoPeriod=2),IF(VolumeMonthlyOverFlag,INDEX(VolumeMonthlyOver,AE53),Volume),0)),0),AM39)</f>
        <v>150</v>
      </c>
      <c r="AN53" s="1647" t="n">
        <f aca="false">IF(WeekDef=8,IF(CustomHoFlag,IF(CustomHoPeriod=4,INDEX(VolumeHourlyOver,N11,4),IF(OR(CustomHoPeriod=1,CustomHoPeriod=2),IF(VolumeMonthlyOverFlag,INDEX(VolumeMonthlyOver,AE53),Volume),0)),0),AN39)</f>
        <v>150</v>
      </c>
      <c r="AO53" s="1647" t="n">
        <f aca="false">IF(WeekDef=8,IF(CustomHoFlag,IF(CustomHoPeriod=4,INDEX(VolumeHourlyOver,O11,4),IF(OR(CustomHoPeriod=1,CustomHoPeriod=2),IF(VolumeMonthlyOverFlag,INDEX(VolumeMonthlyOver,AE53),Volume),0)),0),AO39)</f>
        <v>150</v>
      </c>
      <c r="AP53" s="1647" t="n">
        <f aca="false">IF(WeekDef=8,IF(CustomHoFlag,IF(CustomHoPeriod=4,INDEX(VolumeHourlyOver,P11,4),IF(OR(CustomHoPeriod=1,CustomHoPeriod=2),IF(VolumeMonthlyOverFlag,INDEX(VolumeMonthlyOver,AE53),Volume),0)),0),AP39)</f>
        <v>150</v>
      </c>
      <c r="AQ53" s="1647" t="n">
        <f aca="false">IF(WeekDef=8,IF(CustomHoFlag,IF(CustomHoPeriod=4,INDEX(VolumeHourlyOver,Q11,4),IF(OR(CustomHoPeriod=1,CustomHoPeriod=2),IF(VolumeMonthlyOverFlag,INDEX(VolumeMonthlyOver,AE53),Volume),0)),0),AQ39)</f>
        <v>150</v>
      </c>
      <c r="AR53" s="1647" t="n">
        <f aca="false">IF(WeekDef=8,IF(CustomHoFlag,IF(CustomHoPeriod=4,INDEX(VolumeHourlyOver,R11,4),IF(OR(CustomHoPeriod=1,CustomHoPeriod=2),IF(VolumeMonthlyOverFlag,INDEX(VolumeMonthlyOver,AE53),Volume),0)),0),AR39)</f>
        <v>150</v>
      </c>
      <c r="AS53" s="1647" t="n">
        <f aca="false">IF(WeekDef=8,IF(CustomHoFlag,IF(CustomHoPeriod=4,INDEX(VolumeHourlyOver,S11,4),IF(OR(CustomHoPeriod=1,CustomHoPeriod=2),IF(VolumeMonthlyOverFlag,INDEX(VolumeMonthlyOver,AE53),Volume),0)),0),AS39)</f>
        <v>150</v>
      </c>
      <c r="AT53" s="1647" t="n">
        <f aca="false">IF(WeekDef=8,IF(CustomHoFlag,IF(CustomHoPeriod=4,INDEX(VolumeHourlyOver,T11,4),IF(OR(CustomHoPeriod=1,CustomHoPeriod=2),IF(VolumeMonthlyOverFlag,INDEX(VolumeMonthlyOver,AE53),Volume),0)),0),AT39)</f>
        <v>150</v>
      </c>
      <c r="AU53" s="1648" t="n">
        <f aca="false">IF(WeekDef=8,IF(CustomHoFlag,IF(CustomHoPeriod=4,INDEX(VolumeHourlyOver,U11,4),IF(OR(CustomHoPeriod=1,CustomHoPeriod=2),IF(VolumeMonthlyOverFlag,INDEX(VolumeMonthlyOver,AE53),Volume),0)),0),AU39)</f>
        <v>150</v>
      </c>
      <c r="AV53" s="1647" t="n">
        <f aca="false">IF(WeekDef=8,IF(CustomHoFlag,IF(CustomHoPeriod=4,INDEX(VolumeHourlyOver,V11,4),IF(OR(CustomHoPeriod=1,CustomHoPeriod=3),IF(VolumeMonthlyOverFlag,INDEX(VolumeMonthlyOver,AE53),Volume),0)),0),AV39)</f>
        <v>150</v>
      </c>
      <c r="AW53" s="1647" t="n">
        <f aca="false">IF(WeekDef=8,IF(CustomHoFlag,IF(CustomHoPeriod=4,INDEX(VolumeHourlyOver,W11,4),IF(OR(CustomHoPeriod=1,CustomHoPeriod=3),IF(VolumeMonthlyOverFlag,INDEX(VolumeMonthlyOver,AE53),Volume),0)),0),AW39)</f>
        <v>150</v>
      </c>
      <c r="AX53" s="1647" t="n">
        <f aca="false">IF(WeekDef=8,IF(CustomHoFlag,IF(CustomHoPeriod=4,INDEX(VolumeHourlyOver,X11,4),IF(OR(CustomHoPeriod=1,CustomHoPeriod=3),IF(VolumeMonthlyOverFlag,INDEX(VolumeMonthlyOver,AE53),Volume),0)),0),AX39)</f>
        <v>150</v>
      </c>
      <c r="AY53" s="1647" t="n">
        <f aca="false">IF(WeekDef=8,IF(CustomHoFlag,IF(CustomHoPeriod=4,INDEX(VolumeHourlyOver,Y11,4),IF(OR(CustomHoPeriod=1,CustomHoPeriod=3),IF(VolumeMonthlyOverFlag,INDEX(VolumeMonthlyOver,AE53),Volume),0)),0),AY39)</f>
        <v>150</v>
      </c>
      <c r="AZ53" s="1647" t="n">
        <f aca="false">IF(WeekDef=8,IF(CustomHoFlag,IF(CustomHoPeriod=4,INDEX(VolumeHourlyOver,Z11,4),IF(OR(CustomHoPeriod=1,CustomHoPeriod=3),IF(VolumeMonthlyOverFlag,INDEX(VolumeMonthlyOver,AE53),Volume),0)),0),AZ39)</f>
        <v>150</v>
      </c>
      <c r="BA53" s="1647" t="n">
        <f aca="false">IF(WeekDef=8,IF(CustomHoFlag,IF(CustomHoPeriod=4,INDEX(VolumeHourlyOver,AA11,4),IF(OR(CustomHoPeriod=1,CustomHoPeriod=3),IF(VolumeMonthlyOverFlag,INDEX(VolumeMonthlyOver,AE53),Volume),0)),0),BA39)</f>
        <v>150</v>
      </c>
      <c r="BB53" s="1647" t="n">
        <f aca="false">IF(WeekDef=8,IF(CustomHoFlag,IF(CustomHoPeriod=4,INDEX(VolumeHourlyOver,AB11,4),IF(OR(CustomHoPeriod=1,CustomHoPeriod=3),IF(VolumeMonthlyOverFlag,INDEX(VolumeMonthlyOver,AE53),Volume),0)),0),BB39)</f>
        <v>150</v>
      </c>
      <c r="BC53" s="1648" t="n">
        <f aca="false">IF(WeekDef=8,IF(CustomHoFlag,IF(CustomHoPeriod=4,INDEX(VolumeHourlyOver,AC11,4),IF(OR(CustomHoPeriod=1,CustomHoPeriod=3),IF(VolumeMonthlyOverFlag,INDEX(VolumeMonthlyOver,AE53),Volume),0)),0),BC39)</f>
        <v>150</v>
      </c>
      <c r="BD53" s="1652" t="n">
        <f aca="false">SUM(AF53:AU53)</f>
        <v>2400</v>
      </c>
      <c r="BE53" s="1653" t="n">
        <f aca="false">SUM(AV53:BC53)</f>
        <v>1200</v>
      </c>
      <c r="BF53" s="1654" t="n">
        <f aca="false">BD53+BE53</f>
        <v>3600</v>
      </c>
      <c r="BG53" s="1674" t="n">
        <f aca="false">IF(BD53,SUMPRODUCT(AF53:AU53,F27:U27)/BD53,0)</f>
        <v>1.00000000372529</v>
      </c>
      <c r="BH53" s="1655" t="n">
        <f aca="false">IF(BE53,SUMPRODUCT(AV53:BC53,V27:AC27)/BE53,0)</f>
        <v>0.999999985098839</v>
      </c>
      <c r="BJ53" s="1636" t="n">
        <v>7</v>
      </c>
      <c r="BK53" s="1646" t="n">
        <f aca="false">IF(WeekDef=8,IF(CustomHoFlag,IF(CustomHoPeriod=4,INDEX(IF(DiffOptVolumeFlag,DiffOptVolumeHourlyOver,VolumeHourlyOver),F11,4),IF(OR(CustomHoPeriod=1,CustomHoPeriod=2),IF(VolumeMonthlyOverFlag,INDEX(IF(DiffOptVolumeFlag,DiffOptVolumeMonthlyOver,VolumeMonthlyOver),BJ53),IF(DiffOptVolumeFlag,DiffOptVolume,Volume)),0)),0),BK39)</f>
        <v>600</v>
      </c>
      <c r="BL53" s="1647" t="n">
        <f aca="false">IF(WeekDef=8,IF(CustomHoFlag,IF(CustomHoPeriod=4,INDEX(IF(DiffOptVolumeFlag,DiffOptVolumeHourlyOver,VolumeHourlyOver),G11,4),IF(OR(CustomHoPeriod=1,CustomHoPeriod=2),IF(VolumeMonthlyOverFlag,INDEX(IF(DiffOptVolumeFlag,DiffOptVolumeMonthlyOver,VolumeMonthlyOver),BJ53),IF(DiffOptVolumeFlag,DiffOptVolume,Volume)),0)),0),BL39)</f>
        <v>600</v>
      </c>
      <c r="BM53" s="1647" t="n">
        <f aca="false">IF(WeekDef=8,IF(CustomHoFlag,IF(CustomHoPeriod=4,INDEX(IF(DiffOptVolumeFlag,DiffOptVolumeHourlyOver,VolumeHourlyOver),H11,4),IF(OR(CustomHoPeriod=1,CustomHoPeriod=2),IF(VolumeMonthlyOverFlag,INDEX(IF(DiffOptVolumeFlag,DiffOptVolumeMonthlyOver,VolumeMonthlyOver),BJ53),IF(DiffOptVolumeFlag,DiffOptVolume,Volume)),0)),0),BM39)</f>
        <v>600</v>
      </c>
      <c r="BN53" s="1647" t="n">
        <f aca="false">IF(WeekDef=8,IF(CustomHoFlag,IF(CustomHoPeriod=4,INDEX(IF(DiffOptVolumeFlag,DiffOptVolumeHourlyOver,VolumeHourlyOver),I11,4),IF(OR(CustomHoPeriod=1,CustomHoPeriod=2),IF(VolumeMonthlyOverFlag,INDEX(IF(DiffOptVolumeFlag,DiffOptVolumeMonthlyOver,VolumeMonthlyOver),BJ53),IF(DiffOptVolumeFlag,DiffOptVolume,Volume)),0)),0),BN39)</f>
        <v>600</v>
      </c>
      <c r="BO53" s="1647" t="n">
        <f aca="false">IF(WeekDef=8,IF(CustomHoFlag,IF(CustomHoPeriod=4,INDEX(IF(DiffOptVolumeFlag,DiffOptVolumeHourlyOver,VolumeHourlyOver),J11,4),IF(OR(CustomHoPeriod=1,CustomHoPeriod=2),IF(VolumeMonthlyOverFlag,INDEX(IF(DiffOptVolumeFlag,DiffOptVolumeMonthlyOver,VolumeMonthlyOver),BJ53),IF(DiffOptVolumeFlag,DiffOptVolume,Volume)),0)),0),BO39)</f>
        <v>600</v>
      </c>
      <c r="BP53" s="1647" t="n">
        <f aca="false">IF(WeekDef=8,IF(CustomHoFlag,IF(CustomHoPeriod=4,INDEX(IF(DiffOptVolumeFlag,DiffOptVolumeHourlyOver,VolumeHourlyOver),K11,4),IF(OR(CustomHoPeriod=1,CustomHoPeriod=2),IF(VolumeMonthlyOverFlag,INDEX(IF(DiffOptVolumeFlag,DiffOptVolumeMonthlyOver,VolumeMonthlyOver),BJ53),IF(DiffOptVolumeFlag,DiffOptVolume,Volume)),0)),0),BP39)</f>
        <v>600</v>
      </c>
      <c r="BQ53" s="1647" t="n">
        <f aca="false">IF(WeekDef=8,IF(CustomHoFlag,IF(CustomHoPeriod=4,INDEX(IF(DiffOptVolumeFlag,DiffOptVolumeHourlyOver,VolumeHourlyOver),L11,4),IF(OR(CustomHoPeriod=1,CustomHoPeriod=2),IF(VolumeMonthlyOverFlag,INDEX(IF(DiffOptVolumeFlag,DiffOptVolumeMonthlyOver,VolumeMonthlyOver),BJ53),IF(DiffOptVolumeFlag,DiffOptVolume,Volume)),0)),0),BQ39)</f>
        <v>600</v>
      </c>
      <c r="BR53" s="1647" t="n">
        <f aca="false">IF(WeekDef=8,IF(CustomHoFlag,IF(CustomHoPeriod=4,INDEX(IF(DiffOptVolumeFlag,DiffOptVolumeHourlyOver,VolumeHourlyOver),M11,4),IF(OR(CustomHoPeriod=1,CustomHoPeriod=2),IF(VolumeMonthlyOverFlag,INDEX(IF(DiffOptVolumeFlag,DiffOptVolumeMonthlyOver,VolumeMonthlyOver),BJ53),IF(DiffOptVolumeFlag,DiffOptVolume,Volume)),0)),0),BR39)</f>
        <v>600</v>
      </c>
      <c r="BS53" s="1647" t="n">
        <f aca="false">IF(WeekDef=8,IF(CustomHoFlag,IF(CustomHoPeriod=4,INDEX(IF(DiffOptVolumeFlag,DiffOptVolumeHourlyOver,VolumeHourlyOver),N11,4),IF(OR(CustomHoPeriod=1,CustomHoPeriod=2),IF(VolumeMonthlyOverFlag,INDEX(IF(DiffOptVolumeFlag,DiffOptVolumeMonthlyOver,VolumeMonthlyOver),BJ53),IF(DiffOptVolumeFlag,DiffOptVolume,Volume)),0)),0),BS39)</f>
        <v>600</v>
      </c>
      <c r="BT53" s="1647" t="n">
        <f aca="false">IF(WeekDef=8,IF(CustomHoFlag,IF(CustomHoPeriod=4,INDEX(IF(DiffOptVolumeFlag,DiffOptVolumeHourlyOver,VolumeHourlyOver),O11,4),IF(OR(CustomHoPeriod=1,CustomHoPeriod=2),IF(VolumeMonthlyOverFlag,INDEX(IF(DiffOptVolumeFlag,DiffOptVolumeMonthlyOver,VolumeMonthlyOver),BJ53),IF(DiffOptVolumeFlag,DiffOptVolume,Volume)),0)),0),BT39)</f>
        <v>600</v>
      </c>
      <c r="BU53" s="1647" t="n">
        <f aca="false">IF(WeekDef=8,IF(CustomHoFlag,IF(CustomHoPeriod=4,INDEX(IF(DiffOptVolumeFlag,DiffOptVolumeHourlyOver,VolumeHourlyOver),P11,4),IF(OR(CustomHoPeriod=1,CustomHoPeriod=2),IF(VolumeMonthlyOverFlag,INDEX(IF(DiffOptVolumeFlag,DiffOptVolumeMonthlyOver,VolumeMonthlyOver),BJ53),IF(DiffOptVolumeFlag,DiffOptVolume,Volume)),0)),0),BU39)</f>
        <v>600</v>
      </c>
      <c r="BV53" s="1647" t="n">
        <f aca="false">IF(WeekDef=8,IF(CustomHoFlag,IF(CustomHoPeriod=4,INDEX(IF(DiffOptVolumeFlag,DiffOptVolumeHourlyOver,VolumeHourlyOver),Q11,4),IF(OR(CustomHoPeriod=1,CustomHoPeriod=2),IF(VolumeMonthlyOverFlag,INDEX(IF(DiffOptVolumeFlag,DiffOptVolumeMonthlyOver,VolumeMonthlyOver),BJ53),IF(DiffOptVolumeFlag,DiffOptVolume,Volume)),0)),0),BV39)</f>
        <v>600</v>
      </c>
      <c r="BW53" s="1647" t="n">
        <f aca="false">IF(WeekDef=8,IF(CustomHoFlag,IF(CustomHoPeriod=4,INDEX(IF(DiffOptVolumeFlag,DiffOptVolumeHourlyOver,VolumeHourlyOver),R11,4),IF(OR(CustomHoPeriod=1,CustomHoPeriod=2),IF(VolumeMonthlyOverFlag,INDEX(IF(DiffOptVolumeFlag,DiffOptVolumeMonthlyOver,VolumeMonthlyOver),BJ53),IF(DiffOptVolumeFlag,DiffOptVolume,Volume)),0)),0),BW39)</f>
        <v>600</v>
      </c>
      <c r="BX53" s="1647" t="n">
        <f aca="false">IF(WeekDef=8,IF(CustomHoFlag,IF(CustomHoPeriod=4,INDEX(IF(DiffOptVolumeFlag,DiffOptVolumeHourlyOver,VolumeHourlyOver),S11,4),IF(OR(CustomHoPeriod=1,CustomHoPeriod=2),IF(VolumeMonthlyOverFlag,INDEX(IF(DiffOptVolumeFlag,DiffOptVolumeMonthlyOver,VolumeMonthlyOver),BJ53),IF(DiffOptVolumeFlag,DiffOptVolume,Volume)),0)),0),BX39)</f>
        <v>600</v>
      </c>
      <c r="BY53" s="1647" t="n">
        <f aca="false">IF(WeekDef=8,IF(CustomHoFlag,IF(CustomHoPeriod=4,INDEX(IF(DiffOptVolumeFlag,DiffOptVolumeHourlyOver,VolumeHourlyOver),T11,4),IF(OR(CustomHoPeriod=1,CustomHoPeriod=2),IF(VolumeMonthlyOverFlag,INDEX(IF(DiffOptVolumeFlag,DiffOptVolumeMonthlyOver,VolumeMonthlyOver),BJ53),IF(DiffOptVolumeFlag,DiffOptVolume,Volume)),0)),0),BY39)</f>
        <v>600</v>
      </c>
      <c r="BZ53" s="1648" t="n">
        <f aca="false">IF(WeekDef=8,IF(CustomHoFlag,IF(CustomHoPeriod=4,INDEX(IF(DiffOptVolumeFlag,DiffOptVolumeHourlyOver,VolumeHourlyOver),U11,4),IF(OR(CustomHoPeriod=1,CustomHoPeriod=2),IF(VolumeMonthlyOverFlag,INDEX(IF(DiffOptVolumeFlag,DiffOptVolumeMonthlyOver,VolumeMonthlyOver),BJ53),IF(DiffOptVolumeFlag,DiffOptVolume,Volume)),0)),0),BZ39)</f>
        <v>600</v>
      </c>
      <c r="CA53" s="1647" t="n">
        <f aca="false">IF(WeekDef=8,IF(CustomHoFlag,IF(CustomHoPeriod=4,INDEX(IF(DiffOptVolumeFlag,DiffOptVolumeHourlyOver,VolumeHourlyOver),V11,4),IF(OR(CustomHoPeriod=1,CustomHoPeriod=3),IF(VolumeMonthlyOverFlag,INDEX(IF(DiffOptVolumeFlag,DiffOptVolumeMonthlyOver,VolumeMonthlyOver),BJ53),IF(DiffOptVolumeFlag,DiffOptVolume,Volume)),0)),0),CA39)</f>
        <v>600</v>
      </c>
      <c r="CB53" s="1647" t="n">
        <f aca="false">IF(WeekDef=8,IF(CustomHoFlag,IF(CustomHoPeriod=4,INDEX(IF(DiffOptVolumeFlag,DiffOptVolumeHourlyOver,VolumeHourlyOver),W11,4),IF(OR(CustomHoPeriod=1,CustomHoPeriod=3),IF(VolumeMonthlyOverFlag,INDEX(IF(DiffOptVolumeFlag,DiffOptVolumeMonthlyOver,VolumeMonthlyOver),BJ53),IF(DiffOptVolumeFlag,DiffOptVolume,Volume)),0)),0),CB39)</f>
        <v>600</v>
      </c>
      <c r="CC53" s="1647" t="n">
        <f aca="false">IF(WeekDef=8,IF(CustomHoFlag,IF(CustomHoPeriod=4,INDEX(IF(DiffOptVolumeFlag,DiffOptVolumeHourlyOver,VolumeHourlyOver),X11,4),IF(OR(CustomHoPeriod=1,CustomHoPeriod=3),IF(VolumeMonthlyOverFlag,INDEX(IF(DiffOptVolumeFlag,DiffOptVolumeMonthlyOver,VolumeMonthlyOver),BJ53),IF(DiffOptVolumeFlag,DiffOptVolume,Volume)),0)),0),CC39)</f>
        <v>600</v>
      </c>
      <c r="CD53" s="1647" t="n">
        <f aca="false">IF(WeekDef=8,IF(CustomHoFlag,IF(CustomHoPeriod=4,INDEX(IF(DiffOptVolumeFlag,DiffOptVolumeHourlyOver,VolumeHourlyOver),Y11,4),IF(OR(CustomHoPeriod=1,CustomHoPeriod=3),IF(VolumeMonthlyOverFlag,INDEX(IF(DiffOptVolumeFlag,DiffOptVolumeMonthlyOver,VolumeMonthlyOver),BJ53),IF(DiffOptVolumeFlag,DiffOptVolume,Volume)),0)),0),CD39)</f>
        <v>600</v>
      </c>
      <c r="CE53" s="1647" t="n">
        <f aca="false">IF(WeekDef=8,IF(CustomHoFlag,IF(CustomHoPeriod=4,INDEX(IF(DiffOptVolumeFlag,DiffOptVolumeHourlyOver,VolumeHourlyOver),Z11,4),IF(OR(CustomHoPeriod=1,CustomHoPeriod=3),IF(VolumeMonthlyOverFlag,INDEX(IF(DiffOptVolumeFlag,DiffOptVolumeMonthlyOver,VolumeMonthlyOver),BJ53),IF(DiffOptVolumeFlag,DiffOptVolume,Volume)),0)),0),CE39)</f>
        <v>600</v>
      </c>
      <c r="CF53" s="1647" t="n">
        <f aca="false">IF(WeekDef=8,IF(CustomHoFlag,IF(CustomHoPeriod=4,INDEX(IF(DiffOptVolumeFlag,DiffOptVolumeHourlyOver,VolumeHourlyOver),AA11,4),IF(OR(CustomHoPeriod=1,CustomHoPeriod=3),IF(VolumeMonthlyOverFlag,INDEX(IF(DiffOptVolumeFlag,DiffOptVolumeMonthlyOver,VolumeMonthlyOver),BJ53),IF(DiffOptVolumeFlag,DiffOptVolume,Volume)),0)),0),CF39)</f>
        <v>600</v>
      </c>
      <c r="CG53" s="1647" t="n">
        <f aca="false">IF(WeekDef=8,IF(CustomHoFlag,IF(CustomHoPeriod=4,INDEX(IF(DiffOptVolumeFlag,DiffOptVolumeHourlyOver,VolumeHourlyOver),AB11,4),IF(OR(CustomHoPeriod=1,CustomHoPeriod=3),IF(VolumeMonthlyOverFlag,INDEX(IF(DiffOptVolumeFlag,DiffOptVolumeMonthlyOver,VolumeMonthlyOver),BJ53),IF(DiffOptVolumeFlag,DiffOptVolume,Volume)),0)),0),CG39)</f>
        <v>600</v>
      </c>
      <c r="CH53" s="1648" t="n">
        <f aca="false">IF(WeekDef=8,IF(CustomHoFlag,IF(CustomHoPeriod=4,INDEX(IF(DiffOptVolumeFlag,DiffOptVolumeHourlyOver,VolumeHourlyOver),AC11,4),IF(OR(CustomHoPeriod=1,CustomHoPeriod=3),IF(VolumeMonthlyOverFlag,INDEX(IF(DiffOptVolumeFlag,DiffOptVolumeMonthlyOver,VolumeMonthlyOver),BJ53),IF(DiffOptVolumeFlag,DiffOptVolume,Volume)),0)),0),CH39)</f>
        <v>600</v>
      </c>
      <c r="CI53" s="1652" t="n">
        <f aca="false">SUM(BK53:BZ53)</f>
        <v>9600</v>
      </c>
      <c r="CJ53" s="1653" t="n">
        <f aca="false">SUM(CA53:CH53)</f>
        <v>4800</v>
      </c>
      <c r="CK53" s="1654" t="n">
        <f aca="false">CI53+CJ53</f>
        <v>14400</v>
      </c>
      <c r="CL53" s="1674" t="n">
        <f aca="false">IF(CI53,SUMPRODUCT(BK53:BZ53,F27:U27)/CI53,0)</f>
        <v>1.00000000372529</v>
      </c>
      <c r="CM53" s="1655" t="n">
        <f aca="false">IF(CJ53,SUMPRODUCT(CA53:CH53,V27:AC27)/CJ53,0)</f>
        <v>0.999999985098839</v>
      </c>
    </row>
    <row r="54" customFormat="false" ht="12.75" hidden="false" customHeight="false" outlineLevel="0" collapsed="false">
      <c r="A54" s="1694" t="n">
        <v>2</v>
      </c>
      <c r="B54" s="1695" t="n">
        <f aca="false">EOMONTH(CurveDate+31,MOD(A38-MONTH(CurveDate+31),12)-1)+1</f>
        <v>36923</v>
      </c>
      <c r="C54" s="1696" t="n">
        <f aca="false">VLOOKUP(B54,PriceTableWeekend,3,0)+IF(BasisNumber&lt;&gt;1,VLOOKUP(B38,BasisTable,2,0),0)</f>
        <v>34.5</v>
      </c>
      <c r="D54" s="1696" t="n">
        <f aca="false">VLOOKUP(B38,PriceTable,7,0)+IF(BasisNumber&lt;&gt;1,VLOOKUP(B38,BasisTable,3,0),0)</f>
        <v>19.6071428571429</v>
      </c>
      <c r="E54" s="1636" t="n">
        <v>2</v>
      </c>
      <c r="F54" s="1691" t="n">
        <f aca="false">C54*F22</f>
        <v>39.2136506438255</v>
      </c>
      <c r="G54" s="1692" t="n">
        <f aca="false">C54*G22</f>
        <v>38.2254050374031</v>
      </c>
      <c r="H54" s="1692" t="n">
        <f aca="false">C54*H22</f>
        <v>36.8192083239555</v>
      </c>
      <c r="I54" s="1692" t="n">
        <f aca="false">C54*I22</f>
        <v>36.5948347449303</v>
      </c>
      <c r="J54" s="1692" t="n">
        <f aca="false">C54*J22</f>
        <v>36.4758907556534</v>
      </c>
      <c r="K54" s="1692" t="n">
        <f aca="false">C54*K22</f>
        <v>35.4054030776024</v>
      </c>
      <c r="L54" s="1692" t="n">
        <f aca="false">C54*L22</f>
        <v>35.3086677789688</v>
      </c>
      <c r="M54" s="1692" t="n">
        <f aca="false">C54*M22</f>
        <v>34.5311579704285</v>
      </c>
      <c r="N54" s="1692" t="n">
        <f aca="false">C54*N22</f>
        <v>34.1284342110157</v>
      </c>
      <c r="O54" s="1692" t="n">
        <f aca="false">C54*O22</f>
        <v>33.1058371067047</v>
      </c>
      <c r="P54" s="1692" t="n">
        <f aca="false">C54*P22</f>
        <v>33.09916010499</v>
      </c>
      <c r="Q54" s="1692" t="n">
        <f aca="false">C54*Q22</f>
        <v>32.7514953911305</v>
      </c>
      <c r="R54" s="1692" t="n">
        <f aca="false">C54*R22</f>
        <v>31.6963214278221</v>
      </c>
      <c r="S54" s="1692" t="n">
        <f aca="false">C54*S22</f>
        <v>31.6666604876518</v>
      </c>
      <c r="T54" s="1692" t="n">
        <f aca="false">C54*T22</f>
        <v>31.6451406776905</v>
      </c>
      <c r="U54" s="1693" t="n">
        <f aca="false">C54*U22</f>
        <v>31.3327322602272</v>
      </c>
      <c r="V54" s="1692" t="n">
        <f aca="false">D54*V22</f>
        <v>22.9783008992672</v>
      </c>
      <c r="W54" s="1692" t="n">
        <f aca="false">D54*W22</f>
        <v>22.2579822880881</v>
      </c>
      <c r="X54" s="1692" t="n">
        <f aca="false">D54*X22</f>
        <v>19.8229530496257</v>
      </c>
      <c r="Y54" s="1692" t="n">
        <f aca="false">D54*Y22</f>
        <v>19.2393205378737</v>
      </c>
      <c r="Z54" s="1692" t="n">
        <f aca="false">D54*Z22</f>
        <v>18.580407711012</v>
      </c>
      <c r="AA54" s="1692" t="n">
        <f aca="false">D54*AA22</f>
        <v>18.2585015339511</v>
      </c>
      <c r="AB54" s="1692" t="n">
        <f aca="false">D54*AB22</f>
        <v>18.0142457485199</v>
      </c>
      <c r="AC54" s="1693" t="n">
        <f aca="false">D54*AC22</f>
        <v>17.7054299201284</v>
      </c>
      <c r="AE54" s="1636" t="n">
        <v>8</v>
      </c>
      <c r="AF54" s="1646" t="n">
        <f aca="false">IF(WeekDef=8,IF(CustomHoFlag,IF(CustomHoPeriod=4,INDEX(VolumeHourlyOver,F12,4),IF(OR(CustomHoPeriod=1,CustomHoPeriod=2),IF(VolumeMonthlyOverFlag,INDEX(VolumeMonthlyOver,AE54),Volume),0)),0),AF40)</f>
        <v>150</v>
      </c>
      <c r="AG54" s="1647" t="n">
        <f aca="false">IF(WeekDef=8,IF(CustomHoFlag,IF(CustomHoPeriod=4,INDEX(VolumeHourlyOver,G12,4),IF(OR(CustomHoPeriod=1,CustomHoPeriod=2),IF(VolumeMonthlyOverFlag,INDEX(VolumeMonthlyOver,AE54),Volume),0)),0),AG40)</f>
        <v>150</v>
      </c>
      <c r="AH54" s="1647" t="n">
        <f aca="false">IF(WeekDef=8,IF(CustomHoFlag,IF(CustomHoPeriod=4,INDEX(VolumeHourlyOver,H12,4),IF(OR(CustomHoPeriod=1,CustomHoPeriod=2),IF(VolumeMonthlyOverFlag,INDEX(VolumeMonthlyOver,AE54),Volume),0)),0),AH40)</f>
        <v>150</v>
      </c>
      <c r="AI54" s="1647" t="n">
        <f aca="false">IF(WeekDef=8,IF(CustomHoFlag,IF(CustomHoPeriod=4,INDEX(VolumeHourlyOver,I12,4),IF(OR(CustomHoPeriod=1,CustomHoPeriod=2),IF(VolumeMonthlyOverFlag,INDEX(VolumeMonthlyOver,AE54),Volume),0)),0),AI40)</f>
        <v>150</v>
      </c>
      <c r="AJ54" s="1647" t="n">
        <f aca="false">IF(WeekDef=8,IF(CustomHoFlag,IF(CustomHoPeriod=4,INDEX(VolumeHourlyOver,J12,4),IF(OR(CustomHoPeriod=1,CustomHoPeriod=2),IF(VolumeMonthlyOverFlag,INDEX(VolumeMonthlyOver,AE54),Volume),0)),0),AJ40)</f>
        <v>150</v>
      </c>
      <c r="AK54" s="1647" t="n">
        <f aca="false">IF(WeekDef=8,IF(CustomHoFlag,IF(CustomHoPeriod=4,INDEX(VolumeHourlyOver,K12,4),IF(OR(CustomHoPeriod=1,CustomHoPeriod=2),IF(VolumeMonthlyOverFlag,INDEX(VolumeMonthlyOver,AE54),Volume),0)),0),AK40)</f>
        <v>150</v>
      </c>
      <c r="AL54" s="1647" t="n">
        <f aca="false">IF(WeekDef=8,IF(CustomHoFlag,IF(CustomHoPeriod=4,INDEX(VolumeHourlyOver,L12,4),IF(OR(CustomHoPeriod=1,CustomHoPeriod=2),IF(VolumeMonthlyOverFlag,INDEX(VolumeMonthlyOver,AE54),Volume),0)),0),AL40)</f>
        <v>150</v>
      </c>
      <c r="AM54" s="1647" t="n">
        <f aca="false">IF(WeekDef=8,IF(CustomHoFlag,IF(CustomHoPeriod=4,INDEX(VolumeHourlyOver,M12,4),IF(OR(CustomHoPeriod=1,CustomHoPeriod=2),IF(VolumeMonthlyOverFlag,INDEX(VolumeMonthlyOver,AE54),Volume),0)),0),AM40)</f>
        <v>150</v>
      </c>
      <c r="AN54" s="1647" t="n">
        <f aca="false">IF(WeekDef=8,IF(CustomHoFlag,IF(CustomHoPeriod=4,INDEX(VolumeHourlyOver,N12,4),IF(OR(CustomHoPeriod=1,CustomHoPeriod=2),IF(VolumeMonthlyOverFlag,INDEX(VolumeMonthlyOver,AE54),Volume),0)),0),AN40)</f>
        <v>150</v>
      </c>
      <c r="AO54" s="1647" t="n">
        <f aca="false">IF(WeekDef=8,IF(CustomHoFlag,IF(CustomHoPeriod=4,INDEX(VolumeHourlyOver,O12,4),IF(OR(CustomHoPeriod=1,CustomHoPeriod=2),IF(VolumeMonthlyOverFlag,INDEX(VolumeMonthlyOver,AE54),Volume),0)),0),AO40)</f>
        <v>150</v>
      </c>
      <c r="AP54" s="1647" t="n">
        <f aca="false">IF(WeekDef=8,IF(CustomHoFlag,IF(CustomHoPeriod=4,INDEX(VolumeHourlyOver,P12,4),IF(OR(CustomHoPeriod=1,CustomHoPeriod=2),IF(VolumeMonthlyOverFlag,INDEX(VolumeMonthlyOver,AE54),Volume),0)),0),AP40)</f>
        <v>150</v>
      </c>
      <c r="AQ54" s="1647" t="n">
        <f aca="false">IF(WeekDef=8,IF(CustomHoFlag,IF(CustomHoPeriod=4,INDEX(VolumeHourlyOver,Q12,4),IF(OR(CustomHoPeriod=1,CustomHoPeriod=2),IF(VolumeMonthlyOverFlag,INDEX(VolumeMonthlyOver,AE54),Volume),0)),0),AQ40)</f>
        <v>150</v>
      </c>
      <c r="AR54" s="1647" t="n">
        <f aca="false">IF(WeekDef=8,IF(CustomHoFlag,IF(CustomHoPeriod=4,INDEX(VolumeHourlyOver,R12,4),IF(OR(CustomHoPeriod=1,CustomHoPeriod=2),IF(VolumeMonthlyOverFlag,INDEX(VolumeMonthlyOver,AE54),Volume),0)),0),AR40)</f>
        <v>150</v>
      </c>
      <c r="AS54" s="1647" t="n">
        <f aca="false">IF(WeekDef=8,IF(CustomHoFlag,IF(CustomHoPeriod=4,INDEX(VolumeHourlyOver,S12,4),IF(OR(CustomHoPeriod=1,CustomHoPeriod=2),IF(VolumeMonthlyOverFlag,INDEX(VolumeMonthlyOver,AE54),Volume),0)),0),AS40)</f>
        <v>150</v>
      </c>
      <c r="AT54" s="1647" t="n">
        <f aca="false">IF(WeekDef=8,IF(CustomHoFlag,IF(CustomHoPeriod=4,INDEX(VolumeHourlyOver,T12,4),IF(OR(CustomHoPeriod=1,CustomHoPeriod=2),IF(VolumeMonthlyOverFlag,INDEX(VolumeMonthlyOver,AE54),Volume),0)),0),AT40)</f>
        <v>150</v>
      </c>
      <c r="AU54" s="1648" t="n">
        <f aca="false">IF(WeekDef=8,IF(CustomHoFlag,IF(CustomHoPeriod=4,INDEX(VolumeHourlyOver,U12,4),IF(OR(CustomHoPeriod=1,CustomHoPeriod=2),IF(VolumeMonthlyOverFlag,INDEX(VolumeMonthlyOver,AE54),Volume),0)),0),AU40)</f>
        <v>150</v>
      </c>
      <c r="AV54" s="1647" t="n">
        <f aca="false">IF(WeekDef=8,IF(CustomHoFlag,IF(CustomHoPeriod=4,INDEX(VolumeHourlyOver,V12,4),IF(OR(CustomHoPeriod=1,CustomHoPeriod=3),IF(VolumeMonthlyOverFlag,INDEX(VolumeMonthlyOver,AE54),Volume),0)),0),AV40)</f>
        <v>150</v>
      </c>
      <c r="AW54" s="1647" t="n">
        <f aca="false">IF(WeekDef=8,IF(CustomHoFlag,IF(CustomHoPeriod=4,INDEX(VolumeHourlyOver,W12,4),IF(OR(CustomHoPeriod=1,CustomHoPeriod=3),IF(VolumeMonthlyOverFlag,INDEX(VolumeMonthlyOver,AE54),Volume),0)),0),AW40)</f>
        <v>150</v>
      </c>
      <c r="AX54" s="1647" t="n">
        <f aca="false">IF(WeekDef=8,IF(CustomHoFlag,IF(CustomHoPeriod=4,INDEX(VolumeHourlyOver,X12,4),IF(OR(CustomHoPeriod=1,CustomHoPeriod=3),IF(VolumeMonthlyOverFlag,INDEX(VolumeMonthlyOver,AE54),Volume),0)),0),AX40)</f>
        <v>150</v>
      </c>
      <c r="AY54" s="1647" t="n">
        <f aca="false">IF(WeekDef=8,IF(CustomHoFlag,IF(CustomHoPeriod=4,INDEX(VolumeHourlyOver,Y12,4),IF(OR(CustomHoPeriod=1,CustomHoPeriod=3),IF(VolumeMonthlyOverFlag,INDEX(VolumeMonthlyOver,AE54),Volume),0)),0),AY40)</f>
        <v>150</v>
      </c>
      <c r="AZ54" s="1647" t="n">
        <f aca="false">IF(WeekDef=8,IF(CustomHoFlag,IF(CustomHoPeriod=4,INDEX(VolumeHourlyOver,Z12,4),IF(OR(CustomHoPeriod=1,CustomHoPeriod=3),IF(VolumeMonthlyOverFlag,INDEX(VolumeMonthlyOver,AE54),Volume),0)),0),AZ40)</f>
        <v>150</v>
      </c>
      <c r="BA54" s="1647" t="n">
        <f aca="false">IF(WeekDef=8,IF(CustomHoFlag,IF(CustomHoPeriod=4,INDEX(VolumeHourlyOver,AA12,4),IF(OR(CustomHoPeriod=1,CustomHoPeriod=3),IF(VolumeMonthlyOverFlag,INDEX(VolumeMonthlyOver,AE54),Volume),0)),0),BA40)</f>
        <v>150</v>
      </c>
      <c r="BB54" s="1647" t="n">
        <f aca="false">IF(WeekDef=8,IF(CustomHoFlag,IF(CustomHoPeriod=4,INDEX(VolumeHourlyOver,AB12,4),IF(OR(CustomHoPeriod=1,CustomHoPeriod=3),IF(VolumeMonthlyOverFlag,INDEX(VolumeMonthlyOver,AE54),Volume),0)),0),BB40)</f>
        <v>150</v>
      </c>
      <c r="BC54" s="1648" t="n">
        <f aca="false">IF(WeekDef=8,IF(CustomHoFlag,IF(CustomHoPeriod=4,INDEX(VolumeHourlyOver,AC12,4),IF(OR(CustomHoPeriod=1,CustomHoPeriod=3),IF(VolumeMonthlyOverFlag,INDEX(VolumeMonthlyOver,AE54),Volume),0)),0),BC40)</f>
        <v>150</v>
      </c>
      <c r="BD54" s="1652" t="n">
        <f aca="false">SUM(AF54:AU54)</f>
        <v>2400</v>
      </c>
      <c r="BE54" s="1653" t="n">
        <f aca="false">SUM(AV54:BC54)</f>
        <v>1200</v>
      </c>
      <c r="BF54" s="1654" t="n">
        <f aca="false">BD54+BE54</f>
        <v>3600</v>
      </c>
      <c r="BG54" s="1674" t="n">
        <f aca="false">IF(BD54,SUMPRODUCT(AF54:AU54,F28:U28)/BD54,0)</f>
        <v>0.999999988824129</v>
      </c>
      <c r="BH54" s="1655" t="n">
        <f aca="false">IF(BE54,SUMPRODUCT(AV54:BC54,V28:AC28)/BE54,0)</f>
        <v>1.00000000745058</v>
      </c>
      <c r="BJ54" s="1636" t="n">
        <v>8</v>
      </c>
      <c r="BK54" s="1646" t="n">
        <f aca="false">IF(WeekDef=8,IF(CustomHoFlag,IF(CustomHoPeriod=4,INDEX(IF(DiffOptVolumeFlag,DiffOptVolumeHourlyOver,VolumeHourlyOver),F12,4),IF(OR(CustomHoPeriod=1,CustomHoPeriod=2),IF(VolumeMonthlyOverFlag,INDEX(IF(DiffOptVolumeFlag,DiffOptVolumeMonthlyOver,VolumeMonthlyOver),BJ54),IF(DiffOptVolumeFlag,DiffOptVolume,Volume)),0)),0),BK40)</f>
        <v>600</v>
      </c>
      <c r="BL54" s="1647" t="n">
        <f aca="false">IF(WeekDef=8,IF(CustomHoFlag,IF(CustomHoPeriod=4,INDEX(IF(DiffOptVolumeFlag,DiffOptVolumeHourlyOver,VolumeHourlyOver),G12,4),IF(OR(CustomHoPeriod=1,CustomHoPeriod=2),IF(VolumeMonthlyOverFlag,INDEX(IF(DiffOptVolumeFlag,DiffOptVolumeMonthlyOver,VolumeMonthlyOver),BJ54),IF(DiffOptVolumeFlag,DiffOptVolume,Volume)),0)),0),BL40)</f>
        <v>600</v>
      </c>
      <c r="BM54" s="1647" t="n">
        <f aca="false">IF(WeekDef=8,IF(CustomHoFlag,IF(CustomHoPeriod=4,INDEX(IF(DiffOptVolumeFlag,DiffOptVolumeHourlyOver,VolumeHourlyOver),H12,4),IF(OR(CustomHoPeriod=1,CustomHoPeriod=2),IF(VolumeMonthlyOverFlag,INDEX(IF(DiffOptVolumeFlag,DiffOptVolumeMonthlyOver,VolumeMonthlyOver),BJ54),IF(DiffOptVolumeFlag,DiffOptVolume,Volume)),0)),0),BM40)</f>
        <v>600</v>
      </c>
      <c r="BN54" s="1647" t="n">
        <f aca="false">IF(WeekDef=8,IF(CustomHoFlag,IF(CustomHoPeriod=4,INDEX(IF(DiffOptVolumeFlag,DiffOptVolumeHourlyOver,VolumeHourlyOver),I12,4),IF(OR(CustomHoPeriod=1,CustomHoPeriod=2),IF(VolumeMonthlyOverFlag,INDEX(IF(DiffOptVolumeFlag,DiffOptVolumeMonthlyOver,VolumeMonthlyOver),BJ54),IF(DiffOptVolumeFlag,DiffOptVolume,Volume)),0)),0),BN40)</f>
        <v>600</v>
      </c>
      <c r="BO54" s="1647" t="n">
        <f aca="false">IF(WeekDef=8,IF(CustomHoFlag,IF(CustomHoPeriod=4,INDEX(IF(DiffOptVolumeFlag,DiffOptVolumeHourlyOver,VolumeHourlyOver),J12,4),IF(OR(CustomHoPeriod=1,CustomHoPeriod=2),IF(VolumeMonthlyOverFlag,INDEX(IF(DiffOptVolumeFlag,DiffOptVolumeMonthlyOver,VolumeMonthlyOver),BJ54),IF(DiffOptVolumeFlag,DiffOptVolume,Volume)),0)),0),BO40)</f>
        <v>600</v>
      </c>
      <c r="BP54" s="1647" t="n">
        <f aca="false">IF(WeekDef=8,IF(CustomHoFlag,IF(CustomHoPeriod=4,INDEX(IF(DiffOptVolumeFlag,DiffOptVolumeHourlyOver,VolumeHourlyOver),K12,4),IF(OR(CustomHoPeriod=1,CustomHoPeriod=2),IF(VolumeMonthlyOverFlag,INDEX(IF(DiffOptVolumeFlag,DiffOptVolumeMonthlyOver,VolumeMonthlyOver),BJ54),IF(DiffOptVolumeFlag,DiffOptVolume,Volume)),0)),0),BP40)</f>
        <v>600</v>
      </c>
      <c r="BQ54" s="1647" t="n">
        <f aca="false">IF(WeekDef=8,IF(CustomHoFlag,IF(CustomHoPeriod=4,INDEX(IF(DiffOptVolumeFlag,DiffOptVolumeHourlyOver,VolumeHourlyOver),L12,4),IF(OR(CustomHoPeriod=1,CustomHoPeriod=2),IF(VolumeMonthlyOverFlag,INDEX(IF(DiffOptVolumeFlag,DiffOptVolumeMonthlyOver,VolumeMonthlyOver),BJ54),IF(DiffOptVolumeFlag,DiffOptVolume,Volume)),0)),0),BQ40)</f>
        <v>600</v>
      </c>
      <c r="BR54" s="1647" t="n">
        <f aca="false">IF(WeekDef=8,IF(CustomHoFlag,IF(CustomHoPeriod=4,INDEX(IF(DiffOptVolumeFlag,DiffOptVolumeHourlyOver,VolumeHourlyOver),M12,4),IF(OR(CustomHoPeriod=1,CustomHoPeriod=2),IF(VolumeMonthlyOverFlag,INDEX(IF(DiffOptVolumeFlag,DiffOptVolumeMonthlyOver,VolumeMonthlyOver),BJ54),IF(DiffOptVolumeFlag,DiffOptVolume,Volume)),0)),0),BR40)</f>
        <v>600</v>
      </c>
      <c r="BS54" s="1647" t="n">
        <f aca="false">IF(WeekDef=8,IF(CustomHoFlag,IF(CustomHoPeriod=4,INDEX(IF(DiffOptVolumeFlag,DiffOptVolumeHourlyOver,VolumeHourlyOver),N12,4),IF(OR(CustomHoPeriod=1,CustomHoPeriod=2),IF(VolumeMonthlyOverFlag,INDEX(IF(DiffOptVolumeFlag,DiffOptVolumeMonthlyOver,VolumeMonthlyOver),BJ54),IF(DiffOptVolumeFlag,DiffOptVolume,Volume)),0)),0),BS40)</f>
        <v>600</v>
      </c>
      <c r="BT54" s="1647" t="n">
        <f aca="false">IF(WeekDef=8,IF(CustomHoFlag,IF(CustomHoPeriod=4,INDEX(IF(DiffOptVolumeFlag,DiffOptVolumeHourlyOver,VolumeHourlyOver),O12,4),IF(OR(CustomHoPeriod=1,CustomHoPeriod=2),IF(VolumeMonthlyOverFlag,INDEX(IF(DiffOptVolumeFlag,DiffOptVolumeMonthlyOver,VolumeMonthlyOver),BJ54),IF(DiffOptVolumeFlag,DiffOptVolume,Volume)),0)),0),BT40)</f>
        <v>600</v>
      </c>
      <c r="BU54" s="1647" t="n">
        <f aca="false">IF(WeekDef=8,IF(CustomHoFlag,IF(CustomHoPeriod=4,INDEX(IF(DiffOptVolumeFlag,DiffOptVolumeHourlyOver,VolumeHourlyOver),P12,4),IF(OR(CustomHoPeriod=1,CustomHoPeriod=2),IF(VolumeMonthlyOverFlag,INDEX(IF(DiffOptVolumeFlag,DiffOptVolumeMonthlyOver,VolumeMonthlyOver),BJ54),IF(DiffOptVolumeFlag,DiffOptVolume,Volume)),0)),0),BU40)</f>
        <v>600</v>
      </c>
      <c r="BV54" s="1647" t="n">
        <f aca="false">IF(WeekDef=8,IF(CustomHoFlag,IF(CustomHoPeriod=4,INDEX(IF(DiffOptVolumeFlag,DiffOptVolumeHourlyOver,VolumeHourlyOver),Q12,4),IF(OR(CustomHoPeriod=1,CustomHoPeriod=2),IF(VolumeMonthlyOverFlag,INDEX(IF(DiffOptVolumeFlag,DiffOptVolumeMonthlyOver,VolumeMonthlyOver),BJ54),IF(DiffOptVolumeFlag,DiffOptVolume,Volume)),0)),0),BV40)</f>
        <v>600</v>
      </c>
      <c r="BW54" s="1647" t="n">
        <f aca="false">IF(WeekDef=8,IF(CustomHoFlag,IF(CustomHoPeriod=4,INDEX(IF(DiffOptVolumeFlag,DiffOptVolumeHourlyOver,VolumeHourlyOver),R12,4),IF(OR(CustomHoPeriod=1,CustomHoPeriod=2),IF(VolumeMonthlyOverFlag,INDEX(IF(DiffOptVolumeFlag,DiffOptVolumeMonthlyOver,VolumeMonthlyOver),BJ54),IF(DiffOptVolumeFlag,DiffOptVolume,Volume)),0)),0),BW40)</f>
        <v>600</v>
      </c>
      <c r="BX54" s="1647" t="n">
        <f aca="false">IF(WeekDef=8,IF(CustomHoFlag,IF(CustomHoPeriod=4,INDEX(IF(DiffOptVolumeFlag,DiffOptVolumeHourlyOver,VolumeHourlyOver),S12,4),IF(OR(CustomHoPeriod=1,CustomHoPeriod=2),IF(VolumeMonthlyOverFlag,INDEX(IF(DiffOptVolumeFlag,DiffOptVolumeMonthlyOver,VolumeMonthlyOver),BJ54),IF(DiffOptVolumeFlag,DiffOptVolume,Volume)),0)),0),BX40)</f>
        <v>600</v>
      </c>
      <c r="BY54" s="1647" t="n">
        <f aca="false">IF(WeekDef=8,IF(CustomHoFlag,IF(CustomHoPeriod=4,INDEX(IF(DiffOptVolumeFlag,DiffOptVolumeHourlyOver,VolumeHourlyOver),T12,4),IF(OR(CustomHoPeriod=1,CustomHoPeriod=2),IF(VolumeMonthlyOverFlag,INDEX(IF(DiffOptVolumeFlag,DiffOptVolumeMonthlyOver,VolumeMonthlyOver),BJ54),IF(DiffOptVolumeFlag,DiffOptVolume,Volume)),0)),0),BY40)</f>
        <v>600</v>
      </c>
      <c r="BZ54" s="1648" t="n">
        <f aca="false">IF(WeekDef=8,IF(CustomHoFlag,IF(CustomHoPeriod=4,INDEX(IF(DiffOptVolumeFlag,DiffOptVolumeHourlyOver,VolumeHourlyOver),U12,4),IF(OR(CustomHoPeriod=1,CustomHoPeriod=2),IF(VolumeMonthlyOverFlag,INDEX(IF(DiffOptVolumeFlag,DiffOptVolumeMonthlyOver,VolumeMonthlyOver),BJ54),IF(DiffOptVolumeFlag,DiffOptVolume,Volume)),0)),0),BZ40)</f>
        <v>600</v>
      </c>
      <c r="CA54" s="1647" t="n">
        <f aca="false">IF(WeekDef=8,IF(CustomHoFlag,IF(CustomHoPeriod=4,INDEX(IF(DiffOptVolumeFlag,DiffOptVolumeHourlyOver,VolumeHourlyOver),V12,4),IF(OR(CustomHoPeriod=1,CustomHoPeriod=3),IF(VolumeMonthlyOverFlag,INDEX(IF(DiffOptVolumeFlag,DiffOptVolumeMonthlyOver,VolumeMonthlyOver),BJ54),IF(DiffOptVolumeFlag,DiffOptVolume,Volume)),0)),0),CA40)</f>
        <v>600</v>
      </c>
      <c r="CB54" s="1647" t="n">
        <f aca="false">IF(WeekDef=8,IF(CustomHoFlag,IF(CustomHoPeriod=4,INDEX(IF(DiffOptVolumeFlag,DiffOptVolumeHourlyOver,VolumeHourlyOver),W12,4),IF(OR(CustomHoPeriod=1,CustomHoPeriod=3),IF(VolumeMonthlyOverFlag,INDEX(IF(DiffOptVolumeFlag,DiffOptVolumeMonthlyOver,VolumeMonthlyOver),BJ54),IF(DiffOptVolumeFlag,DiffOptVolume,Volume)),0)),0),CB40)</f>
        <v>600</v>
      </c>
      <c r="CC54" s="1647" t="n">
        <f aca="false">IF(WeekDef=8,IF(CustomHoFlag,IF(CustomHoPeriod=4,INDEX(IF(DiffOptVolumeFlag,DiffOptVolumeHourlyOver,VolumeHourlyOver),X12,4),IF(OR(CustomHoPeriod=1,CustomHoPeriod=3),IF(VolumeMonthlyOverFlag,INDEX(IF(DiffOptVolumeFlag,DiffOptVolumeMonthlyOver,VolumeMonthlyOver),BJ54),IF(DiffOptVolumeFlag,DiffOptVolume,Volume)),0)),0),CC40)</f>
        <v>600</v>
      </c>
      <c r="CD54" s="1647" t="n">
        <f aca="false">IF(WeekDef=8,IF(CustomHoFlag,IF(CustomHoPeriod=4,INDEX(IF(DiffOptVolumeFlag,DiffOptVolumeHourlyOver,VolumeHourlyOver),Y12,4),IF(OR(CustomHoPeriod=1,CustomHoPeriod=3),IF(VolumeMonthlyOverFlag,INDEX(IF(DiffOptVolumeFlag,DiffOptVolumeMonthlyOver,VolumeMonthlyOver),BJ54),IF(DiffOptVolumeFlag,DiffOptVolume,Volume)),0)),0),CD40)</f>
        <v>600</v>
      </c>
      <c r="CE54" s="1647" t="n">
        <f aca="false">IF(WeekDef=8,IF(CustomHoFlag,IF(CustomHoPeriod=4,INDEX(IF(DiffOptVolumeFlag,DiffOptVolumeHourlyOver,VolumeHourlyOver),Z12,4),IF(OR(CustomHoPeriod=1,CustomHoPeriod=3),IF(VolumeMonthlyOverFlag,INDEX(IF(DiffOptVolumeFlag,DiffOptVolumeMonthlyOver,VolumeMonthlyOver),BJ54),IF(DiffOptVolumeFlag,DiffOptVolume,Volume)),0)),0),CE40)</f>
        <v>600</v>
      </c>
      <c r="CF54" s="1647" t="n">
        <f aca="false">IF(WeekDef=8,IF(CustomHoFlag,IF(CustomHoPeriod=4,INDEX(IF(DiffOptVolumeFlag,DiffOptVolumeHourlyOver,VolumeHourlyOver),AA12,4),IF(OR(CustomHoPeriod=1,CustomHoPeriod=3),IF(VolumeMonthlyOverFlag,INDEX(IF(DiffOptVolumeFlag,DiffOptVolumeMonthlyOver,VolumeMonthlyOver),BJ54),IF(DiffOptVolumeFlag,DiffOptVolume,Volume)),0)),0),CF40)</f>
        <v>600</v>
      </c>
      <c r="CG54" s="1647" t="n">
        <f aca="false">IF(WeekDef=8,IF(CustomHoFlag,IF(CustomHoPeriod=4,INDEX(IF(DiffOptVolumeFlag,DiffOptVolumeHourlyOver,VolumeHourlyOver),AB12,4),IF(OR(CustomHoPeriod=1,CustomHoPeriod=3),IF(VolumeMonthlyOverFlag,INDEX(IF(DiffOptVolumeFlag,DiffOptVolumeMonthlyOver,VolumeMonthlyOver),BJ54),IF(DiffOptVolumeFlag,DiffOptVolume,Volume)),0)),0),CG40)</f>
        <v>600</v>
      </c>
      <c r="CH54" s="1648" t="n">
        <f aca="false">IF(WeekDef=8,IF(CustomHoFlag,IF(CustomHoPeriod=4,INDEX(IF(DiffOptVolumeFlag,DiffOptVolumeHourlyOver,VolumeHourlyOver),AC12,4),IF(OR(CustomHoPeriod=1,CustomHoPeriod=3),IF(VolumeMonthlyOverFlag,INDEX(IF(DiffOptVolumeFlag,DiffOptVolumeMonthlyOver,VolumeMonthlyOver),BJ54),IF(DiffOptVolumeFlag,DiffOptVolume,Volume)),0)),0),CH40)</f>
        <v>600</v>
      </c>
      <c r="CI54" s="1652" t="n">
        <f aca="false">SUM(BK54:BZ54)</f>
        <v>9600</v>
      </c>
      <c r="CJ54" s="1653" t="n">
        <f aca="false">SUM(CA54:CH54)</f>
        <v>4800</v>
      </c>
      <c r="CK54" s="1654" t="n">
        <f aca="false">CI54+CJ54</f>
        <v>14400</v>
      </c>
      <c r="CL54" s="1674" t="n">
        <f aca="false">IF(CI54,SUMPRODUCT(BK54:BZ54,F28:U28)/CI54,0)</f>
        <v>0.999999988824129</v>
      </c>
      <c r="CM54" s="1655" t="n">
        <f aca="false">IF(CJ54,SUMPRODUCT(CA54:CH54,V28:AC28)/CJ54,0)</f>
        <v>1.00000000745058</v>
      </c>
    </row>
    <row r="55" customFormat="false" ht="12.75" hidden="false" customHeight="false" outlineLevel="0" collapsed="false">
      <c r="A55" s="1694" t="n">
        <v>3</v>
      </c>
      <c r="B55" s="1695" t="n">
        <f aca="false">EOMONTH(CurveDate+31,MOD(A39-MONTH(CurveDate+31),12)-1)+1</f>
        <v>36951</v>
      </c>
      <c r="C55" s="1696" t="n">
        <f aca="false">VLOOKUP(B55,PriceTableWeekend,3,0)+IF(BasisNumber&lt;&gt;1,VLOOKUP(B39,BasisTable,2,0),0)</f>
        <v>33.75</v>
      </c>
      <c r="D55" s="1696" t="n">
        <f aca="false">VLOOKUP(B39,PriceTable,7,0)+IF(BasisNumber&lt;&gt;1,VLOOKUP(B39,BasisTable,3,0),0)</f>
        <v>19.8870967741935</v>
      </c>
      <c r="E55" s="1636" t="n">
        <v>3</v>
      </c>
      <c r="F55" s="1691" t="n">
        <f aca="false">C55*F23</f>
        <v>38.1107246875763</v>
      </c>
      <c r="G55" s="1692" t="n">
        <f aca="false">C55*G23</f>
        <v>36.3523395359516</v>
      </c>
      <c r="H55" s="1692" t="n">
        <f aca="false">C55*H23</f>
        <v>35.349138379097</v>
      </c>
      <c r="I55" s="1692" t="n">
        <f aca="false">C55*I23</f>
        <v>35.322133898735</v>
      </c>
      <c r="J55" s="1692" t="n">
        <f aca="false">C55*J23</f>
        <v>34.8163510859013</v>
      </c>
      <c r="K55" s="1692" t="n">
        <f aca="false">C55*K23</f>
        <v>34.7644141316414</v>
      </c>
      <c r="L55" s="1692" t="n">
        <f aca="false">C55*L23</f>
        <v>34.3095906078815</v>
      </c>
      <c r="M55" s="1692" t="n">
        <f aca="false">C55*M23</f>
        <v>33.7794788181782</v>
      </c>
      <c r="N55" s="1692" t="n">
        <f aca="false">C55*N23</f>
        <v>33.752526640892</v>
      </c>
      <c r="O55" s="1692" t="n">
        <f aca="false">C55*O23</f>
        <v>33.532789349556</v>
      </c>
      <c r="P55" s="1692" t="n">
        <f aca="false">C55*P23</f>
        <v>33.1244652718306</v>
      </c>
      <c r="Q55" s="1692" t="n">
        <f aca="false">C55*Q23</f>
        <v>32.0887436717749</v>
      </c>
      <c r="R55" s="1692" t="n">
        <f aca="false">C55*R23</f>
        <v>31.9846484810114</v>
      </c>
      <c r="S55" s="1692" t="n">
        <f aca="false">C55*S23</f>
        <v>31.6357266157866</v>
      </c>
      <c r="T55" s="1692" t="n">
        <f aca="false">C55*T23</f>
        <v>31.0927724093199</v>
      </c>
      <c r="U55" s="1693" t="n">
        <f aca="false">C55*U23</f>
        <v>29.9841544032097</v>
      </c>
      <c r="V55" s="1692" t="n">
        <f aca="false">D55*V23</f>
        <v>23.4312549233437</v>
      </c>
      <c r="W55" s="1692" t="n">
        <f aca="false">D55*W23</f>
        <v>21.6164186077733</v>
      </c>
      <c r="X55" s="1692" t="n">
        <f aca="false">D55*X23</f>
        <v>20.2460722077277</v>
      </c>
      <c r="Y55" s="1692" t="n">
        <f aca="false">D55*Y23</f>
        <v>19.7875132147343</v>
      </c>
      <c r="Z55" s="1692" t="n">
        <f aca="false">D55*Z23</f>
        <v>18.9227195372505</v>
      </c>
      <c r="AA55" s="1692" t="n">
        <f aca="false">D55*AA23</f>
        <v>18.4232500993436</v>
      </c>
      <c r="AB55" s="1692" t="n">
        <f aca="false">D55*AB23</f>
        <v>18.3823420251569</v>
      </c>
      <c r="AC55" s="1693" t="n">
        <f aca="false">D55*AC23</f>
        <v>18.2872047635817</v>
      </c>
      <c r="AE55" s="1636" t="n">
        <v>9</v>
      </c>
      <c r="AF55" s="1646" t="n">
        <f aca="false">IF(WeekDef=8,IF(CustomHoFlag,IF(CustomHoPeriod=4,INDEX(VolumeHourlyOver,F13,4),IF(OR(CustomHoPeriod=1,CustomHoPeriod=2),IF(VolumeMonthlyOverFlag,INDEX(VolumeMonthlyOver,AE55),Volume),0)),0),AF41)</f>
        <v>150</v>
      </c>
      <c r="AG55" s="1647" t="n">
        <f aca="false">IF(WeekDef=8,IF(CustomHoFlag,IF(CustomHoPeriod=4,INDEX(VolumeHourlyOver,G13,4),IF(OR(CustomHoPeriod=1,CustomHoPeriod=2),IF(VolumeMonthlyOverFlag,INDEX(VolumeMonthlyOver,AE55),Volume),0)),0),AG41)</f>
        <v>150</v>
      </c>
      <c r="AH55" s="1647" t="n">
        <f aca="false">IF(WeekDef=8,IF(CustomHoFlag,IF(CustomHoPeriod=4,INDEX(VolumeHourlyOver,H13,4),IF(OR(CustomHoPeriod=1,CustomHoPeriod=2),IF(VolumeMonthlyOverFlag,INDEX(VolumeMonthlyOver,AE55),Volume),0)),0),AH41)</f>
        <v>150</v>
      </c>
      <c r="AI55" s="1647" t="n">
        <f aca="false">IF(WeekDef=8,IF(CustomHoFlag,IF(CustomHoPeriod=4,INDEX(VolumeHourlyOver,I13,4),IF(OR(CustomHoPeriod=1,CustomHoPeriod=2),IF(VolumeMonthlyOverFlag,INDEX(VolumeMonthlyOver,AE55),Volume),0)),0),AI41)</f>
        <v>150</v>
      </c>
      <c r="AJ55" s="1647" t="n">
        <f aca="false">IF(WeekDef=8,IF(CustomHoFlag,IF(CustomHoPeriod=4,INDEX(VolumeHourlyOver,J13,4),IF(OR(CustomHoPeriod=1,CustomHoPeriod=2),IF(VolumeMonthlyOverFlag,INDEX(VolumeMonthlyOver,AE55),Volume),0)),0),AJ41)</f>
        <v>150</v>
      </c>
      <c r="AK55" s="1647" t="n">
        <f aca="false">IF(WeekDef=8,IF(CustomHoFlag,IF(CustomHoPeriod=4,INDEX(VolumeHourlyOver,K13,4),IF(OR(CustomHoPeriod=1,CustomHoPeriod=2),IF(VolumeMonthlyOverFlag,INDEX(VolumeMonthlyOver,AE55),Volume),0)),0),AK41)</f>
        <v>150</v>
      </c>
      <c r="AL55" s="1647" t="n">
        <f aca="false">IF(WeekDef=8,IF(CustomHoFlag,IF(CustomHoPeriod=4,INDEX(VolumeHourlyOver,L13,4),IF(OR(CustomHoPeriod=1,CustomHoPeriod=2),IF(VolumeMonthlyOverFlag,INDEX(VolumeMonthlyOver,AE55),Volume),0)),0),AL41)</f>
        <v>150</v>
      </c>
      <c r="AM55" s="1647" t="n">
        <f aca="false">IF(WeekDef=8,IF(CustomHoFlag,IF(CustomHoPeriod=4,INDEX(VolumeHourlyOver,M13,4),IF(OR(CustomHoPeriod=1,CustomHoPeriod=2),IF(VolumeMonthlyOverFlag,INDEX(VolumeMonthlyOver,AE55),Volume),0)),0),AM41)</f>
        <v>150</v>
      </c>
      <c r="AN55" s="1647" t="n">
        <f aca="false">IF(WeekDef=8,IF(CustomHoFlag,IF(CustomHoPeriod=4,INDEX(VolumeHourlyOver,N13,4),IF(OR(CustomHoPeriod=1,CustomHoPeriod=2),IF(VolumeMonthlyOverFlag,INDEX(VolumeMonthlyOver,AE55),Volume),0)),0),AN41)</f>
        <v>150</v>
      </c>
      <c r="AO55" s="1647" t="n">
        <f aca="false">IF(WeekDef=8,IF(CustomHoFlag,IF(CustomHoPeriod=4,INDEX(VolumeHourlyOver,O13,4),IF(OR(CustomHoPeriod=1,CustomHoPeriod=2),IF(VolumeMonthlyOverFlag,INDEX(VolumeMonthlyOver,AE55),Volume),0)),0),AO41)</f>
        <v>150</v>
      </c>
      <c r="AP55" s="1647" t="n">
        <f aca="false">IF(WeekDef=8,IF(CustomHoFlag,IF(CustomHoPeriod=4,INDEX(VolumeHourlyOver,P13,4),IF(OR(CustomHoPeriod=1,CustomHoPeriod=2),IF(VolumeMonthlyOverFlag,INDEX(VolumeMonthlyOver,AE55),Volume),0)),0),AP41)</f>
        <v>150</v>
      </c>
      <c r="AQ55" s="1647" t="n">
        <f aca="false">IF(WeekDef=8,IF(CustomHoFlag,IF(CustomHoPeriod=4,INDEX(VolumeHourlyOver,Q13,4),IF(OR(CustomHoPeriod=1,CustomHoPeriod=2),IF(VolumeMonthlyOverFlag,INDEX(VolumeMonthlyOver,AE55),Volume),0)),0),AQ41)</f>
        <v>150</v>
      </c>
      <c r="AR55" s="1647" t="n">
        <f aca="false">IF(WeekDef=8,IF(CustomHoFlag,IF(CustomHoPeriod=4,INDEX(VolumeHourlyOver,R13,4),IF(OR(CustomHoPeriod=1,CustomHoPeriod=2),IF(VolumeMonthlyOverFlag,INDEX(VolumeMonthlyOver,AE55),Volume),0)),0),AR41)</f>
        <v>150</v>
      </c>
      <c r="AS55" s="1647" t="n">
        <f aca="false">IF(WeekDef=8,IF(CustomHoFlag,IF(CustomHoPeriod=4,INDEX(VolumeHourlyOver,S13,4),IF(OR(CustomHoPeriod=1,CustomHoPeriod=2),IF(VolumeMonthlyOverFlag,INDEX(VolumeMonthlyOver,AE55),Volume),0)),0),AS41)</f>
        <v>150</v>
      </c>
      <c r="AT55" s="1647" t="n">
        <f aca="false">IF(WeekDef=8,IF(CustomHoFlag,IF(CustomHoPeriod=4,INDEX(VolumeHourlyOver,T13,4),IF(OR(CustomHoPeriod=1,CustomHoPeriod=2),IF(VolumeMonthlyOverFlag,INDEX(VolumeMonthlyOver,AE55),Volume),0)),0),AT41)</f>
        <v>150</v>
      </c>
      <c r="AU55" s="1648" t="n">
        <f aca="false">IF(WeekDef=8,IF(CustomHoFlag,IF(CustomHoPeriod=4,INDEX(VolumeHourlyOver,U13,4),IF(OR(CustomHoPeriod=1,CustomHoPeriod=2),IF(VolumeMonthlyOverFlag,INDEX(VolumeMonthlyOver,AE55),Volume),0)),0),AU41)</f>
        <v>150</v>
      </c>
      <c r="AV55" s="1647" t="n">
        <f aca="false">IF(WeekDef=8,IF(CustomHoFlag,IF(CustomHoPeriod=4,INDEX(VolumeHourlyOver,V13,4),IF(OR(CustomHoPeriod=1,CustomHoPeriod=3),IF(VolumeMonthlyOverFlag,INDEX(VolumeMonthlyOver,AE55),Volume),0)),0),AV41)</f>
        <v>150</v>
      </c>
      <c r="AW55" s="1647" t="n">
        <f aca="false">IF(WeekDef=8,IF(CustomHoFlag,IF(CustomHoPeriod=4,INDEX(VolumeHourlyOver,W13,4),IF(OR(CustomHoPeriod=1,CustomHoPeriod=3),IF(VolumeMonthlyOverFlag,INDEX(VolumeMonthlyOver,AE55),Volume),0)),0),AW41)</f>
        <v>150</v>
      </c>
      <c r="AX55" s="1647" t="n">
        <f aca="false">IF(WeekDef=8,IF(CustomHoFlag,IF(CustomHoPeriod=4,INDEX(VolumeHourlyOver,X13,4),IF(OR(CustomHoPeriod=1,CustomHoPeriod=3),IF(VolumeMonthlyOverFlag,INDEX(VolumeMonthlyOver,AE55),Volume),0)),0),AX41)</f>
        <v>150</v>
      </c>
      <c r="AY55" s="1647" t="n">
        <f aca="false">IF(WeekDef=8,IF(CustomHoFlag,IF(CustomHoPeriod=4,INDEX(VolumeHourlyOver,Y13,4),IF(OR(CustomHoPeriod=1,CustomHoPeriod=3),IF(VolumeMonthlyOverFlag,INDEX(VolumeMonthlyOver,AE55),Volume),0)),0),AY41)</f>
        <v>150</v>
      </c>
      <c r="AZ55" s="1647" t="n">
        <f aca="false">IF(WeekDef=8,IF(CustomHoFlag,IF(CustomHoPeriod=4,INDEX(VolumeHourlyOver,Z13,4),IF(OR(CustomHoPeriod=1,CustomHoPeriod=3),IF(VolumeMonthlyOverFlag,INDEX(VolumeMonthlyOver,AE55),Volume),0)),0),AZ41)</f>
        <v>150</v>
      </c>
      <c r="BA55" s="1647" t="n">
        <f aca="false">IF(WeekDef=8,IF(CustomHoFlag,IF(CustomHoPeriod=4,INDEX(VolumeHourlyOver,AA13,4),IF(OR(CustomHoPeriod=1,CustomHoPeriod=3),IF(VolumeMonthlyOverFlag,INDEX(VolumeMonthlyOver,AE55),Volume),0)),0),BA41)</f>
        <v>150</v>
      </c>
      <c r="BB55" s="1647" t="n">
        <f aca="false">IF(WeekDef=8,IF(CustomHoFlag,IF(CustomHoPeriod=4,INDEX(VolumeHourlyOver,AB13,4),IF(OR(CustomHoPeriod=1,CustomHoPeriod=3),IF(VolumeMonthlyOverFlag,INDEX(VolumeMonthlyOver,AE55),Volume),0)),0),BB41)</f>
        <v>150</v>
      </c>
      <c r="BC55" s="1648" t="n">
        <f aca="false">IF(WeekDef=8,IF(CustomHoFlag,IF(CustomHoPeriod=4,INDEX(VolumeHourlyOver,AC13,4),IF(OR(CustomHoPeriod=1,CustomHoPeriod=3),IF(VolumeMonthlyOverFlag,INDEX(VolumeMonthlyOver,AE55),Volume),0)),0),BC41)</f>
        <v>150</v>
      </c>
      <c r="BD55" s="1652" t="n">
        <f aca="false">SUM(AF55:AU55)</f>
        <v>2400</v>
      </c>
      <c r="BE55" s="1653" t="n">
        <f aca="false">SUM(AV55:BC55)</f>
        <v>1200</v>
      </c>
      <c r="BF55" s="1654" t="n">
        <f aca="false">BD55+BE55</f>
        <v>3600</v>
      </c>
      <c r="BG55" s="1674" t="n">
        <f aca="false">IF(BD55,SUMPRODUCT(AF55:AU55,F29:U29)/BD55,0)</f>
        <v>0.999999992549419</v>
      </c>
      <c r="BH55" s="1655" t="n">
        <f aca="false">IF(BE55,SUMPRODUCT(AV55:BC55,V29:AC29)/BE55,0)</f>
        <v>0.999999992549419</v>
      </c>
      <c r="BJ55" s="1636" t="n">
        <v>9</v>
      </c>
      <c r="BK55" s="1646" t="n">
        <f aca="false">IF(WeekDef=8,IF(CustomHoFlag,IF(CustomHoPeriod=4,INDEX(IF(DiffOptVolumeFlag,DiffOptVolumeHourlyOver,VolumeHourlyOver),F13,4),IF(OR(CustomHoPeriod=1,CustomHoPeriod=2),IF(VolumeMonthlyOverFlag,INDEX(IF(DiffOptVolumeFlag,DiffOptVolumeMonthlyOver,VolumeMonthlyOver),BJ55),IF(DiffOptVolumeFlag,DiffOptVolume,Volume)),0)),0),BK41)</f>
        <v>600</v>
      </c>
      <c r="BL55" s="1647" t="n">
        <f aca="false">IF(WeekDef=8,IF(CustomHoFlag,IF(CustomHoPeriod=4,INDEX(IF(DiffOptVolumeFlag,DiffOptVolumeHourlyOver,VolumeHourlyOver),G13,4),IF(OR(CustomHoPeriod=1,CustomHoPeriod=2),IF(VolumeMonthlyOverFlag,INDEX(IF(DiffOptVolumeFlag,DiffOptVolumeMonthlyOver,VolumeMonthlyOver),BJ55),IF(DiffOptVolumeFlag,DiffOptVolume,Volume)),0)),0),BL41)</f>
        <v>600</v>
      </c>
      <c r="BM55" s="1647" t="n">
        <f aca="false">IF(WeekDef=8,IF(CustomHoFlag,IF(CustomHoPeriod=4,INDEX(IF(DiffOptVolumeFlag,DiffOptVolumeHourlyOver,VolumeHourlyOver),H13,4),IF(OR(CustomHoPeriod=1,CustomHoPeriod=2),IF(VolumeMonthlyOverFlag,INDEX(IF(DiffOptVolumeFlag,DiffOptVolumeMonthlyOver,VolumeMonthlyOver),BJ55),IF(DiffOptVolumeFlag,DiffOptVolume,Volume)),0)),0),BM41)</f>
        <v>600</v>
      </c>
      <c r="BN55" s="1647" t="n">
        <f aca="false">IF(WeekDef=8,IF(CustomHoFlag,IF(CustomHoPeriod=4,INDEX(IF(DiffOptVolumeFlag,DiffOptVolumeHourlyOver,VolumeHourlyOver),I13,4),IF(OR(CustomHoPeriod=1,CustomHoPeriod=2),IF(VolumeMonthlyOverFlag,INDEX(IF(DiffOptVolumeFlag,DiffOptVolumeMonthlyOver,VolumeMonthlyOver),BJ55),IF(DiffOptVolumeFlag,DiffOptVolume,Volume)),0)),0),BN41)</f>
        <v>600</v>
      </c>
      <c r="BO55" s="1647" t="n">
        <f aca="false">IF(WeekDef=8,IF(CustomHoFlag,IF(CustomHoPeriod=4,INDEX(IF(DiffOptVolumeFlag,DiffOptVolumeHourlyOver,VolumeHourlyOver),J13,4),IF(OR(CustomHoPeriod=1,CustomHoPeriod=2),IF(VolumeMonthlyOverFlag,INDEX(IF(DiffOptVolumeFlag,DiffOptVolumeMonthlyOver,VolumeMonthlyOver),BJ55),IF(DiffOptVolumeFlag,DiffOptVolume,Volume)),0)),0),BO41)</f>
        <v>600</v>
      </c>
      <c r="BP55" s="1647" t="n">
        <f aca="false">IF(WeekDef=8,IF(CustomHoFlag,IF(CustomHoPeriod=4,INDEX(IF(DiffOptVolumeFlag,DiffOptVolumeHourlyOver,VolumeHourlyOver),K13,4),IF(OR(CustomHoPeriod=1,CustomHoPeriod=2),IF(VolumeMonthlyOverFlag,INDEX(IF(DiffOptVolumeFlag,DiffOptVolumeMonthlyOver,VolumeMonthlyOver),BJ55),IF(DiffOptVolumeFlag,DiffOptVolume,Volume)),0)),0),BP41)</f>
        <v>600</v>
      </c>
      <c r="BQ55" s="1647" t="n">
        <f aca="false">IF(WeekDef=8,IF(CustomHoFlag,IF(CustomHoPeriod=4,INDEX(IF(DiffOptVolumeFlag,DiffOptVolumeHourlyOver,VolumeHourlyOver),L13,4),IF(OR(CustomHoPeriod=1,CustomHoPeriod=2),IF(VolumeMonthlyOverFlag,INDEX(IF(DiffOptVolumeFlag,DiffOptVolumeMonthlyOver,VolumeMonthlyOver),BJ55),IF(DiffOptVolumeFlag,DiffOptVolume,Volume)),0)),0),BQ41)</f>
        <v>600</v>
      </c>
      <c r="BR55" s="1647" t="n">
        <f aca="false">IF(WeekDef=8,IF(CustomHoFlag,IF(CustomHoPeriod=4,INDEX(IF(DiffOptVolumeFlag,DiffOptVolumeHourlyOver,VolumeHourlyOver),M13,4),IF(OR(CustomHoPeriod=1,CustomHoPeriod=2),IF(VolumeMonthlyOverFlag,INDEX(IF(DiffOptVolumeFlag,DiffOptVolumeMonthlyOver,VolumeMonthlyOver),BJ55),IF(DiffOptVolumeFlag,DiffOptVolume,Volume)),0)),0),BR41)</f>
        <v>600</v>
      </c>
      <c r="BS55" s="1647" t="n">
        <f aca="false">IF(WeekDef=8,IF(CustomHoFlag,IF(CustomHoPeriod=4,INDEX(IF(DiffOptVolumeFlag,DiffOptVolumeHourlyOver,VolumeHourlyOver),N13,4),IF(OR(CustomHoPeriod=1,CustomHoPeriod=2),IF(VolumeMonthlyOverFlag,INDEX(IF(DiffOptVolumeFlag,DiffOptVolumeMonthlyOver,VolumeMonthlyOver),BJ55),IF(DiffOptVolumeFlag,DiffOptVolume,Volume)),0)),0),BS41)</f>
        <v>600</v>
      </c>
      <c r="BT55" s="1647" t="n">
        <f aca="false">IF(WeekDef=8,IF(CustomHoFlag,IF(CustomHoPeriod=4,INDEX(IF(DiffOptVolumeFlag,DiffOptVolumeHourlyOver,VolumeHourlyOver),O13,4),IF(OR(CustomHoPeriod=1,CustomHoPeriod=2),IF(VolumeMonthlyOverFlag,INDEX(IF(DiffOptVolumeFlag,DiffOptVolumeMonthlyOver,VolumeMonthlyOver),BJ55),IF(DiffOptVolumeFlag,DiffOptVolume,Volume)),0)),0),BT41)</f>
        <v>600</v>
      </c>
      <c r="BU55" s="1647" t="n">
        <f aca="false">IF(WeekDef=8,IF(CustomHoFlag,IF(CustomHoPeriod=4,INDEX(IF(DiffOptVolumeFlag,DiffOptVolumeHourlyOver,VolumeHourlyOver),P13,4),IF(OR(CustomHoPeriod=1,CustomHoPeriod=2),IF(VolumeMonthlyOverFlag,INDEX(IF(DiffOptVolumeFlag,DiffOptVolumeMonthlyOver,VolumeMonthlyOver),BJ55),IF(DiffOptVolumeFlag,DiffOptVolume,Volume)),0)),0),BU41)</f>
        <v>600</v>
      </c>
      <c r="BV55" s="1647" t="n">
        <f aca="false">IF(WeekDef=8,IF(CustomHoFlag,IF(CustomHoPeriod=4,INDEX(IF(DiffOptVolumeFlag,DiffOptVolumeHourlyOver,VolumeHourlyOver),Q13,4),IF(OR(CustomHoPeriod=1,CustomHoPeriod=2),IF(VolumeMonthlyOverFlag,INDEX(IF(DiffOptVolumeFlag,DiffOptVolumeMonthlyOver,VolumeMonthlyOver),BJ55),IF(DiffOptVolumeFlag,DiffOptVolume,Volume)),0)),0),BV41)</f>
        <v>600</v>
      </c>
      <c r="BW55" s="1647" t="n">
        <f aca="false">IF(WeekDef=8,IF(CustomHoFlag,IF(CustomHoPeriod=4,INDEX(IF(DiffOptVolumeFlag,DiffOptVolumeHourlyOver,VolumeHourlyOver),R13,4),IF(OR(CustomHoPeriod=1,CustomHoPeriod=2),IF(VolumeMonthlyOverFlag,INDEX(IF(DiffOptVolumeFlag,DiffOptVolumeMonthlyOver,VolumeMonthlyOver),BJ55),IF(DiffOptVolumeFlag,DiffOptVolume,Volume)),0)),0),BW41)</f>
        <v>600</v>
      </c>
      <c r="BX55" s="1647" t="n">
        <f aca="false">IF(WeekDef=8,IF(CustomHoFlag,IF(CustomHoPeriod=4,INDEX(IF(DiffOptVolumeFlag,DiffOptVolumeHourlyOver,VolumeHourlyOver),S13,4),IF(OR(CustomHoPeriod=1,CustomHoPeriod=2),IF(VolumeMonthlyOverFlag,INDEX(IF(DiffOptVolumeFlag,DiffOptVolumeMonthlyOver,VolumeMonthlyOver),BJ55),IF(DiffOptVolumeFlag,DiffOptVolume,Volume)),0)),0),BX41)</f>
        <v>600</v>
      </c>
      <c r="BY55" s="1647" t="n">
        <f aca="false">IF(WeekDef=8,IF(CustomHoFlag,IF(CustomHoPeriod=4,INDEX(IF(DiffOptVolumeFlag,DiffOptVolumeHourlyOver,VolumeHourlyOver),T13,4),IF(OR(CustomHoPeriod=1,CustomHoPeriod=2),IF(VolumeMonthlyOverFlag,INDEX(IF(DiffOptVolumeFlag,DiffOptVolumeMonthlyOver,VolumeMonthlyOver),BJ55),IF(DiffOptVolumeFlag,DiffOptVolume,Volume)),0)),0),BY41)</f>
        <v>600</v>
      </c>
      <c r="BZ55" s="1648" t="n">
        <f aca="false">IF(WeekDef=8,IF(CustomHoFlag,IF(CustomHoPeriod=4,INDEX(IF(DiffOptVolumeFlag,DiffOptVolumeHourlyOver,VolumeHourlyOver),U13,4),IF(OR(CustomHoPeriod=1,CustomHoPeriod=2),IF(VolumeMonthlyOverFlag,INDEX(IF(DiffOptVolumeFlag,DiffOptVolumeMonthlyOver,VolumeMonthlyOver),BJ55),IF(DiffOptVolumeFlag,DiffOptVolume,Volume)),0)),0),BZ41)</f>
        <v>600</v>
      </c>
      <c r="CA55" s="1647" t="n">
        <f aca="false">IF(WeekDef=8,IF(CustomHoFlag,IF(CustomHoPeriod=4,INDEX(IF(DiffOptVolumeFlag,DiffOptVolumeHourlyOver,VolumeHourlyOver),V13,4),IF(OR(CustomHoPeriod=1,CustomHoPeriod=3),IF(VolumeMonthlyOverFlag,INDEX(IF(DiffOptVolumeFlag,DiffOptVolumeMonthlyOver,VolumeMonthlyOver),BJ55),IF(DiffOptVolumeFlag,DiffOptVolume,Volume)),0)),0),CA41)</f>
        <v>600</v>
      </c>
      <c r="CB55" s="1647" t="n">
        <f aca="false">IF(WeekDef=8,IF(CustomHoFlag,IF(CustomHoPeriod=4,INDEX(IF(DiffOptVolumeFlag,DiffOptVolumeHourlyOver,VolumeHourlyOver),W13,4),IF(OR(CustomHoPeriod=1,CustomHoPeriod=3),IF(VolumeMonthlyOverFlag,INDEX(IF(DiffOptVolumeFlag,DiffOptVolumeMonthlyOver,VolumeMonthlyOver),BJ55),IF(DiffOptVolumeFlag,DiffOptVolume,Volume)),0)),0),CB41)</f>
        <v>600</v>
      </c>
      <c r="CC55" s="1647" t="n">
        <f aca="false">IF(WeekDef=8,IF(CustomHoFlag,IF(CustomHoPeriod=4,INDEX(IF(DiffOptVolumeFlag,DiffOptVolumeHourlyOver,VolumeHourlyOver),X13,4),IF(OR(CustomHoPeriod=1,CustomHoPeriod=3),IF(VolumeMonthlyOverFlag,INDEX(IF(DiffOptVolumeFlag,DiffOptVolumeMonthlyOver,VolumeMonthlyOver),BJ55),IF(DiffOptVolumeFlag,DiffOptVolume,Volume)),0)),0),CC41)</f>
        <v>600</v>
      </c>
      <c r="CD55" s="1647" t="n">
        <f aca="false">IF(WeekDef=8,IF(CustomHoFlag,IF(CustomHoPeriod=4,INDEX(IF(DiffOptVolumeFlag,DiffOptVolumeHourlyOver,VolumeHourlyOver),Y13,4),IF(OR(CustomHoPeriod=1,CustomHoPeriod=3),IF(VolumeMonthlyOverFlag,INDEX(IF(DiffOptVolumeFlag,DiffOptVolumeMonthlyOver,VolumeMonthlyOver),BJ55),IF(DiffOptVolumeFlag,DiffOptVolume,Volume)),0)),0),CD41)</f>
        <v>600</v>
      </c>
      <c r="CE55" s="1647" t="n">
        <f aca="false">IF(WeekDef=8,IF(CustomHoFlag,IF(CustomHoPeriod=4,INDEX(IF(DiffOptVolumeFlag,DiffOptVolumeHourlyOver,VolumeHourlyOver),Z13,4),IF(OR(CustomHoPeriod=1,CustomHoPeriod=3),IF(VolumeMonthlyOverFlag,INDEX(IF(DiffOptVolumeFlag,DiffOptVolumeMonthlyOver,VolumeMonthlyOver),BJ55),IF(DiffOptVolumeFlag,DiffOptVolume,Volume)),0)),0),CE41)</f>
        <v>600</v>
      </c>
      <c r="CF55" s="1647" t="n">
        <f aca="false">IF(WeekDef=8,IF(CustomHoFlag,IF(CustomHoPeriod=4,INDEX(IF(DiffOptVolumeFlag,DiffOptVolumeHourlyOver,VolumeHourlyOver),AA13,4),IF(OR(CustomHoPeriod=1,CustomHoPeriod=3),IF(VolumeMonthlyOverFlag,INDEX(IF(DiffOptVolumeFlag,DiffOptVolumeMonthlyOver,VolumeMonthlyOver),BJ55),IF(DiffOptVolumeFlag,DiffOptVolume,Volume)),0)),0),CF41)</f>
        <v>600</v>
      </c>
      <c r="CG55" s="1647" t="n">
        <f aca="false">IF(WeekDef=8,IF(CustomHoFlag,IF(CustomHoPeriod=4,INDEX(IF(DiffOptVolumeFlag,DiffOptVolumeHourlyOver,VolumeHourlyOver),AB13,4),IF(OR(CustomHoPeriod=1,CustomHoPeriod=3),IF(VolumeMonthlyOverFlag,INDEX(IF(DiffOptVolumeFlag,DiffOptVolumeMonthlyOver,VolumeMonthlyOver),BJ55),IF(DiffOptVolumeFlag,DiffOptVolume,Volume)),0)),0),CG41)</f>
        <v>600</v>
      </c>
      <c r="CH55" s="1648" t="n">
        <f aca="false">IF(WeekDef=8,IF(CustomHoFlag,IF(CustomHoPeriod=4,INDEX(IF(DiffOptVolumeFlag,DiffOptVolumeHourlyOver,VolumeHourlyOver),AC13,4),IF(OR(CustomHoPeriod=1,CustomHoPeriod=3),IF(VolumeMonthlyOverFlag,INDEX(IF(DiffOptVolumeFlag,DiffOptVolumeMonthlyOver,VolumeMonthlyOver),BJ55),IF(DiffOptVolumeFlag,DiffOptVolume,Volume)),0)),0),CH41)</f>
        <v>600</v>
      </c>
      <c r="CI55" s="1652" t="n">
        <f aca="false">SUM(BK55:BZ55)</f>
        <v>9600</v>
      </c>
      <c r="CJ55" s="1653" t="n">
        <f aca="false">SUM(CA55:CH55)</f>
        <v>4800</v>
      </c>
      <c r="CK55" s="1654" t="n">
        <f aca="false">CI55+CJ55</f>
        <v>14400</v>
      </c>
      <c r="CL55" s="1674" t="n">
        <f aca="false">IF(CI55,SUMPRODUCT(BK55:BZ55,F29:U29)/CI55,0)</f>
        <v>0.999999992549419</v>
      </c>
      <c r="CM55" s="1655" t="n">
        <f aca="false">IF(CJ55,SUMPRODUCT(CA55:CH55,V29:AC29)/CJ55,0)</f>
        <v>0.999999992549419</v>
      </c>
    </row>
    <row r="56" customFormat="false" ht="12.75" hidden="false" customHeight="false" outlineLevel="0" collapsed="false">
      <c r="A56" s="1694" t="n">
        <v>4</v>
      </c>
      <c r="B56" s="1695" t="n">
        <f aca="false">EOMONTH(CurveDate+31,MOD(A40-MONTH(CurveDate+31),12)-1)+1</f>
        <v>36982</v>
      </c>
      <c r="C56" s="1696" t="n">
        <f aca="false">VLOOKUP(B56,PriceTableWeekend,3,0)+IF(BasisNumber&lt;&gt;1,VLOOKUP(B40,BasisTable,2,0),0)</f>
        <v>33.25</v>
      </c>
      <c r="D56" s="1696" t="n">
        <f aca="false">VLOOKUP(B40,PriceTable,7,0)+IF(BasisNumber&lt;&gt;1,VLOOKUP(B40,BasisTable,3,0),0)</f>
        <v>17.6875</v>
      </c>
      <c r="E56" s="1636" t="n">
        <v>4</v>
      </c>
      <c r="F56" s="1691" t="n">
        <f aca="false">C56*F24</f>
        <v>35.4681271612644</v>
      </c>
      <c r="G56" s="1692" t="n">
        <f aca="false">C56*G24</f>
        <v>35.0586363971233</v>
      </c>
      <c r="H56" s="1692" t="n">
        <f aca="false">C56*H24</f>
        <v>34.9845863878727</v>
      </c>
      <c r="I56" s="1692" t="n">
        <f aca="false">C56*I24</f>
        <v>34.7787311673164</v>
      </c>
      <c r="J56" s="1692" t="n">
        <f aca="false">C56*J24</f>
        <v>34.3983776271343</v>
      </c>
      <c r="K56" s="1692" t="n">
        <f aca="false">C56*K24</f>
        <v>34.0761320590973</v>
      </c>
      <c r="L56" s="1692" t="n">
        <f aca="false">C56*L24</f>
        <v>33.9885776937008</v>
      </c>
      <c r="M56" s="1692" t="n">
        <f aca="false">C56*M24</f>
        <v>33.4950325191021</v>
      </c>
      <c r="N56" s="1692" t="n">
        <f aca="false">C56*N24</f>
        <v>33.2899541854858</v>
      </c>
      <c r="O56" s="1692" t="n">
        <f aca="false">C56*O24</f>
        <v>32.5203723609448</v>
      </c>
      <c r="P56" s="1692" t="n">
        <f aca="false">C56*P24</f>
        <v>32.4705743044615</v>
      </c>
      <c r="Q56" s="1692" t="n">
        <f aca="false">C56*Q24</f>
        <v>32.1400188207626</v>
      </c>
      <c r="R56" s="1692" t="n">
        <f aca="false">C56*R24</f>
        <v>32.0432983785868</v>
      </c>
      <c r="S56" s="1692" t="n">
        <f aca="false">C56*S24</f>
        <v>31.8759089708328</v>
      </c>
      <c r="T56" s="1692" t="n">
        <f aca="false">C56*T24</f>
        <v>31.7596632987261</v>
      </c>
      <c r="U56" s="1693" t="n">
        <f aca="false">C56*U24</f>
        <v>29.6520086675882</v>
      </c>
      <c r="V56" s="1692" t="n">
        <f aca="false">D56*V24</f>
        <v>20.4881046116352</v>
      </c>
      <c r="W56" s="1692" t="n">
        <f aca="false">D56*W24</f>
        <v>19.1524662226439</v>
      </c>
      <c r="X56" s="1692" t="n">
        <f aca="false">D56*X24</f>
        <v>18.4710660874844</v>
      </c>
      <c r="Y56" s="1692" t="n">
        <f aca="false">D56*Y24</f>
        <v>17.3834248259664</v>
      </c>
      <c r="Z56" s="1692" t="n">
        <f aca="false">D56*Z24</f>
        <v>17.3020456619561</v>
      </c>
      <c r="AA56" s="1692" t="n">
        <f aca="false">D56*AA24</f>
        <v>16.6035602353513</v>
      </c>
      <c r="AB56" s="1692" t="n">
        <f aca="false">D56*AB24</f>
        <v>16.109145257622</v>
      </c>
      <c r="AC56" s="1693" t="n">
        <f aca="false">D56*AC24</f>
        <v>15.990188151598</v>
      </c>
      <c r="AE56" s="1636" t="n">
        <v>10</v>
      </c>
      <c r="AF56" s="1646" t="n">
        <f aca="false">IF(WeekDef=8,IF(CustomHoFlag,IF(CustomHoPeriod=4,INDEX(VolumeHourlyOver,F14,4),IF(OR(CustomHoPeriod=1,CustomHoPeriod=2),IF(VolumeMonthlyOverFlag,INDEX(VolumeMonthlyOver,AE56),Volume),0)),0),AF42)</f>
        <v>150</v>
      </c>
      <c r="AG56" s="1647" t="n">
        <f aca="false">IF(WeekDef=8,IF(CustomHoFlag,IF(CustomHoPeriod=4,INDEX(VolumeHourlyOver,G14,4),IF(OR(CustomHoPeriod=1,CustomHoPeriod=2),IF(VolumeMonthlyOverFlag,INDEX(VolumeMonthlyOver,AE56),Volume),0)),0),AG42)</f>
        <v>150</v>
      </c>
      <c r="AH56" s="1647" t="n">
        <f aca="false">IF(WeekDef=8,IF(CustomHoFlag,IF(CustomHoPeriod=4,INDEX(VolumeHourlyOver,H14,4),IF(OR(CustomHoPeriod=1,CustomHoPeriod=2),IF(VolumeMonthlyOverFlag,INDEX(VolumeMonthlyOver,AE56),Volume),0)),0),AH42)</f>
        <v>150</v>
      </c>
      <c r="AI56" s="1647" t="n">
        <f aca="false">IF(WeekDef=8,IF(CustomHoFlag,IF(CustomHoPeriod=4,INDEX(VolumeHourlyOver,I14,4),IF(OR(CustomHoPeriod=1,CustomHoPeriod=2),IF(VolumeMonthlyOverFlag,INDEX(VolumeMonthlyOver,AE56),Volume),0)),0),AI42)</f>
        <v>150</v>
      </c>
      <c r="AJ56" s="1647" t="n">
        <f aca="false">IF(WeekDef=8,IF(CustomHoFlag,IF(CustomHoPeriod=4,INDEX(VolumeHourlyOver,J14,4),IF(OR(CustomHoPeriod=1,CustomHoPeriod=2),IF(VolumeMonthlyOverFlag,INDEX(VolumeMonthlyOver,AE56),Volume),0)),0),AJ42)</f>
        <v>150</v>
      </c>
      <c r="AK56" s="1647" t="n">
        <f aca="false">IF(WeekDef=8,IF(CustomHoFlag,IF(CustomHoPeriod=4,INDEX(VolumeHourlyOver,K14,4),IF(OR(CustomHoPeriod=1,CustomHoPeriod=2),IF(VolumeMonthlyOverFlag,INDEX(VolumeMonthlyOver,AE56),Volume),0)),0),AK42)</f>
        <v>150</v>
      </c>
      <c r="AL56" s="1647" t="n">
        <f aca="false">IF(WeekDef=8,IF(CustomHoFlag,IF(CustomHoPeriod=4,INDEX(VolumeHourlyOver,L14,4),IF(OR(CustomHoPeriod=1,CustomHoPeriod=2),IF(VolumeMonthlyOverFlag,INDEX(VolumeMonthlyOver,AE56),Volume),0)),0),AL42)</f>
        <v>150</v>
      </c>
      <c r="AM56" s="1647" t="n">
        <f aca="false">IF(WeekDef=8,IF(CustomHoFlag,IF(CustomHoPeriod=4,INDEX(VolumeHourlyOver,M14,4),IF(OR(CustomHoPeriod=1,CustomHoPeriod=2),IF(VolumeMonthlyOverFlag,INDEX(VolumeMonthlyOver,AE56),Volume),0)),0),AM42)</f>
        <v>150</v>
      </c>
      <c r="AN56" s="1647" t="n">
        <f aca="false">IF(WeekDef=8,IF(CustomHoFlag,IF(CustomHoPeriod=4,INDEX(VolumeHourlyOver,N14,4),IF(OR(CustomHoPeriod=1,CustomHoPeriod=2),IF(VolumeMonthlyOverFlag,INDEX(VolumeMonthlyOver,AE56),Volume),0)),0),AN42)</f>
        <v>150</v>
      </c>
      <c r="AO56" s="1647" t="n">
        <f aca="false">IF(WeekDef=8,IF(CustomHoFlag,IF(CustomHoPeriod=4,INDEX(VolumeHourlyOver,O14,4),IF(OR(CustomHoPeriod=1,CustomHoPeriod=2),IF(VolumeMonthlyOverFlag,INDEX(VolumeMonthlyOver,AE56),Volume),0)),0),AO42)</f>
        <v>150</v>
      </c>
      <c r="AP56" s="1647" t="n">
        <f aca="false">IF(WeekDef=8,IF(CustomHoFlag,IF(CustomHoPeriod=4,INDEX(VolumeHourlyOver,P14,4),IF(OR(CustomHoPeriod=1,CustomHoPeriod=2),IF(VolumeMonthlyOverFlag,INDEX(VolumeMonthlyOver,AE56),Volume),0)),0),AP42)</f>
        <v>150</v>
      </c>
      <c r="AQ56" s="1647" t="n">
        <f aca="false">IF(WeekDef=8,IF(CustomHoFlag,IF(CustomHoPeriod=4,INDEX(VolumeHourlyOver,Q14,4),IF(OR(CustomHoPeriod=1,CustomHoPeriod=2),IF(VolumeMonthlyOverFlag,INDEX(VolumeMonthlyOver,AE56),Volume),0)),0),AQ42)</f>
        <v>150</v>
      </c>
      <c r="AR56" s="1647" t="n">
        <f aca="false">IF(WeekDef=8,IF(CustomHoFlag,IF(CustomHoPeriod=4,INDEX(VolumeHourlyOver,R14,4),IF(OR(CustomHoPeriod=1,CustomHoPeriod=2),IF(VolumeMonthlyOverFlag,INDEX(VolumeMonthlyOver,AE56),Volume),0)),0),AR42)</f>
        <v>150</v>
      </c>
      <c r="AS56" s="1647" t="n">
        <f aca="false">IF(WeekDef=8,IF(CustomHoFlag,IF(CustomHoPeriod=4,INDEX(VolumeHourlyOver,S14,4),IF(OR(CustomHoPeriod=1,CustomHoPeriod=2),IF(VolumeMonthlyOverFlag,INDEX(VolumeMonthlyOver,AE56),Volume),0)),0),AS42)</f>
        <v>150</v>
      </c>
      <c r="AT56" s="1647" t="n">
        <f aca="false">IF(WeekDef=8,IF(CustomHoFlag,IF(CustomHoPeriod=4,INDEX(VolumeHourlyOver,T14,4),IF(OR(CustomHoPeriod=1,CustomHoPeriod=2),IF(VolumeMonthlyOverFlag,INDEX(VolumeMonthlyOver,AE56),Volume),0)),0),AT42)</f>
        <v>150</v>
      </c>
      <c r="AU56" s="1648" t="n">
        <f aca="false">IF(WeekDef=8,IF(CustomHoFlag,IF(CustomHoPeriod=4,INDEX(VolumeHourlyOver,U14,4),IF(OR(CustomHoPeriod=1,CustomHoPeriod=2),IF(VolumeMonthlyOverFlag,INDEX(VolumeMonthlyOver,AE56),Volume),0)),0),AU42)</f>
        <v>150</v>
      </c>
      <c r="AV56" s="1647" t="n">
        <f aca="false">IF(WeekDef=8,IF(CustomHoFlag,IF(CustomHoPeriod=4,INDEX(VolumeHourlyOver,V14,4),IF(OR(CustomHoPeriod=1,CustomHoPeriod=3),IF(VolumeMonthlyOverFlag,INDEX(VolumeMonthlyOver,AE56),Volume),0)),0),AV42)</f>
        <v>150</v>
      </c>
      <c r="AW56" s="1647" t="n">
        <f aca="false">IF(WeekDef=8,IF(CustomHoFlag,IF(CustomHoPeriod=4,INDEX(VolumeHourlyOver,W14,4),IF(OR(CustomHoPeriod=1,CustomHoPeriod=3),IF(VolumeMonthlyOverFlag,INDEX(VolumeMonthlyOver,AE56),Volume),0)),0),AW42)</f>
        <v>150</v>
      </c>
      <c r="AX56" s="1647" t="n">
        <f aca="false">IF(WeekDef=8,IF(CustomHoFlag,IF(CustomHoPeriod=4,INDEX(VolumeHourlyOver,X14,4),IF(OR(CustomHoPeriod=1,CustomHoPeriod=3),IF(VolumeMonthlyOverFlag,INDEX(VolumeMonthlyOver,AE56),Volume),0)),0),AX42)</f>
        <v>150</v>
      </c>
      <c r="AY56" s="1647" t="n">
        <f aca="false">IF(WeekDef=8,IF(CustomHoFlag,IF(CustomHoPeriod=4,INDEX(VolumeHourlyOver,Y14,4),IF(OR(CustomHoPeriod=1,CustomHoPeriod=3),IF(VolumeMonthlyOverFlag,INDEX(VolumeMonthlyOver,AE56),Volume),0)),0),AY42)</f>
        <v>150</v>
      </c>
      <c r="AZ56" s="1647" t="n">
        <f aca="false">IF(WeekDef=8,IF(CustomHoFlag,IF(CustomHoPeriod=4,INDEX(VolumeHourlyOver,Z14,4),IF(OR(CustomHoPeriod=1,CustomHoPeriod=3),IF(VolumeMonthlyOverFlag,INDEX(VolumeMonthlyOver,AE56),Volume),0)),0),AZ42)</f>
        <v>150</v>
      </c>
      <c r="BA56" s="1647" t="n">
        <f aca="false">IF(WeekDef=8,IF(CustomHoFlag,IF(CustomHoPeriod=4,INDEX(VolumeHourlyOver,AA14,4),IF(OR(CustomHoPeriod=1,CustomHoPeriod=3),IF(VolumeMonthlyOverFlag,INDEX(VolumeMonthlyOver,AE56),Volume),0)),0),BA42)</f>
        <v>150</v>
      </c>
      <c r="BB56" s="1647" t="n">
        <f aca="false">IF(WeekDef=8,IF(CustomHoFlag,IF(CustomHoPeriod=4,INDEX(VolumeHourlyOver,AB14,4),IF(OR(CustomHoPeriod=1,CustomHoPeriod=3),IF(VolumeMonthlyOverFlag,INDEX(VolumeMonthlyOver,AE56),Volume),0)),0),BB42)</f>
        <v>150</v>
      </c>
      <c r="BC56" s="1648" t="n">
        <f aca="false">IF(WeekDef=8,IF(CustomHoFlag,IF(CustomHoPeriod=4,INDEX(VolumeHourlyOver,AC14,4),IF(OR(CustomHoPeriod=1,CustomHoPeriod=3),IF(VolumeMonthlyOverFlag,INDEX(VolumeMonthlyOver,AE56),Volume),0)),0),BC42)</f>
        <v>150</v>
      </c>
      <c r="BD56" s="1652" t="n">
        <f aca="false">SUM(AF56:AU56)</f>
        <v>2400</v>
      </c>
      <c r="BE56" s="1653" t="n">
        <f aca="false">SUM(AV56:BC56)</f>
        <v>1200</v>
      </c>
      <c r="BF56" s="1654" t="n">
        <f aca="false">BD56+BE56</f>
        <v>3600</v>
      </c>
      <c r="BG56" s="1674" t="n">
        <f aca="false">IF(BD56,SUMPRODUCT(AF56:AU56,F30:U30)/BD56,0)</f>
        <v>1.00000001490116</v>
      </c>
      <c r="BH56" s="1655" t="n">
        <f aca="false">IF(BE56,SUMPRODUCT(AV56:BC56,V30:AC30)/BE56,0)</f>
        <v>0.999999992549419</v>
      </c>
      <c r="BJ56" s="1636" t="n">
        <v>10</v>
      </c>
      <c r="BK56" s="1646" t="n">
        <f aca="false">IF(WeekDef=8,IF(CustomHoFlag,IF(CustomHoPeriod=4,INDEX(IF(DiffOptVolumeFlag,DiffOptVolumeHourlyOver,VolumeHourlyOver),F14,4),IF(OR(CustomHoPeriod=1,CustomHoPeriod=2),IF(VolumeMonthlyOverFlag,INDEX(IF(DiffOptVolumeFlag,DiffOptVolumeMonthlyOver,VolumeMonthlyOver),BJ56),IF(DiffOptVolumeFlag,DiffOptVolume,Volume)),0)),0),BK42)</f>
        <v>600</v>
      </c>
      <c r="BL56" s="1647" t="n">
        <f aca="false">IF(WeekDef=8,IF(CustomHoFlag,IF(CustomHoPeriod=4,INDEX(IF(DiffOptVolumeFlag,DiffOptVolumeHourlyOver,VolumeHourlyOver),G14,4),IF(OR(CustomHoPeriod=1,CustomHoPeriod=2),IF(VolumeMonthlyOverFlag,INDEX(IF(DiffOptVolumeFlag,DiffOptVolumeMonthlyOver,VolumeMonthlyOver),BJ56),IF(DiffOptVolumeFlag,DiffOptVolume,Volume)),0)),0),BL42)</f>
        <v>600</v>
      </c>
      <c r="BM56" s="1647" t="n">
        <f aca="false">IF(WeekDef=8,IF(CustomHoFlag,IF(CustomHoPeriod=4,INDEX(IF(DiffOptVolumeFlag,DiffOptVolumeHourlyOver,VolumeHourlyOver),H14,4),IF(OR(CustomHoPeriod=1,CustomHoPeriod=2),IF(VolumeMonthlyOverFlag,INDEX(IF(DiffOptVolumeFlag,DiffOptVolumeMonthlyOver,VolumeMonthlyOver),BJ56),IF(DiffOptVolumeFlag,DiffOptVolume,Volume)),0)),0),BM42)</f>
        <v>600</v>
      </c>
      <c r="BN56" s="1647" t="n">
        <f aca="false">IF(WeekDef=8,IF(CustomHoFlag,IF(CustomHoPeriod=4,INDEX(IF(DiffOptVolumeFlag,DiffOptVolumeHourlyOver,VolumeHourlyOver),I14,4),IF(OR(CustomHoPeriod=1,CustomHoPeriod=2),IF(VolumeMonthlyOverFlag,INDEX(IF(DiffOptVolumeFlag,DiffOptVolumeMonthlyOver,VolumeMonthlyOver),BJ56),IF(DiffOptVolumeFlag,DiffOptVolume,Volume)),0)),0),BN42)</f>
        <v>600</v>
      </c>
      <c r="BO56" s="1647" t="n">
        <f aca="false">IF(WeekDef=8,IF(CustomHoFlag,IF(CustomHoPeriod=4,INDEX(IF(DiffOptVolumeFlag,DiffOptVolumeHourlyOver,VolumeHourlyOver),J14,4),IF(OR(CustomHoPeriod=1,CustomHoPeriod=2),IF(VolumeMonthlyOverFlag,INDEX(IF(DiffOptVolumeFlag,DiffOptVolumeMonthlyOver,VolumeMonthlyOver),BJ56),IF(DiffOptVolumeFlag,DiffOptVolume,Volume)),0)),0),BO42)</f>
        <v>600</v>
      </c>
      <c r="BP56" s="1647" t="n">
        <f aca="false">IF(WeekDef=8,IF(CustomHoFlag,IF(CustomHoPeriod=4,INDEX(IF(DiffOptVolumeFlag,DiffOptVolumeHourlyOver,VolumeHourlyOver),K14,4),IF(OR(CustomHoPeriod=1,CustomHoPeriod=2),IF(VolumeMonthlyOverFlag,INDEX(IF(DiffOptVolumeFlag,DiffOptVolumeMonthlyOver,VolumeMonthlyOver),BJ56),IF(DiffOptVolumeFlag,DiffOptVolume,Volume)),0)),0),BP42)</f>
        <v>600</v>
      </c>
      <c r="BQ56" s="1647" t="n">
        <f aca="false">IF(WeekDef=8,IF(CustomHoFlag,IF(CustomHoPeriod=4,INDEX(IF(DiffOptVolumeFlag,DiffOptVolumeHourlyOver,VolumeHourlyOver),L14,4),IF(OR(CustomHoPeriod=1,CustomHoPeriod=2),IF(VolumeMonthlyOverFlag,INDEX(IF(DiffOptVolumeFlag,DiffOptVolumeMonthlyOver,VolumeMonthlyOver),BJ56),IF(DiffOptVolumeFlag,DiffOptVolume,Volume)),0)),0),BQ42)</f>
        <v>600</v>
      </c>
      <c r="BR56" s="1647" t="n">
        <f aca="false">IF(WeekDef=8,IF(CustomHoFlag,IF(CustomHoPeriod=4,INDEX(IF(DiffOptVolumeFlag,DiffOptVolumeHourlyOver,VolumeHourlyOver),M14,4),IF(OR(CustomHoPeriod=1,CustomHoPeriod=2),IF(VolumeMonthlyOverFlag,INDEX(IF(DiffOptVolumeFlag,DiffOptVolumeMonthlyOver,VolumeMonthlyOver),BJ56),IF(DiffOptVolumeFlag,DiffOptVolume,Volume)),0)),0),BR42)</f>
        <v>600</v>
      </c>
      <c r="BS56" s="1647" t="n">
        <f aca="false">IF(WeekDef=8,IF(CustomHoFlag,IF(CustomHoPeriod=4,INDEX(IF(DiffOptVolumeFlag,DiffOptVolumeHourlyOver,VolumeHourlyOver),N14,4),IF(OR(CustomHoPeriod=1,CustomHoPeriod=2),IF(VolumeMonthlyOverFlag,INDEX(IF(DiffOptVolumeFlag,DiffOptVolumeMonthlyOver,VolumeMonthlyOver),BJ56),IF(DiffOptVolumeFlag,DiffOptVolume,Volume)),0)),0),BS42)</f>
        <v>600</v>
      </c>
      <c r="BT56" s="1647" t="n">
        <f aca="false">IF(WeekDef=8,IF(CustomHoFlag,IF(CustomHoPeriod=4,INDEX(IF(DiffOptVolumeFlag,DiffOptVolumeHourlyOver,VolumeHourlyOver),O14,4),IF(OR(CustomHoPeriod=1,CustomHoPeriod=2),IF(VolumeMonthlyOverFlag,INDEX(IF(DiffOptVolumeFlag,DiffOptVolumeMonthlyOver,VolumeMonthlyOver),BJ56),IF(DiffOptVolumeFlag,DiffOptVolume,Volume)),0)),0),BT42)</f>
        <v>600</v>
      </c>
      <c r="BU56" s="1647" t="n">
        <f aca="false">IF(WeekDef=8,IF(CustomHoFlag,IF(CustomHoPeriod=4,INDEX(IF(DiffOptVolumeFlag,DiffOptVolumeHourlyOver,VolumeHourlyOver),P14,4),IF(OR(CustomHoPeriod=1,CustomHoPeriod=2),IF(VolumeMonthlyOverFlag,INDEX(IF(DiffOptVolumeFlag,DiffOptVolumeMonthlyOver,VolumeMonthlyOver),BJ56),IF(DiffOptVolumeFlag,DiffOptVolume,Volume)),0)),0),BU42)</f>
        <v>600</v>
      </c>
      <c r="BV56" s="1647" t="n">
        <f aca="false">IF(WeekDef=8,IF(CustomHoFlag,IF(CustomHoPeriod=4,INDEX(IF(DiffOptVolumeFlag,DiffOptVolumeHourlyOver,VolumeHourlyOver),Q14,4),IF(OR(CustomHoPeriod=1,CustomHoPeriod=2),IF(VolumeMonthlyOverFlag,INDEX(IF(DiffOptVolumeFlag,DiffOptVolumeMonthlyOver,VolumeMonthlyOver),BJ56),IF(DiffOptVolumeFlag,DiffOptVolume,Volume)),0)),0),BV42)</f>
        <v>600</v>
      </c>
      <c r="BW56" s="1647" t="n">
        <f aca="false">IF(WeekDef=8,IF(CustomHoFlag,IF(CustomHoPeriod=4,INDEX(IF(DiffOptVolumeFlag,DiffOptVolumeHourlyOver,VolumeHourlyOver),R14,4),IF(OR(CustomHoPeriod=1,CustomHoPeriod=2),IF(VolumeMonthlyOverFlag,INDEX(IF(DiffOptVolumeFlag,DiffOptVolumeMonthlyOver,VolumeMonthlyOver),BJ56),IF(DiffOptVolumeFlag,DiffOptVolume,Volume)),0)),0),BW42)</f>
        <v>600</v>
      </c>
      <c r="BX56" s="1647" t="n">
        <f aca="false">IF(WeekDef=8,IF(CustomHoFlag,IF(CustomHoPeriod=4,INDEX(IF(DiffOptVolumeFlag,DiffOptVolumeHourlyOver,VolumeHourlyOver),S14,4),IF(OR(CustomHoPeriod=1,CustomHoPeriod=2),IF(VolumeMonthlyOverFlag,INDEX(IF(DiffOptVolumeFlag,DiffOptVolumeMonthlyOver,VolumeMonthlyOver),BJ56),IF(DiffOptVolumeFlag,DiffOptVolume,Volume)),0)),0),BX42)</f>
        <v>600</v>
      </c>
      <c r="BY56" s="1647" t="n">
        <f aca="false">IF(WeekDef=8,IF(CustomHoFlag,IF(CustomHoPeriod=4,INDEX(IF(DiffOptVolumeFlag,DiffOptVolumeHourlyOver,VolumeHourlyOver),T14,4),IF(OR(CustomHoPeriod=1,CustomHoPeriod=2),IF(VolumeMonthlyOverFlag,INDEX(IF(DiffOptVolumeFlag,DiffOptVolumeMonthlyOver,VolumeMonthlyOver),BJ56),IF(DiffOptVolumeFlag,DiffOptVolume,Volume)),0)),0),BY42)</f>
        <v>600</v>
      </c>
      <c r="BZ56" s="1648" t="n">
        <f aca="false">IF(WeekDef=8,IF(CustomHoFlag,IF(CustomHoPeriod=4,INDEX(IF(DiffOptVolumeFlag,DiffOptVolumeHourlyOver,VolumeHourlyOver),U14,4),IF(OR(CustomHoPeriod=1,CustomHoPeriod=2),IF(VolumeMonthlyOverFlag,INDEX(IF(DiffOptVolumeFlag,DiffOptVolumeMonthlyOver,VolumeMonthlyOver),BJ56),IF(DiffOptVolumeFlag,DiffOptVolume,Volume)),0)),0),BZ42)</f>
        <v>600</v>
      </c>
      <c r="CA56" s="1647" t="n">
        <f aca="false">IF(WeekDef=8,IF(CustomHoFlag,IF(CustomHoPeriod=4,INDEX(IF(DiffOptVolumeFlag,DiffOptVolumeHourlyOver,VolumeHourlyOver),V14,4),IF(OR(CustomHoPeriod=1,CustomHoPeriod=3),IF(VolumeMonthlyOverFlag,INDEX(IF(DiffOptVolumeFlag,DiffOptVolumeMonthlyOver,VolumeMonthlyOver),BJ56),IF(DiffOptVolumeFlag,DiffOptVolume,Volume)),0)),0),CA42)</f>
        <v>600</v>
      </c>
      <c r="CB56" s="1647" t="n">
        <f aca="false">IF(WeekDef=8,IF(CustomHoFlag,IF(CustomHoPeriod=4,INDEX(IF(DiffOptVolumeFlag,DiffOptVolumeHourlyOver,VolumeHourlyOver),W14,4),IF(OR(CustomHoPeriod=1,CustomHoPeriod=3),IF(VolumeMonthlyOverFlag,INDEX(IF(DiffOptVolumeFlag,DiffOptVolumeMonthlyOver,VolumeMonthlyOver),BJ56),IF(DiffOptVolumeFlag,DiffOptVolume,Volume)),0)),0),CB42)</f>
        <v>600</v>
      </c>
      <c r="CC56" s="1647" t="n">
        <f aca="false">IF(WeekDef=8,IF(CustomHoFlag,IF(CustomHoPeriod=4,INDEX(IF(DiffOptVolumeFlag,DiffOptVolumeHourlyOver,VolumeHourlyOver),X14,4),IF(OR(CustomHoPeriod=1,CustomHoPeriod=3),IF(VolumeMonthlyOverFlag,INDEX(IF(DiffOptVolumeFlag,DiffOptVolumeMonthlyOver,VolumeMonthlyOver),BJ56),IF(DiffOptVolumeFlag,DiffOptVolume,Volume)),0)),0),CC42)</f>
        <v>600</v>
      </c>
      <c r="CD56" s="1647" t="n">
        <f aca="false">IF(WeekDef=8,IF(CustomHoFlag,IF(CustomHoPeriod=4,INDEX(IF(DiffOptVolumeFlag,DiffOptVolumeHourlyOver,VolumeHourlyOver),Y14,4),IF(OR(CustomHoPeriod=1,CustomHoPeriod=3),IF(VolumeMonthlyOverFlag,INDEX(IF(DiffOptVolumeFlag,DiffOptVolumeMonthlyOver,VolumeMonthlyOver),BJ56),IF(DiffOptVolumeFlag,DiffOptVolume,Volume)),0)),0),CD42)</f>
        <v>600</v>
      </c>
      <c r="CE56" s="1647" t="n">
        <f aca="false">IF(WeekDef=8,IF(CustomHoFlag,IF(CustomHoPeriod=4,INDEX(IF(DiffOptVolumeFlag,DiffOptVolumeHourlyOver,VolumeHourlyOver),Z14,4),IF(OR(CustomHoPeriod=1,CustomHoPeriod=3),IF(VolumeMonthlyOverFlag,INDEX(IF(DiffOptVolumeFlag,DiffOptVolumeMonthlyOver,VolumeMonthlyOver),BJ56),IF(DiffOptVolumeFlag,DiffOptVolume,Volume)),0)),0),CE42)</f>
        <v>600</v>
      </c>
      <c r="CF56" s="1647" t="n">
        <f aca="false">IF(WeekDef=8,IF(CustomHoFlag,IF(CustomHoPeriod=4,INDEX(IF(DiffOptVolumeFlag,DiffOptVolumeHourlyOver,VolumeHourlyOver),AA14,4),IF(OR(CustomHoPeriod=1,CustomHoPeriod=3),IF(VolumeMonthlyOverFlag,INDEX(IF(DiffOptVolumeFlag,DiffOptVolumeMonthlyOver,VolumeMonthlyOver),BJ56),IF(DiffOptVolumeFlag,DiffOptVolume,Volume)),0)),0),CF42)</f>
        <v>600</v>
      </c>
      <c r="CG56" s="1647" t="n">
        <f aca="false">IF(WeekDef=8,IF(CustomHoFlag,IF(CustomHoPeriod=4,INDEX(IF(DiffOptVolumeFlag,DiffOptVolumeHourlyOver,VolumeHourlyOver),AB14,4),IF(OR(CustomHoPeriod=1,CustomHoPeriod=3),IF(VolumeMonthlyOverFlag,INDEX(IF(DiffOptVolumeFlag,DiffOptVolumeMonthlyOver,VolumeMonthlyOver),BJ56),IF(DiffOptVolumeFlag,DiffOptVolume,Volume)),0)),0),CG42)</f>
        <v>600</v>
      </c>
      <c r="CH56" s="1648" t="n">
        <f aca="false">IF(WeekDef=8,IF(CustomHoFlag,IF(CustomHoPeriod=4,INDEX(IF(DiffOptVolumeFlag,DiffOptVolumeHourlyOver,VolumeHourlyOver),AC14,4),IF(OR(CustomHoPeriod=1,CustomHoPeriod=3),IF(VolumeMonthlyOverFlag,INDEX(IF(DiffOptVolumeFlag,DiffOptVolumeMonthlyOver,VolumeMonthlyOver),BJ56),IF(DiffOptVolumeFlag,DiffOptVolume,Volume)),0)),0),CH42)</f>
        <v>600</v>
      </c>
      <c r="CI56" s="1652" t="n">
        <f aca="false">SUM(BK56:BZ56)</f>
        <v>9600</v>
      </c>
      <c r="CJ56" s="1653" t="n">
        <f aca="false">SUM(CA56:CH56)</f>
        <v>4800</v>
      </c>
      <c r="CK56" s="1654" t="n">
        <f aca="false">CI56+CJ56</f>
        <v>14400</v>
      </c>
      <c r="CL56" s="1674" t="n">
        <f aca="false">IF(CI56,SUMPRODUCT(BK56:BZ56,F30:U30)/CI56,0)</f>
        <v>1.00000001490116</v>
      </c>
      <c r="CM56" s="1655" t="n">
        <f aca="false">IF(CJ56,SUMPRODUCT(CA56:CH56,V30:AC30)/CJ56,0)</f>
        <v>0.999999992549419</v>
      </c>
    </row>
    <row r="57" customFormat="false" ht="12.75" hidden="false" customHeight="false" outlineLevel="0" collapsed="false">
      <c r="A57" s="1694" t="n">
        <v>5</v>
      </c>
      <c r="B57" s="1695" t="n">
        <f aca="false">EOMONTH(CurveDate+31,MOD(A41-MONTH(CurveDate+31),12)-1)+1</f>
        <v>36647</v>
      </c>
      <c r="C57" s="1696" t="n">
        <f aca="false">VLOOKUP(B57,PriceTableWeekend,3,0)+IF(BasisNumber&lt;&gt;1,VLOOKUP(B41,BasisTable,2,0),0)</f>
        <v>35.35</v>
      </c>
      <c r="D57" s="1696" t="n">
        <f aca="false">VLOOKUP(B41,PriceTable,7,0)+IF(BasisNumber&lt;&gt;1,VLOOKUP(B41,BasisTable,3,0),0)</f>
        <v>15.5846774193548</v>
      </c>
      <c r="E57" s="1636" t="n">
        <v>5</v>
      </c>
      <c r="F57" s="1691" t="n">
        <f aca="false">C57*F25</f>
        <v>37.127304404974</v>
      </c>
      <c r="G57" s="1692" t="n">
        <f aca="false">C57*G25</f>
        <v>37.1231746375561</v>
      </c>
      <c r="H57" s="1692" t="n">
        <f aca="false">C57*H25</f>
        <v>36.8494258403778</v>
      </c>
      <c r="I57" s="1692" t="n">
        <f aca="false">C57*I25</f>
        <v>36.5347712755203</v>
      </c>
      <c r="J57" s="1692" t="n">
        <f aca="false">C57*J25</f>
        <v>36.4469125807285</v>
      </c>
      <c r="K57" s="1692" t="n">
        <f aca="false">C57*K25</f>
        <v>36.0710236787796</v>
      </c>
      <c r="L57" s="1692" t="n">
        <f aca="false">C57*L25</f>
        <v>36.021972155571</v>
      </c>
      <c r="M57" s="1692" t="n">
        <f aca="false">C57*M25</f>
        <v>35.6809797883034</v>
      </c>
      <c r="N57" s="1692" t="n">
        <f aca="false">C57*N25</f>
        <v>35.3337822347879</v>
      </c>
      <c r="O57" s="1692" t="n">
        <f aca="false">C57*O25</f>
        <v>35.0934171289206</v>
      </c>
      <c r="P57" s="1692" t="n">
        <f aca="false">C57*P25</f>
        <v>35.069784745574</v>
      </c>
      <c r="Q57" s="1692" t="n">
        <f aca="false">C57*Q25</f>
        <v>34.8572892487049</v>
      </c>
      <c r="R57" s="1692" t="n">
        <f aca="false">C57*R25</f>
        <v>34.8346113473177</v>
      </c>
      <c r="S57" s="1692" t="n">
        <f aca="false">C57*S25</f>
        <v>34.5058565765619</v>
      </c>
      <c r="T57" s="1692" t="n">
        <f aca="false">C57*T25</f>
        <v>33.3841485351324</v>
      </c>
      <c r="U57" s="1693" t="n">
        <f aca="false">C57*U25</f>
        <v>30.6655458211899</v>
      </c>
      <c r="V57" s="1692" t="n">
        <f aca="false">D57*V25</f>
        <v>18.2430192611871</v>
      </c>
      <c r="W57" s="1692" t="n">
        <f aca="false">D57*W25</f>
        <v>16.5902900046879</v>
      </c>
      <c r="X57" s="1692" t="n">
        <f aca="false">D57*X25</f>
        <v>16.3634367984149</v>
      </c>
      <c r="Y57" s="1692" t="n">
        <f aca="false">D57*Y25</f>
        <v>15.3462498803293</v>
      </c>
      <c r="Z57" s="1692" t="n">
        <f aca="false">D57*Z25</f>
        <v>14.8597693419264</v>
      </c>
      <c r="AA57" s="1692" t="n">
        <f aca="false">D57*AA25</f>
        <v>14.7713176593665</v>
      </c>
      <c r="AB57" s="1692" t="n">
        <f aca="false">D57*AB25</f>
        <v>14.2848371209637</v>
      </c>
      <c r="AC57" s="1693" t="n">
        <f aca="false">D57*AC25</f>
        <v>14.2184992879629</v>
      </c>
      <c r="AE57" s="1636" t="n">
        <v>11</v>
      </c>
      <c r="AF57" s="1646" t="n">
        <f aca="false">IF(WeekDef=8,IF(CustomHoFlag,IF(CustomHoPeriod=4,INDEX(VolumeHourlyOver,F15,4),IF(OR(CustomHoPeriod=1,CustomHoPeriod=2),IF(VolumeMonthlyOverFlag,INDEX(VolumeMonthlyOver,AE57),Volume),0)),0),AF43)</f>
        <v>150</v>
      </c>
      <c r="AG57" s="1647" t="n">
        <f aca="false">IF(WeekDef=8,IF(CustomHoFlag,IF(CustomHoPeriod=4,INDEX(VolumeHourlyOver,G15,4),IF(OR(CustomHoPeriod=1,CustomHoPeriod=2),IF(VolumeMonthlyOverFlag,INDEX(VolumeMonthlyOver,AE57),Volume),0)),0),AG43)</f>
        <v>150</v>
      </c>
      <c r="AH57" s="1647" t="n">
        <f aca="false">IF(WeekDef=8,IF(CustomHoFlag,IF(CustomHoPeriod=4,INDEX(VolumeHourlyOver,H15,4),IF(OR(CustomHoPeriod=1,CustomHoPeriod=2),IF(VolumeMonthlyOverFlag,INDEX(VolumeMonthlyOver,AE57),Volume),0)),0),AH43)</f>
        <v>150</v>
      </c>
      <c r="AI57" s="1647" t="n">
        <f aca="false">IF(WeekDef=8,IF(CustomHoFlag,IF(CustomHoPeriod=4,INDEX(VolumeHourlyOver,I15,4),IF(OR(CustomHoPeriod=1,CustomHoPeriod=2),IF(VolumeMonthlyOverFlag,INDEX(VolumeMonthlyOver,AE57),Volume),0)),0),AI43)</f>
        <v>150</v>
      </c>
      <c r="AJ57" s="1647" t="n">
        <f aca="false">IF(WeekDef=8,IF(CustomHoFlag,IF(CustomHoPeriod=4,INDEX(VolumeHourlyOver,J15,4),IF(OR(CustomHoPeriod=1,CustomHoPeriod=2),IF(VolumeMonthlyOverFlag,INDEX(VolumeMonthlyOver,AE57),Volume),0)),0),AJ43)</f>
        <v>150</v>
      </c>
      <c r="AK57" s="1647" t="n">
        <f aca="false">IF(WeekDef=8,IF(CustomHoFlag,IF(CustomHoPeriod=4,INDEX(VolumeHourlyOver,K15,4),IF(OR(CustomHoPeriod=1,CustomHoPeriod=2),IF(VolumeMonthlyOverFlag,INDEX(VolumeMonthlyOver,AE57),Volume),0)),0),AK43)</f>
        <v>150</v>
      </c>
      <c r="AL57" s="1647" t="n">
        <f aca="false">IF(WeekDef=8,IF(CustomHoFlag,IF(CustomHoPeriod=4,INDEX(VolumeHourlyOver,L15,4),IF(OR(CustomHoPeriod=1,CustomHoPeriod=2),IF(VolumeMonthlyOverFlag,INDEX(VolumeMonthlyOver,AE57),Volume),0)),0),AL43)</f>
        <v>150</v>
      </c>
      <c r="AM57" s="1647" t="n">
        <f aca="false">IF(WeekDef=8,IF(CustomHoFlag,IF(CustomHoPeriod=4,INDEX(VolumeHourlyOver,M15,4),IF(OR(CustomHoPeriod=1,CustomHoPeriod=2),IF(VolumeMonthlyOverFlag,INDEX(VolumeMonthlyOver,AE57),Volume),0)),0),AM43)</f>
        <v>150</v>
      </c>
      <c r="AN57" s="1647" t="n">
        <f aca="false">IF(WeekDef=8,IF(CustomHoFlag,IF(CustomHoPeriod=4,INDEX(VolumeHourlyOver,N15,4),IF(OR(CustomHoPeriod=1,CustomHoPeriod=2),IF(VolumeMonthlyOverFlag,INDEX(VolumeMonthlyOver,AE57),Volume),0)),0),AN43)</f>
        <v>150</v>
      </c>
      <c r="AO57" s="1647" t="n">
        <f aca="false">IF(WeekDef=8,IF(CustomHoFlag,IF(CustomHoPeriod=4,INDEX(VolumeHourlyOver,O15,4),IF(OR(CustomHoPeriod=1,CustomHoPeriod=2),IF(VolumeMonthlyOverFlag,INDEX(VolumeMonthlyOver,AE57),Volume),0)),0),AO43)</f>
        <v>150</v>
      </c>
      <c r="AP57" s="1647" t="n">
        <f aca="false">IF(WeekDef=8,IF(CustomHoFlag,IF(CustomHoPeriod=4,INDEX(VolumeHourlyOver,P15,4),IF(OR(CustomHoPeriod=1,CustomHoPeriod=2),IF(VolumeMonthlyOverFlag,INDEX(VolumeMonthlyOver,AE57),Volume),0)),0),AP43)</f>
        <v>150</v>
      </c>
      <c r="AQ57" s="1647" t="n">
        <f aca="false">IF(WeekDef=8,IF(CustomHoFlag,IF(CustomHoPeriod=4,INDEX(VolumeHourlyOver,Q15,4),IF(OR(CustomHoPeriod=1,CustomHoPeriod=2),IF(VolumeMonthlyOverFlag,INDEX(VolumeMonthlyOver,AE57),Volume),0)),0),AQ43)</f>
        <v>150</v>
      </c>
      <c r="AR57" s="1647" t="n">
        <f aca="false">IF(WeekDef=8,IF(CustomHoFlag,IF(CustomHoPeriod=4,INDEX(VolumeHourlyOver,R15,4),IF(OR(CustomHoPeriod=1,CustomHoPeriod=2),IF(VolumeMonthlyOverFlag,INDEX(VolumeMonthlyOver,AE57),Volume),0)),0),AR43)</f>
        <v>150</v>
      </c>
      <c r="AS57" s="1647" t="n">
        <f aca="false">IF(WeekDef=8,IF(CustomHoFlag,IF(CustomHoPeriod=4,INDEX(VolumeHourlyOver,S15,4),IF(OR(CustomHoPeriod=1,CustomHoPeriod=2),IF(VolumeMonthlyOverFlag,INDEX(VolumeMonthlyOver,AE57),Volume),0)),0),AS43)</f>
        <v>150</v>
      </c>
      <c r="AT57" s="1647" t="n">
        <f aca="false">IF(WeekDef=8,IF(CustomHoFlag,IF(CustomHoPeriod=4,INDEX(VolumeHourlyOver,T15,4),IF(OR(CustomHoPeriod=1,CustomHoPeriod=2),IF(VolumeMonthlyOverFlag,INDEX(VolumeMonthlyOver,AE57),Volume),0)),0),AT43)</f>
        <v>150</v>
      </c>
      <c r="AU57" s="1648" t="n">
        <f aca="false">IF(WeekDef=8,IF(CustomHoFlag,IF(CustomHoPeriod=4,INDEX(VolumeHourlyOver,U15,4),IF(OR(CustomHoPeriod=1,CustomHoPeriod=2),IF(VolumeMonthlyOverFlag,INDEX(VolumeMonthlyOver,AE57),Volume),0)),0),AU43)</f>
        <v>150</v>
      </c>
      <c r="AV57" s="1647" t="n">
        <f aca="false">IF(WeekDef=8,IF(CustomHoFlag,IF(CustomHoPeriod=4,INDEX(VolumeHourlyOver,V15,4),IF(OR(CustomHoPeriod=1,CustomHoPeriod=3),IF(VolumeMonthlyOverFlag,INDEX(VolumeMonthlyOver,AE57),Volume),0)),0),AV43)</f>
        <v>150</v>
      </c>
      <c r="AW57" s="1647" t="n">
        <f aca="false">IF(WeekDef=8,IF(CustomHoFlag,IF(CustomHoPeriod=4,INDEX(VolumeHourlyOver,W15,4),IF(OR(CustomHoPeriod=1,CustomHoPeriod=3),IF(VolumeMonthlyOverFlag,INDEX(VolumeMonthlyOver,AE57),Volume),0)),0),AW43)</f>
        <v>150</v>
      </c>
      <c r="AX57" s="1647" t="n">
        <f aca="false">IF(WeekDef=8,IF(CustomHoFlag,IF(CustomHoPeriod=4,INDEX(VolumeHourlyOver,X15,4),IF(OR(CustomHoPeriod=1,CustomHoPeriod=3),IF(VolumeMonthlyOverFlag,INDEX(VolumeMonthlyOver,AE57),Volume),0)),0),AX43)</f>
        <v>150</v>
      </c>
      <c r="AY57" s="1647" t="n">
        <f aca="false">IF(WeekDef=8,IF(CustomHoFlag,IF(CustomHoPeriod=4,INDEX(VolumeHourlyOver,Y15,4),IF(OR(CustomHoPeriod=1,CustomHoPeriod=3),IF(VolumeMonthlyOverFlag,INDEX(VolumeMonthlyOver,AE57),Volume),0)),0),AY43)</f>
        <v>150</v>
      </c>
      <c r="AZ57" s="1647" t="n">
        <f aca="false">IF(WeekDef=8,IF(CustomHoFlag,IF(CustomHoPeriod=4,INDEX(VolumeHourlyOver,Z15,4),IF(OR(CustomHoPeriod=1,CustomHoPeriod=3),IF(VolumeMonthlyOverFlag,INDEX(VolumeMonthlyOver,AE57),Volume),0)),0),AZ43)</f>
        <v>150</v>
      </c>
      <c r="BA57" s="1647" t="n">
        <f aca="false">IF(WeekDef=8,IF(CustomHoFlag,IF(CustomHoPeriod=4,INDEX(VolumeHourlyOver,AA15,4),IF(OR(CustomHoPeriod=1,CustomHoPeriod=3),IF(VolumeMonthlyOverFlag,INDEX(VolumeMonthlyOver,AE57),Volume),0)),0),BA43)</f>
        <v>150</v>
      </c>
      <c r="BB57" s="1647" t="n">
        <f aca="false">IF(WeekDef=8,IF(CustomHoFlag,IF(CustomHoPeriod=4,INDEX(VolumeHourlyOver,AB15,4),IF(OR(CustomHoPeriod=1,CustomHoPeriod=3),IF(VolumeMonthlyOverFlag,INDEX(VolumeMonthlyOver,AE57),Volume),0)),0),BB43)</f>
        <v>150</v>
      </c>
      <c r="BC57" s="1648" t="n">
        <f aca="false">IF(WeekDef=8,IF(CustomHoFlag,IF(CustomHoPeriod=4,INDEX(VolumeHourlyOver,AC15,4),IF(OR(CustomHoPeriod=1,CustomHoPeriod=3),IF(VolumeMonthlyOverFlag,INDEX(VolumeMonthlyOver,AE57),Volume),0)),0),BC43)</f>
        <v>150</v>
      </c>
      <c r="BD57" s="1652" t="n">
        <f aca="false">SUM(AF57:AU57)</f>
        <v>2400</v>
      </c>
      <c r="BE57" s="1653" t="n">
        <f aca="false">SUM(AV57:BC57)</f>
        <v>1200</v>
      </c>
      <c r="BF57" s="1654" t="n">
        <f aca="false">BD57+BE57</f>
        <v>3600</v>
      </c>
      <c r="BG57" s="1674" t="n">
        <f aca="false">IF(BD57,SUMPRODUCT(AF57:AU57,F31:U31)/BD57,0)</f>
        <v>1</v>
      </c>
      <c r="BH57" s="1655" t="n">
        <f aca="false">IF(BE57,SUMPRODUCT(AV57:BC57,V31:AC31)/BE57,0)</f>
        <v>0.999999992549419</v>
      </c>
      <c r="BJ57" s="1636" t="n">
        <v>11</v>
      </c>
      <c r="BK57" s="1646" t="n">
        <f aca="false">IF(WeekDef=8,IF(CustomHoFlag,IF(CustomHoPeriod=4,INDEX(IF(DiffOptVolumeFlag,DiffOptVolumeHourlyOver,VolumeHourlyOver),F15,4),IF(OR(CustomHoPeriod=1,CustomHoPeriod=2),IF(VolumeMonthlyOverFlag,INDEX(IF(DiffOptVolumeFlag,DiffOptVolumeMonthlyOver,VolumeMonthlyOver),BJ57),IF(DiffOptVolumeFlag,DiffOptVolume,Volume)),0)),0),BK43)</f>
        <v>600</v>
      </c>
      <c r="BL57" s="1647" t="n">
        <f aca="false">IF(WeekDef=8,IF(CustomHoFlag,IF(CustomHoPeriod=4,INDEX(IF(DiffOptVolumeFlag,DiffOptVolumeHourlyOver,VolumeHourlyOver),G15,4),IF(OR(CustomHoPeriod=1,CustomHoPeriod=2),IF(VolumeMonthlyOverFlag,INDEX(IF(DiffOptVolumeFlag,DiffOptVolumeMonthlyOver,VolumeMonthlyOver),BJ57),IF(DiffOptVolumeFlag,DiffOptVolume,Volume)),0)),0),BL43)</f>
        <v>600</v>
      </c>
      <c r="BM57" s="1647" t="n">
        <f aca="false">IF(WeekDef=8,IF(CustomHoFlag,IF(CustomHoPeriod=4,INDEX(IF(DiffOptVolumeFlag,DiffOptVolumeHourlyOver,VolumeHourlyOver),H15,4),IF(OR(CustomHoPeriod=1,CustomHoPeriod=2),IF(VolumeMonthlyOverFlag,INDEX(IF(DiffOptVolumeFlag,DiffOptVolumeMonthlyOver,VolumeMonthlyOver),BJ57),IF(DiffOptVolumeFlag,DiffOptVolume,Volume)),0)),0),BM43)</f>
        <v>600</v>
      </c>
      <c r="BN57" s="1647" t="n">
        <f aca="false">IF(WeekDef=8,IF(CustomHoFlag,IF(CustomHoPeriod=4,INDEX(IF(DiffOptVolumeFlag,DiffOptVolumeHourlyOver,VolumeHourlyOver),I15,4),IF(OR(CustomHoPeriod=1,CustomHoPeriod=2),IF(VolumeMonthlyOverFlag,INDEX(IF(DiffOptVolumeFlag,DiffOptVolumeMonthlyOver,VolumeMonthlyOver),BJ57),IF(DiffOptVolumeFlag,DiffOptVolume,Volume)),0)),0),BN43)</f>
        <v>600</v>
      </c>
      <c r="BO57" s="1647" t="n">
        <f aca="false">IF(WeekDef=8,IF(CustomHoFlag,IF(CustomHoPeriod=4,INDEX(IF(DiffOptVolumeFlag,DiffOptVolumeHourlyOver,VolumeHourlyOver),J15,4),IF(OR(CustomHoPeriod=1,CustomHoPeriod=2),IF(VolumeMonthlyOverFlag,INDEX(IF(DiffOptVolumeFlag,DiffOptVolumeMonthlyOver,VolumeMonthlyOver),BJ57),IF(DiffOptVolumeFlag,DiffOptVolume,Volume)),0)),0),BO43)</f>
        <v>600</v>
      </c>
      <c r="BP57" s="1647" t="n">
        <f aca="false">IF(WeekDef=8,IF(CustomHoFlag,IF(CustomHoPeriod=4,INDEX(IF(DiffOptVolumeFlag,DiffOptVolumeHourlyOver,VolumeHourlyOver),K15,4),IF(OR(CustomHoPeriod=1,CustomHoPeriod=2),IF(VolumeMonthlyOverFlag,INDEX(IF(DiffOptVolumeFlag,DiffOptVolumeMonthlyOver,VolumeMonthlyOver),BJ57),IF(DiffOptVolumeFlag,DiffOptVolume,Volume)),0)),0),BP43)</f>
        <v>600</v>
      </c>
      <c r="BQ57" s="1647" t="n">
        <f aca="false">IF(WeekDef=8,IF(CustomHoFlag,IF(CustomHoPeriod=4,INDEX(IF(DiffOptVolumeFlag,DiffOptVolumeHourlyOver,VolumeHourlyOver),L15,4),IF(OR(CustomHoPeriod=1,CustomHoPeriod=2),IF(VolumeMonthlyOverFlag,INDEX(IF(DiffOptVolumeFlag,DiffOptVolumeMonthlyOver,VolumeMonthlyOver),BJ57),IF(DiffOptVolumeFlag,DiffOptVolume,Volume)),0)),0),BQ43)</f>
        <v>600</v>
      </c>
      <c r="BR57" s="1647" t="n">
        <f aca="false">IF(WeekDef=8,IF(CustomHoFlag,IF(CustomHoPeriod=4,INDEX(IF(DiffOptVolumeFlag,DiffOptVolumeHourlyOver,VolumeHourlyOver),M15,4),IF(OR(CustomHoPeriod=1,CustomHoPeriod=2),IF(VolumeMonthlyOverFlag,INDEX(IF(DiffOptVolumeFlag,DiffOptVolumeMonthlyOver,VolumeMonthlyOver),BJ57),IF(DiffOptVolumeFlag,DiffOptVolume,Volume)),0)),0),BR43)</f>
        <v>600</v>
      </c>
      <c r="BS57" s="1647" t="n">
        <f aca="false">IF(WeekDef=8,IF(CustomHoFlag,IF(CustomHoPeriod=4,INDEX(IF(DiffOptVolumeFlag,DiffOptVolumeHourlyOver,VolumeHourlyOver),N15,4),IF(OR(CustomHoPeriod=1,CustomHoPeriod=2),IF(VolumeMonthlyOverFlag,INDEX(IF(DiffOptVolumeFlag,DiffOptVolumeMonthlyOver,VolumeMonthlyOver),BJ57),IF(DiffOptVolumeFlag,DiffOptVolume,Volume)),0)),0),BS43)</f>
        <v>600</v>
      </c>
      <c r="BT57" s="1647" t="n">
        <f aca="false">IF(WeekDef=8,IF(CustomHoFlag,IF(CustomHoPeriod=4,INDEX(IF(DiffOptVolumeFlag,DiffOptVolumeHourlyOver,VolumeHourlyOver),O15,4),IF(OR(CustomHoPeriod=1,CustomHoPeriod=2),IF(VolumeMonthlyOverFlag,INDEX(IF(DiffOptVolumeFlag,DiffOptVolumeMonthlyOver,VolumeMonthlyOver),BJ57),IF(DiffOptVolumeFlag,DiffOptVolume,Volume)),0)),0),BT43)</f>
        <v>600</v>
      </c>
      <c r="BU57" s="1647" t="n">
        <f aca="false">IF(WeekDef=8,IF(CustomHoFlag,IF(CustomHoPeriod=4,INDEX(IF(DiffOptVolumeFlag,DiffOptVolumeHourlyOver,VolumeHourlyOver),P15,4),IF(OR(CustomHoPeriod=1,CustomHoPeriod=2),IF(VolumeMonthlyOverFlag,INDEX(IF(DiffOptVolumeFlag,DiffOptVolumeMonthlyOver,VolumeMonthlyOver),BJ57),IF(DiffOptVolumeFlag,DiffOptVolume,Volume)),0)),0),BU43)</f>
        <v>600</v>
      </c>
      <c r="BV57" s="1647" t="n">
        <f aca="false">IF(WeekDef=8,IF(CustomHoFlag,IF(CustomHoPeriod=4,INDEX(IF(DiffOptVolumeFlag,DiffOptVolumeHourlyOver,VolumeHourlyOver),Q15,4),IF(OR(CustomHoPeriod=1,CustomHoPeriod=2),IF(VolumeMonthlyOverFlag,INDEX(IF(DiffOptVolumeFlag,DiffOptVolumeMonthlyOver,VolumeMonthlyOver),BJ57),IF(DiffOptVolumeFlag,DiffOptVolume,Volume)),0)),0),BV43)</f>
        <v>600</v>
      </c>
      <c r="BW57" s="1647" t="n">
        <f aca="false">IF(WeekDef=8,IF(CustomHoFlag,IF(CustomHoPeriod=4,INDEX(IF(DiffOptVolumeFlag,DiffOptVolumeHourlyOver,VolumeHourlyOver),R15,4),IF(OR(CustomHoPeriod=1,CustomHoPeriod=2),IF(VolumeMonthlyOverFlag,INDEX(IF(DiffOptVolumeFlag,DiffOptVolumeMonthlyOver,VolumeMonthlyOver),BJ57),IF(DiffOptVolumeFlag,DiffOptVolume,Volume)),0)),0),BW43)</f>
        <v>600</v>
      </c>
      <c r="BX57" s="1647" t="n">
        <f aca="false">IF(WeekDef=8,IF(CustomHoFlag,IF(CustomHoPeriod=4,INDEX(IF(DiffOptVolumeFlag,DiffOptVolumeHourlyOver,VolumeHourlyOver),S15,4),IF(OR(CustomHoPeriod=1,CustomHoPeriod=2),IF(VolumeMonthlyOverFlag,INDEX(IF(DiffOptVolumeFlag,DiffOptVolumeMonthlyOver,VolumeMonthlyOver),BJ57),IF(DiffOptVolumeFlag,DiffOptVolume,Volume)),0)),0),BX43)</f>
        <v>600</v>
      </c>
      <c r="BY57" s="1647" t="n">
        <f aca="false">IF(WeekDef=8,IF(CustomHoFlag,IF(CustomHoPeriod=4,INDEX(IF(DiffOptVolumeFlag,DiffOptVolumeHourlyOver,VolumeHourlyOver),T15,4),IF(OR(CustomHoPeriod=1,CustomHoPeriod=2),IF(VolumeMonthlyOverFlag,INDEX(IF(DiffOptVolumeFlag,DiffOptVolumeMonthlyOver,VolumeMonthlyOver),BJ57),IF(DiffOptVolumeFlag,DiffOptVolume,Volume)),0)),0),BY43)</f>
        <v>600</v>
      </c>
      <c r="BZ57" s="1648" t="n">
        <f aca="false">IF(WeekDef=8,IF(CustomHoFlag,IF(CustomHoPeriod=4,INDEX(IF(DiffOptVolumeFlag,DiffOptVolumeHourlyOver,VolumeHourlyOver),U15,4),IF(OR(CustomHoPeriod=1,CustomHoPeriod=2),IF(VolumeMonthlyOverFlag,INDEX(IF(DiffOptVolumeFlag,DiffOptVolumeMonthlyOver,VolumeMonthlyOver),BJ57),IF(DiffOptVolumeFlag,DiffOptVolume,Volume)),0)),0),BZ43)</f>
        <v>600</v>
      </c>
      <c r="CA57" s="1647" t="n">
        <f aca="false">IF(WeekDef=8,IF(CustomHoFlag,IF(CustomHoPeriod=4,INDEX(IF(DiffOptVolumeFlag,DiffOptVolumeHourlyOver,VolumeHourlyOver),V15,4),IF(OR(CustomHoPeriod=1,CustomHoPeriod=3),IF(VolumeMonthlyOverFlag,INDEX(IF(DiffOptVolumeFlag,DiffOptVolumeMonthlyOver,VolumeMonthlyOver),BJ57),IF(DiffOptVolumeFlag,DiffOptVolume,Volume)),0)),0),CA43)</f>
        <v>600</v>
      </c>
      <c r="CB57" s="1647" t="n">
        <f aca="false">IF(WeekDef=8,IF(CustomHoFlag,IF(CustomHoPeriod=4,INDEX(IF(DiffOptVolumeFlag,DiffOptVolumeHourlyOver,VolumeHourlyOver),W15,4),IF(OR(CustomHoPeriod=1,CustomHoPeriod=3),IF(VolumeMonthlyOverFlag,INDEX(IF(DiffOptVolumeFlag,DiffOptVolumeMonthlyOver,VolumeMonthlyOver),BJ57),IF(DiffOptVolumeFlag,DiffOptVolume,Volume)),0)),0),CB43)</f>
        <v>600</v>
      </c>
      <c r="CC57" s="1647" t="n">
        <f aca="false">IF(WeekDef=8,IF(CustomHoFlag,IF(CustomHoPeriod=4,INDEX(IF(DiffOptVolumeFlag,DiffOptVolumeHourlyOver,VolumeHourlyOver),X15,4),IF(OR(CustomHoPeriod=1,CustomHoPeriod=3),IF(VolumeMonthlyOverFlag,INDEX(IF(DiffOptVolumeFlag,DiffOptVolumeMonthlyOver,VolumeMonthlyOver),BJ57),IF(DiffOptVolumeFlag,DiffOptVolume,Volume)),0)),0),CC43)</f>
        <v>600</v>
      </c>
      <c r="CD57" s="1647" t="n">
        <f aca="false">IF(WeekDef=8,IF(CustomHoFlag,IF(CustomHoPeriod=4,INDEX(IF(DiffOptVolumeFlag,DiffOptVolumeHourlyOver,VolumeHourlyOver),Y15,4),IF(OR(CustomHoPeriod=1,CustomHoPeriod=3),IF(VolumeMonthlyOverFlag,INDEX(IF(DiffOptVolumeFlag,DiffOptVolumeMonthlyOver,VolumeMonthlyOver),BJ57),IF(DiffOptVolumeFlag,DiffOptVolume,Volume)),0)),0),CD43)</f>
        <v>600</v>
      </c>
      <c r="CE57" s="1647" t="n">
        <f aca="false">IF(WeekDef=8,IF(CustomHoFlag,IF(CustomHoPeriod=4,INDEX(IF(DiffOptVolumeFlag,DiffOptVolumeHourlyOver,VolumeHourlyOver),Z15,4),IF(OR(CustomHoPeriod=1,CustomHoPeriod=3),IF(VolumeMonthlyOverFlag,INDEX(IF(DiffOptVolumeFlag,DiffOptVolumeMonthlyOver,VolumeMonthlyOver),BJ57),IF(DiffOptVolumeFlag,DiffOptVolume,Volume)),0)),0),CE43)</f>
        <v>600</v>
      </c>
      <c r="CF57" s="1647" t="n">
        <f aca="false">IF(WeekDef=8,IF(CustomHoFlag,IF(CustomHoPeriod=4,INDEX(IF(DiffOptVolumeFlag,DiffOptVolumeHourlyOver,VolumeHourlyOver),AA15,4),IF(OR(CustomHoPeriod=1,CustomHoPeriod=3),IF(VolumeMonthlyOverFlag,INDEX(IF(DiffOptVolumeFlag,DiffOptVolumeMonthlyOver,VolumeMonthlyOver),BJ57),IF(DiffOptVolumeFlag,DiffOptVolume,Volume)),0)),0),CF43)</f>
        <v>600</v>
      </c>
      <c r="CG57" s="1647" t="n">
        <f aca="false">IF(WeekDef=8,IF(CustomHoFlag,IF(CustomHoPeriod=4,INDEX(IF(DiffOptVolumeFlag,DiffOptVolumeHourlyOver,VolumeHourlyOver),AB15,4),IF(OR(CustomHoPeriod=1,CustomHoPeriod=3),IF(VolumeMonthlyOverFlag,INDEX(IF(DiffOptVolumeFlag,DiffOptVolumeMonthlyOver,VolumeMonthlyOver),BJ57),IF(DiffOptVolumeFlag,DiffOptVolume,Volume)),0)),0),CG43)</f>
        <v>600</v>
      </c>
      <c r="CH57" s="1648" t="n">
        <f aca="false">IF(WeekDef=8,IF(CustomHoFlag,IF(CustomHoPeriod=4,INDEX(IF(DiffOptVolumeFlag,DiffOptVolumeHourlyOver,VolumeHourlyOver),AC15,4),IF(OR(CustomHoPeriod=1,CustomHoPeriod=3),IF(VolumeMonthlyOverFlag,INDEX(IF(DiffOptVolumeFlag,DiffOptVolumeMonthlyOver,VolumeMonthlyOver),BJ57),IF(DiffOptVolumeFlag,DiffOptVolume,Volume)),0)),0),CH43)</f>
        <v>600</v>
      </c>
      <c r="CI57" s="1652" t="n">
        <f aca="false">SUM(BK57:BZ57)</f>
        <v>9600</v>
      </c>
      <c r="CJ57" s="1653" t="n">
        <f aca="false">SUM(CA57:CH57)</f>
        <v>4800</v>
      </c>
      <c r="CK57" s="1654" t="n">
        <f aca="false">CI57+CJ57</f>
        <v>14400</v>
      </c>
      <c r="CL57" s="1674" t="n">
        <f aca="false">IF(CI57,SUMPRODUCT(BK57:BZ57,F31:U31)/CI57,0)</f>
        <v>1</v>
      </c>
      <c r="CM57" s="1655" t="n">
        <f aca="false">IF(CJ57,SUMPRODUCT(CA57:CH57,V31:AC31)/CJ57,0)</f>
        <v>0.999999992549419</v>
      </c>
    </row>
    <row r="58" customFormat="false" ht="13.5" hidden="false" customHeight="false" outlineLevel="0" collapsed="false">
      <c r="A58" s="1694" t="n">
        <v>6</v>
      </c>
      <c r="B58" s="1695" t="n">
        <f aca="false">EOMONTH(CurveDate+31,MOD(A42-MONTH(CurveDate+31),12)-1)+1</f>
        <v>36678</v>
      </c>
      <c r="C58" s="1696" t="n">
        <f aca="false">VLOOKUP(B58,PriceTableWeekend,3,0)+IF(BasisNumber&lt;&gt;1,VLOOKUP(B42,BasisTable,2,0),0)</f>
        <v>39.625</v>
      </c>
      <c r="D58" s="1696" t="n">
        <f aca="false">VLOOKUP(B42,PriceTable,7,0)+IF(BasisNumber&lt;&gt;1,VLOOKUP(B42,BasisTable,3,0),0)</f>
        <v>16.1416666666667</v>
      </c>
      <c r="E58" s="1636" t="n">
        <v>6</v>
      </c>
      <c r="F58" s="1691" t="n">
        <f aca="false">C58*F26</f>
        <v>42.9074013829231</v>
      </c>
      <c r="G58" s="1692" t="n">
        <f aca="false">C58*G26</f>
        <v>42.6536553800106</v>
      </c>
      <c r="H58" s="1692" t="n">
        <f aca="false">C58*H26</f>
        <v>42.3172073960304</v>
      </c>
      <c r="I58" s="1692" t="n">
        <f aca="false">C58*I26</f>
        <v>42.1950344443321</v>
      </c>
      <c r="J58" s="1692" t="n">
        <f aca="false">C58*J26</f>
        <v>41.7646043598652</v>
      </c>
      <c r="K58" s="1692" t="n">
        <f aca="false">C58*K26</f>
        <v>41.1819304525852</v>
      </c>
      <c r="L58" s="1692" t="n">
        <f aca="false">C58*L26</f>
        <v>40.7439850121737</v>
      </c>
      <c r="M58" s="1692" t="n">
        <f aca="false">C58*M26</f>
        <v>40.5428701192141</v>
      </c>
      <c r="N58" s="1692" t="n">
        <f aca="false">C58*N26</f>
        <v>40.3665922731161</v>
      </c>
      <c r="O58" s="1692" t="n">
        <f aca="false">C58*O26</f>
        <v>39.6425437033176</v>
      </c>
      <c r="P58" s="1692" t="n">
        <f aca="false">C58*P26</f>
        <v>39.5485639646649</v>
      </c>
      <c r="Q58" s="1692" t="n">
        <f aca="false">C58*Q26</f>
        <v>39.3277466520667</v>
      </c>
      <c r="R58" s="1692" t="n">
        <f aca="false">C58*R26</f>
        <v>38.1108116582036</v>
      </c>
      <c r="S58" s="1692" t="n">
        <f aca="false">C58*S26</f>
        <v>37.0280264765024</v>
      </c>
      <c r="T58" s="1692" t="n">
        <f aca="false">C58*T26</f>
        <v>34.3552404418588</v>
      </c>
      <c r="U58" s="1693" t="n">
        <f aca="false">C58*U26</f>
        <v>31.3137910068035</v>
      </c>
      <c r="V58" s="1692" t="n">
        <f aca="false">D58*V26</f>
        <v>19.1504453718662</v>
      </c>
      <c r="W58" s="1692" t="n">
        <f aca="false">D58*W26</f>
        <v>17.2145517309507</v>
      </c>
      <c r="X58" s="1692" t="n">
        <f aca="false">D58*X26</f>
        <v>16.4992013752461</v>
      </c>
      <c r="Y58" s="1692" t="n">
        <f aca="false">D58*Y26</f>
        <v>15.9489784225822</v>
      </c>
      <c r="Z58" s="1692" t="n">
        <f aca="false">D58*Z26</f>
        <v>15.299259929359</v>
      </c>
      <c r="AA58" s="1692" t="n">
        <f aca="false">D58*AA26</f>
        <v>15.1377289245526</v>
      </c>
      <c r="AB58" s="1692" t="n">
        <f aca="false">D58*AB26</f>
        <v>14.9761979197462</v>
      </c>
      <c r="AC58" s="1693" t="n">
        <f aca="false">D58*AC26</f>
        <v>14.9069706211487</v>
      </c>
      <c r="AE58" s="1662" t="n">
        <v>12</v>
      </c>
      <c r="AF58" s="1663" t="n">
        <f aca="false">IF(WeekDef=8,IF(CustomHoFlag,IF(CustomHoPeriod=4,INDEX(VolumeHourlyOver,F16,4),IF(OR(CustomHoPeriod=1,CustomHoPeriod=2),IF(VolumeMonthlyOverFlag,INDEX(VolumeMonthlyOver,AE58),Volume),0)),0),AF44)</f>
        <v>150</v>
      </c>
      <c r="AG58" s="1664" t="n">
        <f aca="false">IF(WeekDef=8,IF(CustomHoFlag,IF(CustomHoPeriod=4,INDEX(VolumeHourlyOver,G16,4),IF(OR(CustomHoPeriod=1,CustomHoPeriod=2),IF(VolumeMonthlyOverFlag,INDEX(VolumeMonthlyOver,AE58),Volume),0)),0),AG44)</f>
        <v>150</v>
      </c>
      <c r="AH58" s="1664" t="n">
        <f aca="false">IF(WeekDef=8,IF(CustomHoFlag,IF(CustomHoPeriod=4,INDEX(VolumeHourlyOver,H16,4),IF(OR(CustomHoPeriod=1,CustomHoPeriod=2),IF(VolumeMonthlyOverFlag,INDEX(VolumeMonthlyOver,AE58),Volume),0)),0),AH44)</f>
        <v>150</v>
      </c>
      <c r="AI58" s="1664" t="n">
        <f aca="false">IF(WeekDef=8,IF(CustomHoFlag,IF(CustomHoPeriod=4,INDEX(VolumeHourlyOver,I16,4),IF(OR(CustomHoPeriod=1,CustomHoPeriod=2),IF(VolumeMonthlyOverFlag,INDEX(VolumeMonthlyOver,AE58),Volume),0)),0),AI44)</f>
        <v>150</v>
      </c>
      <c r="AJ58" s="1664" t="n">
        <f aca="false">IF(WeekDef=8,IF(CustomHoFlag,IF(CustomHoPeriod=4,INDEX(VolumeHourlyOver,J16,4),IF(OR(CustomHoPeriod=1,CustomHoPeriod=2),IF(VolumeMonthlyOverFlag,INDEX(VolumeMonthlyOver,AE58),Volume),0)),0),AJ44)</f>
        <v>150</v>
      </c>
      <c r="AK58" s="1664" t="n">
        <f aca="false">IF(WeekDef=8,IF(CustomHoFlag,IF(CustomHoPeriod=4,INDEX(VolumeHourlyOver,K16,4),IF(OR(CustomHoPeriod=1,CustomHoPeriod=2),IF(VolumeMonthlyOverFlag,INDEX(VolumeMonthlyOver,AE58),Volume),0)),0),AK44)</f>
        <v>150</v>
      </c>
      <c r="AL58" s="1664" t="n">
        <f aca="false">IF(WeekDef=8,IF(CustomHoFlag,IF(CustomHoPeriod=4,INDEX(VolumeHourlyOver,L16,4),IF(OR(CustomHoPeriod=1,CustomHoPeriod=2),IF(VolumeMonthlyOverFlag,INDEX(VolumeMonthlyOver,AE58),Volume),0)),0),AL44)</f>
        <v>150</v>
      </c>
      <c r="AM58" s="1664" t="n">
        <f aca="false">IF(WeekDef=8,IF(CustomHoFlag,IF(CustomHoPeriod=4,INDEX(VolumeHourlyOver,M16,4),IF(OR(CustomHoPeriod=1,CustomHoPeriod=2),IF(VolumeMonthlyOverFlag,INDEX(VolumeMonthlyOver,AE58),Volume),0)),0),AM44)</f>
        <v>150</v>
      </c>
      <c r="AN58" s="1664" t="n">
        <f aca="false">IF(WeekDef=8,IF(CustomHoFlag,IF(CustomHoPeriod=4,INDEX(VolumeHourlyOver,N16,4),IF(OR(CustomHoPeriod=1,CustomHoPeriod=2),IF(VolumeMonthlyOverFlag,INDEX(VolumeMonthlyOver,AE58),Volume),0)),0),AN44)</f>
        <v>150</v>
      </c>
      <c r="AO58" s="1664" t="n">
        <f aca="false">IF(WeekDef=8,IF(CustomHoFlag,IF(CustomHoPeriod=4,INDEX(VolumeHourlyOver,O16,4),IF(OR(CustomHoPeriod=1,CustomHoPeriod=2),IF(VolumeMonthlyOverFlag,INDEX(VolumeMonthlyOver,AE58),Volume),0)),0),AO44)</f>
        <v>150</v>
      </c>
      <c r="AP58" s="1664" t="n">
        <f aca="false">IF(WeekDef=8,IF(CustomHoFlag,IF(CustomHoPeriod=4,INDEX(VolumeHourlyOver,P16,4),IF(OR(CustomHoPeriod=1,CustomHoPeriod=2),IF(VolumeMonthlyOverFlag,INDEX(VolumeMonthlyOver,AE58),Volume),0)),0),AP44)</f>
        <v>150</v>
      </c>
      <c r="AQ58" s="1664" t="n">
        <f aca="false">IF(WeekDef=8,IF(CustomHoFlag,IF(CustomHoPeriod=4,INDEX(VolumeHourlyOver,Q16,4),IF(OR(CustomHoPeriod=1,CustomHoPeriod=2),IF(VolumeMonthlyOverFlag,INDEX(VolumeMonthlyOver,AE58),Volume),0)),0),AQ44)</f>
        <v>150</v>
      </c>
      <c r="AR58" s="1664" t="n">
        <f aca="false">IF(WeekDef=8,IF(CustomHoFlag,IF(CustomHoPeriod=4,INDEX(VolumeHourlyOver,R16,4),IF(OR(CustomHoPeriod=1,CustomHoPeriod=2),IF(VolumeMonthlyOverFlag,INDEX(VolumeMonthlyOver,AE58),Volume),0)),0),AR44)</f>
        <v>150</v>
      </c>
      <c r="AS58" s="1664" t="n">
        <f aca="false">IF(WeekDef=8,IF(CustomHoFlag,IF(CustomHoPeriod=4,INDEX(VolumeHourlyOver,S16,4),IF(OR(CustomHoPeriod=1,CustomHoPeriod=2),IF(VolumeMonthlyOverFlag,INDEX(VolumeMonthlyOver,AE58),Volume),0)),0),AS44)</f>
        <v>150</v>
      </c>
      <c r="AT58" s="1664" t="n">
        <f aca="false">IF(WeekDef=8,IF(CustomHoFlag,IF(CustomHoPeriod=4,INDEX(VolumeHourlyOver,T16,4),IF(OR(CustomHoPeriod=1,CustomHoPeriod=2),IF(VolumeMonthlyOverFlag,INDEX(VolumeMonthlyOver,AE58),Volume),0)),0),AT44)</f>
        <v>150</v>
      </c>
      <c r="AU58" s="1665" t="n">
        <f aca="false">IF(WeekDef=8,IF(CustomHoFlag,IF(CustomHoPeriod=4,INDEX(VolumeHourlyOver,U16,4),IF(OR(CustomHoPeriod=1,CustomHoPeriod=2),IF(VolumeMonthlyOverFlag,INDEX(VolumeMonthlyOver,AE58),Volume),0)),0),AU44)</f>
        <v>150</v>
      </c>
      <c r="AV58" s="1664" t="n">
        <f aca="false">IF(WeekDef=8,IF(CustomHoFlag,IF(CustomHoPeriod=4,INDEX(VolumeHourlyOver,V16,4),IF(OR(CustomHoPeriod=1,CustomHoPeriod=3),IF(VolumeMonthlyOverFlag,INDEX(VolumeMonthlyOver,AE58),Volume),0)),0),AV44)</f>
        <v>150</v>
      </c>
      <c r="AW58" s="1664" t="n">
        <f aca="false">IF(WeekDef=8,IF(CustomHoFlag,IF(CustomHoPeriod=4,INDEX(VolumeHourlyOver,W16,4),IF(OR(CustomHoPeriod=1,CustomHoPeriod=3),IF(VolumeMonthlyOverFlag,INDEX(VolumeMonthlyOver,AE58),Volume),0)),0),AW44)</f>
        <v>150</v>
      </c>
      <c r="AX58" s="1664" t="n">
        <f aca="false">IF(WeekDef=8,IF(CustomHoFlag,IF(CustomHoPeriod=4,INDEX(VolumeHourlyOver,X16,4),IF(OR(CustomHoPeriod=1,CustomHoPeriod=3),IF(VolumeMonthlyOverFlag,INDEX(VolumeMonthlyOver,AE58),Volume),0)),0),AX44)</f>
        <v>150</v>
      </c>
      <c r="AY58" s="1664" t="n">
        <f aca="false">IF(WeekDef=8,IF(CustomHoFlag,IF(CustomHoPeriod=4,INDEX(VolumeHourlyOver,Y16,4),IF(OR(CustomHoPeriod=1,CustomHoPeriod=3),IF(VolumeMonthlyOverFlag,INDEX(VolumeMonthlyOver,AE58),Volume),0)),0),AY44)</f>
        <v>150</v>
      </c>
      <c r="AZ58" s="1664" t="n">
        <f aca="false">IF(WeekDef=8,IF(CustomHoFlag,IF(CustomHoPeriod=4,INDEX(VolumeHourlyOver,Z16,4),IF(OR(CustomHoPeriod=1,CustomHoPeriod=3),IF(VolumeMonthlyOverFlag,INDEX(VolumeMonthlyOver,AE58),Volume),0)),0),AZ44)</f>
        <v>150</v>
      </c>
      <c r="BA58" s="1664" t="n">
        <f aca="false">IF(WeekDef=8,IF(CustomHoFlag,IF(CustomHoPeriod=4,INDEX(VolumeHourlyOver,AA16,4),IF(OR(CustomHoPeriod=1,CustomHoPeriod=3),IF(VolumeMonthlyOverFlag,INDEX(VolumeMonthlyOver,AE58),Volume),0)),0),BA44)</f>
        <v>150</v>
      </c>
      <c r="BB58" s="1664" t="n">
        <f aca="false">IF(WeekDef=8,IF(CustomHoFlag,IF(CustomHoPeriod=4,INDEX(VolumeHourlyOver,AB16,4),IF(OR(CustomHoPeriod=1,CustomHoPeriod=3),IF(VolumeMonthlyOverFlag,INDEX(VolumeMonthlyOver,AE58),Volume),0)),0),BB44)</f>
        <v>150</v>
      </c>
      <c r="BC58" s="1665" t="n">
        <f aca="false">IF(WeekDef=8,IF(CustomHoFlag,IF(CustomHoPeriod=4,INDEX(VolumeHourlyOver,AC16,4),IF(OR(CustomHoPeriod=1,CustomHoPeriod=3),IF(VolumeMonthlyOverFlag,INDEX(VolumeMonthlyOver,AE58),Volume),0)),0),BC44)</f>
        <v>150</v>
      </c>
      <c r="BD58" s="1666" t="n">
        <f aca="false">SUM(AF58:AU58)</f>
        <v>2400</v>
      </c>
      <c r="BE58" s="1667" t="n">
        <f aca="false">SUM(AV58:BC58)</f>
        <v>1200</v>
      </c>
      <c r="BF58" s="1668" t="n">
        <f aca="false">BD58+BE58</f>
        <v>3600</v>
      </c>
      <c r="BG58" s="1680" t="n">
        <f aca="false">IF(BD58,SUMPRODUCT(AF58:AU58,F32:U32)/BD58,0)</f>
        <v>1</v>
      </c>
      <c r="BH58" s="1669" t="n">
        <f aca="false">IF(BE58,SUMPRODUCT(AV58:BC58,V32:AC32)/BE58,0)</f>
        <v>1</v>
      </c>
      <c r="BJ58" s="1662" t="n">
        <v>12</v>
      </c>
      <c r="BK58" s="1663" t="n">
        <f aca="false">IF(WeekDef=8,IF(CustomHoFlag,IF(CustomHoPeriod=4,INDEX(IF(DiffOptVolumeFlag,DiffOptVolumeHourlyOver,VolumeHourlyOver),F16,4),IF(OR(CustomHoPeriod=1,CustomHoPeriod=2),IF(VolumeMonthlyOverFlag,INDEX(IF(DiffOptVolumeFlag,DiffOptVolumeMonthlyOver,VolumeMonthlyOver),BJ58),IF(DiffOptVolumeFlag,DiffOptVolume,Volume)),0)),0),BK44)</f>
        <v>600</v>
      </c>
      <c r="BL58" s="1664" t="n">
        <f aca="false">IF(WeekDef=8,IF(CustomHoFlag,IF(CustomHoPeriod=4,INDEX(IF(DiffOptVolumeFlag,DiffOptVolumeHourlyOver,VolumeHourlyOver),G16,4),IF(OR(CustomHoPeriod=1,CustomHoPeriod=2),IF(VolumeMonthlyOverFlag,INDEX(IF(DiffOptVolumeFlag,DiffOptVolumeMonthlyOver,VolumeMonthlyOver),BJ58),IF(DiffOptVolumeFlag,DiffOptVolume,Volume)),0)),0),BL44)</f>
        <v>600</v>
      </c>
      <c r="BM58" s="1664" t="n">
        <f aca="false">IF(WeekDef=8,IF(CustomHoFlag,IF(CustomHoPeriod=4,INDEX(IF(DiffOptVolumeFlag,DiffOptVolumeHourlyOver,VolumeHourlyOver),H16,4),IF(OR(CustomHoPeriod=1,CustomHoPeriod=2),IF(VolumeMonthlyOverFlag,INDEX(IF(DiffOptVolumeFlag,DiffOptVolumeMonthlyOver,VolumeMonthlyOver),BJ58),IF(DiffOptVolumeFlag,DiffOptVolume,Volume)),0)),0),BM44)</f>
        <v>600</v>
      </c>
      <c r="BN58" s="1664" t="n">
        <f aca="false">IF(WeekDef=8,IF(CustomHoFlag,IF(CustomHoPeriod=4,INDEX(IF(DiffOptVolumeFlag,DiffOptVolumeHourlyOver,VolumeHourlyOver),I16,4),IF(OR(CustomHoPeriod=1,CustomHoPeriod=2),IF(VolumeMonthlyOverFlag,INDEX(IF(DiffOptVolumeFlag,DiffOptVolumeMonthlyOver,VolumeMonthlyOver),BJ58),IF(DiffOptVolumeFlag,DiffOptVolume,Volume)),0)),0),BN44)</f>
        <v>600</v>
      </c>
      <c r="BO58" s="1664" t="n">
        <f aca="false">IF(WeekDef=8,IF(CustomHoFlag,IF(CustomHoPeriod=4,INDEX(IF(DiffOptVolumeFlag,DiffOptVolumeHourlyOver,VolumeHourlyOver),J16,4),IF(OR(CustomHoPeriod=1,CustomHoPeriod=2),IF(VolumeMonthlyOverFlag,INDEX(IF(DiffOptVolumeFlag,DiffOptVolumeMonthlyOver,VolumeMonthlyOver),BJ58),IF(DiffOptVolumeFlag,DiffOptVolume,Volume)),0)),0),BO44)</f>
        <v>600</v>
      </c>
      <c r="BP58" s="1664" t="n">
        <f aca="false">IF(WeekDef=8,IF(CustomHoFlag,IF(CustomHoPeriod=4,INDEX(IF(DiffOptVolumeFlag,DiffOptVolumeHourlyOver,VolumeHourlyOver),K16,4),IF(OR(CustomHoPeriod=1,CustomHoPeriod=2),IF(VolumeMonthlyOverFlag,INDEX(IF(DiffOptVolumeFlag,DiffOptVolumeMonthlyOver,VolumeMonthlyOver),BJ58),IF(DiffOptVolumeFlag,DiffOptVolume,Volume)),0)),0),BP44)</f>
        <v>600</v>
      </c>
      <c r="BQ58" s="1664" t="n">
        <f aca="false">IF(WeekDef=8,IF(CustomHoFlag,IF(CustomHoPeriod=4,INDEX(IF(DiffOptVolumeFlag,DiffOptVolumeHourlyOver,VolumeHourlyOver),L16,4),IF(OR(CustomHoPeriod=1,CustomHoPeriod=2),IF(VolumeMonthlyOverFlag,INDEX(IF(DiffOptVolumeFlag,DiffOptVolumeMonthlyOver,VolumeMonthlyOver),BJ58),IF(DiffOptVolumeFlag,DiffOptVolume,Volume)),0)),0),BQ44)</f>
        <v>600</v>
      </c>
      <c r="BR58" s="1664" t="n">
        <f aca="false">IF(WeekDef=8,IF(CustomHoFlag,IF(CustomHoPeriod=4,INDEX(IF(DiffOptVolumeFlag,DiffOptVolumeHourlyOver,VolumeHourlyOver),M16,4),IF(OR(CustomHoPeriod=1,CustomHoPeriod=2),IF(VolumeMonthlyOverFlag,INDEX(IF(DiffOptVolumeFlag,DiffOptVolumeMonthlyOver,VolumeMonthlyOver),BJ58),IF(DiffOptVolumeFlag,DiffOptVolume,Volume)),0)),0),BR44)</f>
        <v>600</v>
      </c>
      <c r="BS58" s="1664" t="n">
        <f aca="false">IF(WeekDef=8,IF(CustomHoFlag,IF(CustomHoPeriod=4,INDEX(IF(DiffOptVolumeFlag,DiffOptVolumeHourlyOver,VolumeHourlyOver),N16,4),IF(OR(CustomHoPeriod=1,CustomHoPeriod=2),IF(VolumeMonthlyOverFlag,INDEX(IF(DiffOptVolumeFlag,DiffOptVolumeMonthlyOver,VolumeMonthlyOver),BJ58),IF(DiffOptVolumeFlag,DiffOptVolume,Volume)),0)),0),BS44)</f>
        <v>600</v>
      </c>
      <c r="BT58" s="1664" t="n">
        <f aca="false">IF(WeekDef=8,IF(CustomHoFlag,IF(CustomHoPeriod=4,INDEX(IF(DiffOptVolumeFlag,DiffOptVolumeHourlyOver,VolumeHourlyOver),O16,4),IF(OR(CustomHoPeriod=1,CustomHoPeriod=2),IF(VolumeMonthlyOverFlag,INDEX(IF(DiffOptVolumeFlag,DiffOptVolumeMonthlyOver,VolumeMonthlyOver),BJ58),IF(DiffOptVolumeFlag,DiffOptVolume,Volume)),0)),0),BT44)</f>
        <v>600</v>
      </c>
      <c r="BU58" s="1664" t="n">
        <f aca="false">IF(WeekDef=8,IF(CustomHoFlag,IF(CustomHoPeriod=4,INDEX(IF(DiffOptVolumeFlag,DiffOptVolumeHourlyOver,VolumeHourlyOver),P16,4),IF(OR(CustomHoPeriod=1,CustomHoPeriod=2),IF(VolumeMonthlyOverFlag,INDEX(IF(DiffOptVolumeFlag,DiffOptVolumeMonthlyOver,VolumeMonthlyOver),BJ58),IF(DiffOptVolumeFlag,DiffOptVolume,Volume)),0)),0),BU44)</f>
        <v>600</v>
      </c>
      <c r="BV58" s="1664" t="n">
        <f aca="false">IF(WeekDef=8,IF(CustomHoFlag,IF(CustomHoPeriod=4,INDEX(IF(DiffOptVolumeFlag,DiffOptVolumeHourlyOver,VolumeHourlyOver),Q16,4),IF(OR(CustomHoPeriod=1,CustomHoPeriod=2),IF(VolumeMonthlyOverFlag,INDEX(IF(DiffOptVolumeFlag,DiffOptVolumeMonthlyOver,VolumeMonthlyOver),BJ58),IF(DiffOptVolumeFlag,DiffOptVolume,Volume)),0)),0),BV44)</f>
        <v>600</v>
      </c>
      <c r="BW58" s="1664" t="n">
        <f aca="false">IF(WeekDef=8,IF(CustomHoFlag,IF(CustomHoPeriod=4,INDEX(IF(DiffOptVolumeFlag,DiffOptVolumeHourlyOver,VolumeHourlyOver),R16,4),IF(OR(CustomHoPeriod=1,CustomHoPeriod=2),IF(VolumeMonthlyOverFlag,INDEX(IF(DiffOptVolumeFlag,DiffOptVolumeMonthlyOver,VolumeMonthlyOver),BJ58),IF(DiffOptVolumeFlag,DiffOptVolume,Volume)),0)),0),BW44)</f>
        <v>600</v>
      </c>
      <c r="BX58" s="1664" t="n">
        <f aca="false">IF(WeekDef=8,IF(CustomHoFlag,IF(CustomHoPeriod=4,INDEX(IF(DiffOptVolumeFlag,DiffOptVolumeHourlyOver,VolumeHourlyOver),S16,4),IF(OR(CustomHoPeriod=1,CustomHoPeriod=2),IF(VolumeMonthlyOverFlag,INDEX(IF(DiffOptVolumeFlag,DiffOptVolumeMonthlyOver,VolumeMonthlyOver),BJ58),IF(DiffOptVolumeFlag,DiffOptVolume,Volume)),0)),0),BX44)</f>
        <v>600</v>
      </c>
      <c r="BY58" s="1664" t="n">
        <f aca="false">IF(WeekDef=8,IF(CustomHoFlag,IF(CustomHoPeriod=4,INDEX(IF(DiffOptVolumeFlag,DiffOptVolumeHourlyOver,VolumeHourlyOver),T16,4),IF(OR(CustomHoPeriod=1,CustomHoPeriod=2),IF(VolumeMonthlyOverFlag,INDEX(IF(DiffOptVolumeFlag,DiffOptVolumeMonthlyOver,VolumeMonthlyOver),BJ58),IF(DiffOptVolumeFlag,DiffOptVolume,Volume)),0)),0),BY44)</f>
        <v>600</v>
      </c>
      <c r="BZ58" s="1665" t="n">
        <f aca="false">IF(WeekDef=8,IF(CustomHoFlag,IF(CustomHoPeriod=4,INDEX(IF(DiffOptVolumeFlag,DiffOptVolumeHourlyOver,VolumeHourlyOver),U16,4),IF(OR(CustomHoPeriod=1,CustomHoPeriod=2),IF(VolumeMonthlyOverFlag,INDEX(IF(DiffOptVolumeFlag,DiffOptVolumeMonthlyOver,VolumeMonthlyOver),BJ58),IF(DiffOptVolumeFlag,DiffOptVolume,Volume)),0)),0),BZ44)</f>
        <v>600</v>
      </c>
      <c r="CA58" s="1664" t="n">
        <f aca="false">IF(WeekDef=8,IF(CustomHoFlag,IF(CustomHoPeriod=4,INDEX(IF(DiffOptVolumeFlag,DiffOptVolumeHourlyOver,VolumeHourlyOver),V16,4),IF(OR(CustomHoPeriod=1,CustomHoPeriod=3),IF(VolumeMonthlyOverFlag,INDEX(IF(DiffOptVolumeFlag,DiffOptVolumeMonthlyOver,VolumeMonthlyOver),BJ58),IF(DiffOptVolumeFlag,DiffOptVolume,Volume)),0)),0),CA44)</f>
        <v>600</v>
      </c>
      <c r="CB58" s="1664" t="n">
        <f aca="false">IF(WeekDef=8,IF(CustomHoFlag,IF(CustomHoPeriod=4,INDEX(IF(DiffOptVolumeFlag,DiffOptVolumeHourlyOver,VolumeHourlyOver),W16,4),IF(OR(CustomHoPeriod=1,CustomHoPeriod=3),IF(VolumeMonthlyOverFlag,INDEX(IF(DiffOptVolumeFlag,DiffOptVolumeMonthlyOver,VolumeMonthlyOver),BJ58),IF(DiffOptVolumeFlag,DiffOptVolume,Volume)),0)),0),CB44)</f>
        <v>600</v>
      </c>
      <c r="CC58" s="1664" t="n">
        <f aca="false">IF(WeekDef=8,IF(CustomHoFlag,IF(CustomHoPeriod=4,INDEX(IF(DiffOptVolumeFlag,DiffOptVolumeHourlyOver,VolumeHourlyOver),X16,4),IF(OR(CustomHoPeriod=1,CustomHoPeriod=3),IF(VolumeMonthlyOverFlag,INDEX(IF(DiffOptVolumeFlag,DiffOptVolumeMonthlyOver,VolumeMonthlyOver),BJ58),IF(DiffOptVolumeFlag,DiffOptVolume,Volume)),0)),0),CC44)</f>
        <v>600</v>
      </c>
      <c r="CD58" s="1664" t="n">
        <f aca="false">IF(WeekDef=8,IF(CustomHoFlag,IF(CustomHoPeriod=4,INDEX(IF(DiffOptVolumeFlag,DiffOptVolumeHourlyOver,VolumeHourlyOver),Y16,4),IF(OR(CustomHoPeriod=1,CustomHoPeriod=3),IF(VolumeMonthlyOverFlag,INDEX(IF(DiffOptVolumeFlag,DiffOptVolumeMonthlyOver,VolumeMonthlyOver),BJ58),IF(DiffOptVolumeFlag,DiffOptVolume,Volume)),0)),0),CD44)</f>
        <v>600</v>
      </c>
      <c r="CE58" s="1664" t="n">
        <f aca="false">IF(WeekDef=8,IF(CustomHoFlag,IF(CustomHoPeriod=4,INDEX(IF(DiffOptVolumeFlag,DiffOptVolumeHourlyOver,VolumeHourlyOver),Z16,4),IF(OR(CustomHoPeriod=1,CustomHoPeriod=3),IF(VolumeMonthlyOverFlag,INDEX(IF(DiffOptVolumeFlag,DiffOptVolumeMonthlyOver,VolumeMonthlyOver),BJ58),IF(DiffOptVolumeFlag,DiffOptVolume,Volume)),0)),0),CE44)</f>
        <v>600</v>
      </c>
      <c r="CF58" s="1664" t="n">
        <f aca="false">IF(WeekDef=8,IF(CustomHoFlag,IF(CustomHoPeriod=4,INDEX(IF(DiffOptVolumeFlag,DiffOptVolumeHourlyOver,VolumeHourlyOver),AA16,4),IF(OR(CustomHoPeriod=1,CustomHoPeriod=3),IF(VolumeMonthlyOverFlag,INDEX(IF(DiffOptVolumeFlag,DiffOptVolumeMonthlyOver,VolumeMonthlyOver),BJ58),IF(DiffOptVolumeFlag,DiffOptVolume,Volume)),0)),0),CF44)</f>
        <v>600</v>
      </c>
      <c r="CG58" s="1664" t="n">
        <f aca="false">IF(WeekDef=8,IF(CustomHoFlag,IF(CustomHoPeriod=4,INDEX(IF(DiffOptVolumeFlag,DiffOptVolumeHourlyOver,VolumeHourlyOver),AB16,4),IF(OR(CustomHoPeriod=1,CustomHoPeriod=3),IF(VolumeMonthlyOverFlag,INDEX(IF(DiffOptVolumeFlag,DiffOptVolumeMonthlyOver,VolumeMonthlyOver),BJ58),IF(DiffOptVolumeFlag,DiffOptVolume,Volume)),0)),0),CG44)</f>
        <v>600</v>
      </c>
      <c r="CH58" s="1665" t="n">
        <f aca="false">IF(WeekDef=8,IF(CustomHoFlag,IF(CustomHoPeriod=4,INDEX(IF(DiffOptVolumeFlag,DiffOptVolumeHourlyOver,VolumeHourlyOver),AC16,4),IF(OR(CustomHoPeriod=1,CustomHoPeriod=3),IF(VolumeMonthlyOverFlag,INDEX(IF(DiffOptVolumeFlag,DiffOptVolumeMonthlyOver,VolumeMonthlyOver),BJ58),IF(DiffOptVolumeFlag,DiffOptVolume,Volume)),0)),0),CH44)</f>
        <v>600</v>
      </c>
      <c r="CI58" s="1666" t="n">
        <f aca="false">SUM(BK58:BZ58)</f>
        <v>9600</v>
      </c>
      <c r="CJ58" s="1667" t="n">
        <f aca="false">SUM(CA58:CH58)</f>
        <v>4800</v>
      </c>
      <c r="CK58" s="1668" t="n">
        <f aca="false">CI58+CJ58</f>
        <v>14400</v>
      </c>
      <c r="CL58" s="1680" t="n">
        <f aca="false">IF(CI58,SUMPRODUCT(BK58:BZ58,F32:U32)/CI58,0)</f>
        <v>1</v>
      </c>
      <c r="CM58" s="1669" t="n">
        <f aca="false">IF(CJ58,SUMPRODUCT(CA58:CH58,V32:AC32)/CJ58,0)</f>
        <v>1</v>
      </c>
    </row>
    <row r="59" customFormat="false" ht="12.75" hidden="false" customHeight="false" outlineLevel="0" collapsed="false">
      <c r="A59" s="1694" t="n">
        <v>7</v>
      </c>
      <c r="B59" s="1695" t="n">
        <f aca="false">EOMONTH(CurveDate+31,MOD(A43-MONTH(CurveDate+31),12)-1)+1</f>
        <v>36708</v>
      </c>
      <c r="C59" s="1696" t="n">
        <f aca="false">VLOOKUP(B59,PriceTableWeekend,3,0)+IF(BasisNumber&lt;&gt;1,VLOOKUP(B43,BasisTable,2,0),0)</f>
        <v>57.325</v>
      </c>
      <c r="D59" s="1696" t="n">
        <f aca="false">VLOOKUP(B43,PriceTable,7,0)+IF(BasisNumber&lt;&gt;1,VLOOKUP(B43,BasisTable,3,0),0)</f>
        <v>23.583064516129</v>
      </c>
      <c r="E59" s="1636" t="n">
        <v>7</v>
      </c>
      <c r="F59" s="1691" t="n">
        <f aca="false">C59*F27</f>
        <v>64.9105746775866</v>
      </c>
      <c r="G59" s="1692" t="n">
        <f aca="false">C59*G27</f>
        <v>64.7118446469307</v>
      </c>
      <c r="H59" s="1692" t="n">
        <f aca="false">C59*H27</f>
        <v>63.7793011933565</v>
      </c>
      <c r="I59" s="1692" t="n">
        <f aca="false">C59*I27</f>
        <v>63.1798104375601</v>
      </c>
      <c r="J59" s="1692" t="n">
        <f aca="false">C59*J27</f>
        <v>62.6136201679707</v>
      </c>
      <c r="K59" s="1692" t="n">
        <f aca="false">C59*K27</f>
        <v>61.0298550575972</v>
      </c>
      <c r="L59" s="1692" t="n">
        <f aca="false">C59*L27</f>
        <v>61.0265270590782</v>
      </c>
      <c r="M59" s="1692" t="n">
        <f aca="false">C59*M27</f>
        <v>59.2631388664246</v>
      </c>
      <c r="N59" s="1692" t="n">
        <f aca="false">C59*N27</f>
        <v>59.2631388664246</v>
      </c>
      <c r="O59" s="1692" t="n">
        <f aca="false">C59*O27</f>
        <v>58.9741155207157</v>
      </c>
      <c r="P59" s="1692" t="n">
        <f aca="false">C59*P27</f>
        <v>56.918372566998</v>
      </c>
      <c r="Q59" s="1692" t="n">
        <f aca="false">C59*Q27</f>
        <v>53.8026381671429</v>
      </c>
      <c r="R59" s="1692" t="n">
        <f aca="false">C59*R27</f>
        <v>50.8397798553109</v>
      </c>
      <c r="S59" s="1692" t="n">
        <f aca="false">C59*S27</f>
        <v>50.3656938239932</v>
      </c>
      <c r="T59" s="1692" t="n">
        <f aca="false">C59*T27</f>
        <v>46.0475337415934</v>
      </c>
      <c r="U59" s="1693" t="n">
        <f aca="false">C59*U27</f>
        <v>40.4740587681532</v>
      </c>
      <c r="V59" s="1692" t="n">
        <f aca="false">D59*V27</f>
        <v>28.6576270982142</v>
      </c>
      <c r="W59" s="1692" t="n">
        <f aca="false">D59*W27</f>
        <v>25.2798031874241</v>
      </c>
      <c r="X59" s="1692" t="n">
        <f aca="false">D59*X27</f>
        <v>23.8159964650869</v>
      </c>
      <c r="Y59" s="1692" t="n">
        <f aca="false">D59*Y27</f>
        <v>23.1536704716663</v>
      </c>
      <c r="Z59" s="1692" t="n">
        <f aca="false">D59*Z27</f>
        <v>22.6008960102835</v>
      </c>
      <c r="AA59" s="1692" t="n">
        <f aca="false">D59*AA27</f>
        <v>22.1746000408646</v>
      </c>
      <c r="AB59" s="1692" t="n">
        <f aca="false">D59*AB27</f>
        <v>21.5620189556672</v>
      </c>
      <c r="AC59" s="1693" t="n">
        <f aca="false">D59*AC27</f>
        <v>21.419901088505</v>
      </c>
    </row>
    <row r="60" customFormat="false" ht="12.75" hidden="false" customHeight="false" outlineLevel="0" collapsed="false">
      <c r="A60" s="1694" t="n">
        <v>8</v>
      </c>
      <c r="B60" s="1695" t="n">
        <f aca="false">EOMONTH(CurveDate+31,MOD(A44-MONTH(CurveDate+31),12)-1)+1</f>
        <v>36739</v>
      </c>
      <c r="C60" s="1696" t="n">
        <f aca="false">VLOOKUP(B60,PriceTableWeekend,3,0)+IF(BasisNumber&lt;&gt;1,VLOOKUP(B44,BasisTable,2,0),0)</f>
        <v>77.875</v>
      </c>
      <c r="D60" s="1696" t="n">
        <f aca="false">VLOOKUP(B44,PriceTable,7,0)+IF(BasisNumber&lt;&gt;1,VLOOKUP(B44,BasisTable,3,0),0)</f>
        <v>21.4112903225806</v>
      </c>
      <c r="E60" s="1636" t="n">
        <v>8</v>
      </c>
      <c r="F60" s="1691" t="n">
        <f aca="false">C60*F28</f>
        <v>87.6550958603621</v>
      </c>
      <c r="G60" s="1692" t="n">
        <f aca="false">C60*G28</f>
        <v>87.6129584014416</v>
      </c>
      <c r="H60" s="1692" t="n">
        <f aca="false">C60*H28</f>
        <v>87.226749420166</v>
      </c>
      <c r="I60" s="1692" t="n">
        <f aca="false">C60*I28</f>
        <v>85.8638314604759</v>
      </c>
      <c r="J60" s="1692" t="n">
        <f aca="false">C60*J28</f>
        <v>85.2018398195505</v>
      </c>
      <c r="K60" s="1692" t="n">
        <f aca="false">C60*K28</f>
        <v>81.9283097684383</v>
      </c>
      <c r="L60" s="1692" t="n">
        <f aca="false">C60*L28</f>
        <v>81.4881826639175</v>
      </c>
      <c r="M60" s="1692" t="n">
        <f aca="false">C60*M28</f>
        <v>79.4465907514095</v>
      </c>
      <c r="N60" s="1692" t="n">
        <f aca="false">C60*N28</f>
        <v>78.7253801524639</v>
      </c>
      <c r="O60" s="1692" t="n">
        <f aca="false">C60*O28</f>
        <v>77.965782597661</v>
      </c>
      <c r="P60" s="1692" t="n">
        <f aca="false">C60*P28</f>
        <v>76.9776132330298</v>
      </c>
      <c r="Q60" s="1692" t="n">
        <f aca="false">C60*Q28</f>
        <v>73.4807472229004</v>
      </c>
      <c r="R60" s="1692" t="n">
        <f aca="false">C60*R28</f>
        <v>71.9231280237436</v>
      </c>
      <c r="S60" s="1692" t="n">
        <f aca="false">C60*S28</f>
        <v>69.3141147047281</v>
      </c>
      <c r="T60" s="1692" t="n">
        <f aca="false">C60*T28</f>
        <v>64.2340026050806</v>
      </c>
      <c r="U60" s="1693" t="n">
        <f aca="false">C60*U28</f>
        <v>56.9556593894959</v>
      </c>
      <c r="V60" s="1692" t="n">
        <f aca="false">D60*V28</f>
        <v>25.231545221421</v>
      </c>
      <c r="W60" s="1692" t="n">
        <f aca="false">D60*W28</f>
        <v>22.8785389036902</v>
      </c>
      <c r="X60" s="1692" t="n">
        <f aca="false">D60*X28</f>
        <v>22.2631263348364</v>
      </c>
      <c r="Y60" s="1692" t="n">
        <f aca="false">D60*Y28</f>
        <v>21.0885196275288</v>
      </c>
      <c r="Z60" s="1692" t="n">
        <f aca="false">D60*Z28</f>
        <v>20.395263209939</v>
      </c>
      <c r="AA60" s="1692" t="n">
        <f aca="false">D60*AA28</f>
        <v>20.0336101531021</v>
      </c>
      <c r="AB60" s="1692" t="n">
        <f aca="false">D60*AB28</f>
        <v>19.69986020317</v>
      </c>
      <c r="AC60" s="1693" t="n">
        <f aca="false">D60*AC28</f>
        <v>19.69986020317</v>
      </c>
    </row>
    <row r="61" customFormat="false" ht="12.75" hidden="false" customHeight="false" outlineLevel="0" collapsed="false">
      <c r="A61" s="1694" t="n">
        <v>9</v>
      </c>
      <c r="B61" s="1695" t="n">
        <f aca="false">EOMONTH(CurveDate+31,MOD(A45-MONTH(CurveDate+31),12)-1)+1</f>
        <v>36770</v>
      </c>
      <c r="C61" s="1696" t="n">
        <f aca="false">VLOOKUP(B61,PriceTableWeekend,3,0)+IF(BasisNumber&lt;&gt;1,VLOOKUP(B45,BasisTable,2,0),0)</f>
        <v>61.875</v>
      </c>
      <c r="D61" s="1696" t="n">
        <f aca="false">VLOOKUP(B45,PriceTable,7,0)+IF(BasisNumber&lt;&gt;1,VLOOKUP(B45,BasisTable,3,0),0)</f>
        <v>23.1979166666667</v>
      </c>
      <c r="E61" s="1636" t="n">
        <v>9</v>
      </c>
      <c r="F61" s="1691" t="n">
        <f aca="false">C61*F29</f>
        <v>66.4545983076096</v>
      </c>
      <c r="G61" s="1692" t="n">
        <f aca="false">C61*G29</f>
        <v>66.3495998829603</v>
      </c>
      <c r="H61" s="1692" t="n">
        <f aca="false">C61*H29</f>
        <v>66.1156897991896</v>
      </c>
      <c r="I61" s="1692" t="n">
        <f aca="false">C61*I29</f>
        <v>66.0609371960163</v>
      </c>
      <c r="J61" s="1692" t="n">
        <f aca="false">C61*J29</f>
        <v>65.9192059189081</v>
      </c>
      <c r="K61" s="1692" t="n">
        <f aca="false">C61*K29</f>
        <v>65.0573705881834</v>
      </c>
      <c r="L61" s="1692" t="n">
        <f aca="false">C61*L29</f>
        <v>63.8537205755711</v>
      </c>
      <c r="M61" s="1692" t="n">
        <f aca="false">C61*M29</f>
        <v>63.8537205755711</v>
      </c>
      <c r="N61" s="1692" t="n">
        <f aca="false">C61*N29</f>
        <v>63.6075145751238</v>
      </c>
      <c r="O61" s="1692" t="n">
        <f aca="false">C61*O29</f>
        <v>63.4345529973507</v>
      </c>
      <c r="P61" s="1692" t="n">
        <f aca="false">C61*P29</f>
        <v>62.6723979413509</v>
      </c>
      <c r="Q61" s="1692" t="n">
        <f aca="false">C61*Q29</f>
        <v>61.3235535845161</v>
      </c>
      <c r="R61" s="1692" t="n">
        <f aca="false">C61*R29</f>
        <v>57.5280799716711</v>
      </c>
      <c r="S61" s="1692" t="n">
        <f aca="false">C61*S29</f>
        <v>56.8590331077576</v>
      </c>
      <c r="T61" s="1692" t="n">
        <f aca="false">C61*T29</f>
        <v>52.7554829791188</v>
      </c>
      <c r="U61" s="1693" t="n">
        <f aca="false">C61*U29</f>
        <v>48.1545346230269</v>
      </c>
      <c r="V61" s="1692" t="n">
        <f aca="false">D61*V29</f>
        <v>27.4169628731906</v>
      </c>
      <c r="W61" s="1692" t="n">
        <f aca="false">D61*W29</f>
        <v>24.2742518509428</v>
      </c>
      <c r="X61" s="1692" t="n">
        <f aca="false">D61*X29</f>
        <v>23.8986791384717</v>
      </c>
      <c r="Y61" s="1692" t="n">
        <f aca="false">D61*Y29</f>
        <v>22.8717825207859</v>
      </c>
      <c r="Z61" s="1692" t="n">
        <f aca="false">D61*Z29</f>
        <v>22.3477793441465</v>
      </c>
      <c r="AA61" s="1692" t="n">
        <f aca="false">D61*AA29</f>
        <v>21.9382405181726</v>
      </c>
      <c r="AB61" s="1692" t="n">
        <f aca="false">D61*AB29</f>
        <v>21.4218339150151</v>
      </c>
      <c r="AC61" s="1693" t="n">
        <f aca="false">D61*AC29</f>
        <v>21.4138017899046</v>
      </c>
    </row>
    <row r="62" customFormat="false" ht="12.75" hidden="false" customHeight="false" outlineLevel="0" collapsed="false">
      <c r="A62" s="1694" t="n">
        <v>10</v>
      </c>
      <c r="B62" s="1695" t="n">
        <f aca="false">EOMONTH(CurveDate+31,MOD(A46-MONTH(CurveDate+31),12)-1)+1</f>
        <v>36800</v>
      </c>
      <c r="C62" s="1696" t="n">
        <f aca="false">VLOOKUP(B62,PriceTableWeekend,3,0)+IF(BasisNumber&lt;&gt;1,VLOOKUP(B46,BasisTable,2,0),0)</f>
        <v>43.125</v>
      </c>
      <c r="D62" s="1696" t="n">
        <f aca="false">VLOOKUP(B46,PriceTable,7,0)+IF(BasisNumber&lt;&gt;1,VLOOKUP(B46,BasisTable,3,0),0)</f>
        <v>22.3004032258065</v>
      </c>
      <c r="E62" s="1636" t="n">
        <v>10</v>
      </c>
      <c r="F62" s="1691" t="n">
        <f aca="false">C62*F30</f>
        <v>47.8887744247913</v>
      </c>
      <c r="G62" s="1692" t="n">
        <f aca="false">C62*G30</f>
        <v>46.9838782399893</v>
      </c>
      <c r="H62" s="1692" t="n">
        <f aca="false">C62*H30</f>
        <v>44.9283353984356</v>
      </c>
      <c r="I62" s="1692" t="n">
        <f aca="false">C62*I30</f>
        <v>44.3215497583151</v>
      </c>
      <c r="J62" s="1692" t="n">
        <f aca="false">C62*J30</f>
        <v>43.852910399437</v>
      </c>
      <c r="K62" s="1692" t="n">
        <f aca="false">C62*K30</f>
        <v>43.4578784555197</v>
      </c>
      <c r="L62" s="1692" t="n">
        <f aca="false">C62*L30</f>
        <v>43.4578784555197</v>
      </c>
      <c r="M62" s="1692" t="n">
        <f aca="false">C62*M30</f>
        <v>43.4578784555197</v>
      </c>
      <c r="N62" s="1692" t="n">
        <f aca="false">C62*N30</f>
        <v>43.0936327949166</v>
      </c>
      <c r="O62" s="1692" t="n">
        <f aca="false">C62*O30</f>
        <v>43.0245776474476</v>
      </c>
      <c r="P62" s="1692" t="n">
        <f aca="false">C62*P30</f>
        <v>42.8989288955927</v>
      </c>
      <c r="Q62" s="1692" t="n">
        <f aca="false">C62*Q30</f>
        <v>42.8053130954504</v>
      </c>
      <c r="R62" s="1692" t="n">
        <f aca="false">C62*R30</f>
        <v>42.8053130954504</v>
      </c>
      <c r="S62" s="1692" t="n">
        <f aca="false">C62*S30</f>
        <v>40.0831213966012</v>
      </c>
      <c r="T62" s="1692" t="n">
        <f aca="false">C62*T30</f>
        <v>39.9445921182632</v>
      </c>
      <c r="U62" s="1693" t="n">
        <f aca="false">C62*U30</f>
        <v>36.9954476505518</v>
      </c>
      <c r="V62" s="1692" t="n">
        <f aca="false">D62*V30</f>
        <v>25.8000925579859</v>
      </c>
      <c r="W62" s="1692" t="n">
        <f aca="false">D62*W30</f>
        <v>23.479631026666</v>
      </c>
      <c r="X62" s="1692" t="n">
        <f aca="false">D62*X30</f>
        <v>23.1929528456061</v>
      </c>
      <c r="Y62" s="1692" t="n">
        <f aca="false">D62*Y30</f>
        <v>22.3524709464081</v>
      </c>
      <c r="Z62" s="1692" t="n">
        <f aca="false">D62*Z30</f>
        <v>21.2946729069996</v>
      </c>
      <c r="AA62" s="1692" t="n">
        <f aca="false">D62*AA30</f>
        <v>21.0969958092657</v>
      </c>
      <c r="AB62" s="1692" t="n">
        <f aca="false">D62*AB30</f>
        <v>20.6503169202516</v>
      </c>
      <c r="AC62" s="1693" t="n">
        <f aca="false">D62*AC30</f>
        <v>20.5360914640609</v>
      </c>
    </row>
    <row r="63" customFormat="false" ht="12.75" hidden="false" customHeight="false" outlineLevel="0" collapsed="false">
      <c r="A63" s="1694" t="n">
        <v>11</v>
      </c>
      <c r="B63" s="1695" t="n">
        <f aca="false">EOMONTH(CurveDate+31,MOD(A47-MONTH(CurveDate+31),12)-1)+1</f>
        <v>36831</v>
      </c>
      <c r="C63" s="1696" t="n">
        <f aca="false">VLOOKUP(B63,PriceTableWeekend,3,0)+IF(BasisNumber&lt;&gt;1,VLOOKUP(B47,BasisTable,2,0),0)</f>
        <v>35.375</v>
      </c>
      <c r="D63" s="1696" t="n">
        <f aca="false">VLOOKUP(B47,PriceTable,7,0)+IF(BasisNumber&lt;&gt;1,VLOOKUP(B47,BasisTable,3,0),0)</f>
        <v>24.15625</v>
      </c>
      <c r="E63" s="1636" t="n">
        <v>11</v>
      </c>
      <c r="F63" s="1691" t="n">
        <f aca="false">C63*F31</f>
        <v>40.453782632947</v>
      </c>
      <c r="G63" s="1692" t="n">
        <f aca="false">C63*G31</f>
        <v>39.4153941571713</v>
      </c>
      <c r="H63" s="1692" t="n">
        <f aca="false">C63*H31</f>
        <v>37.6743770241737</v>
      </c>
      <c r="I63" s="1692" t="n">
        <f aca="false">C63*I31</f>
        <v>37.324203401804</v>
      </c>
      <c r="J63" s="1692" t="n">
        <f aca="false">C63*J31</f>
        <v>36.809198781848</v>
      </c>
      <c r="K63" s="1692" t="n">
        <f aca="false">C63*K31</f>
        <v>36.6055120825768</v>
      </c>
      <c r="L63" s="1692" t="n">
        <f aca="false">C63*L31</f>
        <v>36.5428428202868</v>
      </c>
      <c r="M63" s="1692" t="n">
        <f aca="false">C63*M31</f>
        <v>35.6598181128502</v>
      </c>
      <c r="N63" s="1692" t="n">
        <f aca="false">C63*N31</f>
        <v>35.5502934455872</v>
      </c>
      <c r="O63" s="1692" t="n">
        <f aca="false">C63*O31</f>
        <v>35.034209266305</v>
      </c>
      <c r="P63" s="1692" t="n">
        <f aca="false">C63*P31</f>
        <v>33.8772295117378</v>
      </c>
      <c r="Q63" s="1692" t="n">
        <f aca="false">C63*Q31</f>
        <v>32.8064120858908</v>
      </c>
      <c r="R63" s="1692" t="n">
        <f aca="false">C63*R31</f>
        <v>32.8064120858908</v>
      </c>
      <c r="S63" s="1692" t="n">
        <f aca="false">C63*S31</f>
        <v>32.5623852908611</v>
      </c>
      <c r="T63" s="1692" t="n">
        <f aca="false">C63*T31</f>
        <v>32.4289943501353</v>
      </c>
      <c r="U63" s="1693" t="n">
        <f aca="false">C63*U31</f>
        <v>30.4489349499345</v>
      </c>
      <c r="V63" s="1692" t="n">
        <f aca="false">D63*V31</f>
        <v>27.4950191825628</v>
      </c>
      <c r="W63" s="1692" t="n">
        <f aca="false">D63*W31</f>
        <v>27.1579533405602</v>
      </c>
      <c r="X63" s="1692" t="n">
        <f aca="false">D63*X31</f>
        <v>23.9546356666833</v>
      </c>
      <c r="Y63" s="1692" t="n">
        <f aca="false">D63*Y31</f>
        <v>23.8720617201179</v>
      </c>
      <c r="Z63" s="1692" t="n">
        <f aca="false">D63*Z31</f>
        <v>23.6037244703621</v>
      </c>
      <c r="AA63" s="1692" t="n">
        <f aca="false">D63*AA31</f>
        <v>22.7062586974353</v>
      </c>
      <c r="AB63" s="1692" t="n">
        <f aca="false">D63*AB31</f>
        <v>22.3116790577769</v>
      </c>
      <c r="AC63" s="1693" t="n">
        <f aca="false">D63*AC31</f>
        <v>22.1486664246768</v>
      </c>
    </row>
    <row r="64" customFormat="false" ht="13.5" hidden="false" customHeight="false" outlineLevel="0" collapsed="false">
      <c r="A64" s="1697" t="n">
        <v>12</v>
      </c>
      <c r="B64" s="1698" t="n">
        <f aca="false">EOMONTH(CurveDate+31,MOD(A48-MONTH(CurveDate+31),12)-1)+1</f>
        <v>36861</v>
      </c>
      <c r="C64" s="1699" t="n">
        <f aca="false">VLOOKUP(B64,PriceTableWeekend,3,0)+IF(BasisNumber&lt;&gt;1,VLOOKUP(B48,BasisTable,2,0),0)</f>
        <v>35.375</v>
      </c>
      <c r="D64" s="1699" t="n">
        <f aca="false">VLOOKUP(B48,PriceTable,7,0)+IF(BasisNumber&lt;&gt;1,VLOOKUP(B48,BasisTable,3,0),0)</f>
        <v>24.0604838709677</v>
      </c>
      <c r="E64" s="1662" t="n">
        <v>12</v>
      </c>
      <c r="F64" s="1700" t="n">
        <f aca="false">C64*F32</f>
        <v>41.1039725393057</v>
      </c>
      <c r="G64" s="1701" t="n">
        <f aca="false">C64*G32</f>
        <v>40.1762515455484</v>
      </c>
      <c r="H64" s="1701" t="n">
        <f aca="false">C64*H32</f>
        <v>38.3457954525948</v>
      </c>
      <c r="I64" s="1701" t="n">
        <f aca="false">C64*I32</f>
        <v>38.201109200716</v>
      </c>
      <c r="J64" s="1701" t="n">
        <f aca="false">C64*J32</f>
        <v>36.8095277100802</v>
      </c>
      <c r="K64" s="1701" t="n">
        <f aca="false">C64*K32</f>
        <v>36.6449328660965</v>
      </c>
      <c r="L64" s="1701" t="n">
        <f aca="false">C64*L32</f>
        <v>36.4354477524757</v>
      </c>
      <c r="M64" s="1701" t="n">
        <f aca="false">C64*M32</f>
        <v>36.3987806886435</v>
      </c>
      <c r="N64" s="1701" t="n">
        <f aca="false">C64*N32</f>
        <v>34.7787437811494</v>
      </c>
      <c r="O64" s="1701" t="n">
        <f aca="false">C64*O32</f>
        <v>34.6593786776066</v>
      </c>
      <c r="P64" s="1701" t="n">
        <f aca="false">C64*P32</f>
        <v>33.1435403302312</v>
      </c>
      <c r="Q64" s="1701" t="n">
        <f aca="false">C64*Q32</f>
        <v>32.8215744122863</v>
      </c>
      <c r="R64" s="1701" t="n">
        <f aca="false">C64*R32</f>
        <v>32.3953783065081</v>
      </c>
      <c r="S64" s="1701" t="n">
        <f aca="false">C64*S32</f>
        <v>32.1034566089511</v>
      </c>
      <c r="T64" s="1701" t="n">
        <f aca="false">C64*T32</f>
        <v>31.6621804088354</v>
      </c>
      <c r="U64" s="1702" t="n">
        <f aca="false">C64*U32</f>
        <v>30.3199297189713</v>
      </c>
      <c r="V64" s="1701" t="n">
        <f aca="false">D64*V32</f>
        <v>28.3614540335632</v>
      </c>
      <c r="W64" s="1701" t="n">
        <f aca="false">D64*W32</f>
        <v>26.8766385494701</v>
      </c>
      <c r="X64" s="1701" t="n">
        <f aca="false">D64*X32</f>
        <v>24.9880676158974</v>
      </c>
      <c r="Y64" s="1701" t="n">
        <f aca="false">D64*Y32</f>
        <v>23.0592367271743</v>
      </c>
      <c r="Z64" s="1701" t="n">
        <f aca="false">D64*Z32</f>
        <v>22.9593705840169</v>
      </c>
      <c r="AA64" s="1701" t="n">
        <f aca="false">D64*AA32</f>
        <v>22.1676679522761</v>
      </c>
      <c r="AB64" s="1701" t="n">
        <f aca="false">D64*AB32</f>
        <v>22.0972944168795</v>
      </c>
      <c r="AC64" s="1702" t="n">
        <f aca="false">D64*AC32</f>
        <v>21.9741410884646</v>
      </c>
    </row>
    <row r="65" customFormat="false" ht="13.5" hidden="false" customHeight="false" outlineLevel="0" collapsed="false"/>
    <row r="66" customFormat="false" ht="18.75" hidden="false" customHeight="false" outlineLevel="0" collapsed="false">
      <c r="A66" s="1621"/>
      <c r="B66" s="1621"/>
      <c r="C66" s="1621"/>
      <c r="D66" s="0"/>
      <c r="E66" s="1620" t="s">
        <v>1272</v>
      </c>
      <c r="F66" s="1620"/>
      <c r="G66" s="1620"/>
      <c r="H66" s="1620"/>
      <c r="I66" s="1620"/>
      <c r="J66" s="1620"/>
      <c r="K66" s="1620"/>
      <c r="L66" s="1620"/>
      <c r="M66" s="1620"/>
      <c r="N66" s="1620"/>
      <c r="O66" s="1620"/>
      <c r="P66" s="1620"/>
      <c r="Q66" s="1620"/>
      <c r="R66" s="1620"/>
      <c r="S66" s="1620"/>
      <c r="T66" s="1620"/>
      <c r="U66" s="1620"/>
      <c r="V66" s="1620"/>
      <c r="W66" s="1620"/>
      <c r="X66" s="1620"/>
      <c r="Y66" s="1620"/>
      <c r="Z66" s="1620"/>
      <c r="AA66" s="1620"/>
      <c r="AB66" s="1620"/>
      <c r="AC66" s="1620"/>
    </row>
    <row r="67" customFormat="false" ht="13.5" hidden="false" customHeight="false" outlineLevel="0" collapsed="false">
      <c r="A67" s="1624"/>
      <c r="B67" s="1684" t="s">
        <v>1269</v>
      </c>
      <c r="C67" s="1685" t="s">
        <v>1270</v>
      </c>
      <c r="D67" s="1685"/>
      <c r="E67" s="1624"/>
      <c r="F67" s="1623" t="s">
        <v>149</v>
      </c>
      <c r="G67" s="1623"/>
      <c r="H67" s="1623"/>
      <c r="I67" s="1623"/>
      <c r="J67" s="1623"/>
      <c r="K67" s="1623"/>
      <c r="L67" s="1623"/>
      <c r="M67" s="1623"/>
      <c r="N67" s="1623"/>
      <c r="O67" s="1623"/>
      <c r="P67" s="1623"/>
      <c r="Q67" s="1623"/>
      <c r="R67" s="1623"/>
      <c r="S67" s="1623"/>
      <c r="T67" s="1623"/>
      <c r="U67" s="1623"/>
      <c r="V67" s="1623" t="s">
        <v>132</v>
      </c>
      <c r="W67" s="1623"/>
      <c r="X67" s="1623"/>
      <c r="Y67" s="1623"/>
      <c r="Z67" s="1623"/>
      <c r="AA67" s="1623"/>
      <c r="AB67" s="1623"/>
      <c r="AC67" s="1623"/>
    </row>
    <row r="68" customFormat="false" ht="13.5" hidden="false" customHeight="false" outlineLevel="0" collapsed="false">
      <c r="A68" s="1686" t="s">
        <v>16</v>
      </c>
      <c r="B68" s="1687" t="s">
        <v>286</v>
      </c>
      <c r="C68" s="1685" t="s">
        <v>149</v>
      </c>
      <c r="D68" s="1685" t="s">
        <v>132</v>
      </c>
      <c r="E68" s="1626" t="s">
        <v>1262</v>
      </c>
      <c r="F68" s="1626" t="n">
        <v>1</v>
      </c>
      <c r="G68" s="1627" t="n">
        <v>2</v>
      </c>
      <c r="H68" s="1627" t="n">
        <v>3</v>
      </c>
      <c r="I68" s="1627" t="n">
        <v>4</v>
      </c>
      <c r="J68" s="1627" t="n">
        <v>5</v>
      </c>
      <c r="K68" s="1627" t="n">
        <v>6</v>
      </c>
      <c r="L68" s="1627" t="n">
        <v>7</v>
      </c>
      <c r="M68" s="1627" t="n">
        <v>8</v>
      </c>
      <c r="N68" s="1627" t="n">
        <v>9</v>
      </c>
      <c r="O68" s="1627" t="n">
        <v>10</v>
      </c>
      <c r="P68" s="1627" t="n">
        <v>11</v>
      </c>
      <c r="Q68" s="1627" t="n">
        <v>12</v>
      </c>
      <c r="R68" s="1627" t="n">
        <v>13</v>
      </c>
      <c r="S68" s="1627" t="n">
        <v>14</v>
      </c>
      <c r="T68" s="1627" t="n">
        <v>15</v>
      </c>
      <c r="U68" s="1628" t="n">
        <v>16</v>
      </c>
      <c r="V68" s="1627" t="n">
        <v>1</v>
      </c>
      <c r="W68" s="1627" t="n">
        <v>2</v>
      </c>
      <c r="X68" s="1627" t="n">
        <v>3</v>
      </c>
      <c r="Y68" s="1627" t="n">
        <v>4</v>
      </c>
      <c r="Z68" s="1627" t="n">
        <v>5</v>
      </c>
      <c r="AA68" s="1627" t="n">
        <v>6</v>
      </c>
      <c r="AB68" s="1627" t="n">
        <v>7</v>
      </c>
      <c r="AC68" s="1628" t="n">
        <v>8</v>
      </c>
    </row>
    <row r="69" customFormat="false" ht="12.75" hidden="false" customHeight="false" outlineLevel="0" collapsed="false">
      <c r="A69" s="1688" t="n">
        <v>1</v>
      </c>
      <c r="B69" s="1689" t="n">
        <f aca="false">EOMONTH(CurveDate+31,MOD(A37-MONTH(CurveDate+31),12)-1)+1</f>
        <v>36892</v>
      </c>
      <c r="C69" s="1690" t="n">
        <f aca="false">VLOOKUP(B69,PriceTableWeekend,7,0)+IF(BasisNumber&lt;&gt;1,VLOOKUP(B37,BasisTable,2,0),0)</f>
        <v>26.25</v>
      </c>
      <c r="D69" s="1690" t="n">
        <f aca="false">VLOOKUP(B37,PriceTable,7,0)+IF(BasisNumber&lt;&gt;1,VLOOKUP(B37,BasisTable,3,0),0)</f>
        <v>19.3064516129032</v>
      </c>
      <c r="E69" s="1636" t="n">
        <v>1</v>
      </c>
      <c r="F69" s="1691" t="n">
        <f aca="false">C69*F21</f>
        <v>30.6665146350861</v>
      </c>
      <c r="G69" s="1692" t="n">
        <f aca="false">C69*G21</f>
        <v>30.0848945975304</v>
      </c>
      <c r="H69" s="1692" t="n">
        <f aca="false">C69*H21</f>
        <v>28.2203659415245</v>
      </c>
      <c r="I69" s="1692" t="n">
        <f aca="false">C69*I21</f>
        <v>27.8883343935013</v>
      </c>
      <c r="J69" s="1692" t="n">
        <f aca="false">C69*J21</f>
        <v>27.7389286458492</v>
      </c>
      <c r="K69" s="1692" t="n">
        <f aca="false">C69*K21</f>
        <v>27.3858435451984</v>
      </c>
      <c r="L69" s="1692" t="n">
        <f aca="false">C69*L21</f>
        <v>26.8833495676518</v>
      </c>
      <c r="M69" s="1692" t="n">
        <f aca="false">C69*M21</f>
        <v>25.9537388384342</v>
      </c>
      <c r="N69" s="1692" t="n">
        <f aca="false">C69*N21</f>
        <v>25.8017639815807</v>
      </c>
      <c r="O69" s="1692" t="n">
        <f aca="false">C69*O21</f>
        <v>25.6271193176508</v>
      </c>
      <c r="P69" s="1692" t="n">
        <f aca="false">C69*P21</f>
        <v>25.0891569256783</v>
      </c>
      <c r="Q69" s="1692" t="n">
        <f aca="false">C69*Q21</f>
        <v>24.2731502652168</v>
      </c>
      <c r="R69" s="1692" t="n">
        <f aca="false">C69*R21</f>
        <v>24.0442679822445</v>
      </c>
      <c r="S69" s="1692" t="n">
        <f aca="false">C69*S21</f>
        <v>23.9455857127905</v>
      </c>
      <c r="T69" s="1692" t="n">
        <f aca="false">C69*T21</f>
        <v>23.6540622264147</v>
      </c>
      <c r="U69" s="1693" t="n">
        <f aca="false">C69*U21</f>
        <v>22.742921859026</v>
      </c>
      <c r="V69" s="1692" t="n">
        <f aca="false">D69*V21</f>
        <v>22.0742985260102</v>
      </c>
      <c r="W69" s="1692" t="n">
        <f aca="false">D69*W21</f>
        <v>22.0178931586204</v>
      </c>
      <c r="X69" s="1692" t="n">
        <f aca="false">D69*X21</f>
        <v>19.6879519435667</v>
      </c>
      <c r="Y69" s="1692" t="n">
        <f aca="false">D69*Y21</f>
        <v>18.785478723626</v>
      </c>
      <c r="Z69" s="1692" t="n">
        <f aca="false">D69*Z21</f>
        <v>18.6692019172253</v>
      </c>
      <c r="AA69" s="1692" t="n">
        <f aca="false">D69*AA21</f>
        <v>17.8763012097728</v>
      </c>
      <c r="AB69" s="1692" t="n">
        <f aca="false">D69*AB21</f>
        <v>17.793095928046</v>
      </c>
      <c r="AC69" s="1693" t="n">
        <f aca="false">D69*AC21</f>
        <v>17.5473903456042</v>
      </c>
    </row>
    <row r="70" customFormat="false" ht="12.75" hidden="false" customHeight="false" outlineLevel="0" collapsed="false">
      <c r="A70" s="1694" t="n">
        <v>2</v>
      </c>
      <c r="B70" s="1695" t="n">
        <f aca="false">EOMONTH(CurveDate+31,MOD(A38-MONTH(CurveDate+31),12)-1)+1</f>
        <v>36923</v>
      </c>
      <c r="C70" s="1696" t="n">
        <f aca="false">VLOOKUP(B70,PriceTableWeekend,7,0)+IF(BasisNumber&lt;&gt;1,VLOOKUP(B38,BasisTable,2,0),0)</f>
        <v>25.875</v>
      </c>
      <c r="D70" s="1696" t="n">
        <f aca="false">VLOOKUP(B38,PriceTable,7,0)+IF(BasisNumber&lt;&gt;1,VLOOKUP(B38,BasisTable,3,0),0)</f>
        <v>19.6071428571429</v>
      </c>
      <c r="E70" s="1636" t="n">
        <v>2</v>
      </c>
      <c r="F70" s="1691" t="n">
        <f aca="false">C70*F22</f>
        <v>29.4102379828692</v>
      </c>
      <c r="G70" s="1692" t="n">
        <f aca="false">C70*G22</f>
        <v>28.6690537780523</v>
      </c>
      <c r="H70" s="1692" t="n">
        <f aca="false">C70*H22</f>
        <v>27.6144062429667</v>
      </c>
      <c r="I70" s="1692" t="n">
        <f aca="false">C70*I22</f>
        <v>27.4461260586977</v>
      </c>
      <c r="J70" s="1692" t="n">
        <f aca="false">C70*J22</f>
        <v>27.35691806674</v>
      </c>
      <c r="K70" s="1692" t="n">
        <f aca="false">C70*K22</f>
        <v>26.5540523082018</v>
      </c>
      <c r="L70" s="1692" t="n">
        <f aca="false">C70*L22</f>
        <v>26.4815008342266</v>
      </c>
      <c r="M70" s="1692" t="n">
        <f aca="false">C70*M22</f>
        <v>25.8983684778214</v>
      </c>
      <c r="N70" s="1692" t="n">
        <f aca="false">C70*N22</f>
        <v>25.5963256582618</v>
      </c>
      <c r="O70" s="1692" t="n">
        <f aca="false">C70*O22</f>
        <v>24.8293778300285</v>
      </c>
      <c r="P70" s="1692" t="n">
        <f aca="false">C70*P22</f>
        <v>24.8243700787425</v>
      </c>
      <c r="Q70" s="1692" t="n">
        <f aca="false">C70*Q22</f>
        <v>24.5636215433478</v>
      </c>
      <c r="R70" s="1692" t="n">
        <f aca="false">C70*R22</f>
        <v>23.7722410708666</v>
      </c>
      <c r="S70" s="1692" t="n">
        <f aca="false">C70*S22</f>
        <v>23.7499953657389</v>
      </c>
      <c r="T70" s="1692" t="n">
        <f aca="false">C70*T22</f>
        <v>23.7338555082679</v>
      </c>
      <c r="U70" s="1693" t="n">
        <f aca="false">C70*U22</f>
        <v>23.4995491951704</v>
      </c>
      <c r="V70" s="1692" t="n">
        <f aca="false">D70*V22</f>
        <v>22.9783008992672</v>
      </c>
      <c r="W70" s="1692" t="n">
        <f aca="false">D70*W22</f>
        <v>22.2579822880881</v>
      </c>
      <c r="X70" s="1692" t="n">
        <f aca="false">D70*X22</f>
        <v>19.8229530496257</v>
      </c>
      <c r="Y70" s="1692" t="n">
        <f aca="false">D70*Y22</f>
        <v>19.2393205378737</v>
      </c>
      <c r="Z70" s="1692" t="n">
        <f aca="false">D70*Z22</f>
        <v>18.580407711012</v>
      </c>
      <c r="AA70" s="1692" t="n">
        <f aca="false">D70*AA22</f>
        <v>18.2585015339511</v>
      </c>
      <c r="AB70" s="1692" t="n">
        <f aca="false">D70*AB22</f>
        <v>18.0142457485199</v>
      </c>
      <c r="AC70" s="1693" t="n">
        <f aca="false">D70*AC22</f>
        <v>17.7054299201284</v>
      </c>
    </row>
    <row r="71" customFormat="false" ht="12.75" hidden="false" customHeight="false" outlineLevel="0" collapsed="false">
      <c r="A71" s="1694" t="n">
        <v>3</v>
      </c>
      <c r="B71" s="1695" t="n">
        <f aca="false">EOMONTH(CurveDate+31,MOD(A39-MONTH(CurveDate+31),12)-1)+1</f>
        <v>36951</v>
      </c>
      <c r="C71" s="1696" t="n">
        <f aca="false">VLOOKUP(B71,PriceTableWeekend,7,0)+IF(BasisNumber&lt;&gt;1,VLOOKUP(B39,BasisTable,2,0),0)</f>
        <v>25.3125</v>
      </c>
      <c r="D71" s="1696" t="n">
        <f aca="false">VLOOKUP(B39,PriceTable,7,0)+IF(BasisNumber&lt;&gt;1,VLOOKUP(B39,BasisTable,3,0),0)</f>
        <v>19.8870967741935</v>
      </c>
      <c r="E71" s="1636" t="n">
        <v>3</v>
      </c>
      <c r="F71" s="1691" t="n">
        <f aca="false">C71*F23</f>
        <v>28.5830435156822</v>
      </c>
      <c r="G71" s="1692" t="n">
        <f aca="false">C71*G23</f>
        <v>27.2642546519637</v>
      </c>
      <c r="H71" s="1692" t="n">
        <f aca="false">C71*H23</f>
        <v>26.5118537843227</v>
      </c>
      <c r="I71" s="1692" t="n">
        <f aca="false">C71*I23</f>
        <v>26.4916004240513</v>
      </c>
      <c r="J71" s="1692" t="n">
        <f aca="false">C71*J23</f>
        <v>26.1122633144259</v>
      </c>
      <c r="K71" s="1692" t="n">
        <f aca="false">C71*K23</f>
        <v>26.073310598731</v>
      </c>
      <c r="L71" s="1692" t="n">
        <f aca="false">C71*L23</f>
        <v>25.7321929559112</v>
      </c>
      <c r="M71" s="1692" t="n">
        <f aca="false">C71*M23</f>
        <v>25.3346091136336</v>
      </c>
      <c r="N71" s="1692" t="n">
        <f aca="false">C71*N23</f>
        <v>25.314394980669</v>
      </c>
      <c r="O71" s="1692" t="n">
        <f aca="false">C71*O23</f>
        <v>25.149592012167</v>
      </c>
      <c r="P71" s="1692" t="n">
        <f aca="false">C71*P23</f>
        <v>24.8433489538729</v>
      </c>
      <c r="Q71" s="1692" t="n">
        <f aca="false">C71*Q23</f>
        <v>24.0665577538311</v>
      </c>
      <c r="R71" s="1692" t="n">
        <f aca="false">C71*R23</f>
        <v>23.9884863607585</v>
      </c>
      <c r="S71" s="1692" t="n">
        <f aca="false">C71*S23</f>
        <v>23.7267949618399</v>
      </c>
      <c r="T71" s="1692" t="n">
        <f aca="false">C71*T23</f>
        <v>23.3195793069899</v>
      </c>
      <c r="U71" s="1693" t="n">
        <f aca="false">C71*U23</f>
        <v>22.4881158024073</v>
      </c>
      <c r="V71" s="1692" t="n">
        <f aca="false">D71*V23</f>
        <v>23.4312549233437</v>
      </c>
      <c r="W71" s="1692" t="n">
        <f aca="false">D71*W23</f>
        <v>21.6164186077733</v>
      </c>
      <c r="X71" s="1692" t="n">
        <f aca="false">D71*X23</f>
        <v>20.2460722077277</v>
      </c>
      <c r="Y71" s="1692" t="n">
        <f aca="false">D71*Y23</f>
        <v>19.7875132147343</v>
      </c>
      <c r="Z71" s="1692" t="n">
        <f aca="false">D71*Z23</f>
        <v>18.9227195372505</v>
      </c>
      <c r="AA71" s="1692" t="n">
        <f aca="false">D71*AA23</f>
        <v>18.4232500993436</v>
      </c>
      <c r="AB71" s="1692" t="n">
        <f aca="false">D71*AB23</f>
        <v>18.3823420251569</v>
      </c>
      <c r="AC71" s="1693" t="n">
        <f aca="false">D71*AC23</f>
        <v>18.2872047635817</v>
      </c>
    </row>
    <row r="72" customFormat="false" ht="12.75" hidden="false" customHeight="false" outlineLevel="0" collapsed="false">
      <c r="A72" s="1694" t="n">
        <v>4</v>
      </c>
      <c r="B72" s="1695" t="n">
        <f aca="false">EOMONTH(CurveDate+31,MOD(A40-MONTH(CurveDate+31),12)-1)+1</f>
        <v>36982</v>
      </c>
      <c r="C72" s="1696" t="n">
        <f aca="false">VLOOKUP(B72,PriceTableWeekend,7,0)+IF(BasisNumber&lt;&gt;1,VLOOKUP(B40,BasisTable,2,0),0)</f>
        <v>24.9375</v>
      </c>
      <c r="D72" s="1696" t="n">
        <f aca="false">VLOOKUP(B40,PriceTable,7,0)+IF(BasisNumber&lt;&gt;1,VLOOKUP(B40,BasisTable,3,0),0)</f>
        <v>17.6875</v>
      </c>
      <c r="E72" s="1636" t="n">
        <v>4</v>
      </c>
      <c r="F72" s="1691" t="n">
        <f aca="false">C72*F24</f>
        <v>26.6010953709483</v>
      </c>
      <c r="G72" s="1692" t="n">
        <f aca="false">C72*G24</f>
        <v>26.2939772978425</v>
      </c>
      <c r="H72" s="1692" t="n">
        <f aca="false">C72*H24</f>
        <v>26.2384397909045</v>
      </c>
      <c r="I72" s="1692" t="n">
        <f aca="false">C72*I24</f>
        <v>26.0840483754873</v>
      </c>
      <c r="J72" s="1692" t="n">
        <f aca="false">C72*J24</f>
        <v>25.7987832203507</v>
      </c>
      <c r="K72" s="1692" t="n">
        <f aca="false">C72*K24</f>
        <v>25.557099044323</v>
      </c>
      <c r="L72" s="1692" t="n">
        <f aca="false">C72*L24</f>
        <v>25.4914332702756</v>
      </c>
      <c r="M72" s="1692" t="n">
        <f aca="false">C72*M24</f>
        <v>25.1212743893266</v>
      </c>
      <c r="N72" s="1692" t="n">
        <f aca="false">C72*N24</f>
        <v>24.9674656391144</v>
      </c>
      <c r="O72" s="1692" t="n">
        <f aca="false">C72*O24</f>
        <v>24.3902792707086</v>
      </c>
      <c r="P72" s="1692" t="n">
        <f aca="false">C72*P24</f>
        <v>24.3529307283461</v>
      </c>
      <c r="Q72" s="1692" t="n">
        <f aca="false">C72*Q24</f>
        <v>24.105014115572</v>
      </c>
      <c r="R72" s="1692" t="n">
        <f aca="false">C72*R24</f>
        <v>24.0324737839401</v>
      </c>
      <c r="S72" s="1692" t="n">
        <f aca="false">C72*S24</f>
        <v>23.9069317281246</v>
      </c>
      <c r="T72" s="1692" t="n">
        <f aca="false">C72*T24</f>
        <v>23.8197474740446</v>
      </c>
      <c r="U72" s="1693" t="n">
        <f aca="false">C72*U24</f>
        <v>22.2390065006912</v>
      </c>
      <c r="V72" s="1692" t="n">
        <f aca="false">D72*V24</f>
        <v>20.4881046116352</v>
      </c>
      <c r="W72" s="1692" t="n">
        <f aca="false">D72*W24</f>
        <v>19.1524662226439</v>
      </c>
      <c r="X72" s="1692" t="n">
        <f aca="false">D72*X24</f>
        <v>18.4710660874844</v>
      </c>
      <c r="Y72" s="1692" t="n">
        <f aca="false">D72*Y24</f>
        <v>17.3834248259664</v>
      </c>
      <c r="Z72" s="1692" t="n">
        <f aca="false">D72*Z24</f>
        <v>17.3020456619561</v>
      </c>
      <c r="AA72" s="1692" t="n">
        <f aca="false">D72*AA24</f>
        <v>16.6035602353513</v>
      </c>
      <c r="AB72" s="1692" t="n">
        <f aca="false">D72*AB24</f>
        <v>16.109145257622</v>
      </c>
      <c r="AC72" s="1693" t="n">
        <f aca="false">D72*AC24</f>
        <v>15.990188151598</v>
      </c>
    </row>
    <row r="73" customFormat="false" ht="12.75" hidden="false" customHeight="false" outlineLevel="0" collapsed="false">
      <c r="A73" s="1694" t="n">
        <v>5</v>
      </c>
      <c r="B73" s="1695" t="n">
        <f aca="false">EOMONTH(CurveDate+31,MOD(A41-MONTH(CurveDate+31),12)-1)+1</f>
        <v>36647</v>
      </c>
      <c r="C73" s="1696" t="n">
        <f aca="false">VLOOKUP(B73,PriceTableWeekend,7,0)+IF(BasisNumber&lt;&gt;1,VLOOKUP(B41,BasisTable,2,0),0)</f>
        <v>26.5125</v>
      </c>
      <c r="D73" s="1696" t="n">
        <f aca="false">VLOOKUP(B41,PriceTable,7,0)+IF(BasisNumber&lt;&gt;1,VLOOKUP(B41,BasisTable,3,0),0)</f>
        <v>15.5846774193548</v>
      </c>
      <c r="E73" s="1636" t="n">
        <v>5</v>
      </c>
      <c r="F73" s="1691" t="n">
        <f aca="false">C73*F25</f>
        <v>27.8454783037305</v>
      </c>
      <c r="G73" s="1692" t="n">
        <f aca="false">C73*G25</f>
        <v>27.8423809781671</v>
      </c>
      <c r="H73" s="1692" t="n">
        <f aca="false">C73*H25</f>
        <v>27.6370693802834</v>
      </c>
      <c r="I73" s="1692" t="n">
        <f aca="false">C73*I25</f>
        <v>27.4010784566402</v>
      </c>
      <c r="J73" s="1692" t="n">
        <f aca="false">C73*J25</f>
        <v>27.3351844355464</v>
      </c>
      <c r="K73" s="1692" t="n">
        <f aca="false">C73*K25</f>
        <v>27.0532677590847</v>
      </c>
      <c r="L73" s="1692" t="n">
        <f aca="false">C73*L25</f>
        <v>27.0164791166782</v>
      </c>
      <c r="M73" s="1692" t="n">
        <f aca="false">C73*M25</f>
        <v>26.7607348412275</v>
      </c>
      <c r="N73" s="1692" t="n">
        <f aca="false">C73*N25</f>
        <v>26.500336676091</v>
      </c>
      <c r="O73" s="1692" t="n">
        <f aca="false">C73*O25</f>
        <v>26.3200628466904</v>
      </c>
      <c r="P73" s="1692" t="n">
        <f aca="false">C73*P25</f>
        <v>26.3023385591805</v>
      </c>
      <c r="Q73" s="1692" t="n">
        <f aca="false">C73*Q25</f>
        <v>26.1429669365287</v>
      </c>
      <c r="R73" s="1692" t="n">
        <f aca="false">C73*R25</f>
        <v>26.1259585104883</v>
      </c>
      <c r="S73" s="1692" t="n">
        <f aca="false">C73*S25</f>
        <v>25.8793924324214</v>
      </c>
      <c r="T73" s="1692" t="n">
        <f aca="false">C73*T25</f>
        <v>25.0381114013493</v>
      </c>
      <c r="U73" s="1693" t="n">
        <f aca="false">C73*U25</f>
        <v>22.9991593658924</v>
      </c>
      <c r="V73" s="1692" t="n">
        <f aca="false">D73*V25</f>
        <v>18.2430192611871</v>
      </c>
      <c r="W73" s="1692" t="n">
        <f aca="false">D73*W25</f>
        <v>16.5902900046879</v>
      </c>
      <c r="X73" s="1692" t="n">
        <f aca="false">D73*X25</f>
        <v>16.3634367984149</v>
      </c>
      <c r="Y73" s="1692" t="n">
        <f aca="false">D73*Y25</f>
        <v>15.3462498803293</v>
      </c>
      <c r="Z73" s="1692" t="n">
        <f aca="false">D73*Z25</f>
        <v>14.8597693419264</v>
      </c>
      <c r="AA73" s="1692" t="n">
        <f aca="false">D73*AA25</f>
        <v>14.7713176593665</v>
      </c>
      <c r="AB73" s="1692" t="n">
        <f aca="false">D73*AB25</f>
        <v>14.2848371209637</v>
      </c>
      <c r="AC73" s="1693" t="n">
        <f aca="false">D73*AC25</f>
        <v>14.2184992879629</v>
      </c>
    </row>
    <row r="74" customFormat="false" ht="12.75" hidden="false" customHeight="false" outlineLevel="0" collapsed="false">
      <c r="A74" s="1694" t="n">
        <v>6</v>
      </c>
      <c r="B74" s="1695" t="n">
        <f aca="false">EOMONTH(CurveDate+31,MOD(A42-MONTH(CurveDate+31),12)-1)+1</f>
        <v>36678</v>
      </c>
      <c r="C74" s="1696" t="n">
        <f aca="false">VLOOKUP(B74,PriceTableWeekend,7,0)+IF(BasisNumber&lt;&gt;1,VLOOKUP(B42,BasisTable,2,0),0)</f>
        <v>29.71875</v>
      </c>
      <c r="D74" s="1696" t="n">
        <f aca="false">VLOOKUP(B42,PriceTable,7,0)+IF(BasisNumber&lt;&gt;1,VLOOKUP(B42,BasisTable,3,0),0)</f>
        <v>16.1416666666667</v>
      </c>
      <c r="E74" s="1636" t="n">
        <v>6</v>
      </c>
      <c r="F74" s="1691" t="n">
        <f aca="false">C74*F26</f>
        <v>32.1805510371923</v>
      </c>
      <c r="G74" s="1692" t="n">
        <f aca="false">C74*G26</f>
        <v>31.990241535008</v>
      </c>
      <c r="H74" s="1692" t="n">
        <f aca="false">C74*H26</f>
        <v>31.7379055470228</v>
      </c>
      <c r="I74" s="1692" t="n">
        <f aca="false">C74*I26</f>
        <v>31.6462758332491</v>
      </c>
      <c r="J74" s="1692" t="n">
        <f aca="false">C74*J26</f>
        <v>31.3234532698989</v>
      </c>
      <c r="K74" s="1692" t="n">
        <f aca="false">C74*K26</f>
        <v>30.8864478394389</v>
      </c>
      <c r="L74" s="1692" t="n">
        <f aca="false">C74*L26</f>
        <v>30.5579887591302</v>
      </c>
      <c r="M74" s="1692" t="n">
        <f aca="false">C74*M26</f>
        <v>30.4071525894105</v>
      </c>
      <c r="N74" s="1692" t="n">
        <f aca="false">C74*N26</f>
        <v>30.2749442048371</v>
      </c>
      <c r="O74" s="1692" t="n">
        <f aca="false">C74*O26</f>
        <v>29.7319077774882</v>
      </c>
      <c r="P74" s="1692" t="n">
        <f aca="false">C74*P26</f>
        <v>29.6614229734987</v>
      </c>
      <c r="Q74" s="1692" t="n">
        <f aca="false">C74*Q26</f>
        <v>29.49580998905</v>
      </c>
      <c r="R74" s="1692" t="n">
        <f aca="false">C74*R26</f>
        <v>28.5831087436527</v>
      </c>
      <c r="S74" s="1692" t="n">
        <f aca="false">C74*S26</f>
        <v>27.7710198573768</v>
      </c>
      <c r="T74" s="1692" t="n">
        <f aca="false">C74*T26</f>
        <v>25.7664303313941</v>
      </c>
      <c r="U74" s="1693" t="n">
        <f aca="false">C74*U26</f>
        <v>23.4853432551026</v>
      </c>
      <c r="V74" s="1692" t="n">
        <f aca="false">D74*V26</f>
        <v>19.1504453718662</v>
      </c>
      <c r="W74" s="1692" t="n">
        <f aca="false">D74*W26</f>
        <v>17.2145517309507</v>
      </c>
      <c r="X74" s="1692" t="n">
        <f aca="false">D74*X26</f>
        <v>16.4992013752461</v>
      </c>
      <c r="Y74" s="1692" t="n">
        <f aca="false">D74*Y26</f>
        <v>15.9489784225822</v>
      </c>
      <c r="Z74" s="1692" t="n">
        <f aca="false">D74*Z26</f>
        <v>15.299259929359</v>
      </c>
      <c r="AA74" s="1692" t="n">
        <f aca="false">D74*AA26</f>
        <v>15.1377289245526</v>
      </c>
      <c r="AB74" s="1692" t="n">
        <f aca="false">D74*AB26</f>
        <v>14.9761979197462</v>
      </c>
      <c r="AC74" s="1693" t="n">
        <f aca="false">D74*AC26</f>
        <v>14.9069706211487</v>
      </c>
    </row>
    <row r="75" customFormat="false" ht="12.75" hidden="false" customHeight="false" outlineLevel="0" collapsed="false">
      <c r="A75" s="1694" t="n">
        <v>7</v>
      </c>
      <c r="B75" s="1695" t="n">
        <f aca="false">EOMONTH(CurveDate+31,MOD(A43-MONTH(CurveDate+31),12)-1)+1</f>
        <v>36708</v>
      </c>
      <c r="C75" s="1696" t="n">
        <f aca="false">VLOOKUP(B75,PriceTableWeekend,7,0)+IF(BasisNumber&lt;&gt;1,VLOOKUP(B43,BasisTable,2,0),0)</f>
        <v>42.99375</v>
      </c>
      <c r="D75" s="1696" t="n">
        <f aca="false">VLOOKUP(B43,PriceTable,7,0)+IF(BasisNumber&lt;&gt;1,VLOOKUP(B43,BasisTable,3,0),0)</f>
        <v>23.583064516129</v>
      </c>
      <c r="E75" s="1636" t="n">
        <v>7</v>
      </c>
      <c r="F75" s="1691" t="n">
        <f aca="false">C75*F27</f>
        <v>48.6829310081899</v>
      </c>
      <c r="G75" s="1692" t="n">
        <f aca="false">C75*G27</f>
        <v>48.533883485198</v>
      </c>
      <c r="H75" s="1692" t="n">
        <f aca="false">C75*H27</f>
        <v>47.8344758950174</v>
      </c>
      <c r="I75" s="1692" t="n">
        <f aca="false">C75*I27</f>
        <v>47.3848578281701</v>
      </c>
      <c r="J75" s="1692" t="n">
        <f aca="false">C75*J27</f>
        <v>46.960215125978</v>
      </c>
      <c r="K75" s="1692" t="n">
        <f aca="false">C75*K27</f>
        <v>45.7723912931979</v>
      </c>
      <c r="L75" s="1692" t="n">
        <f aca="false">C75*L27</f>
        <v>45.7698952943087</v>
      </c>
      <c r="M75" s="1692" t="n">
        <f aca="false">C75*M27</f>
        <v>44.4473541498184</v>
      </c>
      <c r="N75" s="1692" t="n">
        <f aca="false">C75*N27</f>
        <v>44.4473541498184</v>
      </c>
      <c r="O75" s="1692" t="n">
        <f aca="false">C75*O27</f>
        <v>44.2305866405368</v>
      </c>
      <c r="P75" s="1692" t="n">
        <f aca="false">C75*P27</f>
        <v>42.6887794252485</v>
      </c>
      <c r="Q75" s="1692" t="n">
        <f aca="false">C75*Q27</f>
        <v>40.3519786253572</v>
      </c>
      <c r="R75" s="1692" t="n">
        <f aca="false">C75*R27</f>
        <v>38.1298348914832</v>
      </c>
      <c r="S75" s="1692" t="n">
        <f aca="false">C75*S27</f>
        <v>37.7742703679949</v>
      </c>
      <c r="T75" s="1692" t="n">
        <f aca="false">C75*T27</f>
        <v>34.535650306195</v>
      </c>
      <c r="U75" s="1693" t="n">
        <f aca="false">C75*U27</f>
        <v>30.3555440761149</v>
      </c>
      <c r="V75" s="1692" t="n">
        <f aca="false">D75*V27</f>
        <v>28.6576270982142</v>
      </c>
      <c r="W75" s="1692" t="n">
        <f aca="false">D75*W27</f>
        <v>25.2798031874241</v>
      </c>
      <c r="X75" s="1692" t="n">
        <f aca="false">D75*X27</f>
        <v>23.8159964650869</v>
      </c>
      <c r="Y75" s="1692" t="n">
        <f aca="false">D75*Y27</f>
        <v>23.1536704716663</v>
      </c>
      <c r="Z75" s="1692" t="n">
        <f aca="false">D75*Z27</f>
        <v>22.6008960102835</v>
      </c>
      <c r="AA75" s="1692" t="n">
        <f aca="false">D75*AA27</f>
        <v>22.1746000408646</v>
      </c>
      <c r="AB75" s="1692" t="n">
        <f aca="false">D75*AB27</f>
        <v>21.5620189556672</v>
      </c>
      <c r="AC75" s="1693" t="n">
        <f aca="false">D75*AC27</f>
        <v>21.419901088505</v>
      </c>
    </row>
    <row r="76" customFormat="false" ht="12.75" hidden="false" customHeight="false" outlineLevel="0" collapsed="false">
      <c r="A76" s="1694" t="n">
        <v>8</v>
      </c>
      <c r="B76" s="1695" t="n">
        <f aca="false">EOMONTH(CurveDate+31,MOD(A44-MONTH(CurveDate+31),12)-1)+1</f>
        <v>36739</v>
      </c>
      <c r="C76" s="1696" t="n">
        <f aca="false">VLOOKUP(B76,PriceTableWeekend,7,0)+IF(BasisNumber&lt;&gt;1,VLOOKUP(B44,BasisTable,2,0),0)</f>
        <v>58.40625</v>
      </c>
      <c r="D76" s="1696" t="n">
        <f aca="false">VLOOKUP(B44,PriceTable,7,0)+IF(BasisNumber&lt;&gt;1,VLOOKUP(B44,BasisTable,3,0),0)</f>
        <v>21.4112903225806</v>
      </c>
      <c r="E76" s="1636" t="n">
        <v>8</v>
      </c>
      <c r="F76" s="1691" t="n">
        <f aca="false">C76*F28</f>
        <v>65.7413218952715</v>
      </c>
      <c r="G76" s="1692" t="n">
        <f aca="false">C76*G28</f>
        <v>65.7097188010812</v>
      </c>
      <c r="H76" s="1692" t="n">
        <f aca="false">C76*H28</f>
        <v>65.4200620651245</v>
      </c>
      <c r="I76" s="1692" t="n">
        <f aca="false">C76*I28</f>
        <v>64.3978735953569</v>
      </c>
      <c r="J76" s="1692" t="n">
        <f aca="false">C76*J28</f>
        <v>63.9013798646629</v>
      </c>
      <c r="K76" s="1692" t="n">
        <f aca="false">C76*K28</f>
        <v>61.4462323263288</v>
      </c>
      <c r="L76" s="1692" t="n">
        <f aca="false">C76*L28</f>
        <v>61.1161369979382</v>
      </c>
      <c r="M76" s="1692" t="n">
        <f aca="false">C76*M28</f>
        <v>59.5849430635572</v>
      </c>
      <c r="N76" s="1692" t="n">
        <f aca="false">C76*N28</f>
        <v>59.0440351143479</v>
      </c>
      <c r="O76" s="1692" t="n">
        <f aca="false">C76*O28</f>
        <v>58.4743369482458</v>
      </c>
      <c r="P76" s="1692" t="n">
        <f aca="false">C76*P28</f>
        <v>57.7332099247724</v>
      </c>
      <c r="Q76" s="1692" t="n">
        <f aca="false">C76*Q28</f>
        <v>55.1105604171753</v>
      </c>
      <c r="R76" s="1692" t="n">
        <f aca="false">C76*R28</f>
        <v>53.9423460178077</v>
      </c>
      <c r="S76" s="1692" t="n">
        <f aca="false">C76*S28</f>
        <v>51.9855860285461</v>
      </c>
      <c r="T76" s="1692" t="n">
        <f aca="false">C76*T28</f>
        <v>48.1755019538105</v>
      </c>
      <c r="U76" s="1693" t="n">
        <f aca="false">C76*U28</f>
        <v>42.7167445421219</v>
      </c>
      <c r="V76" s="1692" t="n">
        <f aca="false">D76*V28</f>
        <v>25.231545221421</v>
      </c>
      <c r="W76" s="1692" t="n">
        <f aca="false">D76*W28</f>
        <v>22.8785389036902</v>
      </c>
      <c r="X76" s="1692" t="n">
        <f aca="false">D76*X28</f>
        <v>22.2631263348364</v>
      </c>
      <c r="Y76" s="1692" t="n">
        <f aca="false">D76*Y28</f>
        <v>21.0885196275288</v>
      </c>
      <c r="Z76" s="1692" t="n">
        <f aca="false">D76*Z28</f>
        <v>20.395263209939</v>
      </c>
      <c r="AA76" s="1692" t="n">
        <f aca="false">D76*AA28</f>
        <v>20.0336101531021</v>
      </c>
      <c r="AB76" s="1692" t="n">
        <f aca="false">D76*AB28</f>
        <v>19.69986020317</v>
      </c>
      <c r="AC76" s="1693" t="n">
        <f aca="false">D76*AC28</f>
        <v>19.69986020317</v>
      </c>
    </row>
    <row r="77" customFormat="false" ht="12.75" hidden="false" customHeight="false" outlineLevel="0" collapsed="false">
      <c r="A77" s="1694" t="n">
        <v>9</v>
      </c>
      <c r="B77" s="1695" t="n">
        <f aca="false">EOMONTH(CurveDate+31,MOD(A45-MONTH(CurveDate+31),12)-1)+1</f>
        <v>36770</v>
      </c>
      <c r="C77" s="1696" t="n">
        <f aca="false">VLOOKUP(B77,PriceTableWeekend,7,0)+IF(BasisNumber&lt;&gt;1,VLOOKUP(B45,BasisTable,2,0),0)</f>
        <v>46.40625</v>
      </c>
      <c r="D77" s="1696" t="n">
        <f aca="false">VLOOKUP(B45,PriceTable,7,0)+IF(BasisNumber&lt;&gt;1,VLOOKUP(B45,BasisTable,3,0),0)</f>
        <v>23.1979166666667</v>
      </c>
      <c r="E77" s="1636" t="n">
        <v>9</v>
      </c>
      <c r="F77" s="1691" t="n">
        <f aca="false">C77*F29</f>
        <v>49.8409487307072</v>
      </c>
      <c r="G77" s="1692" t="n">
        <f aca="false">C77*G29</f>
        <v>49.7621999122202</v>
      </c>
      <c r="H77" s="1692" t="n">
        <f aca="false">C77*H29</f>
        <v>49.5867673493922</v>
      </c>
      <c r="I77" s="1692" t="n">
        <f aca="false">C77*I29</f>
        <v>49.5457028970122</v>
      </c>
      <c r="J77" s="1692" t="n">
        <f aca="false">C77*J29</f>
        <v>49.4394044391811</v>
      </c>
      <c r="K77" s="1692" t="n">
        <f aca="false">C77*K29</f>
        <v>48.7930279411376</v>
      </c>
      <c r="L77" s="1692" t="n">
        <f aca="false">C77*L29</f>
        <v>47.8902904316783</v>
      </c>
      <c r="M77" s="1692" t="n">
        <f aca="false">C77*M29</f>
        <v>47.8902904316783</v>
      </c>
      <c r="N77" s="1692" t="n">
        <f aca="false">C77*N29</f>
        <v>47.7056359313428</v>
      </c>
      <c r="O77" s="1692" t="n">
        <f aca="false">C77*O29</f>
        <v>47.575914748013</v>
      </c>
      <c r="P77" s="1692" t="n">
        <f aca="false">C77*P29</f>
        <v>47.0042984560132</v>
      </c>
      <c r="Q77" s="1692" t="n">
        <f aca="false">C77*Q29</f>
        <v>45.992665188387</v>
      </c>
      <c r="R77" s="1692" t="n">
        <f aca="false">C77*R29</f>
        <v>43.1460599787533</v>
      </c>
      <c r="S77" s="1692" t="n">
        <f aca="false">C77*S29</f>
        <v>42.6442748308182</v>
      </c>
      <c r="T77" s="1692" t="n">
        <f aca="false">C77*T29</f>
        <v>39.5666122343391</v>
      </c>
      <c r="U77" s="1693" t="n">
        <f aca="false">C77*U29</f>
        <v>36.1159009672701</v>
      </c>
      <c r="V77" s="1692" t="n">
        <f aca="false">D77*V29</f>
        <v>27.4169628731906</v>
      </c>
      <c r="W77" s="1692" t="n">
        <f aca="false">D77*W29</f>
        <v>24.2742518509428</v>
      </c>
      <c r="X77" s="1692" t="n">
        <f aca="false">D77*X29</f>
        <v>23.8986791384717</v>
      </c>
      <c r="Y77" s="1692" t="n">
        <f aca="false">D77*Y29</f>
        <v>22.8717825207859</v>
      </c>
      <c r="Z77" s="1692" t="n">
        <f aca="false">D77*Z29</f>
        <v>22.3477793441465</v>
      </c>
      <c r="AA77" s="1692" t="n">
        <f aca="false">D77*AA29</f>
        <v>21.9382405181726</v>
      </c>
      <c r="AB77" s="1692" t="n">
        <f aca="false">D77*AB29</f>
        <v>21.4218339150151</v>
      </c>
      <c r="AC77" s="1693" t="n">
        <f aca="false">D77*AC29</f>
        <v>21.4138017899046</v>
      </c>
    </row>
    <row r="78" customFormat="false" ht="12.75" hidden="false" customHeight="false" outlineLevel="0" collapsed="false">
      <c r="A78" s="1694" t="n">
        <v>10</v>
      </c>
      <c r="B78" s="1695" t="n">
        <f aca="false">EOMONTH(CurveDate+31,MOD(A46-MONTH(CurveDate+31),12)-1)+1</f>
        <v>36800</v>
      </c>
      <c r="C78" s="1696" t="n">
        <f aca="false">VLOOKUP(B78,PriceTableWeekend,7,0)+IF(BasisNumber&lt;&gt;1,VLOOKUP(B46,BasisTable,2,0),0)</f>
        <v>32.34375</v>
      </c>
      <c r="D78" s="1696" t="n">
        <f aca="false">VLOOKUP(B46,PriceTable,7,0)+IF(BasisNumber&lt;&gt;1,VLOOKUP(B46,BasisTable,3,0),0)</f>
        <v>22.3004032258065</v>
      </c>
      <c r="E78" s="1636" t="n">
        <v>10</v>
      </c>
      <c r="F78" s="1691" t="n">
        <f aca="false">C78*F30</f>
        <v>35.9165808185935</v>
      </c>
      <c r="G78" s="1692" t="n">
        <f aca="false">C78*G30</f>
        <v>35.237908679992</v>
      </c>
      <c r="H78" s="1692" t="n">
        <f aca="false">C78*H30</f>
        <v>33.6962515488267</v>
      </c>
      <c r="I78" s="1692" t="n">
        <f aca="false">C78*I30</f>
        <v>33.2411623187363</v>
      </c>
      <c r="J78" s="1692" t="n">
        <f aca="false">C78*J30</f>
        <v>32.8896827995777</v>
      </c>
      <c r="K78" s="1692" t="n">
        <f aca="false">C78*K30</f>
        <v>32.5934088416398</v>
      </c>
      <c r="L78" s="1692" t="n">
        <f aca="false">C78*L30</f>
        <v>32.5934088416398</v>
      </c>
      <c r="M78" s="1692" t="n">
        <f aca="false">C78*M30</f>
        <v>32.5934088416398</v>
      </c>
      <c r="N78" s="1692" t="n">
        <f aca="false">C78*N30</f>
        <v>32.3202245961875</v>
      </c>
      <c r="O78" s="1692" t="n">
        <f aca="false">C78*O30</f>
        <v>32.2684332355857</v>
      </c>
      <c r="P78" s="1692" t="n">
        <f aca="false">C78*P30</f>
        <v>32.1741966716945</v>
      </c>
      <c r="Q78" s="1692" t="n">
        <f aca="false">C78*Q30</f>
        <v>32.1039848215878</v>
      </c>
      <c r="R78" s="1692" t="n">
        <f aca="false">C78*R30</f>
        <v>32.1039848215878</v>
      </c>
      <c r="S78" s="1692" t="n">
        <f aca="false">C78*S30</f>
        <v>30.0623410474509</v>
      </c>
      <c r="T78" s="1692" t="n">
        <f aca="false">C78*T30</f>
        <v>29.9584440886974</v>
      </c>
      <c r="U78" s="1693" t="n">
        <f aca="false">C78*U30</f>
        <v>27.7465857379138</v>
      </c>
      <c r="V78" s="1692" t="n">
        <f aca="false">D78*V30</f>
        <v>25.8000925579859</v>
      </c>
      <c r="W78" s="1692" t="n">
        <f aca="false">D78*W30</f>
        <v>23.479631026666</v>
      </c>
      <c r="X78" s="1692" t="n">
        <f aca="false">D78*X30</f>
        <v>23.1929528456061</v>
      </c>
      <c r="Y78" s="1692" t="n">
        <f aca="false">D78*Y30</f>
        <v>22.3524709464081</v>
      </c>
      <c r="Z78" s="1692" t="n">
        <f aca="false">D78*Z30</f>
        <v>21.2946729069996</v>
      </c>
      <c r="AA78" s="1692" t="n">
        <f aca="false">D78*AA30</f>
        <v>21.0969958092657</v>
      </c>
      <c r="AB78" s="1692" t="n">
        <f aca="false">D78*AB30</f>
        <v>20.6503169202516</v>
      </c>
      <c r="AC78" s="1693" t="n">
        <f aca="false">D78*AC30</f>
        <v>20.5360914640609</v>
      </c>
    </row>
    <row r="79" customFormat="false" ht="12.75" hidden="false" customHeight="false" outlineLevel="0" collapsed="false">
      <c r="A79" s="1694" t="n">
        <v>11</v>
      </c>
      <c r="B79" s="1695" t="n">
        <f aca="false">EOMONTH(CurveDate+31,MOD(A47-MONTH(CurveDate+31),12)-1)+1</f>
        <v>36831</v>
      </c>
      <c r="C79" s="1696" t="n">
        <f aca="false">VLOOKUP(B79,PriceTableWeekend,7,0)+IF(BasisNumber&lt;&gt;1,VLOOKUP(B47,BasisTable,2,0),0)</f>
        <v>26.53125</v>
      </c>
      <c r="D79" s="1696" t="n">
        <f aca="false">VLOOKUP(B47,PriceTable,7,0)+IF(BasisNumber&lt;&gt;1,VLOOKUP(B47,BasisTable,3,0),0)</f>
        <v>24.15625</v>
      </c>
      <c r="E79" s="1636" t="n">
        <v>11</v>
      </c>
      <c r="F79" s="1691" t="n">
        <f aca="false">C79*F31</f>
        <v>30.3403369747102</v>
      </c>
      <c r="G79" s="1692" t="n">
        <f aca="false">C79*G31</f>
        <v>29.5615456178784</v>
      </c>
      <c r="H79" s="1692" t="n">
        <f aca="false">C79*H31</f>
        <v>28.2557827681303</v>
      </c>
      <c r="I79" s="1692" t="n">
        <f aca="false">C79*I31</f>
        <v>27.993152551353</v>
      </c>
      <c r="J79" s="1692" t="n">
        <f aca="false">C79*J31</f>
        <v>27.606899086386</v>
      </c>
      <c r="K79" s="1692" t="n">
        <f aca="false">C79*K31</f>
        <v>27.4541340619326</v>
      </c>
      <c r="L79" s="1692" t="n">
        <f aca="false">C79*L31</f>
        <v>27.4071321152151</v>
      </c>
      <c r="M79" s="1692" t="n">
        <f aca="false">C79*M31</f>
        <v>26.7448635846376</v>
      </c>
      <c r="N79" s="1692" t="n">
        <f aca="false">C79*N31</f>
        <v>26.6627200841904</v>
      </c>
      <c r="O79" s="1692" t="n">
        <f aca="false">C79*O31</f>
        <v>26.2756569497287</v>
      </c>
      <c r="P79" s="1692" t="n">
        <f aca="false">C79*P31</f>
        <v>25.4079221338034</v>
      </c>
      <c r="Q79" s="1692" t="n">
        <f aca="false">C79*Q31</f>
        <v>24.6048090644181</v>
      </c>
      <c r="R79" s="1692" t="n">
        <f aca="false">C79*R31</f>
        <v>24.6048090644181</v>
      </c>
      <c r="S79" s="1692" t="n">
        <f aca="false">C79*S31</f>
        <v>24.4217889681458</v>
      </c>
      <c r="T79" s="1692" t="n">
        <f aca="false">C79*T31</f>
        <v>24.3217457626015</v>
      </c>
      <c r="U79" s="1693" t="n">
        <f aca="false">C79*U31</f>
        <v>22.8367012124509</v>
      </c>
      <c r="V79" s="1692" t="n">
        <f aca="false">D79*V31</f>
        <v>27.4950191825628</v>
      </c>
      <c r="W79" s="1692" t="n">
        <f aca="false">D79*W31</f>
        <v>27.1579533405602</v>
      </c>
      <c r="X79" s="1692" t="n">
        <f aca="false">D79*X31</f>
        <v>23.9546356666833</v>
      </c>
      <c r="Y79" s="1692" t="n">
        <f aca="false">D79*Y31</f>
        <v>23.8720617201179</v>
      </c>
      <c r="Z79" s="1692" t="n">
        <f aca="false">D79*Z31</f>
        <v>23.6037244703621</v>
      </c>
      <c r="AA79" s="1692" t="n">
        <f aca="false">D79*AA31</f>
        <v>22.7062586974353</v>
      </c>
      <c r="AB79" s="1692" t="n">
        <f aca="false">D79*AB31</f>
        <v>22.3116790577769</v>
      </c>
      <c r="AC79" s="1693" t="n">
        <f aca="false">D79*AC31</f>
        <v>22.1486664246768</v>
      </c>
    </row>
    <row r="80" customFormat="false" ht="13.5" hidden="false" customHeight="false" outlineLevel="0" collapsed="false">
      <c r="A80" s="1697" t="n">
        <v>12</v>
      </c>
      <c r="B80" s="1698" t="n">
        <f aca="false">EOMONTH(CurveDate+31,MOD(A48-MONTH(CurveDate+31),12)-1)+1</f>
        <v>36861</v>
      </c>
      <c r="C80" s="1699" t="n">
        <f aca="false">VLOOKUP(B80,PriceTableWeekend,7,0)+IF(BasisNumber&lt;&gt;1,VLOOKUP(B48,BasisTable,2,0),0)</f>
        <v>26.53125</v>
      </c>
      <c r="D80" s="1699" t="n">
        <f aca="false">VLOOKUP(B48,PriceTable,7,0)+IF(BasisNumber&lt;&gt;1,VLOOKUP(B48,BasisTable,3,0),0)</f>
        <v>24.0604838709677</v>
      </c>
      <c r="E80" s="1662" t="n">
        <v>12</v>
      </c>
      <c r="F80" s="1700" t="n">
        <f aca="false">C80*F32</f>
        <v>30.8279794044793</v>
      </c>
      <c r="G80" s="1701" t="n">
        <f aca="false">C80*G32</f>
        <v>30.1321886591613</v>
      </c>
      <c r="H80" s="1701" t="n">
        <f aca="false">C80*H32</f>
        <v>28.7593465894461</v>
      </c>
      <c r="I80" s="1701" t="n">
        <f aca="false">C80*I32</f>
        <v>28.650831900537</v>
      </c>
      <c r="J80" s="1701" t="n">
        <f aca="false">C80*J32</f>
        <v>27.6071457825601</v>
      </c>
      <c r="K80" s="1701" t="n">
        <f aca="false">C80*K32</f>
        <v>27.4836996495724</v>
      </c>
      <c r="L80" s="1701" t="n">
        <f aca="false">C80*L32</f>
        <v>27.3265858143568</v>
      </c>
      <c r="M80" s="1701" t="n">
        <f aca="false">C80*M32</f>
        <v>27.2990855164826</v>
      </c>
      <c r="N80" s="1701" t="n">
        <f aca="false">C80*N32</f>
        <v>26.084057835862</v>
      </c>
      <c r="O80" s="1701" t="n">
        <f aca="false">C80*O32</f>
        <v>25.9945340082049</v>
      </c>
      <c r="P80" s="1701" t="n">
        <f aca="false">C80*P32</f>
        <v>24.8576552476734</v>
      </c>
      <c r="Q80" s="1701" t="n">
        <f aca="false">C80*Q32</f>
        <v>24.6161808092147</v>
      </c>
      <c r="R80" s="1701" t="n">
        <f aca="false">C80*R32</f>
        <v>24.296533729881</v>
      </c>
      <c r="S80" s="1701" t="n">
        <f aca="false">C80*S32</f>
        <v>24.0775924567133</v>
      </c>
      <c r="T80" s="1701" t="n">
        <f aca="false">C80*T32</f>
        <v>23.7466353066266</v>
      </c>
      <c r="U80" s="1702" t="n">
        <f aca="false">C80*U32</f>
        <v>22.7399472892284</v>
      </c>
      <c r="V80" s="1701" t="n">
        <f aca="false">D80*V32</f>
        <v>28.3614540335632</v>
      </c>
      <c r="W80" s="1701" t="n">
        <f aca="false">D80*W32</f>
        <v>26.8766385494701</v>
      </c>
      <c r="X80" s="1701" t="n">
        <f aca="false">D80*X32</f>
        <v>24.9880676158974</v>
      </c>
      <c r="Y80" s="1701" t="n">
        <f aca="false">D80*Y32</f>
        <v>23.0592367271743</v>
      </c>
      <c r="Z80" s="1701" t="n">
        <f aca="false">D80*Z32</f>
        <v>22.9593705840169</v>
      </c>
      <c r="AA80" s="1701" t="n">
        <f aca="false">D80*AA32</f>
        <v>22.1676679522761</v>
      </c>
      <c r="AB80" s="1701" t="n">
        <f aca="false">D80*AB32</f>
        <v>22.0972944168795</v>
      </c>
      <c r="AC80" s="1702" t="n">
        <f aca="false">D80*AC32</f>
        <v>21.9741410884646</v>
      </c>
    </row>
  </sheetData>
  <mergeCells count="25">
    <mergeCell ref="E2:AC2"/>
    <mergeCell ref="AE2:BF2"/>
    <mergeCell ref="BG2:BH2"/>
    <mergeCell ref="BJ2:CK2"/>
    <mergeCell ref="CL2:CM2"/>
    <mergeCell ref="F3:U3"/>
    <mergeCell ref="V3:AC3"/>
    <mergeCell ref="BG3:BH3"/>
    <mergeCell ref="CL3:CM3"/>
    <mergeCell ref="CP3:CQ3"/>
    <mergeCell ref="E18:AC18"/>
    <mergeCell ref="F19:U19"/>
    <mergeCell ref="V19:AC19"/>
    <mergeCell ref="E34:AC34"/>
    <mergeCell ref="C35:D35"/>
    <mergeCell ref="F35:U35"/>
    <mergeCell ref="V35:AC35"/>
    <mergeCell ref="E50:AC50"/>
    <mergeCell ref="C51:D51"/>
    <mergeCell ref="F51:U51"/>
    <mergeCell ref="V51:AC51"/>
    <mergeCell ref="E66:AC66"/>
    <mergeCell ref="C67:D67"/>
    <mergeCell ref="F67:U67"/>
    <mergeCell ref="V67:AC67"/>
  </mergeCells>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landscape" blackAndWhite="false" draft="false" cellComments="none" horizontalDpi="300" verticalDpi="300" copies="1"/>
  <headerFooter differentFirst="false" differentOddEven="false">
    <oddHeader>&amp;C&amp;A</oddHeader>
    <oddFooter>&amp;CPage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tru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57</xdr:col>
                    <xdr:colOff>0</xdr:colOff>
                    <xdr:row>15</xdr:row>
                    <xdr:rowOff>0</xdr:rowOff>
                  </from>
                  <to>
                    <xdr:col>66</xdr:col>
                    <xdr:colOff>69840</xdr:colOff>
                    <xdr:row>17</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57</xdr:col>
                    <xdr:colOff>0</xdr:colOff>
                    <xdr:row>20</xdr:row>
                    <xdr:rowOff>0</xdr:rowOff>
                  </from>
                  <to>
                    <xdr:col>66</xdr:col>
                    <xdr:colOff>69840</xdr:colOff>
                    <xdr:row>22</xdr:row>
                    <xdr:rowOff>66600</xdr:rowOff>
                  </to>
                </anchor>
              </controlPr>
            </control>
          </mc:Choice>
        </mc:AlternateContent>
        <mc:AlternateContent xmlns:mc="http://schemas.openxmlformats.org/markup-compatibility/2006">
          <mc:Choice Requires="x14">
            <control shapeId="1003" r:id="rId5" name="Button 8">
              <controlPr defaultSize="0" print="true" autoFill="0" autoPict="0">
                <anchor moveWithCells="true" sizeWithCells="false">
                  <from>
                    <xdr:col>43</xdr:col>
                    <xdr:colOff>0</xdr:colOff>
                    <xdr:row>20</xdr:row>
                    <xdr:rowOff>0</xdr:rowOff>
                  </from>
                  <to>
                    <xdr:col>52</xdr:col>
                    <xdr:colOff>360</xdr:colOff>
                    <xdr:row>22</xdr:row>
                    <xdr:rowOff>66600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69</xdr:col>
                    <xdr:colOff>0</xdr:colOff>
                    <xdr:row>20</xdr:row>
                    <xdr:rowOff>0</xdr:rowOff>
                  </from>
                  <to>
                    <xdr:col>78</xdr:col>
                    <xdr:colOff>69840</xdr:colOff>
                    <xdr:row>22</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69</xdr:col>
                    <xdr:colOff>0</xdr:colOff>
                    <xdr:row>24</xdr:row>
                    <xdr:rowOff>0</xdr:rowOff>
                  </from>
                  <to>
                    <xdr:col>78</xdr:col>
                    <xdr:colOff>69840</xdr:colOff>
                    <xdr:row>26</xdr:row>
                    <xdr:rowOff>66960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tru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38</xdr:col>
                    <xdr:colOff>0</xdr:colOff>
                    <xdr:row>18</xdr:row>
                    <xdr:rowOff>0</xdr:rowOff>
                  </from>
                  <to>
                    <xdr:col>48</xdr:col>
                    <xdr:colOff>360</xdr:colOff>
                    <xdr:row>20</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38</xdr:col>
                    <xdr:colOff>0</xdr:colOff>
                    <xdr:row>22</xdr:row>
                    <xdr:rowOff>0</xdr:rowOff>
                  </from>
                  <to>
                    <xdr:col>48</xdr:col>
                    <xdr:colOff>360</xdr:colOff>
                    <xdr:row>24</xdr:row>
                    <xdr:rowOff>66600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landscape"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48</xdr:col>
                    <xdr:colOff>39960</xdr:colOff>
                    <xdr:row>29</xdr:row>
                    <xdr:rowOff>28800</xdr:rowOff>
                  </from>
                  <to>
                    <xdr:col>58</xdr:col>
                    <xdr:colOff>39960</xdr:colOff>
                    <xdr:row>32</xdr:row>
                    <xdr:rowOff>28440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48</xdr:col>
                    <xdr:colOff>39960</xdr:colOff>
                    <xdr:row>34</xdr:row>
                    <xdr:rowOff>9720</xdr:rowOff>
                  </from>
                  <to>
                    <xdr:col>58</xdr:col>
                    <xdr:colOff>39960</xdr:colOff>
                    <xdr:row>37</xdr:row>
                    <xdr:rowOff>9360</xdr:rowOff>
                  </to>
                </anchor>
              </controlPr>
            </control>
          </mc:Choice>
        </mc:AlternateContent>
        <mc:AlternateContent xmlns:mc="http://schemas.openxmlformats.org/markup-compatibility/2006">
          <mc:Choice Requires="x14">
            <control shapeId="1003" r:id="rId5" name="Debt Repayment/">
              <controlPr defaultSize="0" locked="1" autoFill="0" autoLine="0" autoPict="0" print="true" altText="Check Box 6">
                <anchor moveWithCells="true" sizeWithCells="false">
                  <from>
                    <xdr:col>9</xdr:col>
                    <xdr:colOff>0</xdr:colOff>
                    <xdr:row>35</xdr:row>
                    <xdr:rowOff>0</xdr:rowOff>
                  </from>
                  <to>
                    <xdr:col>40</xdr:col>
                    <xdr:colOff>69840</xdr:colOff>
                    <xdr:row>38</xdr:row>
                    <xdr:rowOff>19080</xdr:rowOff>
                  </to>
                </anchor>
              </controlPr>
            </control>
          </mc:Choice>
        </mc:AlternateContent>
        <mc:AlternateContent xmlns:mc="http://schemas.openxmlformats.org/markup-compatibility/2006">
          <mc:Choice Requires="x14">
            <control shapeId="1004" r:id="rId6" name="Financial Statements">
              <controlPr defaultSize="0" locked="1" autoFill="0" autoLine="0" autoPict="0" print="true" altText="Check Box 11">
                <anchor moveWithCells="true" sizeWithCells="false">
                  <from>
                    <xdr:col>6</xdr:col>
                    <xdr:colOff>0</xdr:colOff>
                    <xdr:row>5</xdr:row>
                    <xdr:rowOff>28800</xdr:rowOff>
                  </from>
                  <to>
                    <xdr:col>28</xdr:col>
                    <xdr:colOff>69840</xdr:colOff>
                    <xdr:row>8</xdr:row>
                    <xdr:rowOff>37800</xdr:rowOff>
                  </to>
                </anchor>
              </controlPr>
            </control>
          </mc:Choice>
        </mc:AlternateContent>
        <mc:AlternateContent xmlns:mc="http://schemas.openxmlformats.org/markup-compatibility/2006">
          <mc:Choice Requires="x14">
            <control shapeId="1005" r:id="rId7" name="Income Statement">
              <controlPr defaultSize="0" locked="1" autoFill="0" autoLine="0" autoPict="0" print="true" altText="Check Box 13">
                <anchor moveWithCells="true" sizeWithCells="false">
                  <from>
                    <xdr:col>9</xdr:col>
                    <xdr:colOff>0</xdr:colOff>
                    <xdr:row>10</xdr:row>
                    <xdr:rowOff>57240</xdr:rowOff>
                  </from>
                  <to>
                    <xdr:col>30</xdr:col>
                    <xdr:colOff>69840</xdr:colOff>
                    <xdr:row>13</xdr:row>
                    <xdr:rowOff>66600</xdr:rowOff>
                  </to>
                </anchor>
              </controlPr>
            </control>
          </mc:Choice>
        </mc:AlternateContent>
        <mc:AlternateContent xmlns:mc="http://schemas.openxmlformats.org/markup-compatibility/2006">
          <mc:Choice Requires="x14">
            <control shapeId="1006" r:id="rId8" name="Balance Sheet">
              <controlPr defaultSize="0" locked="1" autoFill="0" autoLine="0" autoPict="0" print="true" altText="Check Box 15">
                <anchor moveWithCells="true" sizeWithCells="false">
                  <from>
                    <xdr:col>9</xdr:col>
                    <xdr:colOff>0</xdr:colOff>
                    <xdr:row>22</xdr:row>
                    <xdr:rowOff>56880</xdr:rowOff>
                  </from>
                  <to>
                    <xdr:col>29</xdr:col>
                    <xdr:colOff>69840</xdr:colOff>
                    <xdr:row>25</xdr:row>
                    <xdr:rowOff>66600</xdr:rowOff>
                  </to>
                </anchor>
              </controlPr>
            </control>
          </mc:Choice>
        </mc:AlternateContent>
        <mc:AlternateContent xmlns:mc="http://schemas.openxmlformats.org/markup-compatibility/2006">
          <mc:Choice Requires="x14">
            <control shapeId="1007" r:id="rId9" name="Cash Flow Statement">
              <controlPr defaultSize="0" locked="1" autoFill="0" autoLine="0" autoPict="0" print="true" altText="Check Box 16">
                <anchor moveWithCells="true" sizeWithCells="false">
                  <from>
                    <xdr:col>9</xdr:col>
                    <xdr:colOff>0</xdr:colOff>
                    <xdr:row>19</xdr:row>
                    <xdr:rowOff>0</xdr:rowOff>
                  </from>
                  <to>
                    <xdr:col>29</xdr:col>
                    <xdr:colOff>69840</xdr:colOff>
                    <xdr:row>22</xdr:row>
                    <xdr:rowOff>9360</xdr:rowOff>
                  </to>
                </anchor>
              </controlPr>
            </control>
          </mc:Choice>
        </mc:AlternateContent>
        <mc:AlternateContent xmlns:mc="http://schemas.openxmlformats.org/markup-compatibility/2006">
          <mc:Choice Requires="x14">
            <control shapeId="1008" r:id="rId10" name="Opening Balance Sheet/Working Capital">
              <controlPr defaultSize="0" locked="1" autoFill="0" autoLine="0" autoPict="0" print="true" altText="Check Box 18">
                <anchor moveWithCells="true" sizeWithCells="false">
                  <from>
                    <xdr:col>9</xdr:col>
                    <xdr:colOff>0</xdr:colOff>
                    <xdr:row>27</xdr:row>
                    <xdr:rowOff>0</xdr:rowOff>
                  </from>
                  <to>
                    <xdr:col>41</xdr:col>
                    <xdr:colOff>69840</xdr:colOff>
                    <xdr:row>30</xdr:row>
                    <xdr:rowOff>19080</xdr:rowOff>
                  </to>
                </anchor>
              </controlPr>
            </control>
          </mc:Choice>
        </mc:AlternateContent>
        <mc:AlternateContent xmlns:mc="http://schemas.openxmlformats.org/markup-compatibility/2006">
          <mc:Choice Requires="x14">
            <control shapeId="1009" r:id="rId11" name="Capitalization/Transaction Funds Flow/Fees">
              <controlPr defaultSize="0" locked="1" autoFill="0" autoLine="0" autoPict="0" print="true" altText="Check Box 19">
                <anchor moveWithCells="true" sizeWithCells="false">
                  <from>
                    <xdr:col>9</xdr:col>
                    <xdr:colOff>0</xdr:colOff>
                    <xdr:row>31</xdr:row>
                    <xdr:rowOff>9720</xdr:rowOff>
                  </from>
                  <to>
                    <xdr:col>42</xdr:col>
                    <xdr:colOff>69840</xdr:colOff>
                    <xdr:row>34</xdr:row>
                    <xdr:rowOff>28800</xdr:rowOff>
                  </to>
                </anchor>
              </controlPr>
            </control>
          </mc:Choice>
        </mc:AlternateContent>
        <mc:AlternateContent xmlns:mc="http://schemas.openxmlformats.org/markup-compatibility/2006">
          <mc:Choice Requires="x14">
            <control shapeId="1010" r:id="rId12" name="Income Taxes">
              <controlPr defaultSize="0" locked="1" autoFill="0" autoLine="0" autoPict="0" print="true" altText="Check Box 20">
                <anchor moveWithCells="true" sizeWithCells="false">
                  <from>
                    <xdr:col>9</xdr:col>
                    <xdr:colOff>0</xdr:colOff>
                    <xdr:row>44</xdr:row>
                    <xdr:rowOff>57240</xdr:rowOff>
                  </from>
                  <to>
                    <xdr:col>31</xdr:col>
                    <xdr:colOff>69840</xdr:colOff>
                    <xdr:row>47</xdr:row>
                    <xdr:rowOff>66600</xdr:rowOff>
                  </to>
                </anchor>
              </controlPr>
            </control>
          </mc:Choice>
        </mc:AlternateContent>
        <mc:AlternateContent xmlns:mc="http://schemas.openxmlformats.org/markup-compatibility/2006">
          <mc:Choice Requires="x14">
            <control shapeId="1011" r:id="rId13" name="DCF Analysis">
              <controlPr defaultSize="0" locked="1" autoFill="0" autoLine="0" autoPict="0" print="true" altText="Check Box 23">
                <anchor moveWithCells="true" sizeWithCells="false">
                  <from>
                    <xdr:col>39</xdr:col>
                    <xdr:colOff>0</xdr:colOff>
                    <xdr:row>9</xdr:row>
                    <xdr:rowOff>0</xdr:rowOff>
                  </from>
                  <to>
                    <xdr:col>56</xdr:col>
                    <xdr:colOff>69840</xdr:colOff>
                    <xdr:row>12</xdr:row>
                    <xdr:rowOff>9360</xdr:rowOff>
                  </to>
                </anchor>
              </controlPr>
            </control>
          </mc:Choice>
        </mc:AlternateContent>
        <mc:AlternateContent xmlns:mc="http://schemas.openxmlformats.org/markup-compatibility/2006">
          <mc:Choice Requires="x14">
            <control shapeId="1012" r:id="rId14" name="Sources &amp; Uses">
              <controlPr defaultSize="0" locked="1" autoFill="0" autoLine="0" autoPict="0" print="true" altText="Check Box 31">
                <anchor moveWithCells="true" sizeWithCells="false">
                  <from>
                    <xdr:col>9</xdr:col>
                    <xdr:colOff>0</xdr:colOff>
                    <xdr:row>14</xdr:row>
                    <xdr:rowOff>38160</xdr:rowOff>
                  </from>
                  <to>
                    <xdr:col>27</xdr:col>
                    <xdr:colOff>69840</xdr:colOff>
                    <xdr:row>17</xdr:row>
                    <xdr:rowOff>47520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320"/>
  <sheetViews>
    <sheetView showFormulas="false" showGridLines="true" showRowColHeaders="true" showZeros="true" rightToLeft="false" tabSelected="false" showOutlineSymbols="true" defaultGridColor="true" view="normal" topLeftCell="A290" colorId="64" zoomScale="100" zoomScaleNormal="100" zoomScalePageLayoutView="100" workbookViewId="0">
      <selection pane="topLeft" activeCell="D308" activeCellId="0" sqref="D308"/>
    </sheetView>
  </sheetViews>
  <sheetFormatPr defaultColWidth="9.0546875" defaultRowHeight="12.75" customHeight="true" zeroHeight="false" outlineLevelRow="0" outlineLevelCol="0"/>
  <cols>
    <col collapsed="false" customWidth="true" hidden="false" outlineLevel="0" max="3" min="3" style="0" width="9.85"/>
  </cols>
  <sheetData>
    <row r="1" customFormat="false" ht="12.75" hidden="false" customHeight="false" outlineLevel="0" collapsed="false">
      <c r="A1" s="276" t="s">
        <v>277</v>
      </c>
    </row>
    <row r="3" customFormat="false" ht="12.75" hidden="false" customHeight="false" outlineLevel="0" collapsed="false">
      <c r="C3" s="0" t="s">
        <v>278</v>
      </c>
      <c r="D3" s="277" t="n">
        <v>2000</v>
      </c>
      <c r="E3" s="277"/>
    </row>
    <row r="4" customFormat="false" ht="12.75" hidden="false" customHeight="false" outlineLevel="0" collapsed="false">
      <c r="C4" s="278" t="s">
        <v>279</v>
      </c>
      <c r="D4" s="279" t="n">
        <v>0.02</v>
      </c>
      <c r="E4" s="279"/>
    </row>
    <row r="6" customFormat="false" ht="12.75" hidden="false" customHeight="false" outlineLevel="0" collapsed="false">
      <c r="D6" s="280"/>
      <c r="E6" s="280"/>
      <c r="P6" s="0" t="s">
        <v>280</v>
      </c>
      <c r="Q6" s="0" t="s">
        <v>280</v>
      </c>
      <c r="R6" s="0" t="s">
        <v>280</v>
      </c>
    </row>
    <row r="7" customFormat="false" ht="12.75" hidden="false" customHeight="false" outlineLevel="0" collapsed="false">
      <c r="H7" s="0" t="s">
        <v>281</v>
      </c>
      <c r="I7" s="0" t="s">
        <v>282</v>
      </c>
      <c r="J7" s="0" t="s">
        <v>283</v>
      </c>
      <c r="K7" s="0" t="s">
        <v>149</v>
      </c>
      <c r="L7" s="0" t="s">
        <v>132</v>
      </c>
      <c r="N7" s="0" t="s">
        <v>280</v>
      </c>
      <c r="O7" s="0" t="s">
        <v>280</v>
      </c>
      <c r="P7" s="0" t="s">
        <v>284</v>
      </c>
      <c r="Q7" s="0" t="s">
        <v>282</v>
      </c>
      <c r="R7" s="0" t="s">
        <v>283</v>
      </c>
    </row>
    <row r="8" customFormat="false" ht="12.75" hidden="false" customHeight="false" outlineLevel="0" collapsed="false">
      <c r="C8" s="281" t="s">
        <v>285</v>
      </c>
      <c r="D8" s="281" t="s">
        <v>16</v>
      </c>
      <c r="E8" s="281" t="s">
        <v>286</v>
      </c>
      <c r="F8" s="281" t="s">
        <v>149</v>
      </c>
      <c r="G8" s="281" t="s">
        <v>132</v>
      </c>
      <c r="H8" s="0" t="s">
        <v>287</v>
      </c>
      <c r="I8" s="0" t="s">
        <v>288</v>
      </c>
      <c r="J8" s="0" t="s">
        <v>287</v>
      </c>
      <c r="K8" s="0" t="s">
        <v>289</v>
      </c>
      <c r="L8" s="0" t="s">
        <v>289</v>
      </c>
      <c r="N8" s="281" t="s">
        <v>149</v>
      </c>
      <c r="O8" s="281" t="s">
        <v>132</v>
      </c>
      <c r="P8" s="0" t="s">
        <v>287</v>
      </c>
      <c r="Q8" s="0" t="s">
        <v>288</v>
      </c>
      <c r="R8" s="0" t="s">
        <v>287</v>
      </c>
      <c r="U8" s="0" t="s">
        <v>149</v>
      </c>
      <c r="V8" s="0" t="s">
        <v>132</v>
      </c>
      <c r="W8" s="0" t="s">
        <v>290</v>
      </c>
    </row>
    <row r="9" customFormat="false" ht="12.75" hidden="false" customHeight="false" outlineLevel="0" collapsed="false">
      <c r="C9" s="282" t="n">
        <v>1998</v>
      </c>
      <c r="D9" s="282" t="n">
        <v>1</v>
      </c>
      <c r="E9" s="283" t="n">
        <v>35796</v>
      </c>
      <c r="F9" s="284" t="n">
        <v>0</v>
      </c>
      <c r="G9" s="284" t="n">
        <v>0</v>
      </c>
      <c r="H9" s="284" t="n">
        <v>0</v>
      </c>
      <c r="I9" s="284" t="n">
        <v>0</v>
      </c>
      <c r="J9" s="284" t="n">
        <f aca="false">SUM(H9:I9)</f>
        <v>0</v>
      </c>
      <c r="K9" s="0" t="e">
        <f aca="false">F9/$J9*1000</f>
        <v>#DIV/0!</v>
      </c>
      <c r="L9" s="0" t="e">
        <f aca="false">G9/$J9*1000</f>
        <v>#DIV/0!</v>
      </c>
      <c r="N9" s="285" t="n">
        <f aca="false">F9*(1+$D$4)^($C9-$D$3)</f>
        <v>0</v>
      </c>
      <c r="O9" s="285" t="n">
        <f aca="false">G9*(1+$D$4)^($C9-$D$3)</f>
        <v>0</v>
      </c>
      <c r="P9" s="285" t="n">
        <f aca="false">H9*(1+$D$4)^($C9-$D$3)</f>
        <v>0</v>
      </c>
      <c r="Q9" s="285" t="n">
        <f aca="false">I9*(1+$D$4)^($C9-$D$3)</f>
        <v>0</v>
      </c>
      <c r="R9" s="285" t="n">
        <f aca="false">SUM(P9:Q9)</f>
        <v>0</v>
      </c>
      <c r="T9" s="0" t="n">
        <v>1999</v>
      </c>
      <c r="U9" s="285" t="n">
        <f aca="false">SUMIF($C$9:$C$284,$T9,F$9:F$284)/12</f>
        <v>0</v>
      </c>
      <c r="V9" s="285" t="n">
        <f aca="false">SUMIF($C$9:$C$284,$T9,G$9:G$284)/12</f>
        <v>0</v>
      </c>
      <c r="W9" s="285" t="n">
        <f aca="false">80/168*U9+88/168*V9</f>
        <v>0</v>
      </c>
      <c r="X9" s="285" t="n">
        <f aca="false">W9/1000</f>
        <v>0</v>
      </c>
    </row>
    <row r="10" customFormat="false" ht="12.75" hidden="false" customHeight="false" outlineLevel="0" collapsed="false">
      <c r="C10" s="282" t="n">
        <v>1998</v>
      </c>
      <c r="D10" s="282" t="n">
        <v>2</v>
      </c>
      <c r="E10" s="283" t="n">
        <v>35827</v>
      </c>
      <c r="F10" s="284" t="n">
        <v>0</v>
      </c>
      <c r="G10" s="284" t="n">
        <v>0</v>
      </c>
      <c r="H10" s="284" t="n">
        <v>0</v>
      </c>
      <c r="I10" s="284" t="n">
        <v>0</v>
      </c>
      <c r="J10" s="284" t="n">
        <f aca="false">SUM(H10:I10)</f>
        <v>0</v>
      </c>
      <c r="K10" s="0" t="e">
        <f aca="false">F10/$J10*1000</f>
        <v>#DIV/0!</v>
      </c>
      <c r="L10" s="0" t="e">
        <f aca="false">G10/$J10*1000</f>
        <v>#DIV/0!</v>
      </c>
      <c r="N10" s="285" t="n">
        <f aca="false">F10*(1+$D$4)^($C10-$D$3)</f>
        <v>0</v>
      </c>
      <c r="O10" s="285" t="n">
        <f aca="false">G10*(1+$D$4)^($C10-$D$3)</f>
        <v>0</v>
      </c>
      <c r="P10" s="285" t="n">
        <f aca="false">H10*(1+$D$4)^($C10-$D$3)</f>
        <v>0</v>
      </c>
      <c r="Q10" s="285" t="n">
        <f aca="false">I10*(1+$D$4)^($C10-$D$3)</f>
        <v>0</v>
      </c>
      <c r="R10" s="285" t="n">
        <f aca="false">SUM(P10:Q10)</f>
        <v>0</v>
      </c>
      <c r="T10" s="0" t="n">
        <v>2000</v>
      </c>
      <c r="U10" s="285" t="n">
        <f aca="false">SUMIF($C$9:$C$284,$T10,F$9:F$284)/12</f>
        <v>31.5468333333333</v>
      </c>
      <c r="V10" s="285" t="n">
        <f aca="false">SUMIF($C$9:$C$284,$T10,G$9:G$284)/12</f>
        <v>19.1591166666667</v>
      </c>
      <c r="W10" s="285" t="n">
        <f aca="false">80/168*U10+88/168*V10</f>
        <v>25.0580293650794</v>
      </c>
      <c r="X10" s="285" t="n">
        <f aca="false">W10/1000</f>
        <v>0.0250580293650794</v>
      </c>
    </row>
    <row r="11" customFormat="false" ht="12.75" hidden="false" customHeight="false" outlineLevel="0" collapsed="false">
      <c r="C11" s="282" t="n">
        <v>1998</v>
      </c>
      <c r="D11" s="282" t="n">
        <v>3</v>
      </c>
      <c r="E11" s="283" t="n">
        <v>35855</v>
      </c>
      <c r="F11" s="284" t="n">
        <v>0</v>
      </c>
      <c r="G11" s="284" t="n">
        <v>0</v>
      </c>
      <c r="H11" s="284" t="n">
        <v>0</v>
      </c>
      <c r="I11" s="284" t="n">
        <v>0</v>
      </c>
      <c r="J11" s="284" t="n">
        <f aca="false">SUM(H11:I11)</f>
        <v>0</v>
      </c>
      <c r="K11" s="0" t="e">
        <f aca="false">F11/$J11*1000</f>
        <v>#DIV/0!</v>
      </c>
      <c r="L11" s="0" t="e">
        <f aca="false">G11/$J11*1000</f>
        <v>#DIV/0!</v>
      </c>
      <c r="N11" s="285" t="n">
        <f aca="false">F11*(1+$D$4)^($C11-$D$3)</f>
        <v>0</v>
      </c>
      <c r="O11" s="285" t="n">
        <f aca="false">G11*(1+$D$4)^($C11-$D$3)</f>
        <v>0</v>
      </c>
      <c r="P11" s="285" t="n">
        <f aca="false">H11*(1+$D$4)^($C11-$D$3)</f>
        <v>0</v>
      </c>
      <c r="Q11" s="285" t="n">
        <f aca="false">I11*(1+$D$4)^($C11-$D$3)</f>
        <v>0</v>
      </c>
      <c r="R11" s="285" t="n">
        <f aca="false">SUM(P11:Q11)</f>
        <v>0</v>
      </c>
      <c r="T11" s="0" t="n">
        <v>2001</v>
      </c>
      <c r="U11" s="285" t="n">
        <f aca="false">SUMIF($C$9:$C$284,$T11,F$9:F$284)/12</f>
        <v>30.5724833333333</v>
      </c>
      <c r="V11" s="285" t="n">
        <f aca="false">SUMIF($C$9:$C$284,$T11,G$9:G$284)/12</f>
        <v>19.6674333333333</v>
      </c>
      <c r="W11" s="285" t="n">
        <f aca="false">80/168*U11+88/168*V11</f>
        <v>24.8603142857143</v>
      </c>
      <c r="X11" s="285" t="n">
        <f aca="false">W11/1000</f>
        <v>0.0248603142857143</v>
      </c>
    </row>
    <row r="12" customFormat="false" ht="12.75" hidden="false" customHeight="false" outlineLevel="0" collapsed="false">
      <c r="C12" s="282" t="n">
        <v>1998</v>
      </c>
      <c r="D12" s="282" t="n">
        <v>4</v>
      </c>
      <c r="E12" s="283" t="n">
        <v>35886</v>
      </c>
      <c r="F12" s="284" t="n">
        <v>0</v>
      </c>
      <c r="G12" s="284" t="n">
        <v>0</v>
      </c>
      <c r="H12" s="284" t="n">
        <v>0</v>
      </c>
      <c r="I12" s="284" t="n">
        <v>0</v>
      </c>
      <c r="J12" s="284" t="n">
        <f aca="false">SUM(H12:I12)</f>
        <v>0</v>
      </c>
      <c r="K12" s="0" t="e">
        <f aca="false">F12/$J12*1000</f>
        <v>#DIV/0!</v>
      </c>
      <c r="L12" s="0" t="e">
        <f aca="false">G12/$J12*1000</f>
        <v>#DIV/0!</v>
      </c>
      <c r="N12" s="285" t="n">
        <f aca="false">F12*(1+$D$4)^($C12-$D$3)</f>
        <v>0</v>
      </c>
      <c r="O12" s="285" t="n">
        <f aca="false">G12*(1+$D$4)^($C12-$D$3)</f>
        <v>0</v>
      </c>
      <c r="P12" s="285" t="n">
        <f aca="false">H12*(1+$D$4)^($C12-$D$3)</f>
        <v>0</v>
      </c>
      <c r="Q12" s="285" t="n">
        <f aca="false">I12*(1+$D$4)^($C12-$D$3)</f>
        <v>0</v>
      </c>
      <c r="R12" s="285" t="n">
        <f aca="false">SUM(P12:Q12)</f>
        <v>0</v>
      </c>
      <c r="T12" s="0" t="n">
        <v>2002</v>
      </c>
      <c r="U12" s="285" t="n">
        <f aca="false">SUMIF($C$9:$C$284,$T12,F$9:F$284)/12</f>
        <v>34.6362916666667</v>
      </c>
      <c r="V12" s="285" t="n">
        <f aca="false">SUMIF($C$9:$C$284,$T12,G$9:G$284)/12</f>
        <v>21.121875</v>
      </c>
      <c r="W12" s="285" t="n">
        <f aca="false">80/168*U12+88/168*V12</f>
        <v>27.5573115079365</v>
      </c>
      <c r="X12" s="285" t="n">
        <f aca="false">W12/1000</f>
        <v>0.0275573115079365</v>
      </c>
    </row>
    <row r="13" customFormat="false" ht="12.75" hidden="false" customHeight="false" outlineLevel="0" collapsed="false">
      <c r="C13" s="282" t="n">
        <v>1998</v>
      </c>
      <c r="D13" s="282" t="n">
        <v>5</v>
      </c>
      <c r="E13" s="283" t="n">
        <v>35916</v>
      </c>
      <c r="F13" s="284" t="n">
        <v>0</v>
      </c>
      <c r="G13" s="284" t="n">
        <v>0</v>
      </c>
      <c r="H13" s="284" t="n">
        <v>0</v>
      </c>
      <c r="I13" s="284" t="n">
        <v>0</v>
      </c>
      <c r="J13" s="284" t="n">
        <f aca="false">SUM(H13:I13)</f>
        <v>0</v>
      </c>
      <c r="K13" s="0" t="e">
        <f aca="false">F13/$J13*1000</f>
        <v>#DIV/0!</v>
      </c>
      <c r="L13" s="0" t="e">
        <f aca="false">G13/$J13*1000</f>
        <v>#DIV/0!</v>
      </c>
      <c r="N13" s="285" t="n">
        <f aca="false">F13*(1+$D$4)^($C13-$D$3)</f>
        <v>0</v>
      </c>
      <c r="O13" s="285" t="n">
        <f aca="false">G13*(1+$D$4)^($C13-$D$3)</f>
        <v>0</v>
      </c>
      <c r="P13" s="285" t="n">
        <f aca="false">H13*(1+$D$4)^($C13-$D$3)</f>
        <v>0</v>
      </c>
      <c r="Q13" s="285" t="n">
        <f aca="false">I13*(1+$D$4)^($C13-$D$3)</f>
        <v>0</v>
      </c>
      <c r="R13" s="285" t="n">
        <f aca="false">SUM(P13:Q13)</f>
        <v>0</v>
      </c>
      <c r="T13" s="0" t="n">
        <v>2003</v>
      </c>
      <c r="U13" s="285" t="n">
        <f aca="false">SUMIF($C$9:$C$284,$T13,F$9:F$284)/12</f>
        <v>35.795025</v>
      </c>
      <c r="V13" s="285" t="n">
        <f aca="false">SUMIF($C$9:$C$284,$T13,G$9:G$284)/12</f>
        <v>21.3908083333333</v>
      </c>
      <c r="W13" s="285" t="n">
        <f aca="false">80/168*U13+88/168*V13</f>
        <v>28.2499591269841</v>
      </c>
      <c r="X13" s="285" t="n">
        <f aca="false">W13/1000</f>
        <v>0.0282499591269841</v>
      </c>
    </row>
    <row r="14" customFormat="false" ht="12.75" hidden="false" customHeight="false" outlineLevel="0" collapsed="false">
      <c r="C14" s="282" t="n">
        <v>1998</v>
      </c>
      <c r="D14" s="282" t="n">
        <v>6</v>
      </c>
      <c r="E14" s="283" t="n">
        <v>35947</v>
      </c>
      <c r="F14" s="284" t="n">
        <v>0</v>
      </c>
      <c r="G14" s="284" t="n">
        <v>0</v>
      </c>
      <c r="H14" s="284" t="n">
        <v>0</v>
      </c>
      <c r="I14" s="284" t="n">
        <v>0</v>
      </c>
      <c r="J14" s="284" t="n">
        <f aca="false">SUM(H14:I14)</f>
        <v>0</v>
      </c>
      <c r="K14" s="0" t="e">
        <f aca="false">F14/$J14*1000</f>
        <v>#DIV/0!</v>
      </c>
      <c r="L14" s="0" t="e">
        <f aca="false">G14/$J14*1000</f>
        <v>#DIV/0!</v>
      </c>
      <c r="N14" s="285" t="n">
        <f aca="false">F14*(1+$D$4)^($C14-$D$3)</f>
        <v>0</v>
      </c>
      <c r="O14" s="285" t="n">
        <f aca="false">G14*(1+$D$4)^($C14-$D$3)</f>
        <v>0</v>
      </c>
      <c r="P14" s="285" t="n">
        <f aca="false">H14*(1+$D$4)^($C14-$D$3)</f>
        <v>0</v>
      </c>
      <c r="Q14" s="285" t="n">
        <f aca="false">I14*(1+$D$4)^($C14-$D$3)</f>
        <v>0</v>
      </c>
      <c r="R14" s="285" t="n">
        <f aca="false">SUM(P14:Q14)</f>
        <v>0</v>
      </c>
      <c r="T14" s="0" t="n">
        <v>2004</v>
      </c>
      <c r="U14" s="285" t="n">
        <f aca="false">SUMIF($C$9:$C$284,$T14,F$9:F$284)/12</f>
        <v>39.2016333333333</v>
      </c>
      <c r="V14" s="285" t="n">
        <f aca="false">SUMIF($C$9:$C$284,$T14,G$9:G$284)/12</f>
        <v>22.1240833333333</v>
      </c>
      <c r="W14" s="285" t="n">
        <f aca="false">80/168*U14+88/168*V14</f>
        <v>30.25625</v>
      </c>
      <c r="X14" s="285" t="n">
        <f aca="false">W14/1000</f>
        <v>0.03025625</v>
      </c>
    </row>
    <row r="15" customFormat="false" ht="12.75" hidden="false" customHeight="false" outlineLevel="0" collapsed="false">
      <c r="C15" s="282" t="n">
        <v>1998</v>
      </c>
      <c r="D15" s="282" t="n">
        <v>7</v>
      </c>
      <c r="E15" s="283" t="n">
        <v>35977</v>
      </c>
      <c r="F15" s="284" t="n">
        <v>0</v>
      </c>
      <c r="G15" s="284" t="n">
        <v>0</v>
      </c>
      <c r="H15" s="284" t="n">
        <v>0</v>
      </c>
      <c r="I15" s="284" t="n">
        <v>0</v>
      </c>
      <c r="J15" s="284" t="n">
        <f aca="false">SUM(H15:I15)</f>
        <v>0</v>
      </c>
      <c r="K15" s="0" t="e">
        <f aca="false">F15/$J15*1000</f>
        <v>#DIV/0!</v>
      </c>
      <c r="L15" s="0" t="e">
        <f aca="false">G15/$J15*1000</f>
        <v>#DIV/0!</v>
      </c>
      <c r="N15" s="285" t="n">
        <f aca="false">F15*(1+$D$4)^($C15-$D$3)</f>
        <v>0</v>
      </c>
      <c r="O15" s="285" t="n">
        <f aca="false">G15*(1+$D$4)^($C15-$D$3)</f>
        <v>0</v>
      </c>
      <c r="P15" s="285" t="n">
        <f aca="false">H15*(1+$D$4)^($C15-$D$3)</f>
        <v>0</v>
      </c>
      <c r="Q15" s="285" t="n">
        <f aca="false">I15*(1+$D$4)^($C15-$D$3)</f>
        <v>0</v>
      </c>
      <c r="R15" s="285" t="n">
        <f aca="false">SUM(P15:Q15)</f>
        <v>0</v>
      </c>
      <c r="T15" s="0" t="n">
        <v>2005</v>
      </c>
      <c r="U15" s="285" t="n">
        <f aca="false">SUMIF($C$9:$C$284,$T15,F$9:F$284)/12</f>
        <v>43.1830333333333</v>
      </c>
      <c r="V15" s="285" t="n">
        <f aca="false">SUMIF($C$9:$C$284,$T15,G$9:G$284)/12</f>
        <v>22.5236916666667</v>
      </c>
      <c r="W15" s="285" t="n">
        <f aca="false">80/168*U15+88/168*V15</f>
        <v>32.3614734126984</v>
      </c>
      <c r="X15" s="285" t="n">
        <f aca="false">W15/1000</f>
        <v>0.0323614734126984</v>
      </c>
    </row>
    <row r="16" customFormat="false" ht="12.75" hidden="false" customHeight="false" outlineLevel="0" collapsed="false">
      <c r="C16" s="282" t="n">
        <v>1998</v>
      </c>
      <c r="D16" s="282" t="n">
        <v>8</v>
      </c>
      <c r="E16" s="283" t="n">
        <v>36008</v>
      </c>
      <c r="F16" s="284" t="n">
        <v>0</v>
      </c>
      <c r="G16" s="284" t="n">
        <v>0</v>
      </c>
      <c r="H16" s="284" t="n">
        <v>0</v>
      </c>
      <c r="I16" s="284" t="n">
        <v>0</v>
      </c>
      <c r="J16" s="284" t="n">
        <f aca="false">SUM(H16:I16)</f>
        <v>0</v>
      </c>
      <c r="K16" s="0" t="e">
        <f aca="false">F16/$J16*1000</f>
        <v>#DIV/0!</v>
      </c>
      <c r="L16" s="0" t="e">
        <f aca="false">G16/$J16*1000</f>
        <v>#DIV/0!</v>
      </c>
      <c r="N16" s="285" t="n">
        <f aca="false">F16*(1+$D$4)^($C16-$D$3)</f>
        <v>0</v>
      </c>
      <c r="O16" s="285" t="n">
        <f aca="false">G16*(1+$D$4)^($C16-$D$3)</f>
        <v>0</v>
      </c>
      <c r="P16" s="285" t="n">
        <f aca="false">H16*(1+$D$4)^($C16-$D$3)</f>
        <v>0</v>
      </c>
      <c r="Q16" s="285" t="n">
        <f aca="false">I16*(1+$D$4)^($C16-$D$3)</f>
        <v>0</v>
      </c>
      <c r="R16" s="285" t="n">
        <f aca="false">SUM(P16:Q16)</f>
        <v>0</v>
      </c>
      <c r="T16" s="0" t="n">
        <v>2006</v>
      </c>
      <c r="U16" s="285" t="n">
        <f aca="false">SUMIF($C$9:$C$284,$T16,F$9:F$284)/12</f>
        <v>44.2346</v>
      </c>
      <c r="V16" s="285" t="n">
        <f aca="false">SUMIF($C$9:$C$284,$T16,G$9:G$284)/12</f>
        <v>23.0962833333333</v>
      </c>
      <c r="W16" s="285" t="n">
        <f aca="false">80/168*U16+88/168*V16</f>
        <v>33.1621484126984</v>
      </c>
      <c r="X16" s="285" t="n">
        <f aca="false">W16/1000</f>
        <v>0.0331621484126984</v>
      </c>
    </row>
    <row r="17" customFormat="false" ht="12.75" hidden="false" customHeight="false" outlineLevel="0" collapsed="false">
      <c r="C17" s="282" t="n">
        <v>1998</v>
      </c>
      <c r="D17" s="282" t="n">
        <v>9</v>
      </c>
      <c r="E17" s="283" t="n">
        <v>36039</v>
      </c>
      <c r="F17" s="284" t="n">
        <v>0</v>
      </c>
      <c r="G17" s="284" t="n">
        <v>0</v>
      </c>
      <c r="H17" s="284" t="n">
        <v>0</v>
      </c>
      <c r="I17" s="284" t="n">
        <v>0</v>
      </c>
      <c r="J17" s="284" t="n">
        <f aca="false">SUM(H17:I17)</f>
        <v>0</v>
      </c>
      <c r="K17" s="0" t="e">
        <f aca="false">F17/$J17*1000</f>
        <v>#DIV/0!</v>
      </c>
      <c r="L17" s="0" t="e">
        <f aca="false">G17/$J17*1000</f>
        <v>#DIV/0!</v>
      </c>
      <c r="N17" s="285" t="n">
        <f aca="false">F17*(1+$D$4)^($C17-$D$3)</f>
        <v>0</v>
      </c>
      <c r="O17" s="285" t="n">
        <f aca="false">G17*(1+$D$4)^($C17-$D$3)</f>
        <v>0</v>
      </c>
      <c r="P17" s="285" t="n">
        <f aca="false">H17*(1+$D$4)^($C17-$D$3)</f>
        <v>0</v>
      </c>
      <c r="Q17" s="285" t="n">
        <f aca="false">I17*(1+$D$4)^($C17-$D$3)</f>
        <v>0</v>
      </c>
      <c r="R17" s="285" t="n">
        <f aca="false">SUM(P17:Q17)</f>
        <v>0</v>
      </c>
      <c r="T17" s="0" t="n">
        <v>2007</v>
      </c>
      <c r="U17" s="285" t="n">
        <f aca="false">SUMIF($C$9:$C$284,$T17,F$9:F$284)/12</f>
        <v>43.90805</v>
      </c>
      <c r="V17" s="285" t="n">
        <f aca="false">SUMIF($C$9:$C$284,$T17,G$9:G$284)/12</f>
        <v>22.7191166666667</v>
      </c>
      <c r="W17" s="285" t="n">
        <f aca="false">80/168*U17+88/168*V17</f>
        <v>32.8090849206349</v>
      </c>
      <c r="X17" s="285" t="n">
        <f aca="false">W17/1000</f>
        <v>0.0328090849206349</v>
      </c>
    </row>
    <row r="18" customFormat="false" ht="12.75" hidden="false" customHeight="false" outlineLevel="0" collapsed="false">
      <c r="C18" s="282" t="n">
        <v>1998</v>
      </c>
      <c r="D18" s="282" t="n">
        <v>10</v>
      </c>
      <c r="E18" s="283" t="n">
        <v>36069</v>
      </c>
      <c r="F18" s="284" t="n">
        <v>0</v>
      </c>
      <c r="G18" s="284" t="n">
        <v>0</v>
      </c>
      <c r="H18" s="284" t="n">
        <v>0</v>
      </c>
      <c r="I18" s="284" t="n">
        <v>0</v>
      </c>
      <c r="J18" s="284" t="n">
        <f aca="false">SUM(H18:I18)</f>
        <v>0</v>
      </c>
      <c r="K18" s="0" t="e">
        <f aca="false">F18/$J18*1000</f>
        <v>#DIV/0!</v>
      </c>
      <c r="L18" s="0" t="e">
        <f aca="false">G18/$J18*1000</f>
        <v>#DIV/0!</v>
      </c>
      <c r="N18" s="285" t="n">
        <f aca="false">F18*(1+$D$4)^($C18-$D$3)</f>
        <v>0</v>
      </c>
      <c r="O18" s="285" t="n">
        <f aca="false">G18*(1+$D$4)^($C18-$D$3)</f>
        <v>0</v>
      </c>
      <c r="P18" s="285" t="n">
        <f aca="false">H18*(1+$D$4)^($C18-$D$3)</f>
        <v>0</v>
      </c>
      <c r="Q18" s="285" t="n">
        <f aca="false">I18*(1+$D$4)^($C18-$D$3)</f>
        <v>0</v>
      </c>
      <c r="R18" s="285" t="n">
        <f aca="false">SUM(P18:Q18)</f>
        <v>0</v>
      </c>
      <c r="T18" s="0" t="n">
        <v>2008</v>
      </c>
      <c r="U18" s="285" t="n">
        <f aca="false">SUMIF($C$9:$C$284,$T18,F$9:F$284)/12</f>
        <v>42.3936333333333</v>
      </c>
      <c r="V18" s="285" t="n">
        <f aca="false">SUMIF($C$9:$C$284,$T18,G$9:G$284)/12</f>
        <v>22.396675</v>
      </c>
      <c r="W18" s="285" t="n">
        <f aca="false">80/168*U18+88/168*V18</f>
        <v>31.9190361111111</v>
      </c>
      <c r="X18" s="285" t="n">
        <f aca="false">W18/1000</f>
        <v>0.0319190361111111</v>
      </c>
    </row>
    <row r="19" customFormat="false" ht="12.75" hidden="false" customHeight="false" outlineLevel="0" collapsed="false">
      <c r="C19" s="282" t="n">
        <v>1998</v>
      </c>
      <c r="D19" s="282" t="n">
        <v>11</v>
      </c>
      <c r="E19" s="283" t="n">
        <v>36100</v>
      </c>
      <c r="F19" s="284" t="n">
        <v>0</v>
      </c>
      <c r="G19" s="284" t="n">
        <v>0</v>
      </c>
      <c r="H19" s="284" t="n">
        <v>0</v>
      </c>
      <c r="I19" s="284" t="n">
        <v>0</v>
      </c>
      <c r="J19" s="284" t="n">
        <f aca="false">SUM(H19:I19)</f>
        <v>0</v>
      </c>
      <c r="K19" s="0" t="e">
        <f aca="false">F19/$J19*1000</f>
        <v>#DIV/0!</v>
      </c>
      <c r="L19" s="0" t="e">
        <f aca="false">G19/$J19*1000</f>
        <v>#DIV/0!</v>
      </c>
      <c r="N19" s="285" t="n">
        <f aca="false">F19*(1+$D$4)^($C19-$D$3)</f>
        <v>0</v>
      </c>
      <c r="O19" s="285" t="n">
        <f aca="false">G19*(1+$D$4)^($C19-$D$3)</f>
        <v>0</v>
      </c>
      <c r="P19" s="285" t="n">
        <f aca="false">H19*(1+$D$4)^($C19-$D$3)</f>
        <v>0</v>
      </c>
      <c r="Q19" s="285" t="n">
        <f aca="false">I19*(1+$D$4)^($C19-$D$3)</f>
        <v>0</v>
      </c>
      <c r="R19" s="285" t="n">
        <f aca="false">SUM(P19:Q19)</f>
        <v>0</v>
      </c>
      <c r="T19" s="0" t="n">
        <v>2009</v>
      </c>
      <c r="U19" s="285" t="n">
        <f aca="false">SUMIF($C$9:$C$284,$T19,F$9:F$284)/12</f>
        <v>41.6756416666667</v>
      </c>
      <c r="V19" s="285" t="n">
        <f aca="false">SUMIF($C$9:$C$284,$T19,G$9:G$284)/12</f>
        <v>22.6648416666667</v>
      </c>
      <c r="W19" s="285" t="n">
        <f aca="false">80/168*U19+88/168*V19</f>
        <v>31.7176035714286</v>
      </c>
      <c r="X19" s="285" t="n">
        <f aca="false">W19/1000</f>
        <v>0.0317176035714286</v>
      </c>
    </row>
    <row r="20" customFormat="false" ht="12.75" hidden="false" customHeight="false" outlineLevel="0" collapsed="false">
      <c r="C20" s="282" t="n">
        <v>1998</v>
      </c>
      <c r="D20" s="282" t="n">
        <v>12</v>
      </c>
      <c r="E20" s="283" t="n">
        <v>36130</v>
      </c>
      <c r="F20" s="284" t="n">
        <v>0</v>
      </c>
      <c r="G20" s="284" t="n">
        <v>0</v>
      </c>
      <c r="H20" s="284" t="n">
        <v>0</v>
      </c>
      <c r="I20" s="284" t="n">
        <v>0</v>
      </c>
      <c r="J20" s="284" t="n">
        <f aca="false">SUM(H20:I20)</f>
        <v>0</v>
      </c>
      <c r="K20" s="0" t="e">
        <f aca="false">F20/$J20*1000</f>
        <v>#DIV/0!</v>
      </c>
      <c r="L20" s="0" t="e">
        <f aca="false">G20/$J20*1000</f>
        <v>#DIV/0!</v>
      </c>
      <c r="N20" s="285" t="n">
        <f aca="false">F20*(1+$D$4)^($C20-$D$3)</f>
        <v>0</v>
      </c>
      <c r="O20" s="285" t="n">
        <f aca="false">G20*(1+$D$4)^($C20-$D$3)</f>
        <v>0</v>
      </c>
      <c r="P20" s="285" t="n">
        <f aca="false">H20*(1+$D$4)^($C20-$D$3)</f>
        <v>0</v>
      </c>
      <c r="Q20" s="285" t="n">
        <f aca="false">I20*(1+$D$4)^($C20-$D$3)</f>
        <v>0</v>
      </c>
      <c r="R20" s="285" t="n">
        <f aca="false">SUM(P20:Q20)</f>
        <v>0</v>
      </c>
      <c r="T20" s="0" t="n">
        <v>2010</v>
      </c>
      <c r="U20" s="285" t="n">
        <f aca="false">SUMIF($C$9:$C$284,$T20,F$9:F$284)/12</f>
        <v>45.07975</v>
      </c>
      <c r="V20" s="285" t="n">
        <f aca="false">SUMIF($C$9:$C$284,$T20,G$9:G$284)/12</f>
        <v>22.713275</v>
      </c>
      <c r="W20" s="285" t="n">
        <f aca="false">80/168*U20+88/168*V20</f>
        <v>33.3639773809524</v>
      </c>
      <c r="X20" s="285" t="n">
        <f aca="false">W20/1000</f>
        <v>0.0333639773809524</v>
      </c>
    </row>
    <row r="21" customFormat="false" ht="12.75" hidden="false" customHeight="false" outlineLevel="0" collapsed="false">
      <c r="C21" s="282" t="n">
        <v>1999</v>
      </c>
      <c r="D21" s="282" t="n">
        <v>1</v>
      </c>
      <c r="E21" s="283" t="n">
        <v>36161</v>
      </c>
      <c r="F21" s="284" t="n">
        <v>0</v>
      </c>
      <c r="G21" s="284" t="n">
        <v>0</v>
      </c>
      <c r="H21" s="284" t="n">
        <v>0</v>
      </c>
      <c r="I21" s="284" t="n">
        <v>0</v>
      </c>
      <c r="J21" s="284" t="n">
        <f aca="false">SUM(H21:I21)</f>
        <v>0</v>
      </c>
      <c r="K21" s="0" t="e">
        <f aca="false">F21/$J21*1000</f>
        <v>#DIV/0!</v>
      </c>
      <c r="L21" s="0" t="e">
        <f aca="false">G21/$J21*1000</f>
        <v>#DIV/0!</v>
      </c>
      <c r="N21" s="285" t="n">
        <f aca="false">F21*(1+$D$4)^($C21-$D$3)</f>
        <v>0</v>
      </c>
      <c r="O21" s="285" t="n">
        <f aca="false">G21*(1+$D$4)^($C21-$D$3)</f>
        <v>0</v>
      </c>
      <c r="P21" s="285" t="n">
        <f aca="false">H21*(1+$D$4)^($C21-$D$3)</f>
        <v>0</v>
      </c>
      <c r="Q21" s="285" t="n">
        <f aca="false">I21*(1+$D$4)^($C21-$D$3)</f>
        <v>0</v>
      </c>
      <c r="R21" s="285" t="n">
        <f aca="false">SUM(P21:Q21)</f>
        <v>0</v>
      </c>
      <c r="T21" s="0" t="n">
        <v>2011</v>
      </c>
      <c r="U21" s="285" t="n">
        <f aca="false">SUMIF($C$9:$C$284,$T21,F$9:F$284)/12</f>
        <v>44.2868583333333</v>
      </c>
      <c r="V21" s="285" t="n">
        <f aca="false">SUMIF($C$9:$C$284,$T21,G$9:G$284)/12</f>
        <v>22.6167166666667</v>
      </c>
      <c r="W21" s="285" t="n">
        <f aca="false">80/168*U21+88/168*V21</f>
        <v>32.9358317460317</v>
      </c>
      <c r="X21" s="285" t="n">
        <f aca="false">W21/1000</f>
        <v>0.0329358317460317</v>
      </c>
    </row>
    <row r="22" customFormat="false" ht="12.75" hidden="false" customHeight="false" outlineLevel="0" collapsed="false">
      <c r="C22" s="282" t="n">
        <v>1999</v>
      </c>
      <c r="D22" s="282" t="n">
        <v>2</v>
      </c>
      <c r="E22" s="283" t="n">
        <v>36192</v>
      </c>
      <c r="F22" s="284" t="n">
        <v>0</v>
      </c>
      <c r="G22" s="284" t="n">
        <v>0</v>
      </c>
      <c r="H22" s="284" t="n">
        <v>0</v>
      </c>
      <c r="I22" s="284" t="n">
        <v>0</v>
      </c>
      <c r="J22" s="284" t="n">
        <f aca="false">SUM(H22:I22)</f>
        <v>0</v>
      </c>
      <c r="K22" s="0" t="e">
        <f aca="false">F22/$J22*1000</f>
        <v>#DIV/0!</v>
      </c>
      <c r="L22" s="0" t="e">
        <f aca="false">G22/$J22*1000</f>
        <v>#DIV/0!</v>
      </c>
      <c r="N22" s="285" t="n">
        <f aca="false">F22*(1+$D$4)^($C22-$D$3)</f>
        <v>0</v>
      </c>
      <c r="O22" s="285" t="n">
        <f aca="false">G22*(1+$D$4)^($C22-$D$3)</f>
        <v>0</v>
      </c>
      <c r="P22" s="285" t="n">
        <f aca="false">H22*(1+$D$4)^($C22-$D$3)</f>
        <v>0</v>
      </c>
      <c r="Q22" s="285" t="n">
        <f aca="false">I22*(1+$D$4)^($C22-$D$3)</f>
        <v>0</v>
      </c>
      <c r="R22" s="285" t="n">
        <f aca="false">SUM(P22:Q22)</f>
        <v>0</v>
      </c>
      <c r="T22" s="0" t="n">
        <v>2012</v>
      </c>
      <c r="U22" s="285" t="n">
        <f aca="false">SUMIF($C$9:$C$284,$T22,F$9:F$284)/12</f>
        <v>43.9981416666667</v>
      </c>
      <c r="V22" s="285" t="n">
        <f aca="false">SUMIF($C$9:$C$284,$T22,G$9:G$284)/12</f>
        <v>23.02905</v>
      </c>
      <c r="W22" s="285" t="n">
        <f aca="false">80/168*U22+88/168*V22</f>
        <v>33.0143317460318</v>
      </c>
      <c r="X22" s="285" t="n">
        <f aca="false">W22/1000</f>
        <v>0.0330143317460318</v>
      </c>
    </row>
    <row r="23" customFormat="false" ht="12.75" hidden="false" customHeight="false" outlineLevel="0" collapsed="false">
      <c r="C23" s="282" t="n">
        <v>1999</v>
      </c>
      <c r="D23" s="282" t="n">
        <v>3</v>
      </c>
      <c r="E23" s="283" t="n">
        <v>36220</v>
      </c>
      <c r="F23" s="284" t="n">
        <v>0</v>
      </c>
      <c r="G23" s="284" t="n">
        <v>0</v>
      </c>
      <c r="H23" s="284" t="n">
        <v>0</v>
      </c>
      <c r="I23" s="284" t="n">
        <v>0</v>
      </c>
      <c r="J23" s="284" t="n">
        <f aca="false">SUM(H23:I23)</f>
        <v>0</v>
      </c>
      <c r="K23" s="0" t="e">
        <f aca="false">F23/$J23*1000</f>
        <v>#DIV/0!</v>
      </c>
      <c r="L23" s="0" t="e">
        <f aca="false">G23/$J23*1000</f>
        <v>#DIV/0!</v>
      </c>
      <c r="N23" s="285" t="n">
        <f aca="false">F23*(1+$D$4)^($C23-$D$3)</f>
        <v>0</v>
      </c>
      <c r="O23" s="285" t="n">
        <f aca="false">G23*(1+$D$4)^($C23-$D$3)</f>
        <v>0</v>
      </c>
      <c r="P23" s="285" t="n">
        <f aca="false">H23*(1+$D$4)^($C23-$D$3)</f>
        <v>0</v>
      </c>
      <c r="Q23" s="285" t="n">
        <f aca="false">I23*(1+$D$4)^($C23-$D$3)</f>
        <v>0</v>
      </c>
      <c r="R23" s="285" t="n">
        <f aca="false">SUM(P23:Q23)</f>
        <v>0</v>
      </c>
      <c r="T23" s="0" t="n">
        <v>2013</v>
      </c>
      <c r="U23" s="285" t="n">
        <f aca="false">SUMIF($C$9:$C$284,$T23,F$9:F$284)/12</f>
        <v>44.2653083333333</v>
      </c>
      <c r="V23" s="285" t="n">
        <f aca="false">SUMIF($C$9:$C$284,$T23,G$9:G$284)/12</f>
        <v>22.9292083333333</v>
      </c>
      <c r="W23" s="285" t="n">
        <f aca="false">80/168*U23+88/168*V23</f>
        <v>33.089255952381</v>
      </c>
      <c r="X23" s="285" t="n">
        <f aca="false">W23/1000</f>
        <v>0.033089255952381</v>
      </c>
    </row>
    <row r="24" customFormat="false" ht="12.75" hidden="false" customHeight="false" outlineLevel="0" collapsed="false">
      <c r="C24" s="282" t="n">
        <v>1999</v>
      </c>
      <c r="D24" s="282" t="n">
        <v>4</v>
      </c>
      <c r="E24" s="283" t="n">
        <v>36251</v>
      </c>
      <c r="F24" s="284" t="n">
        <v>0</v>
      </c>
      <c r="G24" s="284" t="n">
        <v>0</v>
      </c>
      <c r="H24" s="284" t="n">
        <v>0</v>
      </c>
      <c r="I24" s="284" t="n">
        <v>0</v>
      </c>
      <c r="J24" s="284" t="n">
        <f aca="false">SUM(H24:I24)</f>
        <v>0</v>
      </c>
      <c r="K24" s="0" t="e">
        <f aca="false">F24/$J24*1000</f>
        <v>#DIV/0!</v>
      </c>
      <c r="L24" s="0" t="e">
        <f aca="false">G24/$J24*1000</f>
        <v>#DIV/0!</v>
      </c>
      <c r="N24" s="285" t="n">
        <f aca="false">F24*(1+$D$4)^($C24-$D$3)</f>
        <v>0</v>
      </c>
      <c r="O24" s="285" t="n">
        <f aca="false">G24*(1+$D$4)^($C24-$D$3)</f>
        <v>0</v>
      </c>
      <c r="P24" s="285" t="n">
        <f aca="false">H24*(1+$D$4)^($C24-$D$3)</f>
        <v>0</v>
      </c>
      <c r="Q24" s="285" t="n">
        <f aca="false">I24*(1+$D$4)^($C24-$D$3)</f>
        <v>0</v>
      </c>
      <c r="R24" s="285" t="n">
        <f aca="false">SUM(P24:Q24)</f>
        <v>0</v>
      </c>
      <c r="T24" s="0" t="n">
        <v>2014</v>
      </c>
      <c r="U24" s="285" t="n">
        <f aca="false">SUMIF($C$9:$C$284,$T24,F$9:F$284)/12</f>
        <v>42.29915</v>
      </c>
      <c r="V24" s="285" t="n">
        <f aca="false">SUMIF($C$9:$C$284,$T24,G$9:G$284)/12</f>
        <v>22.561575</v>
      </c>
      <c r="W24" s="285" t="n">
        <f aca="false">80/168*U24+88/168*V24</f>
        <v>31.9604202380952</v>
      </c>
      <c r="X24" s="285" t="n">
        <f aca="false">W24/1000</f>
        <v>0.0319604202380952</v>
      </c>
    </row>
    <row r="25" customFormat="false" ht="12.75" hidden="false" customHeight="false" outlineLevel="0" collapsed="false">
      <c r="C25" s="282" t="n">
        <v>1999</v>
      </c>
      <c r="D25" s="282" t="n">
        <v>5</v>
      </c>
      <c r="E25" s="283" t="n">
        <v>36281</v>
      </c>
      <c r="F25" s="284" t="n">
        <v>0</v>
      </c>
      <c r="G25" s="284" t="n">
        <v>0</v>
      </c>
      <c r="H25" s="284" t="n">
        <v>0</v>
      </c>
      <c r="I25" s="284" t="n">
        <v>0</v>
      </c>
      <c r="J25" s="284" t="n">
        <f aca="false">SUM(H25:I25)</f>
        <v>0</v>
      </c>
      <c r="K25" s="0" t="e">
        <f aca="false">F25/$J25*1000</f>
        <v>#DIV/0!</v>
      </c>
      <c r="L25" s="0" t="e">
        <f aca="false">G25/$J25*1000</f>
        <v>#DIV/0!</v>
      </c>
      <c r="N25" s="285" t="n">
        <f aca="false">F25*(1+$D$4)^($C25-$D$3)</f>
        <v>0</v>
      </c>
      <c r="O25" s="285" t="n">
        <f aca="false">G25*(1+$D$4)^($C25-$D$3)</f>
        <v>0</v>
      </c>
      <c r="P25" s="285" t="n">
        <f aca="false">H25*(1+$D$4)^($C25-$D$3)</f>
        <v>0</v>
      </c>
      <c r="Q25" s="285" t="n">
        <f aca="false">I25*(1+$D$4)^($C25-$D$3)</f>
        <v>0</v>
      </c>
      <c r="R25" s="285" t="n">
        <f aca="false">SUM(P25:Q25)</f>
        <v>0</v>
      </c>
      <c r="T25" s="0" t="n">
        <v>2015</v>
      </c>
      <c r="U25" s="285" t="n">
        <f aca="false">SUMIF($C$9:$C$284,$T25,F$9:F$284)/12</f>
        <v>44.0490416666667</v>
      </c>
      <c r="V25" s="285" t="n">
        <f aca="false">SUMIF($C$9:$C$284,$T25,G$9:G$284)/12</f>
        <v>23.0179083333333</v>
      </c>
      <c r="W25" s="285" t="n">
        <f aca="false">80/168*U25+88/168*V25</f>
        <v>33.0327337301587</v>
      </c>
      <c r="X25" s="285" t="n">
        <f aca="false">W25/1000</f>
        <v>0.0330327337301587</v>
      </c>
    </row>
    <row r="26" customFormat="false" ht="12.75" hidden="false" customHeight="false" outlineLevel="0" collapsed="false">
      <c r="C26" s="282" t="n">
        <v>1999</v>
      </c>
      <c r="D26" s="282" t="n">
        <v>6</v>
      </c>
      <c r="E26" s="283" t="n">
        <v>36312</v>
      </c>
      <c r="F26" s="284" t="n">
        <v>0</v>
      </c>
      <c r="G26" s="284" t="n">
        <v>0</v>
      </c>
      <c r="H26" s="284" t="n">
        <v>0</v>
      </c>
      <c r="I26" s="284" t="n">
        <v>0</v>
      </c>
      <c r="J26" s="284" t="n">
        <f aca="false">SUM(H26:I26)</f>
        <v>0</v>
      </c>
      <c r="K26" s="0" t="e">
        <f aca="false">F26/$J26*1000</f>
        <v>#DIV/0!</v>
      </c>
      <c r="L26" s="0" t="e">
        <f aca="false">G26/$J26*1000</f>
        <v>#DIV/0!</v>
      </c>
      <c r="N26" s="285" t="n">
        <f aca="false">F26*(1+$D$4)^($C26-$D$3)</f>
        <v>0</v>
      </c>
      <c r="O26" s="285" t="n">
        <f aca="false">G26*(1+$D$4)^($C26-$D$3)</f>
        <v>0</v>
      </c>
      <c r="P26" s="285" t="n">
        <f aca="false">H26*(1+$D$4)^($C26-$D$3)</f>
        <v>0</v>
      </c>
      <c r="Q26" s="285" t="n">
        <f aca="false">I26*(1+$D$4)^($C26-$D$3)</f>
        <v>0</v>
      </c>
      <c r="R26" s="285" t="n">
        <f aca="false">SUM(P26:Q26)</f>
        <v>0</v>
      </c>
      <c r="T26" s="0" t="n">
        <v>2016</v>
      </c>
      <c r="U26" s="285" t="n">
        <f aca="false">SUMIF($C$9:$C$284,$T26,F$9:F$284)/12</f>
        <v>41.4053333333333</v>
      </c>
      <c r="V26" s="285" t="n">
        <f aca="false">SUMIF($C$9:$C$284,$T26,G$9:G$284)/12</f>
        <v>22.1788083333333</v>
      </c>
      <c r="W26" s="285" t="n">
        <f aca="false">80/168*U26+88/168*V26</f>
        <v>31.3342964285714</v>
      </c>
      <c r="X26" s="285" t="n">
        <f aca="false">W26/1000</f>
        <v>0.0313342964285714</v>
      </c>
    </row>
    <row r="27" customFormat="false" ht="12.75" hidden="false" customHeight="false" outlineLevel="0" collapsed="false">
      <c r="C27" s="282" t="n">
        <v>1999</v>
      </c>
      <c r="D27" s="282" t="n">
        <v>7</v>
      </c>
      <c r="E27" s="283" t="n">
        <v>36342</v>
      </c>
      <c r="F27" s="284" t="n">
        <v>0</v>
      </c>
      <c r="G27" s="284" t="n">
        <v>0</v>
      </c>
      <c r="H27" s="284" t="n">
        <v>0</v>
      </c>
      <c r="I27" s="284" t="n">
        <v>0</v>
      </c>
      <c r="J27" s="284" t="n">
        <f aca="false">SUM(H27:I27)</f>
        <v>0</v>
      </c>
      <c r="K27" s="0" t="e">
        <f aca="false">F27/$J27*1000</f>
        <v>#DIV/0!</v>
      </c>
      <c r="L27" s="0" t="e">
        <f aca="false">G27/$J27*1000</f>
        <v>#DIV/0!</v>
      </c>
      <c r="N27" s="285" t="n">
        <f aca="false">F27*(1+$D$4)^($C27-$D$3)</f>
        <v>0</v>
      </c>
      <c r="O27" s="285" t="n">
        <f aca="false">G27*(1+$D$4)^($C27-$D$3)</f>
        <v>0</v>
      </c>
      <c r="P27" s="285" t="n">
        <f aca="false">H27*(1+$D$4)^($C27-$D$3)</f>
        <v>0</v>
      </c>
      <c r="Q27" s="285" t="n">
        <f aca="false">I27*(1+$D$4)^($C27-$D$3)</f>
        <v>0</v>
      </c>
      <c r="R27" s="285" t="n">
        <f aca="false">SUM(P27:Q27)</f>
        <v>0</v>
      </c>
      <c r="T27" s="0" t="n">
        <v>2017</v>
      </c>
      <c r="U27" s="285" t="n">
        <f aca="false">SUMIF($C$9:$C$284,$T27,F$9:F$284)/12</f>
        <v>40.8923166666667</v>
      </c>
      <c r="V27" s="285" t="n">
        <f aca="false">SUMIF($C$9:$C$284,$T27,G$9:G$284)/12</f>
        <v>22.3307833333333</v>
      </c>
      <c r="W27" s="285" t="n">
        <f aca="false">80/168*U27+88/168*V27</f>
        <v>31.1696087301587</v>
      </c>
      <c r="X27" s="285" t="n">
        <f aca="false">W27/1000</f>
        <v>0.0311696087301587</v>
      </c>
    </row>
    <row r="28" customFormat="false" ht="12.75" hidden="false" customHeight="false" outlineLevel="0" collapsed="false">
      <c r="C28" s="282" t="n">
        <v>1999</v>
      </c>
      <c r="D28" s="282" t="n">
        <v>8</v>
      </c>
      <c r="E28" s="283" t="n">
        <v>36373</v>
      </c>
      <c r="F28" s="284" t="n">
        <v>0</v>
      </c>
      <c r="G28" s="284" t="n">
        <v>0</v>
      </c>
      <c r="H28" s="284" t="n">
        <v>0</v>
      </c>
      <c r="I28" s="284" t="n">
        <v>0</v>
      </c>
      <c r="J28" s="284" t="n">
        <f aca="false">SUM(H28:I28)</f>
        <v>0</v>
      </c>
      <c r="K28" s="0" t="e">
        <f aca="false">F28/$J28*1000</f>
        <v>#DIV/0!</v>
      </c>
      <c r="L28" s="0" t="e">
        <f aca="false">G28/$J28*1000</f>
        <v>#DIV/0!</v>
      </c>
      <c r="N28" s="285" t="n">
        <f aca="false">F28*(1+$D$4)^($C28-$D$3)</f>
        <v>0</v>
      </c>
      <c r="O28" s="285" t="n">
        <f aca="false">G28*(1+$D$4)^($C28-$D$3)</f>
        <v>0</v>
      </c>
      <c r="P28" s="285" t="n">
        <f aca="false">H28*(1+$D$4)^($C28-$D$3)</f>
        <v>0</v>
      </c>
      <c r="Q28" s="285" t="n">
        <f aca="false">I28*(1+$D$4)^($C28-$D$3)</f>
        <v>0</v>
      </c>
      <c r="R28" s="285" t="n">
        <f aca="false">SUM(P28:Q28)</f>
        <v>0</v>
      </c>
      <c r="T28" s="0" t="n">
        <v>2018</v>
      </c>
      <c r="U28" s="285" t="n">
        <f aca="false">SUMIF($C$9:$C$284,$T28,F$9:F$284)/12</f>
        <v>40.2757416666667</v>
      </c>
      <c r="V28" s="285" t="n">
        <f aca="false">SUMIF($C$9:$C$284,$T28,G$9:G$284)/12</f>
        <v>22.4432833333333</v>
      </c>
      <c r="W28" s="285" t="n">
        <f aca="false">80/168*U28+88/168*V28</f>
        <v>30.9349301587302</v>
      </c>
      <c r="X28" s="285" t="n">
        <f aca="false">W28/1000</f>
        <v>0.0309349301587302</v>
      </c>
    </row>
    <row r="29" customFormat="false" ht="12.75" hidden="false" customHeight="false" outlineLevel="0" collapsed="false">
      <c r="C29" s="282" t="n">
        <v>1999</v>
      </c>
      <c r="D29" s="282" t="n">
        <v>9</v>
      </c>
      <c r="E29" s="283" t="n">
        <v>36404</v>
      </c>
      <c r="F29" s="284" t="n">
        <v>0</v>
      </c>
      <c r="G29" s="284" t="n">
        <v>0</v>
      </c>
      <c r="H29" s="284" t="n">
        <v>0</v>
      </c>
      <c r="I29" s="284" t="n">
        <v>0</v>
      </c>
      <c r="J29" s="284" t="n">
        <f aca="false">SUM(H29:I29)</f>
        <v>0</v>
      </c>
      <c r="K29" s="0" t="e">
        <f aca="false">F29/$J29*1000</f>
        <v>#DIV/0!</v>
      </c>
      <c r="L29" s="0" t="e">
        <f aca="false">G29/$J29*1000</f>
        <v>#DIV/0!</v>
      </c>
      <c r="N29" s="285" t="n">
        <f aca="false">F29*(1+$D$4)^($C29-$D$3)</f>
        <v>0</v>
      </c>
      <c r="O29" s="285" t="n">
        <f aca="false">G29*(1+$D$4)^($C29-$D$3)</f>
        <v>0</v>
      </c>
      <c r="P29" s="285" t="n">
        <f aca="false">H29*(1+$D$4)^($C29-$D$3)</f>
        <v>0</v>
      </c>
      <c r="Q29" s="285" t="n">
        <f aca="false">I29*(1+$D$4)^($C29-$D$3)</f>
        <v>0</v>
      </c>
      <c r="R29" s="285" t="n">
        <f aca="false">SUM(P29:Q29)</f>
        <v>0</v>
      </c>
      <c r="T29" s="0" t="n">
        <v>2019</v>
      </c>
      <c r="U29" s="285" t="n">
        <f aca="false">SUMIF($C$9:$C$284,$T29,F$9:F$284)/12</f>
        <v>40.4069083333333</v>
      </c>
      <c r="V29" s="285" t="n">
        <f aca="false">SUMIF($C$9:$C$284,$T29,G$9:G$284)/12</f>
        <v>22.304625</v>
      </c>
      <c r="W29" s="285" t="n">
        <f aca="false">80/168*U29+88/168*V29</f>
        <v>30.9247599206349</v>
      </c>
      <c r="X29" s="285" t="n">
        <f aca="false">W29/1000</f>
        <v>0.0309247599206349</v>
      </c>
    </row>
    <row r="30" customFormat="false" ht="12.75" hidden="false" customHeight="false" outlineLevel="0" collapsed="false">
      <c r="C30" s="282" t="n">
        <v>1999</v>
      </c>
      <c r="D30" s="282" t="n">
        <v>10</v>
      </c>
      <c r="E30" s="283" t="n">
        <v>36434</v>
      </c>
      <c r="F30" s="284" t="n">
        <v>0</v>
      </c>
      <c r="G30" s="284" t="n">
        <v>0</v>
      </c>
      <c r="H30" s="284" t="n">
        <v>0</v>
      </c>
      <c r="I30" s="284" t="n">
        <v>0</v>
      </c>
      <c r="J30" s="284" t="n">
        <f aca="false">SUM(H30:I30)</f>
        <v>0</v>
      </c>
      <c r="K30" s="0" t="e">
        <f aca="false">F30/$J30*1000</f>
        <v>#DIV/0!</v>
      </c>
      <c r="L30" s="0" t="e">
        <f aca="false">G30/$J30*1000</f>
        <v>#DIV/0!</v>
      </c>
      <c r="N30" s="285" t="n">
        <f aca="false">F30*(1+$D$4)^($C30-$D$3)</f>
        <v>0</v>
      </c>
      <c r="O30" s="285" t="n">
        <f aca="false">G30*(1+$D$4)^($C30-$D$3)</f>
        <v>0</v>
      </c>
      <c r="P30" s="285" t="n">
        <f aca="false">H30*(1+$D$4)^($C30-$D$3)</f>
        <v>0</v>
      </c>
      <c r="Q30" s="285" t="n">
        <f aca="false">I30*(1+$D$4)^($C30-$D$3)</f>
        <v>0</v>
      </c>
      <c r="R30" s="285" t="n">
        <f aca="false">SUM(P30:Q30)</f>
        <v>0</v>
      </c>
      <c r="T30" s="0" t="n">
        <v>2020</v>
      </c>
      <c r="U30" s="285" t="n">
        <f aca="false">SUMIF($C$9:$C$284,$T30,F$9:F$284)/12</f>
        <v>39.8112833333333</v>
      </c>
      <c r="V30" s="285" t="n">
        <f aca="false">SUMIF($C$9:$C$284,$T30,G$9:G$284)/12</f>
        <v>22.1903</v>
      </c>
      <c r="W30" s="285" t="n">
        <f aca="false">80/168*U30+88/168*V30</f>
        <v>30.5812444444444</v>
      </c>
      <c r="X30" s="285" t="n">
        <f aca="false">W30/1000</f>
        <v>0.0305812444444444</v>
      </c>
    </row>
    <row r="31" customFormat="false" ht="12.75" hidden="false" customHeight="false" outlineLevel="0" collapsed="false">
      <c r="C31" s="282" t="n">
        <v>1999</v>
      </c>
      <c r="D31" s="282" t="n">
        <v>11</v>
      </c>
      <c r="E31" s="283" t="n">
        <v>36465</v>
      </c>
      <c r="F31" s="284" t="n">
        <v>0</v>
      </c>
      <c r="G31" s="284" t="n">
        <v>0</v>
      </c>
      <c r="H31" s="284" t="n">
        <v>0</v>
      </c>
      <c r="I31" s="284" t="n">
        <v>0</v>
      </c>
      <c r="J31" s="284" t="n">
        <f aca="false">SUM(H31:I31)</f>
        <v>0</v>
      </c>
      <c r="K31" s="0" t="e">
        <f aca="false">F31/$J31*1000</f>
        <v>#DIV/0!</v>
      </c>
      <c r="L31" s="0" t="e">
        <f aca="false">G31/$J31*1000</f>
        <v>#DIV/0!</v>
      </c>
      <c r="N31" s="285" t="n">
        <f aca="false">F31*(1+$D$4)^($C31-$D$3)</f>
        <v>0</v>
      </c>
      <c r="O31" s="285" t="n">
        <f aca="false">G31*(1+$D$4)^($C31-$D$3)</f>
        <v>0</v>
      </c>
      <c r="P31" s="285" t="n">
        <f aca="false">H31*(1+$D$4)^($C31-$D$3)</f>
        <v>0</v>
      </c>
      <c r="Q31" s="285" t="n">
        <f aca="false">I31*(1+$D$4)^($C31-$D$3)</f>
        <v>0</v>
      </c>
      <c r="R31" s="285" t="n">
        <f aca="false">SUM(P31:Q31)</f>
        <v>0</v>
      </c>
      <c r="X31" s="285"/>
    </row>
    <row r="32" customFormat="false" ht="12.75" hidden="false" customHeight="false" outlineLevel="0" collapsed="false">
      <c r="C32" s="282" t="n">
        <v>1999</v>
      </c>
      <c r="D32" s="282" t="n">
        <v>12</v>
      </c>
      <c r="E32" s="283" t="n">
        <v>36495</v>
      </c>
      <c r="F32" s="284" t="n">
        <v>0</v>
      </c>
      <c r="G32" s="284" t="n">
        <v>0</v>
      </c>
      <c r="H32" s="284" t="n">
        <v>0</v>
      </c>
      <c r="I32" s="284" t="n">
        <v>0</v>
      </c>
      <c r="J32" s="284" t="n">
        <f aca="false">SUM(H32:I32)</f>
        <v>0</v>
      </c>
      <c r="K32" s="0" t="e">
        <f aca="false">F32/$J32*1000</f>
        <v>#DIV/0!</v>
      </c>
      <c r="L32" s="0" t="e">
        <f aca="false">G32/$J32*1000</f>
        <v>#DIV/0!</v>
      </c>
      <c r="N32" s="285" t="n">
        <f aca="false">F32*(1+$D$4)^($C32-$D$3)</f>
        <v>0</v>
      </c>
      <c r="O32" s="285" t="n">
        <f aca="false">G32*(1+$D$4)^($C32-$D$3)</f>
        <v>0</v>
      </c>
      <c r="P32" s="285" t="n">
        <f aca="false">H32*(1+$D$4)^($C32-$D$3)</f>
        <v>0</v>
      </c>
      <c r="Q32" s="285" t="n">
        <f aca="false">I32*(1+$D$4)^($C32-$D$3)</f>
        <v>0</v>
      </c>
      <c r="R32" s="285" t="n">
        <f aca="false">SUM(P32:Q32)</f>
        <v>0</v>
      </c>
    </row>
    <row r="33" customFormat="false" ht="12.75" hidden="false" customHeight="false" outlineLevel="0" collapsed="false">
      <c r="C33" s="282" t="n">
        <v>2000</v>
      </c>
      <c r="D33" s="282" t="n">
        <v>1</v>
      </c>
      <c r="E33" s="283" t="n">
        <v>36526</v>
      </c>
      <c r="F33" s="284" t="n">
        <v>33.1669</v>
      </c>
      <c r="G33" s="284" t="n">
        <v>22.5583</v>
      </c>
      <c r="H33" s="284" t="n">
        <v>2.46235633941408</v>
      </c>
      <c r="I33" s="284" t="n">
        <v>0</v>
      </c>
      <c r="J33" s="284" t="n">
        <f aca="false">SUM(H33:I33)</f>
        <v>2.46235633941408</v>
      </c>
      <c r="K33" s="0" t="n">
        <f aca="false">F33/$J33*1000</f>
        <v>13469.5776842324</v>
      </c>
      <c r="L33" s="0" t="n">
        <f aca="false">G33/$J33*1000</f>
        <v>9161.26542650109</v>
      </c>
      <c r="N33" s="285" t="n">
        <f aca="false">F33*(1+$D$4)^($C33-$D$3)</f>
        <v>33.1669</v>
      </c>
      <c r="O33" s="285" t="n">
        <f aca="false">G33*(1+$D$4)^($C33-$D$3)</f>
        <v>22.5583</v>
      </c>
      <c r="P33" s="285" t="n">
        <f aca="false">H33*(1+$D$4)^($C33-$D$3)</f>
        <v>2.46235633941408</v>
      </c>
      <c r="Q33" s="285" t="n">
        <f aca="false">I33*(1+$D$4)^($C33-$D$3)</f>
        <v>0</v>
      </c>
      <c r="R33" s="285" t="n">
        <f aca="false">SUM(P33:Q33)</f>
        <v>2.46235633941408</v>
      </c>
    </row>
    <row r="34" customFormat="false" ht="12.75" hidden="false" customHeight="false" outlineLevel="0" collapsed="false">
      <c r="C34" s="282" t="n">
        <v>2000</v>
      </c>
      <c r="D34" s="282" t="n">
        <v>2</v>
      </c>
      <c r="E34" s="283" t="n">
        <v>36557</v>
      </c>
      <c r="F34" s="284" t="n">
        <v>28.4697</v>
      </c>
      <c r="G34" s="284" t="n">
        <v>18.4439</v>
      </c>
      <c r="H34" s="284" t="n">
        <v>2.27045555092885</v>
      </c>
      <c r="I34" s="284" t="n">
        <v>0</v>
      </c>
      <c r="J34" s="284" t="n">
        <f aca="false">SUM(H34:I34)</f>
        <v>2.27045555092885</v>
      </c>
      <c r="K34" s="0" t="n">
        <f aca="false">F34/$J34*1000</f>
        <v>12539.2016542024</v>
      </c>
      <c r="L34" s="0" t="n">
        <f aca="false">G34/$J34*1000</f>
        <v>8123.43584196334</v>
      </c>
      <c r="N34" s="285" t="n">
        <f aca="false">F34*(1+$D$4)^($C34-$D$3)</f>
        <v>28.4697</v>
      </c>
      <c r="O34" s="285" t="n">
        <f aca="false">G34*(1+$D$4)^($C34-$D$3)</f>
        <v>18.4439</v>
      </c>
      <c r="P34" s="285" t="n">
        <f aca="false">H34*(1+$D$4)^($C34-$D$3)</f>
        <v>2.27045555092885</v>
      </c>
      <c r="Q34" s="285" t="n">
        <f aca="false">I34*(1+$D$4)^($C34-$D$3)</f>
        <v>0</v>
      </c>
      <c r="R34" s="285" t="n">
        <f aca="false">SUM(P34:Q34)</f>
        <v>2.27045555092885</v>
      </c>
    </row>
    <row r="35" customFormat="false" ht="12.75" hidden="false" customHeight="false" outlineLevel="0" collapsed="false">
      <c r="C35" s="282" t="n">
        <v>2000</v>
      </c>
      <c r="D35" s="282" t="n">
        <v>3</v>
      </c>
      <c r="E35" s="283" t="n">
        <v>36586</v>
      </c>
      <c r="F35" s="284" t="n">
        <v>28.5407</v>
      </c>
      <c r="G35" s="284" t="n">
        <v>19.8276</v>
      </c>
      <c r="H35" s="284" t="n">
        <v>2.14531048281664</v>
      </c>
      <c r="I35" s="284" t="n">
        <v>0</v>
      </c>
      <c r="J35" s="284" t="n">
        <f aca="false">SUM(H35:I35)</f>
        <v>2.14531048281664</v>
      </c>
      <c r="K35" s="0" t="n">
        <f aca="false">F35/$J35*1000</f>
        <v>13303.7619629435</v>
      </c>
      <c r="L35" s="0" t="n">
        <f aca="false">G35/$J35*1000</f>
        <v>9242.29856648433</v>
      </c>
      <c r="N35" s="285" t="n">
        <f aca="false">F35*(1+$D$4)^($C35-$D$3)</f>
        <v>28.5407</v>
      </c>
      <c r="O35" s="285" t="n">
        <f aca="false">G35*(1+$D$4)^($C35-$D$3)</f>
        <v>19.8276</v>
      </c>
      <c r="P35" s="285" t="n">
        <f aca="false">H35*(1+$D$4)^($C35-$D$3)</f>
        <v>2.14531048281664</v>
      </c>
      <c r="Q35" s="285" t="n">
        <f aca="false">I35*(1+$D$4)^($C35-$D$3)</f>
        <v>0</v>
      </c>
      <c r="R35" s="285" t="n">
        <f aca="false">SUM(P35:Q35)</f>
        <v>2.14531048281664</v>
      </c>
    </row>
    <row r="36" customFormat="false" ht="12.75" hidden="false" customHeight="false" outlineLevel="0" collapsed="false">
      <c r="C36" s="282" t="n">
        <v>2000</v>
      </c>
      <c r="D36" s="282" t="n">
        <v>4</v>
      </c>
      <c r="E36" s="283" t="n">
        <v>36617</v>
      </c>
      <c r="F36" s="284" t="n">
        <v>27.1028</v>
      </c>
      <c r="G36" s="284" t="n">
        <v>17.1578</v>
      </c>
      <c r="H36" s="284" t="n">
        <v>2.07745508941245</v>
      </c>
      <c r="I36" s="284" t="n">
        <v>0</v>
      </c>
      <c r="J36" s="284" t="n">
        <f aca="false">SUM(H36:I36)</f>
        <v>2.07745508941245</v>
      </c>
      <c r="K36" s="0" t="n">
        <f aca="false">F36/$J36*1000</f>
        <v>13046.1544695367</v>
      </c>
      <c r="L36" s="0" t="n">
        <f aca="false">G36/$J36*1000</f>
        <v>8259.04737360776</v>
      </c>
      <c r="N36" s="285" t="n">
        <f aca="false">F36*(1+$D$4)^($C36-$D$3)</f>
        <v>27.1028</v>
      </c>
      <c r="O36" s="285" t="n">
        <f aca="false">G36*(1+$D$4)^($C36-$D$3)</f>
        <v>17.1578</v>
      </c>
      <c r="P36" s="285" t="n">
        <f aca="false">H36*(1+$D$4)^($C36-$D$3)</f>
        <v>2.07745508941245</v>
      </c>
      <c r="Q36" s="285" t="n">
        <f aca="false">I36*(1+$D$4)^($C36-$D$3)</f>
        <v>0</v>
      </c>
      <c r="R36" s="285" t="n">
        <f aca="false">SUM(P36:Q36)</f>
        <v>2.07745508941245</v>
      </c>
    </row>
    <row r="37" customFormat="false" ht="12.75" hidden="false" customHeight="false" outlineLevel="0" collapsed="false">
      <c r="C37" s="282" t="n">
        <v>2000</v>
      </c>
      <c r="D37" s="282" t="n">
        <v>5</v>
      </c>
      <c r="E37" s="283" t="n">
        <v>36647</v>
      </c>
      <c r="F37" s="284" t="n">
        <v>27.1016</v>
      </c>
      <c r="G37" s="284" t="n">
        <v>13.2645</v>
      </c>
      <c r="H37" s="284" t="n">
        <v>2.05843679575938</v>
      </c>
      <c r="I37" s="284" t="n">
        <v>0</v>
      </c>
      <c r="J37" s="284" t="n">
        <f aca="false">SUM(H37:I37)</f>
        <v>2.05843679575938</v>
      </c>
      <c r="K37" s="0" t="n">
        <f aca="false">F37/$J37*1000</f>
        <v>13166.1074344534</v>
      </c>
      <c r="L37" s="0" t="n">
        <f aca="false">G37/$J37*1000</f>
        <v>6443.96759100227</v>
      </c>
      <c r="N37" s="285" t="n">
        <f aca="false">F37*(1+$D$4)^($C37-$D$3)</f>
        <v>27.1016</v>
      </c>
      <c r="O37" s="285" t="n">
        <f aca="false">G37*(1+$D$4)^($C37-$D$3)</f>
        <v>13.2645</v>
      </c>
      <c r="P37" s="285" t="n">
        <f aca="false">H37*(1+$D$4)^($C37-$D$3)</f>
        <v>2.05843679575938</v>
      </c>
      <c r="Q37" s="285" t="n">
        <f aca="false">I37*(1+$D$4)^($C37-$D$3)</f>
        <v>0</v>
      </c>
      <c r="R37" s="285" t="n">
        <f aca="false">SUM(P37:Q37)</f>
        <v>2.05843679575938</v>
      </c>
    </row>
    <row r="38" customFormat="false" ht="12.75" hidden="false" customHeight="false" outlineLevel="0" collapsed="false">
      <c r="C38" s="282" t="n">
        <v>2000</v>
      </c>
      <c r="D38" s="282" t="n">
        <v>6</v>
      </c>
      <c r="E38" s="283" t="n">
        <v>36678</v>
      </c>
      <c r="F38" s="284" t="n">
        <v>24.2989</v>
      </c>
      <c r="G38" s="284" t="n">
        <v>10.6487</v>
      </c>
      <c r="H38" s="284" t="n">
        <v>2.07980302690049</v>
      </c>
      <c r="I38" s="284" t="n">
        <v>0</v>
      </c>
      <c r="J38" s="284" t="n">
        <f aca="false">SUM(H38:I38)</f>
        <v>2.07980302690049</v>
      </c>
      <c r="K38" s="0" t="n">
        <f aca="false">F38/$J38*1000</f>
        <v>11683.2698509014</v>
      </c>
      <c r="L38" s="0" t="n">
        <f aca="false">G38/$J38*1000</f>
        <v>5120.05216949302</v>
      </c>
      <c r="N38" s="285" t="n">
        <f aca="false">F38*(1+$D$4)^($C38-$D$3)</f>
        <v>24.2989</v>
      </c>
      <c r="O38" s="285" t="n">
        <f aca="false">G38*(1+$D$4)^($C38-$D$3)</f>
        <v>10.6487</v>
      </c>
      <c r="P38" s="285" t="n">
        <f aca="false">H38*(1+$D$4)^($C38-$D$3)</f>
        <v>2.07980302690049</v>
      </c>
      <c r="Q38" s="285" t="n">
        <f aca="false">I38*(1+$D$4)^($C38-$D$3)</f>
        <v>0</v>
      </c>
      <c r="R38" s="285" t="n">
        <f aca="false">SUM(P38:Q38)</f>
        <v>2.07980302690049</v>
      </c>
    </row>
    <row r="39" customFormat="false" ht="12.75" hidden="false" customHeight="false" outlineLevel="0" collapsed="false">
      <c r="C39" s="282" t="n">
        <v>2000</v>
      </c>
      <c r="D39" s="282" t="n">
        <v>7</v>
      </c>
      <c r="E39" s="283" t="n">
        <v>36708</v>
      </c>
      <c r="F39" s="284" t="n">
        <v>30.5545</v>
      </c>
      <c r="G39" s="284" t="n">
        <v>15.1751</v>
      </c>
      <c r="H39" s="284" t="n">
        <v>2.13310120787886</v>
      </c>
      <c r="I39" s="284" t="n">
        <v>0</v>
      </c>
      <c r="J39" s="284" t="n">
        <f aca="false">SUM(H39:I39)</f>
        <v>2.13310120787886</v>
      </c>
      <c r="K39" s="0" t="n">
        <f aca="false">F39/$J39*1000</f>
        <v>14323.9804502212</v>
      </c>
      <c r="L39" s="0" t="n">
        <f aca="false">G39/$J39*1000</f>
        <v>7114.10220197194</v>
      </c>
      <c r="N39" s="285" t="n">
        <f aca="false">F39*(1+$D$4)^($C39-$D$3)</f>
        <v>30.5545</v>
      </c>
      <c r="O39" s="285" t="n">
        <f aca="false">G39*(1+$D$4)^($C39-$D$3)</f>
        <v>15.1751</v>
      </c>
      <c r="P39" s="285" t="n">
        <f aca="false">H39*(1+$D$4)^($C39-$D$3)</f>
        <v>2.13310120787886</v>
      </c>
      <c r="Q39" s="285" t="n">
        <f aca="false">I39*(1+$D$4)^($C39-$D$3)</f>
        <v>0</v>
      </c>
      <c r="R39" s="285" t="n">
        <f aca="false">SUM(P39:Q39)</f>
        <v>2.13310120787886</v>
      </c>
    </row>
    <row r="40" customFormat="false" ht="12.75" hidden="false" customHeight="false" outlineLevel="0" collapsed="false">
      <c r="C40" s="282" t="n">
        <v>2000</v>
      </c>
      <c r="D40" s="282" t="n">
        <v>8</v>
      </c>
      <c r="E40" s="283" t="n">
        <v>36739</v>
      </c>
      <c r="F40" s="284" t="n">
        <v>42.0786</v>
      </c>
      <c r="G40" s="284" t="n">
        <v>21.7132</v>
      </c>
      <c r="H40" s="284" t="n">
        <v>2.20987876373757</v>
      </c>
      <c r="I40" s="284" t="n">
        <v>0</v>
      </c>
      <c r="J40" s="284" t="n">
        <f aca="false">SUM(H40:I40)</f>
        <v>2.20987876373757</v>
      </c>
      <c r="K40" s="0" t="n">
        <f aca="false">F40/$J40*1000</f>
        <v>19041.1350570347</v>
      </c>
      <c r="L40" s="0" t="n">
        <f aca="false">G40/$J40*1000</f>
        <v>9825.51638410989</v>
      </c>
      <c r="N40" s="285" t="n">
        <f aca="false">F40*(1+$D$4)^($C40-$D$3)</f>
        <v>42.0786</v>
      </c>
      <c r="O40" s="285" t="n">
        <f aca="false">G40*(1+$D$4)^($C40-$D$3)</f>
        <v>21.7132</v>
      </c>
      <c r="P40" s="285" t="n">
        <f aca="false">H40*(1+$D$4)^($C40-$D$3)</f>
        <v>2.20987876373757</v>
      </c>
      <c r="Q40" s="285" t="n">
        <f aca="false">I40*(1+$D$4)^($C40-$D$3)</f>
        <v>0</v>
      </c>
      <c r="R40" s="285" t="n">
        <f aca="false">SUM(P40:Q40)</f>
        <v>2.20987876373757</v>
      </c>
    </row>
    <row r="41" customFormat="false" ht="12.75" hidden="false" customHeight="false" outlineLevel="0" collapsed="false">
      <c r="C41" s="282" t="n">
        <v>2000</v>
      </c>
      <c r="D41" s="282" t="n">
        <v>9</v>
      </c>
      <c r="E41" s="283" t="n">
        <v>36770</v>
      </c>
      <c r="F41" s="284" t="n">
        <v>37.8284</v>
      </c>
      <c r="G41" s="284" t="n">
        <v>21.464</v>
      </c>
      <c r="H41" s="284" t="n">
        <v>2.3016831195197</v>
      </c>
      <c r="I41" s="284" t="n">
        <v>0</v>
      </c>
      <c r="J41" s="284" t="n">
        <f aca="false">SUM(H41:I41)</f>
        <v>2.3016831195197</v>
      </c>
      <c r="K41" s="0" t="n">
        <f aca="false">F41/$J41*1000</f>
        <v>16435.1033724807</v>
      </c>
      <c r="L41" s="0" t="n">
        <f aca="false">G41/$J41*1000</f>
        <v>9325.34970516662</v>
      </c>
      <c r="N41" s="285" t="n">
        <f aca="false">F41*(1+$D$4)^($C41-$D$3)</f>
        <v>37.8284</v>
      </c>
      <c r="O41" s="285" t="n">
        <f aca="false">G41*(1+$D$4)^($C41-$D$3)</f>
        <v>21.464</v>
      </c>
      <c r="P41" s="285" t="n">
        <f aca="false">H41*(1+$D$4)^($C41-$D$3)</f>
        <v>2.3016831195197</v>
      </c>
      <c r="Q41" s="285" t="n">
        <f aca="false">I41*(1+$D$4)^($C41-$D$3)</f>
        <v>0</v>
      </c>
      <c r="R41" s="285" t="n">
        <f aca="false">SUM(P41:Q41)</f>
        <v>2.3016831195197</v>
      </c>
    </row>
    <row r="42" customFormat="false" ht="12.75" hidden="false" customHeight="false" outlineLevel="0" collapsed="false">
      <c r="C42" s="282" t="n">
        <v>2000</v>
      </c>
      <c r="D42" s="282" t="n">
        <v>10</v>
      </c>
      <c r="E42" s="283" t="n">
        <v>36800</v>
      </c>
      <c r="F42" s="284" t="n">
        <v>32.0866</v>
      </c>
      <c r="G42" s="284" t="n">
        <v>21.3925</v>
      </c>
      <c r="H42" s="284" t="n">
        <v>2.40006170026832</v>
      </c>
      <c r="I42" s="284" t="n">
        <v>0</v>
      </c>
      <c r="J42" s="284" t="n">
        <f aca="false">SUM(H42:I42)</f>
        <v>2.40006170026832</v>
      </c>
      <c r="K42" s="0" t="n">
        <f aca="false">F42/$J42*1000</f>
        <v>13369.0729685878</v>
      </c>
      <c r="L42" s="0" t="n">
        <f aca="false">G42/$J42*1000</f>
        <v>8913.3125192608</v>
      </c>
      <c r="N42" s="285" t="n">
        <f aca="false">F42*(1+$D$4)^($C42-$D$3)</f>
        <v>32.0866</v>
      </c>
      <c r="O42" s="285" t="n">
        <f aca="false">G42*(1+$D$4)^($C42-$D$3)</f>
        <v>21.3925</v>
      </c>
      <c r="P42" s="285" t="n">
        <f aca="false">H42*(1+$D$4)^($C42-$D$3)</f>
        <v>2.40006170026832</v>
      </c>
      <c r="Q42" s="285" t="n">
        <f aca="false">I42*(1+$D$4)^($C42-$D$3)</f>
        <v>0</v>
      </c>
      <c r="R42" s="285" t="n">
        <f aca="false">SUM(P42:Q42)</f>
        <v>2.40006170026832</v>
      </c>
    </row>
    <row r="43" customFormat="false" ht="12.75" hidden="false" customHeight="false" outlineLevel="0" collapsed="false">
      <c r="C43" s="282" t="n">
        <v>2000</v>
      </c>
      <c r="D43" s="282" t="n">
        <v>11</v>
      </c>
      <c r="E43" s="283" t="n">
        <v>36831</v>
      </c>
      <c r="F43" s="284" t="n">
        <v>33.6002</v>
      </c>
      <c r="G43" s="284" t="n">
        <v>24.5106</v>
      </c>
      <c r="H43" s="284" t="n">
        <v>2.49656193102652</v>
      </c>
      <c r="I43" s="284" t="n">
        <v>0</v>
      </c>
      <c r="J43" s="284" t="n">
        <f aca="false">SUM(H43:I43)</f>
        <v>2.49656193102652</v>
      </c>
      <c r="K43" s="0" t="n">
        <f aca="false">F43/$J43*1000</f>
        <v>13458.5886223878</v>
      </c>
      <c r="L43" s="0" t="n">
        <f aca="false">G43/$J43*1000</f>
        <v>9817.74162915395</v>
      </c>
      <c r="N43" s="285" t="n">
        <f aca="false">F43*(1+$D$4)^($C43-$D$3)</f>
        <v>33.6002</v>
      </c>
      <c r="O43" s="285" t="n">
        <f aca="false">G43*(1+$D$4)^($C43-$D$3)</f>
        <v>24.5106</v>
      </c>
      <c r="P43" s="285" t="n">
        <f aca="false">H43*(1+$D$4)^($C43-$D$3)</f>
        <v>2.49656193102652</v>
      </c>
      <c r="Q43" s="285" t="n">
        <f aca="false">I43*(1+$D$4)^($C43-$D$3)</f>
        <v>0</v>
      </c>
      <c r="R43" s="285" t="n">
        <f aca="false">SUM(P43:Q43)</f>
        <v>2.49656193102652</v>
      </c>
    </row>
    <row r="44" customFormat="false" ht="12.75" hidden="false" customHeight="false" outlineLevel="0" collapsed="false">
      <c r="C44" s="282" t="n">
        <v>2000</v>
      </c>
      <c r="D44" s="282" t="n">
        <v>12</v>
      </c>
      <c r="E44" s="283" t="n">
        <v>36861</v>
      </c>
      <c r="F44" s="284" t="n">
        <v>33.7331</v>
      </c>
      <c r="G44" s="284" t="n">
        <v>23.7532</v>
      </c>
      <c r="H44" s="284" t="n">
        <v>2.59852351025726</v>
      </c>
      <c r="I44" s="284" t="n">
        <v>0</v>
      </c>
      <c r="J44" s="284" t="n">
        <f aca="false">SUM(H44:I44)</f>
        <v>2.59852351025726</v>
      </c>
      <c r="K44" s="0" t="n">
        <f aca="false">F44/$J44*1000</f>
        <v>12981.6412539059</v>
      </c>
      <c r="L44" s="0" t="n">
        <f aca="false">G44/$J44*1000</f>
        <v>9141.03717216259</v>
      </c>
      <c r="N44" s="285" t="n">
        <f aca="false">F44*(1+$D$4)^($C44-$D$3)</f>
        <v>33.7331</v>
      </c>
      <c r="O44" s="285" t="n">
        <f aca="false">G44*(1+$D$4)^($C44-$D$3)</f>
        <v>23.7532</v>
      </c>
      <c r="P44" s="285" t="n">
        <f aca="false">H44*(1+$D$4)^($C44-$D$3)</f>
        <v>2.59852351025726</v>
      </c>
      <c r="Q44" s="285" t="n">
        <f aca="false">I44*(1+$D$4)^($C44-$D$3)</f>
        <v>0</v>
      </c>
      <c r="R44" s="285" t="n">
        <f aca="false">SUM(P44:Q44)</f>
        <v>2.59852351025726</v>
      </c>
    </row>
    <row r="45" customFormat="false" ht="12.75" hidden="false" customHeight="false" outlineLevel="0" collapsed="false">
      <c r="C45" s="282" t="n">
        <v>2001</v>
      </c>
      <c r="D45" s="282" t="n">
        <v>1</v>
      </c>
      <c r="E45" s="283" t="n">
        <v>36892</v>
      </c>
      <c r="F45" s="284" t="n">
        <v>33.4742</v>
      </c>
      <c r="G45" s="284" t="n">
        <v>25.3212</v>
      </c>
      <c r="H45" s="284" t="n">
        <v>2.4648988511155</v>
      </c>
      <c r="I45" s="284" t="n">
        <v>0</v>
      </c>
      <c r="J45" s="284" t="n">
        <f aca="false">SUM(H45:I45)</f>
        <v>2.4648988511155</v>
      </c>
      <c r="K45" s="0" t="n">
        <f aca="false">F45/$J45*1000</f>
        <v>13580.354416917</v>
      </c>
      <c r="L45" s="0" t="n">
        <f aca="false">G45/$J45*1000</f>
        <v>10272.7136200907</v>
      </c>
      <c r="N45" s="285" t="n">
        <f aca="false">F45*(1+$D$4)^($C45-$D$3)</f>
        <v>34.143684</v>
      </c>
      <c r="O45" s="285" t="n">
        <f aca="false">G45*(1+$D$4)^($C45-$D$3)</f>
        <v>25.827624</v>
      </c>
      <c r="P45" s="285" t="n">
        <f aca="false">H45*(1+$D$4)^($C45-$D$3)</f>
        <v>2.51419682813781</v>
      </c>
      <c r="Q45" s="285" t="n">
        <f aca="false">I45*(1+$D$4)^($C45-$D$3)</f>
        <v>0</v>
      </c>
      <c r="R45" s="285" t="n">
        <f aca="false">SUM(P45:Q45)</f>
        <v>2.51419682813781</v>
      </c>
    </row>
    <row r="46" customFormat="false" ht="12.75" hidden="false" customHeight="false" outlineLevel="0" collapsed="false">
      <c r="C46" s="282" t="n">
        <v>2001</v>
      </c>
      <c r="D46" s="282" t="n">
        <v>2</v>
      </c>
      <c r="E46" s="283" t="n">
        <v>36923</v>
      </c>
      <c r="F46" s="284" t="n">
        <v>30.1875</v>
      </c>
      <c r="G46" s="284" t="n">
        <v>22.0769</v>
      </c>
      <c r="H46" s="284" t="n">
        <v>2.27279991502976</v>
      </c>
      <c r="I46" s="284" t="n">
        <v>0</v>
      </c>
      <c r="J46" s="284" t="n">
        <f aca="false">SUM(H46:I46)</f>
        <v>2.27279991502976</v>
      </c>
      <c r="K46" s="0" t="n">
        <f aca="false">F46/$J46*1000</f>
        <v>13282.0754701607</v>
      </c>
      <c r="L46" s="0" t="n">
        <f aca="false">G46/$J46*1000</f>
        <v>9713.52553034169</v>
      </c>
      <c r="N46" s="285" t="n">
        <f aca="false">F46*(1+$D$4)^($C46-$D$3)</f>
        <v>30.79125</v>
      </c>
      <c r="O46" s="285" t="n">
        <f aca="false">G46*(1+$D$4)^($C46-$D$3)</f>
        <v>22.518438</v>
      </c>
      <c r="P46" s="285" t="n">
        <f aca="false">H46*(1+$D$4)^($C46-$D$3)</f>
        <v>2.31825591333036</v>
      </c>
      <c r="Q46" s="285" t="n">
        <f aca="false">I46*(1+$D$4)^($C46-$D$3)</f>
        <v>0</v>
      </c>
      <c r="R46" s="285" t="n">
        <f aca="false">SUM(P46:Q46)</f>
        <v>2.31825591333036</v>
      </c>
    </row>
    <row r="47" customFormat="false" ht="12.75" hidden="false" customHeight="false" outlineLevel="0" collapsed="false">
      <c r="C47" s="282" t="n">
        <v>2001</v>
      </c>
      <c r="D47" s="282" t="n">
        <v>3</v>
      </c>
      <c r="E47" s="283" t="n">
        <v>36951</v>
      </c>
      <c r="F47" s="284" t="n">
        <v>28.6233</v>
      </c>
      <c r="G47" s="284" t="n">
        <v>19.7034</v>
      </c>
      <c r="H47" s="284" t="n">
        <v>2.14752562808965</v>
      </c>
      <c r="I47" s="284" t="n">
        <v>0</v>
      </c>
      <c r="J47" s="284" t="n">
        <f aca="false">SUM(H47:I47)</f>
        <v>2.14752562808965</v>
      </c>
      <c r="K47" s="0" t="n">
        <f aca="false">F47/$J47*1000</f>
        <v>13328.5021727364</v>
      </c>
      <c r="L47" s="0" t="n">
        <f aca="false">G47/$J47*1000</f>
        <v>9174.93125217198</v>
      </c>
      <c r="N47" s="285" t="n">
        <f aca="false">F47*(1+$D$4)^($C47-$D$3)</f>
        <v>29.195766</v>
      </c>
      <c r="O47" s="285" t="n">
        <f aca="false">G47*(1+$D$4)^($C47-$D$3)</f>
        <v>20.097468</v>
      </c>
      <c r="P47" s="285" t="n">
        <f aca="false">H47*(1+$D$4)^($C47-$D$3)</f>
        <v>2.19047614065144</v>
      </c>
      <c r="Q47" s="285" t="n">
        <f aca="false">I47*(1+$D$4)^($C47-$D$3)</f>
        <v>0</v>
      </c>
      <c r="R47" s="285" t="n">
        <f aca="false">SUM(P47:Q47)</f>
        <v>2.19047614065144</v>
      </c>
    </row>
    <row r="48" customFormat="false" ht="12.75" hidden="false" customHeight="false" outlineLevel="0" collapsed="false">
      <c r="C48" s="282" t="n">
        <v>2001</v>
      </c>
      <c r="D48" s="282" t="n">
        <v>4</v>
      </c>
      <c r="E48" s="283" t="n">
        <v>36982</v>
      </c>
      <c r="F48" s="284" t="n">
        <v>26.9229</v>
      </c>
      <c r="G48" s="284" t="n">
        <v>17.3739</v>
      </c>
      <c r="H48" s="284" t="n">
        <v>2.07960017044295</v>
      </c>
      <c r="I48" s="284" t="n">
        <v>0</v>
      </c>
      <c r="J48" s="284" t="n">
        <f aca="false">SUM(H48:I48)</f>
        <v>2.07960017044295</v>
      </c>
      <c r="K48" s="0" t="n">
        <f aca="false">F48/$J48*1000</f>
        <v>12946.1905142398</v>
      </c>
      <c r="L48" s="0" t="n">
        <f aca="false">G48/$J48*1000</f>
        <v>8354.44247742075</v>
      </c>
      <c r="N48" s="285" t="n">
        <f aca="false">F48*(1+$D$4)^($C48-$D$3)</f>
        <v>27.461358</v>
      </c>
      <c r="O48" s="285" t="n">
        <f aca="false">G48*(1+$D$4)^($C48-$D$3)</f>
        <v>17.721378</v>
      </c>
      <c r="P48" s="285" t="n">
        <f aca="false">H48*(1+$D$4)^($C48-$D$3)</f>
        <v>2.12119217385181</v>
      </c>
      <c r="Q48" s="285" t="n">
        <f aca="false">I48*(1+$D$4)^($C48-$D$3)</f>
        <v>0</v>
      </c>
      <c r="R48" s="285" t="n">
        <f aca="false">SUM(P48:Q48)</f>
        <v>2.12119217385181</v>
      </c>
    </row>
    <row r="49" customFormat="false" ht="12.75" hidden="false" customHeight="false" outlineLevel="0" collapsed="false">
      <c r="C49" s="282" t="n">
        <v>2001</v>
      </c>
      <c r="D49" s="282" t="n">
        <v>5</v>
      </c>
      <c r="E49" s="283" t="n">
        <v>37012</v>
      </c>
      <c r="F49" s="284" t="n">
        <v>26.6547</v>
      </c>
      <c r="G49" s="284" t="n">
        <v>13.4412</v>
      </c>
      <c r="H49" s="284" t="n">
        <v>2.06056223940702</v>
      </c>
      <c r="I49" s="284" t="n">
        <v>0</v>
      </c>
      <c r="J49" s="284" t="n">
        <f aca="false">SUM(H49:I49)</f>
        <v>2.06056223940702</v>
      </c>
      <c r="K49" s="0" t="n">
        <f aca="false">F49/$J49*1000</f>
        <v>12935.6442092574</v>
      </c>
      <c r="L49" s="0" t="n">
        <f aca="false">G49/$J49*1000</f>
        <v>6523.07401491936</v>
      </c>
      <c r="N49" s="285" t="n">
        <f aca="false">F49*(1+$D$4)^($C49-$D$3)</f>
        <v>27.187794</v>
      </c>
      <c r="O49" s="285" t="n">
        <f aca="false">G49*(1+$D$4)^($C49-$D$3)</f>
        <v>13.710024</v>
      </c>
      <c r="P49" s="285" t="n">
        <f aca="false">H49*(1+$D$4)^($C49-$D$3)</f>
        <v>2.10177348419516</v>
      </c>
      <c r="Q49" s="285" t="n">
        <f aca="false">I49*(1+$D$4)^($C49-$D$3)</f>
        <v>0</v>
      </c>
      <c r="R49" s="285" t="n">
        <f aca="false">SUM(P49:Q49)</f>
        <v>2.10177348419516</v>
      </c>
    </row>
    <row r="50" customFormat="false" ht="12.75" hidden="false" customHeight="false" outlineLevel="0" collapsed="false">
      <c r="C50" s="282" t="n">
        <v>2001</v>
      </c>
      <c r="D50" s="282" t="n">
        <v>6</v>
      </c>
      <c r="E50" s="283" t="n">
        <v>37043</v>
      </c>
      <c r="F50" s="284" t="n">
        <v>23.6888</v>
      </c>
      <c r="G50" s="284" t="n">
        <v>11.2616</v>
      </c>
      <c r="H50" s="284" t="n">
        <v>2.08195053229924</v>
      </c>
      <c r="I50" s="284" t="n">
        <v>0</v>
      </c>
      <c r="J50" s="284" t="n">
        <f aca="false">SUM(H50:I50)</f>
        <v>2.08195053229924</v>
      </c>
      <c r="K50" s="0" t="n">
        <f aca="false">F50/$J50*1000</f>
        <v>11378.1762018327</v>
      </c>
      <c r="L50" s="0" t="n">
        <f aca="false">G50/$J50*1000</f>
        <v>5409.15829905097</v>
      </c>
      <c r="N50" s="285" t="n">
        <f aca="false">F50*(1+$D$4)^($C50-$D$3)</f>
        <v>24.162576</v>
      </c>
      <c r="O50" s="285" t="n">
        <f aca="false">G50*(1+$D$4)^($C50-$D$3)</f>
        <v>11.486832</v>
      </c>
      <c r="P50" s="285" t="n">
        <f aca="false">H50*(1+$D$4)^($C50-$D$3)</f>
        <v>2.12358954294522</v>
      </c>
      <c r="Q50" s="285" t="n">
        <f aca="false">I50*(1+$D$4)^($C50-$D$3)</f>
        <v>0</v>
      </c>
      <c r="R50" s="285" t="n">
        <f aca="false">SUM(P50:Q50)</f>
        <v>2.12358954294522</v>
      </c>
    </row>
    <row r="51" customFormat="false" ht="12.75" hidden="false" customHeight="false" outlineLevel="0" collapsed="false">
      <c r="C51" s="282" t="n">
        <v>2001</v>
      </c>
      <c r="D51" s="282" t="n">
        <v>7</v>
      </c>
      <c r="E51" s="283" t="n">
        <v>37073</v>
      </c>
      <c r="F51" s="284" t="n">
        <v>29.7711</v>
      </c>
      <c r="G51" s="284" t="n">
        <v>15.5981</v>
      </c>
      <c r="H51" s="284" t="n">
        <v>2.13530374643696</v>
      </c>
      <c r="I51" s="284" t="n">
        <v>0</v>
      </c>
      <c r="J51" s="284" t="n">
        <f aca="false">SUM(H51:I51)</f>
        <v>2.13530374643696</v>
      </c>
      <c r="K51" s="0" t="n">
        <f aca="false">F51/$J51*1000</f>
        <v>13942.3255589174</v>
      </c>
      <c r="L51" s="0" t="n">
        <f aca="false">G51/$J51*1000</f>
        <v>7304.86237661857</v>
      </c>
      <c r="N51" s="285" t="n">
        <f aca="false">F51*(1+$D$4)^($C51-$D$3)</f>
        <v>30.366522</v>
      </c>
      <c r="O51" s="285" t="n">
        <f aca="false">G51*(1+$D$4)^($C51-$D$3)</f>
        <v>15.910062</v>
      </c>
      <c r="P51" s="285" t="n">
        <f aca="false">H51*(1+$D$4)^($C51-$D$3)</f>
        <v>2.1780098213657</v>
      </c>
      <c r="Q51" s="285" t="n">
        <f aca="false">I51*(1+$D$4)^($C51-$D$3)</f>
        <v>0</v>
      </c>
      <c r="R51" s="285" t="n">
        <f aca="false">SUM(P51:Q51)</f>
        <v>2.1780098213657</v>
      </c>
    </row>
    <row r="52" customFormat="false" ht="12.75" hidden="false" customHeight="false" outlineLevel="0" collapsed="false">
      <c r="C52" s="282" t="n">
        <v>2001</v>
      </c>
      <c r="D52" s="282" t="n">
        <v>8</v>
      </c>
      <c r="E52" s="283" t="n">
        <v>37104</v>
      </c>
      <c r="F52" s="284" t="n">
        <v>35.0685</v>
      </c>
      <c r="G52" s="284" t="n">
        <v>21.1094</v>
      </c>
      <c r="H52" s="284" t="n">
        <v>2.21216057913755</v>
      </c>
      <c r="I52" s="284" t="n">
        <v>0</v>
      </c>
      <c r="J52" s="284" t="n">
        <f aca="false">SUM(H52:I52)</f>
        <v>2.21216057913755</v>
      </c>
      <c r="K52" s="0" t="n">
        <f aca="false">F52/$J52*1000</f>
        <v>15852.6014479799</v>
      </c>
      <c r="L52" s="0" t="n">
        <f aca="false">G52/$J52*1000</f>
        <v>9542.43566180439</v>
      </c>
      <c r="N52" s="285" t="n">
        <f aca="false">F52*(1+$D$4)^($C52-$D$3)</f>
        <v>35.76987</v>
      </c>
      <c r="O52" s="285" t="n">
        <f aca="false">G52*(1+$D$4)^($C52-$D$3)</f>
        <v>21.531588</v>
      </c>
      <c r="P52" s="285" t="n">
        <f aca="false">H52*(1+$D$4)^($C52-$D$3)</f>
        <v>2.2564037907203</v>
      </c>
      <c r="Q52" s="285" t="n">
        <f aca="false">I52*(1+$D$4)^($C52-$D$3)</f>
        <v>0</v>
      </c>
      <c r="R52" s="285" t="n">
        <f aca="false">SUM(P52:Q52)</f>
        <v>2.2564037907203</v>
      </c>
    </row>
    <row r="53" customFormat="false" ht="12.75" hidden="false" customHeight="false" outlineLevel="0" collapsed="false">
      <c r="C53" s="282" t="n">
        <v>2001</v>
      </c>
      <c r="D53" s="282" t="n">
        <v>9</v>
      </c>
      <c r="E53" s="283" t="n">
        <v>37135</v>
      </c>
      <c r="F53" s="284" t="n">
        <v>34.3772</v>
      </c>
      <c r="G53" s="284" t="n">
        <v>21.2039</v>
      </c>
      <c r="H53" s="284" t="n">
        <v>2.30405972771838</v>
      </c>
      <c r="I53" s="284" t="n">
        <v>0</v>
      </c>
      <c r="J53" s="284" t="n">
        <f aca="false">SUM(H53:I53)</f>
        <v>2.30405972771838</v>
      </c>
      <c r="K53" s="0" t="n">
        <f aca="false">F53/$J53*1000</f>
        <v>14920.2729366927</v>
      </c>
      <c r="L53" s="0" t="n">
        <f aca="false">G53/$J53*1000</f>
        <v>9202.84302742333</v>
      </c>
      <c r="N53" s="285" t="n">
        <f aca="false">F53*(1+$D$4)^($C53-$D$3)</f>
        <v>35.064744</v>
      </c>
      <c r="O53" s="285" t="n">
        <f aca="false">G53*(1+$D$4)^($C53-$D$3)</f>
        <v>21.627978</v>
      </c>
      <c r="P53" s="285" t="n">
        <f aca="false">H53*(1+$D$4)^($C53-$D$3)</f>
        <v>2.35014092227275</v>
      </c>
      <c r="Q53" s="285" t="n">
        <f aca="false">I53*(1+$D$4)^($C53-$D$3)</f>
        <v>0</v>
      </c>
      <c r="R53" s="285" t="n">
        <f aca="false">SUM(P53:Q53)</f>
        <v>2.35014092227275</v>
      </c>
    </row>
    <row r="54" customFormat="false" ht="12.75" hidden="false" customHeight="false" outlineLevel="0" collapsed="false">
      <c r="C54" s="282" t="n">
        <v>2001</v>
      </c>
      <c r="D54" s="282" t="n">
        <v>10</v>
      </c>
      <c r="E54" s="283" t="n">
        <v>37165</v>
      </c>
      <c r="F54" s="284" t="n">
        <v>31.2891</v>
      </c>
      <c r="G54" s="284" t="n">
        <v>21.4181</v>
      </c>
      <c r="H54" s="284" t="n">
        <v>2.40253988949682</v>
      </c>
      <c r="I54" s="284" t="n">
        <v>0</v>
      </c>
      <c r="J54" s="284" t="n">
        <f aca="false">SUM(H54:I54)</f>
        <v>2.40253988949682</v>
      </c>
      <c r="K54" s="0" t="n">
        <f aca="false">F54/$J54*1000</f>
        <v>13023.3425620888</v>
      </c>
      <c r="L54" s="0" t="n">
        <f aca="false">G54/$J54*1000</f>
        <v>8914.77394137492</v>
      </c>
      <c r="N54" s="285" t="n">
        <f aca="false">F54*(1+$D$4)^($C54-$D$3)</f>
        <v>31.914882</v>
      </c>
      <c r="O54" s="285" t="n">
        <f aca="false">G54*(1+$D$4)^($C54-$D$3)</f>
        <v>21.846462</v>
      </c>
      <c r="P54" s="285" t="n">
        <f aca="false">H54*(1+$D$4)^($C54-$D$3)</f>
        <v>2.45059068728675</v>
      </c>
      <c r="Q54" s="285" t="n">
        <f aca="false">I54*(1+$D$4)^($C54-$D$3)</f>
        <v>0</v>
      </c>
      <c r="R54" s="285" t="n">
        <f aca="false">SUM(P54:Q54)</f>
        <v>2.45059068728675</v>
      </c>
    </row>
    <row r="55" customFormat="false" ht="12.75" hidden="false" customHeight="false" outlineLevel="0" collapsed="false">
      <c r="C55" s="282" t="n">
        <v>2001</v>
      </c>
      <c r="D55" s="282" t="n">
        <v>11</v>
      </c>
      <c r="E55" s="283" t="n">
        <v>37196</v>
      </c>
      <c r="F55" s="284" t="n">
        <v>33.3127</v>
      </c>
      <c r="G55" s="284" t="n">
        <v>23.5532</v>
      </c>
      <c r="H55" s="284" t="n">
        <v>2.49913976179022</v>
      </c>
      <c r="I55" s="284" t="n">
        <v>0</v>
      </c>
      <c r="J55" s="284" t="n">
        <f aca="false">SUM(H55:I55)</f>
        <v>2.49913976179022</v>
      </c>
      <c r="K55" s="0" t="n">
        <f aca="false">F55/$J55*1000</f>
        <v>13329.6666754391</v>
      </c>
      <c r="L55" s="0" t="n">
        <f aca="false">G55/$J55*1000</f>
        <v>9424.52293389467</v>
      </c>
      <c r="N55" s="285" t="n">
        <f aca="false">F55*(1+$D$4)^($C55-$D$3)</f>
        <v>33.978954</v>
      </c>
      <c r="O55" s="285" t="n">
        <f aca="false">G55*(1+$D$4)^($C55-$D$3)</f>
        <v>24.024264</v>
      </c>
      <c r="P55" s="285" t="n">
        <f aca="false">H55*(1+$D$4)^($C55-$D$3)</f>
        <v>2.54912255702603</v>
      </c>
      <c r="Q55" s="285" t="n">
        <f aca="false">I55*(1+$D$4)^($C55-$D$3)</f>
        <v>0</v>
      </c>
      <c r="R55" s="285" t="n">
        <f aca="false">SUM(P55:Q55)</f>
        <v>2.54912255702603</v>
      </c>
    </row>
    <row r="56" customFormat="false" ht="12.75" hidden="false" customHeight="false" outlineLevel="0" collapsed="false">
      <c r="C56" s="282" t="n">
        <v>2001</v>
      </c>
      <c r="D56" s="282" t="n">
        <v>12</v>
      </c>
      <c r="E56" s="283" t="n">
        <v>37226</v>
      </c>
      <c r="F56" s="284" t="n">
        <v>33.4998</v>
      </c>
      <c r="G56" s="284" t="n">
        <v>23.9483</v>
      </c>
      <c r="H56" s="284" t="n">
        <v>2.6012066216841</v>
      </c>
      <c r="I56" s="284" t="n">
        <v>0</v>
      </c>
      <c r="J56" s="284" t="n">
        <f aca="false">SUM(H56:I56)</f>
        <v>2.6012066216841</v>
      </c>
      <c r="K56" s="0" t="n">
        <f aca="false">F56/$J56*1000</f>
        <v>12878.5617108384</v>
      </c>
      <c r="L56" s="0" t="n">
        <f aca="false">G56/$J56*1000</f>
        <v>9206.61196244963</v>
      </c>
      <c r="N56" s="285" t="n">
        <f aca="false">F56*(1+$D$4)^($C56-$D$3)</f>
        <v>34.169796</v>
      </c>
      <c r="O56" s="285" t="n">
        <f aca="false">G56*(1+$D$4)^($C56-$D$3)</f>
        <v>24.427266</v>
      </c>
      <c r="P56" s="285" t="n">
        <f aca="false">H56*(1+$D$4)^($C56-$D$3)</f>
        <v>2.65323075411778</v>
      </c>
      <c r="Q56" s="285" t="n">
        <f aca="false">I56*(1+$D$4)^($C56-$D$3)</f>
        <v>0</v>
      </c>
      <c r="R56" s="285" t="n">
        <f aca="false">SUM(P56:Q56)</f>
        <v>2.65323075411778</v>
      </c>
    </row>
    <row r="57" customFormat="false" ht="12.75" hidden="false" customHeight="false" outlineLevel="0" collapsed="false">
      <c r="C57" s="282" t="n">
        <f aca="false">C45+1</f>
        <v>2002</v>
      </c>
      <c r="D57" s="282" t="n">
        <f aca="false">D45</f>
        <v>1</v>
      </c>
      <c r="E57" s="283" t="n">
        <v>37257</v>
      </c>
      <c r="F57" s="284" t="n">
        <v>36.8322</v>
      </c>
      <c r="G57" s="284" t="n">
        <v>25.065</v>
      </c>
      <c r="H57" s="284" t="n">
        <v>2.4795082803623</v>
      </c>
      <c r="I57" s="284" t="n">
        <v>0</v>
      </c>
      <c r="J57" s="284" t="n">
        <f aca="false">SUM(H57:I57)</f>
        <v>2.4795082803623</v>
      </c>
      <c r="K57" s="0" t="n">
        <f aca="false">F57/$J57*1000</f>
        <v>14854.638837753</v>
      </c>
      <c r="L57" s="0" t="n">
        <f aca="false">G57/$J57*1000</f>
        <v>10108.8591631312</v>
      </c>
      <c r="N57" s="285" t="n">
        <f aca="false">F57*(1+$D$4)^($C57-$D$3)</f>
        <v>38.32022088</v>
      </c>
      <c r="O57" s="285" t="n">
        <f aca="false">G57*(1+$D$4)^($C57-$D$3)</f>
        <v>26.077626</v>
      </c>
      <c r="P57" s="285" t="n">
        <f aca="false">H57*(1+$D$4)^($C57-$D$3)</f>
        <v>2.57968041488893</v>
      </c>
      <c r="Q57" s="285" t="n">
        <f aca="false">I57*(1+$D$4)^($C57-$D$3)</f>
        <v>0</v>
      </c>
      <c r="R57" s="285" t="n">
        <f aca="false">SUM(P57:Q57)</f>
        <v>2.57968041488893</v>
      </c>
    </row>
    <row r="58" customFormat="false" ht="12.75" hidden="false" customHeight="false" outlineLevel="0" collapsed="false">
      <c r="C58" s="282" t="n">
        <f aca="false">C46+1</f>
        <v>2002</v>
      </c>
      <c r="D58" s="282" t="n">
        <f aca="false">D46</f>
        <v>2</v>
      </c>
      <c r="E58" s="283" t="n">
        <v>37288</v>
      </c>
      <c r="F58" s="284" t="n">
        <v>33.6351</v>
      </c>
      <c r="G58" s="284" t="n">
        <v>22.3728</v>
      </c>
      <c r="H58" s="284" t="n">
        <v>2.28627077592766</v>
      </c>
      <c r="I58" s="284" t="n">
        <v>0</v>
      </c>
      <c r="J58" s="284" t="n">
        <f aca="false">SUM(H58:I58)</f>
        <v>2.28627077592766</v>
      </c>
      <c r="K58" s="0" t="n">
        <f aca="false">F58/$J58*1000</f>
        <v>14711.7744556537</v>
      </c>
      <c r="L58" s="0" t="n">
        <f aca="false">G58/$J58*1000</f>
        <v>9785.71752548524</v>
      </c>
      <c r="N58" s="285" t="n">
        <f aca="false">F58*(1+$D$4)^($C58-$D$3)</f>
        <v>34.99395804</v>
      </c>
      <c r="O58" s="285" t="n">
        <f aca="false">G58*(1+$D$4)^($C58-$D$3)</f>
        <v>23.27666112</v>
      </c>
      <c r="P58" s="285" t="n">
        <f aca="false">H58*(1+$D$4)^($C58-$D$3)</f>
        <v>2.37863611527513</v>
      </c>
      <c r="Q58" s="285" t="n">
        <f aca="false">I58*(1+$D$4)^($C58-$D$3)</f>
        <v>0</v>
      </c>
      <c r="R58" s="285" t="n">
        <f aca="false">SUM(P58:Q58)</f>
        <v>2.37863611527513</v>
      </c>
    </row>
    <row r="59" customFormat="false" ht="12.75" hidden="false" customHeight="false" outlineLevel="0" collapsed="false">
      <c r="C59" s="282" t="n">
        <f aca="false">C47+1</f>
        <v>2002</v>
      </c>
      <c r="D59" s="282" t="n">
        <f aca="false">D47</f>
        <v>3</v>
      </c>
      <c r="E59" s="283" t="n">
        <v>37316</v>
      </c>
      <c r="F59" s="284" t="n">
        <v>29.0912</v>
      </c>
      <c r="G59" s="284" t="n">
        <v>20.2079</v>
      </c>
      <c r="H59" s="284" t="n">
        <v>2.16025398962265</v>
      </c>
      <c r="I59" s="284" t="n">
        <v>0</v>
      </c>
      <c r="J59" s="284" t="n">
        <f aca="false">SUM(H59:I59)</f>
        <v>2.16025398962265</v>
      </c>
      <c r="K59" s="0" t="n">
        <f aca="false">F59/$J59*1000</f>
        <v>13466.5646445961</v>
      </c>
      <c r="L59" s="0" t="n">
        <f aca="false">G59/$J59*1000</f>
        <v>9354.40929495976</v>
      </c>
      <c r="N59" s="285" t="n">
        <f aca="false">F59*(1+$D$4)^($C59-$D$3)</f>
        <v>30.26648448</v>
      </c>
      <c r="O59" s="285" t="n">
        <f aca="false">G59*(1+$D$4)^($C59-$D$3)</f>
        <v>21.02429916</v>
      </c>
      <c r="P59" s="285" t="n">
        <f aca="false">H59*(1+$D$4)^($C59-$D$3)</f>
        <v>2.2475282508034</v>
      </c>
      <c r="Q59" s="285" t="n">
        <f aca="false">I59*(1+$D$4)^($C59-$D$3)</f>
        <v>0</v>
      </c>
      <c r="R59" s="285" t="n">
        <f aca="false">SUM(P59:Q59)</f>
        <v>2.2475282508034</v>
      </c>
    </row>
    <row r="60" customFormat="false" ht="12.75" hidden="false" customHeight="false" outlineLevel="0" collapsed="false">
      <c r="C60" s="282" t="n">
        <f aca="false">C48+1</f>
        <v>2002</v>
      </c>
      <c r="D60" s="282" t="n">
        <f aca="false">D48</f>
        <v>4</v>
      </c>
      <c r="E60" s="283" t="n">
        <v>37347</v>
      </c>
      <c r="F60" s="284" t="n">
        <v>27.3299</v>
      </c>
      <c r="G60" s="284" t="n">
        <v>18.4014</v>
      </c>
      <c r="H60" s="284" t="n">
        <v>2.09192593851168</v>
      </c>
      <c r="I60" s="284" t="n">
        <v>0</v>
      </c>
      <c r="J60" s="284" t="n">
        <f aca="false">SUM(H60:I60)</f>
        <v>2.09192593851168</v>
      </c>
      <c r="K60" s="0" t="n">
        <f aca="false">F60/$J60*1000</f>
        <v>13064.4682475921</v>
      </c>
      <c r="L60" s="0" t="n">
        <f aca="false">G60/$J60*1000</f>
        <v>8796.39171790751</v>
      </c>
      <c r="N60" s="285" t="n">
        <f aca="false">F60*(1+$D$4)^($C60-$D$3)</f>
        <v>28.43402796</v>
      </c>
      <c r="O60" s="285" t="n">
        <f aca="false">G60*(1+$D$4)^($C60-$D$3)</f>
        <v>19.14481656</v>
      </c>
      <c r="P60" s="285" t="n">
        <f aca="false">H60*(1+$D$4)^($C60-$D$3)</f>
        <v>2.17643974642755</v>
      </c>
      <c r="Q60" s="285" t="n">
        <f aca="false">I60*(1+$D$4)^($C60-$D$3)</f>
        <v>0</v>
      </c>
      <c r="R60" s="285" t="n">
        <f aca="false">SUM(P60:Q60)</f>
        <v>2.17643974642755</v>
      </c>
    </row>
    <row r="61" customFormat="false" ht="12.75" hidden="false" customHeight="false" outlineLevel="0" collapsed="false">
      <c r="C61" s="282" t="n">
        <f aca="false">C49+1</f>
        <v>2002</v>
      </c>
      <c r="D61" s="282" t="n">
        <f aca="false">D49</f>
        <v>5</v>
      </c>
      <c r="E61" s="283" t="n">
        <v>37377</v>
      </c>
      <c r="F61" s="284" t="n">
        <v>27.5217</v>
      </c>
      <c r="G61" s="284" t="n">
        <v>14.226</v>
      </c>
      <c r="H61" s="284" t="n">
        <v>2.0727751698612</v>
      </c>
      <c r="I61" s="284" t="n">
        <v>0</v>
      </c>
      <c r="J61" s="284" t="n">
        <f aca="false">SUM(H61:I61)</f>
        <v>2.0727751698612</v>
      </c>
      <c r="K61" s="0" t="n">
        <f aca="false">F61/$J61*1000</f>
        <v>13277.7063331201</v>
      </c>
      <c r="L61" s="0" t="n">
        <f aca="false">G61/$J61*1000</f>
        <v>6863.26245453464</v>
      </c>
      <c r="N61" s="285" t="n">
        <f aca="false">F61*(1+$D$4)^($C61-$D$3)</f>
        <v>28.63357668</v>
      </c>
      <c r="O61" s="285" t="n">
        <f aca="false">G61*(1+$D$4)^($C61-$D$3)</f>
        <v>14.8007304</v>
      </c>
      <c r="P61" s="285" t="n">
        <f aca="false">H61*(1+$D$4)^($C61-$D$3)</f>
        <v>2.15651528672359</v>
      </c>
      <c r="Q61" s="285" t="n">
        <f aca="false">I61*(1+$D$4)^($C61-$D$3)</f>
        <v>0</v>
      </c>
      <c r="R61" s="285" t="n">
        <f aca="false">SUM(P61:Q61)</f>
        <v>2.15651528672359</v>
      </c>
    </row>
    <row r="62" customFormat="false" ht="12.75" hidden="false" customHeight="false" outlineLevel="0" collapsed="false">
      <c r="C62" s="282" t="n">
        <f aca="false">C50+1</f>
        <v>2002</v>
      </c>
      <c r="D62" s="282" t="n">
        <f aca="false">D50</f>
        <v>6</v>
      </c>
      <c r="E62" s="283" t="n">
        <v>37408</v>
      </c>
      <c r="F62" s="284" t="n">
        <v>25.733</v>
      </c>
      <c r="G62" s="284" t="n">
        <v>12.3606</v>
      </c>
      <c r="H62" s="284" t="n">
        <v>2.09429023093766</v>
      </c>
      <c r="I62" s="284" t="n">
        <v>0</v>
      </c>
      <c r="J62" s="284" t="n">
        <f aca="false">SUM(H62:I62)</f>
        <v>2.09429023093766</v>
      </c>
      <c r="K62" s="0" t="n">
        <f aca="false">F62/$J62*1000</f>
        <v>12287.2177026194</v>
      </c>
      <c r="L62" s="0" t="n">
        <f aca="false">G62/$J62*1000</f>
        <v>5902.04729860478</v>
      </c>
      <c r="N62" s="285" t="n">
        <f aca="false">F62*(1+$D$4)^($C62-$D$3)</f>
        <v>26.7726132</v>
      </c>
      <c r="O62" s="285" t="n">
        <f aca="false">G62*(1+$D$4)^($C62-$D$3)</f>
        <v>12.85996824</v>
      </c>
      <c r="P62" s="285" t="n">
        <f aca="false">H62*(1+$D$4)^($C62-$D$3)</f>
        <v>2.17889955626754</v>
      </c>
      <c r="Q62" s="285" t="n">
        <f aca="false">I62*(1+$D$4)^($C62-$D$3)</f>
        <v>0</v>
      </c>
      <c r="R62" s="285" t="n">
        <f aca="false">SUM(P62:Q62)</f>
        <v>2.17889955626754</v>
      </c>
    </row>
    <row r="63" customFormat="false" ht="12.75" hidden="false" customHeight="false" outlineLevel="0" collapsed="false">
      <c r="C63" s="282" t="n">
        <f aca="false">C51+1</f>
        <v>2002</v>
      </c>
      <c r="D63" s="282" t="n">
        <f aca="false">D51</f>
        <v>7</v>
      </c>
      <c r="E63" s="283" t="n">
        <v>37438</v>
      </c>
      <c r="F63" s="284" t="n">
        <v>36.0972</v>
      </c>
      <c r="G63" s="284" t="n">
        <v>18.4735</v>
      </c>
      <c r="H63" s="284" t="n">
        <v>2.14795966900752</v>
      </c>
      <c r="I63" s="284" t="n">
        <v>0</v>
      </c>
      <c r="J63" s="284" t="n">
        <f aca="false">SUM(H63:I63)</f>
        <v>2.14795966900752</v>
      </c>
      <c r="K63" s="0" t="n">
        <f aca="false">F63/$J63*1000</f>
        <v>16805.3434712202</v>
      </c>
      <c r="L63" s="0" t="n">
        <f aca="false">G63/$J63*1000</f>
        <v>8600.48736787306</v>
      </c>
      <c r="N63" s="285" t="n">
        <f aca="false">F63*(1+$D$4)^($C63-$D$3)</f>
        <v>37.55552688</v>
      </c>
      <c r="O63" s="285" t="n">
        <f aca="false">G63*(1+$D$4)^($C63-$D$3)</f>
        <v>19.2198294</v>
      </c>
      <c r="P63" s="285" t="n">
        <f aca="false">H63*(1+$D$4)^($C63-$D$3)</f>
        <v>2.23473723963543</v>
      </c>
      <c r="Q63" s="285" t="n">
        <f aca="false">I63*(1+$D$4)^($C63-$D$3)</f>
        <v>0</v>
      </c>
      <c r="R63" s="285" t="n">
        <f aca="false">SUM(P63:Q63)</f>
        <v>2.23473723963543</v>
      </c>
    </row>
    <row r="64" customFormat="false" ht="12.75" hidden="false" customHeight="false" outlineLevel="0" collapsed="false">
      <c r="C64" s="282" t="n">
        <f aca="false">C52+1</f>
        <v>2002</v>
      </c>
      <c r="D64" s="282" t="n">
        <f aca="false">D52</f>
        <v>8</v>
      </c>
      <c r="E64" s="283" t="n">
        <v>37469</v>
      </c>
      <c r="F64" s="284" t="n">
        <v>51.8565</v>
      </c>
      <c r="G64" s="284" t="n">
        <v>24.9851</v>
      </c>
      <c r="H64" s="284" t="n">
        <v>2.22527203133724</v>
      </c>
      <c r="I64" s="284" t="n">
        <v>0</v>
      </c>
      <c r="J64" s="284" t="n">
        <f aca="false">SUM(H64:I64)</f>
        <v>2.22527203133724</v>
      </c>
      <c r="K64" s="0" t="n">
        <f aca="false">F64/$J64*1000</f>
        <v>23303.4430261714</v>
      </c>
      <c r="L64" s="0" t="n">
        <f aca="false">G64/$J64*1000</f>
        <v>11227.8856913443</v>
      </c>
      <c r="N64" s="285" t="n">
        <f aca="false">F64*(1+$D$4)^($C64-$D$3)</f>
        <v>53.9515026</v>
      </c>
      <c r="O64" s="285" t="n">
        <f aca="false">G64*(1+$D$4)^($C64-$D$3)</f>
        <v>25.99449804</v>
      </c>
      <c r="P64" s="285" t="n">
        <f aca="false">H64*(1+$D$4)^($C64-$D$3)</f>
        <v>2.31517302140326</v>
      </c>
      <c r="Q64" s="285" t="n">
        <f aca="false">I64*(1+$D$4)^($C64-$D$3)</f>
        <v>0</v>
      </c>
      <c r="R64" s="285" t="n">
        <f aca="false">SUM(P64:Q64)</f>
        <v>2.31517302140326</v>
      </c>
    </row>
    <row r="65" customFormat="false" ht="12.75" hidden="false" customHeight="false" outlineLevel="0" collapsed="false">
      <c r="C65" s="282" t="n">
        <f aca="false">C53+1</f>
        <v>2002</v>
      </c>
      <c r="D65" s="282" t="n">
        <f aca="false">D53</f>
        <v>9</v>
      </c>
      <c r="E65" s="283" t="n">
        <v>37500</v>
      </c>
      <c r="F65" s="284" t="n">
        <v>43.773</v>
      </c>
      <c r="G65" s="284" t="n">
        <v>25.1957</v>
      </c>
      <c r="H65" s="284" t="n">
        <v>2.31771586519326</v>
      </c>
      <c r="I65" s="284" t="n">
        <v>0</v>
      </c>
      <c r="J65" s="284" t="n">
        <f aca="false">SUM(H65:I65)</f>
        <v>2.31771586519326</v>
      </c>
      <c r="K65" s="0" t="n">
        <f aca="false">F65/$J65*1000</f>
        <v>18886.266715161</v>
      </c>
      <c r="L65" s="0" t="n">
        <f aca="false">G65/$J65*1000</f>
        <v>10870.9183806269</v>
      </c>
      <c r="N65" s="285" t="n">
        <f aca="false">F65*(1+$D$4)^($C65-$D$3)</f>
        <v>45.5414292</v>
      </c>
      <c r="O65" s="285" t="n">
        <f aca="false">G65*(1+$D$4)^($C65-$D$3)</f>
        <v>26.21360628</v>
      </c>
      <c r="P65" s="285" t="n">
        <f aca="false">H65*(1+$D$4)^($C65-$D$3)</f>
        <v>2.41135158614707</v>
      </c>
      <c r="Q65" s="285" t="n">
        <f aca="false">I65*(1+$D$4)^($C65-$D$3)</f>
        <v>0</v>
      </c>
      <c r="R65" s="285" t="n">
        <f aca="false">SUM(P65:Q65)</f>
        <v>2.41135158614707</v>
      </c>
    </row>
    <row r="66" customFormat="false" ht="12.75" hidden="false" customHeight="false" outlineLevel="0" collapsed="false">
      <c r="C66" s="282" t="n">
        <f aca="false">C54+1</f>
        <v>2002</v>
      </c>
      <c r="D66" s="282" t="n">
        <f aca="false">D54</f>
        <v>10</v>
      </c>
      <c r="E66" s="283" t="n">
        <v>37530</v>
      </c>
      <c r="F66" s="284" t="n">
        <v>34.1421</v>
      </c>
      <c r="G66" s="284" t="n">
        <v>22.3924</v>
      </c>
      <c r="H66" s="284" t="n">
        <v>2.41677971784204</v>
      </c>
      <c r="I66" s="284" t="n">
        <v>0</v>
      </c>
      <c r="J66" s="284" t="n">
        <f aca="false">SUM(H66:I66)</f>
        <v>2.41677971784204</v>
      </c>
      <c r="K66" s="0" t="n">
        <f aca="false">F66/$J66*1000</f>
        <v>14127.1046541576</v>
      </c>
      <c r="L66" s="0" t="n">
        <f aca="false">G66/$J66*1000</f>
        <v>9265.38725672291</v>
      </c>
      <c r="N66" s="285" t="n">
        <f aca="false">F66*(1+$D$4)^($C66-$D$3)</f>
        <v>35.52144084</v>
      </c>
      <c r="O66" s="285" t="n">
        <f aca="false">G66*(1+$D$4)^($C66-$D$3)</f>
        <v>23.29705296</v>
      </c>
      <c r="P66" s="285" t="n">
        <f aca="false">H66*(1+$D$4)^($C66-$D$3)</f>
        <v>2.51441761844286</v>
      </c>
      <c r="Q66" s="285" t="n">
        <f aca="false">I66*(1+$D$4)^($C66-$D$3)</f>
        <v>0</v>
      </c>
      <c r="R66" s="285" t="n">
        <f aca="false">SUM(P66:Q66)</f>
        <v>2.51441761844286</v>
      </c>
    </row>
    <row r="67" customFormat="false" ht="12.75" hidden="false" customHeight="false" outlineLevel="0" collapsed="false">
      <c r="C67" s="282" t="n">
        <f aca="false">C55+1</f>
        <v>2002</v>
      </c>
      <c r="D67" s="282" t="n">
        <f aca="false">D55</f>
        <v>11</v>
      </c>
      <c r="E67" s="283" t="n">
        <v>37561</v>
      </c>
      <c r="F67" s="284" t="n">
        <v>35.0707</v>
      </c>
      <c r="G67" s="284" t="n">
        <v>24.9685</v>
      </c>
      <c r="H67" s="284" t="n">
        <v>2.51395213655003</v>
      </c>
      <c r="I67" s="284" t="n">
        <v>0</v>
      </c>
      <c r="J67" s="284" t="n">
        <f aca="false">SUM(H67:I67)</f>
        <v>2.51395213655003</v>
      </c>
      <c r="K67" s="0" t="n">
        <f aca="false">F67/$J67*1000</f>
        <v>13950.4247078183</v>
      </c>
      <c r="L67" s="0" t="n">
        <f aca="false">G67/$J67*1000</f>
        <v>9931.97111312749</v>
      </c>
      <c r="N67" s="285" t="n">
        <f aca="false">F67*(1+$D$4)^($C67-$D$3)</f>
        <v>36.48755628</v>
      </c>
      <c r="O67" s="285" t="n">
        <f aca="false">G67*(1+$D$4)^($C67-$D$3)</f>
        <v>25.9772274</v>
      </c>
      <c r="P67" s="285" t="n">
        <f aca="false">H67*(1+$D$4)^($C67-$D$3)</f>
        <v>2.61551580286665</v>
      </c>
      <c r="Q67" s="285" t="n">
        <f aca="false">I67*(1+$D$4)^($C67-$D$3)</f>
        <v>0</v>
      </c>
      <c r="R67" s="285" t="n">
        <f aca="false">SUM(P67:Q67)</f>
        <v>2.61551580286665</v>
      </c>
    </row>
    <row r="68" customFormat="false" ht="12.75" hidden="false" customHeight="false" outlineLevel="0" collapsed="false">
      <c r="C68" s="282" t="n">
        <f aca="false">C56+1</f>
        <v>2002</v>
      </c>
      <c r="D68" s="282" t="n">
        <f aca="false">D56</f>
        <v>12</v>
      </c>
      <c r="E68" s="283" t="n">
        <v>37591</v>
      </c>
      <c r="F68" s="284" t="n">
        <v>34.5529</v>
      </c>
      <c r="G68" s="284" t="n">
        <v>24.8136</v>
      </c>
      <c r="H68" s="284" t="n">
        <v>2.61662394563579</v>
      </c>
      <c r="I68" s="284" t="n">
        <v>0</v>
      </c>
      <c r="J68" s="284" t="n">
        <f aca="false">SUM(H68:I68)</f>
        <v>2.61662394563579</v>
      </c>
      <c r="K68" s="0" t="n">
        <f aca="false">F68/$J68*1000</f>
        <v>13205.145530228</v>
      </c>
      <c r="L68" s="0" t="n">
        <f aca="false">G68/$J68*1000</f>
        <v>9483.05928384783</v>
      </c>
      <c r="N68" s="285" t="n">
        <f aca="false">F68*(1+$D$4)^($C68-$D$3)</f>
        <v>35.94883716</v>
      </c>
      <c r="O68" s="285" t="n">
        <f aca="false">G68*(1+$D$4)^($C68-$D$3)</f>
        <v>25.81606944</v>
      </c>
      <c r="P68" s="285" t="n">
        <f aca="false">H68*(1+$D$4)^($C68-$D$3)</f>
        <v>2.72233555303947</v>
      </c>
      <c r="Q68" s="285" t="n">
        <f aca="false">I68*(1+$D$4)^($C68-$D$3)</f>
        <v>0</v>
      </c>
      <c r="R68" s="285" t="n">
        <f aca="false">SUM(P68:Q68)</f>
        <v>2.72233555303947</v>
      </c>
    </row>
    <row r="69" customFormat="false" ht="12.75" hidden="false" customHeight="false" outlineLevel="0" collapsed="false">
      <c r="C69" s="282" t="n">
        <f aca="false">C57+1</f>
        <v>2003</v>
      </c>
      <c r="D69" s="282" t="n">
        <f aca="false">D57</f>
        <v>1</v>
      </c>
      <c r="E69" s="283" t="n">
        <v>37622</v>
      </c>
      <c r="F69" s="284" t="n">
        <v>36.0843</v>
      </c>
      <c r="G69" s="284" t="n">
        <v>24.9003</v>
      </c>
      <c r="H69" s="284" t="n">
        <v>2.49099420155673</v>
      </c>
      <c r="I69" s="284" t="n">
        <v>0</v>
      </c>
      <c r="J69" s="284" t="n">
        <f aca="false">SUM(H69:I69)</f>
        <v>2.49099420155673</v>
      </c>
      <c r="K69" s="0" t="n">
        <f aca="false">F69/$J69*1000</f>
        <v>14485.902848529</v>
      </c>
      <c r="L69" s="0" t="n">
        <f aca="false">G69/$J69*1000</f>
        <v>9996.12925009569</v>
      </c>
      <c r="N69" s="285" t="n">
        <f aca="false">F69*(1+$D$4)^($C69-$D$3)</f>
        <v>38.2929478344</v>
      </c>
      <c r="O69" s="285" t="n">
        <f aca="false">G69*(1+$D$4)^($C69-$D$3)</f>
        <v>26.4243975624</v>
      </c>
      <c r="P69" s="285" t="n">
        <f aca="false">H69*(1+$D$4)^($C69-$D$3)</f>
        <v>2.64346297464562</v>
      </c>
      <c r="Q69" s="285" t="n">
        <f aca="false">I69*(1+$D$4)^($C69-$D$3)</f>
        <v>0</v>
      </c>
      <c r="R69" s="285" t="n">
        <f aca="false">SUM(P69:Q69)</f>
        <v>2.64346297464562</v>
      </c>
    </row>
    <row r="70" customFormat="false" ht="12.75" hidden="false" customHeight="false" outlineLevel="0" collapsed="false">
      <c r="C70" s="282" t="n">
        <f aca="false">C58+1</f>
        <v>2003</v>
      </c>
      <c r="D70" s="282" t="n">
        <f aca="false">D58</f>
        <v>2</v>
      </c>
      <c r="E70" s="283" t="n">
        <v>37653</v>
      </c>
      <c r="F70" s="284" t="n">
        <v>31.8409</v>
      </c>
      <c r="G70" s="284" t="n">
        <v>22.6176</v>
      </c>
      <c r="H70" s="284" t="n">
        <v>2.29686155562758</v>
      </c>
      <c r="I70" s="284" t="n">
        <v>0</v>
      </c>
      <c r="J70" s="284" t="n">
        <f aca="false">SUM(H70:I70)</f>
        <v>2.29686155562758</v>
      </c>
      <c r="K70" s="0" t="n">
        <f aca="false">F70/$J70*1000</f>
        <v>13862.785905396</v>
      </c>
      <c r="L70" s="0" t="n">
        <f aca="false">G70/$J70*1000</f>
        <v>9847.17600613945</v>
      </c>
      <c r="N70" s="285" t="n">
        <f aca="false">F70*(1+$D$4)^($C70-$D$3)</f>
        <v>33.7898178072</v>
      </c>
      <c r="O70" s="285" t="n">
        <f aca="false">G70*(1+$D$4)^($C70-$D$3)</f>
        <v>24.0019780608</v>
      </c>
      <c r="P70" s="285" t="n">
        <f aca="false">H70*(1+$D$4)^($C70-$D$3)</f>
        <v>2.43744785772443</v>
      </c>
      <c r="Q70" s="285" t="n">
        <f aca="false">I70*(1+$D$4)^($C70-$D$3)</f>
        <v>0</v>
      </c>
      <c r="R70" s="285" t="n">
        <f aca="false">SUM(P70:Q70)</f>
        <v>2.43744785772443</v>
      </c>
    </row>
    <row r="71" customFormat="false" ht="12.75" hidden="false" customHeight="false" outlineLevel="0" collapsed="false">
      <c r="C71" s="282" t="n">
        <f aca="false">C59+1</f>
        <v>2003</v>
      </c>
      <c r="D71" s="282" t="n">
        <f aca="false">D59</f>
        <v>3</v>
      </c>
      <c r="E71" s="283" t="n">
        <v>37681</v>
      </c>
      <c r="F71" s="284" t="n">
        <v>28.8821</v>
      </c>
      <c r="G71" s="284" t="n">
        <v>20.4941</v>
      </c>
      <c r="H71" s="284" t="n">
        <v>2.1702610169358</v>
      </c>
      <c r="I71" s="284" t="n">
        <v>0</v>
      </c>
      <c r="J71" s="284" t="n">
        <f aca="false">SUM(H71:I71)</f>
        <v>2.1702610169358</v>
      </c>
      <c r="K71" s="0" t="n">
        <f aca="false">F71/$J71*1000</f>
        <v>13308.1227440461</v>
      </c>
      <c r="L71" s="0" t="n">
        <f aca="false">G71/$J71*1000</f>
        <v>9443.14985159514</v>
      </c>
      <c r="N71" s="285" t="n">
        <f aca="false">F71*(1+$D$4)^($C71-$D$3)</f>
        <v>30.6499155768</v>
      </c>
      <c r="O71" s="285" t="n">
        <f aca="false">G71*(1+$D$4)^($C71-$D$3)</f>
        <v>21.7485028728</v>
      </c>
      <c r="P71" s="285" t="n">
        <f aca="false">H71*(1+$D$4)^($C71-$D$3)</f>
        <v>2.3030983532604</v>
      </c>
      <c r="Q71" s="285" t="n">
        <f aca="false">I71*(1+$D$4)^($C71-$D$3)</f>
        <v>0</v>
      </c>
      <c r="R71" s="285" t="n">
        <f aca="false">SUM(P71:Q71)</f>
        <v>2.3030983532604</v>
      </c>
    </row>
    <row r="72" customFormat="false" ht="12.75" hidden="false" customHeight="false" outlineLevel="0" collapsed="false">
      <c r="C72" s="282" t="n">
        <f aca="false">C60+1</f>
        <v>2003</v>
      </c>
      <c r="D72" s="282" t="n">
        <f aca="false">D60</f>
        <v>4</v>
      </c>
      <c r="E72" s="283" t="n">
        <v>37712</v>
      </c>
      <c r="F72" s="284" t="n">
        <v>27.442</v>
      </c>
      <c r="G72" s="284" t="n">
        <v>18.6691</v>
      </c>
      <c r="H72" s="284" t="n">
        <v>2.10161644717609</v>
      </c>
      <c r="I72" s="284" t="n">
        <v>0</v>
      </c>
      <c r="J72" s="284" t="n">
        <f aca="false">SUM(H72:I72)</f>
        <v>2.10161644717609</v>
      </c>
      <c r="K72" s="0" t="n">
        <f aca="false">F72/$J72*1000</f>
        <v>13057.5681575358</v>
      </c>
      <c r="L72" s="0" t="n">
        <f aca="false">G72/$J72*1000</f>
        <v>8883.20988593584</v>
      </c>
      <c r="N72" s="285" t="n">
        <f aca="false">F72*(1+$D$4)^($C72-$D$3)</f>
        <v>29.121669936</v>
      </c>
      <c r="O72" s="285" t="n">
        <f aca="false">G72*(1+$D$4)^($C72-$D$3)</f>
        <v>19.8117982728</v>
      </c>
      <c r="P72" s="285" t="n">
        <f aca="false">H72*(1+$D$4)^($C72-$D$3)</f>
        <v>2.23025218667485</v>
      </c>
      <c r="Q72" s="285" t="n">
        <f aca="false">I72*(1+$D$4)^($C72-$D$3)</f>
        <v>0</v>
      </c>
      <c r="R72" s="285" t="n">
        <f aca="false">SUM(P72:Q72)</f>
        <v>2.23025218667485</v>
      </c>
    </row>
    <row r="73" customFormat="false" ht="12.75" hidden="false" customHeight="false" outlineLevel="0" collapsed="false">
      <c r="C73" s="282" t="n">
        <f aca="false">C61+1</f>
        <v>2003</v>
      </c>
      <c r="D73" s="282" t="n">
        <f aca="false">D61</f>
        <v>5</v>
      </c>
      <c r="E73" s="283" t="n">
        <v>37742</v>
      </c>
      <c r="F73" s="284" t="n">
        <v>27.8778</v>
      </c>
      <c r="G73" s="284" t="n">
        <v>15.292</v>
      </c>
      <c r="H73" s="284" t="n">
        <v>2.08237696568635</v>
      </c>
      <c r="I73" s="284" t="n">
        <v>0</v>
      </c>
      <c r="J73" s="284" t="n">
        <f aca="false">SUM(H73:I73)</f>
        <v>2.08237696568635</v>
      </c>
      <c r="K73" s="0" t="n">
        <f aca="false">F73/$J73*1000</f>
        <v>13387.4896137317</v>
      </c>
      <c r="L73" s="0" t="n">
        <f aca="false">G73/$J73*1000</f>
        <v>7343.53109546609</v>
      </c>
      <c r="N73" s="285" t="n">
        <f aca="false">F73*(1+$D$4)^($C73-$D$3)</f>
        <v>29.5841443824</v>
      </c>
      <c r="O73" s="285" t="n">
        <f aca="false">G73*(1+$D$4)^($C73-$D$3)</f>
        <v>16.227992736</v>
      </c>
      <c r="P73" s="285" t="n">
        <f aca="false">H73*(1+$D$4)^($C73-$D$3)</f>
        <v>2.20983509500208</v>
      </c>
      <c r="Q73" s="285" t="n">
        <f aca="false">I73*(1+$D$4)^($C73-$D$3)</f>
        <v>0</v>
      </c>
      <c r="R73" s="285" t="n">
        <f aca="false">SUM(P73:Q73)</f>
        <v>2.20983509500208</v>
      </c>
    </row>
    <row r="74" customFormat="false" ht="12.75" hidden="false" customHeight="false" outlineLevel="0" collapsed="false">
      <c r="C74" s="282" t="n">
        <f aca="false">C62+1</f>
        <v>2003</v>
      </c>
      <c r="D74" s="282" t="n">
        <f aca="false">D62</f>
        <v>6</v>
      </c>
      <c r="E74" s="283" t="n">
        <v>37773</v>
      </c>
      <c r="F74" s="284" t="n">
        <v>26.5378</v>
      </c>
      <c r="G74" s="284" t="n">
        <v>13.0125</v>
      </c>
      <c r="H74" s="284" t="n">
        <v>2.10399169180445</v>
      </c>
      <c r="I74" s="284" t="n">
        <v>0</v>
      </c>
      <c r="J74" s="284" t="n">
        <f aca="false">SUM(H74:I74)</f>
        <v>2.10399169180445</v>
      </c>
      <c r="K74" s="0" t="n">
        <f aca="false">F74/$J74*1000</f>
        <v>12613.0726197119</v>
      </c>
      <c r="L74" s="0" t="n">
        <f aca="false">G74/$J74*1000</f>
        <v>6184.67271077484</v>
      </c>
      <c r="N74" s="285" t="n">
        <f aca="false">F74*(1+$D$4)^($C74-$D$3)</f>
        <v>28.1621256624</v>
      </c>
      <c r="O74" s="285" t="n">
        <f aca="false">G74*(1+$D$4)^($C74-$D$3)</f>
        <v>13.8089691</v>
      </c>
      <c r="P74" s="285" t="n">
        <f aca="false">H74*(1+$D$4)^($C74-$D$3)</f>
        <v>2.23277281527642</v>
      </c>
      <c r="Q74" s="285" t="n">
        <f aca="false">I74*(1+$D$4)^($C74-$D$3)</f>
        <v>0</v>
      </c>
      <c r="R74" s="285" t="n">
        <f aca="false">SUM(P74:Q74)</f>
        <v>2.23277281527642</v>
      </c>
    </row>
    <row r="75" customFormat="false" ht="12.75" hidden="false" customHeight="false" outlineLevel="0" collapsed="false">
      <c r="C75" s="282" t="n">
        <f aca="false">C63+1</f>
        <v>2003</v>
      </c>
      <c r="D75" s="282" t="n">
        <f aca="false">D63</f>
        <v>7</v>
      </c>
      <c r="E75" s="283" t="n">
        <v>37803</v>
      </c>
      <c r="F75" s="284" t="n">
        <v>37.8273</v>
      </c>
      <c r="G75" s="284" t="n">
        <v>19.5887</v>
      </c>
      <c r="H75" s="284" t="n">
        <v>2.15790974486831</v>
      </c>
      <c r="I75" s="284" t="n">
        <v>0</v>
      </c>
      <c r="J75" s="284" t="n">
        <f aca="false">SUM(H75:I75)</f>
        <v>2.15790974486831</v>
      </c>
      <c r="K75" s="0" t="n">
        <f aca="false">F75/$J75*1000</f>
        <v>17529.6024729285</v>
      </c>
      <c r="L75" s="0" t="n">
        <f aca="false">G75/$J75*1000</f>
        <v>9077.62710955988</v>
      </c>
      <c r="N75" s="285" t="n">
        <f aca="false">F75*(1+$D$4)^($C75-$D$3)</f>
        <v>40.1426333784</v>
      </c>
      <c r="O75" s="285" t="n">
        <f aca="false">G75*(1+$D$4)^($C75-$D$3)</f>
        <v>20.7876851496</v>
      </c>
      <c r="P75" s="285" t="n">
        <f aca="false">H75*(1+$D$4)^($C75-$D$3)</f>
        <v>2.28999108453221</v>
      </c>
      <c r="Q75" s="285" t="n">
        <f aca="false">I75*(1+$D$4)^($C75-$D$3)</f>
        <v>0</v>
      </c>
      <c r="R75" s="285" t="n">
        <f aca="false">SUM(P75:Q75)</f>
        <v>2.28999108453221</v>
      </c>
    </row>
    <row r="76" customFormat="false" ht="12.75" hidden="false" customHeight="false" outlineLevel="0" collapsed="false">
      <c r="C76" s="282" t="n">
        <f aca="false">C64+1</f>
        <v>2003</v>
      </c>
      <c r="D76" s="282" t="n">
        <f aca="false">D64</f>
        <v>8</v>
      </c>
      <c r="E76" s="283" t="n">
        <v>37834</v>
      </c>
      <c r="F76" s="284" t="n">
        <v>59.0116</v>
      </c>
      <c r="G76" s="284" t="n">
        <v>24.9526</v>
      </c>
      <c r="H76" s="284" t="n">
        <v>2.2355802442158</v>
      </c>
      <c r="I76" s="284" t="n">
        <v>0</v>
      </c>
      <c r="J76" s="284" t="n">
        <f aca="false">SUM(H76:I76)</f>
        <v>2.2355802442158</v>
      </c>
      <c r="K76" s="0" t="n">
        <f aca="false">F76/$J76*1000</f>
        <v>26396.5474523596</v>
      </c>
      <c r="L76" s="0" t="n">
        <f aca="false">G76/$J76*1000</f>
        <v>11161.5765368122</v>
      </c>
      <c r="N76" s="285" t="n">
        <f aca="false">F76*(1+$D$4)^($C76-$D$3)</f>
        <v>62.6235820128</v>
      </c>
      <c r="O76" s="285" t="n">
        <f aca="false">G76*(1+$D$4)^($C76-$D$3)</f>
        <v>26.4798987408</v>
      </c>
      <c r="P76" s="285" t="n">
        <f aca="false">H76*(1+$D$4)^($C76-$D$3)</f>
        <v>2.37241563980376</v>
      </c>
      <c r="Q76" s="285" t="n">
        <f aca="false">I76*(1+$D$4)^($C76-$D$3)</f>
        <v>0</v>
      </c>
      <c r="R76" s="285" t="n">
        <f aca="false">SUM(P76:Q76)</f>
        <v>2.37241563980376</v>
      </c>
    </row>
    <row r="77" customFormat="false" ht="12.75" hidden="false" customHeight="false" outlineLevel="0" collapsed="false">
      <c r="C77" s="282" t="n">
        <f aca="false">C65+1</f>
        <v>2003</v>
      </c>
      <c r="D77" s="282" t="n">
        <f aca="false">D65</f>
        <v>9</v>
      </c>
      <c r="E77" s="283" t="n">
        <v>37865</v>
      </c>
      <c r="F77" s="284" t="n">
        <v>45.2609</v>
      </c>
      <c r="G77" s="284" t="n">
        <v>24.237</v>
      </c>
      <c r="H77" s="284" t="n">
        <v>2.32845230918481</v>
      </c>
      <c r="I77" s="284" t="n">
        <v>0</v>
      </c>
      <c r="J77" s="284" t="n">
        <f aca="false">SUM(H77:I77)</f>
        <v>2.32845230918481</v>
      </c>
      <c r="K77" s="0" t="n">
        <f aca="false">F77/$J77*1000</f>
        <v>19438.190690642</v>
      </c>
      <c r="L77" s="0" t="n">
        <f aca="false">G77/$J77*1000</f>
        <v>10409.0600887099</v>
      </c>
      <c r="N77" s="285" t="n">
        <f aca="false">F77*(1+$D$4)^($C77-$D$3)</f>
        <v>48.0312291672</v>
      </c>
      <c r="O77" s="285" t="n">
        <f aca="false">G77*(1+$D$4)^($C77-$D$3)</f>
        <v>25.720498296</v>
      </c>
      <c r="P77" s="285" t="n">
        <f aca="false">H77*(1+$D$4)^($C77-$D$3)</f>
        <v>2.4709722181254</v>
      </c>
      <c r="Q77" s="285" t="n">
        <f aca="false">I77*(1+$D$4)^($C77-$D$3)</f>
        <v>0</v>
      </c>
      <c r="R77" s="285" t="n">
        <f aca="false">SUM(P77:Q77)</f>
        <v>2.4709722181254</v>
      </c>
    </row>
    <row r="78" customFormat="false" ht="12.75" hidden="false" customHeight="false" outlineLevel="0" collapsed="false">
      <c r="C78" s="282" t="n">
        <f aca="false">C66+1</f>
        <v>2003</v>
      </c>
      <c r="D78" s="282" t="n">
        <f aca="false">D66</f>
        <v>10</v>
      </c>
      <c r="E78" s="283" t="n">
        <v>37895</v>
      </c>
      <c r="F78" s="284" t="n">
        <v>35.4905</v>
      </c>
      <c r="G78" s="284" t="n">
        <v>22.7356</v>
      </c>
      <c r="H78" s="284" t="n">
        <v>2.42797505911325</v>
      </c>
      <c r="I78" s="284" t="n">
        <v>0</v>
      </c>
      <c r="J78" s="284" t="n">
        <f aca="false">SUM(H78:I78)</f>
        <v>2.42797505911325</v>
      </c>
      <c r="K78" s="0" t="n">
        <f aca="false">F78/$J78*1000</f>
        <v>14617.3247813188</v>
      </c>
      <c r="L78" s="0" t="n">
        <f aca="false">G78/$J78*1000</f>
        <v>9364.01711156933</v>
      </c>
      <c r="N78" s="285" t="n">
        <f aca="false">F78*(1+$D$4)^($C78-$D$3)</f>
        <v>37.662802524</v>
      </c>
      <c r="O78" s="285" t="n">
        <f aca="false">G78*(1+$D$4)^($C78-$D$3)</f>
        <v>24.1272006048</v>
      </c>
      <c r="P78" s="285" t="n">
        <f aca="false">H78*(1+$D$4)^($C78-$D$3)</f>
        <v>2.57658655653145</v>
      </c>
      <c r="Q78" s="285" t="n">
        <f aca="false">I78*(1+$D$4)^($C78-$D$3)</f>
        <v>0</v>
      </c>
      <c r="R78" s="285" t="n">
        <f aca="false">SUM(P78:Q78)</f>
        <v>2.57658655653145</v>
      </c>
    </row>
    <row r="79" customFormat="false" ht="12.75" hidden="false" customHeight="false" outlineLevel="0" collapsed="false">
      <c r="C79" s="282" t="n">
        <f aca="false">C67+1</f>
        <v>2003</v>
      </c>
      <c r="D79" s="282" t="n">
        <f aca="false">D67</f>
        <v>11</v>
      </c>
      <c r="E79" s="283" t="n">
        <v>37926</v>
      </c>
      <c r="F79" s="284" t="n">
        <v>37.2529</v>
      </c>
      <c r="G79" s="284" t="n">
        <v>24.6168</v>
      </c>
      <c r="H79" s="284" t="n">
        <v>2.52559761333899</v>
      </c>
      <c r="I79" s="284" t="n">
        <v>0</v>
      </c>
      <c r="J79" s="284" t="n">
        <f aca="false">SUM(H79:I79)</f>
        <v>2.52559761333899</v>
      </c>
      <c r="K79" s="0" t="n">
        <f aca="false">F79/$J79*1000</f>
        <v>14750.1327223498</v>
      </c>
      <c r="L79" s="0" t="n">
        <f aca="false">G79/$J79*1000</f>
        <v>9746.92083568101</v>
      </c>
      <c r="N79" s="285" t="n">
        <f aca="false">F79*(1+$D$4)^($C79-$D$3)</f>
        <v>39.5330755032</v>
      </c>
      <c r="O79" s="285" t="n">
        <f aca="false">G79*(1+$D$4)^($C79-$D$3)</f>
        <v>26.1235450944</v>
      </c>
      <c r="P79" s="285" t="n">
        <f aca="false">H79*(1+$D$4)^($C79-$D$3)</f>
        <v>2.68018439205624</v>
      </c>
      <c r="Q79" s="285" t="n">
        <f aca="false">I79*(1+$D$4)^($C79-$D$3)</f>
        <v>0</v>
      </c>
      <c r="R79" s="285" t="n">
        <f aca="false">SUM(P79:Q79)</f>
        <v>2.68018439205624</v>
      </c>
    </row>
    <row r="80" customFormat="false" ht="12.75" hidden="false" customHeight="false" outlineLevel="0" collapsed="false">
      <c r="C80" s="282" t="n">
        <f aca="false">C68+1</f>
        <v>2003</v>
      </c>
      <c r="D80" s="282" t="n">
        <f aca="false">D68</f>
        <v>12</v>
      </c>
      <c r="E80" s="283" t="n">
        <v>37956</v>
      </c>
      <c r="F80" s="284" t="n">
        <v>36.0322</v>
      </c>
      <c r="G80" s="284" t="n">
        <v>25.5734</v>
      </c>
      <c r="H80" s="284" t="n">
        <v>2.62874503297922</v>
      </c>
      <c r="I80" s="284" t="n">
        <v>0</v>
      </c>
      <c r="J80" s="284" t="n">
        <f aca="false">SUM(H80:I80)</f>
        <v>2.62874503297922</v>
      </c>
      <c r="K80" s="0" t="n">
        <f aca="false">F80/$J80*1000</f>
        <v>13706.9968931767</v>
      </c>
      <c r="L80" s="0" t="n">
        <f aca="false">G80/$J80*1000</f>
        <v>9728.36835796776</v>
      </c>
      <c r="N80" s="285" t="n">
        <f aca="false">F80*(1+$D$4)^($C80-$D$3)</f>
        <v>38.2376588976</v>
      </c>
      <c r="O80" s="285" t="n">
        <f aca="false">G80*(1+$D$4)^($C80-$D$3)</f>
        <v>27.1386966672</v>
      </c>
      <c r="P80" s="285" t="n">
        <f aca="false">H80*(1+$D$4)^($C80-$D$3)</f>
        <v>2.78964525895782</v>
      </c>
      <c r="Q80" s="285" t="n">
        <f aca="false">I80*(1+$D$4)^($C80-$D$3)</f>
        <v>0</v>
      </c>
      <c r="R80" s="285" t="n">
        <f aca="false">SUM(P80:Q80)</f>
        <v>2.78964525895782</v>
      </c>
    </row>
    <row r="81" customFormat="false" ht="12.75" hidden="false" customHeight="false" outlineLevel="0" collapsed="false">
      <c r="C81" s="282" t="n">
        <f aca="false">C69+1</f>
        <v>2004</v>
      </c>
      <c r="D81" s="282" t="n">
        <f aca="false">D69</f>
        <v>1</v>
      </c>
      <c r="E81" s="283" t="n">
        <v>37987</v>
      </c>
      <c r="F81" s="284" t="n">
        <v>38.1101</v>
      </c>
      <c r="G81" s="284" t="n">
        <v>24.8165</v>
      </c>
      <c r="H81" s="284" t="n">
        <v>2.51260024663173</v>
      </c>
      <c r="I81" s="284" t="n">
        <v>0</v>
      </c>
      <c r="J81" s="284" t="n">
        <f aca="false">SUM(H81:I81)</f>
        <v>2.51260024663173</v>
      </c>
      <c r="K81" s="0" t="n">
        <f aca="false">F81/$J81*1000</f>
        <v>15167.593830769</v>
      </c>
      <c r="L81" s="0" t="n">
        <f aca="false">G81/$J81*1000</f>
        <v>9876.81985356318</v>
      </c>
      <c r="N81" s="285" t="n">
        <f aca="false">F81*(1+$D$4)^($C81-$D$3)</f>
        <v>41.251597860816</v>
      </c>
      <c r="O81" s="285" t="n">
        <f aca="false">G81*(1+$D$4)^($C81-$D$3)</f>
        <v>26.86217769864</v>
      </c>
      <c r="P81" s="285" t="n">
        <f aca="false">H81*(1+$D$4)^($C81-$D$3)</f>
        <v>2.71971931217812</v>
      </c>
      <c r="Q81" s="285" t="n">
        <f aca="false">I81*(1+$D$4)^($C81-$D$3)</f>
        <v>0</v>
      </c>
      <c r="R81" s="285" t="n">
        <f aca="false">SUM(P81:Q81)</f>
        <v>2.71971931217812</v>
      </c>
    </row>
    <row r="82" customFormat="false" ht="12.75" hidden="false" customHeight="false" outlineLevel="0" collapsed="false">
      <c r="C82" s="282" t="n">
        <f aca="false">C70+1</f>
        <v>2004</v>
      </c>
      <c r="D82" s="282" t="n">
        <f aca="false">D70</f>
        <v>2</v>
      </c>
      <c r="E82" s="283" t="n">
        <v>38018</v>
      </c>
      <c r="F82" s="284" t="n">
        <v>30.7809</v>
      </c>
      <c r="G82" s="284" t="n">
        <v>21.221</v>
      </c>
      <c r="H82" s="284" t="n">
        <v>2.31678375948935</v>
      </c>
      <c r="I82" s="284" t="n">
        <v>0</v>
      </c>
      <c r="J82" s="284" t="n">
        <f aca="false">SUM(H82:I82)</f>
        <v>2.31678375948935</v>
      </c>
      <c r="K82" s="0" t="n">
        <f aca="false">F82/$J82*1000</f>
        <v>13286.0478989133</v>
      </c>
      <c r="L82" s="0" t="n">
        <f aca="false">G82/$J82*1000</f>
        <v>9159.68092105297</v>
      </c>
      <c r="N82" s="285" t="n">
        <f aca="false">F82*(1+$D$4)^($C82-$D$3)</f>
        <v>33.318236073744</v>
      </c>
      <c r="O82" s="285" t="n">
        <f aca="false">G82*(1+$D$4)^($C82-$D$3)</f>
        <v>22.97029286736</v>
      </c>
      <c r="P82" s="285" t="n">
        <f aca="false">H82*(1+$D$4)^($C82-$D$3)</f>
        <v>2.50776124903698</v>
      </c>
      <c r="Q82" s="285" t="n">
        <f aca="false">I82*(1+$D$4)^($C82-$D$3)</f>
        <v>0</v>
      </c>
      <c r="R82" s="285" t="n">
        <f aca="false">SUM(P82:Q82)</f>
        <v>2.50776124903698</v>
      </c>
    </row>
    <row r="83" customFormat="false" ht="12.75" hidden="false" customHeight="false" outlineLevel="0" collapsed="false">
      <c r="C83" s="282" t="n">
        <f aca="false">C71+1</f>
        <v>2004</v>
      </c>
      <c r="D83" s="282" t="n">
        <f aca="false">D71</f>
        <v>3</v>
      </c>
      <c r="E83" s="283" t="n">
        <v>38047</v>
      </c>
      <c r="F83" s="284" t="n">
        <v>29.333</v>
      </c>
      <c r="G83" s="284" t="n">
        <v>20.8779</v>
      </c>
      <c r="H83" s="284" t="n">
        <v>2.18908513034687</v>
      </c>
      <c r="I83" s="284" t="n">
        <v>0</v>
      </c>
      <c r="J83" s="284" t="n">
        <f aca="false">SUM(H83:I83)</f>
        <v>2.18908513034687</v>
      </c>
      <c r="K83" s="0" t="n">
        <f aca="false">F83/$J83*1000</f>
        <v>13399.6616181629</v>
      </c>
      <c r="L83" s="0" t="n">
        <f aca="false">G83/$J83*1000</f>
        <v>9537.27185415207</v>
      </c>
      <c r="N83" s="285" t="n">
        <f aca="false">F83*(1+$D$4)^($C83-$D$3)</f>
        <v>31.75098254928</v>
      </c>
      <c r="O83" s="285" t="n">
        <f aca="false">G83*(1+$D$4)^($C83-$D$3)</f>
        <v>22.598910393264</v>
      </c>
      <c r="P83" s="285" t="n">
        <f aca="false">H83*(1+$D$4)^($C83-$D$3)</f>
        <v>2.36953614606524</v>
      </c>
      <c r="Q83" s="285" t="n">
        <f aca="false">I83*(1+$D$4)^($C83-$D$3)</f>
        <v>0</v>
      </c>
      <c r="R83" s="285" t="n">
        <f aca="false">SUM(P83:Q83)</f>
        <v>2.36953614606524</v>
      </c>
    </row>
    <row r="84" customFormat="false" ht="12.75" hidden="false" customHeight="false" outlineLevel="0" collapsed="false">
      <c r="C84" s="282" t="n">
        <f aca="false">C72+1</f>
        <v>2004</v>
      </c>
      <c r="D84" s="282" t="n">
        <f aca="false">D72</f>
        <v>4</v>
      </c>
      <c r="E84" s="283" t="n">
        <v>38078</v>
      </c>
      <c r="F84" s="284" t="n">
        <v>28.1513</v>
      </c>
      <c r="G84" s="284" t="n">
        <v>19.6138</v>
      </c>
      <c r="H84" s="284" t="n">
        <v>2.11984516069925</v>
      </c>
      <c r="I84" s="284" t="n">
        <v>0</v>
      </c>
      <c r="J84" s="284" t="n">
        <f aca="false">SUM(H84:I84)</f>
        <v>2.11984516069925</v>
      </c>
      <c r="K84" s="0" t="n">
        <f aca="false">F84/$J84*1000</f>
        <v>13279.8850226938</v>
      </c>
      <c r="L84" s="0" t="n">
        <f aca="false">G84/$J84*1000</f>
        <v>9252.46822910885</v>
      </c>
      <c r="N84" s="285" t="n">
        <f aca="false">F84*(1+$D$4)^($C84-$D$3)</f>
        <v>30.471872465808</v>
      </c>
      <c r="O84" s="285" t="n">
        <f aca="false">G84*(1+$D$4)^($C84-$D$3)</f>
        <v>21.230607899808</v>
      </c>
      <c r="P84" s="285" t="n">
        <f aca="false">H84*(1+$D$4)^($C84-$D$3)</f>
        <v>2.29458857616124</v>
      </c>
      <c r="Q84" s="285" t="n">
        <f aca="false">I84*(1+$D$4)^($C84-$D$3)</f>
        <v>0</v>
      </c>
      <c r="R84" s="285" t="n">
        <f aca="false">SUM(P84:Q84)</f>
        <v>2.29458857616124</v>
      </c>
    </row>
    <row r="85" customFormat="false" ht="12.75" hidden="false" customHeight="false" outlineLevel="0" collapsed="false">
      <c r="C85" s="282" t="n">
        <f aca="false">C73+1</f>
        <v>2004</v>
      </c>
      <c r="D85" s="282" t="n">
        <f aca="false">D73</f>
        <v>5</v>
      </c>
      <c r="E85" s="283" t="n">
        <v>38108</v>
      </c>
      <c r="F85" s="284" t="n">
        <v>29.7973</v>
      </c>
      <c r="G85" s="284" t="n">
        <v>17.5371</v>
      </c>
      <c r="H85" s="284" t="n">
        <v>2.10043880242432</v>
      </c>
      <c r="I85" s="284" t="n">
        <v>0</v>
      </c>
      <c r="J85" s="284" t="n">
        <f aca="false">SUM(H85:I85)</f>
        <v>2.10043880242432</v>
      </c>
      <c r="K85" s="0" t="n">
        <f aca="false">F85/$J85*1000</f>
        <v>14186.2262140692</v>
      </c>
      <c r="L85" s="0" t="n">
        <f aca="false">G85/$J85*1000</f>
        <v>8349.25539356765</v>
      </c>
      <c r="N85" s="285" t="n">
        <f aca="false">F85*(1+$D$4)^($C85-$D$3)</f>
        <v>32.253555801168</v>
      </c>
      <c r="O85" s="285" t="n">
        <f aca="false">G85*(1+$D$4)^($C85-$D$3)</f>
        <v>18.982721033136</v>
      </c>
      <c r="P85" s="285" t="n">
        <f aca="false">H85*(1+$D$4)^($C85-$D$3)</f>
        <v>2.27358250985597</v>
      </c>
      <c r="Q85" s="285" t="n">
        <f aca="false">I85*(1+$D$4)^($C85-$D$3)</f>
        <v>0</v>
      </c>
      <c r="R85" s="285" t="n">
        <f aca="false">SUM(P85:Q85)</f>
        <v>2.27358250985597</v>
      </c>
    </row>
    <row r="86" customFormat="false" ht="12.75" hidden="false" customHeight="false" outlineLevel="0" collapsed="false">
      <c r="C86" s="282" t="n">
        <f aca="false">C74+1</f>
        <v>2004</v>
      </c>
      <c r="D86" s="282" t="n">
        <f aca="false">D74</f>
        <v>6</v>
      </c>
      <c r="E86" s="283" t="n">
        <v>38139</v>
      </c>
      <c r="F86" s="284" t="n">
        <v>28.0461</v>
      </c>
      <c r="G86" s="284" t="n">
        <v>15.5385</v>
      </c>
      <c r="H86" s="284" t="n">
        <v>2.12224100739986</v>
      </c>
      <c r="I86" s="284" t="n">
        <v>0</v>
      </c>
      <c r="J86" s="284" t="n">
        <f aca="false">SUM(H86:I86)</f>
        <v>2.12224100739986</v>
      </c>
      <c r="K86" s="0" t="n">
        <f aca="false">F86/$J86*1000</f>
        <v>13215.3228131058</v>
      </c>
      <c r="L86" s="0" t="n">
        <f aca="false">G86/$J86*1000</f>
        <v>7321.74147319749</v>
      </c>
      <c r="N86" s="285" t="n">
        <f aca="false">F86*(1+$D$4)^($C86-$D$3)</f>
        <v>30.358000602576</v>
      </c>
      <c r="O86" s="285" t="n">
        <f aca="false">G86*(1+$D$4)^($C86-$D$3)</f>
        <v>16.81937211816</v>
      </c>
      <c r="P86" s="285" t="n">
        <f aca="false">H86*(1+$D$4)^($C86-$D$3)</f>
        <v>2.29718191768041</v>
      </c>
      <c r="Q86" s="285" t="n">
        <f aca="false">I86*(1+$D$4)^($C86-$D$3)</f>
        <v>0</v>
      </c>
      <c r="R86" s="285" t="n">
        <f aca="false">SUM(P86:Q86)</f>
        <v>2.29718191768041</v>
      </c>
    </row>
    <row r="87" customFormat="false" ht="12.75" hidden="false" customHeight="false" outlineLevel="0" collapsed="false">
      <c r="C87" s="282" t="n">
        <f aca="false">C75+1</f>
        <v>2004</v>
      </c>
      <c r="D87" s="282" t="n">
        <f aca="false">D75</f>
        <v>7</v>
      </c>
      <c r="E87" s="283" t="n">
        <v>38169</v>
      </c>
      <c r="F87" s="284" t="n">
        <v>46.1966</v>
      </c>
      <c r="G87" s="284" t="n">
        <v>20.6947</v>
      </c>
      <c r="H87" s="284" t="n">
        <v>2.1766267275037</v>
      </c>
      <c r="I87" s="284" t="n">
        <v>0</v>
      </c>
      <c r="J87" s="284" t="n">
        <f aca="false">SUM(H87:I87)</f>
        <v>2.1766267275037</v>
      </c>
      <c r="K87" s="0" t="n">
        <f aca="false">F87/$J87*1000</f>
        <v>21223.9422663808</v>
      </c>
      <c r="L87" s="0" t="n">
        <f aca="false">G87/$J87*1000</f>
        <v>9507.69359693293</v>
      </c>
      <c r="N87" s="285" t="n">
        <f aca="false">F87*(1+$D$4)^($C87-$D$3)</f>
        <v>50.004685522656</v>
      </c>
      <c r="O87" s="285" t="n">
        <f aca="false">G87*(1+$D$4)^($C87-$D$3)</f>
        <v>22.400608821552</v>
      </c>
      <c r="P87" s="285" t="n">
        <f aca="false">H87*(1+$D$4)^($C87-$D$3)</f>
        <v>2.35605077016556</v>
      </c>
      <c r="Q87" s="285" t="n">
        <f aca="false">I87*(1+$D$4)^($C87-$D$3)</f>
        <v>0</v>
      </c>
      <c r="R87" s="285" t="n">
        <f aca="false">SUM(P87:Q87)</f>
        <v>2.35605077016556</v>
      </c>
    </row>
    <row r="88" customFormat="false" ht="12.75" hidden="false" customHeight="false" outlineLevel="0" collapsed="false">
      <c r="C88" s="282" t="n">
        <f aca="false">C76+1</f>
        <v>2004</v>
      </c>
      <c r="D88" s="282" t="n">
        <f aca="false">D76</f>
        <v>8</v>
      </c>
      <c r="E88" s="283" t="n">
        <v>38200</v>
      </c>
      <c r="F88" s="284" t="n">
        <v>72.1708</v>
      </c>
      <c r="G88" s="284" t="n">
        <v>26.3979</v>
      </c>
      <c r="H88" s="284" t="n">
        <v>2.25497091461363</v>
      </c>
      <c r="I88" s="284" t="n">
        <v>0</v>
      </c>
      <c r="J88" s="284" t="n">
        <f aca="false">SUM(H88:I88)</f>
        <v>2.25497091461363</v>
      </c>
      <c r="K88" s="0" t="n">
        <f aca="false">F88/$J88*1000</f>
        <v>32005.2021657077</v>
      </c>
      <c r="L88" s="0" t="n">
        <f aca="false">G88/$J88*1000</f>
        <v>11706.536802282</v>
      </c>
      <c r="N88" s="285" t="n">
        <f aca="false">F88*(1+$D$4)^($C88-$D$3)</f>
        <v>78.119994932928</v>
      </c>
      <c r="O88" s="285" t="n">
        <f aca="false">G88*(1+$D$4)^($C88-$D$3)</f>
        <v>28.573935916464</v>
      </c>
      <c r="P88" s="285" t="n">
        <f aca="false">H88*(1+$D$4)^($C88-$D$3)</f>
        <v>2.44085303784241</v>
      </c>
      <c r="Q88" s="285" t="n">
        <f aca="false">I88*(1+$D$4)^($C88-$D$3)</f>
        <v>0</v>
      </c>
      <c r="R88" s="285" t="n">
        <f aca="false">SUM(P88:Q88)</f>
        <v>2.44085303784241</v>
      </c>
    </row>
    <row r="89" customFormat="false" ht="12.75" hidden="false" customHeight="false" outlineLevel="0" collapsed="false">
      <c r="C89" s="282" t="n">
        <f aca="false">C77+1</f>
        <v>2004</v>
      </c>
      <c r="D89" s="282" t="n">
        <f aca="false">D77</f>
        <v>9</v>
      </c>
      <c r="E89" s="283" t="n">
        <v>38231</v>
      </c>
      <c r="F89" s="284" t="n">
        <v>55.7227</v>
      </c>
      <c r="G89" s="284" t="n">
        <v>25.5653</v>
      </c>
      <c r="H89" s="284" t="n">
        <v>2.34864852060746</v>
      </c>
      <c r="I89" s="284" t="n">
        <v>0</v>
      </c>
      <c r="J89" s="284" t="n">
        <f aca="false">SUM(H89:I89)</f>
        <v>2.34864852060746</v>
      </c>
      <c r="K89" s="0" t="n">
        <f aca="false">F89/$J89*1000</f>
        <v>23725.4316731853</v>
      </c>
      <c r="L89" s="0" t="n">
        <f aca="false">G89/$J89*1000</f>
        <v>10885.1110652299</v>
      </c>
      <c r="N89" s="285" t="n">
        <f aca="false">F89*(1+$D$4)^($C89-$D$3)</f>
        <v>60.316042522032</v>
      </c>
      <c r="O89" s="285" t="n">
        <f aca="false">G89*(1+$D$4)^($C89-$D$3)</f>
        <v>27.672702900048</v>
      </c>
      <c r="P89" s="285" t="n">
        <f aca="false">H89*(1+$D$4)^($C89-$D$3)</f>
        <v>2.54225269124194</v>
      </c>
      <c r="Q89" s="285" t="n">
        <f aca="false">I89*(1+$D$4)^($C89-$D$3)</f>
        <v>0</v>
      </c>
      <c r="R89" s="285" t="n">
        <f aca="false">SUM(P89:Q89)</f>
        <v>2.54225269124194</v>
      </c>
    </row>
    <row r="90" customFormat="false" ht="12.75" hidden="false" customHeight="false" outlineLevel="0" collapsed="false">
      <c r="C90" s="282" t="n">
        <f aca="false">C78+1</f>
        <v>2004</v>
      </c>
      <c r="D90" s="282" t="n">
        <f aca="false">D78</f>
        <v>10</v>
      </c>
      <c r="E90" s="283" t="n">
        <v>38261</v>
      </c>
      <c r="F90" s="284" t="n">
        <v>34.6017</v>
      </c>
      <c r="G90" s="284" t="n">
        <v>23.1617</v>
      </c>
      <c r="H90" s="284" t="n">
        <v>2.449034497363</v>
      </c>
      <c r="I90" s="284" t="n">
        <v>0</v>
      </c>
      <c r="J90" s="284" t="n">
        <f aca="false">SUM(H90:I90)</f>
        <v>2.449034497363</v>
      </c>
      <c r="K90" s="0" t="n">
        <f aca="false">F90/$J90*1000</f>
        <v>14128.7107377448</v>
      </c>
      <c r="L90" s="0" t="n">
        <f aca="false">G90/$J90*1000</f>
        <v>9457.48213221962</v>
      </c>
      <c r="N90" s="285" t="n">
        <f aca="false">F90*(1+$D$4)^($C90-$D$3)</f>
        <v>37.453992870672</v>
      </c>
      <c r="O90" s="285" t="n">
        <f aca="false">G90*(1+$D$4)^($C90-$D$3)</f>
        <v>25.070968960272</v>
      </c>
      <c r="P90" s="285" t="n">
        <f aca="false">H90*(1+$D$4)^($C90-$D$3)</f>
        <v>2.65091370089514</v>
      </c>
      <c r="Q90" s="285" t="n">
        <f aca="false">I90*(1+$D$4)^($C90-$D$3)</f>
        <v>0</v>
      </c>
      <c r="R90" s="285" t="n">
        <f aca="false">SUM(P90:Q90)</f>
        <v>2.65091370089514</v>
      </c>
    </row>
    <row r="91" customFormat="false" ht="12.75" hidden="false" customHeight="false" outlineLevel="0" collapsed="false">
      <c r="C91" s="282" t="n">
        <f aca="false">C79+1</f>
        <v>2004</v>
      </c>
      <c r="D91" s="282" t="n">
        <f aca="false">D79</f>
        <v>11</v>
      </c>
      <c r="E91" s="283" t="n">
        <v>38292</v>
      </c>
      <c r="F91" s="284" t="n">
        <v>38.56</v>
      </c>
      <c r="G91" s="284" t="n">
        <v>24.8773</v>
      </c>
      <c r="H91" s="284" t="n">
        <v>2.54750379675804</v>
      </c>
      <c r="I91" s="284" t="n">
        <v>0</v>
      </c>
      <c r="J91" s="284" t="n">
        <f aca="false">SUM(H91:I91)</f>
        <v>2.54750379675804</v>
      </c>
      <c r="K91" s="0" t="n">
        <f aca="false">F91/$J91*1000</f>
        <v>15136.3856843203</v>
      </c>
      <c r="L91" s="0" t="n">
        <f aca="false">G91/$J91*1000</f>
        <v>9765.36326723394</v>
      </c>
      <c r="N91" s="285" t="n">
        <f aca="false">F91*(1+$D$4)^($C91-$D$3)</f>
        <v>41.7385840896</v>
      </c>
      <c r="O91" s="285" t="n">
        <f aca="false">G91*(1+$D$4)^($C91-$D$3)</f>
        <v>26.927989573968</v>
      </c>
      <c r="P91" s="285" t="n">
        <f aca="false">H91*(1+$D$4)^($C91-$D$3)</f>
        <v>2.75750003733301</v>
      </c>
      <c r="Q91" s="285" t="n">
        <f aca="false">I91*(1+$D$4)^($C91-$D$3)</f>
        <v>0</v>
      </c>
      <c r="R91" s="285" t="n">
        <f aca="false">SUM(P91:Q91)</f>
        <v>2.75750003733301</v>
      </c>
    </row>
    <row r="92" customFormat="false" ht="12.75" hidden="false" customHeight="false" outlineLevel="0" collapsed="false">
      <c r="C92" s="282" t="n">
        <f aca="false">C80+1</f>
        <v>2004</v>
      </c>
      <c r="D92" s="282" t="n">
        <f aca="false">D80</f>
        <v>12</v>
      </c>
      <c r="E92" s="283" t="n">
        <v>38322</v>
      </c>
      <c r="F92" s="284" t="n">
        <v>38.9491</v>
      </c>
      <c r="G92" s="284" t="n">
        <v>25.1873</v>
      </c>
      <c r="H92" s="284" t="n">
        <v>2.65154588239017</v>
      </c>
      <c r="I92" s="284" t="n">
        <v>0</v>
      </c>
      <c r="J92" s="284" t="n">
        <f aca="false">SUM(H92:I92)</f>
        <v>2.65154588239017</v>
      </c>
      <c r="K92" s="0" t="n">
        <f aca="false">F92/$J92*1000</f>
        <v>14689.2046102896</v>
      </c>
      <c r="L92" s="0" t="n">
        <f aca="false">G92/$J92*1000</f>
        <v>9499.10019180795</v>
      </c>
      <c r="N92" s="285" t="n">
        <f aca="false">F92*(1+$D$4)^($C92-$D$3)</f>
        <v>42.159758443056</v>
      </c>
      <c r="O92" s="285" t="n">
        <f aca="false">G92*(1+$D$4)^($C92-$D$3)</f>
        <v>27.263543543568</v>
      </c>
      <c r="P92" s="285" t="n">
        <f aca="false">H92*(1+$D$4)^($C92-$D$3)</f>
        <v>2.87011853681469</v>
      </c>
      <c r="Q92" s="285" t="n">
        <f aca="false">I92*(1+$D$4)^($C92-$D$3)</f>
        <v>0</v>
      </c>
      <c r="R92" s="285" t="n">
        <f aca="false">SUM(P92:Q92)</f>
        <v>2.87011853681469</v>
      </c>
    </row>
    <row r="93" customFormat="false" ht="12.75" hidden="false" customHeight="false" outlineLevel="0" collapsed="false">
      <c r="C93" s="282" t="n">
        <f aca="false">C81+1</f>
        <v>2005</v>
      </c>
      <c r="D93" s="282" t="n">
        <f aca="false">D81</f>
        <v>1</v>
      </c>
      <c r="E93" s="283" t="n">
        <v>38353</v>
      </c>
      <c r="F93" s="284" t="n">
        <v>38.3258</v>
      </c>
      <c r="G93" s="284" t="n">
        <v>25.1636</v>
      </c>
      <c r="H93" s="284" t="n">
        <v>2.52564841381035</v>
      </c>
      <c r="I93" s="284" t="n">
        <v>0</v>
      </c>
      <c r="J93" s="284" t="n">
        <f aca="false">SUM(H93:I93)</f>
        <v>2.52564841381035</v>
      </c>
      <c r="K93" s="0" t="n">
        <f aca="false">F93/$J93*1000</f>
        <v>15174.6378436654</v>
      </c>
      <c r="L93" s="0" t="n">
        <f aca="false">G93/$J93*1000</f>
        <v>9963.22364680863</v>
      </c>
      <c r="N93" s="285" t="n">
        <f aca="false">F93*(1+$D$4)^($C93-$D$3)</f>
        <v>42.3147800472826</v>
      </c>
      <c r="O93" s="285" t="n">
        <f aca="false">G93*(1+$D$4)^($C93-$D$3)</f>
        <v>27.7826476994035</v>
      </c>
      <c r="P93" s="285" t="n">
        <f aca="false">H93*(1+$D$4)^($C93-$D$3)</f>
        <v>2.78851992932054</v>
      </c>
      <c r="Q93" s="285" t="n">
        <f aca="false">I93*(1+$D$4)^($C93-$D$3)</f>
        <v>0</v>
      </c>
      <c r="R93" s="285" t="n">
        <f aca="false">SUM(P93:Q93)</f>
        <v>2.78851992932054</v>
      </c>
    </row>
    <row r="94" customFormat="false" ht="12.75" hidden="false" customHeight="false" outlineLevel="0" collapsed="false">
      <c r="C94" s="282" t="n">
        <f aca="false">C82+1</f>
        <v>2005</v>
      </c>
      <c r="D94" s="282" t="n">
        <f aca="false">D82</f>
        <v>2</v>
      </c>
      <c r="E94" s="283" t="n">
        <v>38384</v>
      </c>
      <c r="F94" s="284" t="n">
        <v>36.0262</v>
      </c>
      <c r="G94" s="284" t="n">
        <v>22.9123</v>
      </c>
      <c r="H94" s="284" t="n">
        <v>2.32881503340611</v>
      </c>
      <c r="I94" s="284" t="n">
        <v>0</v>
      </c>
      <c r="J94" s="284" t="n">
        <f aca="false">SUM(H94:I94)</f>
        <v>2.32881503340611</v>
      </c>
      <c r="K94" s="0" t="n">
        <f aca="false">F94/$J94*1000</f>
        <v>15469.7558557531</v>
      </c>
      <c r="L94" s="0" t="n">
        <f aca="false">G94/$J94*1000</f>
        <v>9838.6087651146</v>
      </c>
      <c r="N94" s="285" t="n">
        <f aca="false">F94*(1+$D$4)^($C94-$D$3)</f>
        <v>39.7758358322438</v>
      </c>
      <c r="O94" s="285" t="n">
        <f aca="false">G94*(1+$D$4)^($C94-$D$3)</f>
        <v>25.2970305871594</v>
      </c>
      <c r="P94" s="285" t="n">
        <f aca="false">H94*(1+$D$4)^($C94-$D$3)</f>
        <v>2.57119997258725</v>
      </c>
      <c r="Q94" s="285" t="n">
        <f aca="false">I94*(1+$D$4)^($C94-$D$3)</f>
        <v>0</v>
      </c>
      <c r="R94" s="285" t="n">
        <f aca="false">SUM(P94:Q94)</f>
        <v>2.57119997258725</v>
      </c>
    </row>
    <row r="95" customFormat="false" ht="12.75" hidden="false" customHeight="false" outlineLevel="0" collapsed="false">
      <c r="C95" s="282" t="n">
        <f aca="false">C83+1</f>
        <v>2005</v>
      </c>
      <c r="D95" s="282" t="n">
        <f aca="false">D83</f>
        <v>3</v>
      </c>
      <c r="E95" s="283" t="n">
        <v>38412</v>
      </c>
      <c r="F95" s="284" t="n">
        <v>30.9608</v>
      </c>
      <c r="G95" s="284" t="n">
        <v>21.057</v>
      </c>
      <c r="H95" s="284" t="n">
        <v>2.20045325338486</v>
      </c>
      <c r="I95" s="284" t="n">
        <v>0</v>
      </c>
      <c r="J95" s="284" t="n">
        <f aca="false">SUM(H95:I95)</f>
        <v>2.20045325338486</v>
      </c>
      <c r="K95" s="0" t="n">
        <f aca="false">F95/$J95*1000</f>
        <v>14070.1921080915</v>
      </c>
      <c r="L95" s="0" t="n">
        <f aca="false">G95/$J95*1000</f>
        <v>9569.3921093797</v>
      </c>
      <c r="N95" s="285" t="n">
        <f aca="false">F95*(1+$D$4)^($C95-$D$3)</f>
        <v>34.1832249317146</v>
      </c>
      <c r="O95" s="285" t="n">
        <f aca="false">G95*(1+$D$4)^($C95-$D$3)</f>
        <v>23.2486294729824</v>
      </c>
      <c r="P95" s="285" t="n">
        <f aca="false">H95*(1+$D$4)^($C95-$D$3)</f>
        <v>2.42947819540121</v>
      </c>
      <c r="Q95" s="285" t="n">
        <f aca="false">I95*(1+$D$4)^($C95-$D$3)</f>
        <v>0</v>
      </c>
      <c r="R95" s="285" t="n">
        <f aca="false">SUM(P95:Q95)</f>
        <v>2.42947819540121</v>
      </c>
    </row>
    <row r="96" customFormat="false" ht="12.75" hidden="false" customHeight="false" outlineLevel="0" collapsed="false">
      <c r="C96" s="282" t="n">
        <f aca="false">C84+1</f>
        <v>2005</v>
      </c>
      <c r="D96" s="282" t="n">
        <f aca="false">D84</f>
        <v>4</v>
      </c>
      <c r="E96" s="283" t="n">
        <v>38443</v>
      </c>
      <c r="F96" s="284" t="n">
        <v>28.5991</v>
      </c>
      <c r="G96" s="284" t="n">
        <v>19.9561</v>
      </c>
      <c r="H96" s="284" t="n">
        <v>2.13085371412381</v>
      </c>
      <c r="I96" s="284" t="n">
        <v>0</v>
      </c>
      <c r="J96" s="284" t="n">
        <f aca="false">SUM(H96:I96)</f>
        <v>2.13085371412381</v>
      </c>
      <c r="K96" s="0" t="n">
        <f aca="false">F96/$J96*1000</f>
        <v>13421.4281395472</v>
      </c>
      <c r="L96" s="0" t="n">
        <f aca="false">G96/$J96*1000</f>
        <v>9365.30737315573</v>
      </c>
      <c r="N96" s="285" t="n">
        <f aca="false">F96*(1+$D$4)^($C96-$D$3)</f>
        <v>31.5757172987971</v>
      </c>
      <c r="O96" s="285" t="n">
        <f aca="false">G96*(1+$D$4)^($C96-$D$3)</f>
        <v>22.0331469167395</v>
      </c>
      <c r="P96" s="285" t="n">
        <f aca="false">H96*(1+$D$4)^($C96-$D$3)</f>
        <v>2.35263468019152</v>
      </c>
      <c r="Q96" s="285" t="n">
        <f aca="false">I96*(1+$D$4)^($C96-$D$3)</f>
        <v>0</v>
      </c>
      <c r="R96" s="285" t="n">
        <f aca="false">SUM(P96:Q96)</f>
        <v>2.35263468019152</v>
      </c>
    </row>
    <row r="97" customFormat="false" ht="12.75" hidden="false" customHeight="false" outlineLevel="0" collapsed="false">
      <c r="C97" s="282" t="n">
        <f aca="false">C85+1</f>
        <v>2005</v>
      </c>
      <c r="D97" s="282" t="n">
        <f aca="false">D85</f>
        <v>5</v>
      </c>
      <c r="E97" s="283" t="n">
        <v>38473</v>
      </c>
      <c r="F97" s="284" t="n">
        <v>30.8643</v>
      </c>
      <c r="G97" s="284" t="n">
        <v>17.5518</v>
      </c>
      <c r="H97" s="284" t="n">
        <v>2.11134657682227</v>
      </c>
      <c r="I97" s="284" t="n">
        <v>0</v>
      </c>
      <c r="J97" s="284" t="n">
        <f aca="false">SUM(H97:I97)</f>
        <v>2.11134657682227</v>
      </c>
      <c r="K97" s="0" t="n">
        <f aca="false">F97/$J97*1000</f>
        <v>14618.3011064214</v>
      </c>
      <c r="L97" s="0" t="n">
        <f aca="false">G97/$J97*1000</f>
        <v>8313.08331501725</v>
      </c>
      <c r="N97" s="285" t="n">
        <f aca="false">F97*(1+$D$4)^($C97-$D$3)</f>
        <v>34.0766811342058</v>
      </c>
      <c r="O97" s="285" t="n">
        <f aca="false">G97*(1+$D$4)^($C97-$D$3)</f>
        <v>19.3786054416058</v>
      </c>
      <c r="P97" s="285" t="n">
        <f aca="false">H97*(1+$D$4)^($C97-$D$3)</f>
        <v>2.3310972243715</v>
      </c>
      <c r="Q97" s="285" t="n">
        <f aca="false">I97*(1+$D$4)^($C97-$D$3)</f>
        <v>0</v>
      </c>
      <c r="R97" s="285" t="n">
        <f aca="false">SUM(P97:Q97)</f>
        <v>2.3310972243715</v>
      </c>
    </row>
    <row r="98" customFormat="false" ht="12.75" hidden="false" customHeight="false" outlineLevel="0" collapsed="false">
      <c r="C98" s="282" t="n">
        <f aca="false">C86+1</f>
        <v>2005</v>
      </c>
      <c r="D98" s="282" t="n">
        <f aca="false">D86</f>
        <v>6</v>
      </c>
      <c r="E98" s="283" t="n">
        <v>38504</v>
      </c>
      <c r="F98" s="284" t="n">
        <v>28.6628</v>
      </c>
      <c r="G98" s="284" t="n">
        <v>16.1473</v>
      </c>
      <c r="H98" s="284" t="n">
        <v>2.13326200267956</v>
      </c>
      <c r="I98" s="284" t="n">
        <v>0</v>
      </c>
      <c r="J98" s="284" t="n">
        <f aca="false">SUM(H98:I98)</f>
        <v>2.13326200267956</v>
      </c>
      <c r="K98" s="0" t="n">
        <f aca="false">F98/$J98*1000</f>
        <v>13436.1367539464</v>
      </c>
      <c r="L98" s="0" t="n">
        <f aca="false">G98/$J98*1000</f>
        <v>7569.29996396019</v>
      </c>
      <c r="N98" s="285" t="n">
        <f aca="false">F98*(1+$D$4)^($C98-$D$3)</f>
        <v>31.646047245961</v>
      </c>
      <c r="O98" s="285" t="n">
        <f aca="false">G98*(1+$D$4)^($C98-$D$3)</f>
        <v>17.8279239535114</v>
      </c>
      <c r="P98" s="285" t="n">
        <f aca="false">H98*(1+$D$4)^($C98-$D$3)</f>
        <v>2.35529362535449</v>
      </c>
      <c r="Q98" s="285" t="n">
        <f aca="false">I98*(1+$D$4)^($C98-$D$3)</f>
        <v>0</v>
      </c>
      <c r="R98" s="285" t="n">
        <f aca="false">SUM(P98:Q98)</f>
        <v>2.35529362535449</v>
      </c>
    </row>
    <row r="99" customFormat="false" ht="12.75" hidden="false" customHeight="false" outlineLevel="0" collapsed="false">
      <c r="C99" s="282" t="n">
        <f aca="false">C87+1</f>
        <v>2005</v>
      </c>
      <c r="D99" s="282" t="n">
        <f aca="false">D87</f>
        <v>7</v>
      </c>
      <c r="E99" s="283" t="n">
        <v>38534</v>
      </c>
      <c r="F99" s="284" t="n">
        <v>53.2474</v>
      </c>
      <c r="G99" s="284" t="n">
        <v>21.026</v>
      </c>
      <c r="H99" s="284" t="n">
        <v>2.18793015289498</v>
      </c>
      <c r="I99" s="284" t="n">
        <v>0</v>
      </c>
      <c r="J99" s="284" t="n">
        <f aca="false">SUM(H99:I99)</f>
        <v>2.18793015289498</v>
      </c>
      <c r="K99" s="0" t="n">
        <f aca="false">F99/$J99*1000</f>
        <v>24336.8829345604</v>
      </c>
      <c r="L99" s="0" t="n">
        <f aca="false">G99/$J99*1000</f>
        <v>9609.99599195578</v>
      </c>
      <c r="N99" s="285" t="n">
        <f aca="false">F99*(1+$D$4)^($C99-$D$3)</f>
        <v>58.7894321603117</v>
      </c>
      <c r="O99" s="285" t="n">
        <f aca="false">G99*(1+$D$4)^($C99-$D$3)</f>
        <v>23.2144029680832</v>
      </c>
      <c r="P99" s="285" t="n">
        <f aca="false">H99*(1+$D$4)^($C99-$D$3)</f>
        <v>2.41565168055379</v>
      </c>
      <c r="Q99" s="285" t="n">
        <f aca="false">I99*(1+$D$4)^($C99-$D$3)</f>
        <v>0</v>
      </c>
      <c r="R99" s="285" t="n">
        <f aca="false">SUM(P99:Q99)</f>
        <v>2.41565168055379</v>
      </c>
    </row>
    <row r="100" customFormat="false" ht="12.75" hidden="false" customHeight="false" outlineLevel="0" collapsed="false">
      <c r="C100" s="282" t="n">
        <f aca="false">C88+1</f>
        <v>2005</v>
      </c>
      <c r="D100" s="282" t="n">
        <f aca="false">D88</f>
        <v>8</v>
      </c>
      <c r="E100" s="283" t="n">
        <v>38565</v>
      </c>
      <c r="F100" s="284" t="n">
        <v>90.6457</v>
      </c>
      <c r="G100" s="284" t="n">
        <v>26.7974</v>
      </c>
      <c r="H100" s="284" t="n">
        <v>2.26668118866787</v>
      </c>
      <c r="I100" s="284" t="n">
        <v>0</v>
      </c>
      <c r="J100" s="284" t="n">
        <f aca="false">SUM(H100:I100)</f>
        <v>2.26668118866787</v>
      </c>
      <c r="K100" s="0" t="n">
        <f aca="false">F100/$J100*1000</f>
        <v>39990.4937902946</v>
      </c>
      <c r="L100" s="0" t="n">
        <f aca="false">G100/$J100*1000</f>
        <v>11822.3066101982</v>
      </c>
      <c r="N100" s="285" t="n">
        <f aca="false">F100*(1+$D$4)^($C100-$D$3)</f>
        <v>100.080177262626</v>
      </c>
      <c r="O100" s="285" t="n">
        <f aca="false">G100*(1+$D$4)^($C100-$D$3)</f>
        <v>29.5864949156717</v>
      </c>
      <c r="P100" s="285" t="n">
        <f aca="false">H100*(1+$D$4)^($C100-$D$3)</f>
        <v>2.50259918738275</v>
      </c>
      <c r="Q100" s="285" t="n">
        <f aca="false">I100*(1+$D$4)^($C100-$D$3)</f>
        <v>0</v>
      </c>
      <c r="R100" s="285" t="n">
        <f aca="false">SUM(P100:Q100)</f>
        <v>2.50259918738275</v>
      </c>
    </row>
    <row r="101" customFormat="false" ht="12.75" hidden="false" customHeight="false" outlineLevel="0" collapsed="false">
      <c r="C101" s="282" t="n">
        <f aca="false">C89+1</f>
        <v>2005</v>
      </c>
      <c r="D101" s="282" t="n">
        <f aca="false">D89</f>
        <v>9</v>
      </c>
      <c r="E101" s="283" t="n">
        <v>38596</v>
      </c>
      <c r="F101" s="284" t="n">
        <v>65.6482</v>
      </c>
      <c r="G101" s="284" t="n">
        <v>26.1229</v>
      </c>
      <c r="H101" s="284" t="n">
        <v>2.36084527119753</v>
      </c>
      <c r="I101" s="284" t="n">
        <v>0</v>
      </c>
      <c r="J101" s="284" t="n">
        <f aca="false">SUM(H101:I101)</f>
        <v>2.36084527119753</v>
      </c>
      <c r="K101" s="0" t="n">
        <f aca="false">F101/$J101*1000</f>
        <v>27807.0743563386</v>
      </c>
      <c r="L101" s="0" t="n">
        <f aca="false">G101/$J101*1000</f>
        <v>11065.0622972633</v>
      </c>
      <c r="N101" s="285" t="n">
        <f aca="false">F101*(1+$D$4)^($C101-$D$3)</f>
        <v>72.4809173846342</v>
      </c>
      <c r="O101" s="285" t="n">
        <f aca="false">G101*(1+$D$4)^($C101-$D$3)</f>
        <v>28.8417924139133</v>
      </c>
      <c r="P101" s="285" t="n">
        <f aca="false">H101*(1+$D$4)^($C101-$D$3)</f>
        <v>2.60656394325469</v>
      </c>
      <c r="Q101" s="285" t="n">
        <f aca="false">I101*(1+$D$4)^($C101-$D$3)</f>
        <v>0</v>
      </c>
      <c r="R101" s="285" t="n">
        <f aca="false">SUM(P101:Q101)</f>
        <v>2.60656394325469</v>
      </c>
    </row>
    <row r="102" customFormat="false" ht="12.75" hidden="false" customHeight="false" outlineLevel="0" collapsed="false">
      <c r="C102" s="282" t="n">
        <f aca="false">C90+1</f>
        <v>2005</v>
      </c>
      <c r="D102" s="282" t="n">
        <f aca="false">D90</f>
        <v>10</v>
      </c>
      <c r="E102" s="283" t="n">
        <v>38626</v>
      </c>
      <c r="F102" s="284" t="n">
        <v>37.5662</v>
      </c>
      <c r="G102" s="284" t="n">
        <v>22.7515</v>
      </c>
      <c r="H102" s="284" t="n">
        <v>2.46175256168327</v>
      </c>
      <c r="I102" s="284" t="n">
        <v>0</v>
      </c>
      <c r="J102" s="284" t="n">
        <f aca="false">SUM(H102:I102)</f>
        <v>2.46175256168327</v>
      </c>
      <c r="K102" s="0" t="n">
        <f aca="false">F102/$J102*1000</f>
        <v>15259.9414680058</v>
      </c>
      <c r="L102" s="0" t="n">
        <f aca="false">G102/$J102*1000</f>
        <v>9241.99302323187</v>
      </c>
      <c r="N102" s="285" t="n">
        <f aca="false">F102*(1+$D$4)^($C102-$D$3)</f>
        <v>41.4761202691718</v>
      </c>
      <c r="O102" s="285" t="n">
        <f aca="false">G102*(1+$D$4)^($C102-$D$3)</f>
        <v>25.1194943940048</v>
      </c>
      <c r="P102" s="285" t="n">
        <f aca="false">H102*(1+$D$4)^($C102-$D$3)</f>
        <v>2.71797374558293</v>
      </c>
      <c r="Q102" s="285" t="n">
        <f aca="false">I102*(1+$D$4)^($C102-$D$3)</f>
        <v>0</v>
      </c>
      <c r="R102" s="285" t="n">
        <f aca="false">SUM(P102:Q102)</f>
        <v>2.71797374558293</v>
      </c>
    </row>
    <row r="103" customFormat="false" ht="12.75" hidden="false" customHeight="false" outlineLevel="0" collapsed="false">
      <c r="C103" s="282" t="n">
        <f aca="false">C91+1</f>
        <v>2005</v>
      </c>
      <c r="D103" s="282" t="n">
        <f aca="false">D91</f>
        <v>11</v>
      </c>
      <c r="E103" s="283" t="n">
        <v>38657</v>
      </c>
      <c r="F103" s="284" t="n">
        <v>39.3687</v>
      </c>
      <c r="G103" s="284" t="n">
        <v>25.1135</v>
      </c>
      <c r="H103" s="284" t="n">
        <v>2.56073322132442</v>
      </c>
      <c r="I103" s="284" t="n">
        <v>0</v>
      </c>
      <c r="J103" s="284" t="n">
        <f aca="false">SUM(H103:I103)</f>
        <v>2.56073322132442</v>
      </c>
      <c r="K103" s="0" t="n">
        <f aca="false">F103/$J103*1000</f>
        <v>15373.9951011525</v>
      </c>
      <c r="L103" s="0" t="n">
        <f aca="false">G103/$J103*1000</f>
        <v>9807.15202617288</v>
      </c>
      <c r="N103" s="285" t="n">
        <f aca="false">F103*(1+$D$4)^($C103-$D$3)</f>
        <v>43.4662259169398</v>
      </c>
      <c r="O103" s="285" t="n">
        <f aca="false">G103*(1+$D$4)^($C103-$D$3)</f>
        <v>27.7273332511632</v>
      </c>
      <c r="P103" s="285" t="n">
        <f aca="false">H103*(1+$D$4)^($C103-$D$3)</f>
        <v>2.82725639178079</v>
      </c>
      <c r="Q103" s="285" t="n">
        <f aca="false">I103*(1+$D$4)^($C103-$D$3)</f>
        <v>0</v>
      </c>
      <c r="R103" s="285" t="n">
        <f aca="false">SUM(P103:Q103)</f>
        <v>2.82725639178079</v>
      </c>
    </row>
    <row r="104" customFormat="false" ht="12.75" hidden="false" customHeight="false" outlineLevel="0" collapsed="false">
      <c r="C104" s="282" t="n">
        <f aca="false">C92+1</f>
        <v>2005</v>
      </c>
      <c r="D104" s="282" t="n">
        <f aca="false">D92</f>
        <v>12</v>
      </c>
      <c r="E104" s="283" t="n">
        <v>38687</v>
      </c>
      <c r="F104" s="284" t="n">
        <v>38.2812</v>
      </c>
      <c r="G104" s="284" t="n">
        <v>25.6849</v>
      </c>
      <c r="H104" s="284" t="n">
        <v>2.66531560720079</v>
      </c>
      <c r="I104" s="284" t="n">
        <v>0</v>
      </c>
      <c r="J104" s="284" t="n">
        <f aca="false">SUM(H104:I104)</f>
        <v>2.66531560720079</v>
      </c>
      <c r="K104" s="0" t="n">
        <f aca="false">F104/$J104*1000</f>
        <v>14362.7268367683</v>
      </c>
      <c r="L104" s="0" t="n">
        <f aca="false">G104/$J104*1000</f>
        <v>9636.71991812453</v>
      </c>
      <c r="N104" s="285" t="n">
        <f aca="false">F104*(1+$D$4)^($C104-$D$3)</f>
        <v>42.2655380434598</v>
      </c>
      <c r="O104" s="285" t="n">
        <f aca="false">G104*(1+$D$4)^($C104-$D$3)</f>
        <v>28.3582050221117</v>
      </c>
      <c r="P104" s="285" t="n">
        <f aca="false">H104*(1+$D$4)^($C104-$D$3)</f>
        <v>2.94272379637974</v>
      </c>
      <c r="Q104" s="285" t="n">
        <f aca="false">I104*(1+$D$4)^($C104-$D$3)</f>
        <v>0</v>
      </c>
      <c r="R104" s="285" t="n">
        <f aca="false">SUM(P104:Q104)</f>
        <v>2.94272379637974</v>
      </c>
    </row>
    <row r="105" customFormat="false" ht="12.75" hidden="false" customHeight="false" outlineLevel="0" collapsed="false">
      <c r="C105" s="282" t="n">
        <f aca="false">C93+1</f>
        <v>2006</v>
      </c>
      <c r="D105" s="282" t="n">
        <f aca="false">D93</f>
        <v>1</v>
      </c>
      <c r="E105" s="283" t="n">
        <v>38718</v>
      </c>
      <c r="F105" s="284" t="n">
        <v>39.5743</v>
      </c>
      <c r="G105" s="284" t="n">
        <v>26.813</v>
      </c>
      <c r="H105" s="284" t="n">
        <v>2.54951425098983</v>
      </c>
      <c r="I105" s="284" t="n">
        <v>0</v>
      </c>
      <c r="J105" s="284" t="n">
        <f aca="false">SUM(H105:I105)</f>
        <v>2.54951425098983</v>
      </c>
      <c r="K105" s="0" t="n">
        <f aca="false">F105/$J105*1000</f>
        <v>15522.2901714064</v>
      </c>
      <c r="L105" s="0" t="n">
        <f aca="false">G105/$J105*1000</f>
        <v>10516.9053240593</v>
      </c>
      <c r="N105" s="285" t="n">
        <f aca="false">F105*(1+$D$4)^($C105-$D$3)</f>
        <v>44.5670894286793</v>
      </c>
      <c r="O105" s="285" t="n">
        <f aca="false">G105*(1+$D$4)^($C105-$D$3)</f>
        <v>30.1957929477256</v>
      </c>
      <c r="P105" s="285" t="n">
        <f aca="false">H105*(1+$D$4)^($C105-$D$3)</f>
        <v>2.87116713684275</v>
      </c>
      <c r="Q105" s="285" t="n">
        <f aca="false">I105*(1+$D$4)^($C105-$D$3)</f>
        <v>0</v>
      </c>
      <c r="R105" s="285" t="n">
        <f aca="false">SUM(P105:Q105)</f>
        <v>2.87116713684275</v>
      </c>
    </row>
    <row r="106" customFormat="false" ht="12.75" hidden="false" customHeight="false" outlineLevel="0" collapsed="false">
      <c r="C106" s="282" t="n">
        <f aca="false">C94+1</f>
        <v>2006</v>
      </c>
      <c r="D106" s="282" t="n">
        <f aca="false">D94</f>
        <v>2</v>
      </c>
      <c r="E106" s="283" t="n">
        <v>38749</v>
      </c>
      <c r="F106" s="284" t="n">
        <v>36.7531</v>
      </c>
      <c r="G106" s="284" t="n">
        <v>23.1703</v>
      </c>
      <c r="H106" s="284" t="n">
        <v>2.35082091518462</v>
      </c>
      <c r="I106" s="284" t="n">
        <v>0</v>
      </c>
      <c r="J106" s="284" t="n">
        <f aca="false">SUM(H106:I106)</f>
        <v>2.35082091518462</v>
      </c>
      <c r="K106" s="0" t="n">
        <f aca="false">F106/$J106*1000</f>
        <v>15634.1556103237</v>
      </c>
      <c r="L106" s="0" t="n">
        <f aca="false">G106/$J106*1000</f>
        <v>9856.25908393807</v>
      </c>
      <c r="N106" s="285" t="n">
        <f aca="false">F106*(1+$D$4)^($C106-$D$3)</f>
        <v>41.3899600114517</v>
      </c>
      <c r="O106" s="285" t="n">
        <f aca="false">G106*(1+$D$4)^($C106-$D$3)</f>
        <v>26.0935211030727</v>
      </c>
      <c r="P106" s="285" t="n">
        <f aca="false">H106*(1+$D$4)^($C106-$D$3)</f>
        <v>2.64740616910072</v>
      </c>
      <c r="Q106" s="285" t="n">
        <f aca="false">I106*(1+$D$4)^($C106-$D$3)</f>
        <v>0</v>
      </c>
      <c r="R106" s="285" t="n">
        <f aca="false">SUM(P106:Q106)</f>
        <v>2.64740616910072</v>
      </c>
    </row>
    <row r="107" customFormat="false" ht="12.75" hidden="false" customHeight="false" outlineLevel="0" collapsed="false">
      <c r="C107" s="282" t="n">
        <f aca="false">C95+1</f>
        <v>2006</v>
      </c>
      <c r="D107" s="282" t="n">
        <f aca="false">D95</f>
        <v>3</v>
      </c>
      <c r="E107" s="283" t="n">
        <v>38777</v>
      </c>
      <c r="F107" s="284" t="n">
        <v>31.094</v>
      </c>
      <c r="G107" s="284" t="n">
        <v>20.8323</v>
      </c>
      <c r="H107" s="284" t="n">
        <v>2.22124619462687</v>
      </c>
      <c r="I107" s="284" t="n">
        <v>0</v>
      </c>
      <c r="J107" s="284" t="n">
        <f aca="false">SUM(H107:I107)</f>
        <v>2.22124619462687</v>
      </c>
      <c r="K107" s="0" t="n">
        <f aca="false">F107/$J107*1000</f>
        <v>13998.4482923214</v>
      </c>
      <c r="L107" s="0" t="n">
        <f aca="false">G107/$J107*1000</f>
        <v>9378.65422139729</v>
      </c>
      <c r="N107" s="285" t="n">
        <f aca="false">F107*(1+$D$4)^($C107-$D$3)</f>
        <v>35.0168942645948</v>
      </c>
      <c r="O107" s="285" t="n">
        <f aca="false">G107*(1+$D$4)^($C107-$D$3)</f>
        <v>23.4605533668334</v>
      </c>
      <c r="P107" s="285" t="n">
        <f aca="false">H107*(1+$D$4)^($C107-$D$3)</f>
        <v>2.50148398832195</v>
      </c>
      <c r="Q107" s="285" t="n">
        <f aca="false">I107*(1+$D$4)^($C107-$D$3)</f>
        <v>0</v>
      </c>
      <c r="R107" s="285" t="n">
        <f aca="false">SUM(P107:Q107)</f>
        <v>2.50148398832195</v>
      </c>
    </row>
    <row r="108" customFormat="false" ht="12.75" hidden="false" customHeight="false" outlineLevel="0" collapsed="false">
      <c r="C108" s="282" t="n">
        <f aca="false">C96+1</f>
        <v>2006</v>
      </c>
      <c r="D108" s="282" t="n">
        <f aca="false">D96</f>
        <v>4</v>
      </c>
      <c r="E108" s="283" t="n">
        <v>38808</v>
      </c>
      <c r="F108" s="284" t="n">
        <v>29.1732</v>
      </c>
      <c r="G108" s="284" t="n">
        <v>19.7633</v>
      </c>
      <c r="H108" s="284" t="n">
        <v>2.15098898216686</v>
      </c>
      <c r="I108" s="284" t="n">
        <v>0</v>
      </c>
      <c r="J108" s="284" t="n">
        <f aca="false">SUM(H108:I108)</f>
        <v>2.15098898216686</v>
      </c>
      <c r="K108" s="0" t="n">
        <f aca="false">F108/$J108*1000</f>
        <v>13562.6915069605</v>
      </c>
      <c r="L108" s="0" t="n">
        <f aca="false">G108/$J108*1000</f>
        <v>9188.00615151962</v>
      </c>
      <c r="N108" s="285" t="n">
        <f aca="false">F108*(1+$D$4)^($C108-$D$3)</f>
        <v>32.8537614896725</v>
      </c>
      <c r="O108" s="285" t="n">
        <f aca="false">G108*(1+$D$4)^($C108-$D$3)</f>
        <v>22.2566857406402</v>
      </c>
      <c r="P108" s="285" t="n">
        <f aca="false">H108*(1+$D$4)^($C108-$D$3)</f>
        <v>2.42236295596724</v>
      </c>
      <c r="Q108" s="285" t="n">
        <f aca="false">I108*(1+$D$4)^($C108-$D$3)</f>
        <v>0</v>
      </c>
      <c r="R108" s="285" t="n">
        <f aca="false">SUM(P108:Q108)</f>
        <v>2.42236295596724</v>
      </c>
    </row>
    <row r="109" customFormat="false" ht="12.75" hidden="false" customHeight="false" outlineLevel="0" collapsed="false">
      <c r="C109" s="282" t="n">
        <f aca="false">C97+1</f>
        <v>2006</v>
      </c>
      <c r="D109" s="282" t="n">
        <f aca="false">D97</f>
        <v>5</v>
      </c>
      <c r="E109" s="283" t="n">
        <v>38838</v>
      </c>
      <c r="F109" s="284" t="n">
        <v>30.8051</v>
      </c>
      <c r="G109" s="284" t="n">
        <v>18.5206</v>
      </c>
      <c r="H109" s="284" t="n">
        <v>2.13129751431474</v>
      </c>
      <c r="I109" s="284" t="n">
        <v>0</v>
      </c>
      <c r="J109" s="284" t="n">
        <f aca="false">SUM(H109:I109)</f>
        <v>2.13129751431474</v>
      </c>
      <c r="K109" s="0" t="n">
        <f aca="false">F109/$J109*1000</f>
        <v>14453.6836331386</v>
      </c>
      <c r="L109" s="0" t="n">
        <f aca="false">G109/$J109*1000</f>
        <v>8689.82386344817</v>
      </c>
      <c r="N109" s="285" t="n">
        <f aca="false">F109*(1+$D$4)^($C109-$D$3)</f>
        <v>34.6915459416694</v>
      </c>
      <c r="O109" s="285" t="n">
        <f aca="false">G109*(1+$D$4)^($C109-$D$3)</f>
        <v>20.8572037022208</v>
      </c>
      <c r="P109" s="285" t="n">
        <f aca="false">H109*(1+$D$4)^($C109-$D$3)</f>
        <v>2.40018716489204</v>
      </c>
      <c r="Q109" s="285" t="n">
        <f aca="false">I109*(1+$D$4)^($C109-$D$3)</f>
        <v>0</v>
      </c>
      <c r="R109" s="285" t="n">
        <f aca="false">SUM(P109:Q109)</f>
        <v>2.40018716489204</v>
      </c>
    </row>
    <row r="110" customFormat="false" ht="12.75" hidden="false" customHeight="false" outlineLevel="0" collapsed="false">
      <c r="C110" s="282" t="n">
        <f aca="false">C98+1</f>
        <v>2006</v>
      </c>
      <c r="D110" s="282" t="n">
        <f aca="false">D98</f>
        <v>6</v>
      </c>
      <c r="E110" s="283" t="n">
        <v>38869</v>
      </c>
      <c r="F110" s="284" t="n">
        <v>28.1508</v>
      </c>
      <c r="G110" s="284" t="n">
        <v>16.4831</v>
      </c>
      <c r="H110" s="284" t="n">
        <v>2.1534200275807</v>
      </c>
      <c r="I110" s="284" t="n">
        <v>0</v>
      </c>
      <c r="J110" s="284" t="n">
        <f aca="false">SUM(H110:I110)</f>
        <v>2.1534200275807</v>
      </c>
      <c r="K110" s="0" t="n">
        <f aca="false">F110/$J110*1000</f>
        <v>13072.6006257249</v>
      </c>
      <c r="L110" s="0" t="n">
        <f aca="false">G110/$J110*1000</f>
        <v>7654.38223332503</v>
      </c>
      <c r="N110" s="285" t="n">
        <f aca="false">F110*(1+$D$4)^($C110-$D$3)</f>
        <v>31.702373032217</v>
      </c>
      <c r="O110" s="285" t="n">
        <f aca="false">G110*(1+$D$4)^($C110-$D$3)</f>
        <v>18.5626477729704</v>
      </c>
      <c r="P110" s="285" t="n">
        <f aca="false">H110*(1+$D$4)^($C110-$D$3)</f>
        <v>2.42510070795183</v>
      </c>
      <c r="Q110" s="285" t="n">
        <f aca="false">I110*(1+$D$4)^($C110-$D$3)</f>
        <v>0</v>
      </c>
      <c r="R110" s="285" t="n">
        <f aca="false">SUM(P110:Q110)</f>
        <v>2.42510070795183</v>
      </c>
    </row>
    <row r="111" customFormat="false" ht="12.75" hidden="false" customHeight="false" outlineLevel="0" collapsed="false">
      <c r="C111" s="282" t="n">
        <f aca="false">C99+1</f>
        <v>2006</v>
      </c>
      <c r="D111" s="282" t="n">
        <f aca="false">D99</f>
        <v>7</v>
      </c>
      <c r="E111" s="283" t="n">
        <v>38899</v>
      </c>
      <c r="F111" s="284" t="n">
        <v>49.0425</v>
      </c>
      <c r="G111" s="284" t="n">
        <v>21.8756</v>
      </c>
      <c r="H111" s="284" t="n">
        <v>2.2086047584749</v>
      </c>
      <c r="I111" s="284" t="n">
        <v>0</v>
      </c>
      <c r="J111" s="284" t="n">
        <f aca="false">SUM(H111:I111)</f>
        <v>2.2086047584749</v>
      </c>
      <c r="K111" s="0" t="n">
        <f aca="false">F111/$J111*1000</f>
        <v>22205.1952988932</v>
      </c>
      <c r="L111" s="0" t="n">
        <f aca="false">G111/$J111*1000</f>
        <v>9904.71469196041</v>
      </c>
      <c r="N111" s="285" t="n">
        <f aca="false">F111*(1+$D$4)^($C111-$D$3)</f>
        <v>55.2298204467547</v>
      </c>
      <c r="O111" s="285" t="n">
        <f aca="false">G111*(1+$D$4)^($C111-$D$3)</f>
        <v>24.6354786188516</v>
      </c>
      <c r="P111" s="285" t="n">
        <f aca="false">H111*(1+$D$4)^($C111-$D$3)</f>
        <v>2.48724767800207</v>
      </c>
      <c r="Q111" s="285" t="n">
        <f aca="false">I111*(1+$D$4)^($C111-$D$3)</f>
        <v>0</v>
      </c>
      <c r="R111" s="285" t="n">
        <f aca="false">SUM(P111:Q111)</f>
        <v>2.48724767800207</v>
      </c>
    </row>
    <row r="112" customFormat="false" ht="12.75" hidden="false" customHeight="false" outlineLevel="0" collapsed="false">
      <c r="C112" s="282" t="n">
        <f aca="false">C100+1</f>
        <v>2006</v>
      </c>
      <c r="D112" s="282" t="n">
        <f aca="false">D100</f>
        <v>8</v>
      </c>
      <c r="E112" s="283" t="n">
        <v>38930</v>
      </c>
      <c r="F112" s="284" t="n">
        <v>96.5667</v>
      </c>
      <c r="G112" s="284" t="n">
        <v>27.4317</v>
      </c>
      <c r="H112" s="284" t="n">
        <v>2.28809994350751</v>
      </c>
      <c r="I112" s="284" t="n">
        <v>0</v>
      </c>
      <c r="J112" s="284" t="n">
        <f aca="false">SUM(H112:I112)</f>
        <v>2.28809994350751</v>
      </c>
      <c r="K112" s="0" t="n">
        <f aca="false">F112/$J112*1000</f>
        <v>42203.8819912601</v>
      </c>
      <c r="L112" s="0" t="n">
        <f aca="false">G112/$J112*1000</f>
        <v>11988.855678196</v>
      </c>
      <c r="N112" s="285" t="n">
        <f aca="false">F112*(1+$D$4)^($C112-$D$3)</f>
        <v>108.749788492341</v>
      </c>
      <c r="O112" s="285" t="n">
        <f aca="false">G112*(1+$D$4)^($C112-$D$3)</f>
        <v>30.8925496365243</v>
      </c>
      <c r="P112" s="285" t="n">
        <f aca="false">H112*(1+$D$4)^($C112-$D$3)</f>
        <v>2.57677216789824</v>
      </c>
      <c r="Q112" s="285" t="n">
        <f aca="false">I112*(1+$D$4)^($C112-$D$3)</f>
        <v>0</v>
      </c>
      <c r="R112" s="285" t="n">
        <f aca="false">SUM(P112:Q112)</f>
        <v>2.57677216789824</v>
      </c>
    </row>
    <row r="113" customFormat="false" ht="12.75" hidden="false" customHeight="false" outlineLevel="0" collapsed="false">
      <c r="C113" s="282" t="n">
        <f aca="false">C101+1</f>
        <v>2006</v>
      </c>
      <c r="D113" s="282" t="n">
        <f aca="false">D101</f>
        <v>9</v>
      </c>
      <c r="E113" s="283" t="n">
        <v>38961</v>
      </c>
      <c r="F113" s="284" t="n">
        <v>67.1715</v>
      </c>
      <c r="G113" s="284" t="n">
        <v>26.5844</v>
      </c>
      <c r="H113" s="284" t="n">
        <v>2.38315381918871</v>
      </c>
      <c r="I113" s="284" t="n">
        <v>0</v>
      </c>
      <c r="J113" s="284" t="n">
        <f aca="false">SUM(H113:I113)</f>
        <v>2.38315381918871</v>
      </c>
      <c r="K113" s="0" t="n">
        <f aca="false">F113/$J113*1000</f>
        <v>28185.9691385204</v>
      </c>
      <c r="L113" s="0" t="n">
        <f aca="false">G113/$J113*1000</f>
        <v>11155.1339178979</v>
      </c>
      <c r="N113" s="285" t="n">
        <f aca="false">F113*(1+$D$4)^($C113-$D$3)</f>
        <v>75.6460189455918</v>
      </c>
      <c r="O113" s="285" t="n">
        <f aca="false">G113*(1+$D$4)^($C113-$D$3)</f>
        <v>29.9383522186819</v>
      </c>
      <c r="P113" s="285" t="n">
        <f aca="false">H113*(1+$D$4)^($C113-$D$3)</f>
        <v>2.6838182704958</v>
      </c>
      <c r="Q113" s="285" t="n">
        <f aca="false">I113*(1+$D$4)^($C113-$D$3)</f>
        <v>0</v>
      </c>
      <c r="R113" s="285" t="n">
        <f aca="false">SUM(P113:Q113)</f>
        <v>2.6838182704958</v>
      </c>
    </row>
    <row r="114" customFormat="false" ht="12.75" hidden="false" customHeight="false" outlineLevel="0" collapsed="false">
      <c r="C114" s="282" t="n">
        <f aca="false">C102+1</f>
        <v>2006</v>
      </c>
      <c r="D114" s="282" t="n">
        <f aca="false">D102</f>
        <v>10</v>
      </c>
      <c r="E114" s="283" t="n">
        <v>38991</v>
      </c>
      <c r="F114" s="284" t="n">
        <v>39.5375</v>
      </c>
      <c r="G114" s="284" t="n">
        <v>23.3842</v>
      </c>
      <c r="H114" s="284" t="n">
        <v>2.48501462202866</v>
      </c>
      <c r="I114" s="284" t="n">
        <v>0</v>
      </c>
      <c r="J114" s="284" t="n">
        <f aca="false">SUM(H114:I114)</f>
        <v>2.48501462202866</v>
      </c>
      <c r="K114" s="0" t="n">
        <f aca="false">F114/$J114*1000</f>
        <v>15910.3691581996</v>
      </c>
      <c r="L114" s="0" t="n">
        <f aca="false">G114/$J114*1000</f>
        <v>9410.08547503439</v>
      </c>
      <c r="N114" s="285" t="n">
        <f aca="false">F114*(1+$D$4)^($C114-$D$3)</f>
        <v>44.5256466516504</v>
      </c>
      <c r="O114" s="285" t="n">
        <f aca="false">G114*(1+$D$4)^($C114-$D$3)</f>
        <v>26.3344072445532</v>
      </c>
      <c r="P114" s="285" t="n">
        <f aca="false">H114*(1+$D$4)^($C114-$D$3)</f>
        <v>2.79853007865022</v>
      </c>
      <c r="Q114" s="285" t="n">
        <f aca="false">I114*(1+$D$4)^($C114-$D$3)</f>
        <v>0</v>
      </c>
      <c r="R114" s="285" t="n">
        <f aca="false">SUM(P114:Q114)</f>
        <v>2.79853007865022</v>
      </c>
    </row>
    <row r="115" customFormat="false" ht="12.75" hidden="false" customHeight="false" outlineLevel="0" collapsed="false">
      <c r="C115" s="282" t="n">
        <f aca="false">C103+1</f>
        <v>2006</v>
      </c>
      <c r="D115" s="282" t="n">
        <f aca="false">D103</f>
        <v>11</v>
      </c>
      <c r="E115" s="283" t="n">
        <v>39022</v>
      </c>
      <c r="F115" s="284" t="n">
        <v>40.8761</v>
      </c>
      <c r="G115" s="284" t="n">
        <v>25.7112</v>
      </c>
      <c r="H115" s="284" t="n">
        <v>2.58493058853754</v>
      </c>
      <c r="I115" s="284" t="n">
        <v>0</v>
      </c>
      <c r="J115" s="284" t="n">
        <f aca="false">SUM(H115:I115)</f>
        <v>2.58493058853754</v>
      </c>
      <c r="K115" s="0" t="n">
        <f aca="false">F115/$J115*1000</f>
        <v>15813.2292531407</v>
      </c>
      <c r="L115" s="0" t="n">
        <f aca="false">G115/$J115*1000</f>
        <v>9946.57269096979</v>
      </c>
      <c r="N115" s="285" t="n">
        <f aca="false">F115*(1+$D$4)^($C115-$D$3)</f>
        <v>46.0331276660772</v>
      </c>
      <c r="O115" s="285" t="n">
        <f aca="false">G115*(1+$D$4)^($C115-$D$3)</f>
        <v>28.9549871941806</v>
      </c>
      <c r="P115" s="285" t="n">
        <f aca="false">H115*(1+$D$4)^($C115-$D$3)</f>
        <v>2.91105168521696</v>
      </c>
      <c r="Q115" s="285" t="n">
        <f aca="false">I115*(1+$D$4)^($C115-$D$3)</f>
        <v>0</v>
      </c>
      <c r="R115" s="285" t="n">
        <f aca="false">SUM(P115:Q115)</f>
        <v>2.91105168521696</v>
      </c>
    </row>
    <row r="116" customFormat="false" ht="12.75" hidden="false" customHeight="false" outlineLevel="0" collapsed="false">
      <c r="C116" s="282" t="n">
        <f aca="false">C104+1</f>
        <v>2006</v>
      </c>
      <c r="D116" s="282" t="n">
        <f aca="false">D104</f>
        <v>12</v>
      </c>
      <c r="E116" s="283" t="n">
        <v>39052</v>
      </c>
      <c r="F116" s="284" t="n">
        <v>42.0704</v>
      </c>
      <c r="G116" s="284" t="n">
        <v>26.5857</v>
      </c>
      <c r="H116" s="284" t="n">
        <v>2.69050121417821</v>
      </c>
      <c r="I116" s="284" t="n">
        <v>0</v>
      </c>
      <c r="J116" s="284" t="n">
        <f aca="false">SUM(H116:I116)</f>
        <v>2.69050121417821</v>
      </c>
      <c r="K116" s="0" t="n">
        <f aca="false">F116/$J116*1000</f>
        <v>15636.6404067393</v>
      </c>
      <c r="L116" s="0" t="n">
        <f aca="false">G116/$J116*1000</f>
        <v>9881.31871485529</v>
      </c>
      <c r="N116" s="285" t="n">
        <f aca="false">F116*(1+$D$4)^($C116-$D$3)</f>
        <v>47.3781034434042</v>
      </c>
      <c r="O116" s="285" t="n">
        <f aca="false">G116*(1+$D$4)^($C116-$D$3)</f>
        <v>29.9398162298269</v>
      </c>
      <c r="P116" s="285" t="n">
        <f aca="false">H116*(1+$D$4)^($C116-$D$3)</f>
        <v>3.02994135639166</v>
      </c>
      <c r="Q116" s="285" t="n">
        <f aca="false">I116*(1+$D$4)^($C116-$D$3)</f>
        <v>0</v>
      </c>
      <c r="R116" s="285" t="n">
        <f aca="false">SUM(P116:Q116)</f>
        <v>3.02994135639166</v>
      </c>
    </row>
    <row r="117" customFormat="false" ht="12.75" hidden="false" customHeight="false" outlineLevel="0" collapsed="false">
      <c r="C117" s="282" t="n">
        <f aca="false">C105+1</f>
        <v>2007</v>
      </c>
      <c r="D117" s="282" t="n">
        <f aca="false">D105</f>
        <v>1</v>
      </c>
      <c r="E117" s="283" t="n">
        <v>39083</v>
      </c>
      <c r="F117" s="284" t="n">
        <v>41.9938</v>
      </c>
      <c r="G117" s="284" t="n">
        <v>25.8513</v>
      </c>
      <c r="H117" s="284" t="n">
        <v>2.56702996736175</v>
      </c>
      <c r="I117" s="284" t="n">
        <v>0</v>
      </c>
      <c r="J117" s="284" t="n">
        <f aca="false">SUM(H117:I117)</f>
        <v>2.56702996736175</v>
      </c>
      <c r="K117" s="0" t="n">
        <f aca="false">F117/$J117*1000</f>
        <v>16358.9052461117</v>
      </c>
      <c r="L117" s="0" t="n">
        <f aca="false">G117/$J117*1000</f>
        <v>10070.5096273452</v>
      </c>
      <c r="N117" s="285" t="n">
        <f aca="false">F117*(1+$D$4)^($C117-$D$3)</f>
        <v>48.2376761901303</v>
      </c>
      <c r="O117" s="285" t="n">
        <f aca="false">G117*(1+$D$4)^($C117-$D$3)</f>
        <v>29.6950178001018</v>
      </c>
      <c r="P117" s="285" t="n">
        <f aca="false">H117*(1+$D$4)^($C117-$D$3)</f>
        <v>2.94871053193464</v>
      </c>
      <c r="Q117" s="285" t="n">
        <f aca="false">I117*(1+$D$4)^($C117-$D$3)</f>
        <v>0</v>
      </c>
      <c r="R117" s="285" t="n">
        <f aca="false">SUM(P117:Q117)</f>
        <v>2.94871053193464</v>
      </c>
    </row>
    <row r="118" customFormat="false" ht="12.75" hidden="false" customHeight="false" outlineLevel="0" collapsed="false">
      <c r="C118" s="282" t="n">
        <f aca="false">C106+1</f>
        <v>2007</v>
      </c>
      <c r="D118" s="282" t="n">
        <f aca="false">D106</f>
        <v>2</v>
      </c>
      <c r="E118" s="283" t="n">
        <v>39114</v>
      </c>
      <c r="F118" s="284" t="n">
        <v>35.951</v>
      </c>
      <c r="G118" s="284" t="n">
        <v>21.9892</v>
      </c>
      <c r="H118" s="284" t="n">
        <v>2.36697156520572</v>
      </c>
      <c r="I118" s="284" t="n">
        <v>0</v>
      </c>
      <c r="J118" s="284" t="n">
        <f aca="false">SUM(H118:I118)</f>
        <v>2.36697156520572</v>
      </c>
      <c r="K118" s="0" t="n">
        <f aca="false">F118/$J118*1000</f>
        <v>15188.6066264913</v>
      </c>
      <c r="L118" s="0" t="n">
        <f aca="false">G118/$J118*1000</f>
        <v>9290.01443162198</v>
      </c>
      <c r="N118" s="285" t="n">
        <f aca="false">F118*(1+$D$4)^($C118-$D$3)</f>
        <v>41.2963984376593</v>
      </c>
      <c r="O118" s="285" t="n">
        <f aca="false">G118*(1+$D$4)^($C118-$D$3)</f>
        <v>25.2586788830736</v>
      </c>
      <c r="P118" s="285" t="n">
        <f aca="false">H118*(1+$D$4)^($C118-$D$3)</f>
        <v>2.71890631268519</v>
      </c>
      <c r="Q118" s="285" t="n">
        <f aca="false">I118*(1+$D$4)^($C118-$D$3)</f>
        <v>0</v>
      </c>
      <c r="R118" s="285" t="n">
        <f aca="false">SUM(P118:Q118)</f>
        <v>2.71890631268519</v>
      </c>
    </row>
    <row r="119" customFormat="false" ht="12.75" hidden="false" customHeight="false" outlineLevel="0" collapsed="false">
      <c r="C119" s="282" t="n">
        <f aca="false">C107+1</f>
        <v>2007</v>
      </c>
      <c r="D119" s="282" t="n">
        <f aca="false">D107</f>
        <v>3</v>
      </c>
      <c r="E119" s="283" t="n">
        <v>39142</v>
      </c>
      <c r="F119" s="284" t="n">
        <v>31.0131</v>
      </c>
      <c r="G119" s="284" t="n">
        <v>20.9732</v>
      </c>
      <c r="H119" s="284" t="n">
        <v>2.23650663818869</v>
      </c>
      <c r="I119" s="284" t="n">
        <v>0</v>
      </c>
      <c r="J119" s="284" t="n">
        <f aca="false">SUM(H119:I119)</f>
        <v>2.23650663818869</v>
      </c>
      <c r="K119" s="0" t="n">
        <f aca="false">F119/$J119*1000</f>
        <v>13866.7596466948</v>
      </c>
      <c r="L119" s="0" t="n">
        <f aca="false">G119/$J119*1000</f>
        <v>9377.6605183635</v>
      </c>
      <c r="N119" s="285" t="n">
        <f aca="false">F119*(1+$D$4)^($C119-$D$3)</f>
        <v>35.6243034793739</v>
      </c>
      <c r="O119" s="285" t="n">
        <f aca="false">G119*(1+$D$4)^($C119-$D$3)</f>
        <v>24.0916142447419</v>
      </c>
      <c r="P119" s="285" t="n">
        <f aca="false">H119*(1+$D$4)^($C119-$D$3)</f>
        <v>2.56904312088983</v>
      </c>
      <c r="Q119" s="285" t="n">
        <f aca="false">I119*(1+$D$4)^($C119-$D$3)</f>
        <v>0</v>
      </c>
      <c r="R119" s="285" t="n">
        <f aca="false">SUM(P119:Q119)</f>
        <v>2.56904312088983</v>
      </c>
    </row>
    <row r="120" customFormat="false" ht="12.75" hidden="false" customHeight="false" outlineLevel="0" collapsed="false">
      <c r="C120" s="282" t="n">
        <f aca="false">C108+1</f>
        <v>2007</v>
      </c>
      <c r="D120" s="282" t="n">
        <f aca="false">D108</f>
        <v>4</v>
      </c>
      <c r="E120" s="283" t="n">
        <v>39173</v>
      </c>
      <c r="F120" s="284" t="n">
        <v>30.0905</v>
      </c>
      <c r="G120" s="284" t="n">
        <v>19.6871</v>
      </c>
      <c r="H120" s="284" t="n">
        <v>2.16576674342712</v>
      </c>
      <c r="I120" s="284" t="n">
        <v>0</v>
      </c>
      <c r="J120" s="284" t="n">
        <f aca="false">SUM(H120:I120)</f>
        <v>2.16576674342712</v>
      </c>
      <c r="K120" s="0" t="n">
        <f aca="false">F120/$J120*1000</f>
        <v>13893.6938113588</v>
      </c>
      <c r="L120" s="0" t="n">
        <f aca="false">G120/$J120*1000</f>
        <v>9090.12942402425</v>
      </c>
      <c r="N120" s="285" t="n">
        <f aca="false">F120*(1+$D$4)^($C120-$D$3)</f>
        <v>34.5645260824007</v>
      </c>
      <c r="O120" s="285" t="n">
        <f aca="false">G120*(1+$D$4)^($C120-$D$3)</f>
        <v>22.6142896075781</v>
      </c>
      <c r="P120" s="285" t="n">
        <f aca="false">H120*(1+$D$4)^($C120-$D$3)</f>
        <v>2.48778521764618</v>
      </c>
      <c r="Q120" s="285" t="n">
        <f aca="false">I120*(1+$D$4)^($C120-$D$3)</f>
        <v>0</v>
      </c>
      <c r="R120" s="285" t="n">
        <f aca="false">SUM(P120:Q120)</f>
        <v>2.48778521764618</v>
      </c>
    </row>
    <row r="121" customFormat="false" ht="12.75" hidden="false" customHeight="false" outlineLevel="0" collapsed="false">
      <c r="C121" s="282" t="n">
        <f aca="false">C109+1</f>
        <v>2007</v>
      </c>
      <c r="D121" s="282" t="n">
        <f aca="false">D109</f>
        <v>5</v>
      </c>
      <c r="E121" s="283" t="n">
        <v>39203</v>
      </c>
      <c r="F121" s="284" t="n">
        <v>30.8103</v>
      </c>
      <c r="G121" s="284" t="n">
        <v>18.6867</v>
      </c>
      <c r="H121" s="284" t="n">
        <v>2.14593999091609</v>
      </c>
      <c r="I121" s="284" t="n">
        <v>0</v>
      </c>
      <c r="J121" s="284" t="n">
        <f aca="false">SUM(H121:I121)</f>
        <v>2.14593999091609</v>
      </c>
      <c r="K121" s="0" t="n">
        <f aca="false">F121/$J121*1000</f>
        <v>14357.4844266019</v>
      </c>
      <c r="L121" s="0" t="n">
        <f aca="false">G121/$J121*1000</f>
        <v>8707.93222508649</v>
      </c>
      <c r="N121" s="285" t="n">
        <f aca="false">F121*(1+$D$4)^($C121-$D$3)</f>
        <v>35.3913500259746</v>
      </c>
      <c r="O121" s="285" t="n">
        <f aca="false">G121*(1+$D$4)^($C121-$D$3)</f>
        <v>21.4651444656618</v>
      </c>
      <c r="P121" s="285" t="n">
        <f aca="false">H121*(1+$D$4)^($C121-$D$3)</f>
        <v>2.46501051120073</v>
      </c>
      <c r="Q121" s="285" t="n">
        <f aca="false">I121*(1+$D$4)^($C121-$D$3)</f>
        <v>0</v>
      </c>
      <c r="R121" s="285" t="n">
        <f aca="false">SUM(P121:Q121)</f>
        <v>2.46501051120073</v>
      </c>
    </row>
    <row r="122" customFormat="false" ht="12.75" hidden="false" customHeight="false" outlineLevel="0" collapsed="false">
      <c r="C122" s="282" t="n">
        <f aca="false">C110+1</f>
        <v>2007</v>
      </c>
      <c r="D122" s="282" t="n">
        <f aca="false">D110</f>
        <v>6</v>
      </c>
      <c r="E122" s="283" t="n">
        <v>39234</v>
      </c>
      <c r="F122" s="284" t="n">
        <v>29.1338</v>
      </c>
      <c r="G122" s="284" t="n">
        <v>17.0984</v>
      </c>
      <c r="H122" s="284" t="n">
        <v>2.1682144906507</v>
      </c>
      <c r="I122" s="284" t="n">
        <v>0</v>
      </c>
      <c r="J122" s="284" t="n">
        <f aca="false">SUM(H122:I122)</f>
        <v>2.1682144906507</v>
      </c>
      <c r="K122" s="0" t="n">
        <f aca="false">F122/$J122*1000</f>
        <v>13436.7702667907</v>
      </c>
      <c r="L122" s="0" t="n">
        <f aca="false">G122/$J122*1000</f>
        <v>7885.93567367434</v>
      </c>
      <c r="N122" s="285" t="n">
        <f aca="false">F122*(1+$D$4)^($C122-$D$3)</f>
        <v>33.4655785041606</v>
      </c>
      <c r="O122" s="285" t="n">
        <f aca="false">G122*(1+$D$4)^($C122-$D$3)</f>
        <v>19.6406870197345</v>
      </c>
      <c r="P122" s="285" t="n">
        <f aca="false">H122*(1+$D$4)^($C122-$D$3)</f>
        <v>2.49059690979994</v>
      </c>
      <c r="Q122" s="285" t="n">
        <f aca="false">I122*(1+$D$4)^($C122-$D$3)</f>
        <v>0</v>
      </c>
      <c r="R122" s="285" t="n">
        <f aca="false">SUM(P122:Q122)</f>
        <v>2.49059690979994</v>
      </c>
    </row>
    <row r="123" customFormat="false" ht="12.75" hidden="false" customHeight="false" outlineLevel="0" collapsed="false">
      <c r="C123" s="282" t="n">
        <f aca="false">C111+1</f>
        <v>2007</v>
      </c>
      <c r="D123" s="282" t="n">
        <f aca="false">D111</f>
        <v>7</v>
      </c>
      <c r="E123" s="283" t="n">
        <v>39264</v>
      </c>
      <c r="F123" s="284" t="n">
        <v>54.7329</v>
      </c>
      <c r="G123" s="284" t="n">
        <v>22.5808</v>
      </c>
      <c r="H123" s="284" t="n">
        <v>2.22377835262606</v>
      </c>
      <c r="I123" s="284" t="n">
        <v>0</v>
      </c>
      <c r="J123" s="284" t="n">
        <f aca="false">SUM(H123:I123)</f>
        <v>2.22377835262606</v>
      </c>
      <c r="K123" s="0" t="n">
        <f aca="false">F123/$J123*1000</f>
        <v>24612.569834294</v>
      </c>
      <c r="L123" s="0" t="n">
        <f aca="false">G123/$J123*1000</f>
        <v>10154.2493987022</v>
      </c>
      <c r="N123" s="285" t="n">
        <f aca="false">F123*(1+$D$4)^($C123-$D$3)</f>
        <v>62.8708977788813</v>
      </c>
      <c r="O123" s="285" t="n">
        <f aca="false">G123*(1+$D$4)^($C123-$D$3)</f>
        <v>25.9382413240549</v>
      </c>
      <c r="P123" s="285" t="n">
        <f aca="false">H123*(1+$D$4)^($C123-$D$3)</f>
        <v>2.55442232169028</v>
      </c>
      <c r="Q123" s="285" t="n">
        <f aca="false">I123*(1+$D$4)^($C123-$D$3)</f>
        <v>0</v>
      </c>
      <c r="R123" s="285" t="n">
        <f aca="false">SUM(P123:Q123)</f>
        <v>2.55442232169028</v>
      </c>
    </row>
    <row r="124" customFormat="false" ht="12.75" hidden="false" customHeight="false" outlineLevel="0" collapsed="false">
      <c r="C124" s="282" t="n">
        <f aca="false">C112+1</f>
        <v>2007</v>
      </c>
      <c r="D124" s="282" t="n">
        <f aca="false">D112</f>
        <v>8</v>
      </c>
      <c r="E124" s="283" t="n">
        <v>39295</v>
      </c>
      <c r="F124" s="284" t="n">
        <v>93.5878</v>
      </c>
      <c r="G124" s="284" t="n">
        <v>27.069</v>
      </c>
      <c r="H124" s="284" t="n">
        <v>2.30381968683725</v>
      </c>
      <c r="I124" s="284" t="n">
        <v>0</v>
      </c>
      <c r="J124" s="284" t="n">
        <f aca="false">SUM(H124:I124)</f>
        <v>2.30381968683725</v>
      </c>
      <c r="K124" s="0" t="n">
        <f aca="false">F124/$J124*1000</f>
        <v>40622.8840454436</v>
      </c>
      <c r="L124" s="0" t="n">
        <f aca="false">G124/$J124*1000</f>
        <v>11749.6174525538</v>
      </c>
      <c r="N124" s="285" t="n">
        <f aca="false">F124*(1+$D$4)^($C124-$D$3)</f>
        <v>107.502964526827</v>
      </c>
      <c r="O124" s="285" t="n">
        <f aca="false">G124*(1+$D$4)^($C124-$D$3)</f>
        <v>31.0937723375984</v>
      </c>
      <c r="P124" s="285" t="n">
        <f aca="false">H124*(1+$D$4)^($C124-$D$3)</f>
        <v>2.64636465511821</v>
      </c>
      <c r="Q124" s="285" t="n">
        <f aca="false">I124*(1+$D$4)^($C124-$D$3)</f>
        <v>0</v>
      </c>
      <c r="R124" s="285" t="n">
        <f aca="false">SUM(P124:Q124)</f>
        <v>2.64636465511821</v>
      </c>
    </row>
    <row r="125" customFormat="false" ht="12.75" hidden="false" customHeight="false" outlineLevel="0" collapsed="false">
      <c r="C125" s="282" t="n">
        <f aca="false">C113+1</f>
        <v>2007</v>
      </c>
      <c r="D125" s="282" t="n">
        <f aca="false">D113</f>
        <v>9</v>
      </c>
      <c r="E125" s="283" t="n">
        <v>39326</v>
      </c>
      <c r="F125" s="284" t="n">
        <v>61.2641</v>
      </c>
      <c r="G125" s="284" t="n">
        <v>25.169</v>
      </c>
      <c r="H125" s="284" t="n">
        <v>2.39952660327939</v>
      </c>
      <c r="I125" s="284" t="n">
        <v>0</v>
      </c>
      <c r="J125" s="284" t="n">
        <f aca="false">SUM(H125:I125)</f>
        <v>2.39952660327939</v>
      </c>
      <c r="K125" s="0" t="n">
        <f aca="false">F125/$J125*1000</f>
        <v>25531.7444350363</v>
      </c>
      <c r="L125" s="0" t="n">
        <f aca="false">G125/$J125*1000</f>
        <v>10489.1523042929</v>
      </c>
      <c r="N125" s="285" t="n">
        <f aca="false">F125*(1+$D$4)^($C125-$D$3)</f>
        <v>70.3731936114323</v>
      </c>
      <c r="O125" s="285" t="n">
        <f aca="false">G125*(1+$D$4)^($C125-$D$3)</f>
        <v>28.9112695690647</v>
      </c>
      <c r="P125" s="285" t="n">
        <f aca="false">H125*(1+$D$4)^($C125-$D$3)</f>
        <v>2.75630181833019</v>
      </c>
      <c r="Q125" s="285" t="n">
        <f aca="false">I125*(1+$D$4)^($C125-$D$3)</f>
        <v>0</v>
      </c>
      <c r="R125" s="285" t="n">
        <f aca="false">SUM(P125:Q125)</f>
        <v>2.75630181833019</v>
      </c>
    </row>
    <row r="126" customFormat="false" ht="12.75" hidden="false" customHeight="false" outlineLevel="0" collapsed="false">
      <c r="C126" s="282" t="n">
        <f aca="false">C114+1</f>
        <v>2007</v>
      </c>
      <c r="D126" s="282" t="n">
        <f aca="false">D114</f>
        <v>10</v>
      </c>
      <c r="E126" s="283" t="n">
        <v>39356</v>
      </c>
      <c r="F126" s="284" t="n">
        <v>39.0288</v>
      </c>
      <c r="G126" s="284" t="n">
        <v>22.4552</v>
      </c>
      <c r="H126" s="284" t="n">
        <v>2.50208721194756</v>
      </c>
      <c r="I126" s="284" t="n">
        <v>0</v>
      </c>
      <c r="J126" s="284" t="n">
        <f aca="false">SUM(H126:I126)</f>
        <v>2.50208721194756</v>
      </c>
      <c r="K126" s="0" t="n">
        <f aca="false">F126/$J126*1000</f>
        <v>15598.4970522355</v>
      </c>
      <c r="L126" s="0" t="n">
        <f aca="false">G126/$J126*1000</f>
        <v>8974.58725370387</v>
      </c>
      <c r="N126" s="285" t="n">
        <f aca="false">F126*(1+$D$4)^($C126-$D$3)</f>
        <v>44.8318231855502</v>
      </c>
      <c r="O126" s="285" t="n">
        <f aca="false">G126*(1+$D$4)^($C126-$D$3)</f>
        <v>25.7939664041981</v>
      </c>
      <c r="P126" s="285" t="n">
        <f aca="false">H126*(1+$D$4)^($C126-$D$3)</f>
        <v>2.87411171957271</v>
      </c>
      <c r="Q126" s="285" t="n">
        <f aca="false">I126*(1+$D$4)^($C126-$D$3)</f>
        <v>0</v>
      </c>
      <c r="R126" s="285" t="n">
        <f aca="false">SUM(P126:Q126)</f>
        <v>2.87411171957271</v>
      </c>
    </row>
    <row r="127" customFormat="false" ht="12.75" hidden="false" customHeight="false" outlineLevel="0" collapsed="false">
      <c r="C127" s="282" t="n">
        <f aca="false">C115+1</f>
        <v>2007</v>
      </c>
      <c r="D127" s="282" t="n">
        <f aca="false">D115</f>
        <v>11</v>
      </c>
      <c r="E127" s="283" t="n">
        <v>39387</v>
      </c>
      <c r="F127" s="284" t="n">
        <v>40.0341</v>
      </c>
      <c r="G127" s="284" t="n">
        <v>24.5333</v>
      </c>
      <c r="H127" s="284" t="n">
        <v>2.60268962283686</v>
      </c>
      <c r="I127" s="284" t="n">
        <v>0</v>
      </c>
      <c r="J127" s="284" t="n">
        <f aca="false">SUM(H127:I127)</f>
        <v>2.60268962283686</v>
      </c>
      <c r="K127" s="0" t="n">
        <f aca="false">F127/$J127*1000</f>
        <v>15381.8187342538</v>
      </c>
      <c r="L127" s="0" t="n">
        <f aca="false">G127/$J127*1000</f>
        <v>9426.13355996686</v>
      </c>
      <c r="N127" s="285" t="n">
        <f aca="false">F127*(1+$D$4)^($C127-$D$3)</f>
        <v>45.986596887238</v>
      </c>
      <c r="O127" s="285" t="n">
        <f aca="false">G127*(1+$D$4)^($C127-$D$3)</f>
        <v>28.1810500901401</v>
      </c>
      <c r="P127" s="285" t="n">
        <f aca="false">H127*(1+$D$4)^($C127-$D$3)</f>
        <v>2.98967226709221</v>
      </c>
      <c r="Q127" s="285" t="n">
        <f aca="false">I127*(1+$D$4)^($C127-$D$3)</f>
        <v>0</v>
      </c>
      <c r="R127" s="285" t="n">
        <f aca="false">SUM(P127:Q127)</f>
        <v>2.98967226709221</v>
      </c>
    </row>
    <row r="128" customFormat="false" ht="12.75" hidden="false" customHeight="false" outlineLevel="0" collapsed="false">
      <c r="C128" s="282" t="n">
        <f aca="false">C116+1</f>
        <v>2007</v>
      </c>
      <c r="D128" s="282" t="n">
        <f aca="false">D116</f>
        <v>12</v>
      </c>
      <c r="E128" s="283" t="n">
        <v>39417</v>
      </c>
      <c r="F128" s="284" t="n">
        <v>39.2564</v>
      </c>
      <c r="G128" s="284" t="n">
        <v>26.5362</v>
      </c>
      <c r="H128" s="284" t="n">
        <v>2.70898554159373</v>
      </c>
      <c r="I128" s="284" t="n">
        <v>0</v>
      </c>
      <c r="J128" s="284" t="n">
        <f aca="false">SUM(H128:I128)</f>
        <v>2.70898554159373</v>
      </c>
      <c r="K128" s="0" t="n">
        <f aca="false">F128/$J128*1000</f>
        <v>14491.181070278</v>
      </c>
      <c r="L128" s="0" t="n">
        <f aca="false">G128/$J128*1000</f>
        <v>9795.62260210085</v>
      </c>
      <c r="N128" s="285" t="n">
        <f aca="false">F128*(1+$D$4)^($C128-$D$3)</f>
        <v>45.0932640435072</v>
      </c>
      <c r="O128" s="285" t="n">
        <f aca="false">G128*(1+$D$4)^($C128-$D$3)</f>
        <v>30.4817526138748</v>
      </c>
      <c r="P128" s="285" t="n">
        <f aca="false">H128*(1+$D$4)^($C128-$D$3)</f>
        <v>3.11177286549785</v>
      </c>
      <c r="Q128" s="285" t="n">
        <f aca="false">I128*(1+$D$4)^($C128-$D$3)</f>
        <v>0</v>
      </c>
      <c r="R128" s="285" t="n">
        <f aca="false">SUM(P128:Q128)</f>
        <v>3.11177286549785</v>
      </c>
    </row>
    <row r="129" customFormat="false" ht="12.75" hidden="false" customHeight="false" outlineLevel="0" collapsed="false">
      <c r="C129" s="282" t="n">
        <f aca="false">C117+1</f>
        <v>2008</v>
      </c>
      <c r="D129" s="282" t="n">
        <f aca="false">D117</f>
        <v>1</v>
      </c>
      <c r="E129" s="283" t="n">
        <v>39448</v>
      </c>
      <c r="F129" s="284" t="n">
        <v>41.4241</v>
      </c>
      <c r="G129" s="284" t="n">
        <v>25.4612</v>
      </c>
      <c r="H129" s="284" t="n">
        <v>2.59978986155705</v>
      </c>
      <c r="I129" s="284" t="n">
        <v>0</v>
      </c>
      <c r="J129" s="284" t="n">
        <f aca="false">SUM(H129:I129)</f>
        <v>2.59978986155705</v>
      </c>
      <c r="K129" s="0" t="n">
        <f aca="false">F129/$J129*1000</f>
        <v>15933.6339496264</v>
      </c>
      <c r="L129" s="0" t="n">
        <f aca="false">G129/$J129*1000</f>
        <v>9793.56077061971</v>
      </c>
      <c r="N129" s="285" t="n">
        <f aca="false">F129*(1+$D$4)^($C129-$D$3)</f>
        <v>48.534935364576</v>
      </c>
      <c r="O129" s="285" t="n">
        <f aca="false">G129*(1+$D$4)^($C129-$D$3)</f>
        <v>29.8318538315749</v>
      </c>
      <c r="P129" s="285" t="n">
        <f aca="false">H129*(1+$D$4)^($C129-$D$3)</f>
        <v>3.0460681799279</v>
      </c>
      <c r="Q129" s="285" t="n">
        <f aca="false">I129*(1+$D$4)^($C129-$D$3)</f>
        <v>0</v>
      </c>
      <c r="R129" s="285" t="n">
        <f aca="false">SUM(P129:Q129)</f>
        <v>3.0460681799279</v>
      </c>
    </row>
    <row r="130" customFormat="false" ht="12.75" hidden="false" customHeight="false" outlineLevel="0" collapsed="false">
      <c r="C130" s="282" t="n">
        <f aca="false">C118+1</f>
        <v>2008</v>
      </c>
      <c r="D130" s="282" t="n">
        <f aca="false">D118</f>
        <v>2</v>
      </c>
      <c r="E130" s="283" t="n">
        <v>39479</v>
      </c>
      <c r="F130" s="284" t="n">
        <v>36.1244</v>
      </c>
      <c r="G130" s="284" t="n">
        <v>20.4883</v>
      </c>
      <c r="H130" s="284" t="n">
        <v>2.39717835633217</v>
      </c>
      <c r="I130" s="284" t="n">
        <v>0</v>
      </c>
      <c r="J130" s="284" t="n">
        <f aca="false">SUM(H130:I130)</f>
        <v>2.39717835633217</v>
      </c>
      <c r="K130" s="0" t="n">
        <f aca="false">F130/$J130*1000</f>
        <v>15069.550375581</v>
      </c>
      <c r="L130" s="0" t="n">
        <f aca="false">G130/$J130*1000</f>
        <v>8546.84005713632</v>
      </c>
      <c r="N130" s="285" t="n">
        <f aca="false">F130*(1+$D$4)^($C130-$D$3)</f>
        <v>42.3254921430783</v>
      </c>
      <c r="O130" s="285" t="n">
        <f aca="false">G130*(1+$D$4)^($C130-$D$3)</f>
        <v>24.0053088957887</v>
      </c>
      <c r="P130" s="285" t="n">
        <f aca="false">H130*(1+$D$4)^($C130-$D$3)</f>
        <v>2.80867650913218</v>
      </c>
      <c r="Q130" s="285" t="n">
        <f aca="false">I130*(1+$D$4)^($C130-$D$3)</f>
        <v>0</v>
      </c>
      <c r="R130" s="285" t="n">
        <f aca="false">SUM(P130:Q130)</f>
        <v>2.80867650913218</v>
      </c>
    </row>
    <row r="131" customFormat="false" ht="12.75" hidden="false" customHeight="false" outlineLevel="0" collapsed="false">
      <c r="C131" s="282" t="n">
        <f aca="false">C119+1</f>
        <v>2008</v>
      </c>
      <c r="D131" s="282" t="n">
        <f aca="false">D119</f>
        <v>3</v>
      </c>
      <c r="E131" s="283" t="n">
        <v>39508</v>
      </c>
      <c r="F131" s="284" t="n">
        <v>31.2312</v>
      </c>
      <c r="G131" s="284" t="n">
        <v>19.8989</v>
      </c>
      <c r="H131" s="284" t="n">
        <v>2.26504846347539</v>
      </c>
      <c r="I131" s="284" t="n">
        <v>0</v>
      </c>
      <c r="J131" s="284" t="n">
        <f aca="false">SUM(H131:I131)</f>
        <v>2.26504846347539</v>
      </c>
      <c r="K131" s="0" t="n">
        <f aca="false">F131/$J131*1000</f>
        <v>13788.3142474048</v>
      </c>
      <c r="L131" s="0" t="n">
        <f aca="false">G131/$J131*1000</f>
        <v>8785.19833940683</v>
      </c>
      <c r="N131" s="285" t="n">
        <f aca="false">F131*(1+$D$4)^($C131-$D$3)</f>
        <v>36.592328459958</v>
      </c>
      <c r="O131" s="285" t="n">
        <f aca="false">G131*(1+$D$4)^($C131-$D$3)</f>
        <v>23.314732856626</v>
      </c>
      <c r="P131" s="285" t="n">
        <f aca="false">H131*(1+$D$4)^($C131-$D$3)</f>
        <v>2.65386528065571</v>
      </c>
      <c r="Q131" s="285" t="n">
        <f aca="false">I131*(1+$D$4)^($C131-$D$3)</f>
        <v>0</v>
      </c>
      <c r="R131" s="285" t="n">
        <f aca="false">SUM(P131:Q131)</f>
        <v>2.65386528065571</v>
      </c>
    </row>
    <row r="132" customFormat="false" ht="12.75" hidden="false" customHeight="false" outlineLevel="0" collapsed="false">
      <c r="C132" s="282" t="n">
        <f aca="false">C120+1</f>
        <v>2008</v>
      </c>
      <c r="D132" s="282" t="n">
        <f aca="false">D120</f>
        <v>4</v>
      </c>
      <c r="E132" s="283" t="n">
        <v>39539</v>
      </c>
      <c r="F132" s="284" t="n">
        <v>30.0539</v>
      </c>
      <c r="G132" s="284" t="n">
        <v>19.9837</v>
      </c>
      <c r="H132" s="284" t="n">
        <v>2.19340580111965</v>
      </c>
      <c r="I132" s="284" t="n">
        <v>0</v>
      </c>
      <c r="J132" s="284" t="n">
        <f aca="false">SUM(H132:I132)</f>
        <v>2.19340580111965</v>
      </c>
      <c r="K132" s="0" t="n">
        <f aca="false">F132/$J132*1000</f>
        <v>13701.9333060296</v>
      </c>
      <c r="L132" s="0" t="n">
        <f aca="false">G132/$J132*1000</f>
        <v>9110.80840116273</v>
      </c>
      <c r="N132" s="285" t="n">
        <f aca="false">F132*(1+$D$4)^($C132-$D$3)</f>
        <v>35.212933870704</v>
      </c>
      <c r="O132" s="285" t="n">
        <f aca="false">G132*(1+$D$4)^($C132-$D$3)</f>
        <v>23.414089572135</v>
      </c>
      <c r="P132" s="285" t="n">
        <f aca="false">H132*(1+$D$4)^($C132-$D$3)</f>
        <v>2.56992448322663</v>
      </c>
      <c r="Q132" s="285" t="n">
        <f aca="false">I132*(1+$D$4)^($C132-$D$3)</f>
        <v>0</v>
      </c>
      <c r="R132" s="285" t="n">
        <f aca="false">SUM(P132:Q132)</f>
        <v>2.56992448322663</v>
      </c>
    </row>
    <row r="133" customFormat="false" ht="12.75" hidden="false" customHeight="false" outlineLevel="0" collapsed="false">
      <c r="C133" s="282" t="n">
        <f aca="false">C121+1</f>
        <v>2008</v>
      </c>
      <c r="D133" s="282" t="n">
        <f aca="false">D121</f>
        <v>5</v>
      </c>
      <c r="E133" s="283" t="n">
        <v>39569</v>
      </c>
      <c r="F133" s="284" t="n">
        <v>31.2487</v>
      </c>
      <c r="G133" s="284" t="n">
        <v>18.9081</v>
      </c>
      <c r="H133" s="284" t="n">
        <v>2.17332602378119</v>
      </c>
      <c r="I133" s="284" t="n">
        <v>0</v>
      </c>
      <c r="J133" s="284" t="n">
        <f aca="false">SUM(H133:I133)</f>
        <v>2.17332602378119</v>
      </c>
      <c r="K133" s="0" t="n">
        <f aca="false">F133/$J133*1000</f>
        <v>14378.2845546721</v>
      </c>
      <c r="L133" s="0" t="n">
        <f aca="false">G133/$J133*1000</f>
        <v>8700.0752731536</v>
      </c>
      <c r="N133" s="285" t="n">
        <f aca="false">F133*(1+$D$4)^($C133-$D$3)</f>
        <v>36.6128324991255</v>
      </c>
      <c r="O133" s="285" t="n">
        <f aca="false">G133*(1+$D$4)^($C133-$D$3)</f>
        <v>22.1538527419289</v>
      </c>
      <c r="P133" s="285" t="n">
        <f aca="false">H133*(1+$D$4)^($C133-$D$3)</f>
        <v>2.54639782373959</v>
      </c>
      <c r="Q133" s="285" t="n">
        <f aca="false">I133*(1+$D$4)^($C133-$D$3)</f>
        <v>0</v>
      </c>
      <c r="R133" s="285" t="n">
        <f aca="false">SUM(P133:Q133)</f>
        <v>2.54639782373959</v>
      </c>
    </row>
    <row r="134" customFormat="false" ht="12.75" hidden="false" customHeight="false" outlineLevel="0" collapsed="false">
      <c r="C134" s="282" t="n">
        <f aca="false">C122+1</f>
        <v>2008</v>
      </c>
      <c r="D134" s="282" t="n">
        <f aca="false">D122</f>
        <v>6</v>
      </c>
      <c r="E134" s="283" t="n">
        <v>39600</v>
      </c>
      <c r="F134" s="284" t="n">
        <v>28.498</v>
      </c>
      <c r="G134" s="284" t="n">
        <v>17.4214</v>
      </c>
      <c r="H134" s="284" t="n">
        <v>2.19588478597625</v>
      </c>
      <c r="I134" s="284" t="n">
        <v>0</v>
      </c>
      <c r="J134" s="284" t="n">
        <f aca="false">SUM(H134:I134)</f>
        <v>2.19588478597625</v>
      </c>
      <c r="K134" s="0" t="n">
        <f aca="false">F134/$J134*1000</f>
        <v>12977.9122210778</v>
      </c>
      <c r="L134" s="0" t="n">
        <f aca="false">G134/$J134*1000</f>
        <v>7933.65850123814</v>
      </c>
      <c r="N134" s="285" t="n">
        <f aca="false">F134*(1+$D$4)^($C134-$D$3)</f>
        <v>33.3899490398026</v>
      </c>
      <c r="O134" s="285" t="n">
        <f aca="false">G134*(1+$D$4)^($C134-$D$3)</f>
        <v>20.4119467401929</v>
      </c>
      <c r="P134" s="285" t="n">
        <f aca="false">H134*(1+$D$4)^($C134-$D$3)</f>
        <v>2.57282900908923</v>
      </c>
      <c r="Q134" s="285" t="n">
        <f aca="false">I134*(1+$D$4)^($C134-$D$3)</f>
        <v>0</v>
      </c>
      <c r="R134" s="285" t="n">
        <f aca="false">SUM(P134:Q134)</f>
        <v>2.57282900908923</v>
      </c>
    </row>
    <row r="135" customFormat="false" ht="12.75" hidden="false" customHeight="false" outlineLevel="0" collapsed="false">
      <c r="C135" s="282" t="n">
        <f aca="false">C123+1</f>
        <v>2008</v>
      </c>
      <c r="D135" s="282" t="n">
        <f aca="false">D123</f>
        <v>7</v>
      </c>
      <c r="E135" s="283" t="n">
        <v>39630</v>
      </c>
      <c r="F135" s="284" t="n">
        <v>44.7858</v>
      </c>
      <c r="G135" s="284" t="n">
        <v>22.2842</v>
      </c>
      <c r="H135" s="284" t="n">
        <v>2.25215774222107</v>
      </c>
      <c r="I135" s="284" t="n">
        <v>0</v>
      </c>
      <c r="J135" s="284" t="n">
        <f aca="false">SUM(H135:I135)</f>
        <v>2.25215774222107</v>
      </c>
      <c r="K135" s="0" t="n">
        <f aca="false">F135/$J135*1000</f>
        <v>19885.7296540128</v>
      </c>
      <c r="L135" s="0" t="n">
        <f aca="false">G135/$J135*1000</f>
        <v>9894.60000169587</v>
      </c>
      <c r="N135" s="285" t="n">
        <f aca="false">F135*(1+$D$4)^($C135-$D$3)</f>
        <v>52.4737027056913</v>
      </c>
      <c r="O135" s="285" t="n">
        <f aca="false">G135*(1+$D$4)^($C135-$D$3)</f>
        <v>26.1094919781307</v>
      </c>
      <c r="P135" s="285" t="n">
        <f aca="false">H135*(1+$D$4)^($C135-$D$3)</f>
        <v>2.6387617461702</v>
      </c>
      <c r="Q135" s="285" t="n">
        <f aca="false">I135*(1+$D$4)^($C135-$D$3)</f>
        <v>0</v>
      </c>
      <c r="R135" s="285" t="n">
        <f aca="false">SUM(P135:Q135)</f>
        <v>2.6387617461702</v>
      </c>
    </row>
    <row r="136" customFormat="false" ht="12.75" hidden="false" customHeight="false" outlineLevel="0" collapsed="false">
      <c r="C136" s="282" t="n">
        <f aca="false">C124+1</f>
        <v>2008</v>
      </c>
      <c r="D136" s="282" t="n">
        <f aca="false">D124</f>
        <v>8</v>
      </c>
      <c r="E136" s="283" t="n">
        <v>39661</v>
      </c>
      <c r="F136" s="284" t="n">
        <v>86.8292</v>
      </c>
      <c r="G136" s="284" t="n">
        <v>27.6271</v>
      </c>
      <c r="H136" s="284" t="n">
        <v>2.33322054703189</v>
      </c>
      <c r="I136" s="284" t="n">
        <v>0</v>
      </c>
      <c r="J136" s="284" t="n">
        <f aca="false">SUM(H136:I136)</f>
        <v>2.33322054703189</v>
      </c>
      <c r="K136" s="0" t="n">
        <f aca="false">F136/$J136*1000</f>
        <v>37214.3131134586</v>
      </c>
      <c r="L136" s="0" t="n">
        <f aca="false">G136/$J136*1000</f>
        <v>11840.7580608463</v>
      </c>
      <c r="N136" s="285" t="n">
        <f aca="false">F136*(1+$D$4)^($C136-$D$3)</f>
        <v>101.734246724922</v>
      </c>
      <c r="O136" s="285" t="n">
        <f aca="false">G136*(1+$D$4)^($C136-$D$3)</f>
        <v>32.3695508848877</v>
      </c>
      <c r="P136" s="285" t="n">
        <f aca="false">H136*(1+$D$4)^($C136-$D$3)</f>
        <v>2.73373974187715</v>
      </c>
      <c r="Q136" s="285" t="n">
        <f aca="false">I136*(1+$D$4)^($C136-$D$3)</f>
        <v>0</v>
      </c>
      <c r="R136" s="285" t="n">
        <f aca="false">SUM(P136:Q136)</f>
        <v>2.73373974187715</v>
      </c>
    </row>
    <row r="137" customFormat="false" ht="12.75" hidden="false" customHeight="false" outlineLevel="0" collapsed="false">
      <c r="C137" s="282" t="n">
        <f aca="false">C125+1</f>
        <v>2008</v>
      </c>
      <c r="D137" s="282" t="n">
        <f aca="false">D125</f>
        <v>9</v>
      </c>
      <c r="E137" s="283" t="n">
        <v>39692</v>
      </c>
      <c r="F137" s="284" t="n">
        <v>58.0186</v>
      </c>
      <c r="G137" s="284" t="n">
        <v>25.1465</v>
      </c>
      <c r="H137" s="284" t="n">
        <v>2.43014885492495</v>
      </c>
      <c r="I137" s="284" t="n">
        <v>0</v>
      </c>
      <c r="J137" s="284" t="n">
        <f aca="false">SUM(H137:I137)</f>
        <v>2.43014885492495</v>
      </c>
      <c r="K137" s="0" t="n">
        <f aca="false">F137/$J137*1000</f>
        <v>23874.5045935846</v>
      </c>
      <c r="L137" s="0" t="n">
        <f aca="false">G137/$J137*1000</f>
        <v>10347.7200374117</v>
      </c>
      <c r="N137" s="285" t="n">
        <f aca="false">F137*(1+$D$4)^($C137-$D$3)</f>
        <v>67.9780369626181</v>
      </c>
      <c r="O137" s="285" t="n">
        <f aca="false">G137*(1+$D$4)^($C137-$D$3)</f>
        <v>29.4631326243735</v>
      </c>
      <c r="P137" s="285" t="n">
        <f aca="false">H137*(1+$D$4)^($C137-$D$3)</f>
        <v>2.84730670310473</v>
      </c>
      <c r="Q137" s="285" t="n">
        <f aca="false">I137*(1+$D$4)^($C137-$D$3)</f>
        <v>0</v>
      </c>
      <c r="R137" s="285" t="n">
        <f aca="false">SUM(P137:Q137)</f>
        <v>2.84730670310473</v>
      </c>
    </row>
    <row r="138" customFormat="false" ht="12.75" hidden="false" customHeight="false" outlineLevel="0" collapsed="false">
      <c r="C138" s="282" t="n">
        <f aca="false">C126+1</f>
        <v>2008</v>
      </c>
      <c r="D138" s="282" t="n">
        <f aca="false">D126</f>
        <v>10</v>
      </c>
      <c r="E138" s="283" t="n">
        <v>39722</v>
      </c>
      <c r="F138" s="284" t="n">
        <v>39.2032</v>
      </c>
      <c r="G138" s="284" t="n">
        <v>21.7616</v>
      </c>
      <c r="H138" s="284" t="n">
        <v>2.53401832041649</v>
      </c>
      <c r="I138" s="284" t="n">
        <v>0</v>
      </c>
      <c r="J138" s="284" t="n">
        <f aca="false">SUM(H138:I138)</f>
        <v>2.53401832041649</v>
      </c>
      <c r="K138" s="0" t="n">
        <f aca="false">F138/$J138*1000</f>
        <v>15470.7642340789</v>
      </c>
      <c r="L138" s="0" t="n">
        <f aca="false">G138/$J138*1000</f>
        <v>8587.78321556226</v>
      </c>
      <c r="N138" s="285" t="n">
        <f aca="false">F138*(1+$D$4)^($C138-$D$3)</f>
        <v>45.932797045308</v>
      </c>
      <c r="O138" s="285" t="n">
        <f aca="false">G138*(1+$D$4)^($C138-$D$3)</f>
        <v>25.4971827856189</v>
      </c>
      <c r="P138" s="285" t="n">
        <f aca="false">H138*(1+$D$4)^($C138-$D$3)</f>
        <v>2.96900633674759</v>
      </c>
      <c r="Q138" s="285" t="n">
        <f aca="false">I138*(1+$D$4)^($C138-$D$3)</f>
        <v>0</v>
      </c>
      <c r="R138" s="285" t="n">
        <f aca="false">SUM(P138:Q138)</f>
        <v>2.96900633674759</v>
      </c>
    </row>
    <row r="139" customFormat="false" ht="12.75" hidden="false" customHeight="false" outlineLevel="0" collapsed="false">
      <c r="C139" s="282" t="n">
        <f aca="false">C127+1</f>
        <v>2008</v>
      </c>
      <c r="D139" s="282" t="n">
        <f aca="false">D127</f>
        <v>11</v>
      </c>
      <c r="E139" s="283" t="n">
        <v>39753</v>
      </c>
      <c r="F139" s="284" t="n">
        <v>40.6542</v>
      </c>
      <c r="G139" s="284" t="n">
        <v>24.5577</v>
      </c>
      <c r="H139" s="284" t="n">
        <v>2.63590459802275</v>
      </c>
      <c r="I139" s="284" t="n">
        <v>0</v>
      </c>
      <c r="J139" s="284" t="n">
        <f aca="false">SUM(H139:I139)</f>
        <v>2.63590459802275</v>
      </c>
      <c r="K139" s="0" t="n">
        <f aca="false">F139/$J139*1000</f>
        <v>15423.2440849702</v>
      </c>
      <c r="L139" s="0" t="n">
        <f aca="false">G139/$J139*1000</f>
        <v>9316.61184491324</v>
      </c>
      <c r="N139" s="285" t="n">
        <f aca="false">F139*(1+$D$4)^($C139-$D$3)</f>
        <v>47.6328748071423</v>
      </c>
      <c r="O139" s="285" t="n">
        <f aca="false">G139*(1+$D$4)^($C139-$D$3)</f>
        <v>28.7732595808393</v>
      </c>
      <c r="P139" s="285" t="n">
        <f aca="false">H139*(1+$D$4)^($C139-$D$3)</f>
        <v>3.08838234970036</v>
      </c>
      <c r="Q139" s="285" t="n">
        <f aca="false">I139*(1+$D$4)^($C139-$D$3)</f>
        <v>0</v>
      </c>
      <c r="R139" s="285" t="n">
        <f aca="false">SUM(P139:Q139)</f>
        <v>3.08838234970036</v>
      </c>
    </row>
    <row r="140" customFormat="false" ht="12.75" hidden="false" customHeight="false" outlineLevel="0" collapsed="false">
      <c r="C140" s="282" t="n">
        <f aca="false">C128+1</f>
        <v>2008</v>
      </c>
      <c r="D140" s="282" t="n">
        <f aca="false">D128</f>
        <v>12</v>
      </c>
      <c r="E140" s="283" t="n">
        <v>39783</v>
      </c>
      <c r="F140" s="284" t="n">
        <v>40.6523</v>
      </c>
      <c r="G140" s="284" t="n">
        <v>25.2214</v>
      </c>
      <c r="H140" s="284" t="n">
        <v>2.74355704284131</v>
      </c>
      <c r="I140" s="284" t="n">
        <v>0</v>
      </c>
      <c r="J140" s="284" t="n">
        <f aca="false">SUM(H140:I140)</f>
        <v>2.74355704284131</v>
      </c>
      <c r="K140" s="0" t="n">
        <f aca="false">F140/$J140*1000</f>
        <v>14817.37006565</v>
      </c>
      <c r="L140" s="0" t="n">
        <f aca="false">G140/$J140*1000</f>
        <v>9192.95629949065</v>
      </c>
      <c r="N140" s="285" t="n">
        <f aca="false">F140*(1+$D$4)^($C140-$D$3)</f>
        <v>47.6306486543184</v>
      </c>
      <c r="O140" s="285" t="n">
        <f aca="false">G140*(1+$D$4)^($C140-$D$3)</f>
        <v>29.5508899120105</v>
      </c>
      <c r="P140" s="285" t="n">
        <f aca="false">H140*(1+$D$4)^($C140-$D$3)</f>
        <v>3.21451434655986</v>
      </c>
      <c r="Q140" s="285" t="n">
        <f aca="false">I140*(1+$D$4)^($C140-$D$3)</f>
        <v>0</v>
      </c>
      <c r="R140" s="285" t="n">
        <f aca="false">SUM(P140:Q140)</f>
        <v>3.21451434655986</v>
      </c>
    </row>
    <row r="141" customFormat="false" ht="12.75" hidden="false" customHeight="false" outlineLevel="0" collapsed="false">
      <c r="C141" s="282" t="n">
        <f aca="false">C129+1</f>
        <v>2009</v>
      </c>
      <c r="D141" s="282" t="n">
        <f aca="false">D129</f>
        <v>1</v>
      </c>
      <c r="E141" s="283" t="n">
        <v>39814</v>
      </c>
      <c r="F141" s="284" t="n">
        <v>41.0732</v>
      </c>
      <c r="G141" s="284" t="n">
        <v>25.5305</v>
      </c>
      <c r="H141" s="284" t="n">
        <v>2.6082147745759</v>
      </c>
      <c r="I141" s="284" t="n">
        <v>0</v>
      </c>
      <c r="J141" s="284" t="n">
        <f aca="false">SUM(H141:I141)</f>
        <v>2.6082147745759</v>
      </c>
      <c r="K141" s="0" t="n">
        <f aca="false">F141/$J141*1000</f>
        <v>15747.6295282004</v>
      </c>
      <c r="L141" s="0" t="n">
        <f aca="false">G141/$J141*1000</f>
        <v>9788.49604291169</v>
      </c>
      <c r="N141" s="285" t="n">
        <f aca="false">F141*(1+$D$4)^($C141-$D$3)</f>
        <v>49.0862760895379</v>
      </c>
      <c r="O141" s="285" t="n">
        <f aca="false">G141*(1+$D$4)^($C141-$D$3)</f>
        <v>30.5113108232119</v>
      </c>
      <c r="P141" s="285" t="n">
        <f aca="false">H141*(1+$D$4)^($C141-$D$3)</f>
        <v>3.11705809446657</v>
      </c>
      <c r="Q141" s="285" t="n">
        <f aca="false">I141*(1+$D$4)^($C141-$D$3)</f>
        <v>0</v>
      </c>
      <c r="R141" s="285" t="n">
        <f aca="false">SUM(P141:Q141)</f>
        <v>3.11705809446657</v>
      </c>
    </row>
    <row r="142" customFormat="false" ht="12.75" hidden="false" customHeight="false" outlineLevel="0" collapsed="false">
      <c r="C142" s="282" t="n">
        <f aca="false">C130+1</f>
        <v>2009</v>
      </c>
      <c r="D142" s="282" t="n">
        <f aca="false">D130</f>
        <v>2</v>
      </c>
      <c r="E142" s="283" t="n">
        <v>39845</v>
      </c>
      <c r="F142" s="284" t="n">
        <v>35.7957</v>
      </c>
      <c r="G142" s="284" t="n">
        <v>22.6072</v>
      </c>
      <c r="H142" s="284" t="n">
        <v>2.40494668385794</v>
      </c>
      <c r="I142" s="284" t="n">
        <v>0</v>
      </c>
      <c r="J142" s="284" t="n">
        <f aca="false">SUM(H142:I142)</f>
        <v>2.40494668385794</v>
      </c>
      <c r="K142" s="0" t="n">
        <f aca="false">F142/$J142*1000</f>
        <v>14884.1969097534</v>
      </c>
      <c r="L142" s="0" t="n">
        <f aca="false">G142/$J142*1000</f>
        <v>9400.29155396252</v>
      </c>
      <c r="N142" s="285" t="n">
        <f aca="false">F142*(1+$D$4)^($C142-$D$3)</f>
        <v>42.7791750586337</v>
      </c>
      <c r="O142" s="285" t="n">
        <f aca="false">G142*(1+$D$4)^($C142-$D$3)</f>
        <v>27.0176967173583</v>
      </c>
      <c r="P142" s="285" t="n">
        <f aca="false">H142*(1+$D$4)^($C142-$D$3)</f>
        <v>2.8741339098115</v>
      </c>
      <c r="Q142" s="285" t="n">
        <f aca="false">I142*(1+$D$4)^($C142-$D$3)</f>
        <v>0</v>
      </c>
      <c r="R142" s="285" t="n">
        <f aca="false">SUM(P142:Q142)</f>
        <v>2.8741339098115</v>
      </c>
    </row>
    <row r="143" customFormat="false" ht="12.75" hidden="false" customHeight="false" outlineLevel="0" collapsed="false">
      <c r="C143" s="282" t="n">
        <f aca="false">C131+1</f>
        <v>2009</v>
      </c>
      <c r="D143" s="282" t="n">
        <f aca="false">D131</f>
        <v>3</v>
      </c>
      <c r="E143" s="283" t="n">
        <v>39873</v>
      </c>
      <c r="F143" s="284" t="n">
        <v>31.3435</v>
      </c>
      <c r="G143" s="284" t="n">
        <v>20.2937</v>
      </c>
      <c r="H143" s="284" t="n">
        <v>2.27238860914271</v>
      </c>
      <c r="I143" s="284" t="n">
        <v>0</v>
      </c>
      <c r="J143" s="284" t="n">
        <f aca="false">SUM(H143:I143)</f>
        <v>2.27238860914271</v>
      </c>
      <c r="K143" s="0" t="n">
        <f aca="false">F143/$J143*1000</f>
        <v>13793.1953513113</v>
      </c>
      <c r="L143" s="0" t="n">
        <f aca="false">G143/$J143*1000</f>
        <v>8930.55876021842</v>
      </c>
      <c r="N143" s="285" t="n">
        <f aca="false">F143*(1+$D$4)^($C143-$D$3)</f>
        <v>37.4583839246134</v>
      </c>
      <c r="O143" s="285" t="n">
        <f aca="false">G143*(1+$D$4)^($C143-$D$3)</f>
        <v>24.2528500598506</v>
      </c>
      <c r="P143" s="285" t="n">
        <f aca="false">H143*(1+$D$4)^($C143-$D$3)</f>
        <v>2.71571473980844</v>
      </c>
      <c r="Q143" s="285" t="n">
        <f aca="false">I143*(1+$D$4)^($C143-$D$3)</f>
        <v>0</v>
      </c>
      <c r="R143" s="285" t="n">
        <f aca="false">SUM(P143:Q143)</f>
        <v>2.71571473980844</v>
      </c>
    </row>
    <row r="144" customFormat="false" ht="12.75" hidden="false" customHeight="false" outlineLevel="0" collapsed="false">
      <c r="C144" s="282" t="n">
        <f aca="false">C132+1</f>
        <v>2009</v>
      </c>
      <c r="D144" s="282" t="n">
        <f aca="false">D132</f>
        <v>4</v>
      </c>
      <c r="E144" s="283" t="n">
        <v>39904</v>
      </c>
      <c r="F144" s="284" t="n">
        <v>30.2165</v>
      </c>
      <c r="G144" s="284" t="n">
        <v>19.6784</v>
      </c>
      <c r="H144" s="284" t="n">
        <v>2.20051378063858</v>
      </c>
      <c r="I144" s="284" t="n">
        <v>0</v>
      </c>
      <c r="J144" s="284" t="n">
        <f aca="false">SUM(H144:I144)</f>
        <v>2.20051378063858</v>
      </c>
      <c r="K144" s="0" t="n">
        <f aca="false">F144/$J144*1000</f>
        <v>13731.5659033189</v>
      </c>
      <c r="L144" s="0" t="n">
        <f aca="false">G144/$J144*1000</f>
        <v>8942.63883877583</v>
      </c>
      <c r="N144" s="285" t="n">
        <f aca="false">F144*(1+$D$4)^($C144-$D$3)</f>
        <v>36.1115145997761</v>
      </c>
      <c r="O144" s="285" t="n">
        <f aca="false">G144*(1+$D$4)^($C144-$D$3)</f>
        <v>23.5175096023773</v>
      </c>
      <c r="P144" s="285" t="n">
        <f aca="false">H144*(1+$D$4)^($C144-$D$3)</f>
        <v>2.62981766639216</v>
      </c>
      <c r="Q144" s="285" t="n">
        <f aca="false">I144*(1+$D$4)^($C144-$D$3)</f>
        <v>0</v>
      </c>
      <c r="R144" s="285" t="n">
        <f aca="false">SUM(P144:Q144)</f>
        <v>2.62981766639216</v>
      </c>
    </row>
    <row r="145" customFormat="false" ht="12.75" hidden="false" customHeight="false" outlineLevel="0" collapsed="false">
      <c r="C145" s="282" t="n">
        <f aca="false">C133+1</f>
        <v>2009</v>
      </c>
      <c r="D145" s="282" t="n">
        <f aca="false">D133</f>
        <v>5</v>
      </c>
      <c r="E145" s="283" t="n">
        <v>39934</v>
      </c>
      <c r="F145" s="284" t="n">
        <v>30.7957</v>
      </c>
      <c r="G145" s="284" t="n">
        <v>19.3502</v>
      </c>
      <c r="H145" s="284" t="n">
        <v>2.18036893251113</v>
      </c>
      <c r="I145" s="284" t="n">
        <v>0</v>
      </c>
      <c r="J145" s="284" t="n">
        <f aca="false">SUM(H145:I145)</f>
        <v>2.18036893251113</v>
      </c>
      <c r="K145" s="0" t="n">
        <f aca="false">F145/$J145*1000</f>
        <v>14124.0776002677</v>
      </c>
      <c r="L145" s="0" t="n">
        <f aca="false">G145/$J145*1000</f>
        <v>8874.73661519953</v>
      </c>
      <c r="N145" s="285" t="n">
        <f aca="false">F145*(1+$D$4)^($C145-$D$3)</f>
        <v>36.8037122155221</v>
      </c>
      <c r="O145" s="285" t="n">
        <f aca="false">G145*(1+$D$4)^($C145-$D$3)</f>
        <v>23.1252802213554</v>
      </c>
      <c r="P145" s="285" t="n">
        <f aca="false">H145*(1+$D$4)^($C145-$D$3)</f>
        <v>2.60574270809901</v>
      </c>
      <c r="Q145" s="285" t="n">
        <f aca="false">I145*(1+$D$4)^($C145-$D$3)</f>
        <v>0</v>
      </c>
      <c r="R145" s="285" t="n">
        <f aca="false">SUM(P145:Q145)</f>
        <v>2.60574270809901</v>
      </c>
    </row>
    <row r="146" customFormat="false" ht="12.75" hidden="false" customHeight="false" outlineLevel="0" collapsed="false">
      <c r="C146" s="282" t="n">
        <f aca="false">C134+1</f>
        <v>2009</v>
      </c>
      <c r="D146" s="282" t="n">
        <f aca="false">D134</f>
        <v>6</v>
      </c>
      <c r="E146" s="283" t="n">
        <v>39965</v>
      </c>
      <c r="F146" s="284" t="n">
        <v>28.7703</v>
      </c>
      <c r="G146" s="284" t="n">
        <v>18.2966</v>
      </c>
      <c r="H146" s="284" t="n">
        <v>2.20300079892592</v>
      </c>
      <c r="I146" s="284" t="n">
        <v>0</v>
      </c>
      <c r="J146" s="284" t="n">
        <f aca="false">SUM(H146:I146)</f>
        <v>2.20300079892592</v>
      </c>
      <c r="K146" s="0" t="n">
        <f aca="false">F146/$J146*1000</f>
        <v>13059.5958086021</v>
      </c>
      <c r="L146" s="0" t="n">
        <f aca="false">G146/$J146*1000</f>
        <v>8305.30792767781</v>
      </c>
      <c r="N146" s="285" t="n">
        <f aca="false">F146*(1+$D$4)^($C146-$D$3)</f>
        <v>34.3831717270345</v>
      </c>
      <c r="O146" s="285" t="n">
        <f aca="false">G146*(1+$D$4)^($C146-$D$3)</f>
        <v>21.866130691055</v>
      </c>
      <c r="P146" s="285" t="n">
        <f aca="false">H146*(1+$D$4)^($C146-$D$3)</f>
        <v>2.63278988346538</v>
      </c>
      <c r="Q146" s="285" t="n">
        <f aca="false">I146*(1+$D$4)^($C146-$D$3)</f>
        <v>0</v>
      </c>
      <c r="R146" s="285" t="n">
        <f aca="false">SUM(P146:Q146)</f>
        <v>2.63278988346538</v>
      </c>
    </row>
    <row r="147" customFormat="false" ht="12.75" hidden="false" customHeight="false" outlineLevel="0" collapsed="false">
      <c r="C147" s="282" t="n">
        <f aca="false">C135+1</f>
        <v>2009</v>
      </c>
      <c r="D147" s="282" t="n">
        <f aca="false">D135</f>
        <v>7</v>
      </c>
      <c r="E147" s="283" t="n">
        <v>39995</v>
      </c>
      <c r="F147" s="284" t="n">
        <v>43.8735</v>
      </c>
      <c r="G147" s="284" t="n">
        <v>22.0946</v>
      </c>
      <c r="H147" s="284" t="n">
        <v>2.25945611404854</v>
      </c>
      <c r="I147" s="284" t="n">
        <v>0</v>
      </c>
      <c r="J147" s="284" t="n">
        <f aca="false">SUM(H147:I147)</f>
        <v>2.25945611404854</v>
      </c>
      <c r="K147" s="0" t="n">
        <f aca="false">F147/$J147*1000</f>
        <v>19417.7261187811</v>
      </c>
      <c r="L147" s="0" t="n">
        <f aca="false">G147/$J147*1000</f>
        <v>9778.72500493511</v>
      </c>
      <c r="N147" s="285" t="n">
        <f aca="false">F147*(1+$D$4)^($C147-$D$3)</f>
        <v>52.432893809451</v>
      </c>
      <c r="O147" s="285" t="n">
        <f aca="false">G147*(1+$D$4)^($C147-$D$3)</f>
        <v>26.4050922666825</v>
      </c>
      <c r="P147" s="285" t="n">
        <f aca="false">H147*(1+$D$4)^($C147-$D$3)</f>
        <v>2.70025921102766</v>
      </c>
      <c r="Q147" s="285" t="n">
        <f aca="false">I147*(1+$D$4)^($C147-$D$3)</f>
        <v>0</v>
      </c>
      <c r="R147" s="285" t="n">
        <f aca="false">SUM(P147:Q147)</f>
        <v>2.70025921102766</v>
      </c>
    </row>
    <row r="148" customFormat="false" ht="12.75" hidden="false" customHeight="false" outlineLevel="0" collapsed="false">
      <c r="C148" s="282" t="n">
        <f aca="false">C136+1</f>
        <v>2009</v>
      </c>
      <c r="D148" s="282" t="n">
        <f aca="false">D136</f>
        <v>8</v>
      </c>
      <c r="E148" s="283" t="n">
        <v>40026</v>
      </c>
      <c r="F148" s="284" t="n">
        <v>80.771</v>
      </c>
      <c r="G148" s="284" t="n">
        <v>27.2728</v>
      </c>
      <c r="H148" s="284" t="n">
        <v>2.34078161204457</v>
      </c>
      <c r="I148" s="284" t="n">
        <v>0</v>
      </c>
      <c r="J148" s="284" t="n">
        <f aca="false">SUM(H148:I148)</f>
        <v>2.34078161204457</v>
      </c>
      <c r="K148" s="0" t="n">
        <f aca="false">F148/$J148*1000</f>
        <v>34505.9955975347</v>
      </c>
      <c r="L148" s="0" t="n">
        <f aca="false">G148/$J148*1000</f>
        <v>11651.1509914752</v>
      </c>
      <c r="N148" s="285" t="n">
        <f aca="false">F148*(1+$D$4)^($C148-$D$3)</f>
        <v>96.5288218601927</v>
      </c>
      <c r="O148" s="285" t="n">
        <f aca="false">G148*(1+$D$4)^($C148-$D$3)</f>
        <v>32.5935206055226</v>
      </c>
      <c r="P148" s="285" t="n">
        <f aca="false">H148*(1+$D$4)^($C148-$D$3)</f>
        <v>2.79745070932222</v>
      </c>
      <c r="Q148" s="285" t="n">
        <f aca="false">I148*(1+$D$4)^($C148-$D$3)</f>
        <v>0</v>
      </c>
      <c r="R148" s="285" t="n">
        <f aca="false">SUM(P148:Q148)</f>
        <v>2.79745070932222</v>
      </c>
    </row>
    <row r="149" customFormat="false" ht="12.75" hidden="false" customHeight="false" outlineLevel="0" collapsed="false">
      <c r="C149" s="282" t="n">
        <f aca="false">C137+1</f>
        <v>2009</v>
      </c>
      <c r="D149" s="282" t="n">
        <f aca="false">D137</f>
        <v>9</v>
      </c>
      <c r="E149" s="283" t="n">
        <v>40057</v>
      </c>
      <c r="F149" s="284" t="n">
        <v>57.428</v>
      </c>
      <c r="G149" s="284" t="n">
        <v>25.6905</v>
      </c>
      <c r="H149" s="284" t="n">
        <v>2.43802402707957</v>
      </c>
      <c r="I149" s="284" t="n">
        <v>0</v>
      </c>
      <c r="J149" s="284" t="n">
        <f aca="false">SUM(H149:I149)</f>
        <v>2.43802402707957</v>
      </c>
      <c r="K149" s="0" t="n">
        <f aca="false">F149/$J149*1000</f>
        <v>23555.1411151559</v>
      </c>
      <c r="L149" s="0" t="n">
        <f aca="false">G149/$J149*1000</f>
        <v>10537.42691403</v>
      </c>
      <c r="N149" s="285" t="n">
        <f aca="false">F149*(1+$D$4)^($C149-$D$3)</f>
        <v>68.6317760308421</v>
      </c>
      <c r="O149" s="285" t="n">
        <f aca="false">G149*(1+$D$4)^($C149-$D$3)</f>
        <v>30.7025256341915</v>
      </c>
      <c r="P149" s="285" t="n">
        <f aca="false">H149*(1+$D$4)^($C149-$D$3)</f>
        <v>2.91366439688543</v>
      </c>
      <c r="Q149" s="285" t="n">
        <f aca="false">I149*(1+$D$4)^($C149-$D$3)</f>
        <v>0</v>
      </c>
      <c r="R149" s="285" t="n">
        <f aca="false">SUM(P149:Q149)</f>
        <v>2.91366439688543</v>
      </c>
    </row>
    <row r="150" customFormat="false" ht="12.75" hidden="false" customHeight="false" outlineLevel="0" collapsed="false">
      <c r="C150" s="282" t="n">
        <f aca="false">C138+1</f>
        <v>2009</v>
      </c>
      <c r="D150" s="282" t="n">
        <f aca="false">D138</f>
        <v>10</v>
      </c>
      <c r="E150" s="283" t="n">
        <v>40087</v>
      </c>
      <c r="F150" s="284" t="n">
        <v>39.3928</v>
      </c>
      <c r="G150" s="284" t="n">
        <v>21.6349</v>
      </c>
      <c r="H150" s="284" t="n">
        <v>2.54223009331912</v>
      </c>
      <c r="I150" s="284" t="n">
        <v>0</v>
      </c>
      <c r="J150" s="284" t="n">
        <f aca="false">SUM(H150:I150)</f>
        <v>2.54223009331912</v>
      </c>
      <c r="K150" s="0" t="n">
        <f aca="false">F150/$J150*1000</f>
        <v>15495.3716044518</v>
      </c>
      <c r="L150" s="0" t="n">
        <f aca="false">G150/$J150*1000</f>
        <v>8510.20529449937</v>
      </c>
      <c r="N150" s="285" t="n">
        <f aca="false">F150*(1+$D$4)^($C150-$D$3)</f>
        <v>47.078042537225</v>
      </c>
      <c r="O150" s="285" t="n">
        <f aca="false">G150*(1+$D$4)^($C150-$D$3)</f>
        <v>25.8557082128868</v>
      </c>
      <c r="P150" s="285" t="n">
        <f aca="false">H150*(1+$D$4)^($C150-$D$3)</f>
        <v>3.03820029225369</v>
      </c>
      <c r="Q150" s="285" t="n">
        <f aca="false">I150*(1+$D$4)^($C150-$D$3)</f>
        <v>0</v>
      </c>
      <c r="R150" s="285" t="n">
        <f aca="false">SUM(P150:Q150)</f>
        <v>3.03820029225369</v>
      </c>
    </row>
    <row r="151" customFormat="false" ht="12.75" hidden="false" customHeight="false" outlineLevel="0" collapsed="false">
      <c r="C151" s="282" t="n">
        <f aca="false">C139+1</f>
        <v>2009</v>
      </c>
      <c r="D151" s="282" t="n">
        <f aca="false">D139</f>
        <v>11</v>
      </c>
      <c r="E151" s="283" t="n">
        <v>40118</v>
      </c>
      <c r="F151" s="284" t="n">
        <v>39.6431</v>
      </c>
      <c r="G151" s="284" t="n">
        <v>24.2988</v>
      </c>
      <c r="H151" s="284" t="n">
        <v>2.6444465449288</v>
      </c>
      <c r="I151" s="284" t="n">
        <v>0</v>
      </c>
      <c r="J151" s="284" t="n">
        <f aca="false">SUM(H151:I151)</f>
        <v>2.6444465449288</v>
      </c>
      <c r="K151" s="0" t="n">
        <f aca="false">F151/$J151*1000</f>
        <v>14991.0763278701</v>
      </c>
      <c r="L151" s="0" t="n">
        <f aca="false">G151/$J151*1000</f>
        <v>9188.61455021554</v>
      </c>
      <c r="N151" s="285" t="n">
        <f aca="false">F151*(1+$D$4)^($C151-$D$3)</f>
        <v>47.3771742071511</v>
      </c>
      <c r="O151" s="285" t="n">
        <f aca="false">G151*(1+$D$4)^($C151-$D$3)</f>
        <v>29.0393153064398</v>
      </c>
      <c r="P151" s="285" t="n">
        <f aca="false">H151*(1+$D$4)^($C151-$D$3)</f>
        <v>3.16035841396336</v>
      </c>
      <c r="Q151" s="285" t="n">
        <f aca="false">I151*(1+$D$4)^($C151-$D$3)</f>
        <v>0</v>
      </c>
      <c r="R151" s="285" t="n">
        <f aca="false">SUM(P151:Q151)</f>
        <v>3.16035841396336</v>
      </c>
    </row>
    <row r="152" customFormat="false" ht="12.75" hidden="false" customHeight="false" outlineLevel="0" collapsed="false">
      <c r="C152" s="282" t="n">
        <f aca="false">C140+1</f>
        <v>2009</v>
      </c>
      <c r="D152" s="282" t="n">
        <f aca="false">D140</f>
        <v>12</v>
      </c>
      <c r="E152" s="283" t="n">
        <v>40148</v>
      </c>
      <c r="F152" s="284" t="n">
        <v>41.0044</v>
      </c>
      <c r="G152" s="284" t="n">
        <v>25.2299</v>
      </c>
      <c r="H152" s="284" t="n">
        <v>2.75244784966765</v>
      </c>
      <c r="I152" s="284" t="n">
        <v>0</v>
      </c>
      <c r="J152" s="284" t="n">
        <f aca="false">SUM(H152:I152)</f>
        <v>2.75244784966765</v>
      </c>
      <c r="K152" s="0" t="n">
        <f aca="false">F152/$J152*1000</f>
        <v>14897.430301886</v>
      </c>
      <c r="L152" s="0" t="n">
        <f aca="false">G152/$J152*1000</f>
        <v>9166.34987400266</v>
      </c>
      <c r="N152" s="285" t="n">
        <f aca="false">F152*(1+$D$4)^($C152-$D$3)</f>
        <v>49.0040537208167</v>
      </c>
      <c r="O152" s="285" t="n">
        <f aca="false">G152*(1+$D$4)^($C152-$D$3)</f>
        <v>30.152065997084</v>
      </c>
      <c r="P152" s="285" t="n">
        <f aca="false">H152*(1+$D$4)^($C152-$D$3)</f>
        <v>3.28942997065827</v>
      </c>
      <c r="Q152" s="285" t="n">
        <f aca="false">I152*(1+$D$4)^($C152-$D$3)</f>
        <v>0</v>
      </c>
      <c r="R152" s="285" t="n">
        <f aca="false">SUM(P152:Q152)</f>
        <v>3.28942997065827</v>
      </c>
    </row>
    <row r="153" customFormat="false" ht="12.75" hidden="false" customHeight="false" outlineLevel="0" collapsed="false">
      <c r="C153" s="282" t="n">
        <f aca="false">C141+1</f>
        <v>2010</v>
      </c>
      <c r="D153" s="282" t="n">
        <f aca="false">D141</f>
        <v>1</v>
      </c>
      <c r="E153" s="283" t="n">
        <v>40179</v>
      </c>
      <c r="F153" s="284" t="n">
        <v>41.1821</v>
      </c>
      <c r="G153" s="284" t="n">
        <v>25.2148</v>
      </c>
      <c r="H153" s="284" t="n">
        <v>2.62316795762972</v>
      </c>
      <c r="I153" s="284" t="n">
        <v>0</v>
      </c>
      <c r="J153" s="284" t="n">
        <f aca="false">SUM(H153:I153)</f>
        <v>2.62316795762972</v>
      </c>
      <c r="K153" s="0" t="n">
        <f aca="false">F153/$J153*1000</f>
        <v>15699.3759702722</v>
      </c>
      <c r="L153" s="0" t="n">
        <f aca="false">G153/$J153*1000</f>
        <v>9612.34675296351</v>
      </c>
      <c r="N153" s="285" t="n">
        <f aca="false">F153*(1+$D$4)^($C153-$D$3)</f>
        <v>50.2007501036661</v>
      </c>
      <c r="O153" s="285" t="n">
        <f aca="false">G153*(1+$D$4)^($C153-$D$3)</f>
        <v>30.7367005012838</v>
      </c>
      <c r="P153" s="285" t="n">
        <f aca="false">H153*(1+$D$4)^($C153-$D$3)</f>
        <v>3.19762710305968</v>
      </c>
      <c r="Q153" s="285" t="n">
        <f aca="false">I153*(1+$D$4)^($C153-$D$3)</f>
        <v>0</v>
      </c>
      <c r="R153" s="285" t="n">
        <f aca="false">SUM(P153:Q153)</f>
        <v>3.19762710305968</v>
      </c>
    </row>
    <row r="154" customFormat="false" ht="12.75" hidden="false" customHeight="false" outlineLevel="0" collapsed="false">
      <c r="C154" s="282" t="n">
        <f aca="false">C142+1</f>
        <v>2010</v>
      </c>
      <c r="D154" s="282" t="n">
        <f aca="false">D142</f>
        <v>2</v>
      </c>
      <c r="E154" s="283" t="n">
        <v>40210</v>
      </c>
      <c r="F154" s="284" t="n">
        <v>39.5358</v>
      </c>
      <c r="G154" s="284" t="n">
        <v>21.5241</v>
      </c>
      <c r="H154" s="284" t="n">
        <v>2.41873450852214</v>
      </c>
      <c r="I154" s="284" t="n">
        <v>0</v>
      </c>
      <c r="J154" s="284" t="n">
        <f aca="false">SUM(H154:I154)</f>
        <v>2.41873450852214</v>
      </c>
      <c r="K154" s="0" t="n">
        <f aca="false">F154/$J154*1000</f>
        <v>16345.6550773556</v>
      </c>
      <c r="L154" s="0" t="n">
        <f aca="false">G154/$J154*1000</f>
        <v>8898.90970842904</v>
      </c>
      <c r="N154" s="285" t="n">
        <f aca="false">F154*(1+$D$4)^($C154-$D$3)</f>
        <v>48.1939195900287</v>
      </c>
      <c r="O154" s="285" t="n">
        <f aca="false">G154*(1+$D$4)^($C154-$D$3)</f>
        <v>26.2377577954092</v>
      </c>
      <c r="P154" s="285" t="n">
        <f aca="false">H154*(1+$D$4)^($C154-$D$3)</f>
        <v>2.94842386933725</v>
      </c>
      <c r="Q154" s="285" t="n">
        <f aca="false">I154*(1+$D$4)^($C154-$D$3)</f>
        <v>0</v>
      </c>
      <c r="R154" s="285" t="n">
        <f aca="false">SUM(P154:Q154)</f>
        <v>2.94842386933725</v>
      </c>
    </row>
    <row r="155" customFormat="false" ht="12.75" hidden="false" customHeight="false" outlineLevel="0" collapsed="false">
      <c r="C155" s="282" t="n">
        <f aca="false">C143+1</f>
        <v>2010</v>
      </c>
      <c r="D155" s="282" t="n">
        <f aca="false">D143</f>
        <v>3</v>
      </c>
      <c r="E155" s="283" t="n">
        <v>40238</v>
      </c>
      <c r="F155" s="284" t="n">
        <v>34.3831</v>
      </c>
      <c r="G155" s="284" t="n">
        <v>19.7172</v>
      </c>
      <c r="H155" s="284" t="n">
        <v>2.2854164637401</v>
      </c>
      <c r="I155" s="284" t="n">
        <v>0</v>
      </c>
      <c r="J155" s="284" t="n">
        <f aca="false">SUM(H155:I155)</f>
        <v>2.2854164637401</v>
      </c>
      <c r="K155" s="0" t="n">
        <f aca="false">F155/$J155*1000</f>
        <v>15044.5665135937</v>
      </c>
      <c r="L155" s="0" t="n">
        <f aca="false">G155/$J155*1000</f>
        <v>8627.3991252048</v>
      </c>
      <c r="N155" s="285" t="n">
        <f aca="false">F155*(1+$D$4)^($C155-$D$3)</f>
        <v>41.9128070421217</v>
      </c>
      <c r="O155" s="285" t="n">
        <f aca="false">G155*(1+$D$4)^($C155-$D$3)</f>
        <v>24.0351567779206</v>
      </c>
      <c r="P155" s="285" t="n">
        <f aca="false">H155*(1+$D$4)^($C155-$D$3)</f>
        <v>2.78590991666333</v>
      </c>
      <c r="Q155" s="285" t="n">
        <f aca="false">I155*(1+$D$4)^($C155-$D$3)</f>
        <v>0</v>
      </c>
      <c r="R155" s="285" t="n">
        <f aca="false">SUM(P155:Q155)</f>
        <v>2.78590991666333</v>
      </c>
    </row>
    <row r="156" customFormat="false" ht="12.75" hidden="false" customHeight="false" outlineLevel="0" collapsed="false">
      <c r="C156" s="282" t="n">
        <f aca="false">C144+1</f>
        <v>2010</v>
      </c>
      <c r="D156" s="282" t="n">
        <f aca="false">D144</f>
        <v>4</v>
      </c>
      <c r="E156" s="283" t="n">
        <v>40269</v>
      </c>
      <c r="F156" s="284" t="n">
        <v>31.0686</v>
      </c>
      <c r="G156" s="284" t="n">
        <v>19.4328</v>
      </c>
      <c r="H156" s="284" t="n">
        <v>2.21312956891457</v>
      </c>
      <c r="I156" s="284" t="n">
        <v>0</v>
      </c>
      <c r="J156" s="284" t="n">
        <f aca="false">SUM(H156:I156)</f>
        <v>2.21312956891457</v>
      </c>
      <c r="K156" s="0" t="n">
        <f aca="false">F156/$J156*1000</f>
        <v>14038.3104705603</v>
      </c>
      <c r="L156" s="0" t="n">
        <f aca="false">G156/$J156*1000</f>
        <v>8780.6878878451</v>
      </c>
      <c r="N156" s="285" t="n">
        <f aca="false">F156*(1+$D$4)^($C156-$D$3)</f>
        <v>37.8724500370491</v>
      </c>
      <c r="O156" s="285" t="n">
        <f aca="false">G156*(1+$D$4)^($C156-$D$3)</f>
        <v>23.6884747648741</v>
      </c>
      <c r="P156" s="285" t="n">
        <f aca="false">H156*(1+$D$4)^($C156-$D$3)</f>
        <v>2.69779259523226</v>
      </c>
      <c r="Q156" s="285" t="n">
        <f aca="false">I156*(1+$D$4)^($C156-$D$3)</f>
        <v>0</v>
      </c>
      <c r="R156" s="285" t="n">
        <f aca="false">SUM(P156:Q156)</f>
        <v>2.69779259523226</v>
      </c>
    </row>
    <row r="157" customFormat="false" ht="12.75" hidden="false" customHeight="false" outlineLevel="0" collapsed="false">
      <c r="C157" s="282" t="n">
        <f aca="false">C145+1</f>
        <v>2010</v>
      </c>
      <c r="D157" s="282" t="n">
        <f aca="false">D145</f>
        <v>5</v>
      </c>
      <c r="E157" s="283" t="n">
        <v>40299</v>
      </c>
      <c r="F157" s="284" t="n">
        <v>33.8034</v>
      </c>
      <c r="G157" s="284" t="n">
        <v>19.5342</v>
      </c>
      <c r="H157" s="284" t="n">
        <v>2.19286922815032</v>
      </c>
      <c r="I157" s="284" t="n">
        <v>0</v>
      </c>
      <c r="J157" s="284" t="n">
        <f aca="false">SUM(H157:I157)</f>
        <v>2.19286922815032</v>
      </c>
      <c r="K157" s="0" t="n">
        <f aca="false">F157/$J157*1000</f>
        <v>15415.1463142711</v>
      </c>
      <c r="L157" s="0" t="n">
        <f aca="false">G157/$J157*1000</f>
        <v>8908.05514037746</v>
      </c>
      <c r="N157" s="285" t="n">
        <f aca="false">F157*(1+$D$4)^($C157-$D$3)</f>
        <v>41.2061559768508</v>
      </c>
      <c r="O157" s="285" t="n">
        <f aca="false">G157*(1+$D$4)^($C157-$D$3)</f>
        <v>23.8120807990616</v>
      </c>
      <c r="P157" s="285" t="n">
        <f aca="false">H157*(1+$D$4)^($C157-$D$3)</f>
        <v>2.67309535289345</v>
      </c>
      <c r="Q157" s="285" t="n">
        <f aca="false">I157*(1+$D$4)^($C157-$D$3)</f>
        <v>0</v>
      </c>
      <c r="R157" s="285" t="n">
        <f aca="false">SUM(P157:Q157)</f>
        <v>2.67309535289345</v>
      </c>
    </row>
    <row r="158" customFormat="false" ht="12.75" hidden="false" customHeight="false" outlineLevel="0" collapsed="false">
      <c r="C158" s="282" t="n">
        <f aca="false">C146+1</f>
        <v>2010</v>
      </c>
      <c r="D158" s="282" t="n">
        <f aca="false">D146</f>
        <v>6</v>
      </c>
      <c r="E158" s="283" t="n">
        <v>40330</v>
      </c>
      <c r="F158" s="284" t="n">
        <v>30.2259</v>
      </c>
      <c r="G158" s="284" t="n">
        <v>17.9411</v>
      </c>
      <c r="H158" s="284" t="n">
        <v>2.21563084555213</v>
      </c>
      <c r="I158" s="284" t="n">
        <v>0</v>
      </c>
      <c r="J158" s="284" t="n">
        <f aca="false">SUM(H158:I158)</f>
        <v>2.21563084555213</v>
      </c>
      <c r="K158" s="0" t="n">
        <f aca="false">F158/$J158*1000</f>
        <v>13642.11915567</v>
      </c>
      <c r="L158" s="0" t="n">
        <f aca="false">G158/$J158*1000</f>
        <v>8097.51319179216</v>
      </c>
      <c r="N158" s="285" t="n">
        <f aca="false">F158*(1+$D$4)^($C158-$D$3)</f>
        <v>36.8452034393195</v>
      </c>
      <c r="O158" s="285" t="n">
        <f aca="false">G158*(1+$D$4)^($C158-$D$3)</f>
        <v>21.8701007885679</v>
      </c>
      <c r="P158" s="285" t="n">
        <f aca="false">H158*(1+$D$4)^($C158-$D$3)</f>
        <v>2.70084163749631</v>
      </c>
      <c r="Q158" s="285" t="n">
        <f aca="false">I158*(1+$D$4)^($C158-$D$3)</f>
        <v>0</v>
      </c>
      <c r="R158" s="285" t="n">
        <f aca="false">SUM(P158:Q158)</f>
        <v>2.70084163749631</v>
      </c>
    </row>
    <row r="159" customFormat="false" ht="12.75" hidden="false" customHeight="false" outlineLevel="0" collapsed="false">
      <c r="C159" s="282" t="n">
        <f aca="false">C147+1</f>
        <v>2010</v>
      </c>
      <c r="D159" s="282" t="n">
        <f aca="false">D147</f>
        <v>7</v>
      </c>
      <c r="E159" s="283" t="n">
        <v>40360</v>
      </c>
      <c r="F159" s="284" t="n">
        <v>50.0196</v>
      </c>
      <c r="G159" s="284" t="n">
        <v>23.1153</v>
      </c>
      <c r="H159" s="284" t="n">
        <v>2.27240982522478</v>
      </c>
      <c r="I159" s="284" t="n">
        <v>0</v>
      </c>
      <c r="J159" s="284" t="n">
        <f aca="false">SUM(H159:I159)</f>
        <v>2.27240982522478</v>
      </c>
      <c r="K159" s="0" t="n">
        <f aca="false">F159/$J159*1000</f>
        <v>22011.698525838</v>
      </c>
      <c r="L159" s="0" t="n">
        <f aca="false">G159/$J159*1000</f>
        <v>10172.1528147826</v>
      </c>
      <c r="N159" s="285" t="n">
        <f aca="false">F159*(1+$D$4)^($C159-$D$3)</f>
        <v>60.9736132903698</v>
      </c>
      <c r="O159" s="285" t="n">
        <f aca="false">G159*(1+$D$4)^($C159-$D$3)</f>
        <v>28.1774217165048</v>
      </c>
      <c r="P159" s="285" t="n">
        <f aca="false">H159*(1+$D$4)^($C159-$D$3)</f>
        <v>2.77005489689027</v>
      </c>
      <c r="Q159" s="285" t="n">
        <f aca="false">I159*(1+$D$4)^($C159-$D$3)</f>
        <v>0</v>
      </c>
      <c r="R159" s="285" t="n">
        <f aca="false">SUM(P159:Q159)</f>
        <v>2.77005489689027</v>
      </c>
    </row>
    <row r="160" customFormat="false" ht="12.75" hidden="false" customHeight="false" outlineLevel="0" collapsed="false">
      <c r="C160" s="282" t="n">
        <f aca="false">C148+1</f>
        <v>2010</v>
      </c>
      <c r="D160" s="282" t="n">
        <f aca="false">D148</f>
        <v>8</v>
      </c>
      <c r="E160" s="283" t="n">
        <v>40391</v>
      </c>
      <c r="F160" s="284" t="n">
        <v>92.1506</v>
      </c>
      <c r="G160" s="284" t="n">
        <v>28.0639</v>
      </c>
      <c r="H160" s="284" t="n">
        <v>2.35420157127305</v>
      </c>
      <c r="I160" s="284" t="n">
        <v>0</v>
      </c>
      <c r="J160" s="284" t="n">
        <f aca="false">SUM(H160:I160)</f>
        <v>2.35420157127305</v>
      </c>
      <c r="K160" s="0" t="n">
        <f aca="false">F160/$J160*1000</f>
        <v>39143.0373356556</v>
      </c>
      <c r="L160" s="0" t="n">
        <f aca="false">G160/$J160*1000</f>
        <v>11920.7719264346</v>
      </c>
      <c r="N160" s="285" t="n">
        <f aca="false">F160*(1+$D$4)^($C160-$D$3)</f>
        <v>112.331067199169</v>
      </c>
      <c r="O160" s="285" t="n">
        <f aca="false">G160*(1+$D$4)^($C160-$D$3)</f>
        <v>34.2097375032909</v>
      </c>
      <c r="P160" s="285" t="n">
        <f aca="false">H160*(1+$D$4)^($C160-$D$3)</f>
        <v>2.86975857892474</v>
      </c>
      <c r="Q160" s="285" t="n">
        <f aca="false">I160*(1+$D$4)^($C160-$D$3)</f>
        <v>0</v>
      </c>
      <c r="R160" s="285" t="n">
        <f aca="false">SUM(P160:Q160)</f>
        <v>2.86975857892474</v>
      </c>
    </row>
    <row r="161" customFormat="false" ht="12.75" hidden="false" customHeight="false" outlineLevel="0" collapsed="false">
      <c r="C161" s="282" t="n">
        <f aca="false">C149+1</f>
        <v>2010</v>
      </c>
      <c r="D161" s="282" t="n">
        <f aca="false">D149</f>
        <v>9</v>
      </c>
      <c r="E161" s="283" t="n">
        <v>40422</v>
      </c>
      <c r="F161" s="284" t="n">
        <v>61.0961</v>
      </c>
      <c r="G161" s="284" t="n">
        <v>26.5175</v>
      </c>
      <c r="H161" s="284" t="n">
        <v>2.45200148780171</v>
      </c>
      <c r="I161" s="284" t="n">
        <v>0</v>
      </c>
      <c r="J161" s="284" t="n">
        <f aca="false">SUM(H161:I161)</f>
        <v>2.45200148780171</v>
      </c>
      <c r="K161" s="0" t="n">
        <f aca="false">F161/$J161*1000</f>
        <v>24916.8282743476</v>
      </c>
      <c r="L161" s="0" t="n">
        <f aca="false">G161/$J161*1000</f>
        <v>10814.6345472954</v>
      </c>
      <c r="N161" s="285" t="n">
        <f aca="false">F161*(1+$D$4)^($C161-$D$3)</f>
        <v>74.4758049834417</v>
      </c>
      <c r="O161" s="285" t="n">
        <f aca="false">G161*(1+$D$4)^($C161-$D$3)</f>
        <v>32.324684532211</v>
      </c>
      <c r="P161" s="285" t="n">
        <f aca="false">H161*(1+$D$4)^($C161-$D$3)</f>
        <v>2.98897613144913</v>
      </c>
      <c r="Q161" s="285" t="n">
        <f aca="false">I161*(1+$D$4)^($C161-$D$3)</f>
        <v>0</v>
      </c>
      <c r="R161" s="285" t="n">
        <f aca="false">SUM(P161:Q161)</f>
        <v>2.98897613144913</v>
      </c>
    </row>
    <row r="162" customFormat="false" ht="12.75" hidden="false" customHeight="false" outlineLevel="0" collapsed="false">
      <c r="C162" s="282" t="n">
        <f aca="false">C150+1</f>
        <v>2010</v>
      </c>
      <c r="D162" s="282" t="n">
        <f aca="false">D150</f>
        <v>10</v>
      </c>
      <c r="E162" s="283" t="n">
        <v>40452</v>
      </c>
      <c r="F162" s="284" t="n">
        <v>40.1761</v>
      </c>
      <c r="G162" s="284" t="n">
        <v>22.1467</v>
      </c>
      <c r="H162" s="284" t="n">
        <v>2.55680497891554</v>
      </c>
      <c r="I162" s="284" t="n">
        <v>0</v>
      </c>
      <c r="J162" s="284" t="n">
        <f aca="false">SUM(H162:I162)</f>
        <v>2.55680497891554</v>
      </c>
      <c r="K162" s="0" t="n">
        <f aca="false">F162/$J162*1000</f>
        <v>15713.4002519975</v>
      </c>
      <c r="L162" s="0" t="n">
        <f aca="false">G162/$J162*1000</f>
        <v>8661.86517260046</v>
      </c>
      <c r="N162" s="285" t="n">
        <f aca="false">F162*(1+$D$4)^($C162-$D$3)</f>
        <v>48.9744417171514</v>
      </c>
      <c r="O162" s="285" t="n">
        <f aca="false">G162*(1+$D$4)^($C162-$D$3)</f>
        <v>26.9967037212979</v>
      </c>
      <c r="P162" s="285" t="n">
        <f aca="false">H162*(1+$D$4)^($C162-$D$3)</f>
        <v>3.11673100231286</v>
      </c>
      <c r="Q162" s="285" t="n">
        <f aca="false">I162*(1+$D$4)^($C162-$D$3)</f>
        <v>0</v>
      </c>
      <c r="R162" s="285" t="n">
        <f aca="false">SUM(P162:Q162)</f>
        <v>3.11673100231286</v>
      </c>
    </row>
    <row r="163" customFormat="false" ht="12.75" hidden="false" customHeight="false" outlineLevel="0" collapsed="false">
      <c r="C163" s="282" t="n">
        <f aca="false">C151+1</f>
        <v>2010</v>
      </c>
      <c r="D163" s="282" t="n">
        <f aca="false">D151</f>
        <v>11</v>
      </c>
      <c r="E163" s="283" t="n">
        <v>40483</v>
      </c>
      <c r="F163" s="284" t="n">
        <v>43.9366</v>
      </c>
      <c r="G163" s="284" t="n">
        <v>24.2431</v>
      </c>
      <c r="H163" s="284" t="n">
        <v>2.65960744871933</v>
      </c>
      <c r="I163" s="284" t="n">
        <v>0</v>
      </c>
      <c r="J163" s="284" t="n">
        <f aca="false">SUM(H163:I163)</f>
        <v>2.65960744871933</v>
      </c>
      <c r="K163" s="0" t="n">
        <f aca="false">F163/$J163*1000</f>
        <v>16519.9567406674</v>
      </c>
      <c r="L163" s="0" t="n">
        <f aca="false">G163/$J163*1000</f>
        <v>9115.29256382317</v>
      </c>
      <c r="N163" s="285" t="n">
        <f aca="false">F163*(1+$D$4)^($C163-$D$3)</f>
        <v>53.5584702335417</v>
      </c>
      <c r="O163" s="285" t="n">
        <f aca="false">G163*(1+$D$4)^($C163-$D$3)</f>
        <v>29.5522036233749</v>
      </c>
      <c r="P163" s="285" t="n">
        <f aca="false">H163*(1+$D$4)^($C163-$D$3)</f>
        <v>3.24204663936535</v>
      </c>
      <c r="Q163" s="285" t="n">
        <f aca="false">I163*(1+$D$4)^($C163-$D$3)</f>
        <v>0</v>
      </c>
      <c r="R163" s="285" t="n">
        <f aca="false">SUM(P163:Q163)</f>
        <v>3.24204663936535</v>
      </c>
    </row>
    <row r="164" customFormat="false" ht="12.75" hidden="false" customHeight="false" outlineLevel="0" collapsed="false">
      <c r="C164" s="282" t="n">
        <f aca="false">C152+1</f>
        <v>2010</v>
      </c>
      <c r="D164" s="282" t="n">
        <f aca="false">D152</f>
        <v>12</v>
      </c>
      <c r="E164" s="283" t="n">
        <v>40513</v>
      </c>
      <c r="F164" s="284" t="n">
        <v>43.3791</v>
      </c>
      <c r="G164" s="284" t="n">
        <v>25.1086</v>
      </c>
      <c r="H164" s="284" t="n">
        <v>2.76822793685349</v>
      </c>
      <c r="I164" s="284" t="n">
        <v>0</v>
      </c>
      <c r="J164" s="284" t="n">
        <f aca="false">SUM(H164:I164)</f>
        <v>2.76822793685349</v>
      </c>
      <c r="K164" s="0" t="n">
        <f aca="false">F164/$J164*1000</f>
        <v>15670.3497650945</v>
      </c>
      <c r="L164" s="0" t="n">
        <f aca="false">G164/$J164*1000</f>
        <v>9070.27910011621</v>
      </c>
      <c r="N164" s="285" t="n">
        <f aca="false">F164*(1+$D$4)^($C164-$D$3)</f>
        <v>52.8788808443946</v>
      </c>
      <c r="O164" s="285" t="n">
        <f aca="false">G164*(1+$D$4)^($C164-$D$3)</f>
        <v>30.6072432938804</v>
      </c>
      <c r="P164" s="285" t="n">
        <f aca="false">H164*(1+$D$4)^($C164-$D$3)</f>
        <v>3.374454408298</v>
      </c>
      <c r="Q164" s="285" t="n">
        <f aca="false">I164*(1+$D$4)^($C164-$D$3)</f>
        <v>0</v>
      </c>
      <c r="R164" s="285" t="n">
        <f aca="false">SUM(P164:Q164)</f>
        <v>3.374454408298</v>
      </c>
    </row>
    <row r="165" customFormat="false" ht="12.75" hidden="false" customHeight="false" outlineLevel="0" collapsed="false">
      <c r="C165" s="282" t="n">
        <f aca="false">C153+1</f>
        <v>2011</v>
      </c>
      <c r="D165" s="282" t="n">
        <f aca="false">D153</f>
        <v>1</v>
      </c>
      <c r="E165" s="283" t="n">
        <v>40544</v>
      </c>
      <c r="F165" s="284" t="n">
        <v>43.0677</v>
      </c>
      <c r="G165" s="284" t="n">
        <v>23.9099</v>
      </c>
      <c r="H165" s="284" t="n">
        <v>2.64099277816855</v>
      </c>
      <c r="I165" s="284" t="n">
        <v>0</v>
      </c>
      <c r="J165" s="284" t="n">
        <f aca="false">SUM(H165:I165)</f>
        <v>2.64099277816855</v>
      </c>
      <c r="K165" s="0" t="n">
        <f aca="false">F165/$J165*1000</f>
        <v>16307.3902950489</v>
      </c>
      <c r="L165" s="0" t="n">
        <f aca="false">G165/$J165*1000</f>
        <v>9053.37575992192</v>
      </c>
      <c r="N165" s="285" t="n">
        <f aca="false">F165*(1+$D$4)^($C165-$D$3)</f>
        <v>53.5492717016484</v>
      </c>
      <c r="O165" s="285" t="n">
        <f aca="false">G165*(1+$D$4)^($C165-$D$3)</f>
        <v>29.7289553762853</v>
      </c>
      <c r="P165" s="285" t="n">
        <f aca="false">H165*(1+$D$4)^($C165-$D$3)</f>
        <v>3.28374256903059</v>
      </c>
      <c r="Q165" s="285" t="n">
        <f aca="false">I165*(1+$D$4)^($C165-$D$3)</f>
        <v>0</v>
      </c>
      <c r="R165" s="285" t="n">
        <f aca="false">SUM(P165:Q165)</f>
        <v>3.28374256903059</v>
      </c>
    </row>
    <row r="166" customFormat="false" ht="12.75" hidden="false" customHeight="false" outlineLevel="0" collapsed="false">
      <c r="C166" s="282" t="n">
        <f aca="false">C154+1</f>
        <v>2011</v>
      </c>
      <c r="D166" s="282" t="n">
        <f aca="false">D154</f>
        <v>2</v>
      </c>
      <c r="E166" s="283" t="n">
        <v>40575</v>
      </c>
      <c r="F166" s="284" t="n">
        <v>37.0192</v>
      </c>
      <c r="G166" s="284" t="n">
        <v>22.5625</v>
      </c>
      <c r="H166" s="284" t="n">
        <v>2.43517017304757</v>
      </c>
      <c r="I166" s="284" t="n">
        <v>0</v>
      </c>
      <c r="J166" s="284" t="n">
        <f aca="false">SUM(H166:I166)</f>
        <v>2.43517017304757</v>
      </c>
      <c r="K166" s="0" t="n">
        <f aca="false">F166/$J166*1000</f>
        <v>15201.8944752724</v>
      </c>
      <c r="L166" s="0" t="n">
        <f aca="false">G166/$J166*1000</f>
        <v>9265.26624287756</v>
      </c>
      <c r="N166" s="285" t="n">
        <f aca="false">F166*(1+$D$4)^($C166-$D$3)</f>
        <v>46.0287221973233</v>
      </c>
      <c r="O166" s="285" t="n">
        <f aca="false">G166*(1+$D$4)^($C166-$D$3)</f>
        <v>28.0536328331543</v>
      </c>
      <c r="P166" s="285" t="n">
        <f aca="false">H166*(1+$D$4)^($C166-$D$3)</f>
        <v>3.02782802973631</v>
      </c>
      <c r="Q166" s="285" t="n">
        <f aca="false">I166*(1+$D$4)^($C166-$D$3)</f>
        <v>0</v>
      </c>
      <c r="R166" s="285" t="n">
        <f aca="false">SUM(P166:Q166)</f>
        <v>3.02782802973631</v>
      </c>
    </row>
    <row r="167" customFormat="false" ht="12.75" hidden="false" customHeight="false" outlineLevel="0" collapsed="false">
      <c r="C167" s="282" t="n">
        <f aca="false">C155+1</f>
        <v>2011</v>
      </c>
      <c r="D167" s="282" t="n">
        <f aca="false">D155</f>
        <v>3</v>
      </c>
      <c r="E167" s="283" t="n">
        <v>40603</v>
      </c>
      <c r="F167" s="284" t="n">
        <v>31.8694</v>
      </c>
      <c r="G167" s="284" t="n">
        <v>19.5928</v>
      </c>
      <c r="H167" s="284" t="n">
        <v>2.30094621211331</v>
      </c>
      <c r="I167" s="284" t="n">
        <v>0</v>
      </c>
      <c r="J167" s="284" t="n">
        <f aca="false">SUM(H167:I167)</f>
        <v>2.30094621211331</v>
      </c>
      <c r="K167" s="0" t="n">
        <f aca="false">F167/$J167*1000</f>
        <v>13850.5627955247</v>
      </c>
      <c r="L167" s="0" t="n">
        <f aca="false">G167/$J167*1000</f>
        <v>8515.10561040232</v>
      </c>
      <c r="N167" s="285" t="n">
        <f aca="false">F167*(1+$D$4)^($C167-$D$3)</f>
        <v>39.6255931839525</v>
      </c>
      <c r="O167" s="285" t="n">
        <f aca="false">G167*(1+$D$4)^($C167-$D$3)</f>
        <v>24.3611841495148</v>
      </c>
      <c r="P167" s="285" t="n">
        <f aca="false">H167*(1+$D$4)^($C167-$D$3)</f>
        <v>2.86093740513968</v>
      </c>
      <c r="Q167" s="285" t="n">
        <f aca="false">I167*(1+$D$4)^($C167-$D$3)</f>
        <v>0</v>
      </c>
      <c r="R167" s="285" t="n">
        <f aca="false">SUM(P167:Q167)</f>
        <v>2.86093740513968</v>
      </c>
    </row>
    <row r="168" customFormat="false" ht="12.75" hidden="false" customHeight="false" outlineLevel="0" collapsed="false">
      <c r="C168" s="282" t="n">
        <f aca="false">C156+1</f>
        <v>2011</v>
      </c>
      <c r="D168" s="282" t="n">
        <f aca="false">D156</f>
        <v>4</v>
      </c>
      <c r="E168" s="283" t="n">
        <v>40634</v>
      </c>
      <c r="F168" s="284" t="n">
        <v>30.4615</v>
      </c>
      <c r="G168" s="284" t="n">
        <v>19.8263</v>
      </c>
      <c r="H168" s="284" t="n">
        <v>2.22816811697259</v>
      </c>
      <c r="I168" s="284" t="n">
        <v>0</v>
      </c>
      <c r="J168" s="284" t="n">
        <f aca="false">SUM(H168:I168)</f>
        <v>2.22816811697259</v>
      </c>
      <c r="K168" s="0" t="n">
        <f aca="false">F168/$J168*1000</f>
        <v>13671.0958962055</v>
      </c>
      <c r="L168" s="0" t="n">
        <f aca="false">G168/$J168*1000</f>
        <v>8898.02697066592</v>
      </c>
      <c r="N168" s="285" t="n">
        <f aca="false">F168*(1+$D$4)^($C168-$D$3)</f>
        <v>37.8750464951637</v>
      </c>
      <c r="O168" s="285" t="n">
        <f aca="false">G168*(1+$D$4)^($C168-$D$3)</f>
        <v>24.6515120505249</v>
      </c>
      <c r="P168" s="285" t="n">
        <f aca="false">H168*(1+$D$4)^($C168-$D$3)</f>
        <v>2.77044699142781</v>
      </c>
      <c r="Q168" s="285" t="n">
        <f aca="false">I168*(1+$D$4)^($C168-$D$3)</f>
        <v>0</v>
      </c>
      <c r="R168" s="285" t="n">
        <f aca="false">SUM(P168:Q168)</f>
        <v>2.77044699142781</v>
      </c>
    </row>
    <row r="169" customFormat="false" ht="12.75" hidden="false" customHeight="false" outlineLevel="0" collapsed="false">
      <c r="C169" s="282" t="n">
        <f aca="false">C157+1</f>
        <v>2011</v>
      </c>
      <c r="D169" s="282" t="n">
        <f aca="false">D157</f>
        <v>5</v>
      </c>
      <c r="E169" s="283" t="n">
        <v>40664</v>
      </c>
      <c r="F169" s="284" t="n">
        <v>32.3854</v>
      </c>
      <c r="G169" s="284" t="n">
        <v>19.8144</v>
      </c>
      <c r="H169" s="284" t="n">
        <v>2.20777010414768</v>
      </c>
      <c r="I169" s="284" t="n">
        <v>0</v>
      </c>
      <c r="J169" s="284" t="n">
        <f aca="false">SUM(H169:I169)</f>
        <v>2.20777010414768</v>
      </c>
      <c r="K169" s="0" t="n">
        <f aca="false">F169/$J169*1000</f>
        <v>14668.8280356539</v>
      </c>
      <c r="L169" s="0" t="n">
        <f aca="false">G169/$J169*1000</f>
        <v>8974.84750009758</v>
      </c>
      <c r="N169" s="285" t="n">
        <f aca="false">F169*(1+$D$4)^($C169-$D$3)</f>
        <v>40.2671743270842</v>
      </c>
      <c r="O169" s="285" t="n">
        <f aca="false">G169*(1+$D$4)^($C169-$D$3)</f>
        <v>24.636715896255</v>
      </c>
      <c r="P169" s="285" t="n">
        <f aca="false">H169*(1+$D$4)^($C169-$D$3)</f>
        <v>2.74508462633901</v>
      </c>
      <c r="Q169" s="285" t="n">
        <f aca="false">I169*(1+$D$4)^($C169-$D$3)</f>
        <v>0</v>
      </c>
      <c r="R169" s="285" t="n">
        <f aca="false">SUM(P169:Q169)</f>
        <v>2.74508462633901</v>
      </c>
    </row>
    <row r="170" customFormat="false" ht="12.75" hidden="false" customHeight="false" outlineLevel="0" collapsed="false">
      <c r="C170" s="282" t="n">
        <f aca="false">C158+1</f>
        <v>2011</v>
      </c>
      <c r="D170" s="282" t="n">
        <f aca="false">D158</f>
        <v>6</v>
      </c>
      <c r="E170" s="283" t="n">
        <v>40695</v>
      </c>
      <c r="F170" s="284" t="n">
        <v>30.122</v>
      </c>
      <c r="G170" s="284" t="n">
        <v>18.4107</v>
      </c>
      <c r="H170" s="284" t="n">
        <v>2.23068639016085</v>
      </c>
      <c r="I170" s="284" t="n">
        <v>0</v>
      </c>
      <c r="J170" s="284" t="n">
        <f aca="false">SUM(H170:I170)</f>
        <v>2.23068639016085</v>
      </c>
      <c r="K170" s="0" t="n">
        <f aca="false">F170/$J170*1000</f>
        <v>13503.4669744984</v>
      </c>
      <c r="L170" s="0" t="n">
        <f aca="false">G170/$J170*1000</f>
        <v>8253.37890669268</v>
      </c>
      <c r="N170" s="285" t="n">
        <f aca="false">F170*(1+$D$4)^($C170-$D$3)</f>
        <v>37.4529209174637</v>
      </c>
      <c r="O170" s="285" t="n">
        <f aca="false">G170*(1+$D$4)^($C170-$D$3)</f>
        <v>22.8913913795614</v>
      </c>
      <c r="P170" s="285" t="n">
        <f aca="false">H170*(1+$D$4)^($C170-$D$3)</f>
        <v>2.77357814761161</v>
      </c>
      <c r="Q170" s="285" t="n">
        <f aca="false">I170*(1+$D$4)^($C170-$D$3)</f>
        <v>0</v>
      </c>
      <c r="R170" s="285" t="n">
        <f aca="false">SUM(P170:Q170)</f>
        <v>2.77357814761161</v>
      </c>
    </row>
    <row r="171" customFormat="false" ht="12.75" hidden="false" customHeight="false" outlineLevel="0" collapsed="false">
      <c r="C171" s="282" t="n">
        <f aca="false">C159+1</f>
        <v>2011</v>
      </c>
      <c r="D171" s="282" t="n">
        <f aca="false">D159</f>
        <v>7</v>
      </c>
      <c r="E171" s="283" t="n">
        <v>40725</v>
      </c>
      <c r="F171" s="284" t="n">
        <v>56.0649</v>
      </c>
      <c r="G171" s="284" t="n">
        <v>22.9221</v>
      </c>
      <c r="H171" s="284" t="n">
        <v>2.28785119153436</v>
      </c>
      <c r="I171" s="284" t="n">
        <v>0</v>
      </c>
      <c r="J171" s="284" t="n">
        <f aca="false">SUM(H171:I171)</f>
        <v>2.28785119153436</v>
      </c>
      <c r="K171" s="0" t="n">
        <f aca="false">F171/$J171*1000</f>
        <v>24505.4836640839</v>
      </c>
      <c r="L171" s="0" t="n">
        <f aca="false">G171/$J171*1000</f>
        <v>10019.0519754159</v>
      </c>
      <c r="N171" s="285" t="n">
        <f aca="false">F171*(1+$D$4)^($C171-$D$3)</f>
        <v>69.7096562627154</v>
      </c>
      <c r="O171" s="285" t="n">
        <f aca="false">G171*(1+$D$4)^($C171-$D$3)</f>
        <v>28.5007502344531</v>
      </c>
      <c r="P171" s="285" t="n">
        <f aca="false">H171*(1+$D$4)^($C171-$D$3)</f>
        <v>2.84465539298391</v>
      </c>
      <c r="Q171" s="285" t="n">
        <f aca="false">I171*(1+$D$4)^($C171-$D$3)</f>
        <v>0</v>
      </c>
      <c r="R171" s="285" t="n">
        <f aca="false">SUM(P171:Q171)</f>
        <v>2.84465539298391</v>
      </c>
    </row>
    <row r="172" customFormat="false" ht="12.75" hidden="false" customHeight="false" outlineLevel="0" collapsed="false">
      <c r="C172" s="282" t="n">
        <f aca="false">C160+1</f>
        <v>2011</v>
      </c>
      <c r="D172" s="282" t="n">
        <f aca="false">D160</f>
        <v>8</v>
      </c>
      <c r="E172" s="283" t="n">
        <v>40756</v>
      </c>
      <c r="F172" s="284" t="n">
        <v>88.0735</v>
      </c>
      <c r="G172" s="284" t="n">
        <v>27.7036</v>
      </c>
      <c r="H172" s="284" t="n">
        <v>2.37019872479046</v>
      </c>
      <c r="I172" s="284" t="n">
        <v>0</v>
      </c>
      <c r="J172" s="284" t="n">
        <f aca="false">SUM(H172:I172)</f>
        <v>2.37019872479046</v>
      </c>
      <c r="K172" s="0" t="n">
        <f aca="false">F172/$J172*1000</f>
        <v>37158.6985845611</v>
      </c>
      <c r="L172" s="0" t="n">
        <f aca="false">G172/$J172*1000</f>
        <v>11688.3026348135</v>
      </c>
      <c r="N172" s="285" t="n">
        <f aca="false">F172*(1+$D$4)^($C172-$D$3)</f>
        <v>109.508327150396</v>
      </c>
      <c r="O172" s="285" t="n">
        <f aca="false">G172*(1+$D$4)^($C172-$D$3)</f>
        <v>34.4459444900421</v>
      </c>
      <c r="P172" s="285" t="n">
        <f aca="false">H172*(1+$D$4)^($C172-$D$3)</f>
        <v>2.94704420019423</v>
      </c>
      <c r="Q172" s="285" t="n">
        <f aca="false">I172*(1+$D$4)^($C172-$D$3)</f>
        <v>0</v>
      </c>
      <c r="R172" s="285" t="n">
        <f aca="false">SUM(P172:Q172)</f>
        <v>2.94704420019423</v>
      </c>
    </row>
    <row r="173" customFormat="false" ht="12.75" hidden="false" customHeight="false" outlineLevel="0" collapsed="false">
      <c r="C173" s="282" t="n">
        <f aca="false">C161+1</f>
        <v>2011</v>
      </c>
      <c r="D173" s="282" t="n">
        <f aca="false">D161</f>
        <v>9</v>
      </c>
      <c r="E173" s="283" t="n">
        <v>40787</v>
      </c>
      <c r="F173" s="284" t="n">
        <v>54.4758</v>
      </c>
      <c r="G173" s="284" t="n">
        <v>25.303</v>
      </c>
      <c r="H173" s="284" t="n">
        <v>2.46866320645143</v>
      </c>
      <c r="I173" s="284" t="n">
        <v>0</v>
      </c>
      <c r="J173" s="284" t="n">
        <f aca="false">SUM(H173:I173)</f>
        <v>2.46866320645143</v>
      </c>
      <c r="K173" s="0" t="n">
        <f aca="false">F173/$J173*1000</f>
        <v>22066.9226396038</v>
      </c>
      <c r="L173" s="0" t="n">
        <f aca="false">G173/$J173*1000</f>
        <v>10249.676802358</v>
      </c>
      <c r="N173" s="285" t="n">
        <f aca="false">F173*(1+$D$4)^($C173-$D$3)</f>
        <v>67.7338101492454</v>
      </c>
      <c r="O173" s="285" t="n">
        <f aca="false">G173*(1+$D$4)^($C173-$D$3)</f>
        <v>31.4611001253099</v>
      </c>
      <c r="P173" s="285" t="n">
        <f aca="false">H173*(1+$D$4)^($C173-$D$3)</f>
        <v>3.06947240698088</v>
      </c>
      <c r="Q173" s="285" t="n">
        <f aca="false">I173*(1+$D$4)^($C173-$D$3)</f>
        <v>0</v>
      </c>
      <c r="R173" s="285" t="n">
        <f aca="false">SUM(P173:Q173)</f>
        <v>3.06947240698088</v>
      </c>
    </row>
    <row r="174" customFormat="false" ht="12.75" hidden="false" customHeight="false" outlineLevel="0" collapsed="false">
      <c r="C174" s="282" t="n">
        <f aca="false">C162+1</f>
        <v>2011</v>
      </c>
      <c r="D174" s="282" t="n">
        <f aca="false">D162</f>
        <v>10</v>
      </c>
      <c r="E174" s="283" t="n">
        <v>40817</v>
      </c>
      <c r="F174" s="284" t="n">
        <v>41.2562</v>
      </c>
      <c r="G174" s="284" t="n">
        <v>22.2036</v>
      </c>
      <c r="H174" s="284" t="n">
        <v>2.57417885303954</v>
      </c>
      <c r="I174" s="284" t="n">
        <v>0</v>
      </c>
      <c r="J174" s="284" t="n">
        <f aca="false">SUM(H174:I174)</f>
        <v>2.57417885303954</v>
      </c>
      <c r="K174" s="0" t="n">
        <f aca="false">F174/$J174*1000</f>
        <v>16026.9361048031</v>
      </c>
      <c r="L174" s="0" t="n">
        <f aca="false">G174/$J174*1000</f>
        <v>8625.50788721711</v>
      </c>
      <c r="N174" s="285" t="n">
        <f aca="false">F174*(1+$D$4)^($C174-$D$3)</f>
        <v>51.2968991419915</v>
      </c>
      <c r="O174" s="285" t="n">
        <f aca="false">G174*(1+$D$4)^($C174-$D$3)</f>
        <v>27.6073857938715</v>
      </c>
      <c r="P174" s="285" t="n">
        <f aca="false">H174*(1+$D$4)^($C174-$D$3)</f>
        <v>3.20066785108217</v>
      </c>
      <c r="Q174" s="285" t="n">
        <f aca="false">I174*(1+$D$4)^($C174-$D$3)</f>
        <v>0</v>
      </c>
      <c r="R174" s="285" t="n">
        <f aca="false">SUM(P174:Q174)</f>
        <v>3.20066785108217</v>
      </c>
    </row>
    <row r="175" customFormat="false" ht="12.75" hidden="false" customHeight="false" outlineLevel="0" collapsed="false">
      <c r="C175" s="282" t="n">
        <f aca="false">C163+1</f>
        <v>2011</v>
      </c>
      <c r="D175" s="282" t="n">
        <f aca="false">D163</f>
        <v>11</v>
      </c>
      <c r="E175" s="283" t="n">
        <v>40848</v>
      </c>
      <c r="F175" s="284" t="n">
        <v>44.2228</v>
      </c>
      <c r="G175" s="284" t="n">
        <v>23.6269</v>
      </c>
      <c r="H175" s="284" t="n">
        <v>2.67767988107703</v>
      </c>
      <c r="I175" s="284" t="n">
        <v>0</v>
      </c>
      <c r="J175" s="284" t="n">
        <f aca="false">SUM(H175:I175)</f>
        <v>2.67767988107703</v>
      </c>
      <c r="K175" s="0" t="n">
        <f aca="false">F175/$J175*1000</f>
        <v>16515.3423725216</v>
      </c>
      <c r="L175" s="0" t="n">
        <f aca="false">G175/$J175*1000</f>
        <v>8823.64623455164</v>
      </c>
      <c r="N175" s="285" t="n">
        <f aca="false">F175*(1+$D$4)^($C175-$D$3)</f>
        <v>54.985493365275</v>
      </c>
      <c r="O175" s="285" t="n">
        <f aca="false">G175*(1+$D$4)^($C175-$D$3)</f>
        <v>29.3770804470096</v>
      </c>
      <c r="P175" s="285" t="n">
        <f aca="false">H175*(1+$D$4)^($C175-$D$3)</f>
        <v>3.32935837023642</v>
      </c>
      <c r="Q175" s="285" t="n">
        <f aca="false">I175*(1+$D$4)^($C175-$D$3)</f>
        <v>0</v>
      </c>
      <c r="R175" s="285" t="n">
        <f aca="false">SUM(P175:Q175)</f>
        <v>3.32935837023642</v>
      </c>
    </row>
    <row r="176" customFormat="false" ht="12.75" hidden="false" customHeight="false" outlineLevel="0" collapsed="false">
      <c r="C176" s="282" t="n">
        <f aca="false">C164+1</f>
        <v>2011</v>
      </c>
      <c r="D176" s="282" t="n">
        <f aca="false">D164</f>
        <v>12</v>
      </c>
      <c r="E176" s="283" t="n">
        <v>40878</v>
      </c>
      <c r="F176" s="284" t="n">
        <v>42.4239</v>
      </c>
      <c r="G176" s="284" t="n">
        <v>25.5248</v>
      </c>
      <c r="H176" s="284" t="n">
        <v>2.78703846175391</v>
      </c>
      <c r="I176" s="284" t="n">
        <v>0</v>
      </c>
      <c r="J176" s="284" t="n">
        <f aca="false">SUM(H176:I176)</f>
        <v>2.78703846175391</v>
      </c>
      <c r="K176" s="0" t="n">
        <f aca="false">F176/$J176*1000</f>
        <v>15221.856670504</v>
      </c>
      <c r="L176" s="0" t="n">
        <f aca="false">G176/$J176*1000</f>
        <v>9158.39531828241</v>
      </c>
      <c r="N176" s="285" t="n">
        <f aca="false">F176*(1+$D$4)^($C176-$D$3)</f>
        <v>52.7487873219039</v>
      </c>
      <c r="O176" s="285" t="n">
        <f aca="false">G176*(1+$D$4)^($C176-$D$3)</f>
        <v>31.7368805469118</v>
      </c>
      <c r="P176" s="285" t="n">
        <f aca="false">H176*(1+$D$4)^($C176-$D$3)</f>
        <v>3.46533201985256</v>
      </c>
      <c r="Q176" s="285" t="n">
        <f aca="false">I176*(1+$D$4)^($C176-$D$3)</f>
        <v>0</v>
      </c>
      <c r="R176" s="285" t="n">
        <f aca="false">SUM(P176:Q176)</f>
        <v>3.46533201985256</v>
      </c>
    </row>
    <row r="177" customFormat="false" ht="12.75" hidden="false" customHeight="false" outlineLevel="0" collapsed="false">
      <c r="C177" s="282" t="n">
        <f aca="false">C165+1</f>
        <v>2012</v>
      </c>
      <c r="D177" s="282" t="n">
        <f aca="false">D165</f>
        <v>1</v>
      </c>
      <c r="E177" s="283" t="n">
        <v>40909</v>
      </c>
      <c r="F177" s="284" t="n">
        <v>42.5599</v>
      </c>
      <c r="G177" s="284" t="n">
        <v>25.3392</v>
      </c>
      <c r="H177" s="284" t="n">
        <v>2.65179607253355</v>
      </c>
      <c r="I177" s="284" t="n">
        <v>0</v>
      </c>
      <c r="J177" s="284" t="n">
        <f aca="false">SUM(H177:I177)</f>
        <v>2.65179607253355</v>
      </c>
      <c r="K177" s="0" t="n">
        <f aca="false">F177/$J177*1000</f>
        <v>16049.4618876699</v>
      </c>
      <c r="L177" s="0" t="n">
        <f aca="false">G177/$J177*1000</f>
        <v>9555.48590725179</v>
      </c>
      <c r="N177" s="285" t="n">
        <f aca="false">F177*(1+$D$4)^($C177-$D$3)</f>
        <v>53.9762439524025</v>
      </c>
      <c r="O177" s="285" t="n">
        <f aca="false">G177*(1+$D$4)^($C177-$D$3)</f>
        <v>32.1362324807793</v>
      </c>
      <c r="P177" s="285" t="n">
        <f aca="false">H177*(1+$D$4)^($C177-$D$3)</f>
        <v>3.36311860984386</v>
      </c>
      <c r="Q177" s="285" t="n">
        <f aca="false">I177*(1+$D$4)^($C177-$D$3)</f>
        <v>0</v>
      </c>
      <c r="R177" s="285" t="n">
        <f aca="false">SUM(P177:Q177)</f>
        <v>3.36311860984386</v>
      </c>
    </row>
    <row r="178" customFormat="false" ht="12.75" hidden="false" customHeight="false" outlineLevel="0" collapsed="false">
      <c r="C178" s="282" t="n">
        <f aca="false">C166+1</f>
        <v>2012</v>
      </c>
      <c r="D178" s="282" t="n">
        <f aca="false">D166</f>
        <v>2</v>
      </c>
      <c r="E178" s="283" t="n">
        <v>40940</v>
      </c>
      <c r="F178" s="284" t="n">
        <v>34.1972</v>
      </c>
      <c r="G178" s="284" t="n">
        <v>21.6602</v>
      </c>
      <c r="H178" s="284" t="n">
        <v>2.44513152562142</v>
      </c>
      <c r="I178" s="284" t="n">
        <v>0</v>
      </c>
      <c r="J178" s="284" t="n">
        <f aca="false">SUM(H178:I178)</f>
        <v>2.44513152562142</v>
      </c>
      <c r="K178" s="0" t="n">
        <f aca="false">F178/$J178*1000</f>
        <v>13985.8325172545</v>
      </c>
      <c r="L178" s="0" t="n">
        <f aca="false">G178/$J178*1000</f>
        <v>8858.50097347839</v>
      </c>
      <c r="N178" s="285" t="n">
        <f aca="false">F178*(1+$D$4)^($C178-$D$3)</f>
        <v>43.3703182970143</v>
      </c>
      <c r="O178" s="285" t="n">
        <f aca="false">G178*(1+$D$4)^($C178-$D$3)</f>
        <v>27.4703709185836</v>
      </c>
      <c r="P178" s="285" t="n">
        <f aca="false">H178*(1+$D$4)^($C178-$D$3)</f>
        <v>3.10101799399556</v>
      </c>
      <c r="Q178" s="285" t="n">
        <f aca="false">I178*(1+$D$4)^($C178-$D$3)</f>
        <v>0</v>
      </c>
      <c r="R178" s="285" t="n">
        <f aca="false">SUM(P178:Q178)</f>
        <v>3.10101799399556</v>
      </c>
    </row>
    <row r="179" customFormat="false" ht="12.75" hidden="false" customHeight="false" outlineLevel="0" collapsed="false">
      <c r="C179" s="282" t="n">
        <f aca="false">C167+1</f>
        <v>2012</v>
      </c>
      <c r="D179" s="282" t="n">
        <f aca="false">D167</f>
        <v>3</v>
      </c>
      <c r="E179" s="283" t="n">
        <v>40969</v>
      </c>
      <c r="F179" s="284" t="n">
        <v>33.0259</v>
      </c>
      <c r="G179" s="284" t="n">
        <v>20.2912</v>
      </c>
      <c r="H179" s="284" t="n">
        <v>2.31035850564663</v>
      </c>
      <c r="I179" s="284" t="n">
        <v>0</v>
      </c>
      <c r="J179" s="284" t="n">
        <f aca="false">SUM(H179:I179)</f>
        <v>2.31035850564663</v>
      </c>
      <c r="K179" s="0" t="n">
        <f aca="false">F179/$J179*1000</f>
        <v>14294.707907575</v>
      </c>
      <c r="L179" s="0" t="n">
        <f aca="false">G179/$J179*1000</f>
        <v>8782.70621222089</v>
      </c>
      <c r="N179" s="285" t="n">
        <f aca="false">F179*(1+$D$4)^($C179-$D$3)</f>
        <v>41.8848266830432</v>
      </c>
      <c r="O179" s="285" t="n">
        <f aca="false">G179*(1+$D$4)^($C179-$D$3)</f>
        <v>25.7341479018275</v>
      </c>
      <c r="P179" s="285" t="n">
        <f aca="false">H179*(1+$D$4)^($C179-$D$3)</f>
        <v>2.93009321728412</v>
      </c>
      <c r="Q179" s="285" t="n">
        <f aca="false">I179*(1+$D$4)^($C179-$D$3)</f>
        <v>0</v>
      </c>
      <c r="R179" s="285" t="n">
        <f aca="false">SUM(P179:Q179)</f>
        <v>2.93009321728412</v>
      </c>
    </row>
    <row r="180" customFormat="false" ht="12.75" hidden="false" customHeight="false" outlineLevel="0" collapsed="false">
      <c r="C180" s="282" t="n">
        <f aca="false">C168+1</f>
        <v>2012</v>
      </c>
      <c r="D180" s="282" t="n">
        <f aca="false">D168</f>
        <v>4</v>
      </c>
      <c r="E180" s="283" t="n">
        <v>41000</v>
      </c>
      <c r="F180" s="284" t="n">
        <v>30.2226</v>
      </c>
      <c r="G180" s="284" t="n">
        <v>20.0772</v>
      </c>
      <c r="H180" s="284" t="n">
        <v>2.23728270307118</v>
      </c>
      <c r="I180" s="284" t="n">
        <v>0</v>
      </c>
      <c r="J180" s="284" t="n">
        <f aca="false">SUM(H180:I180)</f>
        <v>2.23728270307118</v>
      </c>
      <c r="K180" s="0" t="n">
        <f aca="false">F180/$J180*1000</f>
        <v>13508.6191648971</v>
      </c>
      <c r="L180" s="0" t="n">
        <f aca="false">G180/$J180*1000</f>
        <v>8973.92179023218</v>
      </c>
      <c r="N180" s="285" t="n">
        <f aca="false">F180*(1+$D$4)^($C180-$D$3)</f>
        <v>38.329564460346</v>
      </c>
      <c r="O180" s="285" t="n">
        <f aca="false">G180*(1+$D$4)^($C180-$D$3)</f>
        <v>25.4627441577911</v>
      </c>
      <c r="P180" s="285" t="n">
        <f aca="false">H180*(1+$D$4)^($C180-$D$3)</f>
        <v>2.83741543028673</v>
      </c>
      <c r="Q180" s="285" t="n">
        <f aca="false">I180*(1+$D$4)^($C180-$D$3)</f>
        <v>0</v>
      </c>
      <c r="R180" s="285" t="n">
        <f aca="false">SUM(P180:Q180)</f>
        <v>2.83741543028673</v>
      </c>
    </row>
    <row r="181" customFormat="false" ht="12.75" hidden="false" customHeight="false" outlineLevel="0" collapsed="false">
      <c r="C181" s="282" t="n">
        <f aca="false">C169+1</f>
        <v>2012</v>
      </c>
      <c r="D181" s="282" t="n">
        <f aca="false">D169</f>
        <v>5</v>
      </c>
      <c r="E181" s="283" t="n">
        <v>41030</v>
      </c>
      <c r="F181" s="284" t="n">
        <v>34.9964</v>
      </c>
      <c r="G181" s="284" t="n">
        <v>19.9003</v>
      </c>
      <c r="H181" s="284" t="n">
        <v>2.21680124975418</v>
      </c>
      <c r="I181" s="284" t="n">
        <v>0</v>
      </c>
      <c r="J181" s="284" t="n">
        <f aca="false">SUM(H181:I181)</f>
        <v>2.21680124975418</v>
      </c>
      <c r="K181" s="0" t="n">
        <f aca="false">F181/$J181*1000</f>
        <v>15786.8911359919</v>
      </c>
      <c r="L181" s="0" t="n">
        <f aca="false">G181/$J181*1000</f>
        <v>8977.033914162</v>
      </c>
      <c r="N181" s="285" t="n">
        <f aca="false">F181*(1+$D$4)^($C181-$D$3)</f>
        <v>44.3838971392287</v>
      </c>
      <c r="O181" s="285" t="n">
        <f aca="false">G181*(1+$D$4)^($C181-$D$3)</f>
        <v>25.238392184333</v>
      </c>
      <c r="P181" s="285" t="n">
        <f aca="false">H181*(1+$D$4)^($C181-$D$3)</f>
        <v>2.81143999517674</v>
      </c>
      <c r="Q181" s="285" t="n">
        <f aca="false">I181*(1+$D$4)^($C181-$D$3)</f>
        <v>0</v>
      </c>
      <c r="R181" s="285" t="n">
        <f aca="false">SUM(P181:Q181)</f>
        <v>2.81143999517674</v>
      </c>
    </row>
    <row r="182" customFormat="false" ht="12.75" hidden="false" customHeight="false" outlineLevel="0" collapsed="false">
      <c r="C182" s="282" t="n">
        <f aca="false">C170+1</f>
        <v>2012</v>
      </c>
      <c r="D182" s="282" t="n">
        <f aca="false">D170</f>
        <v>6</v>
      </c>
      <c r="E182" s="283" t="n">
        <v>41061</v>
      </c>
      <c r="F182" s="284" t="n">
        <v>32.4771</v>
      </c>
      <c r="G182" s="284" t="n">
        <v>18.6978</v>
      </c>
      <c r="H182" s="284" t="n">
        <v>2.23981127755476</v>
      </c>
      <c r="I182" s="284" t="n">
        <v>0</v>
      </c>
      <c r="J182" s="284" t="n">
        <f aca="false">SUM(H182:I182)</f>
        <v>2.23981127755476</v>
      </c>
      <c r="K182" s="0" t="n">
        <f aca="false">F182/$J182*1000</f>
        <v>14499.9269918204</v>
      </c>
      <c r="L182" s="0" t="n">
        <f aca="false">G182/$J182*1000</f>
        <v>8347.93546553294</v>
      </c>
      <c r="N182" s="285" t="n">
        <f aca="false">F182*(1+$D$4)^($C182-$D$3)</f>
        <v>41.1888155861872</v>
      </c>
      <c r="O182" s="285" t="n">
        <f aca="false">G182*(1+$D$4)^($C182-$D$3)</f>
        <v>23.7133314263716</v>
      </c>
      <c r="P182" s="285" t="n">
        <f aca="false">H182*(1+$D$4)^($C182-$D$3)</f>
        <v>2.84062227412747</v>
      </c>
      <c r="Q182" s="285" t="n">
        <f aca="false">I182*(1+$D$4)^($C182-$D$3)</f>
        <v>0</v>
      </c>
      <c r="R182" s="285" t="n">
        <f aca="false">SUM(P182:Q182)</f>
        <v>2.84062227412747</v>
      </c>
    </row>
    <row r="183" customFormat="false" ht="12.75" hidden="false" customHeight="false" outlineLevel="0" collapsed="false">
      <c r="C183" s="282" t="n">
        <f aca="false">C171+1</f>
        <v>2012</v>
      </c>
      <c r="D183" s="282" t="n">
        <f aca="false">D171</f>
        <v>7</v>
      </c>
      <c r="E183" s="283" t="n">
        <v>41091</v>
      </c>
      <c r="F183" s="284" t="n">
        <v>50.7119</v>
      </c>
      <c r="G183" s="284" t="n">
        <v>23.6095</v>
      </c>
      <c r="H183" s="284" t="n">
        <v>2.29720991833201</v>
      </c>
      <c r="I183" s="284" t="n">
        <v>0</v>
      </c>
      <c r="J183" s="284" t="n">
        <f aca="false">SUM(H183:I183)</f>
        <v>2.29720991833201</v>
      </c>
      <c r="K183" s="0" t="n">
        <f aca="false">F183/$J183*1000</f>
        <v>22075.4314158723</v>
      </c>
      <c r="L183" s="0" t="n">
        <f aca="false">G183/$J183*1000</f>
        <v>10277.4673797085</v>
      </c>
      <c r="N183" s="285" t="n">
        <f aca="false">F183*(1+$D$4)^($C183-$D$3)</f>
        <v>64.3149510616764</v>
      </c>
      <c r="O183" s="285" t="n">
        <f aca="false">G183*(1+$D$4)^($C183-$D$3)</f>
        <v>29.9425546487244</v>
      </c>
      <c r="P183" s="285" t="n">
        <f aca="false">H183*(1+$D$4)^($C183-$D$3)</f>
        <v>2.91341762931227</v>
      </c>
      <c r="Q183" s="285" t="n">
        <f aca="false">I183*(1+$D$4)^($C183-$D$3)</f>
        <v>0</v>
      </c>
      <c r="R183" s="285" t="n">
        <f aca="false">SUM(P183:Q183)</f>
        <v>2.91341762931227</v>
      </c>
    </row>
    <row r="184" customFormat="false" ht="12.75" hidden="false" customHeight="false" outlineLevel="0" collapsed="false">
      <c r="C184" s="282" t="n">
        <f aca="false">C172+1</f>
        <v>2012</v>
      </c>
      <c r="D184" s="282" t="n">
        <f aca="false">D172</f>
        <v>8</v>
      </c>
      <c r="E184" s="283" t="n">
        <v>41122</v>
      </c>
      <c r="F184" s="284" t="n">
        <v>89.4467</v>
      </c>
      <c r="G184" s="284" t="n">
        <v>27.8077</v>
      </c>
      <c r="H184" s="284" t="n">
        <v>2.37989430394506</v>
      </c>
      <c r="I184" s="284" t="n">
        <v>0</v>
      </c>
      <c r="J184" s="284" t="n">
        <f aca="false">SUM(H184:I184)</f>
        <v>2.37989430394506</v>
      </c>
      <c r="K184" s="0" t="n">
        <f aca="false">F184/$J184*1000</f>
        <v>37584.3161823311</v>
      </c>
      <c r="L184" s="0" t="n">
        <f aca="false">G184/$J184*1000</f>
        <v>11684.4264696563</v>
      </c>
      <c r="N184" s="285" t="n">
        <f aca="false">F184*(1+$D$4)^($C184-$D$3)</f>
        <v>113.440043325698</v>
      </c>
      <c r="O184" s="285" t="n">
        <f aca="false">G184*(1+$D$4)^($C184-$D$3)</f>
        <v>35.2668873506569</v>
      </c>
      <c r="P184" s="285" t="n">
        <f aca="false">H184*(1+$D$4)^($C184-$D$3)</f>
        <v>3.01828142290447</v>
      </c>
      <c r="Q184" s="285" t="n">
        <f aca="false">I184*(1+$D$4)^($C184-$D$3)</f>
        <v>0</v>
      </c>
      <c r="R184" s="285" t="n">
        <f aca="false">SUM(P184:Q184)</f>
        <v>3.01828142290447</v>
      </c>
    </row>
    <row r="185" customFormat="false" ht="12.75" hidden="false" customHeight="false" outlineLevel="0" collapsed="false">
      <c r="C185" s="282" t="n">
        <f aca="false">C173+1</f>
        <v>2012</v>
      </c>
      <c r="D185" s="282" t="n">
        <f aca="false">D173</f>
        <v>9</v>
      </c>
      <c r="E185" s="283" t="n">
        <v>41153</v>
      </c>
      <c r="F185" s="284" t="n">
        <v>55.7161</v>
      </c>
      <c r="G185" s="284" t="n">
        <v>25.9948</v>
      </c>
      <c r="H185" s="284" t="n">
        <v>2.47876156625302</v>
      </c>
      <c r="I185" s="284" t="n">
        <v>0</v>
      </c>
      <c r="J185" s="284" t="n">
        <f aca="false">SUM(H185:I185)</f>
        <v>2.47876156625302</v>
      </c>
      <c r="K185" s="0" t="n">
        <f aca="false">F185/$J185*1000</f>
        <v>22477.3938560869</v>
      </c>
      <c r="L185" s="0" t="n">
        <f aca="false">G185/$J185*1000</f>
        <v>10487.0110759764</v>
      </c>
      <c r="N185" s="285" t="n">
        <f aca="false">F185*(1+$D$4)^($C185-$D$3)</f>
        <v>70.6614866500262</v>
      </c>
      <c r="O185" s="285" t="n">
        <f aca="false">G185*(1+$D$4)^($C185-$D$3)</f>
        <v>32.9676918012945</v>
      </c>
      <c r="P185" s="285" t="n">
        <f aca="false">H185*(1+$D$4)^($C185-$D$3)</f>
        <v>3.1436690170774</v>
      </c>
      <c r="Q185" s="285" t="n">
        <f aca="false">I185*(1+$D$4)^($C185-$D$3)</f>
        <v>0</v>
      </c>
      <c r="R185" s="285" t="n">
        <f aca="false">SUM(P185:Q185)</f>
        <v>3.1436690170774</v>
      </c>
    </row>
    <row r="186" customFormat="false" ht="12.75" hidden="false" customHeight="false" outlineLevel="0" collapsed="false">
      <c r="C186" s="282" t="n">
        <f aca="false">C174+1</f>
        <v>2012</v>
      </c>
      <c r="D186" s="282" t="n">
        <f aca="false">D174</f>
        <v>10</v>
      </c>
      <c r="E186" s="283" t="n">
        <v>41183</v>
      </c>
      <c r="F186" s="284" t="n">
        <v>39.9272</v>
      </c>
      <c r="G186" s="284" t="n">
        <v>22.7717</v>
      </c>
      <c r="H186" s="284" t="n">
        <v>2.58470883711501</v>
      </c>
      <c r="I186" s="284" t="n">
        <v>0</v>
      </c>
      <c r="J186" s="284" t="n">
        <f aca="false">SUM(H186:I186)</f>
        <v>2.58470883711501</v>
      </c>
      <c r="K186" s="0" t="n">
        <f aca="false">F186/$J186*1000</f>
        <v>15447.4652721681</v>
      </c>
      <c r="L186" s="0" t="n">
        <f aca="false">G186/$J186*1000</f>
        <v>8810.16061577646</v>
      </c>
      <c r="N186" s="285" t="n">
        <f aca="false">F186*(1+$D$4)^($C186-$D$3)</f>
        <v>50.6373437798577</v>
      </c>
      <c r="O186" s="285" t="n">
        <f aca="false">G186*(1+$D$4)^($C186-$D$3)</f>
        <v>28.8800216732399</v>
      </c>
      <c r="P186" s="285" t="n">
        <f aca="false">H186*(1+$D$4)^($C186-$D$3)</f>
        <v>3.27803577400441</v>
      </c>
      <c r="Q186" s="285" t="n">
        <f aca="false">I186*(1+$D$4)^($C186-$D$3)</f>
        <v>0</v>
      </c>
      <c r="R186" s="285" t="n">
        <f aca="false">SUM(P186:Q186)</f>
        <v>3.27803577400441</v>
      </c>
    </row>
    <row r="187" customFormat="false" ht="12.75" hidden="false" customHeight="false" outlineLevel="0" collapsed="false">
      <c r="C187" s="282" t="n">
        <f aca="false">C175+1</f>
        <v>2012</v>
      </c>
      <c r="D187" s="282" t="n">
        <f aca="false">D175</f>
        <v>11</v>
      </c>
      <c r="E187" s="283" t="n">
        <v>41214</v>
      </c>
      <c r="F187" s="284" t="n">
        <v>43.6131</v>
      </c>
      <c r="G187" s="284" t="n">
        <v>24.4741</v>
      </c>
      <c r="H187" s="284" t="n">
        <v>2.68863324839013</v>
      </c>
      <c r="I187" s="284" t="n">
        <v>0</v>
      </c>
      <c r="J187" s="284" t="n">
        <f aca="false">SUM(H187:I187)</f>
        <v>2.68863324839013</v>
      </c>
      <c r="K187" s="0" t="n">
        <f aca="false">F187/$J187*1000</f>
        <v>16221.2901391866</v>
      </c>
      <c r="L187" s="0" t="n">
        <f aca="false">G187/$J187*1000</f>
        <v>9102.8034465669</v>
      </c>
      <c r="N187" s="285" t="n">
        <f aca="false">F187*(1+$D$4)^($C187-$D$3)</f>
        <v>55.3119562104358</v>
      </c>
      <c r="O187" s="285" t="n">
        <f aca="false">G187*(1+$D$4)^($C187-$D$3)</f>
        <v>31.0390765043032</v>
      </c>
      <c r="P187" s="285" t="n">
        <f aca="false">H187*(1+$D$4)^($C187-$D$3)</f>
        <v>3.40983705585882</v>
      </c>
      <c r="Q187" s="285" t="n">
        <f aca="false">I187*(1+$D$4)^($C187-$D$3)</f>
        <v>0</v>
      </c>
      <c r="R187" s="285" t="n">
        <f aca="false">SUM(P187:Q187)</f>
        <v>3.40983705585882</v>
      </c>
    </row>
    <row r="188" customFormat="false" ht="12.75" hidden="false" customHeight="false" outlineLevel="0" collapsed="false">
      <c r="C188" s="282" t="n">
        <f aca="false">C176+1</f>
        <v>2012</v>
      </c>
      <c r="D188" s="282" t="n">
        <f aca="false">D176</f>
        <v>12</v>
      </c>
      <c r="E188" s="283" t="n">
        <v>41244</v>
      </c>
      <c r="F188" s="284" t="n">
        <v>41.0836</v>
      </c>
      <c r="G188" s="284" t="n">
        <v>25.7249</v>
      </c>
      <c r="H188" s="284" t="n">
        <v>2.79843917331882</v>
      </c>
      <c r="I188" s="284" t="n">
        <v>0</v>
      </c>
      <c r="J188" s="284" t="n">
        <f aca="false">SUM(H188:I188)</f>
        <v>2.79843917331882</v>
      </c>
      <c r="K188" s="0" t="n">
        <f aca="false">F188/$J188*1000</f>
        <v>14680.8979775954</v>
      </c>
      <c r="L188" s="0" t="n">
        <f aca="false">G188/$J188*1000</f>
        <v>9192.58858483298</v>
      </c>
      <c r="N188" s="285" t="n">
        <f aca="false">F188*(1+$D$4)^($C188-$D$3)</f>
        <v>52.1039385910898</v>
      </c>
      <c r="O188" s="285" t="n">
        <f aca="false">G188*(1+$D$4)^($C188-$D$3)</f>
        <v>32.625393340942</v>
      </c>
      <c r="P188" s="285" t="n">
        <f aca="false">H188*(1+$D$4)^($C188-$D$3)</f>
        <v>3.54909751914399</v>
      </c>
      <c r="Q188" s="285" t="n">
        <f aca="false">I188*(1+$D$4)^($C188-$D$3)</f>
        <v>0</v>
      </c>
      <c r="R188" s="285" t="n">
        <f aca="false">SUM(P188:Q188)</f>
        <v>3.54909751914399</v>
      </c>
    </row>
    <row r="189" customFormat="false" ht="12.75" hidden="false" customHeight="false" outlineLevel="0" collapsed="false">
      <c r="C189" s="282" t="n">
        <f aca="false">C177+1</f>
        <v>2013</v>
      </c>
      <c r="D189" s="282" t="n">
        <f aca="false">D177</f>
        <v>1</v>
      </c>
      <c r="E189" s="283" t="n">
        <v>41275</v>
      </c>
      <c r="F189" s="284" t="n">
        <v>41.2079</v>
      </c>
      <c r="G189" s="284" t="n">
        <v>25.036</v>
      </c>
      <c r="H189" s="284" t="n">
        <v>2.67305777047816</v>
      </c>
      <c r="I189" s="284" t="n">
        <v>0</v>
      </c>
      <c r="J189" s="284" t="n">
        <f aca="false">SUM(H189:I189)</f>
        <v>2.67305777047816</v>
      </c>
      <c r="K189" s="0" t="n">
        <f aca="false">F189/$J189*1000</f>
        <v>15416.0154917373</v>
      </c>
      <c r="L189" s="0" t="n">
        <f aca="false">G189/$J189*1000</f>
        <v>9366.05271928767</v>
      </c>
      <c r="N189" s="285" t="n">
        <f aca="false">F189*(1+$D$4)^($C189-$D$3)</f>
        <v>53.306812667077</v>
      </c>
      <c r="O189" s="285" t="n">
        <f aca="false">G189*(1+$D$4)^($C189-$D$3)</f>
        <v>32.3867356000413</v>
      </c>
      <c r="P189" s="285" t="n">
        <f aca="false">H189*(1+$D$4)^($C189-$D$3)</f>
        <v>3.45788525547659</v>
      </c>
      <c r="Q189" s="285" t="n">
        <f aca="false">I189*(1+$D$4)^($C189-$D$3)</f>
        <v>0</v>
      </c>
      <c r="R189" s="285" t="n">
        <f aca="false">SUM(P189:Q189)</f>
        <v>3.45788525547659</v>
      </c>
    </row>
    <row r="190" customFormat="false" ht="12.75" hidden="false" customHeight="false" outlineLevel="0" collapsed="false">
      <c r="C190" s="282" t="n">
        <f aca="false">C178+1</f>
        <v>2013</v>
      </c>
      <c r="D190" s="282" t="n">
        <f aca="false">D178</f>
        <v>2</v>
      </c>
      <c r="E190" s="283" t="n">
        <v>41306</v>
      </c>
      <c r="F190" s="284" t="n">
        <v>39.2189</v>
      </c>
      <c r="G190" s="284" t="n">
        <v>22.332</v>
      </c>
      <c r="H190" s="284" t="n">
        <v>2.46473621863347</v>
      </c>
      <c r="I190" s="284" t="n">
        <v>0</v>
      </c>
      <c r="J190" s="284" t="n">
        <f aca="false">SUM(H190:I190)</f>
        <v>2.46473621863347</v>
      </c>
      <c r="K190" s="0" t="n">
        <f aca="false">F190/$J190*1000</f>
        <v>15912.007014586</v>
      </c>
      <c r="L190" s="0" t="n">
        <f aca="false">G190/$J190*1000</f>
        <v>9060.60447003191</v>
      </c>
      <c r="N190" s="285" t="n">
        <f aca="false">F190*(1+$D$4)^($C190-$D$3)</f>
        <v>50.7338290791044</v>
      </c>
      <c r="O190" s="285" t="n">
        <f aca="false">G190*(1+$D$4)^($C190-$D$3)</f>
        <v>28.8888232712942</v>
      </c>
      <c r="P190" s="285" t="n">
        <f aca="false">H190*(1+$D$4)^($C190-$D$3)</f>
        <v>3.18839911474388</v>
      </c>
      <c r="Q190" s="285" t="n">
        <f aca="false">I190*(1+$D$4)^($C190-$D$3)</f>
        <v>0</v>
      </c>
      <c r="R190" s="285" t="n">
        <f aca="false">SUM(P190:Q190)</f>
        <v>3.18839911474388</v>
      </c>
    </row>
    <row r="191" customFormat="false" ht="12.75" hidden="false" customHeight="false" outlineLevel="0" collapsed="false">
      <c r="C191" s="282" t="n">
        <f aca="false">C179+1</f>
        <v>2013</v>
      </c>
      <c r="D191" s="282" t="n">
        <f aca="false">D179</f>
        <v>3</v>
      </c>
      <c r="E191" s="283" t="n">
        <v>41334</v>
      </c>
      <c r="F191" s="284" t="n">
        <v>32.7918</v>
      </c>
      <c r="G191" s="284" t="n">
        <v>19.7781</v>
      </c>
      <c r="H191" s="284" t="n">
        <v>2.32888260906453</v>
      </c>
      <c r="I191" s="284" t="n">
        <v>0</v>
      </c>
      <c r="J191" s="284" t="n">
        <f aca="false">SUM(H191:I191)</f>
        <v>2.32888260906453</v>
      </c>
      <c r="K191" s="0" t="n">
        <f aca="false">F191/$J191*1000</f>
        <v>14080.4864411658</v>
      </c>
      <c r="L191" s="0" t="n">
        <f aca="false">G191/$J191*1000</f>
        <v>8492.52767100377</v>
      </c>
      <c r="N191" s="285" t="n">
        <f aca="false">F191*(1+$D$4)^($C191-$D$3)</f>
        <v>42.4196899045148</v>
      </c>
      <c r="O191" s="285" t="n">
        <f aca="false">G191*(1+$D$4)^($C191-$D$3)</f>
        <v>25.5850812977782</v>
      </c>
      <c r="P191" s="285" t="n">
        <f aca="false">H191*(1+$D$4)^($C191-$D$3)</f>
        <v>3.01265798463442</v>
      </c>
      <c r="Q191" s="285" t="n">
        <f aca="false">I191*(1+$D$4)^($C191-$D$3)</f>
        <v>0</v>
      </c>
      <c r="R191" s="285" t="n">
        <f aca="false">SUM(P191:Q191)</f>
        <v>3.01265798463442</v>
      </c>
    </row>
    <row r="192" customFormat="false" ht="12.75" hidden="false" customHeight="false" outlineLevel="0" collapsed="false">
      <c r="C192" s="282" t="n">
        <f aca="false">C180+1</f>
        <v>2013</v>
      </c>
      <c r="D192" s="282" t="n">
        <f aca="false">D180</f>
        <v>4</v>
      </c>
      <c r="E192" s="283" t="n">
        <v>41365</v>
      </c>
      <c r="F192" s="284" t="n">
        <v>30.6535</v>
      </c>
      <c r="G192" s="284" t="n">
        <v>20.0806</v>
      </c>
      <c r="H192" s="284" t="n">
        <v>2.25522089580858</v>
      </c>
      <c r="I192" s="284" t="n">
        <v>0</v>
      </c>
      <c r="J192" s="284" t="n">
        <f aca="false">SUM(H192:I192)</f>
        <v>2.25522089580858</v>
      </c>
      <c r="K192" s="0" t="n">
        <f aca="false">F192/$J192*1000</f>
        <v>13592.238373177</v>
      </c>
      <c r="L192" s="0" t="n">
        <f aca="false">G192/$J192*1000</f>
        <v>8904.05016968432</v>
      </c>
      <c r="N192" s="285" t="n">
        <f aca="false">F192*(1+$D$4)^($C192-$D$3)</f>
        <v>39.6535708466155</v>
      </c>
      <c r="O192" s="285" t="n">
        <f aca="false">G192*(1+$D$4)^($C192-$D$3)</f>
        <v>25.9763973034905</v>
      </c>
      <c r="P192" s="285" t="n">
        <f aca="false">H192*(1+$D$4)^($C192-$D$3)</f>
        <v>2.91736870395593</v>
      </c>
      <c r="Q192" s="285" t="n">
        <f aca="false">I192*(1+$D$4)^($C192-$D$3)</f>
        <v>0</v>
      </c>
      <c r="R192" s="285" t="n">
        <f aca="false">SUM(P192:Q192)</f>
        <v>2.91736870395593</v>
      </c>
    </row>
    <row r="193" customFormat="false" ht="12.75" hidden="false" customHeight="false" outlineLevel="0" collapsed="false">
      <c r="C193" s="282" t="n">
        <f aca="false">C181+1</f>
        <v>2013</v>
      </c>
      <c r="D193" s="282" t="n">
        <f aca="false">D181</f>
        <v>5</v>
      </c>
      <c r="E193" s="283" t="n">
        <v>41395</v>
      </c>
      <c r="F193" s="284" t="n">
        <v>35.197</v>
      </c>
      <c r="G193" s="284" t="n">
        <v>20.0906</v>
      </c>
      <c r="H193" s="284" t="n">
        <v>2.23457522531124</v>
      </c>
      <c r="I193" s="284" t="n">
        <v>0</v>
      </c>
      <c r="J193" s="284" t="n">
        <f aca="false">SUM(H193:I193)</f>
        <v>2.23457522531124</v>
      </c>
      <c r="K193" s="0" t="n">
        <f aca="false">F193/$J193*1000</f>
        <v>15751.0920202284</v>
      </c>
      <c r="L193" s="0" t="n">
        <f aca="false">G193/$J193*1000</f>
        <v>8990.79152602783</v>
      </c>
      <c r="N193" s="285" t="n">
        <f aca="false">F193*(1+$D$4)^($C193-$D$3)</f>
        <v>45.5310725720823</v>
      </c>
      <c r="O193" s="285" t="n">
        <f aca="false">G193*(1+$D$4)^($C193-$D$3)</f>
        <v>25.989333369795</v>
      </c>
      <c r="P193" s="285" t="n">
        <f aca="false">H193*(1+$D$4)^($C193-$D$3)</f>
        <v>2.8906613277104</v>
      </c>
      <c r="Q193" s="285" t="n">
        <f aca="false">I193*(1+$D$4)^($C193-$D$3)</f>
        <v>0</v>
      </c>
      <c r="R193" s="285" t="n">
        <f aca="false">SUM(P193:Q193)</f>
        <v>2.8906613277104</v>
      </c>
    </row>
    <row r="194" customFormat="false" ht="12.75" hidden="false" customHeight="false" outlineLevel="0" collapsed="false">
      <c r="C194" s="282" t="n">
        <f aca="false">C182+1</f>
        <v>2013</v>
      </c>
      <c r="D194" s="282" t="n">
        <f aca="false">D182</f>
        <v>6</v>
      </c>
      <c r="E194" s="283" t="n">
        <v>41426</v>
      </c>
      <c r="F194" s="284" t="n">
        <v>31.4656</v>
      </c>
      <c r="G194" s="284" t="n">
        <v>18.768</v>
      </c>
      <c r="H194" s="284" t="n">
        <v>2.25776974401813</v>
      </c>
      <c r="I194" s="284" t="n">
        <v>0</v>
      </c>
      <c r="J194" s="284" t="n">
        <f aca="false">SUM(H194:I194)</f>
        <v>2.25776974401813</v>
      </c>
      <c r="K194" s="0" t="n">
        <f aca="false">F194/$J194*1000</f>
        <v>13936.5850230595</v>
      </c>
      <c r="L194" s="0" t="n">
        <f aca="false">G194/$J194*1000</f>
        <v>8312.62800368597</v>
      </c>
      <c r="N194" s="285" t="n">
        <f aca="false">F194*(1+$D$4)^($C194-$D$3)</f>
        <v>40.704108791207</v>
      </c>
      <c r="O194" s="285" t="n">
        <f aca="false">G194*(1+$D$4)^($C194-$D$3)</f>
        <v>24.2784092403569</v>
      </c>
      <c r="P194" s="285" t="n">
        <f aca="false">H194*(1+$D$4)^($C194-$D$3)</f>
        <v>2.92066591089982</v>
      </c>
      <c r="Q194" s="285" t="n">
        <f aca="false">I194*(1+$D$4)^($C194-$D$3)</f>
        <v>0</v>
      </c>
      <c r="R194" s="285" t="n">
        <f aca="false">SUM(P194:Q194)</f>
        <v>2.92066591089982</v>
      </c>
    </row>
    <row r="195" customFormat="false" ht="12.75" hidden="false" customHeight="false" outlineLevel="0" collapsed="false">
      <c r="C195" s="282" t="n">
        <f aca="false">C183+1</f>
        <v>2013</v>
      </c>
      <c r="D195" s="282" t="n">
        <f aca="false">D183</f>
        <v>7</v>
      </c>
      <c r="E195" s="283" t="n">
        <v>41456</v>
      </c>
      <c r="F195" s="284" t="n">
        <v>50.9434</v>
      </c>
      <c r="G195" s="284" t="n">
        <v>24.0244</v>
      </c>
      <c r="H195" s="284" t="n">
        <v>2.31562859837488</v>
      </c>
      <c r="I195" s="284" t="n">
        <v>0</v>
      </c>
      <c r="J195" s="284" t="n">
        <f aca="false">SUM(H195:I195)</f>
        <v>2.31562859837488</v>
      </c>
      <c r="K195" s="0" t="n">
        <f aca="false">F195/$J195*1000</f>
        <v>21999.8146662001</v>
      </c>
      <c r="L195" s="0" t="n">
        <f aca="false">G195/$J195*1000</f>
        <v>10374.8934595386</v>
      </c>
      <c r="N195" s="285" t="n">
        <f aca="false">F195*(1+$D$4)^($C195-$D$3)</f>
        <v>65.9007200178599</v>
      </c>
      <c r="O195" s="285" t="n">
        <f aca="false">G195*(1+$D$4)^($C195-$D$3)</f>
        <v>31.0781231326742</v>
      </c>
      <c r="P195" s="285" t="n">
        <f aca="false">H195*(1+$D$4)^($C195-$D$3)</f>
        <v>2.99551250852618</v>
      </c>
      <c r="Q195" s="285" t="n">
        <f aca="false">I195*(1+$D$4)^($C195-$D$3)</f>
        <v>0</v>
      </c>
      <c r="R195" s="285" t="n">
        <f aca="false">SUM(P195:Q195)</f>
        <v>2.99551250852618</v>
      </c>
    </row>
    <row r="196" customFormat="false" ht="12.75" hidden="false" customHeight="false" outlineLevel="0" collapsed="false">
      <c r="C196" s="282" t="n">
        <f aca="false">C184+1</f>
        <v>2013</v>
      </c>
      <c r="D196" s="282" t="n">
        <f aca="false">D184</f>
        <v>8</v>
      </c>
      <c r="E196" s="283" t="n">
        <v>41487</v>
      </c>
      <c r="F196" s="284" t="n">
        <v>89.7306</v>
      </c>
      <c r="G196" s="284" t="n">
        <v>27.4561</v>
      </c>
      <c r="H196" s="284" t="n">
        <v>2.39897593482712</v>
      </c>
      <c r="I196" s="284" t="n">
        <v>0</v>
      </c>
      <c r="J196" s="284" t="n">
        <f aca="false">SUM(H196:I196)</f>
        <v>2.39897593482712</v>
      </c>
      <c r="K196" s="0" t="n">
        <f aca="false">F196/$J196*1000</f>
        <v>37403.7099319491</v>
      </c>
      <c r="L196" s="0" t="n">
        <f aca="false">G196/$J196*1000</f>
        <v>11444.9251455199</v>
      </c>
      <c r="N196" s="285" t="n">
        <f aca="false">F196*(1+$D$4)^($C196-$D$3)</f>
        <v>116.076099114597</v>
      </c>
      <c r="O196" s="285" t="n">
        <f aca="false">G196*(1+$D$4)^($C196-$D$3)</f>
        <v>35.5173930064025</v>
      </c>
      <c r="P196" s="285" t="n">
        <f aca="false">H196*(1+$D$4)^($C196-$D$3)</f>
        <v>3.10333117559146</v>
      </c>
      <c r="Q196" s="285" t="n">
        <f aca="false">I196*(1+$D$4)^($C196-$D$3)</f>
        <v>0</v>
      </c>
      <c r="R196" s="285" t="n">
        <f aca="false">SUM(P196:Q196)</f>
        <v>3.10333117559146</v>
      </c>
    </row>
    <row r="197" customFormat="false" ht="12.75" hidden="false" customHeight="false" outlineLevel="0" collapsed="false">
      <c r="C197" s="282" t="n">
        <f aca="false">C185+1</f>
        <v>2013</v>
      </c>
      <c r="D197" s="282" t="n">
        <f aca="false">D185</f>
        <v>9</v>
      </c>
      <c r="E197" s="283" t="n">
        <v>41518</v>
      </c>
      <c r="F197" s="284" t="n">
        <v>54.3824</v>
      </c>
      <c r="G197" s="284" t="n">
        <v>26.1964</v>
      </c>
      <c r="H197" s="284" t="n">
        <v>2.49863589982047</v>
      </c>
      <c r="I197" s="284" t="n">
        <v>0</v>
      </c>
      <c r="J197" s="284" t="n">
        <f aca="false">SUM(H197:I197)</f>
        <v>2.49863589982047</v>
      </c>
      <c r="K197" s="0" t="n">
        <f aca="false">F197/$J197*1000</f>
        <v>21764.8357665506</v>
      </c>
      <c r="L197" s="0" t="n">
        <f aca="false">G197/$J197*1000</f>
        <v>10484.2806436433</v>
      </c>
      <c r="N197" s="285" t="n">
        <f aca="false">F197*(1+$D$4)^($C197-$D$3)</f>
        <v>70.3494332199905</v>
      </c>
      <c r="O197" s="285" t="n">
        <f aca="false">G197*(1+$D$4)^($C197-$D$3)</f>
        <v>33.8878367340198</v>
      </c>
      <c r="P197" s="285" t="n">
        <f aca="false">H197*(1+$D$4)^($C197-$D$3)</f>
        <v>3.23225196709765</v>
      </c>
      <c r="Q197" s="285" t="n">
        <f aca="false">I197*(1+$D$4)^($C197-$D$3)</f>
        <v>0</v>
      </c>
      <c r="R197" s="285" t="n">
        <f aca="false">SUM(P197:Q197)</f>
        <v>3.23225196709765</v>
      </c>
    </row>
    <row r="198" customFormat="false" ht="12.75" hidden="false" customHeight="false" outlineLevel="0" collapsed="false">
      <c r="C198" s="282" t="n">
        <f aca="false">C186+1</f>
        <v>2013</v>
      </c>
      <c r="D198" s="282" t="n">
        <f aca="false">D186</f>
        <v>10</v>
      </c>
      <c r="E198" s="283" t="n">
        <v>41548</v>
      </c>
      <c r="F198" s="284" t="n">
        <v>40.2023</v>
      </c>
      <c r="G198" s="284" t="n">
        <v>22.5748</v>
      </c>
      <c r="H198" s="284" t="n">
        <v>2.60543263980055</v>
      </c>
      <c r="I198" s="284" t="n">
        <v>0</v>
      </c>
      <c r="J198" s="284" t="n">
        <f aca="false">SUM(H198:I198)</f>
        <v>2.60543263980055</v>
      </c>
      <c r="K198" s="0" t="n">
        <f aca="false">F198/$J198*1000</f>
        <v>15430.1820687552</v>
      </c>
      <c r="L198" s="0" t="n">
        <f aca="false">G198/$J198*1000</f>
        <v>8664.51108930918</v>
      </c>
      <c r="N198" s="285" t="n">
        <f aca="false">F198*(1+$D$4)^($C198-$D$3)</f>
        <v>52.0059618394927</v>
      </c>
      <c r="O198" s="285" t="n">
        <f aca="false">G198*(1+$D$4)^($C198-$D$3)</f>
        <v>29.2029109611684</v>
      </c>
      <c r="P198" s="285" t="n">
        <f aca="false">H198*(1+$D$4)^($C198-$D$3)</f>
        <v>3.37040493804674</v>
      </c>
      <c r="Q198" s="285" t="n">
        <f aca="false">I198*(1+$D$4)^($C198-$D$3)</f>
        <v>0</v>
      </c>
      <c r="R198" s="285" t="n">
        <f aca="false">SUM(P198:Q198)</f>
        <v>3.37040493804674</v>
      </c>
    </row>
    <row r="199" customFormat="false" ht="12.75" hidden="false" customHeight="false" outlineLevel="0" collapsed="false">
      <c r="C199" s="282" t="n">
        <f aca="false">C187+1</f>
        <v>2013</v>
      </c>
      <c r="D199" s="282" t="n">
        <f aca="false">D187</f>
        <v>11</v>
      </c>
      <c r="E199" s="283" t="n">
        <v>41579</v>
      </c>
      <c r="F199" s="284" t="n">
        <v>43.8183</v>
      </c>
      <c r="G199" s="284" t="n">
        <v>24.0908</v>
      </c>
      <c r="H199" s="284" t="n">
        <v>2.710190301213</v>
      </c>
      <c r="I199" s="284" t="n">
        <v>0</v>
      </c>
      <c r="J199" s="284" t="n">
        <f aca="false">SUM(H199:I199)</f>
        <v>2.710190301213</v>
      </c>
      <c r="K199" s="0" t="n">
        <f aca="false">F199/$J199*1000</f>
        <v>16167.9790457475</v>
      </c>
      <c r="L199" s="0" t="n">
        <f aca="false">G199/$J199*1000</f>
        <v>8888.96989603191</v>
      </c>
      <c r="N199" s="285" t="n">
        <f aca="false">F199*(1+$D$4)^($C199-$D$3)</f>
        <v>56.6836434152136</v>
      </c>
      <c r="O199" s="285" t="n">
        <f aca="false">G199*(1+$D$4)^($C199-$D$3)</f>
        <v>31.1640186129363</v>
      </c>
      <c r="P199" s="285" t="n">
        <f aca="false">H199*(1+$D$4)^($C199-$D$3)</f>
        <v>3.50592014344071</v>
      </c>
      <c r="Q199" s="285" t="n">
        <f aca="false">I199*(1+$D$4)^($C199-$D$3)</f>
        <v>0</v>
      </c>
      <c r="R199" s="285" t="n">
        <f aca="false">SUM(P199:Q199)</f>
        <v>3.50592014344071</v>
      </c>
    </row>
    <row r="200" customFormat="false" ht="12.75" hidden="false" customHeight="false" outlineLevel="0" collapsed="false">
      <c r="C200" s="282" t="n">
        <f aca="false">C188+1</f>
        <v>2013</v>
      </c>
      <c r="D200" s="282" t="n">
        <f aca="false">D188</f>
        <v>12</v>
      </c>
      <c r="E200" s="283" t="n">
        <v>41609</v>
      </c>
      <c r="F200" s="284" t="n">
        <v>41.572</v>
      </c>
      <c r="G200" s="284" t="n">
        <v>24.7227</v>
      </c>
      <c r="H200" s="284" t="n">
        <v>2.82087663336174</v>
      </c>
      <c r="I200" s="284" t="n">
        <v>0</v>
      </c>
      <c r="J200" s="284" t="n">
        <f aca="false">SUM(H200:I200)</f>
        <v>2.82087663336174</v>
      </c>
      <c r="K200" s="0" t="n">
        <f aca="false">F200/$J200*1000</f>
        <v>14737.2627034941</v>
      </c>
      <c r="L200" s="0" t="n">
        <f aca="false">G200/$J200*1000</f>
        <v>8764.19043201369</v>
      </c>
      <c r="N200" s="285" t="n">
        <f aca="false">F200*(1+$D$4)^($C200-$D$3)</f>
        <v>53.7778148412252</v>
      </c>
      <c r="O200" s="285" t="n">
        <f aca="false">G200*(1+$D$4)^($C200-$D$3)</f>
        <v>31.9814486427201</v>
      </c>
      <c r="P200" s="285" t="n">
        <f aca="false">H200*(1+$D$4)^($C200-$D$3)</f>
        <v>3.64910471660894</v>
      </c>
      <c r="Q200" s="285" t="n">
        <f aca="false">I200*(1+$D$4)^($C200-$D$3)</f>
        <v>0</v>
      </c>
      <c r="R200" s="285" t="n">
        <f aca="false">SUM(P200:Q200)</f>
        <v>3.64910471660894</v>
      </c>
    </row>
    <row r="201" customFormat="false" ht="12.75" hidden="false" customHeight="false" outlineLevel="0" collapsed="false">
      <c r="C201" s="282" t="n">
        <f aca="false">C189+1</f>
        <v>2014</v>
      </c>
      <c r="D201" s="282" t="n">
        <f aca="false">D189</f>
        <v>1</v>
      </c>
      <c r="E201" s="283" t="n">
        <v>41640</v>
      </c>
      <c r="F201" s="284" t="n">
        <v>41.8185</v>
      </c>
      <c r="G201" s="284" t="n">
        <v>23.6925</v>
      </c>
      <c r="H201" s="284" t="n">
        <v>2.6818982584031</v>
      </c>
      <c r="I201" s="284" t="n">
        <v>0</v>
      </c>
      <c r="J201" s="284" t="n">
        <f aca="false">SUM(H201:I201)</f>
        <v>2.6818982584031</v>
      </c>
      <c r="K201" s="0" t="n">
        <f aca="false">F201/$J201*1000</f>
        <v>15592.8733944219</v>
      </c>
      <c r="L201" s="0" t="n">
        <f aca="false">G201/$J201*1000</f>
        <v>8834.22774363835</v>
      </c>
      <c r="N201" s="285" t="n">
        <f aca="false">F201*(1+$D$4)^($C201-$D$3)</f>
        <v>55.1786226531447</v>
      </c>
      <c r="O201" s="285" t="n">
        <f aca="false">G201*(1+$D$4)^($C201-$D$3)</f>
        <v>31.2617505938671</v>
      </c>
      <c r="P201" s="285" t="n">
        <f aca="false">H201*(1+$D$4)^($C201-$D$3)</f>
        <v>3.53870779665819</v>
      </c>
      <c r="Q201" s="285" t="n">
        <f aca="false">I201*(1+$D$4)^($C201-$D$3)</f>
        <v>0</v>
      </c>
      <c r="R201" s="285" t="n">
        <f aca="false">SUM(P201:Q201)</f>
        <v>3.53870779665819</v>
      </c>
    </row>
    <row r="202" customFormat="false" ht="12.75" hidden="false" customHeight="false" outlineLevel="0" collapsed="false">
      <c r="C202" s="282" t="n">
        <f aca="false">C190+1</f>
        <v>2014</v>
      </c>
      <c r="D202" s="282" t="n">
        <f aca="false">D190</f>
        <v>2</v>
      </c>
      <c r="E202" s="283" t="n">
        <v>41671</v>
      </c>
      <c r="F202" s="284" t="n">
        <v>38.4685</v>
      </c>
      <c r="G202" s="284" t="n">
        <v>21.8266</v>
      </c>
      <c r="H202" s="284" t="n">
        <v>2.47288773373338</v>
      </c>
      <c r="I202" s="284" t="n">
        <v>0</v>
      </c>
      <c r="J202" s="284" t="n">
        <f aca="false">SUM(H202:I202)</f>
        <v>2.47288773373338</v>
      </c>
      <c r="K202" s="0" t="n">
        <f aca="false">F202/$J202*1000</f>
        <v>15556.1044988982</v>
      </c>
      <c r="L202" s="0" t="n">
        <f aca="false">G202/$J202*1000</f>
        <v>8826.36106049498</v>
      </c>
      <c r="N202" s="285" t="n">
        <f aca="false">F202*(1+$D$4)^($C202-$D$3)</f>
        <v>50.7583687968841</v>
      </c>
      <c r="O202" s="285" t="n">
        <f aca="false">G202*(1+$D$4)^($C202-$D$3)</f>
        <v>28.7997351698681</v>
      </c>
      <c r="P202" s="285" t="n">
        <f aca="false">H202*(1+$D$4)^($C202-$D$3)</f>
        <v>3.26292284809987</v>
      </c>
      <c r="Q202" s="285" t="n">
        <f aca="false">I202*(1+$D$4)^($C202-$D$3)</f>
        <v>0</v>
      </c>
      <c r="R202" s="285" t="n">
        <f aca="false">SUM(P202:Q202)</f>
        <v>3.26292284809987</v>
      </c>
    </row>
    <row r="203" customFormat="false" ht="12.75" hidden="false" customHeight="false" outlineLevel="0" collapsed="false">
      <c r="C203" s="282" t="n">
        <f aca="false">C191+1</f>
        <v>2014</v>
      </c>
      <c r="D203" s="282" t="n">
        <f aca="false">D191</f>
        <v>3</v>
      </c>
      <c r="E203" s="283" t="n">
        <v>41699</v>
      </c>
      <c r="F203" s="284" t="n">
        <v>31.4355</v>
      </c>
      <c r="G203" s="284" t="n">
        <v>18.8165</v>
      </c>
      <c r="H203" s="284" t="n">
        <v>2.33658482141902</v>
      </c>
      <c r="I203" s="284" t="n">
        <v>0</v>
      </c>
      <c r="J203" s="284" t="n">
        <f aca="false">SUM(H203:I203)</f>
        <v>2.33658482141902</v>
      </c>
      <c r="K203" s="0" t="n">
        <f aca="false">F203/$J203*1000</f>
        <v>13453.6096065663</v>
      </c>
      <c r="L203" s="0" t="n">
        <f aca="false">G203/$J203*1000</f>
        <v>8052.99248181055</v>
      </c>
      <c r="N203" s="285" t="n">
        <f aca="false">F203*(1+$D$4)^($C203-$D$3)</f>
        <v>41.4784746562629</v>
      </c>
      <c r="O203" s="285" t="n">
        <f aca="false">G203*(1+$D$4)^($C203-$D$3)</f>
        <v>24.8279721451725</v>
      </c>
      <c r="P203" s="285" t="n">
        <f aca="false">H203*(1+$D$4)^($C203-$D$3)</f>
        <v>3.08307404995745</v>
      </c>
      <c r="Q203" s="285" t="n">
        <f aca="false">I203*(1+$D$4)^($C203-$D$3)</f>
        <v>0</v>
      </c>
      <c r="R203" s="285" t="n">
        <f aca="false">SUM(P203:Q203)</f>
        <v>3.08307404995745</v>
      </c>
    </row>
    <row r="204" customFormat="false" ht="12.75" hidden="false" customHeight="false" outlineLevel="0" collapsed="false">
      <c r="C204" s="282" t="n">
        <f aca="false">C192+1</f>
        <v>2014</v>
      </c>
      <c r="D204" s="282" t="n">
        <f aca="false">D192</f>
        <v>4</v>
      </c>
      <c r="E204" s="283" t="n">
        <v>41730</v>
      </c>
      <c r="F204" s="284" t="n">
        <v>30.5097</v>
      </c>
      <c r="G204" s="284" t="n">
        <v>20.2756</v>
      </c>
      <c r="H204" s="284" t="n">
        <v>2.26267948997652</v>
      </c>
      <c r="I204" s="284" t="n">
        <v>0</v>
      </c>
      <c r="J204" s="284" t="n">
        <f aca="false">SUM(H204:I204)</f>
        <v>2.26267948997652</v>
      </c>
      <c r="K204" s="0" t="n">
        <f aca="false">F204/$J204*1000</f>
        <v>13483.8805651244</v>
      </c>
      <c r="L204" s="0" t="n">
        <f aca="false">G204/$J204*1000</f>
        <v>8960.88027041355</v>
      </c>
      <c r="N204" s="285" t="n">
        <f aca="false">F204*(1+$D$4)^($C204-$D$3)</f>
        <v>40.2569012174193</v>
      </c>
      <c r="O204" s="285" t="n">
        <f aca="false">G204*(1+$D$4)^($C204-$D$3)</f>
        <v>26.7532236083576</v>
      </c>
      <c r="P204" s="285" t="n">
        <f aca="false">H204*(1+$D$4)^($C204-$D$3)</f>
        <v>2.98555753464195</v>
      </c>
      <c r="Q204" s="285" t="n">
        <f aca="false">I204*(1+$D$4)^($C204-$D$3)</f>
        <v>0</v>
      </c>
      <c r="R204" s="285" t="n">
        <f aca="false">SUM(P204:Q204)</f>
        <v>2.98555753464195</v>
      </c>
    </row>
    <row r="205" customFormat="false" ht="12.75" hidden="false" customHeight="false" outlineLevel="0" collapsed="false">
      <c r="C205" s="282" t="n">
        <f aca="false">C193+1</f>
        <v>2014</v>
      </c>
      <c r="D205" s="282" t="n">
        <f aca="false">D193</f>
        <v>5</v>
      </c>
      <c r="E205" s="283" t="n">
        <v>41760</v>
      </c>
      <c r="F205" s="284" t="n">
        <v>33.4792</v>
      </c>
      <c r="G205" s="284" t="n">
        <v>20.0836</v>
      </c>
      <c r="H205" s="284" t="n">
        <v>2.24196553894939</v>
      </c>
      <c r="I205" s="284" t="n">
        <v>0</v>
      </c>
      <c r="J205" s="284" t="n">
        <f aca="false">SUM(H205:I205)</f>
        <v>2.24196553894939</v>
      </c>
      <c r="K205" s="0" t="n">
        <f aca="false">F205/$J205*1000</f>
        <v>14932.9681560087</v>
      </c>
      <c r="L205" s="0" t="n">
        <f aca="false">G205/$J205*1000</f>
        <v>8958.03242783626</v>
      </c>
      <c r="N205" s="285" t="n">
        <f aca="false">F205*(1+$D$4)^($C205-$D$3)</f>
        <v>44.1750934043345</v>
      </c>
      <c r="O205" s="285" t="n">
        <f aca="false">G205*(1+$D$4)^($C205-$D$3)</f>
        <v>26.4998836858495</v>
      </c>
      <c r="P205" s="285" t="n">
        <f aca="false">H205*(1+$D$4)^($C205-$D$3)</f>
        <v>2.95822591616252</v>
      </c>
      <c r="Q205" s="285" t="n">
        <f aca="false">I205*(1+$D$4)^($C205-$D$3)</f>
        <v>0</v>
      </c>
      <c r="R205" s="285" t="n">
        <f aca="false">SUM(P205:Q205)</f>
        <v>2.95822591616252</v>
      </c>
    </row>
    <row r="206" customFormat="false" ht="12.75" hidden="false" customHeight="false" outlineLevel="0" collapsed="false">
      <c r="C206" s="282" t="n">
        <f aca="false">C194+1</f>
        <v>2014</v>
      </c>
      <c r="D206" s="282" t="n">
        <f aca="false">D194</f>
        <v>6</v>
      </c>
      <c r="E206" s="283" t="n">
        <v>41791</v>
      </c>
      <c r="F206" s="284" t="n">
        <v>32.2004</v>
      </c>
      <c r="G206" s="284" t="n">
        <v>18.6644</v>
      </c>
      <c r="H206" s="284" t="n">
        <v>2.26523676788111</v>
      </c>
      <c r="I206" s="284" t="n">
        <v>0</v>
      </c>
      <c r="J206" s="284" t="n">
        <f aca="false">SUM(H206:I206)</f>
        <v>2.26523676788111</v>
      </c>
      <c r="K206" s="0" t="n">
        <f aca="false">F206/$J206*1000</f>
        <v>14215.0261979546</v>
      </c>
      <c r="L206" s="0" t="n">
        <f aca="false">G206/$J206*1000</f>
        <v>8239.49189976225</v>
      </c>
      <c r="N206" s="285" t="n">
        <f aca="false">F206*(1+$D$4)^($C206-$D$3)</f>
        <v>42.4877439621297</v>
      </c>
      <c r="O206" s="285" t="n">
        <f aca="false">G206*(1+$D$4)^($C206-$D$3)</f>
        <v>24.6272794253107</v>
      </c>
      <c r="P206" s="285" t="n">
        <f aca="false">H206*(1+$D$4)^($C206-$D$3)</f>
        <v>2.9889318085283</v>
      </c>
      <c r="Q206" s="285" t="n">
        <f aca="false">I206*(1+$D$4)^($C206-$D$3)</f>
        <v>0</v>
      </c>
      <c r="R206" s="285" t="n">
        <f aca="false">SUM(P206:Q206)</f>
        <v>2.9889318085283</v>
      </c>
    </row>
    <row r="207" customFormat="false" ht="12.75" hidden="false" customHeight="false" outlineLevel="0" collapsed="false">
      <c r="C207" s="282" t="n">
        <f aca="false">C195+1</f>
        <v>2014</v>
      </c>
      <c r="D207" s="282" t="n">
        <f aca="false">D195</f>
        <v>7</v>
      </c>
      <c r="E207" s="283" t="n">
        <v>41821</v>
      </c>
      <c r="F207" s="284" t="n">
        <v>48.717</v>
      </c>
      <c r="G207" s="284" t="n">
        <v>23.2615</v>
      </c>
      <c r="H207" s="284" t="n">
        <v>2.32328697631518</v>
      </c>
      <c r="I207" s="284" t="n">
        <v>0</v>
      </c>
      <c r="J207" s="284" t="n">
        <f aca="false">SUM(H207:I207)</f>
        <v>2.32328697631518</v>
      </c>
      <c r="K207" s="0" t="n">
        <f aca="false">F207/$J207*1000</f>
        <v>20968.9980173121</v>
      </c>
      <c r="L207" s="0" t="n">
        <f aca="false">G207/$J207*1000</f>
        <v>10012.3231598765</v>
      </c>
      <c r="N207" s="285" t="n">
        <f aca="false">F207*(1+$D$4)^($C207-$D$3)</f>
        <v>64.281046900134</v>
      </c>
      <c r="O207" s="285" t="n">
        <f aca="false">G207*(1+$D$4)^($C207-$D$3)</f>
        <v>30.693055246987</v>
      </c>
      <c r="P207" s="285" t="n">
        <f aca="false">H207*(1+$D$4)^($C207-$D$3)</f>
        <v>3.06552782574843</v>
      </c>
      <c r="Q207" s="285" t="n">
        <f aca="false">I207*(1+$D$4)^($C207-$D$3)</f>
        <v>0</v>
      </c>
      <c r="R207" s="285" t="n">
        <f aca="false">SUM(P207:Q207)</f>
        <v>3.06552782574843</v>
      </c>
    </row>
    <row r="208" customFormat="false" ht="12.75" hidden="false" customHeight="false" outlineLevel="0" collapsed="false">
      <c r="C208" s="282" t="n">
        <f aca="false">C196+1</f>
        <v>2014</v>
      </c>
      <c r="D208" s="282" t="n">
        <f aca="false">D196</f>
        <v>8</v>
      </c>
      <c r="E208" s="283" t="n">
        <v>41852</v>
      </c>
      <c r="F208" s="284" t="n">
        <v>73.2714</v>
      </c>
      <c r="G208" s="284" t="n">
        <v>27.1998</v>
      </c>
      <c r="H208" s="284" t="n">
        <v>2.4069099637951</v>
      </c>
      <c r="I208" s="284" t="n">
        <v>0</v>
      </c>
      <c r="J208" s="284" t="n">
        <f aca="false">SUM(H208:I208)</f>
        <v>2.4069099637951</v>
      </c>
      <c r="K208" s="0" t="n">
        <f aca="false">F208/$J208*1000</f>
        <v>30442.1025722413</v>
      </c>
      <c r="L208" s="0" t="n">
        <f aca="false">G208/$J208*1000</f>
        <v>11300.7135327624</v>
      </c>
      <c r="N208" s="285" t="n">
        <f aca="false">F208*(1+$D$4)^($C208-$D$3)</f>
        <v>96.680056239885</v>
      </c>
      <c r="O208" s="285" t="n">
        <f aca="false">G208*(1+$D$4)^($C208-$D$3)</f>
        <v>35.8895584595575</v>
      </c>
      <c r="P208" s="285" t="n">
        <f aca="false">H208*(1+$D$4)^($C208-$D$3)</f>
        <v>3.17586658183206</v>
      </c>
      <c r="Q208" s="285" t="n">
        <f aca="false">I208*(1+$D$4)^($C208-$D$3)</f>
        <v>0</v>
      </c>
      <c r="R208" s="285" t="n">
        <f aca="false">SUM(P208:Q208)</f>
        <v>3.17586658183206</v>
      </c>
    </row>
    <row r="209" customFormat="false" ht="12.75" hidden="false" customHeight="false" outlineLevel="0" collapsed="false">
      <c r="C209" s="282" t="n">
        <f aca="false">C197+1</f>
        <v>2014</v>
      </c>
      <c r="D209" s="282" t="n">
        <f aca="false">D197</f>
        <v>9</v>
      </c>
      <c r="E209" s="283" t="n">
        <v>41883</v>
      </c>
      <c r="F209" s="284" t="n">
        <v>53.6498</v>
      </c>
      <c r="G209" s="284" t="n">
        <v>25.6276</v>
      </c>
      <c r="H209" s="284" t="n">
        <v>2.50689952986436</v>
      </c>
      <c r="I209" s="284" t="n">
        <v>0</v>
      </c>
      <c r="J209" s="284" t="n">
        <f aca="false">SUM(H209:I209)</f>
        <v>2.50689952986436</v>
      </c>
      <c r="K209" s="0" t="n">
        <f aca="false">F209/$J209*1000</f>
        <v>21400.857657388</v>
      </c>
      <c r="L209" s="0" t="n">
        <f aca="false">G209/$J209*1000</f>
        <v>10222.8269201465</v>
      </c>
      <c r="N209" s="285" t="n">
        <f aca="false">F209*(1+$D$4)^($C209-$D$3)</f>
        <v>70.7897717425705</v>
      </c>
      <c r="O209" s="285" t="n">
        <f aca="false">G209*(1+$D$4)^($C209-$D$3)</f>
        <v>33.8150739482701</v>
      </c>
      <c r="P209" s="285" t="n">
        <f aca="false">H209*(1+$D$4)^($C209-$D$3)</f>
        <v>3.30780069078832</v>
      </c>
      <c r="Q209" s="285" t="n">
        <f aca="false">I209*(1+$D$4)^($C209-$D$3)</f>
        <v>0</v>
      </c>
      <c r="R209" s="285" t="n">
        <f aca="false">SUM(P209:Q209)</f>
        <v>3.30780069078832</v>
      </c>
    </row>
    <row r="210" customFormat="false" ht="12.75" hidden="false" customHeight="false" outlineLevel="0" collapsed="false">
      <c r="C210" s="282" t="n">
        <f aca="false">C198+1</f>
        <v>2014</v>
      </c>
      <c r="D210" s="282" t="n">
        <f aca="false">D198</f>
        <v>10</v>
      </c>
      <c r="E210" s="283" t="n">
        <v>41913</v>
      </c>
      <c r="F210" s="284" t="n">
        <v>39.7859</v>
      </c>
      <c r="G210" s="284" t="n">
        <v>22.1453</v>
      </c>
      <c r="H210" s="284" t="n">
        <v>2.61404947406646</v>
      </c>
      <c r="I210" s="284" t="n">
        <v>0</v>
      </c>
      <c r="J210" s="284" t="n">
        <f aca="false">SUM(H210:I210)</f>
        <v>2.61404947406646</v>
      </c>
      <c r="K210" s="0" t="n">
        <f aca="false">F210/$J210*1000</f>
        <v>15220.0256325327</v>
      </c>
      <c r="L210" s="0" t="n">
        <f aca="false">G210/$J210*1000</f>
        <v>8471.64532259231</v>
      </c>
      <c r="N210" s="285" t="n">
        <f aca="false">F210*(1+$D$4)^($C210-$D$3)</f>
        <v>52.4966501193431</v>
      </c>
      <c r="O210" s="285" t="n">
        <f aca="false">G210*(1+$D$4)^($C210-$D$3)</f>
        <v>29.2202530516562</v>
      </c>
      <c r="P210" s="285" t="n">
        <f aca="false">H210*(1+$D$4)^($C210-$D$3)</f>
        <v>3.44918276662636</v>
      </c>
      <c r="Q210" s="285" t="n">
        <f aca="false">I210*(1+$D$4)^($C210-$D$3)</f>
        <v>0</v>
      </c>
      <c r="R210" s="285" t="n">
        <f aca="false">SUM(P210:Q210)</f>
        <v>3.44918276662636</v>
      </c>
    </row>
    <row r="211" customFormat="false" ht="12.75" hidden="false" customHeight="false" outlineLevel="0" collapsed="false">
      <c r="C211" s="282" t="n">
        <f aca="false">C199+1</f>
        <v>2014</v>
      </c>
      <c r="D211" s="282" t="n">
        <f aca="false">D199</f>
        <v>11</v>
      </c>
      <c r="E211" s="283" t="n">
        <v>41944</v>
      </c>
      <c r="F211" s="284" t="n">
        <v>41.4555</v>
      </c>
      <c r="G211" s="284" t="n">
        <v>23.9415</v>
      </c>
      <c r="H211" s="284" t="n">
        <v>2.71915359594489</v>
      </c>
      <c r="I211" s="284" t="n">
        <v>0</v>
      </c>
      <c r="J211" s="284" t="n">
        <f aca="false">SUM(H211:I211)</f>
        <v>2.71915359594489</v>
      </c>
      <c r="K211" s="0" t="n">
        <f aca="false">F211/$J211*1000</f>
        <v>15245.736784352</v>
      </c>
      <c r="L211" s="0" t="n">
        <f aca="false">G211/$J211*1000</f>
        <v>8804.76190668461</v>
      </c>
      <c r="N211" s="285" t="n">
        <f aca="false">F211*(1+$D$4)^($C211-$D$3)</f>
        <v>54.6996518621529</v>
      </c>
      <c r="O211" s="285" t="n">
        <f aca="false">G211*(1+$D$4)^($C211-$D$3)</f>
        <v>31.5903008058698</v>
      </c>
      <c r="P211" s="285" t="n">
        <f aca="false">H211*(1+$D$4)^($C211-$D$3)</f>
        <v>3.58786542335532</v>
      </c>
      <c r="Q211" s="285" t="n">
        <f aca="false">I211*(1+$D$4)^($C211-$D$3)</f>
        <v>0</v>
      </c>
      <c r="R211" s="285" t="n">
        <f aca="false">SUM(P211:Q211)</f>
        <v>3.58786542335532</v>
      </c>
    </row>
    <row r="212" customFormat="false" ht="12.75" hidden="false" customHeight="false" outlineLevel="0" collapsed="false">
      <c r="C212" s="282" t="n">
        <f aca="false">C200+1</f>
        <v>2014</v>
      </c>
      <c r="D212" s="282" t="n">
        <f aca="false">D200</f>
        <v>12</v>
      </c>
      <c r="E212" s="283" t="n">
        <v>41974</v>
      </c>
      <c r="F212" s="284" t="n">
        <v>42.7984</v>
      </c>
      <c r="G212" s="284" t="n">
        <v>25.204</v>
      </c>
      <c r="H212" s="284" t="n">
        <v>2.83020599619497</v>
      </c>
      <c r="I212" s="284" t="n">
        <v>0</v>
      </c>
      <c r="J212" s="284" t="n">
        <f aca="false">SUM(H212:I212)</f>
        <v>2.83020599619497</v>
      </c>
      <c r="K212" s="0" t="n">
        <f aca="false">F212/$J212*1000</f>
        <v>15122.0088069701</v>
      </c>
      <c r="L212" s="0" t="n">
        <f aca="false">G212/$J212*1000</f>
        <v>8905.35884450995</v>
      </c>
      <c r="N212" s="285" t="n">
        <f aca="false">F212*(1+$D$4)^($C212-$D$3)</f>
        <v>56.47157989307</v>
      </c>
      <c r="O212" s="285" t="n">
        <f aca="false">G212*(1+$D$4)^($C212-$D$3)</f>
        <v>33.2561427442366</v>
      </c>
      <c r="P212" s="285" t="n">
        <f aca="false">H212*(1+$D$4)^($C212-$D$3)</f>
        <v>3.73439670707247</v>
      </c>
      <c r="Q212" s="285" t="n">
        <f aca="false">I212*(1+$D$4)^($C212-$D$3)</f>
        <v>0</v>
      </c>
      <c r="R212" s="285" t="n">
        <f aca="false">SUM(P212:Q212)</f>
        <v>3.73439670707247</v>
      </c>
    </row>
    <row r="213" customFormat="false" ht="12.75" hidden="false" customHeight="false" outlineLevel="0" collapsed="false">
      <c r="C213" s="282" t="n">
        <f aca="false">C201+1</f>
        <v>2015</v>
      </c>
      <c r="D213" s="282" t="n">
        <f aca="false">D201</f>
        <v>1</v>
      </c>
      <c r="E213" s="283" t="n">
        <v>42005</v>
      </c>
      <c r="F213" s="284" t="n">
        <v>42.9528</v>
      </c>
      <c r="G213" s="284" t="n">
        <v>24.2537</v>
      </c>
      <c r="H213" s="284" t="n">
        <v>2.70589354970169</v>
      </c>
      <c r="I213" s="284" t="n">
        <v>0</v>
      </c>
      <c r="J213" s="284" t="n">
        <f aca="false">SUM(H213:I213)</f>
        <v>2.70589354970169</v>
      </c>
      <c r="K213" s="0" t="n">
        <f aca="false">F213/$J213*1000</f>
        <v>15873.7951848606</v>
      </c>
      <c r="L213" s="0" t="n">
        <f aca="false">G213/$J213*1000</f>
        <v>8963.28682356107</v>
      </c>
      <c r="N213" s="285" t="n">
        <f aca="false">F213*(1+$D$4)^($C213-$D$3)</f>
        <v>57.8088135623687</v>
      </c>
      <c r="O213" s="285" t="n">
        <f aca="false">G213*(1+$D$4)^($C213-$D$3)</f>
        <v>32.642286917212</v>
      </c>
      <c r="P213" s="285" t="n">
        <f aca="false">H213*(1+$D$4)^($C213-$D$3)</f>
        <v>3.64177645541899</v>
      </c>
      <c r="Q213" s="285" t="n">
        <f aca="false">I213*(1+$D$4)^($C213-$D$3)</f>
        <v>0</v>
      </c>
      <c r="R213" s="285" t="n">
        <f aca="false">SUM(P213:Q213)</f>
        <v>3.64177645541899</v>
      </c>
    </row>
    <row r="214" customFormat="false" ht="12.75" hidden="false" customHeight="false" outlineLevel="0" collapsed="false">
      <c r="C214" s="282" t="n">
        <f aca="false">C202+1</f>
        <v>2015</v>
      </c>
      <c r="D214" s="282" t="n">
        <f aca="false">D202</f>
        <v>2</v>
      </c>
      <c r="E214" s="283" t="n">
        <v>42036</v>
      </c>
      <c r="F214" s="284" t="n">
        <v>40.1707</v>
      </c>
      <c r="G214" s="284" t="n">
        <v>21.0876</v>
      </c>
      <c r="H214" s="284" t="n">
        <v>2.49501298077947</v>
      </c>
      <c r="I214" s="284" t="n">
        <v>0</v>
      </c>
      <c r="J214" s="284" t="n">
        <f aca="false">SUM(H214:I214)</f>
        <v>2.49501298077947</v>
      </c>
      <c r="K214" s="0" t="n">
        <f aca="false">F214/$J214*1000</f>
        <v>16100.3971961101</v>
      </c>
      <c r="L214" s="0" t="n">
        <f aca="false">G214/$J214*1000</f>
        <v>8451.8999149303</v>
      </c>
      <c r="N214" s="285" t="n">
        <f aca="false">F214*(1+$D$4)^($C214-$D$3)</f>
        <v>54.0644732583171</v>
      </c>
      <c r="O214" s="285" t="n">
        <f aca="false">G214*(1+$D$4)^($C214-$D$3)</f>
        <v>28.3811331712439</v>
      </c>
      <c r="P214" s="285" t="n">
        <f aca="false">H214*(1+$D$4)^($C214-$D$3)</f>
        <v>3.3579589745388</v>
      </c>
      <c r="Q214" s="285" t="n">
        <f aca="false">I214*(1+$D$4)^($C214-$D$3)</f>
        <v>0</v>
      </c>
      <c r="R214" s="285" t="n">
        <f aca="false">SUM(P214:Q214)</f>
        <v>3.3579589745388</v>
      </c>
    </row>
    <row r="215" customFormat="false" ht="12.75" hidden="false" customHeight="false" outlineLevel="0" collapsed="false">
      <c r="C215" s="282" t="n">
        <f aca="false">C203+1</f>
        <v>2015</v>
      </c>
      <c r="D215" s="282" t="n">
        <f aca="false">D203</f>
        <v>3</v>
      </c>
      <c r="E215" s="283" t="n">
        <v>42064</v>
      </c>
      <c r="F215" s="284" t="n">
        <v>30.1989</v>
      </c>
      <c r="G215" s="284" t="n">
        <v>21.3985</v>
      </c>
      <c r="H215" s="284" t="n">
        <v>2.35749054864344</v>
      </c>
      <c r="I215" s="284" t="n">
        <v>0</v>
      </c>
      <c r="J215" s="284" t="n">
        <f aca="false">SUM(H215:I215)</f>
        <v>2.35749054864344</v>
      </c>
      <c r="K215" s="0" t="n">
        <f aca="false">F215/$J215*1000</f>
        <v>12809.7650348491</v>
      </c>
      <c r="L215" s="0" t="n">
        <f aca="false">G215/$J215*1000</f>
        <v>9076.81263550061</v>
      </c>
      <c r="N215" s="285" t="n">
        <f aca="false">F215*(1+$D$4)^($C215-$D$3)</f>
        <v>40.6437433622166</v>
      </c>
      <c r="O215" s="285" t="n">
        <f aca="false">G215*(1+$D$4)^($C215-$D$3)</f>
        <v>28.7995636376289</v>
      </c>
      <c r="P215" s="285" t="n">
        <f aca="false">H215*(1+$D$4)^($C215-$D$3)</f>
        <v>3.17287188731758</v>
      </c>
      <c r="Q215" s="285" t="n">
        <f aca="false">I215*(1+$D$4)^($C215-$D$3)</f>
        <v>0</v>
      </c>
      <c r="R215" s="285" t="n">
        <f aca="false">SUM(P215:Q215)</f>
        <v>3.17287188731758</v>
      </c>
    </row>
    <row r="216" customFormat="false" ht="12.75" hidden="false" customHeight="false" outlineLevel="0" collapsed="false">
      <c r="C216" s="282" t="n">
        <f aca="false">C204+1</f>
        <v>2015</v>
      </c>
      <c r="D216" s="282" t="n">
        <f aca="false">D204</f>
        <v>4</v>
      </c>
      <c r="E216" s="283" t="n">
        <v>42095</v>
      </c>
      <c r="F216" s="284" t="n">
        <v>31.0358</v>
      </c>
      <c r="G216" s="284" t="n">
        <v>20.2054</v>
      </c>
      <c r="H216" s="284" t="n">
        <v>2.28292397662221</v>
      </c>
      <c r="I216" s="284" t="n">
        <v>0</v>
      </c>
      <c r="J216" s="284" t="n">
        <f aca="false">SUM(H216:I216)</f>
        <v>2.28292397662221</v>
      </c>
      <c r="K216" s="0" t="n">
        <f aca="false">F216/$J216*1000</f>
        <v>13594.7584404104</v>
      </c>
      <c r="L216" s="0" t="n">
        <f aca="false">G216/$J216*1000</f>
        <v>8850.66704231462</v>
      </c>
      <c r="N216" s="285" t="n">
        <f aca="false">F216*(1+$D$4)^($C216-$D$3)</f>
        <v>41.77010057456</v>
      </c>
      <c r="O216" s="285" t="n">
        <f aca="false">G216*(1+$D$4)^($C216-$D$3)</f>
        <v>27.1938081231744</v>
      </c>
      <c r="P216" s="285" t="n">
        <f aca="false">H216*(1+$D$4)^($C216-$D$3)</f>
        <v>3.07251509893685</v>
      </c>
      <c r="Q216" s="285" t="n">
        <f aca="false">I216*(1+$D$4)^($C216-$D$3)</f>
        <v>0</v>
      </c>
      <c r="R216" s="285" t="n">
        <f aca="false">SUM(P216:Q216)</f>
        <v>3.07251509893685</v>
      </c>
    </row>
    <row r="217" customFormat="false" ht="12.75" hidden="false" customHeight="false" outlineLevel="0" collapsed="false">
      <c r="C217" s="282" t="n">
        <f aca="false">C205+1</f>
        <v>2015</v>
      </c>
      <c r="D217" s="282" t="n">
        <f aca="false">D205</f>
        <v>5</v>
      </c>
      <c r="E217" s="283" t="n">
        <v>42125</v>
      </c>
      <c r="F217" s="284" t="n">
        <v>34.7843</v>
      </c>
      <c r="G217" s="284" t="n">
        <v>20.0386</v>
      </c>
      <c r="H217" s="284" t="n">
        <v>2.26202469519065</v>
      </c>
      <c r="I217" s="284" t="n">
        <v>0</v>
      </c>
      <c r="J217" s="284" t="n">
        <f aca="false">SUM(H217:I217)</f>
        <v>2.26202469519065</v>
      </c>
      <c r="K217" s="0" t="n">
        <f aca="false">F217/$J217*1000</f>
        <v>15377.5067416177</v>
      </c>
      <c r="L217" s="0" t="n">
        <f aca="false">G217/$J217*1000</f>
        <v>8858.70081020979</v>
      </c>
      <c r="N217" s="285" t="n">
        <f aca="false">F217*(1+$D$4)^($C217-$D$3)</f>
        <v>46.815088040768</v>
      </c>
      <c r="O217" s="285" t="n">
        <f aca="false">G217*(1+$D$4)^($C217-$D$3)</f>
        <v>26.9693172843419</v>
      </c>
      <c r="P217" s="285" t="n">
        <f aca="false">H217*(1+$D$4)^($C217-$D$3)</f>
        <v>3.04438741776439</v>
      </c>
      <c r="Q217" s="285" t="n">
        <f aca="false">I217*(1+$D$4)^($C217-$D$3)</f>
        <v>0</v>
      </c>
      <c r="R217" s="285" t="n">
        <f aca="false">SUM(P217:Q217)</f>
        <v>3.04438741776439</v>
      </c>
    </row>
    <row r="218" customFormat="false" ht="12.75" hidden="false" customHeight="false" outlineLevel="0" collapsed="false">
      <c r="C218" s="282" t="n">
        <f aca="false">C206+1</f>
        <v>2015</v>
      </c>
      <c r="D218" s="282" t="n">
        <f aca="false">D206</f>
        <v>6</v>
      </c>
      <c r="E218" s="283" t="n">
        <v>42156</v>
      </c>
      <c r="F218" s="284" t="n">
        <v>32.9096</v>
      </c>
      <c r="G218" s="284" t="n">
        <v>18.9626</v>
      </c>
      <c r="H218" s="284" t="n">
        <v>2.28550413482364</v>
      </c>
      <c r="I218" s="284" t="n">
        <v>0</v>
      </c>
      <c r="J218" s="284" t="n">
        <f aca="false">SUM(H218:I218)</f>
        <v>2.28550413482364</v>
      </c>
      <c r="K218" s="0" t="n">
        <f aca="false">F218/$J218*1000</f>
        <v>14399.2738838512</v>
      </c>
      <c r="L218" s="0" t="n">
        <f aca="false">G218/$J218*1000</f>
        <v>8296.90032543445</v>
      </c>
      <c r="N218" s="285" t="n">
        <f aca="false">F218*(1+$D$4)^($C218-$D$3)</f>
        <v>44.2919886669118</v>
      </c>
      <c r="O218" s="285" t="n">
        <f aca="false">G218*(1+$D$4)^($C218-$D$3)</f>
        <v>25.5211629523051</v>
      </c>
      <c r="P218" s="285" t="n">
        <f aca="false">H218*(1+$D$4)^($C218-$D$3)</f>
        <v>3.07598765216801</v>
      </c>
      <c r="Q218" s="285" t="n">
        <f aca="false">I218*(1+$D$4)^($C218-$D$3)</f>
        <v>0</v>
      </c>
      <c r="R218" s="285" t="n">
        <f aca="false">SUM(P218:Q218)</f>
        <v>3.07598765216801</v>
      </c>
    </row>
    <row r="219" customFormat="false" ht="12.75" hidden="false" customHeight="false" outlineLevel="0" collapsed="false">
      <c r="C219" s="282" t="n">
        <f aca="false">C207+1</f>
        <v>2015</v>
      </c>
      <c r="D219" s="282" t="n">
        <f aca="false">D207</f>
        <v>7</v>
      </c>
      <c r="E219" s="283" t="n">
        <v>42186</v>
      </c>
      <c r="F219" s="284" t="n">
        <v>50.5709</v>
      </c>
      <c r="G219" s="284" t="n">
        <v>23.9876</v>
      </c>
      <c r="H219" s="284" t="n">
        <v>2.34407372599602</v>
      </c>
      <c r="I219" s="284" t="n">
        <v>0</v>
      </c>
      <c r="J219" s="284" t="n">
        <f aca="false">SUM(H219:I219)</f>
        <v>2.34407372599602</v>
      </c>
      <c r="K219" s="0" t="n">
        <f aca="false">F219/$J219*1000</f>
        <v>21573.9374743907</v>
      </c>
      <c r="L219" s="0" t="n">
        <f aca="false">G219/$J219*1000</f>
        <v>10233.2958788689</v>
      </c>
      <c r="N219" s="285" t="n">
        <f aca="false">F219*(1+$D$4)^($C219-$D$3)</f>
        <v>68.0617731505557</v>
      </c>
      <c r="O219" s="285" t="n">
        <f aca="false">G219*(1+$D$4)^($C219-$D$3)</f>
        <v>32.2841513523839</v>
      </c>
      <c r="P219" s="285" t="n">
        <f aca="false">H219*(1+$D$4)^($C219-$D$3)</f>
        <v>3.15481461051551</v>
      </c>
      <c r="Q219" s="285" t="n">
        <f aca="false">I219*(1+$D$4)^($C219-$D$3)</f>
        <v>0</v>
      </c>
      <c r="R219" s="285" t="n">
        <f aca="false">SUM(P219:Q219)</f>
        <v>3.15481461051551</v>
      </c>
    </row>
    <row r="220" customFormat="false" ht="12.75" hidden="false" customHeight="false" outlineLevel="0" collapsed="false">
      <c r="C220" s="282" t="n">
        <f aca="false">C208+1</f>
        <v>2015</v>
      </c>
      <c r="D220" s="282" t="n">
        <f aca="false">D208</f>
        <v>8</v>
      </c>
      <c r="E220" s="283" t="n">
        <v>42217</v>
      </c>
      <c r="F220" s="284" t="n">
        <v>85.9407</v>
      </c>
      <c r="G220" s="284" t="n">
        <v>27.7636</v>
      </c>
      <c r="H220" s="284" t="n">
        <v>2.42844489918267</v>
      </c>
      <c r="I220" s="284" t="n">
        <v>0</v>
      </c>
      <c r="J220" s="284" t="n">
        <f aca="false">SUM(H220:I220)</f>
        <v>2.42844489918267</v>
      </c>
      <c r="K220" s="0" t="n">
        <f aca="false">F220/$J220*1000</f>
        <v>35389.1908475769</v>
      </c>
      <c r="L220" s="0" t="n">
        <f aca="false">G220/$J220*1000</f>
        <v>11432.6662339937</v>
      </c>
      <c r="N220" s="285" t="n">
        <f aca="false">F220*(1+$D$4)^($C220-$D$3)</f>
        <v>115.664867103413</v>
      </c>
      <c r="O220" s="285" t="n">
        <f aca="false">G220*(1+$D$4)^($C220-$D$3)</f>
        <v>37.3661501978958</v>
      </c>
      <c r="P220" s="285" t="n">
        <f aca="false">H220*(1+$D$4)^($C220-$D$3)</f>
        <v>3.26836710117468</v>
      </c>
      <c r="Q220" s="285" t="n">
        <f aca="false">I220*(1+$D$4)^($C220-$D$3)</f>
        <v>0</v>
      </c>
      <c r="R220" s="285" t="n">
        <f aca="false">SUM(P220:Q220)</f>
        <v>3.26836710117468</v>
      </c>
    </row>
    <row r="221" customFormat="false" ht="12.75" hidden="false" customHeight="false" outlineLevel="0" collapsed="false">
      <c r="C221" s="282" t="n">
        <f aca="false">C209+1</f>
        <v>2015</v>
      </c>
      <c r="D221" s="282" t="n">
        <f aca="false">D209</f>
        <v>9</v>
      </c>
      <c r="E221" s="283" t="n">
        <v>42248</v>
      </c>
      <c r="F221" s="284" t="n">
        <v>55.8729</v>
      </c>
      <c r="G221" s="284" t="n">
        <v>26.4652</v>
      </c>
      <c r="H221" s="284" t="n">
        <v>2.52932908485844</v>
      </c>
      <c r="I221" s="284" t="n">
        <v>0</v>
      </c>
      <c r="J221" s="284" t="n">
        <f aca="false">SUM(H221:I221)</f>
        <v>2.52932908485844</v>
      </c>
      <c r="K221" s="0" t="n">
        <f aca="false">F221/$J221*1000</f>
        <v>22090.0081110351</v>
      </c>
      <c r="L221" s="0" t="n">
        <f aca="false">G221/$J221*1000</f>
        <v>10463.3280653083</v>
      </c>
      <c r="N221" s="285" t="n">
        <f aca="false">F221*(1+$D$4)^($C221-$D$3)</f>
        <v>75.1975670803503</v>
      </c>
      <c r="O221" s="285" t="n">
        <f aca="false">G221*(1+$D$4)^($C221-$D$3)</f>
        <v>35.6186747474158</v>
      </c>
      <c r="P221" s="285" t="n">
        <f aca="false">H221*(1+$D$4)^($C221-$D$3)</f>
        <v>3.40414393251333</v>
      </c>
      <c r="Q221" s="285" t="n">
        <f aca="false">I221*(1+$D$4)^($C221-$D$3)</f>
        <v>0</v>
      </c>
      <c r="R221" s="285" t="n">
        <f aca="false">SUM(P221:Q221)</f>
        <v>3.40414393251333</v>
      </c>
    </row>
    <row r="222" customFormat="false" ht="12.75" hidden="false" customHeight="false" outlineLevel="0" collapsed="false">
      <c r="C222" s="282" t="n">
        <f aca="false">C210+1</f>
        <v>2015</v>
      </c>
      <c r="D222" s="282" t="n">
        <f aca="false">D210</f>
        <v>10</v>
      </c>
      <c r="E222" s="283" t="n">
        <v>42278</v>
      </c>
      <c r="F222" s="284" t="n">
        <v>40.6206</v>
      </c>
      <c r="G222" s="284" t="n">
        <v>21.8631</v>
      </c>
      <c r="H222" s="284" t="n">
        <v>2.63743771349822</v>
      </c>
      <c r="I222" s="284" t="n">
        <v>0</v>
      </c>
      <c r="J222" s="284" t="n">
        <f aca="false">SUM(H222:I222)</f>
        <v>2.63743771349822</v>
      </c>
      <c r="K222" s="0" t="n">
        <f aca="false">F222/$J222*1000</f>
        <v>15401.5390741198</v>
      </c>
      <c r="L222" s="0" t="n">
        <f aca="false">G222/$J222*1000</f>
        <v>8289.52277739347</v>
      </c>
      <c r="N222" s="285" t="n">
        <f aca="false">F222*(1+$D$4)^($C222-$D$3)</f>
        <v>54.6699794237292</v>
      </c>
      <c r="O222" s="285" t="n">
        <f aca="false">G222*(1+$D$4)^($C222-$D$3)</f>
        <v>29.4248540676143</v>
      </c>
      <c r="P222" s="285" t="n">
        <f aca="false">H222*(1+$D$4)^($C222-$D$3)</f>
        <v>3.54964391289924</v>
      </c>
      <c r="Q222" s="285" t="n">
        <f aca="false">I222*(1+$D$4)^($C222-$D$3)</f>
        <v>0</v>
      </c>
      <c r="R222" s="285" t="n">
        <f aca="false">SUM(P222:Q222)</f>
        <v>3.54964391289924</v>
      </c>
    </row>
    <row r="223" customFormat="false" ht="12.75" hidden="false" customHeight="false" outlineLevel="0" collapsed="false">
      <c r="C223" s="282" t="n">
        <f aca="false">C211+1</f>
        <v>2015</v>
      </c>
      <c r="D223" s="282" t="n">
        <f aca="false">D211</f>
        <v>11</v>
      </c>
      <c r="E223" s="283" t="n">
        <v>42309</v>
      </c>
      <c r="F223" s="284" t="n">
        <v>41.8125</v>
      </c>
      <c r="G223" s="284" t="n">
        <v>24.5163</v>
      </c>
      <c r="H223" s="284" t="n">
        <v>2.74348221557685</v>
      </c>
      <c r="I223" s="284" t="n">
        <v>0</v>
      </c>
      <c r="J223" s="284" t="n">
        <f aca="false">SUM(H223:I223)</f>
        <v>2.74348221557685</v>
      </c>
      <c r="K223" s="0" t="n">
        <f aca="false">F223/$J223*1000</f>
        <v>15240.6674126038</v>
      </c>
      <c r="L223" s="0" t="n">
        <f aca="false">G223/$J223*1000</f>
        <v>8936.19789507007</v>
      </c>
      <c r="N223" s="285" t="n">
        <f aca="false">F223*(1+$D$4)^($C223-$D$3)</f>
        <v>56.2741198961777</v>
      </c>
      <c r="O223" s="285" t="n">
        <f aca="false">G223*(1+$D$4)^($C223-$D$3)</f>
        <v>32.9957119428559</v>
      </c>
      <c r="P223" s="285" t="n">
        <f aca="false">H223*(1+$D$4)^($C223-$D$3)</f>
        <v>3.69236585070021</v>
      </c>
      <c r="Q223" s="285" t="n">
        <f aca="false">I223*(1+$D$4)^($C223-$D$3)</f>
        <v>0</v>
      </c>
      <c r="R223" s="285" t="n">
        <f aca="false">SUM(P223:Q223)</f>
        <v>3.69236585070021</v>
      </c>
    </row>
    <row r="224" customFormat="false" ht="12.75" hidden="false" customHeight="false" outlineLevel="0" collapsed="false">
      <c r="C224" s="282" t="n">
        <f aca="false">C212+1</f>
        <v>2015</v>
      </c>
      <c r="D224" s="282" t="n">
        <f aca="false">D212</f>
        <v>12</v>
      </c>
      <c r="E224" s="283" t="n">
        <v>42339</v>
      </c>
      <c r="F224" s="284" t="n">
        <v>41.7188</v>
      </c>
      <c r="G224" s="284" t="n">
        <v>25.6727</v>
      </c>
      <c r="H224" s="284" t="n">
        <v>2.85552821604464</v>
      </c>
      <c r="I224" s="284" t="n">
        <v>0</v>
      </c>
      <c r="J224" s="284" t="n">
        <f aca="false">SUM(H224:I224)</f>
        <v>2.85552821604464</v>
      </c>
      <c r="K224" s="0" t="n">
        <f aca="false">F224/$J224*1000</f>
        <v>14609.8363747872</v>
      </c>
      <c r="L224" s="0" t="n">
        <f aca="false">G224/$J224*1000</f>
        <v>8990.52576533837</v>
      </c>
      <c r="N224" s="285" t="n">
        <f aca="false">F224*(1+$D$4)^($C224-$D$3)</f>
        <v>56.1480120328767</v>
      </c>
      <c r="O224" s="285" t="n">
        <f aca="false">G224*(1+$D$4)^($C224-$D$3)</f>
        <v>34.5520740892939</v>
      </c>
      <c r="P224" s="285" t="n">
        <f aca="false">H224*(1+$D$4)^($C224-$D$3)</f>
        <v>3.84316501516566</v>
      </c>
      <c r="Q224" s="285" t="n">
        <f aca="false">I224*(1+$D$4)^($C224-$D$3)</f>
        <v>0</v>
      </c>
      <c r="R224" s="285" t="n">
        <f aca="false">SUM(P224:Q224)</f>
        <v>3.84316501516566</v>
      </c>
    </row>
    <row r="225" customFormat="false" ht="12.75" hidden="false" customHeight="false" outlineLevel="0" collapsed="false">
      <c r="C225" s="282" t="n">
        <f aca="false">C213+1</f>
        <v>2016</v>
      </c>
      <c r="D225" s="282" t="n">
        <f aca="false">D213</f>
        <v>1</v>
      </c>
      <c r="E225" s="283" t="n">
        <v>42370</v>
      </c>
      <c r="F225" s="284" t="n">
        <v>41.9631</v>
      </c>
      <c r="G225" s="284" t="n">
        <v>23.6936</v>
      </c>
      <c r="H225" s="284" t="n">
        <v>2.72247649083222</v>
      </c>
      <c r="I225" s="284" t="n">
        <v>0</v>
      </c>
      <c r="J225" s="284" t="n">
        <f aca="false">SUM(H225:I225)</f>
        <v>2.72247649083222</v>
      </c>
      <c r="K225" s="0" t="n">
        <f aca="false">F225/$J225*1000</f>
        <v>15413.5766245579</v>
      </c>
      <c r="L225" s="0" t="n">
        <f aca="false">G225/$J225*1000</f>
        <v>8702.95853050956</v>
      </c>
      <c r="N225" s="285" t="n">
        <f aca="false">F225*(1+$D$4)^($C225-$D$3)</f>
        <v>57.6063438212879</v>
      </c>
      <c r="O225" s="285" t="n">
        <f aca="false">G225*(1+$D$4)^($C225-$D$3)</f>
        <v>32.5262353821349</v>
      </c>
      <c r="P225" s="285" t="n">
        <f aca="false">H225*(1+$D$4)^($C225-$D$3)</f>
        <v>3.73737680905973</v>
      </c>
      <c r="Q225" s="285" t="n">
        <f aca="false">I225*(1+$D$4)^($C225-$D$3)</f>
        <v>0</v>
      </c>
      <c r="R225" s="285" t="n">
        <f aca="false">SUM(P225:Q225)</f>
        <v>3.73737680905973</v>
      </c>
    </row>
    <row r="226" customFormat="false" ht="12.75" hidden="false" customHeight="false" outlineLevel="0" collapsed="false">
      <c r="C226" s="282" t="n">
        <f aca="false">C214+1</f>
        <v>2016</v>
      </c>
      <c r="D226" s="282" t="n">
        <f aca="false">D214</f>
        <v>2</v>
      </c>
      <c r="E226" s="283" t="n">
        <v>42401</v>
      </c>
      <c r="F226" s="284" t="n">
        <v>31.8314</v>
      </c>
      <c r="G226" s="284" t="n">
        <v>20.0662</v>
      </c>
      <c r="H226" s="284" t="n">
        <v>2.51030355027905</v>
      </c>
      <c r="I226" s="284" t="n">
        <v>0</v>
      </c>
      <c r="J226" s="284" t="n">
        <f aca="false">SUM(H226:I226)</f>
        <v>2.51030355027905</v>
      </c>
      <c r="K226" s="0" t="n">
        <f aca="false">F226/$J226*1000</f>
        <v>12680.2991600205</v>
      </c>
      <c r="L226" s="0" t="n">
        <f aca="false">G226/$J226*1000</f>
        <v>7993.53528292201</v>
      </c>
      <c r="N226" s="285" t="n">
        <f aca="false">F226*(1+$D$4)^($C226-$D$3)</f>
        <v>43.6976908930213</v>
      </c>
      <c r="O226" s="285" t="n">
        <f aca="false">G226*(1+$D$4)^($C226-$D$3)</f>
        <v>27.5465925154892</v>
      </c>
      <c r="P226" s="285" t="n">
        <f aca="false">H226*(1+$D$4)^($C226-$D$3)</f>
        <v>3.4461088292613</v>
      </c>
      <c r="Q226" s="285" t="n">
        <f aca="false">I226*(1+$D$4)^($C226-$D$3)</f>
        <v>0</v>
      </c>
      <c r="R226" s="285" t="n">
        <f aca="false">SUM(P226:Q226)</f>
        <v>3.4461088292613</v>
      </c>
    </row>
    <row r="227" customFormat="false" ht="12.75" hidden="false" customHeight="false" outlineLevel="0" collapsed="false">
      <c r="C227" s="282" t="n">
        <f aca="false">C215+1</f>
        <v>2016</v>
      </c>
      <c r="D227" s="282" t="n">
        <f aca="false">D215</f>
        <v>3</v>
      </c>
      <c r="E227" s="283" t="n">
        <v>42430</v>
      </c>
      <c r="F227" s="284" t="n">
        <v>30.2213</v>
      </c>
      <c r="G227" s="284" t="n">
        <v>19.3412</v>
      </c>
      <c r="H227" s="284" t="n">
        <v>2.37193831839707</v>
      </c>
      <c r="I227" s="284" t="n">
        <v>0</v>
      </c>
      <c r="J227" s="284" t="n">
        <f aca="false">SUM(H227:I227)</f>
        <v>2.37193831839707</v>
      </c>
      <c r="K227" s="0" t="n">
        <f aca="false">F227/$J227*1000</f>
        <v>12741.1829243617</v>
      </c>
      <c r="L227" s="0" t="n">
        <f aca="false">G227/$J227*1000</f>
        <v>8154.17494206618</v>
      </c>
      <c r="N227" s="285" t="n">
        <f aca="false">F227*(1+$D$4)^($C227-$D$3)</f>
        <v>41.4873686292549</v>
      </c>
      <c r="O227" s="285" t="n">
        <f aca="false">G227*(1+$D$4)^($C227-$D$3)</f>
        <v>26.5513228792986</v>
      </c>
      <c r="P227" s="285" t="n">
        <f aca="false">H227*(1+$D$4)^($C227-$D$3)</f>
        <v>3.25616301685217</v>
      </c>
      <c r="Q227" s="285" t="n">
        <f aca="false">I227*(1+$D$4)^($C227-$D$3)</f>
        <v>0</v>
      </c>
      <c r="R227" s="285" t="n">
        <f aca="false">SUM(P227:Q227)</f>
        <v>3.25616301685217</v>
      </c>
    </row>
    <row r="228" customFormat="false" ht="12.75" hidden="false" customHeight="false" outlineLevel="0" collapsed="false">
      <c r="C228" s="282" t="n">
        <f aca="false">C216+1</f>
        <v>2016</v>
      </c>
      <c r="D228" s="282" t="n">
        <f aca="false">D216</f>
        <v>4</v>
      </c>
      <c r="E228" s="283" t="n">
        <v>42461</v>
      </c>
      <c r="F228" s="284" t="n">
        <v>29.4408</v>
      </c>
      <c r="G228" s="284" t="n">
        <v>19.6974</v>
      </c>
      <c r="H228" s="284" t="n">
        <v>2.29691476865244</v>
      </c>
      <c r="I228" s="284" t="n">
        <v>0</v>
      </c>
      <c r="J228" s="284" t="n">
        <f aca="false">SUM(H228:I228)</f>
        <v>2.29691476865244</v>
      </c>
      <c r="K228" s="0" t="n">
        <f aca="false">F228/$J228*1000</f>
        <v>12817.5413392777</v>
      </c>
      <c r="L228" s="0" t="n">
        <f aca="false">G228/$J228*1000</f>
        <v>8575.59029565392</v>
      </c>
      <c r="N228" s="285" t="n">
        <f aca="false">F228*(1+$D$4)^($C228-$D$3)</f>
        <v>40.4159093864317</v>
      </c>
      <c r="O228" s="285" t="n">
        <f aca="false">G228*(1+$D$4)^($C228-$D$3)</f>
        <v>27.0403091474518</v>
      </c>
      <c r="P228" s="285" t="n">
        <f aca="false">H228*(1+$D$4)^($C228-$D$3)</f>
        <v>3.15317176021758</v>
      </c>
      <c r="Q228" s="285" t="n">
        <f aca="false">I228*(1+$D$4)^($C228-$D$3)</f>
        <v>0</v>
      </c>
      <c r="R228" s="285" t="n">
        <f aca="false">SUM(P228:Q228)</f>
        <v>3.15317176021758</v>
      </c>
    </row>
    <row r="229" customFormat="false" ht="12.75" hidden="false" customHeight="false" outlineLevel="0" collapsed="false">
      <c r="C229" s="282" t="n">
        <f aca="false">C217+1</f>
        <v>2016</v>
      </c>
      <c r="D229" s="282" t="n">
        <f aca="false">D217</f>
        <v>5</v>
      </c>
      <c r="E229" s="283" t="n">
        <v>42491</v>
      </c>
      <c r="F229" s="284" t="n">
        <v>33.7355</v>
      </c>
      <c r="G229" s="284" t="n">
        <v>20.0153</v>
      </c>
      <c r="H229" s="284" t="n">
        <v>2.2758874069593</v>
      </c>
      <c r="I229" s="284" t="n">
        <v>0</v>
      </c>
      <c r="J229" s="284" t="n">
        <f aca="false">SUM(H229:I229)</f>
        <v>2.2758874069593</v>
      </c>
      <c r="K229" s="0" t="n">
        <f aca="false">F229/$J229*1000</f>
        <v>14823.009212513</v>
      </c>
      <c r="L229" s="0" t="n">
        <f aca="false">G229/$J229*1000</f>
        <v>8794.50360276892</v>
      </c>
      <c r="N229" s="285" t="n">
        <f aca="false">F229*(1+$D$4)^($C229-$D$3)</f>
        <v>46.3116121540844</v>
      </c>
      <c r="O229" s="285" t="n">
        <f aca="false">G229*(1+$D$4)^($C229-$D$3)</f>
        <v>27.4767177231001</v>
      </c>
      <c r="P229" s="285" t="n">
        <f aca="false">H229*(1+$D$4)^($C229-$D$3)</f>
        <v>3.12430569866947</v>
      </c>
      <c r="Q229" s="285" t="n">
        <f aca="false">I229*(1+$D$4)^($C229-$D$3)</f>
        <v>0</v>
      </c>
      <c r="R229" s="285" t="n">
        <f aca="false">SUM(P229:Q229)</f>
        <v>3.12430569866947</v>
      </c>
    </row>
    <row r="230" customFormat="false" ht="12.75" hidden="false" customHeight="false" outlineLevel="0" collapsed="false">
      <c r="C230" s="282" t="n">
        <f aca="false">C218+1</f>
        <v>2016</v>
      </c>
      <c r="D230" s="282" t="n">
        <f aca="false">D218</f>
        <v>6</v>
      </c>
      <c r="E230" s="283" t="n">
        <v>42522</v>
      </c>
      <c r="F230" s="284" t="n">
        <v>32.2779</v>
      </c>
      <c r="G230" s="284" t="n">
        <v>18.8584</v>
      </c>
      <c r="H230" s="284" t="n">
        <v>2.29951073923184</v>
      </c>
      <c r="I230" s="284" t="n">
        <v>0</v>
      </c>
      <c r="J230" s="284" t="n">
        <f aca="false">SUM(H230:I230)</f>
        <v>2.29951073923184</v>
      </c>
      <c r="K230" s="0" t="n">
        <f aca="false">F230/$J230*1000</f>
        <v>14036.8555142224</v>
      </c>
      <c r="L230" s="0" t="n">
        <f aca="false">G230/$J230*1000</f>
        <v>8201.0488919481</v>
      </c>
      <c r="N230" s="285" t="n">
        <f aca="false">F230*(1+$D$4)^($C230-$D$3)</f>
        <v>44.3106397103443</v>
      </c>
      <c r="O230" s="285" t="n">
        <f aca="false">G230*(1+$D$4)^($C230-$D$3)</f>
        <v>25.8885419408808</v>
      </c>
      <c r="P230" s="285" t="n">
        <f aca="false">H230*(1+$D$4)^($C230-$D$3)</f>
        <v>3.15673547151981</v>
      </c>
      <c r="Q230" s="285" t="n">
        <f aca="false">I230*(1+$D$4)^($C230-$D$3)</f>
        <v>0</v>
      </c>
      <c r="R230" s="285" t="n">
        <f aca="false">SUM(P230:Q230)</f>
        <v>3.15673547151981</v>
      </c>
    </row>
    <row r="231" customFormat="false" ht="12.75" hidden="false" customHeight="false" outlineLevel="0" collapsed="false">
      <c r="C231" s="282" t="n">
        <f aca="false">C219+1</f>
        <v>2016</v>
      </c>
      <c r="D231" s="282" t="n">
        <f aca="false">D219</f>
        <v>7</v>
      </c>
      <c r="E231" s="283" t="n">
        <v>42552</v>
      </c>
      <c r="F231" s="284" t="n">
        <v>47.279</v>
      </c>
      <c r="G231" s="284" t="n">
        <v>23.7042</v>
      </c>
      <c r="H231" s="284" t="n">
        <v>2.3584392713842</v>
      </c>
      <c r="I231" s="284" t="n">
        <v>0</v>
      </c>
      <c r="J231" s="284" t="n">
        <f aca="false">SUM(H231:I231)</f>
        <v>2.3584392713842</v>
      </c>
      <c r="K231" s="0" t="n">
        <f aca="false">F231/$J231*1000</f>
        <v>20046.731995033</v>
      </c>
      <c r="L231" s="0" t="n">
        <f aca="false">G231/$J231*1000</f>
        <v>10050.7993941636</v>
      </c>
      <c r="N231" s="285" t="n">
        <f aca="false">F231*(1+$D$4)^($C231-$D$3)</f>
        <v>64.9039353509791</v>
      </c>
      <c r="O231" s="285" t="n">
        <f aca="false">G231*(1+$D$4)^($C231-$D$3)</f>
        <v>32.5407869106089</v>
      </c>
      <c r="P231" s="285" t="n">
        <f aca="false">H231*(1+$D$4)^($C231-$D$3)</f>
        <v>3.23763171808055</v>
      </c>
      <c r="Q231" s="285" t="n">
        <f aca="false">I231*(1+$D$4)^($C231-$D$3)</f>
        <v>0</v>
      </c>
      <c r="R231" s="285" t="n">
        <f aca="false">SUM(P231:Q231)</f>
        <v>3.23763171808055</v>
      </c>
    </row>
    <row r="232" customFormat="false" ht="12.75" hidden="false" customHeight="false" outlineLevel="0" collapsed="false">
      <c r="C232" s="282" t="n">
        <f aca="false">C220+1</f>
        <v>2016</v>
      </c>
      <c r="D232" s="282" t="n">
        <f aca="false">D220</f>
        <v>8</v>
      </c>
      <c r="E232" s="283" t="n">
        <v>42583</v>
      </c>
      <c r="F232" s="284" t="n">
        <v>77.2429</v>
      </c>
      <c r="G232" s="284" t="n">
        <v>26.8404</v>
      </c>
      <c r="H232" s="284" t="n">
        <v>2.44332750933055</v>
      </c>
      <c r="I232" s="284" t="n">
        <v>0</v>
      </c>
      <c r="J232" s="284" t="n">
        <f aca="false">SUM(H232:I232)</f>
        <v>2.44332750933055</v>
      </c>
      <c r="K232" s="0" t="n">
        <f aca="false">F232/$J232*1000</f>
        <v>31613.8134183918</v>
      </c>
      <c r="L232" s="0" t="n">
        <f aca="false">G232/$J232*1000</f>
        <v>10985.1830741078</v>
      </c>
      <c r="N232" s="285" t="n">
        <f aca="false">F232*(1+$D$4)^($C232-$D$3)</f>
        <v>106.037948939744</v>
      </c>
      <c r="O232" s="285" t="n">
        <f aca="false">G232*(1+$D$4)^($C232-$D$3)</f>
        <v>36.8461174389141</v>
      </c>
      <c r="P232" s="285" t="n">
        <f aca="false">H232*(1+$D$4)^($C232-$D$3)</f>
        <v>3.35416507766363</v>
      </c>
      <c r="Q232" s="285" t="n">
        <f aca="false">I232*(1+$D$4)^($C232-$D$3)</f>
        <v>0</v>
      </c>
      <c r="R232" s="285" t="n">
        <f aca="false">SUM(P232:Q232)</f>
        <v>3.35416507766363</v>
      </c>
    </row>
    <row r="233" customFormat="false" ht="12.75" hidden="false" customHeight="false" outlineLevel="0" collapsed="false">
      <c r="C233" s="282" t="n">
        <f aca="false">C221+1</f>
        <v>2016</v>
      </c>
      <c r="D233" s="282" t="n">
        <f aca="false">D221</f>
        <v>9</v>
      </c>
      <c r="E233" s="283" t="n">
        <v>42614</v>
      </c>
      <c r="F233" s="284" t="n">
        <v>51.3953</v>
      </c>
      <c r="G233" s="284" t="n">
        <v>24.3178</v>
      </c>
      <c r="H233" s="284" t="n">
        <v>2.54482995898506</v>
      </c>
      <c r="I233" s="284" t="n">
        <v>0</v>
      </c>
      <c r="J233" s="284" t="n">
        <f aca="false">SUM(H233:I233)</f>
        <v>2.54482995898506</v>
      </c>
      <c r="K233" s="0" t="n">
        <f aca="false">F233/$J233*1000</f>
        <v>20195.9662642834</v>
      </c>
      <c r="L233" s="0" t="n">
        <f aca="false">G233/$J233*1000</f>
        <v>9555.76615802594</v>
      </c>
      <c r="N233" s="285" t="n">
        <f aca="false">F233*(1+$D$4)^($C233-$D$3)</f>
        <v>70.5547331488436</v>
      </c>
      <c r="O233" s="285" t="n">
        <f aca="false">G233*(1+$D$4)^($C233-$D$3)</f>
        <v>33.3831282192525</v>
      </c>
      <c r="P233" s="285" t="n">
        <f aca="false">H233*(1+$D$4)^($C233-$D$3)</f>
        <v>3.49350618958102</v>
      </c>
      <c r="Q233" s="285" t="n">
        <f aca="false">I233*(1+$D$4)^($C233-$D$3)</f>
        <v>0</v>
      </c>
      <c r="R233" s="285" t="n">
        <f aca="false">SUM(P233:Q233)</f>
        <v>3.49350618958102</v>
      </c>
    </row>
    <row r="234" customFormat="false" ht="12.75" hidden="false" customHeight="false" outlineLevel="0" collapsed="false">
      <c r="C234" s="282" t="n">
        <f aca="false">C222+1</f>
        <v>2016</v>
      </c>
      <c r="D234" s="282" t="n">
        <f aca="false">D222</f>
        <v>10</v>
      </c>
      <c r="E234" s="283" t="n">
        <v>42644</v>
      </c>
      <c r="F234" s="284" t="n">
        <v>40.9023</v>
      </c>
      <c r="G234" s="284" t="n">
        <v>21.6248</v>
      </c>
      <c r="H234" s="284" t="n">
        <v>2.65360112626189</v>
      </c>
      <c r="I234" s="284" t="n">
        <v>0</v>
      </c>
      <c r="J234" s="284" t="n">
        <f aca="false">SUM(H234:I234)</f>
        <v>2.65360112626189</v>
      </c>
      <c r="K234" s="0" t="n">
        <f aca="false">F234/$J234*1000</f>
        <v>15413.8840216799</v>
      </c>
      <c r="L234" s="0" t="n">
        <f aca="false">G234/$J234*1000</f>
        <v>8149.22777428223</v>
      </c>
      <c r="N234" s="285" t="n">
        <f aca="false">F234*(1+$D$4)^($C234-$D$3)</f>
        <v>56.1500927453278</v>
      </c>
      <c r="O234" s="285" t="n">
        <f aca="false">G234*(1+$D$4)^($C234-$D$3)</f>
        <v>29.6862163154435</v>
      </c>
      <c r="P234" s="285" t="n">
        <f aca="false">H234*(1+$D$4)^($C234-$D$3)</f>
        <v>3.64282569314467</v>
      </c>
      <c r="Q234" s="285" t="n">
        <f aca="false">I234*(1+$D$4)^($C234-$D$3)</f>
        <v>0</v>
      </c>
      <c r="R234" s="285" t="n">
        <f aca="false">SUM(P234:Q234)</f>
        <v>3.64282569314467</v>
      </c>
    </row>
    <row r="235" customFormat="false" ht="12.75" hidden="false" customHeight="false" outlineLevel="0" collapsed="false">
      <c r="C235" s="282" t="n">
        <f aca="false">C223+1</f>
        <v>2016</v>
      </c>
      <c r="D235" s="282" t="n">
        <f aca="false">D223</f>
        <v>11</v>
      </c>
      <c r="E235" s="283" t="n">
        <v>42675</v>
      </c>
      <c r="F235" s="284" t="n">
        <v>39.128</v>
      </c>
      <c r="G235" s="284" t="n">
        <v>23.2894</v>
      </c>
      <c r="H235" s="284" t="n">
        <v>2.7602955170752</v>
      </c>
      <c r="I235" s="284" t="n">
        <v>0</v>
      </c>
      <c r="J235" s="284" t="n">
        <f aca="false">SUM(H235:I235)</f>
        <v>2.7602955170752</v>
      </c>
      <c r="K235" s="0" t="n">
        <f aca="false">F235/$J235*1000</f>
        <v>14175.2938255901</v>
      </c>
      <c r="L235" s="0" t="n">
        <f aca="false">G235/$J235*1000</f>
        <v>8437.28501384424</v>
      </c>
      <c r="N235" s="285" t="n">
        <f aca="false">F235*(1+$D$4)^($C235-$D$3)</f>
        <v>53.7143590687855</v>
      </c>
      <c r="O235" s="285" t="n">
        <f aca="false">G235*(1+$D$4)^($C235-$D$3)</f>
        <v>31.9713554001373</v>
      </c>
      <c r="P235" s="285" t="n">
        <f aca="false">H235*(1+$D$4)^($C235-$D$3)</f>
        <v>3.78929422766653</v>
      </c>
      <c r="Q235" s="285" t="n">
        <f aca="false">I235*(1+$D$4)^($C235-$D$3)</f>
        <v>0</v>
      </c>
      <c r="R235" s="285" t="n">
        <f aca="false">SUM(P235:Q235)</f>
        <v>3.78929422766653</v>
      </c>
    </row>
    <row r="236" customFormat="false" ht="12.75" hidden="false" customHeight="false" outlineLevel="0" collapsed="false">
      <c r="C236" s="282" t="n">
        <f aca="false">C224+1</f>
        <v>2016</v>
      </c>
      <c r="D236" s="282" t="n">
        <f aca="false">D224</f>
        <v>12</v>
      </c>
      <c r="E236" s="283" t="n">
        <v>42705</v>
      </c>
      <c r="F236" s="284" t="n">
        <v>41.4465</v>
      </c>
      <c r="G236" s="284" t="n">
        <v>24.697</v>
      </c>
      <c r="H236" s="284" t="n">
        <v>2.87302818617778</v>
      </c>
      <c r="I236" s="284" t="n">
        <v>0</v>
      </c>
      <c r="J236" s="284" t="n">
        <f aca="false">SUM(H236:I236)</f>
        <v>2.87302818617778</v>
      </c>
      <c r="K236" s="0" t="n">
        <f aca="false">F236/$J236*1000</f>
        <v>14426.0680070597</v>
      </c>
      <c r="L236" s="0" t="n">
        <f aca="false">G236/$J236*1000</f>
        <v>8596.15652878658</v>
      </c>
      <c r="N236" s="285" t="n">
        <f aca="false">F236*(1+$D$4)^($C236-$D$3)</f>
        <v>56.8971627260381</v>
      </c>
      <c r="O236" s="285" t="n">
        <f aca="false">G236*(1+$D$4)^($C236-$D$3)</f>
        <v>33.9036885586229</v>
      </c>
      <c r="P236" s="285" t="n">
        <f aca="false">H236*(1+$D$4)^($C236-$D$3)</f>
        <v>3.94405202430727</v>
      </c>
      <c r="Q236" s="285" t="n">
        <f aca="false">I236*(1+$D$4)^($C236-$D$3)</f>
        <v>0</v>
      </c>
      <c r="R236" s="285" t="n">
        <f aca="false">SUM(P236:Q236)</f>
        <v>3.94405202430727</v>
      </c>
    </row>
    <row r="237" customFormat="false" ht="12.75" hidden="false" customHeight="false" outlineLevel="0" collapsed="false">
      <c r="C237" s="282" t="n">
        <f aca="false">C225+1</f>
        <v>2017</v>
      </c>
      <c r="D237" s="282" t="n">
        <f aca="false">D225</f>
        <v>1</v>
      </c>
      <c r="E237" s="283" t="n">
        <v>42736</v>
      </c>
      <c r="F237" s="284" t="n">
        <v>41.4065</v>
      </c>
      <c r="G237" s="284" t="n">
        <v>24.1448</v>
      </c>
      <c r="H237" s="284" t="n">
        <v>2.75208898730837</v>
      </c>
      <c r="I237" s="284" t="n">
        <v>0</v>
      </c>
      <c r="J237" s="284" t="n">
        <f aca="false">SUM(H237:I237)</f>
        <v>2.75208898730837</v>
      </c>
      <c r="K237" s="0" t="n">
        <f aca="false">F237/$J237*1000</f>
        <v>15045.4800665791</v>
      </c>
      <c r="L237" s="0" t="n">
        <f aca="false">G237/$J237*1000</f>
        <v>8773.26282374842</v>
      </c>
      <c r="N237" s="285" t="n">
        <f aca="false">F237*(1+$D$4)^($C237-$D$3)</f>
        <v>57.9790963237911</v>
      </c>
      <c r="O237" s="285" t="n">
        <f aca="false">G237*(1+$D$4)^($C237-$D$3)</f>
        <v>33.8085490181173</v>
      </c>
      <c r="P237" s="285" t="n">
        <f aca="false">H237*(1+$D$4)^($C237-$D$3)</f>
        <v>3.85358898933252</v>
      </c>
      <c r="Q237" s="285" t="n">
        <f aca="false">I237*(1+$D$4)^($C237-$D$3)</f>
        <v>0</v>
      </c>
      <c r="R237" s="285" t="n">
        <f aca="false">SUM(P237:Q237)</f>
        <v>3.85358898933252</v>
      </c>
    </row>
    <row r="238" customFormat="false" ht="12.75" hidden="false" customHeight="false" outlineLevel="0" collapsed="false">
      <c r="C238" s="282" t="n">
        <f aca="false">C226+1</f>
        <v>2017</v>
      </c>
      <c r="D238" s="282" t="n">
        <f aca="false">D226</f>
        <v>2</v>
      </c>
      <c r="E238" s="283" t="n">
        <v>42767</v>
      </c>
      <c r="F238" s="284" t="n">
        <v>37.9303</v>
      </c>
      <c r="G238" s="284" t="n">
        <v>21.8401</v>
      </c>
      <c r="H238" s="284" t="n">
        <v>2.53760823235327</v>
      </c>
      <c r="I238" s="284" t="n">
        <v>0</v>
      </c>
      <c r="J238" s="284" t="n">
        <f aca="false">SUM(H238:I238)</f>
        <v>2.53760823235327</v>
      </c>
      <c r="K238" s="0" t="n">
        <f aca="false">F238/$J238*1000</f>
        <v>14947.2639300295</v>
      </c>
      <c r="L238" s="0" t="n">
        <f aca="false">G238/$J238*1000</f>
        <v>8606.5688633688</v>
      </c>
      <c r="N238" s="285" t="n">
        <f aca="false">F238*(1+$D$4)^($C238-$D$3)</f>
        <v>53.1115771023944</v>
      </c>
      <c r="O238" s="285" t="n">
        <f aca="false">G238*(1+$D$4)^($C238-$D$3)</f>
        <v>30.5814126193045</v>
      </c>
      <c r="P238" s="285" t="n">
        <f aca="false">H238*(1+$D$4)^($C238-$D$3)</f>
        <v>3.55326415262473</v>
      </c>
      <c r="Q238" s="285" t="n">
        <f aca="false">I238*(1+$D$4)^($C238-$D$3)</f>
        <v>0</v>
      </c>
      <c r="R238" s="285" t="n">
        <f aca="false">SUM(P238:Q238)</f>
        <v>3.55326415262473</v>
      </c>
    </row>
    <row r="239" customFormat="false" ht="12.75" hidden="false" customHeight="false" outlineLevel="0" collapsed="false">
      <c r="C239" s="282" t="n">
        <f aca="false">C227+1</f>
        <v>2017</v>
      </c>
      <c r="D239" s="282" t="n">
        <f aca="false">D227</f>
        <v>3</v>
      </c>
      <c r="E239" s="283" t="n">
        <v>42795</v>
      </c>
      <c r="F239" s="284" t="n">
        <v>29.6672</v>
      </c>
      <c r="G239" s="284" t="n">
        <v>19.3102</v>
      </c>
      <c r="H239" s="284" t="n">
        <v>2.39773799576131</v>
      </c>
      <c r="I239" s="284" t="n">
        <v>0</v>
      </c>
      <c r="J239" s="284" t="n">
        <f aca="false">SUM(H239:I239)</f>
        <v>2.39773799576131</v>
      </c>
      <c r="K239" s="0" t="n">
        <f aca="false">F239/$J239*1000</f>
        <v>12372.9949028815</v>
      </c>
      <c r="L239" s="0" t="n">
        <f aca="false">G239/$J239*1000</f>
        <v>8053.50711134258</v>
      </c>
      <c r="N239" s="285" t="n">
        <f aca="false">F239*(1+$D$4)^($C239-$D$3)</f>
        <v>41.5412422314655</v>
      </c>
      <c r="O239" s="285" t="n">
        <f aca="false">G239*(1+$D$4)^($C239-$D$3)</f>
        <v>27.0389418528896</v>
      </c>
      <c r="P239" s="285" t="n">
        <f aca="false">H239*(1+$D$4)^($C239-$D$3)</f>
        <v>3.35741205403641</v>
      </c>
      <c r="Q239" s="285" t="n">
        <f aca="false">I239*(1+$D$4)^($C239-$D$3)</f>
        <v>0</v>
      </c>
      <c r="R239" s="285" t="n">
        <f aca="false">SUM(P239:Q239)</f>
        <v>3.35741205403641</v>
      </c>
    </row>
    <row r="240" customFormat="false" ht="12.75" hidden="false" customHeight="false" outlineLevel="0" collapsed="false">
      <c r="C240" s="282" t="n">
        <f aca="false">C228+1</f>
        <v>2017</v>
      </c>
      <c r="D240" s="282" t="n">
        <f aca="false">D228</f>
        <v>4</v>
      </c>
      <c r="E240" s="283" t="n">
        <v>42826</v>
      </c>
      <c r="F240" s="284" t="n">
        <v>29.3264</v>
      </c>
      <c r="G240" s="284" t="n">
        <v>20.0953</v>
      </c>
      <c r="H240" s="284" t="n">
        <v>2.32189841156792</v>
      </c>
      <c r="I240" s="284" t="n">
        <v>0</v>
      </c>
      <c r="J240" s="284" t="n">
        <f aca="false">SUM(H240:I240)</f>
        <v>2.32189841156792</v>
      </c>
      <c r="K240" s="0" t="n">
        <f aca="false">F240/$J240*1000</f>
        <v>12630.3544779966</v>
      </c>
      <c r="L240" s="0" t="n">
        <f aca="false">G240/$J240*1000</f>
        <v>8654.68527816864</v>
      </c>
      <c r="N240" s="285" t="n">
        <f aca="false">F240*(1+$D$4)^($C240-$D$3)</f>
        <v>41.0640399558047</v>
      </c>
      <c r="O240" s="285" t="n">
        <f aca="false">G240*(1+$D$4)^($C240-$D$3)</f>
        <v>28.1382713910975</v>
      </c>
      <c r="P240" s="285" t="n">
        <f aca="false">H240*(1+$D$4)^($C240-$D$3)</f>
        <v>3.2512183270345</v>
      </c>
      <c r="Q240" s="285" t="n">
        <f aca="false">I240*(1+$D$4)^($C240-$D$3)</f>
        <v>0</v>
      </c>
      <c r="R240" s="285" t="n">
        <f aca="false">SUM(P240:Q240)</f>
        <v>3.2512183270345</v>
      </c>
    </row>
    <row r="241" customFormat="false" ht="12.75" hidden="false" customHeight="false" outlineLevel="0" collapsed="false">
      <c r="C241" s="282" t="n">
        <f aca="false">C229+1</f>
        <v>2017</v>
      </c>
      <c r="D241" s="282" t="n">
        <f aca="false">D229</f>
        <v>5</v>
      </c>
      <c r="E241" s="283" t="n">
        <v>42856</v>
      </c>
      <c r="F241" s="284" t="n">
        <v>32.5646</v>
      </c>
      <c r="G241" s="284" t="n">
        <v>19.8955</v>
      </c>
      <c r="H241" s="284" t="n">
        <v>2.30064233433724</v>
      </c>
      <c r="I241" s="284" t="n">
        <v>0</v>
      </c>
      <c r="J241" s="284" t="n">
        <f aca="false">SUM(H241:I241)</f>
        <v>2.30064233433724</v>
      </c>
      <c r="K241" s="0" t="n">
        <f aca="false">F241/$J241*1000</f>
        <v>14154.5687106471</v>
      </c>
      <c r="L241" s="0" t="n">
        <f aca="false">G241/$J241*1000</f>
        <v>8647.80226941768</v>
      </c>
      <c r="N241" s="285" t="n">
        <f aca="false">F241*(1+$D$4)^($C241-$D$3)</f>
        <v>45.5983017194336</v>
      </c>
      <c r="O241" s="285" t="n">
        <f aca="false">G241*(1+$D$4)^($C241-$D$3)</f>
        <v>27.8585031555429</v>
      </c>
      <c r="P241" s="285" t="n">
        <f aca="false">H241*(1+$D$4)^($C241-$D$3)</f>
        <v>3.22145468728655</v>
      </c>
      <c r="Q241" s="285" t="n">
        <f aca="false">I241*(1+$D$4)^($C241-$D$3)</f>
        <v>0</v>
      </c>
      <c r="R241" s="285" t="n">
        <f aca="false">SUM(P241:Q241)</f>
        <v>3.22145468728655</v>
      </c>
    </row>
    <row r="242" customFormat="false" ht="12.75" hidden="false" customHeight="false" outlineLevel="0" collapsed="false">
      <c r="C242" s="282" t="n">
        <f aca="false">C230+1</f>
        <v>2017</v>
      </c>
      <c r="D242" s="282" t="n">
        <f aca="false">D230</f>
        <v>6</v>
      </c>
      <c r="E242" s="283" t="n">
        <v>42887</v>
      </c>
      <c r="F242" s="284" t="n">
        <v>32.023</v>
      </c>
      <c r="G242" s="284" t="n">
        <v>19.1299</v>
      </c>
      <c r="H242" s="284" t="n">
        <v>2.32452261863343</v>
      </c>
      <c r="I242" s="284" t="n">
        <v>0</v>
      </c>
      <c r="J242" s="284" t="n">
        <f aca="false">SUM(H242:I242)</f>
        <v>2.32452261863343</v>
      </c>
      <c r="K242" s="0" t="n">
        <f aca="false">F242/$J242*1000</f>
        <v>13776.1619281752</v>
      </c>
      <c r="L242" s="0" t="n">
        <f aca="false">G242/$J242*1000</f>
        <v>8229.60372450422</v>
      </c>
      <c r="N242" s="285" t="n">
        <f aca="false">F242*(1+$D$4)^($C242-$D$3)</f>
        <v>44.839930966799</v>
      </c>
      <c r="O242" s="285" t="n">
        <f aca="false">G242*(1+$D$4)^($C242-$D$3)</f>
        <v>26.7864783250092</v>
      </c>
      <c r="P242" s="285" t="n">
        <f aca="false">H242*(1+$D$4)^($C242-$D$3)</f>
        <v>3.25489285046017</v>
      </c>
      <c r="Q242" s="285" t="n">
        <f aca="false">I242*(1+$D$4)^($C242-$D$3)</f>
        <v>0</v>
      </c>
      <c r="R242" s="285" t="n">
        <f aca="false">SUM(P242:Q242)</f>
        <v>3.25489285046017</v>
      </c>
    </row>
    <row r="243" customFormat="false" ht="12.75" hidden="false" customHeight="false" outlineLevel="0" collapsed="false">
      <c r="C243" s="282" t="n">
        <f aca="false">C231+1</f>
        <v>2017</v>
      </c>
      <c r="D243" s="282" t="n">
        <f aca="false">D231</f>
        <v>7</v>
      </c>
      <c r="E243" s="283" t="n">
        <v>42917</v>
      </c>
      <c r="F243" s="284" t="n">
        <v>47.7205</v>
      </c>
      <c r="G243" s="284" t="n">
        <v>22.9893</v>
      </c>
      <c r="H243" s="284" t="n">
        <v>2.38409211902063</v>
      </c>
      <c r="I243" s="284" t="n">
        <v>0</v>
      </c>
      <c r="J243" s="284" t="n">
        <f aca="false">SUM(H243:I243)</f>
        <v>2.38409211902063</v>
      </c>
      <c r="K243" s="0" t="n">
        <f aca="false">F243/$J243*1000</f>
        <v>20016.2148179087</v>
      </c>
      <c r="L243" s="0" t="n">
        <f aca="false">G243/$J243*1000</f>
        <v>9642.7901491675</v>
      </c>
      <c r="N243" s="285" t="n">
        <f aca="false">F243*(1+$D$4)^($C243-$D$3)</f>
        <v>66.8202206445721</v>
      </c>
      <c r="O243" s="285" t="n">
        <f aca="false">G243*(1+$D$4)^($C243-$D$3)</f>
        <v>32.1905700582404</v>
      </c>
      <c r="P243" s="285" t="n">
        <f aca="false">H243*(1+$D$4)^($C243-$D$3)</f>
        <v>3.33830453222292</v>
      </c>
      <c r="Q243" s="285" t="n">
        <f aca="false">I243*(1+$D$4)^($C243-$D$3)</f>
        <v>0</v>
      </c>
      <c r="R243" s="285" t="n">
        <f aca="false">SUM(P243:Q243)</f>
        <v>3.33830453222292</v>
      </c>
    </row>
    <row r="244" customFormat="false" ht="12.75" hidden="false" customHeight="false" outlineLevel="0" collapsed="false">
      <c r="C244" s="282" t="n">
        <f aca="false">C232+1</f>
        <v>2017</v>
      </c>
      <c r="D244" s="282" t="n">
        <f aca="false">D232</f>
        <v>8</v>
      </c>
      <c r="E244" s="283" t="n">
        <v>42948</v>
      </c>
      <c r="F244" s="284" t="n">
        <v>66.2263</v>
      </c>
      <c r="G244" s="284" t="n">
        <v>25.9758</v>
      </c>
      <c r="H244" s="284" t="n">
        <v>2.46990369006298</v>
      </c>
      <c r="I244" s="284" t="n">
        <v>0</v>
      </c>
      <c r="J244" s="284" t="n">
        <f aca="false">SUM(H244:I244)</f>
        <v>2.46990369006298</v>
      </c>
      <c r="K244" s="0" t="n">
        <f aca="false">F244/$J244*1000</f>
        <v>26813.3127078778</v>
      </c>
      <c r="L244" s="0" t="n">
        <f aca="false">G244/$J244*1000</f>
        <v>10516.9282934015</v>
      </c>
      <c r="N244" s="285" t="n">
        <f aca="false">F244*(1+$D$4)^($C244-$D$3)</f>
        <v>92.7328082998633</v>
      </c>
      <c r="O244" s="285" t="n">
        <f aca="false">G244*(1+$D$4)^($C244-$D$3)</f>
        <v>36.3723910566586</v>
      </c>
      <c r="P244" s="285" t="n">
        <f aca="false">H244*(1+$D$4)^($C244-$D$3)</f>
        <v>3.45846144824239</v>
      </c>
      <c r="Q244" s="285" t="n">
        <f aca="false">I244*(1+$D$4)^($C244-$D$3)</f>
        <v>0</v>
      </c>
      <c r="R244" s="285" t="n">
        <f aca="false">SUM(P244:Q244)</f>
        <v>3.45846144824239</v>
      </c>
    </row>
    <row r="245" customFormat="false" ht="12.75" hidden="false" customHeight="false" outlineLevel="0" collapsed="false">
      <c r="C245" s="282" t="n">
        <f aca="false">C233+1</f>
        <v>2017</v>
      </c>
      <c r="D245" s="282" t="n">
        <f aca="false">D233</f>
        <v>9</v>
      </c>
      <c r="E245" s="283" t="n">
        <v>42979</v>
      </c>
      <c r="F245" s="284" t="n">
        <v>50.2139</v>
      </c>
      <c r="G245" s="284" t="n">
        <v>23.694</v>
      </c>
      <c r="H245" s="284" t="n">
        <v>2.57251018632463</v>
      </c>
      <c r="I245" s="284" t="n">
        <v>0</v>
      </c>
      <c r="J245" s="284" t="n">
        <f aca="false">SUM(H245:I245)</f>
        <v>2.57251018632463</v>
      </c>
      <c r="K245" s="0" t="n">
        <f aca="false">F245/$J245*1000</f>
        <v>19519.4173639954</v>
      </c>
      <c r="L245" s="0" t="n">
        <f aca="false">G245/$J245*1000</f>
        <v>9210.45915618001</v>
      </c>
      <c r="N245" s="285" t="n">
        <f aca="false">F245*(1+$D$4)^($C245-$D$3)</f>
        <v>70.3115825991865</v>
      </c>
      <c r="O245" s="285" t="n">
        <f aca="false">G245*(1+$D$4)^($C245-$D$3)</f>
        <v>33.1773201863453</v>
      </c>
      <c r="P245" s="285" t="n">
        <f aca="false">H245*(1+$D$4)^($C245-$D$3)</f>
        <v>3.60213531418616</v>
      </c>
      <c r="Q245" s="285" t="n">
        <f aca="false">I245*(1+$D$4)^($C245-$D$3)</f>
        <v>0</v>
      </c>
      <c r="R245" s="285" t="n">
        <f aca="false">SUM(P245:Q245)</f>
        <v>3.60213531418616</v>
      </c>
    </row>
    <row r="246" customFormat="false" ht="12.75" hidden="false" customHeight="false" outlineLevel="0" collapsed="false">
      <c r="C246" s="282" t="n">
        <f aca="false">C234+1</f>
        <v>2017</v>
      </c>
      <c r="D246" s="282" t="n">
        <f aca="false">D234</f>
        <v>10</v>
      </c>
      <c r="E246" s="283" t="n">
        <v>43009</v>
      </c>
      <c r="F246" s="284" t="n">
        <v>40.3503</v>
      </c>
      <c r="G246" s="284" t="n">
        <v>21.7134</v>
      </c>
      <c r="H246" s="284" t="n">
        <v>2.68246446236972</v>
      </c>
      <c r="I246" s="284" t="n">
        <v>0</v>
      </c>
      <c r="J246" s="284" t="n">
        <f aca="false">SUM(H246:I246)</f>
        <v>2.68246446236972</v>
      </c>
      <c r="K246" s="0" t="n">
        <f aca="false">F246/$J246*1000</f>
        <v>15042.2496051836</v>
      </c>
      <c r="L246" s="0" t="n">
        <f aca="false">G246/$J246*1000</f>
        <v>8094.5713557816</v>
      </c>
      <c r="N246" s="285" t="n">
        <f aca="false">F246*(1+$D$4)^($C246-$D$3)</f>
        <v>56.5001613368401</v>
      </c>
      <c r="O246" s="285" t="n">
        <f aca="false">G246*(1+$D$4)^($C246-$D$3)</f>
        <v>30.4040020314928</v>
      </c>
      <c r="P246" s="285" t="n">
        <f aca="false">H246*(1+$D$4)^($C246-$D$3)</f>
        <v>3.75609784572182</v>
      </c>
      <c r="Q246" s="285" t="n">
        <f aca="false">I246*(1+$D$4)^($C246-$D$3)</f>
        <v>0</v>
      </c>
      <c r="R246" s="285" t="n">
        <f aca="false">SUM(P246:Q246)</f>
        <v>3.75609784572182</v>
      </c>
    </row>
    <row r="247" customFormat="false" ht="12.75" hidden="false" customHeight="false" outlineLevel="0" collapsed="false">
      <c r="C247" s="282" t="n">
        <f aca="false">C235+1</f>
        <v>2017</v>
      </c>
      <c r="D247" s="282" t="n">
        <f aca="false">D235</f>
        <v>11</v>
      </c>
      <c r="E247" s="283" t="n">
        <v>43040</v>
      </c>
      <c r="F247" s="284" t="n">
        <v>41.8985</v>
      </c>
      <c r="G247" s="284" t="n">
        <v>23.857</v>
      </c>
      <c r="H247" s="284" t="n">
        <v>2.79031937276239</v>
      </c>
      <c r="I247" s="284" t="n">
        <v>0</v>
      </c>
      <c r="J247" s="284" t="n">
        <f aca="false">SUM(H247:I247)</f>
        <v>2.79031937276239</v>
      </c>
      <c r="K247" s="0" t="n">
        <f aca="false">F247/$J247*1000</f>
        <v>15015.6646615405</v>
      </c>
      <c r="L247" s="0" t="n">
        <f aca="false">G247/$J247*1000</f>
        <v>8549.91734382784</v>
      </c>
      <c r="N247" s="285" t="n">
        <f aca="false">F247*(1+$D$4)^($C247-$D$3)</f>
        <v>58.6680151020338</v>
      </c>
      <c r="O247" s="285" t="n">
        <f aca="false">G247*(1+$D$4)^($C247-$D$3)</f>
        <v>33.4055595376737</v>
      </c>
      <c r="P247" s="285" t="n">
        <f aca="false">H247*(1+$D$4)^($C247-$D$3)</f>
        <v>3.90712075851693</v>
      </c>
      <c r="Q247" s="285" t="n">
        <f aca="false">I247*(1+$D$4)^($C247-$D$3)</f>
        <v>0</v>
      </c>
      <c r="R247" s="285" t="n">
        <f aca="false">SUM(P247:Q247)</f>
        <v>3.90712075851693</v>
      </c>
    </row>
    <row r="248" customFormat="false" ht="12.75" hidden="false" customHeight="false" outlineLevel="0" collapsed="false">
      <c r="C248" s="282" t="n">
        <f aca="false">C236+1</f>
        <v>2017</v>
      </c>
      <c r="D248" s="282" t="n">
        <f aca="false">D236</f>
        <v>12</v>
      </c>
      <c r="E248" s="283" t="n">
        <v>43070</v>
      </c>
      <c r="F248" s="284" t="n">
        <v>41.3803</v>
      </c>
      <c r="G248" s="284" t="n">
        <v>25.3241</v>
      </c>
      <c r="H248" s="284" t="n">
        <v>2.90427824006275</v>
      </c>
      <c r="I248" s="284" t="n">
        <v>0</v>
      </c>
      <c r="J248" s="284" t="n">
        <f aca="false">SUM(H248:I248)</f>
        <v>2.90427824006275</v>
      </c>
      <c r="K248" s="0" t="n">
        <f aca="false">F248/$J248*1000</f>
        <v>14248.0494565513</v>
      </c>
      <c r="L248" s="0" t="n">
        <f aca="false">G248/$J248*1000</f>
        <v>8719.58466329756</v>
      </c>
      <c r="N248" s="285" t="n">
        <f aca="false">F248*(1+$D$4)^($C248-$D$3)</f>
        <v>57.9424099986083</v>
      </c>
      <c r="O248" s="285" t="n">
        <f aca="false">G248*(1+$D$4)^($C248-$D$3)</f>
        <v>35.4598537237709</v>
      </c>
      <c r="P248" s="285" t="n">
        <f aca="false">H248*(1+$D$4)^($C248-$D$3)</f>
        <v>4.06669068459515</v>
      </c>
      <c r="Q248" s="285" t="n">
        <f aca="false">I248*(1+$D$4)^($C248-$D$3)</f>
        <v>0</v>
      </c>
      <c r="R248" s="285" t="n">
        <f aca="false">SUM(P248:Q248)</f>
        <v>4.06669068459515</v>
      </c>
    </row>
    <row r="249" customFormat="false" ht="12.75" hidden="false" customHeight="false" outlineLevel="0" collapsed="false">
      <c r="C249" s="282" t="n">
        <f aca="false">C237+1</f>
        <v>2018</v>
      </c>
      <c r="D249" s="282" t="n">
        <f aca="false">D237</f>
        <v>1</v>
      </c>
      <c r="E249" s="283" t="n">
        <v>43101</v>
      </c>
      <c r="F249" s="284" t="n">
        <v>42.0548</v>
      </c>
      <c r="G249" s="284" t="n">
        <v>23.8353</v>
      </c>
      <c r="H249" s="284" t="n">
        <v>2.7773197392625</v>
      </c>
      <c r="I249" s="284" t="n">
        <v>0</v>
      </c>
      <c r="J249" s="284" t="n">
        <f aca="false">SUM(H249:I249)</f>
        <v>2.7773197392625</v>
      </c>
      <c r="K249" s="0" t="n">
        <f aca="false">F249/$J249*1000</f>
        <v>15142.2248599894</v>
      </c>
      <c r="L249" s="0" t="n">
        <f aca="false">G249/$J249*1000</f>
        <v>8582.12313945867</v>
      </c>
      <c r="N249" s="285" t="n">
        <f aca="false">F249*(1+$D$4)^($C249-$D$3)</f>
        <v>60.0646102925707</v>
      </c>
      <c r="O249" s="285" t="n">
        <f aca="false">G249*(1+$D$4)^($C249-$D$3)</f>
        <v>34.0426777848547</v>
      </c>
      <c r="P249" s="285" t="n">
        <f aca="false">H249*(1+$D$4)^($C249-$D$3)</f>
        <v>3.96669649592118</v>
      </c>
      <c r="Q249" s="285" t="n">
        <f aca="false">I249*(1+$D$4)^($C249-$D$3)</f>
        <v>0</v>
      </c>
      <c r="R249" s="285" t="n">
        <f aca="false">SUM(P249:Q249)</f>
        <v>3.96669649592118</v>
      </c>
    </row>
    <row r="250" customFormat="false" ht="12.75" hidden="false" customHeight="false" outlineLevel="0" collapsed="false">
      <c r="C250" s="282" t="n">
        <f aca="false">C238+1</f>
        <v>2018</v>
      </c>
      <c r="D250" s="282" t="n">
        <f aca="false">D238</f>
        <v>2</v>
      </c>
      <c r="E250" s="283" t="n">
        <v>43132</v>
      </c>
      <c r="F250" s="284" t="n">
        <v>36.5593</v>
      </c>
      <c r="G250" s="284" t="n">
        <v>20.3402</v>
      </c>
      <c r="H250" s="284" t="n">
        <v>2.56087265591026</v>
      </c>
      <c r="I250" s="284" t="n">
        <v>0</v>
      </c>
      <c r="J250" s="284" t="n">
        <f aca="false">SUM(H250:I250)</f>
        <v>2.56087265591026</v>
      </c>
      <c r="K250" s="0" t="n">
        <f aca="false">F250/$J250*1000</f>
        <v>14276.1101047428</v>
      </c>
      <c r="L250" s="0" t="n">
        <f aca="false">G250/$J250*1000</f>
        <v>7942.68311353035</v>
      </c>
      <c r="N250" s="285" t="n">
        <f aca="false">F250*(1+$D$4)^($C250-$D$3)</f>
        <v>52.2156830390153</v>
      </c>
      <c r="O250" s="285" t="n">
        <f aca="false">G250*(1+$D$4)^($C250-$D$3)</f>
        <v>29.0508143249509</v>
      </c>
      <c r="P250" s="285" t="n">
        <f aca="false">H250*(1+$D$4)^($C250-$D$3)</f>
        <v>3.65755676132451</v>
      </c>
      <c r="Q250" s="285" t="n">
        <f aca="false">I250*(1+$D$4)^($C250-$D$3)</f>
        <v>0</v>
      </c>
      <c r="R250" s="285" t="n">
        <f aca="false">SUM(P250:Q250)</f>
        <v>3.65755676132451</v>
      </c>
    </row>
    <row r="251" customFormat="false" ht="12.75" hidden="false" customHeight="false" outlineLevel="0" collapsed="false">
      <c r="C251" s="282" t="n">
        <f aca="false">C239+1</f>
        <v>2018</v>
      </c>
      <c r="D251" s="282" t="n">
        <f aca="false">D239</f>
        <v>3</v>
      </c>
      <c r="E251" s="283" t="n">
        <v>43160</v>
      </c>
      <c r="F251" s="284" t="n">
        <v>30.1251</v>
      </c>
      <c r="G251" s="284" t="n">
        <v>19.8441</v>
      </c>
      <c r="H251" s="284" t="n">
        <v>2.41972010931251</v>
      </c>
      <c r="I251" s="284" t="n">
        <v>0</v>
      </c>
      <c r="J251" s="284" t="n">
        <f aca="false">SUM(H251:I251)</f>
        <v>2.41972010931251</v>
      </c>
      <c r="K251" s="0" t="n">
        <f aca="false">F251/$J251*1000</f>
        <v>12449.8283433943</v>
      </c>
      <c r="L251" s="0" t="n">
        <f aca="false">G251/$J251*1000</f>
        <v>8200.98982672755</v>
      </c>
      <c r="N251" s="285" t="n">
        <f aca="false">F251*(1+$D$4)^($C251-$D$3)</f>
        <v>43.02606103286</v>
      </c>
      <c r="O251" s="285" t="n">
        <f aca="false">G251*(1+$D$4)^($C251-$D$3)</f>
        <v>28.3422613615283</v>
      </c>
      <c r="P251" s="285" t="n">
        <f aca="false">H251*(1+$D$4)^($C251-$D$3)</f>
        <v>3.45595616631045</v>
      </c>
      <c r="Q251" s="285" t="n">
        <f aca="false">I251*(1+$D$4)^($C251-$D$3)</f>
        <v>0</v>
      </c>
      <c r="R251" s="285" t="n">
        <f aca="false">SUM(P251:Q251)</f>
        <v>3.45595616631045</v>
      </c>
    </row>
    <row r="252" customFormat="false" ht="12.75" hidden="false" customHeight="false" outlineLevel="0" collapsed="false">
      <c r="C252" s="282" t="n">
        <f aca="false">C240+1</f>
        <v>2018</v>
      </c>
      <c r="D252" s="282" t="n">
        <f aca="false">D240</f>
        <v>4</v>
      </c>
      <c r="E252" s="283" t="n">
        <v>43191</v>
      </c>
      <c r="F252" s="284" t="n">
        <v>28.6552</v>
      </c>
      <c r="G252" s="284" t="n">
        <v>19.925</v>
      </c>
      <c r="H252" s="284" t="n">
        <v>2.34318523883081</v>
      </c>
      <c r="I252" s="284" t="n">
        <v>0</v>
      </c>
      <c r="J252" s="284" t="n">
        <f aca="false">SUM(H252:I252)</f>
        <v>2.34318523883081</v>
      </c>
      <c r="K252" s="0" t="n">
        <f aca="false">F252/$J252*1000</f>
        <v>12229.1654646554</v>
      </c>
      <c r="L252" s="0" t="n">
        <f aca="false">G252/$J252*1000</f>
        <v>8503.38234886716</v>
      </c>
      <c r="N252" s="285" t="n">
        <f aca="false">F252*(1+$D$4)^($C252-$D$3)</f>
        <v>40.9266818735476</v>
      </c>
      <c r="O252" s="285" t="n">
        <f aca="false">G252*(1+$D$4)^($C252-$D$3)</f>
        <v>28.4578064829573</v>
      </c>
      <c r="P252" s="285" t="n">
        <f aca="false">H252*(1+$D$4)^($C252-$D$3)</f>
        <v>3.34664552473622</v>
      </c>
      <c r="Q252" s="285" t="n">
        <f aca="false">I252*(1+$D$4)^($C252-$D$3)</f>
        <v>0</v>
      </c>
      <c r="R252" s="285" t="n">
        <f aca="false">SUM(P252:Q252)</f>
        <v>3.34664552473622</v>
      </c>
    </row>
    <row r="253" customFormat="false" ht="12.75" hidden="false" customHeight="false" outlineLevel="0" collapsed="false">
      <c r="C253" s="282" t="n">
        <f aca="false">C241+1</f>
        <v>2018</v>
      </c>
      <c r="D253" s="282" t="n">
        <f aca="false">D241</f>
        <v>5</v>
      </c>
      <c r="E253" s="283" t="n">
        <v>43221</v>
      </c>
      <c r="F253" s="284" t="n">
        <v>32.4527</v>
      </c>
      <c r="G253" s="284" t="n">
        <v>20.0609</v>
      </c>
      <c r="H253" s="284" t="n">
        <v>2.32173428897262</v>
      </c>
      <c r="I253" s="284" t="n">
        <v>0</v>
      </c>
      <c r="J253" s="284" t="n">
        <f aca="false">SUM(H253:I253)</f>
        <v>2.32173428897262</v>
      </c>
      <c r="K253" s="0" t="n">
        <f aca="false">F253/$J253*1000</f>
        <v>13977.7838291567</v>
      </c>
      <c r="L253" s="0" t="n">
        <f aca="false">G253/$J253*1000</f>
        <v>8640.48056458566</v>
      </c>
      <c r="N253" s="285" t="n">
        <f aca="false">F253*(1+$D$4)^($C253-$D$3)</f>
        <v>46.3504469987185</v>
      </c>
      <c r="O253" s="285" t="n">
        <f aca="false">G253*(1+$D$4)^($C253-$D$3)</f>
        <v>28.6519051480029</v>
      </c>
      <c r="P253" s="285" t="n">
        <f aca="false">H253*(1+$D$4)^($C253-$D$3)</f>
        <v>3.31600828609431</v>
      </c>
      <c r="Q253" s="285" t="n">
        <f aca="false">I253*(1+$D$4)^($C253-$D$3)</f>
        <v>0</v>
      </c>
      <c r="R253" s="285" t="n">
        <f aca="false">SUM(P253:Q253)</f>
        <v>3.31600828609431</v>
      </c>
    </row>
    <row r="254" customFormat="false" ht="12.75" hidden="false" customHeight="false" outlineLevel="0" collapsed="false">
      <c r="C254" s="282" t="n">
        <f aca="false">C242+1</f>
        <v>2018</v>
      </c>
      <c r="D254" s="282" t="n">
        <f aca="false">D242</f>
        <v>6</v>
      </c>
      <c r="E254" s="283" t="n">
        <v>43252</v>
      </c>
      <c r="F254" s="284" t="n">
        <v>31.4734</v>
      </c>
      <c r="G254" s="284" t="n">
        <v>19.0984</v>
      </c>
      <c r="H254" s="284" t="n">
        <v>2.3458335042454</v>
      </c>
      <c r="I254" s="284" t="n">
        <v>0</v>
      </c>
      <c r="J254" s="284" t="n">
        <f aca="false">SUM(H254:I254)</f>
        <v>2.3458335042454</v>
      </c>
      <c r="K254" s="0" t="n">
        <f aca="false">F254/$J254*1000</f>
        <v>13416.7237116533</v>
      </c>
      <c r="L254" s="0" t="n">
        <f aca="false">G254/$J254*1000</f>
        <v>8141.41326118687</v>
      </c>
      <c r="N254" s="285" t="n">
        <f aca="false">F254*(1+$D$4)^($C254-$D$3)</f>
        <v>44.9517654484671</v>
      </c>
      <c r="O254" s="285" t="n">
        <f aca="false">G254*(1+$D$4)^($C254-$D$3)</f>
        <v>27.2772181347107</v>
      </c>
      <c r="P254" s="285" t="n">
        <f aca="false">H254*(1+$D$4)^($C254-$D$3)</f>
        <v>3.3504278998772</v>
      </c>
      <c r="Q254" s="285" t="n">
        <f aca="false">I254*(1+$D$4)^($C254-$D$3)</f>
        <v>0</v>
      </c>
      <c r="R254" s="285" t="n">
        <f aca="false">SUM(P254:Q254)</f>
        <v>3.3504278998772</v>
      </c>
    </row>
    <row r="255" customFormat="false" ht="12.75" hidden="false" customHeight="false" outlineLevel="0" collapsed="false">
      <c r="C255" s="282" t="n">
        <f aca="false">C243+1</f>
        <v>2018</v>
      </c>
      <c r="D255" s="282" t="n">
        <f aca="false">D243</f>
        <v>7</v>
      </c>
      <c r="E255" s="283" t="n">
        <v>43282</v>
      </c>
      <c r="F255" s="284" t="n">
        <v>47.9213</v>
      </c>
      <c r="G255" s="284" t="n">
        <v>23.5246</v>
      </c>
      <c r="H255" s="284" t="n">
        <v>2.40594912915664</v>
      </c>
      <c r="I255" s="284" t="n">
        <v>0</v>
      </c>
      <c r="J255" s="284" t="n">
        <f aca="false">SUM(H255:I255)</f>
        <v>2.40594912915664</v>
      </c>
      <c r="K255" s="0" t="n">
        <f aca="false">F255/$J255*1000</f>
        <v>19917.835925649</v>
      </c>
      <c r="L255" s="0" t="n">
        <f aca="false">G255/$J255*1000</f>
        <v>9777.67971688002</v>
      </c>
      <c r="N255" s="285" t="n">
        <f aca="false">F255*(1+$D$4)^($C255-$D$3)</f>
        <v>68.4434169039769</v>
      </c>
      <c r="O255" s="285" t="n">
        <f aca="false">G255*(1+$D$4)^($C255-$D$3)</f>
        <v>33.5989216757328</v>
      </c>
      <c r="P255" s="285" t="n">
        <f aca="false">H255*(1+$D$4)^($C255-$D$3)</f>
        <v>3.43628781557737</v>
      </c>
      <c r="Q255" s="285" t="n">
        <f aca="false">I255*(1+$D$4)^($C255-$D$3)</f>
        <v>0</v>
      </c>
      <c r="R255" s="285" t="n">
        <f aca="false">SUM(P255:Q255)</f>
        <v>3.43628781557737</v>
      </c>
    </row>
    <row r="256" customFormat="false" ht="12.75" hidden="false" customHeight="false" outlineLevel="0" collapsed="false">
      <c r="C256" s="282" t="n">
        <f aca="false">C244+1</f>
        <v>2018</v>
      </c>
      <c r="D256" s="282" t="n">
        <f aca="false">D244</f>
        <v>8</v>
      </c>
      <c r="E256" s="283" t="n">
        <v>43313</v>
      </c>
      <c r="F256" s="284" t="n">
        <v>62.6972</v>
      </c>
      <c r="G256" s="284" t="n">
        <v>26.3658</v>
      </c>
      <c r="H256" s="284" t="n">
        <v>2.49254740821379</v>
      </c>
      <c r="I256" s="284" t="n">
        <v>0</v>
      </c>
      <c r="J256" s="284" t="n">
        <f aca="false">SUM(H256:I256)</f>
        <v>2.49254740821379</v>
      </c>
      <c r="K256" s="0" t="n">
        <f aca="false">F256/$J256*1000</f>
        <v>25153.8645938655</v>
      </c>
      <c r="L256" s="0" t="n">
        <f aca="false">G256/$J256*1000</f>
        <v>10577.8529680582</v>
      </c>
      <c r="N256" s="285" t="n">
        <f aca="false">F256*(1+$D$4)^($C256-$D$3)</f>
        <v>89.5470406335391</v>
      </c>
      <c r="O256" s="285" t="n">
        <f aca="false">G256*(1+$D$4)^($C256-$D$3)</f>
        <v>37.6568549143465</v>
      </c>
      <c r="P256" s="285" t="n">
        <f aca="false">H256*(1+$D$4)^($C256-$D$3)</f>
        <v>3.55997148268731</v>
      </c>
      <c r="Q256" s="285" t="n">
        <f aca="false">I256*(1+$D$4)^($C256-$D$3)</f>
        <v>0</v>
      </c>
      <c r="R256" s="285" t="n">
        <f aca="false">SUM(P256:Q256)</f>
        <v>3.55997148268731</v>
      </c>
    </row>
    <row r="257" customFormat="false" ht="12.75" hidden="false" customHeight="false" outlineLevel="0" collapsed="false">
      <c r="C257" s="282" t="n">
        <f aca="false">C245+1</f>
        <v>2018</v>
      </c>
      <c r="D257" s="282" t="n">
        <f aca="false">D245</f>
        <v>9</v>
      </c>
      <c r="E257" s="283" t="n">
        <v>43344</v>
      </c>
      <c r="F257" s="284" t="n">
        <v>49.4394</v>
      </c>
      <c r="G257" s="284" t="n">
        <v>23.8728</v>
      </c>
      <c r="H257" s="284" t="n">
        <v>2.59609458592433</v>
      </c>
      <c r="I257" s="284" t="n">
        <v>0</v>
      </c>
      <c r="J257" s="284" t="n">
        <f aca="false">SUM(H257:I257)</f>
        <v>2.59609458592433</v>
      </c>
      <c r="K257" s="0" t="n">
        <f aca="false">F257/$J257*1000</f>
        <v>19043.7591403848</v>
      </c>
      <c r="L257" s="0" t="n">
        <f aca="false">G257/$J257*1000</f>
        <v>9195.65879049057</v>
      </c>
      <c r="N257" s="285" t="n">
        <f aca="false">F257*(1+$D$4)^($C257-$D$3)</f>
        <v>70.6116375324224</v>
      </c>
      <c r="O257" s="285" t="n">
        <f aca="false">G257*(1+$D$4)^($C257-$D$3)</f>
        <v>34.0962370191389</v>
      </c>
      <c r="P257" s="285" t="n">
        <f aca="false">H257*(1+$D$4)^($C257-$D$3)</f>
        <v>3.7078623506995</v>
      </c>
      <c r="Q257" s="285" t="n">
        <f aca="false">I257*(1+$D$4)^($C257-$D$3)</f>
        <v>0</v>
      </c>
      <c r="R257" s="285" t="n">
        <f aca="false">SUM(P257:Q257)</f>
        <v>3.7078623506995</v>
      </c>
    </row>
    <row r="258" customFormat="false" ht="12.75" hidden="false" customHeight="false" outlineLevel="0" collapsed="false">
      <c r="C258" s="282" t="n">
        <f aca="false">C246+1</f>
        <v>2018</v>
      </c>
      <c r="D258" s="282" t="n">
        <f aca="false">D246</f>
        <v>10</v>
      </c>
      <c r="E258" s="283" t="n">
        <v>43374</v>
      </c>
      <c r="F258" s="284" t="n">
        <v>40.2458</v>
      </c>
      <c r="G258" s="284" t="n">
        <v>22.6638</v>
      </c>
      <c r="H258" s="284" t="n">
        <v>2.70705690679572</v>
      </c>
      <c r="I258" s="284" t="n">
        <v>0</v>
      </c>
      <c r="J258" s="284" t="n">
        <f aca="false">SUM(H258:I258)</f>
        <v>2.70705690679572</v>
      </c>
      <c r="K258" s="0" t="n">
        <f aca="false">F258/$J258*1000</f>
        <v>14866.994446614</v>
      </c>
      <c r="L258" s="0" t="n">
        <f aca="false">G258/$J258*1000</f>
        <v>8372.11805304329</v>
      </c>
      <c r="N258" s="285" t="n">
        <f aca="false">F258*(1+$D$4)^($C258-$D$3)</f>
        <v>57.4809128307052</v>
      </c>
      <c r="O258" s="285" t="n">
        <f aca="false">G258*(1+$D$4)^($C258-$D$3)</f>
        <v>32.3694873058191</v>
      </c>
      <c r="P258" s="285" t="n">
        <f aca="false">H258*(1+$D$4)^($C258-$D$3)</f>
        <v>3.86634386910643</v>
      </c>
      <c r="Q258" s="285" t="n">
        <f aca="false">I258*(1+$D$4)^($C258-$D$3)</f>
        <v>0</v>
      </c>
      <c r="R258" s="285" t="n">
        <f aca="false">SUM(P258:Q258)</f>
        <v>3.86634386910643</v>
      </c>
    </row>
    <row r="259" customFormat="false" ht="12.75" hidden="false" customHeight="false" outlineLevel="0" collapsed="false">
      <c r="C259" s="282" t="n">
        <f aca="false">C247+1</f>
        <v>2018</v>
      </c>
      <c r="D259" s="282" t="n">
        <f aca="false">D247</f>
        <v>11</v>
      </c>
      <c r="E259" s="283" t="n">
        <v>43405</v>
      </c>
      <c r="F259" s="284" t="n">
        <v>40.851</v>
      </c>
      <c r="G259" s="284" t="n">
        <v>24.6099</v>
      </c>
      <c r="H259" s="284" t="n">
        <v>2.81590061533544</v>
      </c>
      <c r="I259" s="284" t="n">
        <v>0</v>
      </c>
      <c r="J259" s="284" t="n">
        <f aca="false">SUM(H259:I259)</f>
        <v>2.81590061533544</v>
      </c>
      <c r="K259" s="0" t="n">
        <f aca="false">F259/$J259*1000</f>
        <v>14507.259161607</v>
      </c>
      <c r="L259" s="0" t="n">
        <f aca="false">G259/$J259*1000</f>
        <v>8739.61952562319</v>
      </c>
      <c r="N259" s="285" t="n">
        <f aca="false">F259*(1+$D$4)^($C259-$D$3)</f>
        <v>58.3452874597383</v>
      </c>
      <c r="O259" s="285" t="n">
        <f aca="false">G259*(1+$D$4)^($C259-$D$3)</f>
        <v>35.1489973282273</v>
      </c>
      <c r="P259" s="285" t="n">
        <f aca="false">H259*(1+$D$4)^($C259-$D$3)</f>
        <v>4.02179948740057</v>
      </c>
      <c r="Q259" s="285" t="n">
        <f aca="false">I259*(1+$D$4)^($C259-$D$3)</f>
        <v>0</v>
      </c>
      <c r="R259" s="285" t="n">
        <f aca="false">SUM(P259:Q259)</f>
        <v>4.02179948740057</v>
      </c>
    </row>
    <row r="260" customFormat="false" ht="12.75" hidden="false" customHeight="false" outlineLevel="0" collapsed="false">
      <c r="C260" s="282" t="n">
        <f aca="false">C248+1</f>
        <v>2018</v>
      </c>
      <c r="D260" s="282" t="n">
        <f aca="false">D248</f>
        <v>12</v>
      </c>
      <c r="E260" s="283" t="n">
        <v>43435</v>
      </c>
      <c r="F260" s="284" t="n">
        <v>40.8337</v>
      </c>
      <c r="G260" s="284" t="n">
        <v>25.1786</v>
      </c>
      <c r="H260" s="284" t="n">
        <v>2.93090424097287</v>
      </c>
      <c r="I260" s="284" t="n">
        <v>0</v>
      </c>
      <c r="J260" s="284" t="n">
        <f aca="false">SUM(H260:I260)</f>
        <v>2.93090424097287</v>
      </c>
      <c r="K260" s="0" t="n">
        <f aca="false">F260/$J260*1000</f>
        <v>13932.1167266952</v>
      </c>
      <c r="L260" s="0" t="n">
        <f aca="false">G260/$J260*1000</f>
        <v>8590.72761505247</v>
      </c>
      <c r="N260" s="285" t="n">
        <f aca="false">F260*(1+$D$4)^($C260-$D$3)</f>
        <v>58.3205787996553</v>
      </c>
      <c r="O260" s="285" t="n">
        <f aca="false">G260*(1+$D$4)^($C260-$D$3)</f>
        <v>35.961240969224</v>
      </c>
      <c r="P260" s="285" t="n">
        <f aca="false">H260*(1+$D$4)^($C260-$D$3)</f>
        <v>4.18605298417488</v>
      </c>
      <c r="Q260" s="285" t="n">
        <f aca="false">I260*(1+$D$4)^($C260-$D$3)</f>
        <v>0</v>
      </c>
      <c r="R260" s="285" t="n">
        <f aca="false">SUM(P260:Q260)</f>
        <v>4.18605298417488</v>
      </c>
    </row>
    <row r="261" customFormat="false" ht="12.75" hidden="false" customHeight="false" outlineLevel="0" collapsed="false">
      <c r="C261" s="282" t="n">
        <f aca="false">C249+1</f>
        <v>2019</v>
      </c>
      <c r="D261" s="282" t="n">
        <f aca="false">D249</f>
        <v>1</v>
      </c>
      <c r="E261" s="283" t="n">
        <v>43466</v>
      </c>
      <c r="F261" s="284" t="n">
        <v>43.2549</v>
      </c>
      <c r="G261" s="284" t="n">
        <v>23.9202</v>
      </c>
      <c r="H261" s="284" t="n">
        <v>2.79065993916987</v>
      </c>
      <c r="I261" s="284" t="n">
        <v>0</v>
      </c>
      <c r="J261" s="284" t="n">
        <f aca="false">SUM(H261:I261)</f>
        <v>2.79065993916987</v>
      </c>
      <c r="K261" s="0" t="n">
        <f aca="false">F261/$J261*1000</f>
        <v>15499.8820862663</v>
      </c>
      <c r="L261" s="0" t="n">
        <f aca="false">G261/$J261*1000</f>
        <v>8571.52090236961</v>
      </c>
      <c r="N261" s="285" t="n">
        <f aca="false">F261*(1+$D$4)^($C261-$D$3)</f>
        <v>63.0142215865727</v>
      </c>
      <c r="O261" s="285" t="n">
        <f aca="false">G261*(1+$D$4)^($C261-$D$3)</f>
        <v>34.8472146090995</v>
      </c>
      <c r="P261" s="285" t="n">
        <f aca="false">H261*(1+$D$4)^($C261-$D$3)</f>
        <v>4.06546457810841</v>
      </c>
      <c r="Q261" s="285" t="n">
        <f aca="false">I261*(1+$D$4)^($C261-$D$3)</f>
        <v>0</v>
      </c>
      <c r="R261" s="285" t="n">
        <f aca="false">SUM(P261:Q261)</f>
        <v>4.06546457810841</v>
      </c>
    </row>
    <row r="262" customFormat="false" ht="12.75" hidden="false" customHeight="false" outlineLevel="0" collapsed="false">
      <c r="C262" s="282" t="n">
        <f aca="false">C250+1</f>
        <v>2019</v>
      </c>
      <c r="D262" s="282" t="n">
        <f aca="false">D250</f>
        <v>2</v>
      </c>
      <c r="E262" s="283" t="n">
        <v>43497</v>
      </c>
      <c r="F262" s="284" t="n">
        <v>37.0849</v>
      </c>
      <c r="G262" s="284" t="n">
        <v>20.5025</v>
      </c>
      <c r="H262" s="284" t="n">
        <v>2.57317320333524</v>
      </c>
      <c r="I262" s="284" t="n">
        <v>0</v>
      </c>
      <c r="J262" s="284" t="n">
        <f aca="false">SUM(H262:I262)</f>
        <v>2.57317320333524</v>
      </c>
      <c r="K262" s="0" t="n">
        <f aca="false">F262/$J262*1000</f>
        <v>14412.1273888334</v>
      </c>
      <c r="L262" s="0" t="n">
        <f aca="false">G262/$J262*1000</f>
        <v>7967.78855516818</v>
      </c>
      <c r="N262" s="285" t="n">
        <f aca="false">F262*(1+$D$4)^($C262-$D$3)</f>
        <v>54.0256966520762</v>
      </c>
      <c r="O262" s="285" t="n">
        <f aca="false">G262*(1+$D$4)^($C262-$D$3)</f>
        <v>29.8682710647512</v>
      </c>
      <c r="P262" s="285" t="n">
        <f aca="false">H262*(1+$D$4)^($C262-$D$3)</f>
        <v>3.74862747146793</v>
      </c>
      <c r="Q262" s="285" t="n">
        <f aca="false">I262*(1+$D$4)^($C262-$D$3)</f>
        <v>0</v>
      </c>
      <c r="R262" s="285" t="n">
        <f aca="false">SUM(P262:Q262)</f>
        <v>3.74862747146793</v>
      </c>
    </row>
    <row r="263" customFormat="false" ht="12.75" hidden="false" customHeight="false" outlineLevel="0" collapsed="false">
      <c r="C263" s="282" t="n">
        <f aca="false">C251+1</f>
        <v>2019</v>
      </c>
      <c r="D263" s="282" t="n">
        <f aca="false">D251</f>
        <v>3</v>
      </c>
      <c r="E263" s="283" t="n">
        <v>43525</v>
      </c>
      <c r="F263" s="284" t="n">
        <v>30.0265</v>
      </c>
      <c r="G263" s="284" t="n">
        <v>19.9482</v>
      </c>
      <c r="H263" s="284" t="n">
        <v>2.43134266379257</v>
      </c>
      <c r="I263" s="284" t="n">
        <v>0</v>
      </c>
      <c r="J263" s="284" t="n">
        <f aca="false">SUM(H263:I263)</f>
        <v>2.43134266379257</v>
      </c>
      <c r="K263" s="0" t="n">
        <f aca="false">F263/$J263*1000</f>
        <v>12349.7606681087</v>
      </c>
      <c r="L263" s="0" t="n">
        <f aca="false">G263/$J263*1000</f>
        <v>8204.60245981268</v>
      </c>
      <c r="N263" s="285" t="n">
        <f aca="false">F263*(1+$D$4)^($C263-$D$3)</f>
        <v>43.742940671906</v>
      </c>
      <c r="O263" s="285" t="n">
        <f aca="false">G263*(1+$D$4)^($C263-$D$3)</f>
        <v>29.060760631819</v>
      </c>
      <c r="P263" s="285" t="n">
        <f aca="false">H263*(1+$D$4)^($C263-$D$3)</f>
        <v>3.54200715685651</v>
      </c>
      <c r="Q263" s="285" t="n">
        <f aca="false">I263*(1+$D$4)^($C263-$D$3)</f>
        <v>0</v>
      </c>
      <c r="R263" s="285" t="n">
        <f aca="false">SUM(P263:Q263)</f>
        <v>3.54200715685651</v>
      </c>
    </row>
    <row r="264" customFormat="false" ht="12.75" hidden="false" customHeight="false" outlineLevel="0" collapsed="false">
      <c r="C264" s="282" t="n">
        <f aca="false">C252+1</f>
        <v>2019</v>
      </c>
      <c r="D264" s="282" t="n">
        <f aca="false">D252</f>
        <v>4</v>
      </c>
      <c r="E264" s="283" t="n">
        <v>43556</v>
      </c>
      <c r="F264" s="284" t="n">
        <v>29.0743</v>
      </c>
      <c r="G264" s="284" t="n">
        <v>19.8807</v>
      </c>
      <c r="H264" s="284" t="n">
        <v>2.35444017612309</v>
      </c>
      <c r="I264" s="284" t="n">
        <v>0</v>
      </c>
      <c r="J264" s="284" t="n">
        <f aca="false">SUM(H264:I264)</f>
        <v>2.35444017612309</v>
      </c>
      <c r="K264" s="0" t="n">
        <f aca="false">F264/$J264*1000</f>
        <v>12348.7104471157</v>
      </c>
      <c r="L264" s="0" t="n">
        <f aca="false">G264/$J264*1000</f>
        <v>8443.91809212853</v>
      </c>
      <c r="N264" s="285" t="n">
        <f aca="false">F264*(1+$D$4)^($C264-$D$3)</f>
        <v>42.355765073425</v>
      </c>
      <c r="O264" s="285" t="n">
        <f aca="false">G264*(1+$D$4)^($C264-$D$3)</f>
        <v>28.9624258776734</v>
      </c>
      <c r="P264" s="285" t="n">
        <f aca="false">H264*(1+$D$4)^($C264-$D$3)</f>
        <v>3.42997475362443</v>
      </c>
      <c r="Q264" s="285" t="n">
        <f aca="false">I264*(1+$D$4)^($C264-$D$3)</f>
        <v>0</v>
      </c>
      <c r="R264" s="285" t="n">
        <f aca="false">SUM(P264:Q264)</f>
        <v>3.42997475362443</v>
      </c>
    </row>
    <row r="265" customFormat="false" ht="12.75" hidden="false" customHeight="false" outlineLevel="0" collapsed="false">
      <c r="C265" s="282" t="n">
        <f aca="false">C253+1</f>
        <v>2019</v>
      </c>
      <c r="D265" s="282" t="n">
        <f aca="false">D253</f>
        <v>5</v>
      </c>
      <c r="E265" s="283" t="n">
        <v>43586</v>
      </c>
      <c r="F265" s="284" t="n">
        <v>32.465</v>
      </c>
      <c r="G265" s="284" t="n">
        <v>20.1778</v>
      </c>
      <c r="H265" s="284" t="n">
        <v>2.33288619168977</v>
      </c>
      <c r="I265" s="284" t="n">
        <v>0</v>
      </c>
      <c r="J265" s="284" t="n">
        <f aca="false">SUM(H265:I265)</f>
        <v>2.33288619168977</v>
      </c>
      <c r="K265" s="0" t="n">
        <f aca="false">F265/$J265*1000</f>
        <v>13916.2382269856</v>
      </c>
      <c r="L265" s="0" t="n">
        <f aca="false">G265/$J265*1000</f>
        <v>8649.28605256337</v>
      </c>
      <c r="N265" s="285" t="n">
        <f aca="false">F265*(1+$D$4)^($C265-$D$3)</f>
        <v>47.295374716115</v>
      </c>
      <c r="O265" s="285" t="n">
        <f aca="false">G265*(1+$D$4)^($C265-$D$3)</f>
        <v>29.3952444770314</v>
      </c>
      <c r="P265" s="285" t="n">
        <f aca="false">H265*(1+$D$4)^($C265-$D$3)</f>
        <v>3.39857466828949</v>
      </c>
      <c r="Q265" s="285" t="n">
        <f aca="false">I265*(1+$D$4)^($C265-$D$3)</f>
        <v>0</v>
      </c>
      <c r="R265" s="285" t="n">
        <f aca="false">SUM(P265:Q265)</f>
        <v>3.39857466828949</v>
      </c>
    </row>
    <row r="266" customFormat="false" ht="12.75" hidden="false" customHeight="false" outlineLevel="0" collapsed="false">
      <c r="C266" s="282" t="n">
        <f aca="false">C254+1</f>
        <v>2019</v>
      </c>
      <c r="D266" s="282" t="n">
        <f aca="false">D254</f>
        <v>6</v>
      </c>
      <c r="E266" s="283" t="n">
        <v>43617</v>
      </c>
      <c r="F266" s="284" t="n">
        <v>32.6655</v>
      </c>
      <c r="G266" s="284" t="n">
        <v>19.2728</v>
      </c>
      <c r="H266" s="284" t="n">
        <v>2.35710116185559</v>
      </c>
      <c r="I266" s="284" t="n">
        <v>0</v>
      </c>
      <c r="J266" s="284" t="n">
        <f aca="false">SUM(H266:I266)</f>
        <v>2.35710116185559</v>
      </c>
      <c r="K266" s="0" t="n">
        <f aca="false">F266/$J266*1000</f>
        <v>13858.3360479465</v>
      </c>
      <c r="L266" s="0" t="n">
        <f aca="false">G266/$J266*1000</f>
        <v>8176.4840270274</v>
      </c>
      <c r="N266" s="285" t="n">
        <f aca="false">F266*(1+$D$4)^($C266-$D$3)</f>
        <v>47.5874653562068</v>
      </c>
      <c r="O266" s="285" t="n">
        <f aca="false">G266*(1+$D$4)^($C266-$D$3)</f>
        <v>28.0768303658938</v>
      </c>
      <c r="P266" s="285" t="n">
        <f aca="false">H266*(1+$D$4)^($C266-$D$3)</f>
        <v>3.43385130736949</v>
      </c>
      <c r="Q266" s="285" t="n">
        <f aca="false">I266*(1+$D$4)^($C266-$D$3)</f>
        <v>0</v>
      </c>
      <c r="R266" s="285" t="n">
        <f aca="false">SUM(P266:Q266)</f>
        <v>3.43385130736949</v>
      </c>
    </row>
    <row r="267" customFormat="false" ht="12.75" hidden="false" customHeight="false" outlineLevel="0" collapsed="false">
      <c r="C267" s="282" t="n">
        <f aca="false">C255+1</f>
        <v>2019</v>
      </c>
      <c r="D267" s="282" t="n">
        <f aca="false">D255</f>
        <v>7</v>
      </c>
      <c r="E267" s="283" t="n">
        <v>43647</v>
      </c>
      <c r="F267" s="284" t="n">
        <v>48.5343</v>
      </c>
      <c r="G267" s="284" t="n">
        <v>22.7504</v>
      </c>
      <c r="H267" s="284" t="n">
        <v>2.41750553798353</v>
      </c>
      <c r="I267" s="284" t="n">
        <v>0</v>
      </c>
      <c r="J267" s="284" t="n">
        <f aca="false">SUM(H267:I267)</f>
        <v>2.41750553798353</v>
      </c>
      <c r="K267" s="0" t="n">
        <f aca="false">F267/$J267*1000</f>
        <v>20076.1897904412</v>
      </c>
      <c r="L267" s="0" t="n">
        <f aca="false">G267/$J267*1000</f>
        <v>9410.6919891387</v>
      </c>
      <c r="N267" s="285" t="n">
        <f aca="false">F267*(1+$D$4)^($C267-$D$3)</f>
        <v>70.705310490816</v>
      </c>
      <c r="O267" s="285" t="n">
        <f aca="false">G267*(1+$D$4)^($C267-$D$3)</f>
        <v>33.1430368994764</v>
      </c>
      <c r="P267" s="285" t="n">
        <f aca="false">H267*(1+$D$4)^($C267-$D$3)</f>
        <v>3.52184907738223</v>
      </c>
      <c r="Q267" s="285" t="n">
        <f aca="false">I267*(1+$D$4)^($C267-$D$3)</f>
        <v>0</v>
      </c>
      <c r="R267" s="285" t="n">
        <f aca="false">SUM(P267:Q267)</f>
        <v>3.52184907738223</v>
      </c>
    </row>
    <row r="268" customFormat="false" ht="12.75" hidden="false" customHeight="false" outlineLevel="0" collapsed="false">
      <c r="C268" s="282" t="n">
        <f aca="false">C256+1</f>
        <v>2019</v>
      </c>
      <c r="D268" s="282" t="n">
        <f aca="false">D256</f>
        <v>8</v>
      </c>
      <c r="E268" s="283" t="n">
        <v>43678</v>
      </c>
      <c r="F268" s="284" t="n">
        <v>58.7118</v>
      </c>
      <c r="G268" s="284" t="n">
        <v>25.3996</v>
      </c>
      <c r="H268" s="284" t="n">
        <v>2.50451977143654</v>
      </c>
      <c r="I268" s="284" t="n">
        <v>0</v>
      </c>
      <c r="J268" s="284" t="n">
        <f aca="false">SUM(H268:I268)</f>
        <v>2.50451977143654</v>
      </c>
      <c r="K268" s="0" t="n">
        <f aca="false">F268/$J268*1000</f>
        <v>23442.3383954059</v>
      </c>
      <c r="L268" s="0" t="n">
        <f aca="false">G268/$J268*1000</f>
        <v>10141.5050859955</v>
      </c>
      <c r="N268" s="285" t="n">
        <f aca="false">F268*(1+$D$4)^($C268-$D$3)</f>
        <v>85.5320061992176</v>
      </c>
      <c r="O268" s="285" t="n">
        <f aca="false">G268*(1+$D$4)^($C268-$D$3)</f>
        <v>37.0024210577371</v>
      </c>
      <c r="P268" s="285" t="n">
        <f aca="false">H268*(1+$D$4)^($C268-$D$3)</f>
        <v>3.64861238484552</v>
      </c>
      <c r="Q268" s="285" t="n">
        <f aca="false">I268*(1+$D$4)^($C268-$D$3)</f>
        <v>0</v>
      </c>
      <c r="R268" s="285" t="n">
        <f aca="false">SUM(P268:Q268)</f>
        <v>3.64861238484552</v>
      </c>
    </row>
    <row r="269" customFormat="false" ht="12.75" hidden="false" customHeight="false" outlineLevel="0" collapsed="false">
      <c r="C269" s="282" t="n">
        <f aca="false">C257+1</f>
        <v>2019</v>
      </c>
      <c r="D269" s="282" t="n">
        <f aca="false">D257</f>
        <v>9</v>
      </c>
      <c r="E269" s="283" t="n">
        <v>43709</v>
      </c>
      <c r="F269" s="284" t="n">
        <v>49.9646</v>
      </c>
      <c r="G269" s="284" t="n">
        <v>24.0018</v>
      </c>
      <c r="H269" s="284" t="n">
        <v>2.6085643135776</v>
      </c>
      <c r="I269" s="284" t="n">
        <v>0</v>
      </c>
      <c r="J269" s="284" t="n">
        <f aca="false">SUM(H269:I269)</f>
        <v>2.6085643135776</v>
      </c>
      <c r="K269" s="0" t="n">
        <f aca="false">F269/$J269*1000</f>
        <v>19154.0610058697</v>
      </c>
      <c r="L269" s="0" t="n">
        <f aca="false">G269/$J269*1000</f>
        <v>9201.15324551149</v>
      </c>
      <c r="N269" s="285" t="n">
        <f aca="false">F269*(1+$D$4)^($C269-$D$3)</f>
        <v>72.7889875108825</v>
      </c>
      <c r="O269" s="285" t="n">
        <f aca="false">G269*(1+$D$4)^($C269-$D$3)</f>
        <v>34.9660904007777</v>
      </c>
      <c r="P269" s="285" t="n">
        <f aca="false">H269*(1+$D$4)^($C269-$D$3)</f>
        <v>3.80018563627716</v>
      </c>
      <c r="Q269" s="285" t="n">
        <f aca="false">I269*(1+$D$4)^($C269-$D$3)</f>
        <v>0</v>
      </c>
      <c r="R269" s="285" t="n">
        <f aca="false">SUM(P269:Q269)</f>
        <v>3.80018563627716</v>
      </c>
    </row>
    <row r="270" customFormat="false" ht="12.75" hidden="false" customHeight="false" outlineLevel="0" collapsed="false">
      <c r="C270" s="282" t="n">
        <f aca="false">C258+1</f>
        <v>2019</v>
      </c>
      <c r="D270" s="282" t="n">
        <f aca="false">D258</f>
        <v>10</v>
      </c>
      <c r="E270" s="283" t="n">
        <v>43739</v>
      </c>
      <c r="F270" s="284" t="n">
        <v>40.4613</v>
      </c>
      <c r="G270" s="284" t="n">
        <v>22.5566</v>
      </c>
      <c r="H270" s="284" t="n">
        <v>2.72005961576969</v>
      </c>
      <c r="I270" s="284" t="n">
        <v>0</v>
      </c>
      <c r="J270" s="284" t="n">
        <f aca="false">SUM(H270:I270)</f>
        <v>2.72005961576969</v>
      </c>
      <c r="K270" s="0" t="n">
        <f aca="false">F270/$J270*1000</f>
        <v>14875.1519141064</v>
      </c>
      <c r="L270" s="0" t="n">
        <f aca="false">G270/$J270*1000</f>
        <v>8292.68589159845</v>
      </c>
      <c r="N270" s="285" t="n">
        <f aca="false">F270*(1+$D$4)^($C270-$D$3)</f>
        <v>58.944473894999</v>
      </c>
      <c r="O270" s="285" t="n">
        <f aca="false">G270*(1+$D$4)^($C270-$D$3)</f>
        <v>32.8607068942405</v>
      </c>
      <c r="P270" s="285" t="n">
        <f aca="false">H270*(1+$D$4)^($C270-$D$3)</f>
        <v>3.96261323819495</v>
      </c>
      <c r="Q270" s="285" t="n">
        <f aca="false">I270*(1+$D$4)^($C270-$D$3)</f>
        <v>0</v>
      </c>
      <c r="R270" s="285" t="n">
        <f aca="false">SUM(P270:Q270)</f>
        <v>3.96261323819495</v>
      </c>
    </row>
    <row r="271" customFormat="false" ht="12.75" hidden="false" customHeight="false" outlineLevel="0" collapsed="false">
      <c r="C271" s="282" t="n">
        <f aca="false">C259+1</f>
        <v>2019</v>
      </c>
      <c r="D271" s="282" t="n">
        <f aca="false">D259</f>
        <v>11</v>
      </c>
      <c r="E271" s="283" t="n">
        <v>43770</v>
      </c>
      <c r="F271" s="284" t="n">
        <v>42.5933</v>
      </c>
      <c r="G271" s="284" t="n">
        <v>24.1291</v>
      </c>
      <c r="H271" s="284" t="n">
        <v>2.82942612937577</v>
      </c>
      <c r="I271" s="284" t="n">
        <v>0</v>
      </c>
      <c r="J271" s="284" t="n">
        <f aca="false">SUM(H271:I271)</f>
        <v>2.82942612937577</v>
      </c>
      <c r="K271" s="0" t="n">
        <f aca="false">F271/$J271*1000</f>
        <v>15053.6886465373</v>
      </c>
      <c r="L271" s="0" t="n">
        <f aca="false">G271/$J271*1000</f>
        <v>8527.91304550631</v>
      </c>
      <c r="N271" s="285" t="n">
        <f aca="false">F271*(1+$D$4)^($C271-$D$3)</f>
        <v>62.0503953148283</v>
      </c>
      <c r="O271" s="285" t="n">
        <f aca="false">G271*(1+$D$4)^($C271-$D$3)</f>
        <v>35.1515424630405</v>
      </c>
      <c r="P271" s="285" t="n">
        <f aca="false">H271*(1+$D$4)^($C271-$D$3)</f>
        <v>4.1219395971167</v>
      </c>
      <c r="Q271" s="285" t="n">
        <f aca="false">I271*(1+$D$4)^($C271-$D$3)</f>
        <v>0</v>
      </c>
      <c r="R271" s="285" t="n">
        <f aca="false">SUM(P271:Q271)</f>
        <v>4.1219395971167</v>
      </c>
    </row>
    <row r="272" customFormat="false" ht="12.75" hidden="false" customHeight="false" outlineLevel="0" collapsed="false">
      <c r="C272" s="282" t="n">
        <f aca="false">C260+1</f>
        <v>2019</v>
      </c>
      <c r="D272" s="282" t="n">
        <f aca="false">D260</f>
        <v>12</v>
      </c>
      <c r="E272" s="283" t="n">
        <v>43800</v>
      </c>
      <c r="F272" s="284" t="n">
        <v>40.0465</v>
      </c>
      <c r="G272" s="284" t="n">
        <v>25.1158</v>
      </c>
      <c r="H272" s="284" t="n">
        <v>2.94498214778755</v>
      </c>
      <c r="I272" s="284" t="n">
        <v>0</v>
      </c>
      <c r="J272" s="284" t="n">
        <f aca="false">SUM(H272:I272)</f>
        <v>2.94498214778755</v>
      </c>
      <c r="K272" s="0" t="n">
        <f aca="false">F272/$J272*1000</f>
        <v>13598.214858479</v>
      </c>
      <c r="L272" s="0" t="n">
        <f aca="false">G272/$J272*1000</f>
        <v>8528.33692688714</v>
      </c>
      <c r="N272" s="285" t="n">
        <f aca="false">F272*(1+$D$4)^($C272-$D$3)</f>
        <v>58.3401886206345</v>
      </c>
      <c r="O272" s="285" t="n">
        <f aca="false">G272*(1+$D$4)^($C272-$D$3)</f>
        <v>36.5889780469737</v>
      </c>
      <c r="P272" s="285" t="n">
        <f aca="false">H272*(1+$D$4)^($C272-$D$3)</f>
        <v>4.29028289579182</v>
      </c>
      <c r="Q272" s="285" t="n">
        <f aca="false">I272*(1+$D$4)^($C272-$D$3)</f>
        <v>0</v>
      </c>
      <c r="R272" s="285" t="n">
        <f aca="false">SUM(P272:Q272)</f>
        <v>4.29028289579182</v>
      </c>
    </row>
    <row r="273" customFormat="false" ht="12.75" hidden="false" customHeight="false" outlineLevel="0" collapsed="false">
      <c r="C273" s="282" t="n">
        <f aca="false">C261+1</f>
        <v>2020</v>
      </c>
      <c r="D273" s="282" t="n">
        <f aca="false">D261</f>
        <v>1</v>
      </c>
      <c r="E273" s="283" t="n">
        <v>43831</v>
      </c>
      <c r="F273" s="284" t="n">
        <v>41.3399</v>
      </c>
      <c r="G273" s="284" t="n">
        <v>23.2997</v>
      </c>
      <c r="H273" s="284" t="n">
        <v>2.8334585218356</v>
      </c>
      <c r="I273" s="284" t="n">
        <v>0</v>
      </c>
      <c r="J273" s="284" t="n">
        <f aca="false">SUM(H273:I273)</f>
        <v>2.8334585218356</v>
      </c>
      <c r="K273" s="0" t="n">
        <f aca="false">F273/$J273*1000</f>
        <v>14589.9082980819</v>
      </c>
      <c r="L273" s="0" t="n">
        <f aca="false">G273/$J273*1000</f>
        <v>8223.06020026217</v>
      </c>
      <c r="N273" s="285" t="n">
        <f aca="false">F273*(1+$D$4)^($C273-$D$3)</f>
        <v>61.4289167550056</v>
      </c>
      <c r="O273" s="285" t="n">
        <f aca="false">G273*(1+$D$4)^($C273-$D$3)</f>
        <v>34.6221285420769</v>
      </c>
      <c r="P273" s="285" t="n">
        <f aca="false">H273*(1+$D$4)^($C273-$D$3)</f>
        <v>4.21037031213429</v>
      </c>
      <c r="Q273" s="285" t="n">
        <f aca="false">I273*(1+$D$4)^($C273-$D$3)</f>
        <v>0</v>
      </c>
      <c r="R273" s="285" t="n">
        <f aca="false">SUM(P273:Q273)</f>
        <v>4.21037031213429</v>
      </c>
    </row>
    <row r="274" customFormat="false" ht="12.75" hidden="false" customHeight="false" outlineLevel="0" collapsed="false">
      <c r="C274" s="282" t="n">
        <f aca="false">C262+1</f>
        <v>2020</v>
      </c>
      <c r="D274" s="282" t="n">
        <f aca="false">D262</f>
        <v>2</v>
      </c>
      <c r="E274" s="283" t="n">
        <v>43862</v>
      </c>
      <c r="F274" s="284" t="n">
        <v>30.9774</v>
      </c>
      <c r="G274" s="284" t="n">
        <v>19.2671</v>
      </c>
      <c r="H274" s="284" t="n">
        <v>2.61263632978445</v>
      </c>
      <c r="I274" s="284" t="n">
        <v>0</v>
      </c>
      <c r="J274" s="284" t="n">
        <f aca="false">SUM(H274:I274)</f>
        <v>2.61263632978445</v>
      </c>
      <c r="K274" s="0" t="n">
        <f aca="false">F274/$J274*1000</f>
        <v>11856.7592614605</v>
      </c>
      <c r="L274" s="0" t="n">
        <f aca="false">G274/$J274*1000</f>
        <v>7374.58167459135</v>
      </c>
      <c r="N274" s="285" t="n">
        <f aca="false">F274*(1+$D$4)^($C274-$D$3)</f>
        <v>46.0307868641799</v>
      </c>
      <c r="O274" s="285" t="n">
        <f aca="false">G274*(1+$D$4)^($C274-$D$3)</f>
        <v>28.6298970730546</v>
      </c>
      <c r="P274" s="285" t="n">
        <f aca="false">H274*(1+$D$4)^($C274-$D$3)</f>
        <v>3.88224015088165</v>
      </c>
      <c r="Q274" s="285" t="n">
        <f aca="false">I274*(1+$D$4)^($C274-$D$3)</f>
        <v>0</v>
      </c>
      <c r="R274" s="285" t="n">
        <f aca="false">SUM(P274:Q274)</f>
        <v>3.88224015088165</v>
      </c>
    </row>
    <row r="275" customFormat="false" ht="12.75" hidden="false" customHeight="false" outlineLevel="0" collapsed="false">
      <c r="C275" s="282" t="n">
        <f aca="false">C263+1</f>
        <v>2020</v>
      </c>
      <c r="D275" s="282" t="n">
        <f aca="false">D263</f>
        <v>3</v>
      </c>
      <c r="E275" s="283" t="n">
        <v>43891</v>
      </c>
      <c r="F275" s="284" t="n">
        <v>29.7388</v>
      </c>
      <c r="G275" s="284" t="n">
        <v>20.6405</v>
      </c>
      <c r="H275" s="284" t="n">
        <v>2.46863062515414</v>
      </c>
      <c r="I275" s="284" t="n">
        <v>0</v>
      </c>
      <c r="J275" s="284" t="n">
        <f aca="false">SUM(H275:I275)</f>
        <v>2.46863062515414</v>
      </c>
      <c r="K275" s="0" t="n">
        <f aca="false">F275/$J275*1000</f>
        <v>12046.6787120666</v>
      </c>
      <c r="L275" s="0" t="n">
        <f aca="false">G275/$J275*1000</f>
        <v>8361.11315710152</v>
      </c>
      <c r="N275" s="285" t="n">
        <f aca="false">F275*(1+$D$4)^($C275-$D$3)</f>
        <v>44.1902924195211</v>
      </c>
      <c r="O275" s="285" t="n">
        <f aca="false">G275*(1+$D$4)^($C275-$D$3)</f>
        <v>30.6706972266912</v>
      </c>
      <c r="P275" s="285" t="n">
        <f aca="false">H275*(1+$D$4)^($C275-$D$3)</f>
        <v>3.66825524908021</v>
      </c>
      <c r="Q275" s="285" t="n">
        <f aca="false">I275*(1+$D$4)^($C275-$D$3)</f>
        <v>0</v>
      </c>
      <c r="R275" s="285" t="n">
        <f aca="false">SUM(P275:Q275)</f>
        <v>3.66825524908021</v>
      </c>
    </row>
    <row r="276" customFormat="false" ht="12.75" hidden="false" customHeight="false" outlineLevel="0" collapsed="false">
      <c r="C276" s="282" t="n">
        <f aca="false">C264+1</f>
        <v>2020</v>
      </c>
      <c r="D276" s="282" t="n">
        <f aca="false">D264</f>
        <v>4</v>
      </c>
      <c r="E276" s="283" t="n">
        <v>43922</v>
      </c>
      <c r="F276" s="284" t="n">
        <v>28.8391</v>
      </c>
      <c r="G276" s="284" t="n">
        <v>20.1083</v>
      </c>
      <c r="H276" s="284" t="n">
        <v>2.39054873277485</v>
      </c>
      <c r="I276" s="284" t="n">
        <v>0</v>
      </c>
      <c r="J276" s="284" t="n">
        <f aca="false">SUM(H276:I276)</f>
        <v>2.39054873277485</v>
      </c>
      <c r="K276" s="0" t="n">
        <f aca="false">F276/$J276*1000</f>
        <v>12063.7992460102</v>
      </c>
      <c r="L276" s="0" t="n">
        <f aca="false">G276/$J276*1000</f>
        <v>8411.58338431324</v>
      </c>
      <c r="N276" s="285" t="n">
        <f aca="false">F276*(1+$D$4)^($C276-$D$3)</f>
        <v>42.8533855473594</v>
      </c>
      <c r="O276" s="285" t="n">
        <f aca="false">G276*(1+$D$4)^($C276-$D$3)</f>
        <v>29.8798760225516</v>
      </c>
      <c r="P276" s="285" t="n">
        <f aca="false">H276*(1+$D$4)^($C276-$D$3)</f>
        <v>3.55222966442615</v>
      </c>
      <c r="Q276" s="285" t="n">
        <f aca="false">I276*(1+$D$4)^($C276-$D$3)</f>
        <v>0</v>
      </c>
      <c r="R276" s="285" t="n">
        <f aca="false">SUM(P276:Q276)</f>
        <v>3.55222966442615</v>
      </c>
    </row>
    <row r="277" customFormat="false" ht="12.75" hidden="false" customHeight="false" outlineLevel="0" collapsed="false">
      <c r="C277" s="282" t="n">
        <f aca="false">C265+1</f>
        <v>2020</v>
      </c>
      <c r="D277" s="282" t="n">
        <f aca="false">D265</f>
        <v>5</v>
      </c>
      <c r="E277" s="283" t="n">
        <v>43952</v>
      </c>
      <c r="F277" s="284" t="n">
        <v>33.4777</v>
      </c>
      <c r="G277" s="284" t="n">
        <v>20.0106</v>
      </c>
      <c r="H277" s="284" t="n">
        <v>2.36866418854398</v>
      </c>
      <c r="I277" s="284" t="n">
        <v>0</v>
      </c>
      <c r="J277" s="284" t="n">
        <f aca="false">SUM(H277:I277)</f>
        <v>2.36866418854398</v>
      </c>
      <c r="K277" s="0" t="n">
        <f aca="false">F277/$J277*1000</f>
        <v>14133.5779727302</v>
      </c>
      <c r="L277" s="0" t="n">
        <f aca="false">G277/$J277*1000</f>
        <v>8448.05274499487</v>
      </c>
      <c r="N277" s="285" t="n">
        <f aca="false">F277*(1+$D$4)^($C277-$D$3)</f>
        <v>49.7461011383446</v>
      </c>
      <c r="O277" s="285" t="n">
        <f aca="false">G277*(1+$D$4)^($C277-$D$3)</f>
        <v>29.7346989619645</v>
      </c>
      <c r="P277" s="285" t="n">
        <f aca="false">H277*(1+$D$4)^($C277-$D$3)</f>
        <v>3.51971038291411</v>
      </c>
      <c r="Q277" s="285" t="n">
        <f aca="false">I277*(1+$D$4)^($C277-$D$3)</f>
        <v>0</v>
      </c>
      <c r="R277" s="285" t="n">
        <f aca="false">SUM(P277:Q277)</f>
        <v>3.51971038291411</v>
      </c>
    </row>
    <row r="278" customFormat="false" ht="12.75" hidden="false" customHeight="false" outlineLevel="0" collapsed="false">
      <c r="C278" s="282" t="n">
        <f aca="false">C266+1</f>
        <v>2020</v>
      </c>
      <c r="D278" s="282" t="n">
        <f aca="false">D266</f>
        <v>6</v>
      </c>
      <c r="E278" s="283" t="n">
        <v>43983</v>
      </c>
      <c r="F278" s="284" t="n">
        <v>32.4952</v>
      </c>
      <c r="G278" s="284" t="n">
        <v>19.5182</v>
      </c>
      <c r="H278" s="284" t="n">
        <v>2.39325052835891</v>
      </c>
      <c r="I278" s="284" t="n">
        <v>0</v>
      </c>
      <c r="J278" s="284" t="n">
        <f aca="false">SUM(H278:I278)</f>
        <v>2.39325052835891</v>
      </c>
      <c r="K278" s="0" t="n">
        <f aca="false">F278/$J278*1000</f>
        <v>13577.8513845278</v>
      </c>
      <c r="L278" s="0" t="n">
        <f aca="false">G278/$J278*1000</f>
        <v>8155.51893490396</v>
      </c>
      <c r="N278" s="285" t="n">
        <f aca="false">F278*(1+$D$4)^($C278-$D$3)</f>
        <v>48.2861578217958</v>
      </c>
      <c r="O278" s="285" t="n">
        <f aca="false">G278*(1+$D$4)^($C278-$D$3)</f>
        <v>29.0030184641847</v>
      </c>
      <c r="P278" s="285" t="n">
        <f aca="false">H278*(1+$D$4)^($C278-$D$3)</f>
        <v>3.55624439053874</v>
      </c>
      <c r="Q278" s="285" t="n">
        <f aca="false">I278*(1+$D$4)^($C278-$D$3)</f>
        <v>0</v>
      </c>
      <c r="R278" s="285" t="n">
        <f aca="false">SUM(P278:Q278)</f>
        <v>3.55624439053874</v>
      </c>
    </row>
    <row r="279" customFormat="false" ht="12.75" hidden="false" customHeight="false" outlineLevel="0" collapsed="false">
      <c r="C279" s="282" t="n">
        <f aca="false">C267+1</f>
        <v>2020</v>
      </c>
      <c r="D279" s="282" t="n">
        <f aca="false">D267</f>
        <v>7</v>
      </c>
      <c r="E279" s="283" t="n">
        <v>44013</v>
      </c>
      <c r="F279" s="284" t="n">
        <v>48.2411</v>
      </c>
      <c r="G279" s="284" t="n">
        <v>23.0063</v>
      </c>
      <c r="H279" s="284" t="n">
        <v>2.45458128811704</v>
      </c>
      <c r="I279" s="284" t="n">
        <v>0</v>
      </c>
      <c r="J279" s="284" t="n">
        <f aca="false">SUM(H279:I279)</f>
        <v>2.45458128811704</v>
      </c>
      <c r="K279" s="0" t="n">
        <f aca="false">F279/$J279*1000</f>
        <v>19653.4945628168</v>
      </c>
      <c r="L279" s="0" t="n">
        <f aca="false">G279/$J279*1000</f>
        <v>9372.80020481565</v>
      </c>
      <c r="N279" s="285" t="n">
        <f aca="false">F279*(1+$D$4)^($C279-$D$3)</f>
        <v>71.6837369241314</v>
      </c>
      <c r="O279" s="285" t="n">
        <f aca="false">G279*(1+$D$4)^($C279-$D$3)</f>
        <v>34.1861515760968</v>
      </c>
      <c r="P279" s="285" t="n">
        <f aca="false">H279*(1+$D$4)^($C279-$D$3)</f>
        <v>3.6473786732947</v>
      </c>
      <c r="Q279" s="285" t="n">
        <f aca="false">I279*(1+$D$4)^($C279-$D$3)</f>
        <v>0</v>
      </c>
      <c r="R279" s="285" t="n">
        <f aca="false">SUM(P279:Q279)</f>
        <v>3.6473786732947</v>
      </c>
    </row>
    <row r="280" customFormat="false" ht="12.75" hidden="false" customHeight="false" outlineLevel="0" collapsed="false">
      <c r="C280" s="282" t="n">
        <f aca="false">C268+1</f>
        <v>2020</v>
      </c>
      <c r="D280" s="282" t="n">
        <f aca="false">D268</f>
        <v>8</v>
      </c>
      <c r="E280" s="283" t="n">
        <v>44044</v>
      </c>
      <c r="F280" s="284" t="n">
        <v>59.8615</v>
      </c>
      <c r="G280" s="284" t="n">
        <v>24.5961</v>
      </c>
      <c r="H280" s="284" t="n">
        <v>2.54293000371574</v>
      </c>
      <c r="I280" s="284" t="n">
        <v>0</v>
      </c>
      <c r="J280" s="284" t="n">
        <f aca="false">SUM(H280:I280)</f>
        <v>2.54293000371574</v>
      </c>
      <c r="K280" s="0" t="n">
        <f aca="false">F280/$J280*1000</f>
        <v>23540.3648203175</v>
      </c>
      <c r="L280" s="0" t="n">
        <f aca="false">G280/$J280*1000</f>
        <v>9672.34645234436</v>
      </c>
      <c r="N280" s="285" t="n">
        <f aca="false">F280*(1+$D$4)^($C280-$D$3)</f>
        <v>88.9510400443583</v>
      </c>
      <c r="O280" s="285" t="n">
        <f aca="false">G280*(1+$D$4)^($C280-$D$3)</f>
        <v>36.5485107462232</v>
      </c>
      <c r="P280" s="285" t="n">
        <f aca="false">H280*(1+$D$4)^($C280-$D$3)</f>
        <v>3.77866021717664</v>
      </c>
      <c r="Q280" s="285" t="n">
        <f aca="false">I280*(1+$D$4)^($C280-$D$3)</f>
        <v>0</v>
      </c>
      <c r="R280" s="285" t="n">
        <f aca="false">SUM(P280:Q280)</f>
        <v>3.77866021717664</v>
      </c>
    </row>
    <row r="281" customFormat="false" ht="12.75" hidden="false" customHeight="false" outlineLevel="0" collapsed="false">
      <c r="C281" s="282" t="n">
        <f aca="false">C269+1</f>
        <v>2020</v>
      </c>
      <c r="D281" s="282" t="n">
        <f aca="false">D269</f>
        <v>9</v>
      </c>
      <c r="E281" s="283" t="n">
        <v>44075</v>
      </c>
      <c r="F281" s="284" t="n">
        <v>50.2716</v>
      </c>
      <c r="G281" s="284" t="n">
        <v>23.6757</v>
      </c>
      <c r="H281" s="284" t="n">
        <v>2.64857021105243</v>
      </c>
      <c r="I281" s="284" t="n">
        <v>0</v>
      </c>
      <c r="J281" s="284" t="n">
        <f aca="false">SUM(H281:I281)</f>
        <v>2.64857021105243</v>
      </c>
      <c r="K281" s="0" t="n">
        <f aca="false">F281/$J281*1000</f>
        <v>18980.6559743886</v>
      </c>
      <c r="L281" s="0" t="n">
        <f aca="false">G281/$J281*1000</f>
        <v>8939.04941662555</v>
      </c>
      <c r="N281" s="285" t="n">
        <f aca="false">F281*(1+$D$4)^($C281-$D$3)</f>
        <v>74.7009531116655</v>
      </c>
      <c r="O281" s="285" t="n">
        <f aca="false">G281*(1+$D$4)^($C281-$D$3)</f>
        <v>35.1808447629647</v>
      </c>
      <c r="P281" s="285" t="n">
        <f aca="false">H281*(1+$D$4)^($C281-$D$3)</f>
        <v>3.93563600817919</v>
      </c>
      <c r="Q281" s="285" t="n">
        <f aca="false">I281*(1+$D$4)^($C281-$D$3)</f>
        <v>0</v>
      </c>
      <c r="R281" s="285" t="n">
        <f aca="false">SUM(P281:Q281)</f>
        <v>3.93563600817919</v>
      </c>
    </row>
    <row r="282" customFormat="false" ht="12.75" hidden="false" customHeight="false" outlineLevel="0" collapsed="false">
      <c r="C282" s="282" t="n">
        <f aca="false">C270+1</f>
        <v>2020</v>
      </c>
      <c r="D282" s="282" t="n">
        <f aca="false">D270</f>
        <v>10</v>
      </c>
      <c r="E282" s="283" t="n">
        <v>44105</v>
      </c>
      <c r="F282" s="284" t="n">
        <v>40.5573</v>
      </c>
      <c r="G282" s="284" t="n">
        <v>22.5815</v>
      </c>
      <c r="H282" s="284" t="n">
        <v>2.76177544602447</v>
      </c>
      <c r="I282" s="284" t="n">
        <v>0</v>
      </c>
      <c r="J282" s="284" t="n">
        <f aca="false">SUM(H282:I282)</f>
        <v>2.76177544602447</v>
      </c>
      <c r="K282" s="0" t="n">
        <f aca="false">F282/$J282*1000</f>
        <v>14685.2272361178</v>
      </c>
      <c r="L282" s="0" t="n">
        <f aca="false">G282/$J282*1000</f>
        <v>8176.44317625666</v>
      </c>
      <c r="N282" s="285" t="n">
        <f aca="false">F282*(1+$D$4)^($C282-$D$3)</f>
        <v>60.2660143229129</v>
      </c>
      <c r="O282" s="285" t="n">
        <f aca="false">G282*(1+$D$4)^($C282-$D$3)</f>
        <v>33.5549211222852</v>
      </c>
      <c r="P282" s="285" t="n">
        <f aca="false">H282*(1+$D$4)^($C282-$D$3)</f>
        <v>4.10385303229703</v>
      </c>
      <c r="Q282" s="285" t="n">
        <f aca="false">I282*(1+$D$4)^($C282-$D$3)</f>
        <v>0</v>
      </c>
      <c r="R282" s="285" t="n">
        <f aca="false">SUM(P282:Q282)</f>
        <v>4.10385303229703</v>
      </c>
    </row>
    <row r="283" customFormat="false" ht="12.75" hidden="false" customHeight="false" outlineLevel="0" collapsed="false">
      <c r="C283" s="282" t="n">
        <f aca="false">C271+1</f>
        <v>2020</v>
      </c>
      <c r="D283" s="282" t="n">
        <f aca="false">D271</f>
        <v>11</v>
      </c>
      <c r="E283" s="283" t="n">
        <v>44136</v>
      </c>
      <c r="F283" s="284" t="n">
        <v>41.9676</v>
      </c>
      <c r="G283" s="284" t="n">
        <v>24.5312</v>
      </c>
      <c r="H283" s="284" t="n">
        <v>2.87281924452927</v>
      </c>
      <c r="I283" s="284" t="n">
        <v>0</v>
      </c>
      <c r="J283" s="284" t="n">
        <f aca="false">SUM(H283:I283)</f>
        <v>2.87281924452927</v>
      </c>
      <c r="K283" s="0" t="n">
        <f aca="false">F283/$J283*1000</f>
        <v>14608.5069848788</v>
      </c>
      <c r="L283" s="0" t="n">
        <f aca="false">G283/$J283*1000</f>
        <v>8539.06838960193</v>
      </c>
      <c r="N283" s="285" t="n">
        <f aca="false">F283*(1+$D$4)^($C283-$D$3)</f>
        <v>62.3616459354612</v>
      </c>
      <c r="O283" s="285" t="n">
        <f aca="false">G283*(1+$D$4)^($C283-$D$3)</f>
        <v>36.4520727602242</v>
      </c>
      <c r="P283" s="285" t="n">
        <f aca="false">H283*(1+$D$4)^($C283-$D$3)</f>
        <v>4.26885827552477</v>
      </c>
      <c r="Q283" s="285" t="n">
        <f aca="false">I283*(1+$D$4)^($C283-$D$3)</f>
        <v>0</v>
      </c>
      <c r="R283" s="285" t="n">
        <f aca="false">SUM(P283:Q283)</f>
        <v>4.26885827552477</v>
      </c>
    </row>
    <row r="284" customFormat="false" ht="12.75" hidden="false" customHeight="false" outlineLevel="0" collapsed="false">
      <c r="C284" s="282" t="n">
        <f aca="false">C272+1</f>
        <v>2020</v>
      </c>
      <c r="D284" s="282" t="n">
        <f aca="false">D272</f>
        <v>12</v>
      </c>
      <c r="E284" s="283" t="n">
        <v>44166</v>
      </c>
      <c r="F284" s="284" t="n">
        <v>39.9682</v>
      </c>
      <c r="G284" s="284" t="n">
        <v>25.0484</v>
      </c>
      <c r="H284" s="284" t="n">
        <v>2.99014747235185</v>
      </c>
      <c r="I284" s="284" t="n">
        <v>0</v>
      </c>
      <c r="J284" s="284" t="n">
        <f aca="false">SUM(H284:I284)</f>
        <v>2.99014747235185</v>
      </c>
      <c r="K284" s="0" t="n">
        <f aca="false">F284/$J284*1000</f>
        <v>13366.6317028048</v>
      </c>
      <c r="L284" s="0" t="n">
        <f aca="false">G284/$J284*1000</f>
        <v>8376.97813623172</v>
      </c>
      <c r="N284" s="285" t="n">
        <f aca="false">F284*(1+$D$4)^($C284-$D$3)</f>
        <v>59.3906427119421</v>
      </c>
      <c r="O284" s="285" t="n">
        <f aca="false">G284*(1+$D$4)^($C284-$D$3)</f>
        <v>37.2206047534242</v>
      </c>
      <c r="P284" s="285" t="n">
        <f aca="false">H284*(1+$D$4)^($C284-$D$3)</f>
        <v>4.4432018501325</v>
      </c>
      <c r="Q284" s="285" t="n">
        <f aca="false">I284*(1+$D$4)^($C284-$D$3)</f>
        <v>0</v>
      </c>
      <c r="R284" s="285" t="n">
        <f aca="false">SUM(P284:Q284)</f>
        <v>4.4432018501325</v>
      </c>
    </row>
    <row r="285" customFormat="false" ht="12.75" hidden="false" customHeight="false" outlineLevel="0" collapsed="false">
      <c r="C285" s="282" t="n">
        <f aca="false">C273+1</f>
        <v>2021</v>
      </c>
      <c r="D285" s="282" t="n">
        <f aca="false">D273</f>
        <v>1</v>
      </c>
      <c r="E285" s="283" t="n">
        <v>44197</v>
      </c>
      <c r="F285" s="0" t="n">
        <v>44.0224</v>
      </c>
      <c r="G285" s="0" t="n">
        <v>24.3218</v>
      </c>
      <c r="H285" s="286" t="n">
        <v>2.8553932964174</v>
      </c>
      <c r="I285" s="284" t="n">
        <v>0</v>
      </c>
      <c r="J285" s="284" t="n">
        <f aca="false">SUM(H285:I285)</f>
        <v>2.8553932964174</v>
      </c>
      <c r="K285" s="0" t="n">
        <f aca="false">F285/$J285*1000</f>
        <v>15417.2807140908</v>
      </c>
      <c r="L285" s="0" t="n">
        <f aca="false">G285/$J285*1000</f>
        <v>8517.8458710105</v>
      </c>
      <c r="N285" s="287" t="n">
        <f aca="false">N273*(1+$D$4)</f>
        <v>62.6574950901057</v>
      </c>
      <c r="O285" s="287" t="n">
        <f aca="false">O273*(1+$D$4)</f>
        <v>35.3145711129184</v>
      </c>
      <c r="P285" s="287" t="n">
        <f aca="false">P273*(1+$D$4)</f>
        <v>4.29457771837697</v>
      </c>
      <c r="Q285" s="287" t="n">
        <f aca="false">Q273*(1+$D$4)</f>
        <v>0</v>
      </c>
      <c r="R285" s="288" t="n">
        <f aca="false">SUM(P285:Q285)</f>
        <v>4.29457771837697</v>
      </c>
    </row>
    <row r="286" customFormat="false" ht="12.75" hidden="false" customHeight="false" outlineLevel="0" collapsed="false">
      <c r="C286" s="282" t="n">
        <f aca="false">C274+1</f>
        <v>2021</v>
      </c>
      <c r="D286" s="282" t="n">
        <f aca="false">D274</f>
        <v>2</v>
      </c>
      <c r="E286" s="283" t="n">
        <v>44228</v>
      </c>
      <c r="F286" s="0" t="n">
        <v>33.0546</v>
      </c>
      <c r="G286" s="0" t="n">
        <v>21.112</v>
      </c>
      <c r="H286" s="286" t="n">
        <v>2.63286164401312</v>
      </c>
      <c r="I286" s="284" t="n">
        <v>0</v>
      </c>
      <c r="J286" s="284" t="n">
        <f aca="false">SUM(H286:I286)</f>
        <v>2.63286164401312</v>
      </c>
      <c r="K286" s="0" t="n">
        <f aca="false">F286/$J286*1000</f>
        <v>12554.6285636251</v>
      </c>
      <c r="L286" s="0" t="n">
        <f aca="false">G286/$J286*1000</f>
        <v>8018.65151099249</v>
      </c>
      <c r="N286" s="287" t="n">
        <f aca="false">N274*(1+$D$4)</f>
        <v>46.9514026014635</v>
      </c>
      <c r="O286" s="287" t="n">
        <f aca="false">O274*(1+$D$4)</f>
        <v>29.2024950145157</v>
      </c>
      <c r="P286" s="287" t="n">
        <f aca="false">P274*(1+$D$4)</f>
        <v>3.95988495389928</v>
      </c>
      <c r="Q286" s="287" t="n">
        <f aca="false">Q274*(1+$D$4)</f>
        <v>0</v>
      </c>
      <c r="R286" s="288" t="n">
        <f aca="false">SUM(P286:Q286)</f>
        <v>3.95988495389928</v>
      </c>
    </row>
    <row r="287" customFormat="false" ht="12.75" hidden="false" customHeight="false" outlineLevel="0" collapsed="false">
      <c r="C287" s="282" t="n">
        <f aca="false">C275+1</f>
        <v>2021</v>
      </c>
      <c r="D287" s="282" t="n">
        <f aca="false">D275</f>
        <v>3</v>
      </c>
      <c r="E287" s="283" t="n">
        <v>44256</v>
      </c>
      <c r="F287" s="0" t="n">
        <v>30.4207</v>
      </c>
      <c r="G287" s="0" t="n">
        <v>20.6792</v>
      </c>
      <c r="H287" s="286" t="n">
        <v>2.48774114181468</v>
      </c>
      <c r="I287" s="284" t="n">
        <v>0</v>
      </c>
      <c r="J287" s="284" t="n">
        <f aca="false">SUM(H287:I287)</f>
        <v>2.48774114181468</v>
      </c>
      <c r="K287" s="0" t="n">
        <f aca="false">F287/$J287*1000</f>
        <v>12228.2417124033</v>
      </c>
      <c r="L287" s="0" t="n">
        <f aca="false">G287/$J287*1000</f>
        <v>8312.44041127029</v>
      </c>
      <c r="N287" s="287" t="n">
        <f aca="false">N275*(1+$D$4)</f>
        <v>45.0740982679115</v>
      </c>
      <c r="O287" s="287" t="n">
        <f aca="false">O275*(1+$D$4)</f>
        <v>31.2841111712251</v>
      </c>
      <c r="P287" s="287" t="n">
        <f aca="false">P275*(1+$D$4)</f>
        <v>3.74162035406181</v>
      </c>
      <c r="Q287" s="287" t="n">
        <f aca="false">Q275*(1+$D$4)</f>
        <v>0</v>
      </c>
      <c r="R287" s="288" t="n">
        <f aca="false">SUM(P287:Q287)</f>
        <v>3.74162035406181</v>
      </c>
    </row>
    <row r="288" customFormat="false" ht="12.75" hidden="false" customHeight="false" outlineLevel="0" collapsed="false">
      <c r="C288" s="282" t="n">
        <f aca="false">C276+1</f>
        <v>2021</v>
      </c>
      <c r="D288" s="282" t="n">
        <f aca="false">D276</f>
        <v>4</v>
      </c>
      <c r="E288" s="283" t="n">
        <v>44287</v>
      </c>
      <c r="F288" s="0" t="n">
        <v>29.8424</v>
      </c>
      <c r="G288" s="0" t="n">
        <v>20.2833</v>
      </c>
      <c r="H288" s="286" t="n">
        <v>2.40905479071646</v>
      </c>
      <c r="I288" s="284" t="n">
        <v>0</v>
      </c>
      <c r="J288" s="284" t="n">
        <f aca="false">SUM(H288:I288)</f>
        <v>2.40905479071646</v>
      </c>
      <c r="K288" s="0" t="n">
        <f aca="false">F288/$J288*1000</f>
        <v>12387.5970422096</v>
      </c>
      <c r="L288" s="0" t="n">
        <f aca="false">G288/$J288*1000</f>
        <v>8419.60925013571</v>
      </c>
      <c r="N288" s="287" t="n">
        <f aca="false">N276*(1+$D$4)</f>
        <v>43.7104532583066</v>
      </c>
      <c r="O288" s="287" t="n">
        <f aca="false">O276*(1+$D$4)</f>
        <v>30.4774735430026</v>
      </c>
      <c r="P288" s="287" t="n">
        <f aca="false">P276*(1+$D$4)</f>
        <v>3.62327425771467</v>
      </c>
      <c r="Q288" s="287" t="n">
        <f aca="false">Q276*(1+$D$4)</f>
        <v>0</v>
      </c>
      <c r="R288" s="288" t="n">
        <f aca="false">SUM(P288:Q288)</f>
        <v>3.62327425771467</v>
      </c>
    </row>
    <row r="289" customFormat="false" ht="12.75" hidden="false" customHeight="false" outlineLevel="0" collapsed="false">
      <c r="C289" s="282" t="n">
        <f aca="false">C277+1</f>
        <v>2021</v>
      </c>
      <c r="D289" s="282" t="n">
        <f aca="false">D277</f>
        <v>5</v>
      </c>
      <c r="E289" s="283" t="n">
        <v>44317</v>
      </c>
      <c r="F289" s="0" t="n">
        <v>32.0617</v>
      </c>
      <c r="G289" s="0" t="n">
        <v>20.5931</v>
      </c>
      <c r="H289" s="286" t="n">
        <v>2.38700083072007</v>
      </c>
      <c r="I289" s="284" t="n">
        <v>0</v>
      </c>
      <c r="J289" s="284" t="n">
        <f aca="false">SUM(H289:I289)</f>
        <v>2.38700083072007</v>
      </c>
      <c r="K289" s="0" t="n">
        <f aca="false">F289/$J289*1000</f>
        <v>13431.7925605113</v>
      </c>
      <c r="L289" s="0" t="n">
        <f aca="false">G289/$J289*1000</f>
        <v>8627.18593767219</v>
      </c>
      <c r="N289" s="287" t="n">
        <f aca="false">N277*(1+$D$4)</f>
        <v>50.7410231611115</v>
      </c>
      <c r="O289" s="287" t="n">
        <f aca="false">O277*(1+$D$4)</f>
        <v>30.3293929412038</v>
      </c>
      <c r="P289" s="287" t="n">
        <f aca="false">P277*(1+$D$4)</f>
        <v>3.59010459057239</v>
      </c>
      <c r="Q289" s="287" t="n">
        <f aca="false">Q277*(1+$D$4)</f>
        <v>0</v>
      </c>
      <c r="R289" s="288" t="n">
        <f aca="false">SUM(P289:Q289)</f>
        <v>3.59010459057239</v>
      </c>
    </row>
    <row r="290" customFormat="false" ht="12.75" hidden="false" customHeight="false" outlineLevel="0" collapsed="false">
      <c r="C290" s="282" t="n">
        <f aca="false">C278+1</f>
        <v>2021</v>
      </c>
      <c r="D290" s="282" t="n">
        <f aca="false">D278</f>
        <v>6</v>
      </c>
      <c r="E290" s="283" t="n">
        <v>44348</v>
      </c>
      <c r="F290" s="0" t="n">
        <v>35.5929</v>
      </c>
      <c r="G290" s="0" t="n">
        <v>19.8233</v>
      </c>
      <c r="H290" s="286" t="n">
        <v>2.41177750182712</v>
      </c>
      <c r="I290" s="284" t="n">
        <v>0</v>
      </c>
      <c r="J290" s="284" t="n">
        <f aca="false">SUM(H290:I290)</f>
        <v>2.41177750182712</v>
      </c>
      <c r="K290" s="0" t="n">
        <f aca="false">F290/$J290*1000</f>
        <v>14757.9534069936</v>
      </c>
      <c r="L290" s="0" t="n">
        <f aca="false">G290/$J290*1000</f>
        <v>8219.37346416998</v>
      </c>
      <c r="N290" s="287" t="n">
        <f aca="false">N278*(1+$D$4)</f>
        <v>49.2518809782318</v>
      </c>
      <c r="O290" s="287" t="n">
        <f aca="false">O278*(1+$D$4)</f>
        <v>29.5830788334684</v>
      </c>
      <c r="P290" s="287" t="n">
        <f aca="false">P278*(1+$D$4)</f>
        <v>3.62736927834952</v>
      </c>
      <c r="Q290" s="287" t="n">
        <f aca="false">Q278*(1+$D$4)</f>
        <v>0</v>
      </c>
      <c r="R290" s="288" t="n">
        <f aca="false">SUM(P290:Q290)</f>
        <v>3.62736927834952</v>
      </c>
    </row>
    <row r="291" customFormat="false" ht="12.75" hidden="false" customHeight="false" outlineLevel="0" collapsed="false">
      <c r="C291" s="282" t="n">
        <f aca="false">C279+1</f>
        <v>2021</v>
      </c>
      <c r="D291" s="282" t="n">
        <f aca="false">D279</f>
        <v>7</v>
      </c>
      <c r="E291" s="283" t="n">
        <v>44378</v>
      </c>
      <c r="F291" s="0" t="n">
        <v>50.3827</v>
      </c>
      <c r="G291" s="0" t="n">
        <v>23.3003</v>
      </c>
      <c r="H291" s="286" t="n">
        <v>2.47358304403922</v>
      </c>
      <c r="I291" s="284" t="n">
        <v>0</v>
      </c>
      <c r="J291" s="284" t="n">
        <f aca="false">SUM(H291:I291)</f>
        <v>2.47358304403922</v>
      </c>
      <c r="K291" s="0" t="n">
        <f aca="false">F291/$J291*1000</f>
        <v>20368.3074725997</v>
      </c>
      <c r="L291" s="0" t="n">
        <f aca="false">G291/$J291*1000</f>
        <v>9419.65544926762</v>
      </c>
      <c r="N291" s="287" t="n">
        <f aca="false">N279*(1+$D$4)</f>
        <v>73.1174116626141</v>
      </c>
      <c r="O291" s="287" t="n">
        <f aca="false">O279*(1+$D$4)</f>
        <v>34.8698746076188</v>
      </c>
      <c r="P291" s="287" t="n">
        <f aca="false">P279*(1+$D$4)</f>
        <v>3.7203262467606</v>
      </c>
      <c r="Q291" s="287" t="n">
        <f aca="false">Q279*(1+$D$4)</f>
        <v>0</v>
      </c>
      <c r="R291" s="288" t="n">
        <f aca="false">SUM(P291:Q291)</f>
        <v>3.7203262467606</v>
      </c>
    </row>
    <row r="292" customFormat="false" ht="12.75" hidden="false" customHeight="false" outlineLevel="0" collapsed="false">
      <c r="C292" s="282" t="n">
        <f aca="false">C280+1</f>
        <v>2021</v>
      </c>
      <c r="D292" s="282" t="n">
        <f aca="false">D280</f>
        <v>8</v>
      </c>
      <c r="E292" s="283" t="n">
        <v>44409</v>
      </c>
      <c r="F292" s="0" t="n">
        <v>59.8791</v>
      </c>
      <c r="G292" s="0" t="n">
        <v>25.8857</v>
      </c>
      <c r="H292" s="286" t="n">
        <v>2.56261569735797</v>
      </c>
      <c r="I292" s="284" t="n">
        <v>0</v>
      </c>
      <c r="J292" s="284" t="n">
        <f aca="false">SUM(H292:I292)</f>
        <v>2.56261569735797</v>
      </c>
      <c r="K292" s="0" t="n">
        <f aca="false">F292/$J292*1000</f>
        <v>23366.3986612331</v>
      </c>
      <c r="L292" s="0" t="n">
        <f aca="false">G292/$J292*1000</f>
        <v>10101.280510647</v>
      </c>
      <c r="N292" s="287" t="n">
        <f aca="false">N280*(1+$D$4)</f>
        <v>90.7300608452455</v>
      </c>
      <c r="O292" s="287" t="n">
        <f aca="false">O280*(1+$D$4)</f>
        <v>37.2794809611477</v>
      </c>
      <c r="P292" s="287" t="n">
        <f aca="false">P280*(1+$D$4)</f>
        <v>3.85423342152017</v>
      </c>
      <c r="Q292" s="287" t="n">
        <f aca="false">Q280*(1+$D$4)</f>
        <v>0</v>
      </c>
      <c r="R292" s="288" t="n">
        <f aca="false">SUM(P292:Q292)</f>
        <v>3.85423342152017</v>
      </c>
    </row>
    <row r="293" customFormat="false" ht="12.75" hidden="false" customHeight="false" outlineLevel="0" collapsed="false">
      <c r="C293" s="282" t="n">
        <f aca="false">C281+1</f>
        <v>2021</v>
      </c>
      <c r="D293" s="282" t="n">
        <f aca="false">D281</f>
        <v>9</v>
      </c>
      <c r="E293" s="283" t="n">
        <v>44440</v>
      </c>
      <c r="F293" s="0" t="n">
        <v>50.9588</v>
      </c>
      <c r="G293" s="0" t="n">
        <v>24.3961</v>
      </c>
      <c r="H293" s="286" t="n">
        <v>2.66907370178497</v>
      </c>
      <c r="I293" s="284" t="n">
        <v>0</v>
      </c>
      <c r="J293" s="284" t="n">
        <f aca="false">SUM(H293:I293)</f>
        <v>2.66907370178497</v>
      </c>
      <c r="K293" s="0" t="n">
        <f aca="false">F293/$J293*1000</f>
        <v>19092.3165463437</v>
      </c>
      <c r="L293" s="0" t="n">
        <f aca="false">G293/$J293*1000</f>
        <v>9140.28712795936</v>
      </c>
      <c r="N293" s="287" t="n">
        <f aca="false">N281*(1+$D$4)</f>
        <v>76.1949721738988</v>
      </c>
      <c r="O293" s="287" t="n">
        <f aca="false">O281*(1+$D$4)</f>
        <v>35.884461658224</v>
      </c>
      <c r="P293" s="287" t="n">
        <f aca="false">P281*(1+$D$4)</f>
        <v>4.01434872834278</v>
      </c>
      <c r="Q293" s="287" t="n">
        <f aca="false">Q281*(1+$D$4)</f>
        <v>0</v>
      </c>
      <c r="R293" s="288" t="n">
        <f aca="false">SUM(P293:Q293)</f>
        <v>4.01434872834278</v>
      </c>
    </row>
    <row r="294" customFormat="false" ht="12.75" hidden="false" customHeight="false" outlineLevel="0" collapsed="false">
      <c r="C294" s="282" t="n">
        <f aca="false">C282+1</f>
        <v>2021</v>
      </c>
      <c r="D294" s="282" t="n">
        <f aca="false">D282</f>
        <v>10</v>
      </c>
      <c r="E294" s="283" t="n">
        <v>44470</v>
      </c>
      <c r="F294" s="0" t="n">
        <v>40.3554</v>
      </c>
      <c r="G294" s="0" t="n">
        <v>23.1813</v>
      </c>
      <c r="H294" s="286" t="n">
        <v>2.78315529732184</v>
      </c>
      <c r="I294" s="284" t="n">
        <v>0</v>
      </c>
      <c r="J294" s="284" t="n">
        <f aca="false">SUM(H294:I294)</f>
        <v>2.78315529732184</v>
      </c>
      <c r="K294" s="0" t="n">
        <f aca="false">F294/$J294*1000</f>
        <v>14499.8735926928</v>
      </c>
      <c r="L294" s="0" t="n">
        <f aca="false">G294/$J294*1000</f>
        <v>8329.14355239422</v>
      </c>
      <c r="N294" s="287" t="n">
        <f aca="false">N282*(1+$D$4)</f>
        <v>61.4713346093712</v>
      </c>
      <c r="O294" s="287" t="n">
        <f aca="false">O282*(1+$D$4)</f>
        <v>34.2260195447309</v>
      </c>
      <c r="P294" s="287" t="n">
        <f aca="false">P282*(1+$D$4)</f>
        <v>4.18593009294297</v>
      </c>
      <c r="Q294" s="287" t="n">
        <f aca="false">Q282*(1+$D$4)</f>
        <v>0</v>
      </c>
      <c r="R294" s="288" t="n">
        <f aca="false">SUM(P294:Q294)</f>
        <v>4.18593009294297</v>
      </c>
    </row>
    <row r="295" customFormat="false" ht="12.75" hidden="false" customHeight="false" outlineLevel="0" collapsed="false">
      <c r="C295" s="282" t="n">
        <f aca="false">C283+1</f>
        <v>2021</v>
      </c>
      <c r="D295" s="282" t="n">
        <f aca="false">D283</f>
        <v>11</v>
      </c>
      <c r="E295" s="283" t="n">
        <v>44501</v>
      </c>
      <c r="F295" s="0" t="n">
        <v>40.4666</v>
      </c>
      <c r="G295" s="0" t="n">
        <v>24.4009</v>
      </c>
      <c r="H295" s="286" t="n">
        <v>2.89505872397017</v>
      </c>
      <c r="I295" s="284" t="n">
        <v>0</v>
      </c>
      <c r="J295" s="284" t="n">
        <f aca="false">SUM(H295:I295)</f>
        <v>2.89505872397017</v>
      </c>
      <c r="K295" s="0" t="n">
        <f aca="false">F295/$J295*1000</f>
        <v>13977.8166380355</v>
      </c>
      <c r="L295" s="0" t="n">
        <f aca="false">G295/$J295*1000</f>
        <v>8428.46461039573</v>
      </c>
      <c r="N295" s="287" t="n">
        <f aca="false">N283*(1+$D$4)</f>
        <v>63.6088788541704</v>
      </c>
      <c r="O295" s="287" t="n">
        <f aca="false">O283*(1+$D$4)</f>
        <v>37.1811142154287</v>
      </c>
      <c r="P295" s="287" t="n">
        <f aca="false">P283*(1+$D$4)</f>
        <v>4.35423544103527</v>
      </c>
      <c r="Q295" s="287" t="n">
        <f aca="false">Q283*(1+$D$4)</f>
        <v>0</v>
      </c>
      <c r="R295" s="288" t="n">
        <f aca="false">SUM(P295:Q295)</f>
        <v>4.35423544103527</v>
      </c>
    </row>
    <row r="296" customFormat="false" ht="12.75" hidden="false" customHeight="false" outlineLevel="0" collapsed="false">
      <c r="C296" s="282" t="n">
        <f aca="false">C284+1</f>
        <v>2021</v>
      </c>
      <c r="D296" s="282" t="n">
        <f aca="false">D284</f>
        <v>12</v>
      </c>
      <c r="E296" s="283" t="n">
        <v>44531</v>
      </c>
      <c r="F296" s="0" t="n">
        <v>41.1217</v>
      </c>
      <c r="G296" s="0" t="n">
        <v>25.4298</v>
      </c>
      <c r="H296" s="286" t="n">
        <v>3.01329522985983</v>
      </c>
      <c r="I296" s="284" t="n">
        <v>0</v>
      </c>
      <c r="J296" s="284" t="n">
        <f aca="false">SUM(H296:I296)</f>
        <v>3.01329522985983</v>
      </c>
      <c r="K296" s="0" t="n">
        <f aca="false">F296/$J296*1000</f>
        <v>13646.7544210438</v>
      </c>
      <c r="L296" s="0" t="n">
        <f aca="false">G296/$J296*1000</f>
        <v>8439.19963367907</v>
      </c>
      <c r="N296" s="287" t="n">
        <f aca="false">N284*(1+$D$4)</f>
        <v>60.5784555661809</v>
      </c>
      <c r="O296" s="287" t="n">
        <f aca="false">O284*(1+$D$4)</f>
        <v>37.9650168484927</v>
      </c>
      <c r="P296" s="287" t="n">
        <f aca="false">P284*(1+$D$4)</f>
        <v>4.53206588713515</v>
      </c>
      <c r="Q296" s="287" t="n">
        <f aca="false">Q284*(1+$D$4)</f>
        <v>0</v>
      </c>
      <c r="R296" s="288" t="n">
        <f aca="false">SUM(P296:Q296)</f>
        <v>4.53206588713515</v>
      </c>
    </row>
    <row r="297" customFormat="false" ht="12.75" hidden="false" customHeight="false" outlineLevel="0" collapsed="false">
      <c r="C297" s="282" t="n">
        <f aca="false">C285+1</f>
        <v>2022</v>
      </c>
      <c r="D297" s="282" t="n">
        <f aca="false">D285</f>
        <v>1</v>
      </c>
      <c r="E297" s="289" t="n">
        <v>44562</v>
      </c>
      <c r="F297" s="290" t="n">
        <f aca="false">F285+F285-F273</f>
        <v>46.7049</v>
      </c>
      <c r="G297" s="290" t="n">
        <f aca="false">G285+G285-G273</f>
        <v>25.3439</v>
      </c>
      <c r="H297" s="290" t="n">
        <f aca="false">H285+H285-H273</f>
        <v>2.8773280709992</v>
      </c>
      <c r="I297" s="290" t="n">
        <f aca="false">I285+I285-I273</f>
        <v>0</v>
      </c>
      <c r="J297" s="284" t="n">
        <f aca="false">SUM(H297:I297)</f>
        <v>2.8773280709992</v>
      </c>
      <c r="K297" s="0" t="n">
        <f aca="false">F297/$J297*1000</f>
        <v>16232.0384911064</v>
      </c>
      <c r="L297" s="0" t="n">
        <f aca="false">G297/$J297*1000</f>
        <v>8808.13705445794</v>
      </c>
      <c r="N297" s="287" t="n">
        <f aca="false">N285*(1+$D$4)</f>
        <v>63.9106449919078</v>
      </c>
      <c r="O297" s="287" t="n">
        <f aca="false">O285*(1+$D$4)</f>
        <v>36.0208625351768</v>
      </c>
      <c r="P297" s="287" t="n">
        <f aca="false">P285*(1+$D$4)</f>
        <v>4.38046927274451</v>
      </c>
      <c r="Q297" s="287" t="n">
        <f aca="false">Q285*(1+$D$4)</f>
        <v>0</v>
      </c>
      <c r="R297" s="288" t="n">
        <f aca="false">SUM(P297:Q297)</f>
        <v>4.38046927274451</v>
      </c>
    </row>
    <row r="298" customFormat="false" ht="12.75" hidden="false" customHeight="false" outlineLevel="0" collapsed="false">
      <c r="C298" s="282" t="n">
        <f aca="false">C286+1</f>
        <v>2022</v>
      </c>
      <c r="D298" s="282" t="n">
        <f aca="false">D286</f>
        <v>2</v>
      </c>
      <c r="E298" s="289" t="n">
        <v>44593</v>
      </c>
      <c r="F298" s="290" t="n">
        <f aca="false">F286+F286-F274</f>
        <v>35.1318</v>
      </c>
      <c r="G298" s="290" t="n">
        <f aca="false">G286+G286-G274</f>
        <v>22.9569</v>
      </c>
      <c r="H298" s="290" t="n">
        <f aca="false">H286+H286-H274</f>
        <v>2.6530869582418</v>
      </c>
      <c r="I298" s="290" t="n">
        <f aca="false">I286+I286-I274</f>
        <v>0</v>
      </c>
      <c r="J298" s="284" t="n">
        <f aca="false">SUM(H298:I298)</f>
        <v>2.6530869582418</v>
      </c>
      <c r="K298" s="0" t="n">
        <f aca="false">F298/$J298*1000</f>
        <v>13241.8577125274</v>
      </c>
      <c r="L298" s="0" t="n">
        <f aca="false">G298/$J298*1000</f>
        <v>8652.90145454318</v>
      </c>
      <c r="N298" s="287" t="n">
        <f aca="false">N286*(1+$D$4)</f>
        <v>47.8904306534928</v>
      </c>
      <c r="O298" s="287" t="n">
        <f aca="false">O286*(1+$D$4)</f>
        <v>29.786544914806</v>
      </c>
      <c r="P298" s="287" t="n">
        <f aca="false">P286*(1+$D$4)</f>
        <v>4.03908265297727</v>
      </c>
      <c r="Q298" s="287" t="n">
        <f aca="false">Q286*(1+$D$4)</f>
        <v>0</v>
      </c>
      <c r="R298" s="288" t="n">
        <f aca="false">SUM(P298:Q298)</f>
        <v>4.03908265297727</v>
      </c>
    </row>
    <row r="299" customFormat="false" ht="12.75" hidden="false" customHeight="false" outlineLevel="0" collapsed="false">
      <c r="C299" s="282" t="n">
        <f aca="false">C287+1</f>
        <v>2022</v>
      </c>
      <c r="D299" s="282" t="n">
        <f aca="false">D287</f>
        <v>3</v>
      </c>
      <c r="E299" s="289" t="n">
        <v>44621</v>
      </c>
      <c r="F299" s="290" t="n">
        <f aca="false">F287+F287-F275</f>
        <v>31.1026</v>
      </c>
      <c r="G299" s="290" t="n">
        <f aca="false">G287+G287-G275</f>
        <v>20.7179</v>
      </c>
      <c r="H299" s="290" t="n">
        <f aca="false">H287+H287-H275</f>
        <v>2.50685165847521</v>
      </c>
      <c r="I299" s="290" t="n">
        <f aca="false">I287+I287-I275</f>
        <v>0</v>
      </c>
      <c r="J299" s="284" t="n">
        <f aca="false">SUM(H299:I299)</f>
        <v>2.50685165847521</v>
      </c>
      <c r="K299" s="0" t="n">
        <f aca="false">F299/$J299*1000</f>
        <v>12407.0364893143</v>
      </c>
      <c r="L299" s="0" t="n">
        <f aca="false">G299/$J299*1000</f>
        <v>8264.50976066195</v>
      </c>
      <c r="N299" s="287" t="n">
        <f aca="false">N287*(1+$D$4)</f>
        <v>45.9755802332698</v>
      </c>
      <c r="O299" s="287" t="n">
        <f aca="false">O287*(1+$D$4)</f>
        <v>31.9097933946496</v>
      </c>
      <c r="P299" s="287" t="n">
        <f aca="false">P287*(1+$D$4)</f>
        <v>3.81645276114305</v>
      </c>
      <c r="Q299" s="287" t="n">
        <f aca="false">Q287*(1+$D$4)</f>
        <v>0</v>
      </c>
      <c r="R299" s="288" t="n">
        <f aca="false">SUM(P299:Q299)</f>
        <v>3.81645276114305</v>
      </c>
    </row>
    <row r="300" customFormat="false" ht="12.75" hidden="false" customHeight="false" outlineLevel="0" collapsed="false">
      <c r="C300" s="282" t="n">
        <f aca="false">C288+1</f>
        <v>2022</v>
      </c>
      <c r="D300" s="282" t="n">
        <f aca="false">D288</f>
        <v>4</v>
      </c>
      <c r="E300" s="289" t="n">
        <v>44652</v>
      </c>
      <c r="F300" s="290" t="n">
        <f aca="false">F288+F288-F276</f>
        <v>30.8457</v>
      </c>
      <c r="G300" s="290" t="n">
        <f aca="false">G288+G288-G276</f>
        <v>20.4583</v>
      </c>
      <c r="H300" s="290" t="n">
        <f aca="false">H288+H288-H276</f>
        <v>2.42756084865806</v>
      </c>
      <c r="I300" s="290" t="n">
        <f aca="false">I288+I288-I276</f>
        <v>0</v>
      </c>
      <c r="J300" s="284" t="n">
        <f aca="false">SUM(H300:I300)</f>
        <v>2.42756084865806</v>
      </c>
      <c r="K300" s="0" t="n">
        <f aca="false">F300/$J300*1000</f>
        <v>12706.4580140396</v>
      </c>
      <c r="L300" s="0" t="n">
        <f aca="false">G300/$J300*1000</f>
        <v>8427.51274857198</v>
      </c>
      <c r="N300" s="287" t="n">
        <f aca="false">N288*(1+$D$4)</f>
        <v>44.5846623234727</v>
      </c>
      <c r="O300" s="287" t="n">
        <f aca="false">O288*(1+$D$4)</f>
        <v>31.0870230138626</v>
      </c>
      <c r="P300" s="287" t="n">
        <f aca="false">P288*(1+$D$4)</f>
        <v>3.69573974286896</v>
      </c>
      <c r="Q300" s="287" t="n">
        <f aca="false">Q288*(1+$D$4)</f>
        <v>0</v>
      </c>
      <c r="R300" s="288" t="n">
        <f aca="false">SUM(P300:Q300)</f>
        <v>3.69573974286896</v>
      </c>
    </row>
    <row r="301" customFormat="false" ht="12.75" hidden="false" customHeight="false" outlineLevel="0" collapsed="false">
      <c r="C301" s="282" t="n">
        <f aca="false">C289+1</f>
        <v>2022</v>
      </c>
      <c r="D301" s="282" t="n">
        <f aca="false">D289</f>
        <v>5</v>
      </c>
      <c r="E301" s="289" t="n">
        <v>44682</v>
      </c>
      <c r="F301" s="290" t="n">
        <f aca="false">F289+F289-F277</f>
        <v>30.6457</v>
      </c>
      <c r="G301" s="290" t="n">
        <f aca="false">G289+G289-G277</f>
        <v>21.1756</v>
      </c>
      <c r="H301" s="290" t="n">
        <f aca="false">H289+H289-H277</f>
        <v>2.40533747289616</v>
      </c>
      <c r="I301" s="290" t="n">
        <f aca="false">I289+I289-I277</f>
        <v>0</v>
      </c>
      <c r="J301" s="284" t="n">
        <f aca="false">SUM(H301:I301)</f>
        <v>2.40533747289616</v>
      </c>
      <c r="K301" s="0" t="n">
        <f aca="false">F301/$J301*1000</f>
        <v>12740.7070090256</v>
      </c>
      <c r="L301" s="0" t="n">
        <f aca="false">G301/$J301*1000</f>
        <v>8803.58795329597</v>
      </c>
      <c r="N301" s="287" t="n">
        <f aca="false">N289*(1+$D$4)</f>
        <v>51.7558436243337</v>
      </c>
      <c r="O301" s="287" t="n">
        <f aca="false">O289*(1+$D$4)</f>
        <v>30.9359808000278</v>
      </c>
      <c r="P301" s="287" t="n">
        <f aca="false">P289*(1+$D$4)</f>
        <v>3.66190668238384</v>
      </c>
      <c r="Q301" s="287" t="n">
        <f aca="false">Q289*(1+$D$4)</f>
        <v>0</v>
      </c>
      <c r="R301" s="288" t="n">
        <f aca="false">SUM(P301:Q301)</f>
        <v>3.66190668238384</v>
      </c>
    </row>
    <row r="302" customFormat="false" ht="12.75" hidden="false" customHeight="false" outlineLevel="0" collapsed="false">
      <c r="C302" s="282" t="n">
        <f aca="false">C290+1</f>
        <v>2022</v>
      </c>
      <c r="D302" s="282" t="n">
        <f aca="false">D290</f>
        <v>6</v>
      </c>
      <c r="E302" s="289" t="n">
        <v>44713</v>
      </c>
      <c r="F302" s="290" t="n">
        <f aca="false">F290+F290-F278</f>
        <v>38.6906</v>
      </c>
      <c r="G302" s="290" t="n">
        <f aca="false">G290+G290-G278</f>
        <v>20.1284</v>
      </c>
      <c r="H302" s="290" t="n">
        <f aca="false">H290+H290-H278</f>
        <v>2.43030447529533</v>
      </c>
      <c r="I302" s="290" t="n">
        <f aca="false">I290+I290-I278</f>
        <v>0</v>
      </c>
      <c r="J302" s="284" t="n">
        <f aca="false">SUM(H302:I302)</f>
        <v>2.43030447529533</v>
      </c>
      <c r="K302" s="0" t="n">
        <f aca="false">F302/$J302*1000</f>
        <v>15920.0628535642</v>
      </c>
      <c r="L302" s="0" t="n">
        <f aca="false">G302/$J302*1000</f>
        <v>8282.25442721698</v>
      </c>
      <c r="N302" s="287" t="n">
        <f aca="false">N290*(1+$D$4)</f>
        <v>50.2369185977964</v>
      </c>
      <c r="O302" s="287" t="n">
        <f aca="false">O290*(1+$D$4)</f>
        <v>30.1747404101378</v>
      </c>
      <c r="P302" s="287" t="n">
        <f aca="false">P290*(1+$D$4)</f>
        <v>3.69991666391651</v>
      </c>
      <c r="Q302" s="287" t="n">
        <f aca="false">Q290*(1+$D$4)</f>
        <v>0</v>
      </c>
      <c r="R302" s="288" t="n">
        <f aca="false">SUM(P302:Q302)</f>
        <v>3.69991666391651</v>
      </c>
    </row>
    <row r="303" customFormat="false" ht="12.75" hidden="false" customHeight="false" outlineLevel="0" collapsed="false">
      <c r="C303" s="282" t="n">
        <f aca="false">C291+1</f>
        <v>2022</v>
      </c>
      <c r="D303" s="282" t="n">
        <f aca="false">D291</f>
        <v>7</v>
      </c>
      <c r="E303" s="289" t="n">
        <v>44743</v>
      </c>
      <c r="F303" s="290" t="n">
        <f aca="false">F291+F291-F279</f>
        <v>52.5243</v>
      </c>
      <c r="G303" s="290" t="n">
        <f aca="false">G291+G291-G279</f>
        <v>23.5943</v>
      </c>
      <c r="H303" s="290" t="n">
        <f aca="false">H291+H291-H279</f>
        <v>2.4925847999614</v>
      </c>
      <c r="I303" s="290" t="n">
        <f aca="false">I291+I291-I279</f>
        <v>0</v>
      </c>
      <c r="J303" s="284" t="n">
        <f aca="false">SUM(H303:I303)</f>
        <v>2.4925847999614</v>
      </c>
      <c r="K303" s="0" t="n">
        <f aca="false">F303/$J303*1000</f>
        <v>21072.2218962474</v>
      </c>
      <c r="L303" s="0" t="n">
        <f aca="false">G303/$J303*1000</f>
        <v>9465.79630926313</v>
      </c>
      <c r="N303" s="287" t="n">
        <f aca="false">N291*(1+$D$4)</f>
        <v>74.5797598958664</v>
      </c>
      <c r="O303" s="287" t="n">
        <f aca="false">O291*(1+$D$4)</f>
        <v>35.5672720997711</v>
      </c>
      <c r="P303" s="287" t="n">
        <f aca="false">P291*(1+$D$4)</f>
        <v>3.79473277169581</v>
      </c>
      <c r="Q303" s="287" t="n">
        <f aca="false">Q291*(1+$D$4)</f>
        <v>0</v>
      </c>
      <c r="R303" s="288" t="n">
        <f aca="false">SUM(P303:Q303)</f>
        <v>3.79473277169581</v>
      </c>
    </row>
    <row r="304" customFormat="false" ht="12.75" hidden="false" customHeight="false" outlineLevel="0" collapsed="false">
      <c r="C304" s="282" t="n">
        <f aca="false">C292+1</f>
        <v>2022</v>
      </c>
      <c r="D304" s="282" t="n">
        <f aca="false">D292</f>
        <v>8</v>
      </c>
      <c r="E304" s="289" t="n">
        <v>44774</v>
      </c>
      <c r="F304" s="290" t="n">
        <f aca="false">F292+F292-F280</f>
        <v>59.8967</v>
      </c>
      <c r="G304" s="290" t="n">
        <f aca="false">G292+G292-G280</f>
        <v>27.1753</v>
      </c>
      <c r="H304" s="290" t="n">
        <f aca="false">H292+H292-H280</f>
        <v>2.58230139100019</v>
      </c>
      <c r="I304" s="290" t="n">
        <f aca="false">I292+I292-I280</f>
        <v>0</v>
      </c>
      <c r="J304" s="284" t="n">
        <f aca="false">SUM(H304:I304)</f>
        <v>2.58230139100019</v>
      </c>
      <c r="K304" s="0" t="n">
        <f aca="false">F304/$J304*1000</f>
        <v>23195.0848993659</v>
      </c>
      <c r="L304" s="0" t="n">
        <f aca="false">G304/$J304*1000</f>
        <v>10523.67477116</v>
      </c>
      <c r="N304" s="287" t="n">
        <f aca="false">N292*(1+$D$4)</f>
        <v>92.5446620621504</v>
      </c>
      <c r="O304" s="287" t="n">
        <f aca="false">O292*(1+$D$4)</f>
        <v>38.0250705803706</v>
      </c>
      <c r="P304" s="287" t="n">
        <f aca="false">P292*(1+$D$4)</f>
        <v>3.93131808995057</v>
      </c>
      <c r="Q304" s="287" t="n">
        <f aca="false">Q292*(1+$D$4)</f>
        <v>0</v>
      </c>
      <c r="R304" s="288" t="n">
        <f aca="false">SUM(P304:Q304)</f>
        <v>3.93131808995057</v>
      </c>
    </row>
    <row r="305" customFormat="false" ht="12.75" hidden="false" customHeight="false" outlineLevel="0" collapsed="false">
      <c r="C305" s="282" t="n">
        <f aca="false">C293+1</f>
        <v>2022</v>
      </c>
      <c r="D305" s="282" t="n">
        <f aca="false">D293</f>
        <v>9</v>
      </c>
      <c r="E305" s="289" t="n">
        <v>44805</v>
      </c>
      <c r="F305" s="290" t="n">
        <f aca="false">F293+F293-F281</f>
        <v>51.646</v>
      </c>
      <c r="G305" s="290" t="n">
        <f aca="false">G293+G293-G281</f>
        <v>25.1165</v>
      </c>
      <c r="H305" s="290" t="n">
        <f aca="false">H293+H293-H281</f>
        <v>2.68957719251751</v>
      </c>
      <c r="I305" s="290" t="n">
        <f aca="false">I293+I293-I281</f>
        <v>0</v>
      </c>
      <c r="J305" s="284" t="n">
        <f aca="false">SUM(H305:I305)</f>
        <v>2.68957719251751</v>
      </c>
      <c r="K305" s="0" t="n">
        <f aca="false">F305/$J305*1000</f>
        <v>19202.2746711568</v>
      </c>
      <c r="L305" s="0" t="n">
        <f aca="false">G305/$J305*1000</f>
        <v>9338.45664287862</v>
      </c>
      <c r="N305" s="287" t="n">
        <f aca="false">N293*(1+$D$4)</f>
        <v>77.7188716173768</v>
      </c>
      <c r="O305" s="287" t="n">
        <f aca="false">O293*(1+$D$4)</f>
        <v>36.6021508913885</v>
      </c>
      <c r="P305" s="287" t="n">
        <f aca="false">P293*(1+$D$4)</f>
        <v>4.09463570290963</v>
      </c>
      <c r="Q305" s="287" t="n">
        <f aca="false">Q293*(1+$D$4)</f>
        <v>0</v>
      </c>
      <c r="R305" s="288" t="n">
        <f aca="false">SUM(P305:Q305)</f>
        <v>4.09463570290963</v>
      </c>
    </row>
    <row r="306" customFormat="false" ht="12.75" hidden="false" customHeight="false" outlineLevel="0" collapsed="false">
      <c r="C306" s="282" t="n">
        <f aca="false">C294+1</f>
        <v>2022</v>
      </c>
      <c r="D306" s="282" t="n">
        <f aca="false">D294</f>
        <v>10</v>
      </c>
      <c r="E306" s="289" t="n">
        <v>44835</v>
      </c>
      <c r="F306" s="290" t="n">
        <f aca="false">F294+F294-F282</f>
        <v>40.1535</v>
      </c>
      <c r="G306" s="290" t="n">
        <f aca="false">G294+G294-G282</f>
        <v>23.7811</v>
      </c>
      <c r="H306" s="290" t="n">
        <f aca="false">H294+H294-H282</f>
        <v>2.8045351486192</v>
      </c>
      <c r="I306" s="290" t="n">
        <f aca="false">I294+I294-I282</f>
        <v>0</v>
      </c>
      <c r="J306" s="284" t="n">
        <f aca="false">SUM(H306:I306)</f>
        <v>2.8045351486192</v>
      </c>
      <c r="K306" s="0" t="n">
        <f aca="false">F306/$J306*1000</f>
        <v>14317.3459672165</v>
      </c>
      <c r="L306" s="0" t="n">
        <f aca="false">G306/$J306*1000</f>
        <v>8479.51576278461</v>
      </c>
      <c r="N306" s="287" t="n">
        <f aca="false">N294*(1+$D$4)</f>
        <v>62.7007613015586</v>
      </c>
      <c r="O306" s="287" t="n">
        <f aca="false">O294*(1+$D$4)</f>
        <v>34.9105399356255</v>
      </c>
      <c r="P306" s="287" t="n">
        <f aca="false">P294*(1+$D$4)</f>
        <v>4.26964869480183</v>
      </c>
      <c r="Q306" s="287" t="n">
        <f aca="false">Q294*(1+$D$4)</f>
        <v>0</v>
      </c>
      <c r="R306" s="288" t="n">
        <f aca="false">SUM(P306:Q306)</f>
        <v>4.26964869480183</v>
      </c>
    </row>
    <row r="307" customFormat="false" ht="12.75" hidden="false" customHeight="false" outlineLevel="0" collapsed="false">
      <c r="C307" s="282" t="n">
        <f aca="false">C295+1</f>
        <v>2022</v>
      </c>
      <c r="D307" s="282" t="n">
        <f aca="false">D295</f>
        <v>11</v>
      </c>
      <c r="E307" s="289" t="n">
        <v>44866</v>
      </c>
      <c r="F307" s="290" t="n">
        <f aca="false">F295+F295-F283</f>
        <v>38.9656</v>
      </c>
      <c r="G307" s="290" t="n">
        <f aca="false">G295+G295-G283</f>
        <v>24.2706</v>
      </c>
      <c r="H307" s="290" t="n">
        <f aca="false">H295+H295-H283</f>
        <v>2.91729820341107</v>
      </c>
      <c r="I307" s="290" t="n">
        <f aca="false">I295+I295-I283</f>
        <v>0</v>
      </c>
      <c r="J307" s="284" t="n">
        <f aca="false">SUM(H307:I307)</f>
        <v>2.91729820341107</v>
      </c>
      <c r="K307" s="0" t="n">
        <f aca="false">F307/$J307*1000</f>
        <v>13356.7421919498</v>
      </c>
      <c r="L307" s="0" t="n">
        <f aca="false">G307/$J307*1000</f>
        <v>8319.54716580617</v>
      </c>
      <c r="N307" s="287" t="n">
        <f aca="false">N295*(1+$D$4)</f>
        <v>64.8810564312538</v>
      </c>
      <c r="O307" s="287" t="n">
        <f aca="false">O295*(1+$D$4)</f>
        <v>37.9247364997373</v>
      </c>
      <c r="P307" s="287" t="n">
        <f aca="false">P295*(1+$D$4)</f>
        <v>4.44132014985598</v>
      </c>
      <c r="Q307" s="287" t="n">
        <f aca="false">Q295*(1+$D$4)</f>
        <v>0</v>
      </c>
      <c r="R307" s="288" t="n">
        <f aca="false">SUM(P307:Q307)</f>
        <v>4.44132014985598</v>
      </c>
    </row>
    <row r="308" customFormat="false" ht="12.75" hidden="false" customHeight="false" outlineLevel="0" collapsed="false">
      <c r="C308" s="282" t="n">
        <f aca="false">C296+1</f>
        <v>2022</v>
      </c>
      <c r="D308" s="282" t="n">
        <f aca="false">D296</f>
        <v>12</v>
      </c>
      <c r="E308" s="289" t="n">
        <v>44896</v>
      </c>
      <c r="F308" s="290" t="n">
        <f aca="false">F296+F296-F284</f>
        <v>42.2752</v>
      </c>
      <c r="G308" s="290" t="n">
        <f aca="false">G296+G296-G284</f>
        <v>25.8112</v>
      </c>
      <c r="H308" s="290" t="n">
        <f aca="false">H296+H296-H284</f>
        <v>3.03644298736782</v>
      </c>
      <c r="I308" s="290" t="n">
        <f aca="false">I296+I296-I284</f>
        <v>0</v>
      </c>
      <c r="J308" s="284" t="n">
        <f aca="false">SUM(H308:I308)</f>
        <v>3.03644298736782</v>
      </c>
      <c r="K308" s="0" t="n">
        <f aca="false">F308/$J308*1000</f>
        <v>13922.6062125562</v>
      </c>
      <c r="L308" s="0" t="n">
        <f aca="false">G308/$J308*1000</f>
        <v>8500.47246313517</v>
      </c>
      <c r="N308" s="287" t="n">
        <f aca="false">N296*(1+$D$4)</f>
        <v>61.7900246775046</v>
      </c>
      <c r="O308" s="287" t="n">
        <f aca="false">O296*(1+$D$4)</f>
        <v>38.7243171854626</v>
      </c>
      <c r="P308" s="287" t="n">
        <f aca="false">P296*(1+$D$4)</f>
        <v>4.62270720487785</v>
      </c>
      <c r="Q308" s="287" t="n">
        <f aca="false">Q296*(1+$D$4)</f>
        <v>0</v>
      </c>
      <c r="R308" s="288" t="n">
        <f aca="false">SUM(P308:Q308)</f>
        <v>4.62270720487785</v>
      </c>
    </row>
    <row r="309" customFormat="false" ht="12.75" hidden="false" customHeight="false" outlineLevel="0" collapsed="false">
      <c r="C309" s="282" t="n">
        <f aca="false">C297+1</f>
        <v>2023</v>
      </c>
      <c r="D309" s="282" t="n">
        <f aca="false">D297</f>
        <v>1</v>
      </c>
      <c r="E309" s="289" t="n">
        <v>44927</v>
      </c>
      <c r="F309" s="290" t="n">
        <f aca="false">F297+F297-F285</f>
        <v>49.3874</v>
      </c>
      <c r="G309" s="290" t="n">
        <f aca="false">G297+G297-G285</f>
        <v>26.366</v>
      </c>
      <c r="H309" s="290" t="n">
        <f aca="false">H297+H297-H285</f>
        <v>2.899262845581</v>
      </c>
      <c r="I309" s="290" t="n">
        <f aca="false">I297+I297-I285</f>
        <v>0</v>
      </c>
      <c r="J309" s="284" t="n">
        <f aca="false">SUM(H309:I309)</f>
        <v>2.899262845581</v>
      </c>
      <c r="K309" s="0" t="n">
        <f aca="false">F309/$J309*1000</f>
        <v>17034.4679425239</v>
      </c>
      <c r="L309" s="0" t="n">
        <f aca="false">G309/$J309*1000</f>
        <v>9094.03576160284</v>
      </c>
      <c r="N309" s="287" t="n">
        <f aca="false">N297*(1+$D$4)</f>
        <v>65.188857891746</v>
      </c>
      <c r="O309" s="287" t="n">
        <f aca="false">O297*(1+$D$4)</f>
        <v>36.7412797858803</v>
      </c>
      <c r="P309" s="287" t="n">
        <f aca="false">P297*(1+$D$4)</f>
        <v>4.4680786581994</v>
      </c>
      <c r="Q309" s="287" t="n">
        <f aca="false">Q297*(1+$D$4)</f>
        <v>0</v>
      </c>
      <c r="R309" s="288" t="n">
        <f aca="false">SUM(P309:Q309)</f>
        <v>4.4680786581994</v>
      </c>
    </row>
    <row r="310" customFormat="false" ht="12.75" hidden="false" customHeight="false" outlineLevel="0" collapsed="false">
      <c r="C310" s="282" t="n">
        <f aca="false">C298+1</f>
        <v>2023</v>
      </c>
      <c r="D310" s="282" t="n">
        <f aca="false">D298</f>
        <v>2</v>
      </c>
      <c r="E310" s="289" t="n">
        <v>44958</v>
      </c>
      <c r="F310" s="290" t="n">
        <f aca="false">F298+F298-F286</f>
        <v>37.209</v>
      </c>
      <c r="G310" s="290" t="n">
        <f aca="false">G298+G298-G286</f>
        <v>24.8018</v>
      </c>
      <c r="H310" s="290" t="n">
        <f aca="false">H298+H298-H286</f>
        <v>2.67331227247047</v>
      </c>
      <c r="I310" s="290" t="n">
        <f aca="false">I298+I298-I286</f>
        <v>0</v>
      </c>
      <c r="J310" s="284" t="n">
        <f aca="false">SUM(H310:I310)</f>
        <v>2.67331227247047</v>
      </c>
      <c r="K310" s="0" t="n">
        <f aca="false">F310/$J310*1000</f>
        <v>13918.6882068268</v>
      </c>
      <c r="L310" s="0" t="n">
        <f aca="false">G310/$J310*1000</f>
        <v>9277.55438652143</v>
      </c>
      <c r="N310" s="287" t="n">
        <f aca="false">N298*(1+$D$4)</f>
        <v>48.8482392665626</v>
      </c>
      <c r="O310" s="287" t="n">
        <f aca="false">O298*(1+$D$4)</f>
        <v>30.3822758131021</v>
      </c>
      <c r="P310" s="287" t="n">
        <f aca="false">P298*(1+$D$4)</f>
        <v>4.11986430603681</v>
      </c>
      <c r="Q310" s="287" t="n">
        <f aca="false">Q298*(1+$D$4)</f>
        <v>0</v>
      </c>
      <c r="R310" s="288" t="n">
        <f aca="false">SUM(P310:Q310)</f>
        <v>4.11986430603681</v>
      </c>
    </row>
    <row r="311" customFormat="false" ht="12.75" hidden="false" customHeight="false" outlineLevel="0" collapsed="false">
      <c r="C311" s="282" t="n">
        <f aca="false">C299+1</f>
        <v>2023</v>
      </c>
      <c r="D311" s="282" t="n">
        <f aca="false">D299</f>
        <v>3</v>
      </c>
      <c r="E311" s="289" t="n">
        <v>44986</v>
      </c>
      <c r="F311" s="290" t="n">
        <f aca="false">F299+F299-F287</f>
        <v>31.7845</v>
      </c>
      <c r="G311" s="290" t="n">
        <f aca="false">G299+G299-G287</f>
        <v>20.7566</v>
      </c>
      <c r="H311" s="290" t="n">
        <f aca="false">H299+H299-H287</f>
        <v>2.52596217513575</v>
      </c>
      <c r="I311" s="290" t="n">
        <f aca="false">I299+I299-I287</f>
        <v>0</v>
      </c>
      <c r="J311" s="284" t="n">
        <f aca="false">SUM(H311:I311)</f>
        <v>2.52596217513575</v>
      </c>
      <c r="K311" s="0" t="n">
        <f aca="false">F311/$J311*1000</f>
        <v>12583.1258729327</v>
      </c>
      <c r="L311" s="0" t="n">
        <f aca="false">G311/$J311*1000</f>
        <v>8217.30436200395</v>
      </c>
      <c r="N311" s="287" t="n">
        <f aca="false">N299*(1+$D$4)</f>
        <v>46.8950918379352</v>
      </c>
      <c r="O311" s="287" t="n">
        <f aca="false">O299*(1+$D$4)</f>
        <v>32.5479892625426</v>
      </c>
      <c r="P311" s="287" t="n">
        <f aca="false">P299*(1+$D$4)</f>
        <v>3.89278181636591</v>
      </c>
      <c r="Q311" s="287" t="n">
        <f aca="false">Q299*(1+$D$4)</f>
        <v>0</v>
      </c>
      <c r="R311" s="288" t="n">
        <f aca="false">SUM(P311:Q311)</f>
        <v>3.89278181636591</v>
      </c>
    </row>
    <row r="312" customFormat="false" ht="12.75" hidden="false" customHeight="false" outlineLevel="0" collapsed="false">
      <c r="C312" s="282" t="n">
        <f aca="false">C300+1</f>
        <v>2023</v>
      </c>
      <c r="D312" s="282" t="n">
        <f aca="false">D300</f>
        <v>4</v>
      </c>
      <c r="E312" s="289" t="n">
        <v>45017</v>
      </c>
      <c r="F312" s="290" t="n">
        <f aca="false">F300+F300-F288</f>
        <v>31.849</v>
      </c>
      <c r="G312" s="290" t="n">
        <f aca="false">G300+G300-G288</f>
        <v>20.6333</v>
      </c>
      <c r="H312" s="290" t="n">
        <f aca="false">H300+H300-H288</f>
        <v>2.44606690659966</v>
      </c>
      <c r="I312" s="290" t="n">
        <f aca="false">I300+I300-I288</f>
        <v>0</v>
      </c>
      <c r="J312" s="284" t="n">
        <f aca="false">SUM(H312:I312)</f>
        <v>2.44606690659966</v>
      </c>
      <c r="K312" s="0" t="n">
        <f aca="false">F312/$J312*1000</f>
        <v>13020.4942121857</v>
      </c>
      <c r="L312" s="0" t="n">
        <f aca="false">G312/$J312*1000</f>
        <v>8435.29665698427</v>
      </c>
      <c r="N312" s="287" t="n">
        <f aca="false">N300*(1+$D$4)</f>
        <v>45.4763555699422</v>
      </c>
      <c r="O312" s="287" t="n">
        <f aca="false">O300*(1+$D$4)</f>
        <v>31.7087634741399</v>
      </c>
      <c r="P312" s="287" t="n">
        <f aca="false">P300*(1+$D$4)</f>
        <v>3.76965453772634</v>
      </c>
      <c r="Q312" s="287" t="n">
        <f aca="false">Q300*(1+$D$4)</f>
        <v>0</v>
      </c>
      <c r="R312" s="288" t="n">
        <f aca="false">SUM(P312:Q312)</f>
        <v>3.76965453772634</v>
      </c>
    </row>
    <row r="313" customFormat="false" ht="12.75" hidden="false" customHeight="false" outlineLevel="0" collapsed="false">
      <c r="C313" s="282" t="n">
        <f aca="false">C301+1</f>
        <v>2023</v>
      </c>
      <c r="D313" s="282" t="n">
        <f aca="false">D301</f>
        <v>5</v>
      </c>
      <c r="E313" s="289" t="n">
        <v>45047</v>
      </c>
      <c r="F313" s="290" t="n">
        <f aca="false">F301+F301-F289</f>
        <v>29.2297</v>
      </c>
      <c r="G313" s="290" t="n">
        <f aca="false">G301+G301-G289</f>
        <v>21.7581</v>
      </c>
      <c r="H313" s="290" t="n">
        <f aca="false">H301+H301-H289</f>
        <v>2.42367411507225</v>
      </c>
      <c r="I313" s="290" t="n">
        <f aca="false">I301+I301-I289</f>
        <v>0</v>
      </c>
      <c r="J313" s="284" t="n">
        <f aca="false">SUM(H313:I313)</f>
        <v>2.42367411507225</v>
      </c>
      <c r="K313" s="0" t="n">
        <f aca="false">F313/$J313*1000</f>
        <v>12060.0784644386</v>
      </c>
      <c r="L313" s="0" t="n">
        <f aca="false">G313/$J313*1000</f>
        <v>8977.32078116096</v>
      </c>
      <c r="N313" s="287" t="n">
        <f aca="false">N301*(1+$D$4)</f>
        <v>52.7909604968204</v>
      </c>
      <c r="O313" s="287" t="n">
        <f aca="false">O301*(1+$D$4)</f>
        <v>31.5547004160284</v>
      </c>
      <c r="P313" s="287" t="n">
        <f aca="false">P301*(1+$D$4)</f>
        <v>3.73514481603151</v>
      </c>
      <c r="Q313" s="287" t="n">
        <f aca="false">Q301*(1+$D$4)</f>
        <v>0</v>
      </c>
      <c r="R313" s="288" t="n">
        <f aca="false">SUM(P313:Q313)</f>
        <v>3.73514481603151</v>
      </c>
    </row>
    <row r="314" customFormat="false" ht="12.75" hidden="false" customHeight="false" outlineLevel="0" collapsed="false">
      <c r="C314" s="282" t="n">
        <f aca="false">C302+1</f>
        <v>2023</v>
      </c>
      <c r="D314" s="282" t="n">
        <f aca="false">D302</f>
        <v>6</v>
      </c>
      <c r="E314" s="289" t="n">
        <v>45078</v>
      </c>
      <c r="F314" s="290" t="n">
        <f aca="false">F302+F302-F290</f>
        <v>41.7883</v>
      </c>
      <c r="G314" s="290" t="n">
        <f aca="false">G302+G302-G290</f>
        <v>20.4335</v>
      </c>
      <c r="H314" s="290" t="n">
        <f aca="false">H302+H302-H290</f>
        <v>2.44883144876354</v>
      </c>
      <c r="I314" s="290" t="n">
        <f aca="false">I302+I302-I290</f>
        <v>0</v>
      </c>
      <c r="J314" s="284" t="n">
        <f aca="false">SUM(H314:I314)</f>
        <v>2.44883144876354</v>
      </c>
      <c r="K314" s="0" t="n">
        <f aca="false">F314/$J314*1000</f>
        <v>17064.5881002139</v>
      </c>
      <c r="L314" s="0" t="n">
        <f aca="false">G314/$J314*1000</f>
        <v>8344.18392099515</v>
      </c>
      <c r="N314" s="287" t="n">
        <f aca="false">N302*(1+$D$4)</f>
        <v>51.2416569697523</v>
      </c>
      <c r="O314" s="287" t="n">
        <f aca="false">O302*(1+$D$4)</f>
        <v>30.7782352183406</v>
      </c>
      <c r="P314" s="287" t="n">
        <f aca="false">P302*(1+$D$4)</f>
        <v>3.77391499719484</v>
      </c>
      <c r="Q314" s="287" t="n">
        <f aca="false">Q302*(1+$D$4)</f>
        <v>0</v>
      </c>
      <c r="R314" s="288" t="n">
        <f aca="false">SUM(P314:Q314)</f>
        <v>3.77391499719484</v>
      </c>
    </row>
    <row r="315" customFormat="false" ht="12.75" hidden="false" customHeight="false" outlineLevel="0" collapsed="false">
      <c r="C315" s="282" t="n">
        <f aca="false">C303+1</f>
        <v>2023</v>
      </c>
      <c r="D315" s="282" t="n">
        <f aca="false">D303</f>
        <v>7</v>
      </c>
      <c r="E315" s="289" t="n">
        <v>45108</v>
      </c>
      <c r="F315" s="290" t="n">
        <f aca="false">F303+F303-F291</f>
        <v>54.6659</v>
      </c>
      <c r="G315" s="290" t="n">
        <f aca="false">G303+G303-G291</f>
        <v>23.8883</v>
      </c>
      <c r="H315" s="290" t="n">
        <f aca="false">H303+H303-H291</f>
        <v>2.51158655588358</v>
      </c>
      <c r="I315" s="290" t="n">
        <f aca="false">I303+I303-I291</f>
        <v>0</v>
      </c>
      <c r="J315" s="284" t="n">
        <f aca="false">SUM(H315:I315)</f>
        <v>2.51158655588358</v>
      </c>
      <c r="K315" s="0" t="n">
        <f aca="false">F315/$J315*1000</f>
        <v>21765.4851957783</v>
      </c>
      <c r="L315" s="0" t="n">
        <f aca="false">G315/$J315*1000</f>
        <v>9511.2389991258</v>
      </c>
      <c r="N315" s="287" t="n">
        <f aca="false">N303*(1+$D$4)</f>
        <v>76.0713550937837</v>
      </c>
      <c r="O315" s="287" t="n">
        <f aca="false">O303*(1+$D$4)</f>
        <v>36.2786175417666</v>
      </c>
      <c r="P315" s="287" t="n">
        <f aca="false">P303*(1+$D$4)</f>
        <v>3.87062742712973</v>
      </c>
      <c r="Q315" s="287" t="n">
        <f aca="false">Q303*(1+$D$4)</f>
        <v>0</v>
      </c>
      <c r="R315" s="288" t="n">
        <f aca="false">SUM(P315:Q315)</f>
        <v>3.87062742712973</v>
      </c>
    </row>
    <row r="316" customFormat="false" ht="12.75" hidden="false" customHeight="false" outlineLevel="0" collapsed="false">
      <c r="C316" s="282" t="n">
        <f aca="false">C304+1</f>
        <v>2023</v>
      </c>
      <c r="D316" s="282" t="n">
        <f aca="false">D304</f>
        <v>8</v>
      </c>
      <c r="E316" s="289" t="n">
        <v>45139</v>
      </c>
      <c r="F316" s="290" t="n">
        <f aca="false">F304+F304-F292</f>
        <v>59.9143</v>
      </c>
      <c r="G316" s="290" t="n">
        <f aca="false">G304+G304-G292</f>
        <v>28.4649</v>
      </c>
      <c r="H316" s="290" t="n">
        <f aca="false">H304+H304-H292</f>
        <v>2.60198708464241</v>
      </c>
      <c r="I316" s="290" t="n">
        <f aca="false">I304+I304-I292</f>
        <v>0</v>
      </c>
      <c r="J316" s="284" t="n">
        <f aca="false">SUM(H316:I316)</f>
        <v>2.60198708464241</v>
      </c>
      <c r="K316" s="0" t="n">
        <f aca="false">F316/$J316*1000</f>
        <v>23026.3633334806</v>
      </c>
      <c r="L316" s="0" t="n">
        <f aca="false">G316/$J316*1000</f>
        <v>10939.6776671211</v>
      </c>
      <c r="N316" s="287" t="n">
        <f aca="false">N304*(1+$D$4)</f>
        <v>94.3955553033934</v>
      </c>
      <c r="O316" s="287" t="n">
        <f aca="false">O304*(1+$D$4)</f>
        <v>38.785571991978</v>
      </c>
      <c r="P316" s="287" t="n">
        <f aca="false">P304*(1+$D$4)</f>
        <v>4.00994445174959</v>
      </c>
      <c r="Q316" s="287" t="n">
        <f aca="false">Q304*(1+$D$4)</f>
        <v>0</v>
      </c>
      <c r="R316" s="288" t="n">
        <f aca="false">SUM(P316:Q316)</f>
        <v>4.00994445174959</v>
      </c>
    </row>
    <row r="317" customFormat="false" ht="12.75" hidden="false" customHeight="false" outlineLevel="0" collapsed="false">
      <c r="C317" s="282" t="n">
        <f aca="false">C305+1</f>
        <v>2023</v>
      </c>
      <c r="D317" s="282" t="n">
        <f aca="false">D305</f>
        <v>9</v>
      </c>
      <c r="E317" s="289" t="n">
        <v>45170</v>
      </c>
      <c r="F317" s="290" t="n">
        <f aca="false">F305+F305-F293</f>
        <v>52.3332</v>
      </c>
      <c r="G317" s="290" t="n">
        <f aca="false">G305+G305-G293</f>
        <v>25.8369</v>
      </c>
      <c r="H317" s="290" t="n">
        <f aca="false">H305+H305-H293</f>
        <v>2.71008068325006</v>
      </c>
      <c r="I317" s="290" t="n">
        <f aca="false">I305+I305-I293</f>
        <v>0</v>
      </c>
      <c r="J317" s="284" t="n">
        <f aca="false">SUM(H317:I317)</f>
        <v>2.71008068325006</v>
      </c>
      <c r="K317" s="0" t="n">
        <f aca="false">F317/$J317*1000</f>
        <v>19310.5689891268</v>
      </c>
      <c r="L317" s="0" t="n">
        <f aca="false">G317/$J317*1000</f>
        <v>9533.62759997801</v>
      </c>
      <c r="N317" s="287" t="n">
        <f aca="false">N305*(1+$D$4)</f>
        <v>79.2732490497243</v>
      </c>
      <c r="O317" s="287" t="n">
        <f aca="false">O305*(1+$D$4)</f>
        <v>37.3341939092163</v>
      </c>
      <c r="P317" s="287" t="n">
        <f aca="false">P305*(1+$D$4)</f>
        <v>4.17652841696783</v>
      </c>
      <c r="Q317" s="287" t="n">
        <f aca="false">Q305*(1+$D$4)</f>
        <v>0</v>
      </c>
      <c r="R317" s="288" t="n">
        <f aca="false">SUM(P317:Q317)</f>
        <v>4.17652841696783</v>
      </c>
    </row>
    <row r="318" customFormat="false" ht="12.75" hidden="false" customHeight="false" outlineLevel="0" collapsed="false">
      <c r="C318" s="282" t="n">
        <f aca="false">C306+1</f>
        <v>2023</v>
      </c>
      <c r="D318" s="282" t="n">
        <f aca="false">D306</f>
        <v>10</v>
      </c>
      <c r="E318" s="289" t="n">
        <v>45200</v>
      </c>
      <c r="F318" s="290" t="n">
        <f aca="false">F306+F306-F294</f>
        <v>39.9516</v>
      </c>
      <c r="G318" s="290" t="n">
        <f aca="false">G306+G306-G294</f>
        <v>24.3809</v>
      </c>
      <c r="H318" s="290" t="n">
        <f aca="false">H306+H306-H294</f>
        <v>2.82591499991657</v>
      </c>
      <c r="I318" s="290" t="n">
        <f aca="false">I306+I306-I294</f>
        <v>0</v>
      </c>
      <c r="J318" s="284" t="n">
        <f aca="false">SUM(H318:I318)</f>
        <v>2.82591499991657</v>
      </c>
      <c r="K318" s="0" t="n">
        <f aca="false">F318/$J318*1000</f>
        <v>14137.5802177983</v>
      </c>
      <c r="L318" s="0" t="n">
        <f aca="false">G318/$J318*1000</f>
        <v>8627.61264960901</v>
      </c>
      <c r="N318" s="287" t="n">
        <f aca="false">N306*(1+$D$4)</f>
        <v>63.9547765275898</v>
      </c>
      <c r="O318" s="287" t="n">
        <f aca="false">O306*(1+$D$4)</f>
        <v>35.6087507343381</v>
      </c>
      <c r="P318" s="287" t="n">
        <f aca="false">P306*(1+$D$4)</f>
        <v>4.35504166869786</v>
      </c>
      <c r="Q318" s="287" t="n">
        <f aca="false">Q306*(1+$D$4)</f>
        <v>0</v>
      </c>
      <c r="R318" s="288" t="n">
        <f aca="false">SUM(P318:Q318)</f>
        <v>4.35504166869786</v>
      </c>
    </row>
    <row r="319" customFormat="false" ht="12.75" hidden="false" customHeight="false" outlineLevel="0" collapsed="false">
      <c r="C319" s="282" t="n">
        <f aca="false">C307+1</f>
        <v>2023</v>
      </c>
      <c r="D319" s="282" t="n">
        <f aca="false">D307</f>
        <v>11</v>
      </c>
      <c r="E319" s="289" t="n">
        <v>45231</v>
      </c>
      <c r="F319" s="290" t="n">
        <f aca="false">F307+F307-F295</f>
        <v>37.4646</v>
      </c>
      <c r="G319" s="290" t="n">
        <f aca="false">G307+G307-G295</f>
        <v>24.1403</v>
      </c>
      <c r="H319" s="290" t="n">
        <f aca="false">H307+H307-H295</f>
        <v>2.93953768285197</v>
      </c>
      <c r="I319" s="290" t="n">
        <f aca="false">I307+I307-I295</f>
        <v>0</v>
      </c>
      <c r="J319" s="284" t="n">
        <f aca="false">SUM(H319:I319)</f>
        <v>2.93953768285197</v>
      </c>
      <c r="K319" s="0" t="n">
        <f aca="false">F319/$J319*1000</f>
        <v>12745.0653953351</v>
      </c>
      <c r="L319" s="0" t="n">
        <f aca="false">G319/$J319*1000</f>
        <v>8212.277781239</v>
      </c>
      <c r="N319" s="287" t="n">
        <f aca="false">N307*(1+$D$4)</f>
        <v>66.1786775598789</v>
      </c>
      <c r="O319" s="287" t="n">
        <f aca="false">O307*(1+$D$4)</f>
        <v>38.683231229732</v>
      </c>
      <c r="P319" s="287" t="n">
        <f aca="false">P307*(1+$D$4)</f>
        <v>4.53014655285309</v>
      </c>
      <c r="Q319" s="287" t="n">
        <f aca="false">Q307*(1+$D$4)</f>
        <v>0</v>
      </c>
      <c r="R319" s="288" t="n">
        <f aca="false">SUM(P319:Q319)</f>
        <v>4.53014655285309</v>
      </c>
    </row>
    <row r="320" customFormat="false" ht="12.75" hidden="false" customHeight="false" outlineLevel="0" collapsed="false">
      <c r="C320" s="282" t="n">
        <f aca="false">C308+1</f>
        <v>2023</v>
      </c>
      <c r="D320" s="282" t="n">
        <f aca="false">D308</f>
        <v>12</v>
      </c>
      <c r="E320" s="289" t="n">
        <v>45261</v>
      </c>
      <c r="F320" s="290" t="n">
        <f aca="false">F308+F308-F296</f>
        <v>43.4287</v>
      </c>
      <c r="G320" s="290" t="n">
        <f aca="false">G308+G308-G296</f>
        <v>26.1926</v>
      </c>
      <c r="H320" s="290" t="n">
        <f aca="false">H308+H308-H296</f>
        <v>3.0595907448758</v>
      </c>
      <c r="I320" s="290" t="n">
        <f aca="false">I308+I308-I296</f>
        <v>0</v>
      </c>
      <c r="J320" s="284" t="n">
        <f aca="false">SUM(H320:I320)</f>
        <v>3.0595907448758</v>
      </c>
      <c r="K320" s="0" t="n">
        <f aca="false">F320/$J320*1000</f>
        <v>14194.284014205</v>
      </c>
      <c r="L320" s="0" t="n">
        <f aca="false">G320/$J320*1000</f>
        <v>8560.81815643722</v>
      </c>
      <c r="N320" s="287" t="n">
        <f aca="false">N308*(1+$D$4)</f>
        <v>63.0258251710546</v>
      </c>
      <c r="O320" s="287" t="n">
        <f aca="false">O308*(1+$D$4)</f>
        <v>39.4988035291718</v>
      </c>
      <c r="P320" s="287" t="n">
        <f aca="false">P308*(1+$D$4)</f>
        <v>4.71516134897541</v>
      </c>
      <c r="Q320" s="287" t="n">
        <f aca="false">Q308*(1+$D$4)</f>
        <v>0</v>
      </c>
      <c r="R320" s="288" t="n">
        <f aca="false">SUM(P320:Q320)</f>
        <v>4.71516134897541</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7:AS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X29"/>
    </sheetView>
  </sheetViews>
  <sheetFormatPr defaultColWidth="9.0546875" defaultRowHeight="12.75" customHeight="true" zeroHeight="false" outlineLevelRow="0" outlineLevelCol="0"/>
  <sheetData>
    <row r="7" customFormat="false" ht="13.5" hidden="false" customHeight="false" outlineLevel="0" collapsed="false">
      <c r="A7" s="291" t="s">
        <v>291</v>
      </c>
    </row>
    <row r="8" customFormat="false" ht="14.25" hidden="false" customHeight="false" outlineLevel="0" collapsed="false">
      <c r="E8" s="292" t="n">
        <f aca="false">Returns!E3</f>
        <v>36280</v>
      </c>
      <c r="F8" s="292" t="n">
        <f aca="false">Returns!F3</f>
        <v>36311</v>
      </c>
      <c r="G8" s="292" t="n">
        <f aca="false">Returns!G3</f>
        <v>36341</v>
      </c>
      <c r="H8" s="292" t="n">
        <f aca="false">Returns!H3</f>
        <v>36372</v>
      </c>
      <c r="I8" s="292" t="n">
        <f aca="false">Returns!I3</f>
        <v>36403</v>
      </c>
      <c r="J8" s="292" t="n">
        <f aca="false">Returns!J3</f>
        <v>36433</v>
      </c>
      <c r="K8" s="292" t="n">
        <f aca="false">Returns!K3</f>
        <v>36464</v>
      </c>
      <c r="L8" s="292" t="n">
        <f aca="false">Returns!L3</f>
        <v>36494</v>
      </c>
      <c r="M8" s="292" t="n">
        <f aca="false">Returns!M3</f>
        <v>36525</v>
      </c>
      <c r="N8" s="292" t="n">
        <f aca="false">Returns!N3</f>
        <v>36556</v>
      </c>
      <c r="O8" s="292" t="n">
        <f aca="false">Returns!O3</f>
        <v>36585</v>
      </c>
      <c r="P8" s="292" t="n">
        <f aca="false">Returns!P3</f>
        <v>36616</v>
      </c>
      <c r="Q8" s="292" t="n">
        <f aca="false">Returns!Q3</f>
        <v>36646</v>
      </c>
      <c r="R8" s="292" t="n">
        <f aca="false">Returns!R3</f>
        <v>36677</v>
      </c>
      <c r="S8" s="292" t="n">
        <f aca="false">Returns!S3</f>
        <v>36707</v>
      </c>
      <c r="T8" s="292" t="n">
        <f aca="false">Returns!T3</f>
        <v>36738</v>
      </c>
      <c r="U8" s="292" t="n">
        <f aca="false">Returns!U3</f>
        <v>36769</v>
      </c>
      <c r="V8" s="292" t="n">
        <f aca="false">Returns!V3</f>
        <v>36799</v>
      </c>
      <c r="W8" s="292" t="n">
        <f aca="false">Returns!W3</f>
        <v>36830</v>
      </c>
      <c r="X8" s="292" t="n">
        <f aca="false">Returns!X3</f>
        <v>36860</v>
      </c>
    </row>
    <row r="9" customFormat="false" ht="13.5" hidden="false" customHeight="false" outlineLevel="0" collapsed="false">
      <c r="A9" s="293" t="s">
        <v>292</v>
      </c>
      <c r="E9" s="294" t="n">
        <f aca="false">Returns!E44</f>
        <v>500</v>
      </c>
      <c r="F9" s="294" t="n">
        <f aca="false">Returns!F44</f>
        <v>-0</v>
      </c>
      <c r="G9" s="294" t="n">
        <f aca="false">Returns!G44</f>
        <v>-0</v>
      </c>
      <c r="H9" s="294" t="n">
        <f aca="false">Returns!H44</f>
        <v>-0</v>
      </c>
      <c r="I9" s="294" t="n">
        <f aca="false">Returns!I44</f>
        <v>-0</v>
      </c>
      <c r="J9" s="294" t="n">
        <f aca="false">Returns!J44</f>
        <v>-0</v>
      </c>
      <c r="K9" s="294" t="n">
        <f aca="false">Returns!K44</f>
        <v>-0</v>
      </c>
      <c r="L9" s="294" t="n">
        <f aca="false">Returns!L44</f>
        <v>-0</v>
      </c>
      <c r="M9" s="294" t="n">
        <f aca="false">Returns!M44</f>
        <v>-0</v>
      </c>
      <c r="N9" s="294" t="n">
        <f aca="false">Returns!N44</f>
        <v>-0</v>
      </c>
      <c r="O9" s="294" t="n">
        <f aca="false">Returns!O44</f>
        <v>-0</v>
      </c>
      <c r="P9" s="294" t="n">
        <f aca="false">Returns!P44</f>
        <v>-0</v>
      </c>
      <c r="Q9" s="294" t="n">
        <f aca="false">Returns!Q44</f>
        <v>-0</v>
      </c>
      <c r="R9" s="294" t="n">
        <f aca="false">Returns!R44</f>
        <v>-0</v>
      </c>
      <c r="S9" s="294" t="n">
        <f aca="false">Returns!S44</f>
        <v>-0</v>
      </c>
      <c r="T9" s="294" t="n">
        <f aca="false">Returns!T44</f>
        <v>-0</v>
      </c>
      <c r="U9" s="294" t="n">
        <f aca="false">Returns!U44</f>
        <v>-0</v>
      </c>
      <c r="V9" s="294" t="n">
        <f aca="false">Returns!V44</f>
        <v>-0</v>
      </c>
      <c r="W9" s="294" t="n">
        <f aca="false">Returns!W44</f>
        <v>-0</v>
      </c>
      <c r="X9" s="294" t="n">
        <f aca="false">Returns!X44</f>
        <v>-0</v>
      </c>
      <c r="Y9" s="294"/>
      <c r="Z9" s="294"/>
      <c r="AA9" s="294"/>
      <c r="AB9" s="294"/>
      <c r="AC9" s="294"/>
      <c r="AD9" s="294"/>
      <c r="AE9" s="294"/>
      <c r="AF9" s="294"/>
      <c r="AG9" s="294"/>
      <c r="AH9" s="294"/>
      <c r="AI9" s="294"/>
      <c r="AJ9" s="294"/>
      <c r="AK9" s="294"/>
      <c r="AL9" s="294"/>
      <c r="AM9" s="294"/>
      <c r="AN9" s="294"/>
      <c r="AO9" s="294"/>
      <c r="AP9" s="294"/>
      <c r="AQ9" s="294"/>
      <c r="AR9" s="294"/>
      <c r="AS9" s="294"/>
    </row>
    <row r="10" customFormat="false" ht="12.75" hidden="false" customHeight="false" outlineLevel="0" collapsed="false">
      <c r="A10" s="293" t="s">
        <v>293</v>
      </c>
      <c r="E10" s="294" t="n">
        <f aca="false">Returns!E45</f>
        <v>-0</v>
      </c>
      <c r="F10" s="294" t="n">
        <f aca="false">Returns!F45</f>
        <v>-0</v>
      </c>
      <c r="G10" s="294" t="n">
        <f aca="false">Returns!G45</f>
        <v>-0</v>
      </c>
      <c r="H10" s="294" t="n">
        <f aca="false">Returns!H45</f>
        <v>-0</v>
      </c>
      <c r="I10" s="294" t="n">
        <f aca="false">Returns!I45</f>
        <v>-0</v>
      </c>
      <c r="J10" s="294" t="n">
        <f aca="false">Returns!J45</f>
        <v>-0</v>
      </c>
      <c r="K10" s="294" t="n">
        <f aca="false">Returns!K45</f>
        <v>-0</v>
      </c>
      <c r="L10" s="294" t="n">
        <f aca="false">Returns!L45</f>
        <v>-0</v>
      </c>
      <c r="M10" s="294" t="n">
        <f aca="false">Returns!M45</f>
        <v>250</v>
      </c>
      <c r="N10" s="294" t="n">
        <f aca="false">Returns!N45</f>
        <v>-0</v>
      </c>
      <c r="O10" s="294" t="n">
        <f aca="false">Returns!O45</f>
        <v>-0</v>
      </c>
      <c r="P10" s="294" t="n">
        <f aca="false">Returns!P45</f>
        <v>-0</v>
      </c>
      <c r="Q10" s="294" t="n">
        <f aca="false">Returns!Q45</f>
        <v>-0</v>
      </c>
      <c r="R10" s="294" t="n">
        <f aca="false">Returns!R45</f>
        <v>-0</v>
      </c>
      <c r="S10" s="294" t="n">
        <f aca="false">Returns!S45</f>
        <v>-0</v>
      </c>
      <c r="T10" s="294" t="n">
        <f aca="false">Returns!T45</f>
        <v>-0</v>
      </c>
      <c r="U10" s="294" t="n">
        <f aca="false">Returns!U45</f>
        <v>-0</v>
      </c>
      <c r="V10" s="294" t="n">
        <f aca="false">Returns!V45</f>
        <v>-0</v>
      </c>
      <c r="W10" s="294" t="n">
        <f aca="false">Returns!W45</f>
        <v>-0</v>
      </c>
      <c r="X10" s="294" t="n">
        <f aca="false">Returns!X45</f>
        <v>-0</v>
      </c>
      <c r="Y10" s="294"/>
      <c r="Z10" s="294"/>
      <c r="AA10" s="294"/>
      <c r="AB10" s="294"/>
      <c r="AC10" s="294"/>
      <c r="AD10" s="294"/>
      <c r="AE10" s="294"/>
      <c r="AF10" s="294"/>
      <c r="AG10" s="294"/>
      <c r="AH10" s="294"/>
      <c r="AI10" s="294"/>
      <c r="AJ10" s="294"/>
      <c r="AK10" s="294"/>
      <c r="AL10" s="294"/>
      <c r="AM10" s="294"/>
      <c r="AN10" s="294"/>
      <c r="AO10" s="294"/>
      <c r="AP10" s="294"/>
      <c r="AQ10" s="294"/>
      <c r="AR10" s="294"/>
      <c r="AS10" s="294"/>
    </row>
    <row r="11" customFormat="false" ht="12.75" hidden="false" customHeight="false" outlineLevel="0" collapsed="false">
      <c r="A11" s="293" t="s">
        <v>294</v>
      </c>
      <c r="E11" s="294" t="n">
        <f aca="false">Returns!E46</f>
        <v>-0</v>
      </c>
      <c r="F11" s="294" t="n">
        <f aca="false">Returns!F46</f>
        <v>-0</v>
      </c>
      <c r="G11" s="294" t="n">
        <f aca="false">Returns!G46</f>
        <v>-0</v>
      </c>
      <c r="H11" s="294" t="n">
        <f aca="false">Returns!H46</f>
        <v>-0</v>
      </c>
      <c r="I11" s="294" t="n">
        <f aca="false">Returns!I46</f>
        <v>-0</v>
      </c>
      <c r="J11" s="294" t="n">
        <f aca="false">Returns!J46</f>
        <v>-0</v>
      </c>
      <c r="K11" s="294" t="n">
        <f aca="false">Returns!K46</f>
        <v>-0</v>
      </c>
      <c r="L11" s="294" t="n">
        <f aca="false">Returns!L46</f>
        <v>-0</v>
      </c>
      <c r="M11" s="294" t="n">
        <f aca="false">Returns!M46</f>
        <v>-0</v>
      </c>
      <c r="N11" s="294" t="n">
        <f aca="false">Returns!N46</f>
        <v>-0</v>
      </c>
      <c r="O11" s="294" t="n">
        <f aca="false">Returns!O46</f>
        <v>-0</v>
      </c>
      <c r="P11" s="294" t="n">
        <f aca="false">Returns!P46</f>
        <v>-0</v>
      </c>
      <c r="Q11" s="294" t="n">
        <f aca="false">Returns!Q46</f>
        <v>-0</v>
      </c>
      <c r="R11" s="294" t="n">
        <f aca="false">Returns!R46</f>
        <v>-0</v>
      </c>
      <c r="S11" s="294" t="n">
        <f aca="false">Returns!S46</f>
        <v>-0</v>
      </c>
      <c r="T11" s="294" t="n">
        <f aca="false">Returns!T46</f>
        <v>-0</v>
      </c>
      <c r="U11" s="294" t="n">
        <f aca="false">Returns!U46</f>
        <v>-0</v>
      </c>
      <c r="V11" s="294" t="n">
        <f aca="false">Returns!V46</f>
        <v>-0</v>
      </c>
      <c r="W11" s="294" t="n">
        <f aca="false">Returns!W46</f>
        <v>1000</v>
      </c>
      <c r="X11" s="294" t="n">
        <f aca="false">Returns!X46</f>
        <v>-0</v>
      </c>
      <c r="Y11" s="294"/>
      <c r="Z11" s="294"/>
      <c r="AA11" s="294"/>
      <c r="AB11" s="294"/>
      <c r="AC11" s="294"/>
      <c r="AD11" s="294"/>
      <c r="AE11" s="294"/>
      <c r="AF11" s="294"/>
      <c r="AG11" s="294"/>
      <c r="AH11" s="294"/>
      <c r="AI11" s="294"/>
      <c r="AJ11" s="294"/>
      <c r="AK11" s="294"/>
      <c r="AL11" s="294"/>
      <c r="AM11" s="294"/>
      <c r="AN11" s="294"/>
      <c r="AO11" s="294"/>
      <c r="AP11" s="294"/>
      <c r="AQ11" s="294"/>
      <c r="AR11" s="294"/>
      <c r="AS11" s="294"/>
    </row>
    <row r="12" customFormat="false" ht="12.75" hidden="false" customHeight="false" outlineLevel="0" collapsed="false">
      <c r="A12" s="293" t="s">
        <v>295</v>
      </c>
      <c r="E12" s="294" t="n">
        <f aca="false">Returns!E47</f>
        <v>-0</v>
      </c>
      <c r="F12" s="294" t="n">
        <f aca="false">Returns!F47</f>
        <v>100</v>
      </c>
      <c r="G12" s="294" t="n">
        <f aca="false">Returns!G47</f>
        <v>100</v>
      </c>
      <c r="H12" s="294" t="n">
        <f aca="false">Returns!H47</f>
        <v>100</v>
      </c>
      <c r="I12" s="294" t="n">
        <f aca="false">Returns!I47</f>
        <v>100</v>
      </c>
      <c r="J12" s="294" t="n">
        <f aca="false">Returns!J47</f>
        <v>100</v>
      </c>
      <c r="K12" s="294" t="n">
        <f aca="false">Returns!K47</f>
        <v>100</v>
      </c>
      <c r="L12" s="294" t="n">
        <f aca="false">Returns!L47</f>
        <v>100</v>
      </c>
      <c r="M12" s="294" t="n">
        <f aca="false">Returns!M47</f>
        <v>100</v>
      </c>
      <c r="N12" s="294" t="n">
        <f aca="false">Returns!N47</f>
        <v>100</v>
      </c>
      <c r="O12" s="294" t="n">
        <f aca="false">Returns!O47</f>
        <v>100</v>
      </c>
      <c r="P12" s="294" t="n">
        <f aca="false">Returns!P47</f>
        <v>100</v>
      </c>
      <c r="Q12" s="294" t="n">
        <f aca="false">Returns!Q47</f>
        <v>100</v>
      </c>
      <c r="R12" s="294" t="n">
        <f aca="false">Returns!R47</f>
        <v>100</v>
      </c>
      <c r="S12" s="294" t="n">
        <f aca="false">Returns!S47</f>
        <v>100</v>
      </c>
      <c r="T12" s="294" t="n">
        <f aca="false">Returns!T47</f>
        <v>100</v>
      </c>
      <c r="U12" s="294" t="n">
        <f aca="false">Returns!U47</f>
        <v>100</v>
      </c>
      <c r="V12" s="294" t="n">
        <f aca="false">Returns!V47</f>
        <v>100</v>
      </c>
      <c r="W12" s="294" t="n">
        <f aca="false">Returns!W47</f>
        <v>100</v>
      </c>
      <c r="X12" s="294" t="n">
        <f aca="false">Returns!X47</f>
        <v>100</v>
      </c>
      <c r="Y12" s="294"/>
      <c r="Z12" s="294"/>
      <c r="AA12" s="294"/>
      <c r="AB12" s="294"/>
      <c r="AC12" s="294"/>
      <c r="AD12" s="294"/>
      <c r="AE12" s="294"/>
      <c r="AF12" s="294"/>
      <c r="AG12" s="294"/>
      <c r="AH12" s="294"/>
      <c r="AI12" s="294"/>
      <c r="AJ12" s="294"/>
      <c r="AK12" s="294"/>
      <c r="AL12" s="294"/>
      <c r="AM12" s="294"/>
      <c r="AN12" s="294"/>
      <c r="AO12" s="294"/>
      <c r="AP12" s="294"/>
      <c r="AQ12" s="294"/>
      <c r="AR12" s="294"/>
      <c r="AS12" s="294"/>
    </row>
    <row r="13" customFormat="false" ht="12.75" hidden="false" customHeight="false" outlineLevel="0" collapsed="false">
      <c r="A13" s="295" t="s">
        <v>296</v>
      </c>
      <c r="B13" s="296"/>
      <c r="C13" s="296"/>
      <c r="D13" s="296"/>
      <c r="E13" s="297" t="e">
        <f aca="false">Returns!E48</f>
        <v>#VALUE!</v>
      </c>
      <c r="F13" s="297" t="e">
        <f aca="false">Returns!F48</f>
        <v>#VALUE!</v>
      </c>
      <c r="G13" s="297" t="e">
        <f aca="false">Returns!G48</f>
        <v>#VALUE!</v>
      </c>
      <c r="H13" s="297" t="e">
        <f aca="false">Returns!H48</f>
        <v>#VALUE!</v>
      </c>
      <c r="I13" s="297" t="e">
        <f aca="false">Returns!I48</f>
        <v>#VALUE!</v>
      </c>
      <c r="J13" s="297" t="e">
        <f aca="false">Returns!J48</f>
        <v>#VALUE!</v>
      </c>
      <c r="K13" s="297" t="e">
        <f aca="false">Returns!K48</f>
        <v>#VALUE!</v>
      </c>
      <c r="L13" s="297" t="e">
        <f aca="false">Returns!L48</f>
        <v>#VALUE!</v>
      </c>
      <c r="M13" s="297" t="e">
        <f aca="false">Returns!M48</f>
        <v>#VALUE!</v>
      </c>
      <c r="N13" s="297" t="e">
        <f aca="false">Returns!N48</f>
        <v>#VALUE!</v>
      </c>
      <c r="O13" s="297" t="e">
        <f aca="false">Returns!O48</f>
        <v>#VALUE!</v>
      </c>
      <c r="P13" s="297" t="e">
        <f aca="false">Returns!P48</f>
        <v>#VALUE!</v>
      </c>
      <c r="Q13" s="297" t="e">
        <f aca="false">Returns!Q48</f>
        <v>#VALUE!</v>
      </c>
      <c r="R13" s="297" t="e">
        <f aca="false">Returns!R48</f>
        <v>#VALUE!</v>
      </c>
      <c r="S13" s="297" t="e">
        <f aca="false">Returns!S48</f>
        <v>#VALUE!</v>
      </c>
      <c r="T13" s="297" t="e">
        <f aca="false">Returns!T48</f>
        <v>#VALUE!</v>
      </c>
      <c r="U13" s="297" t="e">
        <f aca="false">Returns!U48</f>
        <v>#VALUE!</v>
      </c>
      <c r="V13" s="297" t="e">
        <f aca="false">Returns!V48</f>
        <v>#VALUE!</v>
      </c>
      <c r="W13" s="297" t="e">
        <f aca="false">Returns!W48</f>
        <v>#VALUE!</v>
      </c>
      <c r="X13" s="297" t="e">
        <f aca="false">Returns!X48</f>
        <v>#VALUE!</v>
      </c>
      <c r="Y13" s="294"/>
      <c r="Z13" s="294"/>
      <c r="AA13" s="294"/>
      <c r="AB13" s="294"/>
      <c r="AC13" s="294"/>
      <c r="AD13" s="294"/>
      <c r="AE13" s="294"/>
      <c r="AF13" s="294"/>
      <c r="AG13" s="294"/>
      <c r="AH13" s="294"/>
      <c r="AI13" s="294"/>
      <c r="AJ13" s="294"/>
      <c r="AK13" s="294"/>
      <c r="AL13" s="294"/>
      <c r="AM13" s="294"/>
      <c r="AN13" s="294"/>
      <c r="AO13" s="294"/>
      <c r="AP13" s="294"/>
      <c r="AQ13" s="294"/>
      <c r="AR13" s="294"/>
      <c r="AS13" s="294"/>
    </row>
    <row r="14" customFormat="false" ht="12.75" hidden="false" customHeight="false" outlineLevel="0" collapsed="false">
      <c r="A14" s="298" t="s">
        <v>297</v>
      </c>
      <c r="E14" s="294" t="e">
        <f aca="false">SUM(E9:E13)</f>
        <v>#VALUE!</v>
      </c>
      <c r="F14" s="294" t="e">
        <f aca="false">SUM(F9:F13)</f>
        <v>#VALUE!</v>
      </c>
      <c r="G14" s="294" t="e">
        <f aca="false">SUM(G9:G13)</f>
        <v>#VALUE!</v>
      </c>
      <c r="H14" s="294" t="e">
        <f aca="false">SUM(H9:H13)</f>
        <v>#VALUE!</v>
      </c>
      <c r="I14" s="294" t="e">
        <f aca="false">SUM(I9:I13)</f>
        <v>#VALUE!</v>
      </c>
      <c r="J14" s="294" t="e">
        <f aca="false">SUM(J9:J13)</f>
        <v>#VALUE!</v>
      </c>
      <c r="K14" s="294" t="e">
        <f aca="false">SUM(K9:K13)</f>
        <v>#VALUE!</v>
      </c>
      <c r="L14" s="294" t="e">
        <f aca="false">SUM(L9:L13)</f>
        <v>#VALUE!</v>
      </c>
      <c r="M14" s="294" t="e">
        <f aca="false">SUM(M9:M13)</f>
        <v>#VALUE!</v>
      </c>
      <c r="N14" s="294" t="e">
        <f aca="false">SUM(N9:N13)</f>
        <v>#VALUE!</v>
      </c>
      <c r="O14" s="294" t="e">
        <f aca="false">SUM(O9:O13)</f>
        <v>#VALUE!</v>
      </c>
      <c r="P14" s="294" t="e">
        <f aca="false">SUM(P9:P13)</f>
        <v>#VALUE!</v>
      </c>
      <c r="Q14" s="294" t="e">
        <f aca="false">SUM(Q9:Q13)</f>
        <v>#VALUE!</v>
      </c>
      <c r="R14" s="294" t="e">
        <f aca="false">SUM(R9:R13)</f>
        <v>#VALUE!</v>
      </c>
      <c r="S14" s="294" t="e">
        <f aca="false">SUM(S9:S13)</f>
        <v>#VALUE!</v>
      </c>
      <c r="T14" s="294" t="e">
        <f aca="false">SUM(T9:T13)</f>
        <v>#VALUE!</v>
      </c>
      <c r="U14" s="294" t="e">
        <f aca="false">SUM(U9:U13)</f>
        <v>#VALUE!</v>
      </c>
      <c r="V14" s="294" t="e">
        <f aca="false">SUM(V9:V13)</f>
        <v>#VALUE!</v>
      </c>
      <c r="W14" s="294" t="e">
        <f aca="false">SUM(W9:W13)</f>
        <v>#VALUE!</v>
      </c>
      <c r="X14" s="294" t="e">
        <f aca="false">SUM(X9:X13)</f>
        <v>#VALUE!</v>
      </c>
      <c r="Y14" s="294"/>
      <c r="Z14" s="294"/>
      <c r="AA14" s="294"/>
      <c r="AB14" s="294"/>
      <c r="AC14" s="294"/>
      <c r="AD14" s="294"/>
      <c r="AE14" s="294"/>
      <c r="AF14" s="294"/>
      <c r="AG14" s="294"/>
      <c r="AH14" s="294"/>
      <c r="AI14" s="294"/>
      <c r="AJ14" s="294"/>
      <c r="AK14" s="294"/>
      <c r="AL14" s="294"/>
      <c r="AM14" s="294"/>
      <c r="AN14" s="294"/>
      <c r="AO14" s="294"/>
      <c r="AP14" s="294"/>
      <c r="AQ14" s="294"/>
      <c r="AR14" s="294"/>
      <c r="AS14" s="294"/>
    </row>
    <row r="15" customFormat="false" ht="12.75" hidden="false" customHeight="false" outlineLevel="0" collapsed="false">
      <c r="A15" s="299" t="s">
        <v>298</v>
      </c>
      <c r="B15" s="276"/>
      <c r="C15" s="300" t="e">
        <f aca="false">XNPV(0.12,E14:X14,E8:X8)</f>
        <v>#VALUE!</v>
      </c>
    </row>
    <row r="16" customFormat="false" ht="12.75" hidden="false" customHeight="false" outlineLevel="0" collapsed="false">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row>
    <row r="18" customFormat="false" ht="13.5" hidden="false" customHeight="false" outlineLevel="0" collapsed="false">
      <c r="A18" s="291" t="s">
        <v>299</v>
      </c>
    </row>
    <row r="19" customFormat="false" ht="14.25" hidden="false" customHeight="false" outlineLevel="0" collapsed="false">
      <c r="D19" s="301" t="n">
        <v>36280</v>
      </c>
      <c r="E19" s="292" t="n">
        <f aca="false">Returns!Z3</f>
        <v>37986</v>
      </c>
      <c r="F19" s="292" t="n">
        <f aca="false">Returns!AA3</f>
        <v>38352</v>
      </c>
      <c r="G19" s="292" t="n">
        <f aca="false">Returns!AB3</f>
        <v>38717</v>
      </c>
      <c r="H19" s="292" t="n">
        <f aca="false">Returns!AC3</f>
        <v>39082</v>
      </c>
      <c r="I19" s="292" t="n">
        <f aca="false">Returns!AD3</f>
        <v>39447</v>
      </c>
      <c r="J19" s="292" t="n">
        <f aca="false">Returns!AE3</f>
        <v>39813</v>
      </c>
      <c r="K19" s="292" t="n">
        <f aca="false">Returns!AF3</f>
        <v>40178</v>
      </c>
      <c r="L19" s="292" t="n">
        <f aca="false">Returns!AG3</f>
        <v>40543</v>
      </c>
      <c r="M19" s="292" t="n">
        <f aca="false">Returns!AH3</f>
        <v>40908</v>
      </c>
      <c r="N19" s="292" t="n">
        <f aca="false">Returns!AI3</f>
        <v>41274</v>
      </c>
      <c r="O19" s="292" t="n">
        <f aca="false">Returns!AJ3</f>
        <v>41639</v>
      </c>
      <c r="P19" s="292" t="n">
        <f aca="false">Returns!AK3</f>
        <v>42004</v>
      </c>
      <c r="Q19" s="292" t="n">
        <f aca="false">Returns!AL3</f>
        <v>42369</v>
      </c>
      <c r="R19" s="292" t="n">
        <f aca="false">Returns!AM3</f>
        <v>42735</v>
      </c>
      <c r="S19" s="292" t="n">
        <f aca="false">Returns!AN3</f>
        <v>43100</v>
      </c>
      <c r="T19" s="292" t="n">
        <f aca="false">Returns!AO3</f>
        <v>43465</v>
      </c>
      <c r="U19" s="292" t="n">
        <f aca="false">Returns!AP3</f>
        <v>43830</v>
      </c>
      <c r="V19" s="292" t="n">
        <f aca="false">Returns!AQ3</f>
        <v>44196</v>
      </c>
      <c r="W19" s="292" t="n">
        <f aca="false">Returns!AR3</f>
        <v>44561</v>
      </c>
      <c r="X19" s="292" t="n">
        <f aca="false">Returns!AS3</f>
        <v>44926</v>
      </c>
    </row>
    <row r="20" customFormat="false" ht="13.5" hidden="false" customHeight="false" outlineLevel="0" collapsed="false">
      <c r="A20" s="293" t="s">
        <v>300</v>
      </c>
      <c r="D20" s="302"/>
      <c r="E20" s="294" t="e">
        <f aca="false">Returns!Z49</f>
        <v>#VALUE!</v>
      </c>
      <c r="F20" s="294" t="e">
        <f aca="false">Returns!AA49</f>
        <v>#VALUE!</v>
      </c>
      <c r="G20" s="294" t="e">
        <f aca="false">Returns!AB49</f>
        <v>#VALUE!</v>
      </c>
      <c r="H20" s="294" t="e">
        <f aca="false">Returns!AC49</f>
        <v>#VALUE!</v>
      </c>
      <c r="I20" s="294" t="e">
        <f aca="false">Returns!AD49</f>
        <v>#VALUE!</v>
      </c>
      <c r="J20" s="294" t="e">
        <f aca="false">Returns!AE49</f>
        <v>#VALUE!</v>
      </c>
      <c r="K20" s="294" t="e">
        <f aca="false">Returns!AF49</f>
        <v>#VALUE!</v>
      </c>
      <c r="L20" s="294" t="e">
        <f aca="false">Returns!AG49</f>
        <v>#VALUE!</v>
      </c>
      <c r="M20" s="294" t="e">
        <f aca="false">Returns!AH49</f>
        <v>#VALUE!</v>
      </c>
      <c r="N20" s="294" t="e">
        <f aca="false">Returns!AI49</f>
        <v>#VALUE!</v>
      </c>
      <c r="O20" s="294" t="e">
        <f aca="false">Returns!AJ49</f>
        <v>#VALUE!</v>
      </c>
      <c r="P20" s="294" t="e">
        <f aca="false">Returns!AK49</f>
        <v>#VALUE!</v>
      </c>
      <c r="Q20" s="294" t="e">
        <f aca="false">Returns!AL49</f>
        <v>#VALUE!</v>
      </c>
      <c r="R20" s="294" t="e">
        <f aca="false">Returns!AM49</f>
        <v>#VALUE!</v>
      </c>
      <c r="S20" s="294" t="e">
        <f aca="false">Returns!AN49</f>
        <v>#VALUE!</v>
      </c>
      <c r="T20" s="294" t="e">
        <f aca="false">Returns!AO49</f>
        <v>#VALUE!</v>
      </c>
      <c r="U20" s="294" t="e">
        <f aca="false">Returns!AP49</f>
        <v>#VALUE!</v>
      </c>
      <c r="V20" s="294" t="e">
        <f aca="false">Returns!AQ49</f>
        <v>#VALUE!</v>
      </c>
      <c r="W20" s="294" t="e">
        <f aca="false">Returns!AR49</f>
        <v>#VALUE!</v>
      </c>
      <c r="X20" s="294" t="e">
        <f aca="false">Returns!AS49</f>
        <v>#VALUE!</v>
      </c>
    </row>
    <row r="21" customFormat="false" ht="12.75" hidden="false" customHeight="false" outlineLevel="0" collapsed="false">
      <c r="A21" s="298" t="s">
        <v>301</v>
      </c>
      <c r="D21" s="302"/>
      <c r="E21" s="294" t="e">
        <f aca="false">Returns!Z50</f>
        <v>#VALUE!</v>
      </c>
      <c r="F21" s="294" t="e">
        <f aca="false">Returns!AA50</f>
        <v>#VALUE!</v>
      </c>
      <c r="G21" s="294" t="e">
        <f aca="false">Returns!AB50</f>
        <v>#VALUE!</v>
      </c>
      <c r="H21" s="294" t="e">
        <f aca="false">Returns!AC50</f>
        <v>#VALUE!</v>
      </c>
      <c r="I21" s="294" t="e">
        <f aca="false">Returns!AD50</f>
        <v>#VALUE!</v>
      </c>
      <c r="J21" s="294" t="e">
        <f aca="false">Returns!AE50</f>
        <v>#VALUE!</v>
      </c>
      <c r="K21" s="294" t="e">
        <f aca="false">Returns!AF50</f>
        <v>#VALUE!</v>
      </c>
      <c r="L21" s="294" t="e">
        <f aca="false">Returns!AG50</f>
        <v>#VALUE!</v>
      </c>
      <c r="M21" s="294" t="e">
        <f aca="false">Returns!AH50</f>
        <v>#VALUE!</v>
      </c>
      <c r="N21" s="294" t="e">
        <f aca="false">Returns!AI50</f>
        <v>#VALUE!</v>
      </c>
      <c r="O21" s="294" t="e">
        <f aca="false">Returns!AJ50</f>
        <v>#VALUE!</v>
      </c>
      <c r="P21" s="294" t="e">
        <f aca="false">Returns!AK50</f>
        <v>#VALUE!</v>
      </c>
      <c r="Q21" s="294" t="e">
        <f aca="false">Returns!AL50</f>
        <v>#VALUE!</v>
      </c>
      <c r="R21" s="294" t="e">
        <f aca="false">Returns!AM50</f>
        <v>#VALUE!</v>
      </c>
      <c r="S21" s="294" t="e">
        <f aca="false">Returns!AN50</f>
        <v>#VALUE!</v>
      </c>
      <c r="T21" s="294" t="e">
        <f aca="false">Returns!AO50</f>
        <v>#VALUE!</v>
      </c>
      <c r="U21" s="294" t="e">
        <f aca="false">Returns!AP50</f>
        <v>#VALUE!</v>
      </c>
      <c r="V21" s="294" t="e">
        <f aca="false">Returns!AQ50</f>
        <v>#VALUE!</v>
      </c>
      <c r="W21" s="294" t="e">
        <f aca="false">Returns!AR50</f>
        <v>#VALUE!</v>
      </c>
      <c r="X21" s="294" t="e">
        <f aca="false">Returns!AS50</f>
        <v>#VALUE!</v>
      </c>
    </row>
    <row r="22" customFormat="false" ht="12.75" hidden="false" customHeight="false" outlineLevel="0" collapsed="false">
      <c r="A22" s="295" t="s">
        <v>302</v>
      </c>
      <c r="B22" s="296"/>
      <c r="C22" s="296"/>
      <c r="D22" s="303"/>
      <c r="E22" s="297" t="n">
        <v>0</v>
      </c>
      <c r="F22" s="297" t="n">
        <f aca="false">E22*1.02</f>
        <v>0</v>
      </c>
      <c r="G22" s="297" t="n">
        <f aca="false">F22*1.02</f>
        <v>0</v>
      </c>
      <c r="H22" s="297" t="n">
        <f aca="false">G22*1.02</f>
        <v>0</v>
      </c>
      <c r="I22" s="297" t="n">
        <f aca="false">H22*1.02</f>
        <v>0</v>
      </c>
      <c r="J22" s="297" t="n">
        <f aca="false">I22*1.02</f>
        <v>0</v>
      </c>
      <c r="K22" s="297" t="n">
        <f aca="false">J22*1.02</f>
        <v>0</v>
      </c>
      <c r="L22" s="297" t="n">
        <f aca="false">K22*1.02</f>
        <v>0</v>
      </c>
      <c r="M22" s="297" t="n">
        <f aca="false">L22*1.02</f>
        <v>0</v>
      </c>
      <c r="N22" s="297" t="n">
        <f aca="false">M22*1.02</f>
        <v>0</v>
      </c>
      <c r="O22" s="297" t="n">
        <f aca="false">N22*1.02</f>
        <v>0</v>
      </c>
      <c r="P22" s="297" t="n">
        <f aca="false">O22*1.02</f>
        <v>0</v>
      </c>
      <c r="Q22" s="297" t="n">
        <f aca="false">P22*1.02</f>
        <v>0</v>
      </c>
      <c r="R22" s="297" t="n">
        <f aca="false">Q22*1.02</f>
        <v>0</v>
      </c>
      <c r="S22" s="297" t="n">
        <f aca="false">R22*1.02</f>
        <v>0</v>
      </c>
      <c r="T22" s="297" t="n">
        <f aca="false">S22*1.02</f>
        <v>0</v>
      </c>
      <c r="U22" s="297" t="n">
        <f aca="false">T22*1.02</f>
        <v>0</v>
      </c>
      <c r="V22" s="297" t="n">
        <f aca="false">U22*1.02</f>
        <v>0</v>
      </c>
      <c r="W22" s="297" t="n">
        <f aca="false">V22*1.02</f>
        <v>0</v>
      </c>
      <c r="X22" s="297" t="n">
        <f aca="false">W22*1.02</f>
        <v>0</v>
      </c>
      <c r="Y22" s="296"/>
    </row>
    <row r="23" customFormat="false" ht="12.75" hidden="false" customHeight="false" outlineLevel="0" collapsed="false">
      <c r="A23" s="304" t="s">
        <v>303</v>
      </c>
      <c r="D23" s="302" t="n">
        <v>0</v>
      </c>
      <c r="E23" s="294" t="e">
        <f aca="false">SUM(E20:E22)</f>
        <v>#VALUE!</v>
      </c>
      <c r="F23" s="294" t="e">
        <f aca="false">SUM(F20:F22)</f>
        <v>#VALUE!</v>
      </c>
      <c r="G23" s="294" t="e">
        <f aca="false">SUM(G20:G22)</f>
        <v>#VALUE!</v>
      </c>
      <c r="H23" s="294" t="e">
        <f aca="false">SUM(H20:H22)</f>
        <v>#VALUE!</v>
      </c>
      <c r="I23" s="294" t="e">
        <f aca="false">SUM(I20:I22)</f>
        <v>#VALUE!</v>
      </c>
      <c r="J23" s="294" t="e">
        <f aca="false">SUM(J20:J22)</f>
        <v>#VALUE!</v>
      </c>
      <c r="K23" s="294" t="e">
        <f aca="false">SUM(K20:K22)</f>
        <v>#VALUE!</v>
      </c>
      <c r="L23" s="294" t="e">
        <f aca="false">SUM(L20:L22)</f>
        <v>#VALUE!</v>
      </c>
      <c r="M23" s="294" t="e">
        <f aca="false">SUM(M20:M22)</f>
        <v>#VALUE!</v>
      </c>
      <c r="N23" s="294" t="e">
        <f aca="false">SUM(N20:N22)</f>
        <v>#VALUE!</v>
      </c>
      <c r="O23" s="294" t="e">
        <f aca="false">SUM(O20:O22)</f>
        <v>#VALUE!</v>
      </c>
      <c r="P23" s="294" t="e">
        <f aca="false">SUM(P20:P22)</f>
        <v>#VALUE!</v>
      </c>
      <c r="Q23" s="294" t="e">
        <f aca="false">SUM(Q20:Q22)</f>
        <v>#VALUE!</v>
      </c>
      <c r="R23" s="294" t="e">
        <f aca="false">SUM(R20:R22)</f>
        <v>#VALUE!</v>
      </c>
      <c r="S23" s="294" t="e">
        <f aca="false">SUM(S20:S22)</f>
        <v>#VALUE!</v>
      </c>
      <c r="T23" s="294" t="e">
        <f aca="false">SUM(T20:T22)</f>
        <v>#VALUE!</v>
      </c>
      <c r="U23" s="294" t="e">
        <f aca="false">SUM(U20:U22)</f>
        <v>#VALUE!</v>
      </c>
      <c r="V23" s="294" t="e">
        <f aca="false">SUM(V20:V22)</f>
        <v>#VALUE!</v>
      </c>
      <c r="W23" s="294" t="e">
        <f aca="false">SUM(W20:W22)</f>
        <v>#VALUE!</v>
      </c>
      <c r="X23" s="294" t="e">
        <f aca="false">SUM(X20:X22)</f>
        <v>#VALUE!</v>
      </c>
    </row>
    <row r="24" customFormat="false" ht="12.75" hidden="false" customHeight="false" outlineLevel="0" collapsed="false">
      <c r="A24" s="299" t="s">
        <v>298</v>
      </c>
      <c r="C24" s="300" t="e">
        <f aca="false">XNPV(0.12,D23:X23,D19:X19)</f>
        <v>#VALUE!</v>
      </c>
    </row>
    <row r="27" customFormat="false" ht="12.75" hidden="false" customHeight="false" outlineLevel="0" collapsed="false">
      <c r="A27" s="304" t="s">
        <v>304</v>
      </c>
      <c r="E27" s="300" t="e">
        <f aca="false">C15</f>
        <v>#VALUE!</v>
      </c>
    </row>
    <row r="28" customFormat="false" ht="12.75" hidden="false" customHeight="false" outlineLevel="0" collapsed="false">
      <c r="A28" s="305" t="s">
        <v>305</v>
      </c>
      <c r="B28" s="296"/>
      <c r="C28" s="296"/>
      <c r="D28" s="296"/>
      <c r="E28" s="306" t="e">
        <f aca="false">C24</f>
        <v>#VALUE!</v>
      </c>
    </row>
    <row r="29" customFormat="false" ht="12.75" hidden="false" customHeight="false" outlineLevel="0" collapsed="false">
      <c r="A29" s="299" t="s">
        <v>306</v>
      </c>
      <c r="E29" s="307" t="e">
        <f aca="false">SUM(E27:E28)</f>
        <v>#VALUE!</v>
      </c>
    </row>
  </sheetData>
  <printOptions headings="false" gridLines="false" gridLinesSet="true" horizontalCentered="false" verticalCentered="false"/>
  <pageMargins left="0.25" right="0.25"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T5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3" topLeftCell="C4" activePane="bottomRight" state="frozen"/>
      <selection pane="topLeft" activeCell="A1" activeCellId="0" sqref="A1"/>
      <selection pane="topRight" activeCell="C1" activeCellId="0" sqref="C1"/>
      <selection pane="bottomLeft" activeCell="A4" activeCellId="0" sqref="A4"/>
      <selection pane="bottomRight" activeCell="C17" activeCellId="0" sqref="C17"/>
    </sheetView>
  </sheetViews>
  <sheetFormatPr defaultColWidth="9.13671875" defaultRowHeight="11.25" customHeight="true" zeroHeight="false" outlineLevelRow="0" outlineLevelCol="0"/>
  <cols>
    <col collapsed="false" customWidth="false" hidden="false" outlineLevel="0" max="2" min="1" style="293" width="9.14"/>
    <col collapsed="false" customWidth="true" hidden="false" outlineLevel="0" max="3" min="3" style="293" width="10.41"/>
    <col collapsed="false" customWidth="false" hidden="false" outlineLevel="0" max="24" min="4" style="293" width="9.14"/>
    <col collapsed="false" customWidth="true" hidden="false" outlineLevel="0" max="25" min="25" style="293" width="10.28"/>
    <col collapsed="false" customWidth="false" hidden="false" outlineLevel="0" max="257" min="26" style="293" width="9.14"/>
  </cols>
  <sheetData>
    <row r="1" customFormat="false" ht="11.25" hidden="false" customHeight="false" outlineLevel="0" collapsed="false">
      <c r="A1" s="304" t="s">
        <v>307</v>
      </c>
    </row>
    <row r="2" customFormat="false" ht="12" hidden="false" customHeight="false" outlineLevel="0" collapsed="false"/>
    <row r="3" customFormat="false" ht="12.75" hidden="false" customHeight="false" outlineLevel="0" collapsed="false">
      <c r="D3" s="292" t="n">
        <f aca="false">Budget!D5</f>
        <v>36279</v>
      </c>
      <c r="E3" s="292" t="n">
        <f aca="false">Budget!E5</f>
        <v>36280</v>
      </c>
      <c r="F3" s="292" t="n">
        <f aca="false">Budget!F5</f>
        <v>36311</v>
      </c>
      <c r="G3" s="292" t="n">
        <f aca="false">Budget!G5</f>
        <v>36341</v>
      </c>
      <c r="H3" s="292" t="n">
        <f aca="false">Budget!H5</f>
        <v>36372</v>
      </c>
      <c r="I3" s="292" t="n">
        <f aca="false">Budget!I5</f>
        <v>36403</v>
      </c>
      <c r="J3" s="292" t="n">
        <f aca="false">Budget!J5</f>
        <v>36433</v>
      </c>
      <c r="K3" s="292" t="n">
        <f aca="false">Budget!K5</f>
        <v>36464</v>
      </c>
      <c r="L3" s="292" t="n">
        <f aca="false">Budget!L5</f>
        <v>36494</v>
      </c>
      <c r="M3" s="292" t="n">
        <f aca="false">Budget!M5</f>
        <v>36525</v>
      </c>
      <c r="N3" s="292" t="n">
        <f aca="false">Budget!N5</f>
        <v>36556</v>
      </c>
      <c r="O3" s="292" t="n">
        <f aca="false">Budget!O5</f>
        <v>36585</v>
      </c>
      <c r="P3" s="292" t="n">
        <f aca="false">Budget!P5</f>
        <v>36616</v>
      </c>
      <c r="Q3" s="292" t="n">
        <f aca="false">Budget!Q5</f>
        <v>36646</v>
      </c>
      <c r="R3" s="292" t="n">
        <f aca="false">Budget!R5</f>
        <v>36677</v>
      </c>
      <c r="S3" s="292" t="n">
        <f aca="false">Budget!S5</f>
        <v>36707</v>
      </c>
      <c r="T3" s="292" t="n">
        <f aca="false">Budget!T5</f>
        <v>36738</v>
      </c>
      <c r="U3" s="292" t="n">
        <f aca="false">Budget!U5</f>
        <v>36769</v>
      </c>
      <c r="V3" s="292" t="n">
        <f aca="false">Budget!V5</f>
        <v>36799</v>
      </c>
      <c r="W3" s="292" t="n">
        <f aca="false">Budget!W5</f>
        <v>36830</v>
      </c>
      <c r="X3" s="292" t="n">
        <f aca="false">Budget!X5</f>
        <v>36860</v>
      </c>
      <c r="Y3" s="292" t="n">
        <f aca="false">Budget!Y5</f>
        <v>37802</v>
      </c>
      <c r="Z3" s="292" t="n">
        <f aca="false">Budget!Z5</f>
        <v>37986</v>
      </c>
      <c r="AA3" s="292" t="n">
        <f aca="false">Budget!AA5</f>
        <v>38352</v>
      </c>
      <c r="AB3" s="292" t="n">
        <f aca="false">Budget!AB5</f>
        <v>38717</v>
      </c>
      <c r="AC3" s="292" t="n">
        <f aca="false">Budget!AC5</f>
        <v>39082</v>
      </c>
      <c r="AD3" s="292" t="n">
        <f aca="false">Budget!AD5</f>
        <v>39447</v>
      </c>
      <c r="AE3" s="292" t="n">
        <f aca="false">Budget!AE5</f>
        <v>39813</v>
      </c>
      <c r="AF3" s="292" t="n">
        <f aca="false">Budget!AF5</f>
        <v>40178</v>
      </c>
      <c r="AG3" s="292" t="n">
        <f aca="false">Budget!AG5</f>
        <v>40543</v>
      </c>
      <c r="AH3" s="292" t="n">
        <f aca="false">Budget!AH5</f>
        <v>40908</v>
      </c>
      <c r="AI3" s="292" t="n">
        <f aca="false">Budget!AI5</f>
        <v>41274</v>
      </c>
      <c r="AJ3" s="292" t="n">
        <f aca="false">Budget!AJ5</f>
        <v>41639</v>
      </c>
      <c r="AK3" s="292" t="n">
        <f aca="false">Budget!AK5</f>
        <v>42004</v>
      </c>
      <c r="AL3" s="292" t="n">
        <f aca="false">Budget!AL5</f>
        <v>42369</v>
      </c>
      <c r="AM3" s="292" t="n">
        <f aca="false">Budget!AM5</f>
        <v>42735</v>
      </c>
      <c r="AN3" s="292" t="n">
        <f aca="false">Budget!AN5</f>
        <v>43100</v>
      </c>
      <c r="AO3" s="292" t="n">
        <f aca="false">Budget!AO5</f>
        <v>43465</v>
      </c>
      <c r="AP3" s="292" t="n">
        <f aca="false">Budget!AP5</f>
        <v>43830</v>
      </c>
      <c r="AQ3" s="292" t="n">
        <f aca="false">Budget!AQ5</f>
        <v>44196</v>
      </c>
      <c r="AR3" s="292" t="n">
        <f aca="false">Budget!AR5</f>
        <v>44561</v>
      </c>
      <c r="AS3" s="292" t="n">
        <f aca="false">Budget!AS5</f>
        <v>44926</v>
      </c>
      <c r="AT3" s="292" t="n">
        <f aca="false">Budget!AT5</f>
        <v>45291</v>
      </c>
    </row>
    <row r="4" customFormat="false" ht="12" hidden="false" customHeight="false" outlineLevel="0" collapsed="false"/>
    <row r="5" customFormat="false" ht="11.25" hidden="false" customHeight="false" outlineLevel="0" collapsed="false">
      <c r="A5" s="291" t="s">
        <v>308</v>
      </c>
    </row>
    <row r="7" customFormat="false" ht="12" hidden="false" customHeight="false" outlineLevel="0" collapsed="false">
      <c r="A7" s="293" t="s">
        <v>309</v>
      </c>
      <c r="D7" s="294" t="n">
        <v>0</v>
      </c>
      <c r="E7" s="294" t="n">
        <v>0</v>
      </c>
      <c r="F7" s="294" t="n">
        <v>0</v>
      </c>
      <c r="G7" s="294" t="n">
        <v>0</v>
      </c>
      <c r="H7" s="294" t="n">
        <v>0</v>
      </c>
      <c r="I7" s="294" t="n">
        <v>0</v>
      </c>
      <c r="J7" s="294" t="n">
        <v>0</v>
      </c>
      <c r="K7" s="294" t="n">
        <v>0</v>
      </c>
      <c r="L7" s="294" t="n">
        <v>0</v>
      </c>
      <c r="M7" s="294" t="n">
        <v>0</v>
      </c>
      <c r="N7" s="294" t="n">
        <v>0</v>
      </c>
      <c r="O7" s="294" t="n">
        <v>0</v>
      </c>
      <c r="P7" s="294" t="n">
        <v>0</v>
      </c>
      <c r="Q7" s="294" t="n">
        <v>0</v>
      </c>
      <c r="R7" s="294" t="n">
        <v>0</v>
      </c>
      <c r="S7" s="294" t="n">
        <v>0</v>
      </c>
      <c r="T7" s="294" t="n">
        <v>0</v>
      </c>
      <c r="U7" s="294" t="n">
        <v>0</v>
      </c>
      <c r="V7" s="294" t="n">
        <v>0</v>
      </c>
      <c r="W7" s="294" t="n">
        <v>0</v>
      </c>
      <c r="X7" s="294" t="n">
        <v>0</v>
      </c>
      <c r="Y7" s="294" t="e">
        <f aca="false">Budget!Y44</f>
        <v>#VALUE!</v>
      </c>
      <c r="Z7" s="294" t="e">
        <f aca="false">Budget!Z44</f>
        <v>#VALUE!</v>
      </c>
      <c r="AA7" s="294" t="e">
        <f aca="false">Budget!AA44</f>
        <v>#VALUE!</v>
      </c>
      <c r="AB7" s="294" t="e">
        <f aca="false">Budget!AB44</f>
        <v>#VALUE!</v>
      </c>
      <c r="AC7" s="294" t="e">
        <f aca="false">Budget!AC44</f>
        <v>#VALUE!</v>
      </c>
      <c r="AD7" s="294" t="e">
        <f aca="false">Budget!AD44</f>
        <v>#VALUE!</v>
      </c>
      <c r="AE7" s="294" t="e">
        <f aca="false">Budget!AE44</f>
        <v>#VALUE!</v>
      </c>
      <c r="AF7" s="294" t="e">
        <f aca="false">Budget!AF44</f>
        <v>#VALUE!</v>
      </c>
      <c r="AG7" s="294" t="e">
        <f aca="false">Budget!AG44</f>
        <v>#VALUE!</v>
      </c>
      <c r="AH7" s="294" t="e">
        <f aca="false">Budget!AH44</f>
        <v>#VALUE!</v>
      </c>
      <c r="AI7" s="294" t="e">
        <f aca="false">Budget!AI44</f>
        <v>#VALUE!</v>
      </c>
      <c r="AJ7" s="294" t="e">
        <f aca="false">Budget!AJ44</f>
        <v>#VALUE!</v>
      </c>
      <c r="AK7" s="294" t="e">
        <f aca="false">Budget!AK44</f>
        <v>#VALUE!</v>
      </c>
      <c r="AL7" s="294" t="e">
        <f aca="false">Budget!AL44</f>
        <v>#VALUE!</v>
      </c>
      <c r="AM7" s="294" t="e">
        <f aca="false">Budget!AM44</f>
        <v>#VALUE!</v>
      </c>
      <c r="AN7" s="294" t="e">
        <f aca="false">Budget!AN44</f>
        <v>#VALUE!</v>
      </c>
      <c r="AO7" s="294" t="e">
        <f aca="false">Budget!AO44</f>
        <v>#VALUE!</v>
      </c>
      <c r="AP7" s="294" t="e">
        <f aca="false">Budget!AP44</f>
        <v>#VALUE!</v>
      </c>
      <c r="AQ7" s="294" t="e">
        <f aca="false">Budget!AQ44</f>
        <v>#VALUE!</v>
      </c>
      <c r="AR7" s="294" t="e">
        <f aca="false">Budget!AR44</f>
        <v>#VALUE!</v>
      </c>
      <c r="AS7" s="294" t="e">
        <f aca="false">Budget!AS44</f>
        <v>#N/A</v>
      </c>
      <c r="AT7" s="294" t="e">
        <f aca="false">Budget!AT44</f>
        <v>#VALUE!</v>
      </c>
    </row>
    <row r="8" customFormat="false" ht="11.25" hidden="false" customHeight="false" outlineLevel="0" collapsed="false">
      <c r="B8" s="308" t="s">
        <v>310</v>
      </c>
      <c r="C8" s="309" t="e">
        <f aca="false">XIRR($Y$7:INDEX($D$3:$AS$7,5,MATCH(Assumptions!$C$18,Returns!$D$3:$AS$3)),$Y$3:INDEX($D$3:$AS$3,1,MATCH(Assumptions!$C$18,Returns!$D$3:$AS$3)))</f>
        <v>#VALUE!</v>
      </c>
    </row>
    <row r="9" customFormat="false" ht="12" hidden="false" customHeight="false" outlineLevel="0" collapsed="false">
      <c r="B9" s="310" t="str">
        <f aca="false">"NPV "&amp;Assumptions!L44</f>
        <v>NPV 0.12</v>
      </c>
      <c r="C9" s="311" t="e">
        <f aca="false">XNPV(Assumptions!$L$44,$Y$7:INDEX($D$3:$AS$7,5,MATCH(Assumptions!$C$18,Returns!$D$3:$AS$3)),$Y$3:INDEX($D$3:$AS$3,1,MATCH(Assumptions!$C$18,Returns!$D$3:$AS$3)))</f>
        <v>#VALUE!</v>
      </c>
      <c r="D9" s="312"/>
    </row>
    <row r="13" customFormat="false" ht="11.25" hidden="false" customHeight="false" outlineLevel="0" collapsed="false">
      <c r="C13" s="293" t="s">
        <v>311</v>
      </c>
    </row>
    <row r="15" customFormat="false" ht="11.25" hidden="false" customHeight="false" outlineLevel="0" collapsed="false">
      <c r="A15" s="291" t="s">
        <v>312</v>
      </c>
    </row>
    <row r="16" customFormat="false" ht="11.25" hidden="false" customHeight="false" outlineLevel="0" collapsed="false">
      <c r="C16" s="313" t="s">
        <v>313</v>
      </c>
    </row>
    <row r="17" customFormat="false" ht="11.25" hidden="false" customHeight="false" outlineLevel="0" collapsed="false">
      <c r="A17" s="293" t="s">
        <v>314</v>
      </c>
      <c r="C17" s="314" t="e">
        <f aca="false">XNPV(Assumptions!$L$49,D17:X17,$D$3:$X$3)</f>
        <v>#VALUE!</v>
      </c>
      <c r="D17" s="294" t="n">
        <f aca="false">Budget!D44</f>
        <v>-48.2</v>
      </c>
      <c r="E17" s="294" t="n">
        <f aca="false">Budget!E44</f>
        <v>-679.915555555556</v>
      </c>
      <c r="F17" s="294" t="n">
        <f aca="false">Budget!F44</f>
        <v>-279.915555555556</v>
      </c>
      <c r="G17" s="294" t="n">
        <f aca="false">Budget!G44</f>
        <v>-279.915555555556</v>
      </c>
      <c r="H17" s="294" t="n">
        <f aca="false">Budget!H44</f>
        <v>-279.915555555556</v>
      </c>
      <c r="I17" s="294" t="n">
        <f aca="false">Budget!I44</f>
        <v>-279.915555555556</v>
      </c>
      <c r="J17" s="294" t="n">
        <f aca="false">Budget!J44</f>
        <v>-279.915555555556</v>
      </c>
      <c r="K17" s="294" t="n">
        <f aca="false">Budget!K44</f>
        <v>-279.915555555556</v>
      </c>
      <c r="L17" s="294" t="n">
        <f aca="false">Budget!L44</f>
        <v>-279.915555555556</v>
      </c>
      <c r="M17" s="294" t="n">
        <f aca="false">Budget!M44</f>
        <v>-529.915555555556</v>
      </c>
      <c r="N17" s="294" t="n">
        <f aca="false">Budget!N44</f>
        <v>-629.636363636364</v>
      </c>
      <c r="O17" s="294" t="n">
        <f aca="false">Budget!O44</f>
        <v>-948.636363636364</v>
      </c>
      <c r="P17" s="294" t="n">
        <f aca="false">Budget!P44</f>
        <v>-8279.63636363636</v>
      </c>
      <c r="Q17" s="294" t="n">
        <f aca="false">Budget!Q44</f>
        <v>-6672.83136363636</v>
      </c>
      <c r="R17" s="294" t="n">
        <f aca="false">Budget!R44</f>
        <v>-2237.83136363636</v>
      </c>
      <c r="S17" s="294" t="n">
        <f aca="false">Budget!S44</f>
        <v>-5421.83136363636</v>
      </c>
      <c r="T17" s="294" t="n">
        <f aca="false">Budget!T44</f>
        <v>-4437.83136363636</v>
      </c>
      <c r="U17" s="294" t="n">
        <f aca="false">Budget!U44</f>
        <v>-1358.08136363636</v>
      </c>
      <c r="V17" s="294" t="n">
        <f aca="false">Budget!V44</f>
        <v>-23114.0813636364</v>
      </c>
      <c r="W17" s="294" t="n">
        <f aca="false">Budget!W44</f>
        <v>-2495.58136363636</v>
      </c>
      <c r="X17" s="294" t="e">
        <f aca="false">Budget!X44</f>
        <v>#VALUE!</v>
      </c>
    </row>
    <row r="18" customFormat="false" ht="11.25" hidden="false" customHeight="false" outlineLevel="0" collapsed="false">
      <c r="A18" s="293" t="s">
        <v>315</v>
      </c>
      <c r="C18" s="314" t="e">
        <f aca="false">XNPV(Assumptions!$L$49,D18:X18,$D$3:$X$3)</f>
        <v>#VALUE!</v>
      </c>
      <c r="D18" s="294" t="n">
        <f aca="false">IF(AND(MONTH(D$3)=MONTH(Assumptions!$C$16),YEAR(D$3)=YEAR(Assumptions!$C$16)),IF($C$9&lt;0,0,$C$9/(1+Assumptions!$L$44)^((Assumptions!$C$17-Assumptions!$C$16)/365.25)),0)</f>
        <v>0</v>
      </c>
      <c r="E18" s="294" t="n">
        <f aca="false">IF(AND(MONTH(E$3)=MONTH(Assumptions!$C$16),YEAR(E$3)=YEAR(Assumptions!$C$16)),IF($C$9&lt;0,0,$C$9/(1+Assumptions!$L$44)^((Assumptions!$C$17-Assumptions!$C$16)/365.25)),0)</f>
        <v>0</v>
      </c>
      <c r="F18" s="294" t="n">
        <f aca="false">IF(AND(MONTH(F$3)=MONTH(Assumptions!$C$16),YEAR(F$3)=YEAR(Assumptions!$C$16)),IF($C$9&lt;0,0,$C$9/(1+Assumptions!$L$44)^((Assumptions!$C$17-Assumptions!$C$16)/365.25)),0)</f>
        <v>0</v>
      </c>
      <c r="G18" s="294" t="n">
        <f aca="false">IF(AND(MONTH(G$3)=MONTH(Assumptions!$C$16),YEAR(G$3)=YEAR(Assumptions!$C$16)),IF($C$9&lt;0,0,$C$9/(1+Assumptions!$L$44)^((Assumptions!$C$17-Assumptions!$C$16)/365.25)),0)</f>
        <v>0</v>
      </c>
      <c r="H18" s="294" t="n">
        <f aca="false">IF(AND(MONTH(H$3)=MONTH(Assumptions!$C$16),YEAR(H$3)=YEAR(Assumptions!$C$16)),IF($C$9&lt;0,0,$C$9/(1+Assumptions!$L$44)^((Assumptions!$C$17-Assumptions!$C$16)/365.25)),0)</f>
        <v>0</v>
      </c>
      <c r="I18" s="294" t="n">
        <f aca="false">IF(AND(MONTH(I$3)=MONTH(Assumptions!$C$16),YEAR(I$3)=YEAR(Assumptions!$C$16)),IF($C$9&lt;0,0,$C$9/(1+Assumptions!$L$44)^((Assumptions!$C$17-Assumptions!$C$16)/365.25)),0)</f>
        <v>0</v>
      </c>
      <c r="J18" s="294" t="n">
        <f aca="false">IF(AND(MONTH(J$3)=MONTH(Assumptions!$C$16),YEAR(J$3)=YEAR(Assumptions!$C$16)),IF($C$9&lt;0,0,$C$9/(1+Assumptions!$L$44)^((Assumptions!$C$17-Assumptions!$C$16)/365.25)),0)</f>
        <v>0</v>
      </c>
      <c r="K18" s="294" t="n">
        <f aca="false">IF(AND(MONTH(K$3)=MONTH(Assumptions!$C$16),YEAR(K$3)=YEAR(Assumptions!$C$16)),IF($C$9&lt;0,0,$C$9/(1+Assumptions!$L$44)^((Assumptions!$C$17-Assumptions!$C$16)/365.25)),0)</f>
        <v>0</v>
      </c>
      <c r="L18" s="294" t="n">
        <f aca="false">IF(AND(MONTH(L$3)=MONTH(Assumptions!$C$16),YEAR(L$3)=YEAR(Assumptions!$C$16)),IF($C$9&lt;0,0,$C$9/(1+Assumptions!$L$44)^((Assumptions!$C$17-Assumptions!$C$16)/365.25)),0)</f>
        <v>0</v>
      </c>
      <c r="M18" s="294" t="n">
        <f aca="false">IF(AND(MONTH(M$3)=MONTH(Assumptions!$C$16),YEAR(M$3)=YEAR(Assumptions!$C$16)),IF($C$9&lt;0,0,$C$9/(1+Assumptions!$L$44)^((Assumptions!$C$17-Assumptions!$C$16)/365.25)),0)</f>
        <v>0</v>
      </c>
      <c r="N18" s="294" t="n">
        <f aca="false">IF(AND(MONTH(N$3)=MONTH(Assumptions!$C$16),YEAR(N$3)=YEAR(Assumptions!$C$16)),IF($C$9&lt;0,0,$C$9/(1+Assumptions!$L$44)^((Assumptions!$C$17-Assumptions!$C$16)/365.25)),0)</f>
        <v>0</v>
      </c>
      <c r="O18" s="294" t="n">
        <f aca="false">IF(AND(MONTH(O$3)=MONTH(Assumptions!$C$16),YEAR(O$3)=YEAR(Assumptions!$C$16)),IF($C$9&lt;0,0,$C$9/(1+Assumptions!$L$44)^((Assumptions!$C$17-Assumptions!$C$16)/365.25)),0)</f>
        <v>0</v>
      </c>
      <c r="P18" s="294" t="n">
        <f aca="false">IF(AND(MONTH(P$3)=MONTH(Assumptions!$C$16),YEAR(P$3)=YEAR(Assumptions!$C$16)),IF($C$9&lt;0,0,$C$9/(1+Assumptions!$L$44)^((Assumptions!$C$17-Assumptions!$C$16)/365.25)),0)</f>
        <v>0</v>
      </c>
      <c r="Q18" s="294" t="n">
        <f aca="false">IF(AND(MONTH(Q$3)=MONTH(Assumptions!$C$16),YEAR(Q$3)=YEAR(Assumptions!$C$16)),IF($C$9&lt;0,0,$C$9/(1+Assumptions!$L$44)^((Assumptions!$C$17-Assumptions!$C$16)/365.25)),0)</f>
        <v>0</v>
      </c>
      <c r="R18" s="294" t="n">
        <f aca="false">IF(AND(MONTH(R$3)=MONTH(Assumptions!$C$16),YEAR(R$3)=YEAR(Assumptions!$C$16)),IF($C$9&lt;0,0,$C$9/(1+Assumptions!$L$44)^((Assumptions!$C$17-Assumptions!$C$16)/365.25)),0)</f>
        <v>0</v>
      </c>
      <c r="S18" s="294" t="n">
        <f aca="false">IF(AND(MONTH(S$3)=MONTH(Assumptions!$C$16),YEAR(S$3)=YEAR(Assumptions!$C$16)),IF($C$9&lt;0,0,$C$9/(1+Assumptions!$L$44)^((Assumptions!$C$17-Assumptions!$C$16)/365.25)),0)</f>
        <v>0</v>
      </c>
      <c r="T18" s="294" t="n">
        <f aca="false">IF(AND(MONTH(T$3)=MONTH(Assumptions!$C$16),YEAR(T$3)=YEAR(Assumptions!$C$16)),IF($C$9&lt;0,0,$C$9/(1+Assumptions!$L$44)^((Assumptions!$C$17-Assumptions!$C$16)/365.25)),0)</f>
        <v>0</v>
      </c>
      <c r="U18" s="294" t="n">
        <f aca="false">IF(AND(MONTH(U$3)=MONTH(Assumptions!$C$16),YEAR(U$3)=YEAR(Assumptions!$C$16)),IF($C$9&lt;0,0,$C$9/(1+Assumptions!$L$44)^((Assumptions!$C$17-Assumptions!$C$16)/365.25)),0)</f>
        <v>0</v>
      </c>
      <c r="V18" s="294" t="n">
        <f aca="false">IF(AND(MONTH(V$3)=MONTH(Assumptions!$C$16),YEAR(V$3)=YEAR(Assumptions!$C$16)),IF($C$9&lt;0,0,$C$9/(1+Assumptions!$L$44)^((Assumptions!$C$17-Assumptions!$C$16)/365.25)),0)</f>
        <v>0</v>
      </c>
      <c r="W18" s="294" t="n">
        <f aca="false">IF(AND(MONTH(W$3)=MONTH(Assumptions!$C$16),YEAR(W$3)=YEAR(Assumptions!$C$16)),IF($C$9&lt;0,0,$C$9/(1+Assumptions!$L$44)^((Assumptions!$C$17-Assumptions!$C$16)/365.25)),0)</f>
        <v>0</v>
      </c>
      <c r="X18" s="294" t="e">
        <f aca="false">IF(AND(MONTH(X$3)=MONTH(Assumptions!$C$16),YEAR(X$3)=YEAR(Assumptions!$C$16)),IF($C$9&lt;0,0,$C$9/(1+Assumptions!$L$44)^((Assumptions!$C$17-Assumptions!$C$16)/365.25)),0)</f>
        <v>#VALUE!</v>
      </c>
    </row>
    <row r="19" customFormat="false" ht="11.25" hidden="false" customHeight="false" outlineLevel="0" collapsed="false">
      <c r="A19" s="293" t="s">
        <v>316</v>
      </c>
      <c r="C19" s="314" t="e">
        <f aca="false">XNPV(Assumptions!$L$49,D19:X19,$D$3:$X$3)</f>
        <v>#VALUE!</v>
      </c>
      <c r="D19" s="315" t="n">
        <f aca="false">IF(AND(MONTH(D$3)=MONTH(Assumptions!$C$16),YEAR(D$3)=YEAR(Assumptions!$C$16)),IF($C$9&lt;0,0,Assumptions!$H$25),0)</f>
        <v>0</v>
      </c>
      <c r="E19" s="315" t="n">
        <f aca="false">IF(AND(MONTH(E$3)=MONTH(Assumptions!$C$16),YEAR(E$3)=YEAR(Assumptions!$C$16)),IF($C$9&lt;0,0,Assumptions!$H$25),0)</f>
        <v>0</v>
      </c>
      <c r="F19" s="315" t="n">
        <f aca="false">IF(AND(MONTH(F$3)=MONTH(Assumptions!$C$16),YEAR(F$3)=YEAR(Assumptions!$C$16)),IF($C$9&lt;0,0,Assumptions!$H$25),0)</f>
        <v>0</v>
      </c>
      <c r="G19" s="315" t="n">
        <f aca="false">IF(AND(MONTH(G$3)=MONTH(Assumptions!$C$16),YEAR(G$3)=YEAR(Assumptions!$C$16)),IF($C$9&lt;0,0,Assumptions!$H$25),0)</f>
        <v>0</v>
      </c>
      <c r="H19" s="315" t="n">
        <f aca="false">IF(AND(MONTH(H$3)=MONTH(Assumptions!$C$16),YEAR(H$3)=YEAR(Assumptions!$C$16)),IF($C$9&lt;0,0,Assumptions!$H$25),0)</f>
        <v>0</v>
      </c>
      <c r="I19" s="315" t="n">
        <f aca="false">IF(AND(MONTH(I$3)=MONTH(Assumptions!$C$16),YEAR(I$3)=YEAR(Assumptions!$C$16)),IF($C$9&lt;0,0,Assumptions!$H$25),0)</f>
        <v>0</v>
      </c>
      <c r="J19" s="315" t="n">
        <f aca="false">IF(AND(MONTH(J$3)=MONTH(Assumptions!$C$16),YEAR(J$3)=YEAR(Assumptions!$C$16)),IF($C$9&lt;0,0,Assumptions!$H$25),0)</f>
        <v>0</v>
      </c>
      <c r="K19" s="315" t="n">
        <f aca="false">IF(AND(MONTH(K$3)=MONTH(Assumptions!$C$16),YEAR(K$3)=YEAR(Assumptions!$C$16)),IF($C$9&lt;0,0,Assumptions!$H$25),0)</f>
        <v>0</v>
      </c>
      <c r="L19" s="315" t="n">
        <f aca="false">IF(AND(MONTH(L$3)=MONTH(Assumptions!$C$16),YEAR(L$3)=YEAR(Assumptions!$C$16)),IF($C$9&lt;0,0,Assumptions!$H$25),0)</f>
        <v>0</v>
      </c>
      <c r="M19" s="315" t="n">
        <f aca="false">IF(AND(MONTH(M$3)=MONTH(Assumptions!$C$16),YEAR(M$3)=YEAR(Assumptions!$C$16)),IF($C$9&lt;0,0,Assumptions!$H$25),0)</f>
        <v>0</v>
      </c>
      <c r="N19" s="315" t="n">
        <f aca="false">IF(AND(MONTH(N$3)=MONTH(Assumptions!$C$16),YEAR(N$3)=YEAR(Assumptions!$C$16)),IF($C$9&lt;0,0,Assumptions!$H$25),0)</f>
        <v>0</v>
      </c>
      <c r="O19" s="315" t="n">
        <f aca="false">IF(AND(MONTH(O$3)=MONTH(Assumptions!$C$16),YEAR(O$3)=YEAR(Assumptions!$C$16)),IF($C$9&lt;0,0,Assumptions!$H$25),0)</f>
        <v>0</v>
      </c>
      <c r="P19" s="315" t="n">
        <f aca="false">IF(AND(MONTH(P$3)=MONTH(Assumptions!$C$16),YEAR(P$3)=YEAR(Assumptions!$C$16)),IF($C$9&lt;0,0,Assumptions!$H$25),0)</f>
        <v>0</v>
      </c>
      <c r="Q19" s="315" t="n">
        <f aca="false">IF(AND(MONTH(Q$3)=MONTH(Assumptions!$C$16),YEAR(Q$3)=YEAR(Assumptions!$C$16)),IF($C$9&lt;0,0,Assumptions!$H$25),0)</f>
        <v>0</v>
      </c>
      <c r="R19" s="315" t="n">
        <f aca="false">IF(AND(MONTH(R$3)=MONTH(Assumptions!$C$16),YEAR(R$3)=YEAR(Assumptions!$C$16)),IF($C$9&lt;0,0,Assumptions!$H$25),0)</f>
        <v>0</v>
      </c>
      <c r="S19" s="315" t="n">
        <f aca="false">IF(AND(MONTH(S$3)=MONTH(Assumptions!$C$16),YEAR(S$3)=YEAR(Assumptions!$C$16)),IF($C$9&lt;0,0,Assumptions!$H$25),0)</f>
        <v>0</v>
      </c>
      <c r="T19" s="315" t="n">
        <f aca="false">IF(AND(MONTH(T$3)=MONTH(Assumptions!$C$16),YEAR(T$3)=YEAR(Assumptions!$C$16)),IF($C$9&lt;0,0,Assumptions!$H$25),0)</f>
        <v>0</v>
      </c>
      <c r="U19" s="315" t="n">
        <f aca="false">IF(AND(MONTH(U$3)=MONTH(Assumptions!$C$16),YEAR(U$3)=YEAR(Assumptions!$C$16)),IF($C$9&lt;0,0,Assumptions!$H$25),0)</f>
        <v>0</v>
      </c>
      <c r="V19" s="315" t="n">
        <f aca="false">IF(AND(MONTH(V$3)=MONTH(Assumptions!$C$16),YEAR(V$3)=YEAR(Assumptions!$C$16)),IF($C$9&lt;0,0,Assumptions!$H$25),0)</f>
        <v>0</v>
      </c>
      <c r="W19" s="315" t="n">
        <f aca="false">IF(AND(MONTH(W$3)=MONTH(Assumptions!$C$16),YEAR(W$3)=YEAR(Assumptions!$C$16)),IF($C$9&lt;0,0,Assumptions!$H$25),0)</f>
        <v>0</v>
      </c>
      <c r="X19" s="315" t="e">
        <f aca="false">IF(AND(MONTH(X$3)=MONTH(Assumptions!$C$16),YEAR(X$3)=YEAR(Assumptions!$C$16)),IF($C$9&lt;0,0,Assumptions!$H$25),0)</f>
        <v>#VALUE!</v>
      </c>
    </row>
    <row r="20" customFormat="false" ht="11.25" hidden="false" customHeight="false" outlineLevel="0" collapsed="false">
      <c r="A20" s="293" t="s">
        <v>317</v>
      </c>
      <c r="C20" s="314" t="e">
        <f aca="false">XNPV(Assumptions!$L$49,D20:X20,$D$3:$X$3)</f>
        <v>#VALUE!</v>
      </c>
      <c r="D20" s="315" t="e">
        <f aca="false">IF($C$9&lt;0,-Budget!D37,0)</f>
        <v>#VALUE!</v>
      </c>
      <c r="E20" s="315" t="e">
        <f aca="false">IF($C$9&lt;0,-Budget!E37,0)</f>
        <v>#VALUE!</v>
      </c>
      <c r="F20" s="315" t="e">
        <f aca="false">IF($C$9&lt;0,-Budget!F37,0)</f>
        <v>#VALUE!</v>
      </c>
      <c r="G20" s="315" t="e">
        <f aca="false">IF($C$9&lt;0,-Budget!G37,0)</f>
        <v>#VALUE!</v>
      </c>
      <c r="H20" s="315" t="e">
        <f aca="false">IF($C$9&lt;0,-Budget!H37,0)</f>
        <v>#VALUE!</v>
      </c>
      <c r="I20" s="315" t="e">
        <f aca="false">IF($C$9&lt;0,-Budget!I37,0)</f>
        <v>#VALUE!</v>
      </c>
      <c r="J20" s="315" t="e">
        <f aca="false">IF($C$9&lt;0,-Budget!J37,0)</f>
        <v>#VALUE!</v>
      </c>
      <c r="K20" s="315" t="e">
        <f aca="false">IF($C$9&lt;0,-Budget!K37,0)</f>
        <v>#VALUE!</v>
      </c>
      <c r="L20" s="315" t="e">
        <f aca="false">IF($C$9&lt;0,-Budget!L37,0)</f>
        <v>#VALUE!</v>
      </c>
      <c r="M20" s="315" t="e">
        <f aca="false">IF($C$9&lt;0,-Budget!M37,0)</f>
        <v>#VALUE!</v>
      </c>
      <c r="N20" s="315" t="e">
        <f aca="false">IF($C$9&lt;0,-Budget!N37,0)</f>
        <v>#VALUE!</v>
      </c>
      <c r="O20" s="315" t="e">
        <f aca="false">IF($C$9&lt;0,-Budget!O37,0)</f>
        <v>#VALUE!</v>
      </c>
      <c r="P20" s="315" t="e">
        <f aca="false">IF($C$9&lt;0,-Budget!P37,0)</f>
        <v>#VALUE!</v>
      </c>
      <c r="Q20" s="315" t="e">
        <f aca="false">IF($C$9&lt;0,-Budget!Q37,0)</f>
        <v>#VALUE!</v>
      </c>
      <c r="R20" s="315" t="e">
        <f aca="false">IF($C$9&lt;0,-Budget!R37,0)</f>
        <v>#VALUE!</v>
      </c>
      <c r="S20" s="315" t="e">
        <f aca="false">IF($C$9&lt;0,-Budget!S37,0)</f>
        <v>#VALUE!</v>
      </c>
      <c r="T20" s="315" t="e">
        <f aca="false">IF($C$9&lt;0,-Budget!T37,0)</f>
        <v>#VALUE!</v>
      </c>
      <c r="U20" s="315" t="e">
        <f aca="false">IF($C$9&lt;0,-Budget!U37,0)</f>
        <v>#VALUE!</v>
      </c>
      <c r="V20" s="315" t="e">
        <f aca="false">IF($C$9&lt;0,-Budget!V37,0)</f>
        <v>#VALUE!</v>
      </c>
      <c r="W20" s="315" t="e">
        <f aca="false">IF($C$9&lt;0,-Budget!W37,0)</f>
        <v>#VALUE!</v>
      </c>
      <c r="X20" s="315" t="e">
        <f aca="false">IF($C$9&lt;0,-Budget!X37,0)</f>
        <v>#VALUE!</v>
      </c>
    </row>
    <row r="21" customFormat="false" ht="11.25" hidden="false" customHeight="false" outlineLevel="0" collapsed="false">
      <c r="A21" s="295" t="s">
        <v>318</v>
      </c>
      <c r="B21" s="295"/>
      <c r="C21" s="316" t="e">
        <f aca="false">XNPV(Assumptions!$L$49,D21:X21,$D$3:$X$3)</f>
        <v>#VALUE!</v>
      </c>
      <c r="D21" s="297" t="n">
        <f aca="false">IF(AND(MONTH(D$3)=MONTH(Assumptions!$C$16),YEAR(D$3)=YEAR(Assumptions!$C$16)),IF($C$9&lt;0,-Budget!$B$25-Budget!$B$26,0),0)</f>
        <v>0</v>
      </c>
      <c r="E21" s="297" t="n">
        <f aca="false">IF(AND(MONTH(E$3)=MONTH(Assumptions!$C$16),YEAR(E$3)=YEAR(Assumptions!$C$16)),IF($C$9&lt;0,-Budget!$B$25-Budget!$B$26,0),0)</f>
        <v>0</v>
      </c>
      <c r="F21" s="297" t="n">
        <f aca="false">IF(AND(MONTH(F$3)=MONTH(Assumptions!$C$16),YEAR(F$3)=YEAR(Assumptions!$C$16)),IF($C$9&lt;0,-Budget!$B$25-Budget!$B$26,0),0)</f>
        <v>0</v>
      </c>
      <c r="G21" s="297" t="n">
        <f aca="false">IF(AND(MONTH(G$3)=MONTH(Assumptions!$C$16),YEAR(G$3)=YEAR(Assumptions!$C$16)),IF($C$9&lt;0,-Budget!$B$25-Budget!$B$26,0),0)</f>
        <v>0</v>
      </c>
      <c r="H21" s="297" t="n">
        <f aca="false">IF(AND(MONTH(H$3)=MONTH(Assumptions!$C$16),YEAR(H$3)=YEAR(Assumptions!$C$16)),IF($C$9&lt;0,-Budget!$B$25-Budget!$B$26,0),0)</f>
        <v>0</v>
      </c>
      <c r="I21" s="297" t="n">
        <f aca="false">IF(AND(MONTH(I$3)=MONTH(Assumptions!$C$16),YEAR(I$3)=YEAR(Assumptions!$C$16)),IF($C$9&lt;0,-Budget!$B$25-Budget!$B$26,0),0)</f>
        <v>0</v>
      </c>
      <c r="J21" s="297" t="n">
        <f aca="false">IF(AND(MONTH(J$3)=MONTH(Assumptions!$C$16),YEAR(J$3)=YEAR(Assumptions!$C$16)),IF($C$9&lt;0,-Budget!$B$25-Budget!$B$26,0),0)</f>
        <v>0</v>
      </c>
      <c r="K21" s="297" t="n">
        <f aca="false">IF(AND(MONTH(K$3)=MONTH(Assumptions!$C$16),YEAR(K$3)=YEAR(Assumptions!$C$16)),IF($C$9&lt;0,-Budget!$B$25-Budget!$B$26,0),0)</f>
        <v>0</v>
      </c>
      <c r="L21" s="297" t="n">
        <f aca="false">IF(AND(MONTH(L$3)=MONTH(Assumptions!$C$16),YEAR(L$3)=YEAR(Assumptions!$C$16)),IF($C$9&lt;0,-Budget!$B$25-Budget!$B$26,0),0)</f>
        <v>0</v>
      </c>
      <c r="M21" s="297" t="n">
        <f aca="false">IF(AND(MONTH(M$3)=MONTH(Assumptions!$C$16),YEAR(M$3)=YEAR(Assumptions!$C$16)),IF($C$9&lt;0,-Budget!$B$25-Budget!$B$26,0),0)</f>
        <v>0</v>
      </c>
      <c r="N21" s="297" t="n">
        <f aca="false">IF(AND(MONTH(N$3)=MONTH(Assumptions!$C$16),YEAR(N$3)=YEAR(Assumptions!$C$16)),IF($C$9&lt;0,-Budget!$B$25-Budget!$B$26,0),0)</f>
        <v>0</v>
      </c>
      <c r="O21" s="297" t="n">
        <f aca="false">IF(AND(MONTH(O$3)=MONTH(Assumptions!$C$16),YEAR(O$3)=YEAR(Assumptions!$C$16)),IF($C$9&lt;0,-Budget!$B$25-Budget!$B$26,0),0)</f>
        <v>0</v>
      </c>
      <c r="P21" s="297" t="n">
        <f aca="false">IF(AND(MONTH(P$3)=MONTH(Assumptions!$C$16),YEAR(P$3)=YEAR(Assumptions!$C$16)),IF($C$9&lt;0,-Budget!$B$25-Budget!$B$26,0),0)</f>
        <v>0</v>
      </c>
      <c r="Q21" s="297" t="n">
        <f aca="false">IF(AND(MONTH(Q$3)=MONTH(Assumptions!$C$16),YEAR(Q$3)=YEAR(Assumptions!$C$16)),IF($C$9&lt;0,-Budget!$B$25-Budget!$B$26,0),0)</f>
        <v>0</v>
      </c>
      <c r="R21" s="297" t="n">
        <f aca="false">IF(AND(MONTH(R$3)=MONTH(Assumptions!$C$16),YEAR(R$3)=YEAR(Assumptions!$C$16)),IF($C$9&lt;0,-Budget!$B$25-Budget!$B$26,0),0)</f>
        <v>0</v>
      </c>
      <c r="S21" s="297" t="n">
        <f aca="false">IF(AND(MONTH(S$3)=MONTH(Assumptions!$C$16),YEAR(S$3)=YEAR(Assumptions!$C$16)),IF($C$9&lt;0,-Budget!$B$25-Budget!$B$26,0),0)</f>
        <v>0</v>
      </c>
      <c r="T21" s="297" t="n">
        <f aca="false">IF(AND(MONTH(T$3)=MONTH(Assumptions!$C$16),YEAR(T$3)=YEAR(Assumptions!$C$16)),IF($C$9&lt;0,-Budget!$B$25-Budget!$B$26,0),0)</f>
        <v>0</v>
      </c>
      <c r="U21" s="297" t="n">
        <f aca="false">IF(AND(MONTH(U$3)=MONTH(Assumptions!$C$16),YEAR(U$3)=YEAR(Assumptions!$C$16)),IF($C$9&lt;0,-Budget!$B$25-Budget!$B$26,0),0)</f>
        <v>0</v>
      </c>
      <c r="V21" s="297" t="n">
        <f aca="false">IF(AND(MONTH(V$3)=MONTH(Assumptions!$C$16),YEAR(V$3)=YEAR(Assumptions!$C$16)),IF($C$9&lt;0,-Budget!$B$25-Budget!$B$26,0),0)</f>
        <v>0</v>
      </c>
      <c r="W21" s="297" t="n">
        <f aca="false">IF(AND(MONTH(W$3)=MONTH(Assumptions!$C$16),YEAR(W$3)=YEAR(Assumptions!$C$16)),IF($C$9&lt;0,-Budget!$B$25-Budget!$B$26,0),0)</f>
        <v>0</v>
      </c>
      <c r="X21" s="297" t="e">
        <f aca="false">IF(AND(MONTH(X$3)=MONTH(Assumptions!$C$16),YEAR(X$3)=YEAR(Assumptions!$C$16)),IF($C$9&lt;0,-Budget!$B$25-Budget!$B$26,0),0)</f>
        <v>#VALUE!</v>
      </c>
    </row>
    <row r="22" customFormat="false" ht="12" hidden="false" customHeight="false" outlineLevel="0" collapsed="false">
      <c r="A22" s="304" t="s">
        <v>297</v>
      </c>
      <c r="D22" s="300" t="e">
        <f aca="false">SUM(D17:D21)</f>
        <v>#VALUE!</v>
      </c>
      <c r="E22" s="300" t="e">
        <f aca="false">SUM(E17:E21)</f>
        <v>#VALUE!</v>
      </c>
      <c r="F22" s="300" t="e">
        <f aca="false">SUM(F17:F21)</f>
        <v>#VALUE!</v>
      </c>
      <c r="G22" s="300" t="e">
        <f aca="false">SUM(G17:G21)</f>
        <v>#VALUE!</v>
      </c>
      <c r="H22" s="300" t="e">
        <f aca="false">SUM(H17:H21)</f>
        <v>#VALUE!</v>
      </c>
      <c r="I22" s="300" t="e">
        <f aca="false">SUM(I17:I21)</f>
        <v>#VALUE!</v>
      </c>
      <c r="J22" s="300" t="e">
        <f aca="false">SUM(J17:J21)</f>
        <v>#VALUE!</v>
      </c>
      <c r="K22" s="300" t="e">
        <f aca="false">SUM(K17:K21)</f>
        <v>#VALUE!</v>
      </c>
      <c r="L22" s="300" t="e">
        <f aca="false">SUM(L17:L21)</f>
        <v>#VALUE!</v>
      </c>
      <c r="M22" s="300" t="e">
        <f aca="false">SUM(M17:M21)</f>
        <v>#VALUE!</v>
      </c>
      <c r="N22" s="300" t="e">
        <f aca="false">SUM(N17:N21)</f>
        <v>#VALUE!</v>
      </c>
      <c r="O22" s="300" t="e">
        <f aca="false">SUM(O17:O21)</f>
        <v>#VALUE!</v>
      </c>
      <c r="P22" s="300" t="e">
        <f aca="false">SUM(P17:P21)</f>
        <v>#VALUE!</v>
      </c>
      <c r="Q22" s="300" t="e">
        <f aca="false">SUM(Q17:Q21)</f>
        <v>#VALUE!</v>
      </c>
      <c r="R22" s="300" t="e">
        <f aca="false">SUM(R17:R21)</f>
        <v>#VALUE!</v>
      </c>
      <c r="S22" s="300" t="e">
        <f aca="false">SUM(S17:S21)</f>
        <v>#VALUE!</v>
      </c>
      <c r="T22" s="300" t="e">
        <f aca="false">SUM(T17:T21)</f>
        <v>#VALUE!</v>
      </c>
      <c r="U22" s="300" t="e">
        <f aca="false">SUM(U17:U21)</f>
        <v>#VALUE!</v>
      </c>
      <c r="V22" s="300" t="e">
        <f aca="false">SUM(V17:V21)</f>
        <v>#VALUE!</v>
      </c>
      <c r="W22" s="300" t="e">
        <f aca="false">SUM(W17:W21)</f>
        <v>#VALUE!</v>
      </c>
      <c r="X22" s="300" t="e">
        <f aca="false">SUM(X17:X21)</f>
        <v>#VALUE!</v>
      </c>
    </row>
    <row r="23" customFormat="false" ht="11.25" hidden="false" customHeight="false" outlineLevel="0" collapsed="false">
      <c r="B23" s="308" t="s">
        <v>310</v>
      </c>
      <c r="C23" s="317" t="n">
        <f aca="false">IF(ISERR(XIRR(D22:X22,D3:X3)),-1,IF(XIRR(D22:X22,D3:X3)&gt;1,"&gt;100%",XIRR(D22:X22,D3:X3,0.5)))</f>
        <v>-1</v>
      </c>
    </row>
    <row r="24" customFormat="false" ht="12" hidden="false" customHeight="false" outlineLevel="0" collapsed="false">
      <c r="B24" s="310" t="s">
        <v>313</v>
      </c>
      <c r="C24" s="311" t="e">
        <f aca="false">XNPV(Assumptions!$L$49,D22:X22,D3:X3)</f>
        <v>#VALUE!</v>
      </c>
    </row>
    <row r="30" customFormat="false" ht="11.25" hidden="false" customHeight="false" outlineLevel="0" collapsed="false">
      <c r="A30" s="291" t="s">
        <v>319</v>
      </c>
    </row>
    <row r="32" customFormat="false" ht="11.25" hidden="false" customHeight="false" outlineLevel="0" collapsed="false">
      <c r="A32" s="293" t="s">
        <v>314</v>
      </c>
      <c r="D32" s="294" t="n">
        <f aca="false">D17</f>
        <v>-48.2</v>
      </c>
      <c r="E32" s="294" t="n">
        <f aca="false">E17</f>
        <v>-679.915555555556</v>
      </c>
      <c r="F32" s="294" t="n">
        <f aca="false">F17</f>
        <v>-279.915555555556</v>
      </c>
      <c r="G32" s="294" t="n">
        <f aca="false">G17</f>
        <v>-279.915555555556</v>
      </c>
      <c r="H32" s="294" t="n">
        <f aca="false">H17</f>
        <v>-279.915555555556</v>
      </c>
      <c r="I32" s="294" t="n">
        <f aca="false">I17</f>
        <v>-279.915555555556</v>
      </c>
      <c r="J32" s="294" t="n">
        <f aca="false">J17</f>
        <v>-279.915555555556</v>
      </c>
      <c r="K32" s="294" t="n">
        <f aca="false">K17</f>
        <v>-279.915555555556</v>
      </c>
      <c r="L32" s="294" t="n">
        <f aca="false">L17</f>
        <v>-279.915555555556</v>
      </c>
      <c r="M32" s="294" t="n">
        <f aca="false">M17</f>
        <v>-529.915555555556</v>
      </c>
      <c r="N32" s="294" t="n">
        <f aca="false">N17</f>
        <v>-629.636363636364</v>
      </c>
      <c r="O32" s="294" t="n">
        <f aca="false">O17</f>
        <v>-948.636363636364</v>
      </c>
      <c r="P32" s="294" t="n">
        <f aca="false">P17</f>
        <v>-8279.63636363636</v>
      </c>
      <c r="Q32" s="294" t="n">
        <f aca="false">Q17</f>
        <v>-6672.83136363636</v>
      </c>
      <c r="R32" s="294" t="n">
        <f aca="false">R17</f>
        <v>-2237.83136363636</v>
      </c>
      <c r="S32" s="294" t="n">
        <f aca="false">S17</f>
        <v>-5421.83136363636</v>
      </c>
      <c r="T32" s="294" t="n">
        <f aca="false">T17</f>
        <v>-4437.83136363636</v>
      </c>
      <c r="U32" s="294" t="n">
        <f aca="false">U17</f>
        <v>-1358.08136363636</v>
      </c>
      <c r="V32" s="294" t="n">
        <f aca="false">V17</f>
        <v>-23114.0813636364</v>
      </c>
      <c r="W32" s="294" t="n">
        <f aca="false">W17</f>
        <v>-2495.58136363636</v>
      </c>
      <c r="X32" s="294" t="e">
        <f aca="false">X17</f>
        <v>#VALUE!</v>
      </c>
      <c r="Y32" s="294" t="n">
        <f aca="false">Y17</f>
        <v>0</v>
      </c>
      <c r="Z32" s="294" t="n">
        <f aca="false">Z17</f>
        <v>0</v>
      </c>
      <c r="AA32" s="294" t="n">
        <f aca="false">AA17</f>
        <v>0</v>
      </c>
      <c r="AB32" s="294" t="n">
        <f aca="false">AB17</f>
        <v>0</v>
      </c>
      <c r="AC32" s="294" t="n">
        <f aca="false">AC17</f>
        <v>0</v>
      </c>
      <c r="AD32" s="294" t="n">
        <f aca="false">AD17</f>
        <v>0</v>
      </c>
      <c r="AE32" s="294" t="n">
        <f aca="false">AE17</f>
        <v>0</v>
      </c>
      <c r="AF32" s="294" t="n">
        <f aca="false">AF17</f>
        <v>0</v>
      </c>
      <c r="AG32" s="294" t="n">
        <f aca="false">AG17</f>
        <v>0</v>
      </c>
      <c r="AH32" s="294" t="n">
        <f aca="false">AH17</f>
        <v>0</v>
      </c>
      <c r="AI32" s="294" t="n">
        <f aca="false">AI17</f>
        <v>0</v>
      </c>
      <c r="AJ32" s="294" t="n">
        <f aca="false">AJ17</f>
        <v>0</v>
      </c>
      <c r="AK32" s="294" t="n">
        <f aca="false">AK17</f>
        <v>0</v>
      </c>
      <c r="AL32" s="294" t="n">
        <f aca="false">AL17</f>
        <v>0</v>
      </c>
      <c r="AM32" s="294" t="n">
        <f aca="false">AM17</f>
        <v>0</v>
      </c>
      <c r="AN32" s="294" t="n">
        <f aca="false">AN17</f>
        <v>0</v>
      </c>
      <c r="AO32" s="294" t="n">
        <f aca="false">AO17</f>
        <v>0</v>
      </c>
      <c r="AP32" s="294" t="n">
        <f aca="false">AP17</f>
        <v>0</v>
      </c>
      <c r="AQ32" s="294" t="n">
        <f aca="false">AQ17</f>
        <v>0</v>
      </c>
      <c r="AR32" s="294" t="n">
        <f aca="false">AR17</f>
        <v>0</v>
      </c>
      <c r="AS32" s="294" t="n">
        <f aca="false">AS17</f>
        <v>0</v>
      </c>
      <c r="AT32" s="294" t="n">
        <f aca="false">AT17</f>
        <v>0</v>
      </c>
    </row>
    <row r="33" customFormat="false" ht="11.25" hidden="false" customHeight="false" outlineLevel="0" collapsed="false">
      <c r="A33" s="293" t="s">
        <v>316</v>
      </c>
      <c r="D33" s="294" t="n">
        <f aca="false">D19</f>
        <v>0</v>
      </c>
      <c r="E33" s="294" t="n">
        <f aca="false">E19</f>
        <v>0</v>
      </c>
      <c r="F33" s="294" t="n">
        <f aca="false">F19</f>
        <v>0</v>
      </c>
      <c r="G33" s="294" t="n">
        <f aca="false">G19</f>
        <v>0</v>
      </c>
      <c r="H33" s="294" t="n">
        <f aca="false">H19</f>
        <v>0</v>
      </c>
      <c r="I33" s="294" t="n">
        <f aca="false">I19</f>
        <v>0</v>
      </c>
      <c r="J33" s="294" t="n">
        <f aca="false">J19</f>
        <v>0</v>
      </c>
      <c r="K33" s="294" t="n">
        <f aca="false">K19</f>
        <v>0</v>
      </c>
      <c r="L33" s="294" t="n">
        <f aca="false">L19</f>
        <v>0</v>
      </c>
      <c r="M33" s="294" t="n">
        <f aca="false">M19</f>
        <v>0</v>
      </c>
      <c r="N33" s="294" t="n">
        <f aca="false">N19</f>
        <v>0</v>
      </c>
      <c r="O33" s="294" t="n">
        <f aca="false">O19</f>
        <v>0</v>
      </c>
      <c r="P33" s="294" t="n">
        <f aca="false">P19</f>
        <v>0</v>
      </c>
      <c r="Q33" s="294" t="n">
        <f aca="false">Q19</f>
        <v>0</v>
      </c>
      <c r="R33" s="294" t="n">
        <f aca="false">R19</f>
        <v>0</v>
      </c>
      <c r="S33" s="294" t="n">
        <f aca="false">S19</f>
        <v>0</v>
      </c>
      <c r="T33" s="294" t="n">
        <f aca="false">T19</f>
        <v>0</v>
      </c>
      <c r="U33" s="294" t="n">
        <f aca="false">U19</f>
        <v>0</v>
      </c>
      <c r="V33" s="294" t="n">
        <f aca="false">V19</f>
        <v>0</v>
      </c>
      <c r="W33" s="294" t="n">
        <f aca="false">W19</f>
        <v>0</v>
      </c>
      <c r="X33" s="294" t="e">
        <f aca="false">X19</f>
        <v>#VALUE!</v>
      </c>
      <c r="Y33" s="294" t="n">
        <f aca="false">Y19</f>
        <v>0</v>
      </c>
      <c r="Z33" s="294" t="n">
        <f aca="false">Z19</f>
        <v>0</v>
      </c>
      <c r="AA33" s="294" t="n">
        <f aca="false">AA19</f>
        <v>0</v>
      </c>
      <c r="AB33" s="294" t="n">
        <f aca="false">AB19</f>
        <v>0</v>
      </c>
      <c r="AC33" s="294" t="n">
        <f aca="false">AC19</f>
        <v>0</v>
      </c>
      <c r="AD33" s="294" t="n">
        <f aca="false">AD19</f>
        <v>0</v>
      </c>
      <c r="AE33" s="294" t="n">
        <f aca="false">AE19</f>
        <v>0</v>
      </c>
      <c r="AF33" s="294" t="n">
        <f aca="false">AF19</f>
        <v>0</v>
      </c>
      <c r="AG33" s="294" t="n">
        <f aca="false">AG19</f>
        <v>0</v>
      </c>
      <c r="AH33" s="294" t="n">
        <f aca="false">AH19</f>
        <v>0</v>
      </c>
      <c r="AI33" s="294" t="n">
        <f aca="false">AI19</f>
        <v>0</v>
      </c>
      <c r="AJ33" s="294" t="n">
        <f aca="false">AJ19</f>
        <v>0</v>
      </c>
      <c r="AK33" s="294" t="n">
        <f aca="false">AK19</f>
        <v>0</v>
      </c>
      <c r="AL33" s="294" t="n">
        <f aca="false">AL19</f>
        <v>0</v>
      </c>
      <c r="AM33" s="294" t="n">
        <f aca="false">AM19</f>
        <v>0</v>
      </c>
      <c r="AN33" s="294" t="n">
        <f aca="false">AN19</f>
        <v>0</v>
      </c>
      <c r="AO33" s="294" t="n">
        <f aca="false">AO19</f>
        <v>0</v>
      </c>
      <c r="AP33" s="294" t="n">
        <f aca="false">AP19</f>
        <v>0</v>
      </c>
      <c r="AQ33" s="294" t="n">
        <f aca="false">AQ19</f>
        <v>0</v>
      </c>
      <c r="AR33" s="294" t="n">
        <f aca="false">AR19</f>
        <v>0</v>
      </c>
      <c r="AS33" s="294" t="n">
        <f aca="false">AS19</f>
        <v>0</v>
      </c>
      <c r="AT33" s="294" t="n">
        <f aca="false">AT19</f>
        <v>0</v>
      </c>
    </row>
    <row r="34" customFormat="false" ht="11.25" hidden="false" customHeight="false" outlineLevel="0" collapsed="false">
      <c r="A34" s="295" t="s">
        <v>320</v>
      </c>
      <c r="B34" s="295"/>
      <c r="C34" s="295"/>
      <c r="D34" s="297" t="n">
        <f aca="false">D7</f>
        <v>0</v>
      </c>
      <c r="E34" s="297" t="n">
        <f aca="false">E7</f>
        <v>0</v>
      </c>
      <c r="F34" s="297" t="n">
        <f aca="false">F7</f>
        <v>0</v>
      </c>
      <c r="G34" s="297" t="n">
        <f aca="false">G7</f>
        <v>0</v>
      </c>
      <c r="H34" s="297" t="n">
        <f aca="false">H7</f>
        <v>0</v>
      </c>
      <c r="I34" s="297" t="n">
        <f aca="false">I7</f>
        <v>0</v>
      </c>
      <c r="J34" s="297" t="n">
        <f aca="false">J7</f>
        <v>0</v>
      </c>
      <c r="K34" s="297" t="n">
        <f aca="false">K7</f>
        <v>0</v>
      </c>
      <c r="L34" s="297" t="n">
        <f aca="false">L7</f>
        <v>0</v>
      </c>
      <c r="M34" s="297" t="n">
        <f aca="false">M7</f>
        <v>0</v>
      </c>
      <c r="N34" s="297" t="n">
        <f aca="false">N7</f>
        <v>0</v>
      </c>
      <c r="O34" s="297" t="n">
        <f aca="false">O7</f>
        <v>0</v>
      </c>
      <c r="P34" s="297" t="n">
        <f aca="false">P7</f>
        <v>0</v>
      </c>
      <c r="Q34" s="297" t="n">
        <f aca="false">Q7</f>
        <v>0</v>
      </c>
      <c r="R34" s="297" t="n">
        <f aca="false">R7</f>
        <v>0</v>
      </c>
      <c r="S34" s="297" t="n">
        <f aca="false">S7</f>
        <v>0</v>
      </c>
      <c r="T34" s="297" t="n">
        <f aca="false">T7</f>
        <v>0</v>
      </c>
      <c r="U34" s="297" t="n">
        <f aca="false">U7</f>
        <v>0</v>
      </c>
      <c r="V34" s="297" t="n">
        <f aca="false">V7</f>
        <v>0</v>
      </c>
      <c r="W34" s="297" t="n">
        <f aca="false">W7</f>
        <v>0</v>
      </c>
      <c r="X34" s="297" t="n">
        <f aca="false">X7</f>
        <v>0</v>
      </c>
      <c r="Y34" s="297" t="e">
        <f aca="false">Y7</f>
        <v>#VALUE!</v>
      </c>
      <c r="Z34" s="297" t="e">
        <f aca="false">Z7</f>
        <v>#VALUE!</v>
      </c>
      <c r="AA34" s="297" t="e">
        <f aca="false">AA7</f>
        <v>#VALUE!</v>
      </c>
      <c r="AB34" s="297" t="e">
        <f aca="false">AB7</f>
        <v>#VALUE!</v>
      </c>
      <c r="AC34" s="297" t="e">
        <f aca="false">AC7</f>
        <v>#VALUE!</v>
      </c>
      <c r="AD34" s="297" t="e">
        <f aca="false">AD7</f>
        <v>#VALUE!</v>
      </c>
      <c r="AE34" s="297" t="e">
        <f aca="false">AE7</f>
        <v>#VALUE!</v>
      </c>
      <c r="AF34" s="297" t="e">
        <f aca="false">AF7</f>
        <v>#VALUE!</v>
      </c>
      <c r="AG34" s="297" t="e">
        <f aca="false">AG7</f>
        <v>#VALUE!</v>
      </c>
      <c r="AH34" s="297" t="e">
        <f aca="false">AH7</f>
        <v>#VALUE!</v>
      </c>
      <c r="AI34" s="297" t="e">
        <f aca="false">AI7</f>
        <v>#VALUE!</v>
      </c>
      <c r="AJ34" s="297" t="e">
        <f aca="false">AJ7</f>
        <v>#VALUE!</v>
      </c>
      <c r="AK34" s="297" t="e">
        <f aca="false">AK7</f>
        <v>#VALUE!</v>
      </c>
      <c r="AL34" s="297" t="e">
        <f aca="false">AL7</f>
        <v>#VALUE!</v>
      </c>
      <c r="AM34" s="297" t="e">
        <f aca="false">AM7</f>
        <v>#VALUE!</v>
      </c>
      <c r="AN34" s="297" t="e">
        <f aca="false">AN7</f>
        <v>#VALUE!</v>
      </c>
      <c r="AO34" s="297" t="e">
        <f aca="false">AO7</f>
        <v>#VALUE!</v>
      </c>
      <c r="AP34" s="297" t="e">
        <f aca="false">AP7</f>
        <v>#VALUE!</v>
      </c>
      <c r="AQ34" s="297" t="e">
        <f aca="false">AQ7</f>
        <v>#VALUE!</v>
      </c>
      <c r="AR34" s="297" t="e">
        <f aca="false">AR7</f>
        <v>#VALUE!</v>
      </c>
      <c r="AS34" s="297" t="e">
        <f aca="false">AS7</f>
        <v>#N/A</v>
      </c>
      <c r="AT34" s="297" t="e">
        <f aca="false">AT7</f>
        <v>#VALUE!</v>
      </c>
    </row>
    <row r="35" customFormat="false" ht="12" hidden="false" customHeight="false" outlineLevel="0" collapsed="false">
      <c r="A35" s="304" t="s">
        <v>297</v>
      </c>
      <c r="D35" s="300" t="n">
        <f aca="false">SUM(D32:D34)</f>
        <v>-48.2</v>
      </c>
      <c r="E35" s="300" t="n">
        <f aca="false">SUM(E32:E34)</f>
        <v>-679.915555555556</v>
      </c>
      <c r="F35" s="300" t="n">
        <f aca="false">SUM(F32:F34)</f>
        <v>-279.915555555556</v>
      </c>
      <c r="G35" s="300" t="n">
        <f aca="false">SUM(G32:G34)</f>
        <v>-279.915555555556</v>
      </c>
      <c r="H35" s="300" t="n">
        <f aca="false">SUM(H32:H34)</f>
        <v>-279.915555555556</v>
      </c>
      <c r="I35" s="300" t="n">
        <f aca="false">SUM(I32:I34)</f>
        <v>-279.915555555556</v>
      </c>
      <c r="J35" s="300" t="n">
        <f aca="false">SUM(J32:J34)</f>
        <v>-279.915555555556</v>
      </c>
      <c r="K35" s="300" t="n">
        <f aca="false">SUM(K32:K34)</f>
        <v>-279.915555555556</v>
      </c>
      <c r="L35" s="300" t="n">
        <f aca="false">SUM(L32:L34)</f>
        <v>-279.915555555556</v>
      </c>
      <c r="M35" s="300" t="n">
        <f aca="false">SUM(M32:M34)</f>
        <v>-529.915555555556</v>
      </c>
      <c r="N35" s="300" t="n">
        <f aca="false">SUM(N32:N34)</f>
        <v>-629.636363636364</v>
      </c>
      <c r="O35" s="300" t="n">
        <f aca="false">SUM(O32:O34)</f>
        <v>-948.636363636364</v>
      </c>
      <c r="P35" s="300" t="n">
        <f aca="false">SUM(P32:P34)</f>
        <v>-8279.63636363636</v>
      </c>
      <c r="Q35" s="300" t="n">
        <f aca="false">SUM(Q32:Q34)</f>
        <v>-6672.83136363636</v>
      </c>
      <c r="R35" s="300" t="n">
        <f aca="false">SUM(R32:R34)</f>
        <v>-2237.83136363636</v>
      </c>
      <c r="S35" s="300" t="n">
        <f aca="false">SUM(S32:S34)</f>
        <v>-5421.83136363636</v>
      </c>
      <c r="T35" s="300" t="n">
        <f aca="false">SUM(T32:T34)</f>
        <v>-4437.83136363636</v>
      </c>
      <c r="U35" s="300" t="n">
        <f aca="false">SUM(U32:U34)</f>
        <v>-1358.08136363636</v>
      </c>
      <c r="V35" s="300" t="n">
        <f aca="false">SUM(V32:V34)</f>
        <v>-23114.0813636364</v>
      </c>
      <c r="W35" s="300" t="n">
        <f aca="false">SUM(W32:W34)</f>
        <v>-2495.58136363636</v>
      </c>
      <c r="X35" s="300" t="e">
        <f aca="false">SUM(X32:X34)</f>
        <v>#VALUE!</v>
      </c>
      <c r="Y35" s="300" t="e">
        <f aca="false">SUM(Y32:Y34)</f>
        <v>#VALUE!</v>
      </c>
      <c r="Z35" s="300" t="e">
        <f aca="false">SUM(Z32:Z34)</f>
        <v>#VALUE!</v>
      </c>
      <c r="AA35" s="300" t="e">
        <f aca="false">SUM(AA32:AA34)</f>
        <v>#VALUE!</v>
      </c>
      <c r="AB35" s="300" t="e">
        <f aca="false">SUM(AB32:AB34)</f>
        <v>#VALUE!</v>
      </c>
      <c r="AC35" s="300" t="e">
        <f aca="false">SUM(AC32:AC34)</f>
        <v>#VALUE!</v>
      </c>
      <c r="AD35" s="300" t="e">
        <f aca="false">SUM(AD32:AD34)</f>
        <v>#VALUE!</v>
      </c>
      <c r="AE35" s="300" t="e">
        <f aca="false">SUM(AE32:AE34)</f>
        <v>#VALUE!</v>
      </c>
      <c r="AF35" s="300" t="e">
        <f aca="false">SUM(AF32:AF34)</f>
        <v>#VALUE!</v>
      </c>
      <c r="AG35" s="300" t="e">
        <f aca="false">SUM(AG32:AG34)</f>
        <v>#VALUE!</v>
      </c>
      <c r="AH35" s="300" t="e">
        <f aca="false">SUM(AH32:AH34)</f>
        <v>#VALUE!</v>
      </c>
      <c r="AI35" s="300" t="e">
        <f aca="false">SUM(AI32:AI34)</f>
        <v>#VALUE!</v>
      </c>
      <c r="AJ35" s="300" t="e">
        <f aca="false">SUM(AJ32:AJ34)</f>
        <v>#VALUE!</v>
      </c>
      <c r="AK35" s="300" t="e">
        <f aca="false">SUM(AK32:AK34)</f>
        <v>#VALUE!</v>
      </c>
      <c r="AL35" s="300" t="e">
        <f aca="false">SUM(AL32:AL34)</f>
        <v>#VALUE!</v>
      </c>
      <c r="AM35" s="300" t="e">
        <f aca="false">SUM(AM32:AM34)</f>
        <v>#VALUE!</v>
      </c>
      <c r="AN35" s="300" t="e">
        <f aca="false">SUM(AN32:AN34)</f>
        <v>#VALUE!</v>
      </c>
      <c r="AO35" s="300" t="e">
        <f aca="false">SUM(AO32:AO34)</f>
        <v>#VALUE!</v>
      </c>
      <c r="AP35" s="300" t="e">
        <f aca="false">SUM(AP32:AP34)</f>
        <v>#VALUE!</v>
      </c>
      <c r="AQ35" s="300" t="e">
        <f aca="false">SUM(AQ32:AQ34)</f>
        <v>#VALUE!</v>
      </c>
      <c r="AR35" s="300" t="e">
        <f aca="false">SUM(AR32:AR34)</f>
        <v>#VALUE!</v>
      </c>
      <c r="AS35" s="300" t="e">
        <f aca="false">SUM(AS32:AS34)</f>
        <v>#N/A</v>
      </c>
      <c r="AT35" s="300" t="e">
        <f aca="false">SUM(AT32:AT34)</f>
        <v>#VALUE!</v>
      </c>
    </row>
    <row r="36" customFormat="false" ht="11.25" hidden="false" customHeight="false" outlineLevel="0" collapsed="false">
      <c r="B36" s="308" t="s">
        <v>310</v>
      </c>
      <c r="C36" s="309" t="e">
        <f aca="false">XIRR($D$35:INDEX($D$3:$AS$35,33,MATCH(Assumptions!$C$18,$D$3:$AS$3)),$D$3:INDEX($D$3:$AS$3,1,MATCH(Assumptions!$C$18,$D$3:$AS$3)))</f>
        <v>#VALUE!</v>
      </c>
    </row>
    <row r="37" customFormat="false" ht="12" hidden="false" customHeight="false" outlineLevel="0" collapsed="false">
      <c r="B37" s="310" t="str">
        <f aca="false">"NPV "&amp;Assumptions!L49</f>
        <v>NPV 0.12</v>
      </c>
      <c r="C37" s="311" t="e">
        <f aca="false">XNPV(Assumptions!$L$49,$D$35:INDEX($D$3:$AS$35,33,MATCH(Assumptions!$C$18,$D$3:$AS$3)),$D$3:INDEX($D$3:$AS$3,1,MATCH(Assumptions!$C$18,$D$3:$AS$3)))</f>
        <v>#VALUE!</v>
      </c>
    </row>
    <row r="43" customFormat="false" ht="11.25" hidden="false" customHeight="false" outlineLevel="0" collapsed="false">
      <c r="A43" s="291" t="s">
        <v>321</v>
      </c>
    </row>
    <row r="44" customFormat="false" ht="12" hidden="false" customHeight="true" outlineLevel="0" collapsed="false">
      <c r="A44" s="293" t="s">
        <v>292</v>
      </c>
      <c r="C44" s="314" t="n">
        <f aca="false">XNPV(Assumptions!$L$57,D44:INDEX($D$3:$AS$50,42,MATCH(Assumptions!$C$18,Returns!$D$3:$AS$3)),$D$3:INDEX(Returns!$D$3:$AS$3,1,MATCH(Assumptions!$C$18,Returns!$D$3:$AS$3)))</f>
        <v>499.844779324053</v>
      </c>
      <c r="D44" s="294" t="n">
        <f aca="false">-Budget!D9</f>
        <v>-0</v>
      </c>
      <c r="E44" s="294" t="n">
        <f aca="false">-Budget!E9</f>
        <v>500</v>
      </c>
      <c r="F44" s="294" t="n">
        <f aca="false">-Budget!F9</f>
        <v>-0</v>
      </c>
      <c r="G44" s="294" t="n">
        <f aca="false">-Budget!G9</f>
        <v>-0</v>
      </c>
      <c r="H44" s="294" t="n">
        <f aca="false">-Budget!H9</f>
        <v>-0</v>
      </c>
      <c r="I44" s="294" t="n">
        <f aca="false">-Budget!I9</f>
        <v>-0</v>
      </c>
      <c r="J44" s="294" t="n">
        <f aca="false">-Budget!J9</f>
        <v>-0</v>
      </c>
      <c r="K44" s="294" t="n">
        <f aca="false">-Budget!K9</f>
        <v>-0</v>
      </c>
      <c r="L44" s="294" t="n">
        <f aca="false">-Budget!L9</f>
        <v>-0</v>
      </c>
      <c r="M44" s="294" t="n">
        <f aca="false">-Budget!M9</f>
        <v>-0</v>
      </c>
      <c r="N44" s="294" t="n">
        <f aca="false">-Budget!N9</f>
        <v>-0</v>
      </c>
      <c r="O44" s="294" t="n">
        <f aca="false">-Budget!O9</f>
        <v>-0</v>
      </c>
      <c r="P44" s="294" t="n">
        <f aca="false">-Budget!P9</f>
        <v>-0</v>
      </c>
      <c r="Q44" s="294" t="n">
        <f aca="false">-Budget!Q9</f>
        <v>-0</v>
      </c>
      <c r="R44" s="294" t="n">
        <f aca="false">-Budget!R9</f>
        <v>-0</v>
      </c>
      <c r="S44" s="294" t="n">
        <f aca="false">-Budget!S9</f>
        <v>-0</v>
      </c>
      <c r="T44" s="294" t="n">
        <f aca="false">-Budget!T9</f>
        <v>-0</v>
      </c>
      <c r="U44" s="294" t="n">
        <f aca="false">-Budget!U9</f>
        <v>-0</v>
      </c>
      <c r="V44" s="294" t="n">
        <f aca="false">-Budget!V9</f>
        <v>-0</v>
      </c>
      <c r="W44" s="294" t="n">
        <f aca="false">-Budget!W9</f>
        <v>-0</v>
      </c>
      <c r="X44" s="294" t="n">
        <f aca="false">-Budget!X9</f>
        <v>-0</v>
      </c>
      <c r="Y44" s="294" t="n">
        <f aca="false">Budget!Y9</f>
        <v>0</v>
      </c>
      <c r="Z44" s="294" t="n">
        <v>0</v>
      </c>
      <c r="AA44" s="294" t="n">
        <v>0</v>
      </c>
      <c r="AB44" s="294" t="n">
        <v>0</v>
      </c>
      <c r="AC44" s="294" t="n">
        <v>0</v>
      </c>
      <c r="AD44" s="294" t="n">
        <v>0</v>
      </c>
      <c r="AE44" s="294" t="n">
        <v>0</v>
      </c>
      <c r="AF44" s="294" t="n">
        <v>0</v>
      </c>
      <c r="AG44" s="294" t="n">
        <v>0</v>
      </c>
      <c r="AH44" s="294" t="n">
        <v>0</v>
      </c>
      <c r="AI44" s="294" t="n">
        <v>0</v>
      </c>
      <c r="AJ44" s="294" t="n">
        <v>0</v>
      </c>
      <c r="AK44" s="294" t="n">
        <v>0</v>
      </c>
      <c r="AL44" s="294" t="n">
        <v>0</v>
      </c>
      <c r="AM44" s="294" t="n">
        <v>0</v>
      </c>
      <c r="AN44" s="294" t="n">
        <v>0</v>
      </c>
      <c r="AO44" s="294" t="n">
        <v>0</v>
      </c>
      <c r="AP44" s="294" t="n">
        <v>0</v>
      </c>
      <c r="AQ44" s="294" t="n">
        <v>0</v>
      </c>
      <c r="AR44" s="294" t="n">
        <v>0</v>
      </c>
      <c r="AS44" s="294" t="n">
        <v>0</v>
      </c>
      <c r="AT44" s="294" t="n">
        <v>0</v>
      </c>
    </row>
    <row r="45" customFormat="false" ht="12" hidden="false" customHeight="true" outlineLevel="0" collapsed="false">
      <c r="A45" s="293" t="s">
        <v>293</v>
      </c>
      <c r="C45" s="314" t="n">
        <f aca="false">XNPV(Assumptions!$L$57,D45:INDEX($D$3:$AS$50,43,MATCH(Assumptions!$C$18,Returns!$D$3:$AS$3)),$D$3:INDEX(Returns!$D$3:$AS$3,1,MATCH(Assumptions!$C$18,Returns!$D$3:$AS$3)))</f>
        <v>231.615921463553</v>
      </c>
      <c r="D45" s="294" t="n">
        <f aca="false">-Budget!D10</f>
        <v>-0</v>
      </c>
      <c r="E45" s="294" t="n">
        <f aca="false">-Budget!E10</f>
        <v>-0</v>
      </c>
      <c r="F45" s="294" t="n">
        <f aca="false">-Budget!F10</f>
        <v>-0</v>
      </c>
      <c r="G45" s="294" t="n">
        <f aca="false">-Budget!G10</f>
        <v>-0</v>
      </c>
      <c r="H45" s="294" t="n">
        <f aca="false">-Budget!H10</f>
        <v>-0</v>
      </c>
      <c r="I45" s="294" t="n">
        <f aca="false">-Budget!I10</f>
        <v>-0</v>
      </c>
      <c r="J45" s="294" t="n">
        <f aca="false">-Budget!J10</f>
        <v>-0</v>
      </c>
      <c r="K45" s="294" t="n">
        <f aca="false">-Budget!K10</f>
        <v>-0</v>
      </c>
      <c r="L45" s="294" t="n">
        <f aca="false">-Budget!L10</f>
        <v>-0</v>
      </c>
      <c r="M45" s="294" t="n">
        <f aca="false">-Budget!M10</f>
        <v>250</v>
      </c>
      <c r="N45" s="294" t="n">
        <f aca="false">-Budget!N10</f>
        <v>-0</v>
      </c>
      <c r="O45" s="294" t="n">
        <f aca="false">-Budget!O10</f>
        <v>-0</v>
      </c>
      <c r="P45" s="294" t="n">
        <f aca="false">-Budget!P10</f>
        <v>-0</v>
      </c>
      <c r="Q45" s="294" t="n">
        <f aca="false">-Budget!Q10</f>
        <v>-0</v>
      </c>
      <c r="R45" s="294" t="n">
        <f aca="false">-Budget!R10</f>
        <v>-0</v>
      </c>
      <c r="S45" s="294" t="n">
        <f aca="false">-Budget!S10</f>
        <v>-0</v>
      </c>
      <c r="T45" s="294" t="n">
        <f aca="false">-Budget!T10</f>
        <v>-0</v>
      </c>
      <c r="U45" s="294" t="n">
        <f aca="false">-Budget!U10</f>
        <v>-0</v>
      </c>
      <c r="V45" s="294" t="n">
        <f aca="false">-Budget!V10</f>
        <v>-0</v>
      </c>
      <c r="W45" s="294" t="n">
        <f aca="false">-Budget!W10</f>
        <v>-0</v>
      </c>
      <c r="X45" s="294" t="n">
        <f aca="false">-Budget!X10</f>
        <v>-0</v>
      </c>
      <c r="Y45" s="294" t="n">
        <f aca="false">-Budget!Y10</f>
        <v>-0</v>
      </c>
      <c r="Z45" s="294" t="n">
        <f aca="false">-Budget!Z10</f>
        <v>-0</v>
      </c>
      <c r="AA45" s="294" t="n">
        <f aca="false">-Budget!AA10</f>
        <v>-0</v>
      </c>
      <c r="AB45" s="294" t="n">
        <f aca="false">-Budget!AB10</f>
        <v>-0</v>
      </c>
      <c r="AC45" s="294" t="n">
        <f aca="false">-Budget!AC10</f>
        <v>-0</v>
      </c>
      <c r="AD45" s="294" t="n">
        <f aca="false">-Budget!AD10</f>
        <v>-0</v>
      </c>
      <c r="AE45" s="294" t="n">
        <f aca="false">-Budget!AE10</f>
        <v>-0</v>
      </c>
      <c r="AF45" s="294" t="n">
        <f aca="false">-Budget!AF10</f>
        <v>-0</v>
      </c>
      <c r="AG45" s="294" t="n">
        <f aca="false">-Budget!AG10</f>
        <v>-0</v>
      </c>
      <c r="AH45" s="294" t="n">
        <f aca="false">-Budget!AH10</f>
        <v>-0</v>
      </c>
      <c r="AI45" s="294" t="n">
        <f aca="false">-Budget!AI10</f>
        <v>-0</v>
      </c>
      <c r="AJ45" s="294" t="n">
        <f aca="false">-Budget!AJ10</f>
        <v>-0</v>
      </c>
      <c r="AK45" s="294" t="n">
        <f aca="false">-Budget!AK10</f>
        <v>-0</v>
      </c>
      <c r="AL45" s="294" t="n">
        <f aca="false">-Budget!AL10</f>
        <v>-0</v>
      </c>
      <c r="AM45" s="294" t="n">
        <f aca="false">-Budget!AM10</f>
        <v>-0</v>
      </c>
      <c r="AN45" s="294" t="n">
        <f aca="false">-Budget!AN10</f>
        <v>-0</v>
      </c>
      <c r="AO45" s="294" t="n">
        <f aca="false">-Budget!AO10</f>
        <v>-0</v>
      </c>
      <c r="AP45" s="294" t="n">
        <f aca="false">-Budget!AP10</f>
        <v>-0</v>
      </c>
      <c r="AQ45" s="294" t="n">
        <f aca="false">-Budget!AQ10</f>
        <v>-0</v>
      </c>
      <c r="AR45" s="294" t="n">
        <f aca="false">-Budget!AR10</f>
        <v>-0</v>
      </c>
      <c r="AS45" s="294" t="n">
        <f aca="false">-Budget!AS10</f>
        <v>-0</v>
      </c>
      <c r="AT45" s="294" t="n">
        <f aca="false">-Budget!AT10</f>
        <v>-0</v>
      </c>
    </row>
    <row r="46" customFormat="false" ht="11.25" hidden="false" customHeight="false" outlineLevel="0" collapsed="false">
      <c r="A46" s="293" t="s">
        <v>294</v>
      </c>
      <c r="C46" s="314" t="n">
        <f aca="false">XNPV(Assumptions!$L$57,D46:INDEX($D$3:$AS$50,44,MATCH(Assumptions!$C$18,Returns!$D$3:$AS$3)),$D$3:INDEX(Returns!$D$3:$AS$3,1,MATCH(Assumptions!$C$18,Returns!$D$3:$AS$3)))</f>
        <v>842.754368394747</v>
      </c>
      <c r="D46" s="294" t="n">
        <f aca="false">-Budget!D11</f>
        <v>-0</v>
      </c>
      <c r="E46" s="294" t="n">
        <f aca="false">-Budget!E11</f>
        <v>-0</v>
      </c>
      <c r="F46" s="294" t="n">
        <f aca="false">-Budget!F11</f>
        <v>-0</v>
      </c>
      <c r="G46" s="294" t="n">
        <f aca="false">-Budget!G11</f>
        <v>-0</v>
      </c>
      <c r="H46" s="294" t="n">
        <f aca="false">-Budget!H11</f>
        <v>-0</v>
      </c>
      <c r="I46" s="294" t="n">
        <f aca="false">-Budget!I11</f>
        <v>-0</v>
      </c>
      <c r="J46" s="294" t="n">
        <f aca="false">-Budget!J11</f>
        <v>-0</v>
      </c>
      <c r="K46" s="294" t="n">
        <f aca="false">-Budget!K11</f>
        <v>-0</v>
      </c>
      <c r="L46" s="294" t="n">
        <f aca="false">-Budget!L11</f>
        <v>-0</v>
      </c>
      <c r="M46" s="294" t="n">
        <f aca="false">-Budget!M11</f>
        <v>-0</v>
      </c>
      <c r="N46" s="294" t="n">
        <f aca="false">-Budget!N11</f>
        <v>-0</v>
      </c>
      <c r="O46" s="294" t="n">
        <f aca="false">-Budget!O11</f>
        <v>-0</v>
      </c>
      <c r="P46" s="294" t="n">
        <f aca="false">-Budget!P11</f>
        <v>-0</v>
      </c>
      <c r="Q46" s="294" t="n">
        <f aca="false">-Budget!Q11</f>
        <v>-0</v>
      </c>
      <c r="R46" s="294" t="n">
        <f aca="false">-Budget!R11</f>
        <v>-0</v>
      </c>
      <c r="S46" s="294" t="n">
        <f aca="false">-Budget!S11</f>
        <v>-0</v>
      </c>
      <c r="T46" s="294" t="n">
        <f aca="false">-Budget!T11</f>
        <v>-0</v>
      </c>
      <c r="U46" s="294" t="n">
        <f aca="false">-Budget!U11</f>
        <v>-0</v>
      </c>
      <c r="V46" s="294" t="n">
        <f aca="false">-Budget!V11</f>
        <v>-0</v>
      </c>
      <c r="W46" s="294" t="n">
        <f aca="false">-Budget!W11</f>
        <v>1000</v>
      </c>
      <c r="X46" s="294" t="n">
        <f aca="false">-Budget!X11</f>
        <v>-0</v>
      </c>
      <c r="Y46" s="294" t="n">
        <f aca="false">Budget!Y11</f>
        <v>0</v>
      </c>
      <c r="Z46" s="294" t="n">
        <v>0</v>
      </c>
      <c r="AA46" s="294" t="n">
        <v>0</v>
      </c>
      <c r="AB46" s="294" t="n">
        <v>0</v>
      </c>
      <c r="AC46" s="294" t="n">
        <v>0</v>
      </c>
      <c r="AD46" s="294" t="n">
        <v>0</v>
      </c>
      <c r="AE46" s="294" t="n">
        <v>0</v>
      </c>
      <c r="AF46" s="294" t="n">
        <v>0</v>
      </c>
      <c r="AG46" s="294" t="n">
        <v>0</v>
      </c>
      <c r="AH46" s="294" t="n">
        <v>0</v>
      </c>
      <c r="AI46" s="294" t="n">
        <v>0</v>
      </c>
      <c r="AJ46" s="294" t="n">
        <v>0</v>
      </c>
      <c r="AK46" s="294" t="n">
        <v>0</v>
      </c>
      <c r="AL46" s="294" t="n">
        <v>0</v>
      </c>
      <c r="AM46" s="294" t="n">
        <v>0</v>
      </c>
      <c r="AN46" s="294" t="n">
        <v>0</v>
      </c>
      <c r="AO46" s="294" t="n">
        <v>0</v>
      </c>
      <c r="AP46" s="294" t="n">
        <v>0</v>
      </c>
      <c r="AQ46" s="294" t="n">
        <v>0</v>
      </c>
      <c r="AR46" s="294" t="n">
        <v>0</v>
      </c>
      <c r="AS46" s="294" t="n">
        <v>0</v>
      </c>
      <c r="AT46" s="294" t="n">
        <v>0</v>
      </c>
    </row>
    <row r="47" customFormat="false" ht="11.25" hidden="false" customHeight="false" outlineLevel="0" collapsed="false">
      <c r="A47" s="293" t="s">
        <v>295</v>
      </c>
      <c r="C47" s="314" t="n">
        <f aca="false">XNPV(Assumptions!$L$57,D47:INDEX($D$3:$AS$50,45,MATCH(Assumptions!$C$18,Returns!$D$3:$AS$3)),$D$3:INDEX(Returns!$D$3:$AS$3,1,MATCH(Assumptions!$C$18,Returns!$D$3:$AS$3)))</f>
        <v>1729.80610943337</v>
      </c>
      <c r="D47" s="294" t="n">
        <f aca="false">-Budget!D12</f>
        <v>-0</v>
      </c>
      <c r="E47" s="294" t="n">
        <f aca="false">-Budget!E12</f>
        <v>-0</v>
      </c>
      <c r="F47" s="294" t="n">
        <f aca="false">-Budget!F12</f>
        <v>100</v>
      </c>
      <c r="G47" s="294" t="n">
        <f aca="false">-Budget!G12</f>
        <v>100</v>
      </c>
      <c r="H47" s="294" t="n">
        <f aca="false">-Budget!H12</f>
        <v>100</v>
      </c>
      <c r="I47" s="294" t="n">
        <f aca="false">-Budget!I12</f>
        <v>100</v>
      </c>
      <c r="J47" s="294" t="n">
        <f aca="false">-Budget!J12</f>
        <v>100</v>
      </c>
      <c r="K47" s="294" t="n">
        <f aca="false">-Budget!K12</f>
        <v>100</v>
      </c>
      <c r="L47" s="294" t="n">
        <f aca="false">-Budget!L12</f>
        <v>100</v>
      </c>
      <c r="M47" s="294" t="n">
        <f aca="false">-Budget!M12</f>
        <v>100</v>
      </c>
      <c r="N47" s="294" t="n">
        <f aca="false">-Budget!N12</f>
        <v>100</v>
      </c>
      <c r="O47" s="294" t="n">
        <f aca="false">-Budget!O12</f>
        <v>100</v>
      </c>
      <c r="P47" s="294" t="n">
        <f aca="false">-Budget!P12</f>
        <v>100</v>
      </c>
      <c r="Q47" s="294" t="n">
        <f aca="false">-Budget!Q12</f>
        <v>100</v>
      </c>
      <c r="R47" s="294" t="n">
        <f aca="false">-Budget!R12</f>
        <v>100</v>
      </c>
      <c r="S47" s="294" t="n">
        <f aca="false">-Budget!S12</f>
        <v>100</v>
      </c>
      <c r="T47" s="294" t="n">
        <f aca="false">-Budget!T12</f>
        <v>100</v>
      </c>
      <c r="U47" s="294" t="n">
        <f aca="false">-Budget!U12</f>
        <v>100</v>
      </c>
      <c r="V47" s="294" t="n">
        <f aca="false">-Budget!V12</f>
        <v>100</v>
      </c>
      <c r="W47" s="294" t="n">
        <f aca="false">-Budget!W12</f>
        <v>100</v>
      </c>
      <c r="X47" s="294" t="n">
        <f aca="false">-Budget!X12</f>
        <v>100</v>
      </c>
      <c r="Y47" s="294" t="n">
        <f aca="false">Budget!Y12</f>
        <v>0</v>
      </c>
      <c r="Z47" s="294" t="n">
        <v>0</v>
      </c>
      <c r="AA47" s="294" t="n">
        <v>0</v>
      </c>
      <c r="AB47" s="294" t="n">
        <v>0</v>
      </c>
      <c r="AC47" s="294" t="n">
        <v>0</v>
      </c>
      <c r="AD47" s="294" t="n">
        <v>0</v>
      </c>
      <c r="AE47" s="294" t="n">
        <v>0</v>
      </c>
      <c r="AF47" s="294" t="n">
        <v>0</v>
      </c>
      <c r="AG47" s="294" t="n">
        <v>0</v>
      </c>
      <c r="AH47" s="294" t="n">
        <v>0</v>
      </c>
      <c r="AI47" s="294" t="n">
        <v>0</v>
      </c>
      <c r="AJ47" s="294" t="n">
        <v>0</v>
      </c>
      <c r="AK47" s="294" t="n">
        <v>0</v>
      </c>
      <c r="AL47" s="294" t="n">
        <v>0</v>
      </c>
      <c r="AM47" s="294" t="n">
        <v>0</v>
      </c>
      <c r="AN47" s="294" t="n">
        <v>0</v>
      </c>
      <c r="AO47" s="294" t="n">
        <v>0</v>
      </c>
      <c r="AP47" s="294" t="n">
        <v>0</v>
      </c>
      <c r="AQ47" s="294" t="n">
        <v>0</v>
      </c>
      <c r="AR47" s="294" t="n">
        <v>0</v>
      </c>
      <c r="AS47" s="294" t="n">
        <v>0</v>
      </c>
      <c r="AT47" s="294" t="n">
        <v>0</v>
      </c>
    </row>
    <row r="48" customFormat="false" ht="11.25" hidden="false" customHeight="false" outlineLevel="0" collapsed="false">
      <c r="A48" s="298" t="s">
        <v>296</v>
      </c>
      <c r="C48" s="314" t="e">
        <f aca="false">XNPV(Assumptions!$L$57,D48:INDEX($D$3:$AS$50,46,MATCH(Assumptions!$C$18,Returns!$D$3:$AS$3)),$D$3:INDEX(Returns!$D$3:$AS$3,1,MATCH(Assumptions!$C$18,Returns!$D$3:$AS$3)))</f>
        <v>#VALUE!</v>
      </c>
      <c r="D48" s="294" t="e">
        <f aca="false">IF($C$9&lt;0,0,-Budget!D32)</f>
        <v>#VALUE!</v>
      </c>
      <c r="E48" s="294" t="e">
        <f aca="false">IF($C$9&lt;0,0,-Budget!E32)</f>
        <v>#VALUE!</v>
      </c>
      <c r="F48" s="294" t="e">
        <f aca="false">IF($C$9&lt;0,0,-Budget!F32)</f>
        <v>#VALUE!</v>
      </c>
      <c r="G48" s="294" t="e">
        <f aca="false">IF($C$9&lt;0,0,-Budget!G32)</f>
        <v>#VALUE!</v>
      </c>
      <c r="H48" s="294" t="e">
        <f aca="false">IF($C$9&lt;0,0,-Budget!H32)</f>
        <v>#VALUE!</v>
      </c>
      <c r="I48" s="294" t="e">
        <f aca="false">IF($C$9&lt;0,0,-Budget!I32)</f>
        <v>#VALUE!</v>
      </c>
      <c r="J48" s="294" t="e">
        <f aca="false">IF($C$9&lt;0,0,-Budget!J32)</f>
        <v>#VALUE!</v>
      </c>
      <c r="K48" s="294" t="e">
        <f aca="false">IF($C$9&lt;0,0,-Budget!K32)</f>
        <v>#VALUE!</v>
      </c>
      <c r="L48" s="294" t="e">
        <f aca="false">IF($C$9&lt;0,0,-Budget!L32)</f>
        <v>#VALUE!</v>
      </c>
      <c r="M48" s="294" t="e">
        <f aca="false">IF($C$9&lt;0,0,-Budget!M32)</f>
        <v>#VALUE!</v>
      </c>
      <c r="N48" s="294" t="e">
        <f aca="false">IF($C$9&lt;0,0,-Budget!N32)</f>
        <v>#VALUE!</v>
      </c>
      <c r="O48" s="294" t="e">
        <f aca="false">IF($C$9&lt;0,0,-Budget!O32)</f>
        <v>#VALUE!</v>
      </c>
      <c r="P48" s="294" t="e">
        <f aca="false">IF($C$9&lt;0,0,-Budget!P32)</f>
        <v>#VALUE!</v>
      </c>
      <c r="Q48" s="294" t="e">
        <f aca="false">IF($C$9&lt;0,0,-Budget!Q32)</f>
        <v>#VALUE!</v>
      </c>
      <c r="R48" s="294" t="e">
        <f aca="false">IF($C$9&lt;0,0,-Budget!R32)</f>
        <v>#VALUE!</v>
      </c>
      <c r="S48" s="294" t="e">
        <f aca="false">IF($C$9&lt;0,0,-Budget!S32)</f>
        <v>#VALUE!</v>
      </c>
      <c r="T48" s="294" t="e">
        <f aca="false">IF($C$9&lt;0,0,-Budget!T32)</f>
        <v>#VALUE!</v>
      </c>
      <c r="U48" s="294" t="e">
        <f aca="false">IF($C$9&lt;0,0,-Budget!U32)</f>
        <v>#VALUE!</v>
      </c>
      <c r="V48" s="294" t="e">
        <f aca="false">IF($C$9&lt;0,0,-Budget!V32)</f>
        <v>#VALUE!</v>
      </c>
      <c r="W48" s="294" t="e">
        <f aca="false">IF($C$9&lt;0,0,-Budget!W32)</f>
        <v>#VALUE!</v>
      </c>
      <c r="X48" s="294" t="e">
        <f aca="false">IF($C$9&lt;0,0,-Budget!X32)</f>
        <v>#VALUE!</v>
      </c>
      <c r="Y48" s="294" t="n">
        <f aca="false">Budget!Y32</f>
        <v>0</v>
      </c>
      <c r="Z48" s="294" t="n">
        <v>0</v>
      </c>
      <c r="AA48" s="294" t="n">
        <v>0</v>
      </c>
      <c r="AB48" s="294" t="n">
        <v>0</v>
      </c>
      <c r="AC48" s="294" t="n">
        <v>0</v>
      </c>
      <c r="AD48" s="294" t="n">
        <v>0</v>
      </c>
      <c r="AE48" s="294" t="n">
        <v>0</v>
      </c>
      <c r="AF48" s="294" t="n">
        <v>0</v>
      </c>
      <c r="AG48" s="294" t="n">
        <v>0</v>
      </c>
      <c r="AH48" s="294" t="n">
        <v>0</v>
      </c>
      <c r="AI48" s="294" t="n">
        <v>0</v>
      </c>
      <c r="AJ48" s="294" t="n">
        <v>0</v>
      </c>
      <c r="AK48" s="294" t="n">
        <v>0</v>
      </c>
      <c r="AL48" s="294" t="n">
        <v>0</v>
      </c>
      <c r="AM48" s="294" t="n">
        <v>0</v>
      </c>
      <c r="AN48" s="294" t="n">
        <v>0</v>
      </c>
      <c r="AO48" s="294" t="n">
        <v>0</v>
      </c>
      <c r="AP48" s="294" t="n">
        <v>0</v>
      </c>
      <c r="AQ48" s="294" t="n">
        <v>0</v>
      </c>
      <c r="AR48" s="294" t="n">
        <v>0</v>
      </c>
      <c r="AS48" s="294" t="n">
        <v>0</v>
      </c>
      <c r="AT48" s="294" t="n">
        <v>0</v>
      </c>
    </row>
    <row r="49" customFormat="false" ht="11.25" hidden="false" customHeight="false" outlineLevel="0" collapsed="false">
      <c r="A49" s="293" t="s">
        <v>300</v>
      </c>
      <c r="C49" s="314" t="e">
        <f aca="false">XNPV(Assumptions!$L$57,D49:INDEX($D$3:$AS$50,47,MATCH(Assumptions!$C$18,Returns!$D$3:$AS$3)),$D$3:INDEX(Returns!$D$3:$AS$3,1,MATCH(Assumptions!$C$18,Returns!$D$3:$AS$3)))</f>
        <v>#VALUE!</v>
      </c>
      <c r="D49" s="294" t="n">
        <v>0</v>
      </c>
      <c r="E49" s="294" t="n">
        <v>0</v>
      </c>
      <c r="F49" s="294" t="n">
        <v>0</v>
      </c>
      <c r="G49" s="294" t="n">
        <v>0</v>
      </c>
      <c r="H49" s="294" t="n">
        <v>0</v>
      </c>
      <c r="I49" s="294" t="n">
        <v>0</v>
      </c>
      <c r="J49" s="294" t="n">
        <v>0</v>
      </c>
      <c r="K49" s="294" t="n">
        <v>0</v>
      </c>
      <c r="L49" s="294" t="n">
        <v>0</v>
      </c>
      <c r="M49" s="294" t="n">
        <v>0</v>
      </c>
      <c r="N49" s="294" t="n">
        <v>0</v>
      </c>
      <c r="O49" s="294" t="n">
        <v>0</v>
      </c>
      <c r="P49" s="294" t="n">
        <v>0</v>
      </c>
      <c r="Q49" s="294" t="n">
        <v>0</v>
      </c>
      <c r="R49" s="294" t="n">
        <v>0</v>
      </c>
      <c r="S49" s="294" t="n">
        <v>0</v>
      </c>
      <c r="T49" s="294" t="n">
        <v>0</v>
      </c>
      <c r="U49" s="294" t="n">
        <v>0</v>
      </c>
      <c r="V49" s="294" t="n">
        <v>0</v>
      </c>
      <c r="W49" s="294" t="n">
        <v>0</v>
      </c>
      <c r="X49" s="294" t="n">
        <v>0</v>
      </c>
      <c r="Y49" s="294" t="n">
        <v>0</v>
      </c>
      <c r="Z49" s="294" t="e">
        <f aca="false">IF($C$9&lt;0,0,Assumptions!$C$41)</f>
        <v>#VALUE!</v>
      </c>
      <c r="AA49" s="294" t="e">
        <f aca="false">$Z$49*Template!J129</f>
        <v>#VALUE!</v>
      </c>
      <c r="AB49" s="294" t="e">
        <f aca="false">$Z$49*Template!K129</f>
        <v>#VALUE!</v>
      </c>
      <c r="AC49" s="294" t="e">
        <f aca="false">$Z$49*Template!L129</f>
        <v>#VALUE!</v>
      </c>
      <c r="AD49" s="294" t="e">
        <f aca="false">$Z$49*Template!M129</f>
        <v>#VALUE!</v>
      </c>
      <c r="AE49" s="294" t="e">
        <f aca="false">$Z$49*Template!N129</f>
        <v>#VALUE!</v>
      </c>
      <c r="AF49" s="294" t="e">
        <f aca="false">$Z$49*Template!O129</f>
        <v>#VALUE!</v>
      </c>
      <c r="AG49" s="294" t="e">
        <f aca="false">$Z$49*Template!P129</f>
        <v>#VALUE!</v>
      </c>
      <c r="AH49" s="294" t="e">
        <f aca="false">$Z$49*Template!Q129</f>
        <v>#VALUE!</v>
      </c>
      <c r="AI49" s="294" t="e">
        <f aca="false">$Z$49*Template!R129</f>
        <v>#VALUE!</v>
      </c>
      <c r="AJ49" s="294" t="e">
        <f aca="false">$Z$49*Template!S129</f>
        <v>#VALUE!</v>
      </c>
      <c r="AK49" s="294" t="e">
        <f aca="false">$Z$49*Template!T129</f>
        <v>#VALUE!</v>
      </c>
      <c r="AL49" s="294" t="e">
        <f aca="false">$Z$49*Template!U129</f>
        <v>#VALUE!</v>
      </c>
      <c r="AM49" s="294" t="e">
        <f aca="false">$Z$49*Template!V129</f>
        <v>#VALUE!</v>
      </c>
      <c r="AN49" s="294" t="e">
        <f aca="false">$Z$49*Template!W129</f>
        <v>#VALUE!</v>
      </c>
      <c r="AO49" s="294" t="e">
        <f aca="false">$Z$49*Template!X129</f>
        <v>#VALUE!</v>
      </c>
      <c r="AP49" s="294" t="e">
        <f aca="false">$Z$49*Template!Y129</f>
        <v>#VALUE!</v>
      </c>
      <c r="AQ49" s="294" t="e">
        <f aca="false">$Z$49*Template!Z129</f>
        <v>#VALUE!</v>
      </c>
      <c r="AR49" s="294" t="e">
        <f aca="false">$Z$49*Template!AA129</f>
        <v>#VALUE!</v>
      </c>
      <c r="AS49" s="294" t="e">
        <f aca="false">$Z$49*Template!AB129</f>
        <v>#VALUE!</v>
      </c>
      <c r="AT49" s="294" t="e">
        <f aca="false">$Z$49*Template!AC129</f>
        <v>#VALUE!</v>
      </c>
    </row>
    <row r="50" customFormat="false" ht="11.25" hidden="false" customHeight="false" outlineLevel="0" collapsed="false">
      <c r="A50" s="295" t="s">
        <v>301</v>
      </c>
      <c r="B50" s="295"/>
      <c r="C50" s="316" t="e">
        <f aca="false">XNPV(Assumptions!$L$57,D50:INDEX($D$3:$AS$50,48,MATCH(Assumptions!$C$18,Returns!$D$3:$AS$3)),$D$3:INDEX(Returns!$D$3:$AS$3,1,MATCH(Assumptions!$C$18,Returns!$D$3:$AS$3)))</f>
        <v>#VALUE!</v>
      </c>
      <c r="D50" s="297" t="n">
        <v>0</v>
      </c>
      <c r="E50" s="297" t="n">
        <v>0</v>
      </c>
      <c r="F50" s="297" t="n">
        <v>0</v>
      </c>
      <c r="G50" s="297" t="n">
        <v>0</v>
      </c>
      <c r="H50" s="297" t="n">
        <v>0</v>
      </c>
      <c r="I50" s="297" t="n">
        <v>0</v>
      </c>
      <c r="J50" s="297" t="n">
        <v>0</v>
      </c>
      <c r="K50" s="297" t="n">
        <v>0</v>
      </c>
      <c r="L50" s="297" t="n">
        <v>0</v>
      </c>
      <c r="M50" s="297" t="n">
        <v>0</v>
      </c>
      <c r="N50" s="297" t="n">
        <v>0</v>
      </c>
      <c r="O50" s="297" t="n">
        <v>0</v>
      </c>
      <c r="P50" s="297" t="n">
        <v>0</v>
      </c>
      <c r="Q50" s="297" t="n">
        <v>0</v>
      </c>
      <c r="R50" s="297" t="n">
        <v>0</v>
      </c>
      <c r="S50" s="297" t="n">
        <v>0</v>
      </c>
      <c r="T50" s="297" t="n">
        <v>0</v>
      </c>
      <c r="U50" s="297" t="n">
        <v>0</v>
      </c>
      <c r="V50" s="297" t="n">
        <v>0</v>
      </c>
      <c r="W50" s="297" t="n">
        <v>0</v>
      </c>
      <c r="X50" s="297" t="n">
        <v>0</v>
      </c>
      <c r="Y50" s="297" t="n">
        <v>0</v>
      </c>
      <c r="Z50" s="297" t="e">
        <f aca="false">IF($C$9&lt;0,0,Template!I234)</f>
        <v>#VALUE!</v>
      </c>
      <c r="AA50" s="297" t="e">
        <f aca="false">IF($C$9&lt;0,0,Template!J234)</f>
        <v>#VALUE!</v>
      </c>
      <c r="AB50" s="297" t="e">
        <f aca="false">IF($C$9&lt;0,0,Template!K234)</f>
        <v>#VALUE!</v>
      </c>
      <c r="AC50" s="297" t="e">
        <f aca="false">IF($C$9&lt;0,0,Template!L234)</f>
        <v>#VALUE!</v>
      </c>
      <c r="AD50" s="297" t="e">
        <f aca="false">IF($C$9&lt;0,0,Template!M234)</f>
        <v>#VALUE!</v>
      </c>
      <c r="AE50" s="297" t="e">
        <f aca="false">IF($C$9&lt;0,0,Template!N234)</f>
        <v>#VALUE!</v>
      </c>
      <c r="AF50" s="297" t="e">
        <f aca="false">IF($C$9&lt;0,0,Template!O234)</f>
        <v>#VALUE!</v>
      </c>
      <c r="AG50" s="297" t="e">
        <f aca="false">IF($C$9&lt;0,0,Template!P234)</f>
        <v>#VALUE!</v>
      </c>
      <c r="AH50" s="297" t="e">
        <f aca="false">IF($C$9&lt;0,0,Template!Q234)</f>
        <v>#VALUE!</v>
      </c>
      <c r="AI50" s="297" t="e">
        <f aca="false">IF($C$9&lt;0,0,Template!R234)</f>
        <v>#VALUE!</v>
      </c>
      <c r="AJ50" s="297" t="e">
        <f aca="false">IF($C$9&lt;0,0,Template!S234)</f>
        <v>#VALUE!</v>
      </c>
      <c r="AK50" s="297" t="e">
        <f aca="false">IF($C$9&lt;0,0,Template!T234)</f>
        <v>#VALUE!</v>
      </c>
      <c r="AL50" s="297" t="e">
        <f aca="false">IF($C$9&lt;0,0,Template!U234)</f>
        <v>#VALUE!</v>
      </c>
      <c r="AM50" s="297" t="e">
        <f aca="false">IF($C$9&lt;0,0,Template!V234)</f>
        <v>#VALUE!</v>
      </c>
      <c r="AN50" s="297" t="e">
        <f aca="false">IF($C$9&lt;0,0,Template!W234)</f>
        <v>#VALUE!</v>
      </c>
      <c r="AO50" s="297" t="e">
        <f aca="false">IF($C$9&lt;0,0,Template!X234)</f>
        <v>#VALUE!</v>
      </c>
      <c r="AP50" s="297" t="e">
        <f aca="false">IF($C$9&lt;0,0,Template!Y234)</f>
        <v>#VALUE!</v>
      </c>
      <c r="AQ50" s="297" t="e">
        <f aca="false">IF($C$9&lt;0,0,Template!Z234)</f>
        <v>#VALUE!</v>
      </c>
      <c r="AR50" s="297" t="e">
        <f aca="false">IF($C$9&lt;0,0,Template!AA234)</f>
        <v>#VALUE!</v>
      </c>
      <c r="AS50" s="297" t="e">
        <f aca="false">IF($C$9&lt;0,0,Template!AB234)</f>
        <v>#VALUE!</v>
      </c>
      <c r="AT50" s="297" t="e">
        <f aca="false">IF($C$9&lt;0,0,Template!AC234)</f>
        <v>#VALUE!</v>
      </c>
    </row>
    <row r="51" customFormat="false" ht="11.25" hidden="false" customHeight="false" outlineLevel="0" collapsed="false">
      <c r="A51" s="304" t="s">
        <v>303</v>
      </c>
      <c r="C51" s="314" t="e">
        <f aca="false">SUM(C44:C50)</f>
        <v>#VALUE!</v>
      </c>
      <c r="D51" s="300" t="e">
        <f aca="false">SUM(D44:D50)</f>
        <v>#VALUE!</v>
      </c>
      <c r="E51" s="300" t="e">
        <f aca="false">SUM(E44:E50)</f>
        <v>#VALUE!</v>
      </c>
      <c r="F51" s="300" t="e">
        <f aca="false">SUM(F44:F50)</f>
        <v>#VALUE!</v>
      </c>
      <c r="G51" s="300" t="e">
        <f aca="false">SUM(G44:G50)</f>
        <v>#VALUE!</v>
      </c>
      <c r="H51" s="300" t="e">
        <f aca="false">SUM(H44:H50)</f>
        <v>#VALUE!</v>
      </c>
      <c r="I51" s="300" t="e">
        <f aca="false">SUM(I44:I50)</f>
        <v>#VALUE!</v>
      </c>
      <c r="J51" s="300" t="e">
        <f aca="false">SUM(J44:J50)</f>
        <v>#VALUE!</v>
      </c>
      <c r="K51" s="300" t="e">
        <f aca="false">SUM(K44:K50)</f>
        <v>#VALUE!</v>
      </c>
      <c r="L51" s="300" t="e">
        <f aca="false">SUM(L44:L50)</f>
        <v>#VALUE!</v>
      </c>
      <c r="M51" s="300" t="e">
        <f aca="false">SUM(M44:M50)</f>
        <v>#VALUE!</v>
      </c>
      <c r="N51" s="300" t="e">
        <f aca="false">SUM(N44:N50)</f>
        <v>#VALUE!</v>
      </c>
      <c r="O51" s="300" t="e">
        <f aca="false">SUM(O44:O50)</f>
        <v>#VALUE!</v>
      </c>
      <c r="P51" s="300" t="e">
        <f aca="false">SUM(P44:P50)</f>
        <v>#VALUE!</v>
      </c>
      <c r="Q51" s="300" t="e">
        <f aca="false">SUM(Q44:Q50)</f>
        <v>#VALUE!</v>
      </c>
      <c r="R51" s="300" t="e">
        <f aca="false">SUM(R44:R50)</f>
        <v>#VALUE!</v>
      </c>
      <c r="S51" s="300" t="e">
        <f aca="false">SUM(S44:S50)</f>
        <v>#VALUE!</v>
      </c>
      <c r="T51" s="300" t="e">
        <f aca="false">SUM(T44:T50)</f>
        <v>#VALUE!</v>
      </c>
      <c r="U51" s="300" t="e">
        <f aca="false">SUM(U44:U50)</f>
        <v>#VALUE!</v>
      </c>
      <c r="V51" s="300" t="e">
        <f aca="false">SUM(V44:V50)</f>
        <v>#VALUE!</v>
      </c>
      <c r="W51" s="300" t="e">
        <f aca="false">SUM(W44:W50)</f>
        <v>#VALUE!</v>
      </c>
      <c r="X51" s="300" t="e">
        <f aca="false">SUM(X44:X50)</f>
        <v>#VALUE!</v>
      </c>
      <c r="Y51" s="300" t="n">
        <f aca="false">SUM(Y44:Y50)</f>
        <v>0</v>
      </c>
      <c r="Z51" s="300" t="e">
        <f aca="false">SUM(Z44:Z50)</f>
        <v>#VALUE!</v>
      </c>
      <c r="AA51" s="300" t="e">
        <f aca="false">SUM(AA44:AA50)</f>
        <v>#VALUE!</v>
      </c>
      <c r="AB51" s="300" t="e">
        <f aca="false">SUM(AB44:AB50)</f>
        <v>#VALUE!</v>
      </c>
      <c r="AC51" s="300" t="e">
        <f aca="false">SUM(AC44:AC50)</f>
        <v>#VALUE!</v>
      </c>
      <c r="AD51" s="300" t="e">
        <f aca="false">SUM(AD44:AD50)</f>
        <v>#VALUE!</v>
      </c>
      <c r="AE51" s="300" t="e">
        <f aca="false">SUM(AE44:AE50)</f>
        <v>#VALUE!</v>
      </c>
      <c r="AF51" s="300" t="e">
        <f aca="false">SUM(AF44:AF50)</f>
        <v>#VALUE!</v>
      </c>
      <c r="AG51" s="300" t="e">
        <f aca="false">SUM(AG44:AG50)</f>
        <v>#VALUE!</v>
      </c>
      <c r="AH51" s="300" t="e">
        <f aca="false">SUM(AH44:AH50)</f>
        <v>#VALUE!</v>
      </c>
      <c r="AI51" s="300" t="e">
        <f aca="false">SUM(AI44:AI50)</f>
        <v>#VALUE!</v>
      </c>
      <c r="AJ51" s="300" t="e">
        <f aca="false">SUM(AJ44:AJ50)</f>
        <v>#VALUE!</v>
      </c>
      <c r="AK51" s="300" t="e">
        <f aca="false">SUM(AK44:AK50)</f>
        <v>#VALUE!</v>
      </c>
      <c r="AL51" s="300" t="e">
        <f aca="false">SUM(AL44:AL50)</f>
        <v>#VALUE!</v>
      </c>
      <c r="AM51" s="300" t="e">
        <f aca="false">SUM(AM44:AM50)</f>
        <v>#VALUE!</v>
      </c>
      <c r="AN51" s="300" t="e">
        <f aca="false">SUM(AN44:AN50)</f>
        <v>#VALUE!</v>
      </c>
      <c r="AO51" s="300" t="e">
        <f aca="false">SUM(AO44:AO50)</f>
        <v>#VALUE!</v>
      </c>
      <c r="AP51" s="300" t="e">
        <f aca="false">SUM(AP44:AP50)</f>
        <v>#VALUE!</v>
      </c>
      <c r="AQ51" s="300" t="e">
        <f aca="false">SUM(AQ44:AQ50)</f>
        <v>#VALUE!</v>
      </c>
      <c r="AR51" s="300" t="e">
        <f aca="false">SUM(AR44:AR50)</f>
        <v>#VALUE!</v>
      </c>
      <c r="AS51" s="300" t="e">
        <f aca="false">SUM(AS44:AS50)</f>
        <v>#VALUE!</v>
      </c>
      <c r="AT51" s="300" t="e">
        <f aca="false">SUM(AT44:AT50)</f>
        <v>#VALUE!</v>
      </c>
    </row>
  </sheetData>
  <printOptions headings="false" gridLines="false" gridLinesSet="true" horizontalCentered="false" verticalCentered="false"/>
  <pageMargins left="0.25" right="0.25"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39"/>
  <sheetViews>
    <sheetView showFormulas="false" showGridLines="false" showRowColHeaders="true" showZeros="true" rightToLeft="false" tabSelected="false" showOutlineSymbols="true" defaultGridColor="true" view="normal" topLeftCell="R28" colorId="64" zoomScale="100" zoomScaleNormal="100" zoomScalePageLayoutView="100" workbookViewId="0">
      <selection pane="topLeft" activeCell="Y46" activeCellId="0" sqref="Y46"/>
    </sheetView>
  </sheetViews>
  <sheetFormatPr defaultColWidth="9.13671875" defaultRowHeight="11.25" customHeight="true" zeroHeight="false" outlineLevelRow="0" outlineLevelCol="0"/>
  <cols>
    <col collapsed="false" customWidth="true" hidden="false" outlineLevel="0" max="1" min="1" style="293" width="32.99"/>
    <col collapsed="false" customWidth="true" hidden="false" outlineLevel="0" max="2" min="2" style="293" width="11.7"/>
    <col collapsed="false" customWidth="false" hidden="false" outlineLevel="0" max="8" min="3" style="293" width="9.14"/>
    <col collapsed="false" customWidth="true" hidden="false" outlineLevel="0" max="9" min="9" style="293" width="9.7"/>
    <col collapsed="false" customWidth="true" hidden="false" outlineLevel="0" max="10" min="10" style="293" width="9.41"/>
    <col collapsed="false" customWidth="true" hidden="false" outlineLevel="0" max="11" min="11" style="293" width="9.7"/>
    <col collapsed="false" customWidth="true" hidden="false" outlineLevel="0" max="12" min="12" style="293" width="9.28"/>
    <col collapsed="false" customWidth="true" hidden="false" outlineLevel="0" max="13" min="13" style="293" width="9.7"/>
    <col collapsed="false" customWidth="true" hidden="false" outlineLevel="0" max="14" min="14" style="293" width="9.41"/>
    <col collapsed="false" customWidth="true" hidden="false" outlineLevel="0" max="15" min="15" style="293" width="9.56"/>
    <col collapsed="false" customWidth="true" hidden="false" outlineLevel="0" max="16" min="16" style="293" width="9.41"/>
    <col collapsed="false" customWidth="true" hidden="false" outlineLevel="0" max="17" min="17" style="293" width="9.56"/>
    <col collapsed="false" customWidth="true" hidden="false" outlineLevel="0" max="18" min="18" style="293" width="9.7"/>
    <col collapsed="false" customWidth="true" hidden="false" outlineLevel="0" max="20" min="19" style="293" width="9.56"/>
    <col collapsed="false" customWidth="false" hidden="false" outlineLevel="0" max="24" min="21" style="293" width="9.14"/>
    <col collapsed="false" customWidth="true" hidden="false" outlineLevel="0" max="25" min="25" style="293" width="10.28"/>
    <col collapsed="false" customWidth="true" hidden="false" outlineLevel="0" max="26" min="26" style="293" width="9.7"/>
    <col collapsed="false" customWidth="false" hidden="false" outlineLevel="0" max="43" min="27" style="293" width="9.14"/>
    <col collapsed="false" customWidth="true" hidden="false" outlineLevel="0" max="44" min="44" style="293" width="9.7"/>
    <col collapsed="false" customWidth="false" hidden="false" outlineLevel="0" max="257" min="45" style="293" width="9.14"/>
  </cols>
  <sheetData>
    <row r="1" customFormat="false" ht="11.25" hidden="false" customHeight="false" outlineLevel="0" collapsed="false">
      <c r="V1" s="318"/>
      <c r="W1" s="318"/>
      <c r="X1" s="318" t="s">
        <v>322</v>
      </c>
    </row>
    <row r="2" customFormat="false" ht="11.25" hidden="false" customHeight="false" outlineLevel="0" collapsed="false">
      <c r="D2" s="318"/>
      <c r="E2" s="318" t="s">
        <v>323</v>
      </c>
      <c r="V2" s="318"/>
      <c r="W2" s="318"/>
      <c r="X2" s="318" t="s">
        <v>324</v>
      </c>
      <c r="Y2" s="318" t="s">
        <v>325</v>
      </c>
    </row>
    <row r="3" customFormat="false" ht="11.25" hidden="false" customHeight="false" outlineLevel="0" collapsed="false">
      <c r="C3" s="318" t="s">
        <v>326</v>
      </c>
      <c r="D3" s="318"/>
      <c r="E3" s="318" t="s">
        <v>327</v>
      </c>
      <c r="G3" s="318"/>
      <c r="I3" s="318"/>
      <c r="L3" s="318" t="s">
        <v>328</v>
      </c>
      <c r="V3" s="318"/>
      <c r="W3" s="318"/>
      <c r="X3" s="318" t="s">
        <v>329</v>
      </c>
      <c r="Y3" s="318" t="s">
        <v>330</v>
      </c>
    </row>
    <row r="4" customFormat="false" ht="12" hidden="false" customHeight="false" outlineLevel="0" collapsed="false">
      <c r="C4" s="318" t="s">
        <v>331</v>
      </c>
      <c r="D4" s="318"/>
      <c r="E4" s="318" t="s">
        <v>332</v>
      </c>
      <c r="G4" s="318"/>
      <c r="I4" s="318"/>
      <c r="L4" s="318" t="s">
        <v>333</v>
      </c>
      <c r="V4" s="318"/>
      <c r="W4" s="318"/>
      <c r="X4" s="318" t="s">
        <v>286</v>
      </c>
      <c r="Y4" s="318" t="s">
        <v>286</v>
      </c>
    </row>
    <row r="5" customFormat="false" ht="13.5" hidden="false" customHeight="true" outlineLevel="0" collapsed="false">
      <c r="B5" s="319" t="s">
        <v>334</v>
      </c>
      <c r="C5" s="292" t="n">
        <v>36220</v>
      </c>
      <c r="D5" s="292" t="n">
        <v>36279</v>
      </c>
      <c r="E5" s="292" t="n">
        <v>36280</v>
      </c>
      <c r="F5" s="292" t="n">
        <v>36311</v>
      </c>
      <c r="G5" s="292" t="n">
        <v>36341</v>
      </c>
      <c r="H5" s="292" t="n">
        <v>36372</v>
      </c>
      <c r="I5" s="292" t="n">
        <v>36403</v>
      </c>
      <c r="J5" s="292" t="n">
        <v>36433</v>
      </c>
      <c r="K5" s="292" t="n">
        <v>36464</v>
      </c>
      <c r="L5" s="292" t="n">
        <v>36494</v>
      </c>
      <c r="M5" s="292" t="n">
        <v>36525</v>
      </c>
      <c r="N5" s="292" t="n">
        <v>36556</v>
      </c>
      <c r="O5" s="292" t="n">
        <v>36585</v>
      </c>
      <c r="P5" s="292" t="n">
        <v>36616</v>
      </c>
      <c r="Q5" s="292" t="n">
        <v>36646</v>
      </c>
      <c r="R5" s="292" t="n">
        <v>36677</v>
      </c>
      <c r="S5" s="292" t="n">
        <v>36707</v>
      </c>
      <c r="T5" s="292" t="n">
        <v>36738</v>
      </c>
      <c r="U5" s="292" t="n">
        <v>36769</v>
      </c>
      <c r="V5" s="292" t="n">
        <v>36799</v>
      </c>
      <c r="W5" s="292" t="n">
        <v>36830</v>
      </c>
      <c r="X5" s="292" t="n">
        <v>36860</v>
      </c>
      <c r="Y5" s="292" t="n">
        <f aca="false">Assumptions!C17</f>
        <v>37802</v>
      </c>
      <c r="Z5" s="292" t="n">
        <f aca="false">DATE(YEAR(Y5),12,31)</f>
        <v>37986</v>
      </c>
      <c r="AA5" s="292" t="n">
        <f aca="false">DATE(YEAR(Z5)+1,12,31)</f>
        <v>38352</v>
      </c>
      <c r="AB5" s="292" t="n">
        <f aca="false">DATE(YEAR(AA5)+1,12,31)</f>
        <v>38717</v>
      </c>
      <c r="AC5" s="292" t="n">
        <f aca="false">DATE(YEAR(AB5)+1,12,31)</f>
        <v>39082</v>
      </c>
      <c r="AD5" s="292" t="n">
        <f aca="false">DATE(YEAR(AC5)+1,12,31)</f>
        <v>39447</v>
      </c>
      <c r="AE5" s="292" t="n">
        <f aca="false">DATE(YEAR(AD5)+1,12,31)</f>
        <v>39813</v>
      </c>
      <c r="AF5" s="292" t="n">
        <f aca="false">DATE(YEAR(AE5)+1,12,31)</f>
        <v>40178</v>
      </c>
      <c r="AG5" s="292" t="n">
        <f aca="false">DATE(YEAR(AF5)+1,12,31)</f>
        <v>40543</v>
      </c>
      <c r="AH5" s="292" t="n">
        <f aca="false">DATE(YEAR(AG5)+1,12,31)</f>
        <v>40908</v>
      </c>
      <c r="AI5" s="292" t="n">
        <f aca="false">DATE(YEAR(AH5)+1,12,31)</f>
        <v>41274</v>
      </c>
      <c r="AJ5" s="292" t="n">
        <f aca="false">DATE(YEAR(AI5)+1,12,31)</f>
        <v>41639</v>
      </c>
      <c r="AK5" s="292" t="n">
        <f aca="false">DATE(YEAR(AJ5)+1,12,31)</f>
        <v>42004</v>
      </c>
      <c r="AL5" s="292" t="n">
        <f aca="false">DATE(YEAR(AK5)+1,12,31)</f>
        <v>42369</v>
      </c>
      <c r="AM5" s="292" t="n">
        <f aca="false">DATE(YEAR(AL5)+1,12,31)</f>
        <v>42735</v>
      </c>
      <c r="AN5" s="292" t="n">
        <f aca="false">DATE(YEAR(AM5)+1,12,31)</f>
        <v>43100</v>
      </c>
      <c r="AO5" s="292" t="n">
        <f aca="false">DATE(YEAR(AN5)+1,12,31)</f>
        <v>43465</v>
      </c>
      <c r="AP5" s="292" t="n">
        <f aca="false">DATE(YEAR(AO5)+1,12,31)</f>
        <v>43830</v>
      </c>
      <c r="AQ5" s="292" t="n">
        <f aca="false">DATE(YEAR(AP5)+1,12,31)</f>
        <v>44196</v>
      </c>
      <c r="AR5" s="292" t="n">
        <v>44561</v>
      </c>
      <c r="AS5" s="292" t="n">
        <f aca="false">DATE(YEAR(AR5)+1,12,31)</f>
        <v>44926</v>
      </c>
      <c r="AT5" s="292" t="n">
        <f aca="false">DATE(YEAR(AS5)+1,12,31)</f>
        <v>45291</v>
      </c>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12"/>
      <c r="ET5" s="312"/>
      <c r="EU5" s="312"/>
      <c r="EV5" s="312"/>
      <c r="EW5" s="312"/>
      <c r="EX5" s="312"/>
      <c r="EY5" s="312"/>
      <c r="EZ5" s="312"/>
      <c r="FA5" s="312"/>
      <c r="FB5" s="312"/>
      <c r="FC5" s="312"/>
      <c r="FD5" s="312"/>
      <c r="FE5" s="312"/>
      <c r="FF5" s="312"/>
      <c r="FG5" s="312"/>
      <c r="FH5" s="312"/>
      <c r="FI5" s="312"/>
      <c r="FJ5" s="312"/>
      <c r="FK5" s="312"/>
      <c r="FL5" s="312"/>
      <c r="FM5" s="312"/>
      <c r="FN5" s="312"/>
      <c r="FO5" s="312"/>
      <c r="FP5" s="312"/>
      <c r="FQ5" s="312"/>
      <c r="FR5" s="312"/>
      <c r="FS5" s="312"/>
      <c r="FT5" s="312"/>
      <c r="FU5" s="312"/>
      <c r="FV5" s="312"/>
      <c r="FW5" s="312"/>
      <c r="FX5" s="312"/>
      <c r="FY5" s="312"/>
      <c r="FZ5" s="312"/>
      <c r="GA5" s="312"/>
      <c r="GB5" s="312"/>
      <c r="GC5" s="312"/>
      <c r="GD5" s="312"/>
      <c r="GE5" s="312"/>
      <c r="GF5" s="312"/>
      <c r="GG5" s="312"/>
      <c r="GH5" s="312"/>
      <c r="GI5" s="312"/>
      <c r="GJ5" s="312"/>
      <c r="GK5" s="312"/>
      <c r="GL5" s="312"/>
      <c r="GM5" s="312"/>
      <c r="GN5" s="312"/>
      <c r="GO5" s="312"/>
      <c r="GP5" s="312"/>
      <c r="GQ5" s="312"/>
      <c r="GR5" s="312"/>
      <c r="GS5" s="312"/>
      <c r="GT5" s="312"/>
      <c r="GU5" s="312"/>
      <c r="GV5" s="312"/>
      <c r="GW5" s="312"/>
      <c r="GX5" s="312"/>
      <c r="GY5" s="312"/>
      <c r="GZ5" s="312"/>
      <c r="HA5" s="312"/>
      <c r="HB5" s="312"/>
      <c r="HC5" s="312"/>
      <c r="HD5" s="312"/>
      <c r="HE5" s="312"/>
      <c r="HF5" s="312"/>
      <c r="HG5" s="312"/>
      <c r="HH5" s="312"/>
      <c r="HI5" s="312"/>
      <c r="HJ5" s="312"/>
      <c r="HK5" s="312"/>
      <c r="HL5" s="312"/>
      <c r="HM5" s="312"/>
      <c r="HN5" s="312"/>
      <c r="HO5" s="312"/>
      <c r="HP5" s="312"/>
      <c r="HQ5" s="312"/>
      <c r="HR5" s="312"/>
      <c r="HS5" s="312"/>
      <c r="HT5" s="312"/>
      <c r="HU5" s="312"/>
      <c r="HV5" s="312"/>
      <c r="HW5" s="312"/>
      <c r="HX5" s="312"/>
      <c r="HY5" s="312"/>
      <c r="HZ5" s="312"/>
      <c r="IA5" s="312"/>
      <c r="IB5" s="312"/>
      <c r="IC5" s="312"/>
      <c r="ID5" s="312"/>
      <c r="IE5" s="312"/>
      <c r="IF5" s="312"/>
      <c r="IG5" s="312"/>
      <c r="IH5" s="312"/>
      <c r="II5" s="312"/>
      <c r="IJ5" s="312"/>
      <c r="IK5" s="312"/>
      <c r="IL5" s="312"/>
      <c r="IM5" s="312"/>
      <c r="IN5" s="312"/>
      <c r="IO5" s="312"/>
      <c r="IP5" s="312"/>
      <c r="IQ5" s="312"/>
      <c r="IR5" s="312"/>
      <c r="IS5" s="312"/>
      <c r="IT5" s="312"/>
      <c r="IU5" s="312"/>
      <c r="IV5" s="312"/>
      <c r="IW5" s="312"/>
    </row>
    <row r="6" customFormat="false" ht="13.5" hidden="false" customHeight="true" outlineLevel="0" collapsed="false">
      <c r="A6" s="304" t="s">
        <v>335</v>
      </c>
      <c r="B6" s="320"/>
      <c r="C6" s="0"/>
      <c r="D6" s="0"/>
      <c r="E6" s="0"/>
      <c r="F6" s="0"/>
      <c r="G6" s="0"/>
      <c r="H6" s="0"/>
      <c r="I6" s="0"/>
      <c r="J6" s="321"/>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1.25" hidden="false" customHeight="false" outlineLevel="0" collapsed="false">
      <c r="A7" s="293" t="s">
        <v>336</v>
      </c>
      <c r="B7" s="322" t="n">
        <f aca="false">SUM(C7:X7)</f>
        <v>-9900</v>
      </c>
      <c r="C7" s="323" t="n">
        <v>0</v>
      </c>
      <c r="D7" s="323" t="n">
        <v>0</v>
      </c>
      <c r="E7" s="323" t="n">
        <v>0</v>
      </c>
      <c r="F7" s="323" t="n">
        <v>0</v>
      </c>
      <c r="G7" s="323" t="n">
        <v>0</v>
      </c>
      <c r="H7" s="323" t="n">
        <v>0</v>
      </c>
      <c r="I7" s="323" t="n">
        <v>0</v>
      </c>
      <c r="J7" s="323" t="n">
        <v>0</v>
      </c>
      <c r="K7" s="323" t="n">
        <v>0</v>
      </c>
      <c r="L7" s="323" t="n">
        <v>0</v>
      </c>
      <c r="M7" s="323" t="n">
        <v>0</v>
      </c>
      <c r="N7" s="323" t="n">
        <v>0</v>
      </c>
      <c r="O7" s="323" t="n">
        <v>0</v>
      </c>
      <c r="P7" s="323" t="n">
        <v>0</v>
      </c>
      <c r="Q7" s="323" t="n">
        <v>-3000</v>
      </c>
      <c r="R7" s="323" t="n">
        <v>0</v>
      </c>
      <c r="S7" s="323" t="n">
        <v>-1600</v>
      </c>
      <c r="T7" s="323" t="n">
        <v>0</v>
      </c>
      <c r="U7" s="323" t="n">
        <v>0</v>
      </c>
      <c r="V7" s="323" t="n">
        <v>-5300</v>
      </c>
      <c r="W7" s="323" t="n">
        <v>0</v>
      </c>
      <c r="X7" s="323" t="n">
        <v>0</v>
      </c>
      <c r="Y7" s="294"/>
      <c r="Z7" s="294"/>
      <c r="AA7" s="294"/>
      <c r="AB7" s="294"/>
      <c r="AC7" s="294"/>
      <c r="AD7" s="294"/>
      <c r="AE7" s="294"/>
      <c r="AF7" s="294"/>
      <c r="AG7" s="294"/>
      <c r="AH7" s="294"/>
      <c r="AI7" s="294"/>
      <c r="AJ7" s="294"/>
      <c r="AK7" s="294"/>
      <c r="AL7" s="294"/>
      <c r="AM7" s="294"/>
      <c r="AN7" s="294"/>
      <c r="AO7" s="294"/>
      <c r="AP7" s="294"/>
      <c r="AQ7" s="294"/>
      <c r="AR7" s="294"/>
    </row>
    <row r="8" customFormat="false" ht="11.25" hidden="false" customHeight="false" outlineLevel="0" collapsed="false">
      <c r="A8" s="293" t="s">
        <v>337</v>
      </c>
      <c r="B8" s="322" t="n">
        <f aca="false">SUM(C8:X8)</f>
        <v>-1000</v>
      </c>
      <c r="C8" s="323" t="n">
        <v>0</v>
      </c>
      <c r="D8" s="323" t="n">
        <v>0</v>
      </c>
      <c r="E8" s="323" t="n">
        <f aca="false">-51.44/COUNT($E$5:$M$5)</f>
        <v>-5.71555555555556</v>
      </c>
      <c r="F8" s="323" t="n">
        <f aca="false">-51.44/COUNT($E$5:$M$5)</f>
        <v>-5.71555555555556</v>
      </c>
      <c r="G8" s="323" t="n">
        <f aca="false">-51.44/COUNT($E$5:$M$5)</f>
        <v>-5.71555555555556</v>
      </c>
      <c r="H8" s="323" t="n">
        <f aca="false">-51.44/COUNT($E$5:$M$5)</f>
        <v>-5.71555555555556</v>
      </c>
      <c r="I8" s="323" t="n">
        <f aca="false">-51.44/COUNT($E$5:$M$5)</f>
        <v>-5.71555555555556</v>
      </c>
      <c r="J8" s="323" t="n">
        <f aca="false">-51.44/COUNT($E$5:$M$5)</f>
        <v>-5.71555555555556</v>
      </c>
      <c r="K8" s="323" t="n">
        <f aca="false">-51.44/COUNT($E$5:$M$5)</f>
        <v>-5.71555555555556</v>
      </c>
      <c r="L8" s="323" t="n">
        <f aca="false">-51.44/COUNT($E$5:$M$5)</f>
        <v>-5.71555555555556</v>
      </c>
      <c r="M8" s="323" t="n">
        <f aca="false">-51.44/COUNT($E$5:$M$5)</f>
        <v>-5.71555555555556</v>
      </c>
      <c r="N8" s="323" t="n">
        <v>-39</v>
      </c>
      <c r="O8" s="323" t="n">
        <v>-31</v>
      </c>
      <c r="P8" s="323" t="n">
        <v>-55</v>
      </c>
      <c r="Q8" s="323" t="n">
        <f aca="false">(-1000-SUM($E$8:$P$8))/COUNT($Q$5:$X$5)</f>
        <v>-102.945</v>
      </c>
      <c r="R8" s="323" t="n">
        <f aca="false">(-1000-SUM($E$8:$P$8))/COUNT($Q$5:$X$5)</f>
        <v>-102.945</v>
      </c>
      <c r="S8" s="323" t="n">
        <f aca="false">(-1000-SUM($E$8:$P$8))/COUNT($Q$5:$X$5)</f>
        <v>-102.945</v>
      </c>
      <c r="T8" s="323" t="n">
        <f aca="false">(-1000-SUM($E$8:$P$8))/COUNT($Q$5:$X$5)</f>
        <v>-102.945</v>
      </c>
      <c r="U8" s="323" t="n">
        <f aca="false">(-1000-SUM($E$8:$P$8))/COUNT($Q$5:$X$5)</f>
        <v>-102.945</v>
      </c>
      <c r="V8" s="323" t="n">
        <f aca="false">(-1000-SUM($E$8:$P$8))/COUNT($Q$5:$X$5)</f>
        <v>-102.945</v>
      </c>
      <c r="W8" s="323" t="n">
        <f aca="false">(-1000-SUM($E$8:$P$8))/COUNT($Q$5:$X$5)</f>
        <v>-102.945</v>
      </c>
      <c r="X8" s="323" t="n">
        <f aca="false">(-1000-SUM($E$8:$P$8))/COUNT($Q$5:$X$5)</f>
        <v>-102.945</v>
      </c>
      <c r="Y8" s="294"/>
      <c r="Z8" s="294"/>
      <c r="AA8" s="294"/>
      <c r="AB8" s="294"/>
      <c r="AC8" s="294"/>
      <c r="AD8" s="294"/>
      <c r="AE8" s="294"/>
      <c r="AF8" s="294"/>
      <c r="AG8" s="294"/>
      <c r="AH8" s="294"/>
      <c r="AI8" s="294"/>
      <c r="AJ8" s="294"/>
      <c r="AK8" s="294"/>
      <c r="AL8" s="294"/>
      <c r="AM8" s="294"/>
      <c r="AN8" s="294"/>
      <c r="AO8" s="294"/>
      <c r="AP8" s="294"/>
      <c r="AQ8" s="294"/>
      <c r="AR8" s="294"/>
    </row>
    <row r="9" customFormat="false" ht="11.25" hidden="false" customHeight="false" outlineLevel="0" collapsed="false">
      <c r="A9" s="293" t="s">
        <v>292</v>
      </c>
      <c r="B9" s="322" t="n">
        <f aca="false">SUM(C9:X9)</f>
        <v>-500</v>
      </c>
      <c r="C9" s="323" t="n">
        <v>0</v>
      </c>
      <c r="D9" s="323" t="n">
        <v>0</v>
      </c>
      <c r="E9" s="323" t="n">
        <v>-500</v>
      </c>
      <c r="F9" s="323" t="n">
        <v>0</v>
      </c>
      <c r="G9" s="323" t="n">
        <v>0</v>
      </c>
      <c r="H9" s="323" t="n">
        <v>0</v>
      </c>
      <c r="I9" s="323" t="n">
        <v>0</v>
      </c>
      <c r="J9" s="323" t="n">
        <v>0</v>
      </c>
      <c r="K9" s="323" t="n">
        <v>0</v>
      </c>
      <c r="L9" s="323" t="n">
        <v>0</v>
      </c>
      <c r="M9" s="323" t="n">
        <v>0</v>
      </c>
      <c r="N9" s="323" t="n">
        <v>0</v>
      </c>
      <c r="O9" s="323" t="n">
        <v>0</v>
      </c>
      <c r="P9" s="323" t="n">
        <v>0</v>
      </c>
      <c r="Q9" s="323" t="n">
        <v>0</v>
      </c>
      <c r="R9" s="323" t="n">
        <v>0</v>
      </c>
      <c r="S9" s="323" t="n">
        <v>0</v>
      </c>
      <c r="T9" s="323" t="n">
        <v>0</v>
      </c>
      <c r="U9" s="323" t="n">
        <v>0</v>
      </c>
      <c r="V9" s="323" t="n">
        <v>0</v>
      </c>
      <c r="W9" s="323" t="n">
        <v>0</v>
      </c>
      <c r="X9" s="323" t="n">
        <v>0</v>
      </c>
      <c r="Y9" s="294"/>
      <c r="Z9" s="294"/>
      <c r="AA9" s="294"/>
      <c r="AB9" s="294"/>
      <c r="AC9" s="294"/>
      <c r="AD9" s="294"/>
      <c r="AE9" s="294"/>
      <c r="AF9" s="294"/>
      <c r="AG9" s="294"/>
      <c r="AH9" s="294"/>
      <c r="AI9" s="294"/>
      <c r="AJ9" s="294"/>
      <c r="AK9" s="294"/>
      <c r="AL9" s="294"/>
      <c r="AM9" s="294"/>
      <c r="AN9" s="294"/>
      <c r="AO9" s="294"/>
      <c r="AP9" s="294"/>
      <c r="AQ9" s="294"/>
      <c r="AR9" s="294"/>
    </row>
    <row r="10" customFormat="false" ht="11.25" hidden="false" customHeight="false" outlineLevel="0" collapsed="false">
      <c r="A10" s="293" t="s">
        <v>338</v>
      </c>
      <c r="B10" s="322" t="n">
        <f aca="false">SUM(C10:X10)</f>
        <v>-250</v>
      </c>
      <c r="C10" s="323" t="n">
        <v>0</v>
      </c>
      <c r="D10" s="323" t="n">
        <v>0</v>
      </c>
      <c r="E10" s="323" t="n">
        <v>0</v>
      </c>
      <c r="F10" s="323" t="n">
        <v>0</v>
      </c>
      <c r="G10" s="323" t="n">
        <v>0</v>
      </c>
      <c r="H10" s="323" t="n">
        <v>0</v>
      </c>
      <c r="I10" s="323" t="n">
        <v>0</v>
      </c>
      <c r="J10" s="323" t="n">
        <v>0</v>
      </c>
      <c r="K10" s="323" t="n">
        <v>0</v>
      </c>
      <c r="L10" s="323" t="n">
        <v>0</v>
      </c>
      <c r="M10" s="323" t="n">
        <v>-250</v>
      </c>
      <c r="N10" s="323" t="n">
        <v>0</v>
      </c>
      <c r="O10" s="323" t="n">
        <v>0</v>
      </c>
      <c r="P10" s="323" t="n">
        <v>0</v>
      </c>
      <c r="Q10" s="323" t="n">
        <v>0</v>
      </c>
      <c r="R10" s="323" t="n">
        <v>0</v>
      </c>
      <c r="S10" s="323" t="n">
        <v>0</v>
      </c>
      <c r="T10" s="323" t="n">
        <v>0</v>
      </c>
      <c r="U10" s="323" t="n">
        <v>0</v>
      </c>
      <c r="V10" s="323" t="n">
        <v>0</v>
      </c>
      <c r="W10" s="323" t="n">
        <v>0</v>
      </c>
      <c r="X10" s="323" t="n">
        <v>0</v>
      </c>
      <c r="Y10" s="294"/>
      <c r="Z10" s="294"/>
      <c r="AA10" s="294"/>
      <c r="AB10" s="294"/>
      <c r="AC10" s="294"/>
      <c r="AD10" s="294"/>
      <c r="AE10" s="294"/>
      <c r="AF10" s="294"/>
      <c r="AG10" s="294"/>
      <c r="AH10" s="294"/>
      <c r="AI10" s="294"/>
      <c r="AJ10" s="294"/>
      <c r="AK10" s="294"/>
      <c r="AL10" s="294"/>
      <c r="AM10" s="294"/>
      <c r="AN10" s="294"/>
      <c r="AO10" s="294"/>
      <c r="AP10" s="294"/>
      <c r="AQ10" s="294"/>
      <c r="AR10" s="294"/>
    </row>
    <row r="11" customFormat="false" ht="11.25" hidden="false" customHeight="false" outlineLevel="0" collapsed="false">
      <c r="A11" s="293" t="s">
        <v>339</v>
      </c>
      <c r="B11" s="322" t="n">
        <f aca="false">SUM(C11:X11)</f>
        <v>-1000</v>
      </c>
      <c r="C11" s="323" t="n">
        <v>0</v>
      </c>
      <c r="D11" s="323" t="n">
        <v>0</v>
      </c>
      <c r="E11" s="323" t="n">
        <v>0</v>
      </c>
      <c r="F11" s="323" t="n">
        <v>0</v>
      </c>
      <c r="G11" s="323" t="n">
        <v>0</v>
      </c>
      <c r="H11" s="323" t="n">
        <v>0</v>
      </c>
      <c r="I11" s="323" t="n">
        <v>0</v>
      </c>
      <c r="J11" s="323" t="n">
        <v>0</v>
      </c>
      <c r="K11" s="323" t="n">
        <v>0</v>
      </c>
      <c r="L11" s="323" t="n">
        <v>0</v>
      </c>
      <c r="M11" s="323" t="n">
        <v>0</v>
      </c>
      <c r="N11" s="323" t="n">
        <v>0</v>
      </c>
      <c r="O11" s="323" t="n">
        <v>0</v>
      </c>
      <c r="P11" s="323" t="n">
        <v>0</v>
      </c>
      <c r="Q11" s="323" t="n">
        <v>0</v>
      </c>
      <c r="R11" s="323" t="n">
        <v>0</v>
      </c>
      <c r="S11" s="323" t="n">
        <v>0</v>
      </c>
      <c r="T11" s="323" t="n">
        <v>0</v>
      </c>
      <c r="U11" s="323" t="n">
        <v>0</v>
      </c>
      <c r="V11" s="323" t="n">
        <v>0</v>
      </c>
      <c r="W11" s="323" t="n">
        <v>-1000</v>
      </c>
      <c r="X11" s="323" t="n">
        <v>0</v>
      </c>
      <c r="Y11" s="294"/>
      <c r="Z11" s="294"/>
      <c r="AA11" s="294"/>
      <c r="AB11" s="294"/>
      <c r="AC11" s="294"/>
      <c r="AD11" s="294"/>
      <c r="AE11" s="294"/>
      <c r="AF11" s="294"/>
      <c r="AG11" s="294"/>
      <c r="AH11" s="294"/>
      <c r="AI11" s="294"/>
      <c r="AJ11" s="294"/>
      <c r="AK11" s="294"/>
      <c r="AL11" s="294"/>
      <c r="AM11" s="294"/>
      <c r="AN11" s="294"/>
      <c r="AO11" s="294"/>
      <c r="AP11" s="294"/>
      <c r="AQ11" s="294"/>
      <c r="AR11" s="294"/>
    </row>
    <row r="12" customFormat="false" ht="11.25" hidden="false" customHeight="false" outlineLevel="0" collapsed="false">
      <c r="A12" s="293" t="s">
        <v>295</v>
      </c>
      <c r="B12" s="322" t="n">
        <f aca="false">SUM(C12:X12)</f>
        <v>-1900</v>
      </c>
      <c r="C12" s="323" t="n">
        <v>0</v>
      </c>
      <c r="D12" s="323" t="n">
        <v>0</v>
      </c>
      <c r="E12" s="323" t="n">
        <v>0</v>
      </c>
      <c r="F12" s="323" t="n">
        <v>-100</v>
      </c>
      <c r="G12" s="323" t="n">
        <v>-100</v>
      </c>
      <c r="H12" s="323" t="n">
        <v>-100</v>
      </c>
      <c r="I12" s="323" t="n">
        <v>-100</v>
      </c>
      <c r="J12" s="323" t="n">
        <v>-100</v>
      </c>
      <c r="K12" s="323" t="n">
        <v>-100</v>
      </c>
      <c r="L12" s="323" t="n">
        <v>-100</v>
      </c>
      <c r="M12" s="323" t="n">
        <v>-100</v>
      </c>
      <c r="N12" s="323" t="n">
        <v>-100</v>
      </c>
      <c r="O12" s="323" t="n">
        <v>-100</v>
      </c>
      <c r="P12" s="323" t="n">
        <v>-100</v>
      </c>
      <c r="Q12" s="323" t="n">
        <v>-100</v>
      </c>
      <c r="R12" s="323" t="n">
        <v>-100</v>
      </c>
      <c r="S12" s="323" t="n">
        <v>-100</v>
      </c>
      <c r="T12" s="323" t="n">
        <v>-100</v>
      </c>
      <c r="U12" s="323" t="n">
        <v>-100</v>
      </c>
      <c r="V12" s="323" t="n">
        <v>-100</v>
      </c>
      <c r="W12" s="323" t="n">
        <v>-100</v>
      </c>
      <c r="X12" s="323" t="n">
        <v>-100</v>
      </c>
      <c r="Y12" s="294"/>
      <c r="Z12" s="294"/>
      <c r="AA12" s="294"/>
      <c r="AB12" s="294"/>
      <c r="AC12" s="294"/>
      <c r="AD12" s="294"/>
      <c r="AE12" s="294"/>
      <c r="AF12" s="294"/>
      <c r="AG12" s="294"/>
      <c r="AH12" s="294"/>
      <c r="AI12" s="294"/>
      <c r="AJ12" s="294"/>
      <c r="AK12" s="294"/>
      <c r="AL12" s="294"/>
      <c r="AM12" s="294"/>
      <c r="AN12" s="294"/>
      <c r="AO12" s="294"/>
      <c r="AP12" s="294"/>
      <c r="AQ12" s="294"/>
      <c r="AR12" s="294"/>
    </row>
    <row r="13" customFormat="false" ht="11.25" hidden="false" customHeight="false" outlineLevel="0" collapsed="false">
      <c r="A13" s="293" t="s">
        <v>340</v>
      </c>
      <c r="B13" s="322" t="n">
        <f aca="false">SUM(C13:X13)</f>
        <v>-4000</v>
      </c>
      <c r="C13" s="323" t="n">
        <v>0</v>
      </c>
      <c r="D13" s="323" t="n">
        <v>0</v>
      </c>
      <c r="E13" s="323" t="n">
        <v>0</v>
      </c>
      <c r="F13" s="323" t="n">
        <v>0</v>
      </c>
      <c r="G13" s="323" t="n">
        <v>0</v>
      </c>
      <c r="H13" s="323" t="n">
        <v>0</v>
      </c>
      <c r="I13" s="323" t="n">
        <v>0</v>
      </c>
      <c r="J13" s="323" t="n">
        <v>0</v>
      </c>
      <c r="K13" s="323" t="n">
        <v>0</v>
      </c>
      <c r="L13" s="323" t="n">
        <v>0</v>
      </c>
      <c r="M13" s="323" t="n">
        <v>0</v>
      </c>
      <c r="N13" s="323" t="n">
        <v>0</v>
      </c>
      <c r="O13" s="323" t="n">
        <v>0</v>
      </c>
      <c r="P13" s="323" t="n">
        <v>-4000</v>
      </c>
      <c r="Q13" s="323" t="n">
        <v>0</v>
      </c>
      <c r="R13" s="323" t="n">
        <v>0</v>
      </c>
      <c r="S13" s="323" t="n">
        <v>0</v>
      </c>
      <c r="T13" s="323" t="n">
        <v>0</v>
      </c>
      <c r="U13" s="323" t="n">
        <v>0</v>
      </c>
      <c r="V13" s="323" t="n">
        <v>0</v>
      </c>
      <c r="W13" s="323" t="n">
        <v>0</v>
      </c>
      <c r="X13" s="323" t="n">
        <v>0</v>
      </c>
      <c r="Y13" s="294"/>
      <c r="Z13" s="294"/>
      <c r="AA13" s="294"/>
      <c r="AB13" s="294"/>
      <c r="AC13" s="294"/>
      <c r="AD13" s="294"/>
      <c r="AE13" s="294"/>
      <c r="AF13" s="294"/>
      <c r="AG13" s="294"/>
      <c r="AH13" s="294"/>
      <c r="AI13" s="294"/>
      <c r="AJ13" s="294"/>
      <c r="AK13" s="294"/>
      <c r="AL13" s="294"/>
      <c r="AM13" s="294"/>
      <c r="AN13" s="294"/>
      <c r="AO13" s="294"/>
      <c r="AP13" s="294"/>
      <c r="AQ13" s="294"/>
      <c r="AR13" s="294"/>
    </row>
    <row r="14" customFormat="false" ht="11.25" hidden="false" customHeight="false" outlineLevel="0" collapsed="false">
      <c r="A14" s="324" t="s">
        <v>341</v>
      </c>
      <c r="B14" s="325" t="n">
        <f aca="false">SUM(C14:X14)</f>
        <v>-1800</v>
      </c>
      <c r="C14" s="326" t="n">
        <v>0</v>
      </c>
      <c r="D14" s="326" t="n">
        <v>0</v>
      </c>
      <c r="E14" s="326" t="n">
        <f aca="false">-672/COUNT($E$5:$M$5)</f>
        <v>-74.6666666666667</v>
      </c>
      <c r="F14" s="326" t="n">
        <f aca="false">-672/COUNT($E$5:$M$5)</f>
        <v>-74.6666666666667</v>
      </c>
      <c r="G14" s="326" t="n">
        <f aca="false">-672/COUNT($E$5:$M$5)</f>
        <v>-74.6666666666667</v>
      </c>
      <c r="H14" s="326" t="n">
        <f aca="false">-672/COUNT($E$5:$M$5)</f>
        <v>-74.6666666666667</v>
      </c>
      <c r="I14" s="326" t="n">
        <f aca="false">-672/COUNT($E$5:$M$5)</f>
        <v>-74.6666666666667</v>
      </c>
      <c r="J14" s="326" t="n">
        <f aca="false">-672/COUNT($E$5:$M$5)</f>
        <v>-74.6666666666667</v>
      </c>
      <c r="K14" s="326" t="n">
        <f aca="false">-672/COUNT($E$5:$M$5)</f>
        <v>-74.6666666666667</v>
      </c>
      <c r="L14" s="326" t="n">
        <f aca="false">-672/COUNT($E$5:$M$5)</f>
        <v>-74.6666666666667</v>
      </c>
      <c r="M14" s="326" t="n">
        <f aca="false">-672/COUNT($E$5:$M$5)</f>
        <v>-74.6666666666667</v>
      </c>
      <c r="N14" s="326" t="n">
        <f aca="false">-228</f>
        <v>-228</v>
      </c>
      <c r="O14" s="326" t="n">
        <v>-98</v>
      </c>
      <c r="P14" s="326" t="n">
        <v>-131</v>
      </c>
      <c r="Q14" s="326" t="n">
        <f aca="false">(-1800-SUM($E$14:$P$14))/COUNT($Q$5:$X$5)</f>
        <v>-83.875</v>
      </c>
      <c r="R14" s="326" t="n">
        <f aca="false">(-1800-SUM($E$14:$P$14))/COUNT($Q$5:$X$5)</f>
        <v>-83.875</v>
      </c>
      <c r="S14" s="326" t="n">
        <f aca="false">(-1800-SUM($E$14:$P$14))/COUNT($Q$5:$X$5)</f>
        <v>-83.875</v>
      </c>
      <c r="T14" s="326" t="n">
        <f aca="false">(-1800-SUM($E$14:$P$14))/COUNT($Q$5:$X$5)</f>
        <v>-83.875</v>
      </c>
      <c r="U14" s="326" t="n">
        <f aca="false">(-1800-SUM($E$14:$P$14))/COUNT($Q$5:$X$5)</f>
        <v>-83.875</v>
      </c>
      <c r="V14" s="326" t="n">
        <f aca="false">(-1800-SUM($E$14:$P$14))/COUNT($Q$5:$X$5)</f>
        <v>-83.875</v>
      </c>
      <c r="W14" s="326" t="n">
        <f aca="false">(-1800-SUM($E$14:$P$14))/COUNT($Q$5:$X$5)</f>
        <v>-83.875</v>
      </c>
      <c r="X14" s="326" t="n">
        <f aca="false">(-1800-SUM($E$14:$P$14))/COUNT($Q$5:$X$5)</f>
        <v>-83.875</v>
      </c>
      <c r="Y14" s="294"/>
      <c r="Z14" s="294"/>
      <c r="AA14" s="294"/>
      <c r="AB14" s="294"/>
      <c r="AC14" s="294"/>
      <c r="AD14" s="294"/>
      <c r="AE14" s="294"/>
      <c r="AF14" s="294"/>
      <c r="AG14" s="294"/>
      <c r="AH14" s="294"/>
      <c r="AI14" s="294"/>
      <c r="AJ14" s="294"/>
      <c r="AK14" s="294"/>
      <c r="AL14" s="294"/>
      <c r="AM14" s="294"/>
      <c r="AN14" s="294"/>
      <c r="AO14" s="294"/>
      <c r="AP14" s="294"/>
      <c r="AQ14" s="294"/>
      <c r="AR14" s="294"/>
    </row>
    <row r="15" customFormat="false" ht="11.25" hidden="false" customHeight="false" outlineLevel="0" collapsed="false">
      <c r="A15" s="324" t="s">
        <v>342</v>
      </c>
      <c r="B15" s="325" t="n">
        <f aca="false">SUM(C15:X15)</f>
        <v>-830</v>
      </c>
      <c r="C15" s="326" t="n">
        <v>0</v>
      </c>
      <c r="D15" s="326" t="n">
        <v>0</v>
      </c>
      <c r="E15" s="326" t="n">
        <f aca="false">-427/COUNT($E$5:$M$5)</f>
        <v>-47.4444444444444</v>
      </c>
      <c r="F15" s="326" t="n">
        <f aca="false">-427/COUNT($E$5:$M$5)</f>
        <v>-47.4444444444444</v>
      </c>
      <c r="G15" s="326" t="n">
        <f aca="false">-427/COUNT($E$5:$M$5)</f>
        <v>-47.4444444444444</v>
      </c>
      <c r="H15" s="326" t="n">
        <f aca="false">-427/COUNT($E$5:$M$5)</f>
        <v>-47.4444444444444</v>
      </c>
      <c r="I15" s="326" t="n">
        <f aca="false">-427/COUNT($E$5:$M$5)</f>
        <v>-47.4444444444444</v>
      </c>
      <c r="J15" s="326" t="n">
        <f aca="false">-427/COUNT($E$5:$M$5)</f>
        <v>-47.4444444444444</v>
      </c>
      <c r="K15" s="326" t="n">
        <f aca="false">-427/COUNT($E$5:$M$5)</f>
        <v>-47.4444444444444</v>
      </c>
      <c r="L15" s="326" t="n">
        <f aca="false">-427/COUNT($E$5:$M$5)</f>
        <v>-47.4444444444444</v>
      </c>
      <c r="M15" s="326" t="n">
        <f aca="false">-427/COUNT($E$5:$M$5)</f>
        <v>-47.4444444444444</v>
      </c>
      <c r="N15" s="326" t="n">
        <v>-27</v>
      </c>
      <c r="O15" s="326" t="n">
        <v>-55</v>
      </c>
      <c r="P15" s="326" t="n">
        <v>-198</v>
      </c>
      <c r="Q15" s="326" t="n">
        <f aca="false">(-830-SUM($E$15:$P$15))/COUNT($Q$5:$X$5)</f>
        <v>-15.375</v>
      </c>
      <c r="R15" s="326" t="n">
        <f aca="false">(-830-SUM($E$15:$P$15))/COUNT($Q$5:$X$5)</f>
        <v>-15.375</v>
      </c>
      <c r="S15" s="326" t="n">
        <f aca="false">(-830-SUM($E$15:$P$15))/COUNT($Q$5:$X$5)</f>
        <v>-15.375</v>
      </c>
      <c r="T15" s="326" t="n">
        <f aca="false">(-830-SUM($E$15:$P$15))/COUNT($Q$5:$X$5)</f>
        <v>-15.375</v>
      </c>
      <c r="U15" s="326" t="n">
        <f aca="false">(-830-SUM($E$15:$P$15))/COUNT($Q$5:$X$5)</f>
        <v>-15.375</v>
      </c>
      <c r="V15" s="326" t="n">
        <f aca="false">(-830-SUM($E$15:$P$15))/COUNT($Q$5:$X$5)</f>
        <v>-15.375</v>
      </c>
      <c r="W15" s="326" t="n">
        <f aca="false">(-830-SUM($E$15:$P$15))/COUNT($Q$5:$X$5)</f>
        <v>-15.375</v>
      </c>
      <c r="X15" s="326" t="n">
        <f aca="false">(-830-SUM($E$15:$P$15))/COUNT($Q$5:$X$5)</f>
        <v>-15.375</v>
      </c>
      <c r="Y15" s="294"/>
      <c r="Z15" s="294"/>
      <c r="AA15" s="294"/>
      <c r="AB15" s="294"/>
      <c r="AC15" s="294"/>
      <c r="AD15" s="294"/>
      <c r="AE15" s="294"/>
      <c r="AF15" s="294"/>
      <c r="AG15" s="294"/>
      <c r="AH15" s="294"/>
      <c r="AI15" s="294"/>
      <c r="AJ15" s="294"/>
      <c r="AK15" s="294"/>
      <c r="AL15" s="294"/>
      <c r="AM15" s="294"/>
      <c r="AN15" s="294"/>
      <c r="AO15" s="294"/>
      <c r="AP15" s="294"/>
      <c r="AQ15" s="294"/>
      <c r="AR15" s="294"/>
    </row>
    <row r="16" customFormat="false" ht="11.25" hidden="false" customHeight="false" outlineLevel="0" collapsed="false">
      <c r="A16" s="293" t="s">
        <v>343</v>
      </c>
      <c r="B16" s="322" t="n">
        <f aca="false">SUM(C16:X16)</f>
        <v>-100</v>
      </c>
      <c r="C16" s="323" t="n">
        <v>0</v>
      </c>
      <c r="D16" s="323" t="n">
        <v>0</v>
      </c>
      <c r="E16" s="323" t="n">
        <v>0</v>
      </c>
      <c r="F16" s="323" t="n">
        <v>0</v>
      </c>
      <c r="G16" s="323" t="n">
        <v>0</v>
      </c>
      <c r="H16" s="323" t="n">
        <v>0</v>
      </c>
      <c r="I16" s="323" t="n">
        <v>0</v>
      </c>
      <c r="J16" s="323" t="n">
        <v>0</v>
      </c>
      <c r="K16" s="323" t="n">
        <v>0</v>
      </c>
      <c r="L16" s="323" t="n">
        <v>0</v>
      </c>
      <c r="M16" s="323" t="n">
        <v>0</v>
      </c>
      <c r="N16" s="323" t="n">
        <v>0</v>
      </c>
      <c r="O16" s="323" t="n">
        <v>0</v>
      </c>
      <c r="P16" s="323" t="n">
        <v>0</v>
      </c>
      <c r="Q16" s="323" t="n">
        <v>0</v>
      </c>
      <c r="R16" s="323" t="n">
        <v>0</v>
      </c>
      <c r="S16" s="323" t="n">
        <v>-100</v>
      </c>
      <c r="T16" s="323" t="n">
        <v>0</v>
      </c>
      <c r="U16" s="323" t="n">
        <v>0</v>
      </c>
      <c r="V16" s="323" t="n">
        <v>0</v>
      </c>
      <c r="W16" s="323" t="n">
        <v>0</v>
      </c>
      <c r="X16" s="323" t="n">
        <v>0</v>
      </c>
      <c r="Y16" s="294"/>
      <c r="Z16" s="294"/>
      <c r="AA16" s="294"/>
      <c r="AB16" s="294"/>
      <c r="AC16" s="294"/>
      <c r="AD16" s="294"/>
      <c r="AE16" s="294"/>
      <c r="AF16" s="294"/>
      <c r="AG16" s="294"/>
      <c r="AH16" s="294"/>
      <c r="AI16" s="294"/>
      <c r="AJ16" s="294"/>
      <c r="AK16" s="294"/>
      <c r="AL16" s="294"/>
      <c r="AM16" s="294"/>
      <c r="AN16" s="294"/>
      <c r="AO16" s="294"/>
      <c r="AP16" s="294"/>
      <c r="AQ16" s="294"/>
      <c r="AR16" s="294"/>
    </row>
    <row r="17" customFormat="false" ht="11.25" hidden="false" customHeight="false" outlineLevel="0" collapsed="false">
      <c r="A17" s="293" t="s">
        <v>344</v>
      </c>
      <c r="B17" s="322" t="n">
        <f aca="false">SUM(C17:X17)</f>
        <v>-2000</v>
      </c>
      <c r="C17" s="323" t="n">
        <v>0</v>
      </c>
      <c r="D17" s="323" t="n">
        <f aca="false">-294/COUNT($D$5:$M$5)</f>
        <v>-29.4</v>
      </c>
      <c r="E17" s="323" t="n">
        <f aca="false">-294/COUNT($D$5:$M$5)</f>
        <v>-29.4</v>
      </c>
      <c r="F17" s="323" t="n">
        <f aca="false">-294/COUNT($D$5:$M$5)</f>
        <v>-29.4</v>
      </c>
      <c r="G17" s="323" t="n">
        <f aca="false">-294/COUNT($D$5:$M$5)</f>
        <v>-29.4</v>
      </c>
      <c r="H17" s="323" t="n">
        <f aca="false">-294/COUNT($D$5:$M$5)</f>
        <v>-29.4</v>
      </c>
      <c r="I17" s="323" t="n">
        <f aca="false">-294/COUNT($D$5:$M$5)</f>
        <v>-29.4</v>
      </c>
      <c r="J17" s="323" t="n">
        <f aca="false">-294/COUNT($D$5:$M$5)</f>
        <v>-29.4</v>
      </c>
      <c r="K17" s="323" t="n">
        <f aca="false">-294/COUNT($D$5:$M$5)</f>
        <v>-29.4</v>
      </c>
      <c r="L17" s="323" t="n">
        <f aca="false">-294/COUNT($D$5:$M$5)</f>
        <v>-29.4</v>
      </c>
      <c r="M17" s="323" t="n">
        <f aca="false">-294/COUNT($D$5:$M$5)</f>
        <v>-29.4</v>
      </c>
      <c r="N17" s="323" t="n">
        <f aca="false">(-2000-SUM($D$17:$M$17))/COUNT($N$5:$X$5)</f>
        <v>-155.090909090909</v>
      </c>
      <c r="O17" s="323" t="n">
        <f aca="false">(-2000-SUM($D$17:$M$17))/COUNT($N$5:$X$5)</f>
        <v>-155.090909090909</v>
      </c>
      <c r="P17" s="323" t="n">
        <f aca="false">(-2000-SUM($D$17:$M$17))/COUNT($N$5:$X$5)</f>
        <v>-155.090909090909</v>
      </c>
      <c r="Q17" s="323" t="n">
        <f aca="false">(-2000-SUM($D$17:$M$17))/COUNT($N$5:$X$5)</f>
        <v>-155.090909090909</v>
      </c>
      <c r="R17" s="323" t="n">
        <f aca="false">(-2000-SUM($D$17:$M$17))/COUNT($N$5:$X$5)</f>
        <v>-155.090909090909</v>
      </c>
      <c r="S17" s="323" t="n">
        <f aca="false">(-2000-SUM($D$17:$M$17))/COUNT($N$5:$X$5)</f>
        <v>-155.090909090909</v>
      </c>
      <c r="T17" s="323" t="n">
        <f aca="false">(-2000-SUM($D$17:$M$17))/COUNT($N$5:$X$5)</f>
        <v>-155.090909090909</v>
      </c>
      <c r="U17" s="323" t="n">
        <f aca="false">(-2000-SUM($D$17:$M$17))/COUNT($N$5:$X$5)</f>
        <v>-155.090909090909</v>
      </c>
      <c r="V17" s="323" t="n">
        <f aca="false">(-2000-SUM($D$17:$M$17))/COUNT($N$5:$X$5)</f>
        <v>-155.090909090909</v>
      </c>
      <c r="W17" s="323" t="n">
        <f aca="false">(-2000-SUM($D$17:$M$17))/COUNT($N$5:$X$5)</f>
        <v>-155.090909090909</v>
      </c>
      <c r="X17" s="323" t="n">
        <f aca="false">(-2000-SUM($D$17:$M$17))/COUNT($N$5:$X$5)</f>
        <v>-155.090909090909</v>
      </c>
      <c r="Y17" s="294"/>
      <c r="Z17" s="294"/>
      <c r="AA17" s="294"/>
      <c r="AB17" s="294"/>
      <c r="AC17" s="294"/>
      <c r="AD17" s="294"/>
      <c r="AE17" s="294"/>
      <c r="AF17" s="294"/>
      <c r="AG17" s="294"/>
      <c r="AH17" s="294"/>
      <c r="AI17" s="294"/>
      <c r="AJ17" s="294"/>
      <c r="AK17" s="294"/>
      <c r="AL17" s="294"/>
      <c r="AM17" s="294"/>
      <c r="AN17" s="294"/>
      <c r="AO17" s="294"/>
      <c r="AP17" s="294"/>
      <c r="AQ17" s="294"/>
      <c r="AR17" s="294"/>
    </row>
    <row r="18" customFormat="false" ht="11.25" hidden="false" customHeight="false" outlineLevel="0" collapsed="false">
      <c r="A18" s="293" t="s">
        <v>345</v>
      </c>
      <c r="B18" s="322" t="n">
        <f aca="false">SUM(C18:X18)</f>
        <v>-567</v>
      </c>
      <c r="C18" s="323" t="n">
        <v>0</v>
      </c>
      <c r="D18" s="323" t="n">
        <v>0</v>
      </c>
      <c r="E18" s="323" t="n">
        <v>0</v>
      </c>
      <c r="F18" s="323" t="n">
        <v>0</v>
      </c>
      <c r="G18" s="323" t="n">
        <v>0</v>
      </c>
      <c r="H18" s="323" t="n">
        <v>0</v>
      </c>
      <c r="I18" s="323" t="n">
        <v>0</v>
      </c>
      <c r="J18" s="323" t="n">
        <v>0</v>
      </c>
      <c r="K18" s="323" t="n">
        <v>0</v>
      </c>
      <c r="L18" s="323" t="n">
        <v>0</v>
      </c>
      <c r="M18" s="323" t="n">
        <v>0</v>
      </c>
      <c r="N18" s="323" t="n">
        <f aca="false">-567/COUNT($N$5:$X$5)</f>
        <v>-51.5454545454546</v>
      </c>
      <c r="O18" s="323" t="n">
        <f aca="false">-567/COUNT($N$5:$X$5)</f>
        <v>-51.5454545454546</v>
      </c>
      <c r="P18" s="323" t="n">
        <f aca="false">-567/COUNT($N$5:$X$5)</f>
        <v>-51.5454545454546</v>
      </c>
      <c r="Q18" s="323" t="n">
        <f aca="false">-567/COUNT($N$5:$X$5)</f>
        <v>-51.5454545454546</v>
      </c>
      <c r="R18" s="323" t="n">
        <f aca="false">-567/COUNT($N$5:$X$5)</f>
        <v>-51.5454545454546</v>
      </c>
      <c r="S18" s="323" t="n">
        <f aca="false">-567/COUNT($N$5:$X$5)</f>
        <v>-51.5454545454546</v>
      </c>
      <c r="T18" s="323" t="n">
        <f aca="false">-567/COUNT($N$5:$X$5)</f>
        <v>-51.5454545454546</v>
      </c>
      <c r="U18" s="323" t="n">
        <f aca="false">-567/COUNT($N$5:$X$5)</f>
        <v>-51.5454545454546</v>
      </c>
      <c r="V18" s="323" t="n">
        <f aca="false">-567/COUNT($N$5:$X$5)</f>
        <v>-51.5454545454546</v>
      </c>
      <c r="W18" s="323" t="n">
        <f aca="false">-567/COUNT($N$5:$X$5)</f>
        <v>-51.5454545454546</v>
      </c>
      <c r="X18" s="323" t="n">
        <f aca="false">-567/COUNT($N$5:$X$5)</f>
        <v>-51.5454545454546</v>
      </c>
      <c r="Y18" s="294"/>
      <c r="Z18" s="294"/>
      <c r="AA18" s="294"/>
      <c r="AB18" s="294"/>
      <c r="AC18" s="294"/>
      <c r="AD18" s="294"/>
      <c r="AE18" s="294"/>
      <c r="AF18" s="294"/>
      <c r="AG18" s="294"/>
      <c r="AH18" s="294"/>
      <c r="AI18" s="294"/>
      <c r="AJ18" s="294"/>
      <c r="AK18" s="294"/>
      <c r="AL18" s="294"/>
      <c r="AM18" s="294"/>
      <c r="AN18" s="294"/>
      <c r="AO18" s="294"/>
      <c r="AP18" s="294"/>
      <c r="AQ18" s="294"/>
      <c r="AR18" s="294"/>
    </row>
    <row r="19" customFormat="false" ht="11.25" hidden="false" customHeight="false" outlineLevel="0" collapsed="false">
      <c r="A19" s="293" t="s">
        <v>346</v>
      </c>
      <c r="B19" s="322" t="n">
        <f aca="false">SUM(C19:X19)</f>
        <v>-500</v>
      </c>
      <c r="C19" s="323" t="n">
        <v>0</v>
      </c>
      <c r="D19" s="323" t="n">
        <v>0</v>
      </c>
      <c r="E19" s="323" t="n">
        <v>0</v>
      </c>
      <c r="F19" s="323" t="n">
        <v>0</v>
      </c>
      <c r="G19" s="323" t="n">
        <v>0</v>
      </c>
      <c r="H19" s="323" t="n">
        <v>0</v>
      </c>
      <c r="I19" s="323" t="n">
        <v>0</v>
      </c>
      <c r="J19" s="323" t="n">
        <v>0</v>
      </c>
      <c r="K19" s="323" t="n">
        <v>0</v>
      </c>
      <c r="L19" s="323" t="n">
        <v>0</v>
      </c>
      <c r="M19" s="323" t="n">
        <v>0</v>
      </c>
      <c r="N19" s="323" t="n">
        <v>0</v>
      </c>
      <c r="O19" s="323" t="n">
        <v>0</v>
      </c>
      <c r="P19" s="323" t="n">
        <v>0</v>
      </c>
      <c r="Q19" s="323" t="n">
        <v>0</v>
      </c>
      <c r="R19" s="323" t="n">
        <v>0</v>
      </c>
      <c r="S19" s="323" t="n">
        <v>-500</v>
      </c>
      <c r="T19" s="323" t="n">
        <v>0</v>
      </c>
      <c r="U19" s="323" t="n">
        <v>0</v>
      </c>
      <c r="V19" s="323" t="n">
        <v>0</v>
      </c>
      <c r="W19" s="323" t="n">
        <v>0</v>
      </c>
      <c r="X19" s="323" t="n">
        <v>0</v>
      </c>
      <c r="Y19" s="294"/>
      <c r="Z19" s="294"/>
      <c r="AA19" s="294"/>
      <c r="AB19" s="294"/>
      <c r="AC19" s="294"/>
      <c r="AD19" s="294"/>
      <c r="AE19" s="294"/>
      <c r="AF19" s="294"/>
      <c r="AG19" s="294"/>
      <c r="AH19" s="294"/>
      <c r="AI19" s="294"/>
      <c r="AJ19" s="294"/>
      <c r="AK19" s="294"/>
      <c r="AL19" s="294"/>
      <c r="AM19" s="294"/>
      <c r="AN19" s="294"/>
      <c r="AO19" s="294"/>
      <c r="AP19" s="294"/>
      <c r="AQ19" s="294"/>
      <c r="AR19" s="294"/>
    </row>
    <row r="20" customFormat="false" ht="11.25" hidden="false" customHeight="false" outlineLevel="0" collapsed="false">
      <c r="A20" s="293" t="s">
        <v>347</v>
      </c>
      <c r="B20" s="322" t="n">
        <f aca="false">SUM(C20:X20)</f>
        <v>-500</v>
      </c>
      <c r="C20" s="323" t="n">
        <v>0</v>
      </c>
      <c r="D20" s="323" t="n">
        <f aca="false">-188/COUNT($D$5:$M$5)</f>
        <v>-18.8</v>
      </c>
      <c r="E20" s="323" t="n">
        <f aca="false">-188/COUNT($D$5:$M$5)</f>
        <v>-18.8</v>
      </c>
      <c r="F20" s="323" t="n">
        <f aca="false">-188/COUNT($D$5:$M$5)</f>
        <v>-18.8</v>
      </c>
      <c r="G20" s="323" t="n">
        <f aca="false">-188/COUNT($D$5:$M$5)</f>
        <v>-18.8</v>
      </c>
      <c r="H20" s="323" t="n">
        <f aca="false">-188/COUNT($D$5:$M$5)</f>
        <v>-18.8</v>
      </c>
      <c r="I20" s="323" t="n">
        <f aca="false">-188/COUNT($D$5:$M$5)</f>
        <v>-18.8</v>
      </c>
      <c r="J20" s="323" t="n">
        <f aca="false">-188/COUNT($D$5:$M$5)</f>
        <v>-18.8</v>
      </c>
      <c r="K20" s="323" t="n">
        <f aca="false">-188/COUNT($D$5:$M$5)</f>
        <v>-18.8</v>
      </c>
      <c r="L20" s="323" t="n">
        <f aca="false">-188/COUNT($D$5:$M$5)</f>
        <v>-18.8</v>
      </c>
      <c r="M20" s="323" t="n">
        <f aca="false">-188/COUNT($D$5:$M$5)</f>
        <v>-18.8</v>
      </c>
      <c r="N20" s="323" t="n">
        <f aca="false">-16-8-5</f>
        <v>-29</v>
      </c>
      <c r="O20" s="323" t="n">
        <f aca="false">-2-75-10-17-1</f>
        <v>-105</v>
      </c>
      <c r="P20" s="323" t="n">
        <f aca="false">-2-11-16-2-3</f>
        <v>-34</v>
      </c>
      <c r="Q20" s="323" t="n">
        <f aca="false">(-500-SUM($D$20:$P$20))/COUNT($Q$5:$X$5)</f>
        <v>-18</v>
      </c>
      <c r="R20" s="323" t="n">
        <f aca="false">(-500-SUM($D$20:$P$20))/COUNT($Q$5:$X$5)</f>
        <v>-18</v>
      </c>
      <c r="S20" s="323" t="n">
        <f aca="false">(-500-SUM($D$20:$P$20))/COUNT($Q$5:$X$5)</f>
        <v>-18</v>
      </c>
      <c r="T20" s="323" t="n">
        <f aca="false">(-500-SUM($D$20:$P$20))/COUNT($Q$5:$X$5)</f>
        <v>-18</v>
      </c>
      <c r="U20" s="323" t="n">
        <f aca="false">(-500-SUM($D$20:$P$20))/COUNT($Q$5:$X$5)</f>
        <v>-18</v>
      </c>
      <c r="V20" s="323" t="n">
        <f aca="false">(-500-SUM($D$20:$P$20))/COUNT($Q$5:$X$5)</f>
        <v>-18</v>
      </c>
      <c r="W20" s="323" t="n">
        <f aca="false">(-500-SUM($D$20:$P$20))/COUNT($Q$5:$X$5)</f>
        <v>-18</v>
      </c>
      <c r="X20" s="323" t="n">
        <f aca="false">(-500-SUM($D$20:$P$20))/COUNT($Q$5:$X$5)</f>
        <v>-18</v>
      </c>
      <c r="Y20" s="294"/>
      <c r="Z20" s="294"/>
      <c r="AA20" s="294"/>
      <c r="AB20" s="294"/>
      <c r="AC20" s="294"/>
      <c r="AD20" s="294"/>
      <c r="AE20" s="294"/>
      <c r="AF20" s="294"/>
      <c r="AG20" s="294"/>
      <c r="AH20" s="294"/>
      <c r="AI20" s="294"/>
      <c r="AJ20" s="294"/>
      <c r="AK20" s="294"/>
      <c r="AL20" s="294"/>
      <c r="AM20" s="294"/>
      <c r="AN20" s="294"/>
      <c r="AO20" s="294"/>
      <c r="AP20" s="294"/>
      <c r="AQ20" s="294"/>
      <c r="AR20" s="294"/>
    </row>
    <row r="21" customFormat="false" ht="11.25" hidden="false" customHeight="false" outlineLevel="0" collapsed="false">
      <c r="A21" s="295" t="s">
        <v>348</v>
      </c>
      <c r="B21" s="327" t="n">
        <f aca="false">SUM(C21:X21)</f>
        <v>-5000</v>
      </c>
      <c r="C21" s="328" t="n">
        <v>0</v>
      </c>
      <c r="D21" s="329" t="n">
        <v>0</v>
      </c>
      <c r="E21" s="329" t="n">
        <v>0</v>
      </c>
      <c r="F21" s="329" t="n">
        <v>0</v>
      </c>
      <c r="G21" s="329" t="n">
        <v>0</v>
      </c>
      <c r="H21" s="329" t="n">
        <v>0</v>
      </c>
      <c r="I21" s="329" t="n">
        <v>0</v>
      </c>
      <c r="J21" s="329" t="n">
        <v>0</v>
      </c>
      <c r="K21" s="329" t="n">
        <v>0</v>
      </c>
      <c r="L21" s="329" t="n">
        <v>0</v>
      </c>
      <c r="M21" s="329" t="n">
        <v>0</v>
      </c>
      <c r="N21" s="329" t="n">
        <v>0</v>
      </c>
      <c r="O21" s="329" t="n">
        <v>0</v>
      </c>
      <c r="P21" s="329" t="n">
        <v>0</v>
      </c>
      <c r="Q21" s="329" t="n">
        <f aca="false">-5000/COUNT($Q$5:$X$5)</f>
        <v>-625</v>
      </c>
      <c r="R21" s="329" t="n">
        <f aca="false">-5000/COUNT($Q$5:$X$5)</f>
        <v>-625</v>
      </c>
      <c r="S21" s="329" t="n">
        <f aca="false">-5000/COUNT($Q$5:$X$5)</f>
        <v>-625</v>
      </c>
      <c r="T21" s="329" t="n">
        <f aca="false">-5000/COUNT($Q$5:$X$5)</f>
        <v>-625</v>
      </c>
      <c r="U21" s="329" t="n">
        <f aca="false">-5000/COUNT($Q$5:$X$5)</f>
        <v>-625</v>
      </c>
      <c r="V21" s="329" t="n">
        <f aca="false">-5000/COUNT($Q$5:$X$5)</f>
        <v>-625</v>
      </c>
      <c r="W21" s="329" t="n">
        <f aca="false">-5000/COUNT($Q$5:$X$5)</f>
        <v>-625</v>
      </c>
      <c r="X21" s="329" t="n">
        <f aca="false">-5000/COUNT($Q$5:$X$5)</f>
        <v>-625</v>
      </c>
      <c r="Y21" s="294"/>
      <c r="Z21" s="294"/>
      <c r="AA21" s="294"/>
      <c r="AB21" s="294"/>
      <c r="AC21" s="294"/>
      <c r="AD21" s="294"/>
      <c r="AE21" s="294"/>
      <c r="AF21" s="294"/>
      <c r="AG21" s="294"/>
      <c r="AH21" s="294"/>
      <c r="AI21" s="294"/>
      <c r="AJ21" s="294"/>
      <c r="AK21" s="294"/>
      <c r="AL21" s="294"/>
      <c r="AM21" s="294"/>
      <c r="AN21" s="294"/>
      <c r="AO21" s="294"/>
      <c r="AP21" s="294"/>
      <c r="AQ21" s="294"/>
      <c r="AR21" s="294"/>
    </row>
    <row r="22" customFormat="false" ht="11.25" hidden="false" customHeight="false" outlineLevel="0" collapsed="false">
      <c r="A22" s="304" t="s">
        <v>349</v>
      </c>
      <c r="B22" s="322" t="n">
        <f aca="false">SUM(C22:X22)</f>
        <v>-29847</v>
      </c>
      <c r="C22" s="300" t="n">
        <f aca="false">SUM(C7:C21)</f>
        <v>0</v>
      </c>
      <c r="D22" s="300" t="n">
        <f aca="false">SUM(D7:D21)</f>
        <v>-48.2</v>
      </c>
      <c r="E22" s="300" t="n">
        <f aca="false">SUM(E7:E21)</f>
        <v>-676.026666666667</v>
      </c>
      <c r="F22" s="300" t="n">
        <f aca="false">SUM(F7:F21)</f>
        <v>-276.026666666667</v>
      </c>
      <c r="G22" s="300" t="n">
        <f aca="false">SUM(G7:G21)</f>
        <v>-276.026666666667</v>
      </c>
      <c r="H22" s="300" t="n">
        <f aca="false">SUM(H7:H21)</f>
        <v>-276.026666666667</v>
      </c>
      <c r="I22" s="300" t="n">
        <f aca="false">SUM(I7:I21)</f>
        <v>-276.026666666667</v>
      </c>
      <c r="J22" s="300" t="n">
        <f aca="false">SUM(J7:J21)</f>
        <v>-276.026666666667</v>
      </c>
      <c r="K22" s="300" t="n">
        <f aca="false">SUM(K7:K21)</f>
        <v>-276.026666666667</v>
      </c>
      <c r="L22" s="300" t="n">
        <f aca="false">SUM(L7:L21)</f>
        <v>-276.026666666667</v>
      </c>
      <c r="M22" s="300" t="n">
        <f aca="false">SUM(M7:M21)</f>
        <v>-526.026666666667</v>
      </c>
      <c r="N22" s="300" t="n">
        <f aca="false">SUM(N7:N21)</f>
        <v>-629.636363636364</v>
      </c>
      <c r="O22" s="300" t="n">
        <f aca="false">SUM(O7:O21)</f>
        <v>-595.636363636364</v>
      </c>
      <c r="P22" s="300" t="n">
        <f aca="false">SUM(P7:P21)</f>
        <v>-4724.63636363636</v>
      </c>
      <c r="Q22" s="300" t="n">
        <f aca="false">SUM(Q7:Q21)</f>
        <v>-4151.83136363636</v>
      </c>
      <c r="R22" s="300" t="n">
        <f aca="false">SUM(R7:R21)</f>
        <v>-1151.83136363636</v>
      </c>
      <c r="S22" s="300" t="n">
        <f aca="false">SUM(S7:S21)</f>
        <v>-3351.83136363636</v>
      </c>
      <c r="T22" s="300" t="n">
        <f aca="false">SUM(T7:T21)</f>
        <v>-1151.83136363636</v>
      </c>
      <c r="U22" s="300" t="n">
        <f aca="false">SUM(U7:U21)</f>
        <v>-1151.83136363636</v>
      </c>
      <c r="V22" s="300" t="n">
        <f aca="false">SUM(V7:V21)</f>
        <v>-6451.83136363636</v>
      </c>
      <c r="W22" s="300" t="n">
        <f aca="false">SUM(W7:W21)</f>
        <v>-2151.83136363636</v>
      </c>
      <c r="X22" s="300" t="n">
        <f aca="false">SUM(X7:X21)</f>
        <v>-1151.83136363636</v>
      </c>
      <c r="Y22" s="315"/>
      <c r="Z22" s="315"/>
      <c r="AA22" s="315"/>
      <c r="AB22" s="315"/>
      <c r="AC22" s="315"/>
      <c r="AD22" s="315"/>
      <c r="AE22" s="315"/>
      <c r="AF22" s="315"/>
      <c r="AG22" s="315"/>
      <c r="AH22" s="315"/>
      <c r="AI22" s="315"/>
      <c r="AJ22" s="315"/>
      <c r="AK22" s="315"/>
      <c r="AL22" s="315"/>
      <c r="AM22" s="315"/>
      <c r="AN22" s="315"/>
      <c r="AO22" s="315"/>
      <c r="AP22" s="315"/>
      <c r="AQ22" s="315"/>
      <c r="AR22" s="315"/>
    </row>
    <row r="23" customFormat="false" ht="11.25" hidden="false" customHeight="false" outlineLevel="0" collapsed="false">
      <c r="A23" s="298"/>
      <c r="B23" s="322"/>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row>
    <row r="24" customFormat="false" ht="11.25" hidden="false" customHeight="false" outlineLevel="0" collapsed="false">
      <c r="A24" s="299" t="s">
        <v>350</v>
      </c>
      <c r="B24" s="322"/>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row>
    <row r="25" customFormat="false" ht="11.25" hidden="false" customHeight="false" outlineLevel="0" collapsed="false">
      <c r="A25" s="293" t="s">
        <v>351</v>
      </c>
      <c r="B25" s="322" t="n">
        <f aca="false">SUM(C25:X25)</f>
        <v>-29362</v>
      </c>
      <c r="C25" s="323" t="n">
        <v>0</v>
      </c>
      <c r="D25" s="323" t="n">
        <v>0</v>
      </c>
      <c r="E25" s="323" t="n">
        <f aca="false">-35/COUNT($E$5:$M$5)</f>
        <v>-3.88888888888889</v>
      </c>
      <c r="F25" s="323" t="n">
        <f aca="false">-35/COUNT($E$5:$M$5)</f>
        <v>-3.88888888888889</v>
      </c>
      <c r="G25" s="323" t="n">
        <f aca="false">-35/COUNT($E$5:$M$5)</f>
        <v>-3.88888888888889</v>
      </c>
      <c r="H25" s="323" t="n">
        <f aca="false">-35/COUNT($E$5:$M$5)</f>
        <v>-3.88888888888889</v>
      </c>
      <c r="I25" s="323" t="n">
        <f aca="false">-35/COUNT($E$5:$M$5)</f>
        <v>-3.88888888888889</v>
      </c>
      <c r="J25" s="323" t="n">
        <f aca="false">-35/COUNT($E$5:$M$5)</f>
        <v>-3.88888888888889</v>
      </c>
      <c r="K25" s="323" t="n">
        <f aca="false">-35/COUNT($E$5:$M$5)</f>
        <v>-3.88888888888889</v>
      </c>
      <c r="L25" s="323" t="n">
        <f aca="false">-35/COUNT($E$5:$M$5)</f>
        <v>-3.88888888888889</v>
      </c>
      <c r="M25" s="323" t="n">
        <f aca="false">-35/COUNT($E$5:$M$5)</f>
        <v>-3.88888888888889</v>
      </c>
      <c r="N25" s="323" t="n">
        <v>0</v>
      </c>
      <c r="O25" s="323" t="n">
        <f aca="false">-150-203</f>
        <v>-353</v>
      </c>
      <c r="P25" s="323" t="n">
        <f aca="false">-3435-120</f>
        <v>-3555</v>
      </c>
      <c r="Q25" s="323" t="n">
        <f aca="false">-698-1823</f>
        <v>-2521</v>
      </c>
      <c r="R25" s="323" t="n">
        <f aca="false">-698-288-100</f>
        <v>-1086</v>
      </c>
      <c r="S25" s="323" t="n">
        <v>-2070</v>
      </c>
      <c r="T25" s="323" t="n">
        <f aca="false">-698-2588</f>
        <v>-3286</v>
      </c>
      <c r="U25" s="323" t="n">
        <v>0</v>
      </c>
      <c r="V25" s="323" t="n">
        <f aca="false">-15897-559</f>
        <v>-16456</v>
      </c>
      <c r="W25" s="323" t="n">
        <v>0</v>
      </c>
      <c r="X25" s="323" t="n">
        <v>0</v>
      </c>
      <c r="Y25" s="315"/>
      <c r="Z25" s="315"/>
      <c r="AA25" s="315"/>
      <c r="AB25" s="315"/>
      <c r="AC25" s="315"/>
      <c r="AD25" s="315"/>
      <c r="AE25" s="315"/>
      <c r="AF25" s="315"/>
      <c r="AG25" s="315"/>
      <c r="AH25" s="315"/>
      <c r="AI25" s="315"/>
      <c r="AJ25" s="315"/>
      <c r="AK25" s="315"/>
      <c r="AL25" s="315"/>
      <c r="AM25" s="315"/>
      <c r="AN25" s="315"/>
      <c r="AO25" s="315"/>
      <c r="AP25" s="315"/>
      <c r="AQ25" s="315"/>
      <c r="AR25" s="315"/>
    </row>
    <row r="26" customFormat="false" ht="11.25" hidden="false" customHeight="false" outlineLevel="0" collapsed="false">
      <c r="A26" s="295" t="s">
        <v>348</v>
      </c>
      <c r="B26" s="327" t="n">
        <f aca="false">SUM(C26:X26)</f>
        <v>0</v>
      </c>
      <c r="C26" s="297" t="n">
        <f aca="false">0</f>
        <v>0</v>
      </c>
      <c r="D26" s="297" t="n">
        <f aca="false">0</f>
        <v>0</v>
      </c>
      <c r="E26" s="297" t="n">
        <f aca="false">0</f>
        <v>0</v>
      </c>
      <c r="F26" s="297" t="n">
        <f aca="false">0</f>
        <v>0</v>
      </c>
      <c r="G26" s="297" t="n">
        <f aca="false">0</f>
        <v>0</v>
      </c>
      <c r="H26" s="297" t="n">
        <f aca="false">0</f>
        <v>0</v>
      </c>
      <c r="I26" s="297" t="n">
        <f aca="false">0</f>
        <v>0</v>
      </c>
      <c r="J26" s="297" t="n">
        <f aca="false">0</f>
        <v>0</v>
      </c>
      <c r="K26" s="297" t="n">
        <f aca="false">0</f>
        <v>0</v>
      </c>
      <c r="L26" s="297" t="n">
        <f aca="false">0</f>
        <v>0</v>
      </c>
      <c r="M26" s="297" t="n">
        <f aca="false">0</f>
        <v>0</v>
      </c>
      <c r="N26" s="297" t="n">
        <f aca="false">0</f>
        <v>0</v>
      </c>
      <c r="O26" s="297" t="n">
        <f aca="false">0</f>
        <v>0</v>
      </c>
      <c r="P26" s="297" t="n">
        <f aca="false">0</f>
        <v>0</v>
      </c>
      <c r="Q26" s="297" t="n">
        <f aca="false">0</f>
        <v>0</v>
      </c>
      <c r="R26" s="297" t="n">
        <f aca="false">0</f>
        <v>0</v>
      </c>
      <c r="S26" s="297" t="n">
        <f aca="false">0</f>
        <v>0</v>
      </c>
      <c r="T26" s="297" t="n">
        <f aca="false">0</f>
        <v>0</v>
      </c>
      <c r="U26" s="297" t="n">
        <f aca="false">0</f>
        <v>0</v>
      </c>
      <c r="V26" s="297" t="n">
        <f aca="false">0</f>
        <v>0</v>
      </c>
      <c r="W26" s="297" t="n">
        <f aca="false">0</f>
        <v>0</v>
      </c>
      <c r="X26" s="297" t="n">
        <f aca="false">0</f>
        <v>0</v>
      </c>
      <c r="Y26" s="315"/>
      <c r="Z26" s="315"/>
      <c r="AA26" s="315"/>
      <c r="AB26" s="315"/>
      <c r="AC26" s="315"/>
      <c r="AD26" s="315"/>
      <c r="AE26" s="315"/>
      <c r="AF26" s="315"/>
      <c r="AG26" s="315"/>
      <c r="AH26" s="315"/>
      <c r="AI26" s="315"/>
      <c r="AJ26" s="315"/>
      <c r="AK26" s="315"/>
      <c r="AL26" s="315"/>
      <c r="AM26" s="315"/>
      <c r="AN26" s="315"/>
      <c r="AO26" s="315"/>
      <c r="AP26" s="315"/>
      <c r="AQ26" s="315"/>
      <c r="AR26" s="315"/>
    </row>
    <row r="27" customFormat="false" ht="11.25" hidden="false" customHeight="false" outlineLevel="0" collapsed="false">
      <c r="A27" s="299" t="s">
        <v>352</v>
      </c>
      <c r="B27" s="322" t="n">
        <f aca="false">SUM(B25:B26)</f>
        <v>-29362</v>
      </c>
      <c r="C27" s="307" t="n">
        <f aca="false">SUM(C25:C26)</f>
        <v>0</v>
      </c>
      <c r="D27" s="307" t="n">
        <f aca="false">SUM(D25:D26)</f>
        <v>0</v>
      </c>
      <c r="E27" s="307" t="n">
        <f aca="false">SUM(E25:E26)</f>
        <v>-3.88888888888889</v>
      </c>
      <c r="F27" s="307" t="n">
        <f aca="false">SUM(F25:F26)</f>
        <v>-3.88888888888889</v>
      </c>
      <c r="G27" s="307" t="n">
        <f aca="false">SUM(G25:G26)</f>
        <v>-3.88888888888889</v>
      </c>
      <c r="H27" s="307" t="n">
        <f aca="false">SUM(H25:H26)</f>
        <v>-3.88888888888889</v>
      </c>
      <c r="I27" s="307" t="n">
        <f aca="false">SUM(I25:I26)</f>
        <v>-3.88888888888889</v>
      </c>
      <c r="J27" s="307" t="n">
        <f aca="false">SUM(J25:J26)</f>
        <v>-3.88888888888889</v>
      </c>
      <c r="K27" s="307" t="n">
        <f aca="false">SUM(K25:K26)</f>
        <v>-3.88888888888889</v>
      </c>
      <c r="L27" s="307" t="n">
        <f aca="false">SUM(L25:L26)</f>
        <v>-3.88888888888889</v>
      </c>
      <c r="M27" s="307" t="n">
        <f aca="false">SUM(M25:M26)</f>
        <v>-3.88888888888889</v>
      </c>
      <c r="N27" s="307" t="n">
        <f aca="false">SUM(N25:N26)</f>
        <v>0</v>
      </c>
      <c r="O27" s="307" t="n">
        <f aca="false">SUM(O25:O26)</f>
        <v>-353</v>
      </c>
      <c r="P27" s="307" t="n">
        <f aca="false">SUM(P25:P26)</f>
        <v>-3555</v>
      </c>
      <c r="Q27" s="307" t="n">
        <f aca="false">SUM(Q25:Q26)</f>
        <v>-2521</v>
      </c>
      <c r="R27" s="307" t="n">
        <f aca="false">SUM(R25:R26)</f>
        <v>-1086</v>
      </c>
      <c r="S27" s="307" t="n">
        <f aca="false">SUM(S25:S26)</f>
        <v>-2070</v>
      </c>
      <c r="T27" s="307" t="n">
        <f aca="false">SUM(T25:T26)</f>
        <v>-3286</v>
      </c>
      <c r="U27" s="307" t="n">
        <f aca="false">SUM(U25:U26)</f>
        <v>0</v>
      </c>
      <c r="V27" s="307" t="n">
        <f aca="false">SUM(V25:V26)</f>
        <v>-16456</v>
      </c>
      <c r="W27" s="307" t="n">
        <f aca="false">SUM(W25:W26)</f>
        <v>0</v>
      </c>
      <c r="X27" s="307" t="n">
        <f aca="false">SUM(X25:X26)</f>
        <v>0</v>
      </c>
      <c r="Y27" s="315"/>
      <c r="Z27" s="315"/>
      <c r="AA27" s="315"/>
      <c r="AB27" s="315"/>
      <c r="AC27" s="315"/>
      <c r="AD27" s="315"/>
      <c r="AE27" s="315"/>
      <c r="AF27" s="315"/>
      <c r="AG27" s="315"/>
      <c r="AH27" s="315"/>
      <c r="AI27" s="315"/>
      <c r="AJ27" s="315"/>
      <c r="AK27" s="315"/>
      <c r="AL27" s="315"/>
      <c r="AM27" s="315"/>
      <c r="AN27" s="315"/>
      <c r="AO27" s="315"/>
      <c r="AP27" s="315"/>
      <c r="AQ27" s="315"/>
      <c r="AR27" s="315"/>
    </row>
    <row r="28" customFormat="false" ht="11.25" hidden="false" customHeight="false" outlineLevel="0" collapsed="false">
      <c r="A28" s="298"/>
      <c r="B28" s="322"/>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row>
    <row r="29" customFormat="false" ht="11.25" hidden="false" customHeight="false" outlineLevel="0" collapsed="false">
      <c r="A29" s="299" t="s">
        <v>353</v>
      </c>
      <c r="B29" s="322" t="n">
        <f aca="false">X29</f>
        <v>-59209</v>
      </c>
      <c r="C29" s="307" t="n">
        <f aca="false">SUM($C$22:C22)+SUM($C$27:C27)</f>
        <v>0</v>
      </c>
      <c r="D29" s="307" t="n">
        <f aca="false">SUM($C$22:D22)+SUM($C$27:D27)</f>
        <v>-48.2</v>
      </c>
      <c r="E29" s="307" t="n">
        <f aca="false">SUM($C$22:E22)+SUM($C$27:E27)</f>
        <v>-728.115555555556</v>
      </c>
      <c r="F29" s="307" t="n">
        <f aca="false">SUM($C$22:F22)+SUM($C$27:F27)</f>
        <v>-1008.03111111111</v>
      </c>
      <c r="G29" s="307" t="n">
        <f aca="false">SUM($C$22:G22)+SUM($C$27:G27)</f>
        <v>-1287.94666666667</v>
      </c>
      <c r="H29" s="307" t="n">
        <f aca="false">SUM($C$22:H22)+SUM($C$27:H27)</f>
        <v>-1567.86222222222</v>
      </c>
      <c r="I29" s="307" t="n">
        <f aca="false">SUM($C$22:I22)+SUM($C$27:I27)</f>
        <v>-1847.77777777778</v>
      </c>
      <c r="J29" s="307" t="n">
        <f aca="false">SUM($C$22:J22)+SUM($C$27:J27)</f>
        <v>-2127.69333333333</v>
      </c>
      <c r="K29" s="307" t="n">
        <f aca="false">SUM($C$22:K22)+SUM($C$27:K27)</f>
        <v>-2407.60888888889</v>
      </c>
      <c r="L29" s="307" t="n">
        <f aca="false">SUM($C$22:L22)+SUM($C$27:L27)</f>
        <v>-2687.52444444444</v>
      </c>
      <c r="M29" s="307" t="n">
        <f aca="false">SUM($C$22:M22)+SUM($C$27:M27)</f>
        <v>-3217.44</v>
      </c>
      <c r="N29" s="307" t="n">
        <f aca="false">SUM($C$22:N22)+SUM($C$27:N27)</f>
        <v>-3847.07636363636</v>
      </c>
      <c r="O29" s="307" t="n">
        <f aca="false">SUM($C$22:O22)+SUM($C$27:O27)</f>
        <v>-4795.71272727273</v>
      </c>
      <c r="P29" s="307" t="n">
        <f aca="false">SUM($C$22:P22)+SUM($C$27:P27)</f>
        <v>-13075.3490909091</v>
      </c>
      <c r="Q29" s="307" t="n">
        <f aca="false">SUM($C$22:Q22)+SUM($C$27:Q27)</f>
        <v>-19748.1804545455</v>
      </c>
      <c r="R29" s="307" t="n">
        <f aca="false">SUM($C$22:R22)+SUM($C$27:R27)</f>
        <v>-21986.0118181818</v>
      </c>
      <c r="S29" s="307" t="n">
        <f aca="false">SUM($C$22:S22)+SUM($C$27:S27)</f>
        <v>-27407.8431818182</v>
      </c>
      <c r="T29" s="307" t="n">
        <f aca="false">SUM($C$22:T22)+SUM($C$27:T27)</f>
        <v>-31845.6745454545</v>
      </c>
      <c r="U29" s="307" t="n">
        <f aca="false">SUM($C$22:U22)+SUM($C$27:U27)</f>
        <v>-32997.5059090909</v>
      </c>
      <c r="V29" s="307" t="n">
        <f aca="false">SUM($C$22:V22)+SUM($C$27:V27)</f>
        <v>-55905.3372727273</v>
      </c>
      <c r="W29" s="307" t="n">
        <f aca="false">SUM($C$22:W22)+SUM($C$27:W27)</f>
        <v>-58057.1686363636</v>
      </c>
      <c r="X29" s="307" t="n">
        <f aca="false">SUM($C$22:X22)+SUM($C$27:X27)</f>
        <v>-59209</v>
      </c>
      <c r="Y29" s="315"/>
      <c r="Z29" s="315"/>
      <c r="AA29" s="315"/>
      <c r="AB29" s="315"/>
      <c r="AC29" s="315"/>
      <c r="AD29" s="315"/>
      <c r="AE29" s="315"/>
      <c r="AF29" s="315"/>
      <c r="AG29" s="315"/>
      <c r="AH29" s="315"/>
      <c r="AI29" s="315"/>
      <c r="AJ29" s="315"/>
      <c r="AK29" s="315"/>
      <c r="AL29" s="315"/>
      <c r="AM29" s="315"/>
      <c r="AN29" s="315"/>
      <c r="AO29" s="315"/>
      <c r="AP29" s="315"/>
      <c r="AQ29" s="315"/>
      <c r="AR29" s="315"/>
    </row>
    <row r="30" customFormat="false" ht="11.25" hidden="false" customHeight="false" outlineLevel="0" collapsed="false">
      <c r="A30" s="298"/>
      <c r="B30" s="322"/>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row>
    <row r="31" customFormat="false" ht="11.25" hidden="false" customHeight="false" outlineLevel="0" collapsed="false">
      <c r="A31" s="299" t="s">
        <v>354</v>
      </c>
      <c r="B31" s="322"/>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row>
    <row r="32" customFormat="false" ht="11.25" hidden="false" customHeight="false" outlineLevel="0" collapsed="false">
      <c r="A32" s="298" t="s">
        <v>296</v>
      </c>
      <c r="B32" s="322" t="n">
        <f aca="false">SUM(C32:X32)</f>
        <v>-1912.86320699977</v>
      </c>
      <c r="C32" s="315" t="n">
        <f aca="false">IF(AND(MONTH(C$5)=MONTH(Assumptions!$C$16),YEAR(C$5)=YEAR(Assumptions!$C$16)),-$C$57,0)</f>
        <v>0</v>
      </c>
      <c r="D32" s="315" t="n">
        <f aca="false">IF(AND(MONTH(D$5)=MONTH(Assumptions!$C$16),YEAR(D$5)=YEAR(Assumptions!$C$16)),-$C$57,0)</f>
        <v>0</v>
      </c>
      <c r="E32" s="315" t="n">
        <f aca="false">IF(AND(MONTH(E$5)=MONTH(Assumptions!$C$16),YEAR(E$5)=YEAR(Assumptions!$C$16)),-$C$57,0)</f>
        <v>0</v>
      </c>
      <c r="F32" s="315" t="n">
        <f aca="false">IF(AND(MONTH(F$5)=MONTH(Assumptions!$C$16),YEAR(F$5)=YEAR(Assumptions!$C$16)),-$C$57,0)</f>
        <v>0</v>
      </c>
      <c r="G32" s="315" t="n">
        <f aca="false">IF(AND(MONTH(G$5)=MONTH(Assumptions!$C$16),YEAR(G$5)=YEAR(Assumptions!$C$16)),-$C$57,0)</f>
        <v>0</v>
      </c>
      <c r="H32" s="315" t="n">
        <f aca="false">IF(AND(MONTH(H$5)=MONTH(Assumptions!$C$16),YEAR(H$5)=YEAR(Assumptions!$C$16)),-$C$57,0)</f>
        <v>0</v>
      </c>
      <c r="I32" s="315" t="n">
        <f aca="false">IF(AND(MONTH(I$5)=MONTH(Assumptions!$C$16),YEAR(I$5)=YEAR(Assumptions!$C$16)),-$C$57,0)</f>
        <v>0</v>
      </c>
      <c r="J32" s="315" t="n">
        <f aca="false">IF(AND(MONTH(J$5)=MONTH(Assumptions!$C$16),YEAR(J$5)=YEAR(Assumptions!$C$16)),-$C$57,0)</f>
        <v>0</v>
      </c>
      <c r="K32" s="315" t="n">
        <f aca="false">IF(AND(MONTH(K$5)=MONTH(Assumptions!$C$16),YEAR(K$5)=YEAR(Assumptions!$C$16)),-$C$57,0)</f>
        <v>0</v>
      </c>
      <c r="L32" s="315" t="n">
        <f aca="false">IF(AND(MONTH(L$5)=MONTH(Assumptions!$C$16),YEAR(L$5)=YEAR(Assumptions!$C$16)),-$C$57,0)</f>
        <v>0</v>
      </c>
      <c r="M32" s="315" t="n">
        <f aca="false">IF(AND(MONTH(M$5)=MONTH(Assumptions!$C$16),YEAR(M$5)=YEAR(Assumptions!$C$16)),-$C$57,0)</f>
        <v>0</v>
      </c>
      <c r="N32" s="315" t="n">
        <f aca="false">IF(AND(MONTH(N$5)=MONTH(Assumptions!$C$16),YEAR(N$5)=YEAR(Assumptions!$C$16)),-$C$57,0)</f>
        <v>0</v>
      </c>
      <c r="O32" s="315" t="n">
        <f aca="false">IF(AND(MONTH(O$5)=MONTH(Assumptions!$C$16),YEAR(O$5)=YEAR(Assumptions!$C$16)),-$C$57,0)</f>
        <v>0</v>
      </c>
      <c r="P32" s="315" t="n">
        <f aca="false">IF(AND(MONTH(P$5)=MONTH(Assumptions!$C$16),YEAR(P$5)=YEAR(Assumptions!$C$16)),-$C$57,0)</f>
        <v>0</v>
      </c>
      <c r="Q32" s="315" t="n">
        <f aca="false">IF(AND(MONTH(Q$5)=MONTH(Assumptions!$C$16),YEAR(Q$5)=YEAR(Assumptions!$C$16)),-$C$57,0)</f>
        <v>0</v>
      </c>
      <c r="R32" s="315" t="n">
        <f aca="false">IF(AND(MONTH(R$5)=MONTH(Assumptions!$C$16),YEAR(R$5)=YEAR(Assumptions!$C$16)),-$C$57,0)</f>
        <v>0</v>
      </c>
      <c r="S32" s="315" t="n">
        <f aca="false">IF(AND(MONTH(S$5)=MONTH(Assumptions!$C$16),YEAR(S$5)=YEAR(Assumptions!$C$16)),-$C$57,0)</f>
        <v>0</v>
      </c>
      <c r="T32" s="315" t="n">
        <f aca="false">IF(AND(MONTH(T$5)=MONTH(Assumptions!$C$16),YEAR(T$5)=YEAR(Assumptions!$C$16)),-$C$57,0)</f>
        <v>0</v>
      </c>
      <c r="U32" s="315" t="n">
        <f aca="false">IF(AND(MONTH(U$5)=MONTH(Assumptions!$C$16),YEAR(U$5)=YEAR(Assumptions!$C$16)),-$C$57,0)</f>
        <v>0</v>
      </c>
      <c r="V32" s="315" t="n">
        <f aca="false">IF(AND(MONTH(V$5)=MONTH(Assumptions!$C$16),YEAR(V$5)=YEAR(Assumptions!$C$16)),-$C$57,0)</f>
        <v>0</v>
      </c>
      <c r="W32" s="315" t="n">
        <f aca="false">IF(AND(MONTH(W$5)=MONTH(Assumptions!$C$16),YEAR(W$5)=YEAR(Assumptions!$C$16)),-$C$57,0)</f>
        <v>0</v>
      </c>
      <c r="X32" s="315" t="n">
        <f aca="false">IF(AND(MONTH(X$5)=MONTH(Assumptions!$C$16),YEAR(X$5)=YEAR(Assumptions!$C$16)),-$C$57,0)</f>
        <v>-1912.86320699977</v>
      </c>
      <c r="Y32" s="315"/>
      <c r="Z32" s="315"/>
      <c r="AA32" s="315"/>
      <c r="AB32" s="315"/>
      <c r="AC32" s="315"/>
      <c r="AD32" s="315"/>
      <c r="AE32" s="315"/>
      <c r="AF32" s="315"/>
      <c r="AG32" s="315"/>
      <c r="AH32" s="315"/>
      <c r="AI32" s="315"/>
      <c r="AJ32" s="315"/>
      <c r="AK32" s="315"/>
      <c r="AL32" s="315"/>
      <c r="AM32" s="315"/>
      <c r="AN32" s="315"/>
      <c r="AO32" s="315"/>
      <c r="AP32" s="315"/>
      <c r="AQ32" s="315"/>
      <c r="AR32" s="315"/>
    </row>
    <row r="33" customFormat="false" ht="11.25" hidden="false" customHeight="false" outlineLevel="0" collapsed="false">
      <c r="A33" s="298" t="s">
        <v>355</v>
      </c>
      <c r="B33" s="322" t="n">
        <f aca="false">SUM(C33:X33)</f>
        <v>-1000</v>
      </c>
      <c r="C33" s="315" t="n">
        <f aca="false">IF(AND(MONTH(C$5)=MONTH(Assumptions!$C$16),YEAR(C$5)=YEAR(Assumptions!$C$16)),-Assumptions!$H$32,0)</f>
        <v>0</v>
      </c>
      <c r="D33" s="315" t="n">
        <f aca="false">IF(AND(MONTH(D$5)=MONTH(Assumptions!$C$16),YEAR(D$5)=YEAR(Assumptions!$C$16)),-Assumptions!$H$32,0)</f>
        <v>0</v>
      </c>
      <c r="E33" s="315" t="n">
        <f aca="false">IF(AND(MONTH(E$5)=MONTH(Assumptions!$C$16),YEAR(E$5)=YEAR(Assumptions!$C$16)),-Assumptions!$H$32,0)</f>
        <v>0</v>
      </c>
      <c r="F33" s="315" t="n">
        <f aca="false">IF(AND(MONTH(F$5)=MONTH(Assumptions!$C$16),YEAR(F$5)=YEAR(Assumptions!$C$16)),-Assumptions!$H$32,0)</f>
        <v>0</v>
      </c>
      <c r="G33" s="315" t="n">
        <f aca="false">IF(AND(MONTH(G$5)=MONTH(Assumptions!$C$16),YEAR(G$5)=YEAR(Assumptions!$C$16)),-Assumptions!$H$32,0)</f>
        <v>0</v>
      </c>
      <c r="H33" s="315" t="n">
        <f aca="false">IF(AND(MONTH(H$5)=MONTH(Assumptions!$C$16),YEAR(H$5)=YEAR(Assumptions!$C$16)),-Assumptions!$H$32,0)</f>
        <v>0</v>
      </c>
      <c r="I33" s="315" t="n">
        <f aca="false">IF(AND(MONTH(I$5)=MONTH(Assumptions!$C$16),YEAR(I$5)=YEAR(Assumptions!$C$16)),-Assumptions!$H$32,0)</f>
        <v>0</v>
      </c>
      <c r="J33" s="315" t="n">
        <f aca="false">IF(AND(MONTH(J$5)=MONTH(Assumptions!$C$16),YEAR(J$5)=YEAR(Assumptions!$C$16)),-Assumptions!$H$32,0)</f>
        <v>0</v>
      </c>
      <c r="K33" s="315" t="n">
        <f aca="false">IF(AND(MONTH(K$5)=MONTH(Assumptions!$C$16),YEAR(K$5)=YEAR(Assumptions!$C$16)),-Assumptions!$H$32,0)</f>
        <v>0</v>
      </c>
      <c r="L33" s="315" t="n">
        <f aca="false">IF(AND(MONTH(L$5)=MONTH(Assumptions!$C$16),YEAR(L$5)=YEAR(Assumptions!$C$16)),-Assumptions!$H$32,0)</f>
        <v>0</v>
      </c>
      <c r="M33" s="315" t="n">
        <f aca="false">IF(AND(MONTH(M$5)=MONTH(Assumptions!$C$16),YEAR(M$5)=YEAR(Assumptions!$C$16)),-Assumptions!$H$32,0)</f>
        <v>0</v>
      </c>
      <c r="N33" s="315" t="n">
        <f aca="false">IF(AND(MONTH(N$5)=MONTH(Assumptions!$C$16),YEAR(N$5)=YEAR(Assumptions!$C$16)),-Assumptions!$H$32,0)</f>
        <v>0</v>
      </c>
      <c r="O33" s="315" t="n">
        <f aca="false">IF(AND(MONTH(O$5)=MONTH(Assumptions!$C$16),YEAR(O$5)=YEAR(Assumptions!$C$16)),-Assumptions!$H$32,0)</f>
        <v>0</v>
      </c>
      <c r="P33" s="315" t="n">
        <f aca="false">IF(AND(MONTH(P$5)=MONTH(Assumptions!$C$16),YEAR(P$5)=YEAR(Assumptions!$C$16)),-Assumptions!$H$32,0)</f>
        <v>0</v>
      </c>
      <c r="Q33" s="315" t="n">
        <f aca="false">IF(AND(MONTH(Q$5)=MONTH(Assumptions!$C$16),YEAR(Q$5)=YEAR(Assumptions!$C$16)),-Assumptions!$H$32,0)</f>
        <v>0</v>
      </c>
      <c r="R33" s="315" t="n">
        <f aca="false">IF(AND(MONTH(R$5)=MONTH(Assumptions!$C$16),YEAR(R$5)=YEAR(Assumptions!$C$16)),-Assumptions!$H$32,0)</f>
        <v>0</v>
      </c>
      <c r="S33" s="315" t="n">
        <f aca="false">IF(AND(MONTH(S$5)=MONTH(Assumptions!$C$16),YEAR(S$5)=YEAR(Assumptions!$C$16)),-Assumptions!$H$32,0)</f>
        <v>0</v>
      </c>
      <c r="T33" s="315" t="n">
        <f aca="false">IF(AND(MONTH(T$5)=MONTH(Assumptions!$C$16),YEAR(T$5)=YEAR(Assumptions!$C$16)),-Assumptions!$H$32,0)</f>
        <v>0</v>
      </c>
      <c r="U33" s="315" t="n">
        <f aca="false">IF(AND(MONTH(U$5)=MONTH(Assumptions!$C$16),YEAR(U$5)=YEAR(Assumptions!$C$16)),-Assumptions!$H$32,0)</f>
        <v>0</v>
      </c>
      <c r="V33" s="315" t="n">
        <f aca="false">IF(AND(MONTH(V$5)=MONTH(Assumptions!$C$16),YEAR(V$5)=YEAR(Assumptions!$C$16)),-Assumptions!$H$32,0)</f>
        <v>0</v>
      </c>
      <c r="W33" s="315" t="n">
        <f aca="false">IF(AND(MONTH(W$5)=MONTH(Assumptions!$C$16),YEAR(W$5)=YEAR(Assumptions!$C$16)),-Assumptions!$H$32,0)</f>
        <v>0</v>
      </c>
      <c r="X33" s="315" t="n">
        <f aca="false">IF(AND(MONTH(X$5)=MONTH(Assumptions!$C$16),YEAR(X$5)=YEAR(Assumptions!$C$16)),-Assumptions!$H$32,0)</f>
        <v>-1000</v>
      </c>
      <c r="Y33" s="315"/>
      <c r="Z33" s="315"/>
      <c r="AA33" s="315"/>
      <c r="AB33" s="315"/>
      <c r="AC33" s="315"/>
      <c r="AD33" s="315"/>
      <c r="AE33" s="315"/>
      <c r="AF33" s="315"/>
      <c r="AG33" s="315"/>
      <c r="AH33" s="315"/>
      <c r="AI33" s="315"/>
      <c r="AJ33" s="315"/>
      <c r="AK33" s="315"/>
      <c r="AL33" s="315"/>
      <c r="AM33" s="315"/>
      <c r="AN33" s="315"/>
      <c r="AO33" s="315"/>
      <c r="AP33" s="315"/>
      <c r="AQ33" s="315"/>
      <c r="AR33" s="315"/>
    </row>
    <row r="34" customFormat="false" ht="11.25" hidden="false" customHeight="false" outlineLevel="0" collapsed="false">
      <c r="A34" s="293" t="s">
        <v>356</v>
      </c>
      <c r="B34" s="322" t="n">
        <f aca="false">SUM(C34:X34)</f>
        <v>-750</v>
      </c>
      <c r="C34" s="323" t="n">
        <v>0</v>
      </c>
      <c r="D34" s="323" t="n">
        <v>0</v>
      </c>
      <c r="E34" s="323" t="n">
        <v>0</v>
      </c>
      <c r="F34" s="323" t="n">
        <v>0</v>
      </c>
      <c r="G34" s="323" t="n">
        <v>0</v>
      </c>
      <c r="H34" s="323" t="n">
        <v>0</v>
      </c>
      <c r="I34" s="323" t="n">
        <v>0</v>
      </c>
      <c r="J34" s="323" t="n">
        <v>0</v>
      </c>
      <c r="K34" s="323" t="n">
        <v>0</v>
      </c>
      <c r="L34" s="323" t="n">
        <v>0</v>
      </c>
      <c r="M34" s="323" t="n">
        <v>0</v>
      </c>
      <c r="N34" s="323" t="n">
        <v>0</v>
      </c>
      <c r="O34" s="323" t="n">
        <v>0</v>
      </c>
      <c r="P34" s="323" t="n">
        <v>0</v>
      </c>
      <c r="Q34" s="323" t="n">
        <v>0</v>
      </c>
      <c r="R34" s="323" t="n">
        <v>0</v>
      </c>
      <c r="S34" s="323" t="n">
        <v>0</v>
      </c>
      <c r="T34" s="323" t="n">
        <v>0</v>
      </c>
      <c r="U34" s="323" t="n">
        <f aca="false">-750/COUNT($U$5:$X$5)</f>
        <v>-187.5</v>
      </c>
      <c r="V34" s="323" t="n">
        <f aca="false">-750/COUNT($U$5:$X$5)</f>
        <v>-187.5</v>
      </c>
      <c r="W34" s="323" t="n">
        <f aca="false">-750/COUNT($U$5:$X$5)</f>
        <v>-187.5</v>
      </c>
      <c r="X34" s="323" t="n">
        <f aca="false">-750/COUNT($U$5:$X$5)</f>
        <v>-187.5</v>
      </c>
      <c r="Y34" s="315"/>
      <c r="Z34" s="315"/>
      <c r="AA34" s="315"/>
      <c r="AB34" s="315"/>
      <c r="AC34" s="315"/>
      <c r="AD34" s="315"/>
      <c r="AE34" s="315"/>
      <c r="AF34" s="315"/>
      <c r="AG34" s="315"/>
      <c r="AH34" s="315"/>
      <c r="AI34" s="315"/>
      <c r="AJ34" s="315"/>
      <c r="AK34" s="315"/>
      <c r="AL34" s="315"/>
      <c r="AM34" s="315"/>
      <c r="AN34" s="315"/>
      <c r="AO34" s="315"/>
      <c r="AP34" s="315"/>
      <c r="AQ34" s="315"/>
      <c r="AR34" s="315"/>
    </row>
    <row r="35" customFormat="false" ht="11.25" hidden="false" customHeight="false" outlineLevel="0" collapsed="false">
      <c r="A35" s="293" t="s">
        <v>357</v>
      </c>
      <c r="B35" s="322" t="n">
        <f aca="false">SUM(C35:X35)</f>
        <v>-250</v>
      </c>
      <c r="C35" s="323" t="n">
        <v>0</v>
      </c>
      <c r="D35" s="323" t="n">
        <v>0</v>
      </c>
      <c r="E35" s="323" t="n">
        <v>0</v>
      </c>
      <c r="F35" s="323" t="n">
        <v>0</v>
      </c>
      <c r="G35" s="323" t="n">
        <v>0</v>
      </c>
      <c r="H35" s="323" t="n">
        <v>0</v>
      </c>
      <c r="I35" s="323" t="n">
        <v>0</v>
      </c>
      <c r="J35" s="323" t="n">
        <v>0</v>
      </c>
      <c r="K35" s="323" t="n">
        <v>0</v>
      </c>
      <c r="L35" s="323" t="n">
        <v>0</v>
      </c>
      <c r="M35" s="323" t="n">
        <v>0</v>
      </c>
      <c r="N35" s="323" t="n">
        <v>0</v>
      </c>
      <c r="O35" s="323" t="n">
        <v>0</v>
      </c>
      <c r="P35" s="323" t="n">
        <v>0</v>
      </c>
      <c r="Q35" s="323" t="n">
        <v>0</v>
      </c>
      <c r="R35" s="323" t="n">
        <v>0</v>
      </c>
      <c r="S35" s="323" t="n">
        <v>0</v>
      </c>
      <c r="T35" s="323" t="n">
        <v>0</v>
      </c>
      <c r="U35" s="323" t="n">
        <v>0</v>
      </c>
      <c r="V35" s="323" t="n">
        <v>0</v>
      </c>
      <c r="W35" s="323" t="n">
        <v>-125</v>
      </c>
      <c r="X35" s="323" t="n">
        <v>-125</v>
      </c>
      <c r="Y35" s="315"/>
      <c r="Z35" s="315"/>
      <c r="AA35" s="315"/>
      <c r="AB35" s="315"/>
      <c r="AC35" s="315"/>
      <c r="AD35" s="315"/>
      <c r="AE35" s="315"/>
      <c r="AF35" s="315"/>
      <c r="AG35" s="315"/>
      <c r="AH35" s="315"/>
      <c r="AI35" s="315"/>
      <c r="AJ35" s="315"/>
      <c r="AK35" s="315"/>
      <c r="AL35" s="315"/>
      <c r="AM35" s="315"/>
      <c r="AN35" s="315"/>
      <c r="AO35" s="315"/>
      <c r="AP35" s="315"/>
      <c r="AQ35" s="315"/>
      <c r="AR35" s="315"/>
    </row>
    <row r="36" customFormat="false" ht="11.25" hidden="false" customHeight="false" outlineLevel="0" collapsed="false">
      <c r="A36" s="295" t="s">
        <v>348</v>
      </c>
      <c r="B36" s="327" t="n">
        <f aca="false">SUM(C36:X36)</f>
        <v>-100</v>
      </c>
      <c r="C36" s="297" t="n">
        <f aca="false">SUM(C34:C35)*0.1</f>
        <v>0</v>
      </c>
      <c r="D36" s="297" t="n">
        <f aca="false">SUM(D34:D35)*0.1</f>
        <v>0</v>
      </c>
      <c r="E36" s="297" t="n">
        <f aca="false">SUM(E34:E35)*0.1</f>
        <v>0</v>
      </c>
      <c r="F36" s="297" t="n">
        <f aca="false">SUM(F34:F35)*0.1</f>
        <v>0</v>
      </c>
      <c r="G36" s="297" t="n">
        <f aca="false">SUM(G34:G35)*0.1</f>
        <v>0</v>
      </c>
      <c r="H36" s="297" t="n">
        <f aca="false">SUM(H34:H35)*0.1</f>
        <v>0</v>
      </c>
      <c r="I36" s="297" t="n">
        <f aca="false">SUM(I34:I35)*0.1</f>
        <v>0</v>
      </c>
      <c r="J36" s="297" t="n">
        <f aca="false">SUM(J34:J35)*0.1</f>
        <v>0</v>
      </c>
      <c r="K36" s="297" t="n">
        <f aca="false">SUM(K34:K35)*0.1</f>
        <v>0</v>
      </c>
      <c r="L36" s="297" t="n">
        <f aca="false">SUM(L34:L35)*0.1</f>
        <v>0</v>
      </c>
      <c r="M36" s="297" t="n">
        <f aca="false">SUM(M34:M35)*0.1</f>
        <v>0</v>
      </c>
      <c r="N36" s="297" t="n">
        <f aca="false">SUM(N34:N35)*0.1</f>
        <v>0</v>
      </c>
      <c r="O36" s="297" t="n">
        <f aca="false">SUM(O34:O35)*0.1</f>
        <v>0</v>
      </c>
      <c r="P36" s="297" t="n">
        <f aca="false">SUM(P34:P35)*0.1</f>
        <v>0</v>
      </c>
      <c r="Q36" s="297" t="n">
        <f aca="false">SUM(Q34:Q35)*0.1</f>
        <v>0</v>
      </c>
      <c r="R36" s="297" t="n">
        <f aca="false">SUM(R34:R35)*0.1</f>
        <v>0</v>
      </c>
      <c r="S36" s="297" t="n">
        <f aca="false">SUM(S34:S35)*0.1</f>
        <v>0</v>
      </c>
      <c r="T36" s="297" t="n">
        <f aca="false">SUM(T34:T35)*0.1</f>
        <v>0</v>
      </c>
      <c r="U36" s="297" t="n">
        <f aca="false">SUM(U34:U35)*0.1</f>
        <v>-18.75</v>
      </c>
      <c r="V36" s="297" t="n">
        <f aca="false">SUM(V34:V35)*0.1</f>
        <v>-18.75</v>
      </c>
      <c r="W36" s="297" t="n">
        <f aca="false">SUM(W34:W35)*0.1</f>
        <v>-31.25</v>
      </c>
      <c r="X36" s="297" t="n">
        <f aca="false">SUM(X34:X35)*0.1</f>
        <v>-31.25</v>
      </c>
      <c r="Y36" s="315"/>
      <c r="Z36" s="315"/>
      <c r="AA36" s="315"/>
      <c r="AB36" s="315"/>
      <c r="AC36" s="315"/>
      <c r="AD36" s="315"/>
      <c r="AE36" s="315"/>
      <c r="AF36" s="315"/>
      <c r="AG36" s="315"/>
      <c r="AH36" s="315"/>
      <c r="AI36" s="315"/>
      <c r="AJ36" s="315"/>
      <c r="AK36" s="315"/>
      <c r="AL36" s="315"/>
      <c r="AM36" s="315"/>
      <c r="AN36" s="315"/>
      <c r="AO36" s="315"/>
      <c r="AP36" s="315"/>
      <c r="AQ36" s="315"/>
      <c r="AR36" s="315"/>
    </row>
    <row r="37" customFormat="false" ht="11.25" hidden="false" customHeight="false" outlineLevel="0" collapsed="false">
      <c r="A37" s="299" t="s">
        <v>358</v>
      </c>
      <c r="B37" s="322" t="n">
        <f aca="false">SUM(C37:X37)</f>
        <v>-4012.86320699977</v>
      </c>
      <c r="C37" s="307" t="n">
        <f aca="false">SUM(C32:C36)</f>
        <v>0</v>
      </c>
      <c r="D37" s="307" t="n">
        <f aca="false">SUM(D32:D36)</f>
        <v>0</v>
      </c>
      <c r="E37" s="307" t="n">
        <f aca="false">SUM(E32:E36)</f>
        <v>0</v>
      </c>
      <c r="F37" s="307" t="n">
        <f aca="false">SUM(F32:F36)</f>
        <v>0</v>
      </c>
      <c r="G37" s="307" t="n">
        <f aca="false">SUM(G32:G36)</f>
        <v>0</v>
      </c>
      <c r="H37" s="307" t="n">
        <f aca="false">SUM(H32:H36)</f>
        <v>0</v>
      </c>
      <c r="I37" s="307" t="n">
        <f aca="false">SUM(I32:I36)</f>
        <v>0</v>
      </c>
      <c r="J37" s="307" t="n">
        <f aca="false">SUM(J32:J36)</f>
        <v>0</v>
      </c>
      <c r="K37" s="307" t="n">
        <f aca="false">SUM(K32:K36)</f>
        <v>0</v>
      </c>
      <c r="L37" s="307" t="n">
        <f aca="false">SUM(L32:L36)</f>
        <v>0</v>
      </c>
      <c r="M37" s="307" t="n">
        <f aca="false">SUM(M32:M36)</f>
        <v>0</v>
      </c>
      <c r="N37" s="307" t="n">
        <f aca="false">SUM(N32:N36)</f>
        <v>0</v>
      </c>
      <c r="O37" s="307" t="n">
        <f aca="false">SUM(O32:O36)</f>
        <v>0</v>
      </c>
      <c r="P37" s="307" t="n">
        <f aca="false">SUM(P32:P36)</f>
        <v>0</v>
      </c>
      <c r="Q37" s="307" t="n">
        <f aca="false">SUM(Q32:Q36)</f>
        <v>0</v>
      </c>
      <c r="R37" s="307" t="n">
        <f aca="false">SUM(R32:R36)</f>
        <v>0</v>
      </c>
      <c r="S37" s="307" t="n">
        <f aca="false">SUM(S32:S36)</f>
        <v>0</v>
      </c>
      <c r="T37" s="307" t="n">
        <f aca="false">SUM(T32:T36)</f>
        <v>0</v>
      </c>
      <c r="U37" s="307" t="n">
        <f aca="false">SUM(U32:U36)</f>
        <v>-206.25</v>
      </c>
      <c r="V37" s="307" t="n">
        <f aca="false">SUM(V32:V36)</f>
        <v>-206.25</v>
      </c>
      <c r="W37" s="307" t="n">
        <f aca="false">SUM(W32:W36)</f>
        <v>-343.75</v>
      </c>
      <c r="X37" s="307" t="n">
        <f aca="false">SUM(X32:X36)</f>
        <v>-3256.61320699977</v>
      </c>
      <c r="Y37" s="315"/>
      <c r="Z37" s="315"/>
      <c r="AA37" s="315"/>
      <c r="AB37" s="315"/>
      <c r="AC37" s="315"/>
      <c r="AD37" s="315"/>
      <c r="AE37" s="315"/>
      <c r="AF37" s="315"/>
      <c r="AG37" s="315"/>
      <c r="AH37" s="315"/>
      <c r="AI37" s="315"/>
      <c r="AJ37" s="315"/>
      <c r="AK37" s="315"/>
      <c r="AL37" s="315"/>
      <c r="AM37" s="315"/>
      <c r="AN37" s="315"/>
      <c r="AO37" s="315"/>
      <c r="AP37" s="315"/>
      <c r="AQ37" s="315"/>
      <c r="AR37" s="315"/>
    </row>
    <row r="38" customFormat="false" ht="11.25" hidden="false" customHeight="false" outlineLevel="0" collapsed="false">
      <c r="A38" s="298"/>
      <c r="B38" s="322"/>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row>
    <row r="39" customFormat="false" ht="11.25" hidden="false" customHeight="false" outlineLevel="0" collapsed="false">
      <c r="A39" s="299"/>
      <c r="B39" s="322"/>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row>
    <row r="40" customFormat="false" ht="11.25" hidden="false" customHeight="false" outlineLevel="0" collapsed="false">
      <c r="A40" s="299" t="s">
        <v>359</v>
      </c>
      <c r="B40" s="325" t="e">
        <f aca="false">SUM(C40:X40)</f>
        <v>#VALUE!</v>
      </c>
      <c r="C40" s="315" t="n">
        <f aca="false">IF(AND(MONTH(C$5)=MONTH(Assumptions!$C$16),YEAR(C$5)=YEAR(Assumptions!$C$16)),IF($Y$46&gt;0,-($B$22+$B$37+$B$27),0),0)</f>
        <v>0</v>
      </c>
      <c r="D40" s="315" t="n">
        <f aca="false">IF(AND(MONTH(D$5)=MONTH(Assumptions!$C$16),YEAR(D$5)=YEAR(Assumptions!$C$16)),IF($Y$46&gt;0,-($B$22+$B$37+$B$27),0),0)</f>
        <v>0</v>
      </c>
      <c r="E40" s="315" t="n">
        <f aca="false">IF(AND(MONTH(E$5)=MONTH(Assumptions!$C$16),YEAR(E$5)=YEAR(Assumptions!$C$16)),IF($Y$46&gt;0,-($B$22+$B$37+$B$27),0),0)</f>
        <v>0</v>
      </c>
      <c r="F40" s="315" t="n">
        <f aca="false">IF(AND(MONTH(F$5)=MONTH(Assumptions!$C$16),YEAR(F$5)=YEAR(Assumptions!$C$16)),IF($Y$46&gt;0,-($B$22+$B$37+$B$27),0),0)</f>
        <v>0</v>
      </c>
      <c r="G40" s="315" t="n">
        <f aca="false">IF(AND(MONTH(G$5)=MONTH(Assumptions!$C$16),YEAR(G$5)=YEAR(Assumptions!$C$16)),IF($Y$46&gt;0,-($B$22+$B$37+$B$27),0),0)</f>
        <v>0</v>
      </c>
      <c r="H40" s="315" t="n">
        <f aca="false">IF(AND(MONTH(H$5)=MONTH(Assumptions!$C$16),YEAR(H$5)=YEAR(Assumptions!$C$16)),IF($Y$46&gt;0,-($B$22+$B$37+$B$27),0),0)</f>
        <v>0</v>
      </c>
      <c r="I40" s="315" t="n">
        <f aca="false">IF(AND(MONTH(I$5)=MONTH(Assumptions!$C$16),YEAR(I$5)=YEAR(Assumptions!$C$16)),IF($Y$46&gt;0,-($B$22+$B$37+$B$27),0),0)</f>
        <v>0</v>
      </c>
      <c r="J40" s="315" t="n">
        <f aca="false">IF(AND(MONTH(J$5)=MONTH(Assumptions!$C$16),YEAR(J$5)=YEAR(Assumptions!$C$16)),IF($Y$46&gt;0,-($B$22+$B$37+$B$27),0),0)</f>
        <v>0</v>
      </c>
      <c r="K40" s="315" t="n">
        <f aca="false">IF(AND(MONTH(K$5)=MONTH(Assumptions!$C$16),YEAR(K$5)=YEAR(Assumptions!$C$16)),IF($Y$46&gt;0,-($B$22+$B$37+$B$27),0),0)</f>
        <v>0</v>
      </c>
      <c r="L40" s="315" t="n">
        <f aca="false">IF(AND(MONTH(L$5)=MONTH(Assumptions!$C$16),YEAR(L$5)=YEAR(Assumptions!$C$16)),IF($Y$46&gt;0,-($B$22+$B$37+$B$27),0),0)</f>
        <v>0</v>
      </c>
      <c r="M40" s="315" t="n">
        <f aca="false">IF(AND(MONTH(M$5)=MONTH(Assumptions!$C$16),YEAR(M$5)=YEAR(Assumptions!$C$16)),IF($Y$46&gt;0,-($B$22+$B$37+$B$27),0),0)</f>
        <v>0</v>
      </c>
      <c r="N40" s="315" t="n">
        <f aca="false">IF(AND(MONTH(N$5)=MONTH(Assumptions!$C$16),YEAR(N$5)=YEAR(Assumptions!$C$16)),IF($Y$46&gt;0,-($B$22+$B$37+$B$27),0),0)</f>
        <v>0</v>
      </c>
      <c r="O40" s="315" t="n">
        <f aca="false">IF(AND(MONTH(O$5)=MONTH(Assumptions!$C$16),YEAR(O$5)=YEAR(Assumptions!$C$16)),IF($Y$46&gt;0,-($B$22+$B$37+$B$27),0),0)</f>
        <v>0</v>
      </c>
      <c r="P40" s="315" t="n">
        <f aca="false">IF(AND(MONTH(P$5)=MONTH(Assumptions!$C$16),YEAR(P$5)=YEAR(Assumptions!$C$16)),IF($Y$46&gt;0,-($B$22+$B$37+$B$27),0),0)</f>
        <v>0</v>
      </c>
      <c r="Q40" s="315" t="n">
        <f aca="false">IF(AND(MONTH(Q$5)=MONTH(Assumptions!$C$16),YEAR(Q$5)=YEAR(Assumptions!$C$16)),IF($Y$46&gt;0,-($B$22+$B$37+$B$27),0),0)</f>
        <v>0</v>
      </c>
      <c r="R40" s="315" t="n">
        <f aca="false">IF(AND(MONTH(R$5)=MONTH(Assumptions!$C$16),YEAR(R$5)=YEAR(Assumptions!$C$16)),IF($Y$46&gt;0,-($B$22+$B$37+$B$27),0),0)</f>
        <v>0</v>
      </c>
      <c r="S40" s="315" t="n">
        <f aca="false">IF(AND(MONTH(S$5)=MONTH(Assumptions!$C$16),YEAR(S$5)=YEAR(Assumptions!$C$16)),IF($Y$46&gt;0,-($B$22+$B$37+$B$27),0),0)</f>
        <v>0</v>
      </c>
      <c r="T40" s="315" t="n">
        <f aca="false">IF(AND(MONTH(T$5)=MONTH(Assumptions!$C$16),YEAR(T$5)=YEAR(Assumptions!$C$16)),IF($Y$46&gt;0,-($B$22+$B$37+$B$27),0),0)</f>
        <v>0</v>
      </c>
      <c r="U40" s="315" t="n">
        <f aca="false">IF(AND(MONTH(U$5)=MONTH(Assumptions!$C$16),YEAR(U$5)=YEAR(Assumptions!$C$16)),IF($Y$46&gt;0,-($B$22+$B$37+$B$27),0),0)</f>
        <v>0</v>
      </c>
      <c r="V40" s="315" t="n">
        <f aca="false">IF(AND(MONTH(V$5)=MONTH(Assumptions!$C$16),YEAR(V$5)=YEAR(Assumptions!$C$16)),IF($Y$46&gt;0,-($B$22+$B$37+$B$27),0),0)</f>
        <v>0</v>
      </c>
      <c r="W40" s="315" t="n">
        <f aca="false">IF(AND(MONTH(W$5)=MONTH(Assumptions!$C$16),YEAR(W$5)=YEAR(Assumptions!$C$16)),IF($Y$46&gt;0,-($B$22+$B$37+$B$27),0),0)</f>
        <v>0</v>
      </c>
      <c r="X40" s="315" t="e">
        <f aca="false">IF(AND(MONTH(X$5)=MONTH(Assumptions!$C$16),YEAR(X$5)=YEAR(Assumptions!$C$16)),IF($Y$46&gt;0,-($B$22+$B$37+$B$27),0),0)</f>
        <v>#VALUE!</v>
      </c>
      <c r="Y40" s="315"/>
      <c r="Z40" s="315"/>
      <c r="AA40" s="315"/>
      <c r="AB40" s="315"/>
      <c r="AC40" s="315"/>
      <c r="AD40" s="315"/>
      <c r="AE40" s="315"/>
      <c r="AF40" s="315"/>
      <c r="AG40" s="315"/>
      <c r="AH40" s="315"/>
      <c r="AI40" s="315"/>
      <c r="AJ40" s="315"/>
      <c r="AK40" s="315"/>
      <c r="AL40" s="315"/>
      <c r="AM40" s="315"/>
      <c r="AN40" s="315"/>
      <c r="AO40" s="315"/>
      <c r="AP40" s="315"/>
      <c r="AQ40" s="315"/>
      <c r="AR40" s="315"/>
    </row>
    <row r="41" customFormat="false" ht="11.25" hidden="false" customHeight="false" outlineLevel="0" collapsed="false">
      <c r="A41" s="298"/>
      <c r="B41" s="325"/>
      <c r="C41" s="330"/>
      <c r="D41" s="330"/>
      <c r="E41" s="330"/>
      <c r="F41" s="330"/>
      <c r="G41" s="330"/>
      <c r="H41" s="330"/>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row>
    <row r="42" customFormat="false" ht="11.25" hidden="false" customHeight="false" outlineLevel="0" collapsed="false">
      <c r="A42" s="304" t="s">
        <v>360</v>
      </c>
      <c r="B42" s="322" t="n">
        <f aca="false">B27+B37+B22</f>
        <v>-63221.8632069998</v>
      </c>
    </row>
    <row r="43" customFormat="false" ht="11.25" hidden="false" customHeight="false" outlineLevel="0" collapsed="false">
      <c r="A43" s="304" t="s">
        <v>361</v>
      </c>
      <c r="B43" s="322" t="n">
        <f aca="false">B22</f>
        <v>-29847</v>
      </c>
      <c r="Y43" s="331" t="s">
        <v>362</v>
      </c>
    </row>
    <row r="44" customFormat="false" ht="11.25" hidden="false" customHeight="false" outlineLevel="0" collapsed="false">
      <c r="A44" s="304" t="s">
        <v>363</v>
      </c>
      <c r="B44" s="322"/>
      <c r="C44" s="300" t="n">
        <f aca="false">C22+C37+C27+C40</f>
        <v>0</v>
      </c>
      <c r="D44" s="300" t="n">
        <f aca="false">D22+D37+D27+D40</f>
        <v>-48.2</v>
      </c>
      <c r="E44" s="300" t="n">
        <f aca="false">E22+E37+E27+E40</f>
        <v>-679.915555555556</v>
      </c>
      <c r="F44" s="300" t="n">
        <f aca="false">F22+F37+F27+F40</f>
        <v>-279.915555555556</v>
      </c>
      <c r="G44" s="300" t="n">
        <f aca="false">G22+G37+G27+G40</f>
        <v>-279.915555555556</v>
      </c>
      <c r="H44" s="300" t="n">
        <f aca="false">H22+H37+H27+H40</f>
        <v>-279.915555555556</v>
      </c>
      <c r="I44" s="300" t="n">
        <f aca="false">I22+I37+I27+I40</f>
        <v>-279.915555555556</v>
      </c>
      <c r="J44" s="300" t="n">
        <f aca="false">J22+J37+J27+J40</f>
        <v>-279.915555555556</v>
      </c>
      <c r="K44" s="300" t="n">
        <f aca="false">K22+K37+K27+K40</f>
        <v>-279.915555555556</v>
      </c>
      <c r="L44" s="300" t="n">
        <f aca="false">L22+L37+L27+L40</f>
        <v>-279.915555555556</v>
      </c>
      <c r="M44" s="300" t="n">
        <f aca="false">M22+M37+M27+M40</f>
        <v>-529.915555555556</v>
      </c>
      <c r="N44" s="300" t="n">
        <f aca="false">N22+N37+N27+N40</f>
        <v>-629.636363636364</v>
      </c>
      <c r="O44" s="300" t="n">
        <f aca="false">O22+O37+O27+O40</f>
        <v>-948.636363636364</v>
      </c>
      <c r="P44" s="300" t="n">
        <f aca="false">P22+P37+P27+P40</f>
        <v>-8279.63636363636</v>
      </c>
      <c r="Q44" s="300" t="n">
        <f aca="false">Q22+Q37+Q27+Q40</f>
        <v>-6672.83136363636</v>
      </c>
      <c r="R44" s="300" t="n">
        <f aca="false">R22+R37+R27+R40</f>
        <v>-2237.83136363636</v>
      </c>
      <c r="S44" s="300" t="n">
        <f aca="false">S22+S37+S27+S40</f>
        <v>-5421.83136363636</v>
      </c>
      <c r="T44" s="300" t="n">
        <f aca="false">T22+T37+T27+T40</f>
        <v>-4437.83136363636</v>
      </c>
      <c r="U44" s="300" t="n">
        <f aca="false">U22+U37+U27+U40</f>
        <v>-1358.08136363636</v>
      </c>
      <c r="V44" s="300" t="n">
        <f aca="false">V22+V37+V27+V40</f>
        <v>-23114.0813636364</v>
      </c>
      <c r="W44" s="300" t="n">
        <f aca="false">W22+W37+W27+W40</f>
        <v>-2495.58136363636</v>
      </c>
      <c r="X44" s="300" t="e">
        <f aca="false">X22+X37+X27+X40</f>
        <v>#VALUE!</v>
      </c>
      <c r="Y44" s="300" t="e">
        <f aca="false">Template!H697+IF(Y5=Assumptions!$C$18,Template!$E$715,0)</f>
        <v>#VALUE!</v>
      </c>
      <c r="Z44" s="300" t="e">
        <f aca="false">Template!I697+IF(Z5=Assumptions!$C$18,Template!$E$715,0)</f>
        <v>#VALUE!</v>
      </c>
      <c r="AA44" s="300" t="e">
        <f aca="false">Template!J697+IF(AA5=Assumptions!$C$18,Template!$E$715,0)</f>
        <v>#VALUE!</v>
      </c>
      <c r="AB44" s="300" t="e">
        <f aca="false">Template!K697+IF(AB5=Assumptions!$C$18,Template!$E$715,0)</f>
        <v>#VALUE!</v>
      </c>
      <c r="AC44" s="300" t="e">
        <f aca="false">Template!L697+IF(AC5=Assumptions!$C$18,Template!$E$715,0)</f>
        <v>#VALUE!</v>
      </c>
      <c r="AD44" s="300" t="e">
        <f aca="false">Template!M697+IF(AD5=Assumptions!$C$18,Template!$E$715,0)</f>
        <v>#VALUE!</v>
      </c>
      <c r="AE44" s="300" t="e">
        <f aca="false">Template!N697+IF(AE5=Assumptions!$C$18,Template!$E$715,0)</f>
        <v>#VALUE!</v>
      </c>
      <c r="AF44" s="300" t="e">
        <f aca="false">Template!O697+IF(AF5=Assumptions!$C$18,Template!$E$715,0)</f>
        <v>#VALUE!</v>
      </c>
      <c r="AG44" s="300" t="e">
        <f aca="false">Template!P697+IF(AG5=Assumptions!$C$18,Template!$E$715,0)</f>
        <v>#VALUE!</v>
      </c>
      <c r="AH44" s="300" t="e">
        <f aca="false">Template!Q697+IF(AH5=Assumptions!$C$18,Template!$E$715,0)</f>
        <v>#VALUE!</v>
      </c>
      <c r="AI44" s="300" t="e">
        <f aca="false">Template!R697+IF(AI5=Assumptions!$C$18,Template!$E$715,0)</f>
        <v>#VALUE!</v>
      </c>
      <c r="AJ44" s="300" t="e">
        <f aca="false">Template!S697+IF(AJ5=Assumptions!$C$18,Template!$E$715,0)</f>
        <v>#VALUE!</v>
      </c>
      <c r="AK44" s="300" t="e">
        <f aca="false">Template!T697+IF(AK5=Assumptions!$C$18,Template!$E$715,0)</f>
        <v>#VALUE!</v>
      </c>
      <c r="AL44" s="300" t="e">
        <f aca="false">Template!U697+IF(AL5=Assumptions!$C$18,Template!$E$715,0)</f>
        <v>#VALUE!</v>
      </c>
      <c r="AM44" s="300" t="e">
        <f aca="false">Template!V697+IF(AM5=Assumptions!$C$18,Template!$E$715,0)</f>
        <v>#VALUE!</v>
      </c>
      <c r="AN44" s="300" t="e">
        <f aca="false">Template!W697+IF(AN5=Assumptions!$C$18,Template!$E$715,0)</f>
        <v>#VALUE!</v>
      </c>
      <c r="AO44" s="300" t="e">
        <f aca="false">Template!X697+IF(AO5=Assumptions!$C$18,Template!$E$715,0)</f>
        <v>#VALUE!</v>
      </c>
      <c r="AP44" s="300" t="e">
        <f aca="false">Template!Y697+IF(AP5=Assumptions!$C$18,Template!$E$715,0)</f>
        <v>#VALUE!</v>
      </c>
      <c r="AQ44" s="300" t="e">
        <f aca="false">Template!Z697+IF(AQ5=Assumptions!$C$18,Template!$E$715,0)</f>
        <v>#VALUE!</v>
      </c>
      <c r="AR44" s="300" t="e">
        <f aca="false">Template!AA697+IF(AR5=Assumptions!$C$18,Template!$E$715,0)</f>
        <v>#VALUE!</v>
      </c>
      <c r="AS44" s="300" t="e">
        <f aca="false">Template!AB697+IF(AS5=Assumptions!$C$18,Template!$E$715,0)</f>
        <v>#N/A</v>
      </c>
      <c r="AT44" s="300" t="e">
        <f aca="false">Template!AC697+IF(AT5=Assumptions!$C$18,Template!$E$715,0)</f>
        <v>#VALUE!</v>
      </c>
    </row>
    <row r="45" customFormat="false" ht="12" hidden="false" customHeight="false" outlineLevel="0" collapsed="false">
      <c r="A45" s="304" t="s">
        <v>364</v>
      </c>
      <c r="B45" s="322"/>
      <c r="C45" s="300" t="n">
        <f aca="false">SUM($C$44:C44)</f>
        <v>0</v>
      </c>
      <c r="D45" s="300" t="n">
        <f aca="false">SUM($C$44:D44)</f>
        <v>-48.2</v>
      </c>
      <c r="E45" s="300" t="n">
        <f aca="false">SUM($C$44:E44)</f>
        <v>-728.115555555556</v>
      </c>
      <c r="F45" s="300" t="n">
        <f aca="false">SUM($C$44:F44)</f>
        <v>-1008.03111111111</v>
      </c>
      <c r="G45" s="300" t="n">
        <f aca="false">SUM($C$44:G44)</f>
        <v>-1287.94666666667</v>
      </c>
      <c r="H45" s="300" t="n">
        <f aca="false">SUM($C$44:H44)</f>
        <v>-1567.86222222222</v>
      </c>
      <c r="I45" s="300" t="n">
        <f aca="false">SUM($C$44:I44)</f>
        <v>-1847.77777777778</v>
      </c>
      <c r="J45" s="300" t="n">
        <f aca="false">SUM($C$44:J44)</f>
        <v>-2127.69333333333</v>
      </c>
      <c r="K45" s="300" t="n">
        <f aca="false">SUM($C$44:K44)</f>
        <v>-2407.60888888889</v>
      </c>
      <c r="L45" s="300" t="n">
        <f aca="false">SUM($C$44:L44)</f>
        <v>-2687.52444444445</v>
      </c>
      <c r="M45" s="300" t="n">
        <f aca="false">SUM($C$44:M44)</f>
        <v>-3217.44</v>
      </c>
      <c r="N45" s="300" t="n">
        <f aca="false">SUM($C$44:N44)</f>
        <v>-3847.07636363636</v>
      </c>
      <c r="O45" s="300" t="n">
        <f aca="false">SUM($C$44:O44)</f>
        <v>-4795.71272727273</v>
      </c>
      <c r="P45" s="300" t="n">
        <f aca="false">SUM($C$44:P44)</f>
        <v>-13075.3490909091</v>
      </c>
      <c r="Q45" s="300" t="n">
        <f aca="false">SUM($C$44:Q44)</f>
        <v>-19748.1804545455</v>
      </c>
      <c r="R45" s="300" t="n">
        <f aca="false">SUM($C$44:R44)</f>
        <v>-21986.0118181818</v>
      </c>
      <c r="S45" s="300" t="n">
        <f aca="false">SUM($C$44:S44)</f>
        <v>-27407.8431818182</v>
      </c>
      <c r="T45" s="300" t="n">
        <f aca="false">SUM($C$44:T44)</f>
        <v>-31845.6745454545</v>
      </c>
      <c r="U45" s="300" t="n">
        <f aca="false">SUM($C$44:U44)</f>
        <v>-33203.7559090909</v>
      </c>
      <c r="V45" s="300" t="n">
        <f aca="false">SUM($C$44:V44)</f>
        <v>-56317.8372727273</v>
      </c>
      <c r="W45" s="300" t="n">
        <f aca="false">SUM($C$44:W44)</f>
        <v>-58813.4186363636</v>
      </c>
      <c r="X45" s="300" t="e">
        <f aca="false">SUM($C$44:X44)</f>
        <v>#VALUE!</v>
      </c>
      <c r="Z45" s="300"/>
      <c r="AA45" s="300"/>
      <c r="AB45" s="300"/>
      <c r="AC45" s="300"/>
      <c r="AD45" s="300"/>
      <c r="AE45" s="300"/>
      <c r="AF45" s="300"/>
      <c r="AG45" s="300"/>
      <c r="AH45" s="300"/>
      <c r="AI45" s="300"/>
      <c r="AJ45" s="300"/>
      <c r="AK45" s="300"/>
      <c r="AL45" s="300"/>
      <c r="AM45" s="300"/>
      <c r="AN45" s="300"/>
      <c r="AO45" s="300"/>
      <c r="AP45" s="300"/>
      <c r="AQ45" s="300"/>
      <c r="AR45" s="300"/>
    </row>
    <row r="46" customFormat="false" ht="12" hidden="false" customHeight="false" outlineLevel="0" collapsed="false">
      <c r="A46" s="304" t="s">
        <v>310</v>
      </c>
      <c r="B46" s="332" t="n">
        <f aca="false">IF(ISERR(XIRR(D44:AR44,C5:AR5,0.1)),-1,XIRR(D44:AR44,C5:AR5,0.1))</f>
        <v>-1</v>
      </c>
      <c r="D46" s="304"/>
      <c r="E46" s="304"/>
      <c r="F46" s="304"/>
      <c r="G46" s="304"/>
      <c r="H46" s="304"/>
      <c r="I46" s="304"/>
      <c r="J46" s="304"/>
      <c r="K46" s="304"/>
      <c r="L46" s="304"/>
      <c r="M46" s="304"/>
      <c r="N46" s="304"/>
      <c r="O46" s="304"/>
      <c r="P46" s="304"/>
      <c r="Q46" s="304"/>
      <c r="R46" s="304"/>
      <c r="S46" s="304"/>
      <c r="T46" s="304"/>
      <c r="V46" s="333" t="s">
        <v>365</v>
      </c>
      <c r="W46" s="334"/>
      <c r="X46" s="334"/>
      <c r="Y46" s="335" t="e">
        <f aca="false">XNPV(Assumptions!L44,$Y$44:INDEX($Y$5:$AT$44,40,MATCH(Assumptions!$C$18,Budget!$Y$5:$AT$5)),Budget!Y5:INDEX(Budget!$Y$5:$AT$5,1,MATCH(Assumptions!$C$18,Budget!$Y$5:$AT$5)))</f>
        <v>#VALUE!</v>
      </c>
      <c r="Z46" s="304"/>
      <c r="AA46" s="304"/>
      <c r="AB46" s="304"/>
      <c r="AC46" s="304"/>
      <c r="AD46" s="304"/>
      <c r="AE46" s="304"/>
      <c r="AF46" s="304"/>
      <c r="AG46" s="304"/>
      <c r="AH46" s="304"/>
      <c r="AI46" s="304"/>
      <c r="AJ46" s="304"/>
      <c r="AK46" s="304"/>
      <c r="AL46" s="304"/>
      <c r="AM46" s="304"/>
      <c r="AN46" s="304"/>
      <c r="AO46" s="304"/>
      <c r="AP46" s="304"/>
      <c r="AQ46" s="304"/>
      <c r="AR46" s="304"/>
      <c r="AS46" s="293" t="s">
        <v>366</v>
      </c>
    </row>
    <row r="47" customFormat="false" ht="11.25" hidden="false" customHeight="false" outlineLevel="0" collapsed="false">
      <c r="A47" s="304" t="s">
        <v>313</v>
      </c>
      <c r="B47" s="322" t="e">
        <f aca="false">XNPV(Assumptions!L44,D44:X44,D5:X5)</f>
        <v>#VALUE!</v>
      </c>
      <c r="C47" s="304"/>
      <c r="D47" s="304"/>
      <c r="E47" s="304"/>
      <c r="F47" s="304"/>
      <c r="G47" s="304"/>
      <c r="H47" s="304"/>
      <c r="I47" s="304"/>
      <c r="J47" s="304"/>
      <c r="K47" s="304"/>
      <c r="L47" s="304"/>
      <c r="M47" s="304"/>
      <c r="N47" s="304"/>
      <c r="O47" s="304"/>
      <c r="P47" s="304"/>
      <c r="Q47" s="304"/>
      <c r="R47" s="304"/>
      <c r="S47" s="304"/>
      <c r="T47" s="304"/>
      <c r="U47" s="304"/>
      <c r="V47" s="336" t="s">
        <v>367</v>
      </c>
      <c r="W47" s="336"/>
      <c r="X47" s="336"/>
      <c r="Y47" s="304"/>
      <c r="Z47" s="304"/>
      <c r="AA47" s="304"/>
      <c r="AB47" s="304"/>
      <c r="AC47" s="304"/>
      <c r="AD47" s="304"/>
      <c r="AE47" s="304"/>
      <c r="AF47" s="304"/>
      <c r="AG47" s="304"/>
      <c r="AH47" s="304"/>
      <c r="AI47" s="304"/>
      <c r="AJ47" s="304"/>
      <c r="AK47" s="304"/>
      <c r="AL47" s="304"/>
      <c r="AM47" s="304"/>
      <c r="AN47" s="304"/>
      <c r="AO47" s="304"/>
      <c r="AP47" s="304"/>
      <c r="AQ47" s="304"/>
      <c r="AR47" s="304"/>
    </row>
    <row r="48" customFormat="false" ht="11.25" hidden="false" customHeight="false" outlineLevel="0" collapsed="false">
      <c r="V48" s="293" t="s">
        <v>368</v>
      </c>
    </row>
    <row r="49" customFormat="false" ht="11.25" hidden="false" customHeight="false" outlineLevel="0" collapsed="false">
      <c r="V49" s="293" t="s">
        <v>369</v>
      </c>
      <c r="Y49" s="293" t="s">
        <v>370</v>
      </c>
      <c r="Z49" s="293" t="s">
        <v>313</v>
      </c>
    </row>
    <row r="50" customFormat="false" ht="11.25" hidden="false" customHeight="false" outlineLevel="0" collapsed="false">
      <c r="A50" s="293" t="s">
        <v>371</v>
      </c>
      <c r="C50" s="337" t="n">
        <f aca="false">-(XNPV(0.1,$D$12:$X$12,$D$5:$X$5))</f>
        <v>1755.49385235274</v>
      </c>
      <c r="V50" s="293" t="s">
        <v>372</v>
      </c>
      <c r="Y50" s="293" t="s">
        <v>372</v>
      </c>
      <c r="Z50" s="338" t="n">
        <v>123784</v>
      </c>
    </row>
    <row r="51" customFormat="false" ht="11.25" hidden="false" customHeight="false" outlineLevel="0" collapsed="false">
      <c r="A51" s="293" t="s">
        <v>373</v>
      </c>
      <c r="C51" s="337" t="n">
        <f aca="false">-(XNPV(0.1,$D$9:$X$9,$D$5:$X$5))</f>
        <v>499.869455154781</v>
      </c>
      <c r="V51" s="293" t="s">
        <v>372</v>
      </c>
      <c r="Y51" s="293" t="s">
        <v>374</v>
      </c>
      <c r="Z51" s="338" t="n">
        <v>93202</v>
      </c>
      <c r="AB51" s="293" t="s">
        <v>375</v>
      </c>
    </row>
    <row r="52" customFormat="false" ht="11.25" hidden="false" customHeight="false" outlineLevel="0" collapsed="false">
      <c r="A52" s="293" t="s">
        <v>376</v>
      </c>
      <c r="C52" s="337" t="n">
        <f aca="false">-(XNPV(0.1,$D$10:$X$10,$D$5:$X$5))</f>
        <v>234.445808628599</v>
      </c>
      <c r="Z52" s="338"/>
    </row>
    <row r="53" customFormat="false" ht="11.25" hidden="false" customHeight="false" outlineLevel="0" collapsed="false">
      <c r="A53" s="339" t="s">
        <v>377</v>
      </c>
      <c r="B53" s="339"/>
      <c r="C53" s="340" t="n">
        <f aca="false">-(XNPV(0.1,$D$11:$X$11,$D$5:$X$5))</f>
        <v>865.992351073377</v>
      </c>
      <c r="V53" s="293" t="s">
        <v>374</v>
      </c>
      <c r="Y53" s="293" t="s">
        <v>372</v>
      </c>
      <c r="Z53" s="338" t="n">
        <v>63096</v>
      </c>
    </row>
    <row r="54" customFormat="false" ht="11.25" hidden="false" customHeight="false" outlineLevel="0" collapsed="false">
      <c r="A54" s="293" t="s">
        <v>378</v>
      </c>
      <c r="C54" s="337" t="n">
        <f aca="false">SUM(C50:C53)</f>
        <v>3355.80146720949</v>
      </c>
      <c r="V54" s="293" t="s">
        <v>379</v>
      </c>
      <c r="Y54" s="293" t="s">
        <v>374</v>
      </c>
      <c r="Z54" s="338" t="n">
        <v>33083</v>
      </c>
    </row>
    <row r="55" customFormat="false" ht="11.25" hidden="false" customHeight="false" outlineLevel="0" collapsed="false">
      <c r="A55" s="293" t="s">
        <v>380</v>
      </c>
      <c r="C55" s="337" t="n">
        <v>5000</v>
      </c>
      <c r="V55" s="293" t="s">
        <v>381</v>
      </c>
    </row>
    <row r="56" customFormat="false" ht="11.25" hidden="false" customHeight="false" outlineLevel="0" collapsed="false">
      <c r="A56" s="293" t="s">
        <v>382</v>
      </c>
      <c r="C56" s="337" t="n">
        <f aca="false">C55-C54</f>
        <v>1644.19853279051</v>
      </c>
    </row>
    <row r="57" customFormat="false" ht="11.25" hidden="false" customHeight="false" outlineLevel="0" collapsed="false">
      <c r="A57" s="304" t="s">
        <v>383</v>
      </c>
      <c r="B57" s="304"/>
      <c r="C57" s="341" t="n">
        <f aca="false">C56*(1.1)^((Assumptions!$C$16-Assumptions!$C$14)/365.25)</f>
        <v>1912.86320699977</v>
      </c>
    </row>
    <row r="58" customFormat="false" ht="11.25" hidden="false" customHeight="false" outlineLevel="0" collapsed="false">
      <c r="A58" s="304"/>
      <c r="B58" s="304"/>
      <c r="C58" s="341"/>
    </row>
    <row r="59" customFormat="false" ht="11.25" hidden="false" customHeight="false" outlineLevel="0" collapsed="false">
      <c r="A59" s="304"/>
      <c r="C59" s="304"/>
      <c r="D59" s="341"/>
      <c r="J59" s="318" t="s">
        <v>322</v>
      </c>
    </row>
    <row r="60" customFormat="false" ht="11.25" hidden="false" customHeight="false" outlineLevel="0" collapsed="false">
      <c r="A60" s="304"/>
      <c r="C60" s="304"/>
      <c r="D60" s="341"/>
      <c r="J60" s="318" t="s">
        <v>324</v>
      </c>
    </row>
    <row r="61" customFormat="false" ht="12" hidden="false" customHeight="false" outlineLevel="0" collapsed="false">
      <c r="E61" s="318"/>
      <c r="J61" s="318" t="s">
        <v>329</v>
      </c>
    </row>
    <row r="62" customFormat="false" ht="12.75" hidden="false" customHeight="false" outlineLevel="0" collapsed="false">
      <c r="B62" s="342" t="s">
        <v>303</v>
      </c>
      <c r="E62" s="318"/>
      <c r="J62" s="318" t="s">
        <v>286</v>
      </c>
    </row>
    <row r="63" customFormat="false" ht="12.75" hidden="false" customHeight="false" outlineLevel="0" collapsed="false">
      <c r="A63" s="304"/>
      <c r="B63" s="343" t="s">
        <v>384</v>
      </c>
      <c r="C63" s="319" t="s">
        <v>303</v>
      </c>
      <c r="D63" s="319" t="n">
        <v>36341</v>
      </c>
      <c r="E63" s="319" t="n">
        <v>36433</v>
      </c>
      <c r="F63" s="319" t="n">
        <v>36525</v>
      </c>
      <c r="G63" s="319" t="n">
        <v>36616</v>
      </c>
      <c r="H63" s="319" t="n">
        <v>36707</v>
      </c>
      <c r="I63" s="319" t="n">
        <v>36799</v>
      </c>
      <c r="J63" s="319" t="n">
        <v>36860</v>
      </c>
    </row>
    <row r="64" customFormat="false" ht="13.5" hidden="false" customHeight="false" outlineLevel="0" collapsed="false">
      <c r="A64" s="304" t="s">
        <v>335</v>
      </c>
      <c r="C64" s="0"/>
      <c r="D64" s="0"/>
      <c r="E64" s="0"/>
      <c r="F64" s="0"/>
      <c r="G64" s="0"/>
      <c r="H64" s="0"/>
      <c r="I64" s="0"/>
    </row>
    <row r="65" customFormat="false" ht="12.75" hidden="false" customHeight="true" outlineLevel="0" collapsed="false">
      <c r="A65" s="293" t="str">
        <f aca="false">A7</f>
        <v>EPC Turnkey</v>
      </c>
      <c r="B65" s="300" t="n">
        <f aca="false">SUM(D65:G65)</f>
        <v>0</v>
      </c>
      <c r="C65" s="322" t="n">
        <f aca="false">SUM(D65:J65)</f>
        <v>-9900</v>
      </c>
      <c r="D65" s="294" t="n">
        <f aca="false">SUM(C7:G7)</f>
        <v>0</v>
      </c>
      <c r="E65" s="294" t="n">
        <f aca="false">SUM(H7:J7)</f>
        <v>0</v>
      </c>
      <c r="F65" s="294" t="n">
        <f aca="false">SUM(K7:M7)</f>
        <v>0</v>
      </c>
      <c r="G65" s="294" t="n">
        <f aca="false">SUM(N7:P7)</f>
        <v>0</v>
      </c>
      <c r="H65" s="294" t="n">
        <f aca="false">SUM(Q7:S7)</f>
        <v>-4600</v>
      </c>
      <c r="I65" s="294" t="n">
        <f aca="false">SUM(T7:V7)</f>
        <v>-5300</v>
      </c>
      <c r="J65" s="294" t="n">
        <f aca="false">SUM(W7:X7)</f>
        <v>0</v>
      </c>
    </row>
    <row r="66" customFormat="false" ht="11.25" hidden="false" customHeight="false" outlineLevel="0" collapsed="false">
      <c r="A66" s="293" t="str">
        <f aca="false">A8</f>
        <v>Internal Costs</v>
      </c>
      <c r="B66" s="300" t="n">
        <f aca="false">SUM(D66:G66)</f>
        <v>-176.44</v>
      </c>
      <c r="C66" s="322" t="n">
        <f aca="false">SUM(D66:J66)</f>
        <v>-1000</v>
      </c>
      <c r="D66" s="294" t="n">
        <f aca="false">SUM(C8:G8)</f>
        <v>-17.1466666666667</v>
      </c>
      <c r="E66" s="294" t="n">
        <f aca="false">SUM(H8:J8)</f>
        <v>-17.1466666666667</v>
      </c>
      <c r="F66" s="294" t="n">
        <f aca="false">SUM(K8:M8)</f>
        <v>-17.1466666666667</v>
      </c>
      <c r="G66" s="294" t="n">
        <f aca="false">SUM(N8:P8)</f>
        <v>-125</v>
      </c>
      <c r="H66" s="294" t="n">
        <f aca="false">SUM(Q8:S8)</f>
        <v>-308.835</v>
      </c>
      <c r="I66" s="294" t="n">
        <f aca="false">SUM(T8:V8)</f>
        <v>-308.835</v>
      </c>
      <c r="J66" s="294" t="n">
        <f aca="false">SUM(W8:X8)</f>
        <v>-205.89</v>
      </c>
    </row>
    <row r="67" customFormat="false" ht="11.25" hidden="false" customHeight="false" outlineLevel="0" collapsed="false">
      <c r="A67" s="293" t="str">
        <f aca="false">A9</f>
        <v>Tejon Payment (Signing of Land Lease Option)</v>
      </c>
      <c r="B67" s="300" t="n">
        <f aca="false">SUM(D67:G67)</f>
        <v>-500</v>
      </c>
      <c r="C67" s="322" t="n">
        <f aca="false">SUM(D67:J67)</f>
        <v>-500</v>
      </c>
      <c r="D67" s="294" t="n">
        <f aca="false">SUM(C9:G9)</f>
        <v>-500</v>
      </c>
      <c r="E67" s="294" t="n">
        <f aca="false">SUM(H9:J9)</f>
        <v>0</v>
      </c>
      <c r="F67" s="294" t="n">
        <f aca="false">SUM(K9:M9)</f>
        <v>0</v>
      </c>
      <c r="G67" s="294" t="n">
        <f aca="false">SUM(N9:P9)</f>
        <v>0</v>
      </c>
      <c r="H67" s="294" t="n">
        <f aca="false">SUM(Q9:S9)</f>
        <v>0</v>
      </c>
      <c r="I67" s="294" t="n">
        <f aca="false">SUM(T9:V9)</f>
        <v>0</v>
      </c>
      <c r="J67" s="294" t="n">
        <f aca="false">SUM(W9:X9)</f>
        <v>0</v>
      </c>
    </row>
    <row r="68" customFormat="false" ht="11.25" hidden="false" customHeight="false" outlineLevel="0" collapsed="false">
      <c r="A68" s="293" t="s">
        <v>338</v>
      </c>
      <c r="B68" s="300" t="n">
        <f aca="false">SUM(D68:G68)</f>
        <v>-250</v>
      </c>
      <c r="C68" s="322" t="n">
        <f aca="false">SUM(D68:J68)</f>
        <v>-250</v>
      </c>
      <c r="D68" s="294" t="n">
        <f aca="false">SUM(C10:G10)</f>
        <v>0</v>
      </c>
      <c r="E68" s="294" t="n">
        <f aca="false">SUM(H10:J10)</f>
        <v>0</v>
      </c>
      <c r="F68" s="294" t="n">
        <f aca="false">SUM(K10:M10)</f>
        <v>-250</v>
      </c>
      <c r="G68" s="294" t="n">
        <f aca="false">SUM(N10:P10)</f>
        <v>0</v>
      </c>
      <c r="H68" s="294" t="n">
        <f aca="false">SUM(Q10:S10)</f>
        <v>0</v>
      </c>
      <c r="I68" s="294" t="n">
        <f aca="false">SUM(T10:V10)</f>
        <v>0</v>
      </c>
      <c r="J68" s="294" t="n">
        <f aca="false">SUM(W10:X10)</f>
        <v>0</v>
      </c>
    </row>
    <row r="69" customFormat="false" ht="11.25" hidden="false" customHeight="false" outlineLevel="0" collapsed="false">
      <c r="A69" s="293" t="str">
        <f aca="false">A11</f>
        <v>Tejon Payment (Data Adequacy and Water)</v>
      </c>
      <c r="B69" s="300" t="n">
        <f aca="false">SUM(D69:G69)</f>
        <v>0</v>
      </c>
      <c r="C69" s="322" t="n">
        <f aca="false">SUM(D69:J69)</f>
        <v>-1000</v>
      </c>
      <c r="D69" s="294" t="n">
        <f aca="false">SUM(C11:G11)</f>
        <v>0</v>
      </c>
      <c r="E69" s="294" t="n">
        <f aca="false">SUM(H11:J11)</f>
        <v>0</v>
      </c>
      <c r="F69" s="294" t="n">
        <f aca="false">SUM(K11:M11)</f>
        <v>0</v>
      </c>
      <c r="G69" s="294" t="n">
        <f aca="false">SUM(N11:P11)</f>
        <v>0</v>
      </c>
      <c r="H69" s="294" t="n">
        <f aca="false">SUM(Q11:S11)</f>
        <v>0</v>
      </c>
      <c r="I69" s="294" t="n">
        <f aca="false">SUM(T11:V11)</f>
        <v>0</v>
      </c>
      <c r="J69" s="294" t="n">
        <f aca="false">SUM(W11:X11)</f>
        <v>-1000</v>
      </c>
    </row>
    <row r="70" customFormat="false" ht="11.25" hidden="false" customHeight="false" outlineLevel="0" collapsed="false">
      <c r="A70" s="293" t="str">
        <f aca="false">A12</f>
        <v>Tejon Monthly Payments</v>
      </c>
      <c r="B70" s="300" t="n">
        <f aca="false">SUM(D70:G70)</f>
        <v>-1100</v>
      </c>
      <c r="C70" s="322" t="n">
        <f aca="false">SUM(D70:J70)</f>
        <v>-1900</v>
      </c>
      <c r="D70" s="294" t="n">
        <f aca="false">SUM(C12:G12)</f>
        <v>-200</v>
      </c>
      <c r="E70" s="294" t="n">
        <f aca="false">SUM(H12:J12)</f>
        <v>-300</v>
      </c>
      <c r="F70" s="294" t="n">
        <f aca="false">SUM(K12:M12)</f>
        <v>-300</v>
      </c>
      <c r="G70" s="294" t="n">
        <f aca="false">SUM(N12:P12)</f>
        <v>-300</v>
      </c>
      <c r="H70" s="294" t="n">
        <f aca="false">SUM(Q12:S12)</f>
        <v>-300</v>
      </c>
      <c r="I70" s="294" t="n">
        <f aca="false">SUM(T12:V12)</f>
        <v>-300</v>
      </c>
      <c r="J70" s="294" t="n">
        <f aca="false">SUM(W12:X12)</f>
        <v>-200</v>
      </c>
    </row>
    <row r="71" customFormat="false" ht="11.25" hidden="false" customHeight="false" outlineLevel="0" collapsed="false">
      <c r="A71" s="293" t="str">
        <f aca="false">A13</f>
        <v>Transmission Queue Position</v>
      </c>
      <c r="B71" s="300" t="n">
        <f aca="false">SUM(D71:G71)</f>
        <v>-4000</v>
      </c>
      <c r="C71" s="322" t="n">
        <f aca="false">SUM(D71:J71)</f>
        <v>-4000</v>
      </c>
      <c r="D71" s="294" t="n">
        <f aca="false">SUM(C13:G13)</f>
        <v>0</v>
      </c>
      <c r="E71" s="294" t="n">
        <f aca="false">SUM(H13:J13)</f>
        <v>0</v>
      </c>
      <c r="F71" s="294" t="n">
        <f aca="false">SUM(K13:M13)</f>
        <v>0</v>
      </c>
      <c r="G71" s="294" t="n">
        <f aca="false">SUM(N13:P13)</f>
        <v>-4000</v>
      </c>
      <c r="H71" s="294" t="n">
        <f aca="false">SUM(Q13:S13)</f>
        <v>0</v>
      </c>
      <c r="I71" s="294" t="n">
        <f aca="false">SUM(T13:V13)</f>
        <v>0</v>
      </c>
      <c r="J71" s="294" t="n">
        <f aca="false">SUM(W13:X13)</f>
        <v>0</v>
      </c>
    </row>
    <row r="72" customFormat="false" ht="11.25" hidden="false" customHeight="false" outlineLevel="0" collapsed="false">
      <c r="A72" s="293" t="str">
        <f aca="false">A14</f>
        <v>Environmental Permitting-Woody Clyde</v>
      </c>
      <c r="B72" s="300" t="n">
        <f aca="false">SUM(D72:G72)</f>
        <v>-1129</v>
      </c>
      <c r="C72" s="322" t="n">
        <f aca="false">SUM(D72:J72)</f>
        <v>-1800</v>
      </c>
      <c r="D72" s="294" t="n">
        <f aca="false">SUM(C14:G14)</f>
        <v>-224</v>
      </c>
      <c r="E72" s="294" t="n">
        <f aca="false">SUM(H14:J14)</f>
        <v>-224</v>
      </c>
      <c r="F72" s="294" t="n">
        <f aca="false">SUM(K14:M14)</f>
        <v>-224</v>
      </c>
      <c r="G72" s="294" t="n">
        <f aca="false">SUM(N14:P14)</f>
        <v>-457</v>
      </c>
      <c r="H72" s="294" t="n">
        <f aca="false">SUM(Q14:S14)</f>
        <v>-251.625</v>
      </c>
      <c r="I72" s="294" t="n">
        <f aca="false">SUM(T14:V14)</f>
        <v>-251.625</v>
      </c>
      <c r="J72" s="294" t="n">
        <f aca="false">SUM(W14:X14)</f>
        <v>-167.75</v>
      </c>
    </row>
    <row r="73" customFormat="false" ht="11.25" hidden="false" customHeight="false" outlineLevel="0" collapsed="false">
      <c r="A73" s="293" t="str">
        <f aca="false">A15</f>
        <v>Environmental Permitting-Patch</v>
      </c>
      <c r="B73" s="300" t="n">
        <f aca="false">SUM(D73:G73)</f>
        <v>-707</v>
      </c>
      <c r="C73" s="322" t="n">
        <f aca="false">SUM(D73:J73)</f>
        <v>-830</v>
      </c>
      <c r="D73" s="294" t="n">
        <f aca="false">SUM(C15:G15)</f>
        <v>-142.333333333333</v>
      </c>
      <c r="E73" s="294" t="n">
        <f aca="false">SUM(H15:J15)</f>
        <v>-142.333333333333</v>
      </c>
      <c r="F73" s="294" t="n">
        <f aca="false">SUM(K15:M15)</f>
        <v>-142.333333333333</v>
      </c>
      <c r="G73" s="294" t="n">
        <f aca="false">SUM(N15:P15)</f>
        <v>-280</v>
      </c>
      <c r="H73" s="294" t="n">
        <f aca="false">SUM(Q15:S15)</f>
        <v>-46.125</v>
      </c>
      <c r="I73" s="294" t="n">
        <f aca="false">SUM(T15:V15)</f>
        <v>-46.125</v>
      </c>
      <c r="J73" s="294" t="n">
        <f aca="false">SUM(W15:X15)</f>
        <v>-30.75</v>
      </c>
    </row>
    <row r="74" customFormat="false" ht="11.25" hidden="false" customHeight="false" outlineLevel="0" collapsed="false">
      <c r="A74" s="293" t="str">
        <f aca="false">A16</f>
        <v>Air District Filing Fee</v>
      </c>
      <c r="B74" s="300" t="n">
        <f aca="false">SUM(D74:G74)</f>
        <v>0</v>
      </c>
      <c r="C74" s="322" t="n">
        <f aca="false">SUM(D74:J74)</f>
        <v>-100</v>
      </c>
      <c r="D74" s="294" t="n">
        <f aca="false">SUM(C16:G16)</f>
        <v>0</v>
      </c>
      <c r="E74" s="294" t="n">
        <f aca="false">SUM(H16:J16)</f>
        <v>0</v>
      </c>
      <c r="F74" s="294" t="n">
        <f aca="false">SUM(K16:M16)</f>
        <v>0</v>
      </c>
      <c r="G74" s="294" t="n">
        <f aca="false">SUM(N16:P16)</f>
        <v>0</v>
      </c>
      <c r="H74" s="294" t="n">
        <f aca="false">SUM(Q16:S16)</f>
        <v>-100</v>
      </c>
      <c r="I74" s="294" t="n">
        <f aca="false">SUM(T16:V16)</f>
        <v>0</v>
      </c>
      <c r="J74" s="294" t="n">
        <f aca="false">SUM(W16:X16)</f>
        <v>0</v>
      </c>
    </row>
    <row r="75" customFormat="false" ht="11.25" hidden="false" customHeight="false" outlineLevel="0" collapsed="false">
      <c r="A75" s="293" t="str">
        <f aca="false">A17</f>
        <v>Pre-Financial Closing Legal Fees</v>
      </c>
      <c r="B75" s="300" t="n">
        <f aca="false">SUM(D75:G75)</f>
        <v>-759.272727272727</v>
      </c>
      <c r="C75" s="322" t="n">
        <f aca="false">SUM(D75:J75)</f>
        <v>-2000</v>
      </c>
      <c r="D75" s="294" t="n">
        <f aca="false">SUM(C17:G17)</f>
        <v>-117.6</v>
      </c>
      <c r="E75" s="294" t="n">
        <f aca="false">SUM(H17:J17)</f>
        <v>-88.2</v>
      </c>
      <c r="F75" s="294" t="n">
        <f aca="false">SUM(K17:M17)</f>
        <v>-88.2</v>
      </c>
      <c r="G75" s="294" t="n">
        <f aca="false">SUM(N17:P17)</f>
        <v>-465.272727272727</v>
      </c>
      <c r="H75" s="294" t="n">
        <f aca="false">SUM(Q17:S17)</f>
        <v>-465.272727272727</v>
      </c>
      <c r="I75" s="294" t="n">
        <f aca="false">SUM(T17:V17)</f>
        <v>-465.272727272727</v>
      </c>
      <c r="J75" s="294" t="n">
        <f aca="false">SUM(W17:X17)</f>
        <v>-310.181818181818</v>
      </c>
    </row>
    <row r="76" customFormat="false" ht="11.25" hidden="false" customHeight="false" outlineLevel="0" collapsed="false">
      <c r="A76" s="293" t="str">
        <f aca="false">A18</f>
        <v>Engineering</v>
      </c>
      <c r="B76" s="300" t="n">
        <f aca="false">SUM(D76:G76)</f>
        <v>-154.636363636364</v>
      </c>
      <c r="C76" s="322" t="n">
        <f aca="false">SUM(D76:J76)</f>
        <v>-567</v>
      </c>
      <c r="D76" s="294" t="n">
        <f aca="false">SUM(C18:G18)</f>
        <v>0</v>
      </c>
      <c r="E76" s="294" t="n">
        <f aca="false">SUM(H18:J18)</f>
        <v>0</v>
      </c>
      <c r="F76" s="294" t="n">
        <f aca="false">SUM(K18:M18)</f>
        <v>0</v>
      </c>
      <c r="G76" s="294" t="n">
        <f aca="false">SUM(N18:P18)</f>
        <v>-154.636363636364</v>
      </c>
      <c r="H76" s="294" t="n">
        <f aca="false">SUM(Q18:S18)</f>
        <v>-154.636363636364</v>
      </c>
      <c r="I76" s="294" t="n">
        <f aca="false">SUM(T18:V18)</f>
        <v>-154.636363636364</v>
      </c>
      <c r="J76" s="294" t="n">
        <f aca="false">SUM(W18:X18)</f>
        <v>-103.090909090909</v>
      </c>
    </row>
    <row r="77" customFormat="false" ht="11.25" hidden="false" customHeight="false" outlineLevel="0" collapsed="false">
      <c r="A77" s="293" t="str">
        <f aca="false">A19</f>
        <v>Advance Water Payments</v>
      </c>
      <c r="B77" s="300" t="n">
        <f aca="false">SUM(D77:G77)</f>
        <v>0</v>
      </c>
      <c r="C77" s="322" t="n">
        <f aca="false">SUM(D77:J77)</f>
        <v>-500</v>
      </c>
      <c r="D77" s="294" t="n">
        <f aca="false">SUM(C19:G19)</f>
        <v>0</v>
      </c>
      <c r="E77" s="294" t="n">
        <f aca="false">SUM(H19:J19)</f>
        <v>0</v>
      </c>
      <c r="F77" s="294" t="n">
        <f aca="false">SUM(K19:M19)</f>
        <v>0</v>
      </c>
      <c r="G77" s="294" t="n">
        <f aca="false">SUM(N19:P19)</f>
        <v>0</v>
      </c>
      <c r="H77" s="294" t="n">
        <f aca="false">SUM(Q19:S19)</f>
        <v>-500</v>
      </c>
      <c r="I77" s="294" t="n">
        <f aca="false">SUM(T19:V19)</f>
        <v>0</v>
      </c>
      <c r="J77" s="294" t="n">
        <f aca="false">SUM(W19:X19)</f>
        <v>0</v>
      </c>
    </row>
    <row r="78" customFormat="false" ht="11.25" hidden="false" customHeight="false" outlineLevel="0" collapsed="false">
      <c r="A78" s="298" t="str">
        <f aca="false">A20</f>
        <v>Miscellaneous</v>
      </c>
      <c r="B78" s="300" t="n">
        <f aca="false">SUM(D78:G78)</f>
        <v>-356</v>
      </c>
      <c r="C78" s="322" t="n">
        <f aca="false">SUM(D78:J78)</f>
        <v>-500</v>
      </c>
      <c r="D78" s="315" t="n">
        <f aca="false">SUM(C20:G20)</f>
        <v>-75.2</v>
      </c>
      <c r="E78" s="315" t="n">
        <f aca="false">SUM(H20:J20)</f>
        <v>-56.4</v>
      </c>
      <c r="F78" s="315" t="n">
        <f aca="false">SUM(K20:M20)</f>
        <v>-56.4</v>
      </c>
      <c r="G78" s="315" t="n">
        <f aca="false">SUM(N20:P20)</f>
        <v>-168</v>
      </c>
      <c r="H78" s="315" t="n">
        <f aca="false">SUM(Q20:S20)</f>
        <v>-54</v>
      </c>
      <c r="I78" s="315" t="n">
        <f aca="false">SUM(T20:V20)</f>
        <v>-54</v>
      </c>
      <c r="J78" s="315" t="n">
        <f aca="false">SUM(W20:X20)</f>
        <v>-36</v>
      </c>
    </row>
    <row r="79" customFormat="false" ht="11.25" hidden="false" customHeight="false" outlineLevel="0" collapsed="false">
      <c r="A79" s="295" t="str">
        <f aca="false">A21</f>
        <v>Contingency</v>
      </c>
      <c r="B79" s="306" t="n">
        <f aca="false">SUM(D79:G79)</f>
        <v>0</v>
      </c>
      <c r="C79" s="327" t="n">
        <f aca="false">SUM(D79:J79)</f>
        <v>-5000</v>
      </c>
      <c r="D79" s="297" t="n">
        <f aca="false">SUM(C21:G21)</f>
        <v>0</v>
      </c>
      <c r="E79" s="297" t="n">
        <f aca="false">SUM(H21:J21)</f>
        <v>0</v>
      </c>
      <c r="F79" s="297" t="n">
        <f aca="false">SUM(K21:M21)</f>
        <v>0</v>
      </c>
      <c r="G79" s="297" t="n">
        <f aca="false">SUM(N21:P21)</f>
        <v>0</v>
      </c>
      <c r="H79" s="297" t="n">
        <f aca="false">SUM(Q21:S21)</f>
        <v>-1875</v>
      </c>
      <c r="I79" s="297" t="n">
        <f aca="false">SUM(T21:V21)</f>
        <v>-1875</v>
      </c>
      <c r="J79" s="297" t="n">
        <f aca="false">SUM(W21:X21)</f>
        <v>-1250</v>
      </c>
    </row>
    <row r="80" customFormat="false" ht="11.25" hidden="false" customHeight="false" outlineLevel="0" collapsed="false">
      <c r="A80" s="299" t="s">
        <v>349</v>
      </c>
      <c r="B80" s="307" t="n">
        <f aca="false">SUM(B65:B79)</f>
        <v>-9132.34909090909</v>
      </c>
      <c r="C80" s="322" t="n">
        <f aca="false">SUM(C65:C79)</f>
        <v>-29847</v>
      </c>
      <c r="D80" s="307" t="n">
        <f aca="false">SUM(D65:D79)</f>
        <v>-1276.28</v>
      </c>
      <c r="E80" s="307" t="n">
        <f aca="false">SUM(E65:E79)</f>
        <v>-828.08</v>
      </c>
      <c r="F80" s="307" t="n">
        <f aca="false">SUM(F65:F79)</f>
        <v>-1078.08</v>
      </c>
      <c r="G80" s="307" t="n">
        <f aca="false">SUM(G65:G79)</f>
        <v>-5949.90909090909</v>
      </c>
      <c r="H80" s="307" t="n">
        <f aca="false">SUM(H65:H79)</f>
        <v>-8655.49409090909</v>
      </c>
      <c r="I80" s="307" t="n">
        <f aca="false">SUM(I65:I79)</f>
        <v>-8755.49409090909</v>
      </c>
      <c r="J80" s="307" t="n">
        <f aca="false">SUM(J65:J79)</f>
        <v>-3303.66272727273</v>
      </c>
    </row>
    <row r="81" customFormat="false" ht="11.25" hidden="false" customHeight="false" outlineLevel="0" collapsed="false">
      <c r="B81" s="304"/>
      <c r="C81" s="344"/>
    </row>
    <row r="82" customFormat="false" ht="11.25" hidden="false" customHeight="false" outlineLevel="0" collapsed="false">
      <c r="A82" s="299" t="s">
        <v>385</v>
      </c>
      <c r="B82" s="300" t="n">
        <f aca="false">SUM(D82:G82)</f>
        <v>-3943</v>
      </c>
      <c r="C82" s="322" t="n">
        <f aca="false">SUM(D82:J82)</f>
        <v>-29362</v>
      </c>
      <c r="D82" s="294" t="n">
        <f aca="false">SUM(C25:G25)</f>
        <v>-11.6666666666667</v>
      </c>
      <c r="E82" s="294" t="n">
        <f aca="false">SUM(H25:J25)</f>
        <v>-11.6666666666667</v>
      </c>
      <c r="F82" s="294" t="n">
        <f aca="false">SUM(K25:M25)</f>
        <v>-11.6666666666667</v>
      </c>
      <c r="G82" s="294" t="n">
        <f aca="false">SUM(N25:P25)</f>
        <v>-3908</v>
      </c>
      <c r="H82" s="294" t="n">
        <f aca="false">SUM(Q25:S25)</f>
        <v>-5677</v>
      </c>
      <c r="I82" s="294" t="n">
        <f aca="false">SUM(T25:V25)</f>
        <v>-19742</v>
      </c>
      <c r="J82" s="294" t="n">
        <f aca="false">SUM(W25:X25)</f>
        <v>0</v>
      </c>
    </row>
    <row r="83" customFormat="false" ht="11.25" hidden="false" customHeight="false" outlineLevel="0" collapsed="false">
      <c r="A83" s="304"/>
      <c r="B83" s="300"/>
      <c r="C83" s="322"/>
      <c r="D83" s="307"/>
      <c r="E83" s="300"/>
      <c r="F83" s="307"/>
      <c r="G83" s="307"/>
      <c r="H83" s="307"/>
      <c r="I83" s="300"/>
      <c r="J83" s="300"/>
    </row>
    <row r="84" customFormat="false" ht="11.25" hidden="false" customHeight="false" outlineLevel="0" collapsed="false">
      <c r="A84" s="299" t="s">
        <v>353</v>
      </c>
      <c r="B84" s="300" t="n">
        <f aca="false">G84</f>
        <v>-13075.3490909091</v>
      </c>
      <c r="C84" s="322" t="n">
        <f aca="false">J84</f>
        <v>-59209</v>
      </c>
      <c r="D84" s="300" t="n">
        <f aca="false">SUM($D$80:D80)+SUM($D$82:D82)</f>
        <v>-1287.94666666667</v>
      </c>
      <c r="E84" s="300" t="n">
        <f aca="false">SUM($D$80:E80)+SUM($D$82:E82)</f>
        <v>-2127.69333333333</v>
      </c>
      <c r="F84" s="300" t="n">
        <f aca="false">SUM($D$80:F80)+SUM($D$82:F82)</f>
        <v>-3217.44</v>
      </c>
      <c r="G84" s="300" t="n">
        <f aca="false">SUM($D$80:G80)+SUM($D$82:G82)</f>
        <v>-13075.3490909091</v>
      </c>
      <c r="H84" s="300" t="n">
        <f aca="false">SUM($D$80:H80)+SUM($D$82:H82)</f>
        <v>-27407.8431818182</v>
      </c>
      <c r="I84" s="300" t="n">
        <f aca="false">SUM($D$80:I80)+SUM($D$82:I82)</f>
        <v>-55905.3372727273</v>
      </c>
      <c r="J84" s="300" t="n">
        <f aca="false">SUM($D$80:J80)+SUM($D$82:J82)</f>
        <v>-59209</v>
      </c>
    </row>
    <row r="85" customFormat="false" ht="11.25" hidden="false" customHeight="false" outlineLevel="0" collapsed="false">
      <c r="B85" s="304"/>
      <c r="C85" s="344"/>
    </row>
    <row r="86" customFormat="false" ht="11.25" hidden="false" customHeight="false" outlineLevel="0" collapsed="false">
      <c r="A86" s="304" t="s">
        <v>354</v>
      </c>
      <c r="B86" s="304"/>
      <c r="C86" s="344"/>
    </row>
    <row r="87" customFormat="false" ht="11.25" hidden="false" customHeight="false" outlineLevel="0" collapsed="false">
      <c r="A87" s="293" t="str">
        <f aca="false">A32</f>
        <v>Tejon Makeup Payment</v>
      </c>
      <c r="B87" s="300" t="n">
        <f aca="false">SUM(D87:G87)</f>
        <v>0</v>
      </c>
      <c r="C87" s="322" t="n">
        <f aca="false">SUM(D87:J87)</f>
        <v>-1912.86320699977</v>
      </c>
      <c r="D87" s="294" t="n">
        <f aca="false">SUM(C32:G32)</f>
        <v>0</v>
      </c>
      <c r="E87" s="294" t="n">
        <f aca="false">SUM(H32:J32)</f>
        <v>0</v>
      </c>
      <c r="F87" s="294" t="n">
        <f aca="false">SUM(K32:M32)</f>
        <v>0</v>
      </c>
      <c r="G87" s="294" t="n">
        <f aca="false">SUM(N32:P32)</f>
        <v>0</v>
      </c>
      <c r="H87" s="294" t="n">
        <f aca="false">SUM(Q32:S32)</f>
        <v>0</v>
      </c>
      <c r="I87" s="294" t="n">
        <f aca="false">SUM(T32:V32)</f>
        <v>0</v>
      </c>
      <c r="J87" s="294" t="n">
        <f aca="false">SUM(W32:X32)</f>
        <v>-1912.86320699977</v>
      </c>
    </row>
    <row r="88" customFormat="false" ht="11.25" hidden="false" customHeight="false" outlineLevel="0" collapsed="false">
      <c r="A88" s="293" t="str">
        <f aca="false">A33</f>
        <v>Patch/Thompson</v>
      </c>
      <c r="B88" s="300" t="n">
        <f aca="false">SUM(D88:G88)</f>
        <v>0</v>
      </c>
      <c r="C88" s="322" t="n">
        <f aca="false">SUM(D88:J88)</f>
        <v>-1000</v>
      </c>
      <c r="D88" s="294" t="n">
        <f aca="false">SUM(C33:G33)</f>
        <v>0</v>
      </c>
      <c r="E88" s="294" t="n">
        <f aca="false">SUM(H33:J33)</f>
        <v>0</v>
      </c>
      <c r="F88" s="294" t="n">
        <f aca="false">SUM(K33:M33)</f>
        <v>0</v>
      </c>
      <c r="G88" s="294" t="n">
        <f aca="false">SUM(N33:P33)</f>
        <v>0</v>
      </c>
      <c r="H88" s="294" t="n">
        <f aca="false">SUM(Q33:S33)</f>
        <v>0</v>
      </c>
      <c r="I88" s="294" t="n">
        <f aca="false">SUM(T33:V33)</f>
        <v>0</v>
      </c>
      <c r="J88" s="294" t="n">
        <f aca="false">SUM(W33:X33)</f>
        <v>-1000</v>
      </c>
    </row>
    <row r="89" customFormat="false" ht="11.25" hidden="false" customHeight="false" outlineLevel="0" collapsed="false">
      <c r="A89" s="293" t="str">
        <f aca="false">A34</f>
        <v>Financial Closing Legal Fees</v>
      </c>
      <c r="B89" s="300" t="n">
        <f aca="false">SUM(D89:G89)</f>
        <v>0</v>
      </c>
      <c r="C89" s="322" t="n">
        <f aca="false">SUM(D89:J89)</f>
        <v>-750</v>
      </c>
      <c r="D89" s="294" t="n">
        <f aca="false">SUM(C34:G34)</f>
        <v>0</v>
      </c>
      <c r="E89" s="294" t="n">
        <f aca="false">SUM(H34:J34)</f>
        <v>0</v>
      </c>
      <c r="F89" s="294" t="n">
        <f aca="false">SUM(K34:M34)</f>
        <v>0</v>
      </c>
      <c r="G89" s="294" t="n">
        <f aca="false">SUM(N34:P34)</f>
        <v>0</v>
      </c>
      <c r="H89" s="294" t="n">
        <f aca="false">SUM(Q34:S34)</f>
        <v>0</v>
      </c>
      <c r="I89" s="294" t="n">
        <f aca="false">SUM(T34:V34)</f>
        <v>-375</v>
      </c>
      <c r="J89" s="294" t="n">
        <f aca="false">SUM(W34:X34)</f>
        <v>-375</v>
      </c>
    </row>
    <row r="90" customFormat="false" ht="12" hidden="false" customHeight="true" outlineLevel="0" collapsed="false">
      <c r="A90" s="293" t="str">
        <f aca="false">A35</f>
        <v>Lender's Legal Fees</v>
      </c>
      <c r="B90" s="300" t="n">
        <f aca="false">SUM(D90:G90)</f>
        <v>0</v>
      </c>
      <c r="C90" s="322" t="n">
        <f aca="false">SUM(D90:J90)</f>
        <v>-250</v>
      </c>
      <c r="D90" s="294" t="n">
        <f aca="false">SUM(C35:G35)</f>
        <v>0</v>
      </c>
      <c r="E90" s="294" t="n">
        <f aca="false">SUM(H35:J35)</f>
        <v>0</v>
      </c>
      <c r="F90" s="294" t="n">
        <f aca="false">SUM(K35:M35)</f>
        <v>0</v>
      </c>
      <c r="G90" s="294" t="n">
        <f aca="false">SUM(N35:P35)</f>
        <v>0</v>
      </c>
      <c r="H90" s="294" t="n">
        <f aca="false">SUM(Q35:S35)</f>
        <v>0</v>
      </c>
      <c r="I90" s="294" t="n">
        <f aca="false">SUM(T35:V35)</f>
        <v>0</v>
      </c>
      <c r="J90" s="294" t="n">
        <f aca="false">SUM(W35:X35)</f>
        <v>-250</v>
      </c>
    </row>
    <row r="91" customFormat="false" ht="12" hidden="false" customHeight="true" outlineLevel="0" collapsed="false">
      <c r="A91" s="295" t="s">
        <v>348</v>
      </c>
      <c r="B91" s="306" t="n">
        <f aca="false">SUM(D91:G91)</f>
        <v>0</v>
      </c>
      <c r="C91" s="327" t="n">
        <f aca="false">SUM(D91:J91)</f>
        <v>-100</v>
      </c>
      <c r="D91" s="297" t="n">
        <f aca="false">SUM(C36:G36)</f>
        <v>0</v>
      </c>
      <c r="E91" s="297" t="n">
        <f aca="false">SUM(H36:J36)</f>
        <v>0</v>
      </c>
      <c r="F91" s="297" t="n">
        <f aca="false">SUM(K36:M36)</f>
        <v>0</v>
      </c>
      <c r="G91" s="297" t="n">
        <f aca="false">SUM(N36:P36)</f>
        <v>0</v>
      </c>
      <c r="H91" s="297" t="n">
        <f aca="false">SUM(Q36:S36)</f>
        <v>0</v>
      </c>
      <c r="I91" s="297" t="n">
        <f aca="false">SUM(T36:V36)</f>
        <v>-37.5</v>
      </c>
      <c r="J91" s="297" t="n">
        <f aca="false">SUM(W36:X36)</f>
        <v>-62.5</v>
      </c>
    </row>
    <row r="92" customFormat="false" ht="11.25" hidden="false" customHeight="false" outlineLevel="0" collapsed="false">
      <c r="A92" s="299" t="s">
        <v>358</v>
      </c>
      <c r="B92" s="300" t="n">
        <f aca="false">SUM(B87:B91)</f>
        <v>0</v>
      </c>
      <c r="C92" s="322" t="n">
        <f aca="false">SUM(C87:C91)</f>
        <v>-4012.86320699977</v>
      </c>
      <c r="D92" s="307" t="n">
        <f aca="false">SUM(C37:G37)</f>
        <v>0</v>
      </c>
      <c r="E92" s="300" t="n">
        <f aca="false">SUM(H37:J37)</f>
        <v>0</v>
      </c>
      <c r="F92" s="307" t="n">
        <f aca="false">SUM(K37:M37)</f>
        <v>0</v>
      </c>
      <c r="G92" s="307" t="n">
        <f aca="false">SUM(N37:P37)</f>
        <v>0</v>
      </c>
      <c r="H92" s="307" t="n">
        <f aca="false">SUM(Q37:S37)</f>
        <v>0</v>
      </c>
      <c r="I92" s="300" t="n">
        <f aca="false">SUM(T37:V37)</f>
        <v>-412.5</v>
      </c>
      <c r="J92" s="300" t="n">
        <f aca="false">SUM(W37:X37)</f>
        <v>-3600.36320699977</v>
      </c>
    </row>
    <row r="93" customFormat="false" ht="11.25" hidden="false" customHeight="false" outlineLevel="0" collapsed="false">
      <c r="A93" s="299"/>
      <c r="B93" s="304"/>
      <c r="C93" s="322"/>
      <c r="D93" s="307"/>
      <c r="E93" s="307"/>
      <c r="F93" s="307"/>
      <c r="G93" s="307"/>
      <c r="H93" s="307"/>
      <c r="I93" s="307"/>
    </row>
    <row r="94" customFormat="false" ht="11.25" hidden="false" customHeight="false" outlineLevel="0" collapsed="false">
      <c r="A94" s="304" t="s">
        <v>386</v>
      </c>
      <c r="B94" s="300" t="n">
        <f aca="false">SUM(D94:F94)</f>
        <v>-3217.44</v>
      </c>
      <c r="C94" s="322" t="n">
        <f aca="false">SUM(D94:J94)</f>
        <v>-63221.8632069998</v>
      </c>
      <c r="D94" s="300" t="n">
        <f aca="false">D80+D92+D82</f>
        <v>-1287.94666666667</v>
      </c>
      <c r="E94" s="300" t="n">
        <f aca="false">E80+E92+E82</f>
        <v>-839.746666666667</v>
      </c>
      <c r="F94" s="300" t="n">
        <f aca="false">F80+F92+F82</f>
        <v>-1089.74666666667</v>
      </c>
      <c r="G94" s="300" t="n">
        <f aca="false">G80+G92+G82</f>
        <v>-9857.90909090909</v>
      </c>
      <c r="H94" s="300" t="n">
        <f aca="false">H80+H92+H82</f>
        <v>-14332.4940909091</v>
      </c>
      <c r="I94" s="300" t="n">
        <f aca="false">I80+I92+I82</f>
        <v>-28909.9940909091</v>
      </c>
      <c r="J94" s="300" t="n">
        <f aca="false">J80+J92+J82</f>
        <v>-6904.0259342725</v>
      </c>
    </row>
    <row r="95" customFormat="false" ht="12.75" hidden="false" customHeight="false" outlineLevel="0" collapsed="false">
      <c r="A95" s="304" t="s">
        <v>387</v>
      </c>
      <c r="B95" s="304"/>
      <c r="C95" s="320"/>
      <c r="D95" s="300" t="n">
        <f aca="false">SUM($D$94:D94)</f>
        <v>-1287.94666666667</v>
      </c>
      <c r="E95" s="300" t="n">
        <f aca="false">SUM($D$94:E94)</f>
        <v>-2127.69333333333</v>
      </c>
      <c r="F95" s="300" t="n">
        <f aca="false">SUM($D$94:F94)</f>
        <v>-3217.44</v>
      </c>
      <c r="G95" s="300" t="n">
        <f aca="false">SUM($D$94:G94)</f>
        <v>-13075.3490909091</v>
      </c>
      <c r="H95" s="300" t="n">
        <f aca="false">SUM($D$94:H94)</f>
        <v>-27407.8431818182</v>
      </c>
      <c r="I95" s="300" t="n">
        <f aca="false">SUM($D$94:I94)</f>
        <v>-56317.8372727273</v>
      </c>
      <c r="J95" s="300" t="n">
        <f aca="false">SUM($D$94:J94)</f>
        <v>-63221.8632069998</v>
      </c>
    </row>
    <row r="98" customFormat="false" ht="11.25" hidden="false" customHeight="false" outlineLevel="0" collapsed="false">
      <c r="E98" s="294"/>
      <c r="I98" s="294"/>
    </row>
    <row r="99" customFormat="false" ht="11.25" hidden="false" customHeight="false" outlineLevel="0" collapsed="false">
      <c r="C99" s="345"/>
    </row>
    <row r="103" customFormat="false" ht="12.75" hidden="false" customHeight="false" outlineLevel="0" collapsed="false">
      <c r="A103" s="0"/>
      <c r="B103" s="0"/>
      <c r="C103" s="0"/>
      <c r="D103" s="0"/>
      <c r="E103" s="0"/>
    </row>
    <row r="104" customFormat="false" ht="12.75" hidden="false" customHeight="false" outlineLevel="0" collapsed="false">
      <c r="A104" s="0"/>
      <c r="B104" s="0"/>
      <c r="C104" s="0"/>
      <c r="D104" s="0"/>
      <c r="E104" s="0"/>
    </row>
    <row r="105" customFormat="false" ht="12.75" hidden="false" customHeight="false" outlineLevel="0" collapsed="false">
      <c r="A105" s="0"/>
      <c r="B105" s="0"/>
      <c r="C105" s="0"/>
      <c r="D105" s="0"/>
      <c r="E105" s="0"/>
    </row>
    <row r="106" customFormat="false" ht="12.75" hidden="false" customHeight="false" outlineLevel="0" collapsed="false">
      <c r="A106" s="0"/>
      <c r="B106" s="0"/>
      <c r="C106" s="0"/>
      <c r="D106" s="0"/>
      <c r="E106" s="0"/>
    </row>
    <row r="107" customFormat="false" ht="12.75" hidden="false" customHeight="false" outlineLevel="0" collapsed="false">
      <c r="A107" s="0"/>
      <c r="B107" s="0"/>
      <c r="C107" s="0"/>
      <c r="D107" s="0"/>
      <c r="E107" s="0"/>
    </row>
    <row r="108" customFormat="false" ht="12.75" hidden="false" customHeight="false" outlineLevel="0" collapsed="false">
      <c r="A108" s="0"/>
      <c r="B108" s="0"/>
      <c r="C108" s="0"/>
      <c r="D108" s="0"/>
      <c r="E108" s="0"/>
    </row>
    <row r="109" customFormat="false" ht="12.75" hidden="false" customHeight="false" outlineLevel="0" collapsed="false">
      <c r="A109" s="0"/>
      <c r="B109" s="0"/>
      <c r="C109" s="0"/>
      <c r="D109" s="0"/>
      <c r="E109" s="0"/>
    </row>
    <row r="110" customFormat="false" ht="12.75" hidden="false" customHeight="false" outlineLevel="0" collapsed="false">
      <c r="A110" s="0"/>
      <c r="B110" s="0"/>
      <c r="C110" s="0"/>
      <c r="D110" s="0"/>
      <c r="E110" s="0"/>
    </row>
    <row r="111" customFormat="false" ht="12.75" hidden="false" customHeight="false" outlineLevel="0" collapsed="false">
      <c r="A111" s="0"/>
      <c r="B111" s="0"/>
      <c r="C111" s="0"/>
      <c r="D111" s="0"/>
      <c r="E111" s="0"/>
    </row>
    <row r="112" customFormat="false" ht="12.75" hidden="false" customHeight="false" outlineLevel="0" collapsed="false">
      <c r="A112" s="0"/>
      <c r="B112" s="0"/>
      <c r="C112" s="0"/>
      <c r="D112" s="0"/>
      <c r="E112" s="0"/>
    </row>
    <row r="113" customFormat="false" ht="12.75" hidden="false" customHeight="false" outlineLevel="0" collapsed="false">
      <c r="A113" s="0"/>
      <c r="B113" s="0"/>
      <c r="C113" s="0"/>
      <c r="D113" s="0"/>
      <c r="E113" s="0"/>
    </row>
    <row r="114" customFormat="false" ht="12.75" hidden="false" customHeight="false" outlineLevel="0" collapsed="false">
      <c r="A114" s="0"/>
      <c r="B114" s="0"/>
      <c r="C114" s="0"/>
      <c r="D114" s="0"/>
      <c r="E114" s="0"/>
    </row>
    <row r="115" customFormat="false" ht="12.75" hidden="false" customHeight="false" outlineLevel="0" collapsed="false">
      <c r="A115" s="0"/>
      <c r="B115" s="0"/>
      <c r="C115" s="0"/>
      <c r="D115" s="0"/>
      <c r="E115" s="0"/>
    </row>
    <row r="116" customFormat="false" ht="12.75" hidden="false" customHeight="false" outlineLevel="0" collapsed="false">
      <c r="A116" s="0"/>
      <c r="B116" s="0"/>
      <c r="C116" s="0"/>
      <c r="D116" s="0"/>
      <c r="E116" s="0"/>
    </row>
    <row r="117" customFormat="false" ht="12.75" hidden="false" customHeight="false" outlineLevel="0" collapsed="false">
      <c r="A117" s="0"/>
      <c r="B117" s="0"/>
      <c r="C117" s="0"/>
      <c r="D117" s="0"/>
      <c r="E117" s="0"/>
    </row>
    <row r="118" customFormat="false" ht="12.75" hidden="false" customHeight="false" outlineLevel="0" collapsed="false">
      <c r="A118" s="0"/>
      <c r="B118" s="0"/>
      <c r="C118" s="0"/>
      <c r="D118" s="0"/>
      <c r="E118" s="0"/>
      <c r="F118" s="0"/>
    </row>
    <row r="119" customFormat="false" ht="12.75" hidden="false" customHeight="false" outlineLevel="0" collapsed="false">
      <c r="A119" s="0"/>
      <c r="B119" s="0"/>
      <c r="C119" s="0"/>
      <c r="D119" s="0"/>
      <c r="E119" s="0"/>
      <c r="F119" s="0"/>
    </row>
    <row r="120" customFormat="false" ht="12.75" hidden="false" customHeight="false" outlineLevel="0" collapsed="false">
      <c r="A120" s="0"/>
      <c r="B120" s="0"/>
      <c r="C120" s="0"/>
      <c r="D120" s="0"/>
      <c r="E120" s="0"/>
      <c r="F120" s="0"/>
    </row>
    <row r="121" customFormat="false" ht="12.75" hidden="false" customHeight="false" outlineLevel="0" collapsed="false">
      <c r="A121" s="0"/>
      <c r="B121" s="0"/>
      <c r="C121" s="0"/>
      <c r="D121" s="0"/>
      <c r="E121" s="0"/>
      <c r="F121" s="0"/>
    </row>
    <row r="122" customFormat="false" ht="12.75" hidden="false" customHeight="false" outlineLevel="0" collapsed="false">
      <c r="A122" s="0"/>
      <c r="B122" s="0"/>
      <c r="C122" s="0"/>
      <c r="D122" s="0"/>
      <c r="E122" s="0"/>
      <c r="F122" s="0"/>
    </row>
    <row r="123" customFormat="false" ht="12.75" hidden="false" customHeight="false" outlineLevel="0" collapsed="false">
      <c r="A123" s="0"/>
      <c r="B123" s="0"/>
      <c r="C123" s="0"/>
      <c r="D123" s="0"/>
      <c r="E123" s="0"/>
      <c r="F123" s="0"/>
    </row>
    <row r="124" customFormat="false" ht="12.75" hidden="false" customHeight="false" outlineLevel="0" collapsed="false">
      <c r="A124" s="0"/>
      <c r="B124" s="0"/>
      <c r="C124" s="0"/>
      <c r="D124" s="0"/>
      <c r="E124" s="0"/>
      <c r="F124" s="0"/>
    </row>
    <row r="125" customFormat="false" ht="12.75" hidden="false" customHeight="false" outlineLevel="0" collapsed="false">
      <c r="A125" s="0"/>
      <c r="B125" s="0"/>
      <c r="C125" s="0"/>
      <c r="D125" s="0"/>
      <c r="E125" s="0"/>
      <c r="F125" s="0"/>
    </row>
    <row r="126" customFormat="false" ht="12.75" hidden="false" customHeight="false" outlineLevel="0" collapsed="false">
      <c r="A126" s="0"/>
      <c r="B126" s="0"/>
      <c r="C126" s="0"/>
      <c r="D126" s="0"/>
      <c r="E126" s="0"/>
      <c r="F126" s="0"/>
    </row>
    <row r="127" customFormat="false" ht="12.75" hidden="false" customHeight="false" outlineLevel="0" collapsed="false">
      <c r="A127" s="0"/>
      <c r="B127" s="0"/>
      <c r="C127" s="0"/>
      <c r="D127" s="0"/>
      <c r="E127" s="0"/>
      <c r="F127" s="0"/>
    </row>
    <row r="128" customFormat="false" ht="12.75" hidden="false" customHeight="false" outlineLevel="0" collapsed="false">
      <c r="A128" s="0"/>
      <c r="B128" s="0"/>
      <c r="C128" s="0"/>
      <c r="D128" s="0"/>
      <c r="E128" s="0"/>
      <c r="F128" s="0"/>
    </row>
    <row r="129" customFormat="false" ht="12.75" hidden="false" customHeight="false" outlineLevel="0" collapsed="false">
      <c r="A129" s="0"/>
      <c r="B129" s="0"/>
      <c r="C129" s="0"/>
      <c r="D129" s="0"/>
      <c r="E129" s="0"/>
      <c r="F129" s="0"/>
    </row>
    <row r="130" customFormat="false" ht="12.75" hidden="false" customHeight="false" outlineLevel="0" collapsed="false">
      <c r="A130" s="0"/>
      <c r="B130" s="0"/>
      <c r="C130" s="0"/>
      <c r="D130" s="0"/>
      <c r="E130" s="0"/>
      <c r="F130" s="0"/>
    </row>
    <row r="131" customFormat="false" ht="12.75" hidden="false" customHeight="false" outlineLevel="0" collapsed="false">
      <c r="A131" s="0"/>
      <c r="B131" s="0"/>
      <c r="C131" s="0"/>
      <c r="D131" s="0"/>
      <c r="E131" s="0"/>
      <c r="F131" s="0"/>
    </row>
    <row r="132" customFormat="false" ht="12.75" hidden="false" customHeight="false" outlineLevel="0" collapsed="false">
      <c r="A132" s="0"/>
      <c r="B132" s="0"/>
      <c r="C132" s="0"/>
      <c r="D132" s="0"/>
      <c r="E132" s="0"/>
      <c r="F132" s="0"/>
    </row>
    <row r="133" customFormat="false" ht="12.75" hidden="false" customHeight="false" outlineLevel="0" collapsed="false">
      <c r="A133" s="0"/>
      <c r="B133" s="0"/>
      <c r="C133" s="0"/>
      <c r="D133" s="0"/>
      <c r="E133" s="0"/>
      <c r="F133" s="0"/>
    </row>
    <row r="134" customFormat="false" ht="12.75" hidden="false" customHeight="false" outlineLevel="0" collapsed="false">
      <c r="A134" s="0"/>
      <c r="B134" s="0"/>
      <c r="C134" s="0"/>
      <c r="D134" s="0"/>
      <c r="E134" s="0"/>
      <c r="F134" s="0"/>
    </row>
    <row r="135" customFormat="false" ht="12.75" hidden="false" customHeight="false" outlineLevel="0" collapsed="false">
      <c r="A135" s="0"/>
      <c r="B135" s="0"/>
      <c r="C135" s="0"/>
      <c r="D135" s="0"/>
      <c r="E135" s="0"/>
      <c r="F135" s="0"/>
    </row>
    <row r="136" customFormat="false" ht="12.75" hidden="false" customHeight="false" outlineLevel="0" collapsed="false">
      <c r="A136" s="0"/>
      <c r="B136" s="0"/>
      <c r="C136" s="0"/>
      <c r="D136" s="0"/>
      <c r="E136" s="0"/>
      <c r="F136" s="0"/>
    </row>
    <row r="137" customFormat="false" ht="12.75" hidden="false" customHeight="false" outlineLevel="0" collapsed="false">
      <c r="A137" s="0"/>
      <c r="B137" s="0"/>
      <c r="C137" s="0"/>
      <c r="D137" s="0"/>
      <c r="E137" s="0"/>
      <c r="F137" s="0"/>
    </row>
    <row r="138" customFormat="false" ht="12.75" hidden="false" customHeight="false" outlineLevel="0" collapsed="false">
      <c r="A138" s="0"/>
      <c r="B138" s="0"/>
      <c r="C138" s="0"/>
      <c r="D138" s="0"/>
      <c r="E138" s="0"/>
      <c r="F138" s="0"/>
    </row>
    <row r="139" customFormat="false" ht="12.75" hidden="false" customHeight="false" outlineLevel="0" collapsed="false">
      <c r="A139" s="0"/>
      <c r="B139" s="0"/>
      <c r="C139" s="0"/>
      <c r="D139" s="0"/>
      <c r="E139" s="0"/>
      <c r="F139" s="0"/>
    </row>
  </sheetData>
  <printOptions headings="false" gridLines="false" gridLinesSet="true" horizontalCentered="false" verticalCentered="false"/>
  <pageMargins left="0.747916666666667" right="0.747916666666667" top="0.984027777777778" bottom="0.984027777777778" header="0.511811023622047" footer="0.5"/>
  <pageSetup paperSize="1" scale="100" fitToWidth="1" fitToHeight="1" pageOrder="downThenOver" orientation="landscape" blackAndWhite="false" draft="false" cellComments="none" horizontalDpi="300" verticalDpi="300" copies="1"/>
  <headerFooter differentFirst="false" differentOddEven="false">
    <oddHeader/>
    <oddFooter>&amp;C&amp;D  &amp;T&amp;R&amp;F</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75"/>
  <sheetViews>
    <sheetView showFormulas="false" showGridLines="true" showRowColHeaders="true" showZeros="true" rightToLeft="false" tabSelected="false" showOutlineSymbols="true" defaultGridColor="true" view="normal" topLeftCell="A10" colorId="64" zoomScale="75" zoomScaleNormal="75" zoomScalePageLayoutView="100" workbookViewId="0">
      <selection pane="topLeft" activeCell="C19" activeCellId="0" sqref="C19"/>
    </sheetView>
  </sheetViews>
  <sheetFormatPr defaultColWidth="7.9921875" defaultRowHeight="11.25" customHeight="true" zeroHeight="false" outlineLevelRow="0" outlineLevelCol="0"/>
  <cols>
    <col collapsed="false" customWidth="true" hidden="false" outlineLevel="0" max="1" min="1" style="346" width="23.85"/>
    <col collapsed="false" customWidth="true" hidden="false" outlineLevel="0" max="2" min="2" style="346" width="9.28"/>
    <col collapsed="false" customWidth="true" hidden="false" outlineLevel="0" max="3" min="3" style="346" width="12.14"/>
    <col collapsed="false" customWidth="true" hidden="false" outlineLevel="0" max="4" min="4" style="346" width="9.41"/>
    <col collapsed="false" customWidth="true" hidden="false" outlineLevel="0" max="5" min="5" style="346" width="10.13"/>
    <col collapsed="false" customWidth="true" hidden="false" outlineLevel="0" max="6" min="6" style="346" width="10.85"/>
    <col collapsed="false" customWidth="true" hidden="false" outlineLevel="0" max="7" min="7" style="346" width="10.13"/>
    <col collapsed="false" customWidth="true" hidden="false" outlineLevel="0" max="8" min="8" style="346" width="11.42"/>
    <col collapsed="false" customWidth="true" hidden="false" outlineLevel="0" max="9" min="9" style="346" width="9.85"/>
    <col collapsed="false" customWidth="true" hidden="false" outlineLevel="0" max="10" min="10" style="346" width="11.13"/>
    <col collapsed="false" customWidth="true" hidden="false" outlineLevel="0" max="11" min="11" style="346" width="10.41"/>
    <col collapsed="false" customWidth="true" hidden="false" outlineLevel="0" max="12" min="12" style="346" width="12.42"/>
    <col collapsed="false" customWidth="true" hidden="false" outlineLevel="0" max="13" min="13" style="346" width="8.14"/>
    <col collapsed="false" customWidth="true" hidden="false" outlineLevel="0" max="14" min="14" style="346" width="9.99"/>
    <col collapsed="false" customWidth="true" hidden="false" outlineLevel="0" max="15" min="15" style="346" width="9.7"/>
    <col collapsed="false" customWidth="true" hidden="false" outlineLevel="0" max="16" min="16" style="346" width="9.41"/>
    <col collapsed="false" customWidth="true" hidden="false" outlineLevel="0" max="17" min="17" style="346" width="12.14"/>
    <col collapsed="false" customWidth="true" hidden="false" outlineLevel="0" max="18" min="18" style="346" width="8.14"/>
    <col collapsed="false" customWidth="true" hidden="false" outlineLevel="0" max="19" min="19" style="346" width="7.56"/>
    <col collapsed="false" customWidth="true" hidden="false" outlineLevel="0" max="21" min="20" style="346" width="8.28"/>
    <col collapsed="false" customWidth="true" hidden="false" outlineLevel="0" max="23" min="22" style="346" width="8.14"/>
    <col collapsed="false" customWidth="true" hidden="false" outlineLevel="0" max="24" min="24" style="346" width="7.56"/>
    <col collapsed="false" customWidth="true" hidden="false" outlineLevel="0" max="25" min="25" style="346" width="13.41"/>
    <col collapsed="false" customWidth="false" hidden="false" outlineLevel="0" max="257" min="26" style="346" width="7.99"/>
  </cols>
  <sheetData>
    <row r="1" customFormat="false" ht="12.75" hidden="false" customHeight="false" outlineLevel="0" collapsed="false">
      <c r="A1" s="0"/>
      <c r="B1" s="347"/>
      <c r="C1" s="347"/>
      <c r="D1" s="348"/>
      <c r="E1" s="348"/>
      <c r="F1" s="348"/>
      <c r="G1" s="348"/>
      <c r="H1" s="348"/>
      <c r="I1" s="348"/>
      <c r="J1" s="348"/>
      <c r="K1" s="348"/>
      <c r="L1" s="348"/>
      <c r="M1" s="348"/>
      <c r="N1" s="348"/>
      <c r="O1" s="348"/>
      <c r="P1" s="348"/>
      <c r="Q1" s="348"/>
      <c r="R1" s="348"/>
      <c r="S1" s="348"/>
      <c r="T1" s="348"/>
      <c r="U1" s="348"/>
      <c r="V1" s="348"/>
      <c r="W1" s="349"/>
      <c r="X1" s="348"/>
    </row>
    <row r="2" customFormat="false" ht="11.25" hidden="false" customHeight="false" outlineLevel="0" collapsed="false">
      <c r="A2" s="350"/>
      <c r="B2" s="347"/>
      <c r="C2" s="347"/>
      <c r="D2" s="347"/>
      <c r="E2" s="347"/>
      <c r="F2" s="347"/>
      <c r="G2" s="347"/>
      <c r="H2" s="347"/>
      <c r="I2" s="347"/>
      <c r="J2" s="347"/>
      <c r="K2" s="347"/>
      <c r="L2" s="347"/>
      <c r="M2" s="347"/>
      <c r="N2" s="347"/>
      <c r="O2" s="347"/>
      <c r="P2" s="347"/>
      <c r="Q2" s="347"/>
      <c r="R2" s="347"/>
      <c r="S2" s="347"/>
      <c r="T2" s="347"/>
      <c r="U2" s="347"/>
      <c r="V2" s="347"/>
      <c r="W2" s="351"/>
    </row>
    <row r="3" customFormat="false" ht="18.75" hidden="false" customHeight="false" outlineLevel="0" collapsed="false">
      <c r="A3" s="352" t="s">
        <v>388</v>
      </c>
      <c r="B3" s="347"/>
      <c r="C3" s="347"/>
      <c r="D3" s="347"/>
      <c r="E3" s="347"/>
      <c r="F3" s="347"/>
      <c r="G3" s="347"/>
      <c r="H3" s="347"/>
      <c r="I3" s="347"/>
      <c r="J3" s="347"/>
      <c r="K3" s="347"/>
      <c r="L3" s="347"/>
      <c r="M3" s="347"/>
      <c r="N3" s="347"/>
      <c r="O3" s="347"/>
      <c r="P3" s="347"/>
      <c r="Q3" s="347"/>
      <c r="R3" s="347"/>
      <c r="S3" s="347"/>
      <c r="T3" s="347"/>
      <c r="U3" s="347"/>
      <c r="V3" s="347"/>
      <c r="W3" s="351"/>
    </row>
    <row r="4" customFormat="false" ht="14.25" hidden="false" customHeight="false" outlineLevel="0" collapsed="false">
      <c r="A4" s="353"/>
      <c r="B4" s="354"/>
      <c r="C4" s="355" t="n">
        <f aca="false">+Template!I3</f>
        <v>37986</v>
      </c>
      <c r="D4" s="356" t="n">
        <f aca="false">+Template!J3</f>
        <v>2004</v>
      </c>
      <c r="E4" s="356" t="n">
        <f aca="false">+Template!K3</f>
        <v>2005</v>
      </c>
      <c r="F4" s="356" t="n">
        <f aca="false">+Template!L3</f>
        <v>2006</v>
      </c>
      <c r="G4" s="356" t="n">
        <f aca="false">+Template!M3</f>
        <v>2007</v>
      </c>
      <c r="H4" s="356" t="n">
        <f aca="false">+Template!N3</f>
        <v>2008</v>
      </c>
      <c r="I4" s="356" t="n">
        <f aca="false">+Template!O3</f>
        <v>2009</v>
      </c>
      <c r="J4" s="356" t="n">
        <f aca="false">+Template!P3</f>
        <v>2010</v>
      </c>
      <c r="K4" s="356" t="n">
        <f aca="false">+Template!Q3</f>
        <v>2011</v>
      </c>
      <c r="L4" s="356" t="n">
        <f aca="false">+Template!R3</f>
        <v>2012</v>
      </c>
      <c r="M4" s="356" t="n">
        <f aca="false">+Template!S3</f>
        <v>2013</v>
      </c>
      <c r="N4" s="356" t="n">
        <f aca="false">+Template!T3</f>
        <v>2014</v>
      </c>
      <c r="O4" s="356" t="n">
        <f aca="false">+Template!U3</f>
        <v>2015</v>
      </c>
      <c r="P4" s="356" t="n">
        <f aca="false">+Template!V3</f>
        <v>2016</v>
      </c>
      <c r="Q4" s="356" t="n">
        <f aca="false">+Template!W3</f>
        <v>2017</v>
      </c>
      <c r="R4" s="356" t="n">
        <f aca="false">+Template!X3</f>
        <v>2018</v>
      </c>
      <c r="S4" s="356" t="n">
        <f aca="false">+Template!Y3</f>
        <v>2019</v>
      </c>
      <c r="T4" s="356" t="n">
        <f aca="false">+Template!Z3</f>
        <v>2020</v>
      </c>
      <c r="U4" s="356" t="n">
        <f aca="false">+Template!AA3</f>
        <v>2021</v>
      </c>
      <c r="V4" s="356" t="n">
        <f aca="false">+Template!AB3</f>
        <v>2022</v>
      </c>
      <c r="W4" s="357" t="n">
        <f aca="false">+Template!AC3</f>
        <v>2023</v>
      </c>
    </row>
    <row r="5" customFormat="false" ht="13.5" hidden="false" customHeight="false" outlineLevel="0" collapsed="false">
      <c r="A5" s="350"/>
      <c r="B5" s="354"/>
      <c r="C5" s="358"/>
      <c r="D5" s="358"/>
      <c r="E5" s="358"/>
      <c r="F5" s="358"/>
      <c r="G5" s="358"/>
      <c r="H5" s="358"/>
      <c r="I5" s="358"/>
      <c r="J5" s="358"/>
      <c r="K5" s="358"/>
      <c r="L5" s="358"/>
      <c r="M5" s="358"/>
      <c r="N5" s="358"/>
      <c r="O5" s="354"/>
      <c r="P5" s="354"/>
      <c r="Q5" s="354"/>
      <c r="R5" s="354"/>
      <c r="S5" s="354"/>
      <c r="T5" s="354"/>
      <c r="U5" s="354"/>
      <c r="V5" s="354"/>
      <c r="W5" s="359"/>
    </row>
    <row r="6" customFormat="false" ht="12.75" hidden="false" customHeight="false" outlineLevel="0" collapsed="false">
      <c r="A6" s="360"/>
      <c r="B6" s="361"/>
      <c r="C6" s="362"/>
      <c r="D6" s="362"/>
      <c r="E6" s="362"/>
      <c r="F6" s="362"/>
      <c r="G6" s="362"/>
      <c r="H6" s="362"/>
      <c r="I6" s="362"/>
      <c r="J6" s="362"/>
      <c r="K6" s="362"/>
      <c r="L6" s="362"/>
      <c r="M6" s="362"/>
      <c r="N6" s="362"/>
      <c r="O6" s="362"/>
      <c r="P6" s="362"/>
      <c r="Q6" s="362"/>
      <c r="R6" s="362"/>
      <c r="S6" s="362"/>
      <c r="T6" s="362"/>
      <c r="U6" s="362"/>
      <c r="V6" s="362"/>
      <c r="W6" s="363"/>
    </row>
    <row r="7" customFormat="false" ht="12.75" hidden="false" customHeight="false" outlineLevel="0" collapsed="false">
      <c r="A7" s="364" t="s">
        <v>389</v>
      </c>
      <c r="B7" s="365" t="n">
        <f aca="false">+SUM(C7:W7)</f>
        <v>0</v>
      </c>
      <c r="C7" s="366" t="n">
        <v>0</v>
      </c>
      <c r="D7" s="366" t="n">
        <v>0</v>
      </c>
      <c r="E7" s="366" t="n">
        <v>0</v>
      </c>
      <c r="F7" s="366" t="n">
        <v>0</v>
      </c>
      <c r="G7" s="366" t="n">
        <v>0</v>
      </c>
      <c r="H7" s="366" t="n">
        <v>0</v>
      </c>
      <c r="I7" s="366" t="n">
        <v>0</v>
      </c>
      <c r="J7" s="366" t="n">
        <v>0</v>
      </c>
      <c r="K7" s="366" t="n">
        <v>0</v>
      </c>
      <c r="L7" s="366" t="n">
        <v>0</v>
      </c>
      <c r="M7" s="366" t="n">
        <v>0</v>
      </c>
      <c r="N7" s="366" t="n">
        <v>0</v>
      </c>
      <c r="O7" s="366" t="n">
        <v>0</v>
      </c>
      <c r="P7" s="366" t="n">
        <v>0</v>
      </c>
      <c r="Q7" s="366" t="n">
        <v>0</v>
      </c>
      <c r="R7" s="366" t="n">
        <v>0</v>
      </c>
      <c r="S7" s="366" t="n">
        <v>0</v>
      </c>
      <c r="T7" s="366" t="n">
        <v>0</v>
      </c>
      <c r="U7" s="366" t="n">
        <v>0</v>
      </c>
      <c r="V7" s="366" t="n">
        <v>0</v>
      </c>
      <c r="W7" s="367" t="n">
        <v>0</v>
      </c>
    </row>
    <row r="8" customFormat="false" ht="12.75" hidden="false" customHeight="false" outlineLevel="0" collapsed="false">
      <c r="A8" s="364" t="s">
        <v>390</v>
      </c>
      <c r="B8" s="365" t="n">
        <f aca="false">+SUM(C8:W8)</f>
        <v>0</v>
      </c>
      <c r="C8" s="366" t="n">
        <v>0</v>
      </c>
      <c r="D8" s="366" t="n">
        <v>0</v>
      </c>
      <c r="E8" s="366" t="n">
        <v>0</v>
      </c>
      <c r="F8" s="366" t="n">
        <v>0</v>
      </c>
      <c r="G8" s="366" t="n">
        <v>0</v>
      </c>
      <c r="H8" s="366" t="n">
        <v>0</v>
      </c>
      <c r="I8" s="366" t="n">
        <v>0</v>
      </c>
      <c r="J8" s="366" t="n">
        <v>0</v>
      </c>
      <c r="K8" s="366" t="n">
        <v>0</v>
      </c>
      <c r="L8" s="366" t="n">
        <v>0</v>
      </c>
      <c r="M8" s="366" t="n">
        <v>0</v>
      </c>
      <c r="N8" s="366" t="n">
        <v>0</v>
      </c>
      <c r="O8" s="366" t="n">
        <v>0</v>
      </c>
      <c r="P8" s="366" t="n">
        <v>0</v>
      </c>
      <c r="Q8" s="366" t="n">
        <v>0</v>
      </c>
      <c r="R8" s="366" t="n">
        <v>0</v>
      </c>
      <c r="S8" s="366" t="n">
        <v>0</v>
      </c>
      <c r="T8" s="366" t="n">
        <v>0</v>
      </c>
      <c r="U8" s="366" t="n">
        <v>0</v>
      </c>
      <c r="V8" s="366" t="n">
        <v>0</v>
      </c>
      <c r="W8" s="368" t="n">
        <v>0</v>
      </c>
    </row>
    <row r="9" customFormat="false" ht="12.75" hidden="false" customHeight="false" outlineLevel="0" collapsed="false">
      <c r="A9" s="369" t="s">
        <v>297</v>
      </c>
      <c r="B9" s="365" t="n">
        <f aca="false">+SUM(C9:W9)</f>
        <v>0</v>
      </c>
      <c r="C9" s="370" t="n">
        <f aca="false">+SUM(C7:C8)</f>
        <v>0</v>
      </c>
      <c r="D9" s="370" t="n">
        <f aca="false">+SUM(D7:D8)</f>
        <v>0</v>
      </c>
      <c r="E9" s="370" t="n">
        <f aca="false">+SUM(E7:E8)</f>
        <v>0</v>
      </c>
      <c r="F9" s="370" t="n">
        <f aca="false">+SUM(F7:F8)</f>
        <v>0</v>
      </c>
      <c r="G9" s="370" t="n">
        <f aca="false">+SUM(G7:G8)</f>
        <v>0</v>
      </c>
      <c r="H9" s="370" t="n">
        <f aca="false">+SUM(H7:H8)</f>
        <v>0</v>
      </c>
      <c r="I9" s="370" t="n">
        <f aca="false">+SUM(I7:I8)</f>
        <v>0</v>
      </c>
      <c r="J9" s="370" t="n">
        <f aca="false">+SUM(J7:J8)</f>
        <v>0</v>
      </c>
      <c r="K9" s="370" t="n">
        <f aca="false">+SUM(K7:K8)</f>
        <v>0</v>
      </c>
      <c r="L9" s="370" t="n">
        <f aca="false">+SUM(L7:L8)</f>
        <v>0</v>
      </c>
      <c r="M9" s="370" t="n">
        <f aca="false">+SUM(M7:M8)</f>
        <v>0</v>
      </c>
      <c r="N9" s="370" t="n">
        <f aca="false">+SUM(N7:N8)</f>
        <v>0</v>
      </c>
      <c r="O9" s="370" t="n">
        <f aca="false">+SUM(O7:O8)</f>
        <v>0</v>
      </c>
      <c r="P9" s="370" t="n">
        <f aca="false">+SUM(P7:P8)</f>
        <v>0</v>
      </c>
      <c r="Q9" s="370" t="n">
        <f aca="false">+SUM(Q7:Q8)</f>
        <v>0</v>
      </c>
      <c r="R9" s="370" t="n">
        <f aca="false">+SUM(R7:R8)</f>
        <v>0</v>
      </c>
      <c r="S9" s="370" t="n">
        <f aca="false">+SUM(S7:S8)</f>
        <v>0</v>
      </c>
      <c r="T9" s="370" t="n">
        <f aca="false">+SUM(T7:T8)</f>
        <v>0</v>
      </c>
      <c r="U9" s="370" t="n">
        <f aca="false">+SUM(U7:U8)</f>
        <v>0</v>
      </c>
      <c r="V9" s="370" t="n">
        <f aca="false">+SUM(V7:V8)</f>
        <v>0</v>
      </c>
      <c r="W9" s="371" t="n">
        <f aca="false">+SUM(W7:W8)</f>
        <v>0</v>
      </c>
    </row>
    <row r="10" customFormat="false" ht="12.75" hidden="false" customHeight="false" outlineLevel="0" collapsed="false">
      <c r="A10" s="369"/>
      <c r="B10" s="361"/>
      <c r="C10" s="372"/>
      <c r="D10" s="372"/>
      <c r="E10" s="372"/>
      <c r="F10" s="372"/>
      <c r="G10" s="372"/>
      <c r="H10" s="372"/>
      <c r="I10" s="372"/>
      <c r="J10" s="372"/>
      <c r="K10" s="372"/>
      <c r="L10" s="372"/>
      <c r="M10" s="372"/>
      <c r="N10" s="373"/>
      <c r="O10" s="361"/>
      <c r="P10" s="361"/>
      <c r="Q10" s="361"/>
      <c r="R10" s="361"/>
      <c r="S10" s="361"/>
      <c r="T10" s="361"/>
      <c r="U10" s="361"/>
      <c r="V10" s="361"/>
      <c r="W10" s="374"/>
    </row>
    <row r="11" customFormat="false" ht="12.75" hidden="false" customHeight="false" outlineLevel="0" collapsed="false">
      <c r="A11" s="353" t="s">
        <v>391</v>
      </c>
      <c r="B11" s="361"/>
      <c r="C11" s="375" t="n">
        <v>1</v>
      </c>
      <c r="D11" s="376" t="n">
        <f aca="false">+$C$11</f>
        <v>1</v>
      </c>
      <c r="E11" s="376" t="n">
        <f aca="false">+$C$11</f>
        <v>1</v>
      </c>
      <c r="F11" s="376" t="n">
        <f aca="false">+$C$11</f>
        <v>1</v>
      </c>
      <c r="G11" s="376" t="n">
        <f aca="false">+$C$11</f>
        <v>1</v>
      </c>
      <c r="H11" s="376" t="n">
        <f aca="false">+$C$11</f>
        <v>1</v>
      </c>
      <c r="I11" s="376" t="n">
        <f aca="false">+$C$11</f>
        <v>1</v>
      </c>
      <c r="J11" s="376" t="n">
        <f aca="false">+$C$11</f>
        <v>1</v>
      </c>
      <c r="K11" s="376" t="n">
        <f aca="false">+$C$11</f>
        <v>1</v>
      </c>
      <c r="L11" s="376" t="n">
        <f aca="false">+$C$11</f>
        <v>1</v>
      </c>
      <c r="M11" s="376" t="n">
        <f aca="false">+$C$11</f>
        <v>1</v>
      </c>
      <c r="N11" s="376" t="n">
        <f aca="false">+$C$11</f>
        <v>1</v>
      </c>
      <c r="O11" s="376" t="n">
        <f aca="false">+$C$11</f>
        <v>1</v>
      </c>
      <c r="P11" s="376" t="n">
        <f aca="false">+$C$11</f>
        <v>1</v>
      </c>
      <c r="Q11" s="376" t="n">
        <f aca="false">+$C$11</f>
        <v>1</v>
      </c>
      <c r="R11" s="376" t="n">
        <f aca="false">+$C$11</f>
        <v>1</v>
      </c>
      <c r="S11" s="376" t="n">
        <f aca="false">+$C$11</f>
        <v>1</v>
      </c>
      <c r="T11" s="376" t="n">
        <f aca="false">+$C$11</f>
        <v>1</v>
      </c>
      <c r="U11" s="376" t="n">
        <f aca="false">+$C$11</f>
        <v>1</v>
      </c>
      <c r="V11" s="376" t="n">
        <f aca="false">+$C$11</f>
        <v>1</v>
      </c>
      <c r="W11" s="377" t="n">
        <f aca="false">+$C$11</f>
        <v>1</v>
      </c>
    </row>
    <row r="12" customFormat="false" ht="12.75" hidden="false" customHeight="false" outlineLevel="0" collapsed="false">
      <c r="A12" s="369"/>
      <c r="B12" s="361"/>
      <c r="C12" s="372"/>
      <c r="D12" s="372"/>
      <c r="E12" s="372"/>
      <c r="F12" s="372"/>
      <c r="G12" s="372"/>
      <c r="H12" s="372"/>
      <c r="I12" s="372"/>
      <c r="J12" s="372"/>
      <c r="K12" s="372"/>
      <c r="L12" s="372"/>
      <c r="M12" s="372"/>
      <c r="N12" s="373"/>
      <c r="O12" s="361"/>
      <c r="P12" s="361"/>
      <c r="Q12" s="361"/>
      <c r="R12" s="361"/>
      <c r="S12" s="361"/>
      <c r="T12" s="361"/>
      <c r="U12" s="361"/>
      <c r="V12" s="361"/>
      <c r="W12" s="374"/>
    </row>
    <row r="13" customFormat="false" ht="13.5" hidden="false" customHeight="false" outlineLevel="0" collapsed="false">
      <c r="A13" s="353" t="s">
        <v>392</v>
      </c>
      <c r="B13" s="361"/>
      <c r="C13" s="378" t="n">
        <f aca="false">SUM(C7:C8)*C11</f>
        <v>0</v>
      </c>
      <c r="D13" s="378" t="n">
        <f aca="false">SUM(D7:D8)*D11</f>
        <v>0</v>
      </c>
      <c r="E13" s="378" t="n">
        <f aca="false">SUM(E7:E8)*E11</f>
        <v>0</v>
      </c>
      <c r="F13" s="378" t="n">
        <f aca="false">SUM(F7:F8)*F11</f>
        <v>0</v>
      </c>
      <c r="G13" s="378" t="n">
        <f aca="false">SUM(G7:G8)*G11</f>
        <v>0</v>
      </c>
      <c r="H13" s="378" t="n">
        <f aca="false">SUM(H7:H8)*H11</f>
        <v>0</v>
      </c>
      <c r="I13" s="378" t="n">
        <f aca="false">SUM(I7:I8)*I11</f>
        <v>0</v>
      </c>
      <c r="J13" s="378" t="n">
        <f aca="false">SUM(J7:J8)*J11</f>
        <v>0</v>
      </c>
      <c r="K13" s="378" t="n">
        <f aca="false">SUM(K7:K8)*K11</f>
        <v>0</v>
      </c>
      <c r="L13" s="378" t="n">
        <f aca="false">SUM(L7:L8)*L11</f>
        <v>0</v>
      </c>
      <c r="M13" s="378" t="n">
        <f aca="false">SUM(M7:M8)*M11</f>
        <v>0</v>
      </c>
      <c r="N13" s="378" t="n">
        <f aca="false">SUM(N7:N8)*N11</f>
        <v>0</v>
      </c>
      <c r="O13" s="378" t="n">
        <f aca="false">SUM(O7:O8)*O11</f>
        <v>0</v>
      </c>
      <c r="P13" s="378" t="n">
        <f aca="false">SUM(P7:P8)*P11</f>
        <v>0</v>
      </c>
      <c r="Q13" s="378" t="n">
        <f aca="false">SUM(Q7:Q8)*Q11</f>
        <v>0</v>
      </c>
      <c r="R13" s="378" t="n">
        <f aca="false">SUM(R7:R8)*R11</f>
        <v>0</v>
      </c>
      <c r="S13" s="378" t="n">
        <f aca="false">SUM(S7:S8)*S11</f>
        <v>0</v>
      </c>
      <c r="T13" s="378" t="n">
        <f aca="false">SUM(T7:T8)*T11</f>
        <v>0</v>
      </c>
      <c r="U13" s="378" t="n">
        <f aca="false">SUM(U7:U8)*U11</f>
        <v>0</v>
      </c>
      <c r="V13" s="378" t="n">
        <f aca="false">SUM(V7:V8)*V11</f>
        <v>0</v>
      </c>
      <c r="W13" s="379" t="n">
        <f aca="false">SUM(W7:W8)*W11</f>
        <v>0</v>
      </c>
    </row>
    <row r="14" customFormat="false" ht="14.25" hidden="false" customHeight="false" outlineLevel="0" collapsed="false">
      <c r="A14" s="380"/>
      <c r="B14" s="381"/>
      <c r="C14" s="382"/>
      <c r="D14" s="382"/>
      <c r="E14" s="382"/>
      <c r="F14" s="382"/>
      <c r="G14" s="382"/>
      <c r="H14" s="382"/>
      <c r="I14" s="382"/>
      <c r="J14" s="382"/>
      <c r="K14" s="382"/>
      <c r="L14" s="382"/>
      <c r="M14" s="382"/>
      <c r="N14" s="382"/>
      <c r="O14" s="382"/>
      <c r="P14" s="382"/>
      <c r="Q14" s="382"/>
      <c r="R14" s="382"/>
      <c r="S14" s="382"/>
      <c r="T14" s="382"/>
      <c r="U14" s="382"/>
      <c r="V14" s="382"/>
      <c r="W14" s="383"/>
    </row>
    <row r="15" customFormat="false" ht="13.5" hidden="false" customHeight="false" outlineLevel="0" collapsed="false">
      <c r="A15" s="358"/>
      <c r="B15" s="384"/>
      <c r="C15" s="384"/>
      <c r="D15" s="385"/>
      <c r="E15" s="385"/>
      <c r="F15" s="385"/>
      <c r="G15" s="385"/>
      <c r="H15" s="385"/>
      <c r="I15" s="385"/>
      <c r="J15" s="385"/>
      <c r="K15" s="385"/>
      <c r="L15" s="385"/>
      <c r="M15" s="385"/>
      <c r="N15" s="385"/>
      <c r="O15" s="386"/>
      <c r="P15" s="384"/>
      <c r="Q15" s="384"/>
      <c r="R15" s="384"/>
      <c r="S15" s="384"/>
      <c r="T15" s="384"/>
      <c r="U15" s="384"/>
      <c r="V15" s="384"/>
      <c r="W15" s="384"/>
      <c r="X15" s="384"/>
    </row>
    <row r="16" customFormat="false" ht="18" hidden="false" customHeight="false" outlineLevel="0" collapsed="false">
      <c r="A16" s="387" t="s">
        <v>393</v>
      </c>
      <c r="B16" s="388"/>
      <c r="C16" s="389"/>
      <c r="D16" s="389"/>
      <c r="E16" s="389"/>
      <c r="F16" s="389"/>
      <c r="G16" s="389"/>
      <c r="H16" s="390"/>
      <c r="J16" s="387" t="s">
        <v>394</v>
      </c>
      <c r="K16" s="388"/>
      <c r="L16" s="389"/>
      <c r="M16" s="389"/>
      <c r="N16" s="389"/>
      <c r="O16" s="389"/>
      <c r="P16" s="389"/>
      <c r="Q16" s="390"/>
      <c r="R16" s="389"/>
      <c r="S16" s="391" t="s">
        <v>395</v>
      </c>
      <c r="T16" s="389"/>
      <c r="U16" s="390"/>
      <c r="V16" s="389"/>
      <c r="W16" s="390"/>
    </row>
    <row r="17" customFormat="false" ht="11.25" hidden="false" customHeight="false" outlineLevel="0" collapsed="false">
      <c r="A17" s="392" t="s">
        <v>396</v>
      </c>
      <c r="B17" s="393"/>
      <c r="C17" s="394"/>
      <c r="D17" s="347"/>
      <c r="E17" s="395" t="s">
        <v>397</v>
      </c>
      <c r="F17" s="396"/>
      <c r="G17" s="396"/>
      <c r="H17" s="397"/>
      <c r="J17" s="392" t="s">
        <v>396</v>
      </c>
      <c r="K17" s="393"/>
      <c r="L17" s="394"/>
      <c r="M17" s="347"/>
      <c r="N17" s="395" t="s">
        <v>397</v>
      </c>
      <c r="O17" s="396"/>
      <c r="P17" s="396"/>
      <c r="Q17" s="397"/>
      <c r="R17" s="347"/>
      <c r="S17" s="398" t="s">
        <v>398</v>
      </c>
      <c r="T17" s="347"/>
      <c r="U17" s="351"/>
      <c r="V17" s="347"/>
      <c r="W17" s="351"/>
    </row>
    <row r="18" customFormat="false" ht="11.25" hidden="false" customHeight="false" outlineLevel="0" collapsed="false">
      <c r="A18" s="399" t="s">
        <v>399</v>
      </c>
      <c r="B18" s="393"/>
      <c r="C18" s="400" t="e">
        <f aca="false">(Assumptions!$H$54-Assumptions!H25+C29+I86+H20+H21)*Assumptions!$L$9</f>
        <v>#VALUE!</v>
      </c>
      <c r="D18" s="347"/>
      <c r="E18" s="401" t="s">
        <v>400</v>
      </c>
      <c r="F18" s="402"/>
      <c r="G18" s="402"/>
      <c r="H18" s="403" t="n">
        <f aca="false">Assumptions!$H$54</f>
        <v>479637.116332</v>
      </c>
      <c r="J18" s="399" t="s">
        <v>399</v>
      </c>
      <c r="K18" s="393"/>
      <c r="L18" s="400" t="n">
        <f aca="false">+N32*(Q18+Q20)</f>
        <v>0</v>
      </c>
      <c r="M18" s="347"/>
      <c r="N18" s="401" t="s">
        <v>400</v>
      </c>
      <c r="O18" s="402"/>
      <c r="P18" s="402"/>
      <c r="Q18" s="403" t="n">
        <f aca="false">+N31</f>
        <v>0</v>
      </c>
      <c r="R18" s="347"/>
      <c r="S18" s="350" t="s">
        <v>401</v>
      </c>
      <c r="T18" s="404" t="e">
        <f aca="false">+C18+SUM(C50:V50)</f>
        <v>#VALUE!</v>
      </c>
      <c r="U18" s="405" t="n">
        <v>0.782999828476839</v>
      </c>
      <c r="V18" s="347"/>
      <c r="W18" s="351"/>
    </row>
    <row r="19" customFormat="false" ht="11.25" hidden="false" customHeight="false" outlineLevel="0" collapsed="false">
      <c r="A19" s="399" t="s">
        <v>402</v>
      </c>
      <c r="B19" s="393"/>
      <c r="C19" s="400" t="e">
        <f aca="false">+SUM(H18:H22)-C18</f>
        <v>#VALUE!</v>
      </c>
      <c r="D19" s="347"/>
      <c r="E19" s="401" t="s">
        <v>403</v>
      </c>
      <c r="F19" s="396"/>
      <c r="G19" s="396"/>
      <c r="H19" s="403" t="e">
        <f aca="false">+C29</f>
        <v>#VALUE!</v>
      </c>
      <c r="J19" s="399" t="s">
        <v>402</v>
      </c>
      <c r="K19" s="393"/>
      <c r="L19" s="400" t="n">
        <f aca="false">+Q23-L18</f>
        <v>0</v>
      </c>
      <c r="M19" s="347"/>
      <c r="N19" s="401" t="s">
        <v>403</v>
      </c>
      <c r="O19" s="396"/>
      <c r="P19" s="396"/>
      <c r="Q19" s="403" t="n">
        <f aca="false">+N36*L18</f>
        <v>0</v>
      </c>
      <c r="R19" s="347"/>
      <c r="S19" s="350" t="s">
        <v>404</v>
      </c>
      <c r="T19" s="404" t="e">
        <f aca="false">+C19+SUM(C49:V49)</f>
        <v>#VALUE!</v>
      </c>
      <c r="U19" s="405" t="n">
        <v>0.217000171523161</v>
      </c>
      <c r="V19" s="347"/>
      <c r="W19" s="351"/>
    </row>
    <row r="20" customFormat="false" ht="12" hidden="false" customHeight="false" outlineLevel="0" collapsed="false">
      <c r="A20" s="406" t="s">
        <v>297</v>
      </c>
      <c r="B20" s="393"/>
      <c r="C20" s="407" t="e">
        <f aca="false">+SUM(C18:C19)</f>
        <v>#VALUE!</v>
      </c>
      <c r="D20" s="347"/>
      <c r="E20" s="401" t="s">
        <v>405</v>
      </c>
      <c r="F20" s="396"/>
      <c r="G20" s="396"/>
      <c r="H20" s="403" t="n">
        <f aca="false">IF(Assumptions!$M$21="Yes",Assumptions!M20*IF(Assumptions!M19="No",-D44+INTEXP2,INTEXP1+-C44),0)</f>
        <v>0</v>
      </c>
      <c r="J20" s="406" t="s">
        <v>297</v>
      </c>
      <c r="K20" s="393"/>
      <c r="L20" s="408" t="n">
        <f aca="false">+SUM(L18:L19)</f>
        <v>0</v>
      </c>
      <c r="M20" s="347"/>
      <c r="N20" s="401" t="s">
        <v>406</v>
      </c>
      <c r="O20" s="396"/>
      <c r="P20" s="396"/>
      <c r="Q20" s="409" t="n">
        <v>0</v>
      </c>
      <c r="R20" s="347"/>
      <c r="S20" s="350" t="s">
        <v>407</v>
      </c>
      <c r="T20" s="410" t="e">
        <f aca="false">+T18+T19</f>
        <v>#VALUE!</v>
      </c>
      <c r="U20" s="351"/>
      <c r="V20" s="347"/>
      <c r="W20" s="351"/>
    </row>
    <row r="21" customFormat="false" ht="12.75" hidden="false" customHeight="false" outlineLevel="0" collapsed="false">
      <c r="A21" s="350"/>
      <c r="B21" s="347"/>
      <c r="C21" s="347"/>
      <c r="D21" s="347"/>
      <c r="E21" s="393" t="s">
        <v>408</v>
      </c>
      <c r="F21" s="393"/>
      <c r="G21" s="393"/>
      <c r="H21" s="403" t="e">
        <f aca="false">+F76</f>
        <v>#VALUE!</v>
      </c>
      <c r="J21" s="350"/>
      <c r="K21" s="347"/>
      <c r="L21" s="347"/>
      <c r="M21" s="347"/>
      <c r="N21" s="393"/>
      <c r="O21" s="393"/>
      <c r="P21" s="393"/>
      <c r="Q21" s="411"/>
      <c r="R21" s="347"/>
      <c r="S21" s="412" t="s">
        <v>409</v>
      </c>
      <c r="T21" s="413" t="e">
        <f aca="false">+T20-H23-Q23</f>
        <v>#VALUE!</v>
      </c>
      <c r="U21" s="414"/>
      <c r="V21" s="347"/>
      <c r="W21" s="351"/>
    </row>
    <row r="22" customFormat="false" ht="11.25" hidden="false" customHeight="false" outlineLevel="0" collapsed="false">
      <c r="A22" s="350"/>
      <c r="B22" s="347"/>
      <c r="C22" s="347"/>
      <c r="D22" s="347"/>
      <c r="E22" s="393" t="s">
        <v>406</v>
      </c>
      <c r="F22" s="393"/>
      <c r="G22" s="393"/>
      <c r="H22" s="415" t="n">
        <f aca="false">I86</f>
        <v>48563.258028615</v>
      </c>
      <c r="J22" s="350"/>
      <c r="K22" s="347"/>
      <c r="L22" s="347"/>
      <c r="M22" s="347"/>
      <c r="N22" s="393"/>
      <c r="O22" s="393"/>
      <c r="P22" s="393"/>
      <c r="Q22" s="411"/>
      <c r="R22" s="347"/>
      <c r="S22" s="347"/>
      <c r="T22" s="347"/>
      <c r="U22" s="347"/>
      <c r="V22" s="347"/>
      <c r="W22" s="351"/>
    </row>
    <row r="23" customFormat="false" ht="12" hidden="false" customHeight="false" outlineLevel="0" collapsed="false">
      <c r="A23" s="350"/>
      <c r="B23" s="347"/>
      <c r="C23" s="347"/>
      <c r="D23" s="347"/>
      <c r="E23" s="416" t="s">
        <v>297</v>
      </c>
      <c r="F23" s="393"/>
      <c r="G23" s="393"/>
      <c r="H23" s="417" t="e">
        <f aca="false">+SUM(H18:H22)</f>
        <v>#VALUE!</v>
      </c>
      <c r="J23" s="350"/>
      <c r="K23" s="347"/>
      <c r="L23" s="347"/>
      <c r="M23" s="347"/>
      <c r="N23" s="416" t="s">
        <v>297</v>
      </c>
      <c r="O23" s="393"/>
      <c r="P23" s="393"/>
      <c r="Q23" s="418" t="n">
        <f aca="false">+SUM(Q18:Q20)</f>
        <v>0</v>
      </c>
      <c r="R23" s="347"/>
      <c r="S23" s="347"/>
      <c r="T23" s="347"/>
      <c r="U23" s="347"/>
      <c r="V23" s="347"/>
      <c r="W23" s="351"/>
    </row>
    <row r="24" customFormat="false" ht="12.75" hidden="false" customHeight="false" outlineLevel="0" collapsed="false">
      <c r="A24" s="350"/>
      <c r="B24" s="347"/>
      <c r="C24" s="347"/>
      <c r="D24" s="347"/>
      <c r="E24" s="347"/>
      <c r="F24" s="347"/>
      <c r="G24" s="347"/>
      <c r="H24" s="351"/>
      <c r="J24" s="350"/>
      <c r="K24" s="347"/>
      <c r="L24" s="347"/>
      <c r="M24" s="347"/>
      <c r="N24" s="347"/>
      <c r="O24" s="347"/>
      <c r="P24" s="347"/>
      <c r="Q24" s="351"/>
      <c r="R24" s="347"/>
      <c r="S24" s="347"/>
      <c r="T24" s="347"/>
      <c r="U24" s="347"/>
      <c r="V24" s="347"/>
      <c r="W24" s="351"/>
    </row>
    <row r="25" customFormat="false" ht="12" hidden="false" customHeight="false" outlineLevel="0" collapsed="false">
      <c r="A25" s="419" t="s">
        <v>410</v>
      </c>
      <c r="B25" s="420"/>
      <c r="C25" s="421"/>
      <c r="D25" s="347"/>
      <c r="E25" s="422" t="s">
        <v>411</v>
      </c>
      <c r="F25" s="422"/>
      <c r="G25" s="422"/>
      <c r="H25" s="423" t="e">
        <f aca="false">+SUM(C18:C19)-SUM(H18:H22)</f>
        <v>#VALUE!</v>
      </c>
      <c r="J25" s="412"/>
      <c r="K25" s="424"/>
      <c r="L25" s="424"/>
      <c r="M25" s="424"/>
      <c r="N25" s="425" t="s">
        <v>411</v>
      </c>
      <c r="O25" s="425"/>
      <c r="P25" s="425"/>
      <c r="Q25" s="426" t="n">
        <f aca="false">+L20-Q23</f>
        <v>0</v>
      </c>
      <c r="R25" s="347"/>
      <c r="S25" s="347"/>
      <c r="T25" s="347"/>
      <c r="U25" s="347"/>
      <c r="V25" s="347"/>
      <c r="W25" s="351"/>
    </row>
    <row r="26" customFormat="false" ht="11.25" hidden="false" customHeight="false" outlineLevel="0" collapsed="false">
      <c r="A26" s="392" t="s">
        <v>399</v>
      </c>
      <c r="B26" s="393"/>
      <c r="C26" s="427" t="e">
        <f aca="false">Assumptions!M11*C18</f>
        <v>#VALUE!</v>
      </c>
      <c r="D26" s="347"/>
      <c r="E26" s="347"/>
      <c r="F26" s="347"/>
      <c r="G26" s="347"/>
      <c r="H26" s="351"/>
      <c r="J26" s="350"/>
      <c r="K26" s="347"/>
      <c r="L26" s="347"/>
      <c r="M26" s="347"/>
      <c r="N26" s="347"/>
      <c r="O26" s="347"/>
      <c r="P26" s="347"/>
      <c r="Q26" s="347"/>
      <c r="R26" s="347"/>
      <c r="S26" s="347"/>
      <c r="T26" s="347"/>
      <c r="U26" s="347"/>
      <c r="V26" s="347"/>
      <c r="W26" s="351"/>
    </row>
    <row r="27" customFormat="false" ht="12" hidden="false" customHeight="false" outlineLevel="0" collapsed="false">
      <c r="A27" s="399" t="s">
        <v>412</v>
      </c>
      <c r="B27" s="393"/>
      <c r="C27" s="428" t="n">
        <v>0</v>
      </c>
      <c r="D27" s="347"/>
      <c r="E27" s="347"/>
      <c r="F27" s="347"/>
      <c r="G27" s="347"/>
      <c r="H27" s="351"/>
      <c r="J27" s="350"/>
      <c r="K27" s="347"/>
      <c r="L27" s="347"/>
      <c r="M27" s="347"/>
      <c r="N27" s="347"/>
      <c r="O27" s="347"/>
      <c r="P27" s="347"/>
      <c r="Q27" s="429"/>
      <c r="R27" s="347"/>
      <c r="S27" s="347"/>
      <c r="T27" s="347"/>
      <c r="U27" s="347"/>
      <c r="V27" s="347"/>
      <c r="W27" s="351"/>
    </row>
    <row r="28" customFormat="false" ht="12.75" hidden="false" customHeight="false" outlineLevel="0" collapsed="false">
      <c r="A28" s="399" t="s">
        <v>413</v>
      </c>
      <c r="B28" s="393"/>
      <c r="C28" s="428" t="n">
        <v>0</v>
      </c>
      <c r="D28" s="0"/>
      <c r="E28" s="0"/>
      <c r="F28" s="347"/>
      <c r="G28" s="347"/>
      <c r="H28" s="351"/>
      <c r="J28" s="430" t="s">
        <v>414</v>
      </c>
      <c r="K28" s="431"/>
      <c r="L28" s="431"/>
      <c r="M28" s="431"/>
      <c r="N28" s="432"/>
      <c r="O28" s="347"/>
      <c r="P28" s="347"/>
      <c r="Q28" s="347"/>
      <c r="R28" s="347"/>
      <c r="S28" s="347"/>
      <c r="T28" s="347"/>
      <c r="U28" s="347"/>
      <c r="V28" s="347"/>
      <c r="W28" s="351"/>
    </row>
    <row r="29" customFormat="false" ht="13.5" hidden="false" customHeight="false" outlineLevel="0" collapsed="false">
      <c r="A29" s="433" t="s">
        <v>297</v>
      </c>
      <c r="B29" s="434"/>
      <c r="C29" s="435" t="e">
        <f aca="false">+SUM(C26:C28)</f>
        <v>#VALUE!</v>
      </c>
      <c r="D29" s="0"/>
      <c r="E29" s="0"/>
      <c r="F29" s="347"/>
      <c r="G29" s="347"/>
      <c r="H29" s="351"/>
      <c r="J29" s="436"/>
      <c r="K29" s="396"/>
      <c r="L29" s="396"/>
      <c r="M29" s="396"/>
      <c r="N29" s="397"/>
      <c r="O29" s="347"/>
      <c r="P29" s="347"/>
      <c r="Q29" s="347"/>
      <c r="R29" s="347"/>
      <c r="S29" s="347"/>
      <c r="T29" s="347"/>
      <c r="U29" s="347"/>
      <c r="V29" s="347"/>
      <c r="W29" s="351"/>
    </row>
    <row r="30" customFormat="false" ht="13.5" hidden="false" customHeight="false" outlineLevel="0" collapsed="false">
      <c r="A30" s="0"/>
      <c r="B30" s="0"/>
      <c r="C30" s="0"/>
      <c r="D30" s="0"/>
      <c r="E30" s="0"/>
      <c r="F30" s="347"/>
      <c r="G30" s="347"/>
      <c r="H30" s="351"/>
      <c r="J30" s="437" t="s">
        <v>415</v>
      </c>
      <c r="K30" s="396"/>
      <c r="L30" s="396"/>
      <c r="M30" s="396"/>
      <c r="N30" s="438" t="s">
        <v>416</v>
      </c>
      <c r="O30" s="347"/>
      <c r="P30" s="347"/>
      <c r="Q30" s="347"/>
      <c r="R30" s="347"/>
      <c r="S30" s="347"/>
      <c r="T30" s="347"/>
      <c r="U30" s="347"/>
      <c r="V30" s="347"/>
      <c r="W30" s="351"/>
    </row>
    <row r="31" customFormat="false" ht="13.5" hidden="false" customHeight="false" outlineLevel="0" collapsed="false">
      <c r="A31" s="0"/>
      <c r="B31" s="0"/>
      <c r="C31" s="0"/>
      <c r="D31" s="0"/>
      <c r="E31" s="0"/>
      <c r="F31" s="347"/>
      <c r="G31" s="347"/>
      <c r="H31" s="351"/>
      <c r="J31" s="399" t="s">
        <v>400</v>
      </c>
      <c r="K31" s="393"/>
      <c r="L31" s="393"/>
      <c r="M31" s="393"/>
      <c r="N31" s="439" t="n">
        <v>0</v>
      </c>
      <c r="O31" s="347"/>
      <c r="P31" s="347"/>
      <c r="Q31" s="347"/>
      <c r="R31" s="347"/>
      <c r="S31" s="347"/>
      <c r="T31" s="347"/>
      <c r="U31" s="347"/>
      <c r="V31" s="347"/>
      <c r="W31" s="351"/>
    </row>
    <row r="32" customFormat="false" ht="13.5" hidden="false" customHeight="false" outlineLevel="0" collapsed="false">
      <c r="A32" s="0"/>
      <c r="B32" s="0"/>
      <c r="C32" s="0"/>
      <c r="D32" s="0"/>
      <c r="E32" s="0"/>
      <c r="F32" s="347"/>
      <c r="G32" s="347"/>
      <c r="H32" s="351"/>
      <c r="J32" s="399" t="s">
        <v>417</v>
      </c>
      <c r="K32" s="393"/>
      <c r="L32" s="393"/>
      <c r="M32" s="393"/>
      <c r="N32" s="440" t="n">
        <v>0.8</v>
      </c>
      <c r="O32" s="347"/>
      <c r="P32" s="347"/>
      <c r="Q32" s="347"/>
      <c r="R32" s="347"/>
      <c r="S32" s="347"/>
      <c r="T32" s="347"/>
      <c r="U32" s="347"/>
      <c r="V32" s="347"/>
      <c r="W32" s="351"/>
    </row>
    <row r="33" customFormat="false" ht="13.5" hidden="false" customHeight="false" outlineLevel="0" collapsed="false">
      <c r="A33" s="0"/>
      <c r="B33" s="0"/>
      <c r="C33" s="0"/>
      <c r="D33" s="0"/>
      <c r="E33" s="0"/>
      <c r="F33" s="347"/>
      <c r="G33" s="347"/>
      <c r="H33" s="351"/>
      <c r="J33" s="399" t="s">
        <v>418</v>
      </c>
      <c r="K33" s="393"/>
      <c r="L33" s="393"/>
      <c r="M33" s="393"/>
      <c r="N33" s="441" t="s">
        <v>419</v>
      </c>
      <c r="O33" s="347"/>
      <c r="P33" s="347"/>
      <c r="Q33" s="347"/>
      <c r="R33" s="347"/>
      <c r="S33" s="347"/>
      <c r="T33" s="347"/>
      <c r="U33" s="347"/>
      <c r="V33" s="347"/>
      <c r="W33" s="351"/>
    </row>
    <row r="34" customFormat="false" ht="13.5" hidden="false" customHeight="false" outlineLevel="0" collapsed="false">
      <c r="A34" s="0"/>
      <c r="B34" s="0"/>
      <c r="C34" s="0"/>
      <c r="D34" s="0"/>
      <c r="E34" s="0"/>
      <c r="F34" s="347"/>
      <c r="G34" s="347"/>
      <c r="H34" s="351"/>
      <c r="I34" s="347"/>
      <c r="J34" s="399" t="s">
        <v>420</v>
      </c>
      <c r="K34" s="393"/>
      <c r="L34" s="393"/>
      <c r="M34" s="393"/>
      <c r="N34" s="439" t="n">
        <v>17</v>
      </c>
      <c r="O34" s="347"/>
      <c r="P34" s="347"/>
      <c r="Q34" s="347"/>
      <c r="R34" s="347"/>
      <c r="S34" s="347"/>
      <c r="T34" s="347"/>
      <c r="U34" s="347"/>
      <c r="V34" s="347"/>
      <c r="W34" s="351"/>
    </row>
    <row r="35" customFormat="false" ht="13.5" hidden="false" customHeight="false" outlineLevel="0" collapsed="false">
      <c r="A35" s="0"/>
      <c r="B35" s="0"/>
      <c r="C35" s="0"/>
      <c r="D35" s="0"/>
      <c r="E35" s="0"/>
      <c r="F35" s="347"/>
      <c r="G35" s="347"/>
      <c r="H35" s="351"/>
      <c r="J35" s="442" t="s">
        <v>421</v>
      </c>
      <c r="K35" s="402"/>
      <c r="L35" s="402"/>
      <c r="M35" s="402"/>
      <c r="N35" s="443" t="n">
        <v>0.075</v>
      </c>
      <c r="O35" s="347"/>
      <c r="P35" s="347"/>
      <c r="Q35" s="347"/>
      <c r="R35" s="347"/>
      <c r="S35" s="347"/>
      <c r="T35" s="347"/>
      <c r="U35" s="347"/>
      <c r="V35" s="347"/>
      <c r="W35" s="351"/>
    </row>
    <row r="36" customFormat="false" ht="13.5" hidden="false" customHeight="false" outlineLevel="0" collapsed="false">
      <c r="A36" s="0"/>
      <c r="B36" s="0"/>
      <c r="C36" s="0"/>
      <c r="D36" s="0"/>
      <c r="E36" s="0"/>
      <c r="F36" s="347"/>
      <c r="G36" s="347"/>
      <c r="H36" s="351"/>
      <c r="J36" s="442" t="s">
        <v>422</v>
      </c>
      <c r="K36" s="402"/>
      <c r="L36" s="402"/>
      <c r="M36" s="402"/>
      <c r="N36" s="443" t="n">
        <v>0.02</v>
      </c>
      <c r="O36" s="347"/>
      <c r="P36" s="347"/>
      <c r="Q36" s="347"/>
      <c r="R36" s="347"/>
      <c r="S36" s="347"/>
      <c r="T36" s="347"/>
      <c r="U36" s="347"/>
      <c r="V36" s="347"/>
      <c r="W36" s="351"/>
    </row>
    <row r="37" customFormat="false" ht="13.5" hidden="false" customHeight="false" outlineLevel="0" collapsed="false">
      <c r="A37" s="444"/>
      <c r="B37" s="444"/>
      <c r="C37" s="444"/>
      <c r="D37" s="444"/>
      <c r="E37" s="444"/>
      <c r="F37" s="424"/>
      <c r="G37" s="424"/>
      <c r="H37" s="414"/>
      <c r="J37" s="445" t="s">
        <v>423</v>
      </c>
      <c r="K37" s="446"/>
      <c r="L37" s="446"/>
      <c r="M37" s="446"/>
      <c r="N37" s="447" t="s">
        <v>424</v>
      </c>
      <c r="O37" s="424"/>
      <c r="P37" s="424"/>
      <c r="Q37" s="424"/>
      <c r="R37" s="424"/>
      <c r="S37" s="424"/>
      <c r="T37" s="424"/>
      <c r="U37" s="424"/>
      <c r="V37" s="424"/>
      <c r="W37" s="414"/>
    </row>
    <row r="39" customFormat="false" ht="18" hidden="false" customHeight="false" outlineLevel="0" collapsed="false">
      <c r="A39" s="352" t="s">
        <v>425</v>
      </c>
    </row>
    <row r="40" customFormat="false" ht="12" hidden="false" customHeight="false" outlineLevel="0" collapsed="false">
      <c r="A40" s="448" t="s">
        <v>285</v>
      </c>
      <c r="B40" s="448"/>
      <c r="C40" s="448" t="n">
        <v>1</v>
      </c>
      <c r="D40" s="448" t="n">
        <f aca="false">C40+1</f>
        <v>2</v>
      </c>
      <c r="E40" s="448" t="n">
        <f aca="false">D40+1</f>
        <v>3</v>
      </c>
      <c r="F40" s="448" t="n">
        <f aca="false">E40+1</f>
        <v>4</v>
      </c>
      <c r="G40" s="448" t="n">
        <f aca="false">F40+1</f>
        <v>5</v>
      </c>
      <c r="H40" s="448" t="n">
        <f aca="false">G40+1</f>
        <v>6</v>
      </c>
      <c r="I40" s="448" t="n">
        <f aca="false">H40+1</f>
        <v>7</v>
      </c>
      <c r="J40" s="448" t="n">
        <f aca="false">I40+1</f>
        <v>8</v>
      </c>
      <c r="K40" s="448" t="n">
        <f aca="false">J40+1</f>
        <v>9</v>
      </c>
      <c r="L40" s="448" t="n">
        <f aca="false">K40+1</f>
        <v>10</v>
      </c>
      <c r="M40" s="448" t="n">
        <f aca="false">L40+1</f>
        <v>11</v>
      </c>
      <c r="N40" s="448" t="n">
        <f aca="false">M40+1</f>
        <v>12</v>
      </c>
      <c r="O40" s="448" t="n">
        <f aca="false">N40+1</f>
        <v>13</v>
      </c>
      <c r="P40" s="448" t="n">
        <f aca="false">O40+1</f>
        <v>14</v>
      </c>
      <c r="Q40" s="448" t="n">
        <f aca="false">P40+1</f>
        <v>15</v>
      </c>
      <c r="R40" s="448" t="n">
        <f aca="false">Q40+1</f>
        <v>16</v>
      </c>
      <c r="S40" s="448" t="n">
        <f aca="false">R40+1</f>
        <v>17</v>
      </c>
      <c r="T40" s="448" t="n">
        <f aca="false">S40+1</f>
        <v>18</v>
      </c>
      <c r="U40" s="448" t="n">
        <f aca="false">T40+1</f>
        <v>19</v>
      </c>
      <c r="V40" s="448" t="n">
        <f aca="false">U40+1</f>
        <v>20</v>
      </c>
      <c r="W40" s="448" t="n">
        <f aca="false">V40+1</f>
        <v>21</v>
      </c>
    </row>
    <row r="41" customFormat="false" ht="12.75" hidden="false" customHeight="false" outlineLevel="0" collapsed="false">
      <c r="B41" s="355" t="n">
        <f aca="false">+Template!H$3</f>
        <v>37802</v>
      </c>
      <c r="C41" s="449" t="n">
        <f aca="false">+Template!I$3</f>
        <v>37986</v>
      </c>
      <c r="D41" s="356" t="n">
        <f aca="false">+Template!J$3</f>
        <v>2004</v>
      </c>
      <c r="E41" s="356" t="n">
        <f aca="false">+Template!K$3</f>
        <v>2005</v>
      </c>
      <c r="F41" s="356" t="n">
        <f aca="false">+Template!L$3</f>
        <v>2006</v>
      </c>
      <c r="G41" s="356" t="n">
        <f aca="false">+Template!M$3</f>
        <v>2007</v>
      </c>
      <c r="H41" s="356" t="n">
        <f aca="false">+Template!N$3</f>
        <v>2008</v>
      </c>
      <c r="I41" s="356" t="n">
        <f aca="false">+Template!O$3</f>
        <v>2009</v>
      </c>
      <c r="J41" s="356" t="n">
        <f aca="false">+Template!P$3</f>
        <v>2010</v>
      </c>
      <c r="K41" s="356" t="n">
        <f aca="false">+Template!Q$3</f>
        <v>2011</v>
      </c>
      <c r="L41" s="356" t="n">
        <f aca="false">+Template!R$3</f>
        <v>2012</v>
      </c>
      <c r="M41" s="356" t="n">
        <f aca="false">+Template!S$3</f>
        <v>2013</v>
      </c>
      <c r="N41" s="356" t="n">
        <f aca="false">+Template!T$3</f>
        <v>2014</v>
      </c>
      <c r="O41" s="356" t="n">
        <f aca="false">+Template!U$3</f>
        <v>2015</v>
      </c>
      <c r="P41" s="356" t="n">
        <f aca="false">+Template!V$3</f>
        <v>2016</v>
      </c>
      <c r="Q41" s="356" t="n">
        <f aca="false">+Template!W$3</f>
        <v>2017</v>
      </c>
      <c r="R41" s="356" t="n">
        <f aca="false">+Template!X$3</f>
        <v>2018</v>
      </c>
      <c r="S41" s="356" t="n">
        <f aca="false">+Template!Y$3</f>
        <v>2019</v>
      </c>
      <c r="T41" s="356" t="n">
        <f aca="false">+Template!Z$3</f>
        <v>2020</v>
      </c>
      <c r="U41" s="356" t="n">
        <f aca="false">+Template!AA$3</f>
        <v>2021</v>
      </c>
      <c r="V41" s="356" t="n">
        <f aca="false">+Template!AB$3</f>
        <v>2022</v>
      </c>
      <c r="W41" s="356" t="n">
        <f aca="false">+Template!AC$3</f>
        <v>2023</v>
      </c>
    </row>
    <row r="42" customFormat="false" ht="12" hidden="false" customHeight="false" outlineLevel="0" collapsed="false">
      <c r="A42" s="450"/>
      <c r="B42" s="450"/>
      <c r="C42" s="450"/>
      <c r="D42" s="450"/>
      <c r="E42" s="450"/>
      <c r="F42" s="450"/>
      <c r="G42" s="450"/>
      <c r="H42" s="450"/>
      <c r="I42" s="451"/>
      <c r="J42" s="451"/>
      <c r="K42" s="451"/>
      <c r="L42" s="451"/>
      <c r="M42" s="451"/>
      <c r="N42" s="451"/>
      <c r="O42" s="451"/>
      <c r="P42" s="451"/>
      <c r="Q42" s="451"/>
      <c r="R42" s="451"/>
      <c r="S42" s="451"/>
      <c r="T42" s="451"/>
      <c r="U42" s="451"/>
      <c r="V42" s="451"/>
      <c r="W42" s="451"/>
    </row>
    <row r="43" customFormat="false" ht="11.25" hidden="false" customHeight="false" outlineLevel="0" collapsed="false">
      <c r="A43" s="450"/>
      <c r="B43" s="450"/>
      <c r="C43" s="450"/>
      <c r="D43" s="450"/>
      <c r="E43" s="450"/>
      <c r="F43" s="450"/>
      <c r="G43" s="450"/>
      <c r="H43" s="450"/>
      <c r="I43" s="451"/>
      <c r="J43" s="451"/>
      <c r="K43" s="451"/>
      <c r="L43" s="451"/>
      <c r="M43" s="451"/>
      <c r="N43" s="451"/>
      <c r="O43" s="451"/>
      <c r="P43" s="451"/>
      <c r="Q43" s="451"/>
      <c r="R43" s="451"/>
      <c r="S43" s="451"/>
      <c r="T43" s="451"/>
      <c r="U43" s="451"/>
      <c r="V43" s="451"/>
      <c r="W43" s="451"/>
    </row>
    <row r="44" customFormat="false" ht="11.25" hidden="false" customHeight="false" outlineLevel="0" collapsed="false">
      <c r="A44" s="346" t="s">
        <v>426</v>
      </c>
      <c r="C44" s="452" t="n">
        <f aca="false">IF(Assumptions!$M$19="Yes",IF(ISERR(PPMT(Assumptions!$M$17,C40,Assumptions!$M$18,$C$18)),0,PPMT(Assumptions!$M$17,C40,Assumptions!$M$18,$C$18)),IF(ISERR(PPMT(Assumptions!$M$17,C40-1,Assumptions!$M$18,$C$18)),0,PPMT(Assumptions!$M$17,C40-1,Assumptions!$M$18,$C$18)))</f>
        <v>0</v>
      </c>
      <c r="D44" s="452" t="n">
        <f aca="false">IF(Assumptions!$M$19="Yes",IF(ISERR(PPMT(Assumptions!$M$17,D40,Assumptions!$M$18,$C$18)),0,PPMT(Assumptions!$M$17,D40,Assumptions!$M$18,$C$18)),IF(ISERR(PPMT(Assumptions!$M$17,D40-1,Assumptions!$M$18,$C$18)),0,PPMT(Assumptions!$M$17,D40-1,Assumptions!$M$18,$C$18)))</f>
        <v>0</v>
      </c>
      <c r="E44" s="452" t="n">
        <f aca="false">IF(Assumptions!$M$19="Yes",IF(ISERR(PPMT(Assumptions!$M$17,E40,Assumptions!$M$18,$C$18)),0,PPMT(Assumptions!$M$17,E40,Assumptions!$M$18,$C$18)),IF(ISERR(PPMT(Assumptions!$M$17,E40-1,Assumptions!$M$18,$C$18)),0,PPMT(Assumptions!$M$17,E40-1,Assumptions!$M$18,$C$18)))</f>
        <v>0</v>
      </c>
      <c r="F44" s="452" t="n">
        <f aca="false">IF(Assumptions!$M$19="Yes",IF(ISERR(PPMT(Assumptions!$M$17,F40,Assumptions!$M$18,$C$18)),0,PPMT(Assumptions!$M$17,F40,Assumptions!$M$18,$C$18)),IF(ISERR(PPMT(Assumptions!$M$17,F40-1,Assumptions!$M$18,$C$18)),0,PPMT(Assumptions!$M$17,F40-1,Assumptions!$M$18,$C$18)))</f>
        <v>0</v>
      </c>
      <c r="G44" s="452" t="n">
        <f aca="false">IF(Assumptions!$M$19="Yes",IF(ISERR(PPMT(Assumptions!$M$17,G40,Assumptions!$M$18,$C$18)),0,PPMT(Assumptions!$M$17,G40,Assumptions!$M$18,$C$18)),IF(ISERR(PPMT(Assumptions!$M$17,G40-1,Assumptions!$M$18,$C$18)),0,PPMT(Assumptions!$M$17,G40-1,Assumptions!$M$18,$C$18)))</f>
        <v>0</v>
      </c>
      <c r="H44" s="452" t="n">
        <f aca="false">IF(Assumptions!$M$19="Yes",IF(ISERR(PPMT(Assumptions!$M$17,H40,Assumptions!$M$18,$C$18)),0,PPMT(Assumptions!$M$17,H40,Assumptions!$M$18,$C$18)),IF(ISERR(PPMT(Assumptions!$M$17,H40-1,Assumptions!$M$18,$C$18)),0,PPMT(Assumptions!$M$17,H40-1,Assumptions!$M$18,$C$18)))</f>
        <v>0</v>
      </c>
      <c r="I44" s="452" t="n">
        <f aca="false">IF(Assumptions!$M$19="Yes",IF(ISERR(PPMT(Assumptions!$M$17,I40,Assumptions!$M$18,$C$18)),0,PPMT(Assumptions!$M$17,I40,Assumptions!$M$18,$C$18)),IF(ISERR(PPMT(Assumptions!$M$17,I40-1,Assumptions!$M$18,$C$18)),0,PPMT(Assumptions!$M$17,I40-1,Assumptions!$M$18,$C$18)))</f>
        <v>0</v>
      </c>
      <c r="J44" s="452" t="n">
        <f aca="false">IF(Assumptions!$M$19="Yes",IF(ISERR(PPMT(Assumptions!$M$17,J40,Assumptions!$M$18,$C$18)),0,PPMT(Assumptions!$M$17,J40,Assumptions!$M$18,$C$18)),IF(ISERR(PPMT(Assumptions!$M$17,J40-1,Assumptions!$M$18,$C$18)),0,PPMT(Assumptions!$M$17,J40-1,Assumptions!$M$18,$C$18)))</f>
        <v>0</v>
      </c>
      <c r="K44" s="452" t="n">
        <f aca="false">IF(Assumptions!$M$19="Yes",IF(ISERR(PPMT(Assumptions!$M$17,K40,Assumptions!$M$18,$C$18)),0,PPMT(Assumptions!$M$17,K40,Assumptions!$M$18,$C$18)),IF(ISERR(PPMT(Assumptions!$M$17,K40-1,Assumptions!$M$18,$C$18)),0,PPMT(Assumptions!$M$17,K40-1,Assumptions!$M$18,$C$18)))</f>
        <v>0</v>
      </c>
      <c r="L44" s="452" t="n">
        <f aca="false">IF(Assumptions!$M$19="Yes",IF(ISERR(PPMT(Assumptions!$M$17,L40,Assumptions!$M$18,$C$18)),0,PPMT(Assumptions!$M$17,L40,Assumptions!$M$18,$C$18)),IF(ISERR(PPMT(Assumptions!$M$17,L40-1,Assumptions!$M$18,$C$18)),0,PPMT(Assumptions!$M$17,L40-1,Assumptions!$M$18,$C$18)))</f>
        <v>0</v>
      </c>
      <c r="M44" s="452" t="n">
        <f aca="false">IF(Assumptions!$M$19="Yes",IF(ISERR(PPMT(Assumptions!$M$17,M40,Assumptions!$M$18,$C$18)),0,PPMT(Assumptions!$M$17,M40,Assumptions!$M$18,$C$18)),IF(ISERR(PPMT(Assumptions!$M$17,M40-1,Assumptions!$M$18,$C$18)),0,PPMT(Assumptions!$M$17,M40-1,Assumptions!$M$18,$C$18)))</f>
        <v>0</v>
      </c>
      <c r="N44" s="452" t="n">
        <f aca="false">IF(Assumptions!$M$19="Yes",IF(ISERR(PPMT(Assumptions!$M$17,N40,Assumptions!$M$18,$C$18)),0,PPMT(Assumptions!$M$17,N40,Assumptions!$M$18,$C$18)),IF(ISERR(PPMT(Assumptions!$M$17,N40-1,Assumptions!$M$18,$C$18)),0,PPMT(Assumptions!$M$17,N40-1,Assumptions!$M$18,$C$18)))</f>
        <v>0</v>
      </c>
      <c r="O44" s="452" t="n">
        <f aca="false">IF(Assumptions!$M$19="Yes",IF(ISERR(PPMT(Assumptions!$M$17,O40,Assumptions!$M$18,$C$18)),0,PPMT(Assumptions!$M$17,O40,Assumptions!$M$18,$C$18)),IF(ISERR(PPMT(Assumptions!$M$17,O40-1,Assumptions!$M$18,$C$18)),0,PPMT(Assumptions!$M$17,O40-1,Assumptions!$M$18,$C$18)))</f>
        <v>0</v>
      </c>
      <c r="P44" s="452" t="n">
        <f aca="false">IF(Assumptions!$M$19="Yes",IF(ISERR(PPMT(Assumptions!$M$17,P40,Assumptions!$M$18,$C$18)),0,PPMT(Assumptions!$M$17,P40,Assumptions!$M$18,$C$18)),IF(ISERR(PPMT(Assumptions!$M$17,P40-1,Assumptions!$M$18,$C$18)),0,PPMT(Assumptions!$M$17,P40-1,Assumptions!$M$18,$C$18)))</f>
        <v>0</v>
      </c>
      <c r="Q44" s="452" t="n">
        <f aca="false">IF(Assumptions!$M$19="Yes",IF(ISERR(PPMT(Assumptions!$M$17,Q40,Assumptions!$M$18,$C$18)),0,PPMT(Assumptions!$M$17,Q40,Assumptions!$M$18,$C$18)),IF(ISERR(PPMT(Assumptions!$M$17,Q40-1,Assumptions!$M$18,$C$18)),0,PPMT(Assumptions!$M$17,Q40-1,Assumptions!$M$18,$C$18)))</f>
        <v>0</v>
      </c>
      <c r="R44" s="452" t="n">
        <f aca="false">IF(Assumptions!$M$19="Yes",IF(ISERR(PPMT(Assumptions!$M$17,R40,Assumptions!$M$18,$C$18)),0,PPMT(Assumptions!$M$17,R40,Assumptions!$M$18,$C$18)),IF(ISERR(PPMT(Assumptions!$M$17,R40-1,Assumptions!$M$18,$C$18)),0,PPMT(Assumptions!$M$17,R40-1,Assumptions!$M$18,$C$18)))</f>
        <v>0</v>
      </c>
      <c r="S44" s="452" t="n">
        <f aca="false">IF(Assumptions!$M$19="Yes",IF(ISERR(PPMT(Assumptions!$M$17,S40,Assumptions!$M$18,$C$18)),0,PPMT(Assumptions!$M$17,S40,Assumptions!$M$18,$C$18)),IF(ISERR(PPMT(Assumptions!$M$17,S40-1,Assumptions!$M$18,$C$18)),0,PPMT(Assumptions!$M$17,S40-1,Assumptions!$M$18,$C$18)))</f>
        <v>0</v>
      </c>
      <c r="T44" s="452" t="n">
        <f aca="false">IF(Assumptions!$M$19="Yes",IF(ISERR(PPMT(Assumptions!$M$17,T40,Assumptions!$M$18,$C$18)),0,PPMT(Assumptions!$M$17,T40,Assumptions!$M$18,$C$18)),IF(ISERR(PPMT(Assumptions!$M$17,T40-1,Assumptions!$M$18,$C$18)),0,PPMT(Assumptions!$M$17,T40-1,Assumptions!$M$18,$C$18)))</f>
        <v>0</v>
      </c>
      <c r="U44" s="452" t="n">
        <f aca="false">IF(Assumptions!$M$19="Yes",IF(ISERR(PPMT(Assumptions!$M$17,U40,Assumptions!$M$18,$C$18)),0,PPMT(Assumptions!$M$17,U40,Assumptions!$M$18,$C$18)),IF(ISERR(PPMT(Assumptions!$M$17,U40-1,Assumptions!$M$18,$C$18)),0,PPMT(Assumptions!$M$17,U40-1,Assumptions!$M$18,$C$18)))</f>
        <v>0</v>
      </c>
      <c r="V44" s="452" t="n">
        <f aca="false">IF(Assumptions!$M$19="Yes",IF(ISERR(PPMT(Assumptions!$M$17,V40,Assumptions!$M$18,$C$18)),0,PPMT(Assumptions!$M$17,V40,Assumptions!$M$18,$C$18)),IF(ISERR(PPMT(Assumptions!$M$17,V40-1,Assumptions!$M$18,$C$18)),0,PPMT(Assumptions!$M$17,V40-1,Assumptions!$M$18,$C$18)))</f>
        <v>0</v>
      </c>
      <c r="W44" s="452" t="n">
        <f aca="false">IF(Assumptions!$M$19="Yes",IF(ISERR(PPMT(Assumptions!$M$17,W40,Assumptions!$M$18,$C$18)),0,PPMT(Assumptions!$M$17,W40,Assumptions!$M$18,$C$18)),IF(ISERR(PPMT(Assumptions!$M$17,W40-1,Assumptions!$M$18,$C$18)),0,PPMT(Assumptions!$M$17,W40-1,Assumptions!$M$18,$C$18)))</f>
        <v>0</v>
      </c>
    </row>
    <row r="45" customFormat="false" ht="11.25" hidden="false" customHeight="false" outlineLevel="0" collapsed="false">
      <c r="A45" s="346" t="s">
        <v>427</v>
      </c>
      <c r="C45" s="453" t="e">
        <f aca="false">$C$18+C44</f>
        <v>#VALUE!</v>
      </c>
      <c r="D45" s="453" t="e">
        <f aca="false">C45+D44</f>
        <v>#VALUE!</v>
      </c>
      <c r="E45" s="453" t="e">
        <f aca="false">D45+E44</f>
        <v>#VALUE!</v>
      </c>
      <c r="F45" s="453" t="e">
        <f aca="false">E45+F44</f>
        <v>#VALUE!</v>
      </c>
      <c r="G45" s="453" t="e">
        <f aca="false">F45+G44</f>
        <v>#VALUE!</v>
      </c>
      <c r="H45" s="453" t="e">
        <f aca="false">G45+H44</f>
        <v>#VALUE!</v>
      </c>
      <c r="I45" s="453" t="e">
        <f aca="false">H45+I44</f>
        <v>#VALUE!</v>
      </c>
      <c r="J45" s="453" t="e">
        <f aca="false">I45+J44</f>
        <v>#VALUE!</v>
      </c>
      <c r="K45" s="453" t="e">
        <f aca="false">J45+K44</f>
        <v>#VALUE!</v>
      </c>
      <c r="L45" s="453" t="e">
        <f aca="false">K45+L44</f>
        <v>#VALUE!</v>
      </c>
      <c r="M45" s="453" t="e">
        <f aca="false">L45+M44</f>
        <v>#VALUE!</v>
      </c>
      <c r="N45" s="453" t="e">
        <f aca="false">M45+N44</f>
        <v>#VALUE!</v>
      </c>
      <c r="O45" s="453" t="e">
        <f aca="false">N45+O44</f>
        <v>#VALUE!</v>
      </c>
      <c r="P45" s="453" t="e">
        <f aca="false">O45+P44</f>
        <v>#VALUE!</v>
      </c>
      <c r="Q45" s="453" t="e">
        <f aca="false">P45+Q44</f>
        <v>#VALUE!</v>
      </c>
      <c r="R45" s="453" t="e">
        <f aca="false">Q45+R44</f>
        <v>#VALUE!</v>
      </c>
      <c r="S45" s="453" t="e">
        <f aca="false">R45+S44</f>
        <v>#VALUE!</v>
      </c>
      <c r="T45" s="453" t="e">
        <f aca="false">S45+T44</f>
        <v>#VALUE!</v>
      </c>
      <c r="U45" s="453" t="e">
        <f aca="false">T45+U44</f>
        <v>#VALUE!</v>
      </c>
      <c r="V45" s="453" t="e">
        <f aca="false">U45+V44</f>
        <v>#VALUE!</v>
      </c>
      <c r="W45" s="453" t="e">
        <f aca="false">V45+W44</f>
        <v>#VALUE!</v>
      </c>
    </row>
    <row r="46" customFormat="false" ht="11.25" hidden="false" customHeight="false" outlineLevel="0" collapsed="false">
      <c r="A46" s="450"/>
      <c r="B46" s="450"/>
      <c r="C46" s="450"/>
      <c r="D46" s="450"/>
      <c r="E46" s="450"/>
      <c r="F46" s="450"/>
      <c r="G46" s="450"/>
      <c r="H46" s="450"/>
      <c r="I46" s="451"/>
      <c r="J46" s="451"/>
      <c r="K46" s="451"/>
      <c r="L46" s="451"/>
      <c r="M46" s="451"/>
      <c r="N46" s="451"/>
      <c r="O46" s="451"/>
      <c r="P46" s="451"/>
      <c r="Q46" s="451"/>
      <c r="R46" s="451"/>
      <c r="S46" s="451"/>
      <c r="T46" s="451"/>
      <c r="U46" s="451"/>
      <c r="V46" s="451"/>
      <c r="W46" s="451"/>
    </row>
    <row r="47" customFormat="false" ht="11.25" hidden="false" customHeight="false" outlineLevel="0" collapsed="false">
      <c r="A47" s="454" t="s">
        <v>428</v>
      </c>
      <c r="B47" s="454" t="e">
        <f aca="false">+C20</f>
        <v>#VALUE!</v>
      </c>
      <c r="C47" s="454" t="n">
        <f aca="false">+Debt!C13</f>
        <v>0</v>
      </c>
      <c r="D47" s="454" t="n">
        <f aca="false">+Debt!D13</f>
        <v>0</v>
      </c>
      <c r="E47" s="454" t="n">
        <f aca="false">+Debt!E13</f>
        <v>0</v>
      </c>
      <c r="F47" s="454" t="n">
        <f aca="false">+Debt!F13</f>
        <v>0</v>
      </c>
      <c r="G47" s="454" t="n">
        <f aca="false">+Debt!G13</f>
        <v>0</v>
      </c>
      <c r="H47" s="454" t="n">
        <f aca="false">+Debt!H13</f>
        <v>0</v>
      </c>
      <c r="I47" s="454" t="n">
        <f aca="false">+Debt!I13</f>
        <v>0</v>
      </c>
      <c r="J47" s="454" t="n">
        <f aca="false">+Debt!J13</f>
        <v>0</v>
      </c>
      <c r="K47" s="454" t="n">
        <f aca="false">+Debt!K13</f>
        <v>0</v>
      </c>
      <c r="L47" s="454" t="n">
        <f aca="false">+Debt!L13</f>
        <v>0</v>
      </c>
      <c r="M47" s="454" t="n">
        <f aca="false">+Debt!M13</f>
        <v>0</v>
      </c>
      <c r="N47" s="454" t="n">
        <f aca="false">+Debt!N13</f>
        <v>0</v>
      </c>
      <c r="O47" s="454" t="n">
        <f aca="false">+Debt!O13</f>
        <v>0</v>
      </c>
      <c r="P47" s="454" t="n">
        <f aca="false">+Debt!P13</f>
        <v>0</v>
      </c>
      <c r="Q47" s="454" t="n">
        <f aca="false">+Debt!Q13</f>
        <v>0</v>
      </c>
      <c r="R47" s="454" t="n">
        <f aca="false">+Debt!R13</f>
        <v>0</v>
      </c>
      <c r="S47" s="454" t="n">
        <f aca="false">+Debt!S13</f>
        <v>0</v>
      </c>
      <c r="T47" s="454" t="n">
        <f aca="false">+Debt!T13</f>
        <v>0</v>
      </c>
      <c r="U47" s="454" t="n">
        <f aca="false">+Debt!U13</f>
        <v>0</v>
      </c>
      <c r="V47" s="454" t="n">
        <f aca="false">+Debt!V13</f>
        <v>0</v>
      </c>
      <c r="W47" s="454" t="n">
        <f aca="false">+Debt!W13</f>
        <v>0</v>
      </c>
    </row>
    <row r="48" customFormat="false" ht="11.25" hidden="false" customHeight="false" outlineLevel="0" collapsed="false">
      <c r="A48" s="346" t="s">
        <v>429</v>
      </c>
      <c r="B48" s="455" t="n">
        <f aca="false">Assumptions!$L$9</f>
        <v>0.57</v>
      </c>
      <c r="C48" s="456" t="n">
        <v>0</v>
      </c>
      <c r="D48" s="457" t="n">
        <v>0</v>
      </c>
      <c r="E48" s="457" t="n">
        <f aca="false">+N32</f>
        <v>0.8</v>
      </c>
      <c r="F48" s="457" t="n">
        <v>0</v>
      </c>
      <c r="G48" s="457" t="n">
        <v>0</v>
      </c>
      <c r="H48" s="457" t="n">
        <v>0</v>
      </c>
      <c r="I48" s="457" t="n">
        <v>0</v>
      </c>
      <c r="J48" s="457" t="n">
        <v>0</v>
      </c>
      <c r="K48" s="457" t="n">
        <v>0</v>
      </c>
      <c r="L48" s="457" t="n">
        <v>0</v>
      </c>
      <c r="M48" s="457" t="n">
        <v>0</v>
      </c>
      <c r="N48" s="457" t="n">
        <v>0</v>
      </c>
      <c r="O48" s="457" t="n">
        <v>0</v>
      </c>
      <c r="P48" s="457" t="n">
        <v>0</v>
      </c>
      <c r="Q48" s="457" t="n">
        <v>0</v>
      </c>
      <c r="R48" s="457" t="n">
        <v>0</v>
      </c>
      <c r="S48" s="457" t="n">
        <v>0</v>
      </c>
      <c r="T48" s="457" t="n">
        <v>0</v>
      </c>
      <c r="U48" s="457" t="n">
        <v>0</v>
      </c>
      <c r="V48" s="457" t="n">
        <v>0</v>
      </c>
      <c r="W48" s="457" t="n">
        <v>0</v>
      </c>
    </row>
    <row r="49" customFormat="false" ht="11.25" hidden="false" customHeight="false" outlineLevel="0" collapsed="false">
      <c r="A49" s="346" t="s">
        <v>430</v>
      </c>
      <c r="B49" s="346" t="e">
        <f aca="false">+C19</f>
        <v>#VALUE!</v>
      </c>
      <c r="C49" s="458" t="n">
        <v>0</v>
      </c>
      <c r="D49" s="458" t="n">
        <v>0</v>
      </c>
      <c r="E49" s="459" t="n">
        <f aca="false">+L19</f>
        <v>0</v>
      </c>
      <c r="F49" s="458" t="n">
        <v>0</v>
      </c>
      <c r="G49" s="458" t="n">
        <v>0</v>
      </c>
      <c r="H49" s="458" t="n">
        <v>0</v>
      </c>
      <c r="I49" s="458" t="n">
        <v>0</v>
      </c>
      <c r="J49" s="458" t="n">
        <v>0</v>
      </c>
      <c r="K49" s="458" t="n">
        <v>0</v>
      </c>
      <c r="L49" s="458" t="n">
        <v>0</v>
      </c>
      <c r="M49" s="458" t="n">
        <v>0</v>
      </c>
      <c r="N49" s="458" t="n">
        <v>0</v>
      </c>
      <c r="O49" s="458" t="n">
        <v>0</v>
      </c>
      <c r="P49" s="458" t="n">
        <v>0</v>
      </c>
      <c r="Q49" s="458" t="n">
        <v>0</v>
      </c>
      <c r="R49" s="458" t="n">
        <v>0</v>
      </c>
      <c r="S49" s="458" t="n">
        <v>0</v>
      </c>
      <c r="T49" s="458" t="n">
        <v>0</v>
      </c>
      <c r="U49" s="458" t="n">
        <v>0</v>
      </c>
      <c r="V49" s="458" t="n">
        <v>0</v>
      </c>
      <c r="W49" s="458" t="n">
        <v>0</v>
      </c>
    </row>
    <row r="50" customFormat="false" ht="11.25" hidden="false" customHeight="false" outlineLevel="0" collapsed="false">
      <c r="A50" s="346" t="s">
        <v>399</v>
      </c>
      <c r="B50" s="346" t="e">
        <f aca="false">+C18</f>
        <v>#VALUE!</v>
      </c>
      <c r="C50" s="458" t="n">
        <f aca="false">+C47*C48</f>
        <v>0</v>
      </c>
      <c r="D50" s="458" t="n">
        <v>0</v>
      </c>
      <c r="E50" s="459" t="n">
        <f aca="false">+L18</f>
        <v>0</v>
      </c>
      <c r="F50" s="458" t="n">
        <f aca="false">+F47*F48</f>
        <v>0</v>
      </c>
      <c r="G50" s="458" t="n">
        <f aca="false">+G47*G48</f>
        <v>0</v>
      </c>
      <c r="H50" s="458" t="n">
        <f aca="false">+H47*H48</f>
        <v>0</v>
      </c>
      <c r="I50" s="458" t="n">
        <f aca="false">+I47*I48</f>
        <v>0</v>
      </c>
      <c r="J50" s="458" t="n">
        <f aca="false">+J47*J48</f>
        <v>0</v>
      </c>
      <c r="K50" s="458" t="n">
        <f aca="false">+K47*K48</f>
        <v>0</v>
      </c>
      <c r="L50" s="458" t="n">
        <f aca="false">+L47*L48</f>
        <v>0</v>
      </c>
      <c r="M50" s="458" t="n">
        <f aca="false">+M47*M48</f>
        <v>0</v>
      </c>
      <c r="N50" s="458" t="n">
        <f aca="false">+N47*N48</f>
        <v>0</v>
      </c>
      <c r="O50" s="458" t="n">
        <f aca="false">+O47*O48</f>
        <v>0</v>
      </c>
      <c r="P50" s="458" t="n">
        <f aca="false">+P47*P48</f>
        <v>0</v>
      </c>
      <c r="Q50" s="458" t="n">
        <f aca="false">+Q47*Q48</f>
        <v>0</v>
      </c>
      <c r="R50" s="458" t="n">
        <f aca="false">+R47*R48</f>
        <v>0</v>
      </c>
      <c r="S50" s="458" t="n">
        <f aca="false">+S47*S48</f>
        <v>0</v>
      </c>
      <c r="T50" s="458" t="n">
        <f aca="false">+T47*T48</f>
        <v>0</v>
      </c>
      <c r="U50" s="458" t="n">
        <f aca="false">+U47*U48</f>
        <v>0</v>
      </c>
      <c r="V50" s="458" t="n">
        <f aca="false">+V47*V48</f>
        <v>0</v>
      </c>
      <c r="W50" s="458" t="n">
        <f aca="false">+W47*W48</f>
        <v>0</v>
      </c>
    </row>
    <row r="51" customFormat="false" ht="11.25" hidden="false" customHeight="false" outlineLevel="0" collapsed="false">
      <c r="A51" s="346" t="s">
        <v>421</v>
      </c>
      <c r="C51" s="460" t="n">
        <v>0.075</v>
      </c>
      <c r="D51" s="460" t="n">
        <v>0.075</v>
      </c>
      <c r="E51" s="461" t="n">
        <f aca="false">+N35</f>
        <v>0.075</v>
      </c>
      <c r="F51" s="460" t="n">
        <v>0.075</v>
      </c>
      <c r="G51" s="460" t="n">
        <v>0.075</v>
      </c>
      <c r="H51" s="460" t="n">
        <v>0.075</v>
      </c>
      <c r="I51" s="460" t="n">
        <v>0.075</v>
      </c>
      <c r="J51" s="460" t="n">
        <v>0.075</v>
      </c>
      <c r="K51" s="460" t="n">
        <v>0.075</v>
      </c>
      <c r="L51" s="460" t="n">
        <v>0.075</v>
      </c>
      <c r="M51" s="460" t="n">
        <v>0.075</v>
      </c>
      <c r="N51" s="460" t="n">
        <v>0.075</v>
      </c>
      <c r="O51" s="460" t="n">
        <v>0.075</v>
      </c>
      <c r="P51" s="460" t="n">
        <v>0.075</v>
      </c>
      <c r="Q51" s="460" t="n">
        <v>0.075</v>
      </c>
      <c r="R51" s="460" t="n">
        <v>0.075</v>
      </c>
      <c r="S51" s="460" t="n">
        <v>0.075</v>
      </c>
      <c r="T51" s="460" t="n">
        <v>0.075</v>
      </c>
      <c r="U51" s="460" t="n">
        <v>0.075</v>
      </c>
      <c r="V51" s="460" t="n">
        <v>0.075</v>
      </c>
      <c r="W51" s="460" t="n">
        <v>0.075</v>
      </c>
    </row>
    <row r="52" customFormat="false" ht="11.25" hidden="false" customHeight="false" outlineLevel="0" collapsed="false">
      <c r="A52" s="346" t="s">
        <v>420</v>
      </c>
      <c r="C52" s="462" t="n">
        <v>10</v>
      </c>
      <c r="D52" s="462" t="n">
        <v>10</v>
      </c>
      <c r="E52" s="459" t="n">
        <f aca="false">+N34</f>
        <v>17</v>
      </c>
      <c r="F52" s="462" t="n">
        <v>10</v>
      </c>
      <c r="G52" s="462" t="n">
        <v>10</v>
      </c>
      <c r="H52" s="462" t="n">
        <v>10</v>
      </c>
      <c r="I52" s="462" t="n">
        <v>10</v>
      </c>
      <c r="J52" s="462" t="n">
        <v>10</v>
      </c>
      <c r="K52" s="462" t="n">
        <v>10</v>
      </c>
      <c r="L52" s="462" t="n">
        <v>10</v>
      </c>
      <c r="M52" s="462" t="n">
        <v>10</v>
      </c>
      <c r="N52" s="462" t="n">
        <v>10</v>
      </c>
      <c r="O52" s="462" t="n">
        <v>10</v>
      </c>
      <c r="P52" s="462" t="n">
        <v>10</v>
      </c>
      <c r="Q52" s="462" t="n">
        <v>10</v>
      </c>
      <c r="R52" s="462" t="n">
        <v>10</v>
      </c>
      <c r="S52" s="462" t="n">
        <v>10</v>
      </c>
      <c r="T52" s="462" t="n">
        <v>10</v>
      </c>
      <c r="U52" s="462" t="n">
        <v>10</v>
      </c>
      <c r="V52" s="462" t="n">
        <v>10</v>
      </c>
      <c r="W52" s="462" t="n">
        <v>10</v>
      </c>
    </row>
    <row r="53" customFormat="false" ht="11.25" hidden="false" customHeight="false" outlineLevel="0" collapsed="false">
      <c r="A53" s="463" t="s">
        <v>431</v>
      </c>
    </row>
    <row r="54" customFormat="false" ht="11.25" hidden="false" customHeight="false" outlineLevel="0" collapsed="false">
      <c r="A54" s="346" t="s">
        <v>432</v>
      </c>
      <c r="C54" s="459"/>
      <c r="D54" s="464" t="n">
        <f aca="false">+IF(ISERROR(PPMT($C$51,D$41-1999,$C$52,$C$50)),0,PPMT($C$51,D$41-1999,$C$52,$C$50))</f>
        <v>0</v>
      </c>
      <c r="E54" s="464" t="n">
        <f aca="false">+IF(ISERROR(PPMT($C$51,E$41-1999,$C$52,$C$50)),0,PPMT($C$51,E$41-1999,$C$52,$C$50))</f>
        <v>0</v>
      </c>
      <c r="F54" s="464" t="n">
        <f aca="false">+IF(ISERROR(PPMT($C$51,F$41-1999,$C$52,$C$50)),0,PPMT($C$51,F$41-1999,$C$52,$C$50))</f>
        <v>0</v>
      </c>
      <c r="G54" s="464" t="n">
        <f aca="false">+IF(ISERROR(PPMT($C$51,G$41-1999,$C$52,$C$50)),0,PPMT($C$51,G$41-1999,$C$52,$C$50))</f>
        <v>0</v>
      </c>
      <c r="H54" s="464" t="n">
        <f aca="false">+IF(ISERROR(PPMT($C$51,H$41-1999,$C$52,$C$50)),0,PPMT($C$51,H$41-1999,$C$52,$C$50))</f>
        <v>0</v>
      </c>
      <c r="I54" s="464" t="n">
        <f aca="false">+IF(ISERROR(PPMT($C$51,I$41-1999,$C$52,$C$50)),0,PPMT($C$51,I$41-1999,$C$52,$C$50))</f>
        <v>0</v>
      </c>
      <c r="J54" s="464" t="n">
        <f aca="false">+IF(ISERROR(PPMT($C$51,J$41-1999,$C$52,$C$50)),0,PPMT($C$51,J$41-1999,$C$52,$C$50))</f>
        <v>0</v>
      </c>
      <c r="K54" s="464" t="n">
        <f aca="false">+IF(ISERROR(PPMT($C$51,K$41-1999,$C$52,$C$50)),0,PPMT($C$51,K$41-1999,$C$52,$C$50))</f>
        <v>0</v>
      </c>
      <c r="L54" s="464" t="n">
        <f aca="false">+IF(ISERROR(PPMT($C$51,L$41-1999,$C$52,$C$50)),0,PPMT($C$51,L$41-1999,$C$52,$C$50))</f>
        <v>0</v>
      </c>
      <c r="M54" s="464" t="n">
        <f aca="false">+IF(ISERROR(PPMT($C$51,M$41-1999,$C$52,$C$50)),0,PPMT($C$51,M$41-1999,$C$52,$C$50))</f>
        <v>0</v>
      </c>
      <c r="N54" s="464" t="n">
        <f aca="false">+IF(ISERROR(PPMT($C$51,N$41-1999,$C$52,$C$50)),0,PPMT($C$51,N$41-1999,$C$52,$C$50))</f>
        <v>0</v>
      </c>
      <c r="O54" s="464" t="n">
        <f aca="false">+IF(ISERROR(PPMT($C$51,O$41-1999,$C$52,$C$50)),0,PPMT($C$51,O$41-1999,$C$52,$C$50))</f>
        <v>0</v>
      </c>
      <c r="P54" s="464" t="n">
        <f aca="false">+IF(ISERROR(PPMT($C$51,P$41-1999,$C$52,$C$50)),0,PPMT($C$51,P$41-1999,$C$52,$C$50))</f>
        <v>0</v>
      </c>
      <c r="Q54" s="464" t="n">
        <f aca="false">+IF(ISERROR(PPMT($C$51,Q$41-1999,$C$52,$C$50)),0,PPMT($C$51,Q$41-1999,$C$52,$C$50))</f>
        <v>0</v>
      </c>
      <c r="R54" s="464" t="n">
        <f aca="false">+IF(ISERROR(PPMT($C$51,R$41-1999,$C$52,$C$50)),0,PPMT($C$51,R$41-1999,$C$52,$C$50))</f>
        <v>0</v>
      </c>
      <c r="S54" s="464" t="n">
        <f aca="false">+IF(ISERROR(PPMT($C$51,S$41-1999,$C$52,$C$50)),0,PPMT($C$51,S$41-1999,$C$52,$C$50))</f>
        <v>0</v>
      </c>
      <c r="T54" s="464" t="n">
        <f aca="false">+IF(ISERROR(PPMT($C$51,T$41-1999,$C$52,$C$50)),0,PPMT($C$51,T$41-1999,$C$52,$C$50))</f>
        <v>0</v>
      </c>
      <c r="U54" s="464" t="n">
        <f aca="false">+IF(ISERROR(PPMT($C$51,U$41-1999,$C$52,$C$50)),0,PPMT($C$51,U$41-1999,$C$52,$C$50))</f>
        <v>0</v>
      </c>
      <c r="V54" s="464" t="n">
        <f aca="false">+IF(ISERROR(PPMT($C$51,V$41-1999,$C$52,$C$50)),0,PPMT($C$51,V$41-1999,$C$52,$C$50))</f>
        <v>0</v>
      </c>
      <c r="W54" s="464" t="n">
        <f aca="false">+IF(ISERROR(PPMT($C$51,W$41-1999,$C$52,$C$50)),0,PPMT($C$51,W$41-1999,$C$52,$C$50))</f>
        <v>0</v>
      </c>
    </row>
    <row r="55" customFormat="false" ht="11.25" hidden="false" customHeight="false" outlineLevel="0" collapsed="false">
      <c r="A55" s="346" t="s">
        <v>433</v>
      </c>
      <c r="C55" s="459"/>
      <c r="D55" s="464"/>
      <c r="E55" s="464" t="n">
        <f aca="false">+IF(ISERROR(PPMT($D$51,E$41-2000,$D$52,$D$50)),0,PPMT($D$51,E$41-2000,$D$52,$D$50))</f>
        <v>0</v>
      </c>
      <c r="F55" s="464" t="n">
        <f aca="false">+IF(ISERROR(PPMT($D$51,F$41-2000,$D$52,$D$50)),0,PPMT($D$51,F$41-2000,$D$52,$D$50))</f>
        <v>0</v>
      </c>
      <c r="G55" s="464" t="n">
        <f aca="false">+IF(ISERROR(PPMT($D$51,G$41-2000,$D$52,$D$50)),0,PPMT($D$51,G$41-2000,$D$52,$D$50))</f>
        <v>0</v>
      </c>
      <c r="H55" s="464" t="n">
        <f aca="false">+IF(ISERROR(PPMT($D$51,H$41-2000,$D$52,$D$50)),0,PPMT($D$51,H$41-2000,$D$52,$D$50))</f>
        <v>0</v>
      </c>
      <c r="I55" s="464" t="n">
        <f aca="false">+IF(ISERROR(PPMT($D$51,I$41-2000,$D$52,$D$50)),0,PPMT($D$51,I$41-2000,$D$52,$D$50))</f>
        <v>0</v>
      </c>
      <c r="J55" s="464" t="n">
        <f aca="false">+IF(ISERROR(PPMT($D$51,J$41-2000,$D$52,$D$50)),0,PPMT($D$51,J$41-2000,$D$52,$D$50))</f>
        <v>0</v>
      </c>
      <c r="K55" s="464" t="n">
        <f aca="false">+IF(ISERROR(PPMT($D$51,K$41-2000,$D$52,$D$50)),0,PPMT($D$51,K$41-2000,$D$52,$D$50))</f>
        <v>0</v>
      </c>
      <c r="L55" s="464" t="n">
        <f aca="false">+IF(ISERROR(PPMT($D$51,L$41-2000,$D$52,$D$50)),0,PPMT($D$51,L$41-2000,$D$52,$D$50))</f>
        <v>0</v>
      </c>
      <c r="M55" s="464" t="n">
        <f aca="false">+IF(ISERROR(PPMT($D$51,M$41-2000,$D$52,$D$50)),0,PPMT($D$51,M$41-2000,$D$52,$D$50))</f>
        <v>0</v>
      </c>
      <c r="N55" s="464" t="n">
        <f aca="false">+IF(ISERROR(PPMT($D$51,N$41-2000,$D$52,$D$50)),0,PPMT($D$51,N$41-2000,$D$52,$D$50))</f>
        <v>0</v>
      </c>
      <c r="O55" s="464" t="n">
        <f aca="false">+IF(ISERROR(PPMT($D$51,O$41-2000,$D$52,$D$50)),0,PPMT($D$51,O$41-2000,$D$52,$D$50))</f>
        <v>0</v>
      </c>
      <c r="P55" s="464" t="n">
        <f aca="false">+IF(ISERROR(PPMT($D$51,P$41-2000,$D$52,$D$50)),0,PPMT($D$51,P$41-2000,$D$52,$D$50))</f>
        <v>0</v>
      </c>
      <c r="Q55" s="464" t="n">
        <f aca="false">+IF(ISERROR(PPMT($D$51,Q$41-2000,$D$52,$D$50)),0,PPMT($D$51,Q$41-2000,$D$52,$D$50))</f>
        <v>0</v>
      </c>
      <c r="R55" s="464" t="n">
        <f aca="false">+IF(ISERROR(PPMT($D$51,R$41-2000,$D$52,$D$50)),0,PPMT($D$51,R$41-2000,$D$52,$D$50))</f>
        <v>0</v>
      </c>
      <c r="S55" s="464" t="n">
        <f aca="false">+IF(ISERROR(PPMT($D$51,S$41-2000,$D$52,$D$50)),0,PPMT($D$51,S$41-2000,$D$52,$D$50))</f>
        <v>0</v>
      </c>
      <c r="T55" s="464" t="n">
        <f aca="false">+IF(ISERROR(PPMT($D$51,T$41-2000,$D$52,$D$50)),0,PPMT($D$51,T$41-2000,$D$52,$D$50))</f>
        <v>0</v>
      </c>
      <c r="U55" s="464" t="n">
        <f aca="false">+IF(ISERROR(PPMT($D$51,U$41-2000,$D$52,$D$50)),0,PPMT($D$51,U$41-2000,$D$52,$D$50))</f>
        <v>0</v>
      </c>
      <c r="V55" s="464" t="n">
        <f aca="false">+IF(ISERROR(PPMT($D$51,V$41-2000,$D$52,$D$50)),0,PPMT($D$51,V$41-2000,$D$52,$D$50))</f>
        <v>0</v>
      </c>
      <c r="W55" s="464" t="n">
        <f aca="false">+IF(ISERROR(PPMT($D$51,W$41-2000,$D$52,$D$50)),0,PPMT($D$51,W$41-2000,$D$52,$D$50))</f>
        <v>0</v>
      </c>
    </row>
    <row r="56" customFormat="false" ht="11.25" hidden="false" customHeight="false" outlineLevel="0" collapsed="false">
      <c r="A56" s="346" t="s">
        <v>434</v>
      </c>
      <c r="C56" s="459"/>
      <c r="D56" s="459"/>
      <c r="E56" s="464"/>
      <c r="F56" s="464" t="n">
        <f aca="false">+IF(ISERROR(PPMT($E$51,F$41-2001,$E$52,$E$50)),0,PPMT($E$51,F$41-2001,$E$52,$E$50))</f>
        <v>0</v>
      </c>
      <c r="G56" s="464" t="n">
        <f aca="false">+IF(ISERROR(PPMT($E$51,G$41-2001,$E$52,$E$50)),0,PPMT($E$51,G$41-2001,$E$52,$E$50))</f>
        <v>0</v>
      </c>
      <c r="H56" s="464" t="n">
        <f aca="false">+IF(ISERROR(PPMT($E$51,H$41-2001,$E$52,$E$50)),0,PPMT($E$51,H$41-2001,$E$52,$E$50))</f>
        <v>0</v>
      </c>
      <c r="I56" s="464" t="n">
        <f aca="false">+IF(ISERROR(PPMT($E$51,I$41-2001,$E$52,$E$50)),0,PPMT($E$51,I$41-2001,$E$52,$E$50))</f>
        <v>0</v>
      </c>
      <c r="J56" s="464" t="n">
        <f aca="false">+IF(ISERROR(PPMT($E$51,J$41-2001,$E$52,$E$50)),0,PPMT($E$51,J$41-2001,$E$52,$E$50))</f>
        <v>0</v>
      </c>
      <c r="K56" s="464" t="n">
        <f aca="false">+IF(ISERROR(PPMT($E$51,K$41-2001,$E$52,$E$50)),0,PPMT($E$51,K$41-2001,$E$52,$E$50))</f>
        <v>0</v>
      </c>
      <c r="L56" s="464" t="n">
        <f aca="false">+IF(ISERROR(PPMT($E$51,L$41-2001,$E$52,$E$50)),0,PPMT($E$51,L$41-2001,$E$52,$E$50))</f>
        <v>0</v>
      </c>
      <c r="M56" s="464" t="n">
        <f aca="false">+IF(ISERROR(PPMT($E$51,M$41-2001,$E$52,$E$50)),0,PPMT($E$51,M$41-2001,$E$52,$E$50))</f>
        <v>0</v>
      </c>
      <c r="N56" s="464" t="n">
        <f aca="false">+IF(ISERROR(PPMT($E$51,N$41-2001,$E$52,$E$50)),0,PPMT($E$51,N$41-2001,$E$52,$E$50))</f>
        <v>0</v>
      </c>
      <c r="O56" s="464" t="n">
        <f aca="false">+IF(ISERROR(PPMT($E$51,O$41-2001,$E$52,$E$50)),0,PPMT($E$51,O$41-2001,$E$52,$E$50))</f>
        <v>0</v>
      </c>
      <c r="P56" s="464" t="n">
        <f aca="false">+IF(ISERROR(PPMT($E$51,P$41-2001,$E$52,$E$50)),0,PPMT($E$51,P$41-2001,$E$52,$E$50))</f>
        <v>0</v>
      </c>
      <c r="Q56" s="464" t="n">
        <f aca="false">+IF(ISERROR(PPMT($E$51,Q$41-2001,$E$52,$E$50)),0,PPMT($E$51,Q$41-2001,$E$52,$E$50))</f>
        <v>0</v>
      </c>
      <c r="R56" s="464" t="n">
        <f aca="false">+IF(ISERROR(PPMT($E$51,R$41-2001,$E$52,$E$50)),0,PPMT($E$51,R$41-2001,$E$52,$E$50))</f>
        <v>0</v>
      </c>
      <c r="S56" s="464" t="n">
        <f aca="false">+IF(ISERROR(PPMT($E$51,S$41-2001,$E$52,$E$50)),0,PPMT($E$51,S$41-2001,$E$52,$E$50))</f>
        <v>0</v>
      </c>
      <c r="T56" s="464" t="n">
        <f aca="false">+IF(ISERROR(PPMT($E$51,T$41-2001,$E$52,$E$50)),0,PPMT($E$51,T$41-2001,$E$52,$E$50))</f>
        <v>0</v>
      </c>
      <c r="U56" s="464" t="n">
        <f aca="false">+IF(ISERROR(PPMT($E$51,U$41-2001,$E$52,$E$50)),0,PPMT($E$51,U$41-2001,$E$52,$E$50))</f>
        <v>0</v>
      </c>
      <c r="V56" s="464" t="n">
        <f aca="false">+IF(ISERROR(PPMT($E$51,V$41-2001,$E$52,$E$50)),0,PPMT($E$51,V$41-2001,$E$52,$E$50))</f>
        <v>0</v>
      </c>
      <c r="W56" s="464" t="n">
        <f aca="false">+IF(ISERROR(PPMT($E$51,W$41-2001,$E$52,$E$50)),0,PPMT($E$51,W$41-2001,$E$52,$E$50))</f>
        <v>0</v>
      </c>
    </row>
    <row r="57" customFormat="false" ht="11.25" hidden="false" customHeight="false" outlineLevel="0" collapsed="false">
      <c r="A57" s="346" t="s">
        <v>435</v>
      </c>
      <c r="C57" s="459"/>
      <c r="D57" s="459"/>
      <c r="E57" s="459"/>
      <c r="F57" s="464"/>
      <c r="G57" s="464" t="n">
        <f aca="false">+IF(ISERROR(PPMT($F$51,G$41-2002,$F$52,$F$50)),0,PPMT($F$51,G$41-2002,$F$52,$F$50))</f>
        <v>0</v>
      </c>
      <c r="H57" s="464" t="n">
        <f aca="false">+IF(ISERROR(PPMT($F$51,H$41-2002,$F$52,$F$50)),0,PPMT($F$51,H$41-2002,$F$52,$F$50))</f>
        <v>0</v>
      </c>
      <c r="I57" s="464" t="n">
        <f aca="false">+IF(ISERROR(PPMT($F$51,I$41-2002,$F$52,$F$50)),0,PPMT($F$51,I$41-2002,$F$52,$F$50))</f>
        <v>0</v>
      </c>
      <c r="J57" s="464" t="n">
        <f aca="false">+IF(ISERROR(PPMT($F$51,J$41-2002,$F$52,$F$50)),0,PPMT($F$51,J$41-2002,$F$52,$F$50))</f>
        <v>0</v>
      </c>
      <c r="K57" s="464" t="n">
        <f aca="false">+IF(ISERROR(PPMT($F$51,K$41-2002,$F$52,$F$50)),0,PPMT($F$51,K$41-2002,$F$52,$F$50))</f>
        <v>0</v>
      </c>
      <c r="L57" s="464" t="n">
        <f aca="false">+IF(ISERROR(PPMT($F$51,L$41-2002,$F$52,$F$50)),0,PPMT($F$51,L$41-2002,$F$52,$F$50))</f>
        <v>0</v>
      </c>
      <c r="M57" s="464" t="n">
        <f aca="false">+IF(ISERROR(PPMT($F$51,M$41-2002,$F$52,$F$50)),0,PPMT($F$51,M$41-2002,$F$52,$F$50))</f>
        <v>0</v>
      </c>
      <c r="N57" s="464" t="n">
        <f aca="false">+IF(ISERROR(PPMT($F$51,N$41-2002,$F$52,$F$50)),0,PPMT($F$51,N$41-2002,$F$52,$F$50))</f>
        <v>0</v>
      </c>
      <c r="O57" s="464" t="n">
        <f aca="false">+IF(ISERROR(PPMT($F$51,O$41-2002,$F$52,$F$50)),0,PPMT($F$51,O$41-2002,$F$52,$F$50))</f>
        <v>0</v>
      </c>
      <c r="P57" s="464" t="n">
        <f aca="false">+IF(ISERROR(PPMT($F$51,P$41-2002,$F$52,$F$50)),0,PPMT($F$51,P$41-2002,$F$52,$F$50))</f>
        <v>0</v>
      </c>
      <c r="Q57" s="464" t="n">
        <f aca="false">+IF(ISERROR(PPMT($F$51,Q$41-2002,$F$52,$F$50)),0,PPMT($F$51,Q$41-2002,$F$52,$F$50))</f>
        <v>0</v>
      </c>
      <c r="R57" s="464" t="n">
        <f aca="false">+IF(ISERROR(PPMT($F$51,R$41-2002,$F$52,$F$50)),0,PPMT($F$51,R$41-2002,$F$52,$F$50))</f>
        <v>0</v>
      </c>
      <c r="S57" s="464" t="n">
        <f aca="false">+IF(ISERROR(PPMT($F$51,S$41-2002,$F$52,$F$50)),0,PPMT($F$51,S$41-2002,$F$52,$F$50))</f>
        <v>0</v>
      </c>
      <c r="T57" s="464" t="n">
        <f aca="false">+IF(ISERROR(PPMT($F$51,T$41-2002,$F$52,$F$50)),0,PPMT($F$51,T$41-2002,$F$52,$F$50))</f>
        <v>0</v>
      </c>
      <c r="U57" s="464" t="n">
        <f aca="false">+IF(ISERROR(PPMT($F$51,U$41-2002,$F$52,$F$50)),0,PPMT($F$51,U$41-2002,$F$52,$F$50))</f>
        <v>0</v>
      </c>
      <c r="V57" s="464" t="n">
        <f aca="false">+IF(ISERROR(PPMT($F$51,V$41-2002,$F$52,$F$50)),0,PPMT($F$51,V$41-2002,$F$52,$F$50))</f>
        <v>0</v>
      </c>
      <c r="W57" s="464" t="n">
        <f aca="false">+IF(ISERROR(PPMT($F$51,W$41-2002,$F$52,$F$50)),0,PPMT($F$51,W$41-2002,$F$52,$F$50))</f>
        <v>0</v>
      </c>
    </row>
    <row r="58" customFormat="false" ht="11.25" hidden="false" customHeight="false" outlineLevel="0" collapsed="false">
      <c r="A58" s="346" t="s">
        <v>436</v>
      </c>
      <c r="C58" s="459"/>
      <c r="D58" s="459"/>
      <c r="E58" s="459"/>
      <c r="F58" s="459"/>
      <c r="G58" s="464"/>
      <c r="H58" s="464" t="n">
        <f aca="false">+IF(ISERROR(PPMT($G$51,H$41-2003,$G$52,$G$50)),0,PPMT($G$51,H$41-2003,$G$52,$G$50))</f>
        <v>0</v>
      </c>
      <c r="I58" s="464" t="n">
        <f aca="false">+IF(ISERROR(PPMT($G$51,I$41-2003,$G$52,$G$50)),0,PPMT($G$51,I$41-2003,$G$52,$G$50))</f>
        <v>0</v>
      </c>
      <c r="J58" s="464" t="n">
        <f aca="false">+IF(ISERROR(PPMT($G$51,J$41-2003,$G$52,$G$50)),0,PPMT($G$51,J$41-2003,$G$52,$G$50))</f>
        <v>0</v>
      </c>
      <c r="K58" s="464" t="n">
        <f aca="false">+IF(ISERROR(PPMT($G$51,K$41-2003,$G$52,$G$50)),0,PPMT($G$51,K$41-2003,$G$52,$G$50))</f>
        <v>0</v>
      </c>
      <c r="L58" s="464" t="n">
        <f aca="false">+IF(ISERROR(PPMT($G$51,L$41-2003,$G$52,$G$50)),0,PPMT($G$51,L$41-2003,$G$52,$G$50))</f>
        <v>0</v>
      </c>
      <c r="M58" s="464" t="n">
        <f aca="false">+IF(ISERROR(PPMT($G$51,M$41-2003,$G$52,$G$50)),0,PPMT($G$51,M$41-2003,$G$52,$G$50))</f>
        <v>0</v>
      </c>
      <c r="N58" s="464" t="n">
        <f aca="false">+IF(ISERROR(PPMT($G$51,N$41-2003,$G$52,$G$50)),0,PPMT($G$51,N$41-2003,$G$52,$G$50))</f>
        <v>0</v>
      </c>
      <c r="O58" s="464" t="n">
        <f aca="false">+IF(ISERROR(PPMT($G$51,O$41-2003,$G$52,$G$50)),0,PPMT($G$51,O$41-2003,$G$52,$G$50))</f>
        <v>0</v>
      </c>
      <c r="P58" s="464" t="n">
        <f aca="false">+IF(ISERROR(PPMT($G$51,P$41-2003,$G$52,$G$50)),0,PPMT($G$51,P$41-2003,$G$52,$G$50))</f>
        <v>0</v>
      </c>
      <c r="Q58" s="464" t="n">
        <f aca="false">+IF(ISERROR(PPMT($G$51,Q$41-2003,$G$52,$G$50)),0,PPMT($G$51,Q$41-2003,$G$52,$G$50))</f>
        <v>0</v>
      </c>
      <c r="R58" s="464" t="n">
        <f aca="false">+IF(ISERROR(PPMT($G$51,R$41-2003,$G$52,$G$50)),0,PPMT($G$51,R$41-2003,$G$52,$G$50))</f>
        <v>0</v>
      </c>
      <c r="S58" s="464" t="n">
        <f aca="false">+IF(ISERROR(PPMT($G$51,S$41-2003,$G$52,$G$50)),0,PPMT($G$51,S$41-2003,$G$52,$G$50))</f>
        <v>0</v>
      </c>
      <c r="T58" s="464" t="n">
        <f aca="false">+IF(ISERROR(PPMT($G$51,T$41-2003,$G$52,$G$50)),0,PPMT($G$51,T$41-2003,$G$52,$G$50))</f>
        <v>0</v>
      </c>
      <c r="U58" s="464" t="n">
        <f aca="false">+IF(ISERROR(PPMT($G$51,U$41-2003,$G$52,$G$50)),0,PPMT($G$51,U$41-2003,$G$52,$G$50))</f>
        <v>0</v>
      </c>
      <c r="V58" s="464" t="n">
        <f aca="false">+IF(ISERROR(PPMT($G$51,V$41-2003,$G$52,$G$50)),0,PPMT($G$51,V$41-2003,$G$52,$G$50))</f>
        <v>0</v>
      </c>
      <c r="W58" s="464" t="n">
        <f aca="false">+IF(ISERROR(PPMT($G$51,W$41-2003,$G$52,$G$50)),0,PPMT($G$51,W$41-2003,$G$52,$G$50))</f>
        <v>0</v>
      </c>
    </row>
    <row r="59" customFormat="false" ht="11.25" hidden="false" customHeight="false" outlineLevel="0" collapsed="false">
      <c r="A59" s="346" t="s">
        <v>437</v>
      </c>
      <c r="C59" s="459"/>
      <c r="D59" s="459"/>
      <c r="E59" s="459"/>
      <c r="F59" s="459"/>
      <c r="G59" s="459"/>
      <c r="H59" s="464"/>
      <c r="I59" s="464" t="n">
        <f aca="false">+IF(ISERROR(PPMT($H$51,I$41-2004,$H$52,$H$50)),0,PPMT($H$51,I$41-2004,$H$52,$H$50))</f>
        <v>0</v>
      </c>
      <c r="J59" s="464" t="n">
        <f aca="false">+IF(ISERROR(PPMT($H$51,J$41-2004,$H$52,$H$50)),0,PPMT($H$51,J$41-2004,$H$52,$H$50))</f>
        <v>0</v>
      </c>
      <c r="K59" s="464" t="n">
        <f aca="false">+IF(ISERROR(PPMT($H$51,K$41-2004,$H$52,$H$50)),0,PPMT($H$51,K$41-2004,$H$52,$H$50))</f>
        <v>0</v>
      </c>
      <c r="L59" s="464" t="n">
        <f aca="false">+IF(ISERROR(PPMT($H$51,L$41-2004,$H$52,$H$50)),0,PPMT($H$51,L$41-2004,$H$52,$H$50))</f>
        <v>0</v>
      </c>
      <c r="M59" s="464" t="n">
        <f aca="false">+IF(ISERROR(PPMT($H$51,M$41-2004,$H$52,$H$50)),0,PPMT($H$51,M$41-2004,$H$52,$H$50))</f>
        <v>0</v>
      </c>
      <c r="N59" s="464" t="n">
        <f aca="false">+IF(ISERROR(PPMT($H$51,N$41-2004,$H$52,$H$50)),0,PPMT($H$51,N$41-2004,$H$52,$H$50))</f>
        <v>0</v>
      </c>
      <c r="O59" s="464" t="n">
        <f aca="false">+IF(ISERROR(PPMT($H$51,O$41-2004,$H$52,$H$50)),0,PPMT($H$51,O$41-2004,$H$52,$H$50))</f>
        <v>0</v>
      </c>
      <c r="P59" s="464" t="n">
        <f aca="false">+IF(ISERROR(PPMT($H$51,P$41-2004,$H$52,$H$50)),0,PPMT($H$51,P$41-2004,$H$52,$H$50))</f>
        <v>0</v>
      </c>
      <c r="Q59" s="464" t="n">
        <f aca="false">+IF(ISERROR(PPMT($H$51,Q$41-2004,$H$52,$H$50)),0,PPMT($H$51,Q$41-2004,$H$52,$H$50))</f>
        <v>0</v>
      </c>
      <c r="R59" s="464" t="n">
        <f aca="false">+IF(ISERROR(PPMT($H$51,R$41-2004,$H$52,$H$50)),0,PPMT($H$51,R$41-2004,$H$52,$H$50))</f>
        <v>0</v>
      </c>
      <c r="S59" s="464" t="n">
        <f aca="false">+IF(ISERROR(PPMT($H$51,S$41-2004,$H$52,$H$50)),0,PPMT($H$51,S$41-2004,$H$52,$H$50))</f>
        <v>0</v>
      </c>
      <c r="T59" s="464" t="n">
        <f aca="false">+IF(ISERROR(PPMT($H$51,T$41-2004,$H$52,$H$50)),0,PPMT($H$51,T$41-2004,$H$52,$H$50))</f>
        <v>0</v>
      </c>
      <c r="U59" s="464" t="n">
        <f aca="false">+IF(ISERROR(PPMT($H$51,U$41-2004,$H$52,$H$50)),0,PPMT($H$51,U$41-2004,$H$52,$H$50))</f>
        <v>0</v>
      </c>
      <c r="V59" s="464" t="n">
        <f aca="false">+IF(ISERROR(PPMT($H$51,V$41-2004,$H$52,$H$50)),0,PPMT($H$51,V$41-2004,$H$52,$H$50))</f>
        <v>0</v>
      </c>
      <c r="W59" s="464" t="n">
        <f aca="false">+IF(ISERROR(PPMT($H$51,W$41-2004,$H$52,$H$50)),0,PPMT($H$51,W$41-2004,$H$52,$H$50))</f>
        <v>0</v>
      </c>
    </row>
    <row r="60" customFormat="false" ht="11.25" hidden="false" customHeight="false" outlineLevel="0" collapsed="false">
      <c r="A60" s="346" t="s">
        <v>438</v>
      </c>
      <c r="C60" s="465" t="n">
        <f aca="false">+SUM(C54:C59)</f>
        <v>0</v>
      </c>
      <c r="D60" s="465" t="n">
        <f aca="false">+SUM(D54:D59)</f>
        <v>0</v>
      </c>
      <c r="E60" s="465" t="n">
        <f aca="false">+SUM(E54:E59)</f>
        <v>0</v>
      </c>
      <c r="F60" s="465" t="n">
        <f aca="false">+SUM(F54:F59)</f>
        <v>0</v>
      </c>
      <c r="G60" s="465" t="n">
        <f aca="false">+SUM(G54:G59)</f>
        <v>0</v>
      </c>
      <c r="H60" s="465" t="n">
        <f aca="false">+SUM(H54:H59)</f>
        <v>0</v>
      </c>
      <c r="I60" s="465" t="n">
        <f aca="false">+SUM(I54:I59)</f>
        <v>0</v>
      </c>
      <c r="J60" s="465" t="n">
        <f aca="false">+SUM(J54:J59)</f>
        <v>0</v>
      </c>
      <c r="K60" s="465" t="n">
        <f aca="false">+SUM(K54:K59)</f>
        <v>0</v>
      </c>
      <c r="L60" s="465" t="n">
        <f aca="false">+SUM(L54:L59)</f>
        <v>0</v>
      </c>
      <c r="M60" s="465" t="n">
        <f aca="false">+SUM(M54:M59)</f>
        <v>0</v>
      </c>
      <c r="N60" s="465" t="n">
        <f aca="false">+SUM(N54:N59)</f>
        <v>0</v>
      </c>
      <c r="O60" s="465" t="n">
        <f aca="false">+SUM(O54:O59)</f>
        <v>0</v>
      </c>
      <c r="P60" s="465" t="n">
        <f aca="false">+SUM(P54:P59)</f>
        <v>0</v>
      </c>
      <c r="Q60" s="465" t="n">
        <f aca="false">+SUM(Q54:Q59)</f>
        <v>0</v>
      </c>
      <c r="R60" s="465" t="n">
        <f aca="false">+SUM(R54:R59)</f>
        <v>0</v>
      </c>
      <c r="S60" s="465" t="n">
        <f aca="false">+SUM(S54:S59)</f>
        <v>0</v>
      </c>
      <c r="T60" s="465" t="n">
        <f aca="false">+SUM(T54:T59)</f>
        <v>0</v>
      </c>
      <c r="U60" s="465" t="n">
        <f aca="false">+SUM(U54:U59)</f>
        <v>0</v>
      </c>
      <c r="V60" s="465" t="n">
        <f aca="false">+SUM(V54:V59)</f>
        <v>0</v>
      </c>
      <c r="W60" s="465" t="n">
        <f aca="false">+SUM(W54:W59)</f>
        <v>0</v>
      </c>
    </row>
    <row r="62" customFormat="false" ht="12" hidden="false" customHeight="false" outlineLevel="0" collapsed="false">
      <c r="B62" s="347"/>
      <c r="C62" s="347"/>
    </row>
    <row r="63" customFormat="false" ht="18" hidden="false" customHeight="false" outlineLevel="0" collapsed="false">
      <c r="A63" s="387" t="s">
        <v>439</v>
      </c>
      <c r="B63" s="389"/>
      <c r="C63" s="389"/>
      <c r="D63" s="389"/>
      <c r="E63" s="389"/>
      <c r="F63" s="389"/>
      <c r="G63" s="390"/>
    </row>
    <row r="64" customFormat="false" ht="11.25" hidden="false" customHeight="false" outlineLevel="0" collapsed="false">
      <c r="A64" s="350"/>
      <c r="B64" s="347"/>
      <c r="C64" s="347"/>
      <c r="D64" s="347"/>
      <c r="E64" s="347"/>
      <c r="F64" s="347"/>
      <c r="G64" s="351"/>
    </row>
    <row r="65" customFormat="false" ht="11.25" hidden="false" customHeight="false" outlineLevel="0" collapsed="false">
      <c r="A65" s="350" t="s">
        <v>440</v>
      </c>
      <c r="B65" s="347"/>
      <c r="C65" s="347"/>
      <c r="D65" s="347"/>
      <c r="E65" s="466" t="e">
        <f aca="false">+Template!J252</f>
        <v>#VALUE!</v>
      </c>
      <c r="F65" s="347"/>
      <c r="G65" s="351"/>
    </row>
    <row r="66" customFormat="false" ht="11.25" hidden="false" customHeight="false" outlineLevel="0" collapsed="false">
      <c r="A66" s="350" t="s">
        <v>441</v>
      </c>
      <c r="B66" s="347"/>
      <c r="C66" s="347"/>
      <c r="D66" s="347"/>
      <c r="E66" s="466" t="e">
        <f aca="false">+Template!J255</f>
        <v>#VALUE!</v>
      </c>
      <c r="F66" s="347"/>
      <c r="G66" s="351"/>
    </row>
    <row r="67" customFormat="false" ht="12" hidden="false" customHeight="false" outlineLevel="0" collapsed="false">
      <c r="A67" s="350"/>
      <c r="B67" s="347"/>
      <c r="C67" s="347"/>
      <c r="D67" s="347"/>
      <c r="E67" s="467"/>
      <c r="F67" s="347"/>
      <c r="G67" s="351"/>
    </row>
    <row r="68" customFormat="false" ht="12.75" hidden="false" customHeight="false" outlineLevel="0" collapsed="false">
      <c r="A68" s="468" t="s">
        <v>442</v>
      </c>
      <c r="B68" s="469"/>
      <c r="C68" s="469"/>
      <c r="D68" s="470"/>
      <c r="E68" s="471" t="n">
        <f aca="false">+Template!H$3</f>
        <v>37802</v>
      </c>
      <c r="F68" s="472" t="s">
        <v>443</v>
      </c>
      <c r="G68" s="351"/>
    </row>
    <row r="69" customFormat="false" ht="12" hidden="false" customHeight="false" outlineLevel="0" collapsed="false">
      <c r="A69" s="473" t="s">
        <v>444</v>
      </c>
      <c r="B69" s="347"/>
      <c r="C69" s="347"/>
      <c r="D69" s="347"/>
      <c r="E69" s="474" t="n">
        <v>30</v>
      </c>
      <c r="F69" s="475" t="e">
        <f aca="false">+$E$65*E69/365</f>
        <v>#VALUE!</v>
      </c>
      <c r="G69" s="351"/>
    </row>
    <row r="70" customFormat="false" ht="11.25" hidden="false" customHeight="false" outlineLevel="0" collapsed="false">
      <c r="A70" s="473" t="s">
        <v>445</v>
      </c>
      <c r="B70" s="347"/>
      <c r="C70" s="347"/>
      <c r="D70" s="347"/>
      <c r="E70" s="474" t="n">
        <v>30</v>
      </c>
      <c r="F70" s="475" t="e">
        <f aca="false">+$E$65*E70/365</f>
        <v>#VALUE!</v>
      </c>
      <c r="G70" s="351"/>
    </row>
    <row r="71" customFormat="false" ht="11.25" hidden="false" customHeight="false" outlineLevel="0" collapsed="false">
      <c r="A71" s="473" t="s">
        <v>446</v>
      </c>
      <c r="B71" s="347"/>
      <c r="C71" s="347"/>
      <c r="D71" s="347"/>
      <c r="E71" s="474" t="n">
        <v>0</v>
      </c>
      <c r="F71" s="475" t="n">
        <f aca="false">IF(E71=0,0,+E66/E71)</f>
        <v>0</v>
      </c>
      <c r="G71" s="351" t="e">
        <f aca="false">+SUM(F69:F71)</f>
        <v>#VALUE!</v>
      </c>
    </row>
    <row r="72" customFormat="false" ht="11.25" hidden="false" customHeight="false" outlineLevel="0" collapsed="false">
      <c r="A72" s="473" t="s">
        <v>447</v>
      </c>
      <c r="B72" s="347"/>
      <c r="C72" s="347"/>
      <c r="D72" s="347"/>
      <c r="E72" s="476" t="n">
        <v>0</v>
      </c>
      <c r="F72" s="477" t="n">
        <f aca="false">+E72/SUM($E$69:$E$75)</f>
        <v>0</v>
      </c>
      <c r="G72" s="351"/>
      <c r="L72" s="347"/>
      <c r="M72" s="347"/>
    </row>
    <row r="73" customFormat="false" ht="11.25" hidden="false" customHeight="false" outlineLevel="0" collapsed="false">
      <c r="A73" s="473" t="s">
        <v>448</v>
      </c>
      <c r="B73" s="347"/>
      <c r="C73" s="347"/>
      <c r="D73" s="347"/>
      <c r="E73" s="474" t="n">
        <v>30</v>
      </c>
      <c r="F73" s="478" t="e">
        <f aca="false">+E73*$E$66/365</f>
        <v>#VALUE!</v>
      </c>
      <c r="G73" s="351"/>
      <c r="H73" s="347"/>
      <c r="I73" s="347"/>
      <c r="J73" s="347"/>
      <c r="K73" s="347"/>
      <c r="L73" s="347"/>
      <c r="M73" s="347"/>
    </row>
    <row r="74" customFormat="false" ht="11.25" hidden="false" customHeight="false" outlineLevel="0" collapsed="false">
      <c r="A74" s="473" t="s">
        <v>449</v>
      </c>
      <c r="B74" s="347"/>
      <c r="C74" s="347"/>
      <c r="D74" s="347"/>
      <c r="E74" s="474" t="n">
        <v>31</v>
      </c>
      <c r="F74" s="475" t="e">
        <f aca="false">+E74/365*E65</f>
        <v>#VALUE!</v>
      </c>
      <c r="G74" s="351"/>
      <c r="H74" s="347"/>
      <c r="I74" s="347"/>
      <c r="J74" s="347"/>
      <c r="K74" s="479"/>
      <c r="L74" s="347"/>
      <c r="M74" s="347"/>
      <c r="N74" s="347"/>
    </row>
    <row r="75" customFormat="false" ht="11.25" hidden="false" customHeight="false" outlineLevel="0" collapsed="false">
      <c r="A75" s="473" t="s">
        <v>450</v>
      </c>
      <c r="B75" s="347"/>
      <c r="C75" s="347"/>
      <c r="D75" s="347"/>
      <c r="E75" s="476" t="n">
        <v>0</v>
      </c>
      <c r="F75" s="478" t="e">
        <f aca="false">+E75*$E$66/365</f>
        <v>#VALUE!</v>
      </c>
      <c r="G75" s="351" t="e">
        <f aca="false">+SUM(F73:F75)</f>
        <v>#VALUE!</v>
      </c>
      <c r="H75" s="347"/>
      <c r="I75" s="347"/>
      <c r="J75" s="347"/>
      <c r="K75" s="479"/>
      <c r="L75" s="347"/>
      <c r="M75" s="347"/>
      <c r="N75" s="347"/>
    </row>
    <row r="76" customFormat="false" ht="14.25" hidden="false" customHeight="true" outlineLevel="0" collapsed="false">
      <c r="A76" s="480" t="s">
        <v>451</v>
      </c>
      <c r="B76" s="410"/>
      <c r="C76" s="410"/>
      <c r="D76" s="410"/>
      <c r="E76" s="481" t="n">
        <f aca="false">+SUM(E69:E71)-SUM(E73:E74)</f>
        <v>-1</v>
      </c>
      <c r="F76" s="410" t="e">
        <f aca="false">+SUM(F69:F71)-SUM(F73:F74)</f>
        <v>#VALUE!</v>
      </c>
      <c r="G76" s="351"/>
      <c r="H76" s="347"/>
      <c r="I76" s="347"/>
      <c r="J76" s="347"/>
      <c r="K76" s="347"/>
      <c r="L76" s="347"/>
      <c r="M76" s="347"/>
      <c r="N76" s="347"/>
    </row>
    <row r="77" customFormat="false" ht="12" hidden="false" customHeight="false" outlineLevel="0" collapsed="false">
      <c r="A77" s="350" t="s">
        <v>452</v>
      </c>
      <c r="B77" s="347"/>
      <c r="C77" s="347"/>
      <c r="D77" s="347"/>
      <c r="E77" s="347" t="n">
        <f aca="false">+SUM(E69:E71)</f>
        <v>60</v>
      </c>
      <c r="F77" s="477" t="n">
        <f aca="false">+E77/E78</f>
        <v>0.983606557377049</v>
      </c>
      <c r="G77" s="351"/>
      <c r="L77" s="347"/>
      <c r="M77" s="347"/>
    </row>
    <row r="78" customFormat="false" ht="12" hidden="false" customHeight="false" outlineLevel="0" collapsed="false">
      <c r="A78" s="412" t="s">
        <v>453</v>
      </c>
      <c r="B78" s="424"/>
      <c r="C78" s="424"/>
      <c r="D78" s="424"/>
      <c r="E78" s="424" t="n">
        <f aca="false">+SUM(E73:E74)</f>
        <v>61</v>
      </c>
      <c r="F78" s="482" t="n">
        <v>1</v>
      </c>
      <c r="G78" s="414"/>
    </row>
    <row r="80" customFormat="false" ht="11.25" hidden="false" customHeight="false" outlineLevel="0" collapsed="false">
      <c r="A80" s="483" t="s">
        <v>454</v>
      </c>
      <c r="B80" s="484"/>
      <c r="C80" s="485"/>
      <c r="D80" s="485"/>
      <c r="E80" s="486"/>
      <c r="F80" s="486"/>
      <c r="G80" s="487"/>
      <c r="H80" s="487"/>
      <c r="I80" s="488"/>
      <c r="J80" s="488"/>
      <c r="K80" s="489"/>
      <c r="L80" s="490"/>
    </row>
    <row r="81" customFormat="false" ht="11.25" hidden="false" customHeight="false" outlineLevel="0" collapsed="false">
      <c r="A81" s="491"/>
      <c r="B81" s="492"/>
      <c r="C81" s="493"/>
      <c r="D81" s="493"/>
      <c r="E81" s="493"/>
      <c r="F81" s="494"/>
      <c r="G81" s="495"/>
      <c r="H81" s="496" t="s">
        <v>455</v>
      </c>
      <c r="I81" s="496" t="s">
        <v>456</v>
      </c>
      <c r="J81" s="496" t="s">
        <v>297</v>
      </c>
      <c r="K81" s="497"/>
      <c r="L81" s="498"/>
    </row>
    <row r="82" customFormat="false" ht="11.25" hidden="false" customHeight="false" outlineLevel="0" collapsed="false">
      <c r="A82" s="491"/>
      <c r="B82" s="499"/>
      <c r="C82" s="500" t="s">
        <v>457</v>
      </c>
      <c r="D82" s="501"/>
      <c r="E82" s="502" t="n">
        <f aca="false">Assumptions!$H$54</f>
        <v>479637.116332</v>
      </c>
      <c r="F82" s="499"/>
      <c r="G82" s="503" t="s">
        <v>458</v>
      </c>
      <c r="H82" s="504" t="n">
        <f aca="false">+MAX(D94:D99)</f>
        <v>119909.279083</v>
      </c>
      <c r="I82" s="504" t="n">
        <f aca="false">+MAX(F94:F99)</f>
        <v>4046.93816905125</v>
      </c>
      <c r="J82" s="504" t="n">
        <f aca="false">+SUM(H82:I82)</f>
        <v>123956.217252051</v>
      </c>
      <c r="K82" s="347"/>
      <c r="L82" s="505"/>
    </row>
    <row r="83" customFormat="false" ht="11.25" hidden="false" customHeight="false" outlineLevel="0" collapsed="false">
      <c r="A83" s="491"/>
      <c r="B83" s="499"/>
      <c r="C83" s="506" t="s">
        <v>459</v>
      </c>
      <c r="D83" s="493"/>
      <c r="E83" s="507" t="n">
        <f aca="false">Assumptions!F56</f>
        <v>0.09375</v>
      </c>
      <c r="F83" s="493"/>
      <c r="G83" s="503" t="s">
        <v>460</v>
      </c>
      <c r="H83" s="504" t="n">
        <f aca="false">+MAX(D100:D111)-H82</f>
        <v>239818.558166</v>
      </c>
      <c r="I83" s="504" t="n">
        <f aca="false">+MAX(F100:F111)-I82</f>
        <v>24281.6290143075</v>
      </c>
      <c r="J83" s="504" t="n">
        <f aca="false">+SUM(H83:I83)</f>
        <v>264100.187180307</v>
      </c>
      <c r="K83" s="347"/>
      <c r="L83" s="505"/>
    </row>
    <row r="84" customFormat="false" ht="11.25" hidden="false" customHeight="false" outlineLevel="0" collapsed="false">
      <c r="A84" s="491"/>
      <c r="B84" s="499"/>
      <c r="C84" s="506" t="s">
        <v>461</v>
      </c>
      <c r="D84" s="493"/>
      <c r="E84" s="508" t="n">
        <f aca="false">Assumptions!G58</f>
        <v>37.5</v>
      </c>
      <c r="F84" s="499"/>
      <c r="G84" s="503" t="s">
        <v>462</v>
      </c>
      <c r="H84" s="504" t="n">
        <f aca="false">+MAX(D112:D123)-SUM(H82:H83)</f>
        <v>119909.279083</v>
      </c>
      <c r="I84" s="504" t="n">
        <f aca="false">+MAX(F112:F123)-SUM(I82:I83)</f>
        <v>20234.6908452562</v>
      </c>
      <c r="J84" s="504" t="n">
        <f aca="false">+SUM(H84:I84)</f>
        <v>140143.969928256</v>
      </c>
      <c r="K84" s="347"/>
      <c r="L84" s="505"/>
    </row>
    <row r="85" customFormat="false" ht="11.25" hidden="false" customHeight="false" outlineLevel="0" collapsed="false">
      <c r="A85" s="491"/>
      <c r="B85" s="499"/>
      <c r="C85" s="506" t="s">
        <v>463</v>
      </c>
      <c r="D85" s="493"/>
      <c r="E85" s="509" t="n">
        <f aca="false">+E83/12</f>
        <v>0.0078125</v>
      </c>
      <c r="F85" s="499"/>
      <c r="G85" s="503" t="s">
        <v>464</v>
      </c>
      <c r="H85" s="504" t="n">
        <v>0</v>
      </c>
      <c r="I85" s="504" t="n">
        <v>0</v>
      </c>
      <c r="J85" s="504" t="n">
        <f aca="false">+SUM(H85:I85)</f>
        <v>0</v>
      </c>
      <c r="K85" s="347"/>
      <c r="L85" s="505"/>
    </row>
    <row r="86" customFormat="false" ht="11.25" hidden="false" customHeight="false" outlineLevel="0" collapsed="false">
      <c r="A86" s="491"/>
      <c r="B86" s="499"/>
      <c r="C86" s="506" t="s">
        <v>465</v>
      </c>
      <c r="D86" s="493"/>
      <c r="E86" s="510" t="n">
        <f aca="false">Assumptions!H56</f>
        <v>24</v>
      </c>
      <c r="F86" s="499"/>
      <c r="G86" s="503" t="s">
        <v>297</v>
      </c>
      <c r="H86" s="511" t="n">
        <f aca="false">+SUM(H82:H85)</f>
        <v>479637.116332</v>
      </c>
      <c r="I86" s="511" t="n">
        <f aca="false">SUM(I82:I85)</f>
        <v>48563.258028615</v>
      </c>
      <c r="J86" s="512" t="n">
        <f aca="false">SUM(J82:J85)</f>
        <v>528200.374360615</v>
      </c>
      <c r="K86" s="347"/>
      <c r="L86" s="505"/>
    </row>
    <row r="87" customFormat="false" ht="11.25" hidden="false" customHeight="false" outlineLevel="0" collapsed="false">
      <c r="A87" s="491"/>
      <c r="B87" s="499"/>
      <c r="C87" s="506" t="s">
        <v>466</v>
      </c>
      <c r="D87" s="493"/>
      <c r="E87" s="513" t="n">
        <f aca="false">Assumptions!H57</f>
        <v>0</v>
      </c>
      <c r="F87" s="499"/>
      <c r="G87" s="499"/>
      <c r="H87" s="499"/>
      <c r="I87" s="499"/>
      <c r="J87" s="499"/>
      <c r="K87" s="514"/>
      <c r="L87" s="515"/>
    </row>
    <row r="88" customFormat="false" ht="11.25" hidden="false" customHeight="false" outlineLevel="0" collapsed="false">
      <c r="A88" s="491"/>
      <c r="B88" s="499"/>
      <c r="C88" s="516" t="s">
        <v>467</v>
      </c>
      <c r="D88" s="517"/>
      <c r="E88" s="518"/>
      <c r="F88" s="514"/>
      <c r="G88" s="499"/>
      <c r="H88" s="499"/>
      <c r="I88" s="499"/>
      <c r="J88" s="499"/>
      <c r="K88" s="519"/>
      <c r="L88" s="520"/>
    </row>
    <row r="89" customFormat="false" ht="11.25" hidden="false" customHeight="false" outlineLevel="0" collapsed="false">
      <c r="A89" s="491"/>
      <c r="B89" s="499"/>
      <c r="C89" s="521" t="s">
        <v>468</v>
      </c>
      <c r="D89" s="522"/>
      <c r="E89" s="523" t="n">
        <v>17369.151215419</v>
      </c>
      <c r="F89" s="514"/>
      <c r="G89" s="499"/>
      <c r="H89" s="499"/>
      <c r="I89" s="499"/>
      <c r="J89" s="499"/>
      <c r="K89" s="519"/>
      <c r="L89" s="520"/>
    </row>
    <row r="90" customFormat="false" ht="12" hidden="false" customHeight="false" outlineLevel="0" collapsed="false">
      <c r="A90" s="491"/>
      <c r="B90" s="499"/>
      <c r="C90" s="499"/>
      <c r="D90" s="493"/>
      <c r="E90" s="499"/>
      <c r="F90" s="499"/>
      <c r="G90" s="499"/>
      <c r="H90" s="499"/>
      <c r="I90" s="499"/>
      <c r="J90" s="499"/>
      <c r="K90" s="514"/>
      <c r="L90" s="515"/>
    </row>
    <row r="91" customFormat="false" ht="11.25" hidden="false" customHeight="false" outlineLevel="0" collapsed="false">
      <c r="A91" s="491"/>
      <c r="B91" s="524" t="s">
        <v>469</v>
      </c>
      <c r="C91" s="525"/>
      <c r="D91" s="526"/>
      <c r="E91" s="525" t="s">
        <v>470</v>
      </c>
      <c r="F91" s="527" t="s">
        <v>471</v>
      </c>
      <c r="G91" s="499"/>
      <c r="H91" s="493"/>
      <c r="I91" s="528" t="s">
        <v>472</v>
      </c>
      <c r="J91" s="528" t="s">
        <v>60</v>
      </c>
      <c r="K91" s="514"/>
      <c r="L91" s="515"/>
    </row>
    <row r="92" customFormat="false" ht="11.25" hidden="false" customHeight="false" outlineLevel="0" collapsed="false">
      <c r="A92" s="491"/>
      <c r="B92" s="529" t="s">
        <v>473</v>
      </c>
      <c r="C92" s="530" t="s">
        <v>16</v>
      </c>
      <c r="D92" s="531" t="s">
        <v>474</v>
      </c>
      <c r="E92" s="530" t="s">
        <v>475</v>
      </c>
      <c r="F92" s="532" t="s">
        <v>475</v>
      </c>
      <c r="G92" s="499"/>
      <c r="H92" s="493"/>
      <c r="I92" s="530" t="s">
        <v>476</v>
      </c>
      <c r="J92" s="530" t="s">
        <v>476</v>
      </c>
      <c r="K92" s="514"/>
      <c r="L92" s="515"/>
    </row>
    <row r="93" customFormat="false" ht="11.25" hidden="false" customHeight="false" outlineLevel="0" collapsed="false">
      <c r="A93" s="491"/>
      <c r="B93" s="533" t="n">
        <f aca="false">IF($E$87=1,J93,I93)</f>
        <v>0</v>
      </c>
      <c r="C93" s="534" t="n">
        <v>0</v>
      </c>
      <c r="D93" s="535"/>
      <c r="E93" s="534"/>
      <c r="F93" s="536"/>
      <c r="G93" s="514"/>
      <c r="H93" s="493"/>
      <c r="I93" s="537" t="n">
        <v>0</v>
      </c>
      <c r="J93" s="537" t="n">
        <v>0</v>
      </c>
      <c r="K93" s="514"/>
      <c r="L93" s="538"/>
    </row>
    <row r="94" customFormat="false" ht="11.25" hidden="false" customHeight="false" outlineLevel="0" collapsed="false">
      <c r="A94" s="491"/>
      <c r="B94" s="539" t="n">
        <f aca="false">IF($E$87=1,J94,I94)</f>
        <v>0.0416666666666667</v>
      </c>
      <c r="C94" s="514" t="n">
        <v>1</v>
      </c>
      <c r="D94" s="540" t="n">
        <f aca="false">$E$82*B94</f>
        <v>19984.8798471667</v>
      </c>
      <c r="E94" s="541" t="n">
        <f aca="false">D94*$E$85+($E$82-D94)*(Debt!$E$84/10000)/12</f>
        <v>299.7731977075</v>
      </c>
      <c r="F94" s="542" t="n">
        <f aca="false">E94</f>
        <v>299.7731977075</v>
      </c>
      <c r="G94" s="514"/>
      <c r="H94" s="493"/>
      <c r="I94" s="543" t="n">
        <f aca="false">MINA(C94/E$86,1)</f>
        <v>0.0416666666666667</v>
      </c>
      <c r="J94" s="543" t="n">
        <v>0</v>
      </c>
      <c r="K94" s="514"/>
      <c r="L94" s="538"/>
    </row>
    <row r="95" customFormat="false" ht="11.25" hidden="false" customHeight="false" outlineLevel="0" collapsed="false">
      <c r="A95" s="491"/>
      <c r="B95" s="533" t="n">
        <f aca="false">IF($E$87=1,J95,I95)</f>
        <v>0.0833333333333333</v>
      </c>
      <c r="C95" s="544" t="n">
        <f aca="false">C94+1</f>
        <v>2</v>
      </c>
      <c r="D95" s="540" t="n">
        <f aca="false">$E$82*B95</f>
        <v>39969.7596943333</v>
      </c>
      <c r="E95" s="541" t="n">
        <f aca="false">D95*$E$85+($E$82-D95)*(Debt!$E$84/10000)/12</f>
        <v>449.65979656125</v>
      </c>
      <c r="F95" s="542" t="n">
        <f aca="false">IF(C95&lt;=$E$86,E95+F94,F94)</f>
        <v>749.43299426875</v>
      </c>
      <c r="G95" s="514"/>
      <c r="H95" s="493"/>
      <c r="I95" s="543" t="n">
        <f aca="false">MINA(C95/E$86,1)</f>
        <v>0.0833333333333333</v>
      </c>
      <c r="J95" s="543" t="n">
        <v>0</v>
      </c>
      <c r="K95" s="514"/>
      <c r="L95" s="515"/>
    </row>
    <row r="96" customFormat="false" ht="11.25" hidden="false" customHeight="false" outlineLevel="0" collapsed="false">
      <c r="A96" s="491"/>
      <c r="B96" s="533" t="n">
        <f aca="false">IF($E$87=1,J96,I96)</f>
        <v>0.125</v>
      </c>
      <c r="C96" s="544" t="n">
        <f aca="false">C95+1</f>
        <v>3</v>
      </c>
      <c r="D96" s="540" t="n">
        <f aca="false">$E$82*B96</f>
        <v>59954.6395415</v>
      </c>
      <c r="E96" s="541" t="n">
        <f aca="false">D96*$E$85+($E$82-D96)*(Debt!$E$84/10000)/12</f>
        <v>599.546395415</v>
      </c>
      <c r="F96" s="542" t="n">
        <f aca="false">IF(C96&lt;=$E$86,E96+F95,F95)</f>
        <v>1348.97938968375</v>
      </c>
      <c r="G96" s="514"/>
      <c r="H96" s="493"/>
      <c r="I96" s="543" t="n">
        <f aca="false">MINA(C96/E$86,1)</f>
        <v>0.125</v>
      </c>
      <c r="J96" s="543" t="n">
        <v>0</v>
      </c>
      <c r="K96" s="514"/>
      <c r="L96" s="515"/>
    </row>
    <row r="97" customFormat="false" ht="11.25" hidden="false" customHeight="false" outlineLevel="0" collapsed="false">
      <c r="A97" s="491"/>
      <c r="B97" s="533" t="n">
        <f aca="false">IF($E$87=1,J97,I97)</f>
        <v>0.166666666666667</v>
      </c>
      <c r="C97" s="544" t="n">
        <f aca="false">C96+1</f>
        <v>4</v>
      </c>
      <c r="D97" s="540" t="n">
        <f aca="false">$E$82*B97</f>
        <v>79939.5193886666</v>
      </c>
      <c r="E97" s="541" t="n">
        <f aca="false">D97*$E$85+($E$82-D97)*(Debt!$E$84/10000)/12</f>
        <v>749.43299426875</v>
      </c>
      <c r="F97" s="542" t="n">
        <f aca="false">IF(C97&lt;=$E$86,E97+F96,F96)</f>
        <v>2098.4123839525</v>
      </c>
      <c r="G97" s="545"/>
      <c r="H97" s="493"/>
      <c r="I97" s="543" t="n">
        <f aca="false">MINA(C97/E$86,1)</f>
        <v>0.166666666666667</v>
      </c>
      <c r="J97" s="543" t="n">
        <v>0</v>
      </c>
      <c r="K97" s="514"/>
      <c r="L97" s="515"/>
    </row>
    <row r="98" customFormat="false" ht="11.25" hidden="false" customHeight="false" outlineLevel="0" collapsed="false">
      <c r="A98" s="491"/>
      <c r="B98" s="533" t="n">
        <f aca="false">IF($E$87=1,J98,I98)</f>
        <v>0.208333333333333</v>
      </c>
      <c r="C98" s="544" t="n">
        <f aca="false">C97+1</f>
        <v>5</v>
      </c>
      <c r="D98" s="540" t="n">
        <f aca="false">$E$82*B98</f>
        <v>99924.3992358333</v>
      </c>
      <c r="E98" s="541" t="n">
        <f aca="false">D98*$E$85+($E$82-D98)*(Debt!$E$84/10000)/12</f>
        <v>899.3195931225</v>
      </c>
      <c r="F98" s="542" t="n">
        <f aca="false">IF(C98&lt;=$E$86,E98+F97,F97)</f>
        <v>2997.731977075</v>
      </c>
      <c r="G98" s="514"/>
      <c r="H98" s="493"/>
      <c r="I98" s="543" t="n">
        <f aca="false">MINA(C98/E$86,1)</f>
        <v>0.208333333333333</v>
      </c>
      <c r="J98" s="543" t="n">
        <v>0</v>
      </c>
      <c r="K98" s="514"/>
      <c r="L98" s="515"/>
    </row>
    <row r="99" customFormat="false" ht="12" hidden="false" customHeight="false" outlineLevel="0" collapsed="false">
      <c r="A99" s="491"/>
      <c r="B99" s="546" t="n">
        <f aca="false">IF($E$87=1,J99,I99)</f>
        <v>0.25</v>
      </c>
      <c r="C99" s="547" t="n">
        <f aca="false">C98+1</f>
        <v>6</v>
      </c>
      <c r="D99" s="548" t="n">
        <f aca="false">$E$82*B99</f>
        <v>119909.279083</v>
      </c>
      <c r="E99" s="549" t="n">
        <f aca="false">D99*$E$85+($E$82-D99)*(Debt!$E$84/10000)/12</f>
        <v>1049.20619197625</v>
      </c>
      <c r="F99" s="550" t="n">
        <f aca="false">IF(C99&lt;=$E$86,E99+F98,F98)</f>
        <v>4046.93816905125</v>
      </c>
      <c r="G99" s="514"/>
      <c r="H99" s="493"/>
      <c r="I99" s="543" t="n">
        <f aca="false">MINA(C99/E$86,1)</f>
        <v>0.25</v>
      </c>
      <c r="J99" s="543" t="n">
        <v>0</v>
      </c>
      <c r="K99" s="514"/>
      <c r="L99" s="551"/>
    </row>
    <row r="100" customFormat="false" ht="11.25" hidden="false" customHeight="false" outlineLevel="0" collapsed="false">
      <c r="A100" s="491"/>
      <c r="B100" s="533" t="n">
        <f aca="false">IF($E$87=1,J100,I100)</f>
        <v>0.291666666666667</v>
      </c>
      <c r="C100" s="544" t="n">
        <f aca="false">C99+1</f>
        <v>7</v>
      </c>
      <c r="D100" s="540" t="n">
        <f aca="false">$E$82*B100</f>
        <v>139894.158930167</v>
      </c>
      <c r="E100" s="541" t="n">
        <f aca="false">D100*$E$85+($E$82-D100)*(Debt!$E$84/10000)/12</f>
        <v>1199.09279083</v>
      </c>
      <c r="F100" s="542" t="n">
        <f aca="false">IF(C100&lt;=$E$86,E100+F99,F99)</f>
        <v>5246.03095988125</v>
      </c>
      <c r="G100" s="545"/>
      <c r="H100" s="493"/>
      <c r="I100" s="543" t="n">
        <f aca="false">MINA(C100/E$86,1)</f>
        <v>0.291666666666667</v>
      </c>
      <c r="J100" s="543" t="n">
        <v>0</v>
      </c>
      <c r="K100" s="514"/>
      <c r="L100" s="515"/>
    </row>
    <row r="101" customFormat="false" ht="11.25" hidden="false" customHeight="false" outlineLevel="0" collapsed="false">
      <c r="A101" s="491"/>
      <c r="B101" s="533" t="n">
        <f aca="false">IF($E$87=1,J101,I101)</f>
        <v>0.333333333333333</v>
      </c>
      <c r="C101" s="544" t="n">
        <f aca="false">C100+1</f>
        <v>8</v>
      </c>
      <c r="D101" s="540" t="n">
        <f aca="false">$E$82*B101</f>
        <v>159879.038777333</v>
      </c>
      <c r="E101" s="541" t="n">
        <f aca="false">D101*$E$85+($E$82-D101)*(Debt!$E$84/10000)/12</f>
        <v>1348.97938968375</v>
      </c>
      <c r="F101" s="542" t="n">
        <f aca="false">IF(C101&lt;=$E$86,E101+F100,F100)</f>
        <v>6595.010349565</v>
      </c>
      <c r="G101" s="514"/>
      <c r="H101" s="493"/>
      <c r="I101" s="543" t="n">
        <f aca="false">MINA(C101/E$86,1)</f>
        <v>0.333333333333333</v>
      </c>
      <c r="J101" s="543" t="n">
        <v>0</v>
      </c>
      <c r="K101" s="514"/>
      <c r="L101" s="515"/>
    </row>
    <row r="102" customFormat="false" ht="11.25" hidden="false" customHeight="false" outlineLevel="0" collapsed="false">
      <c r="A102" s="491"/>
      <c r="B102" s="533" t="n">
        <f aca="false">IF($E$87=1,J102,I102)</f>
        <v>0.375</v>
      </c>
      <c r="C102" s="544" t="n">
        <f aca="false">C101+1</f>
        <v>9</v>
      </c>
      <c r="D102" s="540" t="n">
        <f aca="false">$E$82*B102</f>
        <v>179863.9186245</v>
      </c>
      <c r="E102" s="541" t="n">
        <f aca="false">D102*$E$85+($E$82-D102)*(Debt!$E$84/10000)/12</f>
        <v>1498.8659885375</v>
      </c>
      <c r="F102" s="542" t="n">
        <f aca="false">IF(C102&lt;=$E$86,E102+F101,F101)</f>
        <v>8093.8763381025</v>
      </c>
      <c r="G102" s="514"/>
      <c r="H102" s="493"/>
      <c r="I102" s="543" t="n">
        <f aca="false">MINA(C102/E$86,1)</f>
        <v>0.375</v>
      </c>
      <c r="J102" s="543" t="n">
        <v>0</v>
      </c>
      <c r="K102" s="514"/>
      <c r="L102" s="552"/>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c r="BN102" s="450"/>
      <c r="BO102" s="450"/>
      <c r="BP102" s="450"/>
      <c r="BQ102" s="450"/>
      <c r="BR102" s="450"/>
      <c r="BS102" s="450"/>
      <c r="BT102" s="450"/>
      <c r="BU102" s="450"/>
      <c r="BV102" s="450"/>
      <c r="BW102" s="450"/>
      <c r="BX102" s="450"/>
      <c r="BY102" s="450"/>
      <c r="BZ102" s="450"/>
      <c r="CA102" s="450"/>
      <c r="CB102" s="450"/>
      <c r="CC102" s="450"/>
      <c r="CD102" s="450"/>
      <c r="CE102" s="450"/>
      <c r="CF102" s="450"/>
      <c r="CG102" s="450"/>
      <c r="CH102" s="450"/>
      <c r="CI102" s="450"/>
      <c r="CJ102" s="450"/>
      <c r="CK102" s="450"/>
      <c r="CL102" s="450"/>
      <c r="CM102" s="450"/>
      <c r="CN102" s="450"/>
      <c r="CO102" s="450"/>
      <c r="CP102" s="450"/>
      <c r="CQ102" s="450"/>
      <c r="CR102" s="450"/>
      <c r="CS102" s="450"/>
      <c r="CT102" s="450"/>
      <c r="CU102" s="450"/>
      <c r="CV102" s="450"/>
      <c r="CW102" s="450"/>
      <c r="CX102" s="450"/>
      <c r="CY102" s="450"/>
      <c r="CZ102" s="450"/>
      <c r="DA102" s="450"/>
      <c r="DB102" s="450"/>
      <c r="DC102" s="450"/>
      <c r="DD102" s="450"/>
      <c r="DE102" s="450"/>
      <c r="DF102" s="450"/>
      <c r="DG102" s="450"/>
      <c r="DH102" s="450"/>
      <c r="DI102" s="450"/>
      <c r="DJ102" s="450"/>
      <c r="DK102" s="450"/>
      <c r="DL102" s="450"/>
      <c r="DM102" s="450"/>
      <c r="DN102" s="450"/>
      <c r="DO102" s="450"/>
      <c r="DP102" s="450"/>
      <c r="DQ102" s="450"/>
      <c r="DR102" s="450"/>
      <c r="DS102" s="450"/>
      <c r="DT102" s="450"/>
      <c r="DU102" s="450"/>
      <c r="DV102" s="450"/>
      <c r="DW102" s="450"/>
      <c r="DX102" s="450"/>
      <c r="DY102" s="450"/>
      <c r="DZ102" s="450"/>
      <c r="EA102" s="450"/>
      <c r="EB102" s="450"/>
      <c r="EC102" s="450"/>
      <c r="ED102" s="450"/>
      <c r="EE102" s="450"/>
      <c r="EF102" s="450"/>
      <c r="EG102" s="450"/>
      <c r="EH102" s="450"/>
      <c r="EI102" s="450"/>
      <c r="EJ102" s="450"/>
      <c r="EK102" s="450"/>
      <c r="EL102" s="450"/>
      <c r="EM102" s="450"/>
      <c r="EN102" s="450"/>
      <c r="EO102" s="450"/>
      <c r="EP102" s="450"/>
      <c r="EQ102" s="450"/>
      <c r="ER102" s="450"/>
      <c r="ES102" s="450"/>
      <c r="ET102" s="450"/>
      <c r="EU102" s="450"/>
      <c r="EV102" s="450"/>
      <c r="EW102" s="450"/>
      <c r="EX102" s="450"/>
      <c r="EY102" s="450"/>
      <c r="EZ102" s="450"/>
      <c r="FA102" s="450"/>
      <c r="FB102" s="450"/>
      <c r="FC102" s="450"/>
      <c r="FD102" s="450"/>
      <c r="FE102" s="450"/>
      <c r="FF102" s="450"/>
      <c r="FG102" s="450"/>
      <c r="FH102" s="450"/>
      <c r="FI102" s="450"/>
      <c r="FJ102" s="450"/>
      <c r="FK102" s="450"/>
      <c r="FL102" s="450"/>
      <c r="FM102" s="450"/>
      <c r="FN102" s="450"/>
      <c r="FO102" s="450"/>
      <c r="FP102" s="450"/>
      <c r="FQ102" s="450"/>
      <c r="FR102" s="450"/>
      <c r="FS102" s="450"/>
      <c r="FT102" s="450"/>
      <c r="FU102" s="450"/>
      <c r="FV102" s="450"/>
      <c r="FW102" s="450"/>
      <c r="FX102" s="450"/>
      <c r="FY102" s="450"/>
      <c r="FZ102" s="450"/>
      <c r="GA102" s="450"/>
      <c r="GB102" s="450"/>
      <c r="GC102" s="450"/>
      <c r="GD102" s="450"/>
      <c r="GE102" s="450"/>
      <c r="GF102" s="450"/>
      <c r="GG102" s="450"/>
      <c r="GH102" s="450"/>
      <c r="GI102" s="450"/>
      <c r="GJ102" s="450"/>
      <c r="GK102" s="450"/>
      <c r="GL102" s="450"/>
      <c r="GM102" s="450"/>
      <c r="GN102" s="450"/>
      <c r="GO102" s="450"/>
      <c r="GP102" s="450"/>
      <c r="GQ102" s="450"/>
      <c r="GR102" s="450"/>
      <c r="GS102" s="450"/>
      <c r="GT102" s="450"/>
      <c r="GU102" s="450"/>
      <c r="GV102" s="450"/>
      <c r="GW102" s="450"/>
      <c r="GX102" s="450"/>
      <c r="GY102" s="450"/>
      <c r="GZ102" s="450"/>
      <c r="HA102" s="450"/>
      <c r="HB102" s="450"/>
      <c r="HC102" s="450"/>
      <c r="HD102" s="450"/>
      <c r="HE102" s="450"/>
      <c r="HF102" s="450"/>
      <c r="HG102" s="450"/>
      <c r="HH102" s="450"/>
      <c r="HI102" s="450"/>
      <c r="HJ102" s="450"/>
      <c r="HK102" s="450"/>
      <c r="HL102" s="450"/>
      <c r="HM102" s="450"/>
      <c r="HN102" s="450"/>
      <c r="HO102" s="450"/>
      <c r="HP102" s="450"/>
      <c r="HQ102" s="450"/>
      <c r="HR102" s="450"/>
      <c r="HS102" s="450"/>
      <c r="HT102" s="450"/>
      <c r="HU102" s="450"/>
      <c r="HV102" s="450"/>
      <c r="HW102" s="450"/>
      <c r="HX102" s="450"/>
      <c r="HY102" s="450"/>
      <c r="HZ102" s="450"/>
      <c r="IA102" s="450"/>
      <c r="IB102" s="450"/>
      <c r="IC102" s="450"/>
      <c r="ID102" s="450"/>
      <c r="IE102" s="450"/>
      <c r="IF102" s="450"/>
      <c r="IG102" s="450"/>
      <c r="IH102" s="450"/>
      <c r="II102" s="450"/>
      <c r="IJ102" s="450"/>
      <c r="IK102" s="450"/>
      <c r="IL102" s="450"/>
      <c r="IM102" s="450"/>
      <c r="IN102" s="450"/>
      <c r="IO102" s="450"/>
      <c r="IP102" s="450"/>
      <c r="IQ102" s="450"/>
      <c r="IR102" s="450"/>
      <c r="IS102" s="450"/>
      <c r="IT102" s="450"/>
      <c r="IU102" s="450"/>
      <c r="IV102" s="450"/>
      <c r="IW102" s="450"/>
    </row>
    <row r="103" customFormat="false" ht="11.25" hidden="false" customHeight="false" outlineLevel="0" collapsed="false">
      <c r="A103" s="491"/>
      <c r="B103" s="533" t="n">
        <f aca="false">IF($E$87=1,J103,I103)</f>
        <v>0.416666666666667</v>
      </c>
      <c r="C103" s="544" t="n">
        <f aca="false">C102+1</f>
        <v>10</v>
      </c>
      <c r="D103" s="540" t="n">
        <f aca="false">$E$82*B103</f>
        <v>199848.798471667</v>
      </c>
      <c r="E103" s="541" t="n">
        <f aca="false">D103*$E$85+($E$82-D103)*(Debt!$E$84/10000)/12</f>
        <v>1648.75258739125</v>
      </c>
      <c r="F103" s="542" t="n">
        <f aca="false">IF(C103&lt;=$E$86,E103+F102,F102)</f>
        <v>9742.62892549375</v>
      </c>
      <c r="G103" s="514"/>
      <c r="H103" s="493"/>
      <c r="I103" s="543" t="n">
        <f aca="false">MINA(C103/E$86,1)</f>
        <v>0.416666666666667</v>
      </c>
      <c r="J103" s="543" t="n">
        <v>0</v>
      </c>
      <c r="K103" s="514"/>
      <c r="L103" s="552"/>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c r="BZ103" s="450"/>
      <c r="CA103" s="450"/>
      <c r="CB103" s="450"/>
      <c r="CC103" s="450"/>
      <c r="CD103" s="450"/>
      <c r="CE103" s="450"/>
      <c r="CF103" s="450"/>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450"/>
      <c r="DG103" s="450"/>
      <c r="DH103" s="450"/>
      <c r="DI103" s="450"/>
      <c r="DJ103" s="450"/>
      <c r="DK103" s="450"/>
      <c r="DL103" s="450"/>
      <c r="DM103" s="450"/>
      <c r="DN103" s="450"/>
      <c r="DO103" s="450"/>
      <c r="DP103" s="450"/>
      <c r="DQ103" s="450"/>
      <c r="DR103" s="450"/>
      <c r="DS103" s="450"/>
      <c r="DT103" s="450"/>
      <c r="DU103" s="450"/>
      <c r="DV103" s="450"/>
      <c r="DW103" s="450"/>
      <c r="DX103" s="450"/>
      <c r="DY103" s="450"/>
      <c r="DZ103" s="450"/>
      <c r="EA103" s="450"/>
      <c r="EB103" s="450"/>
      <c r="EC103" s="450"/>
      <c r="ED103" s="450"/>
      <c r="EE103" s="450"/>
      <c r="EF103" s="450"/>
      <c r="EG103" s="450"/>
      <c r="EH103" s="450"/>
      <c r="EI103" s="450"/>
      <c r="EJ103" s="450"/>
      <c r="EK103" s="450"/>
      <c r="EL103" s="450"/>
      <c r="EM103" s="450"/>
      <c r="EN103" s="450"/>
      <c r="EO103" s="450"/>
      <c r="EP103" s="450"/>
      <c r="EQ103" s="450"/>
      <c r="ER103" s="450"/>
      <c r="ES103" s="450"/>
      <c r="ET103" s="450"/>
      <c r="EU103" s="450"/>
      <c r="EV103" s="450"/>
      <c r="EW103" s="450"/>
      <c r="EX103" s="450"/>
      <c r="EY103" s="450"/>
      <c r="EZ103" s="450"/>
      <c r="FA103" s="450"/>
      <c r="FB103" s="450"/>
      <c r="FC103" s="450"/>
      <c r="FD103" s="450"/>
      <c r="FE103" s="450"/>
      <c r="FF103" s="450"/>
      <c r="FG103" s="450"/>
      <c r="FH103" s="450"/>
      <c r="FI103" s="450"/>
      <c r="FJ103" s="450"/>
      <c r="FK103" s="450"/>
      <c r="FL103" s="450"/>
      <c r="FM103" s="450"/>
      <c r="FN103" s="450"/>
      <c r="FO103" s="450"/>
      <c r="FP103" s="450"/>
      <c r="FQ103" s="450"/>
      <c r="FR103" s="450"/>
      <c r="FS103" s="450"/>
      <c r="FT103" s="450"/>
      <c r="FU103" s="450"/>
      <c r="FV103" s="450"/>
      <c r="FW103" s="450"/>
      <c r="FX103" s="450"/>
      <c r="FY103" s="450"/>
      <c r="FZ103" s="450"/>
      <c r="GA103" s="450"/>
      <c r="GB103" s="450"/>
      <c r="GC103" s="450"/>
      <c r="GD103" s="450"/>
      <c r="GE103" s="450"/>
      <c r="GF103" s="450"/>
      <c r="GG103" s="450"/>
      <c r="GH103" s="450"/>
      <c r="GI103" s="450"/>
      <c r="GJ103" s="450"/>
      <c r="GK103" s="450"/>
      <c r="GL103" s="450"/>
      <c r="GM103" s="450"/>
      <c r="GN103" s="450"/>
      <c r="GO103" s="450"/>
      <c r="GP103" s="450"/>
      <c r="GQ103" s="450"/>
      <c r="GR103" s="450"/>
      <c r="GS103" s="450"/>
      <c r="GT103" s="450"/>
      <c r="GU103" s="450"/>
      <c r="GV103" s="450"/>
      <c r="GW103" s="450"/>
      <c r="GX103" s="450"/>
      <c r="GY103" s="450"/>
      <c r="GZ103" s="450"/>
      <c r="HA103" s="450"/>
      <c r="HB103" s="450"/>
      <c r="HC103" s="450"/>
      <c r="HD103" s="450"/>
      <c r="HE103" s="450"/>
      <c r="HF103" s="450"/>
      <c r="HG103" s="450"/>
      <c r="HH103" s="450"/>
      <c r="HI103" s="450"/>
      <c r="HJ103" s="450"/>
      <c r="HK103" s="450"/>
      <c r="HL103" s="450"/>
      <c r="HM103" s="450"/>
      <c r="HN103" s="450"/>
      <c r="HO103" s="450"/>
      <c r="HP103" s="450"/>
      <c r="HQ103" s="450"/>
      <c r="HR103" s="450"/>
      <c r="HS103" s="450"/>
      <c r="HT103" s="450"/>
      <c r="HU103" s="450"/>
      <c r="HV103" s="450"/>
      <c r="HW103" s="450"/>
      <c r="HX103" s="450"/>
      <c r="HY103" s="450"/>
      <c r="HZ103" s="450"/>
      <c r="IA103" s="450"/>
      <c r="IB103" s="450"/>
      <c r="IC103" s="450"/>
      <c r="ID103" s="450"/>
      <c r="IE103" s="450"/>
      <c r="IF103" s="450"/>
      <c r="IG103" s="450"/>
      <c r="IH103" s="450"/>
      <c r="II103" s="450"/>
      <c r="IJ103" s="450"/>
      <c r="IK103" s="450"/>
      <c r="IL103" s="450"/>
      <c r="IM103" s="450"/>
      <c r="IN103" s="450"/>
      <c r="IO103" s="450"/>
      <c r="IP103" s="450"/>
      <c r="IQ103" s="450"/>
      <c r="IR103" s="450"/>
      <c r="IS103" s="450"/>
      <c r="IT103" s="450"/>
      <c r="IU103" s="450"/>
      <c r="IV103" s="450"/>
      <c r="IW103" s="450"/>
    </row>
    <row r="104" customFormat="false" ht="11.25" hidden="false" customHeight="false" outlineLevel="0" collapsed="false">
      <c r="A104" s="491"/>
      <c r="B104" s="533" t="n">
        <f aca="false">IF($E$87=1,J104,I104)</f>
        <v>0.458333333333333</v>
      </c>
      <c r="C104" s="544" t="n">
        <f aca="false">C103+1</f>
        <v>11</v>
      </c>
      <c r="D104" s="540" t="n">
        <f aca="false">$E$82*B104</f>
        <v>219833.678318833</v>
      </c>
      <c r="E104" s="541" t="n">
        <f aca="false">D104*$E$85+($E$82-D104)*(Debt!$E$84/10000)/12</f>
        <v>1798.639186245</v>
      </c>
      <c r="F104" s="542" t="n">
        <f aca="false">IF(C104&lt;=$E$86,E104+F103,F103)</f>
        <v>11541.2681117387</v>
      </c>
      <c r="G104" s="514"/>
      <c r="H104" s="493"/>
      <c r="I104" s="543" t="n">
        <f aca="false">MINA(C104/E$86,1)</f>
        <v>0.458333333333333</v>
      </c>
      <c r="J104" s="543" t="n">
        <v>0</v>
      </c>
      <c r="K104" s="514"/>
      <c r="L104" s="515"/>
    </row>
    <row r="105" customFormat="false" ht="11.25" hidden="false" customHeight="false" outlineLevel="0" collapsed="false">
      <c r="A105" s="491"/>
      <c r="B105" s="533" t="n">
        <f aca="false">IF($E$87=1,J105,I105)</f>
        <v>0.5</v>
      </c>
      <c r="C105" s="544" t="n">
        <f aca="false">C104+1</f>
        <v>12</v>
      </c>
      <c r="D105" s="540" t="n">
        <f aca="false">$E$82*B105</f>
        <v>239818.558166</v>
      </c>
      <c r="E105" s="541" t="n">
        <f aca="false">D105*$E$85+($E$82-D105)*(Debt!$E$84/10000)/12</f>
        <v>1948.52578509875</v>
      </c>
      <c r="F105" s="542" t="n">
        <f aca="false">IF(C105&lt;=$E$86,E105+F104,F104)</f>
        <v>13489.7938968375</v>
      </c>
      <c r="G105" s="514"/>
      <c r="H105" s="493"/>
      <c r="I105" s="543" t="n">
        <f aca="false">MINA(C105/E$86,1)</f>
        <v>0.5</v>
      </c>
      <c r="J105" s="543" t="n">
        <v>0</v>
      </c>
      <c r="K105" s="514"/>
      <c r="L105" s="515"/>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0"/>
      <c r="CC105" s="450"/>
      <c r="CD105" s="450"/>
      <c r="CE105" s="450"/>
      <c r="CF105" s="450"/>
      <c r="CG105" s="450"/>
      <c r="CH105" s="450"/>
      <c r="CI105" s="450"/>
      <c r="CJ105" s="450"/>
      <c r="CK105" s="450"/>
      <c r="CL105" s="450"/>
      <c r="CM105" s="450"/>
      <c r="CN105" s="450"/>
      <c r="CO105" s="450"/>
      <c r="CP105" s="450"/>
      <c r="CQ105" s="450"/>
      <c r="CR105" s="450"/>
      <c r="CS105" s="450"/>
      <c r="CT105" s="450"/>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0"/>
      <c r="DQ105" s="450"/>
      <c r="DR105" s="450"/>
      <c r="DS105" s="450"/>
      <c r="DT105" s="450"/>
      <c r="DU105" s="450"/>
      <c r="DV105" s="450"/>
      <c r="DW105" s="450"/>
      <c r="DX105" s="450"/>
      <c r="DY105" s="450"/>
      <c r="DZ105" s="450"/>
      <c r="EA105" s="450"/>
      <c r="EB105" s="450"/>
      <c r="EC105" s="450"/>
      <c r="ED105" s="450"/>
      <c r="EE105" s="450"/>
      <c r="EF105" s="450"/>
      <c r="EG105" s="450"/>
      <c r="EH105" s="450"/>
      <c r="EI105" s="450"/>
      <c r="EJ105" s="450"/>
      <c r="EK105" s="450"/>
      <c r="EL105" s="450"/>
      <c r="EM105" s="450"/>
      <c r="EN105" s="450"/>
      <c r="EO105" s="450"/>
      <c r="EP105" s="450"/>
      <c r="EQ105" s="450"/>
      <c r="ER105" s="450"/>
      <c r="ES105" s="450"/>
      <c r="ET105" s="450"/>
      <c r="EU105" s="450"/>
      <c r="EV105" s="450"/>
      <c r="EW105" s="450"/>
      <c r="EX105" s="450"/>
      <c r="EY105" s="450"/>
      <c r="EZ105" s="450"/>
      <c r="FA105" s="450"/>
      <c r="FB105" s="450"/>
      <c r="FC105" s="450"/>
      <c r="FD105" s="450"/>
      <c r="FE105" s="450"/>
      <c r="FF105" s="450"/>
      <c r="FG105" s="450"/>
      <c r="FH105" s="450"/>
      <c r="FI105" s="450"/>
      <c r="FJ105" s="450"/>
      <c r="FK105" s="450"/>
      <c r="FL105" s="450"/>
      <c r="FM105" s="450"/>
      <c r="FN105" s="450"/>
      <c r="FO105" s="450"/>
      <c r="FP105" s="450"/>
      <c r="FQ105" s="450"/>
      <c r="FR105" s="450"/>
      <c r="FS105" s="450"/>
      <c r="FT105" s="450"/>
      <c r="FU105" s="450"/>
      <c r="FV105" s="450"/>
      <c r="FW105" s="450"/>
      <c r="FX105" s="450"/>
      <c r="FY105" s="450"/>
      <c r="FZ105" s="450"/>
      <c r="GA105" s="450"/>
      <c r="GB105" s="450"/>
      <c r="GC105" s="450"/>
      <c r="GD105" s="450"/>
      <c r="GE105" s="450"/>
      <c r="GF105" s="450"/>
      <c r="GG105" s="450"/>
      <c r="GH105" s="450"/>
      <c r="GI105" s="450"/>
      <c r="GJ105" s="450"/>
      <c r="GK105" s="450"/>
      <c r="GL105" s="450"/>
      <c r="GM105" s="450"/>
      <c r="GN105" s="450"/>
      <c r="GO105" s="450"/>
      <c r="GP105" s="450"/>
      <c r="GQ105" s="450"/>
      <c r="GR105" s="450"/>
      <c r="GS105" s="450"/>
      <c r="GT105" s="450"/>
      <c r="GU105" s="450"/>
      <c r="GV105" s="450"/>
      <c r="GW105" s="450"/>
      <c r="GX105" s="450"/>
      <c r="GY105" s="450"/>
      <c r="GZ105" s="450"/>
      <c r="HA105" s="450"/>
      <c r="HB105" s="450"/>
      <c r="HC105" s="450"/>
      <c r="HD105" s="450"/>
      <c r="HE105" s="450"/>
      <c r="HF105" s="450"/>
      <c r="HG105" s="450"/>
      <c r="HH105" s="450"/>
      <c r="HI105" s="450"/>
      <c r="HJ105" s="450"/>
      <c r="HK105" s="450"/>
      <c r="HL105" s="450"/>
      <c r="HM105" s="450"/>
      <c r="HN105" s="450"/>
      <c r="HO105" s="450"/>
      <c r="HP105" s="450"/>
      <c r="HQ105" s="450"/>
      <c r="HR105" s="450"/>
      <c r="HS105" s="450"/>
      <c r="HT105" s="450"/>
      <c r="HU105" s="450"/>
      <c r="HV105" s="450"/>
      <c r="HW105" s="450"/>
      <c r="HX105" s="450"/>
      <c r="HY105" s="450"/>
      <c r="HZ105" s="450"/>
      <c r="IA105" s="450"/>
      <c r="IB105" s="450"/>
      <c r="IC105" s="450"/>
      <c r="ID105" s="450"/>
      <c r="IE105" s="450"/>
      <c r="IF105" s="450"/>
      <c r="IG105" s="450"/>
      <c r="IH105" s="450"/>
      <c r="II105" s="450"/>
      <c r="IJ105" s="450"/>
      <c r="IK105" s="450"/>
      <c r="IL105" s="450"/>
      <c r="IM105" s="450"/>
      <c r="IN105" s="450"/>
      <c r="IO105" s="450"/>
      <c r="IP105" s="450"/>
      <c r="IQ105" s="450"/>
      <c r="IR105" s="450"/>
      <c r="IS105" s="450"/>
      <c r="IT105" s="450"/>
      <c r="IU105" s="450"/>
      <c r="IV105" s="450"/>
      <c r="IW105" s="450"/>
    </row>
    <row r="106" customFormat="false" ht="11.25" hidden="false" customHeight="false" outlineLevel="0" collapsed="false">
      <c r="A106" s="491"/>
      <c r="B106" s="533" t="n">
        <f aca="false">IF($E$87=1,J106,I106)</f>
        <v>0.541666666666667</v>
      </c>
      <c r="C106" s="544" t="n">
        <f aca="false">C105+1</f>
        <v>13</v>
      </c>
      <c r="D106" s="540" t="n">
        <f aca="false">$E$82*B106</f>
        <v>259803.438013167</v>
      </c>
      <c r="E106" s="541" t="n">
        <f aca="false">D106*$E$85+($E$82-D106)*(Debt!$E$84/10000)/12</f>
        <v>2098.4123839525</v>
      </c>
      <c r="F106" s="542" t="n">
        <f aca="false">IF(C106&lt;=$E$86,E106+F105,F105)</f>
        <v>15588.20628079</v>
      </c>
      <c r="G106" s="514"/>
      <c r="H106" s="493"/>
      <c r="I106" s="543" t="n">
        <f aca="false">MINA(C106/E$86,1)</f>
        <v>0.541666666666667</v>
      </c>
      <c r="J106" s="543" t="n">
        <f aca="false">J105+0.4/12</f>
        <v>0.0333333333333333</v>
      </c>
      <c r="K106" s="514"/>
      <c r="L106" s="515"/>
    </row>
    <row r="107" customFormat="false" ht="11.25" hidden="false" customHeight="false" outlineLevel="0" collapsed="false">
      <c r="A107" s="491"/>
      <c r="B107" s="533" t="n">
        <f aca="false">IF($E$87=1,J107,I107)</f>
        <v>0.583333333333333</v>
      </c>
      <c r="C107" s="544" t="n">
        <f aca="false">C106+1</f>
        <v>14</v>
      </c>
      <c r="D107" s="540" t="n">
        <f aca="false">$E$82*B107</f>
        <v>279788.317860333</v>
      </c>
      <c r="E107" s="541" t="n">
        <f aca="false">D107*$E$85+($E$82-D107)*(Debt!$E$84/10000)/12</f>
        <v>2248.29898280625</v>
      </c>
      <c r="F107" s="542" t="n">
        <f aca="false">IF(C107&lt;=$E$86,E107+F106,F106)</f>
        <v>17836.5052635962</v>
      </c>
      <c r="G107" s="514"/>
      <c r="H107" s="493"/>
      <c r="I107" s="543" t="n">
        <f aca="false">MINA(C107/E$86,1)</f>
        <v>0.583333333333333</v>
      </c>
      <c r="J107" s="543" t="n">
        <f aca="false">J106+0.4/12</f>
        <v>0.0666666666666667</v>
      </c>
      <c r="K107" s="514"/>
      <c r="L107" s="515"/>
    </row>
    <row r="108" customFormat="false" ht="11.25" hidden="false" customHeight="false" outlineLevel="0" collapsed="false">
      <c r="A108" s="491"/>
      <c r="B108" s="533" t="n">
        <f aca="false">IF($E$87=1,J108,I108)</f>
        <v>0.625</v>
      </c>
      <c r="C108" s="544" t="n">
        <f aca="false">C107+1</f>
        <v>15</v>
      </c>
      <c r="D108" s="540" t="n">
        <f aca="false">$E$82*B108</f>
        <v>299773.1977075</v>
      </c>
      <c r="E108" s="541" t="n">
        <f aca="false">D108*$E$85+($E$82-D108)*(Debt!$E$84/10000)/12</f>
        <v>2398.18558166</v>
      </c>
      <c r="F108" s="542" t="n">
        <f aca="false">IF(C108&lt;=$E$86,E108+F107,F107)</f>
        <v>20234.6908452562</v>
      </c>
      <c r="G108" s="514"/>
      <c r="H108" s="493"/>
      <c r="I108" s="543" t="n">
        <f aca="false">MINA(C108/E$86,1)</f>
        <v>0.625</v>
      </c>
      <c r="J108" s="543" t="n">
        <f aca="false">J107+0.4/12</f>
        <v>0.1</v>
      </c>
      <c r="K108" s="514"/>
      <c r="L108" s="515"/>
    </row>
    <row r="109" customFormat="false" ht="11.25" hidden="false" customHeight="false" outlineLevel="0" collapsed="false">
      <c r="A109" s="491"/>
      <c r="B109" s="533" t="n">
        <f aca="false">IF($E$87=1,J109,I109)</f>
        <v>0.666666666666667</v>
      </c>
      <c r="C109" s="544" t="n">
        <f aca="false">C108+1</f>
        <v>16</v>
      </c>
      <c r="D109" s="540" t="n">
        <f aca="false">$E$82*B109</f>
        <v>319758.077554667</v>
      </c>
      <c r="E109" s="541" t="n">
        <f aca="false">D109*$E$85+($E$82-D109)*(Debt!$E$84/10000)/12</f>
        <v>2548.07218051375</v>
      </c>
      <c r="F109" s="542" t="n">
        <f aca="false">IF(C109&lt;=$E$86,E109+F108,F108)</f>
        <v>22782.76302577</v>
      </c>
      <c r="G109" s="514"/>
      <c r="H109" s="493"/>
      <c r="I109" s="543" t="n">
        <f aca="false">MINA(C109/E$86,1)</f>
        <v>0.666666666666667</v>
      </c>
      <c r="J109" s="543" t="n">
        <f aca="false">J108+0.4/12</f>
        <v>0.133333333333333</v>
      </c>
      <c r="K109" s="514"/>
      <c r="L109" s="515"/>
    </row>
    <row r="110" customFormat="false" ht="11.25" hidden="false" customHeight="false" outlineLevel="0" collapsed="false">
      <c r="A110" s="491"/>
      <c r="B110" s="533" t="n">
        <f aca="false">IF($E$87=1,J110,I110)</f>
        <v>0.708333333333333</v>
      </c>
      <c r="C110" s="544" t="n">
        <f aca="false">C109+1</f>
        <v>17</v>
      </c>
      <c r="D110" s="540" t="n">
        <f aca="false">$E$82*B110</f>
        <v>339742.957401833</v>
      </c>
      <c r="E110" s="541" t="n">
        <f aca="false">D110*$E$85+($E$82-D110)*(Debt!$E$84/10000)/12</f>
        <v>2697.9587793675</v>
      </c>
      <c r="F110" s="542" t="n">
        <f aca="false">IF(C110&lt;=$E$86,E110+F109,F109)</f>
        <v>25480.7218051375</v>
      </c>
      <c r="G110" s="514"/>
      <c r="H110" s="493"/>
      <c r="I110" s="543" t="n">
        <f aca="false">MINA(C110/E$86,1)</f>
        <v>0.708333333333333</v>
      </c>
      <c r="J110" s="543" t="n">
        <f aca="false">J109+0.4/12</f>
        <v>0.166666666666667</v>
      </c>
      <c r="K110" s="514"/>
      <c r="L110" s="515"/>
    </row>
    <row r="111" customFormat="false" ht="12" hidden="false" customHeight="false" outlineLevel="0" collapsed="false">
      <c r="A111" s="491"/>
      <c r="B111" s="546" t="n">
        <f aca="false">IF($E$87=1,J111,I111)</f>
        <v>0.75</v>
      </c>
      <c r="C111" s="547" t="n">
        <f aca="false">C110+1</f>
        <v>18</v>
      </c>
      <c r="D111" s="548" t="n">
        <f aca="false">$E$82*B111</f>
        <v>359727.837249</v>
      </c>
      <c r="E111" s="549" t="n">
        <f aca="false">D111*$E$85+($E$82-D111)*(Debt!$E$84/10000)/12</f>
        <v>2847.84537822125</v>
      </c>
      <c r="F111" s="550" t="n">
        <f aca="false">IF(C111&lt;=$E$86,E111+F110,F110)</f>
        <v>28328.5671833587</v>
      </c>
      <c r="G111" s="514"/>
      <c r="H111" s="493"/>
      <c r="I111" s="543" t="n">
        <f aca="false">MINA(C111/E$86,1)</f>
        <v>0.75</v>
      </c>
      <c r="J111" s="543" t="n">
        <f aca="false">J110+0.4/12</f>
        <v>0.2</v>
      </c>
      <c r="K111" s="514"/>
      <c r="L111" s="515"/>
    </row>
    <row r="112" customFormat="false" ht="11.25" hidden="false" customHeight="false" outlineLevel="0" collapsed="false">
      <c r="A112" s="491"/>
      <c r="B112" s="533" t="n">
        <f aca="false">IF($E$87=1,J112,I112)</f>
        <v>0.791666666666667</v>
      </c>
      <c r="C112" s="544" t="n">
        <f aca="false">C111+1</f>
        <v>19</v>
      </c>
      <c r="D112" s="540" t="n">
        <f aca="false">$E$82*B112</f>
        <v>379712.717096166</v>
      </c>
      <c r="E112" s="541" t="n">
        <f aca="false">D112*$E$85+($E$82-D112)*(Debt!$E$84/10000)/12</f>
        <v>2997.731977075</v>
      </c>
      <c r="F112" s="542" t="n">
        <f aca="false">IF(C112&lt;=$E$86,E112+F111,F111)</f>
        <v>31326.2991604337</v>
      </c>
      <c r="G112" s="514"/>
      <c r="H112" s="553"/>
      <c r="I112" s="543" t="n">
        <f aca="false">MINA(C112/E$86,1)</f>
        <v>0.791666666666667</v>
      </c>
      <c r="J112" s="543" t="n">
        <f aca="false">J111+0.4/12</f>
        <v>0.233333333333333</v>
      </c>
      <c r="K112" s="514"/>
      <c r="L112" s="515"/>
    </row>
    <row r="113" customFormat="false" ht="11.25" hidden="false" customHeight="false" outlineLevel="0" collapsed="false">
      <c r="A113" s="491"/>
      <c r="B113" s="533" t="n">
        <f aca="false">IF($E$87=1,J113,I113)</f>
        <v>0.833333333333333</v>
      </c>
      <c r="C113" s="544" t="n">
        <f aca="false">C112+1</f>
        <v>20</v>
      </c>
      <c r="D113" s="540" t="n">
        <f aca="false">$E$82*B113</f>
        <v>399697.596943333</v>
      </c>
      <c r="E113" s="541" t="n">
        <f aca="false">D113*$E$85+($E$82-D113)*(Debt!$E$84/10000)/12</f>
        <v>3147.61857592875</v>
      </c>
      <c r="F113" s="542" t="n">
        <f aca="false">IF(C113&lt;=$E$86,E113+F112,F112)</f>
        <v>34473.9177363625</v>
      </c>
      <c r="G113" s="514"/>
      <c r="H113" s="553"/>
      <c r="I113" s="543" t="n">
        <f aca="false">MINA(C113/E$86,1)</f>
        <v>0.833333333333333</v>
      </c>
      <c r="J113" s="543" t="n">
        <f aca="false">J112+0.4/12</f>
        <v>0.266666666666667</v>
      </c>
      <c r="K113" s="514"/>
      <c r="L113" s="515"/>
    </row>
    <row r="114" customFormat="false" ht="11.25" hidden="false" customHeight="false" outlineLevel="0" collapsed="false">
      <c r="A114" s="491"/>
      <c r="B114" s="533" t="n">
        <f aca="false">IF($E$87=1,J114,I114)</f>
        <v>0.875</v>
      </c>
      <c r="C114" s="544" t="n">
        <f aca="false">C113+1</f>
        <v>21</v>
      </c>
      <c r="D114" s="540" t="n">
        <f aca="false">$E$82*B114</f>
        <v>419682.4767905</v>
      </c>
      <c r="E114" s="541" t="n">
        <f aca="false">D114*$E$85+($E$82-D114)*(Debt!$E$84/10000)/12</f>
        <v>3297.5051747825</v>
      </c>
      <c r="F114" s="542" t="n">
        <f aca="false">IF(C114&lt;=$E$86,E114+F113,F113)</f>
        <v>37771.422911145</v>
      </c>
      <c r="G114" s="514"/>
      <c r="H114" s="553"/>
      <c r="I114" s="543" t="n">
        <f aca="false">MINA(C114/E$86,1)</f>
        <v>0.875</v>
      </c>
      <c r="J114" s="543" t="n">
        <f aca="false">J113+0.4/12</f>
        <v>0.3</v>
      </c>
      <c r="K114" s="514"/>
      <c r="L114" s="515"/>
    </row>
    <row r="115" customFormat="false" ht="11.25" hidden="false" customHeight="false" outlineLevel="0" collapsed="false">
      <c r="A115" s="491"/>
      <c r="B115" s="533" t="n">
        <f aca="false">IF($E$87=1,J115,I115)</f>
        <v>0.916666666666667</v>
      </c>
      <c r="C115" s="544" t="n">
        <f aca="false">C114+1</f>
        <v>22</v>
      </c>
      <c r="D115" s="540" t="n">
        <f aca="false">$E$82*B115</f>
        <v>439667.356637666</v>
      </c>
      <c r="E115" s="541" t="n">
        <f aca="false">D115*$E$85+($E$82-D115)*(Debt!$E$84/10000)/12</f>
        <v>3447.39177363625</v>
      </c>
      <c r="F115" s="542" t="n">
        <f aca="false">IF(C115&lt;=$E$86,E115+F114,F114)</f>
        <v>41218.8146847812</v>
      </c>
      <c r="G115" s="514"/>
      <c r="H115" s="553"/>
      <c r="I115" s="543" t="n">
        <f aca="false">MINA(C115/E$86,1)</f>
        <v>0.916666666666667</v>
      </c>
      <c r="J115" s="543" t="n">
        <f aca="false">J114+0.4/12</f>
        <v>0.333333333333333</v>
      </c>
      <c r="K115" s="514"/>
      <c r="L115" s="515"/>
    </row>
    <row r="116" customFormat="false" ht="11.25" hidden="false" customHeight="false" outlineLevel="0" collapsed="false">
      <c r="A116" s="491"/>
      <c r="B116" s="533" t="n">
        <f aca="false">IF($E$87=1,J116,I116)</f>
        <v>0.958333333333333</v>
      </c>
      <c r="C116" s="544" t="n">
        <f aca="false">C115+1</f>
        <v>23</v>
      </c>
      <c r="D116" s="540" t="n">
        <f aca="false">$E$82*B116</f>
        <v>459652.236484833</v>
      </c>
      <c r="E116" s="541" t="n">
        <f aca="false">D116*$E$85+($E$82-D116)*(Debt!$E$84/10000)/12</f>
        <v>3597.27837249</v>
      </c>
      <c r="F116" s="542" t="n">
        <f aca="false">IF(C116&lt;=$E$86,E116+F115,F115)</f>
        <v>44816.0930572712</v>
      </c>
      <c r="G116" s="514"/>
      <c r="H116" s="553"/>
      <c r="I116" s="543" t="n">
        <f aca="false">MINA(C116/E$86,1)</f>
        <v>0.958333333333333</v>
      </c>
      <c r="J116" s="543" t="n">
        <f aca="false">J115+0.4/12</f>
        <v>0.366666666666667</v>
      </c>
      <c r="K116" s="514"/>
      <c r="L116" s="515"/>
    </row>
    <row r="117" customFormat="false" ht="11.25" hidden="false" customHeight="false" outlineLevel="0" collapsed="false">
      <c r="A117" s="491"/>
      <c r="B117" s="533" t="n">
        <f aca="false">IF($E$87=1,J117,I117)</f>
        <v>1</v>
      </c>
      <c r="C117" s="544" t="n">
        <f aca="false">C116+1</f>
        <v>24</v>
      </c>
      <c r="D117" s="540" t="n">
        <f aca="false">$E$82*B117</f>
        <v>479637.116332</v>
      </c>
      <c r="E117" s="541" t="n">
        <f aca="false">D117*$E$85+($E$82-D117)*(Debt!$E$84/10000)/12</f>
        <v>3747.16497134375</v>
      </c>
      <c r="F117" s="542" t="n">
        <f aca="false">IF(C117&lt;=$E$86,E117+F116,F116)</f>
        <v>48563.258028615</v>
      </c>
      <c r="G117" s="514"/>
      <c r="H117" s="553"/>
      <c r="I117" s="543" t="n">
        <f aca="false">MINA(C117/E$86,1)</f>
        <v>1</v>
      </c>
      <c r="J117" s="543" t="n">
        <f aca="false">J116+0.4/12</f>
        <v>0.4</v>
      </c>
      <c r="K117" s="514"/>
      <c r="L117" s="515"/>
    </row>
    <row r="118" customFormat="false" ht="11.25" hidden="false" customHeight="false" outlineLevel="0" collapsed="false">
      <c r="A118" s="491"/>
      <c r="B118" s="533" t="n">
        <f aca="false">IF($E$87=1,J118,I118)</f>
        <v>1</v>
      </c>
      <c r="C118" s="544" t="n">
        <f aca="false">C117+1</f>
        <v>25</v>
      </c>
      <c r="D118" s="540" t="n">
        <f aca="false">$E$82*B118</f>
        <v>479637.116332</v>
      </c>
      <c r="E118" s="541" t="n">
        <f aca="false">D118*$E$85+($E$82-D118)*(Debt!$E$84/10000)/12</f>
        <v>3747.16497134375</v>
      </c>
      <c r="F118" s="542" t="n">
        <f aca="false">IF(C118&lt;=$E$86,E118+F117,F117)</f>
        <v>48563.258028615</v>
      </c>
      <c r="G118" s="554"/>
      <c r="H118" s="493"/>
      <c r="I118" s="543" t="n">
        <f aca="false">MINA(C118/E$86,1)</f>
        <v>1</v>
      </c>
      <c r="J118" s="543" t="n">
        <f aca="false">J117+0.6/12</f>
        <v>0.45</v>
      </c>
      <c r="K118" s="514"/>
      <c r="L118" s="515"/>
    </row>
    <row r="119" customFormat="false" ht="11.25" hidden="false" customHeight="false" outlineLevel="0" collapsed="false">
      <c r="A119" s="491"/>
      <c r="B119" s="533" t="n">
        <f aca="false">IF($E$87=1,J119,I119)</f>
        <v>1</v>
      </c>
      <c r="C119" s="544" t="n">
        <f aca="false">C118+1</f>
        <v>26</v>
      </c>
      <c r="D119" s="540" t="n">
        <f aca="false">$E$82*B119</f>
        <v>479637.116332</v>
      </c>
      <c r="E119" s="541" t="n">
        <f aca="false">D119*$E$85+($E$82-D119)*(Debt!$E$84/10000)/12</f>
        <v>3747.16497134375</v>
      </c>
      <c r="F119" s="542" t="n">
        <f aca="false">IF(C119&lt;=$E$86,E119+F118,F118)</f>
        <v>48563.258028615</v>
      </c>
      <c r="G119" s="493"/>
      <c r="H119" s="493"/>
      <c r="I119" s="543" t="n">
        <f aca="false">MINA(C119/E$86,1)</f>
        <v>1</v>
      </c>
      <c r="J119" s="543" t="n">
        <f aca="false">J118+0.6/12</f>
        <v>0.5</v>
      </c>
      <c r="K119" s="514"/>
      <c r="L119" s="515"/>
    </row>
    <row r="120" customFormat="false" ht="11.25" hidden="false" customHeight="false" outlineLevel="0" collapsed="false">
      <c r="A120" s="491"/>
      <c r="B120" s="533" t="n">
        <f aca="false">IF($E$87=1,J120,I120)</f>
        <v>1</v>
      </c>
      <c r="C120" s="544" t="n">
        <f aca="false">C119+1</f>
        <v>27</v>
      </c>
      <c r="D120" s="540" t="n">
        <f aca="false">$E$82*B120</f>
        <v>479637.116332</v>
      </c>
      <c r="E120" s="541" t="n">
        <f aca="false">D120*$E$85+($E$82-D120)*(Debt!$E$84/10000)/12</f>
        <v>3747.16497134375</v>
      </c>
      <c r="F120" s="542" t="n">
        <f aca="false">IF(C120&lt;=$E$86,E120+F119,F119)</f>
        <v>48563.258028615</v>
      </c>
      <c r="G120" s="493"/>
      <c r="H120" s="493"/>
      <c r="I120" s="543" t="n">
        <f aca="false">MINA(C120/E$86,1)</f>
        <v>1</v>
      </c>
      <c r="J120" s="543" t="n">
        <f aca="false">J119+0.6/12</f>
        <v>0.55</v>
      </c>
      <c r="K120" s="514"/>
      <c r="L120" s="515"/>
    </row>
    <row r="121" customFormat="false" ht="11.25" hidden="false" customHeight="false" outlineLevel="0" collapsed="false">
      <c r="A121" s="491"/>
      <c r="B121" s="533" t="n">
        <f aca="false">IF($E$87=1,J121,I121)</f>
        <v>1</v>
      </c>
      <c r="C121" s="544" t="n">
        <f aca="false">C120+1</f>
        <v>28</v>
      </c>
      <c r="D121" s="540" t="n">
        <f aca="false">$E$82*B121</f>
        <v>479637.116332</v>
      </c>
      <c r="E121" s="541" t="n">
        <f aca="false">D121*$E$85+($E$82-D121)*(Debt!$E$84/10000)/12</f>
        <v>3747.16497134375</v>
      </c>
      <c r="F121" s="542" t="n">
        <f aca="false">IF(C121&lt;=$E$86,E121+F120,F120)</f>
        <v>48563.258028615</v>
      </c>
      <c r="G121" s="493"/>
      <c r="H121" s="493"/>
      <c r="I121" s="543" t="n">
        <f aca="false">MINA(C121/E$86,1)</f>
        <v>1</v>
      </c>
      <c r="J121" s="543" t="n">
        <f aca="false">J120+0.6/12</f>
        <v>0.6</v>
      </c>
      <c r="K121" s="514"/>
      <c r="L121" s="515"/>
    </row>
    <row r="122" customFormat="false" ht="11.25" hidden="false" customHeight="false" outlineLevel="0" collapsed="false">
      <c r="A122" s="491"/>
      <c r="B122" s="533" t="n">
        <f aca="false">IF($E$87=1,J122,I122)</f>
        <v>1</v>
      </c>
      <c r="C122" s="544" t="n">
        <f aca="false">C121+1</f>
        <v>29</v>
      </c>
      <c r="D122" s="540" t="n">
        <f aca="false">$E$82*B122</f>
        <v>479637.116332</v>
      </c>
      <c r="E122" s="541" t="n">
        <f aca="false">D122*$E$85+($E$82-D122)*(Debt!$E$84/10000)/12</f>
        <v>3747.16497134375</v>
      </c>
      <c r="F122" s="542" t="n">
        <f aca="false">IF(C122&lt;=$E$86,E122+F121,F121)</f>
        <v>48563.258028615</v>
      </c>
      <c r="G122" s="493"/>
      <c r="H122" s="493"/>
      <c r="I122" s="543" t="n">
        <f aca="false">MINA(C122/E$86,1)</f>
        <v>1</v>
      </c>
      <c r="J122" s="543" t="n">
        <f aca="false">J121+0.6/12</f>
        <v>0.65</v>
      </c>
      <c r="K122" s="514"/>
      <c r="L122" s="515"/>
    </row>
    <row r="123" customFormat="false" ht="12" hidden="false" customHeight="false" outlineLevel="0" collapsed="false">
      <c r="A123" s="491"/>
      <c r="B123" s="546" t="n">
        <f aca="false">IF($E$87=1,J123,I123)</f>
        <v>1</v>
      </c>
      <c r="C123" s="547" t="n">
        <f aca="false">C122+1</f>
        <v>30</v>
      </c>
      <c r="D123" s="548" t="n">
        <f aca="false">$E$82*B123</f>
        <v>479637.116332</v>
      </c>
      <c r="E123" s="549" t="n">
        <f aca="false">D123*$E$85+($E$82-D123)*(Debt!$E$84/10000)/12</f>
        <v>3747.16497134375</v>
      </c>
      <c r="F123" s="550" t="n">
        <f aca="false">IF(C123&lt;=$E$86,E123+F122,F122)</f>
        <v>48563.258028615</v>
      </c>
      <c r="G123" s="493"/>
      <c r="H123" s="493"/>
      <c r="I123" s="543" t="n">
        <f aca="false">MINA(C123/E$86,1)</f>
        <v>1</v>
      </c>
      <c r="J123" s="543" t="n">
        <f aca="false">J122+0.6/12</f>
        <v>0.7</v>
      </c>
      <c r="K123" s="514"/>
      <c r="L123" s="515"/>
    </row>
    <row r="124" customFormat="false" ht="11.25" hidden="false" customHeight="false" outlineLevel="0" collapsed="false">
      <c r="A124" s="491"/>
      <c r="B124" s="533" t="n">
        <f aca="false">IF($E$87=1,J124,I124)</f>
        <v>1</v>
      </c>
      <c r="C124" s="544" t="n">
        <f aca="false">C123+1</f>
        <v>31</v>
      </c>
      <c r="D124" s="540" t="n">
        <f aca="false">$E$82*B124</f>
        <v>479637.116332</v>
      </c>
      <c r="E124" s="541" t="n">
        <f aca="false">D124*$E$85+($E$82-D124)*(Debt!$E$84/10000)/12</f>
        <v>3747.16497134375</v>
      </c>
      <c r="F124" s="542" t="n">
        <f aca="false">IF(C124&lt;=$E$86,E124+F123,F123)</f>
        <v>48563.258028615</v>
      </c>
      <c r="G124" s="493"/>
      <c r="H124" s="493"/>
      <c r="I124" s="543" t="n">
        <f aca="false">MINA(C124/E$86,1)</f>
        <v>1</v>
      </c>
      <c r="J124" s="543" t="n">
        <f aca="false">J123+0.6/12</f>
        <v>0.75</v>
      </c>
      <c r="K124" s="514"/>
      <c r="L124" s="515"/>
    </row>
    <row r="125" customFormat="false" ht="11.25" hidden="false" customHeight="false" outlineLevel="0" collapsed="false">
      <c r="A125" s="491"/>
      <c r="B125" s="533" t="n">
        <f aca="false">IF($E$87=1,J125,I125)</f>
        <v>1</v>
      </c>
      <c r="C125" s="544" t="n">
        <f aca="false">C124+1</f>
        <v>32</v>
      </c>
      <c r="D125" s="540" t="n">
        <f aca="false">$E$82*B125</f>
        <v>479637.116332</v>
      </c>
      <c r="E125" s="541" t="n">
        <f aca="false">D125*$E$85+($E$82-D125)*(Debt!$E$84/10000)/12</f>
        <v>3747.16497134375</v>
      </c>
      <c r="F125" s="542" t="n">
        <f aca="false">IF(C125&lt;=$E$86,E125+F124,F124)</f>
        <v>48563.258028615</v>
      </c>
      <c r="G125" s="493"/>
      <c r="H125" s="493"/>
      <c r="I125" s="543" t="n">
        <f aca="false">MINA(C125/E$86,1)</f>
        <v>1</v>
      </c>
      <c r="J125" s="543" t="n">
        <f aca="false">J124+0.6/12</f>
        <v>0.8</v>
      </c>
      <c r="K125" s="514"/>
      <c r="L125" s="515"/>
    </row>
    <row r="126" customFormat="false" ht="11.25" hidden="false" customHeight="false" outlineLevel="0" collapsed="false">
      <c r="A126" s="491"/>
      <c r="B126" s="533" t="n">
        <f aca="false">IF($E$87=1,J126,I126)</f>
        <v>1</v>
      </c>
      <c r="C126" s="544" t="n">
        <f aca="false">C125+1</f>
        <v>33</v>
      </c>
      <c r="D126" s="540" t="n">
        <f aca="false">$E$82*B126</f>
        <v>479637.116332</v>
      </c>
      <c r="E126" s="541" t="n">
        <f aca="false">D126*$E$85+($E$82-D126)*(Debt!$E$84/10000)/12</f>
        <v>3747.16497134375</v>
      </c>
      <c r="F126" s="542" t="n">
        <f aca="false">IF(C126&lt;=$E$86,E126+F125,F125)</f>
        <v>48563.258028615</v>
      </c>
      <c r="G126" s="493"/>
      <c r="H126" s="493"/>
      <c r="I126" s="543" t="n">
        <f aca="false">MINA(C126/E$86,1)</f>
        <v>1</v>
      </c>
      <c r="J126" s="543" t="n">
        <f aca="false">J125+0.6/12</f>
        <v>0.85</v>
      </c>
      <c r="K126" s="514"/>
      <c r="L126" s="515"/>
    </row>
    <row r="127" customFormat="false" ht="11.25" hidden="false" customHeight="false" outlineLevel="0" collapsed="false">
      <c r="A127" s="491"/>
      <c r="B127" s="533" t="n">
        <f aca="false">IF($E$87=1,J127,I127)</f>
        <v>1</v>
      </c>
      <c r="C127" s="544" t="n">
        <f aca="false">C126+1</f>
        <v>34</v>
      </c>
      <c r="D127" s="540" t="n">
        <f aca="false">$E$82*B127</f>
        <v>479637.116332</v>
      </c>
      <c r="E127" s="541" t="n">
        <f aca="false">D127*$E$85+($E$82-D127)*(Debt!$E$84/10000)/12</f>
        <v>3747.16497134375</v>
      </c>
      <c r="F127" s="542" t="n">
        <f aca="false">IF(C127&lt;=$E$86,E127+F126,F126)</f>
        <v>48563.258028615</v>
      </c>
      <c r="G127" s="493"/>
      <c r="H127" s="493"/>
      <c r="I127" s="543" t="n">
        <f aca="false">MINA(C127/E$86,1)</f>
        <v>1</v>
      </c>
      <c r="J127" s="543" t="n">
        <f aca="false">J126+0.6/12</f>
        <v>0.9</v>
      </c>
      <c r="K127" s="514"/>
      <c r="L127" s="515"/>
    </row>
    <row r="128" customFormat="false" ht="11.25" hidden="false" customHeight="false" outlineLevel="0" collapsed="false">
      <c r="A128" s="491"/>
      <c r="B128" s="533" t="n">
        <f aca="false">IF($E$87=1,J128,I128)</f>
        <v>1</v>
      </c>
      <c r="C128" s="544" t="n">
        <f aca="false">C127+1</f>
        <v>35</v>
      </c>
      <c r="D128" s="540" t="n">
        <f aca="false">$E$82*B128</f>
        <v>479637.116332</v>
      </c>
      <c r="E128" s="541" t="n">
        <f aca="false">D128*$E$85+($E$82-D128)*(Debt!$E$84/10000)/12</f>
        <v>3747.16497134375</v>
      </c>
      <c r="F128" s="542" t="n">
        <f aca="false">IF(C128&lt;=$E$86,E128+F127,F127)</f>
        <v>48563.258028615</v>
      </c>
      <c r="G128" s="493"/>
      <c r="H128" s="493"/>
      <c r="I128" s="543" t="n">
        <f aca="false">MINA(C128/E$86,1)</f>
        <v>1</v>
      </c>
      <c r="J128" s="543" t="n">
        <f aca="false">J127+0.6/12</f>
        <v>0.95</v>
      </c>
      <c r="K128" s="514"/>
      <c r="L128" s="515"/>
    </row>
    <row r="129" customFormat="false" ht="11.25" hidden="false" customHeight="false" outlineLevel="0" collapsed="false">
      <c r="A129" s="555"/>
      <c r="B129" s="556" t="n">
        <f aca="false">IF($E$87=1,J129,I129)</f>
        <v>1</v>
      </c>
      <c r="C129" s="516" t="n">
        <f aca="false">C128+1</f>
        <v>36</v>
      </c>
      <c r="D129" s="557" t="n">
        <f aca="false">$E$82*B129</f>
        <v>479637.116332</v>
      </c>
      <c r="E129" s="558" t="n">
        <f aca="false">D129*$E$85+($E$82-D129)*(Debt!$E$84/10000)/12</f>
        <v>3747.16497134375</v>
      </c>
      <c r="F129" s="559" t="n">
        <f aca="false">IF(C129&lt;=$E$86,E129+F128,F128)</f>
        <v>48563.258028615</v>
      </c>
      <c r="G129" s="517"/>
      <c r="H129" s="517"/>
      <c r="I129" s="560" t="n">
        <f aca="false">MINA(C129/E$86,1)</f>
        <v>1</v>
      </c>
      <c r="J129" s="560" t="n">
        <f aca="false">J128+0.6/12</f>
        <v>1</v>
      </c>
      <c r="K129" s="561"/>
      <c r="L129" s="562"/>
    </row>
    <row r="130" customFormat="false" ht="11.25" hidden="false" customHeight="false" outlineLevel="0" collapsed="false">
      <c r="A130" s="563"/>
      <c r="B130" s="564"/>
      <c r="C130" s="564"/>
      <c r="D130" s="564"/>
      <c r="E130" s="564"/>
      <c r="F130" s="564"/>
      <c r="G130" s="564"/>
      <c r="H130" s="564"/>
      <c r="I130" s="564"/>
      <c r="J130" s="564"/>
      <c r="K130" s="564"/>
      <c r="L130" s="564"/>
    </row>
    <row r="131" customFormat="false" ht="12.75" hidden="false" customHeight="false" outlineLevel="0" collapsed="false">
      <c r="A131" s="346" t="str">
        <f aca="true">+CELL("filename",B155)</f>
        <v>'file:///mnt/12tb/@roms/datasets/enron/EDRM Enron Email Data Set v2 XML/filtered-attachments/xls/Pastoria_CFTejon8a_revised_21___750_MW.xls'#$Debt</v>
      </c>
      <c r="B131" s="384"/>
      <c r="C131" s="565"/>
      <c r="D131" s="566"/>
      <c r="E131" s="566"/>
      <c r="F131" s="566"/>
      <c r="G131" s="566"/>
      <c r="H131" s="566"/>
      <c r="I131" s="566"/>
      <c r="J131" s="567"/>
      <c r="K131" s="565"/>
      <c r="L131" s="565"/>
      <c r="M131" s="565"/>
      <c r="N131" s="565"/>
      <c r="O131" s="565"/>
      <c r="P131" s="565"/>
      <c r="Q131" s="565"/>
      <c r="R131" s="565"/>
      <c r="S131" s="565"/>
      <c r="T131" s="565"/>
      <c r="U131" s="565"/>
      <c r="V131" s="565"/>
      <c r="W131" s="565"/>
      <c r="X131" s="565"/>
    </row>
    <row r="155" customFormat="false" ht="16.5" hidden="false" customHeight="true" outlineLevel="0" collapsed="false"/>
    <row r="168" customFormat="false" ht="12.75" hidden="false" customHeight="false" outlineLevel="0" collapsed="false">
      <c r="A168" s="0"/>
      <c r="B168" s="0"/>
      <c r="C168" s="0"/>
      <c r="D168" s="0"/>
      <c r="E168" s="0"/>
      <c r="F168" s="0"/>
      <c r="G168" s="0"/>
      <c r="H168" s="0"/>
      <c r="I168" s="0"/>
      <c r="J168" s="0"/>
      <c r="K168" s="0"/>
      <c r="L168" s="0"/>
      <c r="M168" s="0"/>
      <c r="N168" s="0"/>
      <c r="O168" s="0"/>
      <c r="P168" s="0"/>
      <c r="Q168" s="0"/>
      <c r="R168" s="0"/>
      <c r="S168" s="0"/>
      <c r="T168" s="0"/>
      <c r="U168" s="0"/>
      <c r="V168" s="0"/>
      <c r="W168" s="0"/>
      <c r="X168" s="0"/>
      <c r="Y168" s="0"/>
    </row>
    <row r="169" customFormat="false" ht="12.75" hidden="false" customHeight="false" outlineLevel="0" collapsed="false">
      <c r="A169" s="0"/>
      <c r="B169" s="0"/>
      <c r="C169" s="0"/>
      <c r="D169" s="0"/>
      <c r="E169" s="0"/>
      <c r="F169" s="0"/>
      <c r="G169" s="0"/>
      <c r="H169" s="0"/>
      <c r="I169" s="0"/>
      <c r="J169" s="0"/>
      <c r="K169" s="0"/>
      <c r="L169" s="0"/>
      <c r="M169" s="0"/>
      <c r="N169" s="0"/>
      <c r="O169" s="0"/>
      <c r="P169" s="0"/>
      <c r="Q169" s="0"/>
      <c r="R169" s="0"/>
      <c r="S169" s="0"/>
      <c r="T169" s="0"/>
      <c r="U169" s="0"/>
      <c r="V169" s="0"/>
      <c r="W169" s="0"/>
      <c r="X169" s="0"/>
      <c r="Y169" s="0"/>
    </row>
    <row r="170" customFormat="false" ht="12.75" hidden="false" customHeight="false" outlineLevel="0" collapsed="false">
      <c r="A170" s="0"/>
      <c r="B170" s="0"/>
      <c r="C170" s="0"/>
      <c r="D170" s="0"/>
      <c r="E170" s="0"/>
      <c r="F170" s="0"/>
      <c r="G170" s="0"/>
      <c r="H170" s="0"/>
      <c r="I170" s="0"/>
      <c r="J170" s="0"/>
      <c r="K170" s="0"/>
      <c r="L170" s="0"/>
      <c r="M170" s="0"/>
      <c r="N170" s="0"/>
      <c r="O170" s="0"/>
      <c r="P170" s="0"/>
      <c r="Q170" s="0"/>
      <c r="R170" s="0"/>
      <c r="S170" s="0"/>
      <c r="T170" s="0"/>
      <c r="U170" s="0"/>
      <c r="V170" s="0"/>
      <c r="W170" s="0"/>
      <c r="X170" s="0"/>
      <c r="Y170" s="0"/>
    </row>
    <row r="171" customFormat="false" ht="12.75" hidden="false" customHeight="false" outlineLevel="0" collapsed="false">
      <c r="A171" s="0"/>
      <c r="B171" s="0"/>
      <c r="C171" s="0"/>
      <c r="D171" s="0"/>
      <c r="E171" s="0"/>
      <c r="F171" s="0"/>
      <c r="G171" s="0"/>
      <c r="H171" s="0"/>
      <c r="I171" s="0"/>
      <c r="J171" s="0"/>
      <c r="K171" s="0"/>
      <c r="L171" s="0"/>
      <c r="M171" s="0"/>
      <c r="N171" s="0"/>
      <c r="O171" s="0"/>
      <c r="P171" s="0"/>
      <c r="Q171" s="0"/>
      <c r="R171" s="0"/>
      <c r="S171" s="0"/>
      <c r="T171" s="0"/>
      <c r="U171" s="0"/>
      <c r="V171" s="0"/>
      <c r="W171" s="0"/>
      <c r="X171" s="0"/>
      <c r="Y171" s="0"/>
    </row>
    <row r="172" customFormat="false" ht="12.75" hidden="false" customHeight="false" outlineLevel="0" collapsed="false">
      <c r="A172" s="0"/>
      <c r="B172" s="0"/>
      <c r="C172" s="0"/>
      <c r="D172" s="0"/>
      <c r="E172" s="0"/>
      <c r="F172" s="0"/>
      <c r="G172" s="0"/>
      <c r="H172" s="0"/>
      <c r="I172" s="0"/>
      <c r="J172" s="0"/>
      <c r="K172" s="0"/>
      <c r="L172" s="0"/>
      <c r="M172" s="0"/>
      <c r="N172" s="0"/>
      <c r="O172" s="0"/>
      <c r="P172" s="0"/>
      <c r="Q172" s="0"/>
      <c r="R172" s="0"/>
      <c r="S172" s="0"/>
      <c r="T172" s="0"/>
      <c r="U172" s="0"/>
      <c r="V172" s="0"/>
      <c r="W172" s="0"/>
      <c r="X172" s="0"/>
      <c r="Y172" s="0"/>
    </row>
    <row r="173" customFormat="false" ht="12.75" hidden="false" customHeight="false" outlineLevel="0" collapsed="false">
      <c r="A173" s="0"/>
      <c r="B173" s="0"/>
      <c r="C173" s="0"/>
      <c r="D173" s="0"/>
      <c r="E173" s="0"/>
      <c r="F173" s="0"/>
      <c r="G173" s="0"/>
      <c r="H173" s="0"/>
      <c r="I173" s="0"/>
      <c r="J173" s="0"/>
      <c r="K173" s="0"/>
      <c r="L173" s="0"/>
      <c r="M173" s="0"/>
      <c r="N173" s="0"/>
      <c r="O173" s="0"/>
      <c r="P173" s="0"/>
      <c r="Q173" s="0"/>
      <c r="R173" s="0"/>
      <c r="S173" s="0"/>
      <c r="T173" s="0"/>
      <c r="U173" s="0"/>
      <c r="V173" s="0"/>
      <c r="W173" s="0"/>
      <c r="X173" s="0"/>
      <c r="Y173" s="0"/>
    </row>
    <row r="174" customFormat="false" ht="12.75" hidden="false" customHeight="false" outlineLevel="0" collapsed="false">
      <c r="A174" s="0"/>
      <c r="B174" s="0"/>
      <c r="C174" s="0"/>
      <c r="D174" s="0"/>
      <c r="E174" s="0"/>
      <c r="F174" s="0"/>
      <c r="G174" s="0"/>
      <c r="H174" s="0"/>
      <c r="I174" s="0"/>
      <c r="J174" s="0"/>
      <c r="K174" s="0"/>
      <c r="L174" s="0"/>
      <c r="M174" s="0"/>
      <c r="N174" s="0"/>
      <c r="O174" s="0"/>
      <c r="P174" s="0"/>
      <c r="Q174" s="0"/>
      <c r="R174" s="0"/>
      <c r="S174" s="0"/>
      <c r="T174" s="0"/>
      <c r="U174" s="0"/>
      <c r="V174" s="0"/>
      <c r="W174" s="0"/>
      <c r="X174" s="0"/>
      <c r="Y174" s="0"/>
    </row>
    <row r="175" customFormat="false" ht="12.75" hidden="false" customHeight="false" outlineLevel="0" collapsed="false">
      <c r="A175" s="0"/>
      <c r="B175" s="0"/>
      <c r="C175" s="0"/>
      <c r="D175" s="0"/>
      <c r="E175" s="0"/>
      <c r="F175" s="0"/>
      <c r="G175" s="0"/>
      <c r="H175" s="0"/>
      <c r="I175" s="0"/>
      <c r="J175" s="0"/>
      <c r="K175" s="0"/>
      <c r="L175" s="0"/>
      <c r="M175" s="0"/>
      <c r="N175" s="0"/>
      <c r="O175" s="0"/>
      <c r="P175" s="0"/>
      <c r="Q175" s="0"/>
      <c r="R175" s="0"/>
      <c r="S175" s="0"/>
      <c r="T175" s="0"/>
      <c r="U175" s="0"/>
      <c r="V175" s="0"/>
      <c r="W175" s="0"/>
      <c r="X175" s="0"/>
      <c r="Y175" s="0"/>
    </row>
  </sheetData>
  <printOptions headings="false" gridLines="false" gridLinesSet="true" horizontalCentered="false" verticalCentered="false"/>
  <pageMargins left="0.5" right="0.5" top="0.984027777777778" bottom="0.984027777777778" header="0.5" footer="0.5"/>
  <pageSetup paperSize="5" scale="75" fitToWidth="1" fitToHeight="1" pageOrder="downThenOver" orientation="landscape" blackAndWhite="false" draft="false" cellComments="none" horizontalDpi="300" verticalDpi="300" copies="1"/>
  <headerFooter differentFirst="false" differentOddEven="false">
    <oddHeader>&amp;CAssumptions: Centralia</oddHeader>
    <oddFooter>&amp;L&amp;F, &amp;A&amp;CPage &amp;P of &amp;N</oddFooter>
  </headerFooter>
  <rowBreaks count="3" manualBreakCount="3">
    <brk id="14" man="true" max="16383" min="0"/>
    <brk id="38" man="true" max="16383" min="0"/>
    <brk id="78" man="true" max="16383" min="0"/>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P130"/>
  <sheetViews>
    <sheetView showFormulas="false" showGridLines="true" showRowColHeaders="true" showZeros="true" rightToLeft="false" tabSelected="true" showOutlineSymbols="true" defaultGridColor="true" view="normal" topLeftCell="C29" colorId="64" zoomScale="100" zoomScaleNormal="100" zoomScalePageLayoutView="100" workbookViewId="0">
      <selection pane="topLeft" activeCell="O40" activeCellId="0" sqref="O40"/>
    </sheetView>
  </sheetViews>
  <sheetFormatPr defaultColWidth="12.5625" defaultRowHeight="12.75" customHeight="true" zeroHeight="false" outlineLevelRow="0" outlineLevelCol="1"/>
  <cols>
    <col collapsed="false" customWidth="true" hidden="false" outlineLevel="0" max="1" min="1" style="0" width="22.28"/>
    <col collapsed="false" customWidth="true" hidden="false" outlineLevel="0" max="2" min="2" style="0" width="9.41"/>
    <col collapsed="false" customWidth="true" hidden="false" outlineLevel="0" max="3" min="3" style="0" width="9.56"/>
    <col collapsed="false" customWidth="true" hidden="false" outlineLevel="0" max="4" min="4" style="0" width="2.7"/>
    <col collapsed="false" customWidth="true" hidden="false" outlineLevel="0" max="5" min="5" style="0" width="14.56"/>
    <col collapsed="false" customWidth="true" hidden="false" outlineLevel="0" max="6" min="6" style="0" width="8.56"/>
    <col collapsed="false" customWidth="true" hidden="false" outlineLevel="0" max="7" min="7" style="0" width="9.28"/>
    <col collapsed="false" customWidth="true" hidden="false" outlineLevel="0" max="8" min="8" style="0" width="9.7"/>
    <col collapsed="false" customWidth="true" hidden="false" outlineLevel="1" max="9" min="9" style="0" width="9.41"/>
    <col collapsed="false" customWidth="true" hidden="false" outlineLevel="0" max="10" min="10" style="0" width="2.84"/>
    <col collapsed="false" customWidth="true" hidden="false" outlineLevel="0" max="11" min="11" style="568" width="17.99"/>
    <col collapsed="false" customWidth="true" hidden="false" outlineLevel="0" max="12" min="12" style="568" width="9.85"/>
    <col collapsed="false" customWidth="true" hidden="false" outlineLevel="0" max="13" min="13" style="568" width="10.71"/>
    <col collapsed="false" customWidth="true" hidden="false" outlineLevel="0" max="14" min="14" style="568" width="11.42"/>
    <col collapsed="false" customWidth="true" hidden="false" outlineLevel="0" max="15" min="15" style="568" width="8.56"/>
    <col collapsed="false" customWidth="true" hidden="false" outlineLevel="0" max="16" min="16" style="568" width="8.28"/>
    <col collapsed="false" customWidth="true" hidden="false" outlineLevel="0" max="17" min="17" style="568" width="6.13"/>
    <col collapsed="false" customWidth="true" hidden="false" outlineLevel="0" max="18" min="18" style="568" width="18.85"/>
    <col collapsed="false" customWidth="true" hidden="false" outlineLevel="0" max="19" min="19" style="568" width="8.41"/>
    <col collapsed="false" customWidth="true" hidden="false" outlineLevel="0" max="20" min="20" style="568" width="10.41"/>
    <col collapsed="false" customWidth="true" hidden="false" outlineLevel="0" max="21" min="21" style="568" width="9.28"/>
    <col collapsed="false" customWidth="false" hidden="false" outlineLevel="0" max="257" min="22" style="568" width="12.56"/>
  </cols>
  <sheetData>
    <row r="1" customFormat="false" ht="20.25" hidden="false" customHeight="false" outlineLevel="0" collapsed="false">
      <c r="A1" s="569" t="s">
        <v>477</v>
      </c>
      <c r="B1" s="568"/>
      <c r="C1" s="568"/>
      <c r="D1" s="568"/>
      <c r="E1" s="568"/>
      <c r="F1" s="568"/>
      <c r="G1" s="568"/>
      <c r="H1" s="568"/>
      <c r="I1" s="568"/>
      <c r="J1" s="568"/>
    </row>
    <row r="2" customFormat="false" ht="20.25" hidden="false" customHeight="false" outlineLevel="0" collapsed="false">
      <c r="A2" s="569" t="s">
        <v>478</v>
      </c>
      <c r="B2" s="568"/>
      <c r="C2" s="568"/>
      <c r="D2" s="568"/>
      <c r="E2" s="570"/>
      <c r="F2" s="568"/>
      <c r="G2" s="568"/>
      <c r="H2" s="568"/>
      <c r="I2" s="568"/>
      <c r="J2" s="568"/>
    </row>
    <row r="3" customFormat="false" ht="11.25" hidden="false" customHeight="false" outlineLevel="0" collapsed="false">
      <c r="A3" s="568"/>
      <c r="B3" s="568"/>
      <c r="C3" s="568"/>
      <c r="D3" s="568"/>
      <c r="E3" s="568"/>
      <c r="F3" s="568"/>
      <c r="G3" s="568"/>
      <c r="H3" s="568"/>
      <c r="I3" s="568"/>
      <c r="J3" s="568"/>
    </row>
    <row r="4" customFormat="false" ht="12.75" hidden="false" customHeight="false" outlineLevel="0" collapsed="false">
      <c r="A4" s="571" t="s">
        <v>1</v>
      </c>
      <c r="B4" s="572" t="s">
        <v>479</v>
      </c>
      <c r="D4" s="568"/>
      <c r="E4" s="568"/>
      <c r="F4" s="568"/>
      <c r="G4" s="568"/>
      <c r="H4" s="568"/>
      <c r="I4" s="568"/>
      <c r="J4" s="568"/>
    </row>
    <row r="5" customFormat="false" ht="12.75" hidden="false" customHeight="false" outlineLevel="0" collapsed="false">
      <c r="A5" s="571" t="s">
        <v>480</v>
      </c>
      <c r="B5" s="572" t="s">
        <v>374</v>
      </c>
      <c r="D5" s="568"/>
      <c r="E5" s="568"/>
      <c r="F5" s="568"/>
      <c r="G5" s="568"/>
      <c r="H5" s="568"/>
      <c r="I5" s="568"/>
      <c r="J5" s="568"/>
    </row>
    <row r="6" customFormat="false" ht="12" hidden="false" customHeight="false" outlineLevel="0" collapsed="false">
      <c r="A6" s="573"/>
      <c r="B6" s="574"/>
      <c r="C6" s="573"/>
      <c r="D6" s="568"/>
      <c r="E6" s="568"/>
      <c r="F6" s="568"/>
      <c r="G6" s="568"/>
      <c r="H6" s="568"/>
      <c r="I6" s="568"/>
      <c r="J6" s="568"/>
    </row>
    <row r="7" customFormat="false" ht="12.75" hidden="false" customHeight="false" outlineLevel="0" collapsed="false">
      <c r="A7" s="575" t="s">
        <v>481</v>
      </c>
      <c r="B7" s="576"/>
      <c r="C7" s="577"/>
      <c r="D7" s="568"/>
      <c r="E7" s="575" t="s">
        <v>482</v>
      </c>
      <c r="F7" s="576"/>
      <c r="G7" s="578" t="s">
        <v>483</v>
      </c>
      <c r="H7" s="579" t="s">
        <v>484</v>
      </c>
      <c r="I7" s="580" t="s">
        <v>485</v>
      </c>
      <c r="K7" s="575" t="s">
        <v>486</v>
      </c>
      <c r="L7" s="576"/>
      <c r="M7" s="581"/>
      <c r="O7" s="0"/>
      <c r="P7" s="0"/>
      <c r="Q7" s="0"/>
      <c r="R7" s="0"/>
      <c r="S7" s="0"/>
      <c r="T7" s="0"/>
    </row>
    <row r="8" customFormat="false" ht="12.75" hidden="false" customHeight="false" outlineLevel="0" collapsed="false">
      <c r="A8" s="582" t="s">
        <v>487</v>
      </c>
      <c r="B8" s="583" t="s">
        <v>488</v>
      </c>
      <c r="C8" s="584" t="s">
        <v>297</v>
      </c>
      <c r="D8" s="568"/>
      <c r="E8" s="585" t="s">
        <v>489</v>
      </c>
      <c r="F8" s="574"/>
      <c r="G8" s="586" t="n">
        <f aca="false">H8/SUM($B$9:$C$9)</f>
        <v>383.333333333333</v>
      </c>
      <c r="H8" s="587" t="n">
        <f aca="false">215000*3/2+22500</f>
        <v>345000</v>
      </c>
      <c r="I8" s="588" t="n">
        <f aca="false">-Budget!B7</f>
        <v>9900</v>
      </c>
      <c r="K8" s="585" t="s">
        <v>490</v>
      </c>
      <c r="L8" s="589" t="n">
        <f aca="false">1-L9</f>
        <v>0.43</v>
      </c>
      <c r="M8" s="590" t="e">
        <f aca="false">Debt!C19</f>
        <v>#VALUE!</v>
      </c>
      <c r="O8" s="0"/>
      <c r="P8" s="0"/>
      <c r="Q8" s="0"/>
      <c r="R8" s="0"/>
      <c r="S8" s="0"/>
      <c r="T8" s="0"/>
    </row>
    <row r="9" customFormat="false" ht="12.75" hidden="false" customHeight="false" outlineLevel="0" collapsed="false">
      <c r="A9" s="591" t="s">
        <v>491</v>
      </c>
      <c r="B9" s="592" t="n">
        <v>150</v>
      </c>
      <c r="C9" s="593" t="n">
        <v>750</v>
      </c>
      <c r="D9" s="568"/>
      <c r="E9" s="594"/>
      <c r="F9" s="238"/>
      <c r="G9" s="238"/>
      <c r="H9" s="320"/>
      <c r="I9" s="595"/>
      <c r="K9" s="585" t="s">
        <v>492</v>
      </c>
      <c r="L9" s="596" t="n">
        <v>0.57</v>
      </c>
      <c r="M9" s="590" t="e">
        <f aca="false">Debt!C18</f>
        <v>#VALUE!</v>
      </c>
      <c r="O9" s="0"/>
      <c r="P9" s="0"/>
      <c r="Q9" s="0"/>
      <c r="R9" s="0"/>
      <c r="S9" s="0"/>
      <c r="T9" s="0"/>
    </row>
    <row r="10" customFormat="false" ht="12.75" hidden="false" customHeight="false" outlineLevel="0" collapsed="false">
      <c r="A10" s="591" t="s">
        <v>493</v>
      </c>
      <c r="B10" s="592" t="n">
        <v>9000</v>
      </c>
      <c r="C10" s="593" t="n">
        <v>7000</v>
      </c>
      <c r="D10" s="568"/>
      <c r="E10" s="597" t="s">
        <v>494</v>
      </c>
      <c r="F10" s="238"/>
      <c r="G10" s="238"/>
      <c r="H10" s="320"/>
      <c r="I10" s="595"/>
      <c r="K10" s="598" t="s">
        <v>495</v>
      </c>
      <c r="L10" s="574"/>
      <c r="M10" s="599"/>
      <c r="O10" s="0"/>
      <c r="P10" s="0"/>
      <c r="Q10" s="0"/>
      <c r="R10" s="0"/>
      <c r="S10" s="0"/>
      <c r="T10" s="0"/>
    </row>
    <row r="11" customFormat="false" ht="13.5" hidden="false" customHeight="false" outlineLevel="0" collapsed="false">
      <c r="A11" s="600" t="s">
        <v>496</v>
      </c>
      <c r="B11" s="601" t="n">
        <f aca="false">B9*B10/1000</f>
        <v>1350</v>
      </c>
      <c r="C11" s="602" t="n">
        <f aca="false">C9*C10/1000</f>
        <v>5250</v>
      </c>
      <c r="D11" s="568"/>
      <c r="E11" s="585" t="s">
        <v>497</v>
      </c>
      <c r="F11" s="574"/>
      <c r="G11" s="574"/>
      <c r="H11" s="603" t="n">
        <f aca="false">1000</f>
        <v>1000</v>
      </c>
      <c r="I11" s="604" t="n">
        <v>0</v>
      </c>
      <c r="K11" s="585" t="s">
        <v>498</v>
      </c>
      <c r="L11" s="574"/>
      <c r="M11" s="605" t="n">
        <v>0.02</v>
      </c>
      <c r="O11" s="0"/>
      <c r="P11" s="0"/>
      <c r="Q11" s="0"/>
      <c r="R11" s="0"/>
      <c r="S11" s="0"/>
      <c r="T11" s="0"/>
    </row>
    <row r="12" customFormat="false" ht="13.5" hidden="false" customHeight="false" outlineLevel="0" collapsed="false">
      <c r="A12" s="606"/>
      <c r="B12" s="444"/>
      <c r="C12" s="606"/>
      <c r="D12" s="568"/>
      <c r="E12" s="585" t="s">
        <v>499</v>
      </c>
      <c r="F12" s="574"/>
      <c r="G12" s="574"/>
      <c r="H12" s="603" t="n">
        <v>1000</v>
      </c>
      <c r="I12" s="604" t="n">
        <v>0</v>
      </c>
      <c r="K12" s="585" t="str">
        <f aca="false">"   "&amp;M18&amp;" Yr. LIBOR Swap Rate"</f>
        <v>   15 Yr. LIBOR Swap Rate</v>
      </c>
      <c r="L12" s="574"/>
      <c r="M12" s="605" t="n">
        <v>0.08</v>
      </c>
      <c r="O12" s="0"/>
      <c r="P12" s="0"/>
      <c r="Q12" s="0"/>
      <c r="R12" s="0"/>
      <c r="S12" s="0"/>
      <c r="T12" s="0"/>
    </row>
    <row r="13" customFormat="false" ht="12.75" hidden="false" customHeight="false" outlineLevel="0" collapsed="false">
      <c r="A13" s="575" t="s">
        <v>500</v>
      </c>
      <c r="B13" s="576"/>
      <c r="C13" s="607"/>
      <c r="D13" s="568"/>
      <c r="E13" s="585" t="s">
        <v>501</v>
      </c>
      <c r="F13" s="574"/>
      <c r="G13" s="574"/>
      <c r="H13" s="603" t="n">
        <v>0</v>
      </c>
      <c r="I13" s="604" t="n">
        <v>0</v>
      </c>
      <c r="K13" s="585" t="s">
        <v>502</v>
      </c>
      <c r="L13" s="608" t="n">
        <f aca="false">YEAR($C$17)</f>
        <v>2003</v>
      </c>
      <c r="M13" s="605" t="n">
        <v>0.01375</v>
      </c>
      <c r="O13" s="0"/>
      <c r="P13" s="0"/>
      <c r="Q13" s="0"/>
      <c r="R13" s="0"/>
      <c r="S13" s="0"/>
      <c r="T13" s="0"/>
    </row>
    <row r="14" customFormat="false" ht="12.75" hidden="false" customHeight="false" outlineLevel="0" collapsed="false">
      <c r="A14" s="609" t="s">
        <v>503</v>
      </c>
      <c r="B14" s="574"/>
      <c r="C14" s="610" t="n">
        <v>36280</v>
      </c>
      <c r="D14" s="568"/>
      <c r="E14" s="585" t="s">
        <v>504</v>
      </c>
      <c r="F14" s="574"/>
      <c r="G14" s="574"/>
      <c r="H14" s="603" t="n">
        <v>0</v>
      </c>
      <c r="I14" s="604" t="n">
        <v>0</v>
      </c>
      <c r="K14" s="585" t="s">
        <v>505</v>
      </c>
      <c r="L14" s="608" t="n">
        <f aca="false">L13+4</f>
        <v>2007</v>
      </c>
      <c r="M14" s="605" t="n">
        <f aca="false">M13+0.00125</f>
        <v>0.015</v>
      </c>
      <c r="O14" s="0"/>
      <c r="P14" s="0"/>
      <c r="Q14" s="0"/>
      <c r="R14" s="0"/>
      <c r="S14" s="0"/>
      <c r="T14" s="0"/>
    </row>
    <row r="15" customFormat="false" ht="12.75" hidden="false" customHeight="false" outlineLevel="0" collapsed="false">
      <c r="A15" s="585" t="s">
        <v>506</v>
      </c>
      <c r="B15" s="574"/>
      <c r="C15" s="610" t="n">
        <v>36494</v>
      </c>
      <c r="D15" s="568"/>
      <c r="E15" s="585" t="s">
        <v>507</v>
      </c>
      <c r="F15" s="574"/>
      <c r="G15" s="574"/>
      <c r="H15" s="603" t="n">
        <v>9000</v>
      </c>
      <c r="I15" s="604" t="n">
        <v>0</v>
      </c>
      <c r="K15" s="585" t="s">
        <v>508</v>
      </c>
      <c r="L15" s="608" t="n">
        <f aca="false">L14+4</f>
        <v>2011</v>
      </c>
      <c r="M15" s="605" t="n">
        <f aca="false">M14+0.00125</f>
        <v>0.01625</v>
      </c>
      <c r="O15" s="0"/>
      <c r="P15" s="0"/>
      <c r="Q15" s="0"/>
      <c r="R15" s="0"/>
      <c r="S15" s="0"/>
      <c r="T15" s="0"/>
    </row>
    <row r="16" customFormat="false" ht="12.75" hidden="false" customHeight="false" outlineLevel="0" collapsed="false">
      <c r="A16" s="609" t="s">
        <v>509</v>
      </c>
      <c r="B16" s="574"/>
      <c r="C16" s="611" t="n">
        <v>36860</v>
      </c>
      <c r="D16" s="568"/>
      <c r="E16" s="585" t="s">
        <v>510</v>
      </c>
      <c r="F16" s="574"/>
      <c r="G16" s="574"/>
      <c r="H16" s="603" t="n">
        <v>0</v>
      </c>
      <c r="I16" s="604" t="n">
        <v>0</v>
      </c>
      <c r="K16" s="585" t="s">
        <v>511</v>
      </c>
      <c r="L16" s="608" t="n">
        <f aca="false">L15+4</f>
        <v>2015</v>
      </c>
      <c r="M16" s="605" t="n">
        <f aca="false">M15+0.00125</f>
        <v>0.0175</v>
      </c>
      <c r="R16" s="0"/>
      <c r="S16" s="0"/>
      <c r="T16" s="0"/>
    </row>
    <row r="17" customFormat="false" ht="12.75" hidden="false" customHeight="false" outlineLevel="0" collapsed="false">
      <c r="A17" s="585" t="s">
        <v>512</v>
      </c>
      <c r="B17" s="574"/>
      <c r="C17" s="611" t="n">
        <v>37802</v>
      </c>
      <c r="D17" s="568"/>
      <c r="E17" s="585" t="s">
        <v>513</v>
      </c>
      <c r="F17" s="574"/>
      <c r="G17" s="574"/>
      <c r="H17" s="603" t="n">
        <v>0</v>
      </c>
      <c r="I17" s="604" t="n">
        <v>0</v>
      </c>
      <c r="K17" s="585" t="s">
        <v>514</v>
      </c>
      <c r="L17" s="574"/>
      <c r="M17" s="612" t="n">
        <f aca="false">M13+M12</f>
        <v>0.09375</v>
      </c>
      <c r="R17" s="0"/>
      <c r="S17" s="0"/>
      <c r="T17" s="0"/>
    </row>
    <row r="18" customFormat="false" ht="13.5" hidden="false" customHeight="false" outlineLevel="0" collapsed="false">
      <c r="A18" s="613" t="s">
        <v>515</v>
      </c>
      <c r="B18" s="614"/>
      <c r="C18" s="615" t="n">
        <v>44926</v>
      </c>
      <c r="D18" s="568"/>
      <c r="E18" s="585" t="s">
        <v>516</v>
      </c>
      <c r="F18" s="574"/>
      <c r="G18" s="574"/>
      <c r="H18" s="603" t="n">
        <v>1500</v>
      </c>
      <c r="I18" s="604" t="n">
        <v>0</v>
      </c>
      <c r="J18" s="574"/>
      <c r="K18" s="585" t="s">
        <v>517</v>
      </c>
      <c r="L18" s="574"/>
      <c r="M18" s="616" t="n">
        <v>15</v>
      </c>
      <c r="N18" s="617"/>
      <c r="R18" s="0"/>
      <c r="S18" s="0"/>
      <c r="T18" s="0"/>
    </row>
    <row r="19" customFormat="false" ht="13.5" hidden="false" customHeight="false" outlineLevel="0" collapsed="false">
      <c r="D19" s="568"/>
      <c r="E19" s="585" t="s">
        <v>518</v>
      </c>
      <c r="F19" s="574"/>
      <c r="G19" s="574"/>
      <c r="H19" s="603" t="n">
        <v>0</v>
      </c>
      <c r="I19" s="604" t="n">
        <v>0</v>
      </c>
      <c r="J19" s="568"/>
      <c r="K19" s="585" t="s">
        <v>519</v>
      </c>
      <c r="L19" s="618"/>
      <c r="M19" s="619" t="s">
        <v>424</v>
      </c>
      <c r="O19" s="0"/>
      <c r="P19" s="0"/>
      <c r="Q19" s="0"/>
      <c r="R19" s="0"/>
      <c r="S19" s="0"/>
      <c r="T19" s="0"/>
    </row>
    <row r="20" customFormat="false" ht="12.75" hidden="false" customHeight="false" outlineLevel="0" collapsed="false">
      <c r="A20" s="575" t="s">
        <v>520</v>
      </c>
      <c r="B20" s="620"/>
      <c r="C20" s="621"/>
      <c r="D20" s="568"/>
      <c r="E20" s="585" t="s">
        <v>521</v>
      </c>
      <c r="F20" s="574"/>
      <c r="G20" s="574"/>
      <c r="H20" s="603" t="n">
        <v>10000</v>
      </c>
      <c r="I20" s="604" t="n">
        <v>0</v>
      </c>
      <c r="J20" s="568"/>
      <c r="K20" s="591" t="s">
        <v>522</v>
      </c>
      <c r="L20" s="238"/>
      <c r="M20" s="605" t="n">
        <v>0.5</v>
      </c>
      <c r="O20" s="0"/>
      <c r="P20" s="0"/>
      <c r="Q20" s="0"/>
      <c r="R20" s="0"/>
      <c r="S20" s="0"/>
      <c r="T20" s="0"/>
    </row>
    <row r="21" customFormat="false" ht="13.5" hidden="false" customHeight="false" outlineLevel="0" collapsed="false">
      <c r="A21" s="585" t="s">
        <v>523</v>
      </c>
      <c r="B21" s="618"/>
      <c r="C21" s="622" t="n">
        <v>0.35</v>
      </c>
      <c r="D21" s="568"/>
      <c r="E21" s="585" t="s">
        <v>524</v>
      </c>
      <c r="F21" s="574"/>
      <c r="G21" s="574"/>
      <c r="H21" s="603" t="n">
        <v>0</v>
      </c>
      <c r="I21" s="604" t="n">
        <v>0</v>
      </c>
      <c r="J21" s="568"/>
      <c r="K21" s="613" t="s">
        <v>525</v>
      </c>
      <c r="L21" s="614"/>
      <c r="M21" s="623" t="s">
        <v>424</v>
      </c>
      <c r="O21" s="0"/>
      <c r="P21" s="0"/>
      <c r="Q21" s="0"/>
      <c r="R21" s="0"/>
      <c r="S21" s="0"/>
      <c r="T21" s="0"/>
      <c r="U21" s="624"/>
    </row>
    <row r="22" customFormat="false" ht="13.5" hidden="false" customHeight="false" outlineLevel="0" collapsed="false">
      <c r="A22" s="585" t="s">
        <v>526</v>
      </c>
      <c r="B22" s="618"/>
      <c r="C22" s="625" t="n">
        <v>0.0884</v>
      </c>
      <c r="D22" s="568"/>
      <c r="E22" s="597" t="s">
        <v>297</v>
      </c>
      <c r="F22" s="238"/>
      <c r="G22" s="626" t="n">
        <f aca="false">SUM(H11:H21)</f>
        <v>22500</v>
      </c>
      <c r="H22" s="320"/>
      <c r="I22" s="595"/>
      <c r="J22" s="627"/>
      <c r="O22" s="0"/>
      <c r="P22" s="0"/>
      <c r="Q22" s="0"/>
      <c r="R22" s="0"/>
      <c r="S22" s="0"/>
      <c r="T22" s="0"/>
      <c r="U22" s="574"/>
    </row>
    <row r="23" customFormat="false" ht="13.5" hidden="false" customHeight="false" outlineLevel="0" collapsed="false">
      <c r="A23" s="628" t="s">
        <v>527</v>
      </c>
      <c r="B23" s="629"/>
      <c r="C23" s="630" t="n">
        <f aca="false">C22+C21*(1-C22)</f>
        <v>0.40746</v>
      </c>
      <c r="D23" s="568"/>
      <c r="E23" s="594"/>
      <c r="F23" s="238"/>
      <c r="G23" s="238"/>
      <c r="H23" s="320"/>
      <c r="I23" s="595"/>
      <c r="J23" s="631"/>
      <c r="K23" s="632" t="s">
        <v>528</v>
      </c>
      <c r="L23" s="633"/>
      <c r="M23" s="634"/>
      <c r="N23" s="0"/>
      <c r="O23" s="0"/>
      <c r="P23" s="0"/>
      <c r="Q23" s="0"/>
      <c r="R23" s="0"/>
      <c r="S23" s="0"/>
      <c r="T23" s="0"/>
      <c r="U23" s="574"/>
    </row>
    <row r="24" customFormat="false" ht="13.5" hidden="false" customHeight="false" outlineLevel="0" collapsed="false">
      <c r="A24" s="606"/>
      <c r="D24" s="568"/>
      <c r="E24" s="597" t="s">
        <v>529</v>
      </c>
      <c r="F24" s="238"/>
      <c r="G24" s="238"/>
      <c r="H24" s="320"/>
      <c r="I24" s="595"/>
      <c r="J24" s="631"/>
      <c r="K24" s="635" t="s">
        <v>530</v>
      </c>
      <c r="L24" s="636" t="s">
        <v>424</v>
      </c>
      <c r="M24" s="637"/>
      <c r="N24" s="0"/>
      <c r="O24" s="0"/>
      <c r="P24" s="0"/>
      <c r="Q24" s="0"/>
      <c r="R24" s="0"/>
      <c r="S24" s="0"/>
      <c r="T24" s="0"/>
    </row>
    <row r="25" customFormat="false" ht="12.75" hidden="false" customHeight="false" outlineLevel="0" collapsed="false">
      <c r="A25" s="575" t="s">
        <v>531</v>
      </c>
      <c r="B25" s="576"/>
      <c r="C25" s="577"/>
      <c r="D25" s="568"/>
      <c r="E25" s="585" t="s">
        <v>532</v>
      </c>
      <c r="F25" s="574"/>
      <c r="G25" s="574"/>
      <c r="H25" s="603" t="n">
        <v>10000</v>
      </c>
      <c r="I25" s="604" t="n">
        <v>0</v>
      </c>
      <c r="J25" s="631"/>
      <c r="K25" s="635" t="s">
        <v>533</v>
      </c>
      <c r="L25" s="638" t="n">
        <v>4</v>
      </c>
      <c r="M25" s="637"/>
      <c r="N25" s="0"/>
      <c r="O25" s="0"/>
      <c r="P25" s="0"/>
      <c r="Q25" s="0"/>
      <c r="R25" s="0"/>
      <c r="S25" s="0"/>
      <c r="T25" s="0"/>
    </row>
    <row r="26" customFormat="false" ht="13.5" hidden="false" customHeight="false" outlineLevel="0" collapsed="false">
      <c r="A26" s="613" t="s">
        <v>534</v>
      </c>
      <c r="B26" s="614"/>
      <c r="C26" s="639" t="n">
        <v>0.02</v>
      </c>
      <c r="D26" s="568"/>
      <c r="E26" s="585" t="s">
        <v>535</v>
      </c>
      <c r="F26" s="574"/>
      <c r="G26" s="574"/>
      <c r="H26" s="640" t="n">
        <f aca="false">-Budget!B8</f>
        <v>1000</v>
      </c>
      <c r="I26" s="641" t="n">
        <f aca="false">-Budget!B8</f>
        <v>1000</v>
      </c>
      <c r="J26" s="631"/>
      <c r="K26" s="635" t="s">
        <v>536</v>
      </c>
      <c r="L26" s="642"/>
      <c r="M26" s="637"/>
      <c r="N26" s="0"/>
      <c r="O26" s="0"/>
      <c r="P26" s="0"/>
      <c r="Q26" s="0"/>
      <c r="R26" s="0"/>
      <c r="S26" s="0"/>
      <c r="T26" s="0"/>
    </row>
    <row r="27" customFormat="false" ht="13.5" hidden="false" customHeight="false" outlineLevel="0" collapsed="false">
      <c r="A27" s="606"/>
      <c r="B27" s="444"/>
      <c r="C27" s="606"/>
      <c r="D27" s="568"/>
      <c r="E27" s="585" t="s">
        <v>537</v>
      </c>
      <c r="F27" s="574"/>
      <c r="G27" s="574"/>
      <c r="H27" s="640" t="n">
        <f aca="false">-Budget!B9</f>
        <v>500</v>
      </c>
      <c r="I27" s="641" t="n">
        <f aca="false">-Budget!B9</f>
        <v>500</v>
      </c>
      <c r="J27" s="631"/>
      <c r="K27" s="635"/>
      <c r="L27" s="642"/>
      <c r="M27" s="637"/>
      <c r="N27" s="0"/>
      <c r="O27" s="0"/>
      <c r="P27" s="0"/>
      <c r="Q27" s="0"/>
      <c r="R27" s="0"/>
      <c r="S27" s="0"/>
      <c r="T27" s="0"/>
    </row>
    <row r="28" customFormat="false" ht="12.75" hidden="false" customHeight="false" outlineLevel="0" collapsed="false">
      <c r="A28" s="575" t="s">
        <v>538</v>
      </c>
      <c r="B28" s="576"/>
      <c r="C28" s="577"/>
      <c r="E28" s="585" t="s">
        <v>539</v>
      </c>
      <c r="H28" s="640" t="n">
        <f aca="false">-Budget!B10</f>
        <v>250</v>
      </c>
      <c r="I28" s="641" t="n">
        <f aca="false">-Budget!B10</f>
        <v>250</v>
      </c>
      <c r="J28" s="631"/>
      <c r="K28" s="585" t="s">
        <v>540</v>
      </c>
      <c r="L28" s="574"/>
      <c r="M28" s="643" t="n">
        <v>0</v>
      </c>
      <c r="N28" s="0"/>
      <c r="O28" s="0"/>
      <c r="P28" s="0"/>
      <c r="Q28" s="0"/>
      <c r="R28" s="0"/>
      <c r="S28" s="0"/>
      <c r="T28" s="0"/>
      <c r="U28" s="0"/>
      <c r="X28" s="0"/>
      <c r="Y28" s="0"/>
    </row>
    <row r="29" customFormat="false" ht="12.75" hidden="false" customHeight="false" outlineLevel="0" collapsed="false">
      <c r="A29" s="644" t="s">
        <v>541</v>
      </c>
      <c r="B29" s="645"/>
      <c r="C29" s="320"/>
      <c r="D29" s="646"/>
      <c r="E29" s="585" t="s">
        <v>542</v>
      </c>
      <c r="F29" s="574"/>
      <c r="G29" s="574"/>
      <c r="H29" s="640" t="n">
        <f aca="false">-Budget!B11</f>
        <v>1000</v>
      </c>
      <c r="I29" s="641" t="n">
        <f aca="false">-Budget!B11</f>
        <v>1000</v>
      </c>
      <c r="J29" s="631"/>
      <c r="K29" s="635"/>
      <c r="L29" s="642"/>
      <c r="M29" s="637"/>
      <c r="N29" s="647"/>
      <c r="O29" s="0"/>
      <c r="P29" s="0"/>
      <c r="Q29" s="0"/>
      <c r="R29" s="0"/>
      <c r="S29" s="0"/>
      <c r="T29" s="0"/>
      <c r="U29" s="0"/>
      <c r="X29" s="0"/>
      <c r="Y29" s="0"/>
    </row>
    <row r="30" customFormat="false" ht="12.75" hidden="false" customHeight="false" outlineLevel="0" collapsed="false">
      <c r="A30" s="648" t="s">
        <v>543</v>
      </c>
      <c r="B30" s="574"/>
      <c r="C30" s="599"/>
      <c r="D30" s="649"/>
      <c r="E30" s="585" t="s">
        <v>544</v>
      </c>
      <c r="F30" s="574"/>
      <c r="G30" s="618"/>
      <c r="H30" s="640" t="n">
        <f aca="false">-Budget!B12</f>
        <v>1900</v>
      </c>
      <c r="I30" s="641" t="n">
        <f aca="false">-Budget!B12</f>
        <v>1900</v>
      </c>
      <c r="J30" s="631"/>
      <c r="K30" s="635" t="s">
        <v>287</v>
      </c>
      <c r="L30" s="650" t="n">
        <v>4</v>
      </c>
      <c r="M30" s="637"/>
      <c r="N30" s="0"/>
      <c r="O30" s="0"/>
      <c r="P30" s="0"/>
      <c r="Q30" s="0"/>
      <c r="X30" s="0"/>
      <c r="Y30" s="0"/>
    </row>
    <row r="31" customFormat="false" ht="12.75" hidden="false" customHeight="false" outlineLevel="0" collapsed="false">
      <c r="A31" s="585" t="s">
        <v>545</v>
      </c>
      <c r="B31" s="574"/>
      <c r="C31" s="651" t="n">
        <v>1.8</v>
      </c>
      <c r="D31" s="652"/>
      <c r="E31" s="585" t="s">
        <v>546</v>
      </c>
      <c r="F31" s="574"/>
      <c r="G31" s="618"/>
      <c r="H31" s="640" t="n">
        <f aca="false">-Budget!B32</f>
        <v>1912.86320699977</v>
      </c>
      <c r="I31" s="604" t="n">
        <v>0</v>
      </c>
      <c r="J31" s="631"/>
      <c r="K31" s="635" t="s">
        <v>536</v>
      </c>
      <c r="L31" s="642"/>
      <c r="M31" s="637"/>
      <c r="N31" s="0"/>
      <c r="O31" s="0"/>
      <c r="P31" s="0"/>
      <c r="Q31" s="0"/>
      <c r="X31" s="0"/>
      <c r="Y31" s="0"/>
    </row>
    <row r="32" customFormat="false" ht="12.75" hidden="false" customHeight="false" outlineLevel="0" collapsed="false">
      <c r="A32" s="585" t="s">
        <v>547</v>
      </c>
      <c r="B32" s="574"/>
      <c r="C32" s="651" t="n">
        <v>0</v>
      </c>
      <c r="D32" s="652"/>
      <c r="E32" s="585" t="s">
        <v>548</v>
      </c>
      <c r="F32" s="618"/>
      <c r="G32" s="574"/>
      <c r="H32" s="603" t="n">
        <v>1000</v>
      </c>
      <c r="I32" s="604" t="n">
        <v>0</v>
      </c>
      <c r="J32" s="631"/>
      <c r="K32" s="635" t="s">
        <v>549</v>
      </c>
      <c r="L32" s="653" t="n">
        <f aca="false">0.06+0.022</f>
        <v>0.082</v>
      </c>
      <c r="M32" s="320"/>
      <c r="N32" s="0"/>
      <c r="O32" s="0"/>
      <c r="P32" s="0"/>
      <c r="Q32" s="0"/>
      <c r="R32" s="0"/>
      <c r="T32" s="574"/>
      <c r="U32" s="574"/>
      <c r="V32" s="0"/>
      <c r="W32" s="0"/>
      <c r="X32" s="0"/>
      <c r="Y32" s="0"/>
    </row>
    <row r="33" customFormat="false" ht="13.5" hidden="false" customHeight="false" outlineLevel="0" collapsed="false">
      <c r="A33" s="585" t="s">
        <v>550</v>
      </c>
      <c r="B33" s="574"/>
      <c r="C33" s="654" t="n">
        <v>0</v>
      </c>
      <c r="D33" s="652"/>
      <c r="E33" s="585" t="s">
        <v>551</v>
      </c>
      <c r="F33" s="618"/>
      <c r="G33" s="574"/>
      <c r="H33" s="640" t="n">
        <f aca="false">-Budget!B25</f>
        <v>29362</v>
      </c>
      <c r="I33" s="641" t="n">
        <f aca="false">-Budget!B25</f>
        <v>29362</v>
      </c>
      <c r="J33" s="631"/>
      <c r="K33" s="613" t="s">
        <v>552</v>
      </c>
      <c r="L33" s="655" t="n">
        <v>0.012</v>
      </c>
      <c r="M33" s="656"/>
      <c r="N33" s="0"/>
      <c r="O33" s="0"/>
      <c r="P33" s="0"/>
      <c r="Q33" s="0"/>
      <c r="R33" s="0"/>
      <c r="T33" s="574"/>
      <c r="U33" s="574"/>
      <c r="V33" s="0"/>
      <c r="W33" s="0"/>
      <c r="X33" s="0"/>
      <c r="Y33" s="0"/>
    </row>
    <row r="34" customFormat="false" ht="13.5" hidden="false" customHeight="false" outlineLevel="0" collapsed="false">
      <c r="A34" s="648" t="s">
        <v>553</v>
      </c>
      <c r="B34" s="574"/>
      <c r="C34" s="657" t="n">
        <f aca="false">SUM(C31:C33)</f>
        <v>1.8</v>
      </c>
      <c r="D34" s="652"/>
      <c r="E34" s="585" t="s">
        <v>554</v>
      </c>
      <c r="F34" s="618"/>
      <c r="G34" s="574"/>
      <c r="H34" s="640" t="n">
        <f aca="false">-Budget!B13</f>
        <v>4000</v>
      </c>
      <c r="I34" s="641" t="n">
        <f aca="false">-Budget!B13</f>
        <v>4000</v>
      </c>
      <c r="J34" s="631"/>
      <c r="N34" s="0"/>
      <c r="O34" s="0"/>
      <c r="P34" s="0"/>
      <c r="Q34" s="0"/>
      <c r="R34" s="0"/>
      <c r="T34" s="574"/>
      <c r="U34" s="574"/>
      <c r="V34" s="0"/>
      <c r="W34" s="0"/>
      <c r="X34" s="0"/>
      <c r="Y34" s="0"/>
    </row>
    <row r="35" customFormat="false" ht="12.75" hidden="false" customHeight="false" outlineLevel="0" collapsed="false">
      <c r="A35" s="585"/>
      <c r="B35" s="574"/>
      <c r="C35" s="599"/>
      <c r="D35" s="652"/>
      <c r="E35" s="585" t="s">
        <v>555</v>
      </c>
      <c r="F35" s="574"/>
      <c r="G35" s="618"/>
      <c r="H35" s="640" t="n">
        <f aca="false">-Budget!B14</f>
        <v>1800</v>
      </c>
      <c r="I35" s="641" t="n">
        <f aca="false">-Budget!B14</f>
        <v>1800</v>
      </c>
      <c r="J35" s="631"/>
      <c r="K35" s="658" t="s">
        <v>556</v>
      </c>
      <c r="L35" s="659"/>
      <c r="M35" s="660"/>
      <c r="N35" s="0"/>
      <c r="O35" s="0"/>
      <c r="P35" s="0"/>
      <c r="Q35" s="0"/>
      <c r="R35" s="0"/>
      <c r="T35" s="574"/>
      <c r="U35" s="574"/>
      <c r="V35" s="0"/>
      <c r="W35" s="0"/>
      <c r="X35" s="0"/>
      <c r="Y35" s="0"/>
    </row>
    <row r="36" customFormat="false" ht="12.75" hidden="false" customHeight="false" outlineLevel="0" collapsed="false">
      <c r="A36" s="648" t="s">
        <v>557</v>
      </c>
      <c r="B36" s="574"/>
      <c r="C36" s="599"/>
      <c r="D36" s="652"/>
      <c r="E36" s="585" t="s">
        <v>558</v>
      </c>
      <c r="F36" s="574"/>
      <c r="G36" s="618"/>
      <c r="H36" s="640" t="n">
        <f aca="false">-Budget!B15</f>
        <v>830</v>
      </c>
      <c r="I36" s="641" t="n">
        <f aca="false">-Budget!B15</f>
        <v>830</v>
      </c>
      <c r="J36" s="568"/>
      <c r="K36" s="661" t="s">
        <v>559</v>
      </c>
      <c r="L36" s="662"/>
      <c r="M36" s="663"/>
      <c r="N36" s="0"/>
      <c r="O36" s="0"/>
      <c r="P36" s="0"/>
      <c r="Q36" s="0"/>
      <c r="R36" s="0"/>
      <c r="T36" s="664"/>
      <c r="U36" s="574"/>
      <c r="V36" s="0"/>
      <c r="W36" s="0"/>
      <c r="X36" s="0"/>
      <c r="Y36" s="0"/>
    </row>
    <row r="37" customFormat="false" ht="12.75" hidden="false" customHeight="false" outlineLevel="0" collapsed="false">
      <c r="A37" s="585"/>
      <c r="B37" s="574"/>
      <c r="C37" s="599"/>
      <c r="D37" s="652"/>
      <c r="E37" s="585" t="s">
        <v>560</v>
      </c>
      <c r="F37" s="574"/>
      <c r="G37" s="618"/>
      <c r="H37" s="640" t="n">
        <f aca="false">-SUM(Budget!C16:U16)</f>
        <v>100</v>
      </c>
      <c r="I37" s="641" t="n">
        <f aca="false">-Budget!B16</f>
        <v>100</v>
      </c>
      <c r="J37" s="568"/>
      <c r="K37" s="665" t="s">
        <v>561</v>
      </c>
      <c r="L37" s="662"/>
      <c r="M37" s="663"/>
      <c r="N37" s="0"/>
      <c r="O37" s="0"/>
      <c r="P37" s="0"/>
      <c r="Q37" s="0"/>
      <c r="R37" s="0"/>
      <c r="T37" s="664"/>
      <c r="U37" s="574"/>
      <c r="V37" s="0"/>
      <c r="W37" s="0"/>
      <c r="X37" s="0"/>
      <c r="Y37" s="0"/>
    </row>
    <row r="38" customFormat="false" ht="12.75" hidden="false" customHeight="false" outlineLevel="0" collapsed="false">
      <c r="A38" s="585" t="s">
        <v>562</v>
      </c>
      <c r="B38" s="574"/>
      <c r="C38" s="666" t="n">
        <v>2400</v>
      </c>
      <c r="D38" s="652"/>
      <c r="E38" s="585" t="s">
        <v>563</v>
      </c>
      <c r="F38" s="574"/>
      <c r="G38" s="574"/>
      <c r="H38" s="640" t="n">
        <f aca="false">-Budget!B17</f>
        <v>2000</v>
      </c>
      <c r="I38" s="641" t="n">
        <f aca="false">-Budget!B17</f>
        <v>2000</v>
      </c>
      <c r="J38" s="631"/>
      <c r="K38" s="667"/>
      <c r="L38" s="668" t="s">
        <v>564</v>
      </c>
      <c r="M38" s="669" t="e">
        <f aca="false">IF($M$19="Yes",MIN(Template!$I$706:$W$706),MIN(Template!$J$706:$X$706))</f>
        <v>#VALUE!</v>
      </c>
      <c r="N38" s="0"/>
      <c r="O38" s="0"/>
      <c r="P38" s="0"/>
      <c r="Q38" s="0"/>
      <c r="R38" s="0"/>
      <c r="T38" s="670"/>
      <c r="U38" s="574"/>
      <c r="V38" s="0"/>
      <c r="W38" s="0"/>
      <c r="X38" s="0"/>
      <c r="Y38" s="0"/>
    </row>
    <row r="39" customFormat="false" ht="12.75" hidden="false" customHeight="false" outlineLevel="0" collapsed="false">
      <c r="A39" s="585" t="s">
        <v>565</v>
      </c>
      <c r="B39" s="574"/>
      <c r="C39" s="671" t="n">
        <f aca="false">3939*650/1000</f>
        <v>2560.35</v>
      </c>
      <c r="D39" s="652"/>
      <c r="E39" s="585" t="s">
        <v>566</v>
      </c>
      <c r="F39" s="574"/>
      <c r="G39" s="574"/>
      <c r="H39" s="640" t="n">
        <f aca="false">-Budget!B34</f>
        <v>750</v>
      </c>
      <c r="I39" s="604" t="n">
        <v>0</v>
      </c>
      <c r="J39" s="568"/>
      <c r="K39" s="667"/>
      <c r="L39" s="668" t="s">
        <v>567</v>
      </c>
      <c r="M39" s="669" t="e">
        <f aca="false">IF($M$19="Yes",MAX(Template!$I$706:$W$706),MAX(Template!$J$706:$X$706))</f>
        <v>#VALUE!</v>
      </c>
      <c r="N39" s="0"/>
      <c r="O39" s="0"/>
      <c r="P39" s="0"/>
      <c r="Q39" s="0"/>
      <c r="R39" s="0"/>
      <c r="T39" s="664"/>
      <c r="U39" s="574"/>
      <c r="V39" s="0"/>
      <c r="W39" s="0"/>
      <c r="X39" s="0"/>
      <c r="Y39" s="0"/>
    </row>
    <row r="40" customFormat="false" ht="12.75" hidden="false" customHeight="false" outlineLevel="0" collapsed="false">
      <c r="A40" s="585" t="s">
        <v>568</v>
      </c>
      <c r="B40" s="672" t="n">
        <v>0.01146275</v>
      </c>
      <c r="C40" s="673" t="n">
        <f aca="false">B40*(G22+H8)*0.75</f>
        <v>3159.42046875</v>
      </c>
      <c r="D40" s="652"/>
      <c r="E40" s="585" t="s">
        <v>569</v>
      </c>
      <c r="F40" s="574"/>
      <c r="G40" s="574"/>
      <c r="H40" s="640" t="n">
        <f aca="false">-Budget!B35</f>
        <v>250</v>
      </c>
      <c r="I40" s="604" t="n">
        <v>0</v>
      </c>
      <c r="J40" s="568"/>
      <c r="K40" s="667"/>
      <c r="L40" s="668" t="s">
        <v>570</v>
      </c>
      <c r="M40" s="669" t="e">
        <f aca="false">IF($M$19="Yes",AVERAGE(Template!$I$706:$W$706),AVERAGE(Template!$J$706:$X$706))</f>
        <v>#VALUE!</v>
      </c>
      <c r="N40" s="0"/>
      <c r="O40" s="0"/>
      <c r="P40" s="0"/>
      <c r="Q40" s="0"/>
      <c r="R40" s="0"/>
      <c r="T40" s="664"/>
      <c r="U40" s="574"/>
      <c r="V40" s="0"/>
      <c r="W40" s="0"/>
      <c r="X40" s="0"/>
      <c r="Y40" s="0"/>
    </row>
    <row r="41" customFormat="false" ht="12.75" hidden="false" customHeight="false" outlineLevel="0" collapsed="false">
      <c r="A41" s="585" t="s">
        <v>571</v>
      </c>
      <c r="B41" s="238"/>
      <c r="C41" s="671" t="n">
        <f aca="false">650*4000/1000</f>
        <v>2600</v>
      </c>
      <c r="E41" s="585" t="s">
        <v>572</v>
      </c>
      <c r="F41" s="574"/>
      <c r="G41" s="674"/>
      <c r="H41" s="640" t="n">
        <f aca="false">-Budget!B18</f>
        <v>567</v>
      </c>
      <c r="I41" s="641" t="n">
        <f aca="false">-Budget!B18</f>
        <v>567</v>
      </c>
      <c r="J41" s="568"/>
      <c r="K41" s="667"/>
      <c r="L41" s="662"/>
      <c r="M41" s="663"/>
      <c r="N41" s="0"/>
      <c r="O41" s="0"/>
      <c r="P41" s="0"/>
      <c r="Q41" s="0"/>
      <c r="R41" s="0"/>
      <c r="T41" s="574"/>
      <c r="U41" s="574"/>
      <c r="V41" s="0"/>
      <c r="W41" s="0"/>
      <c r="X41" s="0"/>
      <c r="Y41" s="0"/>
    </row>
    <row r="42" customFormat="false" ht="13.5" hidden="false" customHeight="false" outlineLevel="0" collapsed="false">
      <c r="A42" s="585" t="s">
        <v>573</v>
      </c>
      <c r="B42" s="574"/>
      <c r="C42" s="671" t="n">
        <v>2080</v>
      </c>
      <c r="D42" s="652"/>
      <c r="E42" s="585" t="s">
        <v>574</v>
      </c>
      <c r="F42" s="574"/>
      <c r="G42" s="574"/>
      <c r="H42" s="603" t="n">
        <v>1000</v>
      </c>
      <c r="I42" s="604" t="n">
        <v>0</v>
      </c>
      <c r="J42" s="568"/>
      <c r="K42" s="661" t="s">
        <v>575</v>
      </c>
      <c r="L42" s="662"/>
      <c r="M42" s="663"/>
      <c r="N42" s="0"/>
      <c r="O42" s="0"/>
      <c r="P42" s="0"/>
      <c r="Q42" s="0"/>
      <c r="R42" s="0"/>
      <c r="T42" s="574"/>
      <c r="U42" s="574"/>
      <c r="V42" s="0"/>
      <c r="W42" s="0"/>
      <c r="X42" s="0"/>
      <c r="Y42" s="0"/>
    </row>
    <row r="43" customFormat="false" ht="12.75" hidden="false" customHeight="false" outlineLevel="0" collapsed="false">
      <c r="A43" s="585" t="s">
        <v>576</v>
      </c>
      <c r="B43" s="574"/>
      <c r="C43" s="671" t="n">
        <v>95</v>
      </c>
      <c r="D43" s="652"/>
      <c r="E43" s="585" t="s">
        <v>577</v>
      </c>
      <c r="F43" s="574"/>
      <c r="G43" s="618"/>
      <c r="H43" s="603" t="n">
        <v>2900</v>
      </c>
      <c r="I43" s="604" t="n">
        <v>0</v>
      </c>
      <c r="J43" s="568"/>
      <c r="K43" s="675" t="s">
        <v>310</v>
      </c>
      <c r="L43" s="676"/>
      <c r="M43" s="677" t="e">
        <f aca="false">Returns!C8</f>
        <v>#VALUE!</v>
      </c>
      <c r="N43" s="0"/>
      <c r="O43" s="0"/>
      <c r="P43" s="0"/>
      <c r="Q43" s="0"/>
      <c r="R43" s="0"/>
      <c r="T43" s="574"/>
      <c r="U43" s="574"/>
      <c r="V43" s="0"/>
      <c r="W43" s="0"/>
      <c r="X43" s="0"/>
      <c r="Y43" s="0"/>
    </row>
    <row r="44" customFormat="false" ht="13.5" hidden="false" customHeight="false" outlineLevel="0" collapsed="false">
      <c r="A44" s="585" t="s">
        <v>578</v>
      </c>
      <c r="B44" s="574"/>
      <c r="C44" s="671" t="n">
        <v>500</v>
      </c>
      <c r="D44" s="652"/>
      <c r="E44" s="585" t="s">
        <v>579</v>
      </c>
      <c r="F44" s="574"/>
      <c r="G44" s="618"/>
      <c r="H44" s="603" t="n">
        <v>7000</v>
      </c>
      <c r="I44" s="641" t="n">
        <f aca="false">-Budget!C77</f>
        <v>500</v>
      </c>
      <c r="J44" s="568"/>
      <c r="K44" s="675" t="s">
        <v>580</v>
      </c>
      <c r="L44" s="678" t="n">
        <v>0.12</v>
      </c>
      <c r="M44" s="679" t="e">
        <f aca="false">Returns!C9</f>
        <v>#VALUE!</v>
      </c>
      <c r="N44" s="0"/>
      <c r="O44" s="0"/>
      <c r="P44" s="0"/>
      <c r="Q44" s="0"/>
      <c r="R44" s="0"/>
      <c r="T44" s="574"/>
      <c r="U44" s="574"/>
      <c r="V44" s="0"/>
      <c r="W44" s="0"/>
      <c r="X44" s="0"/>
      <c r="Y44" s="0"/>
    </row>
    <row r="45" customFormat="false" ht="12.75" hidden="false" customHeight="false" outlineLevel="0" collapsed="false">
      <c r="A45" s="585" t="s">
        <v>581</v>
      </c>
      <c r="B45" s="238"/>
      <c r="C45" s="671" t="n">
        <f aca="false">1500</f>
        <v>1500</v>
      </c>
      <c r="D45" s="652"/>
      <c r="E45" s="585" t="s">
        <v>582</v>
      </c>
      <c r="F45" s="574"/>
      <c r="G45" s="680" t="n">
        <v>0.0725</v>
      </c>
      <c r="H45" s="681" t="n">
        <f aca="false">G45*(G22+H8)*0.75</f>
        <v>19982.8125</v>
      </c>
      <c r="I45" s="604" t="n">
        <v>0</v>
      </c>
      <c r="J45" s="568"/>
      <c r="K45" s="682"/>
      <c r="L45" s="683"/>
      <c r="M45" s="684"/>
      <c r="Q45" s="0"/>
      <c r="R45" s="0"/>
      <c r="T45" s="574"/>
      <c r="U45" s="574"/>
      <c r="V45" s="0"/>
      <c r="W45" s="0"/>
      <c r="X45" s="0"/>
      <c r="Y45" s="0"/>
    </row>
    <row r="46" customFormat="false" ht="12.75" hidden="false" customHeight="false" outlineLevel="0" collapsed="false">
      <c r="A46" s="585" t="s">
        <v>583</v>
      </c>
      <c r="B46" s="238"/>
      <c r="C46" s="671" t="n">
        <v>326</v>
      </c>
      <c r="D46" s="652"/>
      <c r="E46" s="585" t="s">
        <v>584</v>
      </c>
      <c r="F46" s="574"/>
      <c r="H46" s="685" t="n">
        <v>1000</v>
      </c>
      <c r="I46" s="686" t="n">
        <v>0</v>
      </c>
      <c r="J46" s="568"/>
      <c r="K46" s="682"/>
      <c r="L46" s="683"/>
      <c r="M46" s="684"/>
      <c r="O46" s="0"/>
      <c r="P46" s="276"/>
      <c r="Q46" s="0"/>
      <c r="R46" s="0"/>
      <c r="T46" s="670"/>
      <c r="U46" s="574"/>
      <c r="V46" s="0"/>
      <c r="W46" s="0"/>
      <c r="X46" s="0"/>
      <c r="Y46" s="0"/>
    </row>
    <row r="47" customFormat="false" ht="12.75" hidden="false" customHeight="false" outlineLevel="0" collapsed="false">
      <c r="A47" s="585" t="s">
        <v>585</v>
      </c>
      <c r="B47" s="238"/>
      <c r="C47" s="671" t="n">
        <v>100</v>
      </c>
      <c r="D47" s="687"/>
      <c r="E47" s="585" t="s">
        <v>586</v>
      </c>
      <c r="F47" s="574"/>
      <c r="G47" s="618"/>
      <c r="H47" s="603" t="n">
        <v>1846</v>
      </c>
      <c r="I47" s="604" t="n">
        <v>0</v>
      </c>
      <c r="J47" s="568"/>
      <c r="K47" s="688" t="s">
        <v>587</v>
      </c>
      <c r="L47" s="683"/>
      <c r="M47" s="684"/>
      <c r="O47" s="0"/>
      <c r="P47" s="276"/>
      <c r="Q47" s="0"/>
      <c r="R47" s="0"/>
      <c r="T47" s="646"/>
      <c r="U47" s="574"/>
      <c r="V47" s="0"/>
      <c r="W47" s="0"/>
      <c r="X47" s="0"/>
      <c r="Y47" s="0"/>
    </row>
    <row r="48" customFormat="false" ht="12.75" hidden="false" customHeight="false" outlineLevel="0" collapsed="false">
      <c r="A48" s="585" t="s">
        <v>588</v>
      </c>
      <c r="B48" s="238"/>
      <c r="C48" s="671" t="n">
        <v>500</v>
      </c>
      <c r="D48" s="238"/>
      <c r="E48" s="585" t="s">
        <v>589</v>
      </c>
      <c r="F48" s="574"/>
      <c r="G48" s="618"/>
      <c r="H48" s="603" t="n">
        <v>1500</v>
      </c>
      <c r="I48" s="686" t="n">
        <v>0</v>
      </c>
      <c r="J48" s="568"/>
      <c r="K48" s="675" t="s">
        <v>310</v>
      </c>
      <c r="L48" s="683"/>
      <c r="M48" s="689" t="n">
        <f aca="false">Returns!C23</f>
        <v>-1</v>
      </c>
      <c r="O48" s="0"/>
      <c r="P48" s="276"/>
      <c r="T48" s="690"/>
      <c r="U48" s="574"/>
      <c r="V48" s="0"/>
      <c r="W48" s="0"/>
      <c r="X48" s="0"/>
      <c r="Y48" s="0"/>
    </row>
    <row r="49" customFormat="false" ht="12.75" hidden="false" customHeight="false" outlineLevel="0" collapsed="false">
      <c r="A49" s="585" t="s">
        <v>590</v>
      </c>
      <c r="B49" s="238"/>
      <c r="C49" s="671" t="n">
        <v>500</v>
      </c>
      <c r="D49" s="238"/>
      <c r="E49" s="585" t="s">
        <v>591</v>
      </c>
      <c r="F49" s="574"/>
      <c r="G49" s="618"/>
      <c r="H49" s="603" t="n">
        <v>3000</v>
      </c>
      <c r="I49" s="604" t="n">
        <v>0</v>
      </c>
      <c r="J49" s="568"/>
      <c r="K49" s="675" t="s">
        <v>313</v>
      </c>
      <c r="L49" s="691" t="n">
        <v>0.12</v>
      </c>
      <c r="M49" s="663"/>
      <c r="O49" s="0"/>
      <c r="P49" s="0"/>
      <c r="T49" s="690"/>
      <c r="U49" s="574"/>
      <c r="V49" s="0"/>
      <c r="W49" s="0"/>
      <c r="X49" s="0"/>
      <c r="Y49" s="0"/>
    </row>
    <row r="50" customFormat="false" ht="12.75" hidden="false" customHeight="false" outlineLevel="0" collapsed="false">
      <c r="A50" s="585" t="s">
        <v>592</v>
      </c>
      <c r="B50" s="238"/>
      <c r="C50" s="671" t="n">
        <f aca="false">1000</f>
        <v>1000</v>
      </c>
      <c r="D50" s="646"/>
      <c r="E50" s="585" t="s">
        <v>593</v>
      </c>
      <c r="F50" s="574"/>
      <c r="G50" s="618"/>
      <c r="H50" s="640" t="n">
        <f aca="false">1000-Budget!B20</f>
        <v>1500</v>
      </c>
      <c r="I50" s="692" t="n">
        <f aca="false">-Budget!B20</f>
        <v>500</v>
      </c>
      <c r="J50" s="568"/>
      <c r="K50" s="682"/>
      <c r="L50" s="693" t="s">
        <v>594</v>
      </c>
      <c r="M50" s="694" t="e">
        <f aca="false">(Returns!C17+Returns!C20+Returns!C21)*(1+$L$49)^((C16-C14)/365.25)</f>
        <v>#VALUE!</v>
      </c>
      <c r="O50" s="0"/>
      <c r="P50" s="0"/>
      <c r="T50" s="690"/>
      <c r="U50" s="574"/>
      <c r="V50" s="0"/>
      <c r="W50" s="0"/>
      <c r="X50" s="0"/>
      <c r="Y50" s="0"/>
    </row>
    <row r="51" customFormat="false" ht="13.5" hidden="false" customHeight="false" outlineLevel="0" collapsed="false">
      <c r="A51" s="585" t="s">
        <v>593</v>
      </c>
      <c r="B51" s="238"/>
      <c r="C51" s="695" t="n">
        <v>150</v>
      </c>
      <c r="D51" s="696"/>
      <c r="E51" s="585" t="s">
        <v>595</v>
      </c>
      <c r="F51" s="574"/>
      <c r="G51" s="697" t="n">
        <v>0.05</v>
      </c>
      <c r="H51" s="681" t="n">
        <f aca="false">G51*SUM(H8:H21,H42:H49)+Budget!B21+Budget!B26+Budget!B36</f>
        <v>15186.440625</v>
      </c>
      <c r="I51" s="692" t="n">
        <f aca="false">-Budget!B21-Budget!B26</f>
        <v>5000</v>
      </c>
      <c r="J51" s="568"/>
      <c r="K51" s="682"/>
      <c r="L51" s="693" t="s">
        <v>315</v>
      </c>
      <c r="M51" s="694" t="e">
        <f aca="false">Returns!C18*(1+$L$49)^((C16-C14)/365.25)</f>
        <v>#VALUE!</v>
      </c>
      <c r="O51" s="0"/>
      <c r="P51" s="0"/>
      <c r="T51" s="664"/>
      <c r="U51" s="574"/>
      <c r="V51" s="0"/>
      <c r="W51" s="0"/>
      <c r="X51" s="0"/>
      <c r="Y51" s="0"/>
    </row>
    <row r="52" customFormat="false" ht="13.5" hidden="false" customHeight="false" outlineLevel="0" collapsed="false">
      <c r="A52" s="648" t="s">
        <v>596</v>
      </c>
      <c r="B52" s="238"/>
      <c r="C52" s="698" t="n">
        <f aca="false">SUM(C38:C51)</f>
        <v>17470.77046875</v>
      </c>
      <c r="D52" s="238"/>
      <c r="E52" s="597" t="s">
        <v>303</v>
      </c>
      <c r="F52" s="699"/>
      <c r="G52" s="626" t="n">
        <f aca="false">SUM(H25:H51)</f>
        <v>112137.116332</v>
      </c>
      <c r="H52" s="320"/>
      <c r="I52" s="700" t="n">
        <f aca="false">SUM(I8:I51)</f>
        <v>59209</v>
      </c>
      <c r="J52" s="568"/>
      <c r="K52" s="682"/>
      <c r="L52" s="693" t="s">
        <v>316</v>
      </c>
      <c r="M52" s="694" t="e">
        <f aca="false">Returns!C19*(1+$L$49)^((C16-C14)/365.25)</f>
        <v>#VALUE!</v>
      </c>
      <c r="O52" s="0"/>
      <c r="T52" s="670"/>
      <c r="U52" s="574"/>
      <c r="V52" s="0"/>
      <c r="W52" s="0"/>
      <c r="X52" s="0"/>
      <c r="Y52" s="0"/>
    </row>
    <row r="53" customFormat="false" ht="13.5" hidden="false" customHeight="false" outlineLevel="0" collapsed="false">
      <c r="A53" s="585"/>
      <c r="B53" s="574"/>
      <c r="C53" s="599"/>
      <c r="D53" s="238"/>
      <c r="E53" s="594"/>
      <c r="F53" s="238"/>
      <c r="G53" s="238"/>
      <c r="H53" s="320"/>
      <c r="I53" s="568"/>
      <c r="J53" s="568"/>
      <c r="K53" s="701"/>
      <c r="L53" s="693" t="s">
        <v>297</v>
      </c>
      <c r="M53" s="694" t="e">
        <f aca="false">SUM(M50:M52)</f>
        <v>#VALUE!</v>
      </c>
      <c r="O53" s="0"/>
      <c r="P53" s="0"/>
      <c r="Q53" s="574"/>
      <c r="R53" s="574"/>
      <c r="T53" s="574"/>
      <c r="U53" s="574"/>
      <c r="V53" s="0"/>
      <c r="W53" s="0"/>
      <c r="X53" s="0"/>
      <c r="Y53" s="0"/>
    </row>
    <row r="54" customFormat="false" ht="13.5" hidden="false" customHeight="false" outlineLevel="0" collapsed="false">
      <c r="A54" s="648" t="s">
        <v>597</v>
      </c>
      <c r="B54" s="574"/>
      <c r="C54" s="599"/>
      <c r="D54" s="238"/>
      <c r="E54" s="628" t="s">
        <v>598</v>
      </c>
      <c r="F54" s="614"/>
      <c r="G54" s="702" t="n">
        <f aca="false">H54/SUM($B$9:$C$9)</f>
        <v>532.930129257778</v>
      </c>
      <c r="H54" s="703" t="n">
        <f aca="false">SUM(H8:H51)</f>
        <v>479637.116332</v>
      </c>
      <c r="I54" s="704" t="n">
        <f aca="false">H54-I52-H40-H39-H32-H31</f>
        <v>416515.253125</v>
      </c>
      <c r="J54" s="568"/>
      <c r="K54" s="705"/>
      <c r="L54" s="706"/>
      <c r="M54" s="707"/>
      <c r="O54" s="0"/>
      <c r="P54" s="0"/>
      <c r="Q54" s="574"/>
      <c r="R54" s="574"/>
      <c r="T54" s="664"/>
      <c r="U54" s="574"/>
      <c r="V54" s="0"/>
      <c r="W54" s="0"/>
      <c r="X54" s="0"/>
      <c r="Y54" s="0"/>
    </row>
    <row r="55" customFormat="false" ht="12.75" hidden="false" customHeight="false" outlineLevel="0" collapsed="false">
      <c r="A55" s="648" t="s">
        <v>599</v>
      </c>
      <c r="B55" s="574"/>
      <c r="C55" s="599"/>
      <c r="D55" s="574"/>
      <c r="E55" s="575" t="s">
        <v>600</v>
      </c>
      <c r="F55" s="576"/>
      <c r="G55" s="576"/>
      <c r="H55" s="577"/>
      <c r="I55" s="704" t="n">
        <f aca="false">H40+H39+H32+H31</f>
        <v>3912.86320699977</v>
      </c>
      <c r="J55" s="568"/>
      <c r="K55" s="701"/>
      <c r="L55" s="706"/>
      <c r="M55" s="708"/>
      <c r="O55" s="0"/>
      <c r="P55" s="0"/>
      <c r="Q55" s="670"/>
      <c r="R55" s="574"/>
      <c r="T55" s="664"/>
      <c r="U55" s="574"/>
      <c r="V55" s="0"/>
      <c r="W55" s="0"/>
      <c r="X55" s="0"/>
      <c r="Y55" s="0"/>
    </row>
    <row r="56" customFormat="false" ht="12.75" hidden="false" customHeight="false" outlineLevel="0" collapsed="false">
      <c r="A56" s="585" t="s">
        <v>601</v>
      </c>
      <c r="B56" s="574"/>
      <c r="C56" s="709" t="n">
        <f aca="false">C9</f>
        <v>750</v>
      </c>
      <c r="D56" s="574"/>
      <c r="E56" s="585" t="s">
        <v>602</v>
      </c>
      <c r="F56" s="710" t="n">
        <f aca="false">M12+M13</f>
        <v>0.09375</v>
      </c>
      <c r="G56" s="574" t="s">
        <v>603</v>
      </c>
      <c r="H56" s="616" t="n">
        <v>24</v>
      </c>
      <c r="I56" s="568"/>
      <c r="J56" s="568"/>
      <c r="K56" s="688" t="s">
        <v>604</v>
      </c>
      <c r="L56" s="683"/>
      <c r="M56" s="684"/>
      <c r="O56" s="0"/>
      <c r="P56" s="0"/>
      <c r="Q56" s="574"/>
      <c r="R56" s="574"/>
      <c r="T56" s="574"/>
      <c r="U56" s="574"/>
      <c r="V56" s="0"/>
      <c r="W56" s="0"/>
      <c r="X56" s="0"/>
      <c r="Y56" s="0"/>
    </row>
    <row r="57" customFormat="false" ht="12.75" hidden="false" customHeight="false" outlineLevel="0" collapsed="false">
      <c r="A57" s="585" t="s">
        <v>605</v>
      </c>
      <c r="B57" s="574"/>
      <c r="C57" s="603" t="n">
        <v>7250</v>
      </c>
      <c r="D57" s="574"/>
      <c r="E57" s="585" t="s">
        <v>606</v>
      </c>
      <c r="F57" s="574"/>
      <c r="G57" s="574"/>
      <c r="H57" s="711" t="n">
        <v>0</v>
      </c>
      <c r="I57" s="704"/>
      <c r="J57" s="568"/>
      <c r="K57" s="675" t="s">
        <v>313</v>
      </c>
      <c r="L57" s="691" t="n">
        <v>0.12</v>
      </c>
      <c r="M57" s="684"/>
      <c r="O57" s="0"/>
      <c r="P57" s="0"/>
      <c r="Q57" s="574"/>
      <c r="R57" s="574"/>
      <c r="T57" s="574"/>
      <c r="U57" s="712"/>
      <c r="V57" s="0"/>
      <c r="W57" s="0"/>
      <c r="X57" s="0"/>
      <c r="Y57" s="0"/>
    </row>
    <row r="58" customFormat="false" ht="13.5" hidden="false" customHeight="false" outlineLevel="0" collapsed="false">
      <c r="A58" s="585" t="s">
        <v>607</v>
      </c>
      <c r="B58" s="574"/>
      <c r="C58" s="713" t="n">
        <v>0</v>
      </c>
      <c r="D58" s="574"/>
      <c r="E58" s="591" t="s">
        <v>608</v>
      </c>
      <c r="F58" s="238"/>
      <c r="G58" s="714" t="n">
        <v>37.5</v>
      </c>
      <c r="H58" s="715" t="s">
        <v>609</v>
      </c>
      <c r="I58" s="568"/>
      <c r="J58" s="568"/>
      <c r="K58" s="682"/>
      <c r="L58" s="693" t="s">
        <v>610</v>
      </c>
      <c r="M58" s="694" t="e">
        <f aca="false">SUM(Returns!C44:C48)*(1+L57)^((C16-C14)/365.25)</f>
        <v>#VALUE!</v>
      </c>
      <c r="O58" s="0"/>
      <c r="P58" s="0"/>
      <c r="Q58" s="574"/>
      <c r="R58" s="574"/>
      <c r="T58" s="574"/>
      <c r="V58" s="0"/>
      <c r="W58" s="0"/>
      <c r="X58" s="0"/>
      <c r="Y58" s="0"/>
    </row>
    <row r="59" customFormat="false" ht="13.5" hidden="false" customHeight="false" outlineLevel="0" collapsed="false">
      <c r="A59" s="585" t="s">
        <v>611</v>
      </c>
      <c r="B59" s="238"/>
      <c r="C59" s="716" t="n">
        <v>0.01</v>
      </c>
      <c r="D59" s="574"/>
      <c r="E59" s="628" t="s">
        <v>612</v>
      </c>
      <c r="F59" s="614"/>
      <c r="G59" s="629"/>
      <c r="H59" s="703" t="n">
        <f aca="false">Debt!H22</f>
        <v>48563.258028615</v>
      </c>
      <c r="I59" s="568"/>
      <c r="J59" s="568"/>
      <c r="K59" s="682"/>
      <c r="L59" s="693" t="s">
        <v>613</v>
      </c>
      <c r="M59" s="694" t="e">
        <f aca="false">SUM(Returns!C49:C50)*(1+L57)^((C16-C14)/365.25)</f>
        <v>#VALUE!</v>
      </c>
      <c r="O59" s="0"/>
      <c r="P59" s="0"/>
      <c r="Q59" s="574"/>
      <c r="R59" s="574"/>
      <c r="T59" s="574"/>
      <c r="V59" s="0"/>
      <c r="W59" s="0"/>
      <c r="X59" s="0"/>
      <c r="Y59" s="0"/>
    </row>
    <row r="60" customFormat="false" ht="13.5" hidden="false" customHeight="false" outlineLevel="0" collapsed="false">
      <c r="A60" s="613" t="s">
        <v>614</v>
      </c>
      <c r="B60" s="444"/>
      <c r="C60" s="717" t="s">
        <v>615</v>
      </c>
      <c r="D60" s="574"/>
      <c r="E60" s="585" t="s">
        <v>616</v>
      </c>
      <c r="F60" s="574"/>
      <c r="G60" s="574"/>
      <c r="H60" s="709" t="e">
        <f aca="false">Debt!C26</f>
        <v>#VALUE!</v>
      </c>
      <c r="I60" s="568"/>
      <c r="J60" s="568"/>
      <c r="K60" s="718"/>
      <c r="L60" s="719" t="s">
        <v>297</v>
      </c>
      <c r="M60" s="720" t="e">
        <f aca="false">SUM(M58:M59)</f>
        <v>#VALUE!</v>
      </c>
      <c r="O60" s="0"/>
      <c r="P60" s="0"/>
      <c r="Q60" s="574"/>
      <c r="R60" s="574"/>
      <c r="T60" s="574"/>
      <c r="V60" s="0"/>
      <c r="W60" s="0"/>
      <c r="X60" s="0"/>
      <c r="Y60" s="0"/>
    </row>
    <row r="61" customFormat="false" ht="13.5" hidden="false" customHeight="false" outlineLevel="0" collapsed="false">
      <c r="D61" s="574"/>
      <c r="E61" s="585" t="s">
        <v>405</v>
      </c>
      <c r="F61" s="574"/>
      <c r="G61" s="574"/>
      <c r="H61" s="709" t="n">
        <f aca="false">Debt!H20</f>
        <v>0</v>
      </c>
      <c r="I61" s="568"/>
      <c r="J61" s="568"/>
      <c r="O61" s="0"/>
      <c r="P61" s="0"/>
      <c r="Q61" s="574"/>
      <c r="R61" s="574"/>
      <c r="T61" s="574"/>
      <c r="V61" s="0"/>
      <c r="W61" s="0"/>
      <c r="X61" s="0"/>
      <c r="Y61" s="0"/>
    </row>
    <row r="62" customFormat="false" ht="13.5" hidden="false" customHeight="false" outlineLevel="0" collapsed="false">
      <c r="D62" s="574"/>
      <c r="E62" s="585" t="s">
        <v>408</v>
      </c>
      <c r="F62" s="574"/>
      <c r="G62" s="574"/>
      <c r="H62" s="721" t="e">
        <f aca="false">Debt!H21</f>
        <v>#VALUE!</v>
      </c>
      <c r="I62" s="568"/>
      <c r="J62" s="568"/>
      <c r="K62" s="722" t="s">
        <v>617</v>
      </c>
      <c r="L62" s="723"/>
      <c r="M62" s="577"/>
      <c r="O62" s="0"/>
      <c r="P62" s="0"/>
      <c r="Q62" s="574"/>
      <c r="R62" s="574"/>
      <c r="V62" s="0"/>
      <c r="W62" s="0"/>
      <c r="X62" s="0"/>
      <c r="Y62" s="0"/>
    </row>
    <row r="63" customFormat="false" ht="13.5" hidden="false" customHeight="false" outlineLevel="0" collapsed="false">
      <c r="D63" s="574"/>
      <c r="E63" s="613" t="s">
        <v>618</v>
      </c>
      <c r="F63" s="614"/>
      <c r="G63" s="702" t="n">
        <v>593.294490377489</v>
      </c>
      <c r="H63" s="698" t="e">
        <f aca="false">H59+H54+SUM(H60:H62)</f>
        <v>#VALUE!</v>
      </c>
      <c r="I63" s="568"/>
      <c r="J63" s="568"/>
      <c r="K63" s="598" t="s">
        <v>533</v>
      </c>
      <c r="L63" s="574"/>
      <c r="M63" s="599"/>
      <c r="O63" s="0"/>
      <c r="P63" s="0"/>
      <c r="Q63" s="574"/>
      <c r="R63" s="574"/>
      <c r="V63" s="0"/>
      <c r="W63" s="0"/>
      <c r="X63" s="0"/>
      <c r="Y63" s="0"/>
    </row>
    <row r="64" customFormat="false" ht="13.5" hidden="false" customHeight="false" outlineLevel="0" collapsed="false">
      <c r="D64" s="574"/>
      <c r="I64" s="568"/>
      <c r="J64" s="568"/>
      <c r="K64" s="585" t="s">
        <v>619</v>
      </c>
      <c r="L64" s="574"/>
      <c r="M64" s="724" t="e">
        <f aca="false">CALC!HS18</f>
        <v>#VALUE!</v>
      </c>
      <c r="O64" s="0"/>
      <c r="P64" s="0"/>
      <c r="Q64" s="574"/>
      <c r="R64" s="574"/>
      <c r="V64" s="0"/>
      <c r="W64" s="0"/>
      <c r="X64" s="0"/>
      <c r="Y64" s="0"/>
    </row>
    <row r="65" customFormat="false" ht="12.75" hidden="false" customHeight="false" outlineLevel="0" collapsed="false">
      <c r="A65" s="568"/>
      <c r="B65" s="568"/>
      <c r="C65" s="568"/>
      <c r="D65" s="238"/>
      <c r="E65" s="722" t="s">
        <v>620</v>
      </c>
      <c r="F65" s="725"/>
      <c r="G65" s="725"/>
      <c r="H65" s="134"/>
      <c r="I65" s="568"/>
      <c r="J65" s="568"/>
      <c r="K65" s="585" t="s">
        <v>621</v>
      </c>
      <c r="L65" s="574"/>
      <c r="M65" s="726" t="e">
        <f aca="false">M64/(8760*C9)</f>
        <v>#VALUE!</v>
      </c>
      <c r="O65" s="0"/>
      <c r="P65" s="0"/>
      <c r="Q65" s="574"/>
      <c r="R65" s="690"/>
      <c r="V65" s="0"/>
      <c r="W65" s="0"/>
      <c r="X65" s="0"/>
      <c r="Y65" s="0"/>
    </row>
    <row r="66" customFormat="false" ht="12.75" hidden="false" customHeight="false" outlineLevel="0" collapsed="false">
      <c r="A66" s="568"/>
      <c r="B66" s="568"/>
      <c r="C66" s="568"/>
      <c r="D66" s="238"/>
      <c r="E66" s="585" t="s">
        <v>622</v>
      </c>
      <c r="F66" s="238"/>
      <c r="G66" s="238"/>
      <c r="H66" s="727" t="n">
        <v>2003</v>
      </c>
      <c r="I66" s="568"/>
      <c r="J66" s="568"/>
      <c r="K66" s="585" t="s">
        <v>623</v>
      </c>
      <c r="L66" s="574"/>
      <c r="M66" s="728" t="e">
        <f aca="false">CALC!HT18</f>
        <v>#VALUE!</v>
      </c>
      <c r="O66" s="0"/>
      <c r="P66" s="0"/>
      <c r="Q66" s="574"/>
      <c r="R66" s="690"/>
      <c r="V66" s="0"/>
      <c r="W66" s="0"/>
      <c r="X66" s="0"/>
      <c r="Y66" s="0"/>
    </row>
    <row r="67" customFormat="false" ht="12.75" hidden="false" customHeight="false" outlineLevel="0" collapsed="false">
      <c r="A67" s="568"/>
      <c r="B67" s="568"/>
      <c r="C67" s="568"/>
      <c r="D67" s="574"/>
      <c r="E67" s="585" t="s">
        <v>624</v>
      </c>
      <c r="F67" s="238"/>
      <c r="G67" s="238"/>
      <c r="H67" s="729" t="n">
        <v>2008</v>
      </c>
      <c r="I67" s="568"/>
      <c r="J67" s="568"/>
      <c r="K67" s="585"/>
      <c r="L67" s="574"/>
      <c r="M67" s="599"/>
      <c r="O67" s="0"/>
      <c r="P67" s="0"/>
      <c r="Q67" s="574"/>
      <c r="R67" s="574"/>
      <c r="V67" s="0"/>
      <c r="W67" s="0"/>
      <c r="X67" s="0"/>
      <c r="Y67" s="0"/>
    </row>
    <row r="68" customFormat="false" ht="13.5" hidden="false" customHeight="false" outlineLevel="0" collapsed="false">
      <c r="A68" s="568"/>
      <c r="B68" s="568"/>
      <c r="C68" s="568"/>
      <c r="D68" s="574"/>
      <c r="E68" s="613" t="s">
        <v>625</v>
      </c>
      <c r="F68" s="444"/>
      <c r="G68" s="444"/>
      <c r="H68" s="730" t="n">
        <v>0</v>
      </c>
      <c r="I68" s="568"/>
      <c r="J68" s="568"/>
      <c r="K68" s="598" t="s">
        <v>287</v>
      </c>
      <c r="L68" s="574"/>
      <c r="M68" s="599"/>
      <c r="O68" s="0"/>
      <c r="P68" s="0"/>
      <c r="Q68" s="574"/>
      <c r="R68" s="690"/>
      <c r="V68" s="0"/>
      <c r="W68" s="0"/>
      <c r="X68" s="0"/>
      <c r="Y68" s="0"/>
    </row>
    <row r="69" customFormat="false" ht="13.5" hidden="false" customHeight="false" outlineLevel="0" collapsed="false">
      <c r="A69" s="568"/>
      <c r="B69" s="568"/>
      <c r="C69" s="568"/>
      <c r="D69" s="574"/>
      <c r="I69" s="568"/>
      <c r="J69" s="568"/>
      <c r="K69" s="585" t="s">
        <v>626</v>
      </c>
      <c r="L69" s="574"/>
      <c r="M69" s="724" t="e">
        <f aca="false">CALC!HZ18</f>
        <v>#VALUE!</v>
      </c>
      <c r="Q69" s="574"/>
      <c r="R69" s="690"/>
      <c r="V69" s="0"/>
      <c r="W69" s="0"/>
      <c r="X69" s="0"/>
      <c r="Y69" s="0"/>
    </row>
    <row r="70" customFormat="false" ht="12.75" hidden="false" customHeight="false" outlineLevel="0" collapsed="false">
      <c r="A70" s="568"/>
      <c r="B70" s="568"/>
      <c r="C70" s="568"/>
      <c r="D70" s="568"/>
      <c r="E70" s="722" t="s">
        <v>627</v>
      </c>
      <c r="F70" s="731"/>
      <c r="G70" s="731"/>
      <c r="H70" s="732"/>
      <c r="I70" s="568"/>
      <c r="J70" s="568"/>
      <c r="K70" s="733" t="s">
        <v>628</v>
      </c>
      <c r="L70" s="574"/>
      <c r="M70" s="728" t="e">
        <f aca="false">-CALC!IA18</f>
        <v>#VALUE!</v>
      </c>
      <c r="Q70" s="670"/>
      <c r="R70" s="574"/>
      <c r="V70" s="0"/>
      <c r="W70" s="0"/>
      <c r="X70" s="0"/>
      <c r="Y70" s="0"/>
    </row>
    <row r="71" customFormat="false" ht="12.75" hidden="false" customHeight="false" outlineLevel="0" collapsed="false">
      <c r="A71" s="568"/>
      <c r="B71" s="568"/>
      <c r="C71" s="568"/>
      <c r="D71" s="568"/>
      <c r="E71" s="591" t="s">
        <v>629</v>
      </c>
      <c r="F71" s="298"/>
      <c r="G71" s="298"/>
      <c r="H71" s="734" t="s">
        <v>424</v>
      </c>
      <c r="I71" s="568"/>
      <c r="J71" s="568"/>
      <c r="K71" s="585"/>
      <c r="L71" s="574"/>
      <c r="M71" s="599"/>
      <c r="Q71" s="670"/>
      <c r="R71" s="574"/>
      <c r="V71" s="0"/>
      <c r="W71" s="0"/>
      <c r="X71" s="0"/>
      <c r="Y71" s="0"/>
    </row>
    <row r="72" customFormat="false" ht="12.75" hidden="false" customHeight="false" outlineLevel="0" collapsed="false">
      <c r="E72" s="591" t="s">
        <v>65</v>
      </c>
      <c r="F72" s="298"/>
      <c r="G72" s="298"/>
      <c r="H72" s="735" t="n">
        <v>37803</v>
      </c>
      <c r="I72" s="568"/>
      <c r="J72" s="568"/>
      <c r="K72" s="585" t="s">
        <v>630</v>
      </c>
      <c r="L72" s="574"/>
      <c r="M72" s="736" t="e">
        <f aca="false">Template!J188</f>
        <v>#VALUE!</v>
      </c>
      <c r="O72" s="0"/>
      <c r="P72" s="0"/>
      <c r="Q72" s="670"/>
      <c r="R72" s="574"/>
      <c r="V72" s="0"/>
      <c r="W72" s="0"/>
      <c r="X72" s="0"/>
      <c r="Y72" s="0"/>
    </row>
    <row r="73" customFormat="false" ht="12.75" hidden="false" customHeight="false" outlineLevel="0" collapsed="false">
      <c r="E73" s="591" t="s">
        <v>68</v>
      </c>
      <c r="F73" s="298"/>
      <c r="G73" s="298"/>
      <c r="H73" s="735" t="n">
        <v>39629</v>
      </c>
      <c r="I73" s="568"/>
      <c r="J73" s="568"/>
      <c r="K73" s="585" t="s">
        <v>631</v>
      </c>
      <c r="L73" s="574"/>
      <c r="M73" s="736" t="e">
        <f aca="false">Template!J197</f>
        <v>#VALUE!</v>
      </c>
      <c r="O73" s="0"/>
      <c r="P73" s="0"/>
      <c r="Q73" s="670"/>
      <c r="R73" s="574"/>
      <c r="V73" s="0"/>
      <c r="W73" s="0"/>
      <c r="X73" s="0"/>
      <c r="Y73" s="0"/>
    </row>
    <row r="74" customFormat="false" ht="13.5" hidden="false" customHeight="false" outlineLevel="0" collapsed="false">
      <c r="E74" s="613" t="s">
        <v>632</v>
      </c>
      <c r="F74" s="614"/>
      <c r="G74" s="629"/>
      <c r="H74" s="730" t="n">
        <v>9.17</v>
      </c>
      <c r="I74" s="568"/>
      <c r="J74" s="568"/>
      <c r="K74" s="585" t="s">
        <v>633</v>
      </c>
      <c r="L74" s="574"/>
      <c r="M74" s="736" t="e">
        <f aca="false">Template!J203</f>
        <v>#VALUE!</v>
      </c>
      <c r="O74" s="0"/>
      <c r="P74" s="0"/>
      <c r="Q74" s="670"/>
      <c r="R74" s="574"/>
      <c r="V74" s="0"/>
      <c r="W74" s="0"/>
      <c r="X74" s="0"/>
      <c r="Y74" s="0"/>
    </row>
    <row r="75" customFormat="false" ht="12.75" hidden="false" customHeight="false" outlineLevel="0" collapsed="false">
      <c r="J75" s="568"/>
      <c r="K75" s="585" t="s">
        <v>634</v>
      </c>
      <c r="L75" s="574"/>
      <c r="M75" s="736" t="n">
        <f aca="false">Template!J242</f>
        <v>18862.6779146645</v>
      </c>
      <c r="N75" s="737"/>
      <c r="O75" s="0"/>
      <c r="P75" s="0"/>
      <c r="Q75" s="670"/>
      <c r="R75" s="574"/>
      <c r="V75" s="0"/>
      <c r="W75" s="0"/>
      <c r="X75" s="0"/>
      <c r="Y75" s="0"/>
    </row>
    <row r="76" customFormat="false" ht="13.5" hidden="false" customHeight="false" outlineLevel="0" collapsed="false">
      <c r="E76" s="568"/>
      <c r="F76" s="568"/>
      <c r="G76" s="738"/>
      <c r="H76" s="568"/>
      <c r="K76" s="585" t="s">
        <v>635</v>
      </c>
      <c r="L76" s="574"/>
      <c r="M76" s="739" t="e">
        <f aca="false">Template!J295</f>
        <v>#VALUE!</v>
      </c>
      <c r="N76" s="0"/>
      <c r="O76" s="0"/>
      <c r="P76" s="0"/>
      <c r="Q76" s="574"/>
      <c r="R76" s="574"/>
      <c r="V76" s="0"/>
      <c r="W76" s="0"/>
      <c r="X76" s="0"/>
      <c r="Y76" s="0"/>
    </row>
    <row r="77" customFormat="false" ht="13.5" hidden="false" customHeight="false" outlineLevel="0" collapsed="false">
      <c r="E77" s="568"/>
      <c r="F77" s="568"/>
      <c r="G77" s="738"/>
      <c r="H77" s="568"/>
      <c r="K77" s="648" t="s">
        <v>636</v>
      </c>
      <c r="L77" s="574"/>
      <c r="M77" s="740" t="e">
        <f aca="false">M72-M73-M74-M75-M76</f>
        <v>#VALUE!</v>
      </c>
      <c r="Q77" s="574"/>
      <c r="R77" s="670"/>
      <c r="V77" s="0"/>
      <c r="W77" s="0"/>
      <c r="X77" s="0"/>
      <c r="Y77" s="0"/>
    </row>
    <row r="78" customFormat="false" ht="12.75" hidden="false" customHeight="false" outlineLevel="0" collapsed="false">
      <c r="E78" s="568"/>
      <c r="F78" s="568"/>
      <c r="G78" s="738"/>
      <c r="H78" s="568"/>
      <c r="K78" s="585" t="s">
        <v>475</v>
      </c>
      <c r="L78" s="574"/>
      <c r="M78" s="741" t="e">
        <f aca="false">INTEXP2</f>
        <v>#VALUE!</v>
      </c>
      <c r="Q78" s="574"/>
      <c r="R78" s="670"/>
    </row>
    <row r="79" customFormat="false" ht="13.5" hidden="false" customHeight="false" outlineLevel="0" collapsed="false">
      <c r="A79" s="568"/>
      <c r="B79" s="568"/>
      <c r="C79" s="568"/>
      <c r="D79" s="568"/>
      <c r="E79" s="568"/>
      <c r="F79" s="568"/>
      <c r="G79" s="738"/>
      <c r="H79" s="568"/>
      <c r="K79" s="585" t="s">
        <v>637</v>
      </c>
      <c r="L79" s="574"/>
      <c r="M79" s="739" t="e">
        <f aca="false">Template!J316</f>
        <v>#VALUE!</v>
      </c>
      <c r="Q79" s="574"/>
      <c r="R79" s="690"/>
    </row>
    <row r="80" customFormat="false" ht="13.5" hidden="false" customHeight="false" outlineLevel="0" collapsed="false">
      <c r="A80" s="568"/>
      <c r="B80" s="568"/>
      <c r="C80" s="568"/>
      <c r="D80" s="568"/>
      <c r="E80" s="568"/>
      <c r="F80" s="568"/>
      <c r="G80" s="738"/>
      <c r="H80" s="568"/>
      <c r="K80" s="628" t="s">
        <v>638</v>
      </c>
      <c r="L80" s="614"/>
      <c r="M80" s="740" t="e">
        <f aca="false">M77-M78-M79</f>
        <v>#VALUE!</v>
      </c>
      <c r="Q80" s="574"/>
      <c r="R80" s="742"/>
    </row>
    <row r="81" customFormat="false" ht="12.75" hidden="false" customHeight="false" outlineLevel="0" collapsed="false">
      <c r="A81" s="568"/>
      <c r="B81" s="568"/>
      <c r="C81" s="568"/>
      <c r="D81" s="568"/>
      <c r="E81" s="568"/>
      <c r="F81" s="568"/>
      <c r="G81" s="738"/>
      <c r="H81" s="568"/>
      <c r="Q81" s="670"/>
      <c r="R81" s="574"/>
    </row>
    <row r="82" customFormat="false" ht="12.75" hidden="false" customHeight="false" outlineLevel="0" collapsed="false">
      <c r="A82" s="568"/>
      <c r="B82" s="568"/>
      <c r="C82" s="568"/>
      <c r="D82" s="568"/>
      <c r="E82" s="568"/>
      <c r="F82" s="568"/>
      <c r="G82" s="738"/>
      <c r="H82" s="568"/>
      <c r="Q82" s="574"/>
      <c r="R82" s="574"/>
    </row>
    <row r="83" customFormat="false" ht="12.75" hidden="false" customHeight="false" outlineLevel="0" collapsed="false">
      <c r="A83" s="568"/>
      <c r="B83" s="568"/>
      <c r="C83" s="568"/>
      <c r="D83" s="568"/>
      <c r="E83" s="568"/>
      <c r="F83" s="568"/>
      <c r="G83" s="738"/>
      <c r="H83" s="568"/>
      <c r="Q83" s="670"/>
      <c r="R83" s="670"/>
    </row>
    <row r="84" customFormat="false" ht="12.75" hidden="false" customHeight="false" outlineLevel="0" collapsed="false">
      <c r="A84" s="568"/>
      <c r="B84" s="568"/>
      <c r="C84" s="568"/>
      <c r="D84" s="568"/>
      <c r="E84" s="568"/>
      <c r="F84" s="568"/>
      <c r="G84" s="738"/>
      <c r="H84" s="568"/>
      <c r="Q84" s="670"/>
      <c r="U84" s="690"/>
    </row>
    <row r="85" customFormat="false" ht="12.75" hidden="false" customHeight="false" outlineLevel="0" collapsed="false">
      <c r="A85" s="568"/>
      <c r="B85" s="568"/>
      <c r="C85" s="568"/>
      <c r="D85" s="568"/>
      <c r="E85" s="568"/>
      <c r="F85" s="568"/>
      <c r="G85" s="738"/>
      <c r="H85" s="568"/>
      <c r="O85" s="737"/>
      <c r="P85" s="0"/>
      <c r="Q85" s="670"/>
      <c r="U85" s="574"/>
      <c r="V85" s="743"/>
      <c r="W85" s="744"/>
      <c r="X85" s="704"/>
      <c r="Y85" s="704"/>
      <c r="Z85" s="704"/>
      <c r="AA85" s="704"/>
      <c r="AB85" s="704"/>
      <c r="AC85" s="704"/>
      <c r="AD85" s="704"/>
      <c r="AE85" s="704"/>
      <c r="AF85" s="704"/>
      <c r="AG85" s="704"/>
      <c r="AH85" s="704"/>
      <c r="AI85" s="704"/>
      <c r="AJ85" s="704"/>
      <c r="AK85" s="704"/>
      <c r="AL85" s="704"/>
      <c r="AM85" s="704"/>
      <c r="AN85" s="704"/>
      <c r="AO85" s="704"/>
      <c r="AP85" s="704"/>
    </row>
    <row r="86" customFormat="false" ht="12.75" hidden="false" customHeight="false" outlineLevel="0" collapsed="false">
      <c r="E86" s="568"/>
      <c r="F86" s="568"/>
      <c r="G86" s="738"/>
      <c r="H86" s="568"/>
      <c r="K86" s="304"/>
      <c r="L86" s="745"/>
      <c r="M86" s="0"/>
      <c r="N86" s="696"/>
      <c r="O86" s="746"/>
      <c r="P86" s="0"/>
      <c r="Q86" s="670"/>
      <c r="U86" s="574"/>
      <c r="W86" s="744"/>
      <c r="X86" s="704"/>
      <c r="Y86" s="704"/>
      <c r="Z86" s="704"/>
      <c r="AA86" s="704"/>
      <c r="AB86" s="704"/>
      <c r="AC86" s="704"/>
      <c r="AD86" s="704"/>
      <c r="AE86" s="704"/>
      <c r="AF86" s="704"/>
      <c r="AG86" s="704"/>
      <c r="AH86" s="704"/>
      <c r="AI86" s="704"/>
      <c r="AJ86" s="704"/>
      <c r="AK86" s="704"/>
      <c r="AL86" s="704"/>
      <c r="AM86" s="704"/>
      <c r="AN86" s="704"/>
      <c r="AO86" s="704"/>
      <c r="AP86" s="704"/>
    </row>
    <row r="87" customFormat="false" ht="12.75" hidden="false" customHeight="false" outlineLevel="0" collapsed="false">
      <c r="E87" s="568"/>
      <c r="F87" s="568"/>
      <c r="G87" s="738"/>
      <c r="H87" s="568"/>
      <c r="P87" s="0"/>
      <c r="Q87" s="670"/>
      <c r="R87" s="690"/>
    </row>
    <row r="88" customFormat="false" ht="12.75" hidden="false" customHeight="false" outlineLevel="0" collapsed="false">
      <c r="E88" s="568"/>
      <c r="F88" s="568"/>
      <c r="G88" s="738"/>
      <c r="H88" s="568"/>
      <c r="P88" s="0"/>
      <c r="Q88" s="670"/>
      <c r="R88" s="670"/>
    </row>
    <row r="89" customFormat="false" ht="12.75" hidden="false" customHeight="false" outlineLevel="0" collapsed="false">
      <c r="A89" s="568"/>
      <c r="B89" s="568"/>
      <c r="C89" s="568"/>
      <c r="D89" s="568"/>
      <c r="E89" s="568"/>
      <c r="F89" s="568"/>
      <c r="G89" s="738"/>
      <c r="H89" s="568"/>
      <c r="I89" s="738"/>
      <c r="J89" s="738"/>
      <c r="P89" s="0"/>
      <c r="Q89" s="574"/>
      <c r="R89" s="574"/>
    </row>
    <row r="90" customFormat="false" ht="12.75" hidden="false" customHeight="false" outlineLevel="0" collapsed="false">
      <c r="A90" s="568"/>
      <c r="B90" s="568"/>
      <c r="C90" s="568"/>
      <c r="D90" s="568"/>
      <c r="E90" s="568"/>
      <c r="F90" s="568"/>
      <c r="G90" s="738"/>
      <c r="H90" s="568"/>
      <c r="P90" s="0"/>
      <c r="Q90" s="0"/>
      <c r="R90" s="574"/>
    </row>
    <row r="91" customFormat="false" ht="12.75" hidden="false" customHeight="false" outlineLevel="0" collapsed="false">
      <c r="A91" s="568"/>
      <c r="B91" s="568"/>
      <c r="C91" s="568"/>
      <c r="D91" s="568"/>
      <c r="E91" s="568"/>
      <c r="F91" s="568"/>
      <c r="G91" s="738"/>
      <c r="H91" s="568"/>
      <c r="P91" s="0"/>
      <c r="Q91" s="0"/>
      <c r="R91" s="574"/>
    </row>
    <row r="92" customFormat="false" ht="12.75" hidden="false" customHeight="false" outlineLevel="0" collapsed="false">
      <c r="A92" s="568"/>
      <c r="B92" s="568"/>
      <c r="C92" s="568"/>
      <c r="D92" s="568"/>
      <c r="E92" s="568"/>
      <c r="F92" s="568"/>
      <c r="G92" s="738"/>
      <c r="H92" s="568"/>
      <c r="I92" s="568"/>
      <c r="J92" s="568"/>
      <c r="K92" s="0"/>
      <c r="Q92" s="0"/>
      <c r="R92" s="0"/>
      <c r="S92" s="574"/>
    </row>
    <row r="93" customFormat="false" ht="12.75" hidden="false" customHeight="false" outlineLevel="0" collapsed="false">
      <c r="A93" s="568"/>
      <c r="B93" s="568"/>
      <c r="C93" s="568"/>
      <c r="D93" s="568"/>
      <c r="E93" s="568"/>
      <c r="F93" s="568"/>
      <c r="G93" s="738"/>
      <c r="H93" s="568"/>
      <c r="I93" s="568"/>
      <c r="J93" s="568"/>
      <c r="K93" s="0"/>
      <c r="Q93" s="0"/>
      <c r="R93" s="0"/>
      <c r="S93" s="574"/>
    </row>
    <row r="94" customFormat="false" ht="12.75" hidden="false" customHeight="false" outlineLevel="0" collapsed="false">
      <c r="A94" s="568"/>
      <c r="E94" s="568"/>
      <c r="F94" s="568"/>
      <c r="G94" s="738"/>
      <c r="H94" s="568"/>
      <c r="I94" s="568"/>
      <c r="J94" s="568"/>
      <c r="K94" s="0"/>
      <c r="R94" s="670"/>
    </row>
    <row r="95" customFormat="false" ht="12.75" hidden="false" customHeight="false" outlineLevel="0" collapsed="false">
      <c r="A95" s="747"/>
      <c r="E95" s="568"/>
      <c r="F95" s="568"/>
      <c r="G95" s="738"/>
      <c r="H95" s="568"/>
      <c r="I95" s="568"/>
      <c r="J95" s="568"/>
      <c r="K95" s="0"/>
      <c r="R95" s="670"/>
    </row>
    <row r="96" customFormat="false" ht="12.75" hidden="false" customHeight="false" outlineLevel="0" collapsed="false">
      <c r="A96" s="747"/>
      <c r="E96" s="568"/>
      <c r="F96" s="568"/>
      <c r="G96" s="738"/>
      <c r="H96" s="568"/>
      <c r="I96" s="568"/>
      <c r="J96" s="568"/>
      <c r="K96" s="0"/>
      <c r="R96" s="670"/>
    </row>
    <row r="97" customFormat="false" ht="12.75" hidden="false" customHeight="false" outlineLevel="0" collapsed="false">
      <c r="K97" s="0"/>
      <c r="R97" s="670"/>
    </row>
    <row r="98" customFormat="false" ht="12.75" hidden="false" customHeight="false" outlineLevel="0" collapsed="false">
      <c r="K98" s="0"/>
      <c r="R98" s="670"/>
    </row>
    <row r="99" customFormat="false" ht="12.75" hidden="false" customHeight="false" outlineLevel="0" collapsed="false">
      <c r="K99" s="0"/>
      <c r="R99" s="670"/>
    </row>
    <row r="100" customFormat="false" ht="12.75" hidden="false" customHeight="false" outlineLevel="0" collapsed="false">
      <c r="K100" s="0"/>
      <c r="R100" s="690"/>
    </row>
    <row r="101" customFormat="false" ht="12.75" hidden="false" customHeight="false" outlineLevel="0" collapsed="false">
      <c r="K101" s="0"/>
      <c r="R101" s="670"/>
    </row>
    <row r="102" customFormat="false" ht="12.75" hidden="false" customHeight="false" outlineLevel="0" collapsed="false">
      <c r="K102" s="0"/>
      <c r="R102" s="574"/>
    </row>
    <row r="103" customFormat="false" ht="12.75" hidden="false" customHeight="false" outlineLevel="0" collapsed="false">
      <c r="K103" s="0"/>
      <c r="L103" s="0"/>
      <c r="M103" s="0"/>
      <c r="N103" s="0"/>
      <c r="O103" s="0"/>
      <c r="P103" s="0"/>
      <c r="Q103" s="0"/>
      <c r="R103" s="574"/>
    </row>
    <row r="104" customFormat="false" ht="12.75" hidden="false" customHeight="false" outlineLevel="0" collapsed="false">
      <c r="K104" s="0"/>
      <c r="L104" s="0"/>
      <c r="M104" s="0"/>
      <c r="N104" s="0"/>
      <c r="O104" s="0"/>
      <c r="P104" s="0"/>
      <c r="Q104" s="0"/>
    </row>
    <row r="105" customFormat="false" ht="12.75" hidden="false" customHeight="false" outlineLevel="0" collapsed="false">
      <c r="K105" s="0"/>
      <c r="L105" s="0"/>
      <c r="M105" s="0"/>
      <c r="N105" s="0"/>
      <c r="O105" s="0"/>
      <c r="P105" s="0"/>
      <c r="Q105" s="0"/>
    </row>
    <row r="106" customFormat="false" ht="12.75" hidden="false" customHeight="false" outlineLevel="0" collapsed="false">
      <c r="K106" s="0"/>
      <c r="L106" s="0"/>
      <c r="M106" s="0"/>
      <c r="N106" s="0"/>
      <c r="O106" s="0"/>
      <c r="P106" s="0"/>
      <c r="Q106" s="0"/>
    </row>
    <row r="107" customFormat="false" ht="12.75" hidden="false" customHeight="false" outlineLevel="0" collapsed="false">
      <c r="K107" s="0"/>
      <c r="L107" s="0"/>
      <c r="M107" s="0"/>
      <c r="N107" s="0"/>
      <c r="O107" s="0"/>
      <c r="P107" s="0"/>
      <c r="Q107" s="0"/>
    </row>
    <row r="108" customFormat="false" ht="12.75" hidden="false" customHeight="false" outlineLevel="0" collapsed="false">
      <c r="K108" s="0"/>
      <c r="L108" s="0"/>
      <c r="M108" s="0"/>
      <c r="N108" s="0"/>
      <c r="O108" s="0"/>
      <c r="P108" s="0"/>
      <c r="Q108" s="0"/>
    </row>
    <row r="109" customFormat="false" ht="12.75" hidden="false" customHeight="false" outlineLevel="0" collapsed="false">
      <c r="K109" s="0"/>
      <c r="L109" s="0"/>
      <c r="M109" s="0"/>
      <c r="N109" s="0"/>
      <c r="O109" s="0"/>
      <c r="P109" s="0"/>
      <c r="Q109" s="0"/>
    </row>
    <row r="110" customFormat="false" ht="12.75" hidden="false" customHeight="false" outlineLevel="0" collapsed="false">
      <c r="K110" s="0"/>
      <c r="L110" s="0"/>
      <c r="M110" s="0"/>
      <c r="N110" s="0"/>
      <c r="O110" s="0"/>
      <c r="P110" s="0"/>
      <c r="Q110" s="0"/>
    </row>
    <row r="111" customFormat="false" ht="12.75" hidden="false" customHeight="false" outlineLevel="0" collapsed="false">
      <c r="K111" s="0"/>
      <c r="L111" s="0"/>
      <c r="M111" s="0"/>
      <c r="N111" s="0"/>
      <c r="O111" s="0"/>
      <c r="P111" s="0"/>
      <c r="Q111" s="0"/>
    </row>
    <row r="112" customFormat="false" ht="12.75" hidden="false" customHeight="false" outlineLevel="0" collapsed="false">
      <c r="L112" s="0"/>
      <c r="M112" s="0"/>
      <c r="N112" s="0"/>
      <c r="O112" s="0"/>
      <c r="P112" s="0"/>
      <c r="Q112" s="0"/>
    </row>
    <row r="113" customFormat="false" ht="12.75" hidden="false" customHeight="false" outlineLevel="0" collapsed="false">
      <c r="L113" s="0"/>
      <c r="M113" s="0"/>
      <c r="N113" s="0"/>
      <c r="O113" s="0"/>
      <c r="P113" s="0"/>
      <c r="Q113" s="0"/>
    </row>
    <row r="114" customFormat="false" ht="12.75" hidden="false" customHeight="false" outlineLevel="0" collapsed="false">
      <c r="L114" s="0"/>
      <c r="M114" s="0"/>
      <c r="N114" s="0"/>
      <c r="O114" s="0"/>
      <c r="P114" s="0"/>
      <c r="Q114" s="0"/>
    </row>
    <row r="115" customFormat="false" ht="12.75" hidden="false" customHeight="false" outlineLevel="0" collapsed="false">
      <c r="L115" s="0"/>
      <c r="M115" s="0"/>
      <c r="N115" s="0"/>
      <c r="O115" s="0"/>
      <c r="P115" s="0"/>
      <c r="Q115" s="0"/>
    </row>
    <row r="116" customFormat="false" ht="12.75" hidden="false" customHeight="false" outlineLevel="0" collapsed="false">
      <c r="K116" s="0"/>
      <c r="L116" s="0"/>
      <c r="M116" s="0"/>
      <c r="N116" s="0"/>
      <c r="O116" s="0"/>
      <c r="P116" s="0"/>
      <c r="Q116" s="0"/>
    </row>
    <row r="117" customFormat="false" ht="12.75" hidden="false" customHeight="false" outlineLevel="0" collapsed="false">
      <c r="K117" s="0"/>
      <c r="L117" s="0"/>
      <c r="M117" s="0"/>
      <c r="N117" s="0"/>
      <c r="O117" s="0"/>
      <c r="P117" s="0"/>
      <c r="Q117" s="0"/>
    </row>
    <row r="118" customFormat="false" ht="12.75" hidden="false" customHeight="false" outlineLevel="0" collapsed="false">
      <c r="K118" s="0"/>
      <c r="L118" s="0"/>
      <c r="M118" s="0"/>
      <c r="N118" s="0"/>
      <c r="O118" s="0"/>
      <c r="P118" s="0"/>
      <c r="Q118" s="0"/>
    </row>
    <row r="119" customFormat="false" ht="12.75" hidden="false" customHeight="false" outlineLevel="0" collapsed="false">
      <c r="K119" s="0"/>
      <c r="L119" s="0"/>
      <c r="M119" s="0"/>
      <c r="N119" s="0"/>
      <c r="O119" s="0"/>
    </row>
    <row r="120" customFormat="false" ht="12.75" hidden="false" customHeight="false" outlineLevel="0" collapsed="false">
      <c r="K120" s="0"/>
      <c r="L120" s="0"/>
      <c r="M120" s="0"/>
      <c r="N120" s="0"/>
      <c r="O120" s="0"/>
    </row>
    <row r="121" customFormat="false" ht="12.75" hidden="false" customHeight="false" outlineLevel="0" collapsed="false">
      <c r="K121" s="0"/>
      <c r="L121" s="0"/>
      <c r="M121" s="0"/>
      <c r="N121" s="0"/>
      <c r="O121" s="0"/>
      <c r="P121" s="0"/>
      <c r="Q121" s="0"/>
    </row>
    <row r="122" customFormat="false" ht="12.75" hidden="false" customHeight="false" outlineLevel="0" collapsed="false">
      <c r="K122" s="0"/>
      <c r="L122" s="0"/>
      <c r="M122" s="0"/>
      <c r="N122" s="0"/>
      <c r="O122" s="0"/>
      <c r="P122" s="0"/>
      <c r="Q122" s="0"/>
    </row>
    <row r="123" customFormat="false" ht="12.75" hidden="false" customHeight="false" outlineLevel="0" collapsed="false">
      <c r="K123" s="0"/>
      <c r="L123" s="0"/>
      <c r="M123" s="0"/>
      <c r="N123" s="0"/>
      <c r="O123" s="0"/>
      <c r="P123" s="0"/>
      <c r="Q123" s="0"/>
    </row>
    <row r="124" customFormat="false" ht="12.75" hidden="false" customHeight="false" outlineLevel="0" collapsed="false">
      <c r="K124" s="0"/>
    </row>
    <row r="125" customFormat="false" ht="12.75" hidden="false" customHeight="false" outlineLevel="0" collapsed="false">
      <c r="K125" s="0"/>
    </row>
    <row r="126" customFormat="false" ht="12.75" hidden="false" customHeight="false" outlineLevel="0" collapsed="false">
      <c r="K126" s="0"/>
    </row>
    <row r="127" customFormat="false" ht="12.75" hidden="false" customHeight="false" outlineLevel="0" collapsed="false">
      <c r="K127" s="0"/>
    </row>
    <row r="128" customFormat="false" ht="12.75" hidden="false" customHeight="false" outlineLevel="0" collapsed="false">
      <c r="K128" s="0"/>
    </row>
    <row r="129" customFormat="false" ht="12.75" hidden="false" customHeight="false" outlineLevel="0" collapsed="false">
      <c r="K129" s="0"/>
    </row>
    <row r="130" customFormat="false" ht="12.75" hidden="false" customHeight="false" outlineLevel="0" collapsed="false">
      <c r="K130" s="0"/>
    </row>
  </sheetData>
  <printOptions headings="false" gridLines="false" gridLinesSet="true" horizontalCentered="false" verticalCentered="false"/>
  <pageMargins left="0.25" right="0.25" top="0.5" bottom="0.5" header="0.511811023622047" footer="0.25"/>
  <pageSetup paperSize="1" scale="100" fitToWidth="1" fitToHeight="1" pageOrder="downThenOver" orientation="portrait" blackAndWhite="false" draft="false" cellComments="none" horizontalDpi="300" verticalDpi="300" copies="1"/>
  <headerFooter differentFirst="false" differentOddEven="false">
    <oddHeader/>
    <oddFooter>&amp;C&amp;D  &amp;T&amp;R&amp;F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7">
              <controlPr defaultSize="0" print="false" autoFill="0" autoPict="0" macro="CFMODEL_Macros.Optimize">
                <anchor moveWithCells="true" sizeWithCells="false">
                  <from>
                    <xdr:col>13</xdr:col>
                    <xdr:colOff>452520</xdr:colOff>
                    <xdr:row>37</xdr:row>
                    <xdr:rowOff>18720</xdr:rowOff>
                  </from>
                  <to>
                    <xdr:col>15</xdr:col>
                    <xdr:colOff>131400</xdr:colOff>
                    <xdr:row>39</xdr:row>
                    <xdr:rowOff>38160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861"/>
  <sheetViews>
    <sheetView showFormulas="false" showGridLines="false" showRowColHeaders="true" showZeros="true" rightToLeft="false" tabSelected="false" showOutlineSymbols="true" defaultGridColor="true" view="normal" topLeftCell="A1" colorId="64" zoomScale="75" zoomScaleNormal="75" zoomScalePageLayoutView="50" workbookViewId="0">
      <pane xSplit="3" ySplit="3" topLeftCell="D680" activePane="bottomRight" state="frozen"/>
      <selection pane="topLeft" activeCell="A1" activeCellId="0" sqref="A1"/>
      <selection pane="topRight" activeCell="D1" activeCellId="0" sqref="D1"/>
      <selection pane="bottomLeft" activeCell="A680" activeCellId="0" sqref="A680"/>
      <selection pane="bottomRight" activeCell="E717" activeCellId="0" sqref="E717"/>
    </sheetView>
  </sheetViews>
  <sheetFormatPr defaultColWidth="5.84765625" defaultRowHeight="11.25" customHeight="true" zeroHeight="false" outlineLevelRow="1" outlineLevelCol="0"/>
  <cols>
    <col collapsed="false" customWidth="true" hidden="false" outlineLevel="0" max="2" min="1" style="748" width="12.7"/>
    <col collapsed="false" customWidth="true" hidden="false" outlineLevel="0" max="3" min="3" style="748" width="13.41"/>
    <col collapsed="false" customWidth="false" hidden="false" outlineLevel="0" max="4" min="4" style="748" width="5.85"/>
    <col collapsed="false" customWidth="true" hidden="false" outlineLevel="0" max="5" min="5" style="748" width="9.99"/>
    <col collapsed="false" customWidth="false" hidden="false" outlineLevel="0" max="7" min="6" style="748" width="5.85"/>
    <col collapsed="false" customWidth="true" hidden="false" outlineLevel="0" max="8" min="8" style="748" width="9.14"/>
    <col collapsed="false" customWidth="true" hidden="false" outlineLevel="0" max="9" min="9" style="748" width="11.13"/>
    <col collapsed="false" customWidth="true" hidden="false" outlineLevel="0" max="10" min="10" style="748" width="12.85"/>
    <col collapsed="false" customWidth="true" hidden="false" outlineLevel="0" max="15" min="11" style="748" width="11.7"/>
    <col collapsed="false" customWidth="true" hidden="false" outlineLevel="0" max="16" min="16" style="748" width="11.56"/>
    <col collapsed="false" customWidth="true" hidden="false" outlineLevel="0" max="17" min="17" style="748" width="11.42"/>
    <col collapsed="false" customWidth="true" hidden="false" outlineLevel="0" max="18" min="18" style="748" width="10.85"/>
    <col collapsed="false" customWidth="true" hidden="false" outlineLevel="0" max="19" min="19" style="748" width="10.99"/>
    <col collapsed="false" customWidth="true" hidden="false" outlineLevel="0" max="20" min="20" style="748" width="11.13"/>
    <col collapsed="false" customWidth="true" hidden="false" outlineLevel="0" max="21" min="21" style="748" width="10.99"/>
    <col collapsed="false" customWidth="true" hidden="false" outlineLevel="0" max="22" min="22" style="748" width="11.13"/>
    <col collapsed="false" customWidth="true" hidden="false" outlineLevel="0" max="23" min="23" style="748" width="11.99"/>
    <col collapsed="false" customWidth="true" hidden="false" outlineLevel="0" max="24" min="24" style="748" width="11.13"/>
    <col collapsed="false" customWidth="true" hidden="false" outlineLevel="0" max="25" min="25" style="748" width="10.99"/>
    <col collapsed="false" customWidth="true" hidden="false" outlineLevel="0" max="27" min="26" style="748" width="11.42"/>
    <col collapsed="false" customWidth="true" hidden="false" outlineLevel="0" max="28" min="28" style="748" width="11.7"/>
    <col collapsed="false" customWidth="true" hidden="false" outlineLevel="0" max="29" min="29" style="748" width="11.13"/>
    <col collapsed="false" customWidth="true" hidden="false" outlineLevel="0" max="30" min="30" style="748" width="8.7"/>
    <col collapsed="false" customWidth="true" hidden="false" outlineLevel="0" max="31" min="31" style="748" width="8.41"/>
    <col collapsed="false" customWidth="true" hidden="false" outlineLevel="0" max="32" min="32" style="748" width="8.7"/>
    <col collapsed="false" customWidth="false" hidden="false" outlineLevel="0" max="257" min="33" style="748" width="5.85"/>
  </cols>
  <sheetData>
    <row r="1" customFormat="false" ht="12" hidden="false" customHeight="true" outlineLevel="0" collapsed="false">
      <c r="A1" s="749" t="n">
        <v>99</v>
      </c>
      <c r="B1" s="750" t="n">
        <v>2</v>
      </c>
      <c r="C1" s="751" t="n">
        <v>1</v>
      </c>
      <c r="D1" s="752"/>
    </row>
    <row r="2" customFormat="false" ht="12" hidden="false" customHeight="true" outlineLevel="0" collapsed="false">
      <c r="A2" s="753" t="n">
        <v>30</v>
      </c>
      <c r="B2" s="753" t="n">
        <v>1</v>
      </c>
      <c r="C2" s="751" t="n">
        <v>99</v>
      </c>
      <c r="E2" s="748" t="str">
        <f aca="true">+CELL("filename",E3)</f>
        <v>'file:///mnt/12tb/@roms/datasets/enron/EDRM Enron Email Data Set v2 XML/filtered-attachments/xls/Pastoria_CFTejon8a_revised_21___750_MW.xls'#$Template</v>
      </c>
      <c r="H2" s="346"/>
      <c r="I2" s="346"/>
      <c r="J2" s="754"/>
      <c r="K2" s="751"/>
      <c r="L2" s="751"/>
      <c r="M2" s="751"/>
      <c r="N2" s="0"/>
      <c r="O2" s="755" t="n">
        <f aca="true">+NOW()</f>
        <v>45926.8867433948</v>
      </c>
      <c r="P2" s="756" t="n">
        <f aca="true">+NOW()</f>
        <v>45926.8867433949</v>
      </c>
      <c r="Q2" s="751"/>
      <c r="R2" s="751"/>
      <c r="S2" s="0"/>
      <c r="U2" s="346"/>
      <c r="V2" s="346"/>
      <c r="W2" s="346"/>
      <c r="X2" s="0"/>
      <c r="Y2" s="346"/>
      <c r="Z2" s="346"/>
      <c r="AA2" s="346"/>
      <c r="AB2" s="346"/>
      <c r="AC2" s="0"/>
      <c r="AD2" s="346"/>
      <c r="AE2" s="346"/>
      <c r="AF2" s="346"/>
    </row>
    <row r="3" customFormat="false" ht="13.5" hidden="false" customHeight="true" outlineLevel="0" collapsed="false">
      <c r="A3" s="749" t="n">
        <v>6</v>
      </c>
      <c r="B3" s="757" t="s">
        <v>411</v>
      </c>
      <c r="C3" s="758" t="e">
        <f aca="false">SUM(E410:AC410)</f>
        <v>#VALUE!</v>
      </c>
      <c r="E3" s="759" t="n">
        <f aca="false">+E599</f>
        <v>36891</v>
      </c>
      <c r="F3" s="759" t="n">
        <f aca="false">+F599</f>
        <v>37256</v>
      </c>
      <c r="G3" s="759" t="n">
        <f aca="false">+G599</f>
        <v>37621</v>
      </c>
      <c r="H3" s="760" t="n">
        <f aca="false">+H599</f>
        <v>37802</v>
      </c>
      <c r="I3" s="761" t="n">
        <f aca="false">+I283</f>
        <v>37986</v>
      </c>
      <c r="J3" s="762" t="n">
        <f aca="false">+YEAR(J283)</f>
        <v>2004</v>
      </c>
      <c r="K3" s="762" t="n">
        <f aca="false">+YEAR(K283)</f>
        <v>2005</v>
      </c>
      <c r="L3" s="762" t="n">
        <f aca="false">+YEAR(L283)</f>
        <v>2006</v>
      </c>
      <c r="M3" s="762" t="n">
        <f aca="false">+YEAR(M283)</f>
        <v>2007</v>
      </c>
      <c r="N3" s="762" t="n">
        <f aca="false">+YEAR(N283)</f>
        <v>2008</v>
      </c>
      <c r="O3" s="762" t="n">
        <f aca="false">+YEAR(O283)</f>
        <v>2009</v>
      </c>
      <c r="P3" s="762" t="n">
        <f aca="false">+YEAR(P283)</f>
        <v>2010</v>
      </c>
      <c r="Q3" s="762" t="n">
        <f aca="false">+YEAR(Q283)</f>
        <v>2011</v>
      </c>
      <c r="R3" s="762" t="n">
        <f aca="false">+YEAR(R283)</f>
        <v>2012</v>
      </c>
      <c r="S3" s="762" t="n">
        <f aca="false">+YEAR(S283)</f>
        <v>2013</v>
      </c>
      <c r="T3" s="762" t="n">
        <f aca="false">+YEAR(T283)</f>
        <v>2014</v>
      </c>
      <c r="U3" s="762" t="n">
        <f aca="false">+YEAR(U283)</f>
        <v>2015</v>
      </c>
      <c r="V3" s="762" t="n">
        <f aca="false">+YEAR(V283)</f>
        <v>2016</v>
      </c>
      <c r="W3" s="762" t="n">
        <f aca="false">+YEAR(W283)</f>
        <v>2017</v>
      </c>
      <c r="X3" s="762" t="n">
        <f aca="false">+YEAR(X283)</f>
        <v>2018</v>
      </c>
      <c r="Y3" s="762" t="n">
        <f aca="false">+YEAR(Y283)</f>
        <v>2019</v>
      </c>
      <c r="Z3" s="762" t="n">
        <f aca="false">+YEAR(Z283)</f>
        <v>2020</v>
      </c>
      <c r="AA3" s="762" t="n">
        <f aca="false">+YEAR(AA283)</f>
        <v>2021</v>
      </c>
      <c r="AB3" s="762" t="n">
        <f aca="false">+YEAR(AB283)</f>
        <v>2022</v>
      </c>
      <c r="AC3" s="762" t="n">
        <f aca="false">+YEAR(AC283)</f>
        <v>2023</v>
      </c>
      <c r="AD3" s="762" t="n">
        <f aca="false">+YEAR(AD283)</f>
        <v>2024</v>
      </c>
      <c r="AE3" s="762" t="n">
        <f aca="false">+YEAR(AE283)</f>
        <v>2025</v>
      </c>
      <c r="AF3" s="762" t="n">
        <f aca="false">+YEAR(AF283)</f>
        <v>2026</v>
      </c>
    </row>
    <row r="4" customFormat="false" ht="12" hidden="false" customHeight="false" outlineLevel="0" collapsed="false">
      <c r="A4" s="763" t="str">
        <f aca="false">+Template!A281</f>
        <v>Pastoria Energy Facility</v>
      </c>
      <c r="X4" s="764" t="n">
        <f aca="true">+NOW()</f>
        <v>45926.8867433978</v>
      </c>
    </row>
    <row r="5" customFormat="false" ht="11.25" hidden="false" customHeight="false" outlineLevel="0" collapsed="false">
      <c r="A5" s="765" t="str">
        <f aca="false">+Template!A282</f>
        <v>SCENARIO:    </v>
      </c>
      <c r="C5" s="766" t="str">
        <f aca="false">Assumptions!B5</f>
        <v>Henwood</v>
      </c>
      <c r="E5" s="767" t="str">
        <f aca="false">+Template!E282</f>
        <v>($ in</v>
      </c>
      <c r="F5" s="768" t="str">
        <f aca="false">+Template!F282</f>
        <v>Thousands</v>
      </c>
      <c r="G5" s="769" t="s">
        <v>639</v>
      </c>
      <c r="X5" s="770" t="str">
        <f aca="true">+CELL("filename",C5)</f>
        <v>'file:///mnt/12tb/@roms/datasets/enron/EDRM Enron Email Data Set v2 XML/filtered-attachments/xls/Pastoria_CFTejon8a_revised_21___750_MW.xls'#$Template</v>
      </c>
    </row>
    <row r="6" customFormat="false" ht="12" hidden="false" customHeight="false" outlineLevel="0" collapsed="false">
      <c r="E6" s="771"/>
    </row>
    <row r="7" customFormat="false" ht="12.75" hidden="false" customHeight="false" outlineLevel="0" collapsed="false">
      <c r="A7" s="772"/>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row>
    <row r="8" customFormat="false" ht="12.75" hidden="false" customHeight="false" outlineLevel="0" collapsed="false">
      <c r="A8" s="773" t="s">
        <v>640</v>
      </c>
      <c r="B8" s="774"/>
      <c r="C8" s="774"/>
      <c r="D8" s="774" t="s">
        <v>641</v>
      </c>
      <c r="E8" s="774"/>
      <c r="F8" s="774"/>
      <c r="G8" s="774"/>
      <c r="I8" s="775" t="n">
        <f aca="false">+I$3</f>
        <v>37986</v>
      </c>
      <c r="J8" s="776" t="n">
        <f aca="false">+J$3</f>
        <v>2004</v>
      </c>
      <c r="K8" s="776" t="n">
        <f aca="false">+K$3</f>
        <v>2005</v>
      </c>
      <c r="L8" s="776" t="n">
        <f aca="false">+L$3</f>
        <v>2006</v>
      </c>
      <c r="M8" s="776" t="n">
        <f aca="false">+M$3</f>
        <v>2007</v>
      </c>
      <c r="N8" s="776" t="n">
        <f aca="false">+N$3</f>
        <v>2008</v>
      </c>
      <c r="O8" s="776" t="n">
        <f aca="false">+O$3</f>
        <v>2009</v>
      </c>
      <c r="P8" s="776" t="n">
        <f aca="false">+P$3</f>
        <v>2010</v>
      </c>
      <c r="Q8" s="776" t="n">
        <f aca="false">+Q$3</f>
        <v>2011</v>
      </c>
      <c r="R8" s="776" t="n">
        <f aca="false">+R$3</f>
        <v>2012</v>
      </c>
      <c r="S8" s="776" t="n">
        <f aca="false">+S$3</f>
        <v>2013</v>
      </c>
      <c r="T8" s="776" t="n">
        <f aca="false">+T$3</f>
        <v>2014</v>
      </c>
      <c r="U8" s="776" t="n">
        <f aca="false">+U$3</f>
        <v>2015</v>
      </c>
      <c r="V8" s="776" t="n">
        <f aca="false">+V$3</f>
        <v>2016</v>
      </c>
      <c r="W8" s="776" t="n">
        <f aca="false">+W$3</f>
        <v>2017</v>
      </c>
      <c r="X8" s="776" t="n">
        <f aca="false">+X$3</f>
        <v>2018</v>
      </c>
      <c r="Y8" s="776" t="n">
        <f aca="false">+Y$3</f>
        <v>2019</v>
      </c>
      <c r="Z8" s="776" t="n">
        <f aca="false">+Z$3</f>
        <v>2020</v>
      </c>
      <c r="AA8" s="776" t="n">
        <f aca="false">+AA$3</f>
        <v>2021</v>
      </c>
      <c r="AB8" s="776" t="n">
        <f aca="false">+AB$3</f>
        <v>2022</v>
      </c>
      <c r="AC8" s="776" t="n">
        <f aca="false">+AC$3</f>
        <v>2023</v>
      </c>
      <c r="AD8" s="776" t="n">
        <f aca="false">+AD$3</f>
        <v>2024</v>
      </c>
      <c r="AE8" s="776" t="n">
        <f aca="false">+AE$3</f>
        <v>2025</v>
      </c>
      <c r="AF8" s="776" t="n">
        <f aca="false">+AF$3</f>
        <v>2026</v>
      </c>
    </row>
    <row r="9" customFormat="false" ht="12" hidden="false" customHeight="false" outlineLevel="0" collapsed="false">
      <c r="A9" s="777" t="s">
        <v>642</v>
      </c>
      <c r="B9" s="774"/>
      <c r="C9" s="774"/>
      <c r="D9" s="778" t="s">
        <v>643</v>
      </c>
      <c r="E9" s="774"/>
      <c r="F9" s="774"/>
      <c r="G9" s="774"/>
      <c r="I9" s="774"/>
      <c r="J9" s="774"/>
      <c r="K9" s="774"/>
      <c r="L9" s="774"/>
      <c r="M9" s="774"/>
      <c r="N9" s="774"/>
      <c r="O9" s="774"/>
      <c r="P9" s="774"/>
      <c r="Q9" s="774"/>
      <c r="R9" s="774"/>
      <c r="S9" s="774"/>
      <c r="T9" s="774"/>
      <c r="U9" s="774"/>
      <c r="V9" s="774"/>
      <c r="W9" s="774"/>
      <c r="X9" s="774"/>
      <c r="Y9" s="774"/>
      <c r="Z9" s="774"/>
      <c r="AA9" s="774"/>
      <c r="AB9" s="774"/>
      <c r="AC9" s="774"/>
      <c r="AD9" s="774"/>
      <c r="AE9" s="774"/>
      <c r="AF9" s="774"/>
    </row>
    <row r="10" customFormat="false" ht="11.25" hidden="false" customHeight="false" outlineLevel="0" collapsed="false">
      <c r="A10" s="774"/>
      <c r="B10" s="763" t="s">
        <v>644</v>
      </c>
      <c r="C10" s="779" t="s">
        <v>400</v>
      </c>
      <c r="D10" s="780" t="n">
        <f aca="false">SUM(I10:AC10)</f>
        <v>479637.116332</v>
      </c>
      <c r="E10" s="780"/>
      <c r="F10" s="780"/>
      <c r="G10" s="780"/>
      <c r="H10" s="781"/>
      <c r="I10" s="782" t="n">
        <f aca="false">Assumptions!$H$54+Debt!C8</f>
        <v>479637.116332</v>
      </c>
      <c r="J10" s="782" t="n">
        <f aca="false">+Debt!D8</f>
        <v>0</v>
      </c>
      <c r="K10" s="783" t="n">
        <f aca="false">+Debt!E8</f>
        <v>0</v>
      </c>
      <c r="L10" s="783" t="n">
        <f aca="false">+Debt!F8</f>
        <v>0</v>
      </c>
      <c r="M10" s="783" t="n">
        <f aca="false">+Debt!G8</f>
        <v>0</v>
      </c>
      <c r="N10" s="783" t="n">
        <f aca="false">+Debt!H8</f>
        <v>0</v>
      </c>
      <c r="O10" s="783" t="n">
        <f aca="false">+Debt!I8</f>
        <v>0</v>
      </c>
      <c r="P10" s="783" t="n">
        <f aca="false">+Debt!J8</f>
        <v>0</v>
      </c>
      <c r="Q10" s="783" t="n">
        <f aca="false">+Debt!K8</f>
        <v>0</v>
      </c>
      <c r="R10" s="783" t="n">
        <f aca="false">+Debt!L8</f>
        <v>0</v>
      </c>
      <c r="S10" s="783" t="n">
        <f aca="false">+Debt!M8</f>
        <v>0</v>
      </c>
      <c r="T10" s="783" t="n">
        <f aca="false">+Debt!N8</f>
        <v>0</v>
      </c>
      <c r="U10" s="783" t="n">
        <f aca="false">+Debt!O8</f>
        <v>0</v>
      </c>
      <c r="V10" s="783" t="n">
        <f aca="false">+Debt!P8</f>
        <v>0</v>
      </c>
      <c r="W10" s="783" t="n">
        <f aca="false">+Debt!Q8</f>
        <v>0</v>
      </c>
      <c r="X10" s="783" t="n">
        <f aca="false">+Debt!R8</f>
        <v>0</v>
      </c>
      <c r="Y10" s="783" t="n">
        <f aca="false">+Debt!S8</f>
        <v>0</v>
      </c>
      <c r="Z10" s="783" t="n">
        <f aca="false">+Debt!T8</f>
        <v>0</v>
      </c>
      <c r="AA10" s="783" t="n">
        <f aca="false">+Debt!U8</f>
        <v>0</v>
      </c>
      <c r="AB10" s="783" t="n">
        <f aca="false">+Debt!V8</f>
        <v>0</v>
      </c>
      <c r="AC10" s="783" t="n">
        <f aca="false">+Debt!W8</f>
        <v>0</v>
      </c>
      <c r="AD10" s="783" t="n">
        <f aca="false">+Debt!X8</f>
        <v>0</v>
      </c>
      <c r="AE10" s="783" t="n">
        <f aca="false">+Debt!Y8</f>
        <v>0</v>
      </c>
      <c r="AF10" s="783" t="n">
        <f aca="false">+Debt!Z8</f>
        <v>0</v>
      </c>
    </row>
    <row r="11" customFormat="false" ht="11.25" hidden="false" customHeight="false" outlineLevel="0" collapsed="false">
      <c r="A11" s="774"/>
      <c r="B11" s="763"/>
      <c r="C11" s="779" t="s">
        <v>645</v>
      </c>
      <c r="D11" s="780" t="n">
        <f aca="false">SUM(I11:AC11)</f>
        <v>0</v>
      </c>
      <c r="E11" s="780"/>
      <c r="F11" s="780"/>
      <c r="G11" s="780"/>
      <c r="H11" s="781"/>
      <c r="I11" s="782" t="n">
        <v>0</v>
      </c>
      <c r="J11" s="782" t="n">
        <v>0</v>
      </c>
      <c r="K11" s="782" t="n">
        <f aca="false">+Debt!E7</f>
        <v>0</v>
      </c>
      <c r="L11" s="782" t="n">
        <v>0</v>
      </c>
      <c r="M11" s="782" t="n">
        <v>0</v>
      </c>
      <c r="N11" s="782" t="n">
        <v>0</v>
      </c>
      <c r="O11" s="782" t="n">
        <v>0</v>
      </c>
      <c r="P11" s="782" t="n">
        <v>0</v>
      </c>
      <c r="Q11" s="782" t="n">
        <v>0</v>
      </c>
      <c r="R11" s="782" t="n">
        <v>0</v>
      </c>
      <c r="S11" s="782" t="n">
        <v>0</v>
      </c>
      <c r="T11" s="782" t="n">
        <v>0</v>
      </c>
      <c r="U11" s="782" t="n">
        <v>0</v>
      </c>
      <c r="V11" s="782" t="n">
        <v>0</v>
      </c>
      <c r="W11" s="782" t="n">
        <v>0</v>
      </c>
      <c r="X11" s="782" t="n">
        <v>0</v>
      </c>
      <c r="Y11" s="782" t="n">
        <v>0</v>
      </c>
      <c r="Z11" s="782" t="n">
        <v>0</v>
      </c>
      <c r="AA11" s="782" t="n">
        <v>0</v>
      </c>
      <c r="AB11" s="782" t="n">
        <v>0</v>
      </c>
      <c r="AC11" s="782" t="n">
        <v>0</v>
      </c>
      <c r="AD11" s="782" t="n">
        <v>0</v>
      </c>
      <c r="AE11" s="782" t="n">
        <v>0</v>
      </c>
      <c r="AF11" s="782" t="n">
        <v>0</v>
      </c>
    </row>
    <row r="12" customFormat="false" ht="11.25" hidden="true" customHeight="false" outlineLevel="1" collapsed="false">
      <c r="A12" s="774"/>
      <c r="C12" s="779" t="s">
        <v>646</v>
      </c>
      <c r="D12" s="780" t="n">
        <f aca="false">SUM(I12:AC12)</f>
        <v>0</v>
      </c>
      <c r="E12" s="780"/>
      <c r="F12" s="780"/>
      <c r="G12" s="780"/>
      <c r="H12" s="781"/>
      <c r="I12" s="782" t="n">
        <v>0</v>
      </c>
      <c r="J12" s="782" t="n">
        <v>0</v>
      </c>
      <c r="K12" s="782" t="n">
        <v>0</v>
      </c>
      <c r="L12" s="782" t="n">
        <v>0</v>
      </c>
      <c r="M12" s="782" t="n">
        <v>0</v>
      </c>
      <c r="N12" s="782" t="n">
        <v>0</v>
      </c>
      <c r="O12" s="782" t="n">
        <v>0</v>
      </c>
      <c r="P12" s="782" t="n">
        <v>0</v>
      </c>
      <c r="Q12" s="782" t="n">
        <v>0</v>
      </c>
      <c r="R12" s="782" t="n">
        <v>0</v>
      </c>
      <c r="S12" s="782" t="n">
        <v>0</v>
      </c>
      <c r="T12" s="782" t="n">
        <v>0</v>
      </c>
      <c r="U12" s="782" t="n">
        <v>0</v>
      </c>
      <c r="V12" s="782" t="n">
        <v>0</v>
      </c>
      <c r="W12" s="782" t="n">
        <v>0</v>
      </c>
      <c r="X12" s="782" t="n">
        <v>0</v>
      </c>
      <c r="Y12" s="782" t="n">
        <v>0</v>
      </c>
      <c r="Z12" s="782" t="n">
        <v>0</v>
      </c>
      <c r="AA12" s="782" t="n">
        <v>0</v>
      </c>
      <c r="AB12" s="782" t="n">
        <v>0</v>
      </c>
      <c r="AC12" s="782" t="n">
        <v>0</v>
      </c>
      <c r="AD12" s="782" t="n">
        <v>0</v>
      </c>
      <c r="AE12" s="782" t="n">
        <v>0</v>
      </c>
      <c r="AF12" s="782" t="n">
        <v>0</v>
      </c>
    </row>
    <row r="13" customFormat="false" ht="11.25" hidden="true" customHeight="false" outlineLevel="1" collapsed="false">
      <c r="A13" s="774"/>
      <c r="C13" s="779" t="s">
        <v>647</v>
      </c>
      <c r="D13" s="780" t="n">
        <f aca="false">SUM(I13:AC13)</f>
        <v>0</v>
      </c>
      <c r="E13" s="780"/>
      <c r="F13" s="780"/>
      <c r="G13" s="780"/>
      <c r="H13" s="781"/>
      <c r="I13" s="782" t="n">
        <v>0</v>
      </c>
      <c r="J13" s="782" t="n">
        <v>0</v>
      </c>
      <c r="K13" s="782" t="n">
        <v>0</v>
      </c>
      <c r="L13" s="782" t="n">
        <v>0</v>
      </c>
      <c r="M13" s="782" t="n">
        <v>0</v>
      </c>
      <c r="N13" s="782" t="n">
        <v>0</v>
      </c>
      <c r="O13" s="782" t="n">
        <v>0</v>
      </c>
      <c r="P13" s="782" t="n">
        <v>0</v>
      </c>
      <c r="Q13" s="782" t="n">
        <v>0</v>
      </c>
      <c r="R13" s="782" t="n">
        <v>0</v>
      </c>
      <c r="S13" s="782" t="n">
        <v>0</v>
      </c>
      <c r="T13" s="782" t="n">
        <v>0</v>
      </c>
      <c r="U13" s="782" t="n">
        <v>0</v>
      </c>
      <c r="V13" s="782" t="n">
        <v>0</v>
      </c>
      <c r="W13" s="782" t="n">
        <v>0</v>
      </c>
      <c r="X13" s="782" t="n">
        <v>0</v>
      </c>
      <c r="Y13" s="782" t="n">
        <v>0</v>
      </c>
      <c r="Z13" s="782" t="n">
        <v>0</v>
      </c>
      <c r="AA13" s="782" t="n">
        <v>0</v>
      </c>
      <c r="AB13" s="782" t="n">
        <v>0</v>
      </c>
      <c r="AC13" s="782" t="n">
        <v>0</v>
      </c>
      <c r="AD13" s="782" t="n">
        <v>0</v>
      </c>
      <c r="AE13" s="782" t="n">
        <v>0</v>
      </c>
      <c r="AF13" s="782" t="n">
        <v>0</v>
      </c>
    </row>
    <row r="14" customFormat="false" ht="11.25" hidden="true" customHeight="false" outlineLevel="1" collapsed="false">
      <c r="A14" s="774"/>
      <c r="C14" s="779" t="s">
        <v>648</v>
      </c>
      <c r="D14" s="784" t="n">
        <f aca="false">SUM(I14:AC14)</f>
        <v>0</v>
      </c>
      <c r="E14" s="780"/>
      <c r="F14" s="780"/>
      <c r="G14" s="780"/>
      <c r="H14" s="781"/>
      <c r="I14" s="782" t="n">
        <v>0</v>
      </c>
      <c r="J14" s="782" t="n">
        <v>0</v>
      </c>
      <c r="K14" s="782" t="n">
        <v>0</v>
      </c>
      <c r="L14" s="782" t="n">
        <v>0</v>
      </c>
      <c r="M14" s="782" t="n">
        <v>0</v>
      </c>
      <c r="N14" s="782" t="n">
        <v>0</v>
      </c>
      <c r="O14" s="782" t="n">
        <v>0</v>
      </c>
      <c r="P14" s="782" t="n">
        <v>0</v>
      </c>
      <c r="Q14" s="782" t="n">
        <v>0</v>
      </c>
      <c r="R14" s="782" t="n">
        <v>0</v>
      </c>
      <c r="S14" s="782" t="n">
        <v>0</v>
      </c>
      <c r="T14" s="782" t="n">
        <v>0</v>
      </c>
      <c r="U14" s="782" t="n">
        <v>0</v>
      </c>
      <c r="V14" s="782" t="n">
        <v>0</v>
      </c>
      <c r="W14" s="782" t="n">
        <v>0</v>
      </c>
      <c r="X14" s="782" t="n">
        <v>0</v>
      </c>
      <c r="Y14" s="782" t="n">
        <v>0</v>
      </c>
      <c r="Z14" s="782" t="n">
        <v>0</v>
      </c>
      <c r="AA14" s="782" t="n">
        <v>0</v>
      </c>
      <c r="AB14" s="782" t="n">
        <v>0</v>
      </c>
      <c r="AC14" s="782" t="n">
        <v>0</v>
      </c>
      <c r="AD14" s="782" t="n">
        <v>0</v>
      </c>
      <c r="AE14" s="782" t="n">
        <v>0</v>
      </c>
      <c r="AF14" s="782" t="n">
        <v>0</v>
      </c>
    </row>
    <row r="15" customFormat="false" ht="11.25" hidden="true" customHeight="false" outlineLevel="1" collapsed="false">
      <c r="A15" s="774"/>
      <c r="C15" s="779" t="s">
        <v>649</v>
      </c>
      <c r="D15" s="784" t="n">
        <f aca="false">SUM(I15:AC15)</f>
        <v>0</v>
      </c>
      <c r="E15" s="780"/>
      <c r="F15" s="780"/>
      <c r="G15" s="780"/>
      <c r="H15" s="781"/>
      <c r="I15" s="782" t="n">
        <v>0</v>
      </c>
      <c r="J15" s="782" t="n">
        <v>0</v>
      </c>
      <c r="K15" s="782" t="n">
        <v>0</v>
      </c>
      <c r="L15" s="782" t="n">
        <v>0</v>
      </c>
      <c r="M15" s="782" t="n">
        <v>0</v>
      </c>
      <c r="N15" s="782" t="n">
        <v>0</v>
      </c>
      <c r="O15" s="782" t="n">
        <v>0</v>
      </c>
      <c r="P15" s="782" t="n">
        <v>0</v>
      </c>
      <c r="Q15" s="782" t="n">
        <v>0</v>
      </c>
      <c r="R15" s="782" t="n">
        <v>0</v>
      </c>
      <c r="S15" s="782" t="n">
        <v>0</v>
      </c>
      <c r="T15" s="782" t="n">
        <v>0</v>
      </c>
      <c r="U15" s="782" t="n">
        <v>0</v>
      </c>
      <c r="V15" s="782" t="n">
        <v>0</v>
      </c>
      <c r="W15" s="782" t="n">
        <v>0</v>
      </c>
      <c r="X15" s="782" t="n">
        <v>0</v>
      </c>
      <c r="Y15" s="782" t="n">
        <v>0</v>
      </c>
      <c r="Z15" s="782" t="n">
        <v>0</v>
      </c>
      <c r="AA15" s="782" t="n">
        <v>0</v>
      </c>
      <c r="AB15" s="782" t="n">
        <v>0</v>
      </c>
      <c r="AC15" s="782" t="n">
        <v>0</v>
      </c>
      <c r="AD15" s="782" t="n">
        <v>0</v>
      </c>
      <c r="AE15" s="782" t="n">
        <v>0</v>
      </c>
      <c r="AF15" s="782" t="n">
        <v>0</v>
      </c>
    </row>
    <row r="16" customFormat="false" ht="11.25" hidden="true" customHeight="false" outlineLevel="1" collapsed="false">
      <c r="A16" s="774"/>
      <c r="C16" s="779" t="s">
        <v>650</v>
      </c>
      <c r="D16" s="784" t="n">
        <f aca="false">SUM(I16:AC16)</f>
        <v>0</v>
      </c>
      <c r="E16" s="780"/>
      <c r="F16" s="780"/>
      <c r="G16" s="780"/>
      <c r="H16" s="781"/>
      <c r="I16" s="782" t="n">
        <v>0</v>
      </c>
      <c r="J16" s="782" t="n">
        <v>0</v>
      </c>
      <c r="K16" s="782" t="n">
        <v>0</v>
      </c>
      <c r="L16" s="782" t="n">
        <v>0</v>
      </c>
      <c r="M16" s="782" t="n">
        <v>0</v>
      </c>
      <c r="N16" s="782" t="n">
        <v>0</v>
      </c>
      <c r="O16" s="782" t="n">
        <v>0</v>
      </c>
      <c r="P16" s="782" t="n">
        <v>0</v>
      </c>
      <c r="Q16" s="782" t="n">
        <v>0</v>
      </c>
      <c r="R16" s="782" t="n">
        <v>0</v>
      </c>
      <c r="S16" s="782" t="n">
        <v>0</v>
      </c>
      <c r="T16" s="782" t="n">
        <v>0</v>
      </c>
      <c r="U16" s="782" t="n">
        <v>0</v>
      </c>
      <c r="V16" s="782" t="n">
        <v>0</v>
      </c>
      <c r="W16" s="782" t="n">
        <v>0</v>
      </c>
      <c r="X16" s="782" t="n">
        <v>0</v>
      </c>
      <c r="Y16" s="782" t="n">
        <v>0</v>
      </c>
      <c r="Z16" s="782" t="n">
        <v>0</v>
      </c>
      <c r="AA16" s="782" t="n">
        <v>0</v>
      </c>
      <c r="AB16" s="782" t="n">
        <v>0</v>
      </c>
      <c r="AC16" s="782" t="n">
        <v>0</v>
      </c>
      <c r="AD16" s="782" t="n">
        <v>0</v>
      </c>
      <c r="AE16" s="782" t="n">
        <v>0</v>
      </c>
      <c r="AF16" s="782" t="n">
        <v>0</v>
      </c>
    </row>
    <row r="17" customFormat="false" ht="11.25" hidden="true" customHeight="false" outlineLevel="1" collapsed="false">
      <c r="A17" s="774"/>
      <c r="C17" s="779" t="s">
        <v>651</v>
      </c>
      <c r="D17" s="784" t="n">
        <f aca="false">SUM(I17:AC17)</f>
        <v>0</v>
      </c>
      <c r="E17" s="780"/>
      <c r="F17" s="780"/>
      <c r="G17" s="780"/>
      <c r="H17" s="781"/>
      <c r="I17" s="782" t="n">
        <v>0</v>
      </c>
      <c r="J17" s="782" t="n">
        <v>0</v>
      </c>
      <c r="K17" s="782" t="n">
        <v>0</v>
      </c>
      <c r="L17" s="782" t="n">
        <v>0</v>
      </c>
      <c r="M17" s="782" t="n">
        <v>0</v>
      </c>
      <c r="N17" s="782" t="n">
        <v>0</v>
      </c>
      <c r="O17" s="782" t="n">
        <v>0</v>
      </c>
      <c r="P17" s="782" t="n">
        <v>0</v>
      </c>
      <c r="Q17" s="782" t="n">
        <v>0</v>
      </c>
      <c r="R17" s="782" t="n">
        <v>0</v>
      </c>
      <c r="S17" s="782" t="n">
        <v>0</v>
      </c>
      <c r="T17" s="782" t="n">
        <v>0</v>
      </c>
      <c r="U17" s="782" t="n">
        <v>0</v>
      </c>
      <c r="V17" s="782" t="n">
        <v>0</v>
      </c>
      <c r="W17" s="782" t="n">
        <v>0</v>
      </c>
      <c r="X17" s="782" t="n">
        <v>0</v>
      </c>
      <c r="Y17" s="782" t="n">
        <v>0</v>
      </c>
      <c r="Z17" s="782" t="n">
        <v>0</v>
      </c>
      <c r="AA17" s="782" t="n">
        <v>0</v>
      </c>
      <c r="AB17" s="782" t="n">
        <v>0</v>
      </c>
      <c r="AC17" s="782" t="n">
        <v>0</v>
      </c>
      <c r="AD17" s="782" t="n">
        <v>0</v>
      </c>
      <c r="AE17" s="782" t="n">
        <v>0</v>
      </c>
      <c r="AF17" s="782" t="n">
        <v>0</v>
      </c>
    </row>
    <row r="18" customFormat="false" ht="11.25" hidden="true" customHeight="false" outlineLevel="1" collapsed="false">
      <c r="A18" s="774"/>
      <c r="C18" s="779" t="s">
        <v>652</v>
      </c>
      <c r="D18" s="784" t="n">
        <f aca="false">SUM(I18:AC18)</f>
        <v>0</v>
      </c>
      <c r="E18" s="780"/>
      <c r="F18" s="780"/>
      <c r="G18" s="780"/>
      <c r="H18" s="781"/>
      <c r="I18" s="782" t="n">
        <v>0</v>
      </c>
      <c r="J18" s="782" t="n">
        <v>0</v>
      </c>
      <c r="K18" s="782" t="n">
        <v>0</v>
      </c>
      <c r="L18" s="782" t="n">
        <v>0</v>
      </c>
      <c r="M18" s="782" t="n">
        <v>0</v>
      </c>
      <c r="N18" s="782" t="n">
        <v>0</v>
      </c>
      <c r="O18" s="782" t="n">
        <v>0</v>
      </c>
      <c r="P18" s="782" t="n">
        <v>0</v>
      </c>
      <c r="Q18" s="782" t="n">
        <v>0</v>
      </c>
      <c r="R18" s="782" t="n">
        <v>0</v>
      </c>
      <c r="S18" s="782" t="n">
        <v>0</v>
      </c>
      <c r="T18" s="782" t="n">
        <v>0</v>
      </c>
      <c r="U18" s="782" t="n">
        <v>0</v>
      </c>
      <c r="V18" s="782" t="n">
        <v>0</v>
      </c>
      <c r="W18" s="782" t="n">
        <v>0</v>
      </c>
      <c r="X18" s="782" t="n">
        <v>0</v>
      </c>
      <c r="Y18" s="782" t="n">
        <v>0</v>
      </c>
      <c r="Z18" s="782" t="n">
        <v>0</v>
      </c>
      <c r="AA18" s="782" t="n">
        <v>0</v>
      </c>
      <c r="AB18" s="782" t="n">
        <v>0</v>
      </c>
      <c r="AC18" s="782" t="n">
        <v>0</v>
      </c>
      <c r="AD18" s="782" t="n">
        <v>0</v>
      </c>
      <c r="AE18" s="782" t="n">
        <v>0</v>
      </c>
      <c r="AF18" s="782" t="n">
        <v>0</v>
      </c>
    </row>
    <row r="19" customFormat="false" ht="11.25" hidden="true" customHeight="false" outlineLevel="1" collapsed="false">
      <c r="A19" s="774"/>
      <c r="C19" s="779" t="s">
        <v>653</v>
      </c>
      <c r="D19" s="785" t="n">
        <f aca="false">SUM(I19:AC19)</f>
        <v>0</v>
      </c>
      <c r="E19" s="780"/>
      <c r="F19" s="780"/>
      <c r="G19" s="780"/>
      <c r="H19" s="781"/>
      <c r="I19" s="786" t="n">
        <v>0</v>
      </c>
      <c r="J19" s="786" t="n">
        <v>0</v>
      </c>
      <c r="K19" s="786" t="n">
        <v>0</v>
      </c>
      <c r="L19" s="786" t="n">
        <v>0</v>
      </c>
      <c r="M19" s="786" t="n">
        <v>0</v>
      </c>
      <c r="N19" s="786" t="n">
        <v>0</v>
      </c>
      <c r="O19" s="786" t="n">
        <v>0</v>
      </c>
      <c r="P19" s="786" t="n">
        <v>0</v>
      </c>
      <c r="Q19" s="786" t="n">
        <v>0</v>
      </c>
      <c r="R19" s="786" t="n">
        <v>0</v>
      </c>
      <c r="S19" s="786" t="n">
        <v>0</v>
      </c>
      <c r="T19" s="786" t="n">
        <v>0</v>
      </c>
      <c r="U19" s="786" t="n">
        <v>0</v>
      </c>
      <c r="V19" s="786" t="n">
        <v>0</v>
      </c>
      <c r="W19" s="786" t="n">
        <v>0</v>
      </c>
      <c r="X19" s="786" t="n">
        <v>0</v>
      </c>
      <c r="Y19" s="786" t="n">
        <v>0</v>
      </c>
      <c r="Z19" s="786" t="n">
        <v>0</v>
      </c>
      <c r="AA19" s="786" t="n">
        <v>0</v>
      </c>
      <c r="AB19" s="786" t="n">
        <v>0</v>
      </c>
      <c r="AC19" s="786" t="n">
        <v>0</v>
      </c>
      <c r="AD19" s="786" t="n">
        <v>0</v>
      </c>
      <c r="AE19" s="786" t="n">
        <v>0</v>
      </c>
      <c r="AF19" s="786" t="n">
        <v>0</v>
      </c>
    </row>
    <row r="20" customFormat="false" ht="11.25" hidden="false" customHeight="false" outlineLevel="0" collapsed="false">
      <c r="A20" s="774"/>
      <c r="C20" s="787" t="s">
        <v>654</v>
      </c>
      <c r="D20" s="780" t="n">
        <f aca="false">SUM(D10:D19)</f>
        <v>479637.116332</v>
      </c>
      <c r="E20" s="782" t="n">
        <v>0</v>
      </c>
      <c r="F20" s="782" t="n">
        <v>0</v>
      </c>
      <c r="G20" s="782" t="n">
        <v>0</v>
      </c>
      <c r="H20" s="788" t="n">
        <v>0</v>
      </c>
      <c r="I20" s="780" t="n">
        <f aca="false">SUM(I10:I19)</f>
        <v>479637.116332</v>
      </c>
      <c r="J20" s="780" t="n">
        <f aca="false">SUM(J10:J19)</f>
        <v>0</v>
      </c>
      <c r="K20" s="780" t="n">
        <f aca="false">SUM(K10:K19)</f>
        <v>0</v>
      </c>
      <c r="L20" s="780" t="n">
        <f aca="false">SUM(L10:L19)</f>
        <v>0</v>
      </c>
      <c r="M20" s="780" t="n">
        <f aca="false">SUM(M10:M19)</f>
        <v>0</v>
      </c>
      <c r="N20" s="780" t="n">
        <f aca="false">SUM(N10:N19)</f>
        <v>0</v>
      </c>
      <c r="O20" s="780" t="n">
        <f aca="false">SUM(O10:O19)</f>
        <v>0</v>
      </c>
      <c r="P20" s="780" t="n">
        <f aca="false">SUM(P10:P19)</f>
        <v>0</v>
      </c>
      <c r="Q20" s="780" t="n">
        <f aca="false">SUM(Q10:Q19)</f>
        <v>0</v>
      </c>
      <c r="R20" s="780" t="n">
        <f aca="false">SUM(R10:R19)</f>
        <v>0</v>
      </c>
      <c r="S20" s="780" t="n">
        <f aca="false">SUM(S10:S19)</f>
        <v>0</v>
      </c>
      <c r="T20" s="780" t="n">
        <f aca="false">SUM(T10:T19)</f>
        <v>0</v>
      </c>
      <c r="U20" s="780" t="n">
        <f aca="false">SUM(U10:U19)</f>
        <v>0</v>
      </c>
      <c r="V20" s="780" t="n">
        <f aca="false">SUM(V10:V19)</f>
        <v>0</v>
      </c>
      <c r="W20" s="780" t="n">
        <f aca="false">SUM(W10:W19)</f>
        <v>0</v>
      </c>
      <c r="X20" s="780" t="n">
        <f aca="false">SUM(X10:X19)</f>
        <v>0</v>
      </c>
      <c r="Y20" s="780" t="n">
        <f aca="false">SUM(Y10:Y19)</f>
        <v>0</v>
      </c>
      <c r="Z20" s="780" t="n">
        <f aca="false">SUM(Z10:Z19)</f>
        <v>0</v>
      </c>
      <c r="AA20" s="780" t="n">
        <f aca="false">SUM(AA10:AA19)</f>
        <v>0</v>
      </c>
      <c r="AB20" s="780" t="n">
        <f aca="false">SUM(AB10:AB19)</f>
        <v>0</v>
      </c>
      <c r="AC20" s="780" t="n">
        <f aca="false">SUM(AC10:AC19)</f>
        <v>0</v>
      </c>
      <c r="AD20" s="780" t="n">
        <f aca="false">SUM(AD10:AD19)</f>
        <v>0</v>
      </c>
      <c r="AE20" s="780" t="n">
        <f aca="false">SUM(AE10:AE19)</f>
        <v>0</v>
      </c>
      <c r="AF20" s="780" t="n">
        <f aca="false">SUM(AF10:AF19)</f>
        <v>0</v>
      </c>
    </row>
    <row r="21" customFormat="false" ht="11.25" hidden="false" customHeight="false" outlineLevel="0" collapsed="false">
      <c r="A21" s="774"/>
      <c r="C21" s="787"/>
      <c r="D21" s="780"/>
      <c r="E21" s="780"/>
      <c r="F21" s="780"/>
      <c r="G21" s="780"/>
      <c r="H21" s="781"/>
      <c r="I21" s="780"/>
      <c r="J21" s="780"/>
      <c r="K21" s="780"/>
      <c r="L21" s="780"/>
      <c r="M21" s="780"/>
      <c r="N21" s="780"/>
      <c r="O21" s="780"/>
      <c r="P21" s="780"/>
      <c r="Q21" s="780"/>
      <c r="R21" s="780"/>
      <c r="S21" s="780"/>
      <c r="T21" s="780"/>
      <c r="U21" s="780"/>
      <c r="V21" s="780"/>
      <c r="W21" s="780"/>
      <c r="X21" s="780"/>
      <c r="Y21" s="780"/>
      <c r="Z21" s="780"/>
      <c r="AA21" s="780"/>
      <c r="AB21" s="780"/>
      <c r="AC21" s="780"/>
      <c r="AD21" s="780"/>
      <c r="AE21" s="780"/>
      <c r="AF21" s="780"/>
    </row>
    <row r="22" customFormat="false" ht="11.25" hidden="false" customHeight="false" outlineLevel="0" collapsed="false">
      <c r="A22" s="789" t="s">
        <v>655</v>
      </c>
      <c r="C22" s="787"/>
      <c r="D22" s="780"/>
      <c r="E22" s="780"/>
      <c r="F22" s="780"/>
      <c r="G22" s="780"/>
      <c r="H22" s="781"/>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row>
    <row r="23" customFormat="false" ht="11.25" hidden="false" customHeight="false" outlineLevel="0" collapsed="false">
      <c r="A23" s="346"/>
      <c r="B23" s="346"/>
      <c r="C23" s="779" t="s">
        <v>656</v>
      </c>
      <c r="D23" s="780" t="n">
        <f aca="false">SUM(I23:AC23)</f>
        <v>48563.258028615</v>
      </c>
      <c r="E23" s="780"/>
      <c r="F23" s="780"/>
      <c r="G23" s="780"/>
      <c r="H23" s="781"/>
      <c r="I23" s="782" t="n">
        <f aca="false">Debt!H22</f>
        <v>48563.258028615</v>
      </c>
      <c r="J23" s="782" t="n">
        <v>0</v>
      </c>
      <c r="K23" s="782" t="n">
        <v>0</v>
      </c>
      <c r="L23" s="782" t="n">
        <v>0</v>
      </c>
      <c r="M23" s="782" t="n">
        <v>0</v>
      </c>
      <c r="N23" s="782" t="n">
        <v>0</v>
      </c>
      <c r="O23" s="782" t="n">
        <v>0</v>
      </c>
      <c r="P23" s="782" t="n">
        <v>0</v>
      </c>
      <c r="Q23" s="782" t="n">
        <v>0</v>
      </c>
      <c r="R23" s="782" t="n">
        <v>0</v>
      </c>
      <c r="S23" s="782" t="n">
        <v>0</v>
      </c>
      <c r="T23" s="782" t="n">
        <v>0</v>
      </c>
      <c r="U23" s="782" t="n">
        <v>0</v>
      </c>
      <c r="V23" s="782" t="n">
        <v>0</v>
      </c>
      <c r="W23" s="782" t="n">
        <v>0</v>
      </c>
      <c r="X23" s="782" t="n">
        <v>0</v>
      </c>
      <c r="Y23" s="782" t="n">
        <v>0</v>
      </c>
      <c r="Z23" s="782" t="n">
        <v>0</v>
      </c>
      <c r="AA23" s="782" t="n">
        <v>0</v>
      </c>
      <c r="AB23" s="782" t="n">
        <v>0</v>
      </c>
      <c r="AC23" s="782" t="n">
        <v>0</v>
      </c>
      <c r="AD23" s="782" t="n">
        <v>0</v>
      </c>
      <c r="AE23" s="782" t="n">
        <v>0</v>
      </c>
      <c r="AF23" s="782" t="n">
        <v>0</v>
      </c>
    </row>
    <row r="24" customFormat="false" ht="11.25" hidden="true" customHeight="false" outlineLevel="1" collapsed="false">
      <c r="A24" s="770" t="s">
        <v>657</v>
      </c>
      <c r="B24" s="790" t="n">
        <v>0.13</v>
      </c>
      <c r="C24" s="791" t="s">
        <v>658</v>
      </c>
      <c r="D24" s="785" t="n">
        <f aca="false">SUM(I24:AC24)</f>
        <v>0</v>
      </c>
      <c r="E24" s="780"/>
      <c r="F24" s="780"/>
      <c r="G24" s="780"/>
      <c r="H24" s="781"/>
      <c r="I24" s="786" t="n">
        <v>0</v>
      </c>
      <c r="J24" s="786" t="n">
        <v>0</v>
      </c>
      <c r="K24" s="786" t="n">
        <v>0</v>
      </c>
      <c r="L24" s="786" t="n">
        <v>0</v>
      </c>
      <c r="M24" s="786" t="n">
        <v>0</v>
      </c>
      <c r="N24" s="786" t="n">
        <v>0</v>
      </c>
      <c r="O24" s="786" t="n">
        <v>0</v>
      </c>
      <c r="P24" s="786" t="n">
        <v>0</v>
      </c>
      <c r="Q24" s="786" t="n">
        <v>0</v>
      </c>
      <c r="R24" s="786" t="n">
        <v>0</v>
      </c>
      <c r="S24" s="786" t="n">
        <v>0</v>
      </c>
      <c r="T24" s="786" t="n">
        <v>0</v>
      </c>
      <c r="U24" s="786" t="n">
        <v>0</v>
      </c>
      <c r="V24" s="786" t="n">
        <v>0</v>
      </c>
      <c r="W24" s="786" t="n">
        <v>0</v>
      </c>
      <c r="X24" s="786" t="n">
        <v>0</v>
      </c>
      <c r="Y24" s="786" t="n">
        <v>0</v>
      </c>
      <c r="Z24" s="786" t="n">
        <v>0</v>
      </c>
      <c r="AA24" s="786" t="n">
        <v>0</v>
      </c>
      <c r="AB24" s="786" t="n">
        <v>0</v>
      </c>
      <c r="AC24" s="786" t="n">
        <v>0</v>
      </c>
      <c r="AD24" s="786" t="n">
        <v>0</v>
      </c>
      <c r="AE24" s="786" t="n">
        <v>0</v>
      </c>
      <c r="AF24" s="786" t="n">
        <v>0</v>
      </c>
    </row>
    <row r="25" customFormat="false" ht="11.25" hidden="false" customHeight="false" outlineLevel="0" collapsed="false">
      <c r="A25" s="792"/>
      <c r="C25" s="787" t="s">
        <v>659</v>
      </c>
      <c r="D25" s="784" t="n">
        <f aca="false">SUM(D23:D24)</f>
        <v>48563.258028615</v>
      </c>
      <c r="E25" s="782" t="n">
        <v>0</v>
      </c>
      <c r="F25" s="782" t="n">
        <v>0</v>
      </c>
      <c r="G25" s="782" t="n">
        <v>0</v>
      </c>
      <c r="H25" s="788" t="n">
        <v>0</v>
      </c>
      <c r="I25" s="784" t="n">
        <f aca="false">SUM(I23:I24)</f>
        <v>48563.258028615</v>
      </c>
      <c r="J25" s="784" t="n">
        <f aca="false">SUM(J23:J24)</f>
        <v>0</v>
      </c>
      <c r="K25" s="784" t="n">
        <f aca="false">SUM(K23:K24)</f>
        <v>0</v>
      </c>
      <c r="L25" s="784" t="n">
        <f aca="false">SUM(L23:L24)</f>
        <v>0</v>
      </c>
      <c r="M25" s="784" t="n">
        <f aca="false">SUM(M23:M24)</f>
        <v>0</v>
      </c>
      <c r="N25" s="784" t="n">
        <f aca="false">SUM(N23:N24)</f>
        <v>0</v>
      </c>
      <c r="O25" s="784" t="n">
        <f aca="false">SUM(O23:O24)</f>
        <v>0</v>
      </c>
      <c r="P25" s="784" t="n">
        <f aca="false">SUM(P23:P24)</f>
        <v>0</v>
      </c>
      <c r="Q25" s="784" t="n">
        <f aca="false">SUM(Q23:Q24)</f>
        <v>0</v>
      </c>
      <c r="R25" s="784" t="n">
        <f aca="false">SUM(R23:R24)</f>
        <v>0</v>
      </c>
      <c r="S25" s="784" t="n">
        <f aca="false">SUM(S23:S24)</f>
        <v>0</v>
      </c>
      <c r="T25" s="784" t="n">
        <f aca="false">SUM(T23:T24)</f>
        <v>0</v>
      </c>
      <c r="U25" s="784" t="n">
        <f aca="false">SUM(U23:U24)</f>
        <v>0</v>
      </c>
      <c r="V25" s="784" t="n">
        <f aca="false">SUM(V23:V24)</f>
        <v>0</v>
      </c>
      <c r="W25" s="784" t="n">
        <f aca="false">SUM(W23:W24)</f>
        <v>0</v>
      </c>
      <c r="X25" s="784" t="n">
        <f aca="false">SUM(X23:X24)</f>
        <v>0</v>
      </c>
      <c r="Y25" s="784" t="n">
        <f aca="false">SUM(Y23:Y24)</f>
        <v>0</v>
      </c>
      <c r="Z25" s="784" t="n">
        <f aca="false">SUM(Z23:Z24)</f>
        <v>0</v>
      </c>
      <c r="AA25" s="784" t="n">
        <f aca="false">SUM(AA23:AA24)</f>
        <v>0</v>
      </c>
      <c r="AB25" s="784" t="n">
        <f aca="false">SUM(AB23:AB24)</f>
        <v>0</v>
      </c>
      <c r="AC25" s="784" t="n">
        <f aca="false">SUM(AC23:AC24)</f>
        <v>0</v>
      </c>
      <c r="AD25" s="784" t="n">
        <f aca="false">SUM(AD23:AD24)</f>
        <v>0</v>
      </c>
      <c r="AE25" s="784" t="n">
        <f aca="false">SUM(AE23:AE24)</f>
        <v>0</v>
      </c>
      <c r="AF25" s="784" t="n">
        <f aca="false">SUM(AF23:AF24)</f>
        <v>0</v>
      </c>
    </row>
    <row r="26" customFormat="false" ht="11.25" hidden="false" customHeight="false" outlineLevel="0" collapsed="false">
      <c r="A26" s="792"/>
      <c r="B26" s="787"/>
      <c r="C26" s="774"/>
      <c r="D26" s="780"/>
      <c r="E26" s="780"/>
      <c r="F26" s="780"/>
      <c r="G26" s="780"/>
      <c r="H26" s="781"/>
      <c r="I26" s="782"/>
      <c r="J26" s="782"/>
      <c r="K26" s="782"/>
      <c r="L26" s="782"/>
      <c r="M26" s="782"/>
      <c r="N26" s="782"/>
      <c r="O26" s="782"/>
      <c r="P26" s="782"/>
      <c r="Q26" s="782"/>
      <c r="R26" s="782"/>
      <c r="S26" s="782"/>
      <c r="T26" s="782"/>
      <c r="U26" s="782"/>
      <c r="V26" s="782"/>
      <c r="W26" s="782"/>
      <c r="X26" s="782"/>
      <c r="Y26" s="782"/>
      <c r="Z26" s="782"/>
      <c r="AA26" s="782"/>
      <c r="AB26" s="782"/>
      <c r="AC26" s="782"/>
      <c r="AD26" s="782"/>
      <c r="AE26" s="782"/>
      <c r="AF26" s="782"/>
    </row>
    <row r="27" customFormat="false" ht="11.25" hidden="false" customHeight="false" outlineLevel="0" collapsed="false">
      <c r="A27" s="789" t="s">
        <v>660</v>
      </c>
      <c r="B27" s="787"/>
      <c r="C27" s="774"/>
      <c r="D27" s="780" t="n">
        <f aca="false">SUM(I27:AC27)</f>
        <v>0</v>
      </c>
      <c r="E27" s="782" t="n">
        <v>0</v>
      </c>
      <c r="F27" s="782" t="n">
        <v>0</v>
      </c>
      <c r="G27" s="782" t="n">
        <v>0</v>
      </c>
      <c r="H27" s="788" t="n">
        <v>0</v>
      </c>
      <c r="I27" s="782" t="n">
        <v>0</v>
      </c>
      <c r="J27" s="782" t="n">
        <v>0</v>
      </c>
      <c r="K27" s="782" t="n">
        <v>0</v>
      </c>
      <c r="L27" s="782" t="n">
        <v>0</v>
      </c>
      <c r="M27" s="782" t="n">
        <v>0</v>
      </c>
      <c r="N27" s="782" t="n">
        <v>0</v>
      </c>
      <c r="O27" s="782" t="n">
        <v>0</v>
      </c>
      <c r="P27" s="782" t="n">
        <v>0</v>
      </c>
      <c r="Q27" s="782" t="n">
        <v>0</v>
      </c>
      <c r="R27" s="782" t="n">
        <v>0</v>
      </c>
      <c r="S27" s="782" t="n">
        <v>0</v>
      </c>
      <c r="T27" s="782" t="n">
        <v>0</v>
      </c>
      <c r="U27" s="782" t="n">
        <v>0</v>
      </c>
      <c r="V27" s="782" t="n">
        <v>0</v>
      </c>
      <c r="W27" s="782" t="n">
        <v>0</v>
      </c>
      <c r="X27" s="782" t="n">
        <v>0</v>
      </c>
      <c r="Y27" s="782" t="n">
        <v>0</v>
      </c>
      <c r="Z27" s="782" t="n">
        <v>0</v>
      </c>
      <c r="AA27" s="782" t="n">
        <v>0</v>
      </c>
      <c r="AB27" s="782" t="n">
        <v>0</v>
      </c>
      <c r="AC27" s="782" t="n">
        <v>0</v>
      </c>
      <c r="AD27" s="782" t="n">
        <v>0</v>
      </c>
      <c r="AE27" s="782" t="n">
        <v>0</v>
      </c>
      <c r="AF27" s="782" t="n">
        <v>0</v>
      </c>
    </row>
    <row r="28" customFormat="false" ht="11.25" hidden="false" customHeight="false" outlineLevel="0" collapsed="false">
      <c r="A28" s="792"/>
      <c r="B28" s="787"/>
      <c r="C28" s="774"/>
      <c r="D28" s="780"/>
      <c r="E28" s="780"/>
      <c r="F28" s="780"/>
      <c r="G28" s="780"/>
      <c r="H28" s="781"/>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row>
    <row r="29" customFormat="false" ht="11.25" hidden="false" customHeight="false" outlineLevel="0" collapsed="false">
      <c r="A29" s="793" t="s">
        <v>661</v>
      </c>
      <c r="B29" s="787"/>
      <c r="C29" s="774"/>
      <c r="D29" s="780" t="n">
        <f aca="false">+D27+D25+D20</f>
        <v>528200.374360615</v>
      </c>
      <c r="E29" s="780" t="n">
        <f aca="false">+E27+E25+E20</f>
        <v>0</v>
      </c>
      <c r="F29" s="780" t="n">
        <f aca="false">+F27+F25+F20</f>
        <v>0</v>
      </c>
      <c r="G29" s="780" t="n">
        <f aca="false">+G27+G25+G20</f>
        <v>0</v>
      </c>
      <c r="H29" s="780" t="n">
        <f aca="false">+H27+H25+H20</f>
        <v>0</v>
      </c>
      <c r="I29" s="780" t="n">
        <f aca="false">+I27+I25+I20</f>
        <v>528200.374360615</v>
      </c>
      <c r="J29" s="780" t="n">
        <f aca="false">+J27+J25+J20</f>
        <v>0</v>
      </c>
      <c r="K29" s="780" t="n">
        <f aca="false">+K27+K25+K20</f>
        <v>0</v>
      </c>
      <c r="L29" s="780" t="n">
        <f aca="false">+L27+L25+L20</f>
        <v>0</v>
      </c>
      <c r="M29" s="780" t="n">
        <f aca="false">+M27+M25+M20</f>
        <v>0</v>
      </c>
      <c r="N29" s="780" t="n">
        <f aca="false">+N27+N25+N20</f>
        <v>0</v>
      </c>
      <c r="O29" s="780" t="n">
        <f aca="false">+O27+O25+O20</f>
        <v>0</v>
      </c>
      <c r="P29" s="780" t="n">
        <f aca="false">+P27+P25+P20</f>
        <v>0</v>
      </c>
      <c r="Q29" s="780" t="n">
        <f aca="false">+Q27+Q25+Q20</f>
        <v>0</v>
      </c>
      <c r="R29" s="780" t="n">
        <f aca="false">+R27+R25+R20</f>
        <v>0</v>
      </c>
      <c r="S29" s="780" t="n">
        <f aca="false">+S27+S25+S20</f>
        <v>0</v>
      </c>
      <c r="T29" s="780" t="n">
        <f aca="false">+T27+T25+T20</f>
        <v>0</v>
      </c>
      <c r="U29" s="780" t="n">
        <f aca="false">+U27+U25+U20</f>
        <v>0</v>
      </c>
      <c r="V29" s="780" t="n">
        <f aca="false">+V27+V25+V20</f>
        <v>0</v>
      </c>
      <c r="W29" s="780" t="n">
        <f aca="false">+W27+W25+W20</f>
        <v>0</v>
      </c>
      <c r="X29" s="780" t="n">
        <f aca="false">+X27+X25+X20</f>
        <v>0</v>
      </c>
      <c r="Y29" s="780" t="n">
        <f aca="false">+Y27+Y25+Y20</f>
        <v>0</v>
      </c>
      <c r="Z29" s="780" t="n">
        <f aca="false">+Z27+Z25+Z20</f>
        <v>0</v>
      </c>
      <c r="AA29" s="780" t="n">
        <f aca="false">+AA27+AA25+AA20</f>
        <v>0</v>
      </c>
      <c r="AB29" s="780" t="n">
        <f aca="false">+AB27+AB25+AB20</f>
        <v>0</v>
      </c>
      <c r="AC29" s="780" t="n">
        <f aca="false">+AC27+AC25+AC20</f>
        <v>0</v>
      </c>
      <c r="AD29" s="780" t="n">
        <f aca="false">+AD27+AD25+AD20</f>
        <v>0</v>
      </c>
      <c r="AE29" s="780" t="n">
        <f aca="false">+AE27+AE25+AE20</f>
        <v>0</v>
      </c>
      <c r="AF29" s="780" t="n">
        <f aca="false">+AF27+AF25+AF20</f>
        <v>0</v>
      </c>
    </row>
    <row r="30" customFormat="false" ht="11.25" hidden="false" customHeight="false" outlineLevel="0" collapsed="false">
      <c r="A30" s="794"/>
      <c r="B30" s="787"/>
      <c r="C30" s="774"/>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row>
    <row r="31" customFormat="false" ht="12" hidden="false" customHeight="false" outlineLevel="0" collapsed="false">
      <c r="A31" s="795"/>
      <c r="B31" s="796"/>
      <c r="C31" s="797"/>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row>
    <row r="32" customFormat="false" ht="12.75" hidden="false" customHeight="false" outlineLevel="0" collapsed="false">
      <c r="A32" s="794"/>
      <c r="B32" s="787"/>
      <c r="C32" s="774"/>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c r="AD32" s="780"/>
      <c r="AE32" s="780"/>
      <c r="AF32" s="780"/>
    </row>
    <row r="33" customFormat="false" ht="12" hidden="false" customHeight="false" outlineLevel="0" collapsed="false">
      <c r="A33" s="772"/>
      <c r="B33" s="772"/>
      <c r="C33" s="772"/>
      <c r="D33" s="772"/>
      <c r="E33" s="772"/>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J33" s="748" t="s">
        <v>662</v>
      </c>
    </row>
    <row r="34" customFormat="false" ht="11.25" hidden="false" customHeight="false" outlineLevel="0" collapsed="false">
      <c r="A34" s="799" t="s">
        <v>663</v>
      </c>
      <c r="AJ34" s="748" t="s">
        <v>664</v>
      </c>
    </row>
    <row r="35" customFormat="false" ht="11.25" hidden="false" customHeight="false" outlineLevel="0" collapsed="false">
      <c r="A35" s="799"/>
      <c r="AH35" s="800"/>
      <c r="AJ35" s="800" t="s">
        <v>665</v>
      </c>
    </row>
    <row r="36" customFormat="false" ht="11.25" hidden="false" customHeight="false" outlineLevel="0" collapsed="false">
      <c r="A36" s="799"/>
      <c r="C36" s="801" t="s">
        <v>666</v>
      </c>
      <c r="D36" s="801"/>
      <c r="E36" s="801"/>
      <c r="F36" s="801"/>
      <c r="G36" s="801"/>
      <c r="H36" s="801"/>
      <c r="I36" s="801"/>
      <c r="L36" s="801" t="s">
        <v>667</v>
      </c>
      <c r="M36" s="801"/>
      <c r="N36" s="801"/>
      <c r="O36" s="801"/>
      <c r="P36" s="801"/>
      <c r="Q36" s="801"/>
      <c r="R36" s="801"/>
      <c r="S36" s="801"/>
      <c r="AH36" s="800"/>
      <c r="AJ36" s="800" t="s">
        <v>668</v>
      </c>
    </row>
    <row r="37" customFormat="false" ht="11.25" hidden="false" customHeight="false" outlineLevel="0" collapsed="false">
      <c r="C37" s="802"/>
      <c r="I37" s="803"/>
      <c r="L37" s="804"/>
      <c r="S37" s="803"/>
    </row>
    <row r="38" customFormat="false" ht="11.25" hidden="false" customHeight="false" outlineLevel="0" collapsed="false">
      <c r="C38" s="802"/>
      <c r="F38" s="770" t="s">
        <v>669</v>
      </c>
      <c r="I38" s="803"/>
      <c r="L38" s="802"/>
      <c r="S38" s="803"/>
    </row>
    <row r="39" customFormat="false" ht="11.25" hidden="false" customHeight="false" outlineLevel="0" collapsed="false">
      <c r="C39" s="802"/>
      <c r="D39" s="805" t="s">
        <v>670</v>
      </c>
      <c r="E39" s="805" t="s">
        <v>671</v>
      </c>
      <c r="F39" s="806" t="s">
        <v>635</v>
      </c>
      <c r="G39" s="807"/>
      <c r="H39" s="808" t="s">
        <v>672</v>
      </c>
      <c r="I39" s="803" t="s">
        <v>673</v>
      </c>
      <c r="L39" s="802"/>
      <c r="M39" s="807"/>
      <c r="N39" s="805" t="s">
        <v>670</v>
      </c>
      <c r="O39" s="805" t="s">
        <v>671</v>
      </c>
      <c r="P39" s="805" t="s">
        <v>669</v>
      </c>
      <c r="Q39" s="807"/>
      <c r="R39" s="808" t="s">
        <v>672</v>
      </c>
      <c r="S39" s="803" t="s">
        <v>673</v>
      </c>
    </row>
    <row r="40" customFormat="false" ht="11.25" hidden="false" customHeight="false" outlineLevel="0" collapsed="false">
      <c r="A40" s="763" t="s">
        <v>642</v>
      </c>
      <c r="C40" s="809" t="s">
        <v>674</v>
      </c>
      <c r="D40" s="810" t="s">
        <v>675</v>
      </c>
      <c r="E40" s="810" t="s">
        <v>676</v>
      </c>
      <c r="F40" s="810" t="s">
        <v>677</v>
      </c>
      <c r="G40" s="810" t="s">
        <v>678</v>
      </c>
      <c r="H40" s="811" t="s">
        <v>679</v>
      </c>
      <c r="I40" s="812" t="s">
        <v>602</v>
      </c>
      <c r="L40" s="809" t="s">
        <v>674</v>
      </c>
      <c r="M40" s="807"/>
      <c r="N40" s="810" t="s">
        <v>680</v>
      </c>
      <c r="O40" s="810" t="s">
        <v>676</v>
      </c>
      <c r="P40" s="810" t="s">
        <v>677</v>
      </c>
      <c r="Q40" s="810" t="s">
        <v>681</v>
      </c>
      <c r="R40" s="811" t="s">
        <v>679</v>
      </c>
      <c r="S40" s="812" t="s">
        <v>602</v>
      </c>
    </row>
    <row r="41" customFormat="false" ht="11.25" hidden="false" customHeight="false" outlineLevel="0" collapsed="false">
      <c r="B41" s="763"/>
      <c r="C41" s="813" t="str">
        <f aca="false">+C10</f>
        <v>Purchase Price</v>
      </c>
      <c r="D41" s="814" t="n">
        <f aca="false">SUM(I10:AF10)</f>
        <v>479637.116332</v>
      </c>
      <c r="E41" s="815" t="n">
        <v>0</v>
      </c>
      <c r="F41" s="816" t="n">
        <f aca="false">TDATE+1</f>
        <v>37803</v>
      </c>
      <c r="G41" s="817" t="n">
        <v>20</v>
      </c>
      <c r="H41" s="818" t="s">
        <v>682</v>
      </c>
      <c r="I41" s="819" t="n">
        <v>2</v>
      </c>
      <c r="L41" s="820" t="str">
        <f aca="false">+C41</f>
        <v>Purchase Price</v>
      </c>
      <c r="M41" s="807"/>
      <c r="N41" s="815" t="n">
        <f aca="false">+D41</f>
        <v>479637.116332</v>
      </c>
      <c r="O41" s="815" t="n">
        <f aca="false">+E41</f>
        <v>0</v>
      </c>
      <c r="P41" s="816" t="n">
        <f aca="false">TDATE+1</f>
        <v>37803</v>
      </c>
      <c r="Q41" s="817" t="n">
        <v>20</v>
      </c>
      <c r="R41" s="818" t="s">
        <v>683</v>
      </c>
      <c r="S41" s="819" t="n">
        <v>2</v>
      </c>
    </row>
    <row r="42" customFormat="false" ht="11.25" hidden="false" customHeight="false" outlineLevel="0" collapsed="false">
      <c r="C42" s="813" t="str">
        <f aca="false">+C11</f>
        <v>Scrubber</v>
      </c>
      <c r="D42" s="814" t="n">
        <f aca="false">SUM(I11:AF11)</f>
        <v>0</v>
      </c>
      <c r="E42" s="815" t="n">
        <v>0</v>
      </c>
      <c r="F42" s="816" t="n">
        <v>37257</v>
      </c>
      <c r="G42" s="817" t="n">
        <v>17</v>
      </c>
      <c r="H42" s="818" t="s">
        <v>682</v>
      </c>
      <c r="I42" s="819" t="n">
        <v>2</v>
      </c>
      <c r="L42" s="820" t="str">
        <f aca="false">+C42</f>
        <v>Scrubber</v>
      </c>
      <c r="M42" s="807"/>
      <c r="N42" s="815" t="n">
        <f aca="false">+D42</f>
        <v>0</v>
      </c>
      <c r="O42" s="815" t="n">
        <f aca="false">+E42</f>
        <v>0</v>
      </c>
      <c r="P42" s="816" t="n">
        <v>37257</v>
      </c>
      <c r="Q42" s="817" t="n">
        <v>17</v>
      </c>
      <c r="R42" s="818" t="s">
        <v>683</v>
      </c>
      <c r="S42" s="819" t="n">
        <v>2</v>
      </c>
    </row>
    <row r="43" customFormat="false" ht="11.25" hidden="true" customHeight="false" outlineLevel="1" collapsed="false">
      <c r="C43" s="813" t="str">
        <f aca="false">+C12</f>
        <v>Asset 3</v>
      </c>
      <c r="D43" s="814" t="n">
        <f aca="false">SUM(I12:AF12)</f>
        <v>0</v>
      </c>
      <c r="E43" s="815" t="n">
        <v>0</v>
      </c>
      <c r="F43" s="816" t="n">
        <v>36965</v>
      </c>
      <c r="G43" s="817" t="n">
        <v>4</v>
      </c>
      <c r="H43" s="818" t="s">
        <v>683</v>
      </c>
      <c r="I43" s="819" t="n">
        <v>2</v>
      </c>
      <c r="L43" s="820" t="str">
        <f aca="false">+C43</f>
        <v>Asset 3</v>
      </c>
      <c r="M43" s="807"/>
      <c r="N43" s="815" t="n">
        <f aca="false">+D43</f>
        <v>0</v>
      </c>
      <c r="O43" s="815" t="n">
        <f aca="false">+E43</f>
        <v>0</v>
      </c>
      <c r="P43" s="816" t="n">
        <v>35596</v>
      </c>
      <c r="Q43" s="817" t="n">
        <v>5</v>
      </c>
      <c r="R43" s="818" t="s">
        <v>683</v>
      </c>
      <c r="S43" s="819" t="n">
        <v>2</v>
      </c>
    </row>
    <row r="44" customFormat="false" ht="11.25" hidden="true" customHeight="false" outlineLevel="1" collapsed="false">
      <c r="C44" s="813" t="str">
        <f aca="false">+C13</f>
        <v>Asset 4</v>
      </c>
      <c r="D44" s="814" t="n">
        <f aca="false">SUM(I13:AF13)</f>
        <v>0</v>
      </c>
      <c r="E44" s="815" t="n">
        <v>0</v>
      </c>
      <c r="F44" s="816" t="n">
        <v>37636</v>
      </c>
      <c r="G44" s="817" t="n">
        <v>5</v>
      </c>
      <c r="H44" s="818" t="s">
        <v>683</v>
      </c>
      <c r="I44" s="819" t="n">
        <v>2</v>
      </c>
      <c r="L44" s="820" t="str">
        <f aca="false">+C44</f>
        <v>Asset 4</v>
      </c>
      <c r="M44" s="807"/>
      <c r="N44" s="815" t="n">
        <f aca="false">+D44</f>
        <v>0</v>
      </c>
      <c r="O44" s="815" t="n">
        <f aca="false">+E44</f>
        <v>0</v>
      </c>
      <c r="P44" s="816" t="n">
        <v>35596</v>
      </c>
      <c r="Q44" s="817" t="n">
        <v>5</v>
      </c>
      <c r="R44" s="818" t="s">
        <v>683</v>
      </c>
      <c r="S44" s="819" t="n">
        <v>2</v>
      </c>
    </row>
    <row r="45" customFormat="false" ht="11.25" hidden="true" customHeight="false" outlineLevel="1" collapsed="false">
      <c r="C45" s="813" t="str">
        <f aca="false">+C14</f>
        <v>Asset 5</v>
      </c>
      <c r="D45" s="814" t="n">
        <f aca="false">SUM(I14:AF14)</f>
        <v>0</v>
      </c>
      <c r="E45" s="815" t="n">
        <v>0</v>
      </c>
      <c r="F45" s="816" t="n">
        <v>35596</v>
      </c>
      <c r="G45" s="817" t="n">
        <v>6</v>
      </c>
      <c r="H45" s="818" t="s">
        <v>683</v>
      </c>
      <c r="I45" s="819" t="n">
        <v>2</v>
      </c>
      <c r="L45" s="820" t="str">
        <f aca="false">+C45</f>
        <v>Asset 5</v>
      </c>
      <c r="M45" s="807"/>
      <c r="N45" s="815" t="n">
        <f aca="false">+D45</f>
        <v>0</v>
      </c>
      <c r="O45" s="815" t="n">
        <f aca="false">+E45</f>
        <v>0</v>
      </c>
      <c r="P45" s="816" t="n">
        <v>35596</v>
      </c>
      <c r="Q45" s="817" t="n">
        <v>5</v>
      </c>
      <c r="R45" s="818" t="s">
        <v>683</v>
      </c>
      <c r="S45" s="819" t="n">
        <v>2</v>
      </c>
    </row>
    <row r="46" customFormat="false" ht="11.25" hidden="true" customHeight="false" outlineLevel="1" collapsed="false">
      <c r="C46" s="813" t="str">
        <f aca="false">+C15</f>
        <v>Asset 6</v>
      </c>
      <c r="D46" s="814" t="n">
        <f aca="false">SUM(I15:AF15)</f>
        <v>0</v>
      </c>
      <c r="E46" s="815" t="n">
        <v>0</v>
      </c>
      <c r="F46" s="816" t="n">
        <v>35596</v>
      </c>
      <c r="G46" s="817" t="n">
        <v>6</v>
      </c>
      <c r="H46" s="818" t="s">
        <v>683</v>
      </c>
      <c r="I46" s="819" t="n">
        <v>2</v>
      </c>
      <c r="L46" s="820" t="str">
        <f aca="false">+C46</f>
        <v>Asset 6</v>
      </c>
      <c r="M46" s="807"/>
      <c r="N46" s="815" t="n">
        <f aca="false">+D46</f>
        <v>0</v>
      </c>
      <c r="O46" s="815" t="n">
        <f aca="false">+E46</f>
        <v>0</v>
      </c>
      <c r="P46" s="816" t="n">
        <v>35596</v>
      </c>
      <c r="Q46" s="817" t="n">
        <v>5</v>
      </c>
      <c r="R46" s="818" t="s">
        <v>683</v>
      </c>
      <c r="S46" s="819" t="n">
        <v>2</v>
      </c>
    </row>
    <row r="47" customFormat="false" ht="11.25" hidden="true" customHeight="false" outlineLevel="1" collapsed="false">
      <c r="C47" s="813" t="str">
        <f aca="false">+C16</f>
        <v>Asset 7</v>
      </c>
      <c r="D47" s="814" t="n">
        <f aca="false">SUM(I16:AF16)</f>
        <v>0</v>
      </c>
      <c r="E47" s="815" t="n">
        <v>0</v>
      </c>
      <c r="F47" s="816" t="n">
        <v>35596</v>
      </c>
      <c r="G47" s="817" t="n">
        <v>6</v>
      </c>
      <c r="H47" s="818" t="s">
        <v>683</v>
      </c>
      <c r="I47" s="819" t="n">
        <v>2</v>
      </c>
      <c r="L47" s="820" t="str">
        <f aca="false">+C47</f>
        <v>Asset 7</v>
      </c>
      <c r="M47" s="807"/>
      <c r="N47" s="815" t="n">
        <f aca="false">+D47</f>
        <v>0</v>
      </c>
      <c r="O47" s="815" t="n">
        <f aca="false">+E47</f>
        <v>0</v>
      </c>
      <c r="P47" s="816" t="n">
        <v>35596</v>
      </c>
      <c r="Q47" s="817" t="n">
        <v>5</v>
      </c>
      <c r="R47" s="818" t="s">
        <v>683</v>
      </c>
      <c r="S47" s="819" t="n">
        <v>2</v>
      </c>
    </row>
    <row r="48" customFormat="false" ht="11.25" hidden="true" customHeight="false" outlineLevel="1" collapsed="false">
      <c r="C48" s="813" t="str">
        <f aca="false">+C17</f>
        <v>Asset 8</v>
      </c>
      <c r="D48" s="814" t="n">
        <f aca="false">SUM(I17:AF17)</f>
        <v>0</v>
      </c>
      <c r="E48" s="815" t="n">
        <v>0</v>
      </c>
      <c r="F48" s="816" t="n">
        <v>35596</v>
      </c>
      <c r="G48" s="817" t="n">
        <v>6</v>
      </c>
      <c r="H48" s="818" t="s">
        <v>683</v>
      </c>
      <c r="I48" s="819" t="n">
        <v>2</v>
      </c>
      <c r="L48" s="820" t="str">
        <f aca="false">+C48</f>
        <v>Asset 8</v>
      </c>
      <c r="M48" s="807"/>
      <c r="N48" s="815" t="n">
        <f aca="false">+D48</f>
        <v>0</v>
      </c>
      <c r="O48" s="815" t="n">
        <f aca="false">+E48</f>
        <v>0</v>
      </c>
      <c r="P48" s="816" t="n">
        <v>35596</v>
      </c>
      <c r="Q48" s="817" t="n">
        <v>5</v>
      </c>
      <c r="R48" s="818" t="s">
        <v>683</v>
      </c>
      <c r="S48" s="819" t="n">
        <v>2</v>
      </c>
    </row>
    <row r="49" customFormat="false" ht="11.25" hidden="true" customHeight="false" outlineLevel="1" collapsed="false">
      <c r="C49" s="813" t="str">
        <f aca="false">+C18</f>
        <v>Asset 9</v>
      </c>
      <c r="D49" s="814" t="n">
        <f aca="false">SUM(I18:AF18)</f>
        <v>0</v>
      </c>
      <c r="E49" s="815" t="n">
        <v>0</v>
      </c>
      <c r="F49" s="816" t="n">
        <v>35596</v>
      </c>
      <c r="G49" s="817" t="n">
        <v>6</v>
      </c>
      <c r="H49" s="818" t="s">
        <v>683</v>
      </c>
      <c r="I49" s="819" t="n">
        <v>2</v>
      </c>
      <c r="L49" s="820" t="str">
        <f aca="false">+C49</f>
        <v>Asset 9</v>
      </c>
      <c r="M49" s="807"/>
      <c r="N49" s="815" t="n">
        <f aca="false">+D49</f>
        <v>0</v>
      </c>
      <c r="O49" s="815" t="n">
        <f aca="false">+E49</f>
        <v>0</v>
      </c>
      <c r="P49" s="816" t="n">
        <v>35596</v>
      </c>
      <c r="Q49" s="817" t="n">
        <v>5</v>
      </c>
      <c r="R49" s="818" t="s">
        <v>683</v>
      </c>
      <c r="S49" s="819" t="n">
        <v>2</v>
      </c>
    </row>
    <row r="50" customFormat="false" ht="11.25" hidden="true" customHeight="false" outlineLevel="1" collapsed="false">
      <c r="C50" s="813" t="str">
        <f aca="false">+C19</f>
        <v>Asset 10</v>
      </c>
      <c r="D50" s="814" t="n">
        <f aca="false">SUM(I19:AF19)</f>
        <v>0</v>
      </c>
      <c r="E50" s="821" t="n">
        <v>0</v>
      </c>
      <c r="F50" s="816" t="n">
        <v>35596</v>
      </c>
      <c r="G50" s="817" t="n">
        <v>6</v>
      </c>
      <c r="H50" s="818" t="s">
        <v>683</v>
      </c>
      <c r="I50" s="819" t="n">
        <v>2</v>
      </c>
      <c r="L50" s="820" t="str">
        <f aca="false">+C50</f>
        <v>Asset 10</v>
      </c>
      <c r="M50" s="807"/>
      <c r="N50" s="821" t="n">
        <f aca="false">+D50</f>
        <v>0</v>
      </c>
      <c r="O50" s="821" t="n">
        <f aca="false">+E50</f>
        <v>0</v>
      </c>
      <c r="P50" s="816" t="n">
        <v>35596</v>
      </c>
      <c r="Q50" s="817" t="n">
        <v>5</v>
      </c>
      <c r="R50" s="818" t="s">
        <v>683</v>
      </c>
      <c r="S50" s="819" t="n">
        <v>2</v>
      </c>
    </row>
    <row r="51" customFormat="false" ht="11.25" hidden="false" customHeight="false" outlineLevel="0" collapsed="false">
      <c r="C51" s="822" t="s">
        <v>684</v>
      </c>
      <c r="D51" s="814" t="n">
        <f aca="false">SUM(D41:D50)</f>
        <v>479637.116332</v>
      </c>
      <c r="E51" s="814" t="n">
        <f aca="false">SUM(E41:E50)</f>
        <v>0</v>
      </c>
      <c r="F51" s="807"/>
      <c r="G51" s="807"/>
      <c r="H51" s="807"/>
      <c r="I51" s="803"/>
      <c r="J51" s="823"/>
      <c r="L51" s="822" t="s">
        <v>684</v>
      </c>
      <c r="M51" s="808"/>
      <c r="N51" s="814" t="n">
        <f aca="false">SUM(N41:N50)</f>
        <v>479637.116332</v>
      </c>
      <c r="O51" s="814" t="n">
        <f aca="false">SUM(O41:O50)</f>
        <v>0</v>
      </c>
      <c r="P51" s="807"/>
      <c r="Q51" s="807"/>
      <c r="R51" s="807"/>
      <c r="S51" s="803"/>
    </row>
    <row r="52" customFormat="false" ht="11.25" hidden="false" customHeight="false" outlineLevel="0" collapsed="false">
      <c r="C52" s="822"/>
      <c r="D52" s="824"/>
      <c r="E52" s="824"/>
      <c r="F52" s="807"/>
      <c r="G52" s="807"/>
      <c r="H52" s="807"/>
      <c r="I52" s="803"/>
      <c r="J52" s="781"/>
      <c r="L52" s="822"/>
      <c r="M52" s="807"/>
      <c r="N52" s="824"/>
      <c r="O52" s="824"/>
      <c r="P52" s="807"/>
      <c r="Q52" s="824"/>
      <c r="R52" s="824"/>
      <c r="S52" s="825"/>
      <c r="W52" s="781"/>
      <c r="X52" s="781"/>
      <c r="Y52" s="781"/>
      <c r="Z52" s="781"/>
      <c r="AA52" s="781"/>
      <c r="AB52" s="781"/>
      <c r="AC52" s="781"/>
      <c r="AD52" s="781"/>
      <c r="AE52" s="781"/>
      <c r="AF52" s="781"/>
    </row>
    <row r="53" customFormat="false" ht="11.25" hidden="false" customHeight="false" outlineLevel="0" collapsed="false">
      <c r="A53" s="826" t="s">
        <v>655</v>
      </c>
      <c r="C53" s="822"/>
      <c r="D53" s="824"/>
      <c r="E53" s="824"/>
      <c r="F53" s="807"/>
      <c r="G53" s="807"/>
      <c r="H53" s="807"/>
      <c r="I53" s="803"/>
      <c r="J53" s="781"/>
      <c r="L53" s="822"/>
      <c r="M53" s="807"/>
      <c r="N53" s="824"/>
      <c r="O53" s="824"/>
      <c r="P53" s="807"/>
      <c r="Q53" s="824"/>
      <c r="R53" s="824"/>
      <c r="S53" s="825"/>
      <c r="W53" s="781"/>
      <c r="X53" s="781"/>
      <c r="Y53" s="781"/>
      <c r="Z53" s="781"/>
      <c r="AA53" s="781"/>
      <c r="AB53" s="781"/>
      <c r="AC53" s="781"/>
      <c r="AD53" s="781"/>
      <c r="AE53" s="781"/>
      <c r="AF53" s="781"/>
    </row>
    <row r="54" customFormat="false" ht="11.25" hidden="false" customHeight="false" outlineLevel="0" collapsed="false">
      <c r="C54" s="802" t="str">
        <f aca="false">+C23</f>
        <v>Funding 1</v>
      </c>
      <c r="D54" s="814" t="n">
        <f aca="false">SUM(I23:Y23)</f>
        <v>48563.258028615</v>
      </c>
      <c r="E54" s="815" t="n">
        <v>0</v>
      </c>
      <c r="F54" s="816" t="n">
        <f aca="false">TDATE+1</f>
        <v>37803</v>
      </c>
      <c r="G54" s="817" t="n">
        <v>7</v>
      </c>
      <c r="H54" s="818" t="s">
        <v>682</v>
      </c>
      <c r="I54" s="819" t="n">
        <v>1.5</v>
      </c>
      <c r="L54" s="802" t="str">
        <f aca="false">+C54</f>
        <v>Funding 1</v>
      </c>
      <c r="M54" s="807"/>
      <c r="N54" s="815" t="n">
        <f aca="false">+D54</f>
        <v>48563.258028615</v>
      </c>
      <c r="O54" s="815" t="n">
        <f aca="false">+E54</f>
        <v>0</v>
      </c>
      <c r="P54" s="816" t="n">
        <f aca="false">TDATE+1</f>
        <v>37803</v>
      </c>
      <c r="Q54" s="817" t="n">
        <v>5</v>
      </c>
      <c r="R54" s="818" t="s">
        <v>682</v>
      </c>
      <c r="S54" s="819" t="n">
        <v>2</v>
      </c>
    </row>
    <row r="55" customFormat="false" ht="11.25" hidden="true" customHeight="false" outlineLevel="1" collapsed="false">
      <c r="C55" s="802" t="str">
        <f aca="false">+C24</f>
        <v>Funding 2</v>
      </c>
      <c r="D55" s="814" t="n">
        <f aca="false">SUM(I24:Y24)</f>
        <v>0</v>
      </c>
      <c r="E55" s="821" t="n">
        <v>0</v>
      </c>
      <c r="F55" s="816" t="n">
        <v>35565</v>
      </c>
      <c r="G55" s="817" t="n">
        <v>2</v>
      </c>
      <c r="H55" s="818" t="s">
        <v>682</v>
      </c>
      <c r="I55" s="819"/>
      <c r="L55" s="802" t="str">
        <f aca="false">+C55</f>
        <v>Funding 2</v>
      </c>
      <c r="M55" s="807"/>
      <c r="N55" s="821" t="n">
        <f aca="false">+D55</f>
        <v>0</v>
      </c>
      <c r="O55" s="821" t="n">
        <f aca="false">+E55</f>
        <v>0</v>
      </c>
      <c r="P55" s="816" t="n">
        <v>35746</v>
      </c>
      <c r="Q55" s="817" t="n">
        <v>2</v>
      </c>
      <c r="R55" s="818" t="s">
        <v>683</v>
      </c>
      <c r="S55" s="819" t="n">
        <v>1.5</v>
      </c>
    </row>
    <row r="56" customFormat="false" ht="11.25" hidden="false" customHeight="false" outlineLevel="0" collapsed="false">
      <c r="C56" s="822" t="s">
        <v>684</v>
      </c>
      <c r="D56" s="814" t="n">
        <f aca="false">+D55+D54</f>
        <v>48563.258028615</v>
      </c>
      <c r="E56" s="814" t="n">
        <f aca="false">+E55+E54</f>
        <v>0</v>
      </c>
      <c r="F56" s="816"/>
      <c r="G56" s="817"/>
      <c r="H56" s="818"/>
      <c r="I56" s="819"/>
      <c r="L56" s="822" t="s">
        <v>684</v>
      </c>
      <c r="M56" s="807"/>
      <c r="N56" s="814" t="n">
        <f aca="false">+N55+N54</f>
        <v>48563.258028615</v>
      </c>
      <c r="O56" s="815"/>
      <c r="P56" s="816"/>
      <c r="Q56" s="817"/>
      <c r="R56" s="818"/>
      <c r="S56" s="819"/>
    </row>
    <row r="57" customFormat="false" ht="11.25" hidden="false" customHeight="false" outlineLevel="0" collapsed="false">
      <c r="C57" s="827"/>
      <c r="D57" s="828"/>
      <c r="E57" s="828"/>
      <c r="F57" s="828"/>
      <c r="G57" s="828"/>
      <c r="H57" s="828"/>
      <c r="I57" s="829"/>
      <c r="J57" s="807"/>
      <c r="K57" s="807"/>
      <c r="L57" s="827"/>
      <c r="M57" s="830" t="s">
        <v>685</v>
      </c>
      <c r="N57" s="831" t="n">
        <f aca="false">+N56+N51-D51-D56</f>
        <v>0</v>
      </c>
      <c r="O57" s="828"/>
      <c r="P57" s="828"/>
      <c r="Q57" s="828"/>
      <c r="R57" s="828"/>
      <c r="S57" s="829"/>
    </row>
    <row r="58" customFormat="false" ht="11.25" hidden="false" customHeight="false" outlineLevel="0" collapsed="false">
      <c r="A58" s="807"/>
      <c r="B58" s="807"/>
      <c r="C58" s="807"/>
      <c r="D58" s="807"/>
      <c r="E58" s="807"/>
      <c r="F58" s="807"/>
      <c r="G58" s="807"/>
      <c r="H58" s="807"/>
      <c r="I58" s="807"/>
      <c r="J58" s="807"/>
      <c r="K58" s="807"/>
      <c r="L58" s="807"/>
      <c r="M58" s="807"/>
      <c r="N58" s="807"/>
      <c r="O58" s="807"/>
      <c r="P58" s="807"/>
      <c r="Q58" s="832"/>
      <c r="R58" s="807"/>
      <c r="S58" s="807"/>
      <c r="T58" s="807"/>
      <c r="W58" s="807"/>
      <c r="X58" s="807"/>
      <c r="Y58" s="807"/>
      <c r="Z58" s="807"/>
      <c r="AA58" s="807"/>
      <c r="AB58" s="807"/>
      <c r="AC58" s="807"/>
      <c r="AD58" s="807"/>
      <c r="AE58" s="807"/>
      <c r="AF58" s="807"/>
    </row>
    <row r="59" customFormat="false" ht="12" hidden="false" customHeight="false" outlineLevel="0" collapsed="false">
      <c r="A59" s="807"/>
      <c r="B59" s="807"/>
      <c r="C59" s="807"/>
      <c r="D59" s="807"/>
      <c r="E59" s="807"/>
      <c r="F59" s="807"/>
      <c r="G59" s="807"/>
      <c r="H59" s="807"/>
      <c r="I59" s="807"/>
      <c r="J59" s="807"/>
      <c r="K59" s="807"/>
      <c r="L59" s="807"/>
      <c r="M59" s="807"/>
      <c r="N59" s="807"/>
      <c r="O59" s="807"/>
      <c r="P59" s="807"/>
      <c r="Q59" s="807"/>
      <c r="R59" s="807"/>
      <c r="S59" s="807"/>
      <c r="T59" s="807"/>
      <c r="U59" s="807"/>
      <c r="V59" s="807"/>
      <c r="W59" s="807"/>
      <c r="X59" s="807"/>
      <c r="Y59" s="807"/>
      <c r="Z59" s="807"/>
      <c r="AA59" s="807"/>
      <c r="AB59" s="807"/>
      <c r="AC59" s="807"/>
      <c r="AD59" s="807"/>
      <c r="AE59" s="807"/>
      <c r="AF59" s="807"/>
    </row>
    <row r="60" customFormat="false" ht="12.75" hidden="false" customHeight="false" outlineLevel="0" collapsed="false">
      <c r="A60" s="772"/>
      <c r="B60" s="772"/>
      <c r="C60" s="772"/>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2"/>
      <c r="AB60" s="772"/>
      <c r="AC60" s="772"/>
      <c r="AD60" s="772"/>
      <c r="AE60" s="772"/>
      <c r="AF60" s="772"/>
    </row>
    <row r="61" customFormat="false" ht="12.75" hidden="false" customHeight="false" outlineLevel="0" collapsed="false">
      <c r="A61" s="799" t="s">
        <v>686</v>
      </c>
      <c r="I61" s="775" t="n">
        <f aca="false">+I$3</f>
        <v>37986</v>
      </c>
      <c r="J61" s="776" t="n">
        <f aca="false">+J$3</f>
        <v>2004</v>
      </c>
      <c r="K61" s="776" t="n">
        <f aca="false">+K$3</f>
        <v>2005</v>
      </c>
      <c r="L61" s="776" t="n">
        <f aca="false">+L$3</f>
        <v>2006</v>
      </c>
      <c r="M61" s="776" t="n">
        <f aca="false">+M$3</f>
        <v>2007</v>
      </c>
      <c r="N61" s="776" t="n">
        <f aca="false">+N$3</f>
        <v>2008</v>
      </c>
      <c r="O61" s="776" t="n">
        <f aca="false">+O$3</f>
        <v>2009</v>
      </c>
      <c r="P61" s="776" t="n">
        <f aca="false">+P$3</f>
        <v>2010</v>
      </c>
      <c r="Q61" s="776" t="n">
        <f aca="false">+Q$3</f>
        <v>2011</v>
      </c>
      <c r="R61" s="776" t="n">
        <f aca="false">+R$3</f>
        <v>2012</v>
      </c>
      <c r="S61" s="776" t="n">
        <f aca="false">+S$3</f>
        <v>2013</v>
      </c>
      <c r="T61" s="776" t="n">
        <f aca="false">+T$3</f>
        <v>2014</v>
      </c>
      <c r="U61" s="776" t="n">
        <f aca="false">+U$3</f>
        <v>2015</v>
      </c>
      <c r="V61" s="776" t="n">
        <f aca="false">+V$3</f>
        <v>2016</v>
      </c>
      <c r="W61" s="776" t="n">
        <f aca="false">+W$3</f>
        <v>2017</v>
      </c>
      <c r="X61" s="776" t="n">
        <f aca="false">+X$3</f>
        <v>2018</v>
      </c>
      <c r="Y61" s="776" t="n">
        <f aca="false">+Y$3</f>
        <v>2019</v>
      </c>
      <c r="Z61" s="776" t="n">
        <f aca="false">+Z$3</f>
        <v>2020</v>
      </c>
      <c r="AA61" s="776" t="n">
        <f aca="false">+AA$3</f>
        <v>2021</v>
      </c>
      <c r="AB61" s="776" t="n">
        <f aca="false">+AB$3</f>
        <v>2022</v>
      </c>
      <c r="AC61" s="776" t="n">
        <f aca="false">+AC$3</f>
        <v>2023</v>
      </c>
      <c r="AD61" s="776" t="n">
        <f aca="false">+AD$3</f>
        <v>2024</v>
      </c>
      <c r="AE61" s="776" t="n">
        <f aca="false">+AE$3</f>
        <v>2025</v>
      </c>
      <c r="AF61" s="776" t="n">
        <f aca="false">+AF$3</f>
        <v>2026</v>
      </c>
    </row>
    <row r="62" customFormat="false" ht="12" hidden="false" customHeight="false" outlineLevel="0" collapsed="false">
      <c r="A62" s="826" t="s">
        <v>642</v>
      </c>
      <c r="B62" s="763"/>
      <c r="C62" s="748" t="str">
        <f aca="false">+C41</f>
        <v>Purchase Price</v>
      </c>
      <c r="I62" s="833" t="n">
        <f aca="false">IF(D41=0,0,IF($H41="SL",SLN($D41,$E41,$G41)*IF(YEAR($F41)&lt;(J$3-1),IF(YEAR($F41)+$G41=J$3-1,(MONTH($F41)-1)/12,IF(YEAR($F41)+$G41&lt;J$3-1,0,1)),IF(YEAR($F41)&gt;J$3-1,0,(12-MONTH($F41)+1)/12)),IF(YEAR($F41)&gt;J$3-1,0,VDB($D41,$E41,$G41,IF(YEAR($F41)=J$3-1,0,MIN($G41,(DATE(J$3-1,1,1)-$F41)/365)),MIN($G41,(DATE(J$3-1,12,31)-$F41)/365),$I41))))</f>
        <v>11990.9279083</v>
      </c>
      <c r="J62" s="833" t="n">
        <f aca="false">IF($D41=0,0,IF($H41="SL",SLN($D41,$E41,$G41)*IF(YEAR($F41)&lt;J$3,IF(YEAR($F41)+$G41=J$3,(MONTH($F41)-1)/12,IF(YEAR($F41)+$G41&lt;J$3,0,1)),IF(YEAR($F41)&gt;J$3,0,(12-MONTH($F41)+1)/12)),IF(YEAR($F41)&gt;J$3,0,VDB($D41,$E41,$G41,IF(YEAR($F41)=J$3,0,MIN($G41,(DATE(J$3,1,1)-$F41)/365)),MIN($G41,(DATE(J$3,12,31)-$F41)/365),$I41))))</f>
        <v>23981.8558166</v>
      </c>
      <c r="K62" s="833" t="n">
        <f aca="false">IF($D41=0,0,IF($H41="SL",SLN($D41,$E41,$G41)*IF(YEAR($F41)&lt;K$3,IF(YEAR($F41)+$G41=K$3,(MONTH($F41)-1)/12,IF(YEAR($F41)+$G41&lt;K$3,0,1)),IF(YEAR($F41)&gt;K$3,0,(12-MONTH($F41)+1)/12)),IF(YEAR($F41)&gt;K$3,0,VDB($D41,$E41,$G41,IF(YEAR($F41)=K$3,0,MIN($G41,(DATE(K$3,1,1)-$F41)/365)),MIN($G41,(DATE(K$3,12,31)-$F41)/365),$I41))))</f>
        <v>23981.8558166</v>
      </c>
      <c r="L62" s="833" t="n">
        <f aca="false">IF($D41=0,0,IF($H41="SL",SLN($D41,$E41,$G41)*IF(YEAR($F41)&lt;L$3,IF(YEAR($F41)+$G41=L$3,(MONTH($F41)-1)/12,IF(YEAR($F41)+$G41&lt;L$3,0,1)),IF(YEAR($F41)&gt;L$3,0,(12-MONTH($F41)+1)/12)),IF(YEAR($F41)&gt;L$3,0,VDB($D41,$E41,$G41,IF(YEAR($F41)=L$3,0,MIN($G41,(DATE(L$3,1,1)-$F41)/365)),MIN($G41,(DATE(L$3,12,31)-$F41)/365),$I41))))</f>
        <v>23981.8558166</v>
      </c>
      <c r="M62" s="833" t="n">
        <f aca="false">IF($D41=0,0,IF($H41="SL",SLN($D41,$E41,$G41)*IF(YEAR($F41)&lt;M$3,IF(YEAR($F41)+$G41=M$3,(MONTH($F41)-1)/12,IF(YEAR($F41)+$G41&lt;M$3,0,1)),IF(YEAR($F41)&gt;M$3,0,(12-MONTH($F41)+1)/12)),IF(YEAR($F41)&gt;M$3,0,VDB($D41,$E41,$G41,IF(YEAR($F41)=M$3,0,MIN($G41,(DATE(M$3,1,1)-$F41)/365)),MIN($G41,(DATE(M$3,12,31)-$F41)/365),$I41))))</f>
        <v>23981.8558166</v>
      </c>
      <c r="N62" s="833" t="n">
        <f aca="false">IF($D41=0,0,IF($H41="SL",SLN($D41,$E41,$G41)*IF(YEAR($F41)&lt;N$3,IF(YEAR($F41)+$G41=N$3,(MONTH($F41)-1)/12,IF(YEAR($F41)+$G41&lt;N$3,0,1)),IF(YEAR($F41)&gt;N$3,0,(12-MONTH($F41)+1)/12)),IF(YEAR($F41)&gt;N$3,0,VDB($D41,$E41,$G41,IF(YEAR($F41)=N$3,0,MIN($G41,(DATE(N$3,1,1)-$F41)/365)),MIN($G41,(DATE(N$3,12,31)-$F41)/365),$I41))))</f>
        <v>23981.8558166</v>
      </c>
      <c r="O62" s="833" t="n">
        <f aca="false">IF($D41=0,0,IF($H41="SL",SLN($D41,$E41,$G41)*IF(YEAR($F41)&lt;O$3,IF(YEAR($F41)+$G41=O$3,(MONTH($F41)-1)/12,IF(YEAR($F41)+$G41&lt;O$3,0,1)),IF(YEAR($F41)&gt;O$3,0,(12-MONTH($F41)+1)/12)),IF(YEAR($F41)&gt;O$3,0,VDB($D41,$E41,$G41,IF(YEAR($F41)=O$3,0,MIN($G41,(DATE(O$3,1,1)-$F41)/365)),MIN($G41,(DATE(O$3,12,31)-$F41)/365),$I41))))</f>
        <v>23981.8558166</v>
      </c>
      <c r="P62" s="833" t="n">
        <f aca="false">IF($D41=0,0,IF($H41="SL",SLN($D41,$E41,$G41)*IF(YEAR($F41)&lt;P$3,IF(YEAR($F41)+$G41=P$3,(MONTH($F41)-1)/12,IF(YEAR($F41)+$G41&lt;P$3,0,1)),IF(YEAR($F41)&gt;P$3,0,(12-MONTH($F41)+1)/12)),IF(YEAR($F41)&gt;P$3,0,VDB($D41,$E41,$G41,IF(YEAR($F41)=P$3,0,MIN($G41,(DATE(P$3,1,1)-$F41)/365)),MIN($G41,(DATE(P$3,12,31)-$F41)/365),$I41))))</f>
        <v>23981.8558166</v>
      </c>
      <c r="Q62" s="833" t="n">
        <f aca="false">IF($D41=0,0,IF($H41="SL",SLN($D41,$E41,$G41)*IF(YEAR($F41)&lt;Q$3,IF(YEAR($F41)+$G41=Q$3,(MONTH($F41)-1)/12,IF(YEAR($F41)+$G41&lt;Q$3,0,1)),IF(YEAR($F41)&gt;Q$3,0,(12-MONTH($F41)+1)/12)),IF(YEAR($F41)&gt;Q$3,0,VDB($D41,$E41,$G41,IF(YEAR($F41)=Q$3,0,MIN($G41,(DATE(Q$3,1,1)-$F41)/365)),MIN($G41,(DATE(Q$3,12,31)-$F41)/365),$I41))))</f>
        <v>23981.8558166</v>
      </c>
      <c r="R62" s="833" t="n">
        <f aca="false">IF($D41=0,0,IF($H41="SL",SLN($D41,$E41,$G41)*IF(YEAR($F41)&lt;R$3,IF(YEAR($F41)+$G41=R$3,(MONTH($F41)-1)/12,IF(YEAR($F41)+$G41&lt;R$3,0,1)),IF(YEAR($F41)&gt;R$3,0,(12-MONTH($F41)+1)/12)),IF(YEAR($F41)&gt;R$3,0,VDB($D41,$E41,$G41,IF(YEAR($F41)=R$3,0,MIN($G41,(DATE(R$3,1,1)-$F41)/365)),MIN($G41,(DATE(R$3,12,31)-$F41)/365),$I41))))</f>
        <v>23981.8558166</v>
      </c>
      <c r="S62" s="833" t="n">
        <f aca="false">IF($D41=0,0,IF($H41="SL",SLN($D41,$E41,$G41)*IF(YEAR($F41)&lt;S$3,IF(YEAR($F41)+$G41=S$3,(MONTH($F41)-1)/12,IF(YEAR($F41)+$G41&lt;S$3,0,1)),IF(YEAR($F41)&gt;S$3,0,(12-MONTH($F41)+1)/12)),IF(YEAR($F41)&gt;S$3,0,VDB($D41,$E41,$G41,IF(YEAR($F41)=S$3,0,MIN($G41,(DATE(S$3,1,1)-$F41)/365)),MIN($G41,(DATE(S$3,12,31)-$F41)/365),$I41))))</f>
        <v>23981.8558166</v>
      </c>
      <c r="T62" s="833" t="n">
        <f aca="false">IF($D41=0,0,IF($H41="SL",SLN($D41,$E41,$G41)*IF(YEAR($F41)&lt;T$3,IF(YEAR($F41)+$G41=T$3,(MONTH($F41)-1)/12,IF(YEAR($F41)+$G41&lt;T$3,0,1)),IF(YEAR($F41)&gt;T$3,0,(12-MONTH($F41)+1)/12)),IF(YEAR($F41)&gt;T$3,0,VDB($D41,$E41,$G41,IF(YEAR($F41)=T$3,0,MIN($G41,(DATE(T$3,1,1)-$F41)/365)),MIN($G41,(DATE(T$3,12,31)-$F41)/365),$I41))))</f>
        <v>23981.8558166</v>
      </c>
      <c r="U62" s="833" t="n">
        <f aca="false">IF($D41=0,0,IF($H41="SL",SLN($D41,$E41,$G41)*IF(YEAR($F41)&lt;U$3,IF(YEAR($F41)+$G41=U$3,(MONTH($F41)-1)/12,IF(YEAR($F41)+$G41&lt;U$3,0,1)),IF(YEAR($F41)&gt;U$3,0,(12-MONTH($F41)+1)/12)),IF(YEAR($F41)&gt;U$3,0,VDB($D41,$E41,$G41,IF(YEAR($F41)=U$3,0,MIN($G41,(DATE(U$3,1,1)-$F41)/365)),MIN($G41,(DATE(U$3,12,31)-$F41)/365),$I41))))</f>
        <v>23981.8558166</v>
      </c>
      <c r="V62" s="833" t="n">
        <f aca="false">IF($D41=0,0,IF($H41="SL",SLN($D41,$E41,$G41)*IF(YEAR($F41)&lt;V$3,IF(YEAR($F41)+$G41=V$3,(MONTH($F41)-1)/12,IF(YEAR($F41)+$G41&lt;V$3,0,1)),IF(YEAR($F41)&gt;V$3,0,(12-MONTH($F41)+1)/12)),IF(YEAR($F41)&gt;V$3,0,VDB($D41,$E41,$G41,IF(YEAR($F41)=V$3,0,MIN($G41,(DATE(V$3,1,1)-$F41)/365)),MIN($G41,(DATE(V$3,12,31)-$F41)/365),$I41))))</f>
        <v>23981.8558166</v>
      </c>
      <c r="W62" s="833" t="n">
        <f aca="false">IF($D41=0,0,IF($H41="SL",SLN($D41,$E41,$G41)*IF(YEAR($F41)&lt;W$3,IF(YEAR($F41)+$G41=W$3,(MONTH($F41)-1)/12,IF(YEAR($F41)+$G41&lt;W$3,0,1)),IF(YEAR($F41)&gt;W$3,0,(12-MONTH($F41)+1)/12)),IF(YEAR($F41)&gt;W$3,0,VDB($D41,$E41,$G41,IF(YEAR($F41)=W$3,0,MIN($G41,(DATE(W$3,1,1)-$F41)/365)),MIN($G41,(DATE(W$3,12,31)-$F41)/365),$I41))))</f>
        <v>23981.8558166</v>
      </c>
      <c r="X62" s="833" t="n">
        <f aca="false">IF($D41=0,0,IF($H41="SL",SLN($D41,$E41,$G41)*IF(YEAR($F41)&lt;X$3,IF(YEAR($F41)+$G41=X$3,(MONTH($F41)-1)/12,IF(YEAR($F41)+$G41&lt;X$3,0,1)),IF(YEAR($F41)&gt;X$3,0,(12-MONTH($F41)+1)/12)),IF(YEAR($F41)&gt;X$3,0,VDB($D41,$E41,$G41,IF(YEAR($F41)=X$3,0,MIN($G41,(DATE(X$3,1,1)-$F41)/365)),MIN($G41,(DATE(X$3,12,31)-$F41)/365),$I41))))</f>
        <v>23981.8558166</v>
      </c>
      <c r="Y62" s="833" t="n">
        <f aca="false">IF($D41=0,0,IF($H41="SL",SLN($D41,$E41,$G41)*IF(YEAR($F41)&lt;Y$3,IF(YEAR($F41)+$G41=Y$3,(MONTH($F41)-1)/12,IF(YEAR($F41)+$G41&lt;Y$3,0,1)),IF(YEAR($F41)&gt;Y$3,0,(12-MONTH($F41)+1)/12)),IF(YEAR($F41)&gt;Y$3,0,VDB($D41,$E41,$G41,IF(YEAR($F41)=Y$3,0,MIN($G41,(DATE(Y$3,1,1)-$F41)/365)),MIN($G41,(DATE(Y$3,12,31)-$F41)/365),$I41))))</f>
        <v>23981.8558166</v>
      </c>
      <c r="Z62" s="833" t="n">
        <f aca="false">IF($D41=0,0,IF($H41="SL",SLN($D41,$E41,$G41)*IF(YEAR($F41)&lt;Z$3,IF(YEAR($F41)+$G41=Z$3,(MONTH($F41)-1)/12,IF(YEAR($F41)+$G41&lt;Z$3,0,1)),IF(YEAR($F41)&gt;Z$3,0,(12-MONTH($F41)+1)/12)),IF(YEAR($F41)&gt;Z$3,0,VDB($D41,$E41,$G41,IF(YEAR($F41)=Z$3,0,MIN($G41,(DATE(Z$3,1,1)-$F41)/365)),MIN($G41,(DATE(Z$3,12,31)-$F41)/365),$I41))))</f>
        <v>23981.8558166</v>
      </c>
      <c r="AA62" s="833" t="n">
        <f aca="false">IF($D41=0,0,IF($H41="SL",SLN($D41,$E41,$G41)*IF(YEAR($F41)&lt;AA$3,IF(YEAR($F41)+$G41=AA$3,(MONTH($F41)-1)/12,IF(YEAR($F41)+$G41&lt;AA$3,0,1)),IF(YEAR($F41)&gt;AA$3,0,(12-MONTH($F41)+1)/12)),IF(YEAR($F41)&gt;AA$3,0,VDB($D41,$E41,$G41,IF(YEAR($F41)=AA$3,0,MIN($G41,(DATE(AA$3,1,1)-$F41)/365)),MIN($G41,(DATE(AA$3,12,31)-$F41)/365),$I41))))</f>
        <v>23981.8558166</v>
      </c>
      <c r="AB62" s="833" t="n">
        <f aca="false">IF($D41=0,0,IF($H41="SL",SLN($D41,$E41,$G41)*IF(YEAR($F41)&lt;AB$3,IF(YEAR($F41)+$G41=AB$3,(MONTH($F41)-1)/12,IF(YEAR($F41)+$G41&lt;AB$3,0,1)),IF(YEAR($F41)&gt;AB$3,0,(12-MONTH($F41)+1)/12)),IF(YEAR($F41)&gt;AB$3,0,VDB($D41,$E41,$G41,IF(YEAR($F41)=AB$3,0,MIN($G41,(DATE(AB$3,1,1)-$F41)/365)),MIN($G41,(DATE(AB$3,12,31)-$F41)/365),$I41))))</f>
        <v>23981.8558166</v>
      </c>
      <c r="AC62" s="833" t="n">
        <f aca="false">IF($D41=0,0,IF($H41="SL",SLN($D41,$E41,$G41)*IF(YEAR($F41)&lt;AC$3,IF(YEAR($F41)+$G41=AC$3,(MONTH($F41)-1)/12,IF(YEAR($F41)+$G41&lt;AC$3,0,1)),IF(YEAR($F41)&gt;AC$3,0,(12-MONTH($F41)+1)/12)),IF(YEAR($F41)&gt;AC$3,0,VDB($D41,$E41,$G41,IF(YEAR($F41)=AC$3,0,MIN($G41,(DATE(AC$3,1,1)-$F41)/365)),MIN($G41,(DATE(AC$3,12,31)-$F41)/365),$I41))))</f>
        <v>11990.9279083</v>
      </c>
      <c r="AD62" s="833" t="n">
        <f aca="false">IF($D41=0,0,IF($H41="SL",SLN($D41,$E41,$G41)*IF(YEAR($F41)&lt;AD$3,IF(YEAR($F41)+$G41=AD$3,(MONTH($F41)-1)/12,IF(YEAR($F41)+$G41&lt;AD$3,0,1)),IF(YEAR($F41)&gt;AD$3,0,(12-MONTH($F41)+1)/12)),IF(YEAR($F41)&gt;AD$3,0,VDB($D41,$E41,$G41,IF(YEAR($F41)=AD$3,0,MIN($G41,(DATE(AD$3,1,1)-$F41)/365)),MIN($G41,(DATE(AD$3,12,31)-$F41)/365),$I41))))</f>
        <v>0</v>
      </c>
      <c r="AE62" s="833" t="n">
        <f aca="false">IF($D41=0,0,IF($H41="SL",SLN($D41,$E41,$G41)*IF(YEAR($F41)&lt;AE$3,IF(YEAR($F41)+$G41=AE$3,(MONTH($F41)-1)/12,IF(YEAR($F41)+$G41&lt;AE$3,0,1)),IF(YEAR($F41)&gt;AE$3,0,(12-MONTH($F41)+1)/12)),IF(YEAR($F41)&gt;AE$3,0,VDB($D41,$E41,$G41,IF(YEAR($F41)=AE$3,0,MIN($G41,(DATE(AE$3,1,1)-$F41)/365)),MIN($G41,(DATE(AE$3,12,31)-$F41)/365),$I41))))</f>
        <v>0</v>
      </c>
      <c r="AF62" s="833" t="n">
        <f aca="false">IF($D41=0,0,IF($H41="SL",SLN($D41,$E41,$G41)*IF(YEAR($F41)&lt;AF$3,IF(YEAR($F41)+$G41=AF$3,(MONTH($F41)-1)/12,IF(YEAR($F41)+$G41&lt;AF$3,0,1)),IF(YEAR($F41)&gt;AF$3,0,(12-MONTH($F41)+1)/12)),IF(YEAR($F41)&gt;AF$3,0,VDB($D41,$E41,$G41,IF(YEAR($F41)=AF$3,0,MIN($G41,(DATE(AF$3,1,1)-$F41)/365)),MIN($G41,(DATE(AF$3,12,31)-$F41)/365),$I41))))</f>
        <v>0</v>
      </c>
    </row>
    <row r="63" customFormat="false" ht="11.25" hidden="true" customHeight="false" outlineLevel="1" collapsed="false">
      <c r="C63" s="748" t="str">
        <f aca="false">+C42</f>
        <v>Scrubber</v>
      </c>
      <c r="I63" s="833" t="n">
        <f aca="false">IF(D42=0,0,IF($H42="SL",SLN($D42,$E42,$G42)*IF(YEAR($F42)&lt;(J$3-1),IF(YEAR($F42)+$G42=J$3-1,(MONTH($F42)-1)/12,IF(YEAR($F42)+$G42&lt;J$3-1,0,1)),IF(YEAR($F42)&gt;J$3-1,0,(12-MONTH($F42)+1)/12)),IF(YEAR($F42)&gt;J$3-1,0,VDB($D42,$E42,$G42,IF(YEAR($F42)=J$3-1,0,MIN($G42,(DATE(J$3-1,1,1)-$F42)/365)),MIN($G42,(DATE(J$3-1,12,31)-$F42)/365),$I42))))</f>
        <v>0</v>
      </c>
      <c r="J63" s="833" t="n">
        <f aca="false">IF($D42=0,0,IF($H42="SL",SLN($D42,$E42,$G42)*IF(YEAR($F42)&lt;J$3,IF(YEAR($F42)+$G42=J$3,(MONTH($F42)-1)/12,IF(YEAR($F42)+$G42&lt;J$3,0,1)),IF(YEAR($F42)&gt;J$3,0,(12-MONTH($F42)+1)/12)),IF(YEAR($F42)&gt;J$3,0,VDB($D42,$E42,$G42,IF(YEAR($F42)=J$3,0,MIN($G42,(DATE(J$3,1,1)-$F42)/365)),MIN($G42,(DATE(J$3,12,31)-$F42)/365),$I42))))</f>
        <v>0</v>
      </c>
      <c r="K63" s="833" t="n">
        <f aca="false">IF($D42=0,0,IF($H42="SL",SLN($D42,$E42,$G42)*IF(YEAR($F42)&lt;K$3,IF(YEAR($F42)+$G42=K$3,(MONTH($F42)-1)/12,IF(YEAR($F42)+$G42&lt;K$3,0,1)),IF(YEAR($F42)&gt;K$3,0,(12-MONTH($F42)+1)/12)),IF(YEAR($F42)&gt;K$3,0,VDB($D42,$E42,$G42,IF(YEAR($F42)=K$3,0,MIN($G42,(DATE(K$3,1,1)-$F42)/365)),MIN($G42,(DATE(K$3,12,31)-$F42)/365),$I42))))</f>
        <v>0</v>
      </c>
      <c r="L63" s="833" t="n">
        <f aca="false">IF($D42=0,0,IF($H42="SL",SLN($D42,$E42,$G42)*IF(YEAR($F42)&lt;L$3,IF(YEAR($F42)+$G42=L$3,(MONTH($F42)-1)/12,IF(YEAR($F42)+$G42&lt;L$3,0,1)),IF(YEAR($F42)&gt;L$3,0,(12-MONTH($F42)+1)/12)),IF(YEAR($F42)&gt;L$3,0,VDB($D42,$E42,$G42,IF(YEAR($F42)=L$3,0,MIN($G42,(DATE(L$3,1,1)-$F42)/365)),MIN($G42,(DATE(L$3,12,31)-$F42)/365),$I42))))</f>
        <v>0</v>
      </c>
      <c r="M63" s="833" t="n">
        <f aca="false">IF($D42=0,0,IF($H42="SL",SLN($D42,$E42,$G42)*IF(YEAR($F42)&lt;M$3,IF(YEAR($F42)+$G42=M$3,(MONTH($F42)-1)/12,IF(YEAR($F42)+$G42&lt;M$3,0,1)),IF(YEAR($F42)&gt;M$3,0,(12-MONTH($F42)+1)/12)),IF(YEAR($F42)&gt;M$3,0,VDB($D42,$E42,$G42,IF(YEAR($F42)=M$3,0,MIN($G42,(DATE(M$3,1,1)-$F42)/365)),MIN($G42,(DATE(M$3,12,31)-$F42)/365),$I42))))</f>
        <v>0</v>
      </c>
      <c r="N63" s="833" t="n">
        <f aca="false">IF($D42=0,0,IF($H42="SL",SLN($D42,$E42,$G42)*IF(YEAR($F42)&lt;N$3,IF(YEAR($F42)+$G42=N$3,(MONTH($F42)-1)/12,IF(YEAR($F42)+$G42&lt;N$3,0,1)),IF(YEAR($F42)&gt;N$3,0,(12-MONTH($F42)+1)/12)),IF(YEAR($F42)&gt;N$3,0,VDB($D42,$E42,$G42,IF(YEAR($F42)=N$3,0,MIN($G42,(DATE(N$3,1,1)-$F42)/365)),MIN($G42,(DATE(N$3,12,31)-$F42)/365),$I42))))</f>
        <v>0</v>
      </c>
      <c r="O63" s="833" t="n">
        <f aca="false">IF($D42=0,0,IF($H42="SL",SLN($D42,$E42,$G42)*IF(YEAR($F42)&lt;O$3,IF(YEAR($F42)+$G42=O$3,(MONTH($F42)-1)/12,IF(YEAR($F42)+$G42&lt;O$3,0,1)),IF(YEAR($F42)&gt;O$3,0,(12-MONTH($F42)+1)/12)),IF(YEAR($F42)&gt;O$3,0,VDB($D42,$E42,$G42,IF(YEAR($F42)=O$3,0,MIN($G42,(DATE(O$3,1,1)-$F42)/365)),MIN($G42,(DATE(O$3,12,31)-$F42)/365),$I42))))</f>
        <v>0</v>
      </c>
      <c r="P63" s="833" t="n">
        <f aca="false">IF($D42=0,0,IF($H42="SL",SLN($D42,$E42,$G42)*IF(YEAR($F42)&lt;P$3,IF(YEAR($F42)+$G42=P$3,(MONTH($F42)-1)/12,IF(YEAR($F42)+$G42&lt;P$3,0,1)),IF(YEAR($F42)&gt;P$3,0,(12-MONTH($F42)+1)/12)),IF(YEAR($F42)&gt;P$3,0,VDB($D42,$E42,$G42,IF(YEAR($F42)=P$3,0,MIN($G42,(DATE(P$3,1,1)-$F42)/365)),MIN($G42,(DATE(P$3,12,31)-$F42)/365),$I42))))</f>
        <v>0</v>
      </c>
      <c r="Q63" s="833" t="n">
        <f aca="false">IF($D42=0,0,IF($H42="SL",SLN($D42,$E42,$G42)*IF(YEAR($F42)&lt;Q$3,IF(YEAR($F42)+$G42=Q$3,(MONTH($F42)-1)/12,IF(YEAR($F42)+$G42&lt;Q$3,0,1)),IF(YEAR($F42)&gt;Q$3,0,(12-MONTH($F42)+1)/12)),IF(YEAR($F42)&gt;Q$3,0,VDB($D42,$E42,$G42,IF(YEAR($F42)=Q$3,0,MIN($G42,(DATE(Q$3,1,1)-$F42)/365)),MIN($G42,(DATE(Q$3,12,31)-$F42)/365),$I42))))</f>
        <v>0</v>
      </c>
      <c r="R63" s="833" t="n">
        <f aca="false">IF($D42=0,0,IF($H42="SL",SLN($D42,$E42,$G42)*IF(YEAR($F42)&lt;R$3,IF(YEAR($F42)+$G42=R$3,(MONTH($F42)-1)/12,IF(YEAR($F42)+$G42&lt;R$3,0,1)),IF(YEAR($F42)&gt;R$3,0,(12-MONTH($F42)+1)/12)),IF(YEAR($F42)&gt;R$3,0,VDB($D42,$E42,$G42,IF(YEAR($F42)=R$3,0,MIN($G42,(DATE(R$3,1,1)-$F42)/365)),MIN($G42,(DATE(R$3,12,31)-$F42)/365),$I42))))</f>
        <v>0</v>
      </c>
      <c r="S63" s="833" t="n">
        <f aca="false">IF($D42=0,0,IF($H42="SL",SLN($D42,$E42,$G42)*IF(YEAR($F42)&lt;S$3,IF(YEAR($F42)+$G42=S$3,(MONTH($F42)-1)/12,IF(YEAR($F42)+$G42&lt;S$3,0,1)),IF(YEAR($F42)&gt;S$3,0,(12-MONTH($F42)+1)/12)),IF(YEAR($F42)&gt;S$3,0,VDB($D42,$E42,$G42,IF(YEAR($F42)=S$3,0,MIN($G42,(DATE(S$3,1,1)-$F42)/365)),MIN($G42,(DATE(S$3,12,31)-$F42)/365),$I42))))</f>
        <v>0</v>
      </c>
      <c r="T63" s="833" t="n">
        <f aca="false">IF($D42=0,0,IF($H42="SL",SLN($D42,$E42,$G42)*IF(YEAR($F42)&lt;T$3,IF(YEAR($F42)+$G42=T$3,(MONTH($F42)-1)/12,IF(YEAR($F42)+$G42&lt;T$3,0,1)),IF(YEAR($F42)&gt;T$3,0,(12-MONTH($F42)+1)/12)),IF(YEAR($F42)&gt;T$3,0,VDB($D42,$E42,$G42,IF(YEAR($F42)=T$3,0,MIN($G42,(DATE(T$3,1,1)-$F42)/365)),MIN($G42,(DATE(T$3,12,31)-$F42)/365),$I42))))</f>
        <v>0</v>
      </c>
      <c r="U63" s="833" t="n">
        <f aca="false">IF($D42=0,0,IF($H42="SL",SLN($D42,$E42,$G42)*IF(YEAR($F42)&lt;U$3,IF(YEAR($F42)+$G42=U$3,(MONTH($F42)-1)/12,IF(YEAR($F42)+$G42&lt;U$3,0,1)),IF(YEAR($F42)&gt;U$3,0,(12-MONTH($F42)+1)/12)),IF(YEAR($F42)&gt;U$3,0,VDB($D42,$E42,$G42,IF(YEAR($F42)=U$3,0,MIN($G42,(DATE(U$3,1,1)-$F42)/365)),MIN($G42,(DATE(U$3,12,31)-$F42)/365),$I42))))</f>
        <v>0</v>
      </c>
      <c r="V63" s="833" t="n">
        <f aca="false">IF($D42=0,0,IF($H42="SL",SLN($D42,$E42,$G42)*IF(YEAR($F42)&lt;V$3,IF(YEAR($F42)+$G42=V$3,(MONTH($F42)-1)/12,IF(YEAR($F42)+$G42&lt;V$3,0,1)),IF(YEAR($F42)&gt;V$3,0,(12-MONTH($F42)+1)/12)),IF(YEAR($F42)&gt;V$3,0,VDB($D42,$E42,$G42,IF(YEAR($F42)=V$3,0,MIN($G42,(DATE(V$3,1,1)-$F42)/365)),MIN($G42,(DATE(V$3,12,31)-$F42)/365),$I42))))</f>
        <v>0</v>
      </c>
      <c r="W63" s="833" t="n">
        <f aca="false">IF($D42=0,0,IF($H42="SL",SLN($D42,$E42,$G42)*IF(YEAR($F42)&lt;W$3,IF(YEAR($F42)+$G42=W$3,(MONTH($F42)-1)/12,IF(YEAR($F42)+$G42&lt;W$3,0,1)),IF(YEAR($F42)&gt;W$3,0,(12-MONTH($F42)+1)/12)),IF(YEAR($F42)&gt;W$3,0,VDB($D42,$E42,$G42,IF(YEAR($F42)=W$3,0,MIN($G42,(DATE(W$3,1,1)-$F42)/365)),MIN($G42,(DATE(W$3,12,31)-$F42)/365),$I42))))</f>
        <v>0</v>
      </c>
      <c r="X63" s="833" t="n">
        <f aca="false">IF($D42=0,0,IF($H42="SL",SLN($D42,$E42,$G42)*IF(YEAR($F42)&lt;X$3,IF(YEAR($F42)+$G42=X$3,(MONTH($F42)-1)/12,IF(YEAR($F42)+$G42&lt;X$3,0,1)),IF(YEAR($F42)&gt;X$3,0,(12-MONTH($F42)+1)/12)),IF(YEAR($F42)&gt;X$3,0,VDB($D42,$E42,$G42,IF(YEAR($F42)=X$3,0,MIN($G42,(DATE(X$3,1,1)-$F42)/365)),MIN($G42,(DATE(X$3,12,31)-$F42)/365),$I42))))</f>
        <v>0</v>
      </c>
      <c r="Y63" s="833" t="n">
        <f aca="false">IF($D42=0,0,IF($H42="SL",SLN($D42,$E42,$G42)*IF(YEAR($F42)&lt;Y$3,IF(YEAR($F42)+$G42=Y$3,(MONTH($F42)-1)/12,IF(YEAR($F42)+$G42&lt;Y$3,0,1)),IF(YEAR($F42)&gt;Y$3,0,(12-MONTH($F42)+1)/12)),IF(YEAR($F42)&gt;Y$3,0,VDB($D42,$E42,$G42,IF(YEAR($F42)=Y$3,0,MIN($G42,(DATE(Y$3,1,1)-$F42)/365)),MIN($G42,(DATE(Y$3,12,31)-$F42)/365),$I42))))</f>
        <v>0</v>
      </c>
      <c r="Z63" s="833" t="n">
        <f aca="false">IF($D42=0,0,IF($H42="SL",SLN($D42,$E42,$G42)*IF(YEAR($F42)&lt;Z$3,IF(YEAR($F42)+$G42=Z$3,(MONTH($F42)-1)/12,IF(YEAR($F42)+$G42&lt;Z$3,0,1)),IF(YEAR($F42)&gt;Z$3,0,(12-MONTH($F42)+1)/12)),IF(YEAR($F42)&gt;Z$3,0,VDB($D42,$E42,$G42,IF(YEAR($F42)=Z$3,0,MIN($G42,(DATE(Z$3,1,1)-$F42)/365)),MIN($G42,(DATE(Z$3,12,31)-$F42)/365),$I42))))</f>
        <v>0</v>
      </c>
      <c r="AA63" s="833" t="n">
        <f aca="false">IF($D42=0,0,IF($H42="SL",SLN($D42,$E42,$G42)*IF(YEAR($F42)&lt;AA$3,IF(YEAR($F42)+$G42=AA$3,(MONTH($F42)-1)/12,IF(YEAR($F42)+$G42&lt;AA$3,0,1)),IF(YEAR($F42)&gt;AA$3,0,(12-MONTH($F42)+1)/12)),IF(YEAR($F42)&gt;AA$3,0,VDB($D42,$E42,$G42,IF(YEAR($F42)=AA$3,0,MIN($G42,(DATE(AA$3,1,1)-$F42)/365)),MIN($G42,(DATE(AA$3,12,31)-$F42)/365),$I42))))</f>
        <v>0</v>
      </c>
      <c r="AB63" s="833" t="n">
        <f aca="false">IF($D42=0,0,IF($H42="SL",SLN($D42,$E42,$G42)*IF(YEAR($F42)&lt;AB$3,IF(YEAR($F42)+$G42=AB$3,(MONTH($F42)-1)/12,IF(YEAR($F42)+$G42&lt;AB$3,0,1)),IF(YEAR($F42)&gt;AB$3,0,(12-MONTH($F42)+1)/12)),IF(YEAR($F42)&gt;AB$3,0,VDB($D42,$E42,$G42,IF(YEAR($F42)=AB$3,0,MIN($G42,(DATE(AB$3,1,1)-$F42)/365)),MIN($G42,(DATE(AB$3,12,31)-$F42)/365),$I42))))</f>
        <v>0</v>
      </c>
      <c r="AC63" s="833" t="n">
        <f aca="false">IF($D42=0,0,IF($H42="SL",SLN($D42,$E42,$G42)*IF(YEAR($F42)&lt;AC$3,IF(YEAR($F42)+$G42=AC$3,(MONTH($F42)-1)/12,IF(YEAR($F42)+$G42&lt;AC$3,0,1)),IF(YEAR($F42)&gt;AC$3,0,(12-MONTH($F42)+1)/12)),IF(YEAR($F42)&gt;AC$3,0,VDB($D42,$E42,$G42,IF(YEAR($F42)=AC$3,0,MIN($G42,(DATE(AC$3,1,1)-$F42)/365)),MIN($G42,(DATE(AC$3,12,31)-$F42)/365),$I42))))</f>
        <v>0</v>
      </c>
      <c r="AD63" s="833" t="n">
        <f aca="false">IF($D42=0,0,IF($H42="SL",SLN($D42,$E42,$G42)*IF(YEAR($F42)&lt;AD$3,IF(YEAR($F42)+$G42=AD$3,(MONTH($F42)-1)/12,IF(YEAR($F42)+$G42&lt;AD$3,0,1)),IF(YEAR($F42)&gt;AD$3,0,(12-MONTH($F42)+1)/12)),IF(YEAR($F42)&gt;AD$3,0,VDB($D42,$E42,$G42,IF(YEAR($F42)=AD$3,0,MIN($G42,(DATE(AD$3,1,1)-$F42)/365)),MIN($G42,(DATE(AD$3,12,31)-$F42)/365),$I42))))</f>
        <v>0</v>
      </c>
      <c r="AE63" s="833" t="n">
        <f aca="false">IF($D42=0,0,IF($H42="SL",SLN($D42,$E42,$G42)*IF(YEAR($F42)&lt;AE$3,IF(YEAR($F42)+$G42=AE$3,(MONTH($F42)-1)/12,IF(YEAR($F42)+$G42&lt;AE$3,0,1)),IF(YEAR($F42)&gt;AE$3,0,(12-MONTH($F42)+1)/12)),IF(YEAR($F42)&gt;AE$3,0,VDB($D42,$E42,$G42,IF(YEAR($F42)=AE$3,0,MIN($G42,(DATE(AE$3,1,1)-$F42)/365)),MIN($G42,(DATE(AE$3,12,31)-$F42)/365),$I42))))</f>
        <v>0</v>
      </c>
      <c r="AF63" s="833" t="n">
        <f aca="false">IF($D42=0,0,IF($H42="SL",SLN($D42,$E42,$G42)*IF(YEAR($F42)&lt;AF$3,IF(YEAR($F42)+$G42=AF$3,(MONTH($F42)-1)/12,IF(YEAR($F42)+$G42&lt;AF$3,0,1)),IF(YEAR($F42)&gt;AF$3,0,(12-MONTH($F42)+1)/12)),IF(YEAR($F42)&gt;AF$3,0,VDB($D42,$E42,$G42,IF(YEAR($F42)=AF$3,0,MIN($G42,(DATE(AF$3,1,1)-$F42)/365)),MIN($G42,(DATE(AF$3,12,31)-$F42)/365),$I42))))</f>
        <v>0</v>
      </c>
    </row>
    <row r="64" customFormat="false" ht="11.25" hidden="true" customHeight="false" outlineLevel="1" collapsed="false">
      <c r="C64" s="748" t="str">
        <f aca="false">+C43</f>
        <v>Asset 3</v>
      </c>
      <c r="I64" s="833" t="n">
        <f aca="false">IF(D43=0,0,IF($H43="SL",SLN($D43,$E43,$G43)*IF(YEAR($F43)&lt;(J$3-1),IF(YEAR($F43)+$G43=J$3-1,(MONTH($F43)-1)/12,IF(YEAR($F43)+$G43&lt;J$3-1,0,1)),IF(YEAR($F43)&gt;J$3-1,0,(12-MONTH($F43)+1)/12)),IF(YEAR($F43)&gt;J$3-1,0,VDB($D43,$E43,$G43,IF(YEAR($F43)=J$3-1,0,MIN($G43,(DATE(J$3-1,1,1)-$F43)/365)),MIN($G43,(DATE(J$3-1,12,31)-$F43)/365),$I43))))</f>
        <v>0</v>
      </c>
      <c r="J64" s="833" t="n">
        <f aca="false">IF($D43=0,0,IF($H43="SL",SLN($D43,$E43,$G43)*IF(YEAR($F43)&lt;J$3,IF(YEAR($F43)+$G43=J$3,(MONTH($F43)-1)/12,IF(YEAR($F43)+$G43&lt;J$3,0,1)),IF(YEAR($F43)&gt;J$3,0,(12-MONTH($F43)+1)/12)),IF(YEAR($F43)&gt;J$3,0,VDB($D43,$E43,$G43,IF(YEAR($F43)=J$3,0,MIN($G43,(DATE(J$3,1,1)-$F43)/365)),MIN($G43,(DATE(J$3,12,31)-$F43)/365),$I43))))</f>
        <v>0</v>
      </c>
      <c r="K64" s="833" t="n">
        <f aca="false">IF($D43=0,0,IF($H43="SL",SLN($D43,$E43,$G43)*IF(YEAR($F43)&lt;K$3,IF(YEAR($F43)+$G43=K$3,(MONTH($F43)-1)/12,IF(YEAR($F43)+$G43&lt;K$3,0,1)),IF(YEAR($F43)&gt;K$3,0,(12-MONTH($F43)+1)/12)),IF(YEAR($F43)&gt;K$3,0,VDB($D43,$E43,$G43,IF(YEAR($F43)=K$3,0,MIN($G43,(DATE(K$3,1,1)-$F43)/365)),MIN($G43,(DATE(K$3,12,31)-$F43)/365),$I43))))</f>
        <v>0</v>
      </c>
      <c r="L64" s="833" t="n">
        <f aca="false">IF($D43=0,0,IF($H43="SL",SLN($D43,$E43,$G43)*IF(YEAR($F43)&lt;L$3,IF(YEAR($F43)+$G43=L$3,(MONTH($F43)-1)/12,IF(YEAR($F43)+$G43&lt;L$3,0,1)),IF(YEAR($F43)&gt;L$3,0,(12-MONTH($F43)+1)/12)),IF(YEAR($F43)&gt;L$3,0,VDB($D43,$E43,$G43,IF(YEAR($F43)=L$3,0,MIN($G43,(DATE(L$3,1,1)-$F43)/365)),MIN($G43,(DATE(L$3,12,31)-$F43)/365),$I43))))</f>
        <v>0</v>
      </c>
      <c r="M64" s="833" t="n">
        <f aca="false">IF($D43=0,0,IF($H43="SL",SLN($D43,$E43,$G43)*IF(YEAR($F43)&lt;M$3,IF(YEAR($F43)+$G43=M$3,(MONTH($F43)-1)/12,IF(YEAR($F43)+$G43&lt;M$3,0,1)),IF(YEAR($F43)&gt;M$3,0,(12-MONTH($F43)+1)/12)),IF(YEAR($F43)&gt;M$3,0,VDB($D43,$E43,$G43,IF(YEAR($F43)=M$3,0,MIN($G43,(DATE(M$3,1,1)-$F43)/365)),MIN($G43,(DATE(M$3,12,31)-$F43)/365),$I43))))</f>
        <v>0</v>
      </c>
      <c r="N64" s="833" t="n">
        <f aca="false">IF($D43=0,0,IF($H43="SL",SLN($D43,$E43,$G43)*IF(YEAR($F43)&lt;N$3,IF(YEAR($F43)+$G43=N$3,(MONTH($F43)-1)/12,IF(YEAR($F43)+$G43&lt;N$3,0,1)),IF(YEAR($F43)&gt;N$3,0,(12-MONTH($F43)+1)/12)),IF(YEAR($F43)&gt;N$3,0,VDB($D43,$E43,$G43,IF(YEAR($F43)=N$3,0,MIN($G43,(DATE(N$3,1,1)-$F43)/365)),MIN($G43,(DATE(N$3,12,31)-$F43)/365),$I43))))</f>
        <v>0</v>
      </c>
      <c r="O64" s="833" t="n">
        <f aca="false">IF($D43=0,0,IF($H43="SL",SLN($D43,$E43,$G43)*IF(YEAR($F43)&lt;O$3,IF(YEAR($F43)+$G43=O$3,(MONTH($F43)-1)/12,IF(YEAR($F43)+$G43&lt;O$3,0,1)),IF(YEAR($F43)&gt;O$3,0,(12-MONTH($F43)+1)/12)),IF(YEAR($F43)&gt;O$3,0,VDB($D43,$E43,$G43,IF(YEAR($F43)=O$3,0,MIN($G43,(DATE(O$3,1,1)-$F43)/365)),MIN($G43,(DATE(O$3,12,31)-$F43)/365),$I43))))</f>
        <v>0</v>
      </c>
      <c r="P64" s="833" t="n">
        <f aca="false">IF($D43=0,0,IF($H43="SL",SLN($D43,$E43,$G43)*IF(YEAR($F43)&lt;P$3,IF(YEAR($F43)+$G43=P$3,(MONTH($F43)-1)/12,IF(YEAR($F43)+$G43&lt;P$3,0,1)),IF(YEAR($F43)&gt;P$3,0,(12-MONTH($F43)+1)/12)),IF(YEAR($F43)&gt;P$3,0,VDB($D43,$E43,$G43,IF(YEAR($F43)=P$3,0,MIN($G43,(DATE(P$3,1,1)-$F43)/365)),MIN($G43,(DATE(P$3,12,31)-$F43)/365),$I43))))</f>
        <v>0</v>
      </c>
      <c r="Q64" s="833" t="n">
        <f aca="false">IF($D43=0,0,IF($H43="SL",SLN($D43,$E43,$G43)*IF(YEAR($F43)&lt;Q$3,IF(YEAR($F43)+$G43=Q$3,(MONTH($F43)-1)/12,IF(YEAR($F43)+$G43&lt;Q$3,0,1)),IF(YEAR($F43)&gt;Q$3,0,(12-MONTH($F43)+1)/12)),IF(YEAR($F43)&gt;Q$3,0,VDB($D43,$E43,$G43,IF(YEAR($F43)=Q$3,0,MIN($G43,(DATE(Q$3,1,1)-$F43)/365)),MIN($G43,(DATE(Q$3,12,31)-$F43)/365),$I43))))</f>
        <v>0</v>
      </c>
      <c r="R64" s="833" t="n">
        <f aca="false">IF($D43=0,0,IF($H43="SL",SLN($D43,$E43,$G43)*IF(YEAR($F43)&lt;R$3,IF(YEAR($F43)+$G43=R$3,(MONTH($F43)-1)/12,IF(YEAR($F43)+$G43&lt;R$3,0,1)),IF(YEAR($F43)&gt;R$3,0,(12-MONTH($F43)+1)/12)),IF(YEAR($F43)&gt;R$3,0,VDB($D43,$E43,$G43,IF(YEAR($F43)=R$3,0,MIN($G43,(DATE(R$3,1,1)-$F43)/365)),MIN($G43,(DATE(R$3,12,31)-$F43)/365),$I43))))</f>
        <v>0</v>
      </c>
      <c r="S64" s="833" t="n">
        <f aca="false">IF($D43=0,0,IF($H43="SL",SLN($D43,$E43,$G43)*IF(YEAR($F43)&lt;S$3,IF(YEAR($F43)+$G43=S$3,(MONTH($F43)-1)/12,IF(YEAR($F43)+$G43&lt;S$3,0,1)),IF(YEAR($F43)&gt;S$3,0,(12-MONTH($F43)+1)/12)),IF(YEAR($F43)&gt;S$3,0,VDB($D43,$E43,$G43,IF(YEAR($F43)=S$3,0,MIN($G43,(DATE(S$3,1,1)-$F43)/365)),MIN($G43,(DATE(S$3,12,31)-$F43)/365),$I43))))</f>
        <v>0</v>
      </c>
      <c r="T64" s="833" t="n">
        <f aca="false">IF($D43=0,0,IF($H43="SL",SLN($D43,$E43,$G43)*IF(YEAR($F43)&lt;T$3,IF(YEAR($F43)+$G43=T$3,(MONTH($F43)-1)/12,IF(YEAR($F43)+$G43&lt;T$3,0,1)),IF(YEAR($F43)&gt;T$3,0,(12-MONTH($F43)+1)/12)),IF(YEAR($F43)&gt;T$3,0,VDB($D43,$E43,$G43,IF(YEAR($F43)=T$3,0,MIN($G43,(DATE(T$3,1,1)-$F43)/365)),MIN($G43,(DATE(T$3,12,31)-$F43)/365),$I43))))</f>
        <v>0</v>
      </c>
      <c r="U64" s="833" t="n">
        <f aca="false">IF($D43=0,0,IF($H43="SL",SLN($D43,$E43,$G43)*IF(YEAR($F43)&lt;U$3,IF(YEAR($F43)+$G43=U$3,(MONTH($F43)-1)/12,IF(YEAR($F43)+$G43&lt;U$3,0,1)),IF(YEAR($F43)&gt;U$3,0,(12-MONTH($F43)+1)/12)),IF(YEAR($F43)&gt;U$3,0,VDB($D43,$E43,$G43,IF(YEAR($F43)=U$3,0,MIN($G43,(DATE(U$3,1,1)-$F43)/365)),MIN($G43,(DATE(U$3,12,31)-$F43)/365),$I43))))</f>
        <v>0</v>
      </c>
      <c r="V64" s="833" t="n">
        <f aca="false">IF($D43=0,0,IF($H43="SL",SLN($D43,$E43,$G43)*IF(YEAR($F43)&lt;V$3,IF(YEAR($F43)+$G43=V$3,(MONTH($F43)-1)/12,IF(YEAR($F43)+$G43&lt;V$3,0,1)),IF(YEAR($F43)&gt;V$3,0,(12-MONTH($F43)+1)/12)),IF(YEAR($F43)&gt;V$3,0,VDB($D43,$E43,$G43,IF(YEAR($F43)=V$3,0,MIN($G43,(DATE(V$3,1,1)-$F43)/365)),MIN($G43,(DATE(V$3,12,31)-$F43)/365),$I43))))</f>
        <v>0</v>
      </c>
      <c r="W64" s="833" t="n">
        <f aca="false">IF($D43=0,0,IF($H43="SL",SLN($D43,$E43,$G43)*IF(YEAR($F43)&lt;W$3,IF(YEAR($F43)+$G43=W$3,(MONTH($F43)-1)/12,IF(YEAR($F43)+$G43&lt;W$3,0,1)),IF(YEAR($F43)&gt;W$3,0,(12-MONTH($F43)+1)/12)),IF(YEAR($F43)&gt;W$3,0,VDB($D43,$E43,$G43,IF(YEAR($F43)=W$3,0,MIN($G43,(DATE(W$3,1,1)-$F43)/365)),MIN($G43,(DATE(W$3,12,31)-$F43)/365),$I43))))</f>
        <v>0</v>
      </c>
      <c r="X64" s="833" t="n">
        <f aca="false">IF($D43=0,0,IF($H43="SL",SLN($D43,$E43,$G43)*IF(YEAR($F43)&lt;X$3,IF(YEAR($F43)+$G43=X$3,(MONTH($F43)-1)/12,IF(YEAR($F43)+$G43&lt;X$3,0,1)),IF(YEAR($F43)&gt;X$3,0,(12-MONTH($F43)+1)/12)),IF(YEAR($F43)&gt;X$3,0,VDB($D43,$E43,$G43,IF(YEAR($F43)=X$3,0,MIN($G43,(DATE(X$3,1,1)-$F43)/365)),MIN($G43,(DATE(X$3,12,31)-$F43)/365),$I43))))</f>
        <v>0</v>
      </c>
      <c r="Y64" s="833" t="n">
        <f aca="false">IF($D43=0,0,IF($H43="SL",SLN($D43,$E43,$G43)*IF(YEAR($F43)&lt;Y$3,IF(YEAR($F43)+$G43=Y$3,(MONTH($F43)-1)/12,IF(YEAR($F43)+$G43&lt;Y$3,0,1)),IF(YEAR($F43)&gt;Y$3,0,(12-MONTH($F43)+1)/12)),IF(YEAR($F43)&gt;Y$3,0,VDB($D43,$E43,$G43,IF(YEAR($F43)=Y$3,0,MIN($G43,(DATE(Y$3,1,1)-$F43)/365)),MIN($G43,(DATE(Y$3,12,31)-$F43)/365),$I43))))</f>
        <v>0</v>
      </c>
      <c r="Z64" s="833" t="n">
        <f aca="false">IF($D43=0,0,IF($H43="SL",SLN($D43,$E43,$G43)*IF(YEAR($F43)&lt;Z$3,IF(YEAR($F43)+$G43=Z$3,(MONTH($F43)-1)/12,IF(YEAR($F43)+$G43&lt;Z$3,0,1)),IF(YEAR($F43)&gt;Z$3,0,(12-MONTH($F43)+1)/12)),IF(YEAR($F43)&gt;Z$3,0,VDB($D43,$E43,$G43,IF(YEAR($F43)=Z$3,0,MIN($G43,(DATE(Z$3,1,1)-$F43)/365)),MIN($G43,(DATE(Z$3,12,31)-$F43)/365),$I43))))</f>
        <v>0</v>
      </c>
      <c r="AA64" s="833" t="n">
        <f aca="false">IF($D43=0,0,IF($H43="SL",SLN($D43,$E43,$G43)*IF(YEAR($F43)&lt;AA$3,IF(YEAR($F43)+$G43=AA$3,(MONTH($F43)-1)/12,IF(YEAR($F43)+$G43&lt;AA$3,0,1)),IF(YEAR($F43)&gt;AA$3,0,(12-MONTH($F43)+1)/12)),IF(YEAR($F43)&gt;AA$3,0,VDB($D43,$E43,$G43,IF(YEAR($F43)=AA$3,0,MIN($G43,(DATE(AA$3,1,1)-$F43)/365)),MIN($G43,(DATE(AA$3,12,31)-$F43)/365),$I43))))</f>
        <v>0</v>
      </c>
      <c r="AB64" s="833" t="n">
        <f aca="false">IF($D43=0,0,IF($H43="SL",SLN($D43,$E43,$G43)*IF(YEAR($F43)&lt;AB$3,IF(YEAR($F43)+$G43=AB$3,(MONTH($F43)-1)/12,IF(YEAR($F43)+$G43&lt;AB$3,0,1)),IF(YEAR($F43)&gt;AB$3,0,(12-MONTH($F43)+1)/12)),IF(YEAR($F43)&gt;AB$3,0,VDB($D43,$E43,$G43,IF(YEAR($F43)=AB$3,0,MIN($G43,(DATE(AB$3,1,1)-$F43)/365)),MIN($G43,(DATE(AB$3,12,31)-$F43)/365),$I43))))</f>
        <v>0</v>
      </c>
      <c r="AC64" s="833" t="n">
        <f aca="false">IF($D43=0,0,IF($H43="SL",SLN($D43,$E43,$G43)*IF(YEAR($F43)&lt;AC$3,IF(YEAR($F43)+$G43=AC$3,(MONTH($F43)-1)/12,IF(YEAR($F43)+$G43&lt;AC$3,0,1)),IF(YEAR($F43)&gt;AC$3,0,(12-MONTH($F43)+1)/12)),IF(YEAR($F43)&gt;AC$3,0,VDB($D43,$E43,$G43,IF(YEAR($F43)=AC$3,0,MIN($G43,(DATE(AC$3,1,1)-$F43)/365)),MIN($G43,(DATE(AC$3,12,31)-$F43)/365),$I43))))</f>
        <v>0</v>
      </c>
      <c r="AD64" s="833" t="n">
        <f aca="false">IF($D43=0,0,IF($H43="SL",SLN($D43,$E43,$G43)*IF(YEAR($F43)&lt;AD$3,IF(YEAR($F43)+$G43=AD$3,(MONTH($F43)-1)/12,IF(YEAR($F43)+$G43&lt;AD$3,0,1)),IF(YEAR($F43)&gt;AD$3,0,(12-MONTH($F43)+1)/12)),IF(YEAR($F43)&gt;AD$3,0,VDB($D43,$E43,$G43,IF(YEAR($F43)=AD$3,0,MIN($G43,(DATE(AD$3,1,1)-$F43)/365)),MIN($G43,(DATE(AD$3,12,31)-$F43)/365),$I43))))</f>
        <v>0</v>
      </c>
      <c r="AE64" s="833" t="n">
        <f aca="false">IF($D43=0,0,IF($H43="SL",SLN($D43,$E43,$G43)*IF(YEAR($F43)&lt;AE$3,IF(YEAR($F43)+$G43=AE$3,(MONTH($F43)-1)/12,IF(YEAR($F43)+$G43&lt;AE$3,0,1)),IF(YEAR($F43)&gt;AE$3,0,(12-MONTH($F43)+1)/12)),IF(YEAR($F43)&gt;AE$3,0,VDB($D43,$E43,$G43,IF(YEAR($F43)=AE$3,0,MIN($G43,(DATE(AE$3,1,1)-$F43)/365)),MIN($G43,(DATE(AE$3,12,31)-$F43)/365),$I43))))</f>
        <v>0</v>
      </c>
      <c r="AF64" s="833" t="n">
        <f aca="false">IF($D43=0,0,IF($H43="SL",SLN($D43,$E43,$G43)*IF(YEAR($F43)&lt;AF$3,IF(YEAR($F43)+$G43=AF$3,(MONTH($F43)-1)/12,IF(YEAR($F43)+$G43&lt;AF$3,0,1)),IF(YEAR($F43)&gt;AF$3,0,(12-MONTH($F43)+1)/12)),IF(YEAR($F43)&gt;AF$3,0,VDB($D43,$E43,$G43,IF(YEAR($F43)=AF$3,0,MIN($G43,(DATE(AF$3,1,1)-$F43)/365)),MIN($G43,(DATE(AF$3,12,31)-$F43)/365),$I43))))</f>
        <v>0</v>
      </c>
    </row>
    <row r="65" customFormat="false" ht="11.25" hidden="true" customHeight="false" outlineLevel="1" collapsed="false">
      <c r="C65" s="748" t="str">
        <f aca="false">+C44</f>
        <v>Asset 4</v>
      </c>
      <c r="I65" s="833" t="n">
        <f aca="false">IF(D44=0,0,IF($H44="SL",SLN($D44,$E44,$G44)*IF(YEAR($F44)&lt;(J$3-1),IF(YEAR($F44)+$G44=J$3-1,(MONTH($F44)-1)/12,IF(YEAR($F44)+$G44&lt;J$3-1,0,1)),IF(YEAR($F44)&gt;J$3-1,0,(12-MONTH($F44)+1)/12)),IF(YEAR($F44)&gt;J$3-1,0,VDB($D44,$E44,$G44,IF(YEAR($F44)=J$3-1,0,MIN($G44,(DATE(J$3-1,1,1)-$F44)/365)),MIN($G44,(DATE(J$3-1,12,31)-$F44)/365),$I44))))</f>
        <v>0</v>
      </c>
      <c r="J65" s="833" t="n">
        <f aca="false">IF($D44=0,0,IF($H44="SL",SLN($D44,$E44,$G44)*IF(YEAR($F44)&lt;J$3,IF(YEAR($F44)+$G44=J$3,(MONTH($F44)-1)/12,IF(YEAR($F44)+$G44&lt;J$3,0,1)),IF(YEAR($F44)&gt;J$3,0,(12-MONTH($F44)+1)/12)),IF(YEAR($F44)&gt;J$3,0,VDB($D44,$E44,$G44,IF(YEAR($F44)=J$3,0,MIN($G44,(DATE(J$3,1,1)-$F44)/365)),MIN($G44,(DATE(J$3,12,31)-$F44)/365),$I44))))</f>
        <v>0</v>
      </c>
      <c r="K65" s="833" t="n">
        <f aca="false">IF($D44=0,0,IF($H44="SL",SLN($D44,$E44,$G44)*IF(YEAR($F44)&lt;K$3,IF(YEAR($F44)+$G44=K$3,(MONTH($F44)-1)/12,IF(YEAR($F44)+$G44&lt;K$3,0,1)),IF(YEAR($F44)&gt;K$3,0,(12-MONTH($F44)+1)/12)),IF(YEAR($F44)&gt;K$3,0,VDB($D44,$E44,$G44,IF(YEAR($F44)=K$3,0,MIN($G44,(DATE(K$3,1,1)-$F44)/365)),MIN($G44,(DATE(K$3,12,31)-$F44)/365),$I44))))</f>
        <v>0</v>
      </c>
      <c r="L65" s="833" t="n">
        <f aca="false">IF($D44=0,0,IF($H44="SL",SLN($D44,$E44,$G44)*IF(YEAR($F44)&lt;L$3,IF(YEAR($F44)+$G44=L$3,(MONTH($F44)-1)/12,IF(YEAR($F44)+$G44&lt;L$3,0,1)),IF(YEAR($F44)&gt;L$3,0,(12-MONTH($F44)+1)/12)),IF(YEAR($F44)&gt;L$3,0,VDB($D44,$E44,$G44,IF(YEAR($F44)=L$3,0,MIN($G44,(DATE(L$3,1,1)-$F44)/365)),MIN($G44,(DATE(L$3,12,31)-$F44)/365),$I44))))</f>
        <v>0</v>
      </c>
      <c r="M65" s="833" t="n">
        <f aca="false">IF($D44=0,0,IF($H44="SL",SLN($D44,$E44,$G44)*IF(YEAR($F44)&lt;M$3,IF(YEAR($F44)+$G44=M$3,(MONTH($F44)-1)/12,IF(YEAR($F44)+$G44&lt;M$3,0,1)),IF(YEAR($F44)&gt;M$3,0,(12-MONTH($F44)+1)/12)),IF(YEAR($F44)&gt;M$3,0,VDB($D44,$E44,$G44,IF(YEAR($F44)=M$3,0,MIN($G44,(DATE(M$3,1,1)-$F44)/365)),MIN($G44,(DATE(M$3,12,31)-$F44)/365),$I44))))</f>
        <v>0</v>
      </c>
      <c r="N65" s="833" t="n">
        <f aca="false">IF($D44=0,0,IF($H44="SL",SLN($D44,$E44,$G44)*IF(YEAR($F44)&lt;N$3,IF(YEAR($F44)+$G44=N$3,(MONTH($F44)-1)/12,IF(YEAR($F44)+$G44&lt;N$3,0,1)),IF(YEAR($F44)&gt;N$3,0,(12-MONTH($F44)+1)/12)),IF(YEAR($F44)&gt;N$3,0,VDB($D44,$E44,$G44,IF(YEAR($F44)=N$3,0,MIN($G44,(DATE(N$3,1,1)-$F44)/365)),MIN($G44,(DATE(N$3,12,31)-$F44)/365),$I44))))</f>
        <v>0</v>
      </c>
      <c r="O65" s="833" t="n">
        <f aca="false">IF($D44=0,0,IF($H44="SL",SLN($D44,$E44,$G44)*IF(YEAR($F44)&lt;O$3,IF(YEAR($F44)+$G44=O$3,(MONTH($F44)-1)/12,IF(YEAR($F44)+$G44&lt;O$3,0,1)),IF(YEAR($F44)&gt;O$3,0,(12-MONTH($F44)+1)/12)),IF(YEAR($F44)&gt;O$3,0,VDB($D44,$E44,$G44,IF(YEAR($F44)=O$3,0,MIN($G44,(DATE(O$3,1,1)-$F44)/365)),MIN($G44,(DATE(O$3,12,31)-$F44)/365),$I44))))</f>
        <v>0</v>
      </c>
      <c r="P65" s="833" t="n">
        <f aca="false">IF($D44=0,0,IF($H44="SL",SLN($D44,$E44,$G44)*IF(YEAR($F44)&lt;P$3,IF(YEAR($F44)+$G44=P$3,(MONTH($F44)-1)/12,IF(YEAR($F44)+$G44&lt;P$3,0,1)),IF(YEAR($F44)&gt;P$3,0,(12-MONTH($F44)+1)/12)),IF(YEAR($F44)&gt;P$3,0,VDB($D44,$E44,$G44,IF(YEAR($F44)=P$3,0,MIN($G44,(DATE(P$3,1,1)-$F44)/365)),MIN($G44,(DATE(P$3,12,31)-$F44)/365),$I44))))</f>
        <v>0</v>
      </c>
      <c r="Q65" s="833" t="n">
        <f aca="false">IF($D44=0,0,IF($H44="SL",SLN($D44,$E44,$G44)*IF(YEAR($F44)&lt;Q$3,IF(YEAR($F44)+$G44=Q$3,(MONTH($F44)-1)/12,IF(YEAR($F44)+$G44&lt;Q$3,0,1)),IF(YEAR($F44)&gt;Q$3,0,(12-MONTH($F44)+1)/12)),IF(YEAR($F44)&gt;Q$3,0,VDB($D44,$E44,$G44,IF(YEAR($F44)=Q$3,0,MIN($G44,(DATE(Q$3,1,1)-$F44)/365)),MIN($G44,(DATE(Q$3,12,31)-$F44)/365),$I44))))</f>
        <v>0</v>
      </c>
      <c r="R65" s="833" t="n">
        <f aca="false">IF($D44=0,0,IF($H44="SL",SLN($D44,$E44,$G44)*IF(YEAR($F44)&lt;R$3,IF(YEAR($F44)+$G44=R$3,(MONTH($F44)-1)/12,IF(YEAR($F44)+$G44&lt;R$3,0,1)),IF(YEAR($F44)&gt;R$3,0,(12-MONTH($F44)+1)/12)),IF(YEAR($F44)&gt;R$3,0,VDB($D44,$E44,$G44,IF(YEAR($F44)=R$3,0,MIN($G44,(DATE(R$3,1,1)-$F44)/365)),MIN($G44,(DATE(R$3,12,31)-$F44)/365),$I44))))</f>
        <v>0</v>
      </c>
      <c r="S65" s="833" t="n">
        <f aca="false">IF($D44=0,0,IF($H44="SL",SLN($D44,$E44,$G44)*IF(YEAR($F44)&lt;S$3,IF(YEAR($F44)+$G44=S$3,(MONTH($F44)-1)/12,IF(YEAR($F44)+$G44&lt;S$3,0,1)),IF(YEAR($F44)&gt;S$3,0,(12-MONTH($F44)+1)/12)),IF(YEAR($F44)&gt;S$3,0,VDB($D44,$E44,$G44,IF(YEAR($F44)=S$3,0,MIN($G44,(DATE(S$3,1,1)-$F44)/365)),MIN($G44,(DATE(S$3,12,31)-$F44)/365),$I44))))</f>
        <v>0</v>
      </c>
      <c r="T65" s="833" t="n">
        <f aca="false">IF($D44=0,0,IF($H44="SL",SLN($D44,$E44,$G44)*IF(YEAR($F44)&lt;T$3,IF(YEAR($F44)+$G44=T$3,(MONTH($F44)-1)/12,IF(YEAR($F44)+$G44&lt;T$3,0,1)),IF(YEAR($F44)&gt;T$3,0,(12-MONTH($F44)+1)/12)),IF(YEAR($F44)&gt;T$3,0,VDB($D44,$E44,$G44,IF(YEAR($F44)=T$3,0,MIN($G44,(DATE(T$3,1,1)-$F44)/365)),MIN($G44,(DATE(T$3,12,31)-$F44)/365),$I44))))</f>
        <v>0</v>
      </c>
      <c r="U65" s="833" t="n">
        <f aca="false">IF($D44=0,0,IF($H44="SL",SLN($D44,$E44,$G44)*IF(YEAR($F44)&lt;U$3,IF(YEAR($F44)+$G44=U$3,(MONTH($F44)-1)/12,IF(YEAR($F44)+$G44&lt;U$3,0,1)),IF(YEAR($F44)&gt;U$3,0,(12-MONTH($F44)+1)/12)),IF(YEAR($F44)&gt;U$3,0,VDB($D44,$E44,$G44,IF(YEAR($F44)=U$3,0,MIN($G44,(DATE(U$3,1,1)-$F44)/365)),MIN($G44,(DATE(U$3,12,31)-$F44)/365),$I44))))</f>
        <v>0</v>
      </c>
      <c r="V65" s="833" t="n">
        <f aca="false">IF($D44=0,0,IF($H44="SL",SLN($D44,$E44,$G44)*IF(YEAR($F44)&lt;V$3,IF(YEAR($F44)+$G44=V$3,(MONTH($F44)-1)/12,IF(YEAR($F44)+$G44&lt;V$3,0,1)),IF(YEAR($F44)&gt;V$3,0,(12-MONTH($F44)+1)/12)),IF(YEAR($F44)&gt;V$3,0,VDB($D44,$E44,$G44,IF(YEAR($F44)=V$3,0,MIN($G44,(DATE(V$3,1,1)-$F44)/365)),MIN($G44,(DATE(V$3,12,31)-$F44)/365),$I44))))</f>
        <v>0</v>
      </c>
      <c r="W65" s="833" t="n">
        <f aca="false">IF($D44=0,0,IF($H44="SL",SLN($D44,$E44,$G44)*IF(YEAR($F44)&lt;W$3,IF(YEAR($F44)+$G44=W$3,(MONTH($F44)-1)/12,IF(YEAR($F44)+$G44&lt;W$3,0,1)),IF(YEAR($F44)&gt;W$3,0,(12-MONTH($F44)+1)/12)),IF(YEAR($F44)&gt;W$3,0,VDB($D44,$E44,$G44,IF(YEAR($F44)=W$3,0,MIN($G44,(DATE(W$3,1,1)-$F44)/365)),MIN($G44,(DATE(W$3,12,31)-$F44)/365),$I44))))</f>
        <v>0</v>
      </c>
      <c r="X65" s="833" t="n">
        <f aca="false">IF($D44=0,0,IF($H44="SL",SLN($D44,$E44,$G44)*IF(YEAR($F44)&lt;X$3,IF(YEAR($F44)+$G44=X$3,(MONTH($F44)-1)/12,IF(YEAR($F44)+$G44&lt;X$3,0,1)),IF(YEAR($F44)&gt;X$3,0,(12-MONTH($F44)+1)/12)),IF(YEAR($F44)&gt;X$3,0,VDB($D44,$E44,$G44,IF(YEAR($F44)=X$3,0,MIN($G44,(DATE(X$3,1,1)-$F44)/365)),MIN($G44,(DATE(X$3,12,31)-$F44)/365),$I44))))</f>
        <v>0</v>
      </c>
      <c r="Y65" s="833" t="n">
        <f aca="false">IF($D44=0,0,IF($H44="SL",SLN($D44,$E44,$G44)*IF(YEAR($F44)&lt;Y$3,IF(YEAR($F44)+$G44=Y$3,(MONTH($F44)-1)/12,IF(YEAR($F44)+$G44&lt;Y$3,0,1)),IF(YEAR($F44)&gt;Y$3,0,(12-MONTH($F44)+1)/12)),IF(YEAR($F44)&gt;Y$3,0,VDB($D44,$E44,$G44,IF(YEAR($F44)=Y$3,0,MIN($G44,(DATE(Y$3,1,1)-$F44)/365)),MIN($G44,(DATE(Y$3,12,31)-$F44)/365),$I44))))</f>
        <v>0</v>
      </c>
      <c r="Z65" s="833" t="n">
        <f aca="false">IF($D44=0,0,IF($H44="SL",SLN($D44,$E44,$G44)*IF(YEAR($F44)&lt;Z$3,IF(YEAR($F44)+$G44=Z$3,(MONTH($F44)-1)/12,IF(YEAR($F44)+$G44&lt;Z$3,0,1)),IF(YEAR($F44)&gt;Z$3,0,(12-MONTH($F44)+1)/12)),IF(YEAR($F44)&gt;Z$3,0,VDB($D44,$E44,$G44,IF(YEAR($F44)=Z$3,0,MIN($G44,(DATE(Z$3,1,1)-$F44)/365)),MIN($G44,(DATE(Z$3,12,31)-$F44)/365),$I44))))</f>
        <v>0</v>
      </c>
      <c r="AA65" s="833" t="n">
        <f aca="false">IF($D44=0,0,IF($H44="SL",SLN($D44,$E44,$G44)*IF(YEAR($F44)&lt;AA$3,IF(YEAR($F44)+$G44=AA$3,(MONTH($F44)-1)/12,IF(YEAR($F44)+$G44&lt;AA$3,0,1)),IF(YEAR($F44)&gt;AA$3,0,(12-MONTH($F44)+1)/12)),IF(YEAR($F44)&gt;AA$3,0,VDB($D44,$E44,$G44,IF(YEAR($F44)=AA$3,0,MIN($G44,(DATE(AA$3,1,1)-$F44)/365)),MIN($G44,(DATE(AA$3,12,31)-$F44)/365),$I44))))</f>
        <v>0</v>
      </c>
      <c r="AB65" s="833" t="n">
        <f aca="false">IF($D44=0,0,IF($H44="SL",SLN($D44,$E44,$G44)*IF(YEAR($F44)&lt;AB$3,IF(YEAR($F44)+$G44=AB$3,(MONTH($F44)-1)/12,IF(YEAR($F44)+$G44&lt;AB$3,0,1)),IF(YEAR($F44)&gt;AB$3,0,(12-MONTH($F44)+1)/12)),IF(YEAR($F44)&gt;AB$3,0,VDB($D44,$E44,$G44,IF(YEAR($F44)=AB$3,0,MIN($G44,(DATE(AB$3,1,1)-$F44)/365)),MIN($G44,(DATE(AB$3,12,31)-$F44)/365),$I44))))</f>
        <v>0</v>
      </c>
      <c r="AC65" s="833" t="n">
        <f aca="false">IF($D44=0,0,IF($H44="SL",SLN($D44,$E44,$G44)*IF(YEAR($F44)&lt;AC$3,IF(YEAR($F44)+$G44=AC$3,(MONTH($F44)-1)/12,IF(YEAR($F44)+$G44&lt;AC$3,0,1)),IF(YEAR($F44)&gt;AC$3,0,(12-MONTH($F44)+1)/12)),IF(YEAR($F44)&gt;AC$3,0,VDB($D44,$E44,$G44,IF(YEAR($F44)=AC$3,0,MIN($G44,(DATE(AC$3,1,1)-$F44)/365)),MIN($G44,(DATE(AC$3,12,31)-$F44)/365),$I44))))</f>
        <v>0</v>
      </c>
      <c r="AD65" s="833" t="n">
        <f aca="false">IF($D44=0,0,IF($H44="SL",SLN($D44,$E44,$G44)*IF(YEAR($F44)&lt;AD$3,IF(YEAR($F44)+$G44=AD$3,(MONTH($F44)-1)/12,IF(YEAR($F44)+$G44&lt;AD$3,0,1)),IF(YEAR($F44)&gt;AD$3,0,(12-MONTH($F44)+1)/12)),IF(YEAR($F44)&gt;AD$3,0,VDB($D44,$E44,$G44,IF(YEAR($F44)=AD$3,0,MIN($G44,(DATE(AD$3,1,1)-$F44)/365)),MIN($G44,(DATE(AD$3,12,31)-$F44)/365),$I44))))</f>
        <v>0</v>
      </c>
      <c r="AE65" s="833" t="n">
        <f aca="false">IF($D44=0,0,IF($H44="SL",SLN($D44,$E44,$G44)*IF(YEAR($F44)&lt;AE$3,IF(YEAR($F44)+$G44=AE$3,(MONTH($F44)-1)/12,IF(YEAR($F44)+$G44&lt;AE$3,0,1)),IF(YEAR($F44)&gt;AE$3,0,(12-MONTH($F44)+1)/12)),IF(YEAR($F44)&gt;AE$3,0,VDB($D44,$E44,$G44,IF(YEAR($F44)=AE$3,0,MIN($G44,(DATE(AE$3,1,1)-$F44)/365)),MIN($G44,(DATE(AE$3,12,31)-$F44)/365),$I44))))</f>
        <v>0</v>
      </c>
      <c r="AF65" s="833" t="n">
        <f aca="false">IF($D44=0,0,IF($H44="SL",SLN($D44,$E44,$G44)*IF(YEAR($F44)&lt;AF$3,IF(YEAR($F44)+$G44=AF$3,(MONTH($F44)-1)/12,IF(YEAR($F44)+$G44&lt;AF$3,0,1)),IF(YEAR($F44)&gt;AF$3,0,(12-MONTH($F44)+1)/12)),IF(YEAR($F44)&gt;AF$3,0,VDB($D44,$E44,$G44,IF(YEAR($F44)=AF$3,0,MIN($G44,(DATE(AF$3,1,1)-$F44)/365)),MIN($G44,(DATE(AF$3,12,31)-$F44)/365),$I44))))</f>
        <v>0</v>
      </c>
    </row>
    <row r="66" customFormat="false" ht="11.25" hidden="true" customHeight="false" outlineLevel="1" collapsed="false">
      <c r="C66" s="748" t="str">
        <f aca="false">+C45</f>
        <v>Asset 5</v>
      </c>
      <c r="I66" s="833" t="n">
        <f aca="false">IF(D45=0,0,IF($H45="SL",SLN($D45,$E45,$G45)*IF(YEAR($F45)&lt;(J$3-1),IF(YEAR($F45)+$G45=J$3-1,(MONTH($F45)-1)/12,IF(YEAR($F45)+$G45&lt;J$3-1,0,1)),IF(YEAR($F45)&gt;J$3-1,0,(12-MONTH($F45)+1)/12)),IF(YEAR($F45)&gt;J$3-1,0,VDB($D45,$E45,$G45,IF(YEAR($F45)=J$3-1,0,MIN($G45,(DATE(J$3-1,1,1)-$F45)/365)),MIN($G45,(DATE(J$3-1,12,31)-$F45)/365),$I45))))</f>
        <v>0</v>
      </c>
      <c r="J66" s="833" t="n">
        <f aca="false">IF($D45=0,0,IF($H45="SL",SLN($D45,$E45,$G45)*IF(YEAR($F45)&lt;J$3,IF(YEAR($F45)+$G45=J$3,(MONTH($F45)-1)/12,IF(YEAR($F45)+$G45&lt;J$3,0,1)),IF(YEAR($F45)&gt;J$3,0,(12-MONTH($F45)+1)/12)),IF(YEAR($F45)&gt;J$3,0,VDB($D45,$E45,$G45,IF(YEAR($F45)=J$3,0,MIN($G45,(DATE(J$3,1,1)-$F45)/365)),MIN($G45,(DATE(J$3,12,31)-$F45)/365),$I45))))</f>
        <v>0</v>
      </c>
      <c r="K66" s="833" t="n">
        <f aca="false">IF($D45=0,0,IF($H45="SL",SLN($D45,$E45,$G45)*IF(YEAR($F45)&lt;K$3,IF(YEAR($F45)+$G45=K$3,(MONTH($F45)-1)/12,IF(YEAR($F45)+$G45&lt;K$3,0,1)),IF(YEAR($F45)&gt;K$3,0,(12-MONTH($F45)+1)/12)),IF(YEAR($F45)&gt;K$3,0,VDB($D45,$E45,$G45,IF(YEAR($F45)=K$3,0,MIN($G45,(DATE(K$3,1,1)-$F45)/365)),MIN($G45,(DATE(K$3,12,31)-$F45)/365),$I45))))</f>
        <v>0</v>
      </c>
      <c r="L66" s="833" t="n">
        <f aca="false">IF($D45=0,0,IF($H45="SL",SLN($D45,$E45,$G45)*IF(YEAR($F45)&lt;L$3,IF(YEAR($F45)+$G45=L$3,(MONTH($F45)-1)/12,IF(YEAR($F45)+$G45&lt;L$3,0,1)),IF(YEAR($F45)&gt;L$3,0,(12-MONTH($F45)+1)/12)),IF(YEAR($F45)&gt;L$3,0,VDB($D45,$E45,$G45,IF(YEAR($F45)=L$3,0,MIN($G45,(DATE(L$3,1,1)-$F45)/365)),MIN($G45,(DATE(L$3,12,31)-$F45)/365),$I45))))</f>
        <v>0</v>
      </c>
      <c r="M66" s="833" t="n">
        <f aca="false">IF($D45=0,0,IF($H45="SL",SLN($D45,$E45,$G45)*IF(YEAR($F45)&lt;M$3,IF(YEAR($F45)+$G45=M$3,(MONTH($F45)-1)/12,IF(YEAR($F45)+$G45&lt;M$3,0,1)),IF(YEAR($F45)&gt;M$3,0,(12-MONTH($F45)+1)/12)),IF(YEAR($F45)&gt;M$3,0,VDB($D45,$E45,$G45,IF(YEAR($F45)=M$3,0,MIN($G45,(DATE(M$3,1,1)-$F45)/365)),MIN($G45,(DATE(M$3,12,31)-$F45)/365),$I45))))</f>
        <v>0</v>
      </c>
      <c r="N66" s="833" t="n">
        <f aca="false">IF($D45=0,0,IF($H45="SL",SLN($D45,$E45,$G45)*IF(YEAR($F45)&lt;N$3,IF(YEAR($F45)+$G45=N$3,(MONTH($F45)-1)/12,IF(YEAR($F45)+$G45&lt;N$3,0,1)),IF(YEAR($F45)&gt;N$3,0,(12-MONTH($F45)+1)/12)),IF(YEAR($F45)&gt;N$3,0,VDB($D45,$E45,$G45,IF(YEAR($F45)=N$3,0,MIN($G45,(DATE(N$3,1,1)-$F45)/365)),MIN($G45,(DATE(N$3,12,31)-$F45)/365),$I45))))</f>
        <v>0</v>
      </c>
      <c r="O66" s="833" t="n">
        <f aca="false">IF($D45=0,0,IF($H45="SL",SLN($D45,$E45,$G45)*IF(YEAR($F45)&lt;O$3,IF(YEAR($F45)+$G45=O$3,(MONTH($F45)-1)/12,IF(YEAR($F45)+$G45&lt;O$3,0,1)),IF(YEAR($F45)&gt;O$3,0,(12-MONTH($F45)+1)/12)),IF(YEAR($F45)&gt;O$3,0,VDB($D45,$E45,$G45,IF(YEAR($F45)=O$3,0,MIN($G45,(DATE(O$3,1,1)-$F45)/365)),MIN($G45,(DATE(O$3,12,31)-$F45)/365),$I45))))</f>
        <v>0</v>
      </c>
      <c r="P66" s="833" t="n">
        <f aca="false">IF($D45=0,0,IF($H45="SL",SLN($D45,$E45,$G45)*IF(YEAR($F45)&lt;P$3,IF(YEAR($F45)+$G45=P$3,(MONTH($F45)-1)/12,IF(YEAR($F45)+$G45&lt;P$3,0,1)),IF(YEAR($F45)&gt;P$3,0,(12-MONTH($F45)+1)/12)),IF(YEAR($F45)&gt;P$3,0,VDB($D45,$E45,$G45,IF(YEAR($F45)=P$3,0,MIN($G45,(DATE(P$3,1,1)-$F45)/365)),MIN($G45,(DATE(P$3,12,31)-$F45)/365),$I45))))</f>
        <v>0</v>
      </c>
      <c r="Q66" s="833" t="n">
        <f aca="false">IF($D45=0,0,IF($H45="SL",SLN($D45,$E45,$G45)*IF(YEAR($F45)&lt;Q$3,IF(YEAR($F45)+$G45=Q$3,(MONTH($F45)-1)/12,IF(YEAR($F45)+$G45&lt;Q$3,0,1)),IF(YEAR($F45)&gt;Q$3,0,(12-MONTH($F45)+1)/12)),IF(YEAR($F45)&gt;Q$3,0,VDB($D45,$E45,$G45,IF(YEAR($F45)=Q$3,0,MIN($G45,(DATE(Q$3,1,1)-$F45)/365)),MIN($G45,(DATE(Q$3,12,31)-$F45)/365),$I45))))</f>
        <v>0</v>
      </c>
      <c r="R66" s="833" t="n">
        <f aca="false">IF($D45=0,0,IF($H45="SL",SLN($D45,$E45,$G45)*IF(YEAR($F45)&lt;R$3,IF(YEAR($F45)+$G45=R$3,(MONTH($F45)-1)/12,IF(YEAR($F45)+$G45&lt;R$3,0,1)),IF(YEAR($F45)&gt;R$3,0,(12-MONTH($F45)+1)/12)),IF(YEAR($F45)&gt;R$3,0,VDB($D45,$E45,$G45,IF(YEAR($F45)=R$3,0,MIN($G45,(DATE(R$3,1,1)-$F45)/365)),MIN($G45,(DATE(R$3,12,31)-$F45)/365),$I45))))</f>
        <v>0</v>
      </c>
      <c r="S66" s="833" t="n">
        <f aca="false">IF($D45=0,0,IF($H45="SL",SLN($D45,$E45,$G45)*IF(YEAR($F45)&lt;S$3,IF(YEAR($F45)+$G45=S$3,(MONTH($F45)-1)/12,IF(YEAR($F45)+$G45&lt;S$3,0,1)),IF(YEAR($F45)&gt;S$3,0,(12-MONTH($F45)+1)/12)),IF(YEAR($F45)&gt;S$3,0,VDB($D45,$E45,$G45,IF(YEAR($F45)=S$3,0,MIN($G45,(DATE(S$3,1,1)-$F45)/365)),MIN($G45,(DATE(S$3,12,31)-$F45)/365),$I45))))</f>
        <v>0</v>
      </c>
      <c r="T66" s="833" t="n">
        <f aca="false">IF($D45=0,0,IF($H45="SL",SLN($D45,$E45,$G45)*IF(YEAR($F45)&lt;T$3,IF(YEAR($F45)+$G45=T$3,(MONTH($F45)-1)/12,IF(YEAR($F45)+$G45&lt;T$3,0,1)),IF(YEAR($F45)&gt;T$3,0,(12-MONTH($F45)+1)/12)),IF(YEAR($F45)&gt;T$3,0,VDB($D45,$E45,$G45,IF(YEAR($F45)=T$3,0,MIN($G45,(DATE(T$3,1,1)-$F45)/365)),MIN($G45,(DATE(T$3,12,31)-$F45)/365),$I45))))</f>
        <v>0</v>
      </c>
      <c r="U66" s="833" t="n">
        <f aca="false">IF($D45=0,0,IF($H45="SL",SLN($D45,$E45,$G45)*IF(YEAR($F45)&lt;U$3,IF(YEAR($F45)+$G45=U$3,(MONTH($F45)-1)/12,IF(YEAR($F45)+$G45&lt;U$3,0,1)),IF(YEAR($F45)&gt;U$3,0,(12-MONTH($F45)+1)/12)),IF(YEAR($F45)&gt;U$3,0,VDB($D45,$E45,$G45,IF(YEAR($F45)=U$3,0,MIN($G45,(DATE(U$3,1,1)-$F45)/365)),MIN($G45,(DATE(U$3,12,31)-$F45)/365),$I45))))</f>
        <v>0</v>
      </c>
      <c r="V66" s="833" t="n">
        <f aca="false">IF($D45=0,0,IF($H45="SL",SLN($D45,$E45,$G45)*IF(YEAR($F45)&lt;V$3,IF(YEAR($F45)+$G45=V$3,(MONTH($F45)-1)/12,IF(YEAR($F45)+$G45&lt;V$3,0,1)),IF(YEAR($F45)&gt;V$3,0,(12-MONTH($F45)+1)/12)),IF(YEAR($F45)&gt;V$3,0,VDB($D45,$E45,$G45,IF(YEAR($F45)=V$3,0,MIN($G45,(DATE(V$3,1,1)-$F45)/365)),MIN($G45,(DATE(V$3,12,31)-$F45)/365),$I45))))</f>
        <v>0</v>
      </c>
      <c r="W66" s="833" t="n">
        <f aca="false">IF($D45=0,0,IF($H45="SL",SLN($D45,$E45,$G45)*IF(YEAR($F45)&lt;W$3,IF(YEAR($F45)+$G45=W$3,(MONTH($F45)-1)/12,IF(YEAR($F45)+$G45&lt;W$3,0,1)),IF(YEAR($F45)&gt;W$3,0,(12-MONTH($F45)+1)/12)),IF(YEAR($F45)&gt;W$3,0,VDB($D45,$E45,$G45,IF(YEAR($F45)=W$3,0,MIN($G45,(DATE(W$3,1,1)-$F45)/365)),MIN($G45,(DATE(W$3,12,31)-$F45)/365),$I45))))</f>
        <v>0</v>
      </c>
      <c r="X66" s="833" t="n">
        <f aca="false">IF($D45=0,0,IF($H45="SL",SLN($D45,$E45,$G45)*IF(YEAR($F45)&lt;X$3,IF(YEAR($F45)+$G45=X$3,(MONTH($F45)-1)/12,IF(YEAR($F45)+$G45&lt;X$3,0,1)),IF(YEAR($F45)&gt;X$3,0,(12-MONTH($F45)+1)/12)),IF(YEAR($F45)&gt;X$3,0,VDB($D45,$E45,$G45,IF(YEAR($F45)=X$3,0,MIN($G45,(DATE(X$3,1,1)-$F45)/365)),MIN($G45,(DATE(X$3,12,31)-$F45)/365),$I45))))</f>
        <v>0</v>
      </c>
      <c r="Y66" s="833" t="n">
        <f aca="false">IF($D45=0,0,IF($H45="SL",SLN($D45,$E45,$G45)*IF(YEAR($F45)&lt;Y$3,IF(YEAR($F45)+$G45=Y$3,(MONTH($F45)-1)/12,IF(YEAR($F45)+$G45&lt;Y$3,0,1)),IF(YEAR($F45)&gt;Y$3,0,(12-MONTH($F45)+1)/12)),IF(YEAR($F45)&gt;Y$3,0,VDB($D45,$E45,$G45,IF(YEAR($F45)=Y$3,0,MIN($G45,(DATE(Y$3,1,1)-$F45)/365)),MIN($G45,(DATE(Y$3,12,31)-$F45)/365),$I45))))</f>
        <v>0</v>
      </c>
      <c r="Z66" s="833" t="n">
        <f aca="false">IF($D45=0,0,IF($H45="SL",SLN($D45,$E45,$G45)*IF(YEAR($F45)&lt;Z$3,IF(YEAR($F45)+$G45=Z$3,(MONTH($F45)-1)/12,IF(YEAR($F45)+$G45&lt;Z$3,0,1)),IF(YEAR($F45)&gt;Z$3,0,(12-MONTH($F45)+1)/12)),IF(YEAR($F45)&gt;Z$3,0,VDB($D45,$E45,$G45,IF(YEAR($F45)=Z$3,0,MIN($G45,(DATE(Z$3,1,1)-$F45)/365)),MIN($G45,(DATE(Z$3,12,31)-$F45)/365),$I45))))</f>
        <v>0</v>
      </c>
      <c r="AA66" s="833" t="n">
        <f aca="false">IF($D45=0,0,IF($H45="SL",SLN($D45,$E45,$G45)*IF(YEAR($F45)&lt;AA$3,IF(YEAR($F45)+$G45=AA$3,(MONTH($F45)-1)/12,IF(YEAR($F45)+$G45&lt;AA$3,0,1)),IF(YEAR($F45)&gt;AA$3,0,(12-MONTH($F45)+1)/12)),IF(YEAR($F45)&gt;AA$3,0,VDB($D45,$E45,$G45,IF(YEAR($F45)=AA$3,0,MIN($G45,(DATE(AA$3,1,1)-$F45)/365)),MIN($G45,(DATE(AA$3,12,31)-$F45)/365),$I45))))</f>
        <v>0</v>
      </c>
      <c r="AB66" s="833" t="n">
        <f aca="false">IF($D45=0,0,IF($H45="SL",SLN($D45,$E45,$G45)*IF(YEAR($F45)&lt;AB$3,IF(YEAR($F45)+$G45=AB$3,(MONTH($F45)-1)/12,IF(YEAR($F45)+$G45&lt;AB$3,0,1)),IF(YEAR($F45)&gt;AB$3,0,(12-MONTH($F45)+1)/12)),IF(YEAR($F45)&gt;AB$3,0,VDB($D45,$E45,$G45,IF(YEAR($F45)=AB$3,0,MIN($G45,(DATE(AB$3,1,1)-$F45)/365)),MIN($G45,(DATE(AB$3,12,31)-$F45)/365),$I45))))</f>
        <v>0</v>
      </c>
      <c r="AC66" s="833" t="n">
        <f aca="false">IF($D45=0,0,IF($H45="SL",SLN($D45,$E45,$G45)*IF(YEAR($F45)&lt;AC$3,IF(YEAR($F45)+$G45=AC$3,(MONTH($F45)-1)/12,IF(YEAR($F45)+$G45&lt;AC$3,0,1)),IF(YEAR($F45)&gt;AC$3,0,(12-MONTH($F45)+1)/12)),IF(YEAR($F45)&gt;AC$3,0,VDB($D45,$E45,$G45,IF(YEAR($F45)=AC$3,0,MIN($G45,(DATE(AC$3,1,1)-$F45)/365)),MIN($G45,(DATE(AC$3,12,31)-$F45)/365),$I45))))</f>
        <v>0</v>
      </c>
      <c r="AD66" s="833" t="n">
        <f aca="false">IF($D45=0,0,IF($H45="SL",SLN($D45,$E45,$G45)*IF(YEAR($F45)&lt;AD$3,IF(YEAR($F45)+$G45=AD$3,(MONTH($F45)-1)/12,IF(YEAR($F45)+$G45&lt;AD$3,0,1)),IF(YEAR($F45)&gt;AD$3,0,(12-MONTH($F45)+1)/12)),IF(YEAR($F45)&gt;AD$3,0,VDB($D45,$E45,$G45,IF(YEAR($F45)=AD$3,0,MIN($G45,(DATE(AD$3,1,1)-$F45)/365)),MIN($G45,(DATE(AD$3,12,31)-$F45)/365),$I45))))</f>
        <v>0</v>
      </c>
      <c r="AE66" s="833" t="n">
        <f aca="false">IF($D45=0,0,IF($H45="SL",SLN($D45,$E45,$G45)*IF(YEAR($F45)&lt;AE$3,IF(YEAR($F45)+$G45=AE$3,(MONTH($F45)-1)/12,IF(YEAR($F45)+$G45&lt;AE$3,0,1)),IF(YEAR($F45)&gt;AE$3,0,(12-MONTH($F45)+1)/12)),IF(YEAR($F45)&gt;AE$3,0,VDB($D45,$E45,$G45,IF(YEAR($F45)=AE$3,0,MIN($G45,(DATE(AE$3,1,1)-$F45)/365)),MIN($G45,(DATE(AE$3,12,31)-$F45)/365),$I45))))</f>
        <v>0</v>
      </c>
      <c r="AF66" s="833" t="n">
        <f aca="false">IF($D45=0,0,IF($H45="SL",SLN($D45,$E45,$G45)*IF(YEAR($F45)&lt;AF$3,IF(YEAR($F45)+$G45=AF$3,(MONTH($F45)-1)/12,IF(YEAR($F45)+$G45&lt;AF$3,0,1)),IF(YEAR($F45)&gt;AF$3,0,(12-MONTH($F45)+1)/12)),IF(YEAR($F45)&gt;AF$3,0,VDB($D45,$E45,$G45,IF(YEAR($F45)=AF$3,0,MIN($G45,(DATE(AF$3,1,1)-$F45)/365)),MIN($G45,(DATE(AF$3,12,31)-$F45)/365),$I45))))</f>
        <v>0</v>
      </c>
    </row>
    <row r="67" customFormat="false" ht="11.25" hidden="true" customHeight="false" outlineLevel="1" collapsed="false">
      <c r="C67" s="748" t="str">
        <f aca="false">+C46</f>
        <v>Asset 6</v>
      </c>
      <c r="I67" s="833" t="n">
        <f aca="false">IF(D46=0,0,IF($H46="SL",SLN($D46,$E46,$G46)*IF(YEAR($F46)&lt;(J$3-1),IF(YEAR($F46)+$G46=J$3-1,(MONTH($F46)-1)/12,IF(YEAR($F46)+$G46&lt;J$3-1,0,1)),IF(YEAR($F46)&gt;J$3-1,0,(12-MONTH($F46)+1)/12)),IF(YEAR($F46)&gt;J$3-1,0,VDB($D46,$E46,$G46,IF(YEAR($F46)=J$3-1,0,MIN($G46,(DATE(J$3-1,1,1)-$F46)/365)),MIN($G46,(DATE(J$3-1,12,31)-$F46)/365),$I46))))</f>
        <v>0</v>
      </c>
      <c r="J67" s="833" t="n">
        <f aca="false">IF($D46=0,0,IF($H46="SL",SLN($D46,$E46,$G46)*IF(YEAR($F46)&lt;J$3,IF(YEAR($F46)+$G46=J$3,(MONTH($F46)-1)/12,IF(YEAR($F46)+$G46&lt;J$3,0,1)),IF(YEAR($F46)&gt;J$3,0,(12-MONTH($F46)+1)/12)),IF(YEAR($F46)&gt;J$3,0,VDB($D46,$E46,$G46,IF(YEAR($F46)=J$3,0,MIN($G46,(DATE(J$3,1,1)-$F46)/365)),MIN($G46,(DATE(J$3,12,31)-$F46)/365),$I46))))</f>
        <v>0</v>
      </c>
      <c r="K67" s="833" t="n">
        <f aca="false">IF($D46=0,0,IF($H46="SL",SLN($D46,$E46,$G46)*IF(YEAR($F46)&lt;K$3,IF(YEAR($F46)+$G46=K$3,(MONTH($F46)-1)/12,IF(YEAR($F46)+$G46&lt;K$3,0,1)),IF(YEAR($F46)&gt;K$3,0,(12-MONTH($F46)+1)/12)),IF(YEAR($F46)&gt;K$3,0,VDB($D46,$E46,$G46,IF(YEAR($F46)=K$3,0,MIN($G46,(DATE(K$3,1,1)-$F46)/365)),MIN($G46,(DATE(K$3,12,31)-$F46)/365),$I46))))</f>
        <v>0</v>
      </c>
      <c r="L67" s="833" t="n">
        <f aca="false">IF($D46=0,0,IF($H46="SL",SLN($D46,$E46,$G46)*IF(YEAR($F46)&lt;L$3,IF(YEAR($F46)+$G46=L$3,(MONTH($F46)-1)/12,IF(YEAR($F46)+$G46&lt;L$3,0,1)),IF(YEAR($F46)&gt;L$3,0,(12-MONTH($F46)+1)/12)),IF(YEAR($F46)&gt;L$3,0,VDB($D46,$E46,$G46,IF(YEAR($F46)=L$3,0,MIN($G46,(DATE(L$3,1,1)-$F46)/365)),MIN($G46,(DATE(L$3,12,31)-$F46)/365),$I46))))</f>
        <v>0</v>
      </c>
      <c r="M67" s="833" t="n">
        <f aca="false">IF($D46=0,0,IF($H46="SL",SLN($D46,$E46,$G46)*IF(YEAR($F46)&lt;M$3,IF(YEAR($F46)+$G46=M$3,(MONTH($F46)-1)/12,IF(YEAR($F46)+$G46&lt;M$3,0,1)),IF(YEAR($F46)&gt;M$3,0,(12-MONTH($F46)+1)/12)),IF(YEAR($F46)&gt;M$3,0,VDB($D46,$E46,$G46,IF(YEAR($F46)=M$3,0,MIN($G46,(DATE(M$3,1,1)-$F46)/365)),MIN($G46,(DATE(M$3,12,31)-$F46)/365),$I46))))</f>
        <v>0</v>
      </c>
      <c r="N67" s="833" t="n">
        <f aca="false">IF($D46=0,0,IF($H46="SL",SLN($D46,$E46,$G46)*IF(YEAR($F46)&lt;N$3,IF(YEAR($F46)+$G46=N$3,(MONTH($F46)-1)/12,IF(YEAR($F46)+$G46&lt;N$3,0,1)),IF(YEAR($F46)&gt;N$3,0,(12-MONTH($F46)+1)/12)),IF(YEAR($F46)&gt;N$3,0,VDB($D46,$E46,$G46,IF(YEAR($F46)=N$3,0,MIN($G46,(DATE(N$3,1,1)-$F46)/365)),MIN($G46,(DATE(N$3,12,31)-$F46)/365),$I46))))</f>
        <v>0</v>
      </c>
      <c r="O67" s="833" t="n">
        <f aca="false">IF($D46=0,0,IF($H46="SL",SLN($D46,$E46,$G46)*IF(YEAR($F46)&lt;O$3,IF(YEAR($F46)+$G46=O$3,(MONTH($F46)-1)/12,IF(YEAR($F46)+$G46&lt;O$3,0,1)),IF(YEAR($F46)&gt;O$3,0,(12-MONTH($F46)+1)/12)),IF(YEAR($F46)&gt;O$3,0,VDB($D46,$E46,$G46,IF(YEAR($F46)=O$3,0,MIN($G46,(DATE(O$3,1,1)-$F46)/365)),MIN($G46,(DATE(O$3,12,31)-$F46)/365),$I46))))</f>
        <v>0</v>
      </c>
      <c r="P67" s="833" t="n">
        <f aca="false">IF($D46=0,0,IF($H46="SL",SLN($D46,$E46,$G46)*IF(YEAR($F46)&lt;P$3,IF(YEAR($F46)+$G46=P$3,(MONTH($F46)-1)/12,IF(YEAR($F46)+$G46&lt;P$3,0,1)),IF(YEAR($F46)&gt;P$3,0,(12-MONTH($F46)+1)/12)),IF(YEAR($F46)&gt;P$3,0,VDB($D46,$E46,$G46,IF(YEAR($F46)=P$3,0,MIN($G46,(DATE(P$3,1,1)-$F46)/365)),MIN($G46,(DATE(P$3,12,31)-$F46)/365),$I46))))</f>
        <v>0</v>
      </c>
      <c r="Q67" s="833" t="n">
        <f aca="false">IF($D46=0,0,IF($H46="SL",SLN($D46,$E46,$G46)*IF(YEAR($F46)&lt;Q$3,IF(YEAR($F46)+$G46=Q$3,(MONTH($F46)-1)/12,IF(YEAR($F46)+$G46&lt;Q$3,0,1)),IF(YEAR($F46)&gt;Q$3,0,(12-MONTH($F46)+1)/12)),IF(YEAR($F46)&gt;Q$3,0,VDB($D46,$E46,$G46,IF(YEAR($F46)=Q$3,0,MIN($G46,(DATE(Q$3,1,1)-$F46)/365)),MIN($G46,(DATE(Q$3,12,31)-$F46)/365),$I46))))</f>
        <v>0</v>
      </c>
      <c r="R67" s="833" t="n">
        <f aca="false">IF($D46=0,0,IF($H46="SL",SLN($D46,$E46,$G46)*IF(YEAR($F46)&lt;R$3,IF(YEAR($F46)+$G46=R$3,(MONTH($F46)-1)/12,IF(YEAR($F46)+$G46&lt;R$3,0,1)),IF(YEAR($F46)&gt;R$3,0,(12-MONTH($F46)+1)/12)),IF(YEAR($F46)&gt;R$3,0,VDB($D46,$E46,$G46,IF(YEAR($F46)=R$3,0,MIN($G46,(DATE(R$3,1,1)-$F46)/365)),MIN($G46,(DATE(R$3,12,31)-$F46)/365),$I46))))</f>
        <v>0</v>
      </c>
      <c r="S67" s="833" t="n">
        <f aca="false">IF($D46=0,0,IF($H46="SL",SLN($D46,$E46,$G46)*IF(YEAR($F46)&lt;S$3,IF(YEAR($F46)+$G46=S$3,(MONTH($F46)-1)/12,IF(YEAR($F46)+$G46&lt;S$3,0,1)),IF(YEAR($F46)&gt;S$3,0,(12-MONTH($F46)+1)/12)),IF(YEAR($F46)&gt;S$3,0,VDB($D46,$E46,$G46,IF(YEAR($F46)=S$3,0,MIN($G46,(DATE(S$3,1,1)-$F46)/365)),MIN($G46,(DATE(S$3,12,31)-$F46)/365),$I46))))</f>
        <v>0</v>
      </c>
      <c r="T67" s="833" t="n">
        <f aca="false">IF($D46=0,0,IF($H46="SL",SLN($D46,$E46,$G46)*IF(YEAR($F46)&lt;T$3,IF(YEAR($F46)+$G46=T$3,(MONTH($F46)-1)/12,IF(YEAR($F46)+$G46&lt;T$3,0,1)),IF(YEAR($F46)&gt;T$3,0,(12-MONTH($F46)+1)/12)),IF(YEAR($F46)&gt;T$3,0,VDB($D46,$E46,$G46,IF(YEAR($F46)=T$3,0,MIN($G46,(DATE(T$3,1,1)-$F46)/365)),MIN($G46,(DATE(T$3,12,31)-$F46)/365),$I46))))</f>
        <v>0</v>
      </c>
      <c r="U67" s="833" t="n">
        <f aca="false">IF($D46=0,0,IF($H46="SL",SLN($D46,$E46,$G46)*IF(YEAR($F46)&lt;U$3,IF(YEAR($F46)+$G46=U$3,(MONTH($F46)-1)/12,IF(YEAR($F46)+$G46&lt;U$3,0,1)),IF(YEAR($F46)&gt;U$3,0,(12-MONTH($F46)+1)/12)),IF(YEAR($F46)&gt;U$3,0,VDB($D46,$E46,$G46,IF(YEAR($F46)=U$3,0,MIN($G46,(DATE(U$3,1,1)-$F46)/365)),MIN($G46,(DATE(U$3,12,31)-$F46)/365),$I46))))</f>
        <v>0</v>
      </c>
      <c r="V67" s="833" t="n">
        <f aca="false">IF($D46=0,0,IF($H46="SL",SLN($D46,$E46,$G46)*IF(YEAR($F46)&lt;V$3,IF(YEAR($F46)+$G46=V$3,(MONTH($F46)-1)/12,IF(YEAR($F46)+$G46&lt;V$3,0,1)),IF(YEAR($F46)&gt;V$3,0,(12-MONTH($F46)+1)/12)),IF(YEAR($F46)&gt;V$3,0,VDB($D46,$E46,$G46,IF(YEAR($F46)=V$3,0,MIN($G46,(DATE(V$3,1,1)-$F46)/365)),MIN($G46,(DATE(V$3,12,31)-$F46)/365),$I46))))</f>
        <v>0</v>
      </c>
      <c r="W67" s="833" t="n">
        <f aca="false">IF($D46=0,0,IF($H46="SL",SLN($D46,$E46,$G46)*IF(YEAR($F46)&lt;W$3,IF(YEAR($F46)+$G46=W$3,(MONTH($F46)-1)/12,IF(YEAR($F46)+$G46&lt;W$3,0,1)),IF(YEAR($F46)&gt;W$3,0,(12-MONTH($F46)+1)/12)),IF(YEAR($F46)&gt;W$3,0,VDB($D46,$E46,$G46,IF(YEAR($F46)=W$3,0,MIN($G46,(DATE(W$3,1,1)-$F46)/365)),MIN($G46,(DATE(W$3,12,31)-$F46)/365),$I46))))</f>
        <v>0</v>
      </c>
      <c r="X67" s="833" t="n">
        <f aca="false">IF($D46=0,0,IF($H46="SL",SLN($D46,$E46,$G46)*IF(YEAR($F46)&lt;X$3,IF(YEAR($F46)+$G46=X$3,(MONTH($F46)-1)/12,IF(YEAR($F46)+$G46&lt;X$3,0,1)),IF(YEAR($F46)&gt;X$3,0,(12-MONTH($F46)+1)/12)),IF(YEAR($F46)&gt;X$3,0,VDB($D46,$E46,$G46,IF(YEAR($F46)=X$3,0,MIN($G46,(DATE(X$3,1,1)-$F46)/365)),MIN($G46,(DATE(X$3,12,31)-$F46)/365),$I46))))</f>
        <v>0</v>
      </c>
      <c r="Y67" s="833" t="n">
        <f aca="false">IF($D46=0,0,IF($H46="SL",SLN($D46,$E46,$G46)*IF(YEAR($F46)&lt;Y$3,IF(YEAR($F46)+$G46=Y$3,(MONTH($F46)-1)/12,IF(YEAR($F46)+$G46&lt;Y$3,0,1)),IF(YEAR($F46)&gt;Y$3,0,(12-MONTH($F46)+1)/12)),IF(YEAR($F46)&gt;Y$3,0,VDB($D46,$E46,$G46,IF(YEAR($F46)=Y$3,0,MIN($G46,(DATE(Y$3,1,1)-$F46)/365)),MIN($G46,(DATE(Y$3,12,31)-$F46)/365),$I46))))</f>
        <v>0</v>
      </c>
      <c r="Z67" s="833" t="n">
        <f aca="false">IF($D46=0,0,IF($H46="SL",SLN($D46,$E46,$G46)*IF(YEAR($F46)&lt;Z$3,IF(YEAR($F46)+$G46=Z$3,(MONTH($F46)-1)/12,IF(YEAR($F46)+$G46&lt;Z$3,0,1)),IF(YEAR($F46)&gt;Z$3,0,(12-MONTH($F46)+1)/12)),IF(YEAR($F46)&gt;Z$3,0,VDB($D46,$E46,$G46,IF(YEAR($F46)=Z$3,0,MIN($G46,(DATE(Z$3,1,1)-$F46)/365)),MIN($G46,(DATE(Z$3,12,31)-$F46)/365),$I46))))</f>
        <v>0</v>
      </c>
      <c r="AA67" s="833" t="n">
        <f aca="false">IF($D46=0,0,IF($H46="SL",SLN($D46,$E46,$G46)*IF(YEAR($F46)&lt;AA$3,IF(YEAR($F46)+$G46=AA$3,(MONTH($F46)-1)/12,IF(YEAR($F46)+$G46&lt;AA$3,0,1)),IF(YEAR($F46)&gt;AA$3,0,(12-MONTH($F46)+1)/12)),IF(YEAR($F46)&gt;AA$3,0,VDB($D46,$E46,$G46,IF(YEAR($F46)=AA$3,0,MIN($G46,(DATE(AA$3,1,1)-$F46)/365)),MIN($G46,(DATE(AA$3,12,31)-$F46)/365),$I46))))</f>
        <v>0</v>
      </c>
      <c r="AB67" s="833" t="n">
        <f aca="false">IF($D46=0,0,IF($H46="SL",SLN($D46,$E46,$G46)*IF(YEAR($F46)&lt;AB$3,IF(YEAR($F46)+$G46=AB$3,(MONTH($F46)-1)/12,IF(YEAR($F46)+$G46&lt;AB$3,0,1)),IF(YEAR($F46)&gt;AB$3,0,(12-MONTH($F46)+1)/12)),IF(YEAR($F46)&gt;AB$3,0,VDB($D46,$E46,$G46,IF(YEAR($F46)=AB$3,0,MIN($G46,(DATE(AB$3,1,1)-$F46)/365)),MIN($G46,(DATE(AB$3,12,31)-$F46)/365),$I46))))</f>
        <v>0</v>
      </c>
      <c r="AC67" s="833" t="n">
        <f aca="false">IF($D46=0,0,IF($H46="SL",SLN($D46,$E46,$G46)*IF(YEAR($F46)&lt;AC$3,IF(YEAR($F46)+$G46=AC$3,(MONTH($F46)-1)/12,IF(YEAR($F46)+$G46&lt;AC$3,0,1)),IF(YEAR($F46)&gt;AC$3,0,(12-MONTH($F46)+1)/12)),IF(YEAR($F46)&gt;AC$3,0,VDB($D46,$E46,$G46,IF(YEAR($F46)=AC$3,0,MIN($G46,(DATE(AC$3,1,1)-$F46)/365)),MIN($G46,(DATE(AC$3,12,31)-$F46)/365),$I46))))</f>
        <v>0</v>
      </c>
      <c r="AD67" s="833" t="n">
        <f aca="false">IF($D46=0,0,IF($H46="SL",SLN($D46,$E46,$G46)*IF(YEAR($F46)&lt;AD$3,IF(YEAR($F46)+$G46=AD$3,(MONTH($F46)-1)/12,IF(YEAR($F46)+$G46&lt;AD$3,0,1)),IF(YEAR($F46)&gt;AD$3,0,(12-MONTH($F46)+1)/12)),IF(YEAR($F46)&gt;AD$3,0,VDB($D46,$E46,$G46,IF(YEAR($F46)=AD$3,0,MIN($G46,(DATE(AD$3,1,1)-$F46)/365)),MIN($G46,(DATE(AD$3,12,31)-$F46)/365),$I46))))</f>
        <v>0</v>
      </c>
      <c r="AE67" s="833" t="n">
        <f aca="false">IF($D46=0,0,IF($H46="SL",SLN($D46,$E46,$G46)*IF(YEAR($F46)&lt;AE$3,IF(YEAR($F46)+$G46=AE$3,(MONTH($F46)-1)/12,IF(YEAR($F46)+$G46&lt;AE$3,0,1)),IF(YEAR($F46)&gt;AE$3,0,(12-MONTH($F46)+1)/12)),IF(YEAR($F46)&gt;AE$3,0,VDB($D46,$E46,$G46,IF(YEAR($F46)=AE$3,0,MIN($G46,(DATE(AE$3,1,1)-$F46)/365)),MIN($G46,(DATE(AE$3,12,31)-$F46)/365),$I46))))</f>
        <v>0</v>
      </c>
      <c r="AF67" s="833" t="n">
        <f aca="false">IF($D46=0,0,IF($H46="SL",SLN($D46,$E46,$G46)*IF(YEAR($F46)&lt;AF$3,IF(YEAR($F46)+$G46=AF$3,(MONTH($F46)-1)/12,IF(YEAR($F46)+$G46&lt;AF$3,0,1)),IF(YEAR($F46)&gt;AF$3,0,(12-MONTH($F46)+1)/12)),IF(YEAR($F46)&gt;AF$3,0,VDB($D46,$E46,$G46,IF(YEAR($F46)=AF$3,0,MIN($G46,(DATE(AF$3,1,1)-$F46)/365)),MIN($G46,(DATE(AF$3,12,31)-$F46)/365),$I46))))</f>
        <v>0</v>
      </c>
    </row>
    <row r="68" customFormat="false" ht="11.25" hidden="true" customHeight="false" outlineLevel="1" collapsed="false">
      <c r="C68" s="748" t="str">
        <f aca="false">+C47</f>
        <v>Asset 7</v>
      </c>
      <c r="I68" s="833" t="n">
        <f aca="false">IF(D47=0,0,IF($H47="SL",SLN($D47,$E47,$G47)*IF(YEAR($F47)&lt;(J$3-1),IF(YEAR($F47)+$G47=J$3-1,(MONTH($F47)-1)/12,IF(YEAR($F47)+$G47&lt;J$3-1,0,1)),IF(YEAR($F47)&gt;J$3-1,0,(12-MONTH($F47)+1)/12)),IF(YEAR($F47)&gt;J$3-1,0,VDB($D47,$E47,$G47,IF(YEAR($F47)=J$3-1,0,MIN($G47,(DATE(J$3-1,1,1)-$F47)/365)),MIN($G47,(DATE(J$3-1,12,31)-$F47)/365),$I47))))</f>
        <v>0</v>
      </c>
      <c r="J68" s="833" t="n">
        <f aca="false">IF($D47=0,0,IF($H47="SL",SLN($D47,$E47,$G47)*IF(YEAR($F47)&lt;J$3,IF(YEAR($F47)+$G47=J$3,(MONTH($F47)-1)/12,IF(YEAR($F47)+$G47&lt;J$3,0,1)),IF(YEAR($F47)&gt;J$3,0,(12-MONTH($F47)+1)/12)),IF(YEAR($F47)&gt;J$3,0,VDB($D47,$E47,$G47,IF(YEAR($F47)=J$3,0,MIN($G47,(DATE(J$3,1,1)-$F47)/365)),MIN($G47,(DATE(J$3,12,31)-$F47)/365),$I47))))</f>
        <v>0</v>
      </c>
      <c r="K68" s="833" t="n">
        <f aca="false">IF($D47=0,0,IF($H47="SL",SLN($D47,$E47,$G47)*IF(YEAR($F47)&lt;K$3,IF(YEAR($F47)+$G47=K$3,(MONTH($F47)-1)/12,IF(YEAR($F47)+$G47&lt;K$3,0,1)),IF(YEAR($F47)&gt;K$3,0,(12-MONTH($F47)+1)/12)),IF(YEAR($F47)&gt;K$3,0,VDB($D47,$E47,$G47,IF(YEAR($F47)=K$3,0,MIN($G47,(DATE(K$3,1,1)-$F47)/365)),MIN($G47,(DATE(K$3,12,31)-$F47)/365),$I47))))</f>
        <v>0</v>
      </c>
      <c r="L68" s="833" t="n">
        <f aca="false">IF($D47=0,0,IF($H47="SL",SLN($D47,$E47,$G47)*IF(YEAR($F47)&lt;L$3,IF(YEAR($F47)+$G47=L$3,(MONTH($F47)-1)/12,IF(YEAR($F47)+$G47&lt;L$3,0,1)),IF(YEAR($F47)&gt;L$3,0,(12-MONTH($F47)+1)/12)),IF(YEAR($F47)&gt;L$3,0,VDB($D47,$E47,$G47,IF(YEAR($F47)=L$3,0,MIN($G47,(DATE(L$3,1,1)-$F47)/365)),MIN($G47,(DATE(L$3,12,31)-$F47)/365),$I47))))</f>
        <v>0</v>
      </c>
      <c r="M68" s="833" t="n">
        <f aca="false">IF($D47=0,0,IF($H47="SL",SLN($D47,$E47,$G47)*IF(YEAR($F47)&lt;M$3,IF(YEAR($F47)+$G47=M$3,(MONTH($F47)-1)/12,IF(YEAR($F47)+$G47&lt;M$3,0,1)),IF(YEAR($F47)&gt;M$3,0,(12-MONTH($F47)+1)/12)),IF(YEAR($F47)&gt;M$3,0,VDB($D47,$E47,$G47,IF(YEAR($F47)=M$3,0,MIN($G47,(DATE(M$3,1,1)-$F47)/365)),MIN($G47,(DATE(M$3,12,31)-$F47)/365),$I47))))</f>
        <v>0</v>
      </c>
      <c r="N68" s="833" t="n">
        <f aca="false">IF($D47=0,0,IF($H47="SL",SLN($D47,$E47,$G47)*IF(YEAR($F47)&lt;N$3,IF(YEAR($F47)+$G47=N$3,(MONTH($F47)-1)/12,IF(YEAR($F47)+$G47&lt;N$3,0,1)),IF(YEAR($F47)&gt;N$3,0,(12-MONTH($F47)+1)/12)),IF(YEAR($F47)&gt;N$3,0,VDB($D47,$E47,$G47,IF(YEAR($F47)=N$3,0,MIN($G47,(DATE(N$3,1,1)-$F47)/365)),MIN($G47,(DATE(N$3,12,31)-$F47)/365),$I47))))</f>
        <v>0</v>
      </c>
      <c r="O68" s="833" t="n">
        <f aca="false">IF($D47=0,0,IF($H47="SL",SLN($D47,$E47,$G47)*IF(YEAR($F47)&lt;O$3,IF(YEAR($F47)+$G47=O$3,(MONTH($F47)-1)/12,IF(YEAR($F47)+$G47&lt;O$3,0,1)),IF(YEAR($F47)&gt;O$3,0,(12-MONTH($F47)+1)/12)),IF(YEAR($F47)&gt;O$3,0,VDB($D47,$E47,$G47,IF(YEAR($F47)=O$3,0,MIN($G47,(DATE(O$3,1,1)-$F47)/365)),MIN($G47,(DATE(O$3,12,31)-$F47)/365),$I47))))</f>
        <v>0</v>
      </c>
      <c r="P68" s="833" t="n">
        <f aca="false">IF($D47=0,0,IF($H47="SL",SLN($D47,$E47,$G47)*IF(YEAR($F47)&lt;P$3,IF(YEAR($F47)+$G47=P$3,(MONTH($F47)-1)/12,IF(YEAR($F47)+$G47&lt;P$3,0,1)),IF(YEAR($F47)&gt;P$3,0,(12-MONTH($F47)+1)/12)),IF(YEAR($F47)&gt;P$3,0,VDB($D47,$E47,$G47,IF(YEAR($F47)=P$3,0,MIN($G47,(DATE(P$3,1,1)-$F47)/365)),MIN($G47,(DATE(P$3,12,31)-$F47)/365),$I47))))</f>
        <v>0</v>
      </c>
      <c r="Q68" s="833" t="n">
        <f aca="false">IF($D47=0,0,IF($H47="SL",SLN($D47,$E47,$G47)*IF(YEAR($F47)&lt;Q$3,IF(YEAR($F47)+$G47=Q$3,(MONTH($F47)-1)/12,IF(YEAR($F47)+$G47&lt;Q$3,0,1)),IF(YEAR($F47)&gt;Q$3,0,(12-MONTH($F47)+1)/12)),IF(YEAR($F47)&gt;Q$3,0,VDB($D47,$E47,$G47,IF(YEAR($F47)=Q$3,0,MIN($G47,(DATE(Q$3,1,1)-$F47)/365)),MIN($G47,(DATE(Q$3,12,31)-$F47)/365),$I47))))</f>
        <v>0</v>
      </c>
      <c r="R68" s="833" t="n">
        <f aca="false">IF($D47=0,0,IF($H47="SL",SLN($D47,$E47,$G47)*IF(YEAR($F47)&lt;R$3,IF(YEAR($F47)+$G47=R$3,(MONTH($F47)-1)/12,IF(YEAR($F47)+$G47&lt;R$3,0,1)),IF(YEAR($F47)&gt;R$3,0,(12-MONTH($F47)+1)/12)),IF(YEAR($F47)&gt;R$3,0,VDB($D47,$E47,$G47,IF(YEAR($F47)=R$3,0,MIN($G47,(DATE(R$3,1,1)-$F47)/365)),MIN($G47,(DATE(R$3,12,31)-$F47)/365),$I47))))</f>
        <v>0</v>
      </c>
      <c r="S68" s="833" t="n">
        <f aca="false">IF($D47=0,0,IF($H47="SL",SLN($D47,$E47,$G47)*IF(YEAR($F47)&lt;S$3,IF(YEAR($F47)+$G47=S$3,(MONTH($F47)-1)/12,IF(YEAR($F47)+$G47&lt;S$3,0,1)),IF(YEAR($F47)&gt;S$3,0,(12-MONTH($F47)+1)/12)),IF(YEAR($F47)&gt;S$3,0,VDB($D47,$E47,$G47,IF(YEAR($F47)=S$3,0,MIN($G47,(DATE(S$3,1,1)-$F47)/365)),MIN($G47,(DATE(S$3,12,31)-$F47)/365),$I47))))</f>
        <v>0</v>
      </c>
      <c r="T68" s="833" t="n">
        <f aca="false">IF($D47=0,0,IF($H47="SL",SLN($D47,$E47,$G47)*IF(YEAR($F47)&lt;T$3,IF(YEAR($F47)+$G47=T$3,(MONTH($F47)-1)/12,IF(YEAR($F47)+$G47&lt;T$3,0,1)),IF(YEAR($F47)&gt;T$3,0,(12-MONTH($F47)+1)/12)),IF(YEAR($F47)&gt;T$3,0,VDB($D47,$E47,$G47,IF(YEAR($F47)=T$3,0,MIN($G47,(DATE(T$3,1,1)-$F47)/365)),MIN($G47,(DATE(T$3,12,31)-$F47)/365),$I47))))</f>
        <v>0</v>
      </c>
      <c r="U68" s="833" t="n">
        <f aca="false">IF($D47=0,0,IF($H47="SL",SLN($D47,$E47,$G47)*IF(YEAR($F47)&lt;U$3,IF(YEAR($F47)+$G47=U$3,(MONTH($F47)-1)/12,IF(YEAR($F47)+$G47&lt;U$3,0,1)),IF(YEAR($F47)&gt;U$3,0,(12-MONTH($F47)+1)/12)),IF(YEAR($F47)&gt;U$3,0,VDB($D47,$E47,$G47,IF(YEAR($F47)=U$3,0,MIN($G47,(DATE(U$3,1,1)-$F47)/365)),MIN($G47,(DATE(U$3,12,31)-$F47)/365),$I47))))</f>
        <v>0</v>
      </c>
      <c r="V68" s="833" t="n">
        <f aca="false">IF($D47=0,0,IF($H47="SL",SLN($D47,$E47,$G47)*IF(YEAR($F47)&lt;V$3,IF(YEAR($F47)+$G47=V$3,(MONTH($F47)-1)/12,IF(YEAR($F47)+$G47&lt;V$3,0,1)),IF(YEAR($F47)&gt;V$3,0,(12-MONTH($F47)+1)/12)),IF(YEAR($F47)&gt;V$3,0,VDB($D47,$E47,$G47,IF(YEAR($F47)=V$3,0,MIN($G47,(DATE(V$3,1,1)-$F47)/365)),MIN($G47,(DATE(V$3,12,31)-$F47)/365),$I47))))</f>
        <v>0</v>
      </c>
      <c r="W68" s="833" t="n">
        <f aca="false">IF($D47=0,0,IF($H47="SL",SLN($D47,$E47,$G47)*IF(YEAR($F47)&lt;W$3,IF(YEAR($F47)+$G47=W$3,(MONTH($F47)-1)/12,IF(YEAR($F47)+$G47&lt;W$3,0,1)),IF(YEAR($F47)&gt;W$3,0,(12-MONTH($F47)+1)/12)),IF(YEAR($F47)&gt;W$3,0,VDB($D47,$E47,$G47,IF(YEAR($F47)=W$3,0,MIN($G47,(DATE(W$3,1,1)-$F47)/365)),MIN($G47,(DATE(W$3,12,31)-$F47)/365),$I47))))</f>
        <v>0</v>
      </c>
      <c r="X68" s="833" t="n">
        <f aca="false">IF($D47=0,0,IF($H47="SL",SLN($D47,$E47,$G47)*IF(YEAR($F47)&lt;X$3,IF(YEAR($F47)+$G47=X$3,(MONTH($F47)-1)/12,IF(YEAR($F47)+$G47&lt;X$3,0,1)),IF(YEAR($F47)&gt;X$3,0,(12-MONTH($F47)+1)/12)),IF(YEAR($F47)&gt;X$3,0,VDB($D47,$E47,$G47,IF(YEAR($F47)=X$3,0,MIN($G47,(DATE(X$3,1,1)-$F47)/365)),MIN($G47,(DATE(X$3,12,31)-$F47)/365),$I47))))</f>
        <v>0</v>
      </c>
      <c r="Y68" s="833" t="n">
        <f aca="false">IF($D47=0,0,IF($H47="SL",SLN($D47,$E47,$G47)*IF(YEAR($F47)&lt;Y$3,IF(YEAR($F47)+$G47=Y$3,(MONTH($F47)-1)/12,IF(YEAR($F47)+$G47&lt;Y$3,0,1)),IF(YEAR($F47)&gt;Y$3,0,(12-MONTH($F47)+1)/12)),IF(YEAR($F47)&gt;Y$3,0,VDB($D47,$E47,$G47,IF(YEAR($F47)=Y$3,0,MIN($G47,(DATE(Y$3,1,1)-$F47)/365)),MIN($G47,(DATE(Y$3,12,31)-$F47)/365),$I47))))</f>
        <v>0</v>
      </c>
      <c r="Z68" s="833" t="n">
        <f aca="false">IF($D47=0,0,IF($H47="SL",SLN($D47,$E47,$G47)*IF(YEAR($F47)&lt;Z$3,IF(YEAR($F47)+$G47=Z$3,(MONTH($F47)-1)/12,IF(YEAR($F47)+$G47&lt;Z$3,0,1)),IF(YEAR($F47)&gt;Z$3,0,(12-MONTH($F47)+1)/12)),IF(YEAR($F47)&gt;Z$3,0,VDB($D47,$E47,$G47,IF(YEAR($F47)=Z$3,0,MIN($G47,(DATE(Z$3,1,1)-$F47)/365)),MIN($G47,(DATE(Z$3,12,31)-$F47)/365),$I47))))</f>
        <v>0</v>
      </c>
      <c r="AA68" s="833" t="n">
        <f aca="false">IF($D47=0,0,IF($H47="SL",SLN($D47,$E47,$G47)*IF(YEAR($F47)&lt;AA$3,IF(YEAR($F47)+$G47=AA$3,(MONTH($F47)-1)/12,IF(YEAR($F47)+$G47&lt;AA$3,0,1)),IF(YEAR($F47)&gt;AA$3,0,(12-MONTH($F47)+1)/12)),IF(YEAR($F47)&gt;AA$3,0,VDB($D47,$E47,$G47,IF(YEAR($F47)=AA$3,0,MIN($G47,(DATE(AA$3,1,1)-$F47)/365)),MIN($G47,(DATE(AA$3,12,31)-$F47)/365),$I47))))</f>
        <v>0</v>
      </c>
      <c r="AB68" s="833" t="n">
        <f aca="false">IF($D47=0,0,IF($H47="SL",SLN($D47,$E47,$G47)*IF(YEAR($F47)&lt;AB$3,IF(YEAR($F47)+$G47=AB$3,(MONTH($F47)-1)/12,IF(YEAR($F47)+$G47&lt;AB$3,0,1)),IF(YEAR($F47)&gt;AB$3,0,(12-MONTH($F47)+1)/12)),IF(YEAR($F47)&gt;AB$3,0,VDB($D47,$E47,$G47,IF(YEAR($F47)=AB$3,0,MIN($G47,(DATE(AB$3,1,1)-$F47)/365)),MIN($G47,(DATE(AB$3,12,31)-$F47)/365),$I47))))</f>
        <v>0</v>
      </c>
      <c r="AC68" s="833" t="n">
        <f aca="false">IF($D47=0,0,IF($H47="SL",SLN($D47,$E47,$G47)*IF(YEAR($F47)&lt;AC$3,IF(YEAR($F47)+$G47=AC$3,(MONTH($F47)-1)/12,IF(YEAR($F47)+$G47&lt;AC$3,0,1)),IF(YEAR($F47)&gt;AC$3,0,(12-MONTH($F47)+1)/12)),IF(YEAR($F47)&gt;AC$3,0,VDB($D47,$E47,$G47,IF(YEAR($F47)=AC$3,0,MIN($G47,(DATE(AC$3,1,1)-$F47)/365)),MIN($G47,(DATE(AC$3,12,31)-$F47)/365),$I47))))</f>
        <v>0</v>
      </c>
      <c r="AD68" s="833" t="n">
        <f aca="false">IF($D47=0,0,IF($H47="SL",SLN($D47,$E47,$G47)*IF(YEAR($F47)&lt;AD$3,IF(YEAR($F47)+$G47=AD$3,(MONTH($F47)-1)/12,IF(YEAR($F47)+$G47&lt;AD$3,0,1)),IF(YEAR($F47)&gt;AD$3,0,(12-MONTH($F47)+1)/12)),IF(YEAR($F47)&gt;AD$3,0,VDB($D47,$E47,$G47,IF(YEAR($F47)=AD$3,0,MIN($G47,(DATE(AD$3,1,1)-$F47)/365)),MIN($G47,(DATE(AD$3,12,31)-$F47)/365),$I47))))</f>
        <v>0</v>
      </c>
      <c r="AE68" s="833" t="n">
        <f aca="false">IF($D47=0,0,IF($H47="SL",SLN($D47,$E47,$G47)*IF(YEAR($F47)&lt;AE$3,IF(YEAR($F47)+$G47=AE$3,(MONTH($F47)-1)/12,IF(YEAR($F47)+$G47&lt;AE$3,0,1)),IF(YEAR($F47)&gt;AE$3,0,(12-MONTH($F47)+1)/12)),IF(YEAR($F47)&gt;AE$3,0,VDB($D47,$E47,$G47,IF(YEAR($F47)=AE$3,0,MIN($G47,(DATE(AE$3,1,1)-$F47)/365)),MIN($G47,(DATE(AE$3,12,31)-$F47)/365),$I47))))</f>
        <v>0</v>
      </c>
      <c r="AF68" s="833" t="n">
        <f aca="false">IF($D47=0,0,IF($H47="SL",SLN($D47,$E47,$G47)*IF(YEAR($F47)&lt;AF$3,IF(YEAR($F47)+$G47=AF$3,(MONTH($F47)-1)/12,IF(YEAR($F47)+$G47&lt;AF$3,0,1)),IF(YEAR($F47)&gt;AF$3,0,(12-MONTH($F47)+1)/12)),IF(YEAR($F47)&gt;AF$3,0,VDB($D47,$E47,$G47,IF(YEAR($F47)=AF$3,0,MIN($G47,(DATE(AF$3,1,1)-$F47)/365)),MIN($G47,(DATE(AF$3,12,31)-$F47)/365),$I47))))</f>
        <v>0</v>
      </c>
    </row>
    <row r="69" customFormat="false" ht="11.25" hidden="true" customHeight="false" outlineLevel="1" collapsed="false">
      <c r="C69" s="748" t="str">
        <f aca="false">+C48</f>
        <v>Asset 8</v>
      </c>
      <c r="I69" s="833" t="n">
        <f aca="false">IF(D48=0,0,IF($H48="SL",SLN($D48,$E48,$G48)*IF(YEAR($F48)&lt;(J$3-1),IF(YEAR($F48)+$G48=J$3-1,(MONTH($F48)-1)/12,IF(YEAR($F48)+$G48&lt;J$3-1,0,1)),IF(YEAR($F48)&gt;J$3-1,0,(12-MONTH($F48)+1)/12)),IF(YEAR($F48)&gt;J$3-1,0,VDB($D48,$E48,$G48,IF(YEAR($F48)=J$3-1,0,MIN($G48,(DATE(J$3-1,1,1)-$F48)/365)),MIN($G48,(DATE(J$3-1,12,31)-$F48)/365),$I48))))</f>
        <v>0</v>
      </c>
      <c r="J69" s="833" t="n">
        <f aca="false">IF($D48=0,0,IF($H48="SL",SLN($D48,$E48,$G48)*IF(YEAR($F48)&lt;J$3,IF(YEAR($F48)+$G48=J$3,(MONTH($F48)-1)/12,IF(YEAR($F48)+$G48&lt;J$3,0,1)),IF(YEAR($F48)&gt;J$3,0,(12-MONTH($F48)+1)/12)),IF(YEAR($F48)&gt;J$3,0,VDB($D48,$E48,$G48,IF(YEAR($F48)=J$3,0,MIN($G48,(DATE(J$3,1,1)-$F48)/365)),MIN($G48,(DATE(J$3,12,31)-$F48)/365),$I48))))</f>
        <v>0</v>
      </c>
      <c r="K69" s="833" t="n">
        <f aca="false">IF($D48=0,0,IF($H48="SL",SLN($D48,$E48,$G48)*IF(YEAR($F48)&lt;K$3,IF(YEAR($F48)+$G48=K$3,(MONTH($F48)-1)/12,IF(YEAR($F48)+$G48&lt;K$3,0,1)),IF(YEAR($F48)&gt;K$3,0,(12-MONTH($F48)+1)/12)),IF(YEAR($F48)&gt;K$3,0,VDB($D48,$E48,$G48,IF(YEAR($F48)=K$3,0,MIN($G48,(DATE(K$3,1,1)-$F48)/365)),MIN($G48,(DATE(K$3,12,31)-$F48)/365),$I48))))</f>
        <v>0</v>
      </c>
      <c r="L69" s="833" t="n">
        <f aca="false">IF($D48=0,0,IF($H48="SL",SLN($D48,$E48,$G48)*IF(YEAR($F48)&lt;L$3,IF(YEAR($F48)+$G48=L$3,(MONTH($F48)-1)/12,IF(YEAR($F48)+$G48&lt;L$3,0,1)),IF(YEAR($F48)&gt;L$3,0,(12-MONTH($F48)+1)/12)),IF(YEAR($F48)&gt;L$3,0,VDB($D48,$E48,$G48,IF(YEAR($F48)=L$3,0,MIN($G48,(DATE(L$3,1,1)-$F48)/365)),MIN($G48,(DATE(L$3,12,31)-$F48)/365),$I48))))</f>
        <v>0</v>
      </c>
      <c r="M69" s="833" t="n">
        <f aca="false">IF($D48=0,0,IF($H48="SL",SLN($D48,$E48,$G48)*IF(YEAR($F48)&lt;M$3,IF(YEAR($F48)+$G48=M$3,(MONTH($F48)-1)/12,IF(YEAR($F48)+$G48&lt;M$3,0,1)),IF(YEAR($F48)&gt;M$3,0,(12-MONTH($F48)+1)/12)),IF(YEAR($F48)&gt;M$3,0,VDB($D48,$E48,$G48,IF(YEAR($F48)=M$3,0,MIN($G48,(DATE(M$3,1,1)-$F48)/365)),MIN($G48,(DATE(M$3,12,31)-$F48)/365),$I48))))</f>
        <v>0</v>
      </c>
      <c r="N69" s="833" t="n">
        <f aca="false">IF($D48=0,0,IF($H48="SL",SLN($D48,$E48,$G48)*IF(YEAR($F48)&lt;N$3,IF(YEAR($F48)+$G48=N$3,(MONTH($F48)-1)/12,IF(YEAR($F48)+$G48&lt;N$3,0,1)),IF(YEAR($F48)&gt;N$3,0,(12-MONTH($F48)+1)/12)),IF(YEAR($F48)&gt;N$3,0,VDB($D48,$E48,$G48,IF(YEAR($F48)=N$3,0,MIN($G48,(DATE(N$3,1,1)-$F48)/365)),MIN($G48,(DATE(N$3,12,31)-$F48)/365),$I48))))</f>
        <v>0</v>
      </c>
      <c r="O69" s="833" t="n">
        <f aca="false">IF($D48=0,0,IF($H48="SL",SLN($D48,$E48,$G48)*IF(YEAR($F48)&lt;O$3,IF(YEAR($F48)+$G48=O$3,(MONTH($F48)-1)/12,IF(YEAR($F48)+$G48&lt;O$3,0,1)),IF(YEAR($F48)&gt;O$3,0,(12-MONTH($F48)+1)/12)),IF(YEAR($F48)&gt;O$3,0,VDB($D48,$E48,$G48,IF(YEAR($F48)=O$3,0,MIN($G48,(DATE(O$3,1,1)-$F48)/365)),MIN($G48,(DATE(O$3,12,31)-$F48)/365),$I48))))</f>
        <v>0</v>
      </c>
      <c r="P69" s="833" t="n">
        <f aca="false">IF($D48=0,0,IF($H48="SL",SLN($D48,$E48,$G48)*IF(YEAR($F48)&lt;P$3,IF(YEAR($F48)+$G48=P$3,(MONTH($F48)-1)/12,IF(YEAR($F48)+$G48&lt;P$3,0,1)),IF(YEAR($F48)&gt;P$3,0,(12-MONTH($F48)+1)/12)),IF(YEAR($F48)&gt;P$3,0,VDB($D48,$E48,$G48,IF(YEAR($F48)=P$3,0,MIN($G48,(DATE(P$3,1,1)-$F48)/365)),MIN($G48,(DATE(P$3,12,31)-$F48)/365),$I48))))</f>
        <v>0</v>
      </c>
      <c r="Q69" s="833" t="n">
        <f aca="false">IF($D48=0,0,IF($H48="SL",SLN($D48,$E48,$G48)*IF(YEAR($F48)&lt;Q$3,IF(YEAR($F48)+$G48=Q$3,(MONTH($F48)-1)/12,IF(YEAR($F48)+$G48&lt;Q$3,0,1)),IF(YEAR($F48)&gt;Q$3,0,(12-MONTH($F48)+1)/12)),IF(YEAR($F48)&gt;Q$3,0,VDB($D48,$E48,$G48,IF(YEAR($F48)=Q$3,0,MIN($G48,(DATE(Q$3,1,1)-$F48)/365)),MIN($G48,(DATE(Q$3,12,31)-$F48)/365),$I48))))</f>
        <v>0</v>
      </c>
      <c r="R69" s="833" t="n">
        <f aca="false">IF($D48=0,0,IF($H48="SL",SLN($D48,$E48,$G48)*IF(YEAR($F48)&lt;R$3,IF(YEAR($F48)+$G48=R$3,(MONTH($F48)-1)/12,IF(YEAR($F48)+$G48&lt;R$3,0,1)),IF(YEAR($F48)&gt;R$3,0,(12-MONTH($F48)+1)/12)),IF(YEAR($F48)&gt;R$3,0,VDB($D48,$E48,$G48,IF(YEAR($F48)=R$3,0,MIN($G48,(DATE(R$3,1,1)-$F48)/365)),MIN($G48,(DATE(R$3,12,31)-$F48)/365),$I48))))</f>
        <v>0</v>
      </c>
      <c r="S69" s="833" t="n">
        <f aca="false">IF($D48=0,0,IF($H48="SL",SLN($D48,$E48,$G48)*IF(YEAR($F48)&lt;S$3,IF(YEAR($F48)+$G48=S$3,(MONTH($F48)-1)/12,IF(YEAR($F48)+$G48&lt;S$3,0,1)),IF(YEAR($F48)&gt;S$3,0,(12-MONTH($F48)+1)/12)),IF(YEAR($F48)&gt;S$3,0,VDB($D48,$E48,$G48,IF(YEAR($F48)=S$3,0,MIN($G48,(DATE(S$3,1,1)-$F48)/365)),MIN($G48,(DATE(S$3,12,31)-$F48)/365),$I48))))</f>
        <v>0</v>
      </c>
      <c r="T69" s="833" t="n">
        <f aca="false">IF($D48=0,0,IF($H48="SL",SLN($D48,$E48,$G48)*IF(YEAR($F48)&lt;T$3,IF(YEAR($F48)+$G48=T$3,(MONTH($F48)-1)/12,IF(YEAR($F48)+$G48&lt;T$3,0,1)),IF(YEAR($F48)&gt;T$3,0,(12-MONTH($F48)+1)/12)),IF(YEAR($F48)&gt;T$3,0,VDB($D48,$E48,$G48,IF(YEAR($F48)=T$3,0,MIN($G48,(DATE(T$3,1,1)-$F48)/365)),MIN($G48,(DATE(T$3,12,31)-$F48)/365),$I48))))</f>
        <v>0</v>
      </c>
      <c r="U69" s="833" t="n">
        <f aca="false">IF($D48=0,0,IF($H48="SL",SLN($D48,$E48,$G48)*IF(YEAR($F48)&lt;U$3,IF(YEAR($F48)+$G48=U$3,(MONTH($F48)-1)/12,IF(YEAR($F48)+$G48&lt;U$3,0,1)),IF(YEAR($F48)&gt;U$3,0,(12-MONTH($F48)+1)/12)),IF(YEAR($F48)&gt;U$3,0,VDB($D48,$E48,$G48,IF(YEAR($F48)=U$3,0,MIN($G48,(DATE(U$3,1,1)-$F48)/365)),MIN($G48,(DATE(U$3,12,31)-$F48)/365),$I48))))</f>
        <v>0</v>
      </c>
      <c r="V69" s="833" t="n">
        <f aca="false">IF($D48=0,0,IF($H48="SL",SLN($D48,$E48,$G48)*IF(YEAR($F48)&lt;V$3,IF(YEAR($F48)+$G48=V$3,(MONTH($F48)-1)/12,IF(YEAR($F48)+$G48&lt;V$3,0,1)),IF(YEAR($F48)&gt;V$3,0,(12-MONTH($F48)+1)/12)),IF(YEAR($F48)&gt;V$3,0,VDB($D48,$E48,$G48,IF(YEAR($F48)=V$3,0,MIN($G48,(DATE(V$3,1,1)-$F48)/365)),MIN($G48,(DATE(V$3,12,31)-$F48)/365),$I48))))</f>
        <v>0</v>
      </c>
      <c r="W69" s="833" t="n">
        <f aca="false">IF($D48=0,0,IF($H48="SL",SLN($D48,$E48,$G48)*IF(YEAR($F48)&lt;W$3,IF(YEAR($F48)+$G48=W$3,(MONTH($F48)-1)/12,IF(YEAR($F48)+$G48&lt;W$3,0,1)),IF(YEAR($F48)&gt;W$3,0,(12-MONTH($F48)+1)/12)),IF(YEAR($F48)&gt;W$3,0,VDB($D48,$E48,$G48,IF(YEAR($F48)=W$3,0,MIN($G48,(DATE(W$3,1,1)-$F48)/365)),MIN($G48,(DATE(W$3,12,31)-$F48)/365),$I48))))</f>
        <v>0</v>
      </c>
      <c r="X69" s="833" t="n">
        <f aca="false">IF($D48=0,0,IF($H48="SL",SLN($D48,$E48,$G48)*IF(YEAR($F48)&lt;X$3,IF(YEAR($F48)+$G48=X$3,(MONTH($F48)-1)/12,IF(YEAR($F48)+$G48&lt;X$3,0,1)),IF(YEAR($F48)&gt;X$3,0,(12-MONTH($F48)+1)/12)),IF(YEAR($F48)&gt;X$3,0,VDB($D48,$E48,$G48,IF(YEAR($F48)=X$3,0,MIN($G48,(DATE(X$3,1,1)-$F48)/365)),MIN($G48,(DATE(X$3,12,31)-$F48)/365),$I48))))</f>
        <v>0</v>
      </c>
      <c r="Y69" s="833" t="n">
        <f aca="false">IF($D48=0,0,IF($H48="SL",SLN($D48,$E48,$G48)*IF(YEAR($F48)&lt;Y$3,IF(YEAR($F48)+$G48=Y$3,(MONTH($F48)-1)/12,IF(YEAR($F48)+$G48&lt;Y$3,0,1)),IF(YEAR($F48)&gt;Y$3,0,(12-MONTH($F48)+1)/12)),IF(YEAR($F48)&gt;Y$3,0,VDB($D48,$E48,$G48,IF(YEAR($F48)=Y$3,0,MIN($G48,(DATE(Y$3,1,1)-$F48)/365)),MIN($G48,(DATE(Y$3,12,31)-$F48)/365),$I48))))</f>
        <v>0</v>
      </c>
      <c r="Z69" s="833" t="n">
        <f aca="false">IF($D48=0,0,IF($H48="SL",SLN($D48,$E48,$G48)*IF(YEAR($F48)&lt;Z$3,IF(YEAR($F48)+$G48=Z$3,(MONTH($F48)-1)/12,IF(YEAR($F48)+$G48&lt;Z$3,0,1)),IF(YEAR($F48)&gt;Z$3,0,(12-MONTH($F48)+1)/12)),IF(YEAR($F48)&gt;Z$3,0,VDB($D48,$E48,$G48,IF(YEAR($F48)=Z$3,0,MIN($G48,(DATE(Z$3,1,1)-$F48)/365)),MIN($G48,(DATE(Z$3,12,31)-$F48)/365),$I48))))</f>
        <v>0</v>
      </c>
      <c r="AA69" s="833" t="n">
        <f aca="false">IF($D48=0,0,IF($H48="SL",SLN($D48,$E48,$G48)*IF(YEAR($F48)&lt;AA$3,IF(YEAR($F48)+$G48=AA$3,(MONTH($F48)-1)/12,IF(YEAR($F48)+$G48&lt;AA$3,0,1)),IF(YEAR($F48)&gt;AA$3,0,(12-MONTH($F48)+1)/12)),IF(YEAR($F48)&gt;AA$3,0,VDB($D48,$E48,$G48,IF(YEAR($F48)=AA$3,0,MIN($G48,(DATE(AA$3,1,1)-$F48)/365)),MIN($G48,(DATE(AA$3,12,31)-$F48)/365),$I48))))</f>
        <v>0</v>
      </c>
      <c r="AB69" s="833" t="n">
        <f aca="false">IF($D48=0,0,IF($H48="SL",SLN($D48,$E48,$G48)*IF(YEAR($F48)&lt;AB$3,IF(YEAR($F48)+$G48=AB$3,(MONTH($F48)-1)/12,IF(YEAR($F48)+$G48&lt;AB$3,0,1)),IF(YEAR($F48)&gt;AB$3,0,(12-MONTH($F48)+1)/12)),IF(YEAR($F48)&gt;AB$3,0,VDB($D48,$E48,$G48,IF(YEAR($F48)=AB$3,0,MIN($G48,(DATE(AB$3,1,1)-$F48)/365)),MIN($G48,(DATE(AB$3,12,31)-$F48)/365),$I48))))</f>
        <v>0</v>
      </c>
      <c r="AC69" s="833" t="n">
        <f aca="false">IF($D48=0,0,IF($H48="SL",SLN($D48,$E48,$G48)*IF(YEAR($F48)&lt;AC$3,IF(YEAR($F48)+$G48=AC$3,(MONTH($F48)-1)/12,IF(YEAR($F48)+$G48&lt;AC$3,0,1)),IF(YEAR($F48)&gt;AC$3,0,(12-MONTH($F48)+1)/12)),IF(YEAR($F48)&gt;AC$3,0,VDB($D48,$E48,$G48,IF(YEAR($F48)=AC$3,0,MIN($G48,(DATE(AC$3,1,1)-$F48)/365)),MIN($G48,(DATE(AC$3,12,31)-$F48)/365),$I48))))</f>
        <v>0</v>
      </c>
      <c r="AD69" s="833" t="n">
        <f aca="false">IF($D48=0,0,IF($H48="SL",SLN($D48,$E48,$G48)*IF(YEAR($F48)&lt;AD$3,IF(YEAR($F48)+$G48=AD$3,(MONTH($F48)-1)/12,IF(YEAR($F48)+$G48&lt;AD$3,0,1)),IF(YEAR($F48)&gt;AD$3,0,(12-MONTH($F48)+1)/12)),IF(YEAR($F48)&gt;AD$3,0,VDB($D48,$E48,$G48,IF(YEAR($F48)=AD$3,0,MIN($G48,(DATE(AD$3,1,1)-$F48)/365)),MIN($G48,(DATE(AD$3,12,31)-$F48)/365),$I48))))</f>
        <v>0</v>
      </c>
      <c r="AE69" s="833" t="n">
        <f aca="false">IF($D48=0,0,IF($H48="SL",SLN($D48,$E48,$G48)*IF(YEAR($F48)&lt;AE$3,IF(YEAR($F48)+$G48=AE$3,(MONTH($F48)-1)/12,IF(YEAR($F48)+$G48&lt;AE$3,0,1)),IF(YEAR($F48)&gt;AE$3,0,(12-MONTH($F48)+1)/12)),IF(YEAR($F48)&gt;AE$3,0,VDB($D48,$E48,$G48,IF(YEAR($F48)=AE$3,0,MIN($G48,(DATE(AE$3,1,1)-$F48)/365)),MIN($G48,(DATE(AE$3,12,31)-$F48)/365),$I48))))</f>
        <v>0</v>
      </c>
      <c r="AF69" s="833" t="n">
        <f aca="false">IF($D48=0,0,IF($H48="SL",SLN($D48,$E48,$G48)*IF(YEAR($F48)&lt;AF$3,IF(YEAR($F48)+$G48=AF$3,(MONTH($F48)-1)/12,IF(YEAR($F48)+$G48&lt;AF$3,0,1)),IF(YEAR($F48)&gt;AF$3,0,(12-MONTH($F48)+1)/12)),IF(YEAR($F48)&gt;AF$3,0,VDB($D48,$E48,$G48,IF(YEAR($F48)=AF$3,0,MIN($G48,(DATE(AF$3,1,1)-$F48)/365)),MIN($G48,(DATE(AF$3,12,31)-$F48)/365),$I48))))</f>
        <v>0</v>
      </c>
    </row>
    <row r="70" customFormat="false" ht="11.25" hidden="true" customHeight="false" outlineLevel="1" collapsed="false">
      <c r="C70" s="748" t="str">
        <f aca="false">+C49</f>
        <v>Asset 9</v>
      </c>
      <c r="I70" s="833" t="n">
        <f aca="false">IF(D49=0,0,IF($H49="SL",SLN($D49,$E49,$G49)*IF(YEAR($F49)&lt;(J$3-1),IF(YEAR($F49)+$G49=J$3-1,(MONTH($F49)-1)/12,IF(YEAR($F49)+$G49&lt;J$3-1,0,1)),IF(YEAR($F49)&gt;J$3-1,0,(12-MONTH($F49)+1)/12)),IF(YEAR($F49)&gt;J$3-1,0,VDB($D49,$E49,$G49,IF(YEAR($F49)=J$3-1,0,MIN($G49,(DATE(J$3-1,1,1)-$F49)/365)),MIN($G49,(DATE(J$3-1,12,31)-$F49)/365),$I49))))</f>
        <v>0</v>
      </c>
      <c r="J70" s="833" t="n">
        <f aca="false">IF($D49=0,0,IF($H49="SL",SLN($D49,$E49,$G49)*IF(YEAR($F49)&lt;J$3,IF(YEAR($F49)+$G49=J$3,(MONTH($F49)-1)/12,IF(YEAR($F49)+$G49&lt;J$3,0,1)),IF(YEAR($F49)&gt;J$3,0,(12-MONTH($F49)+1)/12)),IF(YEAR($F49)&gt;J$3,0,VDB($D49,$E49,$G49,IF(YEAR($F49)=J$3,0,MIN($G49,(DATE(J$3,1,1)-$F49)/365)),MIN($G49,(DATE(J$3,12,31)-$F49)/365),$I49))))</f>
        <v>0</v>
      </c>
      <c r="K70" s="833" t="n">
        <f aca="false">IF($D49=0,0,IF($H49="SL",SLN($D49,$E49,$G49)*IF(YEAR($F49)&lt;K$3,IF(YEAR($F49)+$G49=K$3,(MONTH($F49)-1)/12,IF(YEAR($F49)+$G49&lt;K$3,0,1)),IF(YEAR($F49)&gt;K$3,0,(12-MONTH($F49)+1)/12)),IF(YEAR($F49)&gt;K$3,0,VDB($D49,$E49,$G49,IF(YEAR($F49)=K$3,0,MIN($G49,(DATE(K$3,1,1)-$F49)/365)),MIN($G49,(DATE(K$3,12,31)-$F49)/365),$I49))))</f>
        <v>0</v>
      </c>
      <c r="L70" s="833" t="n">
        <f aca="false">IF($D49=0,0,IF($H49="SL",SLN($D49,$E49,$G49)*IF(YEAR($F49)&lt;L$3,IF(YEAR($F49)+$G49=L$3,(MONTH($F49)-1)/12,IF(YEAR($F49)+$G49&lt;L$3,0,1)),IF(YEAR($F49)&gt;L$3,0,(12-MONTH($F49)+1)/12)),IF(YEAR($F49)&gt;L$3,0,VDB($D49,$E49,$G49,IF(YEAR($F49)=L$3,0,MIN($G49,(DATE(L$3,1,1)-$F49)/365)),MIN($G49,(DATE(L$3,12,31)-$F49)/365),$I49))))</f>
        <v>0</v>
      </c>
      <c r="M70" s="833" t="n">
        <f aca="false">IF($D49=0,0,IF($H49="SL",SLN($D49,$E49,$G49)*IF(YEAR($F49)&lt;M$3,IF(YEAR($F49)+$G49=M$3,(MONTH($F49)-1)/12,IF(YEAR($F49)+$G49&lt;M$3,0,1)),IF(YEAR($F49)&gt;M$3,0,(12-MONTH($F49)+1)/12)),IF(YEAR($F49)&gt;M$3,0,VDB($D49,$E49,$G49,IF(YEAR($F49)=M$3,0,MIN($G49,(DATE(M$3,1,1)-$F49)/365)),MIN($G49,(DATE(M$3,12,31)-$F49)/365),$I49))))</f>
        <v>0</v>
      </c>
      <c r="N70" s="833" t="n">
        <f aca="false">IF($D49=0,0,IF($H49="SL",SLN($D49,$E49,$G49)*IF(YEAR($F49)&lt;N$3,IF(YEAR($F49)+$G49=N$3,(MONTH($F49)-1)/12,IF(YEAR($F49)+$G49&lt;N$3,0,1)),IF(YEAR($F49)&gt;N$3,0,(12-MONTH($F49)+1)/12)),IF(YEAR($F49)&gt;N$3,0,VDB($D49,$E49,$G49,IF(YEAR($F49)=N$3,0,MIN($G49,(DATE(N$3,1,1)-$F49)/365)),MIN($G49,(DATE(N$3,12,31)-$F49)/365),$I49))))</f>
        <v>0</v>
      </c>
      <c r="O70" s="833" t="n">
        <f aca="false">IF($D49=0,0,IF($H49="SL",SLN($D49,$E49,$G49)*IF(YEAR($F49)&lt;O$3,IF(YEAR($F49)+$G49=O$3,(MONTH($F49)-1)/12,IF(YEAR($F49)+$G49&lt;O$3,0,1)),IF(YEAR($F49)&gt;O$3,0,(12-MONTH($F49)+1)/12)),IF(YEAR($F49)&gt;O$3,0,VDB($D49,$E49,$G49,IF(YEAR($F49)=O$3,0,MIN($G49,(DATE(O$3,1,1)-$F49)/365)),MIN($G49,(DATE(O$3,12,31)-$F49)/365),$I49))))</f>
        <v>0</v>
      </c>
      <c r="P70" s="833" t="n">
        <f aca="false">IF($D49=0,0,IF($H49="SL",SLN($D49,$E49,$G49)*IF(YEAR($F49)&lt;P$3,IF(YEAR($F49)+$G49=P$3,(MONTH($F49)-1)/12,IF(YEAR($F49)+$G49&lt;P$3,0,1)),IF(YEAR($F49)&gt;P$3,0,(12-MONTH($F49)+1)/12)),IF(YEAR($F49)&gt;P$3,0,VDB($D49,$E49,$G49,IF(YEAR($F49)=P$3,0,MIN($G49,(DATE(P$3,1,1)-$F49)/365)),MIN($G49,(DATE(P$3,12,31)-$F49)/365),$I49))))</f>
        <v>0</v>
      </c>
      <c r="Q70" s="833" t="n">
        <f aca="false">IF($D49=0,0,IF($H49="SL",SLN($D49,$E49,$G49)*IF(YEAR($F49)&lt;Q$3,IF(YEAR($F49)+$G49=Q$3,(MONTH($F49)-1)/12,IF(YEAR($F49)+$G49&lt;Q$3,0,1)),IF(YEAR($F49)&gt;Q$3,0,(12-MONTH($F49)+1)/12)),IF(YEAR($F49)&gt;Q$3,0,VDB($D49,$E49,$G49,IF(YEAR($F49)=Q$3,0,MIN($G49,(DATE(Q$3,1,1)-$F49)/365)),MIN($G49,(DATE(Q$3,12,31)-$F49)/365),$I49))))</f>
        <v>0</v>
      </c>
      <c r="R70" s="833" t="n">
        <f aca="false">IF($D49=0,0,IF($H49="SL",SLN($D49,$E49,$G49)*IF(YEAR($F49)&lt;R$3,IF(YEAR($F49)+$G49=R$3,(MONTH($F49)-1)/12,IF(YEAR($F49)+$G49&lt;R$3,0,1)),IF(YEAR($F49)&gt;R$3,0,(12-MONTH($F49)+1)/12)),IF(YEAR($F49)&gt;R$3,0,VDB($D49,$E49,$G49,IF(YEAR($F49)=R$3,0,MIN($G49,(DATE(R$3,1,1)-$F49)/365)),MIN($G49,(DATE(R$3,12,31)-$F49)/365),$I49))))</f>
        <v>0</v>
      </c>
      <c r="S70" s="833" t="n">
        <f aca="false">IF($D49=0,0,IF($H49="SL",SLN($D49,$E49,$G49)*IF(YEAR($F49)&lt;S$3,IF(YEAR($F49)+$G49=S$3,(MONTH($F49)-1)/12,IF(YEAR($F49)+$G49&lt;S$3,0,1)),IF(YEAR($F49)&gt;S$3,0,(12-MONTH($F49)+1)/12)),IF(YEAR($F49)&gt;S$3,0,VDB($D49,$E49,$G49,IF(YEAR($F49)=S$3,0,MIN($G49,(DATE(S$3,1,1)-$F49)/365)),MIN($G49,(DATE(S$3,12,31)-$F49)/365),$I49))))</f>
        <v>0</v>
      </c>
      <c r="T70" s="833" t="n">
        <f aca="false">IF($D49=0,0,IF($H49="SL",SLN($D49,$E49,$G49)*IF(YEAR($F49)&lt;T$3,IF(YEAR($F49)+$G49=T$3,(MONTH($F49)-1)/12,IF(YEAR($F49)+$G49&lt;T$3,0,1)),IF(YEAR($F49)&gt;T$3,0,(12-MONTH($F49)+1)/12)),IF(YEAR($F49)&gt;T$3,0,VDB($D49,$E49,$G49,IF(YEAR($F49)=T$3,0,MIN($G49,(DATE(T$3,1,1)-$F49)/365)),MIN($G49,(DATE(T$3,12,31)-$F49)/365),$I49))))</f>
        <v>0</v>
      </c>
      <c r="U70" s="833" t="n">
        <f aca="false">IF($D49=0,0,IF($H49="SL",SLN($D49,$E49,$G49)*IF(YEAR($F49)&lt;U$3,IF(YEAR($F49)+$G49=U$3,(MONTH($F49)-1)/12,IF(YEAR($F49)+$G49&lt;U$3,0,1)),IF(YEAR($F49)&gt;U$3,0,(12-MONTH($F49)+1)/12)),IF(YEAR($F49)&gt;U$3,0,VDB($D49,$E49,$G49,IF(YEAR($F49)=U$3,0,MIN($G49,(DATE(U$3,1,1)-$F49)/365)),MIN($G49,(DATE(U$3,12,31)-$F49)/365),$I49))))</f>
        <v>0</v>
      </c>
      <c r="V70" s="833" t="n">
        <f aca="false">IF($D49=0,0,IF($H49="SL",SLN($D49,$E49,$G49)*IF(YEAR($F49)&lt;V$3,IF(YEAR($F49)+$G49=V$3,(MONTH($F49)-1)/12,IF(YEAR($F49)+$G49&lt;V$3,0,1)),IF(YEAR($F49)&gt;V$3,0,(12-MONTH($F49)+1)/12)),IF(YEAR($F49)&gt;V$3,0,VDB($D49,$E49,$G49,IF(YEAR($F49)=V$3,0,MIN($G49,(DATE(V$3,1,1)-$F49)/365)),MIN($G49,(DATE(V$3,12,31)-$F49)/365),$I49))))</f>
        <v>0</v>
      </c>
      <c r="W70" s="833" t="n">
        <f aca="false">IF($D49=0,0,IF($H49="SL",SLN($D49,$E49,$G49)*IF(YEAR($F49)&lt;W$3,IF(YEAR($F49)+$G49=W$3,(MONTH($F49)-1)/12,IF(YEAR($F49)+$G49&lt;W$3,0,1)),IF(YEAR($F49)&gt;W$3,0,(12-MONTH($F49)+1)/12)),IF(YEAR($F49)&gt;W$3,0,VDB($D49,$E49,$G49,IF(YEAR($F49)=W$3,0,MIN($G49,(DATE(W$3,1,1)-$F49)/365)),MIN($G49,(DATE(W$3,12,31)-$F49)/365),$I49))))</f>
        <v>0</v>
      </c>
      <c r="X70" s="833" t="n">
        <f aca="false">IF($D49=0,0,IF($H49="SL",SLN($D49,$E49,$G49)*IF(YEAR($F49)&lt;X$3,IF(YEAR($F49)+$G49=X$3,(MONTH($F49)-1)/12,IF(YEAR($F49)+$G49&lt;X$3,0,1)),IF(YEAR($F49)&gt;X$3,0,(12-MONTH($F49)+1)/12)),IF(YEAR($F49)&gt;X$3,0,VDB($D49,$E49,$G49,IF(YEAR($F49)=X$3,0,MIN($G49,(DATE(X$3,1,1)-$F49)/365)),MIN($G49,(DATE(X$3,12,31)-$F49)/365),$I49))))</f>
        <v>0</v>
      </c>
      <c r="Y70" s="833" t="n">
        <f aca="false">IF($D49=0,0,IF($H49="SL",SLN($D49,$E49,$G49)*IF(YEAR($F49)&lt;Y$3,IF(YEAR($F49)+$G49=Y$3,(MONTH($F49)-1)/12,IF(YEAR($F49)+$G49&lt;Y$3,0,1)),IF(YEAR($F49)&gt;Y$3,0,(12-MONTH($F49)+1)/12)),IF(YEAR($F49)&gt;Y$3,0,VDB($D49,$E49,$G49,IF(YEAR($F49)=Y$3,0,MIN($G49,(DATE(Y$3,1,1)-$F49)/365)),MIN($G49,(DATE(Y$3,12,31)-$F49)/365),$I49))))</f>
        <v>0</v>
      </c>
      <c r="Z70" s="833" t="n">
        <f aca="false">IF($D49=0,0,IF($H49="SL",SLN($D49,$E49,$G49)*IF(YEAR($F49)&lt;Z$3,IF(YEAR($F49)+$G49=Z$3,(MONTH($F49)-1)/12,IF(YEAR($F49)+$G49&lt;Z$3,0,1)),IF(YEAR($F49)&gt;Z$3,0,(12-MONTH($F49)+1)/12)),IF(YEAR($F49)&gt;Z$3,0,VDB($D49,$E49,$G49,IF(YEAR($F49)=Z$3,0,MIN($G49,(DATE(Z$3,1,1)-$F49)/365)),MIN($G49,(DATE(Z$3,12,31)-$F49)/365),$I49))))</f>
        <v>0</v>
      </c>
      <c r="AA70" s="833" t="n">
        <f aca="false">IF($D49=0,0,IF($H49="SL",SLN($D49,$E49,$G49)*IF(YEAR($F49)&lt;AA$3,IF(YEAR($F49)+$G49=AA$3,(MONTH($F49)-1)/12,IF(YEAR($F49)+$G49&lt;AA$3,0,1)),IF(YEAR($F49)&gt;AA$3,0,(12-MONTH($F49)+1)/12)),IF(YEAR($F49)&gt;AA$3,0,VDB($D49,$E49,$G49,IF(YEAR($F49)=AA$3,0,MIN($G49,(DATE(AA$3,1,1)-$F49)/365)),MIN($G49,(DATE(AA$3,12,31)-$F49)/365),$I49))))</f>
        <v>0</v>
      </c>
      <c r="AB70" s="833" t="n">
        <f aca="false">IF($D49=0,0,IF($H49="SL",SLN($D49,$E49,$G49)*IF(YEAR($F49)&lt;AB$3,IF(YEAR($F49)+$G49=AB$3,(MONTH($F49)-1)/12,IF(YEAR($F49)+$G49&lt;AB$3,0,1)),IF(YEAR($F49)&gt;AB$3,0,(12-MONTH($F49)+1)/12)),IF(YEAR($F49)&gt;AB$3,0,VDB($D49,$E49,$G49,IF(YEAR($F49)=AB$3,0,MIN($G49,(DATE(AB$3,1,1)-$F49)/365)),MIN($G49,(DATE(AB$3,12,31)-$F49)/365),$I49))))</f>
        <v>0</v>
      </c>
      <c r="AC70" s="833" t="n">
        <f aca="false">IF($D49=0,0,IF($H49="SL",SLN($D49,$E49,$G49)*IF(YEAR($F49)&lt;AC$3,IF(YEAR($F49)+$G49=AC$3,(MONTH($F49)-1)/12,IF(YEAR($F49)+$G49&lt;AC$3,0,1)),IF(YEAR($F49)&gt;AC$3,0,(12-MONTH($F49)+1)/12)),IF(YEAR($F49)&gt;AC$3,0,VDB($D49,$E49,$G49,IF(YEAR($F49)=AC$3,0,MIN($G49,(DATE(AC$3,1,1)-$F49)/365)),MIN($G49,(DATE(AC$3,12,31)-$F49)/365),$I49))))</f>
        <v>0</v>
      </c>
      <c r="AD70" s="833" t="n">
        <f aca="false">IF($D49=0,0,IF($H49="SL",SLN($D49,$E49,$G49)*IF(YEAR($F49)&lt;AD$3,IF(YEAR($F49)+$G49=AD$3,(MONTH($F49)-1)/12,IF(YEAR($F49)+$G49&lt;AD$3,0,1)),IF(YEAR($F49)&gt;AD$3,0,(12-MONTH($F49)+1)/12)),IF(YEAR($F49)&gt;AD$3,0,VDB($D49,$E49,$G49,IF(YEAR($F49)=AD$3,0,MIN($G49,(DATE(AD$3,1,1)-$F49)/365)),MIN($G49,(DATE(AD$3,12,31)-$F49)/365),$I49))))</f>
        <v>0</v>
      </c>
      <c r="AE70" s="833" t="n">
        <f aca="false">IF($D49=0,0,IF($H49="SL",SLN($D49,$E49,$G49)*IF(YEAR($F49)&lt;AE$3,IF(YEAR($F49)+$G49=AE$3,(MONTH($F49)-1)/12,IF(YEAR($F49)+$G49&lt;AE$3,0,1)),IF(YEAR($F49)&gt;AE$3,0,(12-MONTH($F49)+1)/12)),IF(YEAR($F49)&gt;AE$3,0,VDB($D49,$E49,$G49,IF(YEAR($F49)=AE$3,0,MIN($G49,(DATE(AE$3,1,1)-$F49)/365)),MIN($G49,(DATE(AE$3,12,31)-$F49)/365),$I49))))</f>
        <v>0</v>
      </c>
      <c r="AF70" s="833" t="n">
        <f aca="false">IF($D49=0,0,IF($H49="SL",SLN($D49,$E49,$G49)*IF(YEAR($F49)&lt;AF$3,IF(YEAR($F49)+$G49=AF$3,(MONTH($F49)-1)/12,IF(YEAR($F49)+$G49&lt;AF$3,0,1)),IF(YEAR($F49)&gt;AF$3,0,(12-MONTH($F49)+1)/12)),IF(YEAR($F49)&gt;AF$3,0,VDB($D49,$E49,$G49,IF(YEAR($F49)=AF$3,0,MIN($G49,(DATE(AF$3,1,1)-$F49)/365)),MIN($G49,(DATE(AF$3,12,31)-$F49)/365),$I49))))</f>
        <v>0</v>
      </c>
    </row>
    <row r="71" customFormat="false" ht="11.25" hidden="true" customHeight="false" outlineLevel="1" collapsed="false">
      <c r="C71" s="748" t="str">
        <f aca="false">+C50</f>
        <v>Asset 10</v>
      </c>
      <c r="I71" s="833" t="n">
        <f aca="false">IF(D50=0,0,IF($H50="SL",SLN($D50,$E50,$G50)*IF(YEAR($F50)&lt;(J$3-1),IF(YEAR($F50)+$G50=J$3-1,(MONTH($F50)-1)/12,IF(YEAR($F50)+$G50&lt;J$3-1,0,1)),IF(YEAR($F50)&gt;J$3-1,0,(12-MONTH($F50)+1)/12)),IF(YEAR($F50)&gt;J$3-1,0,VDB($D50,$E50,$G50,IF(YEAR($F50)=J$3-1,0,MIN($G50,(DATE(J$3-1,1,1)-$F50)/365)),MIN($G50,(DATE(J$3-1,12,31)-$F50)/365),$I50))))</f>
        <v>0</v>
      </c>
      <c r="J71" s="833" t="n">
        <f aca="false">IF($D50=0,0,IF($H50="SL",SLN($D50,$E50,$G50)*IF(YEAR($F50)&lt;J$3,IF(YEAR($F50)+$G50=J$3,(MONTH($F50)-1)/12,IF(YEAR($F50)+$G50&lt;J$3,0,1)),IF(YEAR($F50)&gt;J$3,0,(12-MONTH($F50)+1)/12)),IF(YEAR($F50)&gt;J$3,0,VDB($D50,$E50,$G50,IF(YEAR($F50)=J$3,0,MIN($G50,(DATE(J$3,1,1)-$F50)/365)),MIN($G50,(DATE(J$3,12,31)-$F50)/365),$I50))))</f>
        <v>0</v>
      </c>
      <c r="K71" s="833" t="n">
        <f aca="false">IF($D50=0,0,IF($H50="SL",SLN($D50,$E50,$G50)*IF(YEAR($F50)&lt;K$3,IF(YEAR($F50)+$G50=K$3,(MONTH($F50)-1)/12,IF(YEAR($F50)+$G50&lt;K$3,0,1)),IF(YEAR($F50)&gt;K$3,0,(12-MONTH($F50)+1)/12)),IF(YEAR($F50)&gt;K$3,0,VDB($D50,$E50,$G50,IF(YEAR($F50)=K$3,0,MIN($G50,(DATE(K$3,1,1)-$F50)/365)),MIN($G50,(DATE(K$3,12,31)-$F50)/365),$I50))))</f>
        <v>0</v>
      </c>
      <c r="L71" s="833" t="n">
        <f aca="false">IF($D50=0,0,IF($H50="SL",SLN($D50,$E50,$G50)*IF(YEAR($F50)&lt;L$3,IF(YEAR($F50)+$G50=L$3,(MONTH($F50)-1)/12,IF(YEAR($F50)+$G50&lt;L$3,0,1)),IF(YEAR($F50)&gt;L$3,0,(12-MONTH($F50)+1)/12)),IF(YEAR($F50)&gt;L$3,0,VDB($D50,$E50,$G50,IF(YEAR($F50)=L$3,0,MIN($G50,(DATE(L$3,1,1)-$F50)/365)),MIN($G50,(DATE(L$3,12,31)-$F50)/365),$I50))))</f>
        <v>0</v>
      </c>
      <c r="M71" s="833" t="n">
        <f aca="false">IF($D50=0,0,IF($H50="SL",SLN($D50,$E50,$G50)*IF(YEAR($F50)&lt;M$3,IF(YEAR($F50)+$G50=M$3,(MONTH($F50)-1)/12,IF(YEAR($F50)+$G50&lt;M$3,0,1)),IF(YEAR($F50)&gt;M$3,0,(12-MONTH($F50)+1)/12)),IF(YEAR($F50)&gt;M$3,0,VDB($D50,$E50,$G50,IF(YEAR($F50)=M$3,0,MIN($G50,(DATE(M$3,1,1)-$F50)/365)),MIN($G50,(DATE(M$3,12,31)-$F50)/365),$I50))))</f>
        <v>0</v>
      </c>
      <c r="N71" s="833" t="n">
        <f aca="false">IF($D50=0,0,IF($H50="SL",SLN($D50,$E50,$G50)*IF(YEAR($F50)&lt;N$3,IF(YEAR($F50)+$G50=N$3,(MONTH($F50)-1)/12,IF(YEAR($F50)+$G50&lt;N$3,0,1)),IF(YEAR($F50)&gt;N$3,0,(12-MONTH($F50)+1)/12)),IF(YEAR($F50)&gt;N$3,0,VDB($D50,$E50,$G50,IF(YEAR($F50)=N$3,0,MIN($G50,(DATE(N$3,1,1)-$F50)/365)),MIN($G50,(DATE(N$3,12,31)-$F50)/365),$I50))))</f>
        <v>0</v>
      </c>
      <c r="O71" s="833" t="n">
        <f aca="false">IF($D50=0,0,IF($H50="SL",SLN($D50,$E50,$G50)*IF(YEAR($F50)&lt;O$3,IF(YEAR($F50)+$G50=O$3,(MONTH($F50)-1)/12,IF(YEAR($F50)+$G50&lt;O$3,0,1)),IF(YEAR($F50)&gt;O$3,0,(12-MONTH($F50)+1)/12)),IF(YEAR($F50)&gt;O$3,0,VDB($D50,$E50,$G50,IF(YEAR($F50)=O$3,0,MIN($G50,(DATE(O$3,1,1)-$F50)/365)),MIN($G50,(DATE(O$3,12,31)-$F50)/365),$I50))))</f>
        <v>0</v>
      </c>
      <c r="P71" s="833" t="n">
        <f aca="false">IF($D50=0,0,IF($H50="SL",SLN($D50,$E50,$G50)*IF(YEAR($F50)&lt;P$3,IF(YEAR($F50)+$G50=P$3,(MONTH($F50)-1)/12,IF(YEAR($F50)+$G50&lt;P$3,0,1)),IF(YEAR($F50)&gt;P$3,0,(12-MONTH($F50)+1)/12)),IF(YEAR($F50)&gt;P$3,0,VDB($D50,$E50,$G50,IF(YEAR($F50)=P$3,0,MIN($G50,(DATE(P$3,1,1)-$F50)/365)),MIN($G50,(DATE(P$3,12,31)-$F50)/365),$I50))))</f>
        <v>0</v>
      </c>
      <c r="Q71" s="833" t="n">
        <f aca="false">IF($D50=0,0,IF($H50="SL",SLN($D50,$E50,$G50)*IF(YEAR($F50)&lt;Q$3,IF(YEAR($F50)+$G50=Q$3,(MONTH($F50)-1)/12,IF(YEAR($F50)+$G50&lt;Q$3,0,1)),IF(YEAR($F50)&gt;Q$3,0,(12-MONTH($F50)+1)/12)),IF(YEAR($F50)&gt;Q$3,0,VDB($D50,$E50,$G50,IF(YEAR($F50)=Q$3,0,MIN($G50,(DATE(Q$3,1,1)-$F50)/365)),MIN($G50,(DATE(Q$3,12,31)-$F50)/365),$I50))))</f>
        <v>0</v>
      </c>
      <c r="R71" s="833" t="n">
        <f aca="false">IF($D50=0,0,IF($H50="SL",SLN($D50,$E50,$G50)*IF(YEAR($F50)&lt;R$3,IF(YEAR($F50)+$G50=R$3,(MONTH($F50)-1)/12,IF(YEAR($F50)+$G50&lt;R$3,0,1)),IF(YEAR($F50)&gt;R$3,0,(12-MONTH($F50)+1)/12)),IF(YEAR($F50)&gt;R$3,0,VDB($D50,$E50,$G50,IF(YEAR($F50)=R$3,0,MIN($G50,(DATE(R$3,1,1)-$F50)/365)),MIN($G50,(DATE(R$3,12,31)-$F50)/365),$I50))))</f>
        <v>0</v>
      </c>
      <c r="S71" s="833" t="n">
        <f aca="false">IF($D50=0,0,IF($H50="SL",SLN($D50,$E50,$G50)*IF(YEAR($F50)&lt;S$3,IF(YEAR($F50)+$G50=S$3,(MONTH($F50)-1)/12,IF(YEAR($F50)+$G50&lt;S$3,0,1)),IF(YEAR($F50)&gt;S$3,0,(12-MONTH($F50)+1)/12)),IF(YEAR($F50)&gt;S$3,0,VDB($D50,$E50,$G50,IF(YEAR($F50)=S$3,0,MIN($G50,(DATE(S$3,1,1)-$F50)/365)),MIN($G50,(DATE(S$3,12,31)-$F50)/365),$I50))))</f>
        <v>0</v>
      </c>
      <c r="T71" s="833" t="n">
        <f aca="false">IF($D50=0,0,IF($H50="SL",SLN($D50,$E50,$G50)*IF(YEAR($F50)&lt;T$3,IF(YEAR($F50)+$G50=T$3,(MONTH($F50)-1)/12,IF(YEAR($F50)+$G50&lt;T$3,0,1)),IF(YEAR($F50)&gt;T$3,0,(12-MONTH($F50)+1)/12)),IF(YEAR($F50)&gt;T$3,0,VDB($D50,$E50,$G50,IF(YEAR($F50)=T$3,0,MIN($G50,(DATE(T$3,1,1)-$F50)/365)),MIN($G50,(DATE(T$3,12,31)-$F50)/365),$I50))))</f>
        <v>0</v>
      </c>
      <c r="U71" s="833" t="n">
        <f aca="false">IF($D50=0,0,IF($H50="SL",SLN($D50,$E50,$G50)*IF(YEAR($F50)&lt;U$3,IF(YEAR($F50)+$G50=U$3,(MONTH($F50)-1)/12,IF(YEAR($F50)+$G50&lt;U$3,0,1)),IF(YEAR($F50)&gt;U$3,0,(12-MONTH($F50)+1)/12)),IF(YEAR($F50)&gt;U$3,0,VDB($D50,$E50,$G50,IF(YEAR($F50)=U$3,0,MIN($G50,(DATE(U$3,1,1)-$F50)/365)),MIN($G50,(DATE(U$3,12,31)-$F50)/365),$I50))))</f>
        <v>0</v>
      </c>
      <c r="V71" s="833" t="n">
        <f aca="false">IF($D50=0,0,IF($H50="SL",SLN($D50,$E50,$G50)*IF(YEAR($F50)&lt;V$3,IF(YEAR($F50)+$G50=V$3,(MONTH($F50)-1)/12,IF(YEAR($F50)+$G50&lt;V$3,0,1)),IF(YEAR($F50)&gt;V$3,0,(12-MONTH($F50)+1)/12)),IF(YEAR($F50)&gt;V$3,0,VDB($D50,$E50,$G50,IF(YEAR($F50)=V$3,0,MIN($G50,(DATE(V$3,1,1)-$F50)/365)),MIN($G50,(DATE(V$3,12,31)-$F50)/365),$I50))))</f>
        <v>0</v>
      </c>
      <c r="W71" s="833" t="n">
        <f aca="false">IF($D50=0,0,IF($H50="SL",SLN($D50,$E50,$G50)*IF(YEAR($F50)&lt;W$3,IF(YEAR($F50)+$G50=W$3,(MONTH($F50)-1)/12,IF(YEAR($F50)+$G50&lt;W$3,0,1)),IF(YEAR($F50)&gt;W$3,0,(12-MONTH($F50)+1)/12)),IF(YEAR($F50)&gt;W$3,0,VDB($D50,$E50,$G50,IF(YEAR($F50)=W$3,0,MIN($G50,(DATE(W$3,1,1)-$F50)/365)),MIN($G50,(DATE(W$3,12,31)-$F50)/365),$I50))))</f>
        <v>0</v>
      </c>
      <c r="X71" s="833" t="n">
        <f aca="false">IF($D50=0,0,IF($H50="SL",SLN($D50,$E50,$G50)*IF(YEAR($F50)&lt;X$3,IF(YEAR($F50)+$G50=X$3,(MONTH($F50)-1)/12,IF(YEAR($F50)+$G50&lt;X$3,0,1)),IF(YEAR($F50)&gt;X$3,0,(12-MONTH($F50)+1)/12)),IF(YEAR($F50)&gt;X$3,0,VDB($D50,$E50,$G50,IF(YEAR($F50)=X$3,0,MIN($G50,(DATE(X$3,1,1)-$F50)/365)),MIN($G50,(DATE(X$3,12,31)-$F50)/365),$I50))))</f>
        <v>0</v>
      </c>
      <c r="Y71" s="833" t="n">
        <f aca="false">IF($D50=0,0,IF($H50="SL",SLN($D50,$E50,$G50)*IF(YEAR($F50)&lt;Y$3,IF(YEAR($F50)+$G50=Y$3,(MONTH($F50)-1)/12,IF(YEAR($F50)+$G50&lt;Y$3,0,1)),IF(YEAR($F50)&gt;Y$3,0,(12-MONTH($F50)+1)/12)),IF(YEAR($F50)&gt;Y$3,0,VDB($D50,$E50,$G50,IF(YEAR($F50)=Y$3,0,MIN($G50,(DATE(Y$3,1,1)-$F50)/365)),MIN($G50,(DATE(Y$3,12,31)-$F50)/365),$I50))))</f>
        <v>0</v>
      </c>
      <c r="Z71" s="833" t="n">
        <f aca="false">IF($D50=0,0,IF($H50="SL",SLN($D50,$E50,$G50)*IF(YEAR($F50)&lt;Z$3,IF(YEAR($F50)+$G50=Z$3,(MONTH($F50)-1)/12,IF(YEAR($F50)+$G50&lt;Z$3,0,1)),IF(YEAR($F50)&gt;Z$3,0,(12-MONTH($F50)+1)/12)),IF(YEAR($F50)&gt;Z$3,0,VDB($D50,$E50,$G50,IF(YEAR($F50)=Z$3,0,MIN($G50,(DATE(Z$3,1,1)-$F50)/365)),MIN($G50,(DATE(Z$3,12,31)-$F50)/365),$I50))))</f>
        <v>0</v>
      </c>
      <c r="AA71" s="833" t="n">
        <f aca="false">IF($D50=0,0,IF($H50="SL",SLN($D50,$E50,$G50)*IF(YEAR($F50)&lt;AA$3,IF(YEAR($F50)+$G50=AA$3,(MONTH($F50)-1)/12,IF(YEAR($F50)+$G50&lt;AA$3,0,1)),IF(YEAR($F50)&gt;AA$3,0,(12-MONTH($F50)+1)/12)),IF(YEAR($F50)&gt;AA$3,0,VDB($D50,$E50,$G50,IF(YEAR($F50)=AA$3,0,MIN($G50,(DATE(AA$3,1,1)-$F50)/365)),MIN($G50,(DATE(AA$3,12,31)-$F50)/365),$I50))))</f>
        <v>0</v>
      </c>
      <c r="AB71" s="833" t="n">
        <f aca="false">IF($D50=0,0,IF($H50="SL",SLN($D50,$E50,$G50)*IF(YEAR($F50)&lt;AB$3,IF(YEAR($F50)+$G50=AB$3,(MONTH($F50)-1)/12,IF(YEAR($F50)+$G50&lt;AB$3,0,1)),IF(YEAR($F50)&gt;AB$3,0,(12-MONTH($F50)+1)/12)),IF(YEAR($F50)&gt;AB$3,0,VDB($D50,$E50,$G50,IF(YEAR($F50)=AB$3,0,MIN($G50,(DATE(AB$3,1,1)-$F50)/365)),MIN($G50,(DATE(AB$3,12,31)-$F50)/365),$I50))))</f>
        <v>0</v>
      </c>
      <c r="AC71" s="833" t="n">
        <f aca="false">IF($D50=0,0,IF($H50="SL",SLN($D50,$E50,$G50)*IF(YEAR($F50)&lt;AC$3,IF(YEAR($F50)+$G50=AC$3,(MONTH($F50)-1)/12,IF(YEAR($F50)+$G50&lt;AC$3,0,1)),IF(YEAR($F50)&gt;AC$3,0,(12-MONTH($F50)+1)/12)),IF(YEAR($F50)&gt;AC$3,0,VDB($D50,$E50,$G50,IF(YEAR($F50)=AC$3,0,MIN($G50,(DATE(AC$3,1,1)-$F50)/365)),MIN($G50,(DATE(AC$3,12,31)-$F50)/365),$I50))))</f>
        <v>0</v>
      </c>
      <c r="AD71" s="833" t="n">
        <f aca="false">IF($D50=0,0,IF($H50="SL",SLN($D50,$E50,$G50)*IF(YEAR($F50)&lt;AD$3,IF(YEAR($F50)+$G50=AD$3,(MONTH($F50)-1)/12,IF(YEAR($F50)+$G50&lt;AD$3,0,1)),IF(YEAR($F50)&gt;AD$3,0,(12-MONTH($F50)+1)/12)),IF(YEAR($F50)&gt;AD$3,0,VDB($D50,$E50,$G50,IF(YEAR($F50)=AD$3,0,MIN($G50,(DATE(AD$3,1,1)-$F50)/365)),MIN($G50,(DATE(AD$3,12,31)-$F50)/365),$I50))))</f>
        <v>0</v>
      </c>
      <c r="AE71" s="833" t="n">
        <f aca="false">IF($D50=0,0,IF($H50="SL",SLN($D50,$E50,$G50)*IF(YEAR($F50)&lt;AE$3,IF(YEAR($F50)+$G50=AE$3,(MONTH($F50)-1)/12,IF(YEAR($F50)+$G50&lt;AE$3,0,1)),IF(YEAR($F50)&gt;AE$3,0,(12-MONTH($F50)+1)/12)),IF(YEAR($F50)&gt;AE$3,0,VDB($D50,$E50,$G50,IF(YEAR($F50)=AE$3,0,MIN($G50,(DATE(AE$3,1,1)-$F50)/365)),MIN($G50,(DATE(AE$3,12,31)-$F50)/365),$I50))))</f>
        <v>0</v>
      </c>
      <c r="AF71" s="833" t="n">
        <f aca="false">IF($D50=0,0,IF($H50="SL",SLN($D50,$E50,$G50)*IF(YEAR($F50)&lt;AF$3,IF(YEAR($F50)+$G50=AF$3,(MONTH($F50)-1)/12,IF(YEAR($F50)+$G50&lt;AF$3,0,1)),IF(YEAR($F50)&gt;AF$3,0,(12-MONTH($F50)+1)/12)),IF(YEAR($F50)&gt;AF$3,0,VDB($D50,$E50,$G50,IF(YEAR($F50)=AF$3,0,MIN($G50,(DATE(AF$3,1,1)-$F50)/365)),MIN($G50,(DATE(AF$3,12,31)-$F50)/365),$I50))))</f>
        <v>0</v>
      </c>
    </row>
    <row r="72" customFormat="false" ht="11.25" hidden="false" customHeight="false" outlineLevel="0" collapsed="false">
      <c r="B72" s="826" t="s">
        <v>687</v>
      </c>
      <c r="I72" s="834" t="n">
        <f aca="false">SUM(I62:I71)</f>
        <v>11990.9279083</v>
      </c>
      <c r="J72" s="834" t="n">
        <f aca="false">SUM(J62:J71)</f>
        <v>23981.8558166</v>
      </c>
      <c r="K72" s="834" t="n">
        <f aca="false">SUM(K62:K71)</f>
        <v>23981.8558166</v>
      </c>
      <c r="L72" s="834" t="n">
        <f aca="false">SUM(L62:L71)</f>
        <v>23981.8558166</v>
      </c>
      <c r="M72" s="834" t="n">
        <f aca="false">SUM(M62:M71)</f>
        <v>23981.8558166</v>
      </c>
      <c r="N72" s="834" t="n">
        <f aca="false">SUM(N62:N71)</f>
        <v>23981.8558166</v>
      </c>
      <c r="O72" s="834" t="n">
        <f aca="false">SUM(O62:O71)</f>
        <v>23981.8558166</v>
      </c>
      <c r="P72" s="834" t="n">
        <f aca="false">SUM(P62:P71)</f>
        <v>23981.8558166</v>
      </c>
      <c r="Q72" s="834" t="n">
        <f aca="false">SUM(Q62:Q71)</f>
        <v>23981.8558166</v>
      </c>
      <c r="R72" s="834" t="n">
        <f aca="false">SUM(R62:R71)</f>
        <v>23981.8558166</v>
      </c>
      <c r="S72" s="834" t="n">
        <f aca="false">SUM(S62:S71)</f>
        <v>23981.8558166</v>
      </c>
      <c r="T72" s="834" t="n">
        <f aca="false">SUM(T62:T71)</f>
        <v>23981.8558166</v>
      </c>
      <c r="U72" s="834" t="n">
        <f aca="false">SUM(U62:U71)</f>
        <v>23981.8558166</v>
      </c>
      <c r="V72" s="834" t="n">
        <f aca="false">SUM(V62:V71)</f>
        <v>23981.8558166</v>
      </c>
      <c r="W72" s="834" t="n">
        <f aca="false">SUM(W62:W71)</f>
        <v>23981.8558166</v>
      </c>
      <c r="X72" s="834" t="n">
        <f aca="false">SUM(X62:X71)</f>
        <v>23981.8558166</v>
      </c>
      <c r="Y72" s="834" t="n">
        <f aca="false">SUM(Y62:Y71)</f>
        <v>23981.8558166</v>
      </c>
      <c r="Z72" s="834" t="n">
        <f aca="false">SUM(Z62:Z71)</f>
        <v>23981.8558166</v>
      </c>
      <c r="AA72" s="834" t="n">
        <f aca="false">SUM(AA62:AA71)</f>
        <v>23981.8558166</v>
      </c>
      <c r="AB72" s="834" t="n">
        <f aca="false">SUM(AB62:AB71)</f>
        <v>23981.8558166</v>
      </c>
      <c r="AC72" s="834" t="n">
        <f aca="false">SUM(AC62:AC71)</f>
        <v>11990.9279083</v>
      </c>
      <c r="AD72" s="834" t="n">
        <f aca="false">SUM(AD62:AD71)</f>
        <v>0</v>
      </c>
      <c r="AE72" s="834" t="n">
        <f aca="false">SUM(AE62:AE71)</f>
        <v>0</v>
      </c>
      <c r="AF72" s="834" t="n">
        <f aca="false">SUM(AF62:AF71)</f>
        <v>0</v>
      </c>
    </row>
    <row r="73" customFormat="false" ht="11.25" hidden="false" customHeight="false" outlineLevel="0" collapsed="false">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row>
    <row r="74" customFormat="false" ht="11.25" hidden="false" customHeight="false" outlineLevel="0" collapsed="false">
      <c r="A74" s="826" t="s">
        <v>655</v>
      </c>
      <c r="I74" s="781"/>
      <c r="J74" s="781"/>
      <c r="K74" s="781"/>
      <c r="L74" s="781"/>
      <c r="M74" s="781"/>
      <c r="N74" s="781"/>
      <c r="O74" s="781"/>
      <c r="P74" s="781"/>
      <c r="Q74" s="781"/>
      <c r="R74" s="781"/>
      <c r="S74" s="781"/>
      <c r="T74" s="781"/>
      <c r="U74" s="781"/>
      <c r="V74" s="781"/>
      <c r="W74" s="781"/>
      <c r="X74" s="781"/>
      <c r="Y74" s="781"/>
      <c r="Z74" s="781"/>
      <c r="AA74" s="781"/>
      <c r="AB74" s="781"/>
      <c r="AC74" s="781"/>
      <c r="AD74" s="781"/>
      <c r="AE74" s="781"/>
      <c r="AF74" s="781"/>
    </row>
    <row r="75" customFormat="false" ht="11.25" hidden="false" customHeight="false" outlineLevel="0" collapsed="false">
      <c r="C75" s="748" t="str">
        <f aca="false">+C54</f>
        <v>Funding 1</v>
      </c>
      <c r="I75" s="833" t="n">
        <f aca="false">IF(D54=0,0,IF($H54="SL",SLN($D54,$E54,$G54)*IF(YEAR($F54)&lt;(J$3-1),IF(YEAR($F54)+$G54=J$3-1,(MONTH($F54)-1)/12,IF(YEAR($F54)+$G54&lt;J$3-1,0,1)),IF(YEAR($F54)&gt;J$3-1,0,(12-MONTH($F54)+1)/12)),IF(YEAR($F54)&gt;J$3-1,0,VDB($D54,$E54,$G54,IF(YEAR($F54)=J$3-1,0,MIN($G54,(DATE(J$3-1,1,1)-$F54)/365)),MIN($G54,(DATE(J$3-1,12,31)-$F54)/365),$I54))))</f>
        <v>3468.80414490107</v>
      </c>
      <c r="J75" s="833" t="n">
        <f aca="false">IF(D54=0,0,IF($H54="SL",SLN($D54,$E54,$G54)*IF(YEAR($F54)&lt;J$3,IF(YEAR($F54)+$G54=J$3,(MONTH($F54)-1)/12,IF(YEAR($F54)+$G54&lt;J$3,0,1)),IF(YEAR($F54)&gt;J$3,0,(12-MONTH($F54)+1)/12)),IF(YEAR($F54)&gt;J$3,0,VDB($D54,$E54,$G54,IF(YEAR($F54)=J$3,0,MIN($G54,(DATE(J$3,1,1)-$F54)/365)),MIN($G54,(DATE(J$3,12,31)-$F54)/365),$I54))))</f>
        <v>6937.60828980214</v>
      </c>
      <c r="K75" s="833" t="n">
        <f aca="false">IF(D54=0,0,IF($H54="SL",SLN($D54,$E54,$G54)*IF(YEAR($F54)&lt;K$3,IF(YEAR($F54)+$G54=K$3,(MONTH($F54)-1)/12,IF(YEAR($F54)+$G54&lt;K$3,0,1)),IF(YEAR($F54)&gt;K$3,0,(12-MONTH($F54)+1)/12)),IF(YEAR($F54)&gt;K$3,0,VDB($D54,$E54,$G54,IF(YEAR($F54)=K$3,0,MIN($G54,(DATE(K$3,1,1)-$F54)/365)),MIN($G54,(DATE(K$3,12,31)-$F54)/365),$I54))))</f>
        <v>6937.60828980214</v>
      </c>
      <c r="L75" s="833" t="n">
        <f aca="false">IF(D54=0,0,IF($H54="SL",SLN($D54,$E54,$G54)*IF(YEAR($F54)&lt;L$3,IF(YEAR($F54)+$G54=L$3,(MONTH($F54)-1)/12,IF(YEAR($F54)+$G54&lt;L$3,0,1)),IF(YEAR($F54)&gt;L$3,0,(12-MONTH($F54)+1)/12)),IF(YEAR($F54)&gt;L$3,0,VDB($D54,$E54,$G54,IF(YEAR($F54)=L$3,0,MIN($G54,(DATE(L$3,1,1)-$F54)/365)),MIN($G54,(DATE(L$3,12,31)-$F54)/365),$I54))))</f>
        <v>6937.60828980214</v>
      </c>
      <c r="M75" s="833" t="n">
        <f aca="false">IF(D54=0,0,IF($H54="SL",SLN($D54,$E54,$G54)*IF(YEAR($F54)&lt;M$3,IF(YEAR($F54)+$G54=M$3,(MONTH($F54)-1)/12,IF(YEAR($F54)+$G54&lt;M$3,0,1)),IF(YEAR($F54)&gt;M$3,0,(12-MONTH($F54)+1)/12)),IF(YEAR($F54)&gt;M$3,0,VDB($D54,$E54,$G54,IF(YEAR($F54)=M$3,0,MIN($G54,(DATE(M$3,1,1)-$F54)/365)),MIN($G54,(DATE(M$3,12,31)-$F54)/365),$I54))))</f>
        <v>6937.60828980214</v>
      </c>
      <c r="N75" s="833" t="n">
        <f aca="false">IF(D54=0,0,IF($H54="SL",SLN($D54,$E54,$G54)*IF(YEAR($F54)&lt;N$3,IF(YEAR($F54)+$G54=N$3,(MONTH($F54)-1)/12,IF(YEAR($F54)+$G54&lt;N$3,0,1)),IF(YEAR($F54)&gt;N$3,0,(12-MONTH($F54)+1)/12)),IF(YEAR($F54)&gt;N$3,0,VDB($D54,$E54,$G54,IF(YEAR($F54)=N$3,0,MIN($G54,(DATE(N$3,1,1)-$F54)/365)),MIN($G54,(DATE(N$3,12,31)-$F54)/365),$I54))))</f>
        <v>6937.60828980214</v>
      </c>
      <c r="O75" s="833" t="n">
        <f aca="false">IF(D54=0,0,IF($H54="SL",SLN($D54,$E54,$G54)*IF(YEAR($F54)&lt;O$3,IF(YEAR($F54)+$G54=O$3,(MONTH($F54)-1)/12,IF(YEAR($F54)+$G54&lt;O$3,0,1)),IF(YEAR($F54)&gt;O$3,0,(12-MONTH($F54)+1)/12)),IF(YEAR($F54)&gt;O$3,0,VDB($D54,$E54,$G54,IF(YEAR($F54)=O$3,0,MIN($G54,(DATE(O$3,1,1)-$F54)/365)),MIN($G54,(DATE(O$3,12,31)-$F54)/365),$I54))))</f>
        <v>6937.60828980214</v>
      </c>
      <c r="P75" s="833" t="n">
        <f aca="false">IF(D54=0,0,IF($H54="SL",SLN($D54,$E54,$G54)*IF(YEAR($F54)&lt;P$3,IF(YEAR($F54)+$G54=P$3,(MONTH($F54)-1)/12,IF(YEAR($F54)+$G54&lt;P$3,0,1)),IF(YEAR($F54)&gt;P$3,0,(12-MONTH($F54)+1)/12)),IF(YEAR($F54)&gt;P$3,0,VDB($D54,$E54,$G54,IF(YEAR($F54)=P$3,0,MIN($G54,(DATE(P$3,1,1)-$F54)/365)),MIN($G54,(DATE(P$3,12,31)-$F54)/365),$I54))))</f>
        <v>3468.80414490107</v>
      </c>
      <c r="Q75" s="833" t="n">
        <f aca="false">IF(D54=0,0,IF($H54="SL",SLN($D54,$E54,$G54)*IF(YEAR($F54)&lt;Q$3,IF(YEAR($F54)+$G54=Q$3,(MONTH($F54)-1)/12,IF(YEAR($F54)+$G54&lt;Q$3,0,1)),IF(YEAR($F54)&gt;Q$3,0,(12-MONTH($F54)+1)/12)),IF(YEAR($F54)&gt;Q$3,0,VDB($D54,$E54,$G54,IF(YEAR($F54)=Q$3,0,MIN($G54,(DATE(Q$3,1,1)-$F54)/365)),MIN($G54,(DATE(Q$3,12,31)-$F54)/365),$I54))))</f>
        <v>0</v>
      </c>
      <c r="R75" s="833" t="n">
        <f aca="false">IF(D54=0,0,IF($H54="SL",SLN($D54,$E54,$G54)*IF(YEAR($F54)&lt;R$3,IF(YEAR($F54)+$G54=R$3,(MONTH($F54)-1)/12,IF(YEAR($F54)+$G54&lt;R$3,0,1)),IF(YEAR($F54)&gt;R$3,0,(12-MONTH($F54)+1)/12)),IF(YEAR($F54)&gt;R$3,0,VDB($D54,$E54,$G54,IF(YEAR($F54)=R$3,0,MIN($G54,(DATE(R$3,1,1)-$F54)/365)),MIN($G54,(DATE(R$3,12,31)-$F54)/365),$I54))))</f>
        <v>0</v>
      </c>
      <c r="S75" s="833" t="n">
        <f aca="false">IF(D54=0,0,IF($H54="SL",SLN($D54,$E54,$G54)*IF(YEAR($F54)&lt;S$3,IF(YEAR($F54)+$G54=S$3,(MONTH($F54)-1)/12,IF(YEAR($F54)+$G54&lt;S$3,0,1)),IF(YEAR($F54)&gt;S$3,0,(12-MONTH($F54)+1)/12)),IF(YEAR($F54)&gt;S$3,0,VDB($D54,$E54,$G54,IF(YEAR($F54)=S$3,0,MIN($G54,(DATE(S$3,1,1)-$F54)/365)),MIN($G54,(DATE(S$3,12,31)-$F54)/365),$I54))))</f>
        <v>0</v>
      </c>
      <c r="T75" s="833" t="n">
        <f aca="false">IF(D54=0,0,IF($H54="SL",SLN($D54,$E54,$G54)*IF(YEAR($F54)&lt;T$3,IF(YEAR($F54)+$G54=T$3,(MONTH($F54)-1)/12,IF(YEAR($F54)+$G54&lt;T$3,0,1)),IF(YEAR($F54)&gt;T$3,0,(12-MONTH($F54)+1)/12)),IF(YEAR($F54)&gt;T$3,0,VDB($D54,$E54,$G54,IF(YEAR($F54)=T$3,0,MIN($G54,(DATE(T$3,1,1)-$F54)/365)),MIN($G54,(DATE(T$3,12,31)-$F54)/365),$I54))))</f>
        <v>0</v>
      </c>
      <c r="U75" s="833" t="n">
        <f aca="false">IF(D54=0,0,IF($H54="SL",SLN($D54,$E54,$G54)*IF(YEAR($F54)&lt;U$3,IF(YEAR($F54)+$G54=U$3,(MONTH($F54)-1)/12,IF(YEAR($F54)+$G54&lt;U$3,0,1)),IF(YEAR($F54)&gt;U$3,0,(12-MONTH($F54)+1)/12)),IF(YEAR($F54)&gt;U$3,0,VDB($D54,$E54,$G54,IF(YEAR($F54)=U$3,0,MIN($G54,(DATE(U$3,1,1)-$F54)/365)),MIN($G54,(DATE(U$3,12,31)-$F54)/365),$I54))))</f>
        <v>0</v>
      </c>
      <c r="V75" s="833" t="n">
        <f aca="false">IF(D54=0,0,IF($H54="SL",SLN($D54,$E54,$G54)*IF(YEAR($F54)&lt;V$3,IF(YEAR($F54)+$G54=V$3,(MONTH($F54)-1)/12,IF(YEAR($F54)+$G54&lt;V$3,0,1)),IF(YEAR($F54)&gt;V$3,0,(12-MONTH($F54)+1)/12)),IF(YEAR($F54)&gt;V$3,0,VDB($D54,$E54,$G54,IF(YEAR($F54)=V$3,0,MIN($G54,(DATE(V$3,1,1)-$F54)/365)),MIN($G54,(DATE(V$3,12,31)-$F54)/365),$I54))))</f>
        <v>0</v>
      </c>
      <c r="W75" s="833" t="n">
        <f aca="false">IF(D54=0,0,IF($H54="SL",SLN($D54,$E54,$G54)*IF(YEAR($F54)&lt;W$3,IF(YEAR($F54)+$G54=W$3,(MONTH($F54)-1)/12,IF(YEAR($F54)+$G54&lt;W$3,0,1)),IF(YEAR($F54)&gt;W$3,0,(12-MONTH($F54)+1)/12)),IF(YEAR($F54)&gt;W$3,0,VDB($D54,$E54,$G54,IF(YEAR($F54)=W$3,0,MIN($G54,(DATE(W$3,1,1)-$F54)/365)),MIN($G54,(DATE(W$3,12,31)-$F54)/365),$I54))))</f>
        <v>0</v>
      </c>
      <c r="X75" s="833" t="n">
        <f aca="false">IF(D54=0,0,IF($H54="SL",SLN($D54,$E54,$G54)*IF(YEAR($F54)&lt;X$3,IF(YEAR($F54)+$G54=X$3,(MONTH($F54)-1)/12,IF(YEAR($F54)+$G54&lt;X$3,0,1)),IF(YEAR($F54)&gt;X$3,0,(12-MONTH($F54)+1)/12)),IF(YEAR($F54)&gt;X$3,0,VDB($D54,$E54,$G54,IF(YEAR($F54)=X$3,0,MIN($G54,(DATE(X$3,1,1)-$F54)/365)),MIN($G54,(DATE(X$3,12,31)-$F54)/365),$I54))))</f>
        <v>0</v>
      </c>
      <c r="Y75" s="833" t="n">
        <f aca="false">IF(D54=0,0,IF($H54="SL",SLN($D54,$E54,$G54)*IF(YEAR($F54)&lt;Y$3,IF(YEAR($F54)+$G54=Y$3,(MONTH($F54)-1)/12,IF(YEAR($F54)+$G54&lt;Y$3,0,1)),IF(YEAR($F54)&gt;Y$3,0,(12-MONTH($F54)+1)/12)),IF(YEAR($F54)&gt;Y$3,0,VDB($D54,$E54,$G54,IF(YEAR($F54)=Y$3,0,MIN($G54,(DATE(Y$3,1,1)-$F54)/365)),MIN($G54,(DATE(Y$3,12,31)-$F54)/365),$I54))))</f>
        <v>0</v>
      </c>
      <c r="Z75" s="833" t="n">
        <f aca="false">IF(D54=0,0,IF($H54="SL",SLN($D54,$E54,$G54)*IF(YEAR($F54)&lt;Z$3,IF(YEAR($F54)+$G54=Z$3,(MONTH($F54)-1)/12,IF(YEAR($F54)+$G54&lt;Z$3,0,1)),IF(YEAR($F54)&gt;Z$3,0,(12-MONTH($F54)+1)/12)),IF(YEAR($F54)&gt;Z$3,0,VDB($D54,$E54,$G54,IF(YEAR($F54)=Z$3,0,MIN($G54,(DATE(Z$3,1,1)-$F54)/365)),MIN($G54,(DATE(Z$3,12,31)-$F54)/365),$I54))))</f>
        <v>0</v>
      </c>
      <c r="AA75" s="833" t="n">
        <f aca="false">IF(D54=0,0,IF($H54="SL",SLN($D54,$E54,$G54)*IF(YEAR($F54)&lt;AA$3,IF(YEAR($F54)+$G54=AA$3,(MONTH($F54)-1)/12,IF(YEAR($F54)+$G54&lt;AA$3,0,1)),IF(YEAR($F54)&gt;AA$3,0,(12-MONTH($F54)+1)/12)),IF(YEAR($F54)&gt;AA$3,0,VDB($D54,$E54,$G54,IF(YEAR($F54)=AA$3,0,MIN($G54,(DATE(AA$3,1,1)-$F54)/365)),MIN($G54,(DATE(AA$3,12,31)-$F54)/365),$I54))))</f>
        <v>0</v>
      </c>
      <c r="AB75" s="833" t="n">
        <f aca="false">IF(D54=0,0,IF($H54="SL",SLN($D54,$E54,$G54)*IF(YEAR($F54)&lt;AB$3,IF(YEAR($F54)+$G54=AB$3,(MONTH($F54)-1)/12,IF(YEAR($F54)+$G54&lt;AB$3,0,1)),IF(YEAR($F54)&gt;AB$3,0,(12-MONTH($F54)+1)/12)),IF(YEAR($F54)&gt;AB$3,0,VDB($D54,$E54,$G54,IF(YEAR($F54)=AB$3,0,MIN($G54,(DATE(AB$3,1,1)-$F54)/365)),MIN($G54,(DATE(AB$3,12,31)-$F54)/365),$I54))))</f>
        <v>0</v>
      </c>
      <c r="AC75" s="833" t="n">
        <f aca="false">IF(D54=0,0,IF($H54="SL",SLN($D54,$E54,$G54)*IF(YEAR($F54)&lt;AC$3,IF(YEAR($F54)+$G54=AC$3,(MONTH($F54)-1)/12,IF(YEAR($F54)+$G54&lt;AC$3,0,1)),IF(YEAR($F54)&gt;AC$3,0,(12-MONTH($F54)+1)/12)),IF(YEAR($F54)&gt;AC$3,0,VDB($D54,$E54,$G54,IF(YEAR($F54)=AC$3,0,MIN($G54,(DATE(AC$3,1,1)-$F54)/365)),MIN($G54,(DATE(AC$3,12,31)-$F54)/365),$I54))))</f>
        <v>0</v>
      </c>
      <c r="AD75" s="833" t="n">
        <f aca="false">IF(E54=0,0,IF($H54="SL",SLN($D54,$E54,$G54)*IF(YEAR($F54)&lt;AD$3,IF(YEAR($F54)+$G54=AD$3,(MONTH($F54)-1)/12,IF(YEAR($F54)+$G54&lt;AD$3,0,1)),IF(YEAR($F54)&gt;AD$3,0,(12-MONTH($F54)+1)/12)),IF(YEAR($F54)&gt;AD$3,0,VDB($D54,$E54,$G54,IF(YEAR($F54)=AD$3,0,MIN($G54,(DATE(AD$3,1,1)-$F54)/365)),MIN($G54,(DATE(AD$3,12,31)-$F54)/365),$I54))))</f>
        <v>0</v>
      </c>
      <c r="AE75" s="833" t="n">
        <f aca="false">IF(F54=0,0,IF($H54="SL",SLN($D54,$E54,$G54)*IF(YEAR($F54)&lt;AE$3,IF(YEAR($F54)+$G54=AE$3,(MONTH($F54)-1)/12,IF(YEAR($F54)+$G54&lt;AE$3,0,1)),IF(YEAR($F54)&gt;AE$3,0,(12-MONTH($F54)+1)/12)),IF(YEAR($F54)&gt;AE$3,0,VDB($D54,$E54,$G54,IF(YEAR($F54)=AE$3,0,MIN($G54,(DATE(AE$3,1,1)-$F54)/365)),MIN($G54,(DATE(AE$3,12,31)-$F54)/365),$I54))))</f>
        <v>0</v>
      </c>
      <c r="AF75" s="833" t="n">
        <f aca="false">IF(G54=0,0,IF($H54="SL",SLN($D54,$E54,$G54)*IF(YEAR($F54)&lt;AF$3,IF(YEAR($F54)+$G54=AF$3,(MONTH($F54)-1)/12,IF(YEAR($F54)+$G54&lt;AF$3,0,1)),IF(YEAR($F54)&gt;AF$3,0,(12-MONTH($F54)+1)/12)),IF(YEAR($F54)&gt;AF$3,0,VDB($D54,$E54,$G54,IF(YEAR($F54)=AF$3,0,MIN($G54,(DATE(AF$3,1,1)-$F54)/365)),MIN($G54,(DATE(AF$3,12,31)-$F54)/365),$I54))))</f>
        <v>0</v>
      </c>
    </row>
    <row r="76" customFormat="false" ht="11.25" hidden="true" customHeight="false" outlineLevel="1" collapsed="false">
      <c r="A76" s="800"/>
      <c r="C76" s="748" t="str">
        <f aca="false">+C55</f>
        <v>Funding 2</v>
      </c>
      <c r="I76" s="833" t="n">
        <f aca="false">IF(D55=0,0,IF($H55="SL",SLN($D55,$E55,$G55)*IF(YEAR($F55)&lt;(J$3-1),IF(YEAR($F55)+$G55=J$3-1,(MONTH($F55)-1)/12,IF(YEAR($F55)+$G55&lt;J$3-1,0,1)),IF(YEAR($F55)&gt;J$3-1,0,(12-MONTH($F55)+1)/12)),IF(YEAR($F55)&gt;J$3-1,0,VDB($D55,$E55,$G55,IF(YEAR($F55)=J$3-1,0,MIN($G55,(DATE(J$3-1,1,1)-$F55)/365)),MIN($G55,(DATE(J$3-1,12,31)-$F55)/365),$I55))))</f>
        <v>0</v>
      </c>
      <c r="J76" s="833" t="n">
        <f aca="false">IF(D55=0,0,IF($H55="SL",SLN($D55,$E55,$G55)*IF(YEAR($F55)&lt;J$3,IF(YEAR($F55)+$G55=J$3,(MONTH($F55)-1)/12,IF(YEAR($F55)+$G55&lt;J$3,0,1)),IF(YEAR($F55)&gt;J$3,0,(12-MONTH($F55)+1)/12)),IF(YEAR($F55)&gt;J$3,0,VDB($D55,$E55,$G55,IF(YEAR($F55)=J$3,0,MIN($G55,(DATE(J$3,1,1)-$F55)/365)),MIN($G55,(DATE(J$3,12,31)-$F55)/365),$I55))))</f>
        <v>0</v>
      </c>
      <c r="K76" s="833" t="n">
        <f aca="false">IF(D55=0,0,IF($H55="SL",SLN($D55,$E55,$G55)*IF(YEAR($F55)&lt;K$3,IF(YEAR($F55)+$G55=K$3,(MONTH($F55)-1)/12,IF(YEAR($F55)+$G55&lt;K$3,0,1)),IF(YEAR($F55)&gt;K$3,0,(12-MONTH($F55)+1)/12)),IF(YEAR($F55)&gt;K$3,0,VDB($D55,$E55,$G55,IF(YEAR($F55)=K$3,0,MIN($G55,(DATE(K$3,1,1)-$F55)/365)),MIN($G55,(DATE(K$3,12,31)-$F55)/365),$I55))))</f>
        <v>0</v>
      </c>
      <c r="L76" s="833" t="n">
        <f aca="false">IF(D55=0,0,IF($H55="SL",SLN($D55,$E55,$G55)*IF(YEAR($F55)&lt;L$3,IF(YEAR($F55)+$G55=L$3,(MONTH($F55)-1)/12,IF(YEAR($F55)+$G55&lt;L$3,0,1)),IF(YEAR($F55)&gt;L$3,0,(12-MONTH($F55)+1)/12)),IF(YEAR($F55)&gt;L$3,0,VDB($D55,$E55,$G55,IF(YEAR($F55)=L$3,0,MIN($G55,(DATE(L$3,1,1)-$F55)/365)),MIN($G55,(DATE(L$3,12,31)-$F55)/365),$I55))))</f>
        <v>0</v>
      </c>
      <c r="M76" s="833" t="n">
        <f aca="false">IF(D55=0,0,IF($H55="SL",SLN($D55,$E55,$G55)*IF(YEAR($F55)&lt;M$3,IF(YEAR($F55)+$G55=M$3,(MONTH($F55)-1)/12,IF(YEAR($F55)+$G55&lt;M$3,0,1)),IF(YEAR($F55)&gt;M$3,0,(12-MONTH($F55)+1)/12)),IF(YEAR($F55)&gt;M$3,0,VDB($D55,$E55,$G55,IF(YEAR($F55)=M$3,0,MIN($G55,(DATE(M$3,1,1)-$F55)/365)),MIN($G55,(DATE(M$3,12,31)-$F55)/365),$I55))))</f>
        <v>0</v>
      </c>
      <c r="N76" s="833" t="n">
        <f aca="false">IF(D55=0,0,IF($H55="SL",SLN($D55,$E55,$G55)*IF(YEAR($F55)&lt;N$3,IF(YEAR($F55)+$G55=N$3,(MONTH($F55)-1)/12,IF(YEAR($F55)+$G55&lt;N$3,0,1)),IF(YEAR($F55)&gt;N$3,0,(12-MONTH($F55)+1)/12)),IF(YEAR($F55)&gt;N$3,0,VDB($D55,$E55,$G55,IF(YEAR($F55)=N$3,0,MIN($G55,(DATE(N$3,1,1)-$F55)/365)),MIN($G55,(DATE(N$3,12,31)-$F55)/365),$I55))))</f>
        <v>0</v>
      </c>
      <c r="O76" s="833" t="n">
        <f aca="false">IF(D55=0,0,IF($H55="SL",SLN($D55,$E55,$G55)*IF(YEAR($F55)&lt;O$3,IF(YEAR($F55)+$G55=O$3,(MONTH($F55)-1)/12,IF(YEAR($F55)+$G55&lt;O$3,0,1)),IF(YEAR($F55)&gt;O$3,0,(12-MONTH($F55)+1)/12)),IF(YEAR($F55)&gt;O$3,0,VDB($D55,$E55,$G55,IF(YEAR($F55)=O$3,0,MIN($G55,(DATE(O$3,1,1)-$F55)/365)),MIN($G55,(DATE(O$3,12,31)-$F55)/365),$I55))))</f>
        <v>0</v>
      </c>
      <c r="P76" s="833" t="n">
        <f aca="false">IF(D55=0,0,IF($H55="SL",SLN($D55,$E55,$G55)*IF(YEAR($F55)&lt;P$3,IF(YEAR($F55)+$G55=P$3,(MONTH($F55)-1)/12,IF(YEAR($F55)+$G55&lt;P$3,0,1)),IF(YEAR($F55)&gt;P$3,0,(12-MONTH($F55)+1)/12)),IF(YEAR($F55)&gt;P$3,0,VDB($D55,$E55,$G55,IF(YEAR($F55)=P$3,0,MIN($G55,(DATE(P$3,1,1)-$F55)/365)),MIN($G55,(DATE(P$3,12,31)-$F55)/365),$I55))))</f>
        <v>0</v>
      </c>
      <c r="Q76" s="833" t="n">
        <f aca="false">IF(D55=0,0,IF($H55="SL",SLN($D55,$E55,$G55)*IF(YEAR($F55)&lt;Q$3,IF(YEAR($F55)+$G55=Q$3,(MONTH($F55)-1)/12,IF(YEAR($F55)+$G55&lt;Q$3,0,1)),IF(YEAR($F55)&gt;Q$3,0,(12-MONTH($F55)+1)/12)),IF(YEAR($F55)&gt;Q$3,0,VDB($D55,$E55,$G55,IF(YEAR($F55)=Q$3,0,MIN($G55,(DATE(Q$3,1,1)-$F55)/365)),MIN($G55,(DATE(Q$3,12,31)-$F55)/365),$I55))))</f>
        <v>0</v>
      </c>
      <c r="R76" s="833" t="n">
        <f aca="false">IF(D55=0,0,IF($H55="SL",SLN($D55,$E55,$G55)*IF(YEAR($F55)&lt;R$3,IF(YEAR($F55)+$G55=R$3,(MONTH($F55)-1)/12,IF(YEAR($F55)+$G55&lt;R$3,0,1)),IF(YEAR($F55)&gt;R$3,0,(12-MONTH($F55)+1)/12)),IF(YEAR($F55)&gt;R$3,0,VDB($D55,$E55,$G55,IF(YEAR($F55)=R$3,0,MIN($G55,(DATE(R$3,1,1)-$F55)/365)),MIN($G55,(DATE(R$3,12,31)-$F55)/365),$I55))))</f>
        <v>0</v>
      </c>
      <c r="S76" s="833" t="n">
        <f aca="false">IF(D55=0,0,IF($H55="SL",SLN($D55,$E55,$G55)*IF(YEAR($F55)&lt;S$3,IF(YEAR($F55)+$G55=S$3,(MONTH($F55)-1)/12,IF(YEAR($F55)+$G55&lt;S$3,0,1)),IF(YEAR($F55)&gt;S$3,0,(12-MONTH($F55)+1)/12)),IF(YEAR($F55)&gt;S$3,0,VDB($D55,$E55,$G55,IF(YEAR($F55)=S$3,0,MIN($G55,(DATE(S$3,1,1)-$F55)/365)),MIN($G55,(DATE(S$3,12,31)-$F55)/365),$I55))))</f>
        <v>0</v>
      </c>
      <c r="T76" s="833" t="n">
        <f aca="false">IF(D55=0,0,IF($H55="SL",SLN($D55,$E55,$G55)*IF(YEAR($F55)&lt;T$3,IF(YEAR($F55)+$G55=T$3,(MONTH($F55)-1)/12,IF(YEAR($F55)+$G55&lt;T$3,0,1)),IF(YEAR($F55)&gt;T$3,0,(12-MONTH($F55)+1)/12)),IF(YEAR($F55)&gt;T$3,0,VDB($D55,$E55,$G55,IF(YEAR($F55)=T$3,0,MIN($G55,(DATE(T$3,1,1)-$F55)/365)),MIN($G55,(DATE(T$3,12,31)-$F55)/365),$I55))))</f>
        <v>0</v>
      </c>
      <c r="U76" s="833" t="n">
        <f aca="false">IF(D55=0,0,IF($H55="SL",SLN($D55,$E55,$G55)*IF(YEAR($F55)&lt;U$3,IF(YEAR($F55)+$G55=U$3,(MONTH($F55)-1)/12,IF(YEAR($F55)+$G55&lt;U$3,0,1)),IF(YEAR($F55)&gt;U$3,0,(12-MONTH($F55)+1)/12)),IF(YEAR($F55)&gt;U$3,0,VDB($D55,$E55,$G55,IF(YEAR($F55)=U$3,0,MIN($G55,(DATE(U$3,1,1)-$F55)/365)),MIN($G55,(DATE(U$3,12,31)-$F55)/365),$I55))))</f>
        <v>0</v>
      </c>
      <c r="V76" s="833" t="n">
        <f aca="false">IF(D55=0,0,IF($H55="SL",SLN($D55,$E55,$G55)*IF(YEAR($F55)&lt;V$3,IF(YEAR($F55)+$G55=V$3,(MONTH($F55)-1)/12,IF(YEAR($F55)+$G55&lt;V$3,0,1)),IF(YEAR($F55)&gt;V$3,0,(12-MONTH($F55)+1)/12)),IF(YEAR($F55)&gt;V$3,0,VDB($D55,$E55,$G55,IF(YEAR($F55)=V$3,0,MIN($G55,(DATE(V$3,1,1)-$F55)/365)),MIN($G55,(DATE(V$3,12,31)-$F55)/365),$I55))))</f>
        <v>0</v>
      </c>
      <c r="W76" s="833" t="n">
        <f aca="false">IF(D55=0,0,IF($H55="SL",SLN($D55,$E55,$G55)*IF(YEAR($F55)&lt;W$3,IF(YEAR($F55)+$G55=W$3,(MONTH($F55)-1)/12,IF(YEAR($F55)+$G55&lt;W$3,0,1)),IF(YEAR($F55)&gt;W$3,0,(12-MONTH($F55)+1)/12)),IF(YEAR($F55)&gt;W$3,0,VDB($D55,$E55,$G55,IF(YEAR($F55)=W$3,0,MIN($G55,(DATE(W$3,1,1)-$F55)/365)),MIN($G55,(DATE(W$3,12,31)-$F55)/365),$I55))))</f>
        <v>0</v>
      </c>
      <c r="X76" s="833" t="n">
        <f aca="false">IF(D55=0,0,IF($H55="SL",SLN($D55,$E55,$G55)*IF(YEAR($F55)&lt;X$3,IF(YEAR($F55)+$G55=X$3,(MONTH($F55)-1)/12,IF(YEAR($F55)+$G55&lt;X$3,0,1)),IF(YEAR($F55)&gt;X$3,0,(12-MONTH($F55)+1)/12)),IF(YEAR($F55)&gt;X$3,0,VDB($D55,$E55,$G55,IF(YEAR($F55)=X$3,0,MIN($G55,(DATE(X$3,1,1)-$F55)/365)),MIN($G55,(DATE(X$3,12,31)-$F55)/365),$I55))))</f>
        <v>0</v>
      </c>
      <c r="Y76" s="833" t="n">
        <f aca="false">IF(D55=0,0,IF($H55="SL",SLN($D55,$E55,$G55)*IF(YEAR($F55)&lt;Y$3,IF(YEAR($F55)+$G55=Y$3,(MONTH($F55)-1)/12,IF(YEAR($F55)+$G55&lt;Y$3,0,1)),IF(YEAR($F55)&gt;Y$3,0,(12-MONTH($F55)+1)/12)),IF(YEAR($F55)&gt;Y$3,0,VDB($D55,$E55,$G55,IF(YEAR($F55)=Y$3,0,MIN($G55,(DATE(Y$3,1,1)-$F55)/365)),MIN($G55,(DATE(Y$3,12,31)-$F55)/365),$I55))))</f>
        <v>0</v>
      </c>
      <c r="Z76" s="833" t="n">
        <f aca="false">IF(D55=0,0,IF($H55="SL",SLN($D55,$E55,$G55)*IF(YEAR($F55)&lt;Z$3,IF(YEAR($F55)+$G55=Z$3,(MONTH($F55)-1)/12,IF(YEAR($F55)+$G55&lt;Z$3,0,1)),IF(YEAR($F55)&gt;Z$3,0,(12-MONTH($F55)+1)/12)),IF(YEAR($F55)&gt;Z$3,0,VDB($D55,$E55,$G55,IF(YEAR($F55)=Z$3,0,MIN($G55,(DATE(Z$3,1,1)-$F55)/365)),MIN($G55,(DATE(Z$3,12,31)-$F55)/365),$I55))))</f>
        <v>0</v>
      </c>
      <c r="AA76" s="833" t="n">
        <f aca="false">IF(D55=0,0,IF($H55="SL",SLN($D55,$E55,$G55)*IF(YEAR($F55)&lt;AA$3,IF(YEAR($F55)+$G55=AA$3,(MONTH($F55)-1)/12,IF(YEAR($F55)+$G55&lt;AA$3,0,1)),IF(YEAR($F55)&gt;AA$3,0,(12-MONTH($F55)+1)/12)),IF(YEAR($F55)&gt;AA$3,0,VDB($D55,$E55,$G55,IF(YEAR($F55)=AA$3,0,MIN($G55,(DATE(AA$3,1,1)-$F55)/365)),MIN($G55,(DATE(AA$3,12,31)-$F55)/365),$I55))))</f>
        <v>0</v>
      </c>
      <c r="AB76" s="833" t="n">
        <f aca="false">IF(D55=0,0,IF($H55="SL",SLN($D55,$E55,$G55)*IF(YEAR($F55)&lt;AB$3,IF(YEAR($F55)+$G55=AB$3,(MONTH($F55)-1)/12,IF(YEAR($F55)+$G55&lt;AB$3,0,1)),IF(YEAR($F55)&gt;AB$3,0,(12-MONTH($F55)+1)/12)),IF(YEAR($F55)&gt;AB$3,0,VDB($D55,$E55,$G55,IF(YEAR($F55)=AB$3,0,MIN($G55,(DATE(AB$3,1,1)-$F55)/365)),MIN($G55,(DATE(AB$3,12,31)-$F55)/365),$I55))))</f>
        <v>0</v>
      </c>
      <c r="AC76" s="833" t="n">
        <f aca="false">IF(D55=0,0,IF($H55="SL",SLN($D55,$E55,$G55)*IF(YEAR($F55)&lt;AC$3,IF(YEAR($F55)+$G55=AC$3,(MONTH($F55)-1)/12,IF(YEAR($F55)+$G55&lt;AC$3,0,1)),IF(YEAR($F55)&gt;AC$3,0,(12-MONTH($F55)+1)/12)),IF(YEAR($F55)&gt;AC$3,0,VDB($D55,$E55,$G55,IF(YEAR($F55)=AC$3,0,MIN($G55,(DATE(AC$3,1,1)-$F55)/365)),MIN($G55,(DATE(AC$3,12,31)-$F55)/365),$I55))))</f>
        <v>0</v>
      </c>
      <c r="AD76" s="833" t="n">
        <f aca="false">IF(E55=0,0,IF($H55="SL",SLN($D55,$E55,$G55)*IF(YEAR($F55)&lt;AD$3,IF(YEAR($F55)+$G55=AD$3,(MONTH($F55)-1)/12,IF(YEAR($F55)+$G55&lt;AD$3,0,1)),IF(YEAR($F55)&gt;AD$3,0,(12-MONTH($F55)+1)/12)),IF(YEAR($F55)&gt;AD$3,0,VDB($D55,$E55,$G55,IF(YEAR($F55)=AD$3,0,MIN($G55,(DATE(AD$3,1,1)-$F55)/365)),MIN($G55,(DATE(AD$3,12,31)-$F55)/365),$I55))))</f>
        <v>0</v>
      </c>
      <c r="AE76" s="833" t="n">
        <f aca="false">IF(F55=0,0,IF($H55="SL",SLN($D55,$E55,$G55)*IF(YEAR($F55)&lt;AE$3,IF(YEAR($F55)+$G55=AE$3,(MONTH($F55)-1)/12,IF(YEAR($F55)+$G55&lt;AE$3,0,1)),IF(YEAR($F55)&gt;AE$3,0,(12-MONTH($F55)+1)/12)),IF(YEAR($F55)&gt;AE$3,0,VDB($D55,$E55,$G55,IF(YEAR($F55)=AE$3,0,MIN($G55,(DATE(AE$3,1,1)-$F55)/365)),MIN($G55,(DATE(AE$3,12,31)-$F55)/365),$I55))))</f>
        <v>0</v>
      </c>
      <c r="AF76" s="833" t="n">
        <f aca="false">IF(G55=0,0,IF($H55="SL",SLN($D55,$E55,$G55)*IF(YEAR($F55)&lt;AF$3,IF(YEAR($F55)+$G55=AF$3,(MONTH($F55)-1)/12,IF(YEAR($F55)+$G55&lt;AF$3,0,1)),IF(YEAR($F55)&gt;AF$3,0,(12-MONTH($F55)+1)/12)),IF(YEAR($F55)&gt;AF$3,0,VDB($D55,$E55,$G55,IF(YEAR($F55)=AF$3,0,MIN($G55,(DATE(AF$3,1,1)-$F55)/365)),MIN($G55,(DATE(AF$3,12,31)-$F55)/365),$I55))))</f>
        <v>0</v>
      </c>
    </row>
    <row r="77" customFormat="false" ht="11.25" hidden="false" customHeight="false" outlineLevel="0" collapsed="false">
      <c r="A77" s="800"/>
      <c r="B77" s="826" t="s">
        <v>688</v>
      </c>
      <c r="I77" s="835" t="n">
        <f aca="false">+I76+I75</f>
        <v>3468.80414490107</v>
      </c>
      <c r="J77" s="835" t="n">
        <f aca="false">+J76+J75</f>
        <v>6937.60828980214</v>
      </c>
      <c r="K77" s="835" t="n">
        <f aca="false">+K76+K75</f>
        <v>6937.60828980214</v>
      </c>
      <c r="L77" s="835" t="n">
        <f aca="false">+L76+L75</f>
        <v>6937.60828980214</v>
      </c>
      <c r="M77" s="835" t="n">
        <f aca="false">+M76+M75</f>
        <v>6937.60828980214</v>
      </c>
      <c r="N77" s="835" t="n">
        <f aca="false">+N76+N75</f>
        <v>6937.60828980214</v>
      </c>
      <c r="O77" s="835" t="n">
        <f aca="false">+O76+O75</f>
        <v>6937.60828980214</v>
      </c>
      <c r="P77" s="835" t="n">
        <f aca="false">+P76+P75</f>
        <v>3468.80414490107</v>
      </c>
      <c r="Q77" s="835" t="n">
        <f aca="false">+Q76+Q75</f>
        <v>0</v>
      </c>
      <c r="R77" s="835" t="n">
        <f aca="false">+R76+R75</f>
        <v>0</v>
      </c>
      <c r="S77" s="835" t="n">
        <f aca="false">+S76+S75</f>
        <v>0</v>
      </c>
      <c r="T77" s="835" t="n">
        <f aca="false">+T76+T75</f>
        <v>0</v>
      </c>
      <c r="U77" s="835" t="n">
        <f aca="false">+U76+U75</f>
        <v>0</v>
      </c>
      <c r="V77" s="835" t="n">
        <f aca="false">+V76+V75</f>
        <v>0</v>
      </c>
      <c r="W77" s="835" t="n">
        <f aca="false">+W76+W75</f>
        <v>0</v>
      </c>
      <c r="X77" s="835" t="n">
        <f aca="false">+X76+X75</f>
        <v>0</v>
      </c>
      <c r="Y77" s="835" t="n">
        <f aca="false">+Y76+Y75</f>
        <v>0</v>
      </c>
      <c r="Z77" s="835" t="n">
        <f aca="false">+Z76+Z75</f>
        <v>0</v>
      </c>
      <c r="AA77" s="835" t="n">
        <f aca="false">+AA76+AA75</f>
        <v>0</v>
      </c>
      <c r="AB77" s="835" t="n">
        <f aca="false">+AB76+AB75</f>
        <v>0</v>
      </c>
      <c r="AC77" s="835" t="n">
        <f aca="false">+AC76+AC75</f>
        <v>0</v>
      </c>
      <c r="AD77" s="835" t="n">
        <f aca="false">+AD76+AD75</f>
        <v>0</v>
      </c>
      <c r="AE77" s="835" t="n">
        <f aca="false">+AE76+AE75</f>
        <v>0</v>
      </c>
      <c r="AF77" s="835" t="n">
        <f aca="false">+AF76+AF75</f>
        <v>0</v>
      </c>
    </row>
    <row r="78" customFormat="false" ht="11.25" hidden="false" customHeight="false" outlineLevel="0" collapsed="false">
      <c r="A78" s="800"/>
      <c r="I78" s="833"/>
      <c r="J78" s="833"/>
      <c r="K78" s="833"/>
      <c r="L78" s="833"/>
      <c r="M78" s="833"/>
      <c r="N78" s="833"/>
      <c r="O78" s="833"/>
      <c r="P78" s="833"/>
      <c r="Q78" s="833"/>
      <c r="R78" s="833"/>
      <c r="S78" s="833"/>
      <c r="T78" s="833"/>
      <c r="U78" s="833"/>
      <c r="V78" s="833"/>
      <c r="W78" s="833"/>
      <c r="X78" s="833"/>
      <c r="Y78" s="833"/>
      <c r="Z78" s="833"/>
      <c r="AA78" s="833"/>
      <c r="AB78" s="833"/>
      <c r="AC78" s="833"/>
      <c r="AD78" s="833"/>
      <c r="AE78" s="833"/>
      <c r="AF78" s="833"/>
    </row>
    <row r="79" customFormat="false" ht="11.25" hidden="false" customHeight="false" outlineLevel="0" collapsed="false">
      <c r="A79" s="826" t="s">
        <v>689</v>
      </c>
      <c r="I79" s="781" t="n">
        <f aca="false">+I77+I72</f>
        <v>15459.7320532011</v>
      </c>
      <c r="J79" s="781" t="n">
        <f aca="false">SUM(J72:J76)</f>
        <v>30919.4641064021</v>
      </c>
      <c r="K79" s="781" t="n">
        <f aca="false">SUM(K72:K76)</f>
        <v>30919.4641064021</v>
      </c>
      <c r="L79" s="781" t="n">
        <f aca="false">SUM(L72:L76)</f>
        <v>30919.4641064021</v>
      </c>
      <c r="M79" s="781" t="n">
        <f aca="false">SUM(M72:M76)</f>
        <v>30919.4641064021</v>
      </c>
      <c r="N79" s="781" t="n">
        <f aca="false">SUM(N72:N76)</f>
        <v>30919.4641064021</v>
      </c>
      <c r="O79" s="781" t="n">
        <f aca="false">SUM(O72:O76)</f>
        <v>30919.4641064021</v>
      </c>
      <c r="P79" s="781" t="n">
        <f aca="false">SUM(P72:P76)</f>
        <v>27450.6599615011</v>
      </c>
      <c r="Q79" s="781" t="n">
        <f aca="false">SUM(Q72:Q76)</f>
        <v>23981.8558166</v>
      </c>
      <c r="R79" s="781" t="n">
        <f aca="false">SUM(R72:R76)</f>
        <v>23981.8558166</v>
      </c>
      <c r="S79" s="781" t="n">
        <f aca="false">SUM(S72:S76)</f>
        <v>23981.8558166</v>
      </c>
      <c r="T79" s="781" t="n">
        <f aca="false">SUM(T72:T76)</f>
        <v>23981.8558166</v>
      </c>
      <c r="U79" s="781" t="n">
        <f aca="false">SUM(U72:U76)</f>
        <v>23981.8558166</v>
      </c>
      <c r="V79" s="781" t="n">
        <f aca="false">SUM(V72:V76)</f>
        <v>23981.8558166</v>
      </c>
      <c r="W79" s="781" t="n">
        <f aca="false">SUM(W72:W76)</f>
        <v>23981.8558166</v>
      </c>
      <c r="X79" s="781" t="n">
        <f aca="false">SUM(X72:X76)</f>
        <v>23981.8558166</v>
      </c>
      <c r="Y79" s="781" t="n">
        <f aca="false">SUM(Y72:Y76)</f>
        <v>23981.8558166</v>
      </c>
      <c r="Z79" s="781" t="n">
        <f aca="false">SUM(Z72:Z76)</f>
        <v>23981.8558166</v>
      </c>
      <c r="AA79" s="781" t="n">
        <f aca="false">SUM(AA72:AA76)</f>
        <v>23981.8558166</v>
      </c>
      <c r="AB79" s="781" t="n">
        <f aca="false">SUM(AB72:AB76)</f>
        <v>23981.8558166</v>
      </c>
      <c r="AC79" s="781" t="n">
        <f aca="false">SUM(AC72:AC76)</f>
        <v>11990.9279083</v>
      </c>
      <c r="AD79" s="781" t="n">
        <f aca="false">SUM(AD72:AD76)</f>
        <v>0</v>
      </c>
      <c r="AE79" s="781" t="n">
        <f aca="false">SUM(AE72:AE76)</f>
        <v>0</v>
      </c>
      <c r="AF79" s="781" t="n">
        <f aca="false">SUM(AF72:AF76)</f>
        <v>0</v>
      </c>
    </row>
    <row r="80" customFormat="false" ht="11.25" hidden="false" customHeight="false" outlineLevel="0" collapsed="false">
      <c r="A80" s="748" t="s">
        <v>690</v>
      </c>
      <c r="B80" s="781" t="n">
        <f aca="false">+SUM(I79:AF79)-D51-D56</f>
        <v>0</v>
      </c>
      <c r="I80" s="781"/>
      <c r="J80" s="781"/>
      <c r="K80" s="781"/>
      <c r="L80" s="781"/>
      <c r="M80" s="781"/>
      <c r="N80" s="781"/>
      <c r="O80" s="781"/>
      <c r="P80" s="781"/>
      <c r="Q80" s="781"/>
      <c r="R80" s="781"/>
      <c r="S80" s="781"/>
      <c r="T80" s="781"/>
      <c r="U80" s="781"/>
      <c r="V80" s="781"/>
      <c r="W80" s="781"/>
      <c r="X80" s="781"/>
      <c r="Y80" s="781"/>
      <c r="Z80" s="781"/>
      <c r="AA80" s="781"/>
      <c r="AB80" s="781"/>
      <c r="AC80" s="781"/>
      <c r="AD80" s="781"/>
      <c r="AE80" s="781"/>
      <c r="AF80" s="781"/>
    </row>
    <row r="82" customFormat="false" ht="11.25" hidden="false" customHeight="false" outlineLevel="0" collapsed="false">
      <c r="A82" s="799" t="s">
        <v>691</v>
      </c>
      <c r="H82" s="748" t="s">
        <v>692</v>
      </c>
      <c r="I82" s="836" t="n">
        <v>0.0375</v>
      </c>
      <c r="J82" s="836" t="n">
        <v>0.07219</v>
      </c>
      <c r="K82" s="836" t="n">
        <v>0.06677</v>
      </c>
      <c r="L82" s="836" t="n">
        <v>0.06177</v>
      </c>
      <c r="M82" s="836" t="n">
        <v>0.05713</v>
      </c>
      <c r="N82" s="836" t="n">
        <v>0.05285</v>
      </c>
      <c r="O82" s="836" t="n">
        <v>0.04888</v>
      </c>
      <c r="P82" s="836" t="n">
        <v>0.04522</v>
      </c>
      <c r="Q82" s="836" t="n">
        <v>0.04462</v>
      </c>
      <c r="R82" s="836" t="n">
        <v>0.04461</v>
      </c>
      <c r="S82" s="836" t="n">
        <v>0.04462</v>
      </c>
      <c r="T82" s="836" t="n">
        <v>0.04461</v>
      </c>
      <c r="U82" s="836" t="n">
        <v>0.04462</v>
      </c>
      <c r="V82" s="836" t="n">
        <v>0.04461</v>
      </c>
      <c r="W82" s="836" t="n">
        <v>0.04462</v>
      </c>
      <c r="X82" s="836" t="n">
        <v>0.04461</v>
      </c>
      <c r="Y82" s="836" t="n">
        <v>0.04462</v>
      </c>
      <c r="Z82" s="836" t="n">
        <v>0.04461</v>
      </c>
      <c r="AA82" s="836" t="n">
        <v>0.04462</v>
      </c>
      <c r="AB82" s="836" t="n">
        <v>0.04461</v>
      </c>
      <c r="AC82" s="836" t="n">
        <v>0.02231</v>
      </c>
    </row>
    <row r="83" customFormat="false" ht="11.25" hidden="false" customHeight="false" outlineLevel="0" collapsed="false">
      <c r="A83" s="826" t="s">
        <v>642</v>
      </c>
      <c r="B83" s="763"/>
      <c r="C83" s="748" t="str">
        <f aca="false">+L41</f>
        <v>Purchase Price</v>
      </c>
      <c r="I83" s="833" t="n">
        <f aca="false">I82*$N$41</f>
        <v>17986.39186245</v>
      </c>
      <c r="J83" s="833" t="n">
        <f aca="false">J82*$N$41</f>
        <v>34625.0034280071</v>
      </c>
      <c r="K83" s="833" t="n">
        <f aca="false">K82*$N$41</f>
        <v>32025.3702574876</v>
      </c>
      <c r="L83" s="833" t="n">
        <f aca="false">L82*$N$41</f>
        <v>29627.1846758276</v>
      </c>
      <c r="M83" s="833" t="n">
        <f aca="false">M82*$N$41</f>
        <v>27401.6684560471</v>
      </c>
      <c r="N83" s="833" t="n">
        <f aca="false">N82*$N$41</f>
        <v>25348.8215981462</v>
      </c>
      <c r="O83" s="833" t="n">
        <f aca="false">O82*$N$41</f>
        <v>23444.6622463081</v>
      </c>
      <c r="P83" s="833" t="n">
        <f aca="false">P82*$N$41</f>
        <v>21689.190400533</v>
      </c>
      <c r="Q83" s="833" t="n">
        <f aca="false">Q82*$N$41</f>
        <v>21401.4081307338</v>
      </c>
      <c r="R83" s="833" t="n">
        <f aca="false">R82*$N$41</f>
        <v>21396.6117595705</v>
      </c>
      <c r="S83" s="833" t="n">
        <f aca="false">S82*$N$41</f>
        <v>21401.4081307338</v>
      </c>
      <c r="T83" s="833" t="n">
        <f aca="false">T82*$N$41</f>
        <v>21396.6117595705</v>
      </c>
      <c r="U83" s="833" t="n">
        <f aca="false">U82*$N$41</f>
        <v>21401.4081307338</v>
      </c>
      <c r="V83" s="833" t="n">
        <f aca="false">V82*$N$41</f>
        <v>21396.6117595705</v>
      </c>
      <c r="W83" s="833" t="n">
        <f aca="false">W82*$N$41</f>
        <v>21401.4081307338</v>
      </c>
      <c r="X83" s="833" t="n">
        <f aca="false">X82*$N$41</f>
        <v>21396.6117595705</v>
      </c>
      <c r="Y83" s="833" t="n">
        <f aca="false">Y82*$N$41</f>
        <v>21401.4081307338</v>
      </c>
      <c r="Z83" s="833" t="n">
        <f aca="false">Z82*$N$41</f>
        <v>21396.6117595705</v>
      </c>
      <c r="AA83" s="833" t="n">
        <f aca="false">AA82*$N$41</f>
        <v>21401.4081307338</v>
      </c>
      <c r="AB83" s="833" t="n">
        <f aca="false">AB82*$N$41</f>
        <v>21396.6117595705</v>
      </c>
      <c r="AC83" s="833" t="n">
        <f aca="false">AC82*$N$41</f>
        <v>10700.7040653669</v>
      </c>
      <c r="AD83" s="833" t="n">
        <f aca="false">AD82*$N$41</f>
        <v>0</v>
      </c>
      <c r="AE83" s="833" t="n">
        <f aca="false">AE82*$N$41</f>
        <v>0</v>
      </c>
      <c r="AF83" s="833" t="n">
        <f aca="false">AF82*$N$41</f>
        <v>0</v>
      </c>
    </row>
    <row r="84" customFormat="false" ht="11.25" hidden="false" customHeight="false" outlineLevel="0" collapsed="false">
      <c r="C84" s="748" t="str">
        <f aca="false">+L42</f>
        <v>Scrubber</v>
      </c>
      <c r="I84" s="833" t="n">
        <f aca="false">IF($N42=0,0,IF($R42="SL",SLN($N42,$O42,$Q42)*IF(YEAR($P42)&lt;(J$3-1),IF(YEAR($P42)+$Q42=J$3-1,(MONTH($P42)-1)/12,IF(YEAR($P42)+$Q42&lt;J$3-1,0,1)),IF(YEAR($P42)&gt;J$3-1,0,(12-MONTH($P42)+1)/12)),IF(YEAR($P42)&gt;J$3-1,0,VDB($N42,$O42,$Q42,IF(YEAR($P42)=J$3-1,0,MIN($Q42,(DATE(J$3-1,1,1)-$P42)/365)),MIN($Q42,(DATE(J$3-1,12,31)-$P42)/365),$S42))))</f>
        <v>0</v>
      </c>
      <c r="J84" s="833" t="n">
        <f aca="false">IF($N42=0,0,IF($R42="SL",SLN($N42,$O42,$Q42)*IF(YEAR($P42)&lt;J$3,IF(YEAR($P42)+$Q42=J$3,(MONTH($P42)-1)/12,IF(YEAR($P42)+$Q42&lt;J$3,0,1)),IF(YEAR($P42)&gt;J$3,0,(12-MONTH($P42)+1)/12)),IF(YEAR($P42)&gt;J$3,0,VDB($N42,$O42,$Q42,IF(YEAR($P42)=J$3,0,MIN($Q42,(DATE(J$3,1,1)-$P42)/365)),MIN($Q42,(DATE(J$3,12,31)-$P42)/365),$S42))))</f>
        <v>0</v>
      </c>
      <c r="K84" s="833" t="n">
        <f aca="false">IF($N42=0,0,IF($R42="SL",SLN($N42,$O42,$Q42)*IF(YEAR($P42)&lt;K$3,IF(YEAR($P42)+$Q42=K$3,(MONTH($P42)-1)/12,IF(YEAR($P42)+$Q42&lt;K$3,0,1)),IF(YEAR($P42)&gt;K$3,0,(12-MONTH($P42)+1)/12)),IF(YEAR($P42)&gt;K$3,0,VDB($N42,$O42,$Q42,IF(YEAR($P42)=K$3,0,MIN($Q42,(DATE(K$3,1,1)-$P42)/365)),MIN($Q42,(DATE(K$3,12,31)-$P42)/365),$S42))))</f>
        <v>0</v>
      </c>
      <c r="L84" s="833" t="n">
        <f aca="false">IF($N42=0,0,IF($R42="SL",SLN($N42,$O42,$Q42)*IF(YEAR($P42)&lt;L$3,IF(YEAR($P42)+$Q42=L$3,(MONTH($P42)-1)/12,IF(YEAR($P42)+$Q42&lt;L$3,0,1)),IF(YEAR($P42)&gt;L$3,0,(12-MONTH($P42)+1)/12)),IF(YEAR($P42)&gt;L$3,0,VDB($N42,$O42,$Q42,IF(YEAR($P42)=L$3,0,MIN($Q42,(DATE(L$3,1,1)-$P42)/365)),MIN($Q42,(DATE(L$3,12,31)-$P42)/365),$S42))))</f>
        <v>0</v>
      </c>
      <c r="M84" s="833" t="n">
        <f aca="false">IF($N42=0,0,IF($R42="SL",SLN($N42,$O42,$Q42)*IF(YEAR($P42)&lt;M$3,IF(YEAR($P42)+$Q42=M$3,(MONTH($P42)-1)/12,IF(YEAR($P42)+$Q42&lt;M$3,0,1)),IF(YEAR($P42)&gt;M$3,0,(12-MONTH($P42)+1)/12)),IF(YEAR($P42)&gt;M$3,0,VDB($N42,$O42,$Q42,IF(YEAR($P42)=M$3,0,MIN($Q42,(DATE(M$3,1,1)-$P42)/365)),MIN($Q42,(DATE(M$3,12,31)-$P42)/365),$S42))))</f>
        <v>0</v>
      </c>
      <c r="N84" s="833" t="n">
        <f aca="false">IF($N42=0,0,IF($R42="SL",SLN($N42,$O42,$Q42)*IF(YEAR($P42)&lt;N$3,IF(YEAR($P42)+$Q42=N$3,(MONTH($P42)-1)/12,IF(YEAR($P42)+$Q42&lt;N$3,0,1)),IF(YEAR($P42)&gt;N$3,0,(12-MONTH($P42)+1)/12)),IF(YEAR($P42)&gt;N$3,0,VDB($N42,$O42,$Q42,IF(YEAR($P42)=N$3,0,MIN($Q42,(DATE(N$3,1,1)-$P42)/365)),MIN($Q42,(DATE(N$3,12,31)-$P42)/365),$S42))))</f>
        <v>0</v>
      </c>
      <c r="O84" s="833" t="n">
        <f aca="false">IF($N42=0,0,IF($R42="SL",SLN($N42,$O42,$Q42)*IF(YEAR($P42)&lt;O$3,IF(YEAR($P42)+$Q42=O$3,(MONTH($P42)-1)/12,IF(YEAR($P42)+$Q42&lt;O$3,0,1)),IF(YEAR($P42)&gt;O$3,0,(12-MONTH($P42)+1)/12)),IF(YEAR($P42)&gt;O$3,0,VDB($N42,$O42,$Q42,IF(YEAR($P42)=O$3,0,MIN($Q42,(DATE(O$3,1,1)-$P42)/365)),MIN($Q42,(DATE(O$3,12,31)-$P42)/365),$S42))))</f>
        <v>0</v>
      </c>
      <c r="P84" s="833" t="n">
        <f aca="false">IF($N42=0,0,IF($R42="SL",SLN($N42,$O42,$Q42)*IF(YEAR($P42)&lt;P$3,IF(YEAR($P42)+$Q42=P$3,(MONTH($P42)-1)/12,IF(YEAR($P42)+$Q42&lt;P$3,0,1)),IF(YEAR($P42)&gt;P$3,0,(12-MONTH($P42)+1)/12)),IF(YEAR($P42)&gt;P$3,0,VDB($N42,$O42,$Q42,IF(YEAR($P42)=P$3,0,MIN($Q42,(DATE(P$3,1,1)-$P42)/365)),MIN($Q42,(DATE(P$3,12,31)-$P42)/365),$S42))))</f>
        <v>0</v>
      </c>
      <c r="Q84" s="833" t="n">
        <f aca="false">IF($N42=0,0,IF($R42="SL",SLN($N42,$O42,$Q42)*IF(YEAR($P42)&lt;Q$3,IF(YEAR($P42)+$Q42=Q$3,(MONTH($P42)-1)/12,IF(YEAR($P42)+$Q42&lt;Q$3,0,1)),IF(YEAR($P42)&gt;Q$3,0,(12-MONTH($P42)+1)/12)),IF(YEAR($P42)&gt;Q$3,0,VDB($N42,$O42,$Q42,IF(YEAR($P42)=Q$3,0,MIN($Q42,(DATE(Q$3,1,1)-$P42)/365)),MIN($Q42,(DATE(Q$3,12,31)-$P42)/365),$S42))))</f>
        <v>0</v>
      </c>
      <c r="R84" s="833" t="n">
        <f aca="false">IF($N42=0,0,IF($R42="SL",SLN($N42,$O42,$Q42)*IF(YEAR($P42)&lt;R$3,IF(YEAR($P42)+$Q42=R$3,(MONTH($P42)-1)/12,IF(YEAR($P42)+$Q42&lt;R$3,0,1)),IF(YEAR($P42)&gt;R$3,0,(12-MONTH($P42)+1)/12)),IF(YEAR($P42)&gt;R$3,0,VDB($N42,$O42,$Q42,IF(YEAR($P42)=R$3,0,MIN($Q42,(DATE(R$3,1,1)-$P42)/365)),MIN($Q42,(DATE(R$3,12,31)-$P42)/365),$S42))))</f>
        <v>0</v>
      </c>
      <c r="S84" s="833" t="n">
        <f aca="false">IF($N42=0,0,IF($R42="SL",SLN($N42,$O42,$Q42)*IF(YEAR($P42)&lt;S$3,IF(YEAR($P42)+$Q42=S$3,(MONTH($P42)-1)/12,IF(YEAR($P42)+$Q42&lt;S$3,0,1)),IF(YEAR($P42)&gt;S$3,0,(12-MONTH($P42)+1)/12)),IF(YEAR($P42)&gt;S$3,0,VDB($N42,$O42,$Q42,IF(YEAR($P42)=S$3,0,MIN($Q42,(DATE(S$3,1,1)-$P42)/365)),MIN($Q42,(DATE(S$3,12,31)-$P42)/365),$S42))))</f>
        <v>0</v>
      </c>
      <c r="T84" s="833" t="n">
        <f aca="false">IF($N42=0,0,IF($R42="SL",SLN($N42,$O42,$Q42)*IF(YEAR($P42)&lt;T$3,IF(YEAR($P42)+$Q42=T$3,(MONTH($P42)-1)/12,IF(YEAR($P42)+$Q42&lt;T$3,0,1)),IF(YEAR($P42)&gt;T$3,0,(12-MONTH($P42)+1)/12)),IF(YEAR($P42)&gt;T$3,0,VDB($N42,$O42,$Q42,IF(YEAR($P42)=T$3,0,MIN($Q42,(DATE(T$3,1,1)-$P42)/365)),MIN($Q42,(DATE(T$3,12,31)-$P42)/365),$S42))))</f>
        <v>0</v>
      </c>
      <c r="U84" s="833" t="n">
        <f aca="false">IF($N42=0,0,IF($R42="SL",SLN($N42,$O42,$Q42)*IF(YEAR($P42)&lt;U$3,IF(YEAR($P42)+$Q42=U$3,(MONTH($P42)-1)/12,IF(YEAR($P42)+$Q42&lt;U$3,0,1)),IF(YEAR($P42)&gt;U$3,0,(12-MONTH($P42)+1)/12)),IF(YEAR($P42)&gt;U$3,0,VDB($N42,$O42,$Q42,IF(YEAR($P42)=U$3,0,MIN($Q42,(DATE(U$3,1,1)-$P42)/365)),MIN($Q42,(DATE(U$3,12,31)-$P42)/365),$S42))))</f>
        <v>0</v>
      </c>
      <c r="V84" s="833" t="n">
        <f aca="false">IF($N42=0,0,IF($R42="SL",SLN($N42,$O42,$Q42)*IF(YEAR($P42)&lt;V$3,IF(YEAR($P42)+$Q42=V$3,(MONTH($P42)-1)/12,IF(YEAR($P42)+$Q42&lt;V$3,0,1)),IF(YEAR($P42)&gt;V$3,0,(12-MONTH($P42)+1)/12)),IF(YEAR($P42)&gt;V$3,0,VDB($N42,$O42,$Q42,IF(YEAR($P42)=V$3,0,MIN($Q42,(DATE(V$3,1,1)-$P42)/365)),MIN($Q42,(DATE(V$3,12,31)-$P42)/365),$S42))))</f>
        <v>0</v>
      </c>
      <c r="W84" s="833" t="n">
        <f aca="false">IF($N42=0,0,IF($R42="SL",SLN($N42,$O42,$Q42)*IF(YEAR($P42)&lt;W$3,IF(YEAR($P42)+$Q42=W$3,(MONTH($P42)-1)/12,IF(YEAR($P42)+$Q42&lt;W$3,0,1)),IF(YEAR($P42)&gt;W$3,0,(12-MONTH($P42)+1)/12)),IF(YEAR($P42)&gt;W$3,0,VDB($N42,$O42,$Q42,IF(YEAR($P42)=W$3,0,MIN($Q42,(DATE(W$3,1,1)-$P42)/365)),MIN($Q42,(DATE(W$3,12,31)-$P42)/365),$S42))))</f>
        <v>0</v>
      </c>
      <c r="X84" s="833" t="n">
        <f aca="false">IF($N42=0,0,IF($R42="SL",SLN($N42,$O42,$Q42)*IF(YEAR($P42)&lt;X$3,IF(YEAR($P42)+$Q42=X$3,(MONTH($P42)-1)/12,IF(YEAR($P42)+$Q42&lt;X$3,0,1)),IF(YEAR($P42)&gt;X$3,0,(12-MONTH($P42)+1)/12)),IF(YEAR($P42)&gt;X$3,0,VDB($N42,$O42,$Q42,IF(YEAR($P42)=X$3,0,MIN($Q42,(DATE(X$3,1,1)-$P42)/365)),MIN($Q42,(DATE(X$3,12,31)-$P42)/365),$S42))))</f>
        <v>0</v>
      </c>
      <c r="Y84" s="833" t="n">
        <f aca="false">IF($N42=0,0,IF($R42="SL",SLN($N42,$O42,$Q42)*IF(YEAR($P42)&lt;Y$3,IF(YEAR($P42)+$Q42=Y$3,(MONTH($P42)-1)/12,IF(YEAR($P42)+$Q42&lt;Y$3,0,1)),IF(YEAR($P42)&gt;Y$3,0,(12-MONTH($P42)+1)/12)),IF(YEAR($P42)&gt;Y$3,0,VDB($N42,$O42,$Q42,IF(YEAR($P42)=Y$3,0,MIN($Q42,(DATE(Y$3,1,1)-$P42)/365)),MIN($Q42,(DATE(Y$3,12,31)-$P42)/365),$S42))))</f>
        <v>0</v>
      </c>
      <c r="Z84" s="833" t="n">
        <f aca="false">IF($N42=0,0,IF($R42="SL",SLN($N42,$O42,$Q42)*IF(YEAR($P42)&lt;Z$3,IF(YEAR($P42)+$Q42=Z$3,(MONTH($P42)-1)/12,IF(YEAR($P42)+$Q42&lt;Z$3,0,1)),IF(YEAR($P42)&gt;Z$3,0,(12-MONTH($P42)+1)/12)),IF(YEAR($P42)&gt;Z$3,0,VDB($N42,$O42,$Q42,IF(YEAR($P42)=Z$3,0,MIN($Q42,(DATE(Z$3,1,1)-$P42)/365)),MIN($Q42,(DATE(Z$3,12,31)-$P42)/365),$S42))))</f>
        <v>0</v>
      </c>
      <c r="AA84" s="833" t="n">
        <f aca="false">IF($N42=0,0,IF($R42="SL",SLN($N42,$O42,$Q42)*IF(YEAR($P42)&lt;AA$3,IF(YEAR($P42)+$Q42=AA$3,(MONTH($P42)-1)/12,IF(YEAR($P42)+$Q42&lt;AA$3,0,1)),IF(YEAR($P42)&gt;AA$3,0,(12-MONTH($P42)+1)/12)),IF(YEAR($P42)&gt;AA$3,0,VDB($N42,$O42,$Q42,IF(YEAR($P42)=AA$3,0,MIN($Q42,(DATE(AA$3,1,1)-$P42)/365)),MIN($Q42,(DATE(AA$3,12,31)-$P42)/365),$S42))))</f>
        <v>0</v>
      </c>
      <c r="AB84" s="833" t="n">
        <f aca="false">IF($N42=0,0,IF($R42="SL",SLN($N42,$O42,$Q42)*IF(YEAR($P42)&lt;AB$3,IF(YEAR($P42)+$Q42=AB$3,(MONTH($P42)-1)/12,IF(YEAR($P42)+$Q42&lt;AB$3,0,1)),IF(YEAR($P42)&gt;AB$3,0,(12-MONTH($P42)+1)/12)),IF(YEAR($P42)&gt;AB$3,0,VDB($N42,$O42,$Q42,IF(YEAR($P42)=AB$3,0,MIN($Q42,(DATE(AB$3,1,1)-$P42)/365)),MIN($Q42,(DATE(AB$3,12,31)-$P42)/365),$S42))))</f>
        <v>0</v>
      </c>
      <c r="AC84" s="833" t="n">
        <f aca="false">IF($N42=0,0,IF($R42="SL",SLN($N42,$O42,$Q42)*IF(YEAR($P42)&lt;AC$3,IF(YEAR($P42)+$Q42=AC$3,(MONTH($P42)-1)/12,IF(YEAR($P42)+$Q42&lt;AC$3,0,1)),IF(YEAR($P42)&gt;AC$3,0,(12-MONTH($P42)+1)/12)),IF(YEAR($P42)&gt;AC$3,0,VDB($N42,$O42,$Q42,IF(YEAR($P42)=AC$3,0,MIN($Q42,(DATE(AC$3,1,1)-$P42)/365)),MIN($Q42,(DATE(AC$3,12,31)-$P42)/365),$S42))))</f>
        <v>0</v>
      </c>
      <c r="AD84" s="833" t="n">
        <f aca="false">IF($N42=0,0,IF($R42="SL",SLN($N42,$O42,$Q42)*IF(YEAR($P42)&lt;AD$3,IF(YEAR($P42)+$Q42=AD$3,(MONTH($P42)-1)/12,IF(YEAR($P42)+$Q42&lt;AD$3,0,1)),IF(YEAR($P42)&gt;AD$3,0,(12-MONTH($P42)+1)/12)),IF(YEAR($P42)&gt;AD$3,0,VDB($N42,$O42,$Q42,IF(YEAR($P42)=AD$3,0,MIN($Q42,(DATE(AD$3,1,1)-$P42)/365)),MIN($Q42,(DATE(AD$3,12,31)-$P42)/365),$S42))))</f>
        <v>0</v>
      </c>
      <c r="AE84" s="833" t="n">
        <f aca="false">IF($N42=0,0,IF($R42="SL",SLN($N42,$O42,$Q42)*IF(YEAR($P42)&lt;AE$3,IF(YEAR($P42)+$Q42=AE$3,(MONTH($P42)-1)/12,IF(YEAR($P42)+$Q42&lt;AE$3,0,1)),IF(YEAR($P42)&gt;AE$3,0,(12-MONTH($P42)+1)/12)),IF(YEAR($P42)&gt;AE$3,0,VDB($N42,$O42,$Q42,IF(YEAR($P42)=AE$3,0,MIN($Q42,(DATE(AE$3,1,1)-$P42)/365)),MIN($Q42,(DATE(AE$3,12,31)-$P42)/365),$S42))))</f>
        <v>0</v>
      </c>
      <c r="AF84" s="833" t="n">
        <f aca="false">IF($N42=0,0,IF($R42="SL",SLN($N42,$O42,$Q42)*IF(YEAR($P42)&lt;AF$3,IF(YEAR($P42)+$Q42=AF$3,(MONTH($P42)-1)/12,IF(YEAR($P42)+$Q42&lt;AF$3,0,1)),IF(YEAR($P42)&gt;AF$3,0,(12-MONTH($P42)+1)/12)),IF(YEAR($P42)&gt;AF$3,0,VDB($N42,$O42,$Q42,IF(YEAR($P42)=AF$3,0,MIN($Q42,(DATE(AF$3,1,1)-$P42)/365)),MIN($Q42,(DATE(AF$3,12,31)-$P42)/365),$S42))))</f>
        <v>0</v>
      </c>
    </row>
    <row r="85" customFormat="false" ht="11.25" hidden="true" customHeight="false" outlineLevel="1" collapsed="false">
      <c r="C85" s="748" t="str">
        <f aca="false">+L43</f>
        <v>Asset 3</v>
      </c>
      <c r="I85" s="833" t="n">
        <f aca="false">IF($N43=0,0,IF($R43="SL",SLN($N43,$O43,$Q43)*IF(YEAR($P43)&lt;(J$3-1),IF(YEAR($P43)+$Q43=J$3-1,(MONTH($P43)-1)/12,IF(YEAR($P43)+$Q43&lt;J$3-1,0,1)),IF(YEAR($P43)&gt;J$3-1,0,(12-MONTH($P43)+1)/12)),IF(YEAR($P43)&gt;J$3-1,0,VDB($N43,$O43,$Q43,IF(YEAR($P43)=J$3-1,0,MIN($Q43,(DATE(J$3-1,1,1)-$P43)/365)),MIN($Q43,(DATE(J$3-1,12,31)-$P43)/365),$S43))))</f>
        <v>0</v>
      </c>
      <c r="J85" s="833" t="n">
        <f aca="false">IF($N43=0,0,IF($R43="SL",SLN($N43,$O43,$Q43)*IF(YEAR($P43)&lt;J$3,IF(YEAR($P43)+$Q43=J$3,(MONTH($P43)-1)/12,IF(YEAR($P43)+$Q43&lt;J$3,0,1)),IF(YEAR($P43)&gt;J$3,0,(12-MONTH($P43)+1)/12)),IF(YEAR($P43)&gt;J$3,0,VDB($N43,$O43,$Q43,IF(YEAR($P43)=J$3,0,MIN($Q43,(DATE(J$3,1,1)-$P43)/365)),MIN($Q43,(DATE(J$3,12,31)-$P43)/365),$S43))))</f>
        <v>0</v>
      </c>
      <c r="K85" s="833" t="n">
        <f aca="false">IF($N43=0,0,IF($R43="SL",SLN($N43,$O43,$Q43)*IF(YEAR($P43)&lt;K$3,IF(YEAR($P43)+$Q43=K$3,(MONTH($P43)-1)/12,IF(YEAR($P43)+$Q43&lt;K$3,0,1)),IF(YEAR($P43)&gt;K$3,0,(12-MONTH($P43)+1)/12)),IF(YEAR($P43)&gt;K$3,0,VDB($N43,$O43,$Q43,IF(YEAR($P43)=K$3,0,MIN($Q43,(DATE(K$3,1,1)-$P43)/365)),MIN($Q43,(DATE(K$3,12,31)-$P43)/365),$S43))))</f>
        <v>0</v>
      </c>
      <c r="L85" s="833" t="n">
        <f aca="false">IF($N43=0,0,IF($R43="SL",SLN($N43,$O43,$Q43)*IF(YEAR($P43)&lt;L$3,IF(YEAR($P43)+$Q43=L$3,(MONTH($P43)-1)/12,IF(YEAR($P43)+$Q43&lt;L$3,0,1)),IF(YEAR($P43)&gt;L$3,0,(12-MONTH($P43)+1)/12)),IF(YEAR($P43)&gt;L$3,0,VDB($N43,$O43,$Q43,IF(YEAR($P43)=L$3,0,MIN($Q43,(DATE(L$3,1,1)-$P43)/365)),MIN($Q43,(DATE(L$3,12,31)-$P43)/365),$S43))))</f>
        <v>0</v>
      </c>
      <c r="M85" s="833" t="n">
        <f aca="false">IF($N43=0,0,IF($R43="SL",SLN($N43,$O43,$Q43)*IF(YEAR($P43)&lt;M$3,IF(YEAR($P43)+$Q43=M$3,(MONTH($P43)-1)/12,IF(YEAR($P43)+$Q43&lt;M$3,0,1)),IF(YEAR($P43)&gt;M$3,0,(12-MONTH($P43)+1)/12)),IF(YEAR($P43)&gt;M$3,0,VDB($N43,$O43,$Q43,IF(YEAR($P43)=M$3,0,MIN($Q43,(DATE(M$3,1,1)-$P43)/365)),MIN($Q43,(DATE(M$3,12,31)-$P43)/365),$S43))))</f>
        <v>0</v>
      </c>
      <c r="N85" s="833" t="n">
        <f aca="false">IF($N43=0,0,IF($R43="SL",SLN($N43,$O43,$Q43)*IF(YEAR($P43)&lt;N$3,IF(YEAR($P43)+$Q43=N$3,(MONTH($P43)-1)/12,IF(YEAR($P43)+$Q43&lt;N$3,0,1)),IF(YEAR($P43)&gt;N$3,0,(12-MONTH($P43)+1)/12)),IF(YEAR($P43)&gt;N$3,0,VDB($N43,$O43,$Q43,IF(YEAR($P43)=N$3,0,MIN($Q43,(DATE(N$3,1,1)-$P43)/365)),MIN($Q43,(DATE(N$3,12,31)-$P43)/365),$S43))))</f>
        <v>0</v>
      </c>
      <c r="O85" s="833" t="n">
        <f aca="false">IF($N43=0,0,IF($R43="SL",SLN($N43,$O43,$Q43)*IF(YEAR($P43)&lt;O$3,IF(YEAR($P43)+$Q43=O$3,(MONTH($P43)-1)/12,IF(YEAR($P43)+$Q43&lt;O$3,0,1)),IF(YEAR($P43)&gt;O$3,0,(12-MONTH($P43)+1)/12)),IF(YEAR($P43)&gt;O$3,0,VDB($N43,$O43,$Q43,IF(YEAR($P43)=O$3,0,MIN($Q43,(DATE(O$3,1,1)-$P43)/365)),MIN($Q43,(DATE(O$3,12,31)-$P43)/365),$S43))))</f>
        <v>0</v>
      </c>
      <c r="P85" s="833" t="n">
        <f aca="false">IF($N43=0,0,IF($R43="SL",SLN($N43,$O43,$Q43)*IF(YEAR($P43)&lt;P$3,IF(YEAR($P43)+$Q43=P$3,(MONTH($P43)-1)/12,IF(YEAR($P43)+$Q43&lt;P$3,0,1)),IF(YEAR($P43)&gt;P$3,0,(12-MONTH($P43)+1)/12)),IF(YEAR($P43)&gt;P$3,0,VDB($N43,$O43,$Q43,IF(YEAR($P43)=P$3,0,MIN($Q43,(DATE(P$3,1,1)-$P43)/365)),MIN($Q43,(DATE(P$3,12,31)-$P43)/365),$S43))))</f>
        <v>0</v>
      </c>
      <c r="Q85" s="833" t="n">
        <f aca="false">IF($N43=0,0,IF($R43="SL",SLN($N43,$O43,$Q43)*IF(YEAR($P43)&lt;Q$3,IF(YEAR($P43)+$Q43=Q$3,(MONTH($P43)-1)/12,IF(YEAR($P43)+$Q43&lt;Q$3,0,1)),IF(YEAR($P43)&gt;Q$3,0,(12-MONTH($P43)+1)/12)),IF(YEAR($P43)&gt;Q$3,0,VDB($N43,$O43,$Q43,IF(YEAR($P43)=Q$3,0,MIN($Q43,(DATE(Q$3,1,1)-$P43)/365)),MIN($Q43,(DATE(Q$3,12,31)-$P43)/365),$S43))))</f>
        <v>0</v>
      </c>
      <c r="R85" s="833" t="n">
        <f aca="false">IF($N43=0,0,IF($R43="SL",SLN($N43,$O43,$Q43)*IF(YEAR($P43)&lt;R$3,IF(YEAR($P43)+$Q43=R$3,(MONTH($P43)-1)/12,IF(YEAR($P43)+$Q43&lt;R$3,0,1)),IF(YEAR($P43)&gt;R$3,0,(12-MONTH($P43)+1)/12)),IF(YEAR($P43)&gt;R$3,0,VDB($N43,$O43,$Q43,IF(YEAR($P43)=R$3,0,MIN($Q43,(DATE(R$3,1,1)-$P43)/365)),MIN($Q43,(DATE(R$3,12,31)-$P43)/365),$S43))))</f>
        <v>0</v>
      </c>
      <c r="S85" s="833" t="n">
        <f aca="false">IF($N43=0,0,IF($R43="SL",SLN($N43,$O43,$Q43)*IF(YEAR($P43)&lt;S$3,IF(YEAR($P43)+$Q43=S$3,(MONTH($P43)-1)/12,IF(YEAR($P43)+$Q43&lt;S$3,0,1)),IF(YEAR($P43)&gt;S$3,0,(12-MONTH($P43)+1)/12)),IF(YEAR($P43)&gt;S$3,0,VDB($N43,$O43,$Q43,IF(YEAR($P43)=S$3,0,MIN($Q43,(DATE(S$3,1,1)-$P43)/365)),MIN($Q43,(DATE(S$3,12,31)-$P43)/365),$S43))))</f>
        <v>0</v>
      </c>
      <c r="T85" s="833" t="n">
        <f aca="false">IF($N43=0,0,IF($R43="SL",SLN($N43,$O43,$Q43)*IF(YEAR($P43)&lt;T$3,IF(YEAR($P43)+$Q43=T$3,(MONTH($P43)-1)/12,IF(YEAR($P43)+$Q43&lt;T$3,0,1)),IF(YEAR($P43)&gt;T$3,0,(12-MONTH($P43)+1)/12)),IF(YEAR($P43)&gt;T$3,0,VDB($N43,$O43,$Q43,IF(YEAR($P43)=T$3,0,MIN($Q43,(DATE(T$3,1,1)-$P43)/365)),MIN($Q43,(DATE(T$3,12,31)-$P43)/365),$S43))))</f>
        <v>0</v>
      </c>
      <c r="U85" s="833" t="n">
        <f aca="false">IF($N43=0,0,IF($R43="SL",SLN($N43,$O43,$Q43)*IF(YEAR($P43)&lt;U$3,IF(YEAR($P43)+$Q43=U$3,(MONTH($P43)-1)/12,IF(YEAR($P43)+$Q43&lt;U$3,0,1)),IF(YEAR($P43)&gt;U$3,0,(12-MONTH($P43)+1)/12)),IF(YEAR($P43)&gt;U$3,0,VDB($N43,$O43,$Q43,IF(YEAR($P43)=U$3,0,MIN($Q43,(DATE(U$3,1,1)-$P43)/365)),MIN($Q43,(DATE(U$3,12,31)-$P43)/365),$S43))))</f>
        <v>0</v>
      </c>
      <c r="V85" s="833" t="n">
        <f aca="false">IF($N43=0,0,IF($R43="SL",SLN($N43,$O43,$Q43)*IF(YEAR($P43)&lt;V$3,IF(YEAR($P43)+$Q43=V$3,(MONTH($P43)-1)/12,IF(YEAR($P43)+$Q43&lt;V$3,0,1)),IF(YEAR($P43)&gt;V$3,0,(12-MONTH($P43)+1)/12)),IF(YEAR($P43)&gt;V$3,0,VDB($N43,$O43,$Q43,IF(YEAR($P43)=V$3,0,MIN($Q43,(DATE(V$3,1,1)-$P43)/365)),MIN($Q43,(DATE(V$3,12,31)-$P43)/365),$S43))))</f>
        <v>0</v>
      </c>
      <c r="W85" s="833" t="n">
        <f aca="false">IF($N43=0,0,IF($R43="SL",SLN($N43,$O43,$Q43)*IF(YEAR($P43)&lt;W$3,IF(YEAR($P43)+$Q43=W$3,(MONTH($P43)-1)/12,IF(YEAR($P43)+$Q43&lt;W$3,0,1)),IF(YEAR($P43)&gt;W$3,0,(12-MONTH($P43)+1)/12)),IF(YEAR($P43)&gt;W$3,0,VDB($N43,$O43,$Q43,IF(YEAR($P43)=W$3,0,MIN($Q43,(DATE(W$3,1,1)-$P43)/365)),MIN($Q43,(DATE(W$3,12,31)-$P43)/365),$S43))))</f>
        <v>0</v>
      </c>
      <c r="X85" s="833" t="n">
        <f aca="false">IF($N43=0,0,IF($R43="SL",SLN($N43,$O43,$Q43)*IF(YEAR($P43)&lt;X$3,IF(YEAR($P43)+$Q43=X$3,(MONTH($P43)-1)/12,IF(YEAR($P43)+$Q43&lt;X$3,0,1)),IF(YEAR($P43)&gt;X$3,0,(12-MONTH($P43)+1)/12)),IF(YEAR($P43)&gt;X$3,0,VDB($N43,$O43,$Q43,IF(YEAR($P43)=X$3,0,MIN($Q43,(DATE(X$3,1,1)-$P43)/365)),MIN($Q43,(DATE(X$3,12,31)-$P43)/365),$S43))))</f>
        <v>0</v>
      </c>
      <c r="Y85" s="833" t="n">
        <f aca="false">IF($N43=0,0,IF($R43="SL",SLN($N43,$O43,$Q43)*IF(YEAR($P43)&lt;Y$3,IF(YEAR($P43)+$Q43=Y$3,(MONTH($P43)-1)/12,IF(YEAR($P43)+$Q43&lt;Y$3,0,1)),IF(YEAR($P43)&gt;Y$3,0,(12-MONTH($P43)+1)/12)),IF(YEAR($P43)&gt;Y$3,0,VDB($N43,$O43,$Q43,IF(YEAR($P43)=Y$3,0,MIN($Q43,(DATE(Y$3,1,1)-$P43)/365)),MIN($Q43,(DATE(Y$3,12,31)-$P43)/365),$S43))))</f>
        <v>0</v>
      </c>
      <c r="Z85" s="833" t="n">
        <f aca="false">IF($N43=0,0,IF($R43="SL",SLN($N43,$O43,$Q43)*IF(YEAR($P43)&lt;Z$3,IF(YEAR($P43)+$Q43=Z$3,(MONTH($P43)-1)/12,IF(YEAR($P43)+$Q43&lt;Z$3,0,1)),IF(YEAR($P43)&gt;Z$3,0,(12-MONTH($P43)+1)/12)),IF(YEAR($P43)&gt;Z$3,0,VDB($N43,$O43,$Q43,IF(YEAR($P43)=Z$3,0,MIN($Q43,(DATE(Z$3,1,1)-$P43)/365)),MIN($Q43,(DATE(Z$3,12,31)-$P43)/365),$S43))))</f>
        <v>0</v>
      </c>
      <c r="AA85" s="833" t="n">
        <f aca="false">IF($N43=0,0,IF($R43="SL",SLN($N43,$O43,$Q43)*IF(YEAR($P43)&lt;AA$3,IF(YEAR($P43)+$Q43=AA$3,(MONTH($P43)-1)/12,IF(YEAR($P43)+$Q43&lt;AA$3,0,1)),IF(YEAR($P43)&gt;AA$3,0,(12-MONTH($P43)+1)/12)),IF(YEAR($P43)&gt;AA$3,0,VDB($N43,$O43,$Q43,IF(YEAR($P43)=AA$3,0,MIN($Q43,(DATE(AA$3,1,1)-$P43)/365)),MIN($Q43,(DATE(AA$3,12,31)-$P43)/365),$S43))))</f>
        <v>0</v>
      </c>
      <c r="AB85" s="833" t="n">
        <f aca="false">IF($N43=0,0,IF($R43="SL",SLN($N43,$O43,$Q43)*IF(YEAR($P43)&lt;AB$3,IF(YEAR($P43)+$Q43=AB$3,(MONTH($P43)-1)/12,IF(YEAR($P43)+$Q43&lt;AB$3,0,1)),IF(YEAR($P43)&gt;AB$3,0,(12-MONTH($P43)+1)/12)),IF(YEAR($P43)&gt;AB$3,0,VDB($N43,$O43,$Q43,IF(YEAR($P43)=AB$3,0,MIN($Q43,(DATE(AB$3,1,1)-$P43)/365)),MIN($Q43,(DATE(AB$3,12,31)-$P43)/365),$S43))))</f>
        <v>0</v>
      </c>
      <c r="AC85" s="833" t="n">
        <f aca="false">IF($N43=0,0,IF($R43="SL",SLN($N43,$O43,$Q43)*IF(YEAR($P43)&lt;AC$3,IF(YEAR($P43)+$Q43=AC$3,(MONTH($P43)-1)/12,IF(YEAR($P43)+$Q43&lt;AC$3,0,1)),IF(YEAR($P43)&gt;AC$3,0,(12-MONTH($P43)+1)/12)),IF(YEAR($P43)&gt;AC$3,0,VDB($N43,$O43,$Q43,IF(YEAR($P43)=AC$3,0,MIN($Q43,(DATE(AC$3,1,1)-$P43)/365)),MIN($Q43,(DATE(AC$3,12,31)-$P43)/365),$S43))))</f>
        <v>0</v>
      </c>
      <c r="AD85" s="833" t="n">
        <f aca="false">IF($N43=0,0,IF($R43="SL",SLN($N43,$O43,$Q43)*IF(YEAR($P43)&lt;AD$3,IF(YEAR($P43)+$Q43=AD$3,(MONTH($P43)-1)/12,IF(YEAR($P43)+$Q43&lt;AD$3,0,1)),IF(YEAR($P43)&gt;AD$3,0,(12-MONTH($P43)+1)/12)),IF(YEAR($P43)&gt;AD$3,0,VDB($N43,$O43,$Q43,IF(YEAR($P43)=AD$3,0,MIN($Q43,(DATE(AD$3,1,1)-$P43)/365)),MIN($Q43,(DATE(AD$3,12,31)-$P43)/365),$S43))))</f>
        <v>0</v>
      </c>
      <c r="AE85" s="833" t="n">
        <f aca="false">IF($N43=0,0,IF($R43="SL",SLN($N43,$O43,$Q43)*IF(YEAR($P43)&lt;AE$3,IF(YEAR($P43)+$Q43=AE$3,(MONTH($P43)-1)/12,IF(YEAR($P43)+$Q43&lt;AE$3,0,1)),IF(YEAR($P43)&gt;AE$3,0,(12-MONTH($P43)+1)/12)),IF(YEAR($P43)&gt;AE$3,0,VDB($N43,$O43,$Q43,IF(YEAR($P43)=AE$3,0,MIN($Q43,(DATE(AE$3,1,1)-$P43)/365)),MIN($Q43,(DATE(AE$3,12,31)-$P43)/365),$S43))))</f>
        <v>0</v>
      </c>
      <c r="AF85" s="833" t="n">
        <f aca="false">IF($N43=0,0,IF($R43="SL",SLN($N43,$O43,$Q43)*IF(YEAR($P43)&lt;AF$3,IF(YEAR($P43)+$Q43=AF$3,(MONTH($P43)-1)/12,IF(YEAR($P43)+$Q43&lt;AF$3,0,1)),IF(YEAR($P43)&gt;AF$3,0,(12-MONTH($P43)+1)/12)),IF(YEAR($P43)&gt;AF$3,0,VDB($N43,$O43,$Q43,IF(YEAR($P43)=AF$3,0,MIN($Q43,(DATE(AF$3,1,1)-$P43)/365)),MIN($Q43,(DATE(AF$3,12,31)-$P43)/365),$S43))))</f>
        <v>0</v>
      </c>
    </row>
    <row r="86" customFormat="false" ht="11.25" hidden="true" customHeight="false" outlineLevel="1" collapsed="false">
      <c r="C86" s="748" t="str">
        <f aca="false">+L44</f>
        <v>Asset 4</v>
      </c>
      <c r="I86" s="833" t="n">
        <f aca="false">IF($N44=0,0,IF($R44="SL",SLN($N44,$O44,$Q44)*IF(YEAR($P44)&lt;(J$3-1),IF(YEAR($P44)+$Q44=J$3-1,(MONTH($P44)-1)/12,IF(YEAR($P44)+$Q44&lt;J$3-1,0,1)),IF(YEAR($P44)&gt;J$3-1,0,(12-MONTH($P44)+1)/12)),IF(YEAR($P44)&gt;J$3-1,0,VDB($N44,$O44,$Q44,IF(YEAR($P44)=J$3-1,0,MIN($Q44,(DATE(J$3-1,1,1)-$P44)/365)),MIN($Q44,(DATE(J$3-1,12,31)-$P44)/365),$S44))))</f>
        <v>0</v>
      </c>
      <c r="J86" s="833" t="n">
        <f aca="false">IF($N44=0,0,IF($R44="SL",SLN($N44,$O44,$Q44)*IF(YEAR($P44)&lt;J$3,IF(YEAR($P44)+$Q44=J$3,(MONTH($P44)-1)/12,IF(YEAR($P44)+$Q44&lt;J$3,0,1)),IF(YEAR($P44)&gt;J$3,0,(12-MONTH($P44)+1)/12)),IF(YEAR($P44)&gt;J$3,0,VDB($N44,$O44,$Q44,IF(YEAR($P44)=J$3,0,MIN($Q44,(DATE(J$3,1,1)-$P44)/365)),MIN($Q44,(DATE(J$3,12,31)-$P44)/365),$S44))))</f>
        <v>0</v>
      </c>
      <c r="K86" s="833" t="n">
        <f aca="false">IF($N44=0,0,IF($R44="SL",SLN($N44,$O44,$Q44)*IF(YEAR($P44)&lt;K$3,IF(YEAR($P44)+$Q44=K$3,(MONTH($P44)-1)/12,IF(YEAR($P44)+$Q44&lt;K$3,0,1)),IF(YEAR($P44)&gt;K$3,0,(12-MONTH($P44)+1)/12)),IF(YEAR($P44)&gt;K$3,0,VDB($N44,$O44,$Q44,IF(YEAR($P44)=K$3,0,MIN($Q44,(DATE(K$3,1,1)-$P44)/365)),MIN($Q44,(DATE(K$3,12,31)-$P44)/365),$S44))))</f>
        <v>0</v>
      </c>
      <c r="L86" s="833" t="n">
        <f aca="false">IF($N44=0,0,IF($R44="SL",SLN($N44,$O44,$Q44)*IF(YEAR($P44)&lt;L$3,IF(YEAR($P44)+$Q44=L$3,(MONTH($P44)-1)/12,IF(YEAR($P44)+$Q44&lt;L$3,0,1)),IF(YEAR($P44)&gt;L$3,0,(12-MONTH($P44)+1)/12)),IF(YEAR($P44)&gt;L$3,0,VDB($N44,$O44,$Q44,IF(YEAR($P44)=L$3,0,MIN($Q44,(DATE(L$3,1,1)-$P44)/365)),MIN($Q44,(DATE(L$3,12,31)-$P44)/365),$S44))))</f>
        <v>0</v>
      </c>
      <c r="M86" s="833" t="n">
        <f aca="false">IF($N44=0,0,IF($R44="SL",SLN($N44,$O44,$Q44)*IF(YEAR($P44)&lt;M$3,IF(YEAR($P44)+$Q44=M$3,(MONTH($P44)-1)/12,IF(YEAR($P44)+$Q44&lt;M$3,0,1)),IF(YEAR($P44)&gt;M$3,0,(12-MONTH($P44)+1)/12)),IF(YEAR($P44)&gt;M$3,0,VDB($N44,$O44,$Q44,IF(YEAR($P44)=M$3,0,MIN($Q44,(DATE(M$3,1,1)-$P44)/365)),MIN($Q44,(DATE(M$3,12,31)-$P44)/365),$S44))))</f>
        <v>0</v>
      </c>
      <c r="N86" s="833" t="n">
        <f aca="false">IF($N44=0,0,IF($R44="SL",SLN($N44,$O44,$Q44)*IF(YEAR($P44)&lt;N$3,IF(YEAR($P44)+$Q44=N$3,(MONTH($P44)-1)/12,IF(YEAR($P44)+$Q44&lt;N$3,0,1)),IF(YEAR($P44)&gt;N$3,0,(12-MONTH($P44)+1)/12)),IF(YEAR($P44)&gt;N$3,0,VDB($N44,$O44,$Q44,IF(YEAR($P44)=N$3,0,MIN($Q44,(DATE(N$3,1,1)-$P44)/365)),MIN($Q44,(DATE(N$3,12,31)-$P44)/365),$S44))))</f>
        <v>0</v>
      </c>
      <c r="O86" s="833" t="n">
        <f aca="false">IF($N44=0,0,IF($R44="SL",SLN($N44,$O44,$Q44)*IF(YEAR($P44)&lt;O$3,IF(YEAR($P44)+$Q44=O$3,(MONTH($P44)-1)/12,IF(YEAR($P44)+$Q44&lt;O$3,0,1)),IF(YEAR($P44)&gt;O$3,0,(12-MONTH($P44)+1)/12)),IF(YEAR($P44)&gt;O$3,0,VDB($N44,$O44,$Q44,IF(YEAR($P44)=O$3,0,MIN($Q44,(DATE(O$3,1,1)-$P44)/365)),MIN($Q44,(DATE(O$3,12,31)-$P44)/365),$S44))))</f>
        <v>0</v>
      </c>
      <c r="P86" s="833" t="n">
        <f aca="false">IF($N44=0,0,IF($R44="SL",SLN($N44,$O44,$Q44)*IF(YEAR($P44)&lt;P$3,IF(YEAR($P44)+$Q44=P$3,(MONTH($P44)-1)/12,IF(YEAR($P44)+$Q44&lt;P$3,0,1)),IF(YEAR($P44)&gt;P$3,0,(12-MONTH($P44)+1)/12)),IF(YEAR($P44)&gt;P$3,0,VDB($N44,$O44,$Q44,IF(YEAR($P44)=P$3,0,MIN($Q44,(DATE(P$3,1,1)-$P44)/365)),MIN($Q44,(DATE(P$3,12,31)-$P44)/365),$S44))))</f>
        <v>0</v>
      </c>
      <c r="Q86" s="833" t="n">
        <f aca="false">IF($N44=0,0,IF($R44="SL",SLN($N44,$O44,$Q44)*IF(YEAR($P44)&lt;Q$3,IF(YEAR($P44)+$Q44=Q$3,(MONTH($P44)-1)/12,IF(YEAR($P44)+$Q44&lt;Q$3,0,1)),IF(YEAR($P44)&gt;Q$3,0,(12-MONTH($P44)+1)/12)),IF(YEAR($P44)&gt;Q$3,0,VDB($N44,$O44,$Q44,IF(YEAR($P44)=Q$3,0,MIN($Q44,(DATE(Q$3,1,1)-$P44)/365)),MIN($Q44,(DATE(Q$3,12,31)-$P44)/365),$S44))))</f>
        <v>0</v>
      </c>
      <c r="R86" s="833" t="n">
        <f aca="false">IF($N44=0,0,IF($R44="SL",SLN($N44,$O44,$Q44)*IF(YEAR($P44)&lt;R$3,IF(YEAR($P44)+$Q44=R$3,(MONTH($P44)-1)/12,IF(YEAR($P44)+$Q44&lt;R$3,0,1)),IF(YEAR($P44)&gt;R$3,0,(12-MONTH($P44)+1)/12)),IF(YEAR($P44)&gt;R$3,0,VDB($N44,$O44,$Q44,IF(YEAR($P44)=R$3,0,MIN($Q44,(DATE(R$3,1,1)-$P44)/365)),MIN($Q44,(DATE(R$3,12,31)-$P44)/365),$S44))))</f>
        <v>0</v>
      </c>
      <c r="S86" s="833" t="n">
        <f aca="false">IF($N44=0,0,IF($R44="SL",SLN($N44,$O44,$Q44)*IF(YEAR($P44)&lt;S$3,IF(YEAR($P44)+$Q44=S$3,(MONTH($P44)-1)/12,IF(YEAR($P44)+$Q44&lt;S$3,0,1)),IF(YEAR($P44)&gt;S$3,0,(12-MONTH($P44)+1)/12)),IF(YEAR($P44)&gt;S$3,0,VDB($N44,$O44,$Q44,IF(YEAR($P44)=S$3,0,MIN($Q44,(DATE(S$3,1,1)-$P44)/365)),MIN($Q44,(DATE(S$3,12,31)-$P44)/365),$S44))))</f>
        <v>0</v>
      </c>
      <c r="T86" s="833" t="n">
        <f aca="false">IF($N44=0,0,IF($R44="SL",SLN($N44,$O44,$Q44)*IF(YEAR($P44)&lt;T$3,IF(YEAR($P44)+$Q44=T$3,(MONTH($P44)-1)/12,IF(YEAR($P44)+$Q44&lt;T$3,0,1)),IF(YEAR($P44)&gt;T$3,0,(12-MONTH($P44)+1)/12)),IF(YEAR($P44)&gt;T$3,0,VDB($N44,$O44,$Q44,IF(YEAR($P44)=T$3,0,MIN($Q44,(DATE(T$3,1,1)-$P44)/365)),MIN($Q44,(DATE(T$3,12,31)-$P44)/365),$S44))))</f>
        <v>0</v>
      </c>
      <c r="U86" s="833" t="n">
        <f aca="false">IF($N44=0,0,IF($R44="SL",SLN($N44,$O44,$Q44)*IF(YEAR($P44)&lt;U$3,IF(YEAR($P44)+$Q44=U$3,(MONTH($P44)-1)/12,IF(YEAR($P44)+$Q44&lt;U$3,0,1)),IF(YEAR($P44)&gt;U$3,0,(12-MONTH($P44)+1)/12)),IF(YEAR($P44)&gt;U$3,0,VDB($N44,$O44,$Q44,IF(YEAR($P44)=U$3,0,MIN($Q44,(DATE(U$3,1,1)-$P44)/365)),MIN($Q44,(DATE(U$3,12,31)-$P44)/365),$S44))))</f>
        <v>0</v>
      </c>
      <c r="V86" s="833" t="n">
        <f aca="false">IF($N44=0,0,IF($R44="SL",SLN($N44,$O44,$Q44)*IF(YEAR($P44)&lt;V$3,IF(YEAR($P44)+$Q44=V$3,(MONTH($P44)-1)/12,IF(YEAR($P44)+$Q44&lt;V$3,0,1)),IF(YEAR($P44)&gt;V$3,0,(12-MONTH($P44)+1)/12)),IF(YEAR($P44)&gt;V$3,0,VDB($N44,$O44,$Q44,IF(YEAR($P44)=V$3,0,MIN($Q44,(DATE(V$3,1,1)-$P44)/365)),MIN($Q44,(DATE(V$3,12,31)-$P44)/365),$S44))))</f>
        <v>0</v>
      </c>
      <c r="W86" s="833" t="n">
        <f aca="false">IF($N44=0,0,IF($R44="SL",SLN($N44,$O44,$Q44)*IF(YEAR($P44)&lt;W$3,IF(YEAR($P44)+$Q44=W$3,(MONTH($P44)-1)/12,IF(YEAR($P44)+$Q44&lt;W$3,0,1)),IF(YEAR($P44)&gt;W$3,0,(12-MONTH($P44)+1)/12)),IF(YEAR($P44)&gt;W$3,0,VDB($N44,$O44,$Q44,IF(YEAR($P44)=W$3,0,MIN($Q44,(DATE(W$3,1,1)-$P44)/365)),MIN($Q44,(DATE(W$3,12,31)-$P44)/365),$S44))))</f>
        <v>0</v>
      </c>
      <c r="X86" s="833" t="n">
        <f aca="false">IF($N44=0,0,IF($R44="SL",SLN($N44,$O44,$Q44)*IF(YEAR($P44)&lt;X$3,IF(YEAR($P44)+$Q44=X$3,(MONTH($P44)-1)/12,IF(YEAR($P44)+$Q44&lt;X$3,0,1)),IF(YEAR($P44)&gt;X$3,0,(12-MONTH($P44)+1)/12)),IF(YEAR($P44)&gt;X$3,0,VDB($N44,$O44,$Q44,IF(YEAR($P44)=X$3,0,MIN($Q44,(DATE(X$3,1,1)-$P44)/365)),MIN($Q44,(DATE(X$3,12,31)-$P44)/365),$S44))))</f>
        <v>0</v>
      </c>
      <c r="Y86" s="833" t="n">
        <f aca="false">IF($N44=0,0,IF($R44="SL",SLN($N44,$O44,$Q44)*IF(YEAR($P44)&lt;Y$3,IF(YEAR($P44)+$Q44=Y$3,(MONTH($P44)-1)/12,IF(YEAR($P44)+$Q44&lt;Y$3,0,1)),IF(YEAR($P44)&gt;Y$3,0,(12-MONTH($P44)+1)/12)),IF(YEAR($P44)&gt;Y$3,0,VDB($N44,$O44,$Q44,IF(YEAR($P44)=Y$3,0,MIN($Q44,(DATE(Y$3,1,1)-$P44)/365)),MIN($Q44,(DATE(Y$3,12,31)-$P44)/365),$S44))))</f>
        <v>0</v>
      </c>
      <c r="Z86" s="833" t="n">
        <f aca="false">IF($N44=0,0,IF($R44="SL",SLN($N44,$O44,$Q44)*IF(YEAR($P44)&lt;Z$3,IF(YEAR($P44)+$Q44=Z$3,(MONTH($P44)-1)/12,IF(YEAR($P44)+$Q44&lt;Z$3,0,1)),IF(YEAR($P44)&gt;Z$3,0,(12-MONTH($P44)+1)/12)),IF(YEAR($P44)&gt;Z$3,0,VDB($N44,$O44,$Q44,IF(YEAR($P44)=Z$3,0,MIN($Q44,(DATE(Z$3,1,1)-$P44)/365)),MIN($Q44,(DATE(Z$3,12,31)-$P44)/365),$S44))))</f>
        <v>0</v>
      </c>
      <c r="AA86" s="833" t="n">
        <f aca="false">IF($N44=0,0,IF($R44="SL",SLN($N44,$O44,$Q44)*IF(YEAR($P44)&lt;AA$3,IF(YEAR($P44)+$Q44=AA$3,(MONTH($P44)-1)/12,IF(YEAR($P44)+$Q44&lt;AA$3,0,1)),IF(YEAR($P44)&gt;AA$3,0,(12-MONTH($P44)+1)/12)),IF(YEAR($P44)&gt;AA$3,0,VDB($N44,$O44,$Q44,IF(YEAR($P44)=AA$3,0,MIN($Q44,(DATE(AA$3,1,1)-$P44)/365)),MIN($Q44,(DATE(AA$3,12,31)-$P44)/365),$S44))))</f>
        <v>0</v>
      </c>
      <c r="AB86" s="833" t="n">
        <f aca="false">IF($N44=0,0,IF($R44="SL",SLN($N44,$O44,$Q44)*IF(YEAR($P44)&lt;AB$3,IF(YEAR($P44)+$Q44=AB$3,(MONTH($P44)-1)/12,IF(YEAR($P44)+$Q44&lt;AB$3,0,1)),IF(YEAR($P44)&gt;AB$3,0,(12-MONTH($P44)+1)/12)),IF(YEAR($P44)&gt;AB$3,0,VDB($N44,$O44,$Q44,IF(YEAR($P44)=AB$3,0,MIN($Q44,(DATE(AB$3,1,1)-$P44)/365)),MIN($Q44,(DATE(AB$3,12,31)-$P44)/365),$S44))))</f>
        <v>0</v>
      </c>
      <c r="AC86" s="833" t="n">
        <f aca="false">IF($N44=0,0,IF($R44="SL",SLN($N44,$O44,$Q44)*IF(YEAR($P44)&lt;AC$3,IF(YEAR($P44)+$Q44=AC$3,(MONTH($P44)-1)/12,IF(YEAR($P44)+$Q44&lt;AC$3,0,1)),IF(YEAR($P44)&gt;AC$3,0,(12-MONTH($P44)+1)/12)),IF(YEAR($P44)&gt;AC$3,0,VDB($N44,$O44,$Q44,IF(YEAR($P44)=AC$3,0,MIN($Q44,(DATE(AC$3,1,1)-$P44)/365)),MIN($Q44,(DATE(AC$3,12,31)-$P44)/365),$S44))))</f>
        <v>0</v>
      </c>
      <c r="AD86" s="833" t="n">
        <f aca="false">IF($N44=0,0,IF($R44="SL",SLN($N44,$O44,$Q44)*IF(YEAR($P44)&lt;AD$3,IF(YEAR($P44)+$Q44=AD$3,(MONTH($P44)-1)/12,IF(YEAR($P44)+$Q44&lt;AD$3,0,1)),IF(YEAR($P44)&gt;AD$3,0,(12-MONTH($P44)+1)/12)),IF(YEAR($P44)&gt;AD$3,0,VDB($N44,$O44,$Q44,IF(YEAR($P44)=AD$3,0,MIN($Q44,(DATE(AD$3,1,1)-$P44)/365)),MIN($Q44,(DATE(AD$3,12,31)-$P44)/365),$S44))))</f>
        <v>0</v>
      </c>
      <c r="AE86" s="833" t="n">
        <f aca="false">IF($N44=0,0,IF($R44="SL",SLN($N44,$O44,$Q44)*IF(YEAR($P44)&lt;AE$3,IF(YEAR($P44)+$Q44=AE$3,(MONTH($P44)-1)/12,IF(YEAR($P44)+$Q44&lt;AE$3,0,1)),IF(YEAR($P44)&gt;AE$3,0,(12-MONTH($P44)+1)/12)),IF(YEAR($P44)&gt;AE$3,0,VDB($N44,$O44,$Q44,IF(YEAR($P44)=AE$3,0,MIN($Q44,(DATE(AE$3,1,1)-$P44)/365)),MIN($Q44,(DATE(AE$3,12,31)-$P44)/365),$S44))))</f>
        <v>0</v>
      </c>
      <c r="AF86" s="833" t="n">
        <f aca="false">IF($N44=0,0,IF($R44="SL",SLN($N44,$O44,$Q44)*IF(YEAR($P44)&lt;AF$3,IF(YEAR($P44)+$Q44=AF$3,(MONTH($P44)-1)/12,IF(YEAR($P44)+$Q44&lt;AF$3,0,1)),IF(YEAR($P44)&gt;AF$3,0,(12-MONTH($P44)+1)/12)),IF(YEAR($P44)&gt;AF$3,0,VDB($N44,$O44,$Q44,IF(YEAR($P44)=AF$3,0,MIN($Q44,(DATE(AF$3,1,1)-$P44)/365)),MIN($Q44,(DATE(AF$3,12,31)-$P44)/365),$S44))))</f>
        <v>0</v>
      </c>
    </row>
    <row r="87" customFormat="false" ht="11.25" hidden="true" customHeight="false" outlineLevel="1" collapsed="false">
      <c r="C87" s="748" t="str">
        <f aca="false">+L45</f>
        <v>Asset 5</v>
      </c>
      <c r="I87" s="833" t="n">
        <f aca="false">IF($N45=0,0,IF($R45="SL",SLN($N45,$O45,$Q45)*IF(YEAR($P45)&lt;(J$3-1),IF(YEAR($P45)+$Q45=J$3-1,(MONTH($P45)-1)/12,IF(YEAR($P45)+$Q45&lt;J$3-1,0,1)),IF(YEAR($P45)&gt;J$3-1,0,(12-MONTH($P45)+1)/12)),IF(YEAR($P45)&gt;J$3-1,0,VDB($N45,$O45,$Q45,IF(YEAR($P45)=J$3-1,0,MIN($Q45,(DATE(J$3-1,1,1)-$P45)/365)),MIN($Q45,(DATE(J$3-1,12,31)-$P45)/365),$S45))))</f>
        <v>0</v>
      </c>
      <c r="J87" s="833" t="n">
        <f aca="false">IF($N45=0,0,IF($R45="SL",SLN($N45,$O45,$Q45)*IF(YEAR($P45)&lt;J$3,IF(YEAR($P45)+$Q45=J$3,(MONTH($P45)-1)/12,IF(YEAR($P45)+$Q45&lt;J$3,0,1)),IF(YEAR($P45)&gt;J$3,0,(12-MONTH($P45)+1)/12)),IF(YEAR($P45)&gt;J$3,0,VDB($N45,$O45,$Q45,IF(YEAR($P45)=J$3,0,MIN($Q45,(DATE(J$3,1,1)-$P45)/365)),MIN($Q45,(DATE(J$3,12,31)-$P45)/365),$S45))))</f>
        <v>0</v>
      </c>
      <c r="K87" s="833" t="n">
        <f aca="false">IF($N45=0,0,IF($R45="SL",SLN($N45,$O45,$Q45)*IF(YEAR($P45)&lt;K$3,IF(YEAR($P45)+$Q45=K$3,(MONTH($P45)-1)/12,IF(YEAR($P45)+$Q45&lt;K$3,0,1)),IF(YEAR($P45)&gt;K$3,0,(12-MONTH($P45)+1)/12)),IF(YEAR($P45)&gt;K$3,0,VDB($N45,$O45,$Q45,IF(YEAR($P45)=K$3,0,MIN($Q45,(DATE(K$3,1,1)-$P45)/365)),MIN($Q45,(DATE(K$3,12,31)-$P45)/365),$S45))))</f>
        <v>0</v>
      </c>
      <c r="L87" s="833" t="n">
        <f aca="false">IF($N45=0,0,IF($R45="SL",SLN($N45,$O45,$Q45)*IF(YEAR($P45)&lt;L$3,IF(YEAR($P45)+$Q45=L$3,(MONTH($P45)-1)/12,IF(YEAR($P45)+$Q45&lt;L$3,0,1)),IF(YEAR($P45)&gt;L$3,0,(12-MONTH($P45)+1)/12)),IF(YEAR($P45)&gt;L$3,0,VDB($N45,$O45,$Q45,IF(YEAR($P45)=L$3,0,MIN($Q45,(DATE(L$3,1,1)-$P45)/365)),MIN($Q45,(DATE(L$3,12,31)-$P45)/365),$S45))))</f>
        <v>0</v>
      </c>
      <c r="M87" s="833" t="n">
        <f aca="false">IF($N45=0,0,IF($R45="SL",SLN($N45,$O45,$Q45)*IF(YEAR($P45)&lt;M$3,IF(YEAR($P45)+$Q45=M$3,(MONTH($P45)-1)/12,IF(YEAR($P45)+$Q45&lt;M$3,0,1)),IF(YEAR($P45)&gt;M$3,0,(12-MONTH($P45)+1)/12)),IF(YEAR($P45)&gt;M$3,0,VDB($N45,$O45,$Q45,IF(YEAR($P45)=M$3,0,MIN($Q45,(DATE(M$3,1,1)-$P45)/365)),MIN($Q45,(DATE(M$3,12,31)-$P45)/365),$S45))))</f>
        <v>0</v>
      </c>
      <c r="N87" s="833" t="n">
        <f aca="false">IF($N45=0,0,IF($R45="SL",SLN($N45,$O45,$Q45)*IF(YEAR($P45)&lt;N$3,IF(YEAR($P45)+$Q45=N$3,(MONTH($P45)-1)/12,IF(YEAR($P45)+$Q45&lt;N$3,0,1)),IF(YEAR($P45)&gt;N$3,0,(12-MONTH($P45)+1)/12)),IF(YEAR($P45)&gt;N$3,0,VDB($N45,$O45,$Q45,IF(YEAR($P45)=N$3,0,MIN($Q45,(DATE(N$3,1,1)-$P45)/365)),MIN($Q45,(DATE(N$3,12,31)-$P45)/365),$S45))))</f>
        <v>0</v>
      </c>
      <c r="O87" s="833" t="n">
        <f aca="false">IF($N45=0,0,IF($R45="SL",SLN($N45,$O45,$Q45)*IF(YEAR($P45)&lt;O$3,IF(YEAR($P45)+$Q45=O$3,(MONTH($P45)-1)/12,IF(YEAR($P45)+$Q45&lt;O$3,0,1)),IF(YEAR($P45)&gt;O$3,0,(12-MONTH($P45)+1)/12)),IF(YEAR($P45)&gt;O$3,0,VDB($N45,$O45,$Q45,IF(YEAR($P45)=O$3,0,MIN($Q45,(DATE(O$3,1,1)-$P45)/365)),MIN($Q45,(DATE(O$3,12,31)-$P45)/365),$S45))))</f>
        <v>0</v>
      </c>
      <c r="P87" s="833" t="n">
        <f aca="false">IF($N45=0,0,IF($R45="SL",SLN($N45,$O45,$Q45)*IF(YEAR($P45)&lt;P$3,IF(YEAR($P45)+$Q45=P$3,(MONTH($P45)-1)/12,IF(YEAR($P45)+$Q45&lt;P$3,0,1)),IF(YEAR($P45)&gt;P$3,0,(12-MONTH($P45)+1)/12)),IF(YEAR($P45)&gt;P$3,0,VDB($N45,$O45,$Q45,IF(YEAR($P45)=P$3,0,MIN($Q45,(DATE(P$3,1,1)-$P45)/365)),MIN($Q45,(DATE(P$3,12,31)-$P45)/365),$S45))))</f>
        <v>0</v>
      </c>
      <c r="Q87" s="833" t="n">
        <f aca="false">IF($N45=0,0,IF($R45="SL",SLN($N45,$O45,$Q45)*IF(YEAR($P45)&lt;Q$3,IF(YEAR($P45)+$Q45=Q$3,(MONTH($P45)-1)/12,IF(YEAR($P45)+$Q45&lt;Q$3,0,1)),IF(YEAR($P45)&gt;Q$3,0,(12-MONTH($P45)+1)/12)),IF(YEAR($P45)&gt;Q$3,0,VDB($N45,$O45,$Q45,IF(YEAR($P45)=Q$3,0,MIN($Q45,(DATE(Q$3,1,1)-$P45)/365)),MIN($Q45,(DATE(Q$3,12,31)-$P45)/365),$S45))))</f>
        <v>0</v>
      </c>
      <c r="R87" s="833" t="n">
        <f aca="false">IF($N45=0,0,IF($R45="SL",SLN($N45,$O45,$Q45)*IF(YEAR($P45)&lt;R$3,IF(YEAR($P45)+$Q45=R$3,(MONTH($P45)-1)/12,IF(YEAR($P45)+$Q45&lt;R$3,0,1)),IF(YEAR($P45)&gt;R$3,0,(12-MONTH($P45)+1)/12)),IF(YEAR($P45)&gt;R$3,0,VDB($N45,$O45,$Q45,IF(YEAR($P45)=R$3,0,MIN($Q45,(DATE(R$3,1,1)-$P45)/365)),MIN($Q45,(DATE(R$3,12,31)-$P45)/365),$S45))))</f>
        <v>0</v>
      </c>
      <c r="S87" s="833" t="n">
        <f aca="false">IF($N45=0,0,IF($R45="SL",SLN($N45,$O45,$Q45)*IF(YEAR($P45)&lt;S$3,IF(YEAR($P45)+$Q45=S$3,(MONTH($P45)-1)/12,IF(YEAR($P45)+$Q45&lt;S$3,0,1)),IF(YEAR($P45)&gt;S$3,0,(12-MONTH($P45)+1)/12)),IF(YEAR($P45)&gt;S$3,0,VDB($N45,$O45,$Q45,IF(YEAR($P45)=S$3,0,MIN($Q45,(DATE(S$3,1,1)-$P45)/365)),MIN($Q45,(DATE(S$3,12,31)-$P45)/365),$S45))))</f>
        <v>0</v>
      </c>
      <c r="T87" s="833" t="n">
        <f aca="false">IF($N45=0,0,IF($R45="SL",SLN($N45,$O45,$Q45)*IF(YEAR($P45)&lt;T$3,IF(YEAR($P45)+$Q45=T$3,(MONTH($P45)-1)/12,IF(YEAR($P45)+$Q45&lt;T$3,0,1)),IF(YEAR($P45)&gt;T$3,0,(12-MONTH($P45)+1)/12)),IF(YEAR($P45)&gt;T$3,0,VDB($N45,$O45,$Q45,IF(YEAR($P45)=T$3,0,MIN($Q45,(DATE(T$3,1,1)-$P45)/365)),MIN($Q45,(DATE(T$3,12,31)-$P45)/365),$S45))))</f>
        <v>0</v>
      </c>
      <c r="U87" s="833" t="n">
        <f aca="false">IF($N45=0,0,IF($R45="SL",SLN($N45,$O45,$Q45)*IF(YEAR($P45)&lt;U$3,IF(YEAR($P45)+$Q45=U$3,(MONTH($P45)-1)/12,IF(YEAR($P45)+$Q45&lt;U$3,0,1)),IF(YEAR($P45)&gt;U$3,0,(12-MONTH($P45)+1)/12)),IF(YEAR($P45)&gt;U$3,0,VDB($N45,$O45,$Q45,IF(YEAR($P45)=U$3,0,MIN($Q45,(DATE(U$3,1,1)-$P45)/365)),MIN($Q45,(DATE(U$3,12,31)-$P45)/365),$S45))))</f>
        <v>0</v>
      </c>
      <c r="V87" s="833" t="n">
        <f aca="false">IF($N45=0,0,IF($R45="SL",SLN($N45,$O45,$Q45)*IF(YEAR($P45)&lt;V$3,IF(YEAR($P45)+$Q45=V$3,(MONTH($P45)-1)/12,IF(YEAR($P45)+$Q45&lt;V$3,0,1)),IF(YEAR($P45)&gt;V$3,0,(12-MONTH($P45)+1)/12)),IF(YEAR($P45)&gt;V$3,0,VDB($N45,$O45,$Q45,IF(YEAR($P45)=V$3,0,MIN($Q45,(DATE(V$3,1,1)-$P45)/365)),MIN($Q45,(DATE(V$3,12,31)-$P45)/365),$S45))))</f>
        <v>0</v>
      </c>
      <c r="W87" s="833" t="n">
        <f aca="false">IF($N45=0,0,IF($R45="SL",SLN($N45,$O45,$Q45)*IF(YEAR($P45)&lt;W$3,IF(YEAR($P45)+$Q45=W$3,(MONTH($P45)-1)/12,IF(YEAR($P45)+$Q45&lt;W$3,0,1)),IF(YEAR($P45)&gt;W$3,0,(12-MONTH($P45)+1)/12)),IF(YEAR($P45)&gt;W$3,0,VDB($N45,$O45,$Q45,IF(YEAR($P45)=W$3,0,MIN($Q45,(DATE(W$3,1,1)-$P45)/365)),MIN($Q45,(DATE(W$3,12,31)-$P45)/365),$S45))))</f>
        <v>0</v>
      </c>
      <c r="X87" s="833" t="n">
        <f aca="false">IF($N45=0,0,IF($R45="SL",SLN($N45,$O45,$Q45)*IF(YEAR($P45)&lt;X$3,IF(YEAR($P45)+$Q45=X$3,(MONTH($P45)-1)/12,IF(YEAR($P45)+$Q45&lt;X$3,0,1)),IF(YEAR($P45)&gt;X$3,0,(12-MONTH($P45)+1)/12)),IF(YEAR($P45)&gt;X$3,0,VDB($N45,$O45,$Q45,IF(YEAR($P45)=X$3,0,MIN($Q45,(DATE(X$3,1,1)-$P45)/365)),MIN($Q45,(DATE(X$3,12,31)-$P45)/365),$S45))))</f>
        <v>0</v>
      </c>
      <c r="Y87" s="833" t="n">
        <f aca="false">IF($N45=0,0,IF($R45="SL",SLN($N45,$O45,$Q45)*IF(YEAR($P45)&lt;Y$3,IF(YEAR($P45)+$Q45=Y$3,(MONTH($P45)-1)/12,IF(YEAR($P45)+$Q45&lt;Y$3,0,1)),IF(YEAR($P45)&gt;Y$3,0,(12-MONTH($P45)+1)/12)),IF(YEAR($P45)&gt;Y$3,0,VDB($N45,$O45,$Q45,IF(YEAR($P45)=Y$3,0,MIN($Q45,(DATE(Y$3,1,1)-$P45)/365)),MIN($Q45,(DATE(Y$3,12,31)-$P45)/365),$S45))))</f>
        <v>0</v>
      </c>
      <c r="Z87" s="833" t="n">
        <f aca="false">IF($N45=0,0,IF($R45="SL",SLN($N45,$O45,$Q45)*IF(YEAR($P45)&lt;Z$3,IF(YEAR($P45)+$Q45=Z$3,(MONTH($P45)-1)/12,IF(YEAR($P45)+$Q45&lt;Z$3,0,1)),IF(YEAR($P45)&gt;Z$3,0,(12-MONTH($P45)+1)/12)),IF(YEAR($P45)&gt;Z$3,0,VDB($N45,$O45,$Q45,IF(YEAR($P45)=Z$3,0,MIN($Q45,(DATE(Z$3,1,1)-$P45)/365)),MIN($Q45,(DATE(Z$3,12,31)-$P45)/365),$S45))))</f>
        <v>0</v>
      </c>
      <c r="AA87" s="833" t="n">
        <f aca="false">IF($N45=0,0,IF($R45="SL",SLN($N45,$O45,$Q45)*IF(YEAR($P45)&lt;AA$3,IF(YEAR($P45)+$Q45=AA$3,(MONTH($P45)-1)/12,IF(YEAR($P45)+$Q45&lt;AA$3,0,1)),IF(YEAR($P45)&gt;AA$3,0,(12-MONTH($P45)+1)/12)),IF(YEAR($P45)&gt;AA$3,0,VDB($N45,$O45,$Q45,IF(YEAR($P45)=AA$3,0,MIN($Q45,(DATE(AA$3,1,1)-$P45)/365)),MIN($Q45,(DATE(AA$3,12,31)-$P45)/365),$S45))))</f>
        <v>0</v>
      </c>
      <c r="AB87" s="833" t="n">
        <f aca="false">IF($N45=0,0,IF($R45="SL",SLN($N45,$O45,$Q45)*IF(YEAR($P45)&lt;AB$3,IF(YEAR($P45)+$Q45=AB$3,(MONTH($P45)-1)/12,IF(YEAR($P45)+$Q45&lt;AB$3,0,1)),IF(YEAR($P45)&gt;AB$3,0,(12-MONTH($P45)+1)/12)),IF(YEAR($P45)&gt;AB$3,0,VDB($N45,$O45,$Q45,IF(YEAR($P45)=AB$3,0,MIN($Q45,(DATE(AB$3,1,1)-$P45)/365)),MIN($Q45,(DATE(AB$3,12,31)-$P45)/365),$S45))))</f>
        <v>0</v>
      </c>
      <c r="AC87" s="833" t="n">
        <f aca="false">IF($N45=0,0,IF($R45="SL",SLN($N45,$O45,$Q45)*IF(YEAR($P45)&lt;AC$3,IF(YEAR($P45)+$Q45=AC$3,(MONTH($P45)-1)/12,IF(YEAR($P45)+$Q45&lt;AC$3,0,1)),IF(YEAR($P45)&gt;AC$3,0,(12-MONTH($P45)+1)/12)),IF(YEAR($P45)&gt;AC$3,0,VDB($N45,$O45,$Q45,IF(YEAR($P45)=AC$3,0,MIN($Q45,(DATE(AC$3,1,1)-$P45)/365)),MIN($Q45,(DATE(AC$3,12,31)-$P45)/365),$S45))))</f>
        <v>0</v>
      </c>
      <c r="AD87" s="833" t="n">
        <f aca="false">IF($N45=0,0,IF($R45="SL",SLN($N45,$O45,$Q45)*IF(YEAR($P45)&lt;AD$3,IF(YEAR($P45)+$Q45=AD$3,(MONTH($P45)-1)/12,IF(YEAR($P45)+$Q45&lt;AD$3,0,1)),IF(YEAR($P45)&gt;AD$3,0,(12-MONTH($P45)+1)/12)),IF(YEAR($P45)&gt;AD$3,0,VDB($N45,$O45,$Q45,IF(YEAR($P45)=AD$3,0,MIN($Q45,(DATE(AD$3,1,1)-$P45)/365)),MIN($Q45,(DATE(AD$3,12,31)-$P45)/365),$S45))))</f>
        <v>0</v>
      </c>
      <c r="AE87" s="833" t="n">
        <f aca="false">IF($N45=0,0,IF($R45="SL",SLN($N45,$O45,$Q45)*IF(YEAR($P45)&lt;AE$3,IF(YEAR($P45)+$Q45=AE$3,(MONTH($P45)-1)/12,IF(YEAR($P45)+$Q45&lt;AE$3,0,1)),IF(YEAR($P45)&gt;AE$3,0,(12-MONTH($P45)+1)/12)),IF(YEAR($P45)&gt;AE$3,0,VDB($N45,$O45,$Q45,IF(YEAR($P45)=AE$3,0,MIN($Q45,(DATE(AE$3,1,1)-$P45)/365)),MIN($Q45,(DATE(AE$3,12,31)-$P45)/365),$S45))))</f>
        <v>0</v>
      </c>
      <c r="AF87" s="833" t="n">
        <f aca="false">IF($N45=0,0,IF($R45="SL",SLN($N45,$O45,$Q45)*IF(YEAR($P45)&lt;AF$3,IF(YEAR($P45)+$Q45=AF$3,(MONTH($P45)-1)/12,IF(YEAR($P45)+$Q45&lt;AF$3,0,1)),IF(YEAR($P45)&gt;AF$3,0,(12-MONTH($P45)+1)/12)),IF(YEAR($P45)&gt;AF$3,0,VDB($N45,$O45,$Q45,IF(YEAR($P45)=AF$3,0,MIN($Q45,(DATE(AF$3,1,1)-$P45)/365)),MIN($Q45,(DATE(AF$3,12,31)-$P45)/365),$S45))))</f>
        <v>0</v>
      </c>
    </row>
    <row r="88" customFormat="false" ht="11.25" hidden="true" customHeight="false" outlineLevel="1" collapsed="false">
      <c r="C88" s="748" t="str">
        <f aca="false">+L46</f>
        <v>Asset 6</v>
      </c>
      <c r="I88" s="833" t="n">
        <f aca="false">IF($N46=0,0,IF($R46="SL",SLN($N46,$O46,$Q46)*IF(YEAR($P46)&lt;(J$3-1),IF(YEAR($P46)+$Q46=J$3-1,(MONTH($P46)-1)/12,IF(YEAR($P46)+$Q46&lt;J$3-1,0,1)),IF(YEAR($P46)&gt;J$3-1,0,(12-MONTH($P46)+1)/12)),IF(YEAR($P46)&gt;J$3-1,0,VDB($N46,$O46,$Q46,IF(YEAR($P46)=J$3-1,0,MIN($Q46,(DATE(J$3-1,1,1)-$P46)/365)),MIN($Q46,(DATE(J$3-1,12,31)-$P46)/365),$S46))))</f>
        <v>0</v>
      </c>
      <c r="J88" s="833" t="n">
        <f aca="false">IF($N46=0,0,IF($R46="SL",SLN($N46,$O46,$Q46)*IF(YEAR($P46)&lt;J$3,IF(YEAR($P46)+$Q46=J$3,(MONTH($P46)-1)/12,IF(YEAR($P46)+$Q46&lt;J$3,0,1)),IF(YEAR($P46)&gt;J$3,0,(12-MONTH($P46)+1)/12)),IF(YEAR($P46)&gt;J$3,0,VDB($N46,$O46,$Q46,IF(YEAR($P46)=J$3,0,MIN($Q46,(DATE(J$3,1,1)-$P46)/365)),MIN($Q46,(DATE(J$3,12,31)-$P46)/365),$S46))))</f>
        <v>0</v>
      </c>
      <c r="K88" s="833" t="n">
        <f aca="false">IF($N46=0,0,IF($R46="SL",SLN($N46,$O46,$Q46)*IF(YEAR($P46)&lt;K$3,IF(YEAR($P46)+$Q46=K$3,(MONTH($P46)-1)/12,IF(YEAR($P46)+$Q46&lt;K$3,0,1)),IF(YEAR($P46)&gt;K$3,0,(12-MONTH($P46)+1)/12)),IF(YEAR($P46)&gt;K$3,0,VDB($N46,$O46,$Q46,IF(YEAR($P46)=K$3,0,MIN($Q46,(DATE(K$3,1,1)-$P46)/365)),MIN($Q46,(DATE(K$3,12,31)-$P46)/365),$S46))))</f>
        <v>0</v>
      </c>
      <c r="L88" s="833" t="n">
        <f aca="false">IF($N46=0,0,IF($R46="SL",SLN($N46,$O46,$Q46)*IF(YEAR($P46)&lt;L$3,IF(YEAR($P46)+$Q46=L$3,(MONTH($P46)-1)/12,IF(YEAR($P46)+$Q46&lt;L$3,0,1)),IF(YEAR($P46)&gt;L$3,0,(12-MONTH($P46)+1)/12)),IF(YEAR($P46)&gt;L$3,0,VDB($N46,$O46,$Q46,IF(YEAR($P46)=L$3,0,MIN($Q46,(DATE(L$3,1,1)-$P46)/365)),MIN($Q46,(DATE(L$3,12,31)-$P46)/365),$S46))))</f>
        <v>0</v>
      </c>
      <c r="M88" s="833" t="n">
        <f aca="false">IF($N46=0,0,IF($R46="SL",SLN($N46,$O46,$Q46)*IF(YEAR($P46)&lt;M$3,IF(YEAR($P46)+$Q46=M$3,(MONTH($P46)-1)/12,IF(YEAR($P46)+$Q46&lt;M$3,0,1)),IF(YEAR($P46)&gt;M$3,0,(12-MONTH($P46)+1)/12)),IF(YEAR($P46)&gt;M$3,0,VDB($N46,$O46,$Q46,IF(YEAR($P46)=M$3,0,MIN($Q46,(DATE(M$3,1,1)-$P46)/365)),MIN($Q46,(DATE(M$3,12,31)-$P46)/365),$S46))))</f>
        <v>0</v>
      </c>
      <c r="N88" s="833" t="n">
        <f aca="false">IF($N46=0,0,IF($R46="SL",SLN($N46,$O46,$Q46)*IF(YEAR($P46)&lt;N$3,IF(YEAR($P46)+$Q46=N$3,(MONTH($P46)-1)/12,IF(YEAR($P46)+$Q46&lt;N$3,0,1)),IF(YEAR($P46)&gt;N$3,0,(12-MONTH($P46)+1)/12)),IF(YEAR($P46)&gt;N$3,0,VDB($N46,$O46,$Q46,IF(YEAR($P46)=N$3,0,MIN($Q46,(DATE(N$3,1,1)-$P46)/365)),MIN($Q46,(DATE(N$3,12,31)-$P46)/365),$S46))))</f>
        <v>0</v>
      </c>
      <c r="O88" s="833" t="n">
        <f aca="false">IF($N46=0,0,IF($R46="SL",SLN($N46,$O46,$Q46)*IF(YEAR($P46)&lt;O$3,IF(YEAR($P46)+$Q46=O$3,(MONTH($P46)-1)/12,IF(YEAR($P46)+$Q46&lt;O$3,0,1)),IF(YEAR($P46)&gt;O$3,0,(12-MONTH($P46)+1)/12)),IF(YEAR($P46)&gt;O$3,0,VDB($N46,$O46,$Q46,IF(YEAR($P46)=O$3,0,MIN($Q46,(DATE(O$3,1,1)-$P46)/365)),MIN($Q46,(DATE(O$3,12,31)-$P46)/365),$S46))))</f>
        <v>0</v>
      </c>
      <c r="P88" s="833" t="n">
        <f aca="false">IF($N46=0,0,IF($R46="SL",SLN($N46,$O46,$Q46)*IF(YEAR($P46)&lt;P$3,IF(YEAR($P46)+$Q46=P$3,(MONTH($P46)-1)/12,IF(YEAR($P46)+$Q46&lt;P$3,0,1)),IF(YEAR($P46)&gt;P$3,0,(12-MONTH($P46)+1)/12)),IF(YEAR($P46)&gt;P$3,0,VDB($N46,$O46,$Q46,IF(YEAR($P46)=P$3,0,MIN($Q46,(DATE(P$3,1,1)-$P46)/365)),MIN($Q46,(DATE(P$3,12,31)-$P46)/365),$S46))))</f>
        <v>0</v>
      </c>
      <c r="Q88" s="833" t="n">
        <f aca="false">IF($N46=0,0,IF($R46="SL",SLN($N46,$O46,$Q46)*IF(YEAR($P46)&lt;Q$3,IF(YEAR($P46)+$Q46=Q$3,(MONTH($P46)-1)/12,IF(YEAR($P46)+$Q46&lt;Q$3,0,1)),IF(YEAR($P46)&gt;Q$3,0,(12-MONTH($P46)+1)/12)),IF(YEAR($P46)&gt;Q$3,0,VDB($N46,$O46,$Q46,IF(YEAR($P46)=Q$3,0,MIN($Q46,(DATE(Q$3,1,1)-$P46)/365)),MIN($Q46,(DATE(Q$3,12,31)-$P46)/365),$S46))))</f>
        <v>0</v>
      </c>
      <c r="R88" s="833" t="n">
        <f aca="false">IF($N46=0,0,IF($R46="SL",SLN($N46,$O46,$Q46)*IF(YEAR($P46)&lt;R$3,IF(YEAR($P46)+$Q46=R$3,(MONTH($P46)-1)/12,IF(YEAR($P46)+$Q46&lt;R$3,0,1)),IF(YEAR($P46)&gt;R$3,0,(12-MONTH($P46)+1)/12)),IF(YEAR($P46)&gt;R$3,0,VDB($N46,$O46,$Q46,IF(YEAR($P46)=R$3,0,MIN($Q46,(DATE(R$3,1,1)-$P46)/365)),MIN($Q46,(DATE(R$3,12,31)-$P46)/365),$S46))))</f>
        <v>0</v>
      </c>
      <c r="S88" s="833" t="n">
        <f aca="false">IF($N46=0,0,IF($R46="SL",SLN($N46,$O46,$Q46)*IF(YEAR($P46)&lt;S$3,IF(YEAR($P46)+$Q46=S$3,(MONTH($P46)-1)/12,IF(YEAR($P46)+$Q46&lt;S$3,0,1)),IF(YEAR($P46)&gt;S$3,0,(12-MONTH($P46)+1)/12)),IF(YEAR($P46)&gt;S$3,0,VDB($N46,$O46,$Q46,IF(YEAR($P46)=S$3,0,MIN($Q46,(DATE(S$3,1,1)-$P46)/365)),MIN($Q46,(DATE(S$3,12,31)-$P46)/365),$S46))))</f>
        <v>0</v>
      </c>
      <c r="T88" s="833" t="n">
        <f aca="false">IF($N46=0,0,IF($R46="SL",SLN($N46,$O46,$Q46)*IF(YEAR($P46)&lt;T$3,IF(YEAR($P46)+$Q46=T$3,(MONTH($P46)-1)/12,IF(YEAR($P46)+$Q46&lt;T$3,0,1)),IF(YEAR($P46)&gt;T$3,0,(12-MONTH($P46)+1)/12)),IF(YEAR($P46)&gt;T$3,0,VDB($N46,$O46,$Q46,IF(YEAR($P46)=T$3,0,MIN($Q46,(DATE(T$3,1,1)-$P46)/365)),MIN($Q46,(DATE(T$3,12,31)-$P46)/365),$S46))))</f>
        <v>0</v>
      </c>
      <c r="U88" s="833" t="n">
        <f aca="false">IF($N46=0,0,IF($R46="SL",SLN($N46,$O46,$Q46)*IF(YEAR($P46)&lt;U$3,IF(YEAR($P46)+$Q46=U$3,(MONTH($P46)-1)/12,IF(YEAR($P46)+$Q46&lt;U$3,0,1)),IF(YEAR($P46)&gt;U$3,0,(12-MONTH($P46)+1)/12)),IF(YEAR($P46)&gt;U$3,0,VDB($N46,$O46,$Q46,IF(YEAR($P46)=U$3,0,MIN($Q46,(DATE(U$3,1,1)-$P46)/365)),MIN($Q46,(DATE(U$3,12,31)-$P46)/365),$S46))))</f>
        <v>0</v>
      </c>
      <c r="V88" s="833" t="n">
        <f aca="false">IF($N46=0,0,IF($R46="SL",SLN($N46,$O46,$Q46)*IF(YEAR($P46)&lt;V$3,IF(YEAR($P46)+$Q46=V$3,(MONTH($P46)-1)/12,IF(YEAR($P46)+$Q46&lt;V$3,0,1)),IF(YEAR($P46)&gt;V$3,0,(12-MONTH($P46)+1)/12)),IF(YEAR($P46)&gt;V$3,0,VDB($N46,$O46,$Q46,IF(YEAR($P46)=V$3,0,MIN($Q46,(DATE(V$3,1,1)-$P46)/365)),MIN($Q46,(DATE(V$3,12,31)-$P46)/365),$S46))))</f>
        <v>0</v>
      </c>
      <c r="W88" s="833" t="n">
        <f aca="false">IF($N46=0,0,IF($R46="SL",SLN($N46,$O46,$Q46)*IF(YEAR($P46)&lt;W$3,IF(YEAR($P46)+$Q46=W$3,(MONTH($P46)-1)/12,IF(YEAR($P46)+$Q46&lt;W$3,0,1)),IF(YEAR($P46)&gt;W$3,0,(12-MONTH($P46)+1)/12)),IF(YEAR($P46)&gt;W$3,0,VDB($N46,$O46,$Q46,IF(YEAR($P46)=W$3,0,MIN($Q46,(DATE(W$3,1,1)-$P46)/365)),MIN($Q46,(DATE(W$3,12,31)-$P46)/365),$S46))))</f>
        <v>0</v>
      </c>
      <c r="X88" s="833" t="n">
        <f aca="false">IF($N46=0,0,IF($R46="SL",SLN($N46,$O46,$Q46)*IF(YEAR($P46)&lt;X$3,IF(YEAR($P46)+$Q46=X$3,(MONTH($P46)-1)/12,IF(YEAR($P46)+$Q46&lt;X$3,0,1)),IF(YEAR($P46)&gt;X$3,0,(12-MONTH($P46)+1)/12)),IF(YEAR($P46)&gt;X$3,0,VDB($N46,$O46,$Q46,IF(YEAR($P46)=X$3,0,MIN($Q46,(DATE(X$3,1,1)-$P46)/365)),MIN($Q46,(DATE(X$3,12,31)-$P46)/365),$S46))))</f>
        <v>0</v>
      </c>
      <c r="Y88" s="833" t="n">
        <f aca="false">IF($N46=0,0,IF($R46="SL",SLN($N46,$O46,$Q46)*IF(YEAR($P46)&lt;Y$3,IF(YEAR($P46)+$Q46=Y$3,(MONTH($P46)-1)/12,IF(YEAR($P46)+$Q46&lt;Y$3,0,1)),IF(YEAR($P46)&gt;Y$3,0,(12-MONTH($P46)+1)/12)),IF(YEAR($P46)&gt;Y$3,0,VDB($N46,$O46,$Q46,IF(YEAR($P46)=Y$3,0,MIN($Q46,(DATE(Y$3,1,1)-$P46)/365)),MIN($Q46,(DATE(Y$3,12,31)-$P46)/365),$S46))))</f>
        <v>0</v>
      </c>
      <c r="Z88" s="833" t="n">
        <f aca="false">IF($N46=0,0,IF($R46="SL",SLN($N46,$O46,$Q46)*IF(YEAR($P46)&lt;Z$3,IF(YEAR($P46)+$Q46=Z$3,(MONTH($P46)-1)/12,IF(YEAR($P46)+$Q46&lt;Z$3,0,1)),IF(YEAR($P46)&gt;Z$3,0,(12-MONTH($P46)+1)/12)),IF(YEAR($P46)&gt;Z$3,0,VDB($N46,$O46,$Q46,IF(YEAR($P46)=Z$3,0,MIN($Q46,(DATE(Z$3,1,1)-$P46)/365)),MIN($Q46,(DATE(Z$3,12,31)-$P46)/365),$S46))))</f>
        <v>0</v>
      </c>
      <c r="AA88" s="833" t="n">
        <f aca="false">IF($N46=0,0,IF($R46="SL",SLN($N46,$O46,$Q46)*IF(YEAR($P46)&lt;AA$3,IF(YEAR($P46)+$Q46=AA$3,(MONTH($P46)-1)/12,IF(YEAR($P46)+$Q46&lt;AA$3,0,1)),IF(YEAR($P46)&gt;AA$3,0,(12-MONTH($P46)+1)/12)),IF(YEAR($P46)&gt;AA$3,0,VDB($N46,$O46,$Q46,IF(YEAR($P46)=AA$3,0,MIN($Q46,(DATE(AA$3,1,1)-$P46)/365)),MIN($Q46,(DATE(AA$3,12,31)-$P46)/365),$S46))))</f>
        <v>0</v>
      </c>
      <c r="AB88" s="833" t="n">
        <f aca="false">IF($N46=0,0,IF($R46="SL",SLN($N46,$O46,$Q46)*IF(YEAR($P46)&lt;AB$3,IF(YEAR($P46)+$Q46=AB$3,(MONTH($P46)-1)/12,IF(YEAR($P46)+$Q46&lt;AB$3,0,1)),IF(YEAR($P46)&gt;AB$3,0,(12-MONTH($P46)+1)/12)),IF(YEAR($P46)&gt;AB$3,0,VDB($N46,$O46,$Q46,IF(YEAR($P46)=AB$3,0,MIN($Q46,(DATE(AB$3,1,1)-$P46)/365)),MIN($Q46,(DATE(AB$3,12,31)-$P46)/365),$S46))))</f>
        <v>0</v>
      </c>
      <c r="AC88" s="833" t="n">
        <f aca="false">IF($N46=0,0,IF($R46="SL",SLN($N46,$O46,$Q46)*IF(YEAR($P46)&lt;AC$3,IF(YEAR($P46)+$Q46=AC$3,(MONTH($P46)-1)/12,IF(YEAR($P46)+$Q46&lt;AC$3,0,1)),IF(YEAR($P46)&gt;AC$3,0,(12-MONTH($P46)+1)/12)),IF(YEAR($P46)&gt;AC$3,0,VDB($N46,$O46,$Q46,IF(YEAR($P46)=AC$3,0,MIN($Q46,(DATE(AC$3,1,1)-$P46)/365)),MIN($Q46,(DATE(AC$3,12,31)-$P46)/365),$S46))))</f>
        <v>0</v>
      </c>
      <c r="AD88" s="833" t="n">
        <f aca="false">IF($N46=0,0,IF($R46="SL",SLN($N46,$O46,$Q46)*IF(YEAR($P46)&lt;AD$3,IF(YEAR($P46)+$Q46=AD$3,(MONTH($P46)-1)/12,IF(YEAR($P46)+$Q46&lt;AD$3,0,1)),IF(YEAR($P46)&gt;AD$3,0,(12-MONTH($P46)+1)/12)),IF(YEAR($P46)&gt;AD$3,0,VDB($N46,$O46,$Q46,IF(YEAR($P46)=AD$3,0,MIN($Q46,(DATE(AD$3,1,1)-$P46)/365)),MIN($Q46,(DATE(AD$3,12,31)-$P46)/365),$S46))))</f>
        <v>0</v>
      </c>
      <c r="AE88" s="833" t="n">
        <f aca="false">IF($N46=0,0,IF($R46="SL",SLN($N46,$O46,$Q46)*IF(YEAR($P46)&lt;AE$3,IF(YEAR($P46)+$Q46=AE$3,(MONTH($P46)-1)/12,IF(YEAR($P46)+$Q46&lt;AE$3,0,1)),IF(YEAR($P46)&gt;AE$3,0,(12-MONTH($P46)+1)/12)),IF(YEAR($P46)&gt;AE$3,0,VDB($N46,$O46,$Q46,IF(YEAR($P46)=AE$3,0,MIN($Q46,(DATE(AE$3,1,1)-$P46)/365)),MIN($Q46,(DATE(AE$3,12,31)-$P46)/365),$S46))))</f>
        <v>0</v>
      </c>
      <c r="AF88" s="833" t="n">
        <f aca="false">IF($N46=0,0,IF($R46="SL",SLN($N46,$O46,$Q46)*IF(YEAR($P46)&lt;AF$3,IF(YEAR($P46)+$Q46=AF$3,(MONTH($P46)-1)/12,IF(YEAR($P46)+$Q46&lt;AF$3,0,1)),IF(YEAR($P46)&gt;AF$3,0,(12-MONTH($P46)+1)/12)),IF(YEAR($P46)&gt;AF$3,0,VDB($N46,$O46,$Q46,IF(YEAR($P46)=AF$3,0,MIN($Q46,(DATE(AF$3,1,1)-$P46)/365)),MIN($Q46,(DATE(AF$3,12,31)-$P46)/365),$S46))))</f>
        <v>0</v>
      </c>
    </row>
    <row r="89" customFormat="false" ht="11.25" hidden="true" customHeight="false" outlineLevel="1" collapsed="false">
      <c r="C89" s="748" t="str">
        <f aca="false">+L47</f>
        <v>Asset 7</v>
      </c>
      <c r="I89" s="833" t="n">
        <f aca="false">IF($N47=0,0,IF($R47="SL",SLN($N47,$O47,$Q47)*IF(YEAR($P47)&lt;(J$3-1),IF(YEAR($P47)+$Q47=J$3-1,(MONTH($P47)-1)/12,IF(YEAR($P47)+$Q47&lt;J$3-1,0,1)),IF(YEAR($P47)&gt;J$3-1,0,(12-MONTH($P47)+1)/12)),IF(YEAR($P47)&gt;J$3-1,0,VDB($N47,$O47,$Q47,IF(YEAR($P47)=J$3-1,0,MIN($Q47,(DATE(J$3-1,1,1)-$P47)/365)),MIN($Q47,(DATE(J$3-1,12,31)-$P47)/365),$S47))))</f>
        <v>0</v>
      </c>
      <c r="J89" s="833" t="n">
        <f aca="false">IF($N47=0,0,IF($R47="SL",SLN($N47,$O47,$Q47)*IF(YEAR($P47)&lt;J$3,IF(YEAR($P47)+$Q47=J$3,(MONTH($P47)-1)/12,IF(YEAR($P47)+$Q47&lt;J$3,0,1)),IF(YEAR($P47)&gt;J$3,0,(12-MONTH($P47)+1)/12)),IF(YEAR($P47)&gt;J$3,0,VDB($N47,$O47,$Q47,IF(YEAR($P47)=J$3,0,MIN($Q47,(DATE(J$3,1,1)-$P47)/365)),MIN($Q47,(DATE(J$3,12,31)-$P47)/365),$S47))))</f>
        <v>0</v>
      </c>
      <c r="K89" s="833" t="n">
        <f aca="false">IF($N47=0,0,IF($R47="SL",SLN($N47,$O47,$Q47)*IF(YEAR($P47)&lt;K$3,IF(YEAR($P47)+$Q47=K$3,(MONTH($P47)-1)/12,IF(YEAR($P47)+$Q47&lt;K$3,0,1)),IF(YEAR($P47)&gt;K$3,0,(12-MONTH($P47)+1)/12)),IF(YEAR($P47)&gt;K$3,0,VDB($N47,$O47,$Q47,IF(YEAR($P47)=K$3,0,MIN($Q47,(DATE(K$3,1,1)-$P47)/365)),MIN($Q47,(DATE(K$3,12,31)-$P47)/365),$S47))))</f>
        <v>0</v>
      </c>
      <c r="L89" s="833" t="n">
        <f aca="false">IF($N47=0,0,IF($R47="SL",SLN($N47,$O47,$Q47)*IF(YEAR($P47)&lt;L$3,IF(YEAR($P47)+$Q47=L$3,(MONTH($P47)-1)/12,IF(YEAR($P47)+$Q47&lt;L$3,0,1)),IF(YEAR($P47)&gt;L$3,0,(12-MONTH($P47)+1)/12)),IF(YEAR($P47)&gt;L$3,0,VDB($N47,$O47,$Q47,IF(YEAR($P47)=L$3,0,MIN($Q47,(DATE(L$3,1,1)-$P47)/365)),MIN($Q47,(DATE(L$3,12,31)-$P47)/365),$S47))))</f>
        <v>0</v>
      </c>
      <c r="M89" s="833" t="n">
        <f aca="false">IF($N47=0,0,IF($R47="SL",SLN($N47,$O47,$Q47)*IF(YEAR($P47)&lt;M$3,IF(YEAR($P47)+$Q47=M$3,(MONTH($P47)-1)/12,IF(YEAR($P47)+$Q47&lt;M$3,0,1)),IF(YEAR($P47)&gt;M$3,0,(12-MONTH($P47)+1)/12)),IF(YEAR($P47)&gt;M$3,0,VDB($N47,$O47,$Q47,IF(YEAR($P47)=M$3,0,MIN($Q47,(DATE(M$3,1,1)-$P47)/365)),MIN($Q47,(DATE(M$3,12,31)-$P47)/365),$S47))))</f>
        <v>0</v>
      </c>
      <c r="N89" s="833" t="n">
        <f aca="false">IF($N47=0,0,IF($R47="SL",SLN($N47,$O47,$Q47)*IF(YEAR($P47)&lt;N$3,IF(YEAR($P47)+$Q47=N$3,(MONTH($P47)-1)/12,IF(YEAR($P47)+$Q47&lt;N$3,0,1)),IF(YEAR($P47)&gt;N$3,0,(12-MONTH($P47)+1)/12)),IF(YEAR($P47)&gt;N$3,0,VDB($N47,$O47,$Q47,IF(YEAR($P47)=N$3,0,MIN($Q47,(DATE(N$3,1,1)-$P47)/365)),MIN($Q47,(DATE(N$3,12,31)-$P47)/365),$S47))))</f>
        <v>0</v>
      </c>
      <c r="O89" s="833" t="n">
        <f aca="false">IF($N47=0,0,IF($R47="SL",SLN($N47,$O47,$Q47)*IF(YEAR($P47)&lt;O$3,IF(YEAR($P47)+$Q47=O$3,(MONTH($P47)-1)/12,IF(YEAR($P47)+$Q47&lt;O$3,0,1)),IF(YEAR($P47)&gt;O$3,0,(12-MONTH($P47)+1)/12)),IF(YEAR($P47)&gt;O$3,0,VDB($N47,$O47,$Q47,IF(YEAR($P47)=O$3,0,MIN($Q47,(DATE(O$3,1,1)-$P47)/365)),MIN($Q47,(DATE(O$3,12,31)-$P47)/365),$S47))))</f>
        <v>0</v>
      </c>
      <c r="P89" s="833" t="n">
        <f aca="false">IF($N47=0,0,IF($R47="SL",SLN($N47,$O47,$Q47)*IF(YEAR($P47)&lt;P$3,IF(YEAR($P47)+$Q47=P$3,(MONTH($P47)-1)/12,IF(YEAR($P47)+$Q47&lt;P$3,0,1)),IF(YEAR($P47)&gt;P$3,0,(12-MONTH($P47)+1)/12)),IF(YEAR($P47)&gt;P$3,0,VDB($N47,$O47,$Q47,IF(YEAR($P47)=P$3,0,MIN($Q47,(DATE(P$3,1,1)-$P47)/365)),MIN($Q47,(DATE(P$3,12,31)-$P47)/365),$S47))))</f>
        <v>0</v>
      </c>
      <c r="Q89" s="833" t="n">
        <f aca="false">IF($N47=0,0,IF($R47="SL",SLN($N47,$O47,$Q47)*IF(YEAR($P47)&lt;Q$3,IF(YEAR($P47)+$Q47=Q$3,(MONTH($P47)-1)/12,IF(YEAR($P47)+$Q47&lt;Q$3,0,1)),IF(YEAR($P47)&gt;Q$3,0,(12-MONTH($P47)+1)/12)),IF(YEAR($P47)&gt;Q$3,0,VDB($N47,$O47,$Q47,IF(YEAR($P47)=Q$3,0,MIN($Q47,(DATE(Q$3,1,1)-$P47)/365)),MIN($Q47,(DATE(Q$3,12,31)-$P47)/365),$S47))))</f>
        <v>0</v>
      </c>
      <c r="R89" s="833" t="n">
        <f aca="false">IF($N47=0,0,IF($R47="SL",SLN($N47,$O47,$Q47)*IF(YEAR($P47)&lt;R$3,IF(YEAR($P47)+$Q47=R$3,(MONTH($P47)-1)/12,IF(YEAR($P47)+$Q47&lt;R$3,0,1)),IF(YEAR($P47)&gt;R$3,0,(12-MONTH($P47)+1)/12)),IF(YEAR($P47)&gt;R$3,0,VDB($N47,$O47,$Q47,IF(YEAR($P47)=R$3,0,MIN($Q47,(DATE(R$3,1,1)-$P47)/365)),MIN($Q47,(DATE(R$3,12,31)-$P47)/365),$S47))))</f>
        <v>0</v>
      </c>
      <c r="S89" s="833" t="n">
        <f aca="false">IF($N47=0,0,IF($R47="SL",SLN($N47,$O47,$Q47)*IF(YEAR($P47)&lt;S$3,IF(YEAR($P47)+$Q47=S$3,(MONTH($P47)-1)/12,IF(YEAR($P47)+$Q47&lt;S$3,0,1)),IF(YEAR($P47)&gt;S$3,0,(12-MONTH($P47)+1)/12)),IF(YEAR($P47)&gt;S$3,0,VDB($N47,$O47,$Q47,IF(YEAR($P47)=S$3,0,MIN($Q47,(DATE(S$3,1,1)-$P47)/365)),MIN($Q47,(DATE(S$3,12,31)-$P47)/365),$S47))))</f>
        <v>0</v>
      </c>
      <c r="T89" s="833" t="n">
        <f aca="false">IF($N47=0,0,IF($R47="SL",SLN($N47,$O47,$Q47)*IF(YEAR($P47)&lt;T$3,IF(YEAR($P47)+$Q47=T$3,(MONTH($P47)-1)/12,IF(YEAR($P47)+$Q47&lt;T$3,0,1)),IF(YEAR($P47)&gt;T$3,0,(12-MONTH($P47)+1)/12)),IF(YEAR($P47)&gt;T$3,0,VDB($N47,$O47,$Q47,IF(YEAR($P47)=T$3,0,MIN($Q47,(DATE(T$3,1,1)-$P47)/365)),MIN($Q47,(DATE(T$3,12,31)-$P47)/365),$S47))))</f>
        <v>0</v>
      </c>
      <c r="U89" s="833" t="n">
        <f aca="false">IF($N47=0,0,IF($R47="SL",SLN($N47,$O47,$Q47)*IF(YEAR($P47)&lt;U$3,IF(YEAR($P47)+$Q47=U$3,(MONTH($P47)-1)/12,IF(YEAR($P47)+$Q47&lt;U$3,0,1)),IF(YEAR($P47)&gt;U$3,0,(12-MONTH($P47)+1)/12)),IF(YEAR($P47)&gt;U$3,0,VDB($N47,$O47,$Q47,IF(YEAR($P47)=U$3,0,MIN($Q47,(DATE(U$3,1,1)-$P47)/365)),MIN($Q47,(DATE(U$3,12,31)-$P47)/365),$S47))))</f>
        <v>0</v>
      </c>
      <c r="V89" s="833" t="n">
        <f aca="false">IF($N47=0,0,IF($R47="SL",SLN($N47,$O47,$Q47)*IF(YEAR($P47)&lt;V$3,IF(YEAR($P47)+$Q47=V$3,(MONTH($P47)-1)/12,IF(YEAR($P47)+$Q47&lt;V$3,0,1)),IF(YEAR($P47)&gt;V$3,0,(12-MONTH($P47)+1)/12)),IF(YEAR($P47)&gt;V$3,0,VDB($N47,$O47,$Q47,IF(YEAR($P47)=V$3,0,MIN($Q47,(DATE(V$3,1,1)-$P47)/365)),MIN($Q47,(DATE(V$3,12,31)-$P47)/365),$S47))))</f>
        <v>0</v>
      </c>
      <c r="W89" s="833" t="n">
        <f aca="false">IF($N47=0,0,IF($R47="SL",SLN($N47,$O47,$Q47)*IF(YEAR($P47)&lt;W$3,IF(YEAR($P47)+$Q47=W$3,(MONTH($P47)-1)/12,IF(YEAR($P47)+$Q47&lt;W$3,0,1)),IF(YEAR($P47)&gt;W$3,0,(12-MONTH($P47)+1)/12)),IF(YEAR($P47)&gt;W$3,0,VDB($N47,$O47,$Q47,IF(YEAR($P47)=W$3,0,MIN($Q47,(DATE(W$3,1,1)-$P47)/365)),MIN($Q47,(DATE(W$3,12,31)-$P47)/365),$S47))))</f>
        <v>0</v>
      </c>
      <c r="X89" s="833" t="n">
        <f aca="false">IF($N47=0,0,IF($R47="SL",SLN($N47,$O47,$Q47)*IF(YEAR($P47)&lt;X$3,IF(YEAR($P47)+$Q47=X$3,(MONTH($P47)-1)/12,IF(YEAR($P47)+$Q47&lt;X$3,0,1)),IF(YEAR($P47)&gt;X$3,0,(12-MONTH($P47)+1)/12)),IF(YEAR($P47)&gt;X$3,0,VDB($N47,$O47,$Q47,IF(YEAR($P47)=X$3,0,MIN($Q47,(DATE(X$3,1,1)-$P47)/365)),MIN($Q47,(DATE(X$3,12,31)-$P47)/365),$S47))))</f>
        <v>0</v>
      </c>
      <c r="Y89" s="833" t="n">
        <f aca="false">IF($N47=0,0,IF($R47="SL",SLN($N47,$O47,$Q47)*IF(YEAR($P47)&lt;Y$3,IF(YEAR($P47)+$Q47=Y$3,(MONTH($P47)-1)/12,IF(YEAR($P47)+$Q47&lt;Y$3,0,1)),IF(YEAR($P47)&gt;Y$3,0,(12-MONTH($P47)+1)/12)),IF(YEAR($P47)&gt;Y$3,0,VDB($N47,$O47,$Q47,IF(YEAR($P47)=Y$3,0,MIN($Q47,(DATE(Y$3,1,1)-$P47)/365)),MIN($Q47,(DATE(Y$3,12,31)-$P47)/365),$S47))))</f>
        <v>0</v>
      </c>
      <c r="Z89" s="833" t="n">
        <f aca="false">IF($N47=0,0,IF($R47="SL",SLN($N47,$O47,$Q47)*IF(YEAR($P47)&lt;Z$3,IF(YEAR($P47)+$Q47=Z$3,(MONTH($P47)-1)/12,IF(YEAR($P47)+$Q47&lt;Z$3,0,1)),IF(YEAR($P47)&gt;Z$3,0,(12-MONTH($P47)+1)/12)),IF(YEAR($P47)&gt;Z$3,0,VDB($N47,$O47,$Q47,IF(YEAR($P47)=Z$3,0,MIN($Q47,(DATE(Z$3,1,1)-$P47)/365)),MIN($Q47,(DATE(Z$3,12,31)-$P47)/365),$S47))))</f>
        <v>0</v>
      </c>
      <c r="AA89" s="833" t="n">
        <f aca="false">IF($N47=0,0,IF($R47="SL",SLN($N47,$O47,$Q47)*IF(YEAR($P47)&lt;AA$3,IF(YEAR($P47)+$Q47=AA$3,(MONTH($P47)-1)/12,IF(YEAR($P47)+$Q47&lt;AA$3,0,1)),IF(YEAR($P47)&gt;AA$3,0,(12-MONTH($P47)+1)/12)),IF(YEAR($P47)&gt;AA$3,0,VDB($N47,$O47,$Q47,IF(YEAR($P47)=AA$3,0,MIN($Q47,(DATE(AA$3,1,1)-$P47)/365)),MIN($Q47,(DATE(AA$3,12,31)-$P47)/365),$S47))))</f>
        <v>0</v>
      </c>
      <c r="AB89" s="833" t="n">
        <f aca="false">IF($N47=0,0,IF($R47="SL",SLN($N47,$O47,$Q47)*IF(YEAR($P47)&lt;AB$3,IF(YEAR($P47)+$Q47=AB$3,(MONTH($P47)-1)/12,IF(YEAR($P47)+$Q47&lt;AB$3,0,1)),IF(YEAR($P47)&gt;AB$3,0,(12-MONTH($P47)+1)/12)),IF(YEAR($P47)&gt;AB$3,0,VDB($N47,$O47,$Q47,IF(YEAR($P47)=AB$3,0,MIN($Q47,(DATE(AB$3,1,1)-$P47)/365)),MIN($Q47,(DATE(AB$3,12,31)-$P47)/365),$S47))))</f>
        <v>0</v>
      </c>
      <c r="AC89" s="833" t="n">
        <f aca="false">IF($N47=0,0,IF($R47="SL",SLN($N47,$O47,$Q47)*IF(YEAR($P47)&lt;AC$3,IF(YEAR($P47)+$Q47=AC$3,(MONTH($P47)-1)/12,IF(YEAR($P47)+$Q47&lt;AC$3,0,1)),IF(YEAR($P47)&gt;AC$3,0,(12-MONTH($P47)+1)/12)),IF(YEAR($P47)&gt;AC$3,0,VDB($N47,$O47,$Q47,IF(YEAR($P47)=AC$3,0,MIN($Q47,(DATE(AC$3,1,1)-$P47)/365)),MIN($Q47,(DATE(AC$3,12,31)-$P47)/365),$S47))))</f>
        <v>0</v>
      </c>
      <c r="AD89" s="833" t="n">
        <f aca="false">IF($N47=0,0,IF($R47="SL",SLN($N47,$O47,$Q47)*IF(YEAR($P47)&lt;AD$3,IF(YEAR($P47)+$Q47=AD$3,(MONTH($P47)-1)/12,IF(YEAR($P47)+$Q47&lt;AD$3,0,1)),IF(YEAR($P47)&gt;AD$3,0,(12-MONTH($P47)+1)/12)),IF(YEAR($P47)&gt;AD$3,0,VDB($N47,$O47,$Q47,IF(YEAR($P47)=AD$3,0,MIN($Q47,(DATE(AD$3,1,1)-$P47)/365)),MIN($Q47,(DATE(AD$3,12,31)-$P47)/365),$S47))))</f>
        <v>0</v>
      </c>
      <c r="AE89" s="833" t="n">
        <f aca="false">IF($N47=0,0,IF($R47="SL",SLN($N47,$O47,$Q47)*IF(YEAR($P47)&lt;AE$3,IF(YEAR($P47)+$Q47=AE$3,(MONTH($P47)-1)/12,IF(YEAR($P47)+$Q47&lt;AE$3,0,1)),IF(YEAR($P47)&gt;AE$3,0,(12-MONTH($P47)+1)/12)),IF(YEAR($P47)&gt;AE$3,0,VDB($N47,$O47,$Q47,IF(YEAR($P47)=AE$3,0,MIN($Q47,(DATE(AE$3,1,1)-$P47)/365)),MIN($Q47,(DATE(AE$3,12,31)-$P47)/365),$S47))))</f>
        <v>0</v>
      </c>
      <c r="AF89" s="833" t="n">
        <f aca="false">IF($N47=0,0,IF($R47="SL",SLN($N47,$O47,$Q47)*IF(YEAR($P47)&lt;AF$3,IF(YEAR($P47)+$Q47=AF$3,(MONTH($P47)-1)/12,IF(YEAR($P47)+$Q47&lt;AF$3,0,1)),IF(YEAR($P47)&gt;AF$3,0,(12-MONTH($P47)+1)/12)),IF(YEAR($P47)&gt;AF$3,0,VDB($N47,$O47,$Q47,IF(YEAR($P47)=AF$3,0,MIN($Q47,(DATE(AF$3,1,1)-$P47)/365)),MIN($Q47,(DATE(AF$3,12,31)-$P47)/365),$S47))))</f>
        <v>0</v>
      </c>
    </row>
    <row r="90" customFormat="false" ht="11.25" hidden="true" customHeight="false" outlineLevel="1" collapsed="false">
      <c r="C90" s="748" t="str">
        <f aca="false">+L48</f>
        <v>Asset 8</v>
      </c>
      <c r="I90" s="833" t="n">
        <f aca="false">IF($N48=0,0,IF($R48="SL",SLN($N48,$O48,$Q48)*IF(YEAR($P48)&lt;(J$3-1),IF(YEAR($P48)+$Q48=J$3-1,(MONTH($P48)-1)/12,IF(YEAR($P48)+$Q48&lt;J$3-1,0,1)),IF(YEAR($P48)&gt;J$3-1,0,(12-MONTH($P48)+1)/12)),IF(YEAR($P48)&gt;J$3-1,0,VDB($N48,$O48,$Q48,IF(YEAR($P48)=J$3-1,0,MIN($Q48,(DATE(J$3-1,1,1)-$P48)/365)),MIN($Q48,(DATE(J$3-1,12,31)-$P48)/365),$S48))))</f>
        <v>0</v>
      </c>
      <c r="J90" s="833" t="n">
        <f aca="false">IF($N48=0,0,IF($R48="SL",SLN($N48,$O48,$Q48)*IF(YEAR($P48)&lt;J$3,IF(YEAR($P48)+$Q48=J$3,(MONTH($P48)-1)/12,IF(YEAR($P48)+$Q48&lt;J$3,0,1)),IF(YEAR($P48)&gt;J$3,0,(12-MONTH($P48)+1)/12)),IF(YEAR($P48)&gt;J$3,0,VDB($N48,$O48,$Q48,IF(YEAR($P48)=J$3,0,MIN($Q48,(DATE(J$3,1,1)-$P48)/365)),MIN($Q48,(DATE(J$3,12,31)-$P48)/365),$S48))))</f>
        <v>0</v>
      </c>
      <c r="K90" s="833" t="n">
        <f aca="false">IF($N48=0,0,IF($R48="SL",SLN($N48,$O48,$Q48)*IF(YEAR($P48)&lt;K$3,IF(YEAR($P48)+$Q48=K$3,(MONTH($P48)-1)/12,IF(YEAR($P48)+$Q48&lt;K$3,0,1)),IF(YEAR($P48)&gt;K$3,0,(12-MONTH($P48)+1)/12)),IF(YEAR($P48)&gt;K$3,0,VDB($N48,$O48,$Q48,IF(YEAR($P48)=K$3,0,MIN($Q48,(DATE(K$3,1,1)-$P48)/365)),MIN($Q48,(DATE(K$3,12,31)-$P48)/365),$S48))))</f>
        <v>0</v>
      </c>
      <c r="L90" s="833" t="n">
        <f aca="false">IF($N48=0,0,IF($R48="SL",SLN($N48,$O48,$Q48)*IF(YEAR($P48)&lt;L$3,IF(YEAR($P48)+$Q48=L$3,(MONTH($P48)-1)/12,IF(YEAR($P48)+$Q48&lt;L$3,0,1)),IF(YEAR($P48)&gt;L$3,0,(12-MONTH($P48)+1)/12)),IF(YEAR($P48)&gt;L$3,0,VDB($N48,$O48,$Q48,IF(YEAR($P48)=L$3,0,MIN($Q48,(DATE(L$3,1,1)-$P48)/365)),MIN($Q48,(DATE(L$3,12,31)-$P48)/365),$S48))))</f>
        <v>0</v>
      </c>
      <c r="M90" s="833" t="n">
        <f aca="false">IF($N48=0,0,IF($R48="SL",SLN($N48,$O48,$Q48)*IF(YEAR($P48)&lt;M$3,IF(YEAR($P48)+$Q48=M$3,(MONTH($P48)-1)/12,IF(YEAR($P48)+$Q48&lt;M$3,0,1)),IF(YEAR($P48)&gt;M$3,0,(12-MONTH($P48)+1)/12)),IF(YEAR($P48)&gt;M$3,0,VDB($N48,$O48,$Q48,IF(YEAR($P48)=M$3,0,MIN($Q48,(DATE(M$3,1,1)-$P48)/365)),MIN($Q48,(DATE(M$3,12,31)-$P48)/365),$S48))))</f>
        <v>0</v>
      </c>
      <c r="N90" s="833" t="n">
        <f aca="false">IF($N48=0,0,IF($R48="SL",SLN($N48,$O48,$Q48)*IF(YEAR($P48)&lt;N$3,IF(YEAR($P48)+$Q48=N$3,(MONTH($P48)-1)/12,IF(YEAR($P48)+$Q48&lt;N$3,0,1)),IF(YEAR($P48)&gt;N$3,0,(12-MONTH($P48)+1)/12)),IF(YEAR($P48)&gt;N$3,0,VDB($N48,$O48,$Q48,IF(YEAR($P48)=N$3,0,MIN($Q48,(DATE(N$3,1,1)-$P48)/365)),MIN($Q48,(DATE(N$3,12,31)-$P48)/365),$S48))))</f>
        <v>0</v>
      </c>
      <c r="O90" s="833" t="n">
        <f aca="false">IF($N48=0,0,IF($R48="SL",SLN($N48,$O48,$Q48)*IF(YEAR($P48)&lt;O$3,IF(YEAR($P48)+$Q48=O$3,(MONTH($P48)-1)/12,IF(YEAR($P48)+$Q48&lt;O$3,0,1)),IF(YEAR($P48)&gt;O$3,0,(12-MONTH($P48)+1)/12)),IF(YEAR($P48)&gt;O$3,0,VDB($N48,$O48,$Q48,IF(YEAR($P48)=O$3,0,MIN($Q48,(DATE(O$3,1,1)-$P48)/365)),MIN($Q48,(DATE(O$3,12,31)-$P48)/365),$S48))))</f>
        <v>0</v>
      </c>
      <c r="P90" s="833" t="n">
        <f aca="false">IF($N48=0,0,IF($R48="SL",SLN($N48,$O48,$Q48)*IF(YEAR($P48)&lt;P$3,IF(YEAR($P48)+$Q48=P$3,(MONTH($P48)-1)/12,IF(YEAR($P48)+$Q48&lt;P$3,0,1)),IF(YEAR($P48)&gt;P$3,0,(12-MONTH($P48)+1)/12)),IF(YEAR($P48)&gt;P$3,0,VDB($N48,$O48,$Q48,IF(YEAR($P48)=P$3,0,MIN($Q48,(DATE(P$3,1,1)-$P48)/365)),MIN($Q48,(DATE(P$3,12,31)-$P48)/365),$S48))))</f>
        <v>0</v>
      </c>
      <c r="Q90" s="833" t="n">
        <f aca="false">IF($N48=0,0,IF($R48="SL",SLN($N48,$O48,$Q48)*IF(YEAR($P48)&lt;Q$3,IF(YEAR($P48)+$Q48=Q$3,(MONTH($P48)-1)/12,IF(YEAR($P48)+$Q48&lt;Q$3,0,1)),IF(YEAR($P48)&gt;Q$3,0,(12-MONTH($P48)+1)/12)),IF(YEAR($P48)&gt;Q$3,0,VDB($N48,$O48,$Q48,IF(YEAR($P48)=Q$3,0,MIN($Q48,(DATE(Q$3,1,1)-$P48)/365)),MIN($Q48,(DATE(Q$3,12,31)-$P48)/365),$S48))))</f>
        <v>0</v>
      </c>
      <c r="R90" s="833" t="n">
        <f aca="false">IF($N48=0,0,IF($R48="SL",SLN($N48,$O48,$Q48)*IF(YEAR($P48)&lt;R$3,IF(YEAR($P48)+$Q48=R$3,(MONTH($P48)-1)/12,IF(YEAR($P48)+$Q48&lt;R$3,0,1)),IF(YEAR($P48)&gt;R$3,0,(12-MONTH($P48)+1)/12)),IF(YEAR($P48)&gt;R$3,0,VDB($N48,$O48,$Q48,IF(YEAR($P48)=R$3,0,MIN($Q48,(DATE(R$3,1,1)-$P48)/365)),MIN($Q48,(DATE(R$3,12,31)-$P48)/365),$S48))))</f>
        <v>0</v>
      </c>
      <c r="S90" s="833" t="n">
        <f aca="false">IF($N48=0,0,IF($R48="SL",SLN($N48,$O48,$Q48)*IF(YEAR($P48)&lt;S$3,IF(YEAR($P48)+$Q48=S$3,(MONTH($P48)-1)/12,IF(YEAR($P48)+$Q48&lt;S$3,0,1)),IF(YEAR($P48)&gt;S$3,0,(12-MONTH($P48)+1)/12)),IF(YEAR($P48)&gt;S$3,0,VDB($N48,$O48,$Q48,IF(YEAR($P48)=S$3,0,MIN($Q48,(DATE(S$3,1,1)-$P48)/365)),MIN($Q48,(DATE(S$3,12,31)-$P48)/365),$S48))))</f>
        <v>0</v>
      </c>
      <c r="T90" s="833" t="n">
        <f aca="false">IF($N48=0,0,IF($R48="SL",SLN($N48,$O48,$Q48)*IF(YEAR($P48)&lt;T$3,IF(YEAR($P48)+$Q48=T$3,(MONTH($P48)-1)/12,IF(YEAR($P48)+$Q48&lt;T$3,0,1)),IF(YEAR($P48)&gt;T$3,0,(12-MONTH($P48)+1)/12)),IF(YEAR($P48)&gt;T$3,0,VDB($N48,$O48,$Q48,IF(YEAR($P48)=T$3,0,MIN($Q48,(DATE(T$3,1,1)-$P48)/365)),MIN($Q48,(DATE(T$3,12,31)-$P48)/365),$S48))))</f>
        <v>0</v>
      </c>
      <c r="U90" s="833" t="n">
        <f aca="false">IF($N48=0,0,IF($R48="SL",SLN($N48,$O48,$Q48)*IF(YEAR($P48)&lt;U$3,IF(YEAR($P48)+$Q48=U$3,(MONTH($P48)-1)/12,IF(YEAR($P48)+$Q48&lt;U$3,0,1)),IF(YEAR($P48)&gt;U$3,0,(12-MONTH($P48)+1)/12)),IF(YEAR($P48)&gt;U$3,0,VDB($N48,$O48,$Q48,IF(YEAR($P48)=U$3,0,MIN($Q48,(DATE(U$3,1,1)-$P48)/365)),MIN($Q48,(DATE(U$3,12,31)-$P48)/365),$S48))))</f>
        <v>0</v>
      </c>
      <c r="V90" s="833" t="n">
        <f aca="false">IF($N48=0,0,IF($R48="SL",SLN($N48,$O48,$Q48)*IF(YEAR($P48)&lt;V$3,IF(YEAR($P48)+$Q48=V$3,(MONTH($P48)-1)/12,IF(YEAR($P48)+$Q48&lt;V$3,0,1)),IF(YEAR($P48)&gt;V$3,0,(12-MONTH($P48)+1)/12)),IF(YEAR($P48)&gt;V$3,0,VDB($N48,$O48,$Q48,IF(YEAR($P48)=V$3,0,MIN($Q48,(DATE(V$3,1,1)-$P48)/365)),MIN($Q48,(DATE(V$3,12,31)-$P48)/365),$S48))))</f>
        <v>0</v>
      </c>
      <c r="W90" s="833" t="n">
        <f aca="false">IF($N48=0,0,IF($R48="SL",SLN($N48,$O48,$Q48)*IF(YEAR($P48)&lt;W$3,IF(YEAR($P48)+$Q48=W$3,(MONTH($P48)-1)/12,IF(YEAR($P48)+$Q48&lt;W$3,0,1)),IF(YEAR($P48)&gt;W$3,0,(12-MONTH($P48)+1)/12)),IF(YEAR($P48)&gt;W$3,0,VDB($N48,$O48,$Q48,IF(YEAR($P48)=W$3,0,MIN($Q48,(DATE(W$3,1,1)-$P48)/365)),MIN($Q48,(DATE(W$3,12,31)-$P48)/365),$S48))))</f>
        <v>0</v>
      </c>
      <c r="X90" s="833" t="n">
        <f aca="false">IF($N48=0,0,IF($R48="SL",SLN($N48,$O48,$Q48)*IF(YEAR($P48)&lt;X$3,IF(YEAR($P48)+$Q48=X$3,(MONTH($P48)-1)/12,IF(YEAR($P48)+$Q48&lt;X$3,0,1)),IF(YEAR($P48)&gt;X$3,0,(12-MONTH($P48)+1)/12)),IF(YEAR($P48)&gt;X$3,0,VDB($N48,$O48,$Q48,IF(YEAR($P48)=X$3,0,MIN($Q48,(DATE(X$3,1,1)-$P48)/365)),MIN($Q48,(DATE(X$3,12,31)-$P48)/365),$S48))))</f>
        <v>0</v>
      </c>
      <c r="Y90" s="833" t="n">
        <f aca="false">IF($N48=0,0,IF($R48="SL",SLN($N48,$O48,$Q48)*IF(YEAR($P48)&lt;Y$3,IF(YEAR($P48)+$Q48=Y$3,(MONTH($P48)-1)/12,IF(YEAR($P48)+$Q48&lt;Y$3,0,1)),IF(YEAR($P48)&gt;Y$3,0,(12-MONTH($P48)+1)/12)),IF(YEAR($P48)&gt;Y$3,0,VDB($N48,$O48,$Q48,IF(YEAR($P48)=Y$3,0,MIN($Q48,(DATE(Y$3,1,1)-$P48)/365)),MIN($Q48,(DATE(Y$3,12,31)-$P48)/365),$S48))))</f>
        <v>0</v>
      </c>
      <c r="Z90" s="833" t="n">
        <f aca="false">IF($N48=0,0,IF($R48="SL",SLN($N48,$O48,$Q48)*IF(YEAR($P48)&lt;Z$3,IF(YEAR($P48)+$Q48=Z$3,(MONTH($P48)-1)/12,IF(YEAR($P48)+$Q48&lt;Z$3,0,1)),IF(YEAR($P48)&gt;Z$3,0,(12-MONTH($P48)+1)/12)),IF(YEAR($P48)&gt;Z$3,0,VDB($N48,$O48,$Q48,IF(YEAR($P48)=Z$3,0,MIN($Q48,(DATE(Z$3,1,1)-$P48)/365)),MIN($Q48,(DATE(Z$3,12,31)-$P48)/365),$S48))))</f>
        <v>0</v>
      </c>
      <c r="AA90" s="833" t="n">
        <f aca="false">IF($N48=0,0,IF($R48="SL",SLN($N48,$O48,$Q48)*IF(YEAR($P48)&lt;AA$3,IF(YEAR($P48)+$Q48=AA$3,(MONTH($P48)-1)/12,IF(YEAR($P48)+$Q48&lt;AA$3,0,1)),IF(YEAR($P48)&gt;AA$3,0,(12-MONTH($P48)+1)/12)),IF(YEAR($P48)&gt;AA$3,0,VDB($N48,$O48,$Q48,IF(YEAR($P48)=AA$3,0,MIN($Q48,(DATE(AA$3,1,1)-$P48)/365)),MIN($Q48,(DATE(AA$3,12,31)-$P48)/365),$S48))))</f>
        <v>0</v>
      </c>
      <c r="AB90" s="833" t="n">
        <f aca="false">IF($N48=0,0,IF($R48="SL",SLN($N48,$O48,$Q48)*IF(YEAR($P48)&lt;AB$3,IF(YEAR($P48)+$Q48=AB$3,(MONTH($P48)-1)/12,IF(YEAR($P48)+$Q48&lt;AB$3,0,1)),IF(YEAR($P48)&gt;AB$3,0,(12-MONTH($P48)+1)/12)),IF(YEAR($P48)&gt;AB$3,0,VDB($N48,$O48,$Q48,IF(YEAR($P48)=AB$3,0,MIN($Q48,(DATE(AB$3,1,1)-$P48)/365)),MIN($Q48,(DATE(AB$3,12,31)-$P48)/365),$S48))))</f>
        <v>0</v>
      </c>
      <c r="AC90" s="833" t="n">
        <f aca="false">IF($N48=0,0,IF($R48="SL",SLN($N48,$O48,$Q48)*IF(YEAR($P48)&lt;AC$3,IF(YEAR($P48)+$Q48=AC$3,(MONTH($P48)-1)/12,IF(YEAR($P48)+$Q48&lt;AC$3,0,1)),IF(YEAR($P48)&gt;AC$3,0,(12-MONTH($P48)+1)/12)),IF(YEAR($P48)&gt;AC$3,0,VDB($N48,$O48,$Q48,IF(YEAR($P48)=AC$3,0,MIN($Q48,(DATE(AC$3,1,1)-$P48)/365)),MIN($Q48,(DATE(AC$3,12,31)-$P48)/365),$S48))))</f>
        <v>0</v>
      </c>
      <c r="AD90" s="833" t="n">
        <f aca="false">IF($N48=0,0,IF($R48="SL",SLN($N48,$O48,$Q48)*IF(YEAR($P48)&lt;AD$3,IF(YEAR($P48)+$Q48=AD$3,(MONTH($P48)-1)/12,IF(YEAR($P48)+$Q48&lt;AD$3,0,1)),IF(YEAR($P48)&gt;AD$3,0,(12-MONTH($P48)+1)/12)),IF(YEAR($P48)&gt;AD$3,0,VDB($N48,$O48,$Q48,IF(YEAR($P48)=AD$3,0,MIN($Q48,(DATE(AD$3,1,1)-$P48)/365)),MIN($Q48,(DATE(AD$3,12,31)-$P48)/365),$S48))))</f>
        <v>0</v>
      </c>
      <c r="AE90" s="833" t="n">
        <f aca="false">IF($N48=0,0,IF($R48="SL",SLN($N48,$O48,$Q48)*IF(YEAR($P48)&lt;AE$3,IF(YEAR($P48)+$Q48=AE$3,(MONTH($P48)-1)/12,IF(YEAR($P48)+$Q48&lt;AE$3,0,1)),IF(YEAR($P48)&gt;AE$3,0,(12-MONTH($P48)+1)/12)),IF(YEAR($P48)&gt;AE$3,0,VDB($N48,$O48,$Q48,IF(YEAR($P48)=AE$3,0,MIN($Q48,(DATE(AE$3,1,1)-$P48)/365)),MIN($Q48,(DATE(AE$3,12,31)-$P48)/365),$S48))))</f>
        <v>0</v>
      </c>
      <c r="AF90" s="833" t="n">
        <f aca="false">IF($N48=0,0,IF($R48="SL",SLN($N48,$O48,$Q48)*IF(YEAR($P48)&lt;AF$3,IF(YEAR($P48)+$Q48=AF$3,(MONTH($P48)-1)/12,IF(YEAR($P48)+$Q48&lt;AF$3,0,1)),IF(YEAR($P48)&gt;AF$3,0,(12-MONTH($P48)+1)/12)),IF(YEAR($P48)&gt;AF$3,0,VDB($N48,$O48,$Q48,IF(YEAR($P48)=AF$3,0,MIN($Q48,(DATE(AF$3,1,1)-$P48)/365)),MIN($Q48,(DATE(AF$3,12,31)-$P48)/365),$S48))))</f>
        <v>0</v>
      </c>
    </row>
    <row r="91" customFormat="false" ht="11.25" hidden="true" customHeight="false" outlineLevel="1" collapsed="false">
      <c r="C91" s="748" t="str">
        <f aca="false">+L49</f>
        <v>Asset 9</v>
      </c>
      <c r="I91" s="833" t="n">
        <f aca="false">IF($N49=0,0,IF($R49="SL",SLN($N49,$O49,$Q49)*IF(YEAR($P49)&lt;(J$3-1),IF(YEAR($P49)+$Q49=J$3-1,(MONTH($P49)-1)/12,IF(YEAR($P49)+$Q49&lt;J$3-1,0,1)),IF(YEAR($P49)&gt;J$3-1,0,(12-MONTH($P49)+1)/12)),IF(YEAR($P49)&gt;J$3-1,0,VDB($N49,$O49,$Q49,IF(YEAR($P49)=J$3-1,0,MIN($Q49,(DATE(J$3-1,1,1)-$P49)/365)),MIN($Q49,(DATE(J$3-1,12,31)-$P49)/365),$S49))))</f>
        <v>0</v>
      </c>
      <c r="J91" s="833" t="n">
        <f aca="false">IF($N49=0,0,IF($R49="SL",SLN($N49,$O49,$Q49)*IF(YEAR($P49)&lt;J$3,IF(YEAR($P49)+$Q49=J$3,(MONTH($P49)-1)/12,IF(YEAR($P49)+$Q49&lt;J$3,0,1)),IF(YEAR($P49)&gt;J$3,0,(12-MONTH($P49)+1)/12)),IF(YEAR($P49)&gt;J$3,0,VDB($N49,$O49,$Q49,IF(YEAR($P49)=J$3,0,MIN($Q49,(DATE(J$3,1,1)-$P49)/365)),MIN($Q49,(DATE(J$3,12,31)-$P49)/365),$S49))))</f>
        <v>0</v>
      </c>
      <c r="K91" s="833" t="n">
        <f aca="false">IF($N49=0,0,IF($R49="SL",SLN($N49,$O49,$Q49)*IF(YEAR($P49)&lt;K$3,IF(YEAR($P49)+$Q49=K$3,(MONTH($P49)-1)/12,IF(YEAR($P49)+$Q49&lt;K$3,0,1)),IF(YEAR($P49)&gt;K$3,0,(12-MONTH($P49)+1)/12)),IF(YEAR($P49)&gt;K$3,0,VDB($N49,$O49,$Q49,IF(YEAR($P49)=K$3,0,MIN($Q49,(DATE(K$3,1,1)-$P49)/365)),MIN($Q49,(DATE(K$3,12,31)-$P49)/365),$S49))))</f>
        <v>0</v>
      </c>
      <c r="L91" s="833" t="n">
        <f aca="false">IF($N49=0,0,IF($R49="SL",SLN($N49,$O49,$Q49)*IF(YEAR($P49)&lt;L$3,IF(YEAR($P49)+$Q49=L$3,(MONTH($P49)-1)/12,IF(YEAR($P49)+$Q49&lt;L$3,0,1)),IF(YEAR($P49)&gt;L$3,0,(12-MONTH($P49)+1)/12)),IF(YEAR($P49)&gt;L$3,0,VDB($N49,$O49,$Q49,IF(YEAR($P49)=L$3,0,MIN($Q49,(DATE(L$3,1,1)-$P49)/365)),MIN($Q49,(DATE(L$3,12,31)-$P49)/365),$S49))))</f>
        <v>0</v>
      </c>
      <c r="M91" s="833" t="n">
        <f aca="false">IF($N49=0,0,IF($R49="SL",SLN($N49,$O49,$Q49)*IF(YEAR($P49)&lt;M$3,IF(YEAR($P49)+$Q49=M$3,(MONTH($P49)-1)/12,IF(YEAR($P49)+$Q49&lt;M$3,0,1)),IF(YEAR($P49)&gt;M$3,0,(12-MONTH($P49)+1)/12)),IF(YEAR($P49)&gt;M$3,0,VDB($N49,$O49,$Q49,IF(YEAR($P49)=M$3,0,MIN($Q49,(DATE(M$3,1,1)-$P49)/365)),MIN($Q49,(DATE(M$3,12,31)-$P49)/365),$S49))))</f>
        <v>0</v>
      </c>
      <c r="N91" s="833" t="n">
        <f aca="false">IF($N49=0,0,IF($R49="SL",SLN($N49,$O49,$Q49)*IF(YEAR($P49)&lt;N$3,IF(YEAR($P49)+$Q49=N$3,(MONTH($P49)-1)/12,IF(YEAR($P49)+$Q49&lt;N$3,0,1)),IF(YEAR($P49)&gt;N$3,0,(12-MONTH($P49)+1)/12)),IF(YEAR($P49)&gt;N$3,0,VDB($N49,$O49,$Q49,IF(YEAR($P49)=N$3,0,MIN($Q49,(DATE(N$3,1,1)-$P49)/365)),MIN($Q49,(DATE(N$3,12,31)-$P49)/365),$S49))))</f>
        <v>0</v>
      </c>
      <c r="O91" s="833" t="n">
        <f aca="false">IF($N49=0,0,IF($R49="SL",SLN($N49,$O49,$Q49)*IF(YEAR($P49)&lt;O$3,IF(YEAR($P49)+$Q49=O$3,(MONTH($P49)-1)/12,IF(YEAR($P49)+$Q49&lt;O$3,0,1)),IF(YEAR($P49)&gt;O$3,0,(12-MONTH($P49)+1)/12)),IF(YEAR($P49)&gt;O$3,0,VDB($N49,$O49,$Q49,IF(YEAR($P49)=O$3,0,MIN($Q49,(DATE(O$3,1,1)-$P49)/365)),MIN($Q49,(DATE(O$3,12,31)-$P49)/365),$S49))))</f>
        <v>0</v>
      </c>
      <c r="P91" s="833" t="n">
        <f aca="false">IF($N49=0,0,IF($R49="SL",SLN($N49,$O49,$Q49)*IF(YEAR($P49)&lt;P$3,IF(YEAR($P49)+$Q49=P$3,(MONTH($P49)-1)/12,IF(YEAR($P49)+$Q49&lt;P$3,0,1)),IF(YEAR($P49)&gt;P$3,0,(12-MONTH($P49)+1)/12)),IF(YEAR($P49)&gt;P$3,0,VDB($N49,$O49,$Q49,IF(YEAR($P49)=P$3,0,MIN($Q49,(DATE(P$3,1,1)-$P49)/365)),MIN($Q49,(DATE(P$3,12,31)-$P49)/365),$S49))))</f>
        <v>0</v>
      </c>
      <c r="Q91" s="833" t="n">
        <f aca="false">IF($N49=0,0,IF($R49="SL",SLN($N49,$O49,$Q49)*IF(YEAR($P49)&lt;Q$3,IF(YEAR($P49)+$Q49=Q$3,(MONTH($P49)-1)/12,IF(YEAR($P49)+$Q49&lt;Q$3,0,1)),IF(YEAR($P49)&gt;Q$3,0,(12-MONTH($P49)+1)/12)),IF(YEAR($P49)&gt;Q$3,0,VDB($N49,$O49,$Q49,IF(YEAR($P49)=Q$3,0,MIN($Q49,(DATE(Q$3,1,1)-$P49)/365)),MIN($Q49,(DATE(Q$3,12,31)-$P49)/365),$S49))))</f>
        <v>0</v>
      </c>
      <c r="R91" s="833" t="n">
        <f aca="false">IF($N49=0,0,IF($R49="SL",SLN($N49,$O49,$Q49)*IF(YEAR($P49)&lt;R$3,IF(YEAR($P49)+$Q49=R$3,(MONTH($P49)-1)/12,IF(YEAR($P49)+$Q49&lt;R$3,0,1)),IF(YEAR($P49)&gt;R$3,0,(12-MONTH($P49)+1)/12)),IF(YEAR($P49)&gt;R$3,0,VDB($N49,$O49,$Q49,IF(YEAR($P49)=R$3,0,MIN($Q49,(DATE(R$3,1,1)-$P49)/365)),MIN($Q49,(DATE(R$3,12,31)-$P49)/365),$S49))))</f>
        <v>0</v>
      </c>
      <c r="S91" s="833" t="n">
        <f aca="false">IF($N49=0,0,IF($R49="SL",SLN($N49,$O49,$Q49)*IF(YEAR($P49)&lt;S$3,IF(YEAR($P49)+$Q49=S$3,(MONTH($P49)-1)/12,IF(YEAR($P49)+$Q49&lt;S$3,0,1)),IF(YEAR($P49)&gt;S$3,0,(12-MONTH($P49)+1)/12)),IF(YEAR($P49)&gt;S$3,0,VDB($N49,$O49,$Q49,IF(YEAR($P49)=S$3,0,MIN($Q49,(DATE(S$3,1,1)-$P49)/365)),MIN($Q49,(DATE(S$3,12,31)-$P49)/365),$S49))))</f>
        <v>0</v>
      </c>
      <c r="T91" s="833" t="n">
        <f aca="false">IF($N49=0,0,IF($R49="SL",SLN($N49,$O49,$Q49)*IF(YEAR($P49)&lt;T$3,IF(YEAR($P49)+$Q49=T$3,(MONTH($P49)-1)/12,IF(YEAR($P49)+$Q49&lt;T$3,0,1)),IF(YEAR($P49)&gt;T$3,0,(12-MONTH($P49)+1)/12)),IF(YEAR($P49)&gt;T$3,0,VDB($N49,$O49,$Q49,IF(YEAR($P49)=T$3,0,MIN($Q49,(DATE(T$3,1,1)-$P49)/365)),MIN($Q49,(DATE(T$3,12,31)-$P49)/365),$S49))))</f>
        <v>0</v>
      </c>
      <c r="U91" s="833" t="n">
        <f aca="false">IF($N49=0,0,IF($R49="SL",SLN($N49,$O49,$Q49)*IF(YEAR($P49)&lt;U$3,IF(YEAR($P49)+$Q49=U$3,(MONTH($P49)-1)/12,IF(YEAR($P49)+$Q49&lt;U$3,0,1)),IF(YEAR($P49)&gt;U$3,0,(12-MONTH($P49)+1)/12)),IF(YEAR($P49)&gt;U$3,0,VDB($N49,$O49,$Q49,IF(YEAR($P49)=U$3,0,MIN($Q49,(DATE(U$3,1,1)-$P49)/365)),MIN($Q49,(DATE(U$3,12,31)-$P49)/365),$S49))))</f>
        <v>0</v>
      </c>
      <c r="V91" s="833" t="n">
        <f aca="false">IF($N49=0,0,IF($R49="SL",SLN($N49,$O49,$Q49)*IF(YEAR($P49)&lt;V$3,IF(YEAR($P49)+$Q49=V$3,(MONTH($P49)-1)/12,IF(YEAR($P49)+$Q49&lt;V$3,0,1)),IF(YEAR($P49)&gt;V$3,0,(12-MONTH($P49)+1)/12)),IF(YEAR($P49)&gt;V$3,0,VDB($N49,$O49,$Q49,IF(YEAR($P49)=V$3,0,MIN($Q49,(DATE(V$3,1,1)-$P49)/365)),MIN($Q49,(DATE(V$3,12,31)-$P49)/365),$S49))))</f>
        <v>0</v>
      </c>
      <c r="W91" s="833" t="n">
        <f aca="false">IF($N49=0,0,IF($R49="SL",SLN($N49,$O49,$Q49)*IF(YEAR($P49)&lt;W$3,IF(YEAR($P49)+$Q49=W$3,(MONTH($P49)-1)/12,IF(YEAR($P49)+$Q49&lt;W$3,0,1)),IF(YEAR($P49)&gt;W$3,0,(12-MONTH($P49)+1)/12)),IF(YEAR($P49)&gt;W$3,0,VDB($N49,$O49,$Q49,IF(YEAR($P49)=W$3,0,MIN($Q49,(DATE(W$3,1,1)-$P49)/365)),MIN($Q49,(DATE(W$3,12,31)-$P49)/365),$S49))))</f>
        <v>0</v>
      </c>
      <c r="X91" s="833" t="n">
        <f aca="false">IF($N49=0,0,IF($R49="SL",SLN($N49,$O49,$Q49)*IF(YEAR($P49)&lt;X$3,IF(YEAR($P49)+$Q49=X$3,(MONTH($P49)-1)/12,IF(YEAR($P49)+$Q49&lt;X$3,0,1)),IF(YEAR($P49)&gt;X$3,0,(12-MONTH($P49)+1)/12)),IF(YEAR($P49)&gt;X$3,0,VDB($N49,$O49,$Q49,IF(YEAR($P49)=X$3,0,MIN($Q49,(DATE(X$3,1,1)-$P49)/365)),MIN($Q49,(DATE(X$3,12,31)-$P49)/365),$S49))))</f>
        <v>0</v>
      </c>
      <c r="Y91" s="833" t="n">
        <f aca="false">IF($N49=0,0,IF($R49="SL",SLN($N49,$O49,$Q49)*IF(YEAR($P49)&lt;Y$3,IF(YEAR($P49)+$Q49=Y$3,(MONTH($P49)-1)/12,IF(YEAR($P49)+$Q49&lt;Y$3,0,1)),IF(YEAR($P49)&gt;Y$3,0,(12-MONTH($P49)+1)/12)),IF(YEAR($P49)&gt;Y$3,0,VDB($N49,$O49,$Q49,IF(YEAR($P49)=Y$3,0,MIN($Q49,(DATE(Y$3,1,1)-$P49)/365)),MIN($Q49,(DATE(Y$3,12,31)-$P49)/365),$S49))))</f>
        <v>0</v>
      </c>
      <c r="Z91" s="833" t="n">
        <f aca="false">IF($N49=0,0,IF($R49="SL",SLN($N49,$O49,$Q49)*IF(YEAR($P49)&lt;Z$3,IF(YEAR($P49)+$Q49=Z$3,(MONTH($P49)-1)/12,IF(YEAR($P49)+$Q49&lt;Z$3,0,1)),IF(YEAR($P49)&gt;Z$3,0,(12-MONTH($P49)+1)/12)),IF(YEAR($P49)&gt;Z$3,0,VDB($N49,$O49,$Q49,IF(YEAR($P49)=Z$3,0,MIN($Q49,(DATE(Z$3,1,1)-$P49)/365)),MIN($Q49,(DATE(Z$3,12,31)-$P49)/365),$S49))))</f>
        <v>0</v>
      </c>
      <c r="AA91" s="833" t="n">
        <f aca="false">IF($N49=0,0,IF($R49="SL",SLN($N49,$O49,$Q49)*IF(YEAR($P49)&lt;AA$3,IF(YEAR($P49)+$Q49=AA$3,(MONTH($P49)-1)/12,IF(YEAR($P49)+$Q49&lt;AA$3,0,1)),IF(YEAR($P49)&gt;AA$3,0,(12-MONTH($P49)+1)/12)),IF(YEAR($P49)&gt;AA$3,0,VDB($N49,$O49,$Q49,IF(YEAR($P49)=AA$3,0,MIN($Q49,(DATE(AA$3,1,1)-$P49)/365)),MIN($Q49,(DATE(AA$3,12,31)-$P49)/365),$S49))))</f>
        <v>0</v>
      </c>
      <c r="AB91" s="833" t="n">
        <f aca="false">IF($N49=0,0,IF($R49="SL",SLN($N49,$O49,$Q49)*IF(YEAR($P49)&lt;AB$3,IF(YEAR($P49)+$Q49=AB$3,(MONTH($P49)-1)/12,IF(YEAR($P49)+$Q49&lt;AB$3,0,1)),IF(YEAR($P49)&gt;AB$3,0,(12-MONTH($P49)+1)/12)),IF(YEAR($P49)&gt;AB$3,0,VDB($N49,$O49,$Q49,IF(YEAR($P49)=AB$3,0,MIN($Q49,(DATE(AB$3,1,1)-$P49)/365)),MIN($Q49,(DATE(AB$3,12,31)-$P49)/365),$S49))))</f>
        <v>0</v>
      </c>
      <c r="AC91" s="833" t="n">
        <f aca="false">IF($N49=0,0,IF($R49="SL",SLN($N49,$O49,$Q49)*IF(YEAR($P49)&lt;AC$3,IF(YEAR($P49)+$Q49=AC$3,(MONTH($P49)-1)/12,IF(YEAR($P49)+$Q49&lt;AC$3,0,1)),IF(YEAR($P49)&gt;AC$3,0,(12-MONTH($P49)+1)/12)),IF(YEAR($P49)&gt;AC$3,0,VDB($N49,$O49,$Q49,IF(YEAR($P49)=AC$3,0,MIN($Q49,(DATE(AC$3,1,1)-$P49)/365)),MIN($Q49,(DATE(AC$3,12,31)-$P49)/365),$S49))))</f>
        <v>0</v>
      </c>
      <c r="AD91" s="833" t="n">
        <f aca="false">IF($N49=0,0,IF($R49="SL",SLN($N49,$O49,$Q49)*IF(YEAR($P49)&lt;AD$3,IF(YEAR($P49)+$Q49=AD$3,(MONTH($P49)-1)/12,IF(YEAR($P49)+$Q49&lt;AD$3,0,1)),IF(YEAR($P49)&gt;AD$3,0,(12-MONTH($P49)+1)/12)),IF(YEAR($P49)&gt;AD$3,0,VDB($N49,$O49,$Q49,IF(YEAR($P49)=AD$3,0,MIN($Q49,(DATE(AD$3,1,1)-$P49)/365)),MIN($Q49,(DATE(AD$3,12,31)-$P49)/365),$S49))))</f>
        <v>0</v>
      </c>
      <c r="AE91" s="833" t="n">
        <f aca="false">IF($N49=0,0,IF($R49="SL",SLN($N49,$O49,$Q49)*IF(YEAR($P49)&lt;AE$3,IF(YEAR($P49)+$Q49=AE$3,(MONTH($P49)-1)/12,IF(YEAR($P49)+$Q49&lt;AE$3,0,1)),IF(YEAR($P49)&gt;AE$3,0,(12-MONTH($P49)+1)/12)),IF(YEAR($P49)&gt;AE$3,0,VDB($N49,$O49,$Q49,IF(YEAR($P49)=AE$3,0,MIN($Q49,(DATE(AE$3,1,1)-$P49)/365)),MIN($Q49,(DATE(AE$3,12,31)-$P49)/365),$S49))))</f>
        <v>0</v>
      </c>
      <c r="AF91" s="833" t="n">
        <f aca="false">IF($N49=0,0,IF($R49="SL",SLN($N49,$O49,$Q49)*IF(YEAR($P49)&lt;AF$3,IF(YEAR($P49)+$Q49=AF$3,(MONTH($P49)-1)/12,IF(YEAR($P49)+$Q49&lt;AF$3,0,1)),IF(YEAR($P49)&gt;AF$3,0,(12-MONTH($P49)+1)/12)),IF(YEAR($P49)&gt;AF$3,0,VDB($N49,$O49,$Q49,IF(YEAR($P49)=AF$3,0,MIN($Q49,(DATE(AF$3,1,1)-$P49)/365)),MIN($Q49,(DATE(AF$3,12,31)-$P49)/365),$S49))))</f>
        <v>0</v>
      </c>
    </row>
    <row r="92" customFormat="false" ht="11.25" hidden="true" customHeight="false" outlineLevel="1" collapsed="false">
      <c r="C92" s="748" t="str">
        <f aca="false">+L50</f>
        <v>Asset 10</v>
      </c>
      <c r="I92" s="833" t="n">
        <f aca="false">IF($N50=0,0,IF($R50="SL",SLN($N50,$O50,$Q50)*IF(YEAR($P50)&lt;(J$3-1),IF(YEAR($P50)+$Q50=J$3-1,(MONTH($P50)-1)/12,IF(YEAR($P50)+$Q50&lt;J$3-1,0,1)),IF(YEAR($P50)&gt;J$3-1,0,(12-MONTH($P50)+1)/12)),IF(YEAR($P50)&gt;J$3-1,0,VDB($N50,$O50,$Q50,IF(YEAR($P50)=J$3-1,0,MIN($Q50,(DATE(J$3-1,1,1)-$P50)/365)),MIN($Q50,(DATE(J$3-1,12,31)-$P50)/365),$S50))))</f>
        <v>0</v>
      </c>
      <c r="J92" s="833" t="n">
        <f aca="false">IF($N50=0,0,IF($R50="SL",SLN($N50,$O50,$Q50)*IF(YEAR($P50)&lt;J$3,IF(YEAR($P50)+$Q50=J$3,(MONTH($P50)-1)/12,IF(YEAR($P50)+$Q50&lt;J$3,0,1)),IF(YEAR($P50)&gt;J$3,0,(12-MONTH($P50)+1)/12)),IF(YEAR($P50)&gt;J$3,0,VDB($N50,$O50,$Q50,IF(YEAR($P50)=J$3,0,MIN($Q50,(DATE(J$3,1,1)-$P50)/365)),MIN($Q50,(DATE(J$3,12,31)-$P50)/365),$S50))))</f>
        <v>0</v>
      </c>
      <c r="K92" s="833" t="n">
        <f aca="false">IF($N50=0,0,IF($R50="SL",SLN($N50,$O50,$Q50)*IF(YEAR($P50)&lt;K$3,IF(YEAR($P50)+$Q50=K$3,(MONTH($P50)-1)/12,IF(YEAR($P50)+$Q50&lt;K$3,0,1)),IF(YEAR($P50)&gt;K$3,0,(12-MONTH($P50)+1)/12)),IF(YEAR($P50)&gt;K$3,0,VDB($N50,$O50,$Q50,IF(YEAR($P50)=K$3,0,MIN($Q50,(DATE(K$3,1,1)-$P50)/365)),MIN($Q50,(DATE(K$3,12,31)-$P50)/365),$S50))))</f>
        <v>0</v>
      </c>
      <c r="L92" s="833" t="n">
        <f aca="false">IF($N50=0,0,IF($R50="SL",SLN($N50,$O50,$Q50)*IF(YEAR($P50)&lt;L$3,IF(YEAR($P50)+$Q50=L$3,(MONTH($P50)-1)/12,IF(YEAR($P50)+$Q50&lt;L$3,0,1)),IF(YEAR($P50)&gt;L$3,0,(12-MONTH($P50)+1)/12)),IF(YEAR($P50)&gt;L$3,0,VDB($N50,$O50,$Q50,IF(YEAR($P50)=L$3,0,MIN($Q50,(DATE(L$3,1,1)-$P50)/365)),MIN($Q50,(DATE(L$3,12,31)-$P50)/365),$S50))))</f>
        <v>0</v>
      </c>
      <c r="M92" s="833" t="n">
        <f aca="false">IF($N50=0,0,IF($R50="SL",SLN($N50,$O50,$Q50)*IF(YEAR($P50)&lt;M$3,IF(YEAR($P50)+$Q50=M$3,(MONTH($P50)-1)/12,IF(YEAR($P50)+$Q50&lt;M$3,0,1)),IF(YEAR($P50)&gt;M$3,0,(12-MONTH($P50)+1)/12)),IF(YEAR($P50)&gt;M$3,0,VDB($N50,$O50,$Q50,IF(YEAR($P50)=M$3,0,MIN($Q50,(DATE(M$3,1,1)-$P50)/365)),MIN($Q50,(DATE(M$3,12,31)-$P50)/365),$S50))))</f>
        <v>0</v>
      </c>
      <c r="N92" s="833" t="n">
        <f aca="false">IF($N50=0,0,IF($R50="SL",SLN($N50,$O50,$Q50)*IF(YEAR($P50)&lt;N$3,IF(YEAR($P50)+$Q50=N$3,(MONTH($P50)-1)/12,IF(YEAR($P50)+$Q50&lt;N$3,0,1)),IF(YEAR($P50)&gt;N$3,0,(12-MONTH($P50)+1)/12)),IF(YEAR($P50)&gt;N$3,0,VDB($N50,$O50,$Q50,IF(YEAR($P50)=N$3,0,MIN($Q50,(DATE(N$3,1,1)-$P50)/365)),MIN($Q50,(DATE(N$3,12,31)-$P50)/365),$S50))))</f>
        <v>0</v>
      </c>
      <c r="O92" s="833" t="n">
        <f aca="false">IF($N50=0,0,IF($R50="SL",SLN($N50,$O50,$Q50)*IF(YEAR($P50)&lt;O$3,IF(YEAR($P50)+$Q50=O$3,(MONTH($P50)-1)/12,IF(YEAR($P50)+$Q50&lt;O$3,0,1)),IF(YEAR($P50)&gt;O$3,0,(12-MONTH($P50)+1)/12)),IF(YEAR($P50)&gt;O$3,0,VDB($N50,$O50,$Q50,IF(YEAR($P50)=O$3,0,MIN($Q50,(DATE(O$3,1,1)-$P50)/365)),MIN($Q50,(DATE(O$3,12,31)-$P50)/365),$S50))))</f>
        <v>0</v>
      </c>
      <c r="P92" s="833" t="n">
        <f aca="false">IF($N50=0,0,IF($R50="SL",SLN($N50,$O50,$Q50)*IF(YEAR($P50)&lt;P$3,IF(YEAR($P50)+$Q50=P$3,(MONTH($P50)-1)/12,IF(YEAR($P50)+$Q50&lt;P$3,0,1)),IF(YEAR($P50)&gt;P$3,0,(12-MONTH($P50)+1)/12)),IF(YEAR($P50)&gt;P$3,0,VDB($N50,$O50,$Q50,IF(YEAR($P50)=P$3,0,MIN($Q50,(DATE(P$3,1,1)-$P50)/365)),MIN($Q50,(DATE(P$3,12,31)-$P50)/365),$S50))))</f>
        <v>0</v>
      </c>
      <c r="Q92" s="833" t="n">
        <f aca="false">IF($N50=0,0,IF($R50="SL",SLN($N50,$O50,$Q50)*IF(YEAR($P50)&lt;Q$3,IF(YEAR($P50)+$Q50=Q$3,(MONTH($P50)-1)/12,IF(YEAR($P50)+$Q50&lt;Q$3,0,1)),IF(YEAR($P50)&gt;Q$3,0,(12-MONTH($P50)+1)/12)),IF(YEAR($P50)&gt;Q$3,0,VDB($N50,$O50,$Q50,IF(YEAR($P50)=Q$3,0,MIN($Q50,(DATE(Q$3,1,1)-$P50)/365)),MIN($Q50,(DATE(Q$3,12,31)-$P50)/365),$S50))))</f>
        <v>0</v>
      </c>
      <c r="R92" s="833" t="n">
        <f aca="false">IF($N50=0,0,IF($R50="SL",SLN($N50,$O50,$Q50)*IF(YEAR($P50)&lt;R$3,IF(YEAR($P50)+$Q50=R$3,(MONTH($P50)-1)/12,IF(YEAR($P50)+$Q50&lt;R$3,0,1)),IF(YEAR($P50)&gt;R$3,0,(12-MONTH($P50)+1)/12)),IF(YEAR($P50)&gt;R$3,0,VDB($N50,$O50,$Q50,IF(YEAR($P50)=R$3,0,MIN($Q50,(DATE(R$3,1,1)-$P50)/365)),MIN($Q50,(DATE(R$3,12,31)-$P50)/365),$S50))))</f>
        <v>0</v>
      </c>
      <c r="S92" s="833" t="n">
        <f aca="false">IF($N50=0,0,IF($R50="SL",SLN($N50,$O50,$Q50)*IF(YEAR($P50)&lt;S$3,IF(YEAR($P50)+$Q50=S$3,(MONTH($P50)-1)/12,IF(YEAR($P50)+$Q50&lt;S$3,0,1)),IF(YEAR($P50)&gt;S$3,0,(12-MONTH($P50)+1)/12)),IF(YEAR($P50)&gt;S$3,0,VDB($N50,$O50,$Q50,IF(YEAR($P50)=S$3,0,MIN($Q50,(DATE(S$3,1,1)-$P50)/365)),MIN($Q50,(DATE(S$3,12,31)-$P50)/365),$S50))))</f>
        <v>0</v>
      </c>
      <c r="T92" s="833" t="n">
        <f aca="false">IF($N50=0,0,IF($R50="SL",SLN($N50,$O50,$Q50)*IF(YEAR($P50)&lt;T$3,IF(YEAR($P50)+$Q50=T$3,(MONTH($P50)-1)/12,IF(YEAR($P50)+$Q50&lt;T$3,0,1)),IF(YEAR($P50)&gt;T$3,0,(12-MONTH($P50)+1)/12)),IF(YEAR($P50)&gt;T$3,0,VDB($N50,$O50,$Q50,IF(YEAR($P50)=T$3,0,MIN($Q50,(DATE(T$3,1,1)-$P50)/365)),MIN($Q50,(DATE(T$3,12,31)-$P50)/365),$S50))))</f>
        <v>0</v>
      </c>
      <c r="U92" s="833" t="n">
        <f aca="false">IF($N50=0,0,IF($R50="SL",SLN($N50,$O50,$Q50)*IF(YEAR($P50)&lt;U$3,IF(YEAR($P50)+$Q50=U$3,(MONTH($P50)-1)/12,IF(YEAR($P50)+$Q50&lt;U$3,0,1)),IF(YEAR($P50)&gt;U$3,0,(12-MONTH($P50)+1)/12)),IF(YEAR($P50)&gt;U$3,0,VDB($N50,$O50,$Q50,IF(YEAR($P50)=U$3,0,MIN($Q50,(DATE(U$3,1,1)-$P50)/365)),MIN($Q50,(DATE(U$3,12,31)-$P50)/365),$S50))))</f>
        <v>0</v>
      </c>
      <c r="V92" s="833" t="n">
        <f aca="false">IF($N50=0,0,IF($R50="SL",SLN($N50,$O50,$Q50)*IF(YEAR($P50)&lt;V$3,IF(YEAR($P50)+$Q50=V$3,(MONTH($P50)-1)/12,IF(YEAR($P50)+$Q50&lt;V$3,0,1)),IF(YEAR($P50)&gt;V$3,0,(12-MONTH($P50)+1)/12)),IF(YEAR($P50)&gt;V$3,0,VDB($N50,$O50,$Q50,IF(YEAR($P50)=V$3,0,MIN($Q50,(DATE(V$3,1,1)-$P50)/365)),MIN($Q50,(DATE(V$3,12,31)-$P50)/365),$S50))))</f>
        <v>0</v>
      </c>
      <c r="W92" s="833" t="n">
        <f aca="false">IF($N50=0,0,IF($R50="SL",SLN($N50,$O50,$Q50)*IF(YEAR($P50)&lt;W$3,IF(YEAR($P50)+$Q50=W$3,(MONTH($P50)-1)/12,IF(YEAR($P50)+$Q50&lt;W$3,0,1)),IF(YEAR($P50)&gt;W$3,0,(12-MONTH($P50)+1)/12)),IF(YEAR($P50)&gt;W$3,0,VDB($N50,$O50,$Q50,IF(YEAR($P50)=W$3,0,MIN($Q50,(DATE(W$3,1,1)-$P50)/365)),MIN($Q50,(DATE(W$3,12,31)-$P50)/365),$S50))))</f>
        <v>0</v>
      </c>
      <c r="X92" s="833" t="n">
        <f aca="false">IF($N50=0,0,IF($R50="SL",SLN($N50,$O50,$Q50)*IF(YEAR($P50)&lt;X$3,IF(YEAR($P50)+$Q50=X$3,(MONTH($P50)-1)/12,IF(YEAR($P50)+$Q50&lt;X$3,0,1)),IF(YEAR($P50)&gt;X$3,0,(12-MONTH($P50)+1)/12)),IF(YEAR($P50)&gt;X$3,0,VDB($N50,$O50,$Q50,IF(YEAR($P50)=X$3,0,MIN($Q50,(DATE(X$3,1,1)-$P50)/365)),MIN($Q50,(DATE(X$3,12,31)-$P50)/365),$S50))))</f>
        <v>0</v>
      </c>
      <c r="Y92" s="833" t="n">
        <f aca="false">IF($N50=0,0,IF($R50="SL",SLN($N50,$O50,$Q50)*IF(YEAR($P50)&lt;Y$3,IF(YEAR($P50)+$Q50=Y$3,(MONTH($P50)-1)/12,IF(YEAR($P50)+$Q50&lt;Y$3,0,1)),IF(YEAR($P50)&gt;Y$3,0,(12-MONTH($P50)+1)/12)),IF(YEAR($P50)&gt;Y$3,0,VDB($N50,$O50,$Q50,IF(YEAR($P50)=Y$3,0,MIN($Q50,(DATE(Y$3,1,1)-$P50)/365)),MIN($Q50,(DATE(Y$3,12,31)-$P50)/365),$S50))))</f>
        <v>0</v>
      </c>
      <c r="Z92" s="833" t="n">
        <f aca="false">IF($N50=0,0,IF($R50="SL",SLN($N50,$O50,$Q50)*IF(YEAR($P50)&lt;Z$3,IF(YEAR($P50)+$Q50=Z$3,(MONTH($P50)-1)/12,IF(YEAR($P50)+$Q50&lt;Z$3,0,1)),IF(YEAR($P50)&gt;Z$3,0,(12-MONTH($P50)+1)/12)),IF(YEAR($P50)&gt;Z$3,0,VDB($N50,$O50,$Q50,IF(YEAR($P50)=Z$3,0,MIN($Q50,(DATE(Z$3,1,1)-$P50)/365)),MIN($Q50,(DATE(Z$3,12,31)-$P50)/365),$S50))))</f>
        <v>0</v>
      </c>
      <c r="AA92" s="833" t="n">
        <f aca="false">IF($N50=0,0,IF($R50="SL",SLN($N50,$O50,$Q50)*IF(YEAR($P50)&lt;AA$3,IF(YEAR($P50)+$Q50=AA$3,(MONTH($P50)-1)/12,IF(YEAR($P50)+$Q50&lt;AA$3,0,1)),IF(YEAR($P50)&gt;AA$3,0,(12-MONTH($P50)+1)/12)),IF(YEAR($P50)&gt;AA$3,0,VDB($N50,$O50,$Q50,IF(YEAR($P50)=AA$3,0,MIN($Q50,(DATE(AA$3,1,1)-$P50)/365)),MIN($Q50,(DATE(AA$3,12,31)-$P50)/365),$S50))))</f>
        <v>0</v>
      </c>
      <c r="AB92" s="833" t="n">
        <f aca="false">IF($N50=0,0,IF($R50="SL",SLN($N50,$O50,$Q50)*IF(YEAR($P50)&lt;AB$3,IF(YEAR($P50)+$Q50=AB$3,(MONTH($P50)-1)/12,IF(YEAR($P50)+$Q50&lt;AB$3,0,1)),IF(YEAR($P50)&gt;AB$3,0,(12-MONTH($P50)+1)/12)),IF(YEAR($P50)&gt;AB$3,0,VDB($N50,$O50,$Q50,IF(YEAR($P50)=AB$3,0,MIN($Q50,(DATE(AB$3,1,1)-$P50)/365)),MIN($Q50,(DATE(AB$3,12,31)-$P50)/365),$S50))))</f>
        <v>0</v>
      </c>
      <c r="AC92" s="833" t="n">
        <f aca="false">IF($N50=0,0,IF($R50="SL",SLN($N50,$O50,$Q50)*IF(YEAR($P50)&lt;AC$3,IF(YEAR($P50)+$Q50=AC$3,(MONTH($P50)-1)/12,IF(YEAR($P50)+$Q50&lt;AC$3,0,1)),IF(YEAR($P50)&gt;AC$3,0,(12-MONTH($P50)+1)/12)),IF(YEAR($P50)&gt;AC$3,0,VDB($N50,$O50,$Q50,IF(YEAR($P50)=AC$3,0,MIN($Q50,(DATE(AC$3,1,1)-$P50)/365)),MIN($Q50,(DATE(AC$3,12,31)-$P50)/365),$S50))))</f>
        <v>0</v>
      </c>
      <c r="AD92" s="833" t="n">
        <f aca="false">IF($N50=0,0,IF($R50="SL",SLN($N50,$O50,$Q50)*IF(YEAR($P50)&lt;AD$3,IF(YEAR($P50)+$Q50=AD$3,(MONTH($P50)-1)/12,IF(YEAR($P50)+$Q50&lt;AD$3,0,1)),IF(YEAR($P50)&gt;AD$3,0,(12-MONTH($P50)+1)/12)),IF(YEAR($P50)&gt;AD$3,0,VDB($N50,$O50,$Q50,IF(YEAR($P50)=AD$3,0,MIN($Q50,(DATE(AD$3,1,1)-$P50)/365)),MIN($Q50,(DATE(AD$3,12,31)-$P50)/365),$S50))))</f>
        <v>0</v>
      </c>
      <c r="AE92" s="833" t="n">
        <f aca="false">IF($N50=0,0,IF($R50="SL",SLN($N50,$O50,$Q50)*IF(YEAR($P50)&lt;AE$3,IF(YEAR($P50)+$Q50=AE$3,(MONTH($P50)-1)/12,IF(YEAR($P50)+$Q50&lt;AE$3,0,1)),IF(YEAR($P50)&gt;AE$3,0,(12-MONTH($P50)+1)/12)),IF(YEAR($P50)&gt;AE$3,0,VDB($N50,$O50,$Q50,IF(YEAR($P50)=AE$3,0,MIN($Q50,(DATE(AE$3,1,1)-$P50)/365)),MIN($Q50,(DATE(AE$3,12,31)-$P50)/365),$S50))))</f>
        <v>0</v>
      </c>
      <c r="AF92" s="833" t="n">
        <f aca="false">IF($N50=0,0,IF($R50="SL",SLN($N50,$O50,$Q50)*IF(YEAR($P50)&lt;AF$3,IF(YEAR($P50)+$Q50=AF$3,(MONTH($P50)-1)/12,IF(YEAR($P50)+$Q50&lt;AF$3,0,1)),IF(YEAR($P50)&gt;AF$3,0,(12-MONTH($P50)+1)/12)),IF(YEAR($P50)&gt;AF$3,0,VDB($N50,$O50,$Q50,IF(YEAR($P50)=AF$3,0,MIN($Q50,(DATE(AF$3,1,1)-$P50)/365)),MIN($Q50,(DATE(AF$3,12,31)-$P50)/365),$S50))))</f>
        <v>0</v>
      </c>
    </row>
    <row r="93" customFormat="false" ht="11.25" hidden="false" customHeight="false" outlineLevel="0" collapsed="false">
      <c r="B93" s="826" t="s">
        <v>687</v>
      </c>
      <c r="C93" s="770"/>
      <c r="D93" s="807"/>
      <c r="E93" s="807"/>
      <c r="F93" s="807"/>
      <c r="G93" s="807"/>
      <c r="H93" s="807"/>
      <c r="I93" s="834" t="n">
        <f aca="false">SUM(I83:I92)</f>
        <v>17986.39186245</v>
      </c>
      <c r="J93" s="834" t="n">
        <f aca="false">SUM(J83:J92)</f>
        <v>34625.0034280071</v>
      </c>
      <c r="K93" s="834" t="n">
        <f aca="false">SUM(K83:K92)</f>
        <v>32025.3702574876</v>
      </c>
      <c r="L93" s="834" t="n">
        <f aca="false">SUM(L83:L92)</f>
        <v>29627.1846758276</v>
      </c>
      <c r="M93" s="834" t="n">
        <f aca="false">SUM(M83:M92)</f>
        <v>27401.6684560471</v>
      </c>
      <c r="N93" s="834" t="n">
        <f aca="false">SUM(N83:N92)</f>
        <v>25348.8215981462</v>
      </c>
      <c r="O93" s="834" t="n">
        <f aca="false">SUM(O83:O92)</f>
        <v>23444.6622463081</v>
      </c>
      <c r="P93" s="834" t="n">
        <f aca="false">SUM(P83:P92)</f>
        <v>21689.190400533</v>
      </c>
      <c r="Q93" s="834" t="n">
        <f aca="false">SUM(Q83:Q92)</f>
        <v>21401.4081307338</v>
      </c>
      <c r="R93" s="834" t="n">
        <f aca="false">SUM(R83:R92)</f>
        <v>21396.6117595705</v>
      </c>
      <c r="S93" s="834" t="n">
        <f aca="false">SUM(S83:S92)</f>
        <v>21401.4081307338</v>
      </c>
      <c r="T93" s="834" t="n">
        <f aca="false">SUM(T83:T92)</f>
        <v>21396.6117595705</v>
      </c>
      <c r="U93" s="834" t="n">
        <f aca="false">SUM(U83:U92)</f>
        <v>21401.4081307338</v>
      </c>
      <c r="V93" s="834" t="n">
        <f aca="false">SUM(V83:V92)</f>
        <v>21396.6117595705</v>
      </c>
      <c r="W93" s="834" t="n">
        <f aca="false">SUM(W83:W92)</f>
        <v>21401.4081307338</v>
      </c>
      <c r="X93" s="834" t="n">
        <f aca="false">SUM(X83:X92)</f>
        <v>21396.6117595705</v>
      </c>
      <c r="Y93" s="834" t="n">
        <f aca="false">SUM(Y83:Y92)</f>
        <v>21401.4081307338</v>
      </c>
      <c r="Z93" s="834" t="n">
        <f aca="false">SUM(Z83:Z92)</f>
        <v>21396.6117595705</v>
      </c>
      <c r="AA93" s="834" t="n">
        <f aca="false">SUM(AA83:AA92)</f>
        <v>21401.4081307338</v>
      </c>
      <c r="AB93" s="834" t="n">
        <f aca="false">SUM(AB83:AB92)</f>
        <v>21396.6117595705</v>
      </c>
      <c r="AC93" s="834" t="n">
        <f aca="false">SUM(AC83:AC92)</f>
        <v>10700.7040653669</v>
      </c>
      <c r="AD93" s="834" t="n">
        <f aca="false">SUM(AD83:AD92)</f>
        <v>0</v>
      </c>
      <c r="AE93" s="834" t="n">
        <f aca="false">SUM(AE83:AE92)</f>
        <v>0</v>
      </c>
      <c r="AF93" s="834" t="n">
        <f aca="false">SUM(AF83:AF92)</f>
        <v>0</v>
      </c>
    </row>
    <row r="94" customFormat="false" ht="11.25" hidden="false" customHeight="false" outlineLevel="0" collapsed="false">
      <c r="C94" s="807"/>
      <c r="D94" s="807"/>
      <c r="E94" s="807"/>
      <c r="F94" s="807"/>
      <c r="G94" s="807"/>
      <c r="H94" s="807"/>
      <c r="I94" s="807"/>
      <c r="J94" s="824"/>
      <c r="K94" s="807"/>
      <c r="L94" s="807"/>
      <c r="M94" s="807"/>
      <c r="N94" s="807"/>
      <c r="O94" s="807"/>
      <c r="P94" s="807"/>
      <c r="Q94" s="807"/>
      <c r="R94" s="807"/>
      <c r="S94" s="807"/>
      <c r="T94" s="807"/>
      <c r="U94" s="807"/>
      <c r="V94" s="807"/>
      <c r="W94" s="807"/>
      <c r="X94" s="807"/>
      <c r="Y94" s="807"/>
      <c r="Z94" s="807"/>
      <c r="AA94" s="807"/>
      <c r="AB94" s="807"/>
      <c r="AC94" s="807"/>
      <c r="AD94" s="807"/>
      <c r="AE94" s="807"/>
      <c r="AF94" s="807"/>
    </row>
    <row r="95" customFormat="false" ht="11.25" hidden="false" customHeight="false" outlineLevel="0" collapsed="false">
      <c r="A95" s="826" t="s">
        <v>655</v>
      </c>
      <c r="D95" s="807"/>
      <c r="E95" s="807"/>
      <c r="F95" s="807"/>
      <c r="G95" s="807"/>
      <c r="H95" s="824" t="s">
        <v>692</v>
      </c>
      <c r="I95" s="836" t="n">
        <v>0.05</v>
      </c>
      <c r="J95" s="836" t="n">
        <v>0.095</v>
      </c>
      <c r="K95" s="836" t="n">
        <v>0.0855</v>
      </c>
      <c r="L95" s="836" t="n">
        <v>0.077</v>
      </c>
      <c r="M95" s="836" t="n">
        <v>0.0693</v>
      </c>
      <c r="N95" s="836" t="n">
        <v>0.0623</v>
      </c>
      <c r="O95" s="836" t="n">
        <v>0.059</v>
      </c>
      <c r="P95" s="836" t="n">
        <v>0.059</v>
      </c>
      <c r="Q95" s="836" t="n">
        <v>0.0591</v>
      </c>
      <c r="R95" s="836" t="n">
        <v>0.059</v>
      </c>
      <c r="S95" s="836" t="n">
        <v>0.0591</v>
      </c>
      <c r="T95" s="836" t="n">
        <v>0.059</v>
      </c>
      <c r="U95" s="836" t="n">
        <v>0.0591</v>
      </c>
      <c r="V95" s="836" t="n">
        <v>0.059</v>
      </c>
      <c r="W95" s="836" t="n">
        <v>0.0591</v>
      </c>
      <c r="X95" s="836" t="n">
        <v>0.0293</v>
      </c>
      <c r="Y95" s="836"/>
      <c r="Z95" s="836"/>
      <c r="AA95" s="836"/>
      <c r="AB95" s="836"/>
      <c r="AC95" s="836"/>
    </row>
    <row r="96" customFormat="false" ht="11.25" hidden="false" customHeight="false" outlineLevel="0" collapsed="false">
      <c r="C96" s="748" t="str">
        <f aca="false">+C75</f>
        <v>Funding 1</v>
      </c>
      <c r="D96" s="807"/>
      <c r="E96" s="807"/>
      <c r="F96" s="807"/>
      <c r="G96" s="807"/>
      <c r="H96" s="824"/>
      <c r="I96" s="833" t="n">
        <f aca="false">I95*$N$56</f>
        <v>2428.16290143075</v>
      </c>
      <c r="J96" s="833" t="n">
        <f aca="false">J95*$N$56</f>
        <v>4613.50951271842</v>
      </c>
      <c r="K96" s="833" t="n">
        <f aca="false">K95*$N$56</f>
        <v>4152.15856144658</v>
      </c>
      <c r="L96" s="833" t="n">
        <f aca="false">L95*$N$56</f>
        <v>3739.37086820335</v>
      </c>
      <c r="M96" s="833" t="n">
        <f aca="false">M95*$N$56</f>
        <v>3365.43378138302</v>
      </c>
      <c r="N96" s="833" t="n">
        <f aca="false">N95*$N$56</f>
        <v>3025.49097518271</v>
      </c>
      <c r="O96" s="833" t="n">
        <f aca="false">O95*$N$56</f>
        <v>2865.23222368828</v>
      </c>
      <c r="P96" s="833" t="n">
        <f aca="false">P95*$N$56</f>
        <v>2865.23222368828</v>
      </c>
      <c r="Q96" s="833" t="n">
        <f aca="false">Q95*$N$56</f>
        <v>2870.08854949115</v>
      </c>
      <c r="R96" s="833" t="n">
        <f aca="false">R95*$N$56</f>
        <v>2865.23222368828</v>
      </c>
      <c r="S96" s="833" t="n">
        <f aca="false">S95*$N$56</f>
        <v>2870.08854949115</v>
      </c>
      <c r="T96" s="833" t="n">
        <f aca="false">T95*$N$56</f>
        <v>2865.23222368828</v>
      </c>
      <c r="U96" s="833" t="n">
        <f aca="false">U95*$N$56</f>
        <v>2870.08854949115</v>
      </c>
      <c r="V96" s="833" t="n">
        <f aca="false">V95*$N$56</f>
        <v>2865.23222368828</v>
      </c>
      <c r="W96" s="833" t="n">
        <f aca="false">W95*$N$56</f>
        <v>2870.08854949115</v>
      </c>
      <c r="X96" s="833" t="n">
        <f aca="false">X95*$N$56</f>
        <v>1422.90346023842</v>
      </c>
      <c r="Y96" s="833" t="n">
        <f aca="false">Y95*$N$56</f>
        <v>0</v>
      </c>
      <c r="Z96" s="833" t="n">
        <f aca="false">Z95*$N$56</f>
        <v>0</v>
      </c>
      <c r="AA96" s="833" t="n">
        <f aca="false">AA95*$N$56</f>
        <v>0</v>
      </c>
      <c r="AB96" s="833" t="n">
        <f aca="false">AB95*$N$56</f>
        <v>0</v>
      </c>
      <c r="AC96" s="833" t="n">
        <f aca="false">AC95*$N$56</f>
        <v>0</v>
      </c>
      <c r="AD96" s="833" t="n">
        <f aca="false">AD95*$N$56</f>
        <v>0</v>
      </c>
      <c r="AE96" s="833" t="n">
        <f aca="false">AE95*$N$56</f>
        <v>0</v>
      </c>
      <c r="AF96" s="833" t="n">
        <f aca="false">AF95*$N$56</f>
        <v>0</v>
      </c>
    </row>
    <row r="97" customFormat="false" ht="11.25" hidden="true" customHeight="false" outlineLevel="1" collapsed="false">
      <c r="A97" s="800"/>
      <c r="C97" s="748" t="str">
        <f aca="false">+C76</f>
        <v>Funding 2</v>
      </c>
      <c r="D97" s="807"/>
      <c r="E97" s="807"/>
      <c r="F97" s="807"/>
      <c r="G97" s="807"/>
      <c r="H97" s="824"/>
      <c r="I97" s="833" t="n">
        <f aca="false">IF($N55=0,0,IF($R55="SL",SLN($N55,$O55,$Q55)*IF(YEAR($P55)&lt;(J$3-1),IF(YEAR($P55)+$Q55=J$3-1,(MONTH($P55)-1)/12,IF(YEAR($P55)+$Q55&lt;J$3-1,0,1)),IF(YEAR($P55)&gt;J$3-1,0,(12-MONTH($P55)+1)/12)),IF(YEAR($P55)&gt;J$3-1,0,VDB($N55,$O55,$Q55,IF(YEAR($P55)=J$3-1,0,MIN($Q55,(DATE(J$3-1,1,1)-$P55)/365)),MIN($Q55,(DATE(J$3-1,12,31)-$P55)/365),$S55))))</f>
        <v>0</v>
      </c>
      <c r="J97" s="833" t="n">
        <f aca="false">IF($N55=0,0,IF($R55="SL",SLN($N55,$O55,$Q55)*IF(YEAR($P55)&lt;J$3,IF(YEAR($P55)+$Q55=J$3,(MONTH($P55)-1)/12,IF(YEAR($P55)+$Q55&lt;J$3,0,1)),IF(YEAR($P55)&gt;J$3,0,(12-MONTH($P55)+1)/12)),IF(YEAR($P55)&gt;J$3,0,VDB($N55,$O55,$Q55,IF(YEAR($P55)=J$3,0,MIN($Q55,(DATE(J$3,1,1)-$P55)/365)),MIN($Q55,(DATE(J$3,12,31)-$P55)/365),$S55))))</f>
        <v>0</v>
      </c>
      <c r="K97" s="833" t="n">
        <f aca="false">IF($N55=0,0,IF($R55="SL",SLN($N55,$O55,$Q55)*IF(YEAR($P55)&lt;K$3,IF(YEAR($P55)+$Q55=K$3,(MONTH($P55)-1)/12,IF(YEAR($P55)+$Q55&lt;K$3,0,1)),IF(YEAR($P55)&gt;K$3,0,(12-MONTH($P55)+1)/12)),IF(YEAR($P55)&gt;K$3,0,VDB($N55,$O55,$Q55,IF(YEAR($P55)=K$3,0,MIN($Q55,(DATE(K$3,1,1)-$P55)/365)),MIN($Q55,(DATE(K$3,12,31)-$P55)/365),$S55))))</f>
        <v>0</v>
      </c>
      <c r="L97" s="833" t="n">
        <f aca="false">IF($N55=0,0,IF($R55="SL",SLN($N55,$O55,$Q55)*IF(YEAR($P55)&lt;L$3,IF(YEAR($P55)+$Q55=L$3,(MONTH($P55)-1)/12,IF(YEAR($P55)+$Q55&lt;L$3,0,1)),IF(YEAR($P55)&gt;L$3,0,(12-MONTH($P55)+1)/12)),IF(YEAR($P55)&gt;L$3,0,VDB($N55,$O55,$Q55,IF(YEAR($P55)=L$3,0,MIN($Q55,(DATE(L$3,1,1)-$P55)/365)),MIN($Q55,(DATE(L$3,12,31)-$P55)/365),$S55))))</f>
        <v>0</v>
      </c>
      <c r="M97" s="833" t="n">
        <f aca="false">IF($N55=0,0,IF($R55="SL",SLN($N55,$O55,$Q55)*IF(YEAR($P55)&lt;M$3,IF(YEAR($P55)+$Q55=M$3,(MONTH($P55)-1)/12,IF(YEAR($P55)+$Q55&lt;M$3,0,1)),IF(YEAR($P55)&gt;M$3,0,(12-MONTH($P55)+1)/12)),IF(YEAR($P55)&gt;M$3,0,VDB($N55,$O55,$Q55,IF(YEAR($P55)=M$3,0,MIN($Q55,(DATE(M$3,1,1)-$P55)/365)),MIN($Q55,(DATE(M$3,12,31)-$P55)/365),$S55))))</f>
        <v>0</v>
      </c>
      <c r="N97" s="833" t="n">
        <f aca="false">IF($N55=0,0,IF($R55="SL",SLN($N55,$O55,$Q55)*IF(YEAR($P55)&lt;N$3,IF(YEAR($P55)+$Q55=N$3,(MONTH($P55)-1)/12,IF(YEAR($P55)+$Q55&lt;N$3,0,1)),IF(YEAR($P55)&gt;N$3,0,(12-MONTH($P55)+1)/12)),IF(YEAR($P55)&gt;N$3,0,VDB($N55,$O55,$Q55,IF(YEAR($P55)=N$3,0,MIN($Q55,(DATE(N$3,1,1)-$P55)/365)),MIN($Q55,(DATE(N$3,12,31)-$P55)/365),$S55))))</f>
        <v>0</v>
      </c>
      <c r="O97" s="833" t="n">
        <f aca="false">IF($N55=0,0,IF($R55="SL",SLN($N55,$O55,$Q55)*IF(YEAR($P55)&lt;O$3,IF(YEAR($P55)+$Q55=O$3,(MONTH($P55)-1)/12,IF(YEAR($P55)+$Q55&lt;O$3,0,1)),IF(YEAR($P55)&gt;O$3,0,(12-MONTH($P55)+1)/12)),IF(YEAR($P55)&gt;O$3,0,VDB($N55,$O55,$Q55,IF(YEAR($P55)=O$3,0,MIN($Q55,(DATE(O$3,1,1)-$P55)/365)),MIN($Q55,(DATE(O$3,12,31)-$P55)/365),$S55))))</f>
        <v>0</v>
      </c>
      <c r="P97" s="833" t="n">
        <f aca="false">IF($N55=0,0,IF($R55="SL",SLN($N55,$O55,$Q55)*IF(YEAR($P55)&lt;P$3,IF(YEAR($P55)+$Q55=P$3,(MONTH($P55)-1)/12,IF(YEAR($P55)+$Q55&lt;P$3,0,1)),IF(YEAR($P55)&gt;P$3,0,(12-MONTH($P55)+1)/12)),IF(YEAR($P55)&gt;P$3,0,VDB($N55,$O55,$Q55,IF(YEAR($P55)=P$3,0,MIN($Q55,(DATE(P$3,1,1)-$P55)/365)),MIN($Q55,(DATE(P$3,12,31)-$P55)/365),$S55))))</f>
        <v>0</v>
      </c>
      <c r="Q97" s="833" t="n">
        <f aca="false">IF($N55=0,0,IF($R55="SL",SLN($N55,$O55,$Q55)*IF(YEAR($P55)&lt;Q$3,IF(YEAR($P55)+$Q55=Q$3,(MONTH($P55)-1)/12,IF(YEAR($P55)+$Q55&lt;Q$3,0,1)),IF(YEAR($P55)&gt;Q$3,0,(12-MONTH($P55)+1)/12)),IF(YEAR($P55)&gt;Q$3,0,VDB($N55,$O55,$Q55,IF(YEAR($P55)=Q$3,0,MIN($Q55,(DATE(Q$3,1,1)-$P55)/365)),MIN($Q55,(DATE(Q$3,12,31)-$P55)/365),$S55))))</f>
        <v>0</v>
      </c>
      <c r="R97" s="833" t="n">
        <f aca="false">IF($N55=0,0,IF($R55="SL",SLN($N55,$O55,$Q55)*IF(YEAR($P55)&lt;R$3,IF(YEAR($P55)+$Q55=R$3,(MONTH($P55)-1)/12,IF(YEAR($P55)+$Q55&lt;R$3,0,1)),IF(YEAR($P55)&gt;R$3,0,(12-MONTH($P55)+1)/12)),IF(YEAR($P55)&gt;R$3,0,VDB($N55,$O55,$Q55,IF(YEAR($P55)=R$3,0,MIN($Q55,(DATE(R$3,1,1)-$P55)/365)),MIN($Q55,(DATE(R$3,12,31)-$P55)/365),$S55))))</f>
        <v>0</v>
      </c>
      <c r="S97" s="833" t="n">
        <f aca="false">IF($N55=0,0,IF($R55="SL",SLN($N55,$O55,$Q55)*IF(YEAR($P55)&lt;S$3,IF(YEAR($P55)+$Q55=S$3,(MONTH($P55)-1)/12,IF(YEAR($P55)+$Q55&lt;S$3,0,1)),IF(YEAR($P55)&gt;S$3,0,(12-MONTH($P55)+1)/12)),IF(YEAR($P55)&gt;S$3,0,VDB($N55,$O55,$Q55,IF(YEAR($P55)=S$3,0,MIN($Q55,(DATE(S$3,1,1)-$P55)/365)),MIN($Q55,(DATE(S$3,12,31)-$P55)/365),$S55))))</f>
        <v>0</v>
      </c>
      <c r="T97" s="833" t="n">
        <f aca="false">IF($N55=0,0,IF($R55="SL",SLN($N55,$O55,$Q55)*IF(YEAR($P55)&lt;T$3,IF(YEAR($P55)+$Q55=T$3,(MONTH($P55)-1)/12,IF(YEAR($P55)+$Q55&lt;T$3,0,1)),IF(YEAR($P55)&gt;T$3,0,(12-MONTH($P55)+1)/12)),IF(YEAR($P55)&gt;T$3,0,VDB($N55,$O55,$Q55,IF(YEAR($P55)=T$3,0,MIN($Q55,(DATE(T$3,1,1)-$P55)/365)),MIN($Q55,(DATE(T$3,12,31)-$P55)/365),$S55))))</f>
        <v>0</v>
      </c>
      <c r="U97" s="833" t="n">
        <f aca="false">IF($N55=0,0,IF($R55="SL",SLN($N55,$O55,$Q55)*IF(YEAR($P55)&lt;U$3,IF(YEAR($P55)+$Q55=U$3,(MONTH($P55)-1)/12,IF(YEAR($P55)+$Q55&lt;U$3,0,1)),IF(YEAR($P55)&gt;U$3,0,(12-MONTH($P55)+1)/12)),IF(YEAR($P55)&gt;U$3,0,VDB($N55,$O55,$Q55,IF(YEAR($P55)=U$3,0,MIN($Q55,(DATE(U$3,1,1)-$P55)/365)),MIN($Q55,(DATE(U$3,12,31)-$P55)/365),$S55))))</f>
        <v>0</v>
      </c>
      <c r="V97" s="833" t="n">
        <f aca="false">IF($N55=0,0,IF($R55="SL",SLN($N55,$O55,$Q55)*IF(YEAR($P55)&lt;V$3,IF(YEAR($P55)+$Q55=V$3,(MONTH($P55)-1)/12,IF(YEAR($P55)+$Q55&lt;V$3,0,1)),IF(YEAR($P55)&gt;V$3,0,(12-MONTH($P55)+1)/12)),IF(YEAR($P55)&gt;V$3,0,VDB($N55,$O55,$Q55,IF(YEAR($P55)=V$3,0,MIN($Q55,(DATE(V$3,1,1)-$P55)/365)),MIN($Q55,(DATE(V$3,12,31)-$P55)/365),$S55))))</f>
        <v>0</v>
      </c>
      <c r="W97" s="833" t="n">
        <f aca="false">IF($N55=0,0,IF($R55="SL",SLN($N55,$O55,$Q55)*IF(YEAR($P55)&lt;W$3,IF(YEAR($P55)+$Q55=W$3,(MONTH($P55)-1)/12,IF(YEAR($P55)+$Q55&lt;W$3,0,1)),IF(YEAR($P55)&gt;W$3,0,(12-MONTH($P55)+1)/12)),IF(YEAR($P55)&gt;W$3,0,VDB($N55,$O55,$Q55,IF(YEAR($P55)=W$3,0,MIN($Q55,(DATE(W$3,1,1)-$P55)/365)),MIN($Q55,(DATE(W$3,12,31)-$P55)/365),$S55))))</f>
        <v>0</v>
      </c>
      <c r="X97" s="833" t="n">
        <f aca="false">IF($N55=0,0,IF($R55="SL",SLN($N55,$O55,$Q55)*IF(YEAR($P55)&lt;X$3,IF(YEAR($P55)+$Q55=X$3,(MONTH($P55)-1)/12,IF(YEAR($P55)+$Q55&lt;X$3,0,1)),IF(YEAR($P55)&gt;X$3,0,(12-MONTH($P55)+1)/12)),IF(YEAR($P55)&gt;X$3,0,VDB($N55,$O55,$Q55,IF(YEAR($P55)=X$3,0,MIN($Q55,(DATE(X$3,1,1)-$P55)/365)),MIN($Q55,(DATE(X$3,12,31)-$P55)/365),$S55))))</f>
        <v>0</v>
      </c>
      <c r="Y97" s="833" t="n">
        <f aca="false">IF($N55=0,0,IF($R55="SL",SLN($N55,$O55,$Q55)*IF(YEAR($P55)&lt;Y$3,IF(YEAR($P55)+$Q55=Y$3,(MONTH($P55)-1)/12,IF(YEAR($P55)+$Q55&lt;Y$3,0,1)),IF(YEAR($P55)&gt;Y$3,0,(12-MONTH($P55)+1)/12)),IF(YEAR($P55)&gt;Y$3,0,VDB($N55,$O55,$Q55,IF(YEAR($P55)=Y$3,0,MIN($Q55,(DATE(Y$3,1,1)-$P55)/365)),MIN($Q55,(DATE(Y$3,12,31)-$P55)/365),$S55))))</f>
        <v>0</v>
      </c>
      <c r="Z97" s="833" t="n">
        <f aca="false">IF($N55=0,0,IF($R55="SL",SLN($N55,$O55,$Q55)*IF(YEAR($P55)&lt;Z$3,IF(YEAR($P55)+$Q55=Z$3,(MONTH($P55)-1)/12,IF(YEAR($P55)+$Q55&lt;Z$3,0,1)),IF(YEAR($P55)&gt;Z$3,0,(12-MONTH($P55)+1)/12)),IF(YEAR($P55)&gt;Z$3,0,VDB($N55,$O55,$Q55,IF(YEAR($P55)=Z$3,0,MIN($Q55,(DATE(Z$3,1,1)-$P55)/365)),MIN($Q55,(DATE(Z$3,12,31)-$P55)/365),$S55))))</f>
        <v>0</v>
      </c>
      <c r="AA97" s="833" t="n">
        <f aca="false">IF($N55=0,0,IF($R55="SL",SLN($N55,$O55,$Q55)*IF(YEAR($P55)&lt;AA$3,IF(YEAR($P55)+$Q55=AA$3,(MONTH($P55)-1)/12,IF(YEAR($P55)+$Q55&lt;AA$3,0,1)),IF(YEAR($P55)&gt;AA$3,0,(12-MONTH($P55)+1)/12)),IF(YEAR($P55)&gt;AA$3,0,VDB($N55,$O55,$Q55,IF(YEAR($P55)=AA$3,0,MIN($Q55,(DATE(AA$3,1,1)-$P55)/365)),MIN($Q55,(DATE(AA$3,12,31)-$P55)/365),$S55))))</f>
        <v>0</v>
      </c>
      <c r="AB97" s="833" t="n">
        <f aca="false">IF($N55=0,0,IF($R55="SL",SLN($N55,$O55,$Q55)*IF(YEAR($P55)&lt;AB$3,IF(YEAR($P55)+$Q55=AB$3,(MONTH($P55)-1)/12,IF(YEAR($P55)+$Q55&lt;AB$3,0,1)),IF(YEAR($P55)&gt;AB$3,0,(12-MONTH($P55)+1)/12)),IF(YEAR($P55)&gt;AB$3,0,VDB($N55,$O55,$Q55,IF(YEAR($P55)=AB$3,0,MIN($Q55,(DATE(AB$3,1,1)-$P55)/365)),MIN($Q55,(DATE(AB$3,12,31)-$P55)/365),$S55))))</f>
        <v>0</v>
      </c>
      <c r="AC97" s="833" t="n">
        <f aca="false">IF($N55=0,0,IF($R55="SL",SLN($N55,$O55,$Q55)*IF(YEAR($P55)&lt;AC$3,IF(YEAR($P55)+$Q55=AC$3,(MONTH($P55)-1)/12,IF(YEAR($P55)+$Q55&lt;AC$3,0,1)),IF(YEAR($P55)&gt;AC$3,0,(12-MONTH($P55)+1)/12)),IF(YEAR($P55)&gt;AC$3,0,VDB($N55,$O55,$Q55,IF(YEAR($P55)=AC$3,0,MIN($Q55,(DATE(AC$3,1,1)-$P55)/365)),MIN($Q55,(DATE(AC$3,12,31)-$P55)/365),$S55))))</f>
        <v>0</v>
      </c>
      <c r="AD97" s="833" t="n">
        <f aca="false">IF($N55=0,0,IF($R55="SL",SLN($N55,$O55,$Q55)*IF(YEAR($P55)&lt;AD$3,IF(YEAR($P55)+$Q55=AD$3,(MONTH($P55)-1)/12,IF(YEAR($P55)+$Q55&lt;AD$3,0,1)),IF(YEAR($P55)&gt;AD$3,0,(12-MONTH($P55)+1)/12)),IF(YEAR($P55)&gt;AD$3,0,VDB($N55,$O55,$Q55,IF(YEAR($P55)=AD$3,0,MIN($Q55,(DATE(AD$3,1,1)-$P55)/365)),MIN($Q55,(DATE(AD$3,12,31)-$P55)/365),$S55))))</f>
        <v>0</v>
      </c>
      <c r="AE97" s="833" t="n">
        <f aca="false">IF($N55=0,0,IF($R55="SL",SLN($N55,$O55,$Q55)*IF(YEAR($P55)&lt;AE$3,IF(YEAR($P55)+$Q55=AE$3,(MONTH($P55)-1)/12,IF(YEAR($P55)+$Q55&lt;AE$3,0,1)),IF(YEAR($P55)&gt;AE$3,0,(12-MONTH($P55)+1)/12)),IF(YEAR($P55)&gt;AE$3,0,VDB($N55,$O55,$Q55,IF(YEAR($P55)=AE$3,0,MIN($Q55,(DATE(AE$3,1,1)-$P55)/365)),MIN($Q55,(DATE(AE$3,12,31)-$P55)/365),$S55))))</f>
        <v>0</v>
      </c>
      <c r="AF97" s="833" t="n">
        <f aca="false">IF($N55=0,0,IF($R55="SL",SLN($N55,$O55,$Q55)*IF(YEAR($P55)&lt;AF$3,IF(YEAR($P55)+$Q55=AF$3,(MONTH($P55)-1)/12,IF(YEAR($P55)+$Q55&lt;AF$3,0,1)),IF(YEAR($P55)&gt;AF$3,0,(12-MONTH($P55)+1)/12)),IF(YEAR($P55)&gt;AF$3,0,VDB($N55,$O55,$Q55,IF(YEAR($P55)=AF$3,0,MIN($Q55,(DATE(AF$3,1,1)-$P55)/365)),MIN($Q55,(DATE(AF$3,12,31)-$P55)/365),$S55))))</f>
        <v>0</v>
      </c>
    </row>
    <row r="98" customFormat="false" ht="11.25" hidden="false" customHeight="false" outlineLevel="0" collapsed="false">
      <c r="A98" s="800"/>
      <c r="B98" s="826" t="s">
        <v>688</v>
      </c>
      <c r="D98" s="807"/>
      <c r="E98" s="807"/>
      <c r="F98" s="807"/>
      <c r="G98" s="807"/>
      <c r="H98" s="824"/>
      <c r="I98" s="835" t="n">
        <f aca="false">+I97+I96</f>
        <v>2428.16290143075</v>
      </c>
      <c r="J98" s="835" t="n">
        <f aca="false">+J97+J96</f>
        <v>4613.50951271842</v>
      </c>
      <c r="K98" s="835" t="n">
        <f aca="false">+K97+K96</f>
        <v>4152.15856144658</v>
      </c>
      <c r="L98" s="835" t="n">
        <f aca="false">+L97+L96</f>
        <v>3739.37086820335</v>
      </c>
      <c r="M98" s="835" t="n">
        <f aca="false">+M97+M96</f>
        <v>3365.43378138302</v>
      </c>
      <c r="N98" s="835" t="n">
        <f aca="false">+N97+N96</f>
        <v>3025.49097518271</v>
      </c>
      <c r="O98" s="835" t="n">
        <f aca="false">+O97+O96</f>
        <v>2865.23222368828</v>
      </c>
      <c r="P98" s="835" t="n">
        <f aca="false">+P97+P96</f>
        <v>2865.23222368828</v>
      </c>
      <c r="Q98" s="835" t="n">
        <f aca="false">+Q97+Q96</f>
        <v>2870.08854949115</v>
      </c>
      <c r="R98" s="835" t="n">
        <f aca="false">+R97+R96</f>
        <v>2865.23222368828</v>
      </c>
      <c r="S98" s="835" t="n">
        <f aca="false">+S97+S96</f>
        <v>2870.08854949115</v>
      </c>
      <c r="T98" s="835" t="n">
        <f aca="false">+T97+T96</f>
        <v>2865.23222368828</v>
      </c>
      <c r="U98" s="835" t="n">
        <f aca="false">+U97+U96</f>
        <v>2870.08854949115</v>
      </c>
      <c r="V98" s="835" t="n">
        <f aca="false">+V97+V96</f>
        <v>2865.23222368828</v>
      </c>
      <c r="W98" s="835" t="n">
        <f aca="false">+W97+W96</f>
        <v>2870.08854949115</v>
      </c>
      <c r="X98" s="835" t="n">
        <f aca="false">+X97+X96</f>
        <v>1422.90346023842</v>
      </c>
      <c r="Y98" s="835" t="n">
        <f aca="false">+Y97+Y96</f>
        <v>0</v>
      </c>
      <c r="Z98" s="835" t="n">
        <f aca="false">+Z97+Z96</f>
        <v>0</v>
      </c>
      <c r="AA98" s="835" t="n">
        <f aca="false">+AA97+AA96</f>
        <v>0</v>
      </c>
      <c r="AB98" s="835" t="n">
        <f aca="false">+AB97+AB96</f>
        <v>0</v>
      </c>
      <c r="AC98" s="835" t="n">
        <f aca="false">+AC97+AC96</f>
        <v>0</v>
      </c>
      <c r="AD98" s="835" t="n">
        <f aca="false">+AD97+AD96</f>
        <v>0</v>
      </c>
      <c r="AE98" s="835" t="n">
        <f aca="false">+AE97+AE96</f>
        <v>0</v>
      </c>
      <c r="AF98" s="835" t="n">
        <f aca="false">+AF97+AF96</f>
        <v>0</v>
      </c>
    </row>
    <row r="99" customFormat="false" ht="11.25" hidden="false" customHeight="false" outlineLevel="0" collapsed="false">
      <c r="C99" s="807"/>
      <c r="D99" s="807"/>
      <c r="E99" s="807"/>
      <c r="F99" s="807"/>
      <c r="G99" s="807"/>
      <c r="H99" s="807"/>
      <c r="I99" s="807"/>
      <c r="J99" s="807"/>
      <c r="K99" s="807"/>
      <c r="L99" s="807"/>
      <c r="M99" s="807"/>
      <c r="N99" s="807"/>
      <c r="O99" s="807"/>
      <c r="P99" s="807"/>
      <c r="Q99" s="807"/>
      <c r="R99" s="807"/>
      <c r="S99" s="807"/>
      <c r="T99" s="807"/>
      <c r="U99" s="807"/>
      <c r="V99" s="807"/>
      <c r="W99" s="807"/>
      <c r="X99" s="807"/>
      <c r="Y99" s="807"/>
      <c r="Z99" s="807"/>
      <c r="AA99" s="807"/>
      <c r="AB99" s="807"/>
      <c r="AC99" s="807"/>
      <c r="AD99" s="807"/>
      <c r="AE99" s="807"/>
      <c r="AF99" s="807"/>
    </row>
    <row r="100" customFormat="false" ht="11.25" hidden="false" customHeight="false" outlineLevel="0" collapsed="false">
      <c r="A100" s="826" t="s">
        <v>693</v>
      </c>
      <c r="I100" s="781" t="n">
        <f aca="false">+I93+I98</f>
        <v>20414.5547638807</v>
      </c>
      <c r="J100" s="781" t="n">
        <f aca="false">+J93+J98</f>
        <v>39238.5129407255</v>
      </c>
      <c r="K100" s="781" t="n">
        <f aca="false">+K93+K98</f>
        <v>36177.5288189342</v>
      </c>
      <c r="L100" s="781" t="n">
        <f aca="false">+L93+L98</f>
        <v>33366.555544031</v>
      </c>
      <c r="M100" s="781" t="n">
        <f aca="false">+M93+M98</f>
        <v>30767.1022374302</v>
      </c>
      <c r="N100" s="781" t="n">
        <f aca="false">+N93+N98</f>
        <v>28374.3125733289</v>
      </c>
      <c r="O100" s="781" t="n">
        <f aca="false">+O93+O98</f>
        <v>26309.8944699964</v>
      </c>
      <c r="P100" s="781" t="n">
        <f aca="false">+P93+P98</f>
        <v>24554.4226242213</v>
      </c>
      <c r="Q100" s="781" t="n">
        <f aca="false">+Q93+Q98</f>
        <v>24271.496680225</v>
      </c>
      <c r="R100" s="781" t="n">
        <f aca="false">+R93+R98</f>
        <v>24261.8439832588</v>
      </c>
      <c r="S100" s="781" t="n">
        <f aca="false">+S93+S98</f>
        <v>24271.496680225</v>
      </c>
      <c r="T100" s="781" t="n">
        <f aca="false">+T93+T98</f>
        <v>24261.8439832588</v>
      </c>
      <c r="U100" s="781" t="n">
        <f aca="false">+U93+U98</f>
        <v>24271.496680225</v>
      </c>
      <c r="V100" s="781" t="n">
        <f aca="false">+V93+V98</f>
        <v>24261.8439832588</v>
      </c>
      <c r="W100" s="781" t="n">
        <f aca="false">+W93+W98</f>
        <v>24271.496680225</v>
      </c>
      <c r="X100" s="781" t="n">
        <f aca="false">+X93+X98</f>
        <v>22819.5152198089</v>
      </c>
      <c r="Y100" s="781" t="n">
        <f aca="false">+Y93+Y98</f>
        <v>21401.4081307338</v>
      </c>
      <c r="Z100" s="781" t="n">
        <f aca="false">+Z93+Z98</f>
        <v>21396.6117595705</v>
      </c>
      <c r="AA100" s="781" t="n">
        <f aca="false">+AA93+AA98</f>
        <v>21401.4081307338</v>
      </c>
      <c r="AB100" s="781" t="n">
        <f aca="false">+AB93+AB98</f>
        <v>21396.6117595705</v>
      </c>
      <c r="AC100" s="781" t="n">
        <f aca="false">+AC93+AC98</f>
        <v>10700.7040653669</v>
      </c>
      <c r="AD100" s="781" t="n">
        <f aca="false">+AD93+AD98</f>
        <v>0</v>
      </c>
      <c r="AE100" s="781" t="n">
        <f aca="false">+AE93+AE98</f>
        <v>0</v>
      </c>
      <c r="AF100" s="781" t="n">
        <f aca="false">+AF93+AF98</f>
        <v>0</v>
      </c>
    </row>
    <row r="101" customFormat="false" ht="11.25" hidden="false" customHeight="false" outlineLevel="0" collapsed="false">
      <c r="A101" s="826"/>
      <c r="B101" s="781" t="n">
        <f aca="false">+SUM(I100:AF100)-N51</f>
        <v>48553.5453770092</v>
      </c>
      <c r="I101" s="781"/>
      <c r="J101" s="781"/>
      <c r="K101" s="781"/>
      <c r="L101" s="781"/>
      <c r="M101" s="781"/>
      <c r="N101" s="781"/>
      <c r="O101" s="781"/>
      <c r="P101" s="781"/>
      <c r="Q101" s="781"/>
      <c r="R101" s="781"/>
      <c r="S101" s="781"/>
      <c r="T101" s="781"/>
      <c r="U101" s="781"/>
      <c r="V101" s="781"/>
      <c r="W101" s="781"/>
      <c r="X101" s="781"/>
      <c r="Y101" s="781"/>
      <c r="Z101" s="781"/>
      <c r="AA101" s="781"/>
      <c r="AB101" s="781"/>
      <c r="AC101" s="781"/>
      <c r="AD101" s="781"/>
      <c r="AE101" s="781"/>
      <c r="AF101" s="781"/>
    </row>
    <row r="102" customFormat="false" ht="12" hidden="false" customHeight="false" outlineLevel="0" collapsed="false">
      <c r="A102" s="837"/>
      <c r="B102" s="838"/>
      <c r="C102" s="838"/>
      <c r="D102" s="838"/>
      <c r="E102" s="838"/>
      <c r="F102" s="838"/>
      <c r="G102" s="838"/>
      <c r="H102" s="838"/>
      <c r="I102" s="839"/>
      <c r="J102" s="839"/>
      <c r="K102" s="839"/>
      <c r="L102" s="839"/>
      <c r="M102" s="839"/>
      <c r="N102" s="839"/>
      <c r="O102" s="839"/>
      <c r="P102" s="839"/>
      <c r="Q102" s="839"/>
      <c r="R102" s="839"/>
      <c r="S102" s="839"/>
      <c r="T102" s="839"/>
      <c r="U102" s="839"/>
      <c r="V102" s="839"/>
      <c r="W102" s="839"/>
      <c r="X102" s="839"/>
      <c r="Y102" s="839"/>
      <c r="Z102" s="839"/>
      <c r="AA102" s="839"/>
      <c r="AB102" s="839"/>
      <c r="AC102" s="839"/>
      <c r="AD102" s="839"/>
      <c r="AE102" s="839"/>
      <c r="AF102" s="839"/>
    </row>
    <row r="103" customFormat="false" ht="12.75" hidden="false" customHeight="false" outlineLevel="0" collapsed="false">
      <c r="A103" s="826"/>
      <c r="I103" s="781"/>
      <c r="J103" s="781"/>
      <c r="K103" s="781"/>
      <c r="L103" s="781"/>
      <c r="M103" s="781"/>
      <c r="N103" s="781"/>
      <c r="O103" s="781"/>
      <c r="P103" s="781"/>
      <c r="Q103" s="781"/>
      <c r="R103" s="781"/>
      <c r="S103" s="781"/>
      <c r="T103" s="781"/>
      <c r="U103" s="781"/>
      <c r="V103" s="781"/>
      <c r="W103" s="781"/>
      <c r="X103" s="781"/>
      <c r="Y103" s="781"/>
      <c r="Z103" s="781"/>
      <c r="AA103" s="781"/>
      <c r="AB103" s="781"/>
      <c r="AC103" s="781"/>
      <c r="AD103" s="781"/>
      <c r="AE103" s="781"/>
      <c r="AF103" s="781"/>
    </row>
    <row r="104" customFormat="false" ht="12.75" hidden="false" customHeight="false" outlineLevel="0" collapsed="false">
      <c r="A104" s="826" t="s">
        <v>694</v>
      </c>
      <c r="I104" s="775" t="n">
        <f aca="false">+I$3</f>
        <v>37986</v>
      </c>
      <c r="J104" s="776" t="n">
        <f aca="false">+J$3</f>
        <v>2004</v>
      </c>
      <c r="K104" s="776" t="n">
        <f aca="false">+K$3</f>
        <v>2005</v>
      </c>
      <c r="L104" s="776" t="n">
        <f aca="false">+L$3</f>
        <v>2006</v>
      </c>
      <c r="M104" s="776" t="n">
        <f aca="false">+M$3</f>
        <v>2007</v>
      </c>
      <c r="N104" s="776" t="n">
        <f aca="false">+N$3</f>
        <v>2008</v>
      </c>
      <c r="O104" s="776" t="n">
        <f aca="false">+O$3</f>
        <v>2009</v>
      </c>
      <c r="P104" s="776" t="n">
        <f aca="false">+P$3</f>
        <v>2010</v>
      </c>
      <c r="Q104" s="776" t="n">
        <f aca="false">+Q$3</f>
        <v>2011</v>
      </c>
      <c r="R104" s="776" t="n">
        <f aca="false">+R$3</f>
        <v>2012</v>
      </c>
      <c r="S104" s="776" t="n">
        <f aca="false">+S$3</f>
        <v>2013</v>
      </c>
      <c r="T104" s="776" t="n">
        <f aca="false">+T$3</f>
        <v>2014</v>
      </c>
      <c r="U104" s="776" t="n">
        <f aca="false">+U$3</f>
        <v>2015</v>
      </c>
      <c r="V104" s="776" t="n">
        <f aca="false">+V$3</f>
        <v>2016</v>
      </c>
      <c r="W104" s="776" t="n">
        <f aca="false">+W$3</f>
        <v>2017</v>
      </c>
      <c r="X104" s="776" t="n">
        <f aca="false">+X$3</f>
        <v>2018</v>
      </c>
      <c r="Y104" s="776" t="n">
        <f aca="false">+Y$3</f>
        <v>2019</v>
      </c>
      <c r="Z104" s="776" t="n">
        <f aca="false">+Z$3</f>
        <v>2020</v>
      </c>
      <c r="AA104" s="776" t="n">
        <f aca="false">+AA$3</f>
        <v>2021</v>
      </c>
      <c r="AB104" s="776" t="n">
        <f aca="false">+AB$3</f>
        <v>2022</v>
      </c>
      <c r="AC104" s="776" t="n">
        <f aca="false">+AC$3</f>
        <v>2023</v>
      </c>
      <c r="AD104" s="776" t="n">
        <f aca="false">+AD$3</f>
        <v>2024</v>
      </c>
      <c r="AE104" s="776" t="n">
        <f aca="false">+AE$3</f>
        <v>2025</v>
      </c>
      <c r="AF104" s="776" t="n">
        <f aca="false">+AF$3</f>
        <v>2026</v>
      </c>
    </row>
    <row r="105" customFormat="false" ht="12" hidden="false" customHeight="false" outlineLevel="0" collapsed="false">
      <c r="A105" s="826"/>
      <c r="B105" s="826" t="s">
        <v>642</v>
      </c>
      <c r="I105" s="840" t="n">
        <f aca="false">+I20</f>
        <v>479637.116332</v>
      </c>
      <c r="J105" s="840" t="n">
        <f aca="false">+J20</f>
        <v>0</v>
      </c>
      <c r="K105" s="840" t="n">
        <f aca="false">+K20</f>
        <v>0</v>
      </c>
      <c r="L105" s="840" t="n">
        <f aca="false">+L20</f>
        <v>0</v>
      </c>
      <c r="M105" s="840" t="n">
        <f aca="false">+M20</f>
        <v>0</v>
      </c>
      <c r="N105" s="840" t="n">
        <f aca="false">+N20</f>
        <v>0</v>
      </c>
      <c r="O105" s="840" t="n">
        <f aca="false">+O20</f>
        <v>0</v>
      </c>
      <c r="P105" s="840" t="n">
        <f aca="false">+P20</f>
        <v>0</v>
      </c>
      <c r="Q105" s="840" t="n">
        <f aca="false">+Q20</f>
        <v>0</v>
      </c>
      <c r="R105" s="840" t="n">
        <f aca="false">+R20</f>
        <v>0</v>
      </c>
      <c r="S105" s="840" t="n">
        <f aca="false">+S20</f>
        <v>0</v>
      </c>
      <c r="T105" s="840" t="n">
        <f aca="false">+T20</f>
        <v>0</v>
      </c>
      <c r="U105" s="840" t="n">
        <f aca="false">+U20</f>
        <v>0</v>
      </c>
      <c r="V105" s="840" t="n">
        <f aca="false">+V20</f>
        <v>0</v>
      </c>
      <c r="W105" s="840" t="n">
        <f aca="false">+W20</f>
        <v>0</v>
      </c>
      <c r="X105" s="840" t="n">
        <f aca="false">+X20</f>
        <v>0</v>
      </c>
      <c r="Y105" s="840" t="n">
        <f aca="false">+Y20</f>
        <v>0</v>
      </c>
      <c r="Z105" s="840" t="n">
        <f aca="false">+Z20</f>
        <v>0</v>
      </c>
      <c r="AA105" s="840" t="n">
        <f aca="false">+AA20</f>
        <v>0</v>
      </c>
      <c r="AB105" s="840" t="n">
        <f aca="false">+AB20</f>
        <v>0</v>
      </c>
      <c r="AC105" s="840" t="n">
        <f aca="false">+AC20</f>
        <v>0</v>
      </c>
      <c r="AD105" s="840" t="n">
        <f aca="false">+AD20</f>
        <v>0</v>
      </c>
      <c r="AE105" s="840" t="n">
        <f aca="false">+AE20</f>
        <v>0</v>
      </c>
      <c r="AF105" s="840" t="n">
        <f aca="false">+AF20</f>
        <v>0</v>
      </c>
    </row>
    <row r="106" customFormat="false" ht="11.25" hidden="false" customHeight="false" outlineLevel="0" collapsed="false">
      <c r="A106" s="826"/>
      <c r="B106" s="826" t="s">
        <v>695</v>
      </c>
      <c r="I106" s="840" t="n">
        <f aca="false">+I25</f>
        <v>48563.258028615</v>
      </c>
      <c r="J106" s="840" t="n">
        <f aca="false">+J25</f>
        <v>0</v>
      </c>
      <c r="K106" s="840" t="n">
        <f aca="false">+K25</f>
        <v>0</v>
      </c>
      <c r="L106" s="840" t="n">
        <f aca="false">+L25</f>
        <v>0</v>
      </c>
      <c r="M106" s="840" t="n">
        <f aca="false">+M25</f>
        <v>0</v>
      </c>
      <c r="N106" s="840" t="n">
        <f aca="false">+N25</f>
        <v>0</v>
      </c>
      <c r="O106" s="840" t="n">
        <f aca="false">+O25</f>
        <v>0</v>
      </c>
      <c r="P106" s="840" t="n">
        <f aca="false">+P25</f>
        <v>0</v>
      </c>
      <c r="Q106" s="840" t="n">
        <f aca="false">+Q25</f>
        <v>0</v>
      </c>
      <c r="R106" s="840" t="n">
        <f aca="false">+R25</f>
        <v>0</v>
      </c>
      <c r="S106" s="840" t="n">
        <f aca="false">+S25</f>
        <v>0</v>
      </c>
      <c r="T106" s="840" t="n">
        <f aca="false">+T25</f>
        <v>0</v>
      </c>
      <c r="U106" s="840" t="n">
        <f aca="false">+U25</f>
        <v>0</v>
      </c>
      <c r="V106" s="840" t="n">
        <f aca="false">+V25</f>
        <v>0</v>
      </c>
      <c r="W106" s="840" t="n">
        <f aca="false">+W25</f>
        <v>0</v>
      </c>
      <c r="X106" s="840" t="n">
        <f aca="false">+X25</f>
        <v>0</v>
      </c>
      <c r="Y106" s="840" t="n">
        <f aca="false">+Y25</f>
        <v>0</v>
      </c>
      <c r="Z106" s="840" t="n">
        <f aca="false">+Z25</f>
        <v>0</v>
      </c>
      <c r="AA106" s="840" t="n">
        <f aca="false">+AA25</f>
        <v>0</v>
      </c>
      <c r="AB106" s="840" t="n">
        <f aca="false">+AB25</f>
        <v>0</v>
      </c>
      <c r="AC106" s="840" t="n">
        <f aca="false">+AC25</f>
        <v>0</v>
      </c>
      <c r="AD106" s="840" t="n">
        <f aca="false">+AD25</f>
        <v>0</v>
      </c>
      <c r="AE106" s="840" t="n">
        <f aca="false">+AE25</f>
        <v>0</v>
      </c>
      <c r="AF106" s="840" t="n">
        <f aca="false">+AF25</f>
        <v>0</v>
      </c>
    </row>
    <row r="107" customFormat="false" ht="11.25" hidden="false" customHeight="false" outlineLevel="0" collapsed="false">
      <c r="A107" s="826"/>
      <c r="B107" s="826" t="s">
        <v>696</v>
      </c>
      <c r="I107" s="840" t="n">
        <f aca="false">+I27</f>
        <v>0</v>
      </c>
      <c r="J107" s="840" t="n">
        <f aca="false">+J27</f>
        <v>0</v>
      </c>
      <c r="K107" s="840" t="n">
        <f aca="false">+K27</f>
        <v>0</v>
      </c>
      <c r="L107" s="840" t="n">
        <f aca="false">+L27</f>
        <v>0</v>
      </c>
      <c r="M107" s="840" t="n">
        <f aca="false">+M27</f>
        <v>0</v>
      </c>
      <c r="N107" s="840" t="n">
        <f aca="false">+N27</f>
        <v>0</v>
      </c>
      <c r="O107" s="840" t="n">
        <f aca="false">+O27</f>
        <v>0</v>
      </c>
      <c r="P107" s="840" t="n">
        <f aca="false">+P27</f>
        <v>0</v>
      </c>
      <c r="Q107" s="840" t="n">
        <f aca="false">+Q27</f>
        <v>0</v>
      </c>
      <c r="R107" s="840" t="n">
        <f aca="false">+R27</f>
        <v>0</v>
      </c>
      <c r="S107" s="840" t="n">
        <f aca="false">+S27</f>
        <v>0</v>
      </c>
      <c r="T107" s="840" t="n">
        <f aca="false">+T27</f>
        <v>0</v>
      </c>
      <c r="U107" s="840" t="n">
        <f aca="false">+U27</f>
        <v>0</v>
      </c>
      <c r="V107" s="840" t="n">
        <f aca="false">+V27</f>
        <v>0</v>
      </c>
      <c r="W107" s="840" t="n">
        <f aca="false">+W27</f>
        <v>0</v>
      </c>
      <c r="X107" s="840" t="n">
        <f aca="false">+X27</f>
        <v>0</v>
      </c>
      <c r="Y107" s="840" t="n">
        <f aca="false">+Y27</f>
        <v>0</v>
      </c>
      <c r="Z107" s="840" t="n">
        <f aca="false">+Z27</f>
        <v>0</v>
      </c>
      <c r="AA107" s="840" t="n">
        <f aca="false">+AA27</f>
        <v>0</v>
      </c>
      <c r="AB107" s="840" t="n">
        <f aca="false">+AB27</f>
        <v>0</v>
      </c>
      <c r="AC107" s="840" t="n">
        <f aca="false">+AC27</f>
        <v>0</v>
      </c>
      <c r="AD107" s="840" t="n">
        <f aca="false">+AD27</f>
        <v>0</v>
      </c>
      <c r="AE107" s="840" t="n">
        <f aca="false">+AE27</f>
        <v>0</v>
      </c>
      <c r="AF107" s="840" t="n">
        <f aca="false">+AF27</f>
        <v>0</v>
      </c>
    </row>
    <row r="108" customFormat="false" ht="11.25" hidden="false" customHeight="false" outlineLevel="0" collapsed="false">
      <c r="A108" s="826"/>
      <c r="B108" s="841" t="s">
        <v>661</v>
      </c>
      <c r="E108" s="842" t="n">
        <v>0</v>
      </c>
      <c r="F108" s="842" t="n">
        <v>0</v>
      </c>
      <c r="G108" s="842" t="n">
        <v>0</v>
      </c>
      <c r="H108" s="842" t="n">
        <v>0</v>
      </c>
      <c r="I108" s="834" t="n">
        <f aca="false">+I29</f>
        <v>528200.374360615</v>
      </c>
      <c r="J108" s="834" t="n">
        <f aca="false">+J29</f>
        <v>0</v>
      </c>
      <c r="K108" s="834" t="n">
        <f aca="false">+K29</f>
        <v>0</v>
      </c>
      <c r="L108" s="834" t="n">
        <f aca="false">+L29</f>
        <v>0</v>
      </c>
      <c r="M108" s="834" t="n">
        <f aca="false">+M29</f>
        <v>0</v>
      </c>
      <c r="N108" s="834" t="n">
        <f aca="false">+N29</f>
        <v>0</v>
      </c>
      <c r="O108" s="834" t="n">
        <f aca="false">+O29</f>
        <v>0</v>
      </c>
      <c r="P108" s="834" t="n">
        <f aca="false">+P29</f>
        <v>0</v>
      </c>
      <c r="Q108" s="834" t="n">
        <f aca="false">+Q29</f>
        <v>0</v>
      </c>
      <c r="R108" s="834" t="n">
        <f aca="false">+R29</f>
        <v>0</v>
      </c>
      <c r="S108" s="834" t="n">
        <f aca="false">+S29</f>
        <v>0</v>
      </c>
      <c r="T108" s="834" t="n">
        <f aca="false">+T29</f>
        <v>0</v>
      </c>
      <c r="U108" s="834" t="n">
        <f aca="false">+U29</f>
        <v>0</v>
      </c>
      <c r="V108" s="834" t="n">
        <f aca="false">+V29</f>
        <v>0</v>
      </c>
      <c r="W108" s="834" t="n">
        <f aca="false">+W29</f>
        <v>0</v>
      </c>
      <c r="X108" s="834" t="n">
        <f aca="false">+X29</f>
        <v>0</v>
      </c>
      <c r="Y108" s="834" t="n">
        <f aca="false">+Y29</f>
        <v>0</v>
      </c>
      <c r="Z108" s="834" t="n">
        <f aca="false">+Z29</f>
        <v>0</v>
      </c>
      <c r="AA108" s="834" t="n">
        <f aca="false">+AA29</f>
        <v>0</v>
      </c>
      <c r="AB108" s="834" t="n">
        <f aca="false">+AB29</f>
        <v>0</v>
      </c>
      <c r="AC108" s="834" t="n">
        <f aca="false">+AC29</f>
        <v>0</v>
      </c>
      <c r="AD108" s="834" t="n">
        <f aca="false">+AD29</f>
        <v>0</v>
      </c>
      <c r="AE108" s="834" t="n">
        <f aca="false">+AE29</f>
        <v>0</v>
      </c>
      <c r="AF108" s="834" t="n">
        <f aca="false">+AF29</f>
        <v>0</v>
      </c>
    </row>
    <row r="109" customFormat="false" ht="11.25" hidden="false" customHeight="false" outlineLevel="0" collapsed="false">
      <c r="A109" s="826"/>
      <c r="I109" s="781"/>
      <c r="J109" s="781"/>
      <c r="K109" s="781"/>
      <c r="L109" s="781"/>
      <c r="M109" s="781"/>
      <c r="N109" s="781"/>
      <c r="O109" s="781"/>
      <c r="P109" s="781"/>
      <c r="Q109" s="781"/>
      <c r="R109" s="781"/>
      <c r="S109" s="781"/>
      <c r="T109" s="781"/>
      <c r="U109" s="781"/>
      <c r="V109" s="781"/>
      <c r="W109" s="781"/>
      <c r="X109" s="781"/>
      <c r="Y109" s="781"/>
      <c r="Z109" s="781"/>
      <c r="AA109" s="781"/>
      <c r="AB109" s="781"/>
      <c r="AC109" s="781"/>
      <c r="AD109" s="781"/>
      <c r="AE109" s="781"/>
      <c r="AF109" s="781"/>
    </row>
    <row r="110" customFormat="false" ht="11.25" hidden="false" customHeight="false" outlineLevel="0" collapsed="false">
      <c r="A110" s="826"/>
      <c r="I110" s="781"/>
      <c r="J110" s="781"/>
      <c r="K110" s="781"/>
      <c r="L110" s="781"/>
      <c r="M110" s="781"/>
      <c r="N110" s="781"/>
      <c r="O110" s="781"/>
      <c r="P110" s="781"/>
      <c r="Q110" s="781"/>
      <c r="R110" s="781"/>
      <c r="S110" s="781"/>
      <c r="T110" s="781"/>
      <c r="U110" s="781"/>
      <c r="V110" s="781"/>
      <c r="W110" s="781"/>
      <c r="X110" s="781"/>
      <c r="Y110" s="781"/>
      <c r="Z110" s="781"/>
      <c r="AA110" s="781"/>
      <c r="AB110" s="781"/>
      <c r="AC110" s="781"/>
      <c r="AD110" s="781"/>
      <c r="AE110" s="781"/>
      <c r="AF110" s="781"/>
    </row>
    <row r="111" customFormat="false" ht="11.25" hidden="false" customHeight="false" outlineLevel="0" collapsed="false">
      <c r="A111" s="826"/>
      <c r="B111" s="826" t="s">
        <v>697</v>
      </c>
      <c r="I111" s="781"/>
      <c r="J111" s="781"/>
      <c r="K111" s="781"/>
      <c r="L111" s="781"/>
      <c r="M111" s="781"/>
      <c r="N111" s="781"/>
      <c r="O111" s="781"/>
      <c r="P111" s="781"/>
      <c r="Q111" s="781"/>
      <c r="R111" s="781"/>
      <c r="S111" s="781"/>
      <c r="T111" s="781"/>
      <c r="U111" s="781"/>
      <c r="V111" s="781"/>
      <c r="W111" s="781"/>
      <c r="X111" s="781"/>
      <c r="Y111" s="781"/>
      <c r="Z111" s="781"/>
      <c r="AA111" s="781"/>
      <c r="AB111" s="781"/>
      <c r="AC111" s="781"/>
      <c r="AD111" s="781"/>
      <c r="AE111" s="781"/>
      <c r="AF111" s="781"/>
    </row>
    <row r="112" customFormat="false" ht="11.25" hidden="false" customHeight="false" outlineLevel="0" collapsed="false">
      <c r="A112" s="826"/>
      <c r="B112" s="748" t="s">
        <v>698</v>
      </c>
      <c r="E112" s="843" t="n">
        <v>0</v>
      </c>
      <c r="F112" s="843" t="n">
        <v>0</v>
      </c>
      <c r="G112" s="843" t="n">
        <v>0</v>
      </c>
      <c r="H112" s="843" t="n">
        <v>0</v>
      </c>
      <c r="I112" s="843" t="n">
        <v>0</v>
      </c>
      <c r="J112" s="843" t="n">
        <v>0</v>
      </c>
      <c r="K112" s="843" t="n">
        <v>0</v>
      </c>
      <c r="L112" s="843" t="n">
        <v>0</v>
      </c>
      <c r="M112" s="843" t="n">
        <v>0</v>
      </c>
      <c r="N112" s="843" t="n">
        <v>0</v>
      </c>
      <c r="O112" s="843" t="n">
        <v>0</v>
      </c>
      <c r="P112" s="843" t="n">
        <v>0</v>
      </c>
      <c r="Q112" s="843" t="n">
        <v>0</v>
      </c>
      <c r="R112" s="843" t="n">
        <v>0</v>
      </c>
      <c r="S112" s="843" t="n">
        <v>0</v>
      </c>
      <c r="T112" s="843" t="n">
        <v>0</v>
      </c>
      <c r="U112" s="843" t="n">
        <v>0</v>
      </c>
      <c r="V112" s="843" t="n">
        <v>0</v>
      </c>
      <c r="W112" s="843" t="n">
        <v>0</v>
      </c>
      <c r="X112" s="843" t="n">
        <v>0</v>
      </c>
      <c r="Y112" s="843" t="n">
        <v>0</v>
      </c>
      <c r="Z112" s="843" t="n">
        <v>0</v>
      </c>
      <c r="AA112" s="843" t="n">
        <v>0</v>
      </c>
      <c r="AB112" s="843" t="n">
        <v>0</v>
      </c>
      <c r="AC112" s="843" t="n">
        <v>0</v>
      </c>
      <c r="AD112" s="843" t="n">
        <v>0</v>
      </c>
      <c r="AE112" s="843" t="n">
        <v>0</v>
      </c>
      <c r="AF112" s="843" t="n">
        <v>0</v>
      </c>
    </row>
    <row r="113" customFormat="false" ht="11.25" hidden="false" customHeight="false" outlineLevel="0" collapsed="false">
      <c r="A113" s="826"/>
      <c r="B113" s="800" t="s">
        <v>699</v>
      </c>
      <c r="I113" s="781" t="n">
        <f aca="false">+I72</f>
        <v>11990.9279083</v>
      </c>
      <c r="J113" s="781" t="n">
        <f aca="false">+J72</f>
        <v>23981.8558166</v>
      </c>
      <c r="K113" s="781" t="n">
        <f aca="false">+K72</f>
        <v>23981.8558166</v>
      </c>
      <c r="L113" s="781" t="n">
        <f aca="false">+L72</f>
        <v>23981.8558166</v>
      </c>
      <c r="M113" s="781" t="n">
        <f aca="false">+M72</f>
        <v>23981.8558166</v>
      </c>
      <c r="N113" s="781" t="n">
        <f aca="false">+N72</f>
        <v>23981.8558166</v>
      </c>
      <c r="O113" s="781" t="n">
        <f aca="false">+O72</f>
        <v>23981.8558166</v>
      </c>
      <c r="P113" s="781" t="n">
        <f aca="false">+P72</f>
        <v>23981.8558166</v>
      </c>
      <c r="Q113" s="781" t="n">
        <f aca="false">+Q72</f>
        <v>23981.8558166</v>
      </c>
      <c r="R113" s="781" t="n">
        <f aca="false">+R72</f>
        <v>23981.8558166</v>
      </c>
      <c r="S113" s="781" t="n">
        <f aca="false">+S72</f>
        <v>23981.8558166</v>
      </c>
      <c r="T113" s="781" t="n">
        <f aca="false">+T72</f>
        <v>23981.8558166</v>
      </c>
      <c r="U113" s="781" t="n">
        <f aca="false">+U72</f>
        <v>23981.8558166</v>
      </c>
      <c r="V113" s="781" t="n">
        <f aca="false">+V72</f>
        <v>23981.8558166</v>
      </c>
      <c r="W113" s="781" t="n">
        <f aca="false">+W72</f>
        <v>23981.8558166</v>
      </c>
      <c r="X113" s="781" t="n">
        <f aca="false">+X72</f>
        <v>23981.8558166</v>
      </c>
      <c r="Y113" s="781" t="n">
        <f aca="false">+Y72</f>
        <v>23981.8558166</v>
      </c>
      <c r="Z113" s="781" t="n">
        <f aca="false">+Z72</f>
        <v>23981.8558166</v>
      </c>
      <c r="AA113" s="781" t="n">
        <f aca="false">+AA72</f>
        <v>23981.8558166</v>
      </c>
      <c r="AB113" s="781" t="n">
        <f aca="false">+AB72</f>
        <v>23981.8558166</v>
      </c>
      <c r="AC113" s="781" t="n">
        <f aca="false">+AC72</f>
        <v>11990.9279083</v>
      </c>
      <c r="AD113" s="781" t="n">
        <f aca="false">+AD72</f>
        <v>0</v>
      </c>
      <c r="AE113" s="781" t="n">
        <f aca="false">+AE72</f>
        <v>0</v>
      </c>
      <c r="AF113" s="781" t="n">
        <f aca="false">+AF72</f>
        <v>0</v>
      </c>
    </row>
    <row r="114" customFormat="false" ht="11.25" hidden="false" customHeight="false" outlineLevel="0" collapsed="false">
      <c r="A114" s="826"/>
      <c r="B114" s="800" t="s">
        <v>700</v>
      </c>
      <c r="E114" s="844" t="n">
        <f aca="false">+E112</f>
        <v>0</v>
      </c>
      <c r="F114" s="844" t="n">
        <f aca="false">+F112</f>
        <v>0</v>
      </c>
      <c r="G114" s="844" t="n">
        <f aca="false">+G112</f>
        <v>0</v>
      </c>
      <c r="H114" s="844" t="n">
        <f aca="false">+H112</f>
        <v>0</v>
      </c>
      <c r="I114" s="834" t="n">
        <f aca="false">+I113+I112</f>
        <v>11990.9279083</v>
      </c>
      <c r="J114" s="834" t="n">
        <f aca="false">+J113+J112</f>
        <v>23981.8558166</v>
      </c>
      <c r="K114" s="834" t="n">
        <f aca="false">+K113+K112</f>
        <v>23981.8558166</v>
      </c>
      <c r="L114" s="834" t="n">
        <f aca="false">+L113+L112</f>
        <v>23981.8558166</v>
      </c>
      <c r="M114" s="834" t="n">
        <f aca="false">+M113+M112</f>
        <v>23981.8558166</v>
      </c>
      <c r="N114" s="834" t="n">
        <f aca="false">+N113+N112</f>
        <v>23981.8558166</v>
      </c>
      <c r="O114" s="834" t="n">
        <f aca="false">+O113+O112</f>
        <v>23981.8558166</v>
      </c>
      <c r="P114" s="834" t="n">
        <f aca="false">+P113+P112</f>
        <v>23981.8558166</v>
      </c>
      <c r="Q114" s="834" t="n">
        <f aca="false">+Q113+Q112</f>
        <v>23981.8558166</v>
      </c>
      <c r="R114" s="834" t="n">
        <f aca="false">+R113+R112</f>
        <v>23981.8558166</v>
      </c>
      <c r="S114" s="834" t="n">
        <f aca="false">+S113+S112</f>
        <v>23981.8558166</v>
      </c>
      <c r="T114" s="834" t="n">
        <f aca="false">+T113+T112</f>
        <v>23981.8558166</v>
      </c>
      <c r="U114" s="834" t="n">
        <f aca="false">+U113+U112</f>
        <v>23981.8558166</v>
      </c>
      <c r="V114" s="834" t="n">
        <f aca="false">+V113+V112</f>
        <v>23981.8558166</v>
      </c>
      <c r="W114" s="834" t="n">
        <f aca="false">+W113+W112</f>
        <v>23981.8558166</v>
      </c>
      <c r="X114" s="834" t="n">
        <f aca="false">+X113+X112</f>
        <v>23981.8558166</v>
      </c>
      <c r="Y114" s="834" t="n">
        <f aca="false">+Y113+Y112</f>
        <v>23981.8558166</v>
      </c>
      <c r="Z114" s="834" t="n">
        <f aca="false">+Z113+Z112</f>
        <v>23981.8558166</v>
      </c>
      <c r="AA114" s="834" t="n">
        <f aca="false">+AA113+AA112</f>
        <v>23981.8558166</v>
      </c>
      <c r="AB114" s="834" t="n">
        <f aca="false">+AB113+AB112</f>
        <v>23981.8558166</v>
      </c>
      <c r="AC114" s="834" t="n">
        <f aca="false">+AC113+AC112</f>
        <v>11990.9279083</v>
      </c>
      <c r="AD114" s="834" t="n">
        <f aca="false">+AD113+AD112</f>
        <v>0</v>
      </c>
      <c r="AE114" s="834" t="n">
        <f aca="false">+AE113+AE112</f>
        <v>0</v>
      </c>
      <c r="AF114" s="834" t="n">
        <f aca="false">+AF113+AF112</f>
        <v>0</v>
      </c>
    </row>
    <row r="115" customFormat="false" ht="11.25" hidden="false" customHeight="false" outlineLevel="0" collapsed="false">
      <c r="A115" s="826"/>
      <c r="B115" s="800" t="s">
        <v>701</v>
      </c>
      <c r="E115" s="845"/>
      <c r="F115" s="845"/>
      <c r="G115" s="845"/>
      <c r="H115" s="845"/>
      <c r="I115" s="824" t="n">
        <f aca="false">+I77</f>
        <v>3468.80414490107</v>
      </c>
      <c r="J115" s="824" t="n">
        <f aca="false">+J77</f>
        <v>6937.60828980214</v>
      </c>
      <c r="K115" s="824" t="n">
        <f aca="false">+K77</f>
        <v>6937.60828980214</v>
      </c>
      <c r="L115" s="824" t="n">
        <f aca="false">+L77</f>
        <v>6937.60828980214</v>
      </c>
      <c r="M115" s="824" t="n">
        <f aca="false">+M77</f>
        <v>6937.60828980214</v>
      </c>
      <c r="N115" s="824" t="n">
        <f aca="false">+N77</f>
        <v>6937.60828980214</v>
      </c>
      <c r="O115" s="824" t="n">
        <f aca="false">+O77</f>
        <v>6937.60828980214</v>
      </c>
      <c r="P115" s="824" t="n">
        <f aca="false">+P77</f>
        <v>3468.80414490107</v>
      </c>
      <c r="Q115" s="824" t="n">
        <f aca="false">+Q77</f>
        <v>0</v>
      </c>
      <c r="R115" s="824" t="n">
        <f aca="false">+R77</f>
        <v>0</v>
      </c>
      <c r="S115" s="824" t="n">
        <f aca="false">+S77</f>
        <v>0</v>
      </c>
      <c r="T115" s="824" t="n">
        <f aca="false">+T77</f>
        <v>0</v>
      </c>
      <c r="U115" s="824" t="n">
        <f aca="false">+U77</f>
        <v>0</v>
      </c>
      <c r="V115" s="824" t="n">
        <f aca="false">+V77</f>
        <v>0</v>
      </c>
      <c r="W115" s="824" t="n">
        <f aca="false">+W77</f>
        <v>0</v>
      </c>
      <c r="X115" s="824" t="n">
        <f aca="false">+X77</f>
        <v>0</v>
      </c>
      <c r="Y115" s="824" t="n">
        <f aca="false">+Y77</f>
        <v>0</v>
      </c>
      <c r="Z115" s="824" t="n">
        <f aca="false">+Z77</f>
        <v>0</v>
      </c>
      <c r="AA115" s="824" t="n">
        <f aca="false">+AA77</f>
        <v>0</v>
      </c>
      <c r="AB115" s="824" t="n">
        <f aca="false">+AB77</f>
        <v>0</v>
      </c>
      <c r="AC115" s="824" t="n">
        <f aca="false">+AC77</f>
        <v>0</v>
      </c>
      <c r="AD115" s="824" t="n">
        <f aca="false">+AD77</f>
        <v>0</v>
      </c>
      <c r="AE115" s="824" t="n">
        <f aca="false">+AE77</f>
        <v>0</v>
      </c>
      <c r="AF115" s="824" t="n">
        <f aca="false">+AF77</f>
        <v>0</v>
      </c>
    </row>
    <row r="116" customFormat="false" ht="11.25" hidden="false" customHeight="false" outlineLevel="0" collapsed="false">
      <c r="A116" s="826"/>
      <c r="I116" s="781"/>
      <c r="J116" s="781"/>
      <c r="K116" s="781"/>
      <c r="L116" s="781"/>
      <c r="M116" s="781"/>
      <c r="N116" s="781"/>
      <c r="O116" s="781"/>
      <c r="P116" s="781"/>
      <c r="Q116" s="781"/>
      <c r="R116" s="781"/>
      <c r="S116" s="781"/>
      <c r="T116" s="781"/>
      <c r="U116" s="781"/>
      <c r="V116" s="781"/>
      <c r="W116" s="781"/>
      <c r="X116" s="781"/>
      <c r="Y116" s="781"/>
      <c r="Z116" s="781"/>
      <c r="AA116" s="781"/>
      <c r="AB116" s="781"/>
      <c r="AC116" s="781"/>
      <c r="AD116" s="781"/>
      <c r="AE116" s="781"/>
      <c r="AF116" s="781"/>
    </row>
    <row r="117" customFormat="false" ht="11.25" hidden="false" customHeight="false" outlineLevel="0" collapsed="false">
      <c r="A117" s="826"/>
      <c r="B117" s="826" t="s">
        <v>702</v>
      </c>
      <c r="I117" s="781"/>
      <c r="J117" s="781"/>
      <c r="K117" s="781"/>
      <c r="L117" s="781"/>
      <c r="M117" s="781"/>
      <c r="N117" s="781"/>
      <c r="O117" s="781"/>
      <c r="P117" s="781"/>
      <c r="Q117" s="781"/>
      <c r="R117" s="781"/>
      <c r="S117" s="781"/>
      <c r="T117" s="781"/>
      <c r="U117" s="781"/>
      <c r="V117" s="781"/>
      <c r="W117" s="781"/>
      <c r="X117" s="781"/>
      <c r="Y117" s="781"/>
      <c r="Z117" s="781"/>
      <c r="AA117" s="781"/>
      <c r="AB117" s="781"/>
      <c r="AC117" s="781"/>
      <c r="AD117" s="781"/>
      <c r="AE117" s="781"/>
      <c r="AF117" s="781"/>
    </row>
    <row r="118" customFormat="false" ht="11.25" hidden="false" customHeight="false" outlineLevel="0" collapsed="false">
      <c r="A118" s="826"/>
      <c r="B118" s="748" t="s">
        <v>698</v>
      </c>
      <c r="E118" s="843" t="n">
        <v>0</v>
      </c>
      <c r="F118" s="843" t="n">
        <v>0</v>
      </c>
      <c r="G118" s="843" t="n">
        <v>0</v>
      </c>
      <c r="H118" s="843" t="n">
        <v>0</v>
      </c>
      <c r="I118" s="843" t="n">
        <v>0</v>
      </c>
      <c r="J118" s="843" t="n">
        <v>0</v>
      </c>
      <c r="K118" s="843" t="n">
        <v>0</v>
      </c>
      <c r="L118" s="843" t="n">
        <v>0</v>
      </c>
      <c r="M118" s="843" t="n">
        <v>0</v>
      </c>
      <c r="N118" s="843" t="n">
        <v>0</v>
      </c>
      <c r="O118" s="843" t="n">
        <v>0</v>
      </c>
      <c r="P118" s="843" t="n">
        <v>0</v>
      </c>
      <c r="Q118" s="843" t="n">
        <v>0</v>
      </c>
      <c r="R118" s="843" t="n">
        <v>0</v>
      </c>
      <c r="S118" s="843" t="n">
        <v>0</v>
      </c>
      <c r="T118" s="843" t="n">
        <v>0</v>
      </c>
      <c r="U118" s="843" t="n">
        <v>0</v>
      </c>
      <c r="V118" s="843" t="n">
        <v>0</v>
      </c>
      <c r="W118" s="843" t="n">
        <v>0</v>
      </c>
      <c r="X118" s="843" t="n">
        <v>0</v>
      </c>
      <c r="Y118" s="843" t="n">
        <v>0</v>
      </c>
      <c r="Z118" s="843" t="n">
        <v>0</v>
      </c>
      <c r="AA118" s="843" t="n">
        <v>0</v>
      </c>
      <c r="AB118" s="843" t="n">
        <v>0</v>
      </c>
      <c r="AC118" s="843" t="n">
        <v>0</v>
      </c>
      <c r="AD118" s="843" t="n">
        <v>0</v>
      </c>
      <c r="AE118" s="843" t="n">
        <v>0</v>
      </c>
      <c r="AF118" s="843" t="n">
        <v>0</v>
      </c>
    </row>
    <row r="119" customFormat="false" ht="11.25" hidden="false" customHeight="false" outlineLevel="0" collapsed="false">
      <c r="A119" s="826"/>
      <c r="B119" s="800" t="s">
        <v>699</v>
      </c>
      <c r="I119" s="781" t="n">
        <f aca="false">+I93</f>
        <v>17986.39186245</v>
      </c>
      <c r="J119" s="781" t="n">
        <f aca="false">+J93</f>
        <v>34625.0034280071</v>
      </c>
      <c r="K119" s="781" t="n">
        <f aca="false">+K93</f>
        <v>32025.3702574876</v>
      </c>
      <c r="L119" s="781" t="n">
        <f aca="false">+L93</f>
        <v>29627.1846758276</v>
      </c>
      <c r="M119" s="781" t="n">
        <f aca="false">+M93</f>
        <v>27401.6684560471</v>
      </c>
      <c r="N119" s="781" t="n">
        <f aca="false">+N93</f>
        <v>25348.8215981462</v>
      </c>
      <c r="O119" s="781" t="n">
        <f aca="false">+O93</f>
        <v>23444.6622463081</v>
      </c>
      <c r="P119" s="781" t="n">
        <f aca="false">+P93</f>
        <v>21689.190400533</v>
      </c>
      <c r="Q119" s="781" t="n">
        <f aca="false">+Q93</f>
        <v>21401.4081307338</v>
      </c>
      <c r="R119" s="781" t="n">
        <f aca="false">+R93</f>
        <v>21396.6117595705</v>
      </c>
      <c r="S119" s="781" t="n">
        <f aca="false">+S93</f>
        <v>21401.4081307338</v>
      </c>
      <c r="T119" s="781" t="n">
        <f aca="false">+T93</f>
        <v>21396.6117595705</v>
      </c>
      <c r="U119" s="781" t="n">
        <f aca="false">+U93</f>
        <v>21401.4081307338</v>
      </c>
      <c r="V119" s="781" t="n">
        <f aca="false">+V93</f>
        <v>21396.6117595705</v>
      </c>
      <c r="W119" s="781" t="n">
        <f aca="false">+W93</f>
        <v>21401.4081307338</v>
      </c>
      <c r="X119" s="781" t="n">
        <f aca="false">+X93</f>
        <v>21396.6117595705</v>
      </c>
      <c r="Y119" s="781" t="n">
        <f aca="false">+Y93</f>
        <v>21401.4081307338</v>
      </c>
      <c r="Z119" s="781" t="n">
        <f aca="false">+Z93</f>
        <v>21396.6117595705</v>
      </c>
      <c r="AA119" s="781" t="n">
        <f aca="false">+AA93</f>
        <v>21401.4081307338</v>
      </c>
      <c r="AB119" s="781" t="n">
        <f aca="false">+AB93</f>
        <v>21396.6117595705</v>
      </c>
      <c r="AC119" s="781" t="n">
        <f aca="false">+AC93</f>
        <v>10700.7040653669</v>
      </c>
      <c r="AD119" s="781" t="n">
        <f aca="false">+AD93</f>
        <v>0</v>
      </c>
      <c r="AE119" s="781" t="n">
        <f aca="false">+AE93</f>
        <v>0</v>
      </c>
      <c r="AF119" s="781" t="n">
        <f aca="false">+AF93</f>
        <v>0</v>
      </c>
    </row>
    <row r="120" customFormat="false" ht="11.25" hidden="false" customHeight="false" outlineLevel="0" collapsed="false">
      <c r="B120" s="800" t="s">
        <v>703</v>
      </c>
      <c r="E120" s="844" t="n">
        <f aca="false">+E118</f>
        <v>0</v>
      </c>
      <c r="F120" s="844" t="n">
        <f aca="false">+F118</f>
        <v>0</v>
      </c>
      <c r="G120" s="844" t="n">
        <f aca="false">+G118</f>
        <v>0</v>
      </c>
      <c r="H120" s="844" t="n">
        <f aca="false">+H118</f>
        <v>0</v>
      </c>
      <c r="I120" s="834" t="n">
        <f aca="false">+I119+I118</f>
        <v>17986.39186245</v>
      </c>
      <c r="J120" s="834" t="n">
        <f aca="false">+J119+J118</f>
        <v>34625.0034280071</v>
      </c>
      <c r="K120" s="834" t="n">
        <f aca="false">+K119+K118</f>
        <v>32025.3702574876</v>
      </c>
      <c r="L120" s="834" t="n">
        <f aca="false">+L119+L118</f>
        <v>29627.1846758276</v>
      </c>
      <c r="M120" s="834" t="n">
        <f aca="false">+M119+M118</f>
        <v>27401.6684560471</v>
      </c>
      <c r="N120" s="834" t="n">
        <f aca="false">+N119+N118</f>
        <v>25348.8215981462</v>
      </c>
      <c r="O120" s="834" t="n">
        <f aca="false">+O119+O118</f>
        <v>23444.6622463081</v>
      </c>
      <c r="P120" s="834" t="n">
        <f aca="false">+P119+P118</f>
        <v>21689.190400533</v>
      </c>
      <c r="Q120" s="834" t="n">
        <f aca="false">+Q119+Q118</f>
        <v>21401.4081307338</v>
      </c>
      <c r="R120" s="834" t="n">
        <f aca="false">+R119+R118</f>
        <v>21396.6117595705</v>
      </c>
      <c r="S120" s="834" t="n">
        <f aca="false">+S119+S118</f>
        <v>21401.4081307338</v>
      </c>
      <c r="T120" s="834" t="n">
        <f aca="false">+T119+T118</f>
        <v>21396.6117595705</v>
      </c>
      <c r="U120" s="834" t="n">
        <f aca="false">+U119+U118</f>
        <v>21401.4081307338</v>
      </c>
      <c r="V120" s="834" t="n">
        <f aca="false">+V119+V118</f>
        <v>21396.6117595705</v>
      </c>
      <c r="W120" s="834" t="n">
        <f aca="false">+W119+W118</f>
        <v>21401.4081307338</v>
      </c>
      <c r="X120" s="834" t="n">
        <f aca="false">+X119+X118</f>
        <v>21396.6117595705</v>
      </c>
      <c r="Y120" s="834" t="n">
        <f aca="false">+Y119+Y118</f>
        <v>21401.4081307338</v>
      </c>
      <c r="Z120" s="834" t="n">
        <f aca="false">+Z119+Z118</f>
        <v>21396.6117595705</v>
      </c>
      <c r="AA120" s="834" t="n">
        <f aca="false">+AA119+AA118</f>
        <v>21401.4081307338</v>
      </c>
      <c r="AB120" s="834" t="n">
        <f aca="false">+AB119+AB118</f>
        <v>21396.6117595705</v>
      </c>
      <c r="AC120" s="834" t="n">
        <f aca="false">+AC119+AC118</f>
        <v>10700.7040653669</v>
      </c>
      <c r="AD120" s="834" t="n">
        <f aca="false">+AD119+AD118</f>
        <v>0</v>
      </c>
      <c r="AE120" s="834" t="n">
        <f aca="false">+AE119+AE118</f>
        <v>0</v>
      </c>
      <c r="AF120" s="834" t="n">
        <f aca="false">+AF119+AF118</f>
        <v>0</v>
      </c>
    </row>
    <row r="121" customFormat="false" ht="11.25" hidden="false" customHeight="false" outlineLevel="0" collapsed="false">
      <c r="B121" s="800" t="s">
        <v>704</v>
      </c>
      <c r="E121" s="845"/>
      <c r="F121" s="845"/>
      <c r="G121" s="845"/>
      <c r="H121" s="845"/>
      <c r="I121" s="824" t="n">
        <f aca="false">+I98</f>
        <v>2428.16290143075</v>
      </c>
      <c r="J121" s="824" t="n">
        <f aca="false">+J98</f>
        <v>4613.50951271842</v>
      </c>
      <c r="K121" s="824" t="n">
        <f aca="false">+K98</f>
        <v>4152.15856144658</v>
      </c>
      <c r="L121" s="824" t="n">
        <f aca="false">+L98</f>
        <v>3739.37086820335</v>
      </c>
      <c r="M121" s="824" t="n">
        <f aca="false">+M98</f>
        <v>3365.43378138302</v>
      </c>
      <c r="N121" s="824" t="n">
        <f aca="false">+N98</f>
        <v>3025.49097518271</v>
      </c>
      <c r="O121" s="824" t="n">
        <f aca="false">+O98</f>
        <v>2865.23222368828</v>
      </c>
      <c r="P121" s="824" t="n">
        <f aca="false">+P98</f>
        <v>2865.23222368828</v>
      </c>
      <c r="Q121" s="824" t="n">
        <f aca="false">+Q98</f>
        <v>2870.08854949115</v>
      </c>
      <c r="R121" s="824" t="n">
        <f aca="false">+R98</f>
        <v>2865.23222368828</v>
      </c>
      <c r="S121" s="824" t="n">
        <f aca="false">+S98</f>
        <v>2870.08854949115</v>
      </c>
      <c r="T121" s="824" t="n">
        <f aca="false">+T98</f>
        <v>2865.23222368828</v>
      </c>
      <c r="U121" s="824" t="n">
        <f aca="false">+U98</f>
        <v>2870.08854949115</v>
      </c>
      <c r="V121" s="824" t="n">
        <f aca="false">+V98</f>
        <v>2865.23222368828</v>
      </c>
      <c r="W121" s="824" t="n">
        <f aca="false">+W98</f>
        <v>2870.08854949115</v>
      </c>
      <c r="X121" s="824" t="n">
        <f aca="false">+X98</f>
        <v>1422.90346023842</v>
      </c>
      <c r="Y121" s="824" t="n">
        <f aca="false">+Y98</f>
        <v>0</v>
      </c>
      <c r="Z121" s="824" t="n">
        <f aca="false">+Z98</f>
        <v>0</v>
      </c>
      <c r="AA121" s="824" t="n">
        <f aca="false">+AA98</f>
        <v>0</v>
      </c>
      <c r="AB121" s="824" t="n">
        <f aca="false">+AB98</f>
        <v>0</v>
      </c>
      <c r="AC121" s="824" t="n">
        <f aca="false">+AC98</f>
        <v>0</v>
      </c>
      <c r="AD121" s="824" t="n">
        <f aca="false">+AD98</f>
        <v>0</v>
      </c>
      <c r="AE121" s="824" t="n">
        <f aca="false">+AE98</f>
        <v>0</v>
      </c>
      <c r="AF121" s="824" t="n">
        <f aca="false">+AF98</f>
        <v>0</v>
      </c>
    </row>
    <row r="122" customFormat="false" ht="11.25" hidden="false" customHeight="false" outlineLevel="0" collapsed="false">
      <c r="B122" s="800"/>
      <c r="E122" s="845"/>
      <c r="F122" s="845"/>
      <c r="G122" s="845"/>
      <c r="H122" s="845"/>
      <c r="I122" s="824"/>
      <c r="J122" s="824"/>
      <c r="K122" s="824"/>
      <c r="L122" s="824"/>
      <c r="M122" s="824"/>
      <c r="N122" s="824"/>
      <c r="O122" s="824"/>
      <c r="P122" s="824"/>
      <c r="Q122" s="824"/>
      <c r="R122" s="824"/>
      <c r="S122" s="824"/>
      <c r="T122" s="824"/>
      <c r="U122" s="824"/>
      <c r="V122" s="824"/>
      <c r="W122" s="824"/>
      <c r="X122" s="824"/>
      <c r="Y122" s="824"/>
      <c r="Z122" s="824"/>
      <c r="AA122" s="824"/>
      <c r="AB122" s="824"/>
      <c r="AC122" s="824"/>
      <c r="AD122" s="824"/>
      <c r="AE122" s="824"/>
      <c r="AF122" s="824"/>
    </row>
    <row r="123" customFormat="false" ht="12" hidden="false" customHeight="false" outlineLevel="0" collapsed="false">
      <c r="A123" s="838"/>
      <c r="B123" s="846"/>
      <c r="C123" s="838"/>
      <c r="D123" s="838"/>
      <c r="E123" s="847"/>
      <c r="F123" s="847"/>
      <c r="G123" s="847"/>
      <c r="H123" s="847"/>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c r="AE123" s="839"/>
      <c r="AF123" s="839"/>
    </row>
    <row r="124" customFormat="false" ht="12" hidden="false" customHeight="false" outlineLevel="0" collapsed="false">
      <c r="A124" s="848" t="s">
        <v>705</v>
      </c>
      <c r="B124" s="800"/>
      <c r="E124" s="771"/>
      <c r="F124" s="771"/>
      <c r="G124" s="771"/>
      <c r="H124" s="771"/>
      <c r="I124" s="781"/>
      <c r="J124" s="781"/>
      <c r="K124" s="781"/>
      <c r="L124" s="781"/>
      <c r="M124" s="781"/>
      <c r="N124" s="781"/>
      <c r="O124" s="781"/>
      <c r="P124" s="781"/>
      <c r="Q124" s="781"/>
      <c r="R124" s="781"/>
      <c r="S124" s="781"/>
      <c r="T124" s="781"/>
      <c r="U124" s="781"/>
      <c r="V124" s="781"/>
      <c r="W124" s="781"/>
      <c r="X124" s="781"/>
      <c r="Y124" s="781"/>
      <c r="Z124" s="781"/>
      <c r="AA124" s="781"/>
      <c r="AB124" s="781"/>
      <c r="AC124" s="781"/>
      <c r="AD124" s="781"/>
      <c r="AE124" s="781"/>
      <c r="AF124" s="781"/>
    </row>
    <row r="125" customFormat="false" ht="12" hidden="false" customHeight="false" outlineLevel="0" collapsed="false">
      <c r="A125" s="848"/>
      <c r="B125" s="800"/>
      <c r="E125" s="771"/>
      <c r="F125" s="771"/>
      <c r="G125" s="771"/>
      <c r="H125" s="771"/>
      <c r="I125" s="781"/>
      <c r="J125" s="781"/>
      <c r="K125" s="781"/>
      <c r="L125" s="781"/>
      <c r="M125" s="781"/>
      <c r="N125" s="781"/>
      <c r="O125" s="781"/>
      <c r="P125" s="781"/>
      <c r="Q125" s="781"/>
      <c r="R125" s="781"/>
      <c r="S125" s="781"/>
      <c r="T125" s="781"/>
      <c r="U125" s="781"/>
      <c r="V125" s="781"/>
      <c r="W125" s="781"/>
      <c r="X125" s="781"/>
      <c r="Y125" s="781"/>
      <c r="Z125" s="781"/>
      <c r="AA125" s="781"/>
      <c r="AB125" s="781"/>
      <c r="AC125" s="781"/>
      <c r="AD125" s="781"/>
      <c r="AE125" s="781"/>
      <c r="AF125" s="781"/>
    </row>
    <row r="126" customFormat="false" ht="12.75" hidden="false" customHeight="false" outlineLevel="0" collapsed="false">
      <c r="A126" s="826" t="s">
        <v>706</v>
      </c>
      <c r="I126" s="775" t="n">
        <f aca="false">+I$3</f>
        <v>37986</v>
      </c>
      <c r="J126" s="776" t="n">
        <f aca="false">+J$3</f>
        <v>2004</v>
      </c>
      <c r="K126" s="776" t="n">
        <f aca="false">+K$3</f>
        <v>2005</v>
      </c>
      <c r="L126" s="776" t="n">
        <f aca="false">+L$3</f>
        <v>2006</v>
      </c>
      <c r="M126" s="776" t="n">
        <f aca="false">+M$3</f>
        <v>2007</v>
      </c>
      <c r="N126" s="776" t="n">
        <f aca="false">+N$3</f>
        <v>2008</v>
      </c>
      <c r="O126" s="776" t="n">
        <f aca="false">+O$3</f>
        <v>2009</v>
      </c>
      <c r="P126" s="776" t="n">
        <f aca="false">+P$3</f>
        <v>2010</v>
      </c>
      <c r="Q126" s="776" t="n">
        <f aca="false">+Q$3</f>
        <v>2011</v>
      </c>
      <c r="R126" s="776" t="n">
        <f aca="false">+R$3</f>
        <v>2012</v>
      </c>
      <c r="S126" s="776" t="n">
        <f aca="false">+S$3</f>
        <v>2013</v>
      </c>
      <c r="T126" s="776" t="n">
        <f aca="false">+T$3</f>
        <v>2014</v>
      </c>
      <c r="U126" s="776" t="n">
        <f aca="false">+U$3</f>
        <v>2015</v>
      </c>
      <c r="V126" s="776" t="n">
        <f aca="false">+V$3</f>
        <v>2016</v>
      </c>
      <c r="W126" s="776" t="n">
        <f aca="false">+W$3</f>
        <v>2017</v>
      </c>
      <c r="X126" s="776" t="n">
        <f aca="false">+X$3</f>
        <v>2018</v>
      </c>
      <c r="Y126" s="776" t="n">
        <f aca="false">+Y$3</f>
        <v>2019</v>
      </c>
      <c r="Z126" s="776" t="n">
        <f aca="false">+Z$3</f>
        <v>2020</v>
      </c>
      <c r="AA126" s="776" t="n">
        <f aca="false">+AA$3</f>
        <v>2021</v>
      </c>
      <c r="AB126" s="776" t="n">
        <f aca="false">+AB$3</f>
        <v>2022</v>
      </c>
      <c r="AC126" s="776" t="n">
        <f aca="false">+AC$3</f>
        <v>2023</v>
      </c>
      <c r="AD126" s="776" t="n">
        <f aca="false">+AD$3</f>
        <v>2024</v>
      </c>
      <c r="AE126" s="776" t="n">
        <f aca="false">+AE$3</f>
        <v>2025</v>
      </c>
      <c r="AF126" s="776" t="n">
        <f aca="false">+AF$3</f>
        <v>2026</v>
      </c>
    </row>
    <row r="127" customFormat="false" ht="12" hidden="false" customHeight="false" outlineLevel="0" collapsed="false">
      <c r="A127" s="849" t="s">
        <v>707</v>
      </c>
      <c r="B127" s="800" t="s">
        <v>708</v>
      </c>
      <c r="D127" s="770"/>
    </row>
    <row r="128" customFormat="false" ht="11.25" hidden="false" customHeight="false" outlineLevel="0" collapsed="false">
      <c r="B128" s="800" t="s">
        <v>709</v>
      </c>
      <c r="I128" s="850" t="n">
        <f aca="false">Assumptions!$C$26</f>
        <v>0.02</v>
      </c>
      <c r="J128" s="850" t="n">
        <f aca="false">Assumptions!$C$26</f>
        <v>0.02</v>
      </c>
      <c r="K128" s="850" t="n">
        <f aca="false">Assumptions!$C$26</f>
        <v>0.02</v>
      </c>
      <c r="L128" s="850" t="n">
        <f aca="false">Assumptions!$C$26</f>
        <v>0.02</v>
      </c>
      <c r="M128" s="850" t="n">
        <f aca="false">Assumptions!$C$26</f>
        <v>0.02</v>
      </c>
      <c r="N128" s="850" t="n">
        <f aca="false">Assumptions!$C$26</f>
        <v>0.02</v>
      </c>
      <c r="O128" s="850" t="n">
        <f aca="false">Assumptions!$C$26</f>
        <v>0.02</v>
      </c>
      <c r="P128" s="850" t="n">
        <f aca="false">Assumptions!$C$26</f>
        <v>0.02</v>
      </c>
      <c r="Q128" s="850" t="n">
        <f aca="false">Assumptions!$C$26</f>
        <v>0.02</v>
      </c>
      <c r="R128" s="850" t="n">
        <f aca="false">Assumptions!$C$26</f>
        <v>0.02</v>
      </c>
      <c r="S128" s="850" t="n">
        <f aca="false">Assumptions!$C$26</f>
        <v>0.02</v>
      </c>
      <c r="T128" s="850" t="n">
        <f aca="false">Assumptions!$C$26</f>
        <v>0.02</v>
      </c>
      <c r="U128" s="850" t="n">
        <f aca="false">Assumptions!$C$26</f>
        <v>0.02</v>
      </c>
      <c r="V128" s="850" t="n">
        <f aca="false">Assumptions!$C$26</f>
        <v>0.02</v>
      </c>
      <c r="W128" s="850" t="n">
        <f aca="false">Assumptions!$C$26</f>
        <v>0.02</v>
      </c>
      <c r="X128" s="850" t="n">
        <f aca="false">Assumptions!$C$26</f>
        <v>0.02</v>
      </c>
      <c r="Y128" s="850" t="n">
        <f aca="false">Assumptions!$C$26</f>
        <v>0.02</v>
      </c>
      <c r="Z128" s="850" t="n">
        <f aca="false">Assumptions!$C$26</f>
        <v>0.02</v>
      </c>
      <c r="AA128" s="850" t="n">
        <f aca="false">Assumptions!$C$26</f>
        <v>0.02</v>
      </c>
      <c r="AB128" s="850" t="n">
        <f aca="false">Assumptions!$C$26</f>
        <v>0.02</v>
      </c>
      <c r="AC128" s="850" t="n">
        <f aca="false">Assumptions!$C$26</f>
        <v>0.02</v>
      </c>
      <c r="AD128" s="850" t="n">
        <f aca="false">Assumptions!$C$26</f>
        <v>0.02</v>
      </c>
      <c r="AE128" s="850" t="n">
        <f aca="false">Assumptions!$C$26</f>
        <v>0.02</v>
      </c>
      <c r="AF128" s="850" t="n">
        <f aca="false">Assumptions!$C$26</f>
        <v>0.02</v>
      </c>
    </row>
    <row r="129" customFormat="false" ht="11.25" hidden="false" customHeight="false" outlineLevel="0" collapsed="false">
      <c r="B129" s="748" t="s">
        <v>710</v>
      </c>
      <c r="H129" s="752"/>
      <c r="I129" s="851" t="n">
        <f aca="false">(1+(+I128/12))^(H278)</f>
        <v>1.00083298640016</v>
      </c>
      <c r="J129" s="851" t="n">
        <f aca="false">+I129*(1+J128)</f>
        <v>1.02084964612817</v>
      </c>
      <c r="K129" s="851" t="n">
        <f aca="false">+J129*(1+K128)</f>
        <v>1.04126663905073</v>
      </c>
      <c r="L129" s="851" t="n">
        <f aca="false">+K129*(1+L128)</f>
        <v>1.06209197183174</v>
      </c>
      <c r="M129" s="851" t="n">
        <f aca="false">+L129*(1+M128)</f>
        <v>1.08333381126838</v>
      </c>
      <c r="N129" s="851" t="n">
        <f aca="false">+M129*(1+N128)</f>
        <v>1.10500048749375</v>
      </c>
      <c r="O129" s="851" t="n">
        <f aca="false">+N129*(1+O128)</f>
        <v>1.12710049724362</v>
      </c>
      <c r="P129" s="851" t="n">
        <f aca="false">+O129*(1+P128)</f>
        <v>1.14964250718849</v>
      </c>
      <c r="Q129" s="851" t="n">
        <f aca="false">+P129*(1+Q128)</f>
        <v>1.17263535733226</v>
      </c>
      <c r="R129" s="851" t="n">
        <f aca="false">+Q129*(1+R128)</f>
        <v>1.19608806447891</v>
      </c>
      <c r="S129" s="851" t="n">
        <f aca="false">+R129*(1+S128)</f>
        <v>1.22000982576849</v>
      </c>
      <c r="T129" s="851" t="n">
        <f aca="false">+S129*(1+T128)</f>
        <v>1.24441002228386</v>
      </c>
      <c r="U129" s="851" t="n">
        <f aca="false">+T129*(1+U128)</f>
        <v>1.26929822272953</v>
      </c>
      <c r="V129" s="851" t="n">
        <f aca="false">+U129*(1+V128)</f>
        <v>1.29468418718412</v>
      </c>
      <c r="W129" s="851" t="n">
        <f aca="false">+V129*(1+W128)</f>
        <v>1.32057787092781</v>
      </c>
      <c r="X129" s="851" t="n">
        <f aca="false">+W129*(1+X128)</f>
        <v>1.34698942834636</v>
      </c>
      <c r="Y129" s="851" t="n">
        <f aca="false">+X129*(1+Y128)</f>
        <v>1.37392921691329</v>
      </c>
      <c r="Z129" s="851" t="n">
        <f aca="false">+Y129*(1+Z128)</f>
        <v>1.40140780125156</v>
      </c>
      <c r="AA129" s="851" t="n">
        <f aca="false">+Z129*(1+AA128)</f>
        <v>1.42943595727659</v>
      </c>
      <c r="AB129" s="851" t="n">
        <f aca="false">+AA129*(1+AB128)</f>
        <v>1.45802467642212</v>
      </c>
      <c r="AC129" s="851" t="n">
        <f aca="false">+AB129*(1+AC128)</f>
        <v>1.48718516995056</v>
      </c>
      <c r="AD129" s="851" t="n">
        <f aca="false">+AC129*(1+AD128)</f>
        <v>1.51692887334957</v>
      </c>
      <c r="AE129" s="851" t="n">
        <f aca="false">+AD129*(1+AE128)</f>
        <v>1.54726745081656</v>
      </c>
      <c r="AF129" s="851" t="n">
        <f aca="false">+AE129*(1+AF128)</f>
        <v>1.5782127998329</v>
      </c>
    </row>
    <row r="130" customFormat="false" ht="11.25" hidden="false" customHeight="false" outlineLevel="0" collapsed="false">
      <c r="H130" s="752"/>
      <c r="I130" s="851"/>
      <c r="J130" s="851"/>
      <c r="K130" s="851"/>
      <c r="L130" s="851"/>
      <c r="M130" s="851"/>
      <c r="N130" s="851"/>
      <c r="O130" s="851"/>
      <c r="P130" s="851"/>
      <c r="Q130" s="851"/>
      <c r="R130" s="851"/>
      <c r="S130" s="851"/>
      <c r="T130" s="851"/>
      <c r="U130" s="851"/>
      <c r="V130" s="851"/>
      <c r="W130" s="851"/>
      <c r="X130" s="851"/>
      <c r="Y130" s="851"/>
      <c r="Z130" s="851"/>
      <c r="AA130" s="851"/>
      <c r="AB130" s="851"/>
      <c r="AC130" s="851"/>
      <c r="AD130" s="851"/>
      <c r="AE130" s="851"/>
      <c r="AF130" s="851"/>
    </row>
    <row r="131" customFormat="false" ht="11.25" hidden="true" customHeight="false" outlineLevel="1" collapsed="false">
      <c r="A131" s="828"/>
      <c r="B131" s="852"/>
      <c r="C131" s="828"/>
      <c r="D131" s="828"/>
      <c r="E131" s="853"/>
      <c r="F131" s="853"/>
      <c r="G131" s="853"/>
      <c r="H131" s="853"/>
      <c r="I131" s="831"/>
      <c r="J131" s="831"/>
      <c r="K131" s="831"/>
      <c r="L131" s="831"/>
      <c r="M131" s="831"/>
      <c r="N131" s="831"/>
      <c r="O131" s="831"/>
      <c r="P131" s="831"/>
      <c r="Q131" s="831"/>
      <c r="R131" s="831"/>
      <c r="S131" s="831"/>
      <c r="T131" s="831"/>
      <c r="U131" s="831"/>
      <c r="V131" s="831"/>
      <c r="W131" s="831"/>
      <c r="X131" s="831"/>
      <c r="Y131" s="831"/>
      <c r="Z131" s="831"/>
      <c r="AA131" s="831"/>
      <c r="AB131" s="831"/>
      <c r="AC131" s="831"/>
      <c r="AD131" s="831"/>
      <c r="AE131" s="831"/>
      <c r="AF131" s="831"/>
      <c r="AG131" s="828"/>
      <c r="AH131" s="828"/>
      <c r="AI131" s="828"/>
      <c r="AJ131" s="828"/>
      <c r="AK131" s="828"/>
      <c r="AL131" s="828"/>
      <c r="AM131" s="828"/>
      <c r="AN131" s="828"/>
      <c r="AO131" s="828"/>
      <c r="AP131" s="828"/>
      <c r="AQ131" s="828"/>
      <c r="AR131" s="828"/>
      <c r="AS131" s="828"/>
      <c r="AT131" s="828"/>
      <c r="AU131" s="828"/>
      <c r="AV131" s="828"/>
      <c r="AW131" s="828"/>
      <c r="AX131" s="828"/>
      <c r="AY131" s="828"/>
      <c r="AZ131" s="828"/>
      <c r="BA131" s="828"/>
      <c r="BB131" s="828"/>
      <c r="BC131" s="828"/>
      <c r="BD131" s="828"/>
      <c r="BE131" s="828"/>
      <c r="BF131" s="828"/>
      <c r="BG131" s="828"/>
      <c r="BH131" s="828"/>
      <c r="BI131" s="828"/>
      <c r="BJ131" s="828"/>
      <c r="BK131" s="828"/>
      <c r="BL131" s="828"/>
      <c r="BM131" s="828"/>
      <c r="BN131" s="828"/>
      <c r="BO131" s="828"/>
      <c r="BP131" s="828"/>
      <c r="BQ131" s="828"/>
      <c r="BR131" s="828"/>
      <c r="BS131" s="828"/>
      <c r="BT131" s="828"/>
      <c r="BU131" s="828"/>
      <c r="BV131" s="828"/>
      <c r="BW131" s="828"/>
      <c r="BX131" s="828"/>
      <c r="BY131" s="828"/>
      <c r="BZ131" s="828"/>
      <c r="CA131" s="828"/>
      <c r="CB131" s="828"/>
      <c r="CC131" s="828"/>
      <c r="CD131" s="828"/>
      <c r="CE131" s="828"/>
      <c r="CF131" s="828"/>
      <c r="CG131" s="828"/>
      <c r="CH131" s="828"/>
      <c r="CI131" s="828"/>
      <c r="CJ131" s="828"/>
      <c r="CK131" s="828"/>
      <c r="CL131" s="828"/>
      <c r="CM131" s="828"/>
      <c r="CN131" s="828"/>
      <c r="CO131" s="828"/>
      <c r="CP131" s="828"/>
      <c r="CQ131" s="828"/>
      <c r="CR131" s="828"/>
      <c r="CS131" s="828"/>
      <c r="CT131" s="828"/>
      <c r="CU131" s="828"/>
      <c r="CV131" s="828"/>
      <c r="CW131" s="828"/>
      <c r="CX131" s="828"/>
      <c r="CY131" s="828"/>
      <c r="CZ131" s="828"/>
      <c r="DA131" s="828"/>
      <c r="DB131" s="828"/>
      <c r="DC131" s="828"/>
      <c r="DD131" s="828"/>
      <c r="DE131" s="828"/>
      <c r="DF131" s="828"/>
      <c r="DG131" s="828"/>
      <c r="DH131" s="828"/>
      <c r="DI131" s="828"/>
      <c r="DJ131" s="828"/>
      <c r="DK131" s="828"/>
      <c r="DL131" s="828"/>
      <c r="DM131" s="828"/>
      <c r="DN131" s="828"/>
      <c r="DO131" s="828"/>
      <c r="DP131" s="828"/>
      <c r="DQ131" s="828"/>
      <c r="DR131" s="828"/>
      <c r="DS131" s="828"/>
      <c r="DT131" s="828"/>
      <c r="DU131" s="828"/>
      <c r="DV131" s="828"/>
      <c r="DW131" s="828"/>
      <c r="DX131" s="828"/>
      <c r="DY131" s="828"/>
      <c r="DZ131" s="828"/>
      <c r="EA131" s="828"/>
      <c r="EB131" s="828"/>
      <c r="EC131" s="828"/>
      <c r="ED131" s="828"/>
      <c r="EE131" s="828"/>
      <c r="EF131" s="828"/>
      <c r="EG131" s="828"/>
      <c r="EH131" s="828"/>
      <c r="EI131" s="828"/>
      <c r="EJ131" s="828"/>
      <c r="EK131" s="828"/>
      <c r="EL131" s="828"/>
      <c r="EM131" s="828"/>
      <c r="EN131" s="828"/>
      <c r="EO131" s="828"/>
      <c r="EP131" s="828"/>
      <c r="EQ131" s="828"/>
      <c r="ER131" s="828"/>
      <c r="ES131" s="828"/>
      <c r="ET131" s="828"/>
      <c r="EU131" s="828"/>
      <c r="EV131" s="828"/>
      <c r="EW131" s="828"/>
      <c r="EX131" s="828"/>
      <c r="EY131" s="828"/>
      <c r="EZ131" s="828"/>
      <c r="FA131" s="828"/>
      <c r="FB131" s="828"/>
      <c r="FC131" s="828"/>
      <c r="FD131" s="828"/>
      <c r="FE131" s="828"/>
      <c r="FF131" s="828"/>
      <c r="FG131" s="828"/>
      <c r="FH131" s="828"/>
      <c r="FI131" s="828"/>
      <c r="FJ131" s="828"/>
      <c r="FK131" s="828"/>
      <c r="FL131" s="828"/>
      <c r="FM131" s="828"/>
      <c r="FN131" s="828"/>
      <c r="FO131" s="828"/>
      <c r="FP131" s="828"/>
      <c r="FQ131" s="828"/>
      <c r="FR131" s="828"/>
      <c r="FS131" s="828"/>
      <c r="FT131" s="828"/>
      <c r="FU131" s="828"/>
      <c r="FV131" s="828"/>
      <c r="FW131" s="828"/>
      <c r="FX131" s="828"/>
      <c r="FY131" s="828"/>
      <c r="FZ131" s="828"/>
      <c r="GA131" s="828"/>
      <c r="GB131" s="828"/>
      <c r="GC131" s="828"/>
      <c r="GD131" s="828"/>
      <c r="GE131" s="828"/>
      <c r="GF131" s="828"/>
      <c r="GG131" s="828"/>
      <c r="GH131" s="828"/>
      <c r="GI131" s="828"/>
      <c r="GJ131" s="828"/>
      <c r="GK131" s="828"/>
      <c r="GL131" s="828"/>
      <c r="GM131" s="828"/>
      <c r="GN131" s="828"/>
      <c r="GO131" s="828"/>
      <c r="GP131" s="828"/>
      <c r="GQ131" s="828"/>
      <c r="GR131" s="828"/>
      <c r="GS131" s="828"/>
      <c r="GT131" s="828"/>
      <c r="GU131" s="828"/>
      <c r="GV131" s="828"/>
      <c r="GW131" s="828"/>
      <c r="GX131" s="828"/>
      <c r="GY131" s="828"/>
      <c r="GZ131" s="828"/>
      <c r="HA131" s="828"/>
      <c r="HB131" s="828"/>
      <c r="HC131" s="828"/>
      <c r="HD131" s="828"/>
      <c r="HE131" s="828"/>
      <c r="HF131" s="828"/>
      <c r="HG131" s="828"/>
      <c r="HH131" s="828"/>
      <c r="HI131" s="828"/>
      <c r="HJ131" s="828"/>
      <c r="HK131" s="828"/>
      <c r="HL131" s="828"/>
      <c r="HM131" s="828"/>
      <c r="HN131" s="828"/>
      <c r="HO131" s="828"/>
      <c r="HP131" s="828"/>
      <c r="HQ131" s="828"/>
      <c r="HR131" s="828"/>
      <c r="HS131" s="828"/>
      <c r="HT131" s="828"/>
      <c r="HU131" s="828"/>
      <c r="HV131" s="828"/>
      <c r="HW131" s="828"/>
      <c r="HX131" s="828"/>
      <c r="HY131" s="828"/>
      <c r="HZ131" s="828"/>
      <c r="IA131" s="828"/>
      <c r="IB131" s="828"/>
      <c r="IC131" s="828"/>
      <c r="ID131" s="828"/>
      <c r="IE131" s="828"/>
      <c r="IF131" s="828"/>
      <c r="IG131" s="828"/>
      <c r="IH131" s="828"/>
      <c r="II131" s="828"/>
      <c r="IJ131" s="828"/>
      <c r="IK131" s="828"/>
      <c r="IL131" s="828"/>
      <c r="IM131" s="828"/>
      <c r="IN131" s="828"/>
      <c r="IO131" s="828"/>
      <c r="IP131" s="828"/>
      <c r="IQ131" s="828"/>
      <c r="IR131" s="828"/>
      <c r="IS131" s="828"/>
      <c r="IT131" s="828"/>
      <c r="IU131" s="828"/>
      <c r="IV131" s="828"/>
      <c r="IW131" s="828"/>
    </row>
    <row r="132" customFormat="false" ht="11.25" hidden="true" customHeight="false" outlineLevel="1" collapsed="false">
      <c r="A132" s="854"/>
      <c r="B132" s="854"/>
      <c r="C132" s="854"/>
      <c r="D132" s="854"/>
      <c r="E132" s="855"/>
      <c r="F132" s="855"/>
      <c r="G132" s="855"/>
      <c r="H132" s="855"/>
      <c r="I132" s="855"/>
      <c r="J132" s="855"/>
      <c r="K132" s="855"/>
      <c r="L132" s="855"/>
      <c r="M132" s="855"/>
      <c r="N132" s="855"/>
      <c r="O132" s="855"/>
      <c r="P132" s="855"/>
      <c r="Q132" s="855"/>
      <c r="R132" s="855"/>
      <c r="S132" s="855"/>
      <c r="T132" s="855"/>
      <c r="U132" s="855"/>
      <c r="V132" s="855"/>
      <c r="W132" s="855"/>
      <c r="X132" s="855"/>
      <c r="Y132" s="855"/>
      <c r="Z132" s="855"/>
      <c r="AA132" s="855"/>
      <c r="AB132" s="855"/>
      <c r="AC132" s="855"/>
      <c r="AD132" s="855"/>
      <c r="AE132" s="855"/>
      <c r="AF132" s="855"/>
      <c r="AG132" s="854"/>
      <c r="AH132" s="854"/>
      <c r="AI132" s="854"/>
      <c r="AJ132" s="854"/>
      <c r="AK132" s="854"/>
      <c r="AL132" s="854"/>
      <c r="AM132" s="854"/>
      <c r="AN132" s="854"/>
      <c r="AO132" s="854"/>
      <c r="AP132" s="854"/>
      <c r="AQ132" s="854"/>
      <c r="AR132" s="854"/>
      <c r="AS132" s="854"/>
      <c r="AT132" s="854"/>
      <c r="AU132" s="854"/>
      <c r="AV132" s="854"/>
      <c r="AW132" s="854"/>
      <c r="AX132" s="854"/>
      <c r="AY132" s="854"/>
      <c r="AZ132" s="854"/>
      <c r="BA132" s="854"/>
      <c r="BB132" s="854"/>
      <c r="BC132" s="854"/>
      <c r="BD132" s="854"/>
      <c r="BE132" s="854"/>
      <c r="BF132" s="854"/>
      <c r="BG132" s="854"/>
      <c r="BH132" s="854"/>
      <c r="BI132" s="854"/>
      <c r="BJ132" s="854"/>
      <c r="BK132" s="854"/>
      <c r="BL132" s="854"/>
      <c r="BM132" s="854"/>
      <c r="BN132" s="854"/>
      <c r="BO132" s="854"/>
      <c r="BP132" s="854"/>
      <c r="BQ132" s="854"/>
      <c r="BR132" s="854"/>
      <c r="BS132" s="854"/>
      <c r="BT132" s="854"/>
      <c r="BU132" s="854"/>
      <c r="BV132" s="854"/>
      <c r="BW132" s="854"/>
      <c r="BX132" s="854"/>
      <c r="BY132" s="854"/>
      <c r="BZ132" s="854"/>
      <c r="CA132" s="854"/>
      <c r="CB132" s="854"/>
      <c r="CC132" s="854"/>
      <c r="CD132" s="854"/>
      <c r="CE132" s="854"/>
      <c r="CF132" s="854"/>
      <c r="CG132" s="854"/>
      <c r="CH132" s="854"/>
      <c r="CI132" s="854"/>
      <c r="CJ132" s="854"/>
      <c r="CK132" s="854"/>
      <c r="CL132" s="854"/>
      <c r="CM132" s="854"/>
      <c r="CN132" s="854"/>
      <c r="CO132" s="854"/>
      <c r="CP132" s="854"/>
      <c r="CQ132" s="854"/>
      <c r="CR132" s="854"/>
      <c r="CS132" s="854"/>
      <c r="CT132" s="854"/>
      <c r="CU132" s="854"/>
      <c r="CV132" s="854"/>
      <c r="CW132" s="854"/>
      <c r="CX132" s="854"/>
      <c r="CY132" s="854"/>
      <c r="CZ132" s="854"/>
      <c r="DA132" s="854"/>
      <c r="DB132" s="854"/>
      <c r="DC132" s="854"/>
      <c r="DD132" s="854"/>
      <c r="DE132" s="854"/>
      <c r="DF132" s="854"/>
      <c r="DG132" s="854"/>
      <c r="DH132" s="854"/>
      <c r="DI132" s="854"/>
      <c r="DJ132" s="854"/>
      <c r="DK132" s="854"/>
      <c r="DL132" s="854"/>
      <c r="DM132" s="854"/>
      <c r="DN132" s="854"/>
      <c r="DO132" s="854"/>
      <c r="DP132" s="854"/>
      <c r="DQ132" s="854"/>
      <c r="DR132" s="854"/>
      <c r="DS132" s="854"/>
      <c r="DT132" s="854"/>
      <c r="DU132" s="854"/>
      <c r="DV132" s="854"/>
      <c r="DW132" s="854"/>
      <c r="DX132" s="854"/>
      <c r="DY132" s="854"/>
      <c r="DZ132" s="854"/>
      <c r="EA132" s="854"/>
      <c r="EB132" s="854"/>
      <c r="EC132" s="854"/>
      <c r="ED132" s="854"/>
      <c r="EE132" s="854"/>
      <c r="EF132" s="854"/>
      <c r="EG132" s="854"/>
      <c r="EH132" s="854"/>
      <c r="EI132" s="854"/>
      <c r="EJ132" s="854"/>
      <c r="EK132" s="854"/>
      <c r="EL132" s="854"/>
      <c r="EM132" s="854"/>
      <c r="EN132" s="854"/>
      <c r="EO132" s="854"/>
      <c r="EP132" s="854"/>
      <c r="EQ132" s="854"/>
      <c r="ER132" s="854"/>
      <c r="ES132" s="854"/>
      <c r="ET132" s="854"/>
      <c r="EU132" s="854"/>
      <c r="EV132" s="854"/>
      <c r="EW132" s="854"/>
      <c r="EX132" s="854"/>
      <c r="EY132" s="854"/>
      <c r="EZ132" s="854"/>
      <c r="FA132" s="854"/>
      <c r="FB132" s="854"/>
      <c r="FC132" s="854"/>
      <c r="FD132" s="854"/>
      <c r="FE132" s="854"/>
      <c r="FF132" s="854"/>
      <c r="FG132" s="854"/>
      <c r="FH132" s="854"/>
      <c r="FI132" s="854"/>
      <c r="FJ132" s="854"/>
      <c r="FK132" s="854"/>
      <c r="FL132" s="854"/>
      <c r="FM132" s="854"/>
      <c r="FN132" s="854"/>
      <c r="FO132" s="854"/>
      <c r="FP132" s="854"/>
      <c r="FQ132" s="854"/>
      <c r="FR132" s="854"/>
      <c r="FS132" s="854"/>
      <c r="FT132" s="854"/>
      <c r="FU132" s="854"/>
      <c r="FV132" s="854"/>
      <c r="FW132" s="854"/>
      <c r="FX132" s="854"/>
      <c r="FY132" s="854"/>
      <c r="FZ132" s="854"/>
      <c r="GA132" s="854"/>
      <c r="GB132" s="854"/>
      <c r="GC132" s="854"/>
      <c r="GD132" s="854"/>
      <c r="GE132" s="854"/>
      <c r="GF132" s="854"/>
      <c r="GG132" s="854"/>
      <c r="GH132" s="854"/>
      <c r="GI132" s="854"/>
      <c r="GJ132" s="854"/>
      <c r="GK132" s="854"/>
      <c r="GL132" s="854"/>
      <c r="GM132" s="854"/>
      <c r="GN132" s="854"/>
      <c r="GO132" s="854"/>
      <c r="GP132" s="854"/>
      <c r="GQ132" s="854"/>
      <c r="GR132" s="854"/>
      <c r="GS132" s="854"/>
      <c r="GT132" s="854"/>
      <c r="GU132" s="854"/>
      <c r="GV132" s="854"/>
      <c r="GW132" s="854"/>
      <c r="GX132" s="854"/>
      <c r="GY132" s="854"/>
      <c r="GZ132" s="854"/>
      <c r="HA132" s="854"/>
      <c r="HB132" s="854"/>
      <c r="HC132" s="854"/>
      <c r="HD132" s="854"/>
      <c r="HE132" s="854"/>
      <c r="HF132" s="854"/>
      <c r="HG132" s="854"/>
      <c r="HH132" s="854"/>
      <c r="HI132" s="854"/>
      <c r="HJ132" s="854"/>
      <c r="HK132" s="854"/>
      <c r="HL132" s="854"/>
      <c r="HM132" s="854"/>
      <c r="HN132" s="854"/>
      <c r="HO132" s="854"/>
      <c r="HP132" s="854"/>
      <c r="HQ132" s="854"/>
      <c r="HR132" s="854"/>
      <c r="HS132" s="854"/>
      <c r="HT132" s="854"/>
      <c r="HU132" s="854"/>
      <c r="HV132" s="854"/>
      <c r="HW132" s="854"/>
      <c r="HX132" s="854"/>
      <c r="HY132" s="854"/>
      <c r="HZ132" s="854"/>
      <c r="IA132" s="854"/>
      <c r="IB132" s="854"/>
      <c r="IC132" s="854"/>
      <c r="ID132" s="854"/>
      <c r="IE132" s="854"/>
      <c r="IF132" s="854"/>
      <c r="IG132" s="854"/>
      <c r="IH132" s="854"/>
      <c r="II132" s="854"/>
      <c r="IJ132" s="854"/>
      <c r="IK132" s="854"/>
      <c r="IL132" s="854"/>
      <c r="IM132" s="854"/>
      <c r="IN132" s="854"/>
      <c r="IO132" s="854"/>
      <c r="IP132" s="854"/>
      <c r="IQ132" s="854"/>
      <c r="IR132" s="854"/>
      <c r="IS132" s="854"/>
      <c r="IT132" s="854"/>
      <c r="IU132" s="854"/>
      <c r="IV132" s="854"/>
      <c r="IW132" s="854"/>
    </row>
    <row r="133" customFormat="false" ht="11.25" hidden="true" customHeight="false" outlineLevel="1" collapsed="false">
      <c r="A133" s="773" t="s">
        <v>711</v>
      </c>
      <c r="B133" s="774"/>
      <c r="C133" s="774"/>
      <c r="D133" s="774"/>
      <c r="E133" s="774"/>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4"/>
      <c r="AB133" s="774"/>
      <c r="AC133" s="774"/>
      <c r="AD133" s="774"/>
      <c r="AE133" s="774"/>
      <c r="AF133" s="774"/>
    </row>
    <row r="134" customFormat="false" ht="11.25" hidden="true" customHeight="false" outlineLevel="1" collapsed="false">
      <c r="A134" s="856"/>
      <c r="B134" s="774" t="s">
        <v>712</v>
      </c>
      <c r="C134" s="774"/>
      <c r="D134" s="857" t="s">
        <v>713</v>
      </c>
      <c r="E134" s="774"/>
      <c r="F134" s="774"/>
      <c r="G134" s="774"/>
      <c r="H134" s="774"/>
      <c r="I134" s="774"/>
      <c r="J134" s="774"/>
      <c r="K134" s="774"/>
      <c r="L134" s="774"/>
      <c r="M134" s="774"/>
      <c r="N134" s="774"/>
      <c r="O134" s="774"/>
      <c r="P134" s="774"/>
      <c r="Q134" s="774"/>
      <c r="R134" s="774"/>
      <c r="S134" s="774"/>
      <c r="T134" s="774"/>
      <c r="U134" s="774"/>
      <c r="V134" s="774"/>
      <c r="W134" s="774"/>
      <c r="X134" s="774"/>
      <c r="Y134" s="774"/>
      <c r="Z134" s="774"/>
      <c r="AA134" s="774"/>
      <c r="AB134" s="774"/>
      <c r="AC134" s="774"/>
      <c r="AD134" s="774"/>
      <c r="AE134" s="774"/>
      <c r="AF134" s="774"/>
    </row>
    <row r="135" customFormat="false" ht="11.25" hidden="true" customHeight="false" outlineLevel="1" collapsed="false">
      <c r="A135" s="777" t="str">
        <f aca="false">curr2&amp;" Exchange Rate"</f>
        <v>Reis Exchange Rate</v>
      </c>
      <c r="B135" s="774"/>
      <c r="C135" s="774"/>
      <c r="D135" s="858"/>
      <c r="E135" s="774"/>
      <c r="F135" s="774"/>
      <c r="G135" s="774"/>
      <c r="H135" s="774"/>
      <c r="I135" s="859"/>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row>
    <row r="136" customFormat="false" ht="11.25" hidden="true" customHeight="false" outlineLevel="1" collapsed="false">
      <c r="A136" s="860" t="s">
        <v>707</v>
      </c>
      <c r="B136" s="861" t="s">
        <v>708</v>
      </c>
      <c r="C136" s="792"/>
      <c r="D136" s="862"/>
      <c r="E136" s="774"/>
      <c r="F136" s="774"/>
      <c r="G136" s="774"/>
      <c r="H136" s="774"/>
      <c r="I136" s="774"/>
      <c r="J136" s="774"/>
      <c r="K136" s="774"/>
      <c r="L136" s="774"/>
      <c r="M136" s="774"/>
      <c r="N136" s="774"/>
      <c r="O136" s="774"/>
      <c r="P136" s="774"/>
      <c r="Q136" s="774"/>
      <c r="R136" s="774"/>
      <c r="S136" s="774"/>
      <c r="T136" s="774"/>
      <c r="U136" s="774"/>
      <c r="V136" s="774"/>
      <c r="W136" s="774"/>
      <c r="X136" s="774"/>
      <c r="Y136" s="774"/>
      <c r="Z136" s="774"/>
      <c r="AA136" s="774"/>
      <c r="AB136" s="774"/>
      <c r="AC136" s="774"/>
      <c r="AD136" s="774"/>
      <c r="AE136" s="774"/>
      <c r="AF136" s="774"/>
    </row>
    <row r="137" customFormat="false" ht="11.25" hidden="true" customHeight="false" outlineLevel="1" collapsed="false">
      <c r="A137" s="856"/>
      <c r="B137" s="856" t="str">
        <f aca="false">"Exchange rate: "&amp;curr2&amp;"/USD"</f>
        <v>Exchange rate: Reis/USD</v>
      </c>
      <c r="C137" s="792"/>
      <c r="D137" s="792"/>
      <c r="E137" s="863" t="n">
        <v>1</v>
      </c>
      <c r="F137" s="863" t="n">
        <v>1</v>
      </c>
      <c r="G137" s="863" t="n">
        <v>1</v>
      </c>
      <c r="H137" s="863" t="n">
        <v>1</v>
      </c>
      <c r="I137" s="863" t="n">
        <v>1</v>
      </c>
      <c r="J137" s="863" t="n">
        <v>1</v>
      </c>
      <c r="K137" s="863" t="n">
        <v>1</v>
      </c>
      <c r="L137" s="863" t="n">
        <v>1</v>
      </c>
      <c r="M137" s="863" t="n">
        <v>1</v>
      </c>
      <c r="N137" s="863" t="n">
        <v>1</v>
      </c>
      <c r="O137" s="863" t="n">
        <v>1</v>
      </c>
      <c r="P137" s="863" t="n">
        <v>1</v>
      </c>
      <c r="Q137" s="863" t="n">
        <v>1</v>
      </c>
      <c r="R137" s="863" t="n">
        <v>1</v>
      </c>
      <c r="S137" s="863" t="n">
        <v>1</v>
      </c>
      <c r="T137" s="863" t="n">
        <v>1</v>
      </c>
      <c r="U137" s="863" t="n">
        <v>1</v>
      </c>
      <c r="V137" s="863" t="n">
        <v>1</v>
      </c>
      <c r="W137" s="863" t="n">
        <v>1</v>
      </c>
      <c r="X137" s="863" t="n">
        <v>1</v>
      </c>
      <c r="Y137" s="863" t="n">
        <v>1</v>
      </c>
      <c r="Z137" s="863" t="n">
        <v>1</v>
      </c>
      <c r="AA137" s="863" t="n">
        <v>1</v>
      </c>
      <c r="AB137" s="863" t="n">
        <v>1</v>
      </c>
      <c r="AC137" s="863" t="n">
        <v>1</v>
      </c>
      <c r="AD137" s="863" t="n">
        <v>1</v>
      </c>
      <c r="AE137" s="863" t="n">
        <v>1</v>
      </c>
      <c r="AF137" s="863" t="n">
        <v>1</v>
      </c>
    </row>
    <row r="138" customFormat="false" ht="11.25" hidden="true" customHeight="false" outlineLevel="1" collapsed="false">
      <c r="A138" s="856"/>
      <c r="B138" s="774" t="str">
        <f aca="false">"Dollar Value of "&amp;curr2</f>
        <v>Dollar Value of Reis</v>
      </c>
      <c r="C138" s="792"/>
      <c r="D138" s="792"/>
      <c r="E138" s="864" t="n">
        <f aca="false">IF(E137=0,0,1/E137)</f>
        <v>1</v>
      </c>
      <c r="F138" s="864" t="n">
        <f aca="false">IF(F137=0,0,1/F137)</f>
        <v>1</v>
      </c>
      <c r="G138" s="864" t="n">
        <f aca="false">IF(G137=0,0,1/G137)</f>
        <v>1</v>
      </c>
      <c r="H138" s="864" t="n">
        <f aca="false">IF(H137=0,0,1/H137)</f>
        <v>1</v>
      </c>
      <c r="I138" s="864" t="n">
        <f aca="false">IF(I137=0,0,1/I137)</f>
        <v>1</v>
      </c>
      <c r="J138" s="864" t="n">
        <f aca="false">IF(J137=0,0,1/J137)</f>
        <v>1</v>
      </c>
      <c r="K138" s="864" t="n">
        <f aca="false">IF(K137=0,0,1/K137)</f>
        <v>1</v>
      </c>
      <c r="L138" s="864" t="n">
        <f aca="false">IF(L137=0,0,1/L137)</f>
        <v>1</v>
      </c>
      <c r="M138" s="864" t="n">
        <f aca="false">IF(M137=0,0,1/M137)</f>
        <v>1</v>
      </c>
      <c r="N138" s="864" t="n">
        <f aca="false">IF(N137=0,0,1/N137)</f>
        <v>1</v>
      </c>
      <c r="O138" s="864" t="n">
        <f aca="false">IF(O137=0,0,1/O137)</f>
        <v>1</v>
      </c>
      <c r="P138" s="864" t="n">
        <f aca="false">IF(P137=0,0,1/P137)</f>
        <v>1</v>
      </c>
      <c r="Q138" s="864" t="n">
        <f aca="false">IF(Q137=0,0,1/Q137)</f>
        <v>1</v>
      </c>
      <c r="R138" s="864" t="n">
        <f aca="false">IF(R137=0,0,1/R137)</f>
        <v>1</v>
      </c>
      <c r="S138" s="864" t="n">
        <f aca="false">IF(S137=0,0,1/S137)</f>
        <v>1</v>
      </c>
      <c r="T138" s="864" t="n">
        <f aca="false">IF(T137=0,0,1/T137)</f>
        <v>1</v>
      </c>
      <c r="U138" s="864" t="n">
        <f aca="false">IF(U137=0,0,1/U137)</f>
        <v>1</v>
      </c>
      <c r="V138" s="864" t="n">
        <f aca="false">IF(V137=0,0,1/V137)</f>
        <v>1</v>
      </c>
      <c r="W138" s="864" t="n">
        <f aca="false">IF(W137=0,0,1/W137)</f>
        <v>1</v>
      </c>
      <c r="X138" s="864" t="n">
        <f aca="false">IF(X137=0,0,1/X137)</f>
        <v>1</v>
      </c>
      <c r="Y138" s="864" t="n">
        <f aca="false">IF(Y137=0,0,1/Y137)</f>
        <v>1</v>
      </c>
      <c r="Z138" s="864" t="n">
        <f aca="false">IF(Z137=0,0,1/Z137)</f>
        <v>1</v>
      </c>
      <c r="AA138" s="864" t="n">
        <f aca="false">IF(AA137=0,0,1/AA137)</f>
        <v>1</v>
      </c>
      <c r="AB138" s="864" t="n">
        <f aca="false">IF(AB137=0,0,1/AB137)</f>
        <v>1</v>
      </c>
      <c r="AC138" s="864" t="n">
        <f aca="false">IF(AC137=0,0,1/AC137)</f>
        <v>1</v>
      </c>
      <c r="AD138" s="864" t="n">
        <f aca="false">IF(AD137=0,0,1/AD137)</f>
        <v>1</v>
      </c>
      <c r="AE138" s="864" t="n">
        <f aca="false">IF(AE137=0,0,1/AE137)</f>
        <v>1</v>
      </c>
      <c r="AF138" s="864" t="n">
        <f aca="false">IF(AF137=0,0,1/AF137)</f>
        <v>1</v>
      </c>
    </row>
    <row r="139" customFormat="false" ht="11.25" hidden="true" customHeight="false" outlineLevel="1" collapsed="false">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c r="BM139" s="346"/>
      <c r="BN139" s="346"/>
      <c r="BO139" s="346"/>
      <c r="BP139" s="346"/>
      <c r="BQ139" s="346"/>
      <c r="BR139" s="346"/>
      <c r="BS139" s="346"/>
      <c r="BT139" s="346"/>
      <c r="BU139" s="346"/>
      <c r="BV139" s="346"/>
      <c r="BW139" s="346"/>
      <c r="BX139" s="346"/>
      <c r="BY139" s="346"/>
      <c r="BZ139" s="346"/>
      <c r="CA139" s="346"/>
      <c r="CB139" s="346"/>
      <c r="CC139" s="346"/>
      <c r="CD139" s="346"/>
      <c r="CE139" s="346"/>
      <c r="CF139" s="346"/>
      <c r="CG139" s="346"/>
      <c r="CH139" s="346"/>
      <c r="CI139" s="346"/>
      <c r="CJ139" s="346"/>
      <c r="CK139" s="346"/>
      <c r="CL139" s="346"/>
      <c r="CM139" s="346"/>
      <c r="CN139" s="346"/>
      <c r="CO139" s="346"/>
      <c r="CP139" s="346"/>
      <c r="CQ139" s="346"/>
      <c r="CR139" s="346"/>
      <c r="CS139" s="346"/>
      <c r="CT139" s="346"/>
      <c r="CU139" s="346"/>
      <c r="CV139" s="346"/>
      <c r="CW139" s="346"/>
      <c r="CX139" s="346"/>
      <c r="CY139" s="346"/>
      <c r="CZ139" s="346"/>
      <c r="DA139" s="346"/>
      <c r="DB139" s="346"/>
      <c r="DC139" s="346"/>
      <c r="DD139" s="346"/>
      <c r="DE139" s="346"/>
      <c r="DF139" s="346"/>
      <c r="DG139" s="346"/>
      <c r="DH139" s="346"/>
      <c r="DI139" s="346"/>
      <c r="DJ139" s="346"/>
      <c r="DK139" s="346"/>
      <c r="DL139" s="346"/>
      <c r="DM139" s="346"/>
      <c r="DN139" s="346"/>
      <c r="DO139" s="346"/>
      <c r="DP139" s="346"/>
      <c r="DQ139" s="346"/>
      <c r="DR139" s="346"/>
      <c r="DS139" s="346"/>
      <c r="DT139" s="346"/>
      <c r="DU139" s="346"/>
      <c r="DV139" s="346"/>
      <c r="DW139" s="346"/>
      <c r="DX139" s="346"/>
      <c r="DY139" s="346"/>
      <c r="DZ139" s="346"/>
      <c r="EA139" s="346"/>
      <c r="EB139" s="346"/>
      <c r="EC139" s="346"/>
      <c r="ED139" s="346"/>
      <c r="EE139" s="346"/>
      <c r="EF139" s="346"/>
      <c r="EG139" s="346"/>
      <c r="EH139" s="346"/>
      <c r="EI139" s="346"/>
      <c r="EJ139" s="346"/>
      <c r="EK139" s="346"/>
      <c r="EL139" s="346"/>
      <c r="EM139" s="346"/>
      <c r="EN139" s="346"/>
      <c r="EO139" s="346"/>
      <c r="EP139" s="346"/>
      <c r="EQ139" s="346"/>
      <c r="ER139" s="346"/>
      <c r="ES139" s="346"/>
      <c r="ET139" s="346"/>
      <c r="EU139" s="346"/>
      <c r="EV139" s="346"/>
      <c r="EW139" s="346"/>
      <c r="EX139" s="346"/>
      <c r="EY139" s="346"/>
      <c r="EZ139" s="346"/>
      <c r="FA139" s="346"/>
      <c r="FB139" s="346"/>
      <c r="FC139" s="346"/>
      <c r="FD139" s="346"/>
      <c r="FE139" s="346"/>
      <c r="FF139" s="346"/>
      <c r="FG139" s="346"/>
      <c r="FH139" s="346"/>
      <c r="FI139" s="346"/>
      <c r="FJ139" s="346"/>
      <c r="FK139" s="346"/>
      <c r="FL139" s="346"/>
      <c r="FM139" s="346"/>
      <c r="FN139" s="346"/>
      <c r="FO139" s="346"/>
      <c r="FP139" s="346"/>
      <c r="FQ139" s="346"/>
      <c r="FR139" s="346"/>
      <c r="FS139" s="346"/>
      <c r="FT139" s="346"/>
      <c r="FU139" s="346"/>
      <c r="FV139" s="346"/>
      <c r="FW139" s="346"/>
      <c r="FX139" s="346"/>
      <c r="FY139" s="346"/>
      <c r="FZ139" s="346"/>
      <c r="GA139" s="346"/>
      <c r="GB139" s="346"/>
      <c r="GC139" s="346"/>
      <c r="GD139" s="346"/>
      <c r="GE139" s="346"/>
      <c r="GF139" s="346"/>
      <c r="GG139" s="346"/>
      <c r="GH139" s="346"/>
      <c r="GI139" s="346"/>
      <c r="GJ139" s="346"/>
      <c r="GK139" s="346"/>
      <c r="GL139" s="346"/>
      <c r="GM139" s="346"/>
      <c r="GN139" s="346"/>
      <c r="GO139" s="346"/>
      <c r="GP139" s="346"/>
      <c r="GQ139" s="346"/>
      <c r="GR139" s="346"/>
      <c r="GS139" s="346"/>
      <c r="GT139" s="346"/>
      <c r="GU139" s="346"/>
      <c r="GV139" s="346"/>
      <c r="GW139" s="346"/>
      <c r="GX139" s="346"/>
      <c r="GY139" s="346"/>
      <c r="GZ139" s="346"/>
      <c r="HA139" s="346"/>
      <c r="HB139" s="346"/>
      <c r="HC139" s="346"/>
      <c r="HD139" s="346"/>
      <c r="HE139" s="346"/>
      <c r="HF139" s="346"/>
      <c r="HG139" s="346"/>
      <c r="HH139" s="346"/>
      <c r="HI139" s="346"/>
      <c r="HJ139" s="346"/>
      <c r="HK139" s="346"/>
      <c r="HL139" s="346"/>
      <c r="HM139" s="346"/>
      <c r="HN139" s="346"/>
      <c r="HO139" s="346"/>
      <c r="HP139" s="346"/>
      <c r="HQ139" s="346"/>
      <c r="HR139" s="346"/>
      <c r="HS139" s="346"/>
      <c r="HT139" s="346"/>
      <c r="HU139" s="346"/>
      <c r="HV139" s="346"/>
      <c r="HW139" s="346"/>
      <c r="HX139" s="346"/>
      <c r="HY139" s="346"/>
      <c r="HZ139" s="346"/>
      <c r="IA139" s="346"/>
      <c r="IB139" s="346"/>
      <c r="IC139" s="346"/>
      <c r="ID139" s="346"/>
      <c r="IE139" s="346"/>
      <c r="IF139" s="346"/>
      <c r="IG139" s="346"/>
      <c r="IH139" s="346"/>
      <c r="II139" s="346"/>
      <c r="IJ139" s="346"/>
      <c r="IK139" s="346"/>
      <c r="IL139" s="346"/>
      <c r="IM139" s="346"/>
      <c r="IN139" s="346"/>
      <c r="IO139" s="346"/>
      <c r="IP139" s="346"/>
      <c r="IQ139" s="346"/>
      <c r="IR139" s="346"/>
      <c r="IS139" s="346"/>
      <c r="IT139" s="346"/>
      <c r="IU139" s="346"/>
      <c r="IV139" s="346"/>
      <c r="IW139" s="346"/>
    </row>
    <row r="140" customFormat="false" ht="11.25" hidden="true" customHeight="false" outlineLevel="1" collapsed="false">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c r="BM140" s="346"/>
      <c r="BN140" s="346"/>
      <c r="BO140" s="346"/>
      <c r="BP140" s="346"/>
      <c r="BQ140" s="346"/>
      <c r="BR140" s="346"/>
      <c r="BS140" s="346"/>
      <c r="BT140" s="346"/>
      <c r="BU140" s="346"/>
      <c r="BV140" s="346"/>
      <c r="BW140" s="346"/>
      <c r="BX140" s="346"/>
      <c r="BY140" s="346"/>
      <c r="BZ140" s="346"/>
      <c r="CA140" s="346"/>
      <c r="CB140" s="346"/>
      <c r="CC140" s="346"/>
      <c r="CD140" s="346"/>
      <c r="CE140" s="346"/>
      <c r="CF140" s="346"/>
      <c r="CG140" s="346"/>
      <c r="CH140" s="346"/>
      <c r="CI140" s="346"/>
      <c r="CJ140" s="346"/>
      <c r="CK140" s="346"/>
      <c r="CL140" s="346"/>
      <c r="CM140" s="346"/>
      <c r="CN140" s="346"/>
      <c r="CO140" s="346"/>
      <c r="CP140" s="346"/>
      <c r="CQ140" s="346"/>
      <c r="CR140" s="346"/>
      <c r="CS140" s="346"/>
      <c r="CT140" s="346"/>
      <c r="CU140" s="346"/>
      <c r="CV140" s="346"/>
      <c r="CW140" s="346"/>
      <c r="CX140" s="346"/>
      <c r="CY140" s="346"/>
      <c r="CZ140" s="346"/>
      <c r="DA140" s="346"/>
      <c r="DB140" s="346"/>
      <c r="DC140" s="346"/>
      <c r="DD140" s="346"/>
      <c r="DE140" s="346"/>
      <c r="DF140" s="346"/>
      <c r="DG140" s="346"/>
      <c r="DH140" s="346"/>
      <c r="DI140" s="346"/>
      <c r="DJ140" s="346"/>
      <c r="DK140" s="346"/>
      <c r="DL140" s="346"/>
      <c r="DM140" s="346"/>
      <c r="DN140" s="346"/>
      <c r="DO140" s="346"/>
      <c r="DP140" s="346"/>
      <c r="DQ140" s="346"/>
      <c r="DR140" s="346"/>
      <c r="DS140" s="346"/>
      <c r="DT140" s="346"/>
      <c r="DU140" s="346"/>
      <c r="DV140" s="346"/>
      <c r="DW140" s="346"/>
      <c r="DX140" s="346"/>
      <c r="DY140" s="346"/>
      <c r="DZ140" s="346"/>
      <c r="EA140" s="346"/>
      <c r="EB140" s="346"/>
      <c r="EC140" s="346"/>
      <c r="ED140" s="346"/>
      <c r="EE140" s="346"/>
      <c r="EF140" s="346"/>
      <c r="EG140" s="346"/>
      <c r="EH140" s="346"/>
      <c r="EI140" s="346"/>
      <c r="EJ140" s="346"/>
      <c r="EK140" s="346"/>
      <c r="EL140" s="346"/>
      <c r="EM140" s="346"/>
      <c r="EN140" s="346"/>
      <c r="EO140" s="346"/>
      <c r="EP140" s="346"/>
      <c r="EQ140" s="346"/>
      <c r="ER140" s="346"/>
      <c r="ES140" s="346"/>
      <c r="ET140" s="346"/>
      <c r="EU140" s="346"/>
      <c r="EV140" s="346"/>
      <c r="EW140" s="346"/>
      <c r="EX140" s="346"/>
      <c r="EY140" s="346"/>
      <c r="EZ140" s="346"/>
      <c r="FA140" s="346"/>
      <c r="FB140" s="346"/>
      <c r="FC140" s="346"/>
      <c r="FD140" s="346"/>
      <c r="FE140" s="346"/>
      <c r="FF140" s="346"/>
      <c r="FG140" s="346"/>
      <c r="FH140" s="346"/>
      <c r="FI140" s="346"/>
      <c r="FJ140" s="346"/>
      <c r="FK140" s="346"/>
      <c r="FL140" s="346"/>
      <c r="FM140" s="346"/>
      <c r="FN140" s="346"/>
      <c r="FO140" s="346"/>
      <c r="FP140" s="346"/>
      <c r="FQ140" s="346"/>
      <c r="FR140" s="346"/>
      <c r="FS140" s="346"/>
      <c r="FT140" s="346"/>
      <c r="FU140" s="346"/>
      <c r="FV140" s="346"/>
      <c r="FW140" s="346"/>
      <c r="FX140" s="346"/>
      <c r="FY140" s="346"/>
      <c r="FZ140" s="346"/>
      <c r="GA140" s="346"/>
      <c r="GB140" s="346"/>
      <c r="GC140" s="346"/>
      <c r="GD140" s="346"/>
      <c r="GE140" s="346"/>
      <c r="GF140" s="346"/>
      <c r="GG140" s="346"/>
      <c r="GH140" s="346"/>
      <c r="GI140" s="346"/>
      <c r="GJ140" s="346"/>
      <c r="GK140" s="346"/>
      <c r="GL140" s="346"/>
      <c r="GM140" s="346"/>
      <c r="GN140" s="346"/>
      <c r="GO140" s="346"/>
      <c r="GP140" s="346"/>
      <c r="GQ140" s="346"/>
      <c r="GR140" s="346"/>
      <c r="GS140" s="346"/>
      <c r="GT140" s="346"/>
      <c r="GU140" s="346"/>
      <c r="GV140" s="346"/>
      <c r="GW140" s="346"/>
      <c r="GX140" s="346"/>
      <c r="GY140" s="346"/>
      <c r="GZ140" s="346"/>
      <c r="HA140" s="346"/>
      <c r="HB140" s="346"/>
      <c r="HC140" s="346"/>
      <c r="HD140" s="346"/>
      <c r="HE140" s="346"/>
      <c r="HF140" s="346"/>
      <c r="HG140" s="346"/>
      <c r="HH140" s="346"/>
      <c r="HI140" s="346"/>
      <c r="HJ140" s="346"/>
      <c r="HK140" s="346"/>
      <c r="HL140" s="346"/>
      <c r="HM140" s="346"/>
      <c r="HN140" s="346"/>
      <c r="HO140" s="346"/>
      <c r="HP140" s="346"/>
      <c r="HQ140" s="346"/>
      <c r="HR140" s="346"/>
      <c r="HS140" s="346"/>
      <c r="HT140" s="346"/>
      <c r="HU140" s="346"/>
      <c r="HV140" s="346"/>
      <c r="HW140" s="346"/>
      <c r="HX140" s="346"/>
      <c r="HY140" s="346"/>
      <c r="HZ140" s="346"/>
      <c r="IA140" s="346"/>
      <c r="IB140" s="346"/>
      <c r="IC140" s="346"/>
      <c r="ID140" s="346"/>
      <c r="IE140" s="346"/>
      <c r="IF140" s="346"/>
      <c r="IG140" s="346"/>
      <c r="IH140" s="346"/>
      <c r="II140" s="346"/>
      <c r="IJ140" s="346"/>
      <c r="IK140" s="346"/>
      <c r="IL140" s="346"/>
      <c r="IM140" s="346"/>
      <c r="IN140" s="346"/>
      <c r="IO140" s="346"/>
      <c r="IP140" s="346"/>
      <c r="IQ140" s="346"/>
      <c r="IR140" s="346"/>
      <c r="IS140" s="346"/>
      <c r="IT140" s="346"/>
      <c r="IU140" s="346"/>
      <c r="IV140" s="346"/>
      <c r="IW140" s="346"/>
    </row>
    <row r="141" customFormat="false" ht="11.25" hidden="true" customHeight="false" outlineLevel="1" collapsed="false">
      <c r="A141" s="777" t="str">
        <f aca="false">curr2&amp;" Escalation Factors"</f>
        <v>Reis Escalation Factors</v>
      </c>
      <c r="B141" s="774"/>
      <c r="C141" s="774"/>
      <c r="D141" s="774"/>
      <c r="E141" s="774"/>
      <c r="F141" s="774"/>
      <c r="G141" s="774"/>
      <c r="H141" s="774"/>
      <c r="I141" s="774"/>
      <c r="J141" s="774"/>
      <c r="K141" s="774"/>
      <c r="L141" s="774"/>
      <c r="M141" s="774"/>
      <c r="N141" s="774"/>
      <c r="O141" s="774"/>
      <c r="P141" s="774"/>
      <c r="Q141" s="774"/>
      <c r="R141" s="774"/>
      <c r="S141" s="774"/>
      <c r="T141" s="774"/>
      <c r="U141" s="774"/>
      <c r="V141" s="774"/>
      <c r="W141" s="774"/>
      <c r="X141" s="774"/>
      <c r="Y141" s="774"/>
      <c r="Z141" s="774"/>
      <c r="AA141" s="774"/>
      <c r="AB141" s="774"/>
      <c r="AC141" s="774"/>
      <c r="AD141" s="774"/>
      <c r="AE141" s="774"/>
      <c r="AF141" s="774"/>
    </row>
    <row r="142" customFormat="false" ht="11.25" hidden="true" customHeight="false" outlineLevel="1" collapsed="false">
      <c r="A142" s="860" t="s">
        <v>707</v>
      </c>
      <c r="B142" s="861" t="s">
        <v>708</v>
      </c>
      <c r="C142" s="792" t="s">
        <v>714</v>
      </c>
      <c r="D142" s="862" t="s">
        <v>715</v>
      </c>
      <c r="E142" s="792"/>
      <c r="F142" s="792"/>
      <c r="G142" s="792"/>
      <c r="H142" s="792"/>
      <c r="I142" s="792"/>
      <c r="J142" s="792"/>
      <c r="K142" s="792"/>
      <c r="L142" s="792"/>
      <c r="M142" s="792"/>
      <c r="N142" s="792"/>
      <c r="O142" s="792"/>
      <c r="P142" s="792"/>
      <c r="Q142" s="792"/>
      <c r="R142" s="792"/>
      <c r="S142" s="792"/>
      <c r="T142" s="792"/>
      <c r="U142" s="792"/>
      <c r="V142" s="792"/>
      <c r="W142" s="792"/>
      <c r="X142" s="792"/>
      <c r="Y142" s="792"/>
      <c r="Z142" s="792"/>
      <c r="AA142" s="792"/>
      <c r="AB142" s="792"/>
      <c r="AC142" s="792"/>
      <c r="AD142" s="792"/>
      <c r="AE142" s="792"/>
      <c r="AF142" s="792"/>
    </row>
    <row r="143" customFormat="false" ht="11.25" hidden="true" customHeight="false" outlineLevel="1" collapsed="false">
      <c r="A143" s="792"/>
      <c r="B143" s="861" t="s">
        <v>709</v>
      </c>
      <c r="C143" s="792"/>
      <c r="D143" s="792"/>
      <c r="E143" s="792"/>
      <c r="F143" s="792"/>
      <c r="G143" s="792"/>
      <c r="H143" s="865" t="n">
        <v>0</v>
      </c>
      <c r="I143" s="865" t="n">
        <v>0</v>
      </c>
      <c r="J143" s="865" t="n">
        <v>0</v>
      </c>
      <c r="K143" s="865" t="n">
        <v>0</v>
      </c>
      <c r="L143" s="865" t="n">
        <v>0</v>
      </c>
      <c r="M143" s="865" t="n">
        <v>0</v>
      </c>
      <c r="N143" s="865" t="n">
        <v>0</v>
      </c>
      <c r="O143" s="865" t="n">
        <v>0</v>
      </c>
      <c r="P143" s="865" t="n">
        <v>0</v>
      </c>
      <c r="Q143" s="865" t="n">
        <v>0</v>
      </c>
      <c r="R143" s="865" t="n">
        <v>0</v>
      </c>
      <c r="S143" s="865" t="n">
        <v>0</v>
      </c>
      <c r="T143" s="865" t="n">
        <v>0</v>
      </c>
      <c r="U143" s="865" t="n">
        <v>0</v>
      </c>
      <c r="V143" s="865" t="n">
        <v>0</v>
      </c>
      <c r="W143" s="865" t="n">
        <v>0</v>
      </c>
      <c r="X143" s="865" t="n">
        <v>0</v>
      </c>
      <c r="Y143" s="865" t="n">
        <v>0</v>
      </c>
      <c r="Z143" s="865" t="n">
        <v>0</v>
      </c>
      <c r="AA143" s="865" t="n">
        <v>0</v>
      </c>
      <c r="AB143" s="865" t="n">
        <v>0</v>
      </c>
      <c r="AC143" s="865" t="n">
        <v>0</v>
      </c>
      <c r="AD143" s="865" t="n">
        <v>0</v>
      </c>
      <c r="AE143" s="865" t="n">
        <v>0</v>
      </c>
      <c r="AF143" s="865" t="n">
        <v>0</v>
      </c>
    </row>
    <row r="144" customFormat="false" ht="11.25" hidden="true" customHeight="false" outlineLevel="1" collapsed="false">
      <c r="A144" s="792"/>
      <c r="B144" s="792" t="s">
        <v>710</v>
      </c>
      <c r="C144" s="792"/>
      <c r="D144" s="792"/>
      <c r="E144" s="792"/>
      <c r="F144" s="792"/>
      <c r="G144" s="792"/>
      <c r="H144" s="866"/>
      <c r="I144" s="851" t="n">
        <f aca="false">(1+(+I143/12))^(+stub)</f>
        <v>1</v>
      </c>
      <c r="J144" s="867" t="n">
        <f aca="false">+I144*(1+J143)</f>
        <v>1</v>
      </c>
      <c r="K144" s="867" t="n">
        <f aca="false">+J144*(1+K143)</f>
        <v>1</v>
      </c>
      <c r="L144" s="867" t="n">
        <f aca="false">+K144*(1+L143)</f>
        <v>1</v>
      </c>
      <c r="M144" s="867" t="n">
        <f aca="false">+L144*(1+M143)</f>
        <v>1</v>
      </c>
      <c r="N144" s="867" t="n">
        <f aca="false">+M144*(1+N143)</f>
        <v>1</v>
      </c>
      <c r="O144" s="867" t="n">
        <f aca="false">+N144*(1+O143)</f>
        <v>1</v>
      </c>
      <c r="P144" s="867" t="n">
        <f aca="false">+O144*(1+P143)</f>
        <v>1</v>
      </c>
      <c r="Q144" s="867" t="n">
        <f aca="false">+P144*(1+Q143)</f>
        <v>1</v>
      </c>
      <c r="R144" s="867" t="n">
        <f aca="false">+Q144*(1+R143)</f>
        <v>1</v>
      </c>
      <c r="S144" s="867" t="n">
        <f aca="false">+R144*(1+S143)</f>
        <v>1</v>
      </c>
      <c r="T144" s="867" t="n">
        <f aca="false">+S144*(1+T143)</f>
        <v>1</v>
      </c>
      <c r="U144" s="867" t="n">
        <f aca="false">+T144*(1+U143)</f>
        <v>1</v>
      </c>
      <c r="V144" s="867" t="n">
        <f aca="false">+U144*(1+V143)</f>
        <v>1</v>
      </c>
      <c r="W144" s="867" t="n">
        <f aca="false">+V144*(1+W143)</f>
        <v>1</v>
      </c>
      <c r="X144" s="867" t="n">
        <f aca="false">+W144*(1+X143)</f>
        <v>1</v>
      </c>
      <c r="Y144" s="867" t="n">
        <f aca="false">+X144*(1+Y143)</f>
        <v>1</v>
      </c>
      <c r="Z144" s="867" t="n">
        <f aca="false">+Y144*(1+Z143)</f>
        <v>1</v>
      </c>
      <c r="AA144" s="867" t="n">
        <f aca="false">+Z144*(1+AA143)</f>
        <v>1</v>
      </c>
      <c r="AB144" s="867" t="n">
        <f aca="false">+AA144*(1+AB143)</f>
        <v>1</v>
      </c>
      <c r="AC144" s="867" t="n">
        <f aca="false">+AB144*(1+AC143)</f>
        <v>1</v>
      </c>
      <c r="AD144" s="867" t="n">
        <f aca="false">+AC144*(1+AD143)</f>
        <v>1</v>
      </c>
      <c r="AE144" s="867" t="n">
        <f aca="false">+AD144*(1+AE143)</f>
        <v>1</v>
      </c>
      <c r="AF144" s="867" t="n">
        <f aca="false">+AE144*(1+AF143)</f>
        <v>1</v>
      </c>
    </row>
    <row r="145" customFormat="false" ht="12" hidden="true" customHeight="false" outlineLevel="1" collapsed="false">
      <c r="A145" s="838"/>
      <c r="B145" s="838"/>
      <c r="C145" s="838"/>
      <c r="D145" s="838"/>
      <c r="E145" s="838"/>
      <c r="F145" s="838"/>
      <c r="G145" s="838"/>
      <c r="H145" s="838"/>
      <c r="I145" s="838"/>
      <c r="J145" s="838"/>
      <c r="K145" s="838"/>
      <c r="L145" s="838"/>
      <c r="M145" s="838"/>
      <c r="N145" s="838"/>
      <c r="O145" s="838"/>
      <c r="P145" s="838"/>
      <c r="Q145" s="838"/>
      <c r="R145" s="838"/>
      <c r="S145" s="838"/>
      <c r="T145" s="838"/>
      <c r="U145" s="838"/>
      <c r="V145" s="838"/>
      <c r="W145" s="838"/>
      <c r="X145" s="838"/>
      <c r="Y145" s="838"/>
      <c r="Z145" s="838"/>
      <c r="AA145" s="838"/>
      <c r="AB145" s="838"/>
      <c r="AC145" s="838"/>
      <c r="AD145" s="838"/>
      <c r="AE145" s="838"/>
      <c r="AF145" s="838"/>
    </row>
    <row r="146" customFormat="false" ht="12" hidden="true" customHeight="false" outlineLevel="1" collapsed="false">
      <c r="A146" s="807"/>
      <c r="B146" s="807"/>
      <c r="C146" s="807"/>
      <c r="D146" s="807"/>
      <c r="E146" s="807"/>
      <c r="F146" s="807"/>
      <c r="G146" s="807"/>
      <c r="H146" s="807"/>
      <c r="I146" s="807"/>
      <c r="J146" s="807"/>
      <c r="K146" s="807"/>
      <c r="L146" s="807"/>
      <c r="M146" s="807"/>
      <c r="N146" s="807"/>
      <c r="O146" s="807"/>
      <c r="P146" s="807"/>
      <c r="Q146" s="807"/>
      <c r="R146" s="807"/>
      <c r="S146" s="807"/>
      <c r="T146" s="807"/>
      <c r="U146" s="807"/>
      <c r="V146" s="807"/>
      <c r="W146" s="807"/>
      <c r="X146" s="807"/>
      <c r="Y146" s="807"/>
      <c r="Z146" s="807"/>
      <c r="AA146" s="807"/>
      <c r="AB146" s="807"/>
      <c r="AC146" s="807"/>
      <c r="AD146" s="807"/>
      <c r="AE146" s="807"/>
      <c r="AF146" s="807"/>
    </row>
    <row r="147" customFormat="false" ht="11.25" hidden="false" customHeight="false" outlineLevel="0" collapsed="false">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751"/>
    </row>
    <row r="148" customFormat="false" ht="12" hidden="false" customHeight="false" outlineLevel="0" collapsed="false">
      <c r="A148" s="854"/>
      <c r="B148" s="854"/>
      <c r="C148" s="854"/>
      <c r="D148" s="854"/>
      <c r="E148" s="854"/>
      <c r="F148" s="854"/>
      <c r="G148" s="854"/>
      <c r="H148" s="854"/>
      <c r="I148" s="854"/>
      <c r="J148" s="854"/>
      <c r="K148" s="854"/>
      <c r="L148" s="854"/>
      <c r="M148" s="854"/>
      <c r="N148" s="854"/>
      <c r="O148" s="854"/>
      <c r="P148" s="854"/>
      <c r="Q148" s="854"/>
      <c r="R148" s="854"/>
      <c r="S148" s="854"/>
      <c r="T148" s="854"/>
      <c r="U148" s="854"/>
      <c r="V148" s="854"/>
      <c r="W148" s="854"/>
      <c r="X148" s="854"/>
      <c r="Y148" s="854"/>
      <c r="Z148" s="854"/>
      <c r="AA148" s="854"/>
      <c r="AB148" s="854"/>
      <c r="AC148" s="854"/>
      <c r="AD148" s="854"/>
      <c r="AE148" s="854"/>
      <c r="AF148" s="854"/>
    </row>
    <row r="149" customFormat="false" ht="12.75" hidden="false" customHeight="false" outlineLevel="0" collapsed="false">
      <c r="A149" s="799" t="s">
        <v>716</v>
      </c>
      <c r="I149" s="775" t="n">
        <f aca="false">+I$3</f>
        <v>37986</v>
      </c>
      <c r="J149" s="776" t="n">
        <f aca="false">+J$3</f>
        <v>2004</v>
      </c>
      <c r="K149" s="776" t="n">
        <f aca="false">+K$3</f>
        <v>2005</v>
      </c>
      <c r="L149" s="776" t="n">
        <f aca="false">+L$3</f>
        <v>2006</v>
      </c>
      <c r="M149" s="776" t="n">
        <f aca="false">+M$3</f>
        <v>2007</v>
      </c>
      <c r="N149" s="776" t="n">
        <f aca="false">+N$3</f>
        <v>2008</v>
      </c>
      <c r="O149" s="776" t="n">
        <f aca="false">+O$3</f>
        <v>2009</v>
      </c>
      <c r="P149" s="776" t="n">
        <f aca="false">+P$3</f>
        <v>2010</v>
      </c>
      <c r="Q149" s="776" t="n">
        <f aca="false">+Q$3</f>
        <v>2011</v>
      </c>
      <c r="R149" s="776" t="n">
        <f aca="false">+R$3</f>
        <v>2012</v>
      </c>
      <c r="S149" s="776" t="n">
        <f aca="false">+S$3</f>
        <v>2013</v>
      </c>
      <c r="T149" s="776" t="n">
        <f aca="false">+T$3</f>
        <v>2014</v>
      </c>
      <c r="U149" s="776" t="n">
        <f aca="false">+U$3</f>
        <v>2015</v>
      </c>
      <c r="V149" s="776" t="n">
        <f aca="false">+V$3</f>
        <v>2016</v>
      </c>
      <c r="W149" s="776" t="n">
        <f aca="false">+W$3</f>
        <v>2017</v>
      </c>
      <c r="X149" s="776" t="n">
        <f aca="false">+X$3</f>
        <v>2018</v>
      </c>
      <c r="Y149" s="776" t="n">
        <f aca="false">+Y$3</f>
        <v>2019</v>
      </c>
      <c r="Z149" s="776" t="n">
        <f aca="false">+Z$3</f>
        <v>2020</v>
      </c>
      <c r="AA149" s="776" t="n">
        <f aca="false">+AA$3</f>
        <v>2021</v>
      </c>
      <c r="AB149" s="776" t="n">
        <f aca="false">+AB$3</f>
        <v>2022</v>
      </c>
      <c r="AC149" s="776" t="n">
        <f aca="false">+AC$3</f>
        <v>2023</v>
      </c>
      <c r="AD149" s="776" t="n">
        <f aca="false">+AD$3</f>
        <v>2024</v>
      </c>
      <c r="AE149" s="776" t="n">
        <f aca="false">+AE$3</f>
        <v>2025</v>
      </c>
      <c r="AF149" s="776" t="n">
        <f aca="false">+AF$3</f>
        <v>2026</v>
      </c>
    </row>
    <row r="150" customFormat="false" ht="14.25" hidden="false" customHeight="true" outlineLevel="0" collapsed="false">
      <c r="A150" s="868" t="s">
        <v>717</v>
      </c>
      <c r="B150" s="861" t="str">
        <f aca="false">"Currency (USD-1, "&amp;curr2&amp;"-2)"</f>
        <v>Currency (USD-1, Reis-2)</v>
      </c>
      <c r="D150" s="869" t="n">
        <v>1</v>
      </c>
      <c r="I150" s="870"/>
      <c r="J150" s="870"/>
      <c r="K150" s="870"/>
      <c r="L150" s="870"/>
      <c r="M150" s="870"/>
      <c r="N150" s="870"/>
      <c r="O150" s="870"/>
      <c r="P150" s="870"/>
      <c r="Q150" s="870"/>
      <c r="R150" s="870"/>
      <c r="S150" s="870"/>
      <c r="T150" s="870"/>
      <c r="U150" s="870"/>
      <c r="V150" s="870"/>
      <c r="W150" s="870"/>
      <c r="X150" s="870"/>
      <c r="Y150" s="870"/>
      <c r="Z150" s="870"/>
      <c r="AA150" s="870"/>
      <c r="AB150" s="870"/>
      <c r="AC150" s="870"/>
      <c r="AD150" s="870"/>
      <c r="AE150" s="870"/>
      <c r="AF150" s="870"/>
    </row>
    <row r="151" customFormat="false" ht="11.25" hidden="false" customHeight="false" outlineLevel="0" collapsed="false">
      <c r="B151" s="861" t="s">
        <v>718</v>
      </c>
      <c r="C151" s="792"/>
      <c r="D151" s="871" t="n">
        <v>1</v>
      </c>
    </row>
    <row r="152" customFormat="false" ht="11.25" hidden="false" customHeight="false" outlineLevel="0" collapsed="false">
      <c r="B152" s="800" t="s">
        <v>719</v>
      </c>
      <c r="D152" s="872" t="n">
        <v>0</v>
      </c>
      <c r="G152" s="800" t="s">
        <v>720</v>
      </c>
      <c r="I152" s="873" t="n">
        <f aca="false">+$D$152*IF($D150=1,CHOOSE($D$151,1,I129),CHOOSE($D$151,1,I144))</f>
        <v>0</v>
      </c>
      <c r="J152" s="873" t="n">
        <f aca="false">+$D$152*IF($D150=1,CHOOSE($D$151,1,J129),CHOOSE($D$151,1,J144))</f>
        <v>0</v>
      </c>
      <c r="K152" s="873" t="n">
        <f aca="false">+$D$152*IF($D150=1,CHOOSE($D$151,1,K129),CHOOSE($D$151,1,K144))</f>
        <v>0</v>
      </c>
      <c r="L152" s="873" t="n">
        <f aca="false">+$D$152*IF($D150=1,CHOOSE($D$151,1,L129),CHOOSE($D$151,1,L144))</f>
        <v>0</v>
      </c>
      <c r="M152" s="873" t="n">
        <f aca="false">+$D$152*IF($D150=1,CHOOSE($D$151,1,M129),CHOOSE($D$151,1,M144))</f>
        <v>0</v>
      </c>
      <c r="N152" s="873" t="n">
        <f aca="false">+$D$152*IF($D150=1,CHOOSE($D$151,1,N129),CHOOSE($D$151,1,N144))</f>
        <v>0</v>
      </c>
      <c r="O152" s="873" t="n">
        <f aca="false">+$D$152*IF($D150=1,CHOOSE($D$151,1,O129),CHOOSE($D$151,1,O144))</f>
        <v>0</v>
      </c>
      <c r="P152" s="873" t="n">
        <f aca="false">+$D$152*IF($D150=1,CHOOSE($D$151,1,P129),CHOOSE($D$151,1,P144))</f>
        <v>0</v>
      </c>
      <c r="Q152" s="873" t="n">
        <f aca="false">+$D$152*IF($D150=1,CHOOSE($D$151,1,Q129),CHOOSE($D$151,1,Q144))</f>
        <v>0</v>
      </c>
      <c r="R152" s="873" t="n">
        <f aca="false">+$D$152*IF($D150=1,CHOOSE($D$151,1,R129),CHOOSE($D$151,1,R144))</f>
        <v>0</v>
      </c>
      <c r="S152" s="873" t="n">
        <f aca="false">+$D$152*IF($D150=1,CHOOSE($D$151,1,S129),CHOOSE($D$151,1,S144))</f>
        <v>0</v>
      </c>
      <c r="T152" s="873" t="n">
        <f aca="false">+$D$152*IF($D150=1,CHOOSE($D$151,1,T129),CHOOSE($D$151,1,T144))</f>
        <v>0</v>
      </c>
      <c r="U152" s="873" t="n">
        <f aca="false">+$D$152*IF($D150=1,CHOOSE($D$151,1,U129),CHOOSE($D$151,1,U144))</f>
        <v>0</v>
      </c>
      <c r="V152" s="873" t="n">
        <f aca="false">+$D$152*IF($D150=1,CHOOSE($D$151,1,V129),CHOOSE($D$151,1,V144))</f>
        <v>0</v>
      </c>
      <c r="W152" s="873" t="n">
        <f aca="false">+$D$152*IF($D150=1,CHOOSE($D$151,1,W129),CHOOSE($D$151,1,W144))</f>
        <v>0</v>
      </c>
      <c r="X152" s="873" t="n">
        <f aca="false">+$D$152*IF($D150=1,CHOOSE($D$151,1,X129),CHOOSE($D$151,1,X144))</f>
        <v>0</v>
      </c>
      <c r="Y152" s="873" t="n">
        <f aca="false">+$D$152*IF($D150=1,CHOOSE($D$151,1,Y129),CHOOSE($D$151,1,Y144))</f>
        <v>0</v>
      </c>
      <c r="Z152" s="873" t="n">
        <f aca="false">+$D$152*IF($D150=1,CHOOSE($D$151,1,Z129),CHOOSE($D$151,1,Z144))</f>
        <v>0</v>
      </c>
      <c r="AA152" s="873" t="n">
        <f aca="false">+$D$152*IF($D150=1,CHOOSE($D$151,1,AA129),CHOOSE($D$151,1,AA144))</f>
        <v>0</v>
      </c>
      <c r="AB152" s="873" t="n">
        <f aca="false">+$D$152*IF($D150=1,CHOOSE($D$151,1,AB129),CHOOSE($D$151,1,AB144))</f>
        <v>0</v>
      </c>
      <c r="AC152" s="873" t="n">
        <f aca="false">+$D$152*IF($D150=1,CHOOSE($D$151,1,AC129),CHOOSE($D$151,1,AC144))</f>
        <v>0</v>
      </c>
      <c r="AD152" s="873" t="n">
        <f aca="false">+$D$152*IF($D150=1,CHOOSE($D$151,1,AD129),CHOOSE($D$151,1,AD144))</f>
        <v>0</v>
      </c>
      <c r="AE152" s="873" t="n">
        <f aca="false">+$D$152*IF($D150=1,CHOOSE($D$151,1,AE129),CHOOSE($D$151,1,AE144))</f>
        <v>0</v>
      </c>
      <c r="AF152" s="873" t="n">
        <f aca="false">+$D$152*IF($D150=1,CHOOSE($D$151,1,AF129),CHOOSE($D$151,1,AF144))</f>
        <v>0</v>
      </c>
    </row>
    <row r="153" customFormat="false" ht="11.25" hidden="false" customHeight="false" outlineLevel="0" collapsed="false">
      <c r="G153" s="874" t="s">
        <v>721</v>
      </c>
      <c r="I153" s="875" t="e">
        <f aca="false" t="array" ref="I153:AC153">+TRANSPOSE(CALC!HQ17:HQ37)</f>
        <v>#VALUE!</v>
      </c>
      <c r="J153" s="875" t="e">
        <v>#VALUE!</v>
      </c>
      <c r="K153" s="875" t="e">
        <v>#VALUE!</v>
      </c>
      <c r="L153" s="875" t="e">
        <v>#VALUE!</v>
      </c>
      <c r="M153" s="875" t="e">
        <v>#VALUE!</v>
      </c>
      <c r="N153" s="875" t="e">
        <v>#VALUE!</v>
      </c>
      <c r="O153" s="875" t="e">
        <v>#VALUE!</v>
      </c>
      <c r="P153" s="875" t="e">
        <v>#VALUE!</v>
      </c>
      <c r="Q153" s="875" t="e">
        <v>#VALUE!</v>
      </c>
      <c r="R153" s="875" t="e">
        <v>#VALUE!</v>
      </c>
      <c r="S153" s="875" t="e">
        <v>#VALUE!</v>
      </c>
      <c r="T153" s="875" t="e">
        <v>#VALUE!</v>
      </c>
      <c r="U153" s="875" t="e">
        <v>#VALUE!</v>
      </c>
      <c r="V153" s="875" t="e">
        <v>#VALUE!</v>
      </c>
      <c r="W153" s="875" t="e">
        <v>#VALUE!</v>
      </c>
      <c r="X153" s="875" t="e">
        <v>#VALUE!</v>
      </c>
      <c r="Y153" s="875" t="e">
        <v>#VALUE!</v>
      </c>
      <c r="Z153" s="875" t="e">
        <v>#VALUE!</v>
      </c>
      <c r="AA153" s="875" t="e">
        <v>#VALUE!</v>
      </c>
      <c r="AB153" s="875" t="e">
        <v>#VALUE!</v>
      </c>
      <c r="AC153" s="875" t="n">
        <v>0</v>
      </c>
      <c r="AD153" s="875" t="n">
        <v>0</v>
      </c>
      <c r="AE153" s="875" t="n">
        <v>0</v>
      </c>
      <c r="AF153" s="875" t="n">
        <v>0</v>
      </c>
    </row>
    <row r="154" customFormat="false" ht="11.25" hidden="false" customHeight="false" outlineLevel="0" collapsed="false">
      <c r="G154" s="874" t="s">
        <v>721</v>
      </c>
      <c r="I154" s="875" t="n">
        <v>0</v>
      </c>
      <c r="J154" s="875" t="n">
        <v>0</v>
      </c>
      <c r="K154" s="875" t="n">
        <v>0</v>
      </c>
      <c r="L154" s="875" t="n">
        <v>0</v>
      </c>
      <c r="M154" s="875" t="n">
        <v>0</v>
      </c>
      <c r="N154" s="875" t="n">
        <v>0</v>
      </c>
      <c r="O154" s="875" t="n">
        <v>0</v>
      </c>
      <c r="P154" s="875" t="n">
        <v>0</v>
      </c>
      <c r="Q154" s="875" t="n">
        <v>0</v>
      </c>
      <c r="R154" s="875" t="n">
        <v>0</v>
      </c>
      <c r="S154" s="875" t="n">
        <v>0</v>
      </c>
      <c r="T154" s="875" t="n">
        <v>0</v>
      </c>
      <c r="U154" s="875" t="n">
        <v>0</v>
      </c>
      <c r="V154" s="875" t="n">
        <v>0</v>
      </c>
      <c r="W154" s="875" t="n">
        <v>0</v>
      </c>
      <c r="X154" s="875" t="n">
        <v>0</v>
      </c>
      <c r="Y154" s="875" t="n">
        <v>0</v>
      </c>
      <c r="Z154" s="875" t="n">
        <v>0</v>
      </c>
      <c r="AA154" s="875" t="n">
        <v>0</v>
      </c>
      <c r="AB154" s="875" t="n">
        <v>0</v>
      </c>
      <c r="AC154" s="875" t="n">
        <v>0</v>
      </c>
      <c r="AD154" s="875" t="n">
        <v>0</v>
      </c>
      <c r="AE154" s="875" t="n">
        <v>0</v>
      </c>
      <c r="AF154" s="875" t="n">
        <v>0</v>
      </c>
    </row>
    <row r="155" customFormat="false" ht="11.25" hidden="false" customHeight="false" outlineLevel="0" collapsed="false">
      <c r="G155" s="874" t="s">
        <v>721</v>
      </c>
      <c r="I155" s="875" t="n">
        <v>0</v>
      </c>
      <c r="J155" s="875" t="n">
        <v>0</v>
      </c>
      <c r="K155" s="875" t="n">
        <v>0</v>
      </c>
      <c r="L155" s="875" t="n">
        <v>0</v>
      </c>
      <c r="M155" s="875" t="n">
        <v>0</v>
      </c>
      <c r="N155" s="875" t="n">
        <v>0</v>
      </c>
      <c r="O155" s="875" t="n">
        <v>0</v>
      </c>
      <c r="P155" s="875" t="n">
        <v>0</v>
      </c>
      <c r="Q155" s="875" t="n">
        <v>0</v>
      </c>
      <c r="R155" s="875" t="n">
        <v>0</v>
      </c>
      <c r="S155" s="875" t="n">
        <v>0</v>
      </c>
      <c r="T155" s="875" t="n">
        <v>0</v>
      </c>
      <c r="U155" s="875" t="n">
        <v>0</v>
      </c>
      <c r="V155" s="875" t="n">
        <v>0</v>
      </c>
      <c r="W155" s="875" t="n">
        <v>0</v>
      </c>
      <c r="X155" s="875" t="n">
        <v>0</v>
      </c>
      <c r="Y155" s="875" t="n">
        <v>0</v>
      </c>
      <c r="Z155" s="875" t="n">
        <v>0</v>
      </c>
      <c r="AA155" s="875" t="n">
        <v>0</v>
      </c>
      <c r="AB155" s="875" t="n">
        <v>0</v>
      </c>
      <c r="AC155" s="875" t="n">
        <v>0</v>
      </c>
      <c r="AD155" s="875" t="n">
        <v>0</v>
      </c>
      <c r="AE155" s="875" t="n">
        <v>0</v>
      </c>
      <c r="AF155" s="875" t="n">
        <v>0</v>
      </c>
    </row>
    <row r="156" customFormat="false" ht="11.25" hidden="false" customHeight="false" outlineLevel="0" collapsed="false">
      <c r="G156" s="874" t="s">
        <v>721</v>
      </c>
      <c r="I156" s="875" t="n">
        <v>0</v>
      </c>
      <c r="J156" s="875" t="n">
        <v>0</v>
      </c>
      <c r="K156" s="875" t="n">
        <v>0</v>
      </c>
      <c r="L156" s="875" t="n">
        <v>0</v>
      </c>
      <c r="M156" s="875" t="n">
        <v>0</v>
      </c>
      <c r="N156" s="875" t="n">
        <v>0</v>
      </c>
      <c r="O156" s="875" t="n">
        <v>0</v>
      </c>
      <c r="P156" s="875" t="n">
        <v>0</v>
      </c>
      <c r="Q156" s="875" t="n">
        <v>0</v>
      </c>
      <c r="R156" s="875" t="n">
        <v>0</v>
      </c>
      <c r="S156" s="875" t="n">
        <v>0</v>
      </c>
      <c r="T156" s="875" t="n">
        <v>0</v>
      </c>
      <c r="U156" s="875" t="n">
        <v>0</v>
      </c>
      <c r="V156" s="875" t="n">
        <v>0</v>
      </c>
      <c r="W156" s="875" t="n">
        <v>0</v>
      </c>
      <c r="X156" s="875" t="n">
        <v>0</v>
      </c>
      <c r="Y156" s="875" t="n">
        <v>0</v>
      </c>
      <c r="Z156" s="875" t="n">
        <v>0</v>
      </c>
      <c r="AA156" s="875" t="n">
        <v>0</v>
      </c>
      <c r="AB156" s="875" t="n">
        <v>0</v>
      </c>
      <c r="AC156" s="875" t="n">
        <v>0</v>
      </c>
      <c r="AD156" s="875" t="n">
        <v>0</v>
      </c>
      <c r="AE156" s="875" t="n">
        <v>0</v>
      </c>
      <c r="AF156" s="875" t="n">
        <v>0</v>
      </c>
    </row>
    <row r="157" customFormat="false" ht="11.25" hidden="false" customHeight="false" outlineLevel="0" collapsed="false">
      <c r="G157" s="876" t="s">
        <v>722</v>
      </c>
      <c r="I157" s="851" t="e">
        <f aca="false">SUM(I152:I156)</f>
        <v>#VALUE!</v>
      </c>
      <c r="J157" s="851" t="e">
        <f aca="false">SUM(J152:J156)</f>
        <v>#VALUE!</v>
      </c>
      <c r="K157" s="851" t="e">
        <f aca="false">SUM(K152:K156)</f>
        <v>#VALUE!</v>
      </c>
      <c r="L157" s="851" t="e">
        <f aca="false">SUM(L152:L156)</f>
        <v>#VALUE!</v>
      </c>
      <c r="M157" s="851" t="e">
        <f aca="false">SUM(M152:M156)</f>
        <v>#VALUE!</v>
      </c>
      <c r="N157" s="851" t="e">
        <f aca="false">SUM(N152:N156)</f>
        <v>#VALUE!</v>
      </c>
      <c r="O157" s="851" t="e">
        <f aca="false">SUM(O152:O156)</f>
        <v>#VALUE!</v>
      </c>
      <c r="P157" s="851" t="e">
        <f aca="false">SUM(P152:P156)</f>
        <v>#VALUE!</v>
      </c>
      <c r="Q157" s="851" t="e">
        <f aca="false">SUM(Q152:Q156)</f>
        <v>#VALUE!</v>
      </c>
      <c r="R157" s="851" t="e">
        <f aca="false">SUM(R152:R156)</f>
        <v>#VALUE!</v>
      </c>
      <c r="S157" s="851" t="e">
        <f aca="false">SUM(S152:S156)</f>
        <v>#VALUE!</v>
      </c>
      <c r="T157" s="851" t="e">
        <f aca="false">SUM(T152:T156)</f>
        <v>#VALUE!</v>
      </c>
      <c r="U157" s="851" t="e">
        <f aca="false">SUM(U152:U156)</f>
        <v>#VALUE!</v>
      </c>
      <c r="V157" s="851" t="e">
        <f aca="false">SUM(V152:V156)</f>
        <v>#VALUE!</v>
      </c>
      <c r="W157" s="851" t="e">
        <f aca="false">SUM(W152:W156)</f>
        <v>#VALUE!</v>
      </c>
      <c r="X157" s="851" t="e">
        <f aca="false">SUM(X152:X156)</f>
        <v>#VALUE!</v>
      </c>
      <c r="Y157" s="851" t="e">
        <f aca="false">SUM(Y152:Y156)</f>
        <v>#VALUE!</v>
      </c>
      <c r="Z157" s="851" t="e">
        <f aca="false">SUM(Z152:Z156)</f>
        <v>#VALUE!</v>
      </c>
      <c r="AA157" s="851" t="e">
        <f aca="false">SUM(AA152:AA156)</f>
        <v>#VALUE!</v>
      </c>
      <c r="AB157" s="851" t="e">
        <f aca="false">SUM(AB152:AB156)</f>
        <v>#VALUE!</v>
      </c>
      <c r="AC157" s="851" t="n">
        <f aca="false">SUM(AC152:AC156)</f>
        <v>0</v>
      </c>
      <c r="AD157" s="851" t="n">
        <f aca="false">SUM(AD152:AD156)</f>
        <v>0</v>
      </c>
      <c r="AE157" s="851" t="n">
        <f aca="false">SUM(AE152:AE156)</f>
        <v>0</v>
      </c>
      <c r="AF157" s="851" t="n">
        <f aca="false">SUM(AF152:AF156)</f>
        <v>0</v>
      </c>
    </row>
    <row r="158" customFormat="false" ht="11.25" hidden="false" customHeight="false" outlineLevel="0" collapsed="false">
      <c r="G158" s="800" t="s">
        <v>723</v>
      </c>
      <c r="I158" s="851" t="e">
        <f aca="false">IF($D150=1,I157,+I157*I$138)</f>
        <v>#VALUE!</v>
      </c>
      <c r="J158" s="851" t="e">
        <f aca="false">IF($D150=1,J157,+J157*J$138)</f>
        <v>#VALUE!</v>
      </c>
      <c r="K158" s="851" t="e">
        <f aca="false">IF($D150=1,K157,+K157*K$138)</f>
        <v>#VALUE!</v>
      </c>
      <c r="L158" s="851" t="e">
        <f aca="false">IF($D150=1,L157,+L157*L$138)</f>
        <v>#VALUE!</v>
      </c>
      <c r="M158" s="851" t="e">
        <f aca="false">IF($D150=1,M157,+M157*M$138)</f>
        <v>#VALUE!</v>
      </c>
      <c r="N158" s="851" t="e">
        <f aca="false">IF($D150=1,N157,+N157*N$138)</f>
        <v>#VALUE!</v>
      </c>
      <c r="O158" s="851" t="e">
        <f aca="false">IF($D150=1,O157,+O157*O$138)</f>
        <v>#VALUE!</v>
      </c>
      <c r="P158" s="851" t="e">
        <f aca="false">IF($D150=1,P157,+P157*P$138)</f>
        <v>#VALUE!</v>
      </c>
      <c r="Q158" s="851" t="e">
        <f aca="false">IF($D150=1,Q157,+Q157*Q$138)</f>
        <v>#VALUE!</v>
      </c>
      <c r="R158" s="851" t="e">
        <f aca="false">IF($D150=1,R157,+R157*R$138)</f>
        <v>#VALUE!</v>
      </c>
      <c r="S158" s="851" t="e">
        <f aca="false">IF($D150=1,S157,+S157*S$138)</f>
        <v>#VALUE!</v>
      </c>
      <c r="T158" s="851" t="e">
        <f aca="false">IF($D150=1,T157,+T157*T$138)</f>
        <v>#VALUE!</v>
      </c>
      <c r="U158" s="851" t="e">
        <f aca="false">IF($D150=1,U157,+U157*U$138)</f>
        <v>#VALUE!</v>
      </c>
      <c r="V158" s="851" t="e">
        <f aca="false">IF($D150=1,V157,+V157*V$138)</f>
        <v>#VALUE!</v>
      </c>
      <c r="W158" s="851" t="e">
        <f aca="false">IF($D150=1,W157,+W157*W$138)</f>
        <v>#VALUE!</v>
      </c>
      <c r="X158" s="851" t="e">
        <f aca="false">IF($D150=1,X157,+X157*X$138)</f>
        <v>#VALUE!</v>
      </c>
      <c r="Y158" s="851" t="e">
        <f aca="false">IF($D150=1,Y157,+Y157*Y$138)</f>
        <v>#VALUE!</v>
      </c>
      <c r="Z158" s="851" t="e">
        <f aca="false">IF($D150=1,Z157,+Z157*Z$138)</f>
        <v>#VALUE!</v>
      </c>
      <c r="AA158" s="851" t="e">
        <f aca="false">IF($D150=1,AA157,+AA157*AA$138)</f>
        <v>#VALUE!</v>
      </c>
      <c r="AB158" s="851" t="e">
        <f aca="false">IF($D150=1,AB157,+AB157*AB$138)</f>
        <v>#VALUE!</v>
      </c>
      <c r="AC158" s="851" t="n">
        <f aca="false">IF($D150=1,AC157,+AC157*AC$138)</f>
        <v>0</v>
      </c>
      <c r="AD158" s="851" t="n">
        <f aca="false">IF($D150=1,AD157,+AD157*AD$138)</f>
        <v>0</v>
      </c>
      <c r="AE158" s="851" t="n">
        <f aca="false">IF($D150=1,AE157,+AE157*AE$138)</f>
        <v>0</v>
      </c>
      <c r="AF158" s="851" t="n">
        <f aca="false">IF($D150=1,AF157,+AF157*AF$138)</f>
        <v>0</v>
      </c>
    </row>
    <row r="160" customFormat="false" ht="12" hidden="false" customHeight="false" outlineLevel="0" collapsed="false"/>
    <row r="161" customFormat="false" ht="12.75" hidden="false" customHeight="false" outlineLevel="0" collapsed="false">
      <c r="A161" s="877" t="s">
        <v>724</v>
      </c>
      <c r="B161" s="807"/>
      <c r="C161" s="807"/>
      <c r="D161" s="807"/>
      <c r="E161" s="807"/>
      <c r="F161" s="807"/>
      <c r="G161" s="878"/>
      <c r="H161" s="807"/>
      <c r="I161" s="775" t="n">
        <f aca="false">+I$3</f>
        <v>37986</v>
      </c>
      <c r="J161" s="776" t="n">
        <f aca="false">+J$3</f>
        <v>2004</v>
      </c>
      <c r="K161" s="776" t="n">
        <f aca="false">+K$3</f>
        <v>2005</v>
      </c>
      <c r="L161" s="776" t="n">
        <f aca="false">+L$3</f>
        <v>2006</v>
      </c>
      <c r="M161" s="776" t="n">
        <f aca="false">+M$3</f>
        <v>2007</v>
      </c>
      <c r="N161" s="776" t="n">
        <f aca="false">+N$3</f>
        <v>2008</v>
      </c>
      <c r="O161" s="776" t="n">
        <f aca="false">+O$3</f>
        <v>2009</v>
      </c>
      <c r="P161" s="776" t="n">
        <f aca="false">+P$3</f>
        <v>2010</v>
      </c>
      <c r="Q161" s="776" t="n">
        <f aca="false">+Q$3</f>
        <v>2011</v>
      </c>
      <c r="R161" s="776" t="n">
        <f aca="false">+R$3</f>
        <v>2012</v>
      </c>
      <c r="S161" s="776" t="n">
        <f aca="false">+S$3</f>
        <v>2013</v>
      </c>
      <c r="T161" s="776" t="n">
        <f aca="false">+T$3</f>
        <v>2014</v>
      </c>
      <c r="U161" s="776" t="n">
        <f aca="false">+U$3</f>
        <v>2015</v>
      </c>
      <c r="V161" s="776" t="n">
        <f aca="false">+V$3</f>
        <v>2016</v>
      </c>
      <c r="W161" s="776" t="n">
        <f aca="false">+W$3</f>
        <v>2017</v>
      </c>
      <c r="X161" s="776" t="n">
        <f aca="false">+X$3</f>
        <v>2018</v>
      </c>
      <c r="Y161" s="776" t="n">
        <f aca="false">+Y$3</f>
        <v>2019</v>
      </c>
      <c r="Z161" s="776" t="n">
        <f aca="false">+Z$3</f>
        <v>2020</v>
      </c>
      <c r="AA161" s="776" t="n">
        <f aca="false">+AA$3</f>
        <v>2021</v>
      </c>
      <c r="AB161" s="776" t="n">
        <f aca="false">+AB$3</f>
        <v>2022</v>
      </c>
      <c r="AC161" s="776" t="n">
        <f aca="false">+AC$3</f>
        <v>2023</v>
      </c>
      <c r="AD161" s="776" t="n">
        <f aca="false">+AD$3</f>
        <v>2024</v>
      </c>
      <c r="AE161" s="776" t="n">
        <f aca="false">+AE$3</f>
        <v>2025</v>
      </c>
      <c r="AF161" s="776" t="n">
        <f aca="false">+AF$3</f>
        <v>2026</v>
      </c>
    </row>
    <row r="162" customFormat="false" ht="12" hidden="false" customHeight="false" outlineLevel="0" collapsed="false">
      <c r="A162" s="879"/>
      <c r="B162" s="807"/>
      <c r="C162" s="807"/>
      <c r="D162" s="807"/>
      <c r="E162" s="807"/>
      <c r="F162" s="807"/>
      <c r="G162" s="878"/>
      <c r="H162" s="807"/>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row>
    <row r="163" customFormat="false" ht="11.25" hidden="false" customHeight="false" outlineLevel="0" collapsed="false">
      <c r="A163" s="880" t="str">
        <f aca="false">A150</f>
        <v>Contract Rev</v>
      </c>
      <c r="C163" s="346"/>
      <c r="D163" s="346"/>
      <c r="E163" s="807"/>
      <c r="F163" s="807" t="s">
        <v>725</v>
      </c>
      <c r="G163" s="878"/>
      <c r="H163" s="807"/>
      <c r="I163" s="815" t="e">
        <f aca="false" t="array" ref="I163:AC163">+TRANSPOSE(CALC!HP17:HP37)/1000</f>
        <v>#VALUE!</v>
      </c>
      <c r="J163" s="815" t="e">
        <v>#VALUE!</v>
      </c>
      <c r="K163" s="815" t="e">
        <v>#VALUE!</v>
      </c>
      <c r="L163" s="815" t="e">
        <v>#VALUE!</v>
      </c>
      <c r="M163" s="815" t="e">
        <v>#VALUE!</v>
      </c>
      <c r="N163" s="815" t="e">
        <v>#VALUE!</v>
      </c>
      <c r="O163" s="815" t="e">
        <v>#VALUE!</v>
      </c>
      <c r="P163" s="815" t="e">
        <v>#VALUE!</v>
      </c>
      <c r="Q163" s="815" t="e">
        <v>#VALUE!</v>
      </c>
      <c r="R163" s="815" t="e">
        <v>#VALUE!</v>
      </c>
      <c r="S163" s="815" t="e">
        <v>#VALUE!</v>
      </c>
      <c r="T163" s="815" t="e">
        <v>#VALUE!</v>
      </c>
      <c r="U163" s="815" t="e">
        <v>#VALUE!</v>
      </c>
      <c r="V163" s="815" t="e">
        <v>#VALUE!</v>
      </c>
      <c r="W163" s="815" t="e">
        <v>#VALUE!</v>
      </c>
      <c r="X163" s="815" t="e">
        <v>#VALUE!</v>
      </c>
      <c r="Y163" s="815" t="e">
        <v>#VALUE!</v>
      </c>
      <c r="Z163" s="815" t="e">
        <v>#VALUE!</v>
      </c>
      <c r="AA163" s="815" t="e">
        <v>#VALUE!</v>
      </c>
      <c r="AB163" s="815" t="e">
        <v>#VALUE!</v>
      </c>
      <c r="AC163" s="815" t="n">
        <v>0</v>
      </c>
      <c r="AD163" s="815" t="n">
        <v>0</v>
      </c>
      <c r="AE163" s="815" t="n">
        <v>0</v>
      </c>
      <c r="AF163" s="815" t="n">
        <v>0</v>
      </c>
    </row>
    <row r="164" customFormat="false" ht="11.25" hidden="false" customHeight="false" outlineLevel="0" collapsed="false">
      <c r="A164" s="807"/>
      <c r="C164" s="346"/>
      <c r="D164" s="346"/>
      <c r="E164" s="807"/>
      <c r="F164" s="807" t="s">
        <v>726</v>
      </c>
      <c r="G164" s="878"/>
      <c r="H164" s="807"/>
      <c r="I164" s="832" t="e">
        <f aca="false">+I158</f>
        <v>#VALUE!</v>
      </c>
      <c r="J164" s="832" t="e">
        <f aca="false">+J158</f>
        <v>#VALUE!</v>
      </c>
      <c r="K164" s="832" t="e">
        <f aca="false">+K158</f>
        <v>#VALUE!</v>
      </c>
      <c r="L164" s="832" t="e">
        <f aca="false">+L158</f>
        <v>#VALUE!</v>
      </c>
      <c r="M164" s="832" t="e">
        <f aca="false">+M158</f>
        <v>#VALUE!</v>
      </c>
      <c r="N164" s="832" t="e">
        <f aca="false">+N158</f>
        <v>#VALUE!</v>
      </c>
      <c r="O164" s="832" t="e">
        <f aca="false">+O158</f>
        <v>#VALUE!</v>
      </c>
      <c r="P164" s="832" t="e">
        <f aca="false">+P158</f>
        <v>#VALUE!</v>
      </c>
      <c r="Q164" s="832" t="e">
        <f aca="false">+Q158</f>
        <v>#VALUE!</v>
      </c>
      <c r="R164" s="832" t="e">
        <f aca="false">+R158</f>
        <v>#VALUE!</v>
      </c>
      <c r="S164" s="832" t="e">
        <f aca="false">+S158</f>
        <v>#VALUE!</v>
      </c>
      <c r="T164" s="832" t="e">
        <f aca="false">+T158</f>
        <v>#VALUE!</v>
      </c>
      <c r="U164" s="832" t="e">
        <f aca="false">+U158</f>
        <v>#VALUE!</v>
      </c>
      <c r="V164" s="832" t="e">
        <f aca="false">+V158</f>
        <v>#VALUE!</v>
      </c>
      <c r="W164" s="832" t="e">
        <f aca="false">+W158</f>
        <v>#VALUE!</v>
      </c>
      <c r="X164" s="832" t="e">
        <f aca="false">+X158</f>
        <v>#VALUE!</v>
      </c>
      <c r="Y164" s="832" t="e">
        <f aca="false">+Y158</f>
        <v>#VALUE!</v>
      </c>
      <c r="Z164" s="832" t="e">
        <f aca="false">+Z158</f>
        <v>#VALUE!</v>
      </c>
      <c r="AA164" s="832" t="e">
        <f aca="false">+AA158</f>
        <v>#VALUE!</v>
      </c>
      <c r="AB164" s="832" t="e">
        <f aca="false">+AB158</f>
        <v>#VALUE!</v>
      </c>
      <c r="AC164" s="832" t="n">
        <f aca="false">+AC158</f>
        <v>0</v>
      </c>
      <c r="AD164" s="832" t="n">
        <f aca="false">+AD158</f>
        <v>0</v>
      </c>
      <c r="AE164" s="832" t="n">
        <f aca="false">+AE158</f>
        <v>0</v>
      </c>
      <c r="AF164" s="832" t="n">
        <f aca="false">+AF158</f>
        <v>0</v>
      </c>
    </row>
    <row r="165" customFormat="false" ht="11.25" hidden="false" customHeight="false" outlineLevel="0" collapsed="false">
      <c r="A165" s="807"/>
      <c r="C165" s="346"/>
      <c r="D165" s="346"/>
      <c r="E165" s="807"/>
      <c r="F165" s="806" t="s">
        <v>727</v>
      </c>
      <c r="G165" s="878"/>
      <c r="H165" s="807"/>
      <c r="I165" s="881" t="e">
        <f aca="false">+I164*I163</f>
        <v>#VALUE!</v>
      </c>
      <c r="J165" s="881" t="e">
        <f aca="false">+J164*J163</f>
        <v>#VALUE!</v>
      </c>
      <c r="K165" s="881" t="e">
        <f aca="false">+K164*K163</f>
        <v>#VALUE!</v>
      </c>
      <c r="L165" s="881" t="e">
        <f aca="false">+L164*L163</f>
        <v>#VALUE!</v>
      </c>
      <c r="M165" s="881" t="e">
        <f aca="false">+M164*M163</f>
        <v>#VALUE!</v>
      </c>
      <c r="N165" s="881" t="e">
        <f aca="false">+N164*N163</f>
        <v>#VALUE!</v>
      </c>
      <c r="O165" s="881" t="e">
        <f aca="false">+O164*O163</f>
        <v>#VALUE!</v>
      </c>
      <c r="P165" s="881" t="e">
        <f aca="false">+P164*P163</f>
        <v>#VALUE!</v>
      </c>
      <c r="Q165" s="881" t="e">
        <f aca="false">+Q164*Q163</f>
        <v>#VALUE!</v>
      </c>
      <c r="R165" s="881" t="e">
        <f aca="false">+R164*R163</f>
        <v>#VALUE!</v>
      </c>
      <c r="S165" s="881" t="e">
        <f aca="false">+S164*S163</f>
        <v>#VALUE!</v>
      </c>
      <c r="T165" s="881" t="e">
        <f aca="false">+T164*T163</f>
        <v>#VALUE!</v>
      </c>
      <c r="U165" s="881" t="e">
        <f aca="false">+U164*U163</f>
        <v>#VALUE!</v>
      </c>
      <c r="V165" s="881" t="e">
        <f aca="false">+V164*V163</f>
        <v>#VALUE!</v>
      </c>
      <c r="W165" s="881" t="e">
        <f aca="false">+W164*W163</f>
        <v>#VALUE!</v>
      </c>
      <c r="X165" s="881" t="e">
        <f aca="false">+X164*X163</f>
        <v>#VALUE!</v>
      </c>
      <c r="Y165" s="881" t="e">
        <f aca="false">+Y164*Y163</f>
        <v>#VALUE!</v>
      </c>
      <c r="Z165" s="881" t="e">
        <f aca="false">+Z164*Z163</f>
        <v>#VALUE!</v>
      </c>
      <c r="AA165" s="881" t="e">
        <f aca="false">+AA164*AA163</f>
        <v>#VALUE!</v>
      </c>
      <c r="AB165" s="881" t="e">
        <f aca="false">+AB164*AB163</f>
        <v>#VALUE!</v>
      </c>
      <c r="AC165" s="881" t="n">
        <f aca="false">+AC164*AC163</f>
        <v>0</v>
      </c>
      <c r="AD165" s="881" t="n">
        <f aca="false">+AD164*AD163</f>
        <v>0</v>
      </c>
      <c r="AE165" s="881" t="n">
        <f aca="false">+AE164*AE163</f>
        <v>0</v>
      </c>
      <c r="AF165" s="881" t="n">
        <f aca="false">+AF164*AF163</f>
        <v>0</v>
      </c>
    </row>
    <row r="166" customFormat="false" ht="11.25" hidden="false" customHeight="false" outlineLevel="0" collapsed="false">
      <c r="A166" s="828"/>
      <c r="B166" s="828"/>
      <c r="C166" s="882"/>
      <c r="D166" s="882"/>
      <c r="E166" s="828"/>
      <c r="F166" s="852"/>
      <c r="G166" s="883"/>
      <c r="H166" s="828"/>
      <c r="I166" s="884"/>
      <c r="J166" s="884"/>
      <c r="K166" s="884"/>
      <c r="L166" s="884"/>
      <c r="M166" s="884"/>
      <c r="N166" s="884"/>
      <c r="O166" s="884"/>
      <c r="P166" s="884"/>
      <c r="Q166" s="884"/>
      <c r="R166" s="884"/>
      <c r="S166" s="884"/>
      <c r="T166" s="884"/>
      <c r="U166" s="884"/>
      <c r="V166" s="884"/>
      <c r="W166" s="884"/>
      <c r="X166" s="884"/>
      <c r="Y166" s="884"/>
      <c r="Z166" s="884"/>
      <c r="AA166" s="884"/>
      <c r="AB166" s="884"/>
      <c r="AC166" s="884"/>
      <c r="AD166" s="884"/>
      <c r="AE166" s="884"/>
      <c r="AF166" s="884"/>
    </row>
    <row r="167" customFormat="false" ht="11.25" hidden="false" customHeight="false" outlineLevel="0" collapsed="false">
      <c r="A167" s="879" t="s">
        <v>716</v>
      </c>
      <c r="B167" s="807"/>
      <c r="C167" s="347"/>
      <c r="D167" s="882"/>
      <c r="E167" s="807"/>
      <c r="F167" s="806"/>
      <c r="G167" s="878"/>
      <c r="H167" s="807"/>
      <c r="I167" s="885"/>
      <c r="J167" s="885"/>
      <c r="K167" s="885"/>
      <c r="L167" s="885"/>
      <c r="M167" s="885"/>
      <c r="N167" s="885"/>
      <c r="O167" s="885"/>
      <c r="P167" s="885"/>
      <c r="Q167" s="885"/>
      <c r="R167" s="885"/>
      <c r="S167" s="885"/>
      <c r="T167" s="885"/>
      <c r="U167" s="885"/>
      <c r="V167" s="885"/>
      <c r="W167" s="885"/>
      <c r="X167" s="885"/>
      <c r="Y167" s="885"/>
      <c r="Z167" s="885"/>
      <c r="AA167" s="885"/>
      <c r="AB167" s="885"/>
      <c r="AC167" s="885"/>
      <c r="AD167" s="885"/>
      <c r="AE167" s="885"/>
      <c r="AF167" s="885"/>
    </row>
    <row r="168" customFormat="false" ht="11.25" hidden="false" customHeight="false" outlineLevel="0" collapsed="false">
      <c r="A168" s="868" t="s">
        <v>728</v>
      </c>
      <c r="B168" s="861" t="str">
        <f aca="false">"Currency (USD-1, "&amp;curr2&amp;"-2)"</f>
        <v>Currency (USD-1, Reis-2)</v>
      </c>
      <c r="D168" s="886" t="n">
        <v>1</v>
      </c>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row>
    <row r="169" customFormat="false" ht="11.25" hidden="false" customHeight="false" outlineLevel="0" collapsed="false">
      <c r="B169" s="861" t="s">
        <v>718</v>
      </c>
      <c r="C169" s="792"/>
      <c r="D169" s="871" t="n">
        <v>1</v>
      </c>
    </row>
    <row r="170" customFormat="false" ht="11.25" hidden="false" customHeight="false" outlineLevel="0" collapsed="false">
      <c r="B170" s="800" t="s">
        <v>719</v>
      </c>
      <c r="D170" s="872" t="n">
        <v>0</v>
      </c>
      <c r="G170" s="800" t="s">
        <v>720</v>
      </c>
      <c r="I170" s="887" t="n">
        <f aca="false">+$D$152*IF($D168=1,CHOOSE($D$151,1,I146),CHOOSE($D$151,1,I161))</f>
        <v>0</v>
      </c>
      <c r="J170" s="887" t="n">
        <f aca="false">+$D$152*IF($D168=1,CHOOSE($D$151,1,J146),CHOOSE($D$151,1,J161))</f>
        <v>0</v>
      </c>
      <c r="K170" s="887" t="n">
        <f aca="false">+$D$152*IF($D168=1,CHOOSE($D$151,1,K146),CHOOSE($D$151,1,K161))</f>
        <v>0</v>
      </c>
      <c r="L170" s="887" t="n">
        <f aca="false">+$D$152*IF($D168=1,CHOOSE($D$151,1,L146),CHOOSE($D$151,1,L161))</f>
        <v>0</v>
      </c>
      <c r="M170" s="887" t="n">
        <f aca="false">+$D$152*IF($D168=1,CHOOSE($D$151,1,M146),CHOOSE($D$151,1,M161))</f>
        <v>0</v>
      </c>
      <c r="N170" s="887" t="n">
        <f aca="false">+$D$152*IF($D168=1,CHOOSE($D$151,1,N146),CHOOSE($D$151,1,N161))</f>
        <v>0</v>
      </c>
      <c r="O170" s="887" t="n">
        <f aca="false">+$D$152*IF($D168=1,CHOOSE($D$151,1,O146),CHOOSE($D$151,1,O161))</f>
        <v>0</v>
      </c>
      <c r="P170" s="887" t="n">
        <f aca="false">+$D$152*IF($D168=1,CHOOSE($D$151,1,P146),CHOOSE($D$151,1,P161))</f>
        <v>0</v>
      </c>
      <c r="Q170" s="887" t="n">
        <f aca="false">+$D$152*IF($D168=1,CHOOSE($D$151,1,Q146),CHOOSE($D$151,1,Q161))</f>
        <v>0</v>
      </c>
      <c r="R170" s="887" t="n">
        <f aca="false">+$D$152*IF($D168=1,CHOOSE($D$151,1,R146),CHOOSE($D$151,1,R161))</f>
        <v>0</v>
      </c>
      <c r="S170" s="887" t="n">
        <f aca="false">+$D$152*IF($D168=1,CHOOSE($D$151,1,S146),CHOOSE($D$151,1,S161))</f>
        <v>0</v>
      </c>
      <c r="T170" s="887" t="n">
        <f aca="false">+$D$152*IF($D168=1,CHOOSE($D$151,1,T146),CHOOSE($D$151,1,T161))</f>
        <v>0</v>
      </c>
      <c r="U170" s="887" t="n">
        <f aca="false">+$D$152*IF($D168=1,CHOOSE($D$151,1,U146),CHOOSE($D$151,1,U161))</f>
        <v>0</v>
      </c>
      <c r="V170" s="887" t="n">
        <f aca="false">+$D$152*IF($D168=1,CHOOSE($D$151,1,V146),CHOOSE($D$151,1,V161))</f>
        <v>0</v>
      </c>
      <c r="W170" s="887" t="n">
        <f aca="false">+$D$152*IF($D168=1,CHOOSE($D$151,1,W146),CHOOSE($D$151,1,W161))</f>
        <v>0</v>
      </c>
      <c r="X170" s="887" t="n">
        <f aca="false">+$D$152*IF($D168=1,CHOOSE($D$151,1,X146),CHOOSE($D$151,1,X161))</f>
        <v>0</v>
      </c>
      <c r="Y170" s="887" t="n">
        <f aca="false">+$D$152*IF($D168=1,CHOOSE($D$151,1,Y146),CHOOSE($D$151,1,Y161))</f>
        <v>0</v>
      </c>
      <c r="Z170" s="887" t="n">
        <f aca="false">+$D$152*IF($D168=1,CHOOSE($D$151,1,Z146),CHOOSE($D$151,1,Z161))</f>
        <v>0</v>
      </c>
      <c r="AA170" s="887" t="n">
        <f aca="false">+$D$152*IF($D168=1,CHOOSE($D$151,1,AA146),CHOOSE($D$151,1,AA161))</f>
        <v>0</v>
      </c>
      <c r="AB170" s="887" t="n">
        <f aca="false">+$D$152*IF($D168=1,CHOOSE($D$151,1,AB146),CHOOSE($D$151,1,AB161))</f>
        <v>0</v>
      </c>
      <c r="AC170" s="887" t="n">
        <f aca="false">+$D$152*IF($D168=1,CHOOSE($D$151,1,AC146),CHOOSE($D$151,1,AC161))</f>
        <v>0</v>
      </c>
      <c r="AD170" s="887" t="n">
        <f aca="false">+$D$152*IF($D168=1,CHOOSE($D$151,1,AD146),CHOOSE($D$151,1,AD161))</f>
        <v>0</v>
      </c>
      <c r="AE170" s="887" t="n">
        <f aca="false">+$D$152*IF($D168=1,CHOOSE($D$151,1,AE146),CHOOSE($D$151,1,AE161))</f>
        <v>0</v>
      </c>
      <c r="AF170" s="887" t="n">
        <f aca="false">+$D$152*IF($D168=1,CHOOSE($D$151,1,AF146),CHOOSE($D$151,1,AF161))</f>
        <v>0</v>
      </c>
    </row>
    <row r="171" customFormat="false" ht="11.25" hidden="false" customHeight="false" outlineLevel="0" collapsed="false">
      <c r="G171" s="874" t="s">
        <v>721</v>
      </c>
      <c r="I171" s="888" t="e">
        <f aca="false" t="array" ref="I171:AC171">+TRANSPOSE(CALC!HT17:HT37)</f>
        <v>#VALUE!</v>
      </c>
      <c r="J171" s="888" t="e">
        <v>#VALUE!</v>
      </c>
      <c r="K171" s="888" t="e">
        <v>#VALUE!</v>
      </c>
      <c r="L171" s="888" t="e">
        <v>#VALUE!</v>
      </c>
      <c r="M171" s="888" t="e">
        <v>#VALUE!</v>
      </c>
      <c r="N171" s="888" t="e">
        <v>#VALUE!</v>
      </c>
      <c r="O171" s="888" t="e">
        <v>#VALUE!</v>
      </c>
      <c r="P171" s="888" t="e">
        <v>#VALUE!</v>
      </c>
      <c r="Q171" s="888" t="e">
        <v>#VALUE!</v>
      </c>
      <c r="R171" s="888" t="e">
        <v>#VALUE!</v>
      </c>
      <c r="S171" s="888" t="e">
        <v>#VALUE!</v>
      </c>
      <c r="T171" s="888" t="e">
        <v>#VALUE!</v>
      </c>
      <c r="U171" s="888" t="e">
        <v>#VALUE!</v>
      </c>
      <c r="V171" s="888" t="e">
        <v>#VALUE!</v>
      </c>
      <c r="W171" s="888" t="e">
        <v>#VALUE!</v>
      </c>
      <c r="X171" s="888" t="e">
        <v>#VALUE!</v>
      </c>
      <c r="Y171" s="888" t="e">
        <v>#VALUE!</v>
      </c>
      <c r="Z171" s="888" t="e">
        <v>#VALUE!</v>
      </c>
      <c r="AA171" s="888" t="e">
        <v>#VALUE!</v>
      </c>
      <c r="AB171" s="888" t="e">
        <v>#VALUE!</v>
      </c>
      <c r="AC171" s="888" t="e">
        <v>#VALUE!</v>
      </c>
      <c r="AD171" s="888" t="n">
        <v>0</v>
      </c>
      <c r="AE171" s="888" t="n">
        <v>0</v>
      </c>
      <c r="AF171" s="888" t="n">
        <v>0</v>
      </c>
    </row>
    <row r="172" customFormat="false" ht="11.25" hidden="false" customHeight="false" outlineLevel="0" collapsed="false">
      <c r="G172" s="874" t="s">
        <v>721</v>
      </c>
      <c r="I172" s="888" t="n">
        <v>0</v>
      </c>
      <c r="J172" s="888" t="n">
        <v>0</v>
      </c>
      <c r="K172" s="888" t="n">
        <v>0</v>
      </c>
      <c r="L172" s="888" t="n">
        <v>0</v>
      </c>
      <c r="M172" s="888" t="n">
        <v>0</v>
      </c>
      <c r="N172" s="888" t="n">
        <v>0</v>
      </c>
      <c r="O172" s="888" t="n">
        <v>0</v>
      </c>
      <c r="P172" s="888" t="n">
        <v>0</v>
      </c>
      <c r="Q172" s="888" t="n">
        <v>0</v>
      </c>
      <c r="R172" s="888" t="n">
        <v>0</v>
      </c>
      <c r="S172" s="888" t="n">
        <v>0</v>
      </c>
      <c r="T172" s="888" t="n">
        <v>0</v>
      </c>
      <c r="U172" s="888" t="n">
        <v>0</v>
      </c>
      <c r="V172" s="888" t="n">
        <v>0</v>
      </c>
      <c r="W172" s="888" t="n">
        <v>0</v>
      </c>
      <c r="X172" s="888" t="n">
        <v>0</v>
      </c>
      <c r="Y172" s="888" t="n">
        <v>0</v>
      </c>
      <c r="Z172" s="888" t="n">
        <v>0</v>
      </c>
      <c r="AA172" s="888" t="n">
        <v>0</v>
      </c>
      <c r="AB172" s="888" t="n">
        <v>0</v>
      </c>
      <c r="AC172" s="888" t="n">
        <v>0</v>
      </c>
      <c r="AD172" s="888" t="n">
        <v>0</v>
      </c>
      <c r="AE172" s="888" t="n">
        <v>0</v>
      </c>
      <c r="AF172" s="888" t="n">
        <v>0</v>
      </c>
    </row>
    <row r="173" customFormat="false" ht="11.25" hidden="false" customHeight="false" outlineLevel="0" collapsed="false">
      <c r="G173" s="874" t="s">
        <v>721</v>
      </c>
      <c r="I173" s="888" t="n">
        <v>0</v>
      </c>
      <c r="J173" s="888" t="n">
        <v>0</v>
      </c>
      <c r="K173" s="888" t="n">
        <v>0</v>
      </c>
      <c r="L173" s="888" t="n">
        <v>0</v>
      </c>
      <c r="M173" s="888" t="n">
        <v>0</v>
      </c>
      <c r="N173" s="888" t="n">
        <v>0</v>
      </c>
      <c r="O173" s="888" t="n">
        <v>0</v>
      </c>
      <c r="P173" s="888" t="n">
        <v>0</v>
      </c>
      <c r="Q173" s="888" t="n">
        <v>0</v>
      </c>
      <c r="R173" s="888" t="n">
        <v>0</v>
      </c>
      <c r="S173" s="888" t="n">
        <v>0</v>
      </c>
      <c r="T173" s="888" t="n">
        <v>0</v>
      </c>
      <c r="U173" s="888" t="n">
        <v>0</v>
      </c>
      <c r="V173" s="888" t="n">
        <v>0</v>
      </c>
      <c r="W173" s="888" t="n">
        <v>0</v>
      </c>
      <c r="X173" s="888" t="n">
        <v>0</v>
      </c>
      <c r="Y173" s="888" t="n">
        <v>0</v>
      </c>
      <c r="Z173" s="888" t="n">
        <v>0</v>
      </c>
      <c r="AA173" s="888" t="n">
        <v>0</v>
      </c>
      <c r="AB173" s="888" t="n">
        <v>0</v>
      </c>
      <c r="AC173" s="888" t="n">
        <v>0</v>
      </c>
      <c r="AD173" s="888" t="n">
        <v>0</v>
      </c>
      <c r="AE173" s="888" t="n">
        <v>0</v>
      </c>
      <c r="AF173" s="888" t="n">
        <v>0</v>
      </c>
    </row>
    <row r="174" customFormat="false" ht="11.25" hidden="false" customHeight="false" outlineLevel="0" collapsed="false">
      <c r="G174" s="874" t="s">
        <v>721</v>
      </c>
      <c r="I174" s="888" t="n">
        <v>0</v>
      </c>
      <c r="J174" s="888" t="n">
        <v>0</v>
      </c>
      <c r="K174" s="888" t="n">
        <v>0</v>
      </c>
      <c r="L174" s="888" t="n">
        <v>0</v>
      </c>
      <c r="M174" s="888" t="n">
        <v>0</v>
      </c>
      <c r="N174" s="888" t="n">
        <v>0</v>
      </c>
      <c r="O174" s="888" t="n">
        <v>0</v>
      </c>
      <c r="P174" s="888" t="n">
        <v>0</v>
      </c>
      <c r="Q174" s="888" t="n">
        <v>0</v>
      </c>
      <c r="R174" s="888" t="n">
        <v>0</v>
      </c>
      <c r="S174" s="888" t="n">
        <v>0</v>
      </c>
      <c r="T174" s="888" t="n">
        <v>0</v>
      </c>
      <c r="U174" s="888" t="n">
        <v>0</v>
      </c>
      <c r="V174" s="888" t="n">
        <v>0</v>
      </c>
      <c r="W174" s="888" t="n">
        <v>0</v>
      </c>
      <c r="X174" s="888" t="n">
        <v>0</v>
      </c>
      <c r="Y174" s="888" t="n">
        <v>0</v>
      </c>
      <c r="Z174" s="888" t="n">
        <v>0</v>
      </c>
      <c r="AA174" s="888" t="n">
        <v>0</v>
      </c>
      <c r="AB174" s="888" t="n">
        <v>0</v>
      </c>
      <c r="AC174" s="888" t="n">
        <v>0</v>
      </c>
      <c r="AD174" s="888" t="n">
        <v>0</v>
      </c>
      <c r="AE174" s="888" t="n">
        <v>0</v>
      </c>
      <c r="AF174" s="888" t="n">
        <v>0</v>
      </c>
    </row>
    <row r="175" customFormat="false" ht="11.25" hidden="false" customHeight="false" outlineLevel="0" collapsed="false">
      <c r="G175" s="876" t="s">
        <v>722</v>
      </c>
      <c r="I175" s="889" t="e">
        <f aca="false">SUM(I170:I174)</f>
        <v>#VALUE!</v>
      </c>
      <c r="J175" s="889" t="e">
        <f aca="false">SUM(J170:J174)</f>
        <v>#VALUE!</v>
      </c>
      <c r="K175" s="889" t="e">
        <f aca="false">SUM(K170:K174)</f>
        <v>#VALUE!</v>
      </c>
      <c r="L175" s="889" t="e">
        <f aca="false">SUM(L170:L174)</f>
        <v>#VALUE!</v>
      </c>
      <c r="M175" s="889" t="e">
        <f aca="false">SUM(M170:M174)</f>
        <v>#VALUE!</v>
      </c>
      <c r="N175" s="889" t="e">
        <f aca="false">SUM(N170:N174)</f>
        <v>#VALUE!</v>
      </c>
      <c r="O175" s="889" t="e">
        <f aca="false">SUM(O170:O174)</f>
        <v>#VALUE!</v>
      </c>
      <c r="P175" s="889" t="e">
        <f aca="false">SUM(P170:P174)</f>
        <v>#VALUE!</v>
      </c>
      <c r="Q175" s="889" t="e">
        <f aca="false">SUM(Q170:Q174)</f>
        <v>#VALUE!</v>
      </c>
      <c r="R175" s="889" t="e">
        <f aca="false">SUM(R170:R174)</f>
        <v>#VALUE!</v>
      </c>
      <c r="S175" s="889" t="e">
        <f aca="false">SUM(S170:S174)</f>
        <v>#VALUE!</v>
      </c>
      <c r="T175" s="889" t="e">
        <f aca="false">SUM(T170:T174)</f>
        <v>#VALUE!</v>
      </c>
      <c r="U175" s="889" t="e">
        <f aca="false">SUM(U170:U174)</f>
        <v>#VALUE!</v>
      </c>
      <c r="V175" s="889" t="e">
        <f aca="false">SUM(V170:V174)</f>
        <v>#VALUE!</v>
      </c>
      <c r="W175" s="889" t="e">
        <f aca="false">SUM(W170:W174)</f>
        <v>#VALUE!</v>
      </c>
      <c r="X175" s="889" t="e">
        <f aca="false">SUM(X170:X174)</f>
        <v>#VALUE!</v>
      </c>
      <c r="Y175" s="889" t="e">
        <f aca="false">SUM(Y170:Y174)</f>
        <v>#VALUE!</v>
      </c>
      <c r="Z175" s="889" t="e">
        <f aca="false">SUM(Z170:Z174)</f>
        <v>#VALUE!</v>
      </c>
      <c r="AA175" s="889" t="e">
        <f aca="false">SUM(AA170:AA174)</f>
        <v>#VALUE!</v>
      </c>
      <c r="AB175" s="889" t="e">
        <f aca="false">SUM(AB170:AB174)</f>
        <v>#VALUE!</v>
      </c>
      <c r="AC175" s="889" t="e">
        <f aca="false">SUM(AC170:AC174)</f>
        <v>#VALUE!</v>
      </c>
      <c r="AD175" s="889" t="n">
        <f aca="false">SUM(AD170:AD174)</f>
        <v>0</v>
      </c>
      <c r="AE175" s="889" t="n">
        <f aca="false">SUM(AE170:AE174)</f>
        <v>0</v>
      </c>
      <c r="AF175" s="889" t="n">
        <f aca="false">SUM(AF170:AF174)</f>
        <v>0</v>
      </c>
    </row>
    <row r="176" customFormat="false" ht="11.25" hidden="false" customHeight="false" outlineLevel="0" collapsed="false">
      <c r="G176" s="800" t="s">
        <v>723</v>
      </c>
      <c r="I176" s="889" t="e">
        <f aca="false">IF($D168=1,I175,+I175*I$138)</f>
        <v>#VALUE!</v>
      </c>
      <c r="J176" s="889" t="e">
        <f aca="false">IF($D168=1,J175,+J175*J$138)</f>
        <v>#VALUE!</v>
      </c>
      <c r="K176" s="889" t="e">
        <f aca="false">IF($D168=1,K175,+K175*K$138)</f>
        <v>#VALUE!</v>
      </c>
      <c r="L176" s="889" t="e">
        <f aca="false">IF($D168=1,L175,+L175*L$138)</f>
        <v>#VALUE!</v>
      </c>
      <c r="M176" s="889" t="e">
        <f aca="false">IF($D168=1,M175,+M175*M$138)</f>
        <v>#VALUE!</v>
      </c>
      <c r="N176" s="889" t="e">
        <f aca="false">IF($D168=1,N175,+N175*N$138)</f>
        <v>#VALUE!</v>
      </c>
      <c r="O176" s="889" t="e">
        <f aca="false">IF($D168=1,O175,+O175*O$138)</f>
        <v>#VALUE!</v>
      </c>
      <c r="P176" s="889" t="e">
        <f aca="false">IF($D168=1,P175,+P175*P$138)</f>
        <v>#VALUE!</v>
      </c>
      <c r="Q176" s="889" t="e">
        <f aca="false">IF($D168=1,Q175,+Q175*Q$138)</f>
        <v>#VALUE!</v>
      </c>
      <c r="R176" s="889" t="e">
        <f aca="false">IF($D168=1,R175,+R175*R$138)</f>
        <v>#VALUE!</v>
      </c>
      <c r="S176" s="889" t="e">
        <f aca="false">IF($D168=1,S175,+S175*S$138)</f>
        <v>#VALUE!</v>
      </c>
      <c r="T176" s="889" t="e">
        <f aca="false">IF($D168=1,T175,+T175*T$138)</f>
        <v>#VALUE!</v>
      </c>
      <c r="U176" s="889" t="e">
        <f aca="false">IF($D168=1,U175,+U175*U$138)</f>
        <v>#VALUE!</v>
      </c>
      <c r="V176" s="889" t="e">
        <f aca="false">IF($D168=1,V175,+V175*V$138)</f>
        <v>#VALUE!</v>
      </c>
      <c r="W176" s="889" t="e">
        <f aca="false">IF($D168=1,W175,+W175*W$138)</f>
        <v>#VALUE!</v>
      </c>
      <c r="X176" s="889" t="e">
        <f aca="false">IF($D168=1,X175,+X175*X$138)</f>
        <v>#VALUE!</v>
      </c>
      <c r="Y176" s="889" t="e">
        <f aca="false">IF($D168=1,Y175,+Y175*Y$138)</f>
        <v>#VALUE!</v>
      </c>
      <c r="Z176" s="889" t="e">
        <f aca="false">IF($D168=1,Z175,+Z175*Z$138)</f>
        <v>#VALUE!</v>
      </c>
      <c r="AA176" s="889" t="e">
        <f aca="false">IF($D168=1,AA175,+AA175*AA$138)</f>
        <v>#VALUE!</v>
      </c>
      <c r="AB176" s="889" t="e">
        <f aca="false">IF($D168=1,AB175,+AB175*AB$138)</f>
        <v>#VALUE!</v>
      </c>
      <c r="AC176" s="889" t="e">
        <f aca="false">IF($D168=1,AC175,+AC175*AC$138)</f>
        <v>#VALUE!</v>
      </c>
      <c r="AD176" s="889" t="n">
        <f aca="false">IF($D168=1,AD175,+AD175*AD$138)</f>
        <v>0</v>
      </c>
      <c r="AE176" s="889" t="n">
        <f aca="false">IF($D168=1,AE175,+AE175*AE$138)</f>
        <v>0</v>
      </c>
      <c r="AF176" s="889" t="n">
        <f aca="false">IF($D168=1,AF175,+AF175*AF$138)</f>
        <v>0</v>
      </c>
    </row>
    <row r="178" customFormat="false" ht="12" hidden="false" customHeight="false" outlineLevel="0" collapsed="false"/>
    <row r="179" customFormat="false" ht="12.75" hidden="false" customHeight="false" outlineLevel="0" collapsed="false">
      <c r="A179" s="877" t="s">
        <v>724</v>
      </c>
      <c r="B179" s="807"/>
      <c r="C179" s="807"/>
      <c r="D179" s="807"/>
      <c r="E179" s="807"/>
      <c r="F179" s="807"/>
      <c r="G179" s="878"/>
      <c r="H179" s="807"/>
      <c r="I179" s="775" t="n">
        <f aca="false">+I$3</f>
        <v>37986</v>
      </c>
      <c r="J179" s="776" t="n">
        <f aca="false">+J$3</f>
        <v>2004</v>
      </c>
      <c r="K179" s="776" t="n">
        <f aca="false">+K$3</f>
        <v>2005</v>
      </c>
      <c r="L179" s="776" t="n">
        <f aca="false">+L$3</f>
        <v>2006</v>
      </c>
      <c r="M179" s="776" t="n">
        <f aca="false">+M$3</f>
        <v>2007</v>
      </c>
      <c r="N179" s="776" t="n">
        <f aca="false">+N$3</f>
        <v>2008</v>
      </c>
      <c r="O179" s="776" t="n">
        <f aca="false">+O$3</f>
        <v>2009</v>
      </c>
      <c r="P179" s="776" t="n">
        <f aca="false">+P$3</f>
        <v>2010</v>
      </c>
      <c r="Q179" s="776" t="n">
        <f aca="false">+Q$3</f>
        <v>2011</v>
      </c>
      <c r="R179" s="776" t="n">
        <f aca="false">+R$3</f>
        <v>2012</v>
      </c>
      <c r="S179" s="776" t="n">
        <f aca="false">+S$3</f>
        <v>2013</v>
      </c>
      <c r="T179" s="776" t="n">
        <f aca="false">+T$3</f>
        <v>2014</v>
      </c>
      <c r="U179" s="776" t="n">
        <f aca="false">+U$3</f>
        <v>2015</v>
      </c>
      <c r="V179" s="776" t="n">
        <f aca="false">+V$3</f>
        <v>2016</v>
      </c>
      <c r="W179" s="776" t="n">
        <f aca="false">+W$3</f>
        <v>2017</v>
      </c>
      <c r="X179" s="776" t="n">
        <f aca="false">+X$3</f>
        <v>2018</v>
      </c>
      <c r="Y179" s="776" t="n">
        <f aca="false">+Y$3</f>
        <v>2019</v>
      </c>
      <c r="Z179" s="776" t="n">
        <f aca="false">+Z$3</f>
        <v>2020</v>
      </c>
      <c r="AA179" s="776" t="n">
        <f aca="false">+AA$3</f>
        <v>2021</v>
      </c>
      <c r="AB179" s="776" t="n">
        <f aca="false">+AB$3</f>
        <v>2022</v>
      </c>
      <c r="AC179" s="776" t="n">
        <f aca="false">+AC$3</f>
        <v>2023</v>
      </c>
      <c r="AD179" s="776" t="n">
        <f aca="false">+AD$3</f>
        <v>2024</v>
      </c>
      <c r="AE179" s="776" t="n">
        <f aca="false">+AE$3</f>
        <v>2025</v>
      </c>
      <c r="AF179" s="776" t="n">
        <f aca="false">+AF$3</f>
        <v>2026</v>
      </c>
    </row>
    <row r="180" customFormat="false" ht="12" hidden="false" customHeight="false" outlineLevel="0" collapsed="false">
      <c r="A180" s="879"/>
      <c r="B180" s="807"/>
      <c r="C180" s="807"/>
      <c r="D180" s="807"/>
      <c r="E180" s="807"/>
      <c r="F180" s="807"/>
      <c r="G180" s="878"/>
      <c r="H180" s="807"/>
      <c r="I180" s="890"/>
      <c r="J180" s="890"/>
      <c r="K180" s="890"/>
      <c r="L180" s="890"/>
      <c r="M180" s="890"/>
      <c r="N180" s="890"/>
      <c r="O180" s="890"/>
      <c r="P180" s="890"/>
      <c r="Q180" s="890"/>
      <c r="R180" s="890"/>
      <c r="S180" s="890"/>
      <c r="T180" s="890"/>
      <c r="U180" s="890"/>
      <c r="V180" s="890"/>
      <c r="W180" s="890"/>
      <c r="X180" s="890"/>
      <c r="Y180" s="890"/>
      <c r="Z180" s="890"/>
      <c r="AA180" s="890"/>
      <c r="AB180" s="890"/>
      <c r="AC180" s="890"/>
      <c r="AD180" s="890"/>
      <c r="AE180" s="890"/>
      <c r="AF180" s="890"/>
    </row>
    <row r="181" customFormat="false" ht="11.25" hidden="false" customHeight="false" outlineLevel="0" collapsed="false">
      <c r="A181" s="880" t="str">
        <f aca="false">A168</f>
        <v>Market Revs</v>
      </c>
      <c r="C181" s="346"/>
      <c r="D181" s="346"/>
      <c r="E181" s="807"/>
      <c r="F181" s="807" t="s">
        <v>725</v>
      </c>
      <c r="G181" s="878"/>
      <c r="H181" s="807"/>
      <c r="I181" s="815" t="e">
        <f aca="false" t="array" ref="I181:AC181">+TRANSPOSE(CALC!HS17:HS37)/1000</f>
        <v>#VALUE!</v>
      </c>
      <c r="J181" s="815" t="e">
        <v>#VALUE!</v>
      </c>
      <c r="K181" s="815" t="e">
        <v>#VALUE!</v>
      </c>
      <c r="L181" s="815" t="e">
        <v>#VALUE!</v>
      </c>
      <c r="M181" s="815" t="e">
        <v>#VALUE!</v>
      </c>
      <c r="N181" s="815" t="e">
        <v>#VALUE!</v>
      </c>
      <c r="O181" s="815" t="e">
        <v>#VALUE!</v>
      </c>
      <c r="P181" s="815" t="e">
        <v>#VALUE!</v>
      </c>
      <c r="Q181" s="815" t="e">
        <v>#VALUE!</v>
      </c>
      <c r="R181" s="815" t="e">
        <v>#VALUE!</v>
      </c>
      <c r="S181" s="815" t="e">
        <v>#VALUE!</v>
      </c>
      <c r="T181" s="815" t="e">
        <v>#VALUE!</v>
      </c>
      <c r="U181" s="815" t="e">
        <v>#VALUE!</v>
      </c>
      <c r="V181" s="815" t="e">
        <v>#VALUE!</v>
      </c>
      <c r="W181" s="815" t="e">
        <v>#VALUE!</v>
      </c>
      <c r="X181" s="815" t="e">
        <v>#VALUE!</v>
      </c>
      <c r="Y181" s="815" t="e">
        <v>#VALUE!</v>
      </c>
      <c r="Z181" s="815" t="e">
        <v>#VALUE!</v>
      </c>
      <c r="AA181" s="815" t="e">
        <v>#VALUE!</v>
      </c>
      <c r="AB181" s="815" t="e">
        <v>#VALUE!</v>
      </c>
      <c r="AC181" s="815" t="e">
        <v>#VALUE!</v>
      </c>
      <c r="AD181" s="815" t="n">
        <v>0</v>
      </c>
      <c r="AE181" s="815" t="n">
        <v>0</v>
      </c>
      <c r="AF181" s="815" t="n">
        <v>0</v>
      </c>
    </row>
    <row r="182" customFormat="false" ht="11.25" hidden="false" customHeight="false" outlineLevel="0" collapsed="false">
      <c r="A182" s="807"/>
      <c r="C182" s="346"/>
      <c r="D182" s="346"/>
      <c r="E182" s="807"/>
      <c r="F182" s="807" t="s">
        <v>726</v>
      </c>
      <c r="G182" s="878"/>
      <c r="H182" s="807"/>
      <c r="I182" s="832" t="e">
        <f aca="false">+I176</f>
        <v>#VALUE!</v>
      </c>
      <c r="J182" s="832" t="e">
        <f aca="false">+J176</f>
        <v>#VALUE!</v>
      </c>
      <c r="K182" s="832" t="e">
        <f aca="false">+K176</f>
        <v>#VALUE!</v>
      </c>
      <c r="L182" s="832" t="e">
        <f aca="false">+L176</f>
        <v>#VALUE!</v>
      </c>
      <c r="M182" s="832" t="e">
        <f aca="false">+M176</f>
        <v>#VALUE!</v>
      </c>
      <c r="N182" s="832" t="e">
        <f aca="false">+N176</f>
        <v>#VALUE!</v>
      </c>
      <c r="O182" s="832" t="e">
        <f aca="false">+O176</f>
        <v>#VALUE!</v>
      </c>
      <c r="P182" s="832" t="e">
        <f aca="false">+P176</f>
        <v>#VALUE!</v>
      </c>
      <c r="Q182" s="832" t="e">
        <f aca="false">+Q176</f>
        <v>#VALUE!</v>
      </c>
      <c r="R182" s="832" t="e">
        <f aca="false">+R176</f>
        <v>#VALUE!</v>
      </c>
      <c r="S182" s="832" t="e">
        <f aca="false">+S176</f>
        <v>#VALUE!</v>
      </c>
      <c r="T182" s="832" t="e">
        <f aca="false">+T176</f>
        <v>#VALUE!</v>
      </c>
      <c r="U182" s="832" t="e">
        <f aca="false">+U176</f>
        <v>#VALUE!</v>
      </c>
      <c r="V182" s="832" t="e">
        <f aca="false">+V176</f>
        <v>#VALUE!</v>
      </c>
      <c r="W182" s="832" t="e">
        <f aca="false">+W176</f>
        <v>#VALUE!</v>
      </c>
      <c r="X182" s="832" t="e">
        <f aca="false">+X176</f>
        <v>#VALUE!</v>
      </c>
      <c r="Y182" s="832" t="e">
        <f aca="false">+Y176</f>
        <v>#VALUE!</v>
      </c>
      <c r="Z182" s="832" t="e">
        <f aca="false">+Z176</f>
        <v>#VALUE!</v>
      </c>
      <c r="AA182" s="832" t="e">
        <f aca="false">+AA176</f>
        <v>#VALUE!</v>
      </c>
      <c r="AB182" s="832" t="e">
        <f aca="false">+AB176</f>
        <v>#VALUE!</v>
      </c>
      <c r="AC182" s="832" t="e">
        <f aca="false">+AC176</f>
        <v>#VALUE!</v>
      </c>
      <c r="AD182" s="832" t="n">
        <f aca="false">+AD176</f>
        <v>0</v>
      </c>
      <c r="AE182" s="832" t="n">
        <f aca="false">+AE176</f>
        <v>0</v>
      </c>
      <c r="AF182" s="832" t="n">
        <f aca="false">+AF176</f>
        <v>0</v>
      </c>
    </row>
    <row r="183" customFormat="false" ht="11.25" hidden="false" customHeight="false" outlineLevel="0" collapsed="false">
      <c r="A183" s="807"/>
      <c r="C183" s="346"/>
      <c r="D183" s="346"/>
      <c r="E183" s="807"/>
      <c r="F183" s="806" t="s">
        <v>729</v>
      </c>
      <c r="G183" s="878"/>
      <c r="H183" s="807"/>
      <c r="I183" s="881" t="e">
        <f aca="false">+I182*I181</f>
        <v>#VALUE!</v>
      </c>
      <c r="J183" s="881" t="e">
        <f aca="false">+J182*J181</f>
        <v>#VALUE!</v>
      </c>
      <c r="K183" s="881" t="e">
        <f aca="false">+K182*K181</f>
        <v>#VALUE!</v>
      </c>
      <c r="L183" s="881" t="e">
        <f aca="false">+L182*L181</f>
        <v>#VALUE!</v>
      </c>
      <c r="M183" s="881" t="e">
        <f aca="false">+M182*M181</f>
        <v>#VALUE!</v>
      </c>
      <c r="N183" s="881" t="e">
        <f aca="false">+N182*N181</f>
        <v>#VALUE!</v>
      </c>
      <c r="O183" s="881" t="e">
        <f aca="false">+O182*O181</f>
        <v>#VALUE!</v>
      </c>
      <c r="P183" s="881" t="e">
        <f aca="false">+P182*P181</f>
        <v>#VALUE!</v>
      </c>
      <c r="Q183" s="881" t="e">
        <f aca="false">+Q182*Q181</f>
        <v>#VALUE!</v>
      </c>
      <c r="R183" s="881" t="e">
        <f aca="false">+R182*R181</f>
        <v>#VALUE!</v>
      </c>
      <c r="S183" s="881" t="e">
        <f aca="false">+S182*S181</f>
        <v>#VALUE!</v>
      </c>
      <c r="T183" s="881" t="e">
        <f aca="false">+T182*T181</f>
        <v>#VALUE!</v>
      </c>
      <c r="U183" s="881" t="e">
        <f aca="false">+U182*U181</f>
        <v>#VALUE!</v>
      </c>
      <c r="V183" s="881" t="e">
        <f aca="false">+V182*V181</f>
        <v>#VALUE!</v>
      </c>
      <c r="W183" s="881" t="e">
        <f aca="false">+W182*W181</f>
        <v>#VALUE!</v>
      </c>
      <c r="X183" s="881" t="e">
        <f aca="false">+X182*X181</f>
        <v>#VALUE!</v>
      </c>
      <c r="Y183" s="881" t="e">
        <f aca="false">+Y182*Y181</f>
        <v>#VALUE!</v>
      </c>
      <c r="Z183" s="881" t="e">
        <f aca="false">+Z182*Z181</f>
        <v>#VALUE!</v>
      </c>
      <c r="AA183" s="881" t="e">
        <f aca="false">+AA182*AA181</f>
        <v>#VALUE!</v>
      </c>
      <c r="AB183" s="881" t="e">
        <f aca="false">+AB182*AB181</f>
        <v>#VALUE!</v>
      </c>
      <c r="AC183" s="881" t="e">
        <f aca="false">+AC182*AC181</f>
        <v>#VALUE!</v>
      </c>
      <c r="AD183" s="881" t="n">
        <f aca="false">+AD182*AD181</f>
        <v>0</v>
      </c>
      <c r="AE183" s="881" t="n">
        <f aca="false">+AE182*AE181</f>
        <v>0</v>
      </c>
      <c r="AF183" s="881" t="n">
        <f aca="false">+AF182*AF181</f>
        <v>0</v>
      </c>
    </row>
    <row r="184" customFormat="false" ht="11.25" hidden="false" customHeight="false" outlineLevel="0" collapsed="false">
      <c r="A184" s="807"/>
      <c r="C184" s="346"/>
      <c r="D184" s="346"/>
      <c r="E184" s="807"/>
      <c r="F184" s="806"/>
      <c r="G184" s="878"/>
      <c r="H184" s="807"/>
      <c r="I184" s="885"/>
      <c r="J184" s="885"/>
      <c r="K184" s="885"/>
      <c r="L184" s="885"/>
      <c r="M184" s="885"/>
      <c r="N184" s="885"/>
      <c r="O184" s="885"/>
      <c r="P184" s="885"/>
      <c r="Q184" s="885"/>
      <c r="R184" s="885"/>
      <c r="S184" s="885"/>
      <c r="T184" s="885"/>
      <c r="U184" s="885"/>
      <c r="V184" s="885"/>
      <c r="W184" s="885"/>
      <c r="X184" s="885"/>
      <c r="Y184" s="885"/>
      <c r="Z184" s="885"/>
      <c r="AA184" s="885"/>
      <c r="AB184" s="885"/>
      <c r="AC184" s="885"/>
      <c r="AD184" s="885"/>
      <c r="AE184" s="885"/>
      <c r="AF184" s="885"/>
    </row>
    <row r="185" customFormat="false" ht="11.25" hidden="false" customHeight="false" outlineLevel="0" collapsed="false">
      <c r="A185" s="880" t="s">
        <v>530</v>
      </c>
      <c r="C185" s="346"/>
      <c r="D185" s="346"/>
      <c r="E185" s="807"/>
      <c r="F185" s="806"/>
      <c r="G185" s="878"/>
      <c r="H185" s="807"/>
      <c r="I185" s="891" t="n">
        <f aca="false" t="array" ref="I185:AF185">CALC!HY17:HY40/1000</f>
        <v>0</v>
      </c>
      <c r="J185" s="891" t="n">
        <v>0</v>
      </c>
      <c r="K185" s="891" t="n">
        <v>0</v>
      </c>
      <c r="L185" s="891" t="n">
        <v>0</v>
      </c>
      <c r="M185" s="891" t="n">
        <v>0</v>
      </c>
      <c r="N185" s="891" t="n">
        <v>0</v>
      </c>
      <c r="O185" s="891" t="n">
        <v>0</v>
      </c>
      <c r="P185" s="891" t="n">
        <v>0</v>
      </c>
      <c r="Q185" s="891" t="n">
        <v>0</v>
      </c>
      <c r="R185" s="891" t="n">
        <v>0</v>
      </c>
      <c r="S185" s="891" t="n">
        <v>0</v>
      </c>
      <c r="T185" s="891" t="n">
        <v>0</v>
      </c>
      <c r="U185" s="891" t="n">
        <v>0</v>
      </c>
      <c r="V185" s="891" t="n">
        <v>0</v>
      </c>
      <c r="W185" s="891" t="n">
        <v>0</v>
      </c>
      <c r="X185" s="891" t="n">
        <v>0</v>
      </c>
      <c r="Y185" s="891" t="n">
        <v>0</v>
      </c>
      <c r="Z185" s="891" t="n">
        <v>0</v>
      </c>
      <c r="AA185" s="891" t="n">
        <v>0</v>
      </c>
      <c r="AB185" s="891" t="n">
        <v>0</v>
      </c>
      <c r="AC185" s="891" t="n">
        <v>0</v>
      </c>
      <c r="AD185" s="891" t="n">
        <v>0</v>
      </c>
      <c r="AE185" s="891" t="n">
        <v>0</v>
      </c>
      <c r="AF185" s="891" t="n">
        <v>0</v>
      </c>
    </row>
    <row r="186" customFormat="false" ht="11.25" hidden="false" customHeight="false" outlineLevel="0" collapsed="false">
      <c r="A186" s="892" t="s">
        <v>730</v>
      </c>
      <c r="C186" s="346"/>
      <c r="D186" s="346"/>
      <c r="E186" s="807"/>
      <c r="F186" s="806"/>
      <c r="G186" s="878"/>
      <c r="H186" s="807"/>
      <c r="I186" s="893" t="n">
        <f aca="false" t="array" ref="I186:AF186">TRANSPOSE(CALC!IJ17:IJ40)/1000</f>
        <v>0</v>
      </c>
      <c r="J186" s="893" t="n">
        <v>0</v>
      </c>
      <c r="K186" s="893" t="n">
        <v>0</v>
      </c>
      <c r="L186" s="893" t="n">
        <v>0</v>
      </c>
      <c r="M186" s="893" t="n">
        <v>0</v>
      </c>
      <c r="N186" s="893" t="n">
        <v>0</v>
      </c>
      <c r="O186" s="893" t="n">
        <v>0</v>
      </c>
      <c r="P186" s="893" t="n">
        <v>0</v>
      </c>
      <c r="Q186" s="893" t="n">
        <v>0</v>
      </c>
      <c r="R186" s="893" t="n">
        <v>0</v>
      </c>
      <c r="S186" s="893" t="n">
        <v>0</v>
      </c>
      <c r="T186" s="893" t="n">
        <v>0</v>
      </c>
      <c r="U186" s="893" t="n">
        <v>0</v>
      </c>
      <c r="V186" s="893" t="n">
        <v>0</v>
      </c>
      <c r="W186" s="893" t="n">
        <v>0</v>
      </c>
      <c r="X186" s="893" t="n">
        <v>0</v>
      </c>
      <c r="Y186" s="893" t="n">
        <v>0</v>
      </c>
      <c r="Z186" s="893" t="n">
        <v>0</v>
      </c>
      <c r="AA186" s="893" t="n">
        <v>0</v>
      </c>
      <c r="AB186" s="893" t="n">
        <v>0</v>
      </c>
      <c r="AC186" s="893" t="n">
        <v>0</v>
      </c>
      <c r="AD186" s="893" t="n">
        <v>0</v>
      </c>
      <c r="AE186" s="893" t="n">
        <v>0</v>
      </c>
      <c r="AF186" s="893" t="n">
        <v>0</v>
      </c>
    </row>
    <row r="187" customFormat="false" ht="11.25" hidden="false" customHeight="false" outlineLevel="0" collapsed="false">
      <c r="A187" s="807"/>
      <c r="C187" s="346"/>
      <c r="D187" s="346"/>
      <c r="E187" s="807"/>
      <c r="F187" s="806"/>
      <c r="G187" s="878"/>
      <c r="H187" s="807"/>
      <c r="I187" s="894"/>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row>
    <row r="188" customFormat="false" ht="11.25" hidden="false" customHeight="false" outlineLevel="0" collapsed="false">
      <c r="A188" s="895" t="s">
        <v>731</v>
      </c>
      <c r="B188" s="807"/>
      <c r="C188" s="807"/>
      <c r="D188" s="807"/>
      <c r="E188" s="896" t="n">
        <v>0</v>
      </c>
      <c r="F188" s="896" t="n">
        <v>0</v>
      </c>
      <c r="G188" s="896" t="n">
        <v>0</v>
      </c>
      <c r="H188" s="896" t="n">
        <v>0</v>
      </c>
      <c r="I188" s="897" t="e">
        <f aca="false">+I165+I183+I185+I186</f>
        <v>#VALUE!</v>
      </c>
      <c r="J188" s="897" t="e">
        <f aca="false">+J165+J183+J185+J186</f>
        <v>#VALUE!</v>
      </c>
      <c r="K188" s="897" t="e">
        <f aca="false">+K165+K183+K185+K186</f>
        <v>#VALUE!</v>
      </c>
      <c r="L188" s="897" t="e">
        <f aca="false">+L165+L183+L185+L186</f>
        <v>#VALUE!</v>
      </c>
      <c r="M188" s="897" t="e">
        <f aca="false">+M165+M183+M185+M186</f>
        <v>#VALUE!</v>
      </c>
      <c r="N188" s="897" t="e">
        <f aca="false">+N165+N183+N185+N186</f>
        <v>#VALUE!</v>
      </c>
      <c r="O188" s="897" t="e">
        <f aca="false">+O165+O183+O185+O186</f>
        <v>#VALUE!</v>
      </c>
      <c r="P188" s="897" t="e">
        <f aca="false">+P165+P183+P185+P186</f>
        <v>#VALUE!</v>
      </c>
      <c r="Q188" s="897" t="e">
        <f aca="false">+Q165+Q183+Q185+Q186</f>
        <v>#VALUE!</v>
      </c>
      <c r="R188" s="897" t="e">
        <f aca="false">+R165+R183+R185+R186</f>
        <v>#VALUE!</v>
      </c>
      <c r="S188" s="897" t="e">
        <f aca="false">+S165+S183+S185+S186</f>
        <v>#VALUE!</v>
      </c>
      <c r="T188" s="897" t="e">
        <f aca="false">+T165+T183+T185+T186</f>
        <v>#VALUE!</v>
      </c>
      <c r="U188" s="897" t="e">
        <f aca="false">+U165+U183+U185+U186</f>
        <v>#VALUE!</v>
      </c>
      <c r="V188" s="897" t="e">
        <f aca="false">+V165+V183+V185+V186</f>
        <v>#VALUE!</v>
      </c>
      <c r="W188" s="897" t="e">
        <f aca="false">+W165+W183+W185+W186</f>
        <v>#VALUE!</v>
      </c>
      <c r="X188" s="897" t="e">
        <f aca="false">+X165+X183+X185+X186</f>
        <v>#VALUE!</v>
      </c>
      <c r="Y188" s="897" t="e">
        <f aca="false">+Y165+Y183+Y185+Y186</f>
        <v>#VALUE!</v>
      </c>
      <c r="Z188" s="897" t="e">
        <f aca="false">+Z165+Z183+Z185+Z186</f>
        <v>#VALUE!</v>
      </c>
      <c r="AA188" s="897" t="e">
        <f aca="false">+AA165+AA183+AA185+AA186</f>
        <v>#VALUE!</v>
      </c>
      <c r="AB188" s="897" t="e">
        <f aca="false">+AB165+AB183+AB185+AB186</f>
        <v>#VALUE!</v>
      </c>
      <c r="AC188" s="897" t="e">
        <f aca="false">+AC165+AC183+AC185+AC186</f>
        <v>#VALUE!</v>
      </c>
      <c r="AD188" s="897" t="n">
        <f aca="false">+AD165+AD183+AD185+AD186</f>
        <v>0</v>
      </c>
      <c r="AE188" s="897" t="n">
        <f aca="false">+AE165+AE183+AE185+AE186</f>
        <v>0</v>
      </c>
      <c r="AF188" s="897" t="n">
        <f aca="false">+AF165+AF183+AF185+AF186</f>
        <v>0</v>
      </c>
    </row>
    <row r="189" customFormat="false" ht="12" hidden="false" customHeight="false" outlineLevel="0" collapsed="false"/>
    <row r="190" customFormat="false" ht="12.75" hidden="false" customHeight="false" outlineLevel="0" collapsed="false">
      <c r="A190" s="772"/>
      <c r="B190" s="772"/>
      <c r="C190" s="772"/>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c r="AC190" s="772"/>
      <c r="AD190" s="772"/>
      <c r="AE190" s="772"/>
      <c r="AF190" s="772"/>
    </row>
    <row r="191" customFormat="false" ht="12.75" hidden="false" customHeight="false" outlineLevel="0" collapsed="false">
      <c r="A191" s="799" t="s">
        <v>732</v>
      </c>
      <c r="C191" s="817"/>
      <c r="D191" s="898"/>
      <c r="E191" s="899"/>
      <c r="F191" s="899"/>
      <c r="G191" s="899"/>
      <c r="H191" s="900"/>
      <c r="I191" s="775" t="n">
        <f aca="false">+I$3</f>
        <v>37986</v>
      </c>
      <c r="J191" s="776" t="n">
        <f aca="false">+J$3</f>
        <v>2004</v>
      </c>
      <c r="K191" s="776" t="n">
        <f aca="false">+K$3</f>
        <v>2005</v>
      </c>
      <c r="L191" s="776" t="n">
        <f aca="false">+L$3</f>
        <v>2006</v>
      </c>
      <c r="M191" s="776" t="n">
        <f aca="false">+M$3</f>
        <v>2007</v>
      </c>
      <c r="N191" s="776" t="n">
        <f aca="false">+N$3</f>
        <v>2008</v>
      </c>
      <c r="O191" s="776" t="n">
        <f aca="false">+O$3</f>
        <v>2009</v>
      </c>
      <c r="P191" s="776" t="n">
        <f aca="false">+P$3</f>
        <v>2010</v>
      </c>
      <c r="Q191" s="776" t="n">
        <f aca="false">+Q$3</f>
        <v>2011</v>
      </c>
      <c r="R191" s="776" t="n">
        <f aca="false">+R$3</f>
        <v>2012</v>
      </c>
      <c r="S191" s="776" t="n">
        <f aca="false">+S$3</f>
        <v>2013</v>
      </c>
      <c r="T191" s="776" t="n">
        <f aca="false">+T$3</f>
        <v>2014</v>
      </c>
      <c r="U191" s="776" t="n">
        <f aca="false">+U$3</f>
        <v>2015</v>
      </c>
      <c r="V191" s="776" t="n">
        <f aca="false">+V$3</f>
        <v>2016</v>
      </c>
      <c r="W191" s="776" t="n">
        <f aca="false">+W$3</f>
        <v>2017</v>
      </c>
      <c r="X191" s="776" t="n">
        <f aca="false">+X$3</f>
        <v>2018</v>
      </c>
      <c r="Y191" s="776" t="n">
        <f aca="false">+Y$3</f>
        <v>2019</v>
      </c>
      <c r="Z191" s="776" t="n">
        <f aca="false">+Z$3</f>
        <v>2020</v>
      </c>
      <c r="AA191" s="776" t="n">
        <f aca="false">+AA$3</f>
        <v>2021</v>
      </c>
      <c r="AB191" s="776" t="n">
        <f aca="false">+AB$3</f>
        <v>2022</v>
      </c>
      <c r="AC191" s="776" t="n">
        <f aca="false">+AC$3</f>
        <v>2023</v>
      </c>
      <c r="AD191" s="776" t="n">
        <f aca="false">+AD$3</f>
        <v>2024</v>
      </c>
      <c r="AE191" s="776" t="n">
        <f aca="false">+AE$3</f>
        <v>2025</v>
      </c>
      <c r="AF191" s="776" t="n">
        <f aca="false">+AF$3</f>
        <v>2026</v>
      </c>
    </row>
    <row r="192" customFormat="false" ht="12" hidden="false" customHeight="false" outlineLevel="0" collapsed="false">
      <c r="A192" s="901"/>
      <c r="B192" s="806"/>
      <c r="E192" s="902"/>
      <c r="F192" s="902"/>
      <c r="G192" s="902"/>
      <c r="H192" s="902"/>
      <c r="I192" s="903"/>
      <c r="J192" s="903"/>
      <c r="K192" s="903"/>
      <c r="L192" s="903"/>
      <c r="M192" s="903"/>
      <c r="N192" s="903"/>
      <c r="O192" s="903"/>
      <c r="P192" s="903"/>
      <c r="Q192" s="903"/>
      <c r="R192" s="903"/>
      <c r="S192" s="903"/>
      <c r="T192" s="903"/>
      <c r="U192" s="903"/>
      <c r="V192" s="903"/>
      <c r="W192" s="903"/>
      <c r="X192" s="903"/>
      <c r="Y192" s="903"/>
      <c r="Z192" s="903"/>
      <c r="AA192" s="903"/>
      <c r="AB192" s="903"/>
      <c r="AC192" s="903"/>
      <c r="AD192" s="903"/>
      <c r="AE192" s="903"/>
      <c r="AF192" s="903"/>
    </row>
    <row r="193" customFormat="false" ht="11.25" hidden="false" customHeight="false" outlineLevel="0" collapsed="false">
      <c r="A193" s="777" t="s">
        <v>631</v>
      </c>
      <c r="B193" s="346"/>
      <c r="C193" s="346"/>
      <c r="E193" s="904" t="s">
        <v>733</v>
      </c>
      <c r="F193" s="902"/>
      <c r="G193" s="902"/>
      <c r="H193" s="905" t="s">
        <v>734</v>
      </c>
      <c r="I193" s="906" t="e">
        <f aca="false" t="array" ref="I193:AC193">+TRANSPOSE(CALC!HZ17:HZ37)/1000</f>
        <v>#VALUE!</v>
      </c>
      <c r="J193" s="906" t="e">
        <v>#VALUE!</v>
      </c>
      <c r="K193" s="906" t="e">
        <v>#VALUE!</v>
      </c>
      <c r="L193" s="906" t="e">
        <v>#VALUE!</v>
      </c>
      <c r="M193" s="906" t="e">
        <v>#VALUE!</v>
      </c>
      <c r="N193" s="906" t="e">
        <v>#VALUE!</v>
      </c>
      <c r="O193" s="906" t="e">
        <v>#VALUE!</v>
      </c>
      <c r="P193" s="906" t="e">
        <v>#VALUE!</v>
      </c>
      <c r="Q193" s="906" t="e">
        <v>#VALUE!</v>
      </c>
      <c r="R193" s="906" t="e">
        <v>#VALUE!</v>
      </c>
      <c r="S193" s="906" t="e">
        <v>#VALUE!</v>
      </c>
      <c r="T193" s="906" t="e">
        <v>#VALUE!</v>
      </c>
      <c r="U193" s="906" t="e">
        <v>#VALUE!</v>
      </c>
      <c r="V193" s="906" t="e">
        <v>#VALUE!</v>
      </c>
      <c r="W193" s="906" t="e">
        <v>#VALUE!</v>
      </c>
      <c r="X193" s="906" t="e">
        <v>#VALUE!</v>
      </c>
      <c r="Y193" s="906" t="e">
        <v>#VALUE!</v>
      </c>
      <c r="Z193" s="906" t="e">
        <v>#VALUE!</v>
      </c>
      <c r="AA193" s="906" t="e">
        <v>#VALUE!</v>
      </c>
      <c r="AB193" s="906" t="e">
        <v>#VALUE!</v>
      </c>
      <c r="AC193" s="906" t="e">
        <v>#VALUE!</v>
      </c>
      <c r="AD193" s="906" t="n">
        <v>0</v>
      </c>
      <c r="AE193" s="906" t="n">
        <v>0</v>
      </c>
      <c r="AF193" s="906" t="n">
        <v>0</v>
      </c>
    </row>
    <row r="194" customFormat="false" ht="11.25" hidden="false" customHeight="false" outlineLevel="0" collapsed="false">
      <c r="A194" s="856"/>
      <c r="B194" s="346"/>
      <c r="C194" s="346"/>
      <c r="D194" s="792"/>
      <c r="E194" s="861" t="str">
        <f aca="false">+" Amount per "&amp;H193</f>
        <v> Amount per MMBTU</v>
      </c>
      <c r="F194" s="792"/>
      <c r="G194" s="792"/>
      <c r="H194" s="907"/>
      <c r="I194" s="908" t="e">
        <f aca="false" t="array" ref="I194:AC194">+-TRANSPOSE(CALC!IA17:IA37)</f>
        <v>#VALUE!</v>
      </c>
      <c r="J194" s="908" t="e">
        <v>#VALUE!</v>
      </c>
      <c r="K194" s="908" t="e">
        <v>#VALUE!</v>
      </c>
      <c r="L194" s="908" t="e">
        <v>#VALUE!</v>
      </c>
      <c r="M194" s="908" t="e">
        <v>#VALUE!</v>
      </c>
      <c r="N194" s="908" t="e">
        <v>#VALUE!</v>
      </c>
      <c r="O194" s="908" t="e">
        <v>#VALUE!</v>
      </c>
      <c r="P194" s="908" t="e">
        <v>#VALUE!</v>
      </c>
      <c r="Q194" s="908" t="e">
        <v>#VALUE!</v>
      </c>
      <c r="R194" s="908" t="e">
        <v>#VALUE!</v>
      </c>
      <c r="S194" s="908" t="e">
        <v>#VALUE!</v>
      </c>
      <c r="T194" s="908" t="e">
        <v>#VALUE!</v>
      </c>
      <c r="U194" s="908" t="e">
        <v>#VALUE!</v>
      </c>
      <c r="V194" s="908" t="e">
        <v>#VALUE!</v>
      </c>
      <c r="W194" s="908" t="e">
        <v>#VALUE!</v>
      </c>
      <c r="X194" s="908" t="e">
        <v>#VALUE!</v>
      </c>
      <c r="Y194" s="908" t="e">
        <v>#VALUE!</v>
      </c>
      <c r="Z194" s="908" t="e">
        <v>#VALUE!</v>
      </c>
      <c r="AA194" s="908" t="e">
        <v>#VALUE!</v>
      </c>
      <c r="AB194" s="908" t="e">
        <v>#VALUE!</v>
      </c>
      <c r="AC194" s="908" t="e">
        <v>#VALUE!</v>
      </c>
      <c r="AD194" s="908" t="n">
        <f aca="false">+$H194</f>
        <v>0</v>
      </c>
      <c r="AE194" s="908" t="n">
        <f aca="false">+$H194</f>
        <v>0</v>
      </c>
      <c r="AF194" s="908" t="n">
        <f aca="false">+$H194</f>
        <v>0</v>
      </c>
    </row>
    <row r="195" customFormat="false" ht="11.25" hidden="false" customHeight="false" outlineLevel="0" collapsed="false">
      <c r="D195" s="792"/>
      <c r="E195" s="861" t="str">
        <f aca="false">"Currency (USD-1, "&amp;curr2&amp;"-2)"</f>
        <v>Currency (USD-1, Reis-2)</v>
      </c>
      <c r="F195" s="792"/>
      <c r="G195" s="792"/>
      <c r="H195" s="871" t="n">
        <v>1</v>
      </c>
      <c r="I195" s="909"/>
      <c r="J195" s="909"/>
      <c r="K195" s="909"/>
      <c r="L195" s="909"/>
      <c r="M195" s="909"/>
      <c r="N195" s="909"/>
      <c r="O195" s="909"/>
      <c r="P195" s="909"/>
      <c r="Q195" s="909"/>
      <c r="R195" s="909"/>
      <c r="S195" s="909"/>
      <c r="T195" s="909"/>
      <c r="U195" s="909"/>
      <c r="V195" s="909"/>
      <c r="W195" s="909"/>
      <c r="X195" s="909"/>
      <c r="Y195" s="909"/>
      <c r="Z195" s="909"/>
      <c r="AA195" s="909"/>
      <c r="AB195" s="909"/>
      <c r="AC195" s="909"/>
      <c r="AD195" s="909"/>
      <c r="AE195" s="909"/>
      <c r="AF195" s="909"/>
    </row>
    <row r="196" customFormat="false" ht="11.25" hidden="false" customHeight="false" outlineLevel="0" collapsed="false">
      <c r="A196" s="856"/>
      <c r="B196" s="792"/>
      <c r="C196" s="792"/>
      <c r="D196" s="792"/>
      <c r="E196" s="861" t="s">
        <v>718</v>
      </c>
      <c r="F196" s="792"/>
      <c r="G196" s="792"/>
      <c r="H196" s="871" t="n">
        <v>1</v>
      </c>
      <c r="I196" s="909"/>
      <c r="J196" s="909"/>
      <c r="K196" s="909"/>
      <c r="L196" s="909"/>
      <c r="M196" s="909"/>
      <c r="N196" s="909"/>
      <c r="O196" s="909"/>
      <c r="P196" s="909"/>
      <c r="Q196" s="909"/>
      <c r="R196" s="909"/>
      <c r="S196" s="909"/>
      <c r="T196" s="909"/>
      <c r="U196" s="909"/>
      <c r="V196" s="909"/>
      <c r="W196" s="909"/>
      <c r="X196" s="909"/>
      <c r="Y196" s="909"/>
      <c r="Z196" s="909"/>
      <c r="AA196" s="909"/>
      <c r="AB196" s="909"/>
      <c r="AC196" s="909"/>
      <c r="AD196" s="909"/>
      <c r="AE196" s="909"/>
      <c r="AF196" s="909"/>
    </row>
    <row r="197" customFormat="false" ht="11.25" hidden="false" customHeight="false" outlineLevel="0" collapsed="false">
      <c r="A197" s="856"/>
      <c r="C197" s="856" t="s">
        <v>735</v>
      </c>
      <c r="D197" s="792"/>
      <c r="I197" s="910" t="e">
        <f aca="false">(I194*I193)*CHOOSE($H195,1,I$138)*IF($H195=1,CHOOSE($H196,1,I$129),CHOOSE($H196,1,I$144))</f>
        <v>#VALUE!</v>
      </c>
      <c r="J197" s="910" t="e">
        <f aca="false">(J194*J193)*CHOOSE($H195,1,J$138)*IF($H195=1,CHOOSE($H196,1,J$129),CHOOSE($H196,1,J$144))</f>
        <v>#VALUE!</v>
      </c>
      <c r="K197" s="910" t="e">
        <f aca="false">(K194*K193)*CHOOSE($H195,1,K$138)*IF($H195=1,CHOOSE($H196,1,K$129),CHOOSE($H196,1,K$144))</f>
        <v>#VALUE!</v>
      </c>
      <c r="L197" s="910" t="e">
        <f aca="false">(L194*L193)*CHOOSE($H195,1,L$138)*IF($H195=1,CHOOSE($H196,1,L$129),CHOOSE($H196,1,L$144))</f>
        <v>#VALUE!</v>
      </c>
      <c r="M197" s="910" t="e">
        <f aca="false">(M194*M193)*CHOOSE($H195,1,M$138)*IF($H195=1,CHOOSE($H196,1,M$129),CHOOSE($H196,1,M$144))</f>
        <v>#VALUE!</v>
      </c>
      <c r="N197" s="910" t="e">
        <f aca="false">(N194*N193)*CHOOSE($H195,1,N$138)*IF($H195=1,CHOOSE($H196,1,N$129),CHOOSE($H196,1,N$144))</f>
        <v>#VALUE!</v>
      </c>
      <c r="O197" s="910" t="e">
        <f aca="false">(O194*O193)*CHOOSE($H195,1,O$138)*IF($H195=1,CHOOSE($H196,1,O$129),CHOOSE($H196,1,O$144))</f>
        <v>#VALUE!</v>
      </c>
      <c r="P197" s="910" t="e">
        <f aca="false">(P194*P193)*CHOOSE($H195,1,P$138)*IF($H195=1,CHOOSE($H196,1,P$129),CHOOSE($H196,1,P$144))</f>
        <v>#VALUE!</v>
      </c>
      <c r="Q197" s="910" t="e">
        <f aca="false">(Q194*Q193)*CHOOSE($H195,1,Q$138)*IF($H195=1,CHOOSE($H196,1,Q$129),CHOOSE($H196,1,Q$144))</f>
        <v>#VALUE!</v>
      </c>
      <c r="R197" s="910" t="e">
        <f aca="false">(R194*R193)*CHOOSE($H195,1,R$138)*IF($H195=1,CHOOSE($H196,1,R$129),CHOOSE($H196,1,R$144))</f>
        <v>#VALUE!</v>
      </c>
      <c r="S197" s="910" t="e">
        <f aca="false">(S194*S193)*CHOOSE($H195,1,S$138)*IF($H195=1,CHOOSE($H196,1,S$129),CHOOSE($H196,1,S$144))</f>
        <v>#VALUE!</v>
      </c>
      <c r="T197" s="910" t="e">
        <f aca="false">(T194*T193)*CHOOSE($H195,1,T$138)*IF($H195=1,CHOOSE($H196,1,T$129),CHOOSE($H196,1,T$144))</f>
        <v>#VALUE!</v>
      </c>
      <c r="U197" s="910" t="e">
        <f aca="false">(U194*U193)*CHOOSE($H195,1,U$138)*IF($H195=1,CHOOSE($H196,1,U$129),CHOOSE($H196,1,U$144))</f>
        <v>#VALUE!</v>
      </c>
      <c r="V197" s="910" t="e">
        <f aca="false">(V194*V193)*CHOOSE($H195,1,V$138)*IF($H195=1,CHOOSE($H196,1,V$129),CHOOSE($H196,1,V$144))</f>
        <v>#VALUE!</v>
      </c>
      <c r="W197" s="910" t="e">
        <f aca="false">(W194*W193)*CHOOSE($H195,1,W$138)*IF($H195=1,CHOOSE($H196,1,W$129),CHOOSE($H196,1,W$144))</f>
        <v>#VALUE!</v>
      </c>
      <c r="X197" s="910" t="e">
        <f aca="false">(X194*X193)*CHOOSE($H195,1,X$138)*IF($H195=1,CHOOSE($H196,1,X$129),CHOOSE($H196,1,X$144))</f>
        <v>#VALUE!</v>
      </c>
      <c r="Y197" s="910" t="e">
        <f aca="false">(Y194*Y193)*CHOOSE($H195,1,Y$138)*IF($H195=1,CHOOSE($H196,1,Y$129),CHOOSE($H196,1,Y$144))</f>
        <v>#VALUE!</v>
      </c>
      <c r="Z197" s="910" t="e">
        <f aca="false">(Z194*Z193)*CHOOSE($H195,1,Z$138)*IF($H195=1,CHOOSE($H196,1,Z$129),CHOOSE($H196,1,Z$144))</f>
        <v>#VALUE!</v>
      </c>
      <c r="AA197" s="910" t="e">
        <f aca="false">(AA194*AA193)*CHOOSE($H195,1,AA$138)*IF($H195=1,CHOOSE($H196,1,AA$129),CHOOSE($H196,1,AA$144))</f>
        <v>#VALUE!</v>
      </c>
      <c r="AB197" s="910" t="e">
        <f aca="false">(AB194*AB193)*CHOOSE($H195,1,AB$138)*IF($H195=1,CHOOSE($H196,1,AB$129),CHOOSE($H196,1,AB$144))</f>
        <v>#VALUE!</v>
      </c>
      <c r="AC197" s="910" t="e">
        <f aca="false">(AC194*AC193)*CHOOSE($H195,1,AC$138)*IF($H195=1,CHOOSE($H196,1,AC$129),CHOOSE($H196,1,AC$144))</f>
        <v>#VALUE!</v>
      </c>
      <c r="AD197" s="910" t="n">
        <f aca="false">(AD194*AD193)*CHOOSE($H195,1,AD$138)*IF($H195=1,CHOOSE($H196,1,AD$129),CHOOSE($H196,1,AD$144))</f>
        <v>0</v>
      </c>
      <c r="AE197" s="910" t="n">
        <f aca="false">(AE194*AE193)*CHOOSE($H195,1,AE$138)*IF($H195=1,CHOOSE($H196,1,AE$129),CHOOSE($H196,1,AE$144))</f>
        <v>0</v>
      </c>
      <c r="AF197" s="910" t="n">
        <f aca="false">(AF194*AF193)*CHOOSE($H195,1,AF$138)*IF($H195=1,CHOOSE($H196,1,AF$129),CHOOSE($H196,1,AF$144))</f>
        <v>0</v>
      </c>
    </row>
    <row r="199" customFormat="false" ht="11.25" hidden="false" customHeight="false" outlineLevel="0" collapsed="false">
      <c r="A199" s="777" t="s">
        <v>633</v>
      </c>
      <c r="B199" s="346"/>
      <c r="C199" s="346"/>
      <c r="E199" s="904" t="s">
        <v>733</v>
      </c>
      <c r="F199" s="902"/>
      <c r="G199" s="902"/>
      <c r="H199" s="905" t="s">
        <v>736</v>
      </c>
      <c r="I199" s="902" t="e">
        <f aca="false" t="array" ref="I199:AC199">+TRANSPOSE(CALC!IC17:IC37)/1000</f>
        <v>#VALUE!</v>
      </c>
      <c r="J199" s="902" t="e">
        <v>#VALUE!</v>
      </c>
      <c r="K199" s="902" t="e">
        <v>#VALUE!</v>
      </c>
      <c r="L199" s="902" t="e">
        <v>#VALUE!</v>
      </c>
      <c r="M199" s="902" t="e">
        <v>#VALUE!</v>
      </c>
      <c r="N199" s="902" t="e">
        <v>#VALUE!</v>
      </c>
      <c r="O199" s="902" t="e">
        <v>#VALUE!</v>
      </c>
      <c r="P199" s="902" t="e">
        <v>#VALUE!</v>
      </c>
      <c r="Q199" s="902" t="e">
        <v>#VALUE!</v>
      </c>
      <c r="R199" s="902" t="e">
        <v>#VALUE!</v>
      </c>
      <c r="S199" s="902" t="e">
        <v>#VALUE!</v>
      </c>
      <c r="T199" s="902" t="e">
        <v>#VALUE!</v>
      </c>
      <c r="U199" s="902" t="e">
        <v>#VALUE!</v>
      </c>
      <c r="V199" s="902" t="e">
        <v>#VALUE!</v>
      </c>
      <c r="W199" s="902" t="e">
        <v>#VALUE!</v>
      </c>
      <c r="X199" s="902" t="e">
        <v>#VALUE!</v>
      </c>
      <c r="Y199" s="902" t="e">
        <v>#VALUE!</v>
      </c>
      <c r="Z199" s="902" t="e">
        <v>#VALUE!</v>
      </c>
      <c r="AA199" s="902" t="e">
        <v>#VALUE!</v>
      </c>
      <c r="AB199" s="902" t="e">
        <v>#VALUE!</v>
      </c>
      <c r="AC199" s="902" t="e">
        <v>#VALUE!</v>
      </c>
      <c r="AD199" s="902" t="n">
        <v>0</v>
      </c>
      <c r="AE199" s="902" t="n">
        <v>0</v>
      </c>
      <c r="AF199" s="902" t="n">
        <v>0</v>
      </c>
    </row>
    <row r="200" customFormat="false" ht="11.25" hidden="false" customHeight="false" outlineLevel="0" collapsed="false">
      <c r="A200" s="856"/>
      <c r="B200" s="346"/>
      <c r="C200" s="346"/>
      <c r="D200" s="792"/>
      <c r="E200" s="861" t="str">
        <f aca="false">+" Amount per "&amp;H199</f>
        <v> Amount per MWH</v>
      </c>
      <c r="F200" s="792"/>
      <c r="G200" s="792"/>
      <c r="H200" s="907"/>
      <c r="I200" s="911" t="e">
        <f aca="false" t="array" ref="I200:AC200">+-TRANSPOSE(CALC!ID17:ID37)</f>
        <v>#VALUE!</v>
      </c>
      <c r="J200" s="911" t="e">
        <v>#VALUE!</v>
      </c>
      <c r="K200" s="911" t="e">
        <v>#VALUE!</v>
      </c>
      <c r="L200" s="911" t="e">
        <v>#VALUE!</v>
      </c>
      <c r="M200" s="911" t="e">
        <v>#VALUE!</v>
      </c>
      <c r="N200" s="911" t="e">
        <v>#VALUE!</v>
      </c>
      <c r="O200" s="911" t="e">
        <v>#VALUE!</v>
      </c>
      <c r="P200" s="911" t="e">
        <v>#VALUE!</v>
      </c>
      <c r="Q200" s="911" t="e">
        <v>#VALUE!</v>
      </c>
      <c r="R200" s="911" t="e">
        <v>#VALUE!</v>
      </c>
      <c r="S200" s="911" t="e">
        <v>#VALUE!</v>
      </c>
      <c r="T200" s="911" t="e">
        <v>#VALUE!</v>
      </c>
      <c r="U200" s="911" t="e">
        <v>#VALUE!</v>
      </c>
      <c r="V200" s="911" t="e">
        <v>#VALUE!</v>
      </c>
      <c r="W200" s="911" t="e">
        <v>#VALUE!</v>
      </c>
      <c r="X200" s="911" t="e">
        <v>#VALUE!</v>
      </c>
      <c r="Y200" s="911" t="e">
        <v>#VALUE!</v>
      </c>
      <c r="Z200" s="911" t="e">
        <v>#VALUE!</v>
      </c>
      <c r="AA200" s="911" t="e">
        <v>#VALUE!</v>
      </c>
      <c r="AB200" s="911" t="e">
        <v>#VALUE!</v>
      </c>
      <c r="AC200" s="911" t="e">
        <v>#VALUE!</v>
      </c>
      <c r="AD200" s="911" t="n">
        <f aca="false">+$H200</f>
        <v>0</v>
      </c>
      <c r="AE200" s="911" t="n">
        <f aca="false">+$H200</f>
        <v>0</v>
      </c>
      <c r="AF200" s="911" t="n">
        <f aca="false">+$H200</f>
        <v>0</v>
      </c>
    </row>
    <row r="201" customFormat="false" ht="11.25" hidden="false" customHeight="false" outlineLevel="0" collapsed="false">
      <c r="D201" s="792"/>
      <c r="E201" s="861" t="str">
        <f aca="false">"Currency (USD-1, "&amp;curr2&amp;"-2)"</f>
        <v>Currency (USD-1, Reis-2)</v>
      </c>
      <c r="F201" s="792"/>
      <c r="G201" s="792"/>
      <c r="H201" s="871" t="n">
        <v>1</v>
      </c>
      <c r="I201" s="909"/>
      <c r="J201" s="909"/>
      <c r="K201" s="909"/>
      <c r="L201" s="909"/>
      <c r="M201" s="909"/>
      <c r="N201" s="909"/>
      <c r="O201" s="909"/>
      <c r="P201" s="909"/>
      <c r="Q201" s="909"/>
      <c r="R201" s="909"/>
      <c r="S201" s="909"/>
      <c r="T201" s="909"/>
      <c r="U201" s="909"/>
      <c r="V201" s="909"/>
      <c r="W201" s="909"/>
      <c r="X201" s="909"/>
      <c r="Y201" s="909"/>
      <c r="Z201" s="909"/>
      <c r="AA201" s="909"/>
      <c r="AB201" s="909"/>
      <c r="AC201" s="909"/>
      <c r="AD201" s="909"/>
      <c r="AE201" s="909"/>
      <c r="AF201" s="909"/>
    </row>
    <row r="202" customFormat="false" ht="11.25" hidden="false" customHeight="false" outlineLevel="0" collapsed="false">
      <c r="A202" s="856"/>
      <c r="B202" s="792"/>
      <c r="C202" s="792"/>
      <c r="D202" s="792"/>
      <c r="E202" s="861" t="s">
        <v>718</v>
      </c>
      <c r="F202" s="792"/>
      <c r="G202" s="792"/>
      <c r="H202" s="871" t="n">
        <v>1</v>
      </c>
      <c r="I202" s="909"/>
      <c r="J202" s="909"/>
      <c r="K202" s="909"/>
      <c r="L202" s="909"/>
      <c r="M202" s="909"/>
      <c r="N202" s="909"/>
      <c r="O202" s="909"/>
      <c r="P202" s="909"/>
      <c r="Q202" s="909"/>
      <c r="R202" s="909"/>
      <c r="S202" s="909"/>
      <c r="T202" s="909"/>
      <c r="U202" s="909"/>
      <c r="V202" s="909"/>
      <c r="W202" s="909"/>
      <c r="X202" s="909"/>
      <c r="Y202" s="909"/>
      <c r="Z202" s="909"/>
      <c r="AA202" s="909"/>
      <c r="AB202" s="909"/>
      <c r="AC202" s="909"/>
      <c r="AD202" s="909"/>
      <c r="AE202" s="909"/>
      <c r="AF202" s="909"/>
    </row>
    <row r="203" customFormat="false" ht="11.25" hidden="false" customHeight="false" outlineLevel="0" collapsed="false">
      <c r="A203" s="856"/>
      <c r="C203" s="856" t="s">
        <v>735</v>
      </c>
      <c r="D203" s="792"/>
      <c r="I203" s="910" t="e">
        <f aca="false">(I200*I199)*CHOOSE($H201,1,I$138)*IF($H201=1,CHOOSE($H202,1,I$129),CHOOSE($H202,1,I$144))</f>
        <v>#VALUE!</v>
      </c>
      <c r="J203" s="910" t="e">
        <f aca="false">(J200*J199)*CHOOSE($H201,1,J$138)*IF($H201=1,CHOOSE($H202,1,J$129),CHOOSE($H202,1,J$144))</f>
        <v>#VALUE!</v>
      </c>
      <c r="K203" s="910" t="e">
        <f aca="false">(K200*K199)*CHOOSE($H201,1,K$138)*IF($H201=1,CHOOSE($H202,1,K$129),CHOOSE($H202,1,K$144))</f>
        <v>#VALUE!</v>
      </c>
      <c r="L203" s="910" t="e">
        <f aca="false">(L200*L199)*CHOOSE($H201,1,L$138)*IF($H201=1,CHOOSE($H202,1,L$129),CHOOSE($H202,1,L$144))</f>
        <v>#VALUE!</v>
      </c>
      <c r="M203" s="910" t="e">
        <f aca="false">(M200*M199)*CHOOSE($H201,1,M$138)*IF($H201=1,CHOOSE($H202,1,M$129),CHOOSE($H202,1,M$144))</f>
        <v>#VALUE!</v>
      </c>
      <c r="N203" s="910" t="e">
        <f aca="false">(N200*N199)*CHOOSE($H201,1,N$138)*IF($H201=1,CHOOSE($H202,1,N$129),CHOOSE($H202,1,N$144))</f>
        <v>#VALUE!</v>
      </c>
      <c r="O203" s="910" t="e">
        <f aca="false">(O200*O199)*CHOOSE($H201,1,O$138)*IF($H201=1,CHOOSE($H202,1,O$129),CHOOSE($H202,1,O$144))</f>
        <v>#VALUE!</v>
      </c>
      <c r="P203" s="910" t="e">
        <f aca="false">(P200*P199)*CHOOSE($H201,1,P$138)*IF($H201=1,CHOOSE($H202,1,P$129),CHOOSE($H202,1,P$144))</f>
        <v>#VALUE!</v>
      </c>
      <c r="Q203" s="910" t="e">
        <f aca="false">(Q200*Q199)*CHOOSE($H201,1,Q$138)*IF($H201=1,CHOOSE($H202,1,Q$129),CHOOSE($H202,1,Q$144))</f>
        <v>#VALUE!</v>
      </c>
      <c r="R203" s="910" t="e">
        <f aca="false">(R200*R199)*CHOOSE($H201,1,R$138)*IF($H201=1,CHOOSE($H202,1,R$129),CHOOSE($H202,1,R$144))</f>
        <v>#VALUE!</v>
      </c>
      <c r="S203" s="910" t="e">
        <f aca="false">(S200*S199)*CHOOSE($H201,1,S$138)*IF($H201=1,CHOOSE($H202,1,S$129),CHOOSE($H202,1,S$144))</f>
        <v>#VALUE!</v>
      </c>
      <c r="T203" s="910" t="e">
        <f aca="false">(T200*T199)*CHOOSE($H201,1,T$138)*IF($H201=1,CHOOSE($H202,1,T$129),CHOOSE($H202,1,T$144))</f>
        <v>#VALUE!</v>
      </c>
      <c r="U203" s="910" t="e">
        <f aca="false">(U200*U199)*CHOOSE($H201,1,U$138)*IF($H201=1,CHOOSE($H202,1,U$129),CHOOSE($H202,1,U$144))</f>
        <v>#VALUE!</v>
      </c>
      <c r="V203" s="910" t="e">
        <f aca="false">(V200*V199)*CHOOSE($H201,1,V$138)*IF($H201=1,CHOOSE($H202,1,V$129),CHOOSE($H202,1,V$144))</f>
        <v>#VALUE!</v>
      </c>
      <c r="W203" s="910" t="e">
        <f aca="false">(W200*W199)*CHOOSE($H201,1,W$138)*IF($H201=1,CHOOSE($H202,1,W$129),CHOOSE($H202,1,W$144))</f>
        <v>#VALUE!</v>
      </c>
      <c r="X203" s="910" t="e">
        <f aca="false">(X200*X199)*CHOOSE($H201,1,X$138)*IF($H201=1,CHOOSE($H202,1,X$129),CHOOSE($H202,1,X$144))</f>
        <v>#VALUE!</v>
      </c>
      <c r="Y203" s="910" t="e">
        <f aca="false">(Y200*Y199)*CHOOSE($H201,1,Y$138)*IF($H201=1,CHOOSE($H202,1,Y$129),CHOOSE($H202,1,Y$144))</f>
        <v>#VALUE!</v>
      </c>
      <c r="Z203" s="910" t="e">
        <f aca="false">(Z200*Z199)*CHOOSE($H201,1,Z$138)*IF($H201=1,CHOOSE($H202,1,Z$129),CHOOSE($H202,1,Z$144))</f>
        <v>#VALUE!</v>
      </c>
      <c r="AA203" s="910" t="e">
        <f aca="false">(AA200*AA199)*CHOOSE($H201,1,AA$138)*IF($H201=1,CHOOSE($H202,1,AA$129),CHOOSE($H202,1,AA$144))</f>
        <v>#VALUE!</v>
      </c>
      <c r="AB203" s="910" t="e">
        <f aca="false">(AB200*AB199)*CHOOSE($H201,1,AB$138)*IF($H201=1,CHOOSE($H202,1,AB$129),CHOOSE($H202,1,AB$144))</f>
        <v>#VALUE!</v>
      </c>
      <c r="AC203" s="910" t="e">
        <f aca="false">(AC200*AC199)*CHOOSE($H201,1,AC$138)*IF($H201=1,CHOOSE($H202,1,AC$129),CHOOSE($H202,1,AC$144))</f>
        <v>#VALUE!</v>
      </c>
      <c r="AD203" s="910" t="n">
        <f aca="false">(AD200*AD199)*CHOOSE($H201,1,AD$138)*IF($H201=1,CHOOSE($H202,1,AD$129),CHOOSE($H202,1,AD$144))</f>
        <v>0</v>
      </c>
      <c r="AE203" s="910" t="n">
        <f aca="false">(AE200*AE199)*CHOOSE($H201,1,AE$138)*IF($H201=1,CHOOSE($H202,1,AE$129),CHOOSE($H202,1,AE$144))</f>
        <v>0</v>
      </c>
      <c r="AF203" s="910" t="n">
        <f aca="false">(AF200*AF199)*CHOOSE($H201,1,AF$138)*IF($H201=1,CHOOSE($H202,1,AF$129),CHOOSE($H202,1,AF$144))</f>
        <v>0</v>
      </c>
    </row>
    <row r="204" customFormat="false" ht="11.25" hidden="false" customHeight="false" outlineLevel="0" collapsed="false">
      <c r="A204" s="856"/>
      <c r="B204" s="856"/>
      <c r="C204" s="792"/>
      <c r="D204" s="792"/>
      <c r="I204" s="780"/>
      <c r="J204" s="780"/>
      <c r="K204" s="780"/>
      <c r="L204" s="780"/>
      <c r="M204" s="780"/>
      <c r="N204" s="780"/>
      <c r="O204" s="780"/>
      <c r="P204" s="780"/>
      <c r="Q204" s="780"/>
      <c r="R204" s="780"/>
      <c r="S204" s="780"/>
      <c r="T204" s="780"/>
      <c r="U204" s="780"/>
      <c r="V204" s="780"/>
      <c r="W204" s="780"/>
      <c r="X204" s="780"/>
      <c r="Y204" s="780"/>
      <c r="Z204" s="780"/>
      <c r="AA204" s="780"/>
      <c r="AB204" s="780"/>
      <c r="AC204" s="780"/>
      <c r="AD204" s="780"/>
      <c r="AE204" s="780"/>
      <c r="AF204" s="780"/>
    </row>
    <row r="205" customFormat="false" ht="11.25" hidden="false" customHeight="false" outlineLevel="0" collapsed="false">
      <c r="A205" s="777" t="s">
        <v>737</v>
      </c>
      <c r="B205" s="346"/>
      <c r="C205" s="346"/>
      <c r="E205" s="904" t="s">
        <v>733</v>
      </c>
      <c r="F205" s="902"/>
      <c r="G205" s="902"/>
      <c r="H205" s="905" t="s">
        <v>736</v>
      </c>
      <c r="I205" s="902" t="e">
        <f aca="false" t="array" ref="I205:AC205">+TRANSPOSE(CALC!IF17:IF37)/1000</f>
        <v>#VALUE!</v>
      </c>
      <c r="J205" s="902" t="e">
        <v>#VALUE!</v>
      </c>
      <c r="K205" s="902" t="e">
        <v>#VALUE!</v>
      </c>
      <c r="L205" s="902" t="e">
        <v>#VALUE!</v>
      </c>
      <c r="M205" s="902" t="e">
        <v>#VALUE!</v>
      </c>
      <c r="N205" s="902" t="e">
        <v>#VALUE!</v>
      </c>
      <c r="O205" s="902" t="e">
        <v>#VALUE!</v>
      </c>
      <c r="P205" s="902" t="e">
        <v>#VALUE!</v>
      </c>
      <c r="Q205" s="902" t="e">
        <v>#VALUE!</v>
      </c>
      <c r="R205" s="902" t="e">
        <v>#VALUE!</v>
      </c>
      <c r="S205" s="902" t="e">
        <v>#VALUE!</v>
      </c>
      <c r="T205" s="902" t="e">
        <v>#VALUE!</v>
      </c>
      <c r="U205" s="902" t="e">
        <v>#VALUE!</v>
      </c>
      <c r="V205" s="902" t="e">
        <v>#VALUE!</v>
      </c>
      <c r="W205" s="902" t="e">
        <v>#VALUE!</v>
      </c>
      <c r="X205" s="902" t="e">
        <v>#VALUE!</v>
      </c>
      <c r="Y205" s="902" t="e">
        <v>#VALUE!</v>
      </c>
      <c r="Z205" s="902" t="e">
        <v>#VALUE!</v>
      </c>
      <c r="AA205" s="902" t="e">
        <v>#VALUE!</v>
      </c>
      <c r="AB205" s="902" t="e">
        <v>#VALUE!</v>
      </c>
      <c r="AC205" s="902" t="e">
        <v>#VALUE!</v>
      </c>
      <c r="AD205" s="902" t="n">
        <v>0</v>
      </c>
      <c r="AE205" s="902" t="n">
        <v>0</v>
      </c>
      <c r="AF205" s="902" t="n">
        <v>0</v>
      </c>
    </row>
    <row r="206" customFormat="false" ht="11.25" hidden="false" customHeight="false" outlineLevel="0" collapsed="false">
      <c r="A206" s="856"/>
      <c r="B206" s="346"/>
      <c r="C206" s="346"/>
      <c r="D206" s="792"/>
      <c r="E206" s="861" t="str">
        <f aca="false">+" Amount per "&amp;H205</f>
        <v> Amount per MWH</v>
      </c>
      <c r="F206" s="792"/>
      <c r="G206" s="792"/>
      <c r="H206" s="907"/>
      <c r="I206" s="908" t="e">
        <f aca="false" t="array" ref="I206:AC206">+-TRANSPOSE(CALC!IG17:IG37)</f>
        <v>#VALUE!</v>
      </c>
      <c r="J206" s="908" t="e">
        <v>#VALUE!</v>
      </c>
      <c r="K206" s="908" t="e">
        <v>#VALUE!</v>
      </c>
      <c r="L206" s="908" t="e">
        <v>#VALUE!</v>
      </c>
      <c r="M206" s="908" t="e">
        <v>#VALUE!</v>
      </c>
      <c r="N206" s="908" t="e">
        <v>#VALUE!</v>
      </c>
      <c r="O206" s="908" t="e">
        <v>#VALUE!</v>
      </c>
      <c r="P206" s="908" t="e">
        <v>#VALUE!</v>
      </c>
      <c r="Q206" s="908" t="e">
        <v>#VALUE!</v>
      </c>
      <c r="R206" s="908" t="e">
        <v>#VALUE!</v>
      </c>
      <c r="S206" s="908" t="e">
        <v>#VALUE!</v>
      </c>
      <c r="T206" s="908" t="e">
        <v>#VALUE!</v>
      </c>
      <c r="U206" s="908" t="e">
        <v>#VALUE!</v>
      </c>
      <c r="V206" s="908" t="e">
        <v>#VALUE!</v>
      </c>
      <c r="W206" s="908" t="e">
        <v>#VALUE!</v>
      </c>
      <c r="X206" s="908" t="e">
        <v>#VALUE!</v>
      </c>
      <c r="Y206" s="908" t="e">
        <v>#VALUE!</v>
      </c>
      <c r="Z206" s="908" t="e">
        <v>#VALUE!</v>
      </c>
      <c r="AA206" s="908" t="e">
        <v>#VALUE!</v>
      </c>
      <c r="AB206" s="908" t="e">
        <v>#VALUE!</v>
      </c>
      <c r="AC206" s="908" t="e">
        <v>#VALUE!</v>
      </c>
      <c r="AD206" s="908" t="n">
        <f aca="false">+$H206</f>
        <v>0</v>
      </c>
      <c r="AE206" s="908" t="n">
        <f aca="false">+$H206</f>
        <v>0</v>
      </c>
      <c r="AF206" s="908" t="n">
        <f aca="false">+$H206</f>
        <v>0</v>
      </c>
    </row>
    <row r="207" customFormat="false" ht="11.25" hidden="false" customHeight="false" outlineLevel="0" collapsed="false">
      <c r="D207" s="792"/>
      <c r="E207" s="861" t="str">
        <f aca="false">"Currency (USD-1, "&amp;curr2&amp;"-2)"</f>
        <v>Currency (USD-1, Reis-2)</v>
      </c>
      <c r="F207" s="792"/>
      <c r="G207" s="792"/>
      <c r="H207" s="871" t="n">
        <v>1</v>
      </c>
      <c r="I207" s="909"/>
      <c r="J207" s="909"/>
      <c r="K207" s="909"/>
      <c r="L207" s="909"/>
      <c r="M207" s="909"/>
      <c r="N207" s="909"/>
      <c r="O207" s="909"/>
      <c r="P207" s="909"/>
      <c r="Q207" s="909"/>
      <c r="R207" s="909"/>
      <c r="S207" s="909"/>
      <c r="T207" s="909"/>
      <c r="U207" s="909"/>
      <c r="V207" s="909"/>
      <c r="W207" s="909"/>
      <c r="X207" s="909"/>
      <c r="Y207" s="909"/>
      <c r="Z207" s="909"/>
      <c r="AA207" s="909"/>
      <c r="AB207" s="909"/>
      <c r="AC207" s="909"/>
      <c r="AD207" s="909"/>
      <c r="AE207" s="909"/>
      <c r="AF207" s="909"/>
    </row>
    <row r="208" customFormat="false" ht="11.25" hidden="false" customHeight="false" outlineLevel="0" collapsed="false">
      <c r="A208" s="856"/>
      <c r="B208" s="792"/>
      <c r="C208" s="792"/>
      <c r="D208" s="792"/>
      <c r="E208" s="861" t="s">
        <v>718</v>
      </c>
      <c r="F208" s="792"/>
      <c r="G208" s="792"/>
      <c r="H208" s="871" t="n">
        <v>1</v>
      </c>
      <c r="I208" s="909"/>
      <c r="J208" s="909"/>
      <c r="K208" s="909"/>
      <c r="L208" s="909"/>
      <c r="M208" s="909"/>
      <c r="N208" s="909"/>
      <c r="O208" s="909"/>
      <c r="P208" s="909"/>
      <c r="Q208" s="909"/>
      <c r="R208" s="909"/>
      <c r="S208" s="909"/>
      <c r="T208" s="909"/>
      <c r="U208" s="909"/>
      <c r="V208" s="909"/>
      <c r="W208" s="909"/>
      <c r="X208" s="909"/>
      <c r="Y208" s="909"/>
      <c r="Z208" s="909"/>
      <c r="AA208" s="909"/>
      <c r="AB208" s="909"/>
      <c r="AC208" s="909"/>
      <c r="AD208" s="909"/>
      <c r="AE208" s="909"/>
      <c r="AF208" s="909"/>
    </row>
    <row r="209" customFormat="false" ht="11.25" hidden="false" customHeight="false" outlineLevel="0" collapsed="false">
      <c r="A209" s="856"/>
      <c r="C209" s="856" t="s">
        <v>735</v>
      </c>
      <c r="D209" s="792"/>
      <c r="I209" s="910" t="e">
        <f aca="false">(I206*I205)*CHOOSE($H207,1,I$138)*IF($H207=1,CHOOSE($H208,1,I$129),CHOOSE($H208,1,I$144))</f>
        <v>#VALUE!</v>
      </c>
      <c r="J209" s="910" t="e">
        <f aca="false">(J206*J205)*CHOOSE($H207,1,J$138)*IF($H207=1,CHOOSE($H208,1,J$129),CHOOSE($H208,1,J$144))</f>
        <v>#VALUE!</v>
      </c>
      <c r="K209" s="910" t="e">
        <f aca="false">(K206*K205)*CHOOSE($H207,1,K$138)*IF($H207=1,CHOOSE($H208,1,K$129),CHOOSE($H208,1,K$144))</f>
        <v>#VALUE!</v>
      </c>
      <c r="L209" s="910" t="e">
        <f aca="false">(L206*L205)*CHOOSE($H207,1,L$138)*IF($H207=1,CHOOSE($H208,1,L$129),CHOOSE($H208,1,L$144))</f>
        <v>#VALUE!</v>
      </c>
      <c r="M209" s="910" t="e">
        <f aca="false">(M206*M205)*CHOOSE($H207,1,M$138)*IF($H207=1,CHOOSE($H208,1,M$129),CHOOSE($H208,1,M$144))</f>
        <v>#VALUE!</v>
      </c>
      <c r="N209" s="910" t="e">
        <f aca="false">(N206*N205)*CHOOSE($H207,1,N$138)*IF($H207=1,CHOOSE($H208,1,N$129),CHOOSE($H208,1,N$144))</f>
        <v>#VALUE!</v>
      </c>
      <c r="O209" s="910" t="e">
        <f aca="false">(O206*O205)*CHOOSE($H207,1,O$138)*IF($H207=1,CHOOSE($H208,1,O$129),CHOOSE($H208,1,O$144))</f>
        <v>#VALUE!</v>
      </c>
      <c r="P209" s="910" t="e">
        <f aca="false">(P206*P205)*CHOOSE($H207,1,P$138)*IF($H207=1,CHOOSE($H208,1,P$129),CHOOSE($H208,1,P$144))</f>
        <v>#VALUE!</v>
      </c>
      <c r="Q209" s="910" t="e">
        <f aca="false">(Q206*Q205)*CHOOSE($H207,1,Q$138)*IF($H207=1,CHOOSE($H208,1,Q$129),CHOOSE($H208,1,Q$144))</f>
        <v>#VALUE!</v>
      </c>
      <c r="R209" s="910" t="e">
        <f aca="false">(R206*R205)*CHOOSE($H207,1,R$138)*IF($H207=1,CHOOSE($H208,1,R$129),CHOOSE($H208,1,R$144))</f>
        <v>#VALUE!</v>
      </c>
      <c r="S209" s="910" t="e">
        <f aca="false">(S206*S205)*CHOOSE($H207,1,S$138)*IF($H207=1,CHOOSE($H208,1,S$129),CHOOSE($H208,1,S$144))</f>
        <v>#VALUE!</v>
      </c>
      <c r="T209" s="910" t="e">
        <f aca="false">(T206*T205)*CHOOSE($H207,1,T$138)*IF($H207=1,CHOOSE($H208,1,T$129),CHOOSE($H208,1,T$144))</f>
        <v>#VALUE!</v>
      </c>
      <c r="U209" s="910" t="e">
        <f aca="false">(U206*U205)*CHOOSE($H207,1,U$138)*IF($H207=1,CHOOSE($H208,1,U$129),CHOOSE($H208,1,U$144))</f>
        <v>#VALUE!</v>
      </c>
      <c r="V209" s="910" t="e">
        <f aca="false">(V206*V205)*CHOOSE($H207,1,V$138)*IF($H207=1,CHOOSE($H208,1,V$129),CHOOSE($H208,1,V$144))</f>
        <v>#VALUE!</v>
      </c>
      <c r="W209" s="910" t="e">
        <f aca="false">(W206*W205)*CHOOSE($H207,1,W$138)*IF($H207=1,CHOOSE($H208,1,W$129),CHOOSE($H208,1,W$144))</f>
        <v>#VALUE!</v>
      </c>
      <c r="X209" s="910" t="e">
        <f aca="false">(X206*X205)*CHOOSE($H207,1,X$138)*IF($H207=1,CHOOSE($H208,1,X$129),CHOOSE($H208,1,X$144))</f>
        <v>#VALUE!</v>
      </c>
      <c r="Y209" s="910" t="e">
        <f aca="false">(Y206*Y205)*CHOOSE($H207,1,Y$138)*IF($H207=1,CHOOSE($H208,1,Y$129),CHOOSE($H208,1,Y$144))</f>
        <v>#VALUE!</v>
      </c>
      <c r="Z209" s="910" t="e">
        <f aca="false">(Z206*Z205)*CHOOSE($H207,1,Z$138)*IF($H207=1,CHOOSE($H208,1,Z$129),CHOOSE($H208,1,Z$144))</f>
        <v>#VALUE!</v>
      </c>
      <c r="AA209" s="910" t="e">
        <f aca="false">(AA206*AA205)*CHOOSE($H207,1,AA$138)*IF($H207=1,CHOOSE($H208,1,AA$129),CHOOSE($H208,1,AA$144))</f>
        <v>#VALUE!</v>
      </c>
      <c r="AB209" s="910" t="e">
        <f aca="false">(AB206*AB205)*CHOOSE($H207,1,AB$138)*IF($H207=1,CHOOSE($H208,1,AB$129),CHOOSE($H208,1,AB$144))</f>
        <v>#VALUE!</v>
      </c>
      <c r="AC209" s="910" t="e">
        <f aca="false">(AC206*AC205)*CHOOSE($H207,1,AC$138)*IF($H207=1,CHOOSE($H208,1,AC$129),CHOOSE($H208,1,AC$144))</f>
        <v>#VALUE!</v>
      </c>
      <c r="AD209" s="910" t="n">
        <f aca="false">(AD206*AD205)*CHOOSE($H207,1,AD$138)*IF($H207=1,CHOOSE($H208,1,AD$129),CHOOSE($H208,1,AD$144))</f>
        <v>0</v>
      </c>
      <c r="AE209" s="910" t="n">
        <f aca="false">(AE206*AE205)*CHOOSE($H207,1,AE$138)*IF($H207=1,CHOOSE($H208,1,AE$129),CHOOSE($H208,1,AE$144))</f>
        <v>0</v>
      </c>
      <c r="AF209" s="910" t="n">
        <f aca="false">(AF206*AF205)*CHOOSE($H207,1,AF$138)*IF($H207=1,CHOOSE($H208,1,AF$129),CHOOSE($H208,1,AF$144))</f>
        <v>0</v>
      </c>
    </row>
    <row r="210" customFormat="false" ht="11.25" hidden="false" customHeight="false" outlineLevel="0" collapsed="false">
      <c r="A210" s="856"/>
      <c r="B210" s="856"/>
      <c r="C210" s="792"/>
      <c r="D210" s="792"/>
      <c r="I210" s="910"/>
      <c r="J210" s="910"/>
      <c r="K210" s="910"/>
      <c r="L210" s="910"/>
      <c r="M210" s="910"/>
      <c r="N210" s="910"/>
      <c r="O210" s="910"/>
      <c r="P210" s="910"/>
      <c r="Q210" s="910"/>
      <c r="R210" s="910"/>
      <c r="S210" s="910"/>
      <c r="T210" s="910"/>
      <c r="U210" s="910"/>
      <c r="V210" s="910"/>
      <c r="W210" s="910"/>
      <c r="X210" s="910"/>
      <c r="Y210" s="910"/>
      <c r="Z210" s="910"/>
      <c r="AA210" s="910"/>
      <c r="AB210" s="910"/>
      <c r="AC210" s="910"/>
      <c r="AD210" s="910"/>
      <c r="AE210" s="910"/>
      <c r="AF210" s="910"/>
    </row>
    <row r="211" customFormat="false" ht="11.25" hidden="false" customHeight="false" outlineLevel="0" collapsed="false">
      <c r="A211" s="777" t="s">
        <v>738</v>
      </c>
      <c r="B211" s="856"/>
      <c r="C211" s="792"/>
      <c r="D211" s="792"/>
      <c r="I211" s="910"/>
      <c r="J211" s="910"/>
      <c r="K211" s="910"/>
      <c r="L211" s="910"/>
      <c r="M211" s="910"/>
      <c r="N211" s="910"/>
      <c r="O211" s="910"/>
      <c r="P211" s="910"/>
      <c r="Q211" s="910"/>
      <c r="R211" s="910"/>
      <c r="S211" s="910"/>
      <c r="T211" s="910"/>
      <c r="U211" s="910"/>
      <c r="V211" s="910"/>
      <c r="W211" s="910"/>
      <c r="X211" s="910"/>
      <c r="Y211" s="910"/>
      <c r="Z211" s="910"/>
      <c r="AA211" s="910"/>
      <c r="AB211" s="910"/>
      <c r="AC211" s="910"/>
      <c r="AD211" s="910"/>
      <c r="AE211" s="910"/>
      <c r="AF211" s="910"/>
    </row>
    <row r="212" customFormat="false" ht="11.25" hidden="false" customHeight="false" outlineLevel="0" collapsed="false">
      <c r="A212" s="856"/>
      <c r="B212" s="856"/>
      <c r="C212" s="856" t="s">
        <v>735</v>
      </c>
      <c r="D212" s="792"/>
      <c r="I212" s="912" t="n">
        <v>0</v>
      </c>
      <c r="J212" s="912" t="n">
        <v>0</v>
      </c>
      <c r="K212" s="912" t="n">
        <v>0</v>
      </c>
      <c r="L212" s="912" t="n">
        <v>0</v>
      </c>
      <c r="M212" s="912" t="n">
        <v>0</v>
      </c>
      <c r="N212" s="912" t="n">
        <v>0</v>
      </c>
      <c r="O212" s="912" t="n">
        <v>0</v>
      </c>
      <c r="P212" s="912" t="n">
        <v>0</v>
      </c>
      <c r="Q212" s="912" t="n">
        <v>0</v>
      </c>
      <c r="R212" s="912" t="n">
        <v>0</v>
      </c>
      <c r="S212" s="912" t="n">
        <v>0</v>
      </c>
      <c r="T212" s="912" t="n">
        <v>0</v>
      </c>
      <c r="U212" s="912" t="n">
        <v>0</v>
      </c>
      <c r="V212" s="912" t="n">
        <v>0</v>
      </c>
      <c r="W212" s="912" t="n">
        <v>0</v>
      </c>
      <c r="X212" s="912" t="n">
        <v>0</v>
      </c>
      <c r="Y212" s="912" t="n">
        <v>0</v>
      </c>
      <c r="Z212" s="912" t="n">
        <v>0</v>
      </c>
      <c r="AA212" s="912" t="n">
        <v>0</v>
      </c>
      <c r="AB212" s="912" t="n">
        <v>0</v>
      </c>
      <c r="AC212" s="912" t="n">
        <v>0</v>
      </c>
      <c r="AD212" s="912" t="n">
        <v>0</v>
      </c>
      <c r="AE212" s="912" t="n">
        <v>0</v>
      </c>
      <c r="AF212" s="912" t="n">
        <v>0</v>
      </c>
    </row>
    <row r="213" customFormat="false" ht="11.25" hidden="false" customHeight="false" outlineLevel="0" collapsed="false">
      <c r="A213" s="856"/>
      <c r="B213" s="856"/>
      <c r="C213" s="792"/>
      <c r="D213" s="792"/>
      <c r="I213" s="910"/>
      <c r="J213" s="910"/>
      <c r="K213" s="910"/>
      <c r="L213" s="910"/>
      <c r="M213" s="910"/>
      <c r="N213" s="910"/>
      <c r="O213" s="910"/>
      <c r="P213" s="910"/>
      <c r="Q213" s="910"/>
      <c r="R213" s="910"/>
      <c r="S213" s="910"/>
      <c r="T213" s="910"/>
      <c r="U213" s="910"/>
      <c r="V213" s="910"/>
      <c r="W213" s="910"/>
      <c r="X213" s="910"/>
      <c r="Y213" s="910"/>
      <c r="Z213" s="910"/>
      <c r="AA213" s="910"/>
      <c r="AB213" s="910"/>
      <c r="AC213" s="910"/>
      <c r="AD213" s="910"/>
      <c r="AE213" s="910"/>
      <c r="AF213" s="910"/>
    </row>
    <row r="214" customFormat="false" ht="11.25" hidden="false" customHeight="false" outlineLevel="0" collapsed="false">
      <c r="A214" s="856"/>
      <c r="B214" s="856" t="s">
        <v>739</v>
      </c>
      <c r="C214" s="792"/>
      <c r="D214" s="792"/>
      <c r="I214" s="913" t="e">
        <f aca="false">+I197+I203+I209+I212</f>
        <v>#VALUE!</v>
      </c>
      <c r="J214" s="913" t="e">
        <f aca="false">+J197+J203+J209+J212</f>
        <v>#VALUE!</v>
      </c>
      <c r="K214" s="913" t="e">
        <f aca="false">+K197+K203+K209+K212</f>
        <v>#VALUE!</v>
      </c>
      <c r="L214" s="913" t="e">
        <f aca="false">+L197+L203+L209+L212</f>
        <v>#VALUE!</v>
      </c>
      <c r="M214" s="913" t="e">
        <f aca="false">+M197+M203+M209+M212</f>
        <v>#VALUE!</v>
      </c>
      <c r="N214" s="913" t="e">
        <f aca="false">+N197+N203+N209+N212</f>
        <v>#VALUE!</v>
      </c>
      <c r="O214" s="913" t="e">
        <f aca="false">+O197+O203+O209+O212</f>
        <v>#VALUE!</v>
      </c>
      <c r="P214" s="913" t="e">
        <f aca="false">+P197+P203+P209+P212</f>
        <v>#VALUE!</v>
      </c>
      <c r="Q214" s="913" t="e">
        <f aca="false">+Q197+Q203+Q209+Q212</f>
        <v>#VALUE!</v>
      </c>
      <c r="R214" s="913" t="e">
        <f aca="false">+R197+R203+R209+R212</f>
        <v>#VALUE!</v>
      </c>
      <c r="S214" s="913" t="e">
        <f aca="false">+S197+S203+S209+S212</f>
        <v>#VALUE!</v>
      </c>
      <c r="T214" s="913" t="e">
        <f aca="false">+T197+T203+T209+T212</f>
        <v>#VALUE!</v>
      </c>
      <c r="U214" s="913" t="e">
        <f aca="false">+U197+U203+U209+U212</f>
        <v>#VALUE!</v>
      </c>
      <c r="V214" s="913" t="e">
        <f aca="false">+V197+V203+V209+V212</f>
        <v>#VALUE!</v>
      </c>
      <c r="W214" s="913" t="e">
        <f aca="false">+W197+W203+W209+W212</f>
        <v>#VALUE!</v>
      </c>
      <c r="X214" s="913" t="e">
        <f aca="false">+X197+X203+X209+X212</f>
        <v>#VALUE!</v>
      </c>
      <c r="Y214" s="913" t="e">
        <f aca="false">+Y197+Y203+Y209+Y212</f>
        <v>#VALUE!</v>
      </c>
      <c r="Z214" s="913" t="e">
        <f aca="false">+Z197+Z203+Z209+Z212</f>
        <v>#VALUE!</v>
      </c>
      <c r="AA214" s="913" t="e">
        <f aca="false">+AA197+AA203+AA209+AA212</f>
        <v>#VALUE!</v>
      </c>
      <c r="AB214" s="913" t="e">
        <f aca="false">+AB197+AB203+AB209+AB212</f>
        <v>#VALUE!</v>
      </c>
      <c r="AC214" s="913" t="e">
        <f aca="false">+AC197+AC203+AC209+AC212</f>
        <v>#VALUE!</v>
      </c>
      <c r="AD214" s="913" t="n">
        <f aca="false">+AD197+AD203+AD209+AD212</f>
        <v>0</v>
      </c>
      <c r="AE214" s="913" t="n">
        <f aca="false">+AE197+AE203+AE209+AE212</f>
        <v>0</v>
      </c>
      <c r="AF214" s="913" t="n">
        <f aca="false">+AF197+AF203+AF209+AF212</f>
        <v>0</v>
      </c>
    </row>
    <row r="215" customFormat="false" ht="11.25" hidden="false" customHeight="false" outlineLevel="0" collapsed="false">
      <c r="A215" s="856"/>
      <c r="B215" s="856"/>
      <c r="C215" s="792"/>
      <c r="D215" s="792"/>
      <c r="I215" s="910"/>
      <c r="J215" s="910"/>
      <c r="K215" s="910"/>
      <c r="L215" s="910"/>
      <c r="M215" s="910"/>
      <c r="N215" s="910"/>
      <c r="O215" s="910"/>
      <c r="P215" s="910"/>
      <c r="Q215" s="910"/>
      <c r="R215" s="910"/>
      <c r="S215" s="910"/>
      <c r="T215" s="910"/>
      <c r="U215" s="910"/>
      <c r="V215" s="910"/>
      <c r="W215" s="910"/>
      <c r="X215" s="910"/>
      <c r="Y215" s="910"/>
      <c r="Z215" s="910"/>
      <c r="AA215" s="910"/>
      <c r="AB215" s="910"/>
      <c r="AC215" s="910"/>
      <c r="AD215" s="910"/>
      <c r="AE215" s="910"/>
      <c r="AF215" s="910"/>
    </row>
    <row r="216" customFormat="false" ht="11.25" hidden="false" customHeight="false" outlineLevel="0" collapsed="false">
      <c r="A216" s="841" t="s">
        <v>740</v>
      </c>
      <c r="B216" s="346"/>
      <c r="C216" s="346"/>
      <c r="E216" s="346"/>
      <c r="F216" s="346"/>
      <c r="G216" s="346"/>
      <c r="H216" s="346"/>
      <c r="I216" s="914"/>
      <c r="J216" s="914"/>
      <c r="K216" s="914"/>
      <c r="L216" s="914"/>
      <c r="M216" s="914"/>
      <c r="N216" s="914"/>
      <c r="O216" s="914"/>
      <c r="P216" s="914"/>
      <c r="Q216" s="914"/>
      <c r="R216" s="914"/>
      <c r="S216" s="914"/>
      <c r="T216" s="914"/>
      <c r="U216" s="914"/>
      <c r="V216" s="914"/>
      <c r="W216" s="914"/>
      <c r="X216" s="914"/>
      <c r="Y216" s="914"/>
      <c r="Z216" s="914"/>
      <c r="AA216" s="914"/>
      <c r="AB216" s="914"/>
      <c r="AC216" s="914"/>
      <c r="AD216" s="914"/>
      <c r="AE216" s="914"/>
      <c r="AF216" s="914"/>
    </row>
    <row r="217" customFormat="false" ht="11.25" hidden="false" customHeight="false" outlineLevel="0" collapsed="false">
      <c r="A217" s="901"/>
      <c r="B217" s="346"/>
      <c r="C217" s="346"/>
      <c r="E217" s="346"/>
      <c r="F217" s="346"/>
      <c r="G217" s="346"/>
      <c r="H217" s="346"/>
      <c r="I217" s="914"/>
      <c r="J217" s="914"/>
      <c r="K217" s="914"/>
      <c r="L217" s="914"/>
      <c r="M217" s="914"/>
      <c r="N217" s="914"/>
      <c r="O217" s="914"/>
      <c r="P217" s="914"/>
      <c r="Q217" s="914"/>
      <c r="R217" s="914"/>
      <c r="S217" s="914"/>
      <c r="T217" s="914"/>
      <c r="U217" s="914"/>
      <c r="V217" s="914"/>
      <c r="W217" s="914"/>
      <c r="X217" s="914"/>
      <c r="Y217" s="914"/>
      <c r="Z217" s="914"/>
      <c r="AA217" s="914"/>
      <c r="AB217" s="914"/>
      <c r="AC217" s="914"/>
      <c r="AD217" s="914"/>
      <c r="AE217" s="914"/>
      <c r="AF217" s="914"/>
    </row>
    <row r="218" customFormat="false" ht="11.25" hidden="false" customHeight="false" outlineLevel="0" collapsed="false">
      <c r="A218" s="901"/>
      <c r="B218" s="346"/>
      <c r="C218" s="346"/>
      <c r="E218" s="861" t="s">
        <v>741</v>
      </c>
      <c r="F218" s="792"/>
      <c r="G218" s="792"/>
      <c r="H218" s="915" t="n">
        <v>0</v>
      </c>
      <c r="I218" s="914"/>
      <c r="J218" s="916" t="s">
        <v>742</v>
      </c>
      <c r="K218" s="914"/>
      <c r="L218" s="914"/>
      <c r="M218" s="914"/>
      <c r="N218" s="914"/>
      <c r="O218" s="914"/>
      <c r="P218" s="914"/>
      <c r="Q218" s="914"/>
      <c r="R218" s="914"/>
      <c r="S218" s="914"/>
      <c r="T218" s="914"/>
      <c r="U218" s="914"/>
      <c r="V218" s="914"/>
      <c r="W218" s="914"/>
      <c r="X218" s="914"/>
      <c r="Y218" s="914"/>
      <c r="Z218" s="914"/>
      <c r="AA218" s="914"/>
      <c r="AB218" s="914"/>
      <c r="AC218" s="914"/>
      <c r="AD218" s="914"/>
      <c r="AE218" s="914"/>
      <c r="AF218" s="914"/>
    </row>
    <row r="219" customFormat="false" ht="11.25" hidden="false" customHeight="false" outlineLevel="0" collapsed="false">
      <c r="A219" s="901"/>
      <c r="B219" s="806"/>
      <c r="E219" s="861" t="str">
        <f aca="false">"Currency (USD-1, "&amp;curr2&amp;"-2)"</f>
        <v>Currency (USD-1, Reis-2)</v>
      </c>
      <c r="F219" s="792"/>
      <c r="G219" s="792"/>
      <c r="H219" s="871" t="n">
        <v>1</v>
      </c>
      <c r="I219" s="914"/>
      <c r="J219" s="914"/>
      <c r="K219" s="914"/>
      <c r="L219" s="914"/>
      <c r="M219" s="914"/>
      <c r="N219" s="914"/>
      <c r="O219" s="914"/>
      <c r="P219" s="914"/>
      <c r="Q219" s="914"/>
      <c r="R219" s="914"/>
      <c r="S219" s="914"/>
      <c r="T219" s="914"/>
      <c r="U219" s="914"/>
      <c r="V219" s="914"/>
      <c r="W219" s="914"/>
      <c r="X219" s="914"/>
      <c r="Y219" s="914"/>
      <c r="Z219" s="914"/>
      <c r="AA219" s="914"/>
      <c r="AB219" s="914"/>
      <c r="AC219" s="914"/>
      <c r="AD219" s="914"/>
      <c r="AE219" s="914"/>
      <c r="AF219" s="914"/>
    </row>
    <row r="220" customFormat="false" ht="11.25" hidden="false" customHeight="false" outlineLevel="0" collapsed="false">
      <c r="A220" s="901"/>
      <c r="B220" s="806"/>
      <c r="E220" s="861" t="s">
        <v>718</v>
      </c>
      <c r="F220" s="792"/>
      <c r="G220" s="792"/>
      <c r="H220" s="871" t="n">
        <v>1</v>
      </c>
      <c r="I220" s="914"/>
      <c r="J220" s="914"/>
      <c r="K220" s="914"/>
      <c r="L220" s="914"/>
      <c r="M220" s="914"/>
      <c r="N220" s="914"/>
      <c r="O220" s="914"/>
      <c r="P220" s="914"/>
      <c r="Q220" s="914"/>
      <c r="R220" s="914"/>
      <c r="S220" s="914"/>
      <c r="T220" s="914"/>
      <c r="U220" s="914"/>
      <c r="V220" s="914"/>
      <c r="W220" s="914"/>
      <c r="X220" s="914"/>
      <c r="Y220" s="914"/>
      <c r="Z220" s="914"/>
      <c r="AA220" s="914"/>
      <c r="AB220" s="914"/>
      <c r="AC220" s="914"/>
      <c r="AD220" s="914"/>
      <c r="AE220" s="914"/>
      <c r="AF220" s="914"/>
    </row>
    <row r="221" customFormat="false" ht="11.25" hidden="false" customHeight="false" outlineLevel="0" collapsed="false">
      <c r="A221" s="901"/>
      <c r="C221" s="856" t="s">
        <v>735</v>
      </c>
      <c r="D221" s="792"/>
      <c r="I221" s="917" t="n">
        <f aca="false">($H218)*CHOOSE($H219,1,I$138)*IF($H219=1,CHOOSE($H220,1,I$129),CHOOSE($H220,1,I$144))</f>
        <v>0</v>
      </c>
      <c r="J221" s="917" t="n">
        <f aca="false">($H218)*CHOOSE($H219,1,J$138)*IF($H219=1,CHOOSE($H220,1,J$129),CHOOSE($H220,1,J$144))</f>
        <v>0</v>
      </c>
      <c r="K221" s="917" t="n">
        <f aca="false">($H218)*CHOOSE($H219,1,K$138)*IF($H219=1,CHOOSE($H220,1,K$129),CHOOSE($H220,1,K$144))</f>
        <v>0</v>
      </c>
      <c r="L221" s="917" t="n">
        <f aca="false">($H218)*CHOOSE($H219,1,L$138)*IF($H219=1,CHOOSE($H220,1,L$129),CHOOSE($H220,1,L$144))</f>
        <v>0</v>
      </c>
      <c r="M221" s="917" t="n">
        <f aca="false">($H218)*CHOOSE($H219,1,M$138)*IF($H219=1,CHOOSE($H220,1,M$129),CHOOSE($H220,1,M$144))</f>
        <v>0</v>
      </c>
      <c r="N221" s="917" t="n">
        <f aca="false">($H218)*CHOOSE($H219,1,N$138)*IF($H219=1,CHOOSE($H220,1,N$129),CHOOSE($H220,1,N$144))</f>
        <v>0</v>
      </c>
      <c r="O221" s="917" t="n">
        <f aca="false">($H218)*CHOOSE($H219,1,O$138)*IF($H219=1,CHOOSE($H220,1,O$129),CHOOSE($H220,1,O$144))</f>
        <v>0</v>
      </c>
      <c r="P221" s="917" t="n">
        <f aca="false">($H218)*CHOOSE($H219,1,P$138)*IF($H219=1,CHOOSE($H220,1,P$129),CHOOSE($H220,1,P$144))</f>
        <v>0</v>
      </c>
      <c r="Q221" s="917" t="n">
        <f aca="false">($H218)*CHOOSE($H219,1,Q$138)*IF($H219=1,CHOOSE($H220,1,Q$129),CHOOSE($H220,1,Q$144))</f>
        <v>0</v>
      </c>
      <c r="R221" s="917" t="n">
        <f aca="false">($H218)*CHOOSE($H219,1,R$138)*IF($H219=1,CHOOSE($H220,1,R$129),CHOOSE($H220,1,R$144))</f>
        <v>0</v>
      </c>
      <c r="S221" s="917" t="n">
        <f aca="false">($H218)*CHOOSE($H219,1,S$138)*IF($H219=1,CHOOSE($H220,1,S$129),CHOOSE($H220,1,S$144))</f>
        <v>0</v>
      </c>
      <c r="T221" s="917" t="n">
        <f aca="false">($H218)*CHOOSE($H219,1,T$138)*IF($H219=1,CHOOSE($H220,1,T$129),CHOOSE($H220,1,T$144))</f>
        <v>0</v>
      </c>
      <c r="U221" s="917" t="n">
        <f aca="false">($H218)*CHOOSE($H219,1,U$138)*IF($H219=1,CHOOSE($H220,1,U$129),CHOOSE($H220,1,U$144))</f>
        <v>0</v>
      </c>
      <c r="V221" s="917" t="n">
        <f aca="false">($H218)*CHOOSE($H219,1,V$138)*IF($H219=1,CHOOSE($H220,1,V$129),CHOOSE($H220,1,V$144))</f>
        <v>0</v>
      </c>
      <c r="W221" s="917" t="n">
        <f aca="false">($H218)*CHOOSE($H219,1,W$138)*IF($H219=1,CHOOSE($H220,1,W$129),CHOOSE($H220,1,W$144))</f>
        <v>0</v>
      </c>
      <c r="X221" s="917" t="n">
        <f aca="false">($H218)*CHOOSE($H219,1,X$138)*IF($H219=1,CHOOSE($H220,1,X$129),CHOOSE($H220,1,X$144))</f>
        <v>0</v>
      </c>
      <c r="Y221" s="917" t="n">
        <f aca="false">($H218)*CHOOSE($H219,1,Y$138)*IF($H219=1,CHOOSE($H220,1,Y$129),CHOOSE($H220,1,Y$144))</f>
        <v>0</v>
      </c>
      <c r="Z221" s="917" t="n">
        <f aca="false">($H218)*CHOOSE($H219,1,Z$138)*IF($H219=1,CHOOSE($H220,1,Z$129),CHOOSE($H220,1,Z$144))</f>
        <v>0</v>
      </c>
      <c r="AA221" s="917" t="n">
        <f aca="false">($H218)*CHOOSE($H219,1,AA$138)*IF($H219=1,CHOOSE($H220,1,AA$129),CHOOSE($H220,1,AA$144))</f>
        <v>0</v>
      </c>
      <c r="AB221" s="917" t="n">
        <f aca="false">($H218)*CHOOSE($H219,1,AB$138)*IF($H219=1,CHOOSE($H220,1,AB$129),CHOOSE($H220,1,AB$144))</f>
        <v>0</v>
      </c>
      <c r="AC221" s="917" t="n">
        <f aca="false">($H218)*CHOOSE($H219,1,AC$138)*IF($H219=1,CHOOSE($H220,1,AC$129),CHOOSE($H220,1,AC$144))</f>
        <v>0</v>
      </c>
      <c r="AD221" s="917" t="n">
        <f aca="false">($H218)*CHOOSE($H219,1,AD$138)*IF($H219=1,CHOOSE($H220,1,AD$129),CHOOSE($H220,1,AD$144))</f>
        <v>0</v>
      </c>
      <c r="AE221" s="917" t="n">
        <f aca="false">($H218)*CHOOSE($H219,1,AE$138)*IF($H219=1,CHOOSE($H220,1,AE$129),CHOOSE($H220,1,AE$144))</f>
        <v>0</v>
      </c>
      <c r="AF221" s="917" t="n">
        <f aca="false">($H218)*CHOOSE($H219,1,AF$138)*IF($H219=1,CHOOSE($H220,1,AF$129),CHOOSE($H220,1,AF$144))</f>
        <v>0</v>
      </c>
    </row>
    <row r="222" customFormat="false" ht="11.25" hidden="false" customHeight="false" outlineLevel="0" collapsed="false">
      <c r="A222" s="901"/>
      <c r="B222" s="856" t="s">
        <v>743</v>
      </c>
      <c r="C222" s="792"/>
      <c r="D222" s="792"/>
      <c r="I222" s="913" t="n">
        <f aca="false">+I221</f>
        <v>0</v>
      </c>
      <c r="J222" s="913" t="n">
        <f aca="false">+J221</f>
        <v>0</v>
      </c>
      <c r="K222" s="913" t="n">
        <f aca="false">+K221</f>
        <v>0</v>
      </c>
      <c r="L222" s="913" t="n">
        <f aca="false">+L221</f>
        <v>0</v>
      </c>
      <c r="M222" s="913" t="n">
        <f aca="false">+M221</f>
        <v>0</v>
      </c>
      <c r="N222" s="913" t="n">
        <f aca="false">+N221</f>
        <v>0</v>
      </c>
      <c r="O222" s="913" t="n">
        <f aca="false">+O221</f>
        <v>0</v>
      </c>
      <c r="P222" s="913" t="n">
        <f aca="false">+P221</f>
        <v>0</v>
      </c>
      <c r="Q222" s="913" t="n">
        <f aca="false">+Q221</f>
        <v>0</v>
      </c>
      <c r="R222" s="913" t="n">
        <f aca="false">+R221</f>
        <v>0</v>
      </c>
      <c r="S222" s="913" t="n">
        <f aca="false">+S221</f>
        <v>0</v>
      </c>
      <c r="T222" s="913" t="n">
        <f aca="false">+T221</f>
        <v>0</v>
      </c>
      <c r="U222" s="913" t="n">
        <f aca="false">+U221</f>
        <v>0</v>
      </c>
      <c r="V222" s="913" t="n">
        <f aca="false">+V221</f>
        <v>0</v>
      </c>
      <c r="W222" s="913" t="n">
        <f aca="false">+W221</f>
        <v>0</v>
      </c>
      <c r="X222" s="913" t="n">
        <f aca="false">+X221</f>
        <v>0</v>
      </c>
      <c r="Y222" s="913" t="n">
        <f aca="false">+Y221</f>
        <v>0</v>
      </c>
      <c r="Z222" s="913" t="n">
        <f aca="false">+Z221</f>
        <v>0</v>
      </c>
      <c r="AA222" s="913" t="n">
        <f aca="false">+AA221</f>
        <v>0</v>
      </c>
      <c r="AB222" s="913" t="n">
        <f aca="false">+AB221</f>
        <v>0</v>
      </c>
      <c r="AC222" s="913" t="n">
        <f aca="false">+AC221</f>
        <v>0</v>
      </c>
      <c r="AD222" s="913" t="n">
        <f aca="false">+AD221</f>
        <v>0</v>
      </c>
      <c r="AE222" s="913" t="n">
        <f aca="false">+AE221</f>
        <v>0</v>
      </c>
      <c r="AF222" s="913" t="n">
        <f aca="false">+AF221</f>
        <v>0</v>
      </c>
    </row>
    <row r="223" customFormat="false" ht="11.25" hidden="false" customHeight="false" outlineLevel="0" collapsed="false">
      <c r="A223" s="901"/>
      <c r="B223" s="856"/>
      <c r="C223" s="792"/>
      <c r="D223" s="792"/>
      <c r="I223" s="910"/>
      <c r="J223" s="910"/>
      <c r="K223" s="910"/>
      <c r="L223" s="910"/>
      <c r="M223" s="910"/>
      <c r="N223" s="910"/>
      <c r="O223" s="910"/>
      <c r="P223" s="910"/>
      <c r="Q223" s="910"/>
      <c r="R223" s="910"/>
      <c r="S223" s="910"/>
      <c r="T223" s="910"/>
      <c r="U223" s="910"/>
      <c r="V223" s="910"/>
      <c r="W223" s="910"/>
      <c r="X223" s="910"/>
      <c r="Y223" s="910"/>
      <c r="Z223" s="910"/>
      <c r="AA223" s="910"/>
      <c r="AB223" s="910"/>
      <c r="AC223" s="910"/>
      <c r="AD223" s="910"/>
      <c r="AE223" s="910"/>
      <c r="AF223" s="910"/>
    </row>
    <row r="224" customFormat="false" ht="11.25" hidden="false" customHeight="false" outlineLevel="0" collapsed="false">
      <c r="A224" s="901"/>
      <c r="B224" s="806"/>
      <c r="E224" s="902"/>
      <c r="F224" s="902"/>
      <c r="G224" s="902"/>
      <c r="H224" s="902"/>
      <c r="I224" s="914"/>
      <c r="J224" s="914"/>
      <c r="K224" s="914"/>
      <c r="L224" s="914"/>
      <c r="M224" s="914"/>
      <c r="N224" s="914"/>
      <c r="O224" s="914"/>
      <c r="P224" s="914"/>
      <c r="Q224" s="914"/>
      <c r="R224" s="914"/>
      <c r="S224" s="914"/>
      <c r="T224" s="914"/>
      <c r="U224" s="914"/>
      <c r="V224" s="914"/>
      <c r="W224" s="914"/>
      <c r="X224" s="914"/>
      <c r="Y224" s="914"/>
      <c r="Z224" s="914"/>
      <c r="AA224" s="914"/>
      <c r="AB224" s="914"/>
      <c r="AC224" s="914"/>
      <c r="AD224" s="914"/>
      <c r="AE224" s="914"/>
      <c r="AF224" s="914"/>
    </row>
    <row r="225" customFormat="false" ht="11.25" hidden="false" customHeight="false" outlineLevel="0" collapsed="false">
      <c r="A225" s="901"/>
      <c r="B225" s="895" t="s">
        <v>744</v>
      </c>
      <c r="I225" s="918" t="e">
        <f aca="false">+I214+I222</f>
        <v>#VALUE!</v>
      </c>
      <c r="J225" s="918" t="e">
        <f aca="false">+J214+J222</f>
        <v>#VALUE!</v>
      </c>
      <c r="K225" s="918" t="e">
        <f aca="false">+K214+K222</f>
        <v>#VALUE!</v>
      </c>
      <c r="L225" s="918" t="e">
        <f aca="false">+L214+L222</f>
        <v>#VALUE!</v>
      </c>
      <c r="M225" s="918" t="e">
        <f aca="false">+M214+M222</f>
        <v>#VALUE!</v>
      </c>
      <c r="N225" s="918" t="e">
        <f aca="false">+N214+N222</f>
        <v>#VALUE!</v>
      </c>
      <c r="O225" s="918" t="e">
        <f aca="false">+O214+O222</f>
        <v>#VALUE!</v>
      </c>
      <c r="P225" s="918" t="e">
        <f aca="false">+P214+P222</f>
        <v>#VALUE!</v>
      </c>
      <c r="Q225" s="918" t="e">
        <f aca="false">+Q214+Q222</f>
        <v>#VALUE!</v>
      </c>
      <c r="R225" s="918" t="e">
        <f aca="false">+R214+R222</f>
        <v>#VALUE!</v>
      </c>
      <c r="S225" s="918" t="e">
        <f aca="false">+S214+S222</f>
        <v>#VALUE!</v>
      </c>
      <c r="T225" s="918" t="e">
        <f aca="false">+T214+T222</f>
        <v>#VALUE!</v>
      </c>
      <c r="U225" s="918" t="e">
        <f aca="false">+U214+U222</f>
        <v>#VALUE!</v>
      </c>
      <c r="V225" s="918" t="e">
        <f aca="false">+V214+V222</f>
        <v>#VALUE!</v>
      </c>
      <c r="W225" s="918" t="e">
        <f aca="false">+W214+W222</f>
        <v>#VALUE!</v>
      </c>
      <c r="X225" s="918" t="e">
        <f aca="false">+X214+X222</f>
        <v>#VALUE!</v>
      </c>
      <c r="Y225" s="918" t="e">
        <f aca="false">+Y214+Y222</f>
        <v>#VALUE!</v>
      </c>
      <c r="Z225" s="918" t="e">
        <f aca="false">+Z214+Z222</f>
        <v>#VALUE!</v>
      </c>
      <c r="AA225" s="918" t="e">
        <f aca="false">+AA214+AA222</f>
        <v>#VALUE!</v>
      </c>
      <c r="AB225" s="918" t="e">
        <f aca="false">+AB214+AB222</f>
        <v>#VALUE!</v>
      </c>
      <c r="AC225" s="918" t="e">
        <f aca="false">+AC214+AC222</f>
        <v>#VALUE!</v>
      </c>
      <c r="AD225" s="918" t="n">
        <f aca="false">+AD214+AD222</f>
        <v>0</v>
      </c>
      <c r="AE225" s="918" t="n">
        <f aca="false">+AE214+AE222</f>
        <v>0</v>
      </c>
      <c r="AF225" s="918" t="n">
        <f aca="false">+AF214+AF222</f>
        <v>0</v>
      </c>
    </row>
    <row r="226" customFormat="false" ht="12" hidden="false" customHeight="false" outlineLevel="0" collapsed="false">
      <c r="A226" s="751"/>
      <c r="C226" s="751"/>
      <c r="D226" s="751"/>
      <c r="E226" s="751"/>
      <c r="F226" s="751"/>
      <c r="G226" s="751"/>
      <c r="H226" s="751"/>
      <c r="I226" s="751"/>
      <c r="J226" s="751"/>
      <c r="K226" s="751"/>
      <c r="L226" s="751"/>
      <c r="M226" s="751"/>
      <c r="N226" s="751"/>
      <c r="O226" s="751"/>
      <c r="P226" s="751"/>
      <c r="Q226" s="751"/>
      <c r="R226" s="751"/>
      <c r="S226" s="751"/>
      <c r="T226" s="751"/>
      <c r="U226" s="751"/>
      <c r="V226" s="751"/>
      <c r="W226" s="751"/>
      <c r="X226" s="469"/>
      <c r="Y226" s="469"/>
      <c r="Z226" s="469"/>
      <c r="AA226" s="469"/>
      <c r="AB226" s="469"/>
      <c r="AC226" s="469"/>
      <c r="AD226" s="469"/>
      <c r="AE226" s="469"/>
      <c r="AF226" s="469"/>
    </row>
    <row r="227" customFormat="false" ht="12.75" hidden="false" customHeight="false" outlineLevel="0" collapsed="false">
      <c r="A227" s="919"/>
      <c r="B227" s="772"/>
      <c r="C227" s="919"/>
      <c r="D227" s="919"/>
      <c r="E227" s="919"/>
      <c r="F227" s="919"/>
      <c r="G227" s="919"/>
      <c r="H227" s="919"/>
      <c r="I227" s="919"/>
      <c r="J227" s="919"/>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row>
    <row r="228" customFormat="false" ht="12.75" hidden="false" customHeight="false" outlineLevel="0" collapsed="false">
      <c r="A228" s="920" t="s">
        <v>745</v>
      </c>
      <c r="C228" s="751"/>
      <c r="D228" s="751"/>
      <c r="E228" s="751"/>
      <c r="F228" s="751"/>
      <c r="G228" s="751"/>
      <c r="H228" s="751"/>
      <c r="I228" s="775" t="n">
        <f aca="false">+I$3</f>
        <v>37986</v>
      </c>
      <c r="J228" s="776" t="n">
        <f aca="false">+J$3</f>
        <v>2004</v>
      </c>
      <c r="K228" s="776" t="n">
        <f aca="false">+K$3</f>
        <v>2005</v>
      </c>
      <c r="L228" s="776" t="n">
        <f aca="false">+L$3</f>
        <v>2006</v>
      </c>
      <c r="M228" s="776" t="n">
        <f aca="false">+M$3</f>
        <v>2007</v>
      </c>
      <c r="N228" s="776" t="n">
        <f aca="false">+N$3</f>
        <v>2008</v>
      </c>
      <c r="O228" s="776" t="n">
        <f aca="false">+O$3</f>
        <v>2009</v>
      </c>
      <c r="P228" s="776" t="n">
        <f aca="false">+P$3</f>
        <v>2010</v>
      </c>
      <c r="Q228" s="776" t="n">
        <f aca="false">+Q$3</f>
        <v>2011</v>
      </c>
      <c r="R228" s="776" t="n">
        <f aca="false">+R$3</f>
        <v>2012</v>
      </c>
      <c r="S228" s="776" t="n">
        <f aca="false">+S$3</f>
        <v>2013</v>
      </c>
      <c r="T228" s="776" t="n">
        <f aca="false">+T$3</f>
        <v>2014</v>
      </c>
      <c r="U228" s="776" t="n">
        <f aca="false">+U$3</f>
        <v>2015</v>
      </c>
      <c r="V228" s="776" t="n">
        <f aca="false">+V$3</f>
        <v>2016</v>
      </c>
      <c r="W228" s="776" t="n">
        <f aca="false">+W$3</f>
        <v>2017</v>
      </c>
      <c r="X228" s="776" t="n">
        <f aca="false">+X$3</f>
        <v>2018</v>
      </c>
      <c r="Y228" s="776" t="n">
        <f aca="false">+Y$3</f>
        <v>2019</v>
      </c>
      <c r="Z228" s="776" t="n">
        <f aca="false">+Z$3</f>
        <v>2020</v>
      </c>
      <c r="AA228" s="776" t="n">
        <f aca="false">+AA$3</f>
        <v>2021</v>
      </c>
      <c r="AB228" s="776" t="n">
        <f aca="false">+AB$3</f>
        <v>2022</v>
      </c>
      <c r="AC228" s="776" t="n">
        <f aca="false">+AC$3</f>
        <v>2023</v>
      </c>
      <c r="AD228" s="776" t="n">
        <f aca="false">+AD$3</f>
        <v>2024</v>
      </c>
      <c r="AE228" s="776" t="n">
        <f aca="false">+AE$3</f>
        <v>2025</v>
      </c>
      <c r="AF228" s="776" t="n">
        <f aca="false">+AF$3</f>
        <v>2026</v>
      </c>
    </row>
    <row r="229" customFormat="false" ht="12" hidden="false" customHeight="false" outlineLevel="0" collapsed="false"/>
    <row r="230" customFormat="false" ht="11.25" hidden="false" customHeight="false" outlineLevel="0" collapsed="false">
      <c r="A230" s="777" t="s">
        <v>746</v>
      </c>
      <c r="B230" s="346"/>
      <c r="C230" s="346"/>
      <c r="E230" s="861" t="str">
        <f aca="false">"Currency (USD-1, "&amp;curr2&amp;"-2)"</f>
        <v>Currency (USD-1, Reis-2)</v>
      </c>
      <c r="F230" s="792"/>
      <c r="G230" s="792"/>
      <c r="H230" s="871" t="n">
        <v>1</v>
      </c>
      <c r="I230" s="916" t="n">
        <f aca="false" t="array" ref="I230:AF230">TRANSPOSE(CALC!II17:II40)/1000</f>
        <v>563.331577588495</v>
      </c>
      <c r="J230" s="916" t="n">
        <v>1027.64806405463</v>
      </c>
      <c r="K230" s="916" t="n">
        <v>1211.68670139222</v>
      </c>
      <c r="L230" s="916" t="n">
        <v>1279.90118496425</v>
      </c>
      <c r="M230" s="916" t="n">
        <v>1277.55572124948</v>
      </c>
      <c r="N230" s="916" t="n">
        <v>1213.33314885684</v>
      </c>
      <c r="O230" s="916" t="n">
        <v>1171.65335116121</v>
      </c>
      <c r="P230" s="916" t="n">
        <v>1376.96368916338</v>
      </c>
      <c r="Q230" s="916" t="n">
        <v>1356.81558632817</v>
      </c>
      <c r="R230" s="916" t="n">
        <v>1375.98637728267</v>
      </c>
      <c r="S230" s="916" t="n">
        <v>1402.84503298886</v>
      </c>
      <c r="T230" s="916" t="n">
        <v>1316.95755053369</v>
      </c>
      <c r="U230" s="916" t="n">
        <v>1391.87214308818</v>
      </c>
      <c r="V230" s="916" t="n">
        <v>1293.05979951252</v>
      </c>
      <c r="W230" s="916" t="n">
        <v>1274.97175748199</v>
      </c>
      <c r="X230" s="916" t="n">
        <v>1252.8315649988</v>
      </c>
      <c r="Y230" s="916" t="n">
        <v>1275.94312246325</v>
      </c>
      <c r="Z230" s="916" t="n">
        <v>1241.63958598746</v>
      </c>
      <c r="AA230" s="916" t="n">
        <v>1228.68687982252</v>
      </c>
      <c r="AB230" s="916" t="n">
        <v>1089.17258147285</v>
      </c>
      <c r="AC230" s="916" t="n">
        <v>225.505125592708</v>
      </c>
      <c r="AD230" s="916" t="n">
        <v>0</v>
      </c>
      <c r="AE230" s="916" t="n">
        <v>0</v>
      </c>
      <c r="AF230" s="916" t="n">
        <v>0</v>
      </c>
    </row>
    <row r="231" customFormat="false" ht="11.25" hidden="false" customHeight="false" outlineLevel="0" collapsed="false">
      <c r="A231" s="856"/>
      <c r="B231" s="346"/>
      <c r="C231" s="346"/>
      <c r="D231" s="792"/>
      <c r="E231" s="861" t="s">
        <v>718</v>
      </c>
      <c r="F231" s="792"/>
      <c r="G231" s="792"/>
      <c r="H231" s="871" t="n">
        <v>1</v>
      </c>
      <c r="I231" s="921"/>
      <c r="J231" s="922" t="s">
        <v>747</v>
      </c>
      <c r="K231" s="921"/>
      <c r="L231" s="921"/>
      <c r="M231" s="921"/>
      <c r="N231" s="921"/>
      <c r="O231" s="921"/>
      <c r="P231" s="921"/>
      <c r="Q231" s="921"/>
      <c r="R231" s="921"/>
      <c r="S231" s="921"/>
      <c r="T231" s="921"/>
      <c r="U231" s="921"/>
      <c r="V231" s="921"/>
      <c r="W231" s="921"/>
      <c r="X231" s="921"/>
      <c r="Y231" s="921"/>
      <c r="Z231" s="921"/>
      <c r="AA231" s="921"/>
      <c r="AB231" s="921"/>
      <c r="AC231" s="921"/>
      <c r="AD231" s="921"/>
      <c r="AE231" s="921"/>
      <c r="AF231" s="921"/>
    </row>
    <row r="232" customFormat="false" ht="11.25" hidden="false" customHeight="false" outlineLevel="0" collapsed="false">
      <c r="A232" s="856"/>
      <c r="B232" s="792"/>
      <c r="C232" s="792"/>
      <c r="D232" s="792"/>
      <c r="I232" s="921"/>
      <c r="J232" s="921"/>
      <c r="K232" s="921"/>
      <c r="L232" s="921"/>
      <c r="M232" s="921"/>
      <c r="N232" s="921"/>
      <c r="O232" s="921"/>
      <c r="P232" s="921"/>
      <c r="Q232" s="921"/>
      <c r="R232" s="921"/>
      <c r="S232" s="921"/>
      <c r="T232" s="921"/>
      <c r="U232" s="921"/>
      <c r="V232" s="921"/>
      <c r="W232" s="921"/>
      <c r="X232" s="921"/>
      <c r="Y232" s="921"/>
      <c r="Z232" s="921"/>
      <c r="AA232" s="921"/>
      <c r="AB232" s="921"/>
      <c r="AC232" s="921"/>
      <c r="AD232" s="921"/>
      <c r="AE232" s="921"/>
      <c r="AF232" s="921"/>
    </row>
    <row r="233" customFormat="false" ht="11.25" hidden="false" customHeight="false" outlineLevel="0" collapsed="false">
      <c r="A233" s="856"/>
      <c r="C233" s="856" t="s">
        <v>735</v>
      </c>
      <c r="D233" s="792"/>
      <c r="I233" s="910" t="n">
        <f aca="false">I230*CHOOSE($H$230,1,I138)*CHOOSE($H$231,1,I129)</f>
        <v>563.331577588495</v>
      </c>
      <c r="J233" s="910" t="n">
        <f aca="false">J230*CHOOSE($H$230,1,J138)*CHOOSE($H$231,1,J129)</f>
        <v>1027.64806405463</v>
      </c>
      <c r="K233" s="910" t="n">
        <f aca="false">K230*CHOOSE($H$230,1,K138)*CHOOSE($H$231,1,K129)</f>
        <v>1211.68670139222</v>
      </c>
      <c r="L233" s="910" t="n">
        <f aca="false">L230*CHOOSE($H$230,1,L138)*CHOOSE($H$231,1,L129)</f>
        <v>1279.90118496425</v>
      </c>
      <c r="M233" s="910" t="n">
        <f aca="false">M230*CHOOSE($H$230,1,M138)*CHOOSE($H$231,1,M129)</f>
        <v>1277.55572124948</v>
      </c>
      <c r="N233" s="910" t="n">
        <f aca="false">N230*CHOOSE($H$230,1,N138)*CHOOSE($H$231,1,N129)</f>
        <v>1213.33314885684</v>
      </c>
      <c r="O233" s="910" t="n">
        <f aca="false">O230*CHOOSE($H$230,1,O138)*CHOOSE($H$231,1,O129)</f>
        <v>1171.65335116121</v>
      </c>
      <c r="P233" s="910" t="n">
        <f aca="false">P230*CHOOSE($H$230,1,P138)*CHOOSE($H$231,1,P129)</f>
        <v>1376.96368916338</v>
      </c>
      <c r="Q233" s="910" t="n">
        <f aca="false">Q230*CHOOSE($H$230,1,Q138)*CHOOSE($H$231,1,Q129)</f>
        <v>1356.81558632817</v>
      </c>
      <c r="R233" s="910" t="n">
        <f aca="false">R230*CHOOSE($H$230,1,R138)*CHOOSE($H$231,1,R129)</f>
        <v>1375.98637728267</v>
      </c>
      <c r="S233" s="910" t="n">
        <f aca="false">S230*CHOOSE($H$230,1,S138)*CHOOSE($H$231,1,S129)</f>
        <v>1402.84503298886</v>
      </c>
      <c r="T233" s="910" t="n">
        <f aca="false">T230*CHOOSE($H$230,1,T138)*CHOOSE($H$231,1,T129)</f>
        <v>1316.95755053369</v>
      </c>
      <c r="U233" s="910" t="n">
        <f aca="false">U230*CHOOSE($H$230,1,U138)*CHOOSE($H$231,1,U129)</f>
        <v>1391.87214308818</v>
      </c>
      <c r="V233" s="910" t="n">
        <f aca="false">V230*CHOOSE($H$230,1,V138)*CHOOSE($H$231,1,V129)</f>
        <v>1293.05979951252</v>
      </c>
      <c r="W233" s="910" t="n">
        <f aca="false">W230*CHOOSE($H$230,1,W138)*CHOOSE($H$231,1,W129)</f>
        <v>1274.97175748199</v>
      </c>
      <c r="X233" s="910" t="n">
        <f aca="false">X230*CHOOSE($H$230,1,X138)*CHOOSE($H$231,1,X129)</f>
        <v>1252.8315649988</v>
      </c>
      <c r="Y233" s="910" t="n">
        <f aca="false">Y230*CHOOSE($H$230,1,Y138)*CHOOSE($H$231,1,Y129)</f>
        <v>1275.94312246325</v>
      </c>
      <c r="Z233" s="910" t="n">
        <f aca="false">Z230*CHOOSE($H$230,1,Z138)*CHOOSE($H$231,1,Z129)</f>
        <v>1241.63958598746</v>
      </c>
      <c r="AA233" s="910" t="n">
        <f aca="false">AA230*CHOOSE($H$230,1,AA138)*CHOOSE($H$231,1,AA129)</f>
        <v>1228.68687982252</v>
      </c>
      <c r="AB233" s="910" t="n">
        <f aca="false">AB230*CHOOSE($H$230,1,AB138)*CHOOSE($H$231,1,AB129)</f>
        <v>1089.17258147285</v>
      </c>
      <c r="AC233" s="910" t="n">
        <f aca="false">AC230*CHOOSE($H$230,1,AC138)*CHOOSE($H$231,1,AC129)</f>
        <v>225.505125592708</v>
      </c>
      <c r="AD233" s="910" t="n">
        <f aca="false">AD230*CHOOSE($H$230,1,AD138)*CHOOSE($H$231,1,AD129)</f>
        <v>0</v>
      </c>
      <c r="AE233" s="910" t="n">
        <f aca="false">AE230*CHOOSE($H$230,1,AE138)*CHOOSE($H$231,1,AE129)</f>
        <v>0</v>
      </c>
      <c r="AF233" s="910" t="n">
        <f aca="false">AF230*CHOOSE($H$230,1,AF138)*CHOOSE($H$231,1,AF129)</f>
        <v>0</v>
      </c>
    </row>
    <row r="234" customFormat="false" ht="11.25" hidden="false" customHeight="false" outlineLevel="0" collapsed="false">
      <c r="A234" s="856"/>
      <c r="B234" s="856" t="s">
        <v>748</v>
      </c>
      <c r="C234" s="792"/>
      <c r="D234" s="792"/>
      <c r="I234" s="913" t="n">
        <f aca="false">+I233</f>
        <v>563.331577588495</v>
      </c>
      <c r="J234" s="913" t="n">
        <f aca="false">+J233</f>
        <v>1027.64806405463</v>
      </c>
      <c r="K234" s="913" t="n">
        <f aca="false">+K233</f>
        <v>1211.68670139222</v>
      </c>
      <c r="L234" s="913" t="n">
        <f aca="false">+L233</f>
        <v>1279.90118496425</v>
      </c>
      <c r="M234" s="913" t="n">
        <f aca="false">+M233</f>
        <v>1277.55572124948</v>
      </c>
      <c r="N234" s="913" t="n">
        <f aca="false">+N233</f>
        <v>1213.33314885684</v>
      </c>
      <c r="O234" s="913" t="n">
        <f aca="false">+O233</f>
        <v>1171.65335116121</v>
      </c>
      <c r="P234" s="913" t="n">
        <f aca="false">+P233</f>
        <v>1376.96368916338</v>
      </c>
      <c r="Q234" s="913" t="n">
        <f aca="false">+Q233</f>
        <v>1356.81558632817</v>
      </c>
      <c r="R234" s="913" t="n">
        <f aca="false">+R233</f>
        <v>1375.98637728267</v>
      </c>
      <c r="S234" s="913" t="n">
        <f aca="false">+S233</f>
        <v>1402.84503298886</v>
      </c>
      <c r="T234" s="913" t="n">
        <f aca="false">+T233</f>
        <v>1316.95755053369</v>
      </c>
      <c r="U234" s="913" t="n">
        <f aca="false">+U233</f>
        <v>1391.87214308818</v>
      </c>
      <c r="V234" s="913" t="n">
        <f aca="false">+V233</f>
        <v>1293.05979951252</v>
      </c>
      <c r="W234" s="913" t="n">
        <f aca="false">+W233</f>
        <v>1274.97175748199</v>
      </c>
      <c r="X234" s="913" t="n">
        <f aca="false">+X233</f>
        <v>1252.8315649988</v>
      </c>
      <c r="Y234" s="913" t="n">
        <f aca="false">+Y233</f>
        <v>1275.94312246325</v>
      </c>
      <c r="Z234" s="913" t="n">
        <f aca="false">+Z233</f>
        <v>1241.63958598746</v>
      </c>
      <c r="AA234" s="913" t="n">
        <f aca="false">+AA233</f>
        <v>1228.68687982252</v>
      </c>
      <c r="AB234" s="913" t="n">
        <f aca="false">+AB233</f>
        <v>1089.17258147285</v>
      </c>
      <c r="AC234" s="913" t="n">
        <f aca="false">+AC233</f>
        <v>225.505125592708</v>
      </c>
      <c r="AD234" s="913" t="n">
        <f aca="false">+AD233</f>
        <v>0</v>
      </c>
      <c r="AE234" s="913" t="n">
        <f aca="false">+AE233</f>
        <v>0</v>
      </c>
      <c r="AF234" s="913" t="n">
        <f aca="false">+AF233</f>
        <v>0</v>
      </c>
    </row>
    <row r="235" customFormat="false" ht="11.25" hidden="false" customHeight="false" outlineLevel="0" collapsed="false">
      <c r="A235" s="841" t="s">
        <v>740</v>
      </c>
      <c r="B235" s="806"/>
      <c r="E235" s="902"/>
      <c r="F235" s="902"/>
      <c r="G235" s="902"/>
      <c r="H235" s="902"/>
      <c r="I235" s="914"/>
      <c r="J235" s="914"/>
      <c r="K235" s="914"/>
      <c r="L235" s="914"/>
      <c r="M235" s="914"/>
      <c r="N235" s="914"/>
      <c r="O235" s="914"/>
      <c r="P235" s="914"/>
      <c r="Q235" s="914"/>
      <c r="R235" s="914"/>
      <c r="S235" s="914"/>
      <c r="T235" s="914"/>
      <c r="U235" s="914"/>
      <c r="V235" s="914"/>
      <c r="W235" s="914"/>
      <c r="X235" s="914"/>
      <c r="Y235" s="914"/>
      <c r="Z235" s="914"/>
      <c r="AA235" s="914"/>
      <c r="AB235" s="914"/>
      <c r="AC235" s="914"/>
      <c r="AD235" s="914"/>
      <c r="AE235" s="914"/>
      <c r="AF235" s="914"/>
    </row>
    <row r="236" customFormat="false" ht="11.25" hidden="false" customHeight="false" outlineLevel="0" collapsed="false">
      <c r="A236" s="901"/>
      <c r="B236" s="346"/>
      <c r="C236" s="346"/>
      <c r="E236" s="861" t="s">
        <v>741</v>
      </c>
      <c r="F236" s="792"/>
      <c r="G236" s="792"/>
      <c r="H236" s="923" t="n">
        <f aca="false">Assumptions!C52</f>
        <v>17470.77046875</v>
      </c>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row>
    <row r="237" customFormat="false" ht="11.25" hidden="false" customHeight="false" outlineLevel="0" collapsed="false">
      <c r="A237" s="901"/>
      <c r="B237" s="346"/>
      <c r="C237" s="346"/>
      <c r="E237" s="861" t="str">
        <f aca="false">"Currency (USD-1, "&amp;curr2&amp;"-2)"</f>
        <v>Currency (USD-1, Reis-2)</v>
      </c>
      <c r="F237" s="792"/>
      <c r="G237" s="792"/>
      <c r="H237" s="871" t="n">
        <v>1</v>
      </c>
      <c r="J237" s="916" t="s">
        <v>749</v>
      </c>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row>
    <row r="238" customFormat="false" ht="11.25" hidden="false" customHeight="false" outlineLevel="0" collapsed="false">
      <c r="A238" s="901"/>
      <c r="B238" s="806"/>
      <c r="E238" s="861" t="s">
        <v>718</v>
      </c>
      <c r="F238" s="792"/>
      <c r="G238" s="792"/>
      <c r="H238" s="871" t="n">
        <v>2</v>
      </c>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row>
    <row r="239" customFormat="false" ht="11.25" hidden="false" customHeight="false" outlineLevel="0" collapsed="false">
      <c r="A239" s="901"/>
      <c r="C239" s="856" t="s">
        <v>735</v>
      </c>
      <c r="D239" s="792"/>
      <c r="I239" s="924" t="n">
        <f aca="false">$H$236*CHOOSE($H$237,1,I138)*CHOOSE($H$238,1,I129)*IF(C442&gt;0,C442,1)</f>
        <v>8742.66169147541</v>
      </c>
      <c r="J239" s="924" t="n">
        <f aca="false">$H$236*CHOOSE($H$237,1,J138)*CHOOSE($H$238,1,J129)</f>
        <v>17835.0298506098</v>
      </c>
      <c r="K239" s="924" t="n">
        <f aca="false">$H$236*CHOOSE($H$237,1,K138)*CHOOSE($H$238,1,K129)</f>
        <v>18191.730447622</v>
      </c>
      <c r="L239" s="924" t="n">
        <f aca="false">$H$236*CHOOSE($H$237,1,L138)*CHOOSE($H$238,1,L129)</f>
        <v>18555.5650565745</v>
      </c>
      <c r="M239" s="924" t="n">
        <f aca="false">$H$236*CHOOSE($H$237,1,M138)*CHOOSE($H$238,1,M129)</f>
        <v>18926.676357706</v>
      </c>
      <c r="N239" s="924" t="n">
        <f aca="false">$H$236*CHOOSE($H$237,1,N138)*CHOOSE($H$238,1,N129)</f>
        <v>19305.2098848601</v>
      </c>
      <c r="O239" s="924" t="n">
        <f aca="false">$H$236*CHOOSE($H$237,1,O138)*CHOOSE($H$238,1,O129)</f>
        <v>19691.3140825573</v>
      </c>
      <c r="P239" s="924" t="n">
        <f aca="false">$H$236*CHOOSE($H$237,1,P138)*CHOOSE($H$238,1,P129)</f>
        <v>20085.1403642084</v>
      </c>
      <c r="Q239" s="924" t="n">
        <f aca="false">$H$236*CHOOSE($H$237,1,Q138)*CHOOSE($H$238,1,Q129)</f>
        <v>20486.8431714926</v>
      </c>
      <c r="R239" s="924" t="n">
        <f aca="false">$H$236*CHOOSE($H$237,1,R138)*CHOOSE($H$238,1,R129)</f>
        <v>20896.5800349225</v>
      </c>
      <c r="S239" s="924" t="n">
        <f aca="false">$H$236*CHOOSE($H$237,1,S138)*CHOOSE($H$238,1,S129)</f>
        <v>21314.5116356209</v>
      </c>
      <c r="T239" s="924" t="n">
        <f aca="false">$H$236*CHOOSE($H$237,1,T138)*CHOOSE($H$238,1,T129)</f>
        <v>21740.8018683333</v>
      </c>
      <c r="U239" s="924" t="n">
        <f aca="false">$H$236*CHOOSE($H$237,1,U138)*CHOOSE($H$238,1,U129)</f>
        <v>22175.6179057</v>
      </c>
      <c r="V239" s="924" t="n">
        <f aca="false">$H$236*CHOOSE($H$237,1,V138)*CHOOSE($H$238,1,V129)</f>
        <v>22619.130263814</v>
      </c>
      <c r="W239" s="924" t="n">
        <f aca="false">$H$236*CHOOSE($H$237,1,W138)*CHOOSE($H$238,1,W129)</f>
        <v>23071.5128690903</v>
      </c>
      <c r="X239" s="924" t="n">
        <f aca="false">$H$236*CHOOSE($H$237,1,X138)*CHOOSE($H$238,1,X129)</f>
        <v>23532.9431264721</v>
      </c>
      <c r="Y239" s="924" t="n">
        <f aca="false">$H$236*CHOOSE($H$237,1,Y138)*CHOOSE($H$238,1,Y129)</f>
        <v>24003.6019890015</v>
      </c>
      <c r="Z239" s="924" t="n">
        <f aca="false">$H$236*CHOOSE($H$237,1,Z138)*CHOOSE($H$238,1,Z129)</f>
        <v>24483.6740287816</v>
      </c>
      <c r="AA239" s="924" t="n">
        <f aca="false">$H$236*CHOOSE($H$237,1,AA138)*CHOOSE($H$238,1,AA129)</f>
        <v>24973.3475093572</v>
      </c>
      <c r="AB239" s="924" t="n">
        <f aca="false">$H$236*CHOOSE($H$237,1,AB138)*CHOOSE($H$238,1,AB129)</f>
        <v>25472.8144595443</v>
      </c>
      <c r="AC239" s="924" t="n">
        <f aca="false">$H$236*CHOOSE($H$237,1,AC138)*CHOOSE($H$238,1,AC129)</f>
        <v>25982.2707487352</v>
      </c>
      <c r="AD239" s="924" t="n">
        <f aca="false">$H$236*CHOOSE($H$237,1,AD138)*CHOOSE($H$238,1,AD129)</f>
        <v>26501.9161637099</v>
      </c>
      <c r="AE239" s="924" t="n">
        <f aca="false">$H$236*CHOOSE($H$237,1,AE138)*CHOOSE($H$238,1,AE129)</f>
        <v>27031.9544869841</v>
      </c>
      <c r="AF239" s="924" t="n">
        <f aca="false">$H$236*CHOOSE($H$237,1,AF138)*CHOOSE($H$238,1,AF129)</f>
        <v>27572.5935767238</v>
      </c>
    </row>
    <row r="240" customFormat="false" ht="11.25" hidden="false" customHeight="false" outlineLevel="0" collapsed="false">
      <c r="A240" s="901"/>
      <c r="B240" s="856" t="s">
        <v>750</v>
      </c>
      <c r="C240" s="792"/>
      <c r="I240" s="913" t="n">
        <f aca="false">+I239</f>
        <v>8742.66169147541</v>
      </c>
      <c r="J240" s="913" t="n">
        <f aca="false">+J239</f>
        <v>17835.0298506098</v>
      </c>
      <c r="K240" s="913" t="n">
        <f aca="false">+K239</f>
        <v>18191.730447622</v>
      </c>
      <c r="L240" s="913" t="n">
        <f aca="false">+L239</f>
        <v>18555.5650565745</v>
      </c>
      <c r="M240" s="913" t="n">
        <f aca="false">+M239</f>
        <v>18926.676357706</v>
      </c>
      <c r="N240" s="913" t="n">
        <f aca="false">+N239</f>
        <v>19305.2098848601</v>
      </c>
      <c r="O240" s="913" t="n">
        <f aca="false">+O239</f>
        <v>19691.3140825573</v>
      </c>
      <c r="P240" s="913" t="n">
        <f aca="false">+P239</f>
        <v>20085.1403642084</v>
      </c>
      <c r="Q240" s="913" t="n">
        <f aca="false">+Q239</f>
        <v>20486.8431714926</v>
      </c>
      <c r="R240" s="913" t="n">
        <f aca="false">+R239</f>
        <v>20896.5800349225</v>
      </c>
      <c r="S240" s="913" t="n">
        <f aca="false">+S239</f>
        <v>21314.5116356209</v>
      </c>
      <c r="T240" s="913" t="n">
        <f aca="false">+T239</f>
        <v>21740.8018683333</v>
      </c>
      <c r="U240" s="913" t="n">
        <f aca="false">+U239</f>
        <v>22175.6179057</v>
      </c>
      <c r="V240" s="913" t="n">
        <f aca="false">+V239</f>
        <v>22619.130263814</v>
      </c>
      <c r="W240" s="913" t="n">
        <f aca="false">+W239</f>
        <v>23071.5128690903</v>
      </c>
      <c r="X240" s="913" t="n">
        <f aca="false">+X239</f>
        <v>23532.9431264721</v>
      </c>
      <c r="Y240" s="913" t="n">
        <f aca="false">+Y239</f>
        <v>24003.6019890015</v>
      </c>
      <c r="Z240" s="913" t="n">
        <f aca="false">+Z239</f>
        <v>24483.6740287816</v>
      </c>
      <c r="AA240" s="913" t="n">
        <f aca="false">+AA239</f>
        <v>24973.3475093572</v>
      </c>
      <c r="AB240" s="913" t="n">
        <f aca="false">+AB239</f>
        <v>25472.8144595443</v>
      </c>
      <c r="AC240" s="913" t="n">
        <f aca="false">+AC239</f>
        <v>25982.2707487352</v>
      </c>
      <c r="AD240" s="913" t="n">
        <f aca="false">+AD239</f>
        <v>26501.9161637099</v>
      </c>
      <c r="AE240" s="913" t="n">
        <f aca="false">+AE239</f>
        <v>27031.9544869841</v>
      </c>
      <c r="AF240" s="913" t="n">
        <f aca="false">+AF239</f>
        <v>27572.5935767238</v>
      </c>
    </row>
    <row r="241" customFormat="false" ht="11.25" hidden="false" customHeight="false" outlineLevel="0" collapsed="false">
      <c r="A241" s="901"/>
      <c r="B241" s="806"/>
      <c r="E241" s="902"/>
      <c r="F241" s="902"/>
      <c r="G241" s="902"/>
      <c r="H241" s="902"/>
      <c r="I241" s="914"/>
      <c r="J241" s="914"/>
      <c r="K241" s="914"/>
      <c r="L241" s="914"/>
      <c r="M241" s="914"/>
      <c r="N241" s="914"/>
      <c r="O241" s="914"/>
      <c r="P241" s="914"/>
      <c r="Q241" s="914"/>
      <c r="R241" s="914"/>
      <c r="S241" s="914"/>
      <c r="T241" s="914"/>
      <c r="U241" s="914"/>
      <c r="V241" s="914"/>
      <c r="W241" s="914"/>
      <c r="X241" s="914"/>
      <c r="Y241" s="914"/>
      <c r="Z241" s="914"/>
      <c r="AA241" s="914"/>
      <c r="AB241" s="914"/>
      <c r="AC241" s="914"/>
      <c r="AD241" s="914"/>
      <c r="AE241" s="914"/>
      <c r="AF241" s="914"/>
    </row>
    <row r="242" customFormat="false" ht="11.25" hidden="false" customHeight="false" outlineLevel="0" collapsed="false">
      <c r="A242" s="901"/>
      <c r="B242" s="895" t="s">
        <v>751</v>
      </c>
      <c r="E242" s="896" t="n">
        <v>0</v>
      </c>
      <c r="F242" s="896" t="n">
        <v>0</v>
      </c>
      <c r="G242" s="896" t="n">
        <v>0</v>
      </c>
      <c r="H242" s="896" t="n">
        <v>0</v>
      </c>
      <c r="I242" s="918" t="n">
        <f aca="false">+I234+I240</f>
        <v>9305.99326906391</v>
      </c>
      <c r="J242" s="918" t="n">
        <f aca="false">+J234+J240</f>
        <v>18862.6779146645</v>
      </c>
      <c r="K242" s="918" t="n">
        <f aca="false">+K234+K240</f>
        <v>19403.4171490143</v>
      </c>
      <c r="L242" s="918" t="n">
        <f aca="false">+L234+L240</f>
        <v>19835.4662415387</v>
      </c>
      <c r="M242" s="918" t="n">
        <f aca="false">+M234+M240</f>
        <v>20204.2320789554</v>
      </c>
      <c r="N242" s="918" t="n">
        <f aca="false">+N234+N240</f>
        <v>20518.5430337169</v>
      </c>
      <c r="O242" s="918" t="n">
        <f aca="false">+O234+O240</f>
        <v>20862.9674337185</v>
      </c>
      <c r="P242" s="918" t="n">
        <f aca="false">+P234+P240</f>
        <v>21462.1040533718</v>
      </c>
      <c r="Q242" s="918" t="n">
        <f aca="false">+Q234+Q240</f>
        <v>21843.6587578208</v>
      </c>
      <c r="R242" s="918" t="n">
        <f aca="false">+R234+R240</f>
        <v>22272.5664122051</v>
      </c>
      <c r="S242" s="918" t="n">
        <f aca="false">+S234+S240</f>
        <v>22717.3566686098</v>
      </c>
      <c r="T242" s="918" t="n">
        <f aca="false">+T234+T240</f>
        <v>23057.759418867</v>
      </c>
      <c r="U242" s="918" t="n">
        <f aca="false">+U234+U240</f>
        <v>23567.4900487882</v>
      </c>
      <c r="V242" s="918" t="n">
        <f aca="false">+V234+V240</f>
        <v>23912.1900633265</v>
      </c>
      <c r="W242" s="918" t="n">
        <f aca="false">+W234+W240</f>
        <v>24346.4846265723</v>
      </c>
      <c r="X242" s="918" t="n">
        <f aca="false">+X234+X240</f>
        <v>24785.7746914709</v>
      </c>
      <c r="Y242" s="918" t="n">
        <f aca="false">+Y234+Y240</f>
        <v>25279.5451114648</v>
      </c>
      <c r="Z242" s="918" t="n">
        <f aca="false">+Z234+Z240</f>
        <v>25725.313614769</v>
      </c>
      <c r="AA242" s="918" t="n">
        <f aca="false">+AA234+AA240</f>
        <v>26202.0343891797</v>
      </c>
      <c r="AB242" s="918" t="n">
        <f aca="false">+AB234+AB240</f>
        <v>26561.9870410172</v>
      </c>
      <c r="AC242" s="918" t="n">
        <f aca="false">+AC234+AC240</f>
        <v>26207.7758743279</v>
      </c>
      <c r="AD242" s="918" t="n">
        <f aca="false">+AD234+AD240</f>
        <v>26501.9161637099</v>
      </c>
      <c r="AE242" s="918" t="n">
        <f aca="false">+AE234+AE240</f>
        <v>27031.9544869841</v>
      </c>
      <c r="AF242" s="918" t="n">
        <f aca="false">+AF234+AF240</f>
        <v>27572.5935767238</v>
      </c>
    </row>
    <row r="243" customFormat="false" ht="11.25" hidden="false" customHeight="false" outlineLevel="0" collapsed="false">
      <c r="D243" s="751"/>
    </row>
    <row r="244" customFormat="false" ht="12" hidden="false" customHeight="false" outlineLevel="0" collapsed="false">
      <c r="A244" s="751"/>
      <c r="C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c r="AA244" s="751"/>
      <c r="AB244" s="751"/>
      <c r="AC244" s="751"/>
      <c r="AD244" s="751"/>
      <c r="AE244" s="751"/>
      <c r="AF244" s="751"/>
    </row>
    <row r="245" customFormat="false" ht="12.75" hidden="false" customHeight="false" outlineLevel="0" collapsed="false">
      <c r="A245" s="772"/>
      <c r="B245" s="772"/>
      <c r="C245" s="772"/>
      <c r="D245" s="772"/>
      <c r="E245" s="772"/>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c r="AC245" s="772"/>
      <c r="AD245" s="772"/>
      <c r="AE245" s="772"/>
      <c r="AF245" s="772"/>
    </row>
    <row r="246" customFormat="false" ht="12.75" hidden="false" customHeight="false" outlineLevel="0" collapsed="false">
      <c r="A246" s="763" t="s">
        <v>752</v>
      </c>
      <c r="I246" s="775" t="n">
        <f aca="false">+I$3</f>
        <v>37986</v>
      </c>
      <c r="J246" s="776" t="n">
        <f aca="false">+J$3</f>
        <v>2004</v>
      </c>
      <c r="K246" s="776" t="n">
        <f aca="false">+K$3</f>
        <v>2005</v>
      </c>
      <c r="L246" s="776" t="n">
        <f aca="false">+L$3</f>
        <v>2006</v>
      </c>
      <c r="M246" s="776" t="n">
        <f aca="false">+M$3</f>
        <v>2007</v>
      </c>
      <c r="N246" s="776" t="n">
        <f aca="false">+N$3</f>
        <v>2008</v>
      </c>
      <c r="O246" s="776" t="n">
        <f aca="false">+O$3</f>
        <v>2009</v>
      </c>
      <c r="P246" s="776" t="n">
        <f aca="false">+P$3</f>
        <v>2010</v>
      </c>
      <c r="Q246" s="776" t="n">
        <f aca="false">+Q$3</f>
        <v>2011</v>
      </c>
      <c r="R246" s="776" t="n">
        <f aca="false">+R$3</f>
        <v>2012</v>
      </c>
      <c r="S246" s="776" t="n">
        <f aca="false">+S$3</f>
        <v>2013</v>
      </c>
      <c r="T246" s="776" t="n">
        <f aca="false">+T$3</f>
        <v>2014</v>
      </c>
      <c r="U246" s="776" t="n">
        <f aca="false">+U$3</f>
        <v>2015</v>
      </c>
      <c r="V246" s="776" t="n">
        <f aca="false">+V$3</f>
        <v>2016</v>
      </c>
      <c r="W246" s="776" t="n">
        <f aca="false">+W$3</f>
        <v>2017</v>
      </c>
      <c r="X246" s="776" t="n">
        <f aca="false">+X$3</f>
        <v>2018</v>
      </c>
      <c r="Y246" s="776" t="n">
        <f aca="false">+Y$3</f>
        <v>2019</v>
      </c>
      <c r="Z246" s="776" t="n">
        <f aca="false">+Z$3</f>
        <v>2020</v>
      </c>
      <c r="AA246" s="776" t="n">
        <f aca="false">+AA$3</f>
        <v>2021</v>
      </c>
      <c r="AB246" s="776" t="n">
        <f aca="false">+AB$3</f>
        <v>2022</v>
      </c>
      <c r="AC246" s="776" t="n">
        <f aca="false">+AC$3</f>
        <v>2023</v>
      </c>
      <c r="AD246" s="776" t="n">
        <f aca="false">+AD$3</f>
        <v>2024</v>
      </c>
      <c r="AE246" s="776" t="n">
        <f aca="false">+AE$3</f>
        <v>2025</v>
      </c>
      <c r="AF246" s="776" t="n">
        <f aca="false">+AF$3</f>
        <v>2026</v>
      </c>
    </row>
    <row r="247" customFormat="false" ht="12" hidden="false" customHeight="false" outlineLevel="0" collapsed="false"/>
    <row r="248" customFormat="false" ht="11.25" hidden="false" customHeight="false" outlineLevel="0" collapsed="false">
      <c r="A248" s="826" t="s">
        <v>630</v>
      </c>
      <c r="C248" s="748" t="str">
        <f aca="false">+A150</f>
        <v>Contract Rev</v>
      </c>
      <c r="D248" s="751"/>
      <c r="E248" s="925"/>
      <c r="F248" s="925"/>
      <c r="G248" s="925"/>
      <c r="H248" s="926"/>
      <c r="I248" s="927" t="e">
        <f aca="false">+I165</f>
        <v>#VALUE!</v>
      </c>
      <c r="J248" s="927" t="e">
        <f aca="false">+J165</f>
        <v>#VALUE!</v>
      </c>
      <c r="K248" s="927" t="e">
        <f aca="false">+K165</f>
        <v>#VALUE!</v>
      </c>
      <c r="L248" s="927" t="e">
        <f aca="false">+L165</f>
        <v>#VALUE!</v>
      </c>
      <c r="M248" s="927" t="e">
        <f aca="false">+M165</f>
        <v>#VALUE!</v>
      </c>
      <c r="N248" s="927" t="e">
        <f aca="false">+N165</f>
        <v>#VALUE!</v>
      </c>
      <c r="O248" s="927" t="e">
        <f aca="false">+O165</f>
        <v>#VALUE!</v>
      </c>
      <c r="P248" s="927" t="e">
        <f aca="false">+P165</f>
        <v>#VALUE!</v>
      </c>
      <c r="Q248" s="927" t="e">
        <f aca="false">+Q165</f>
        <v>#VALUE!</v>
      </c>
      <c r="R248" s="927" t="e">
        <f aca="false">+R165</f>
        <v>#VALUE!</v>
      </c>
      <c r="S248" s="927" t="e">
        <f aca="false">+S165</f>
        <v>#VALUE!</v>
      </c>
      <c r="T248" s="927" t="e">
        <f aca="false">+T165</f>
        <v>#VALUE!</v>
      </c>
      <c r="U248" s="927" t="e">
        <f aca="false">+U165</f>
        <v>#VALUE!</v>
      </c>
      <c r="V248" s="927" t="e">
        <f aca="false">+V165</f>
        <v>#VALUE!</v>
      </c>
      <c r="W248" s="927" t="e">
        <f aca="false">+W165</f>
        <v>#VALUE!</v>
      </c>
      <c r="X248" s="927" t="e">
        <f aca="false">+X165</f>
        <v>#VALUE!</v>
      </c>
      <c r="Y248" s="927" t="e">
        <f aca="false">+Y165</f>
        <v>#VALUE!</v>
      </c>
      <c r="Z248" s="927" t="e">
        <f aca="false">+Z165</f>
        <v>#VALUE!</v>
      </c>
      <c r="AA248" s="927" t="e">
        <f aca="false">+AA165</f>
        <v>#VALUE!</v>
      </c>
      <c r="AB248" s="927" t="e">
        <f aca="false">+AB165</f>
        <v>#VALUE!</v>
      </c>
      <c r="AC248" s="927" t="n">
        <f aca="false">+AC165</f>
        <v>0</v>
      </c>
      <c r="AD248" s="927" t="n">
        <f aca="false">+AD165</f>
        <v>0</v>
      </c>
      <c r="AE248" s="927" t="n">
        <f aca="false">+AE165</f>
        <v>0</v>
      </c>
      <c r="AF248" s="927" t="n">
        <f aca="false">+AF165</f>
        <v>0</v>
      </c>
    </row>
    <row r="249" customFormat="false" ht="11.25" hidden="false" customHeight="false" outlineLevel="0" collapsed="false">
      <c r="C249" s="928" t="str">
        <f aca="false">+A168</f>
        <v>Market Revs</v>
      </c>
      <c r="E249" s="925"/>
      <c r="F249" s="925"/>
      <c r="G249" s="925"/>
      <c r="H249" s="925"/>
      <c r="I249" s="927" t="e">
        <f aca="false">+I183</f>
        <v>#VALUE!</v>
      </c>
      <c r="J249" s="927" t="e">
        <f aca="false">+J183</f>
        <v>#VALUE!</v>
      </c>
      <c r="K249" s="927" t="e">
        <f aca="false">+K183</f>
        <v>#VALUE!</v>
      </c>
      <c r="L249" s="927" t="e">
        <f aca="false">+L183</f>
        <v>#VALUE!</v>
      </c>
      <c r="M249" s="927" t="e">
        <f aca="false">+M183</f>
        <v>#VALUE!</v>
      </c>
      <c r="N249" s="927" t="e">
        <f aca="false">+N183</f>
        <v>#VALUE!</v>
      </c>
      <c r="O249" s="927" t="e">
        <f aca="false">+O183</f>
        <v>#VALUE!</v>
      </c>
      <c r="P249" s="927" t="e">
        <f aca="false">+P183</f>
        <v>#VALUE!</v>
      </c>
      <c r="Q249" s="927" t="e">
        <f aca="false">+Q183</f>
        <v>#VALUE!</v>
      </c>
      <c r="R249" s="927" t="e">
        <f aca="false">+R183</f>
        <v>#VALUE!</v>
      </c>
      <c r="S249" s="927" t="e">
        <f aca="false">+S183</f>
        <v>#VALUE!</v>
      </c>
      <c r="T249" s="927" t="e">
        <f aca="false">+T183</f>
        <v>#VALUE!</v>
      </c>
      <c r="U249" s="927" t="e">
        <f aca="false">+U183</f>
        <v>#VALUE!</v>
      </c>
      <c r="V249" s="927" t="e">
        <f aca="false">+V183</f>
        <v>#VALUE!</v>
      </c>
      <c r="W249" s="927" t="e">
        <f aca="false">+W183</f>
        <v>#VALUE!</v>
      </c>
      <c r="X249" s="927" t="e">
        <f aca="false">+X183</f>
        <v>#VALUE!</v>
      </c>
      <c r="Y249" s="927" t="e">
        <f aca="false">+Y183</f>
        <v>#VALUE!</v>
      </c>
      <c r="Z249" s="927" t="e">
        <f aca="false">+Z183</f>
        <v>#VALUE!</v>
      </c>
      <c r="AA249" s="927" t="e">
        <f aca="false">+AA183</f>
        <v>#VALUE!</v>
      </c>
      <c r="AB249" s="927" t="e">
        <f aca="false">+AB183</f>
        <v>#VALUE!</v>
      </c>
      <c r="AC249" s="927" t="e">
        <f aca="false">+AC183</f>
        <v>#VALUE!</v>
      </c>
      <c r="AD249" s="927" t="n">
        <f aca="false">+AD183</f>
        <v>0</v>
      </c>
      <c r="AE249" s="927" t="n">
        <f aca="false">+AE183</f>
        <v>0</v>
      </c>
      <c r="AF249" s="927" t="n">
        <f aca="false">+AF183</f>
        <v>0</v>
      </c>
    </row>
    <row r="250" customFormat="false" ht="11.25" hidden="false" customHeight="false" outlineLevel="0" collapsed="false">
      <c r="C250" s="928" t="str">
        <f aca="false">+A185</f>
        <v>Option Time Value</v>
      </c>
      <c r="E250" s="925"/>
      <c r="F250" s="925"/>
      <c r="G250" s="925"/>
      <c r="H250" s="925"/>
      <c r="I250" s="929" t="n">
        <f aca="false">+I185</f>
        <v>0</v>
      </c>
      <c r="J250" s="929" t="n">
        <f aca="false">+J185</f>
        <v>0</v>
      </c>
      <c r="K250" s="929" t="n">
        <f aca="false">+K185</f>
        <v>0</v>
      </c>
      <c r="L250" s="929" t="n">
        <f aca="false">+L185</f>
        <v>0</v>
      </c>
      <c r="M250" s="929" t="n">
        <f aca="false">+M185</f>
        <v>0</v>
      </c>
      <c r="N250" s="929" t="n">
        <f aca="false">+N185</f>
        <v>0</v>
      </c>
      <c r="O250" s="929" t="n">
        <f aca="false">+O185</f>
        <v>0</v>
      </c>
      <c r="P250" s="929" t="n">
        <f aca="false">+P185</f>
        <v>0</v>
      </c>
      <c r="Q250" s="929" t="n">
        <f aca="false">+Q185</f>
        <v>0</v>
      </c>
      <c r="R250" s="929" t="n">
        <f aca="false">+R185</f>
        <v>0</v>
      </c>
      <c r="S250" s="929" t="n">
        <f aca="false">+S185</f>
        <v>0</v>
      </c>
      <c r="T250" s="929" t="n">
        <f aca="false">+T185</f>
        <v>0</v>
      </c>
      <c r="U250" s="929" t="n">
        <f aca="false">+U185</f>
        <v>0</v>
      </c>
      <c r="V250" s="929" t="n">
        <f aca="false">+V185</f>
        <v>0</v>
      </c>
      <c r="W250" s="929" t="n">
        <f aca="false">+W185</f>
        <v>0</v>
      </c>
      <c r="X250" s="929" t="n">
        <f aca="false">+X185</f>
        <v>0</v>
      </c>
      <c r="Y250" s="929" t="n">
        <f aca="false">+Y185</f>
        <v>0</v>
      </c>
      <c r="Z250" s="929" t="n">
        <f aca="false">+Z185</f>
        <v>0</v>
      </c>
      <c r="AA250" s="929" t="n">
        <f aca="false">+AA185</f>
        <v>0</v>
      </c>
      <c r="AB250" s="929" t="n">
        <f aca="false">+AB185</f>
        <v>0</v>
      </c>
      <c r="AC250" s="929" t="n">
        <f aca="false">+AC185</f>
        <v>0</v>
      </c>
      <c r="AD250" s="929" t="n">
        <f aca="false">+AD185</f>
        <v>0</v>
      </c>
      <c r="AE250" s="929" t="n">
        <f aca="false">+AE185</f>
        <v>0</v>
      </c>
      <c r="AF250" s="929" t="n">
        <f aca="false">+AF185</f>
        <v>0</v>
      </c>
    </row>
    <row r="251" customFormat="false" ht="11.25" hidden="false" customHeight="false" outlineLevel="0" collapsed="false">
      <c r="C251" s="928" t="str">
        <f aca="false">+A186</f>
        <v>Tolling Option Revenues</v>
      </c>
      <c r="E251" s="925"/>
      <c r="F251" s="925"/>
      <c r="G251" s="925"/>
      <c r="H251" s="925"/>
      <c r="I251" s="930" t="n">
        <f aca="false">+I186</f>
        <v>0</v>
      </c>
      <c r="J251" s="930" t="n">
        <f aca="false">+J186</f>
        <v>0</v>
      </c>
      <c r="K251" s="930" t="n">
        <f aca="false">+K186</f>
        <v>0</v>
      </c>
      <c r="L251" s="930" t="n">
        <f aca="false">+L186</f>
        <v>0</v>
      </c>
      <c r="M251" s="930" t="n">
        <f aca="false">+M186</f>
        <v>0</v>
      </c>
      <c r="N251" s="930" t="n">
        <f aca="false">+N186</f>
        <v>0</v>
      </c>
      <c r="O251" s="930" t="n">
        <f aca="false">+O186</f>
        <v>0</v>
      </c>
      <c r="P251" s="930" t="n">
        <f aca="false">+P186</f>
        <v>0</v>
      </c>
      <c r="Q251" s="930" t="n">
        <f aca="false">+Q186</f>
        <v>0</v>
      </c>
      <c r="R251" s="930" t="n">
        <f aca="false">+R186</f>
        <v>0</v>
      </c>
      <c r="S251" s="930" t="n">
        <f aca="false">+S186</f>
        <v>0</v>
      </c>
      <c r="T251" s="930" t="n">
        <f aca="false">+T186</f>
        <v>0</v>
      </c>
      <c r="U251" s="930" t="n">
        <f aca="false">+U186</f>
        <v>0</v>
      </c>
      <c r="V251" s="930" t="n">
        <f aca="false">+V186</f>
        <v>0</v>
      </c>
      <c r="W251" s="930" t="n">
        <f aca="false">+W186</f>
        <v>0</v>
      </c>
      <c r="X251" s="930" t="n">
        <f aca="false">+X186</f>
        <v>0</v>
      </c>
      <c r="Y251" s="930" t="n">
        <f aca="false">+Y186</f>
        <v>0</v>
      </c>
      <c r="Z251" s="930" t="n">
        <f aca="false">+Z186</f>
        <v>0</v>
      </c>
      <c r="AA251" s="930" t="n">
        <f aca="false">+AA186</f>
        <v>0</v>
      </c>
      <c r="AB251" s="930" t="n">
        <f aca="false">+AB186</f>
        <v>0</v>
      </c>
      <c r="AC251" s="930" t="n">
        <f aca="false">+AC186</f>
        <v>0</v>
      </c>
      <c r="AD251" s="930" t="n">
        <f aca="false">+AD186</f>
        <v>0</v>
      </c>
      <c r="AE251" s="930" t="n">
        <f aca="false">+AE186</f>
        <v>0</v>
      </c>
      <c r="AF251" s="930" t="n">
        <f aca="false">+AF186</f>
        <v>0</v>
      </c>
    </row>
    <row r="252" customFormat="false" ht="11.25" hidden="false" customHeight="false" outlineLevel="0" collapsed="false">
      <c r="C252" s="748" t="s">
        <v>753</v>
      </c>
      <c r="E252" s="918" t="n">
        <f aca="false">+E188</f>
        <v>0</v>
      </c>
      <c r="F252" s="918" t="n">
        <f aca="false">+F188</f>
        <v>0</v>
      </c>
      <c r="G252" s="918" t="n">
        <f aca="false">+G188</f>
        <v>0</v>
      </c>
      <c r="H252" s="918" t="n">
        <f aca="false">+H188</f>
        <v>0</v>
      </c>
      <c r="I252" s="927" t="e">
        <f aca="false">+SUM(I248:I251)</f>
        <v>#VALUE!</v>
      </c>
      <c r="J252" s="927" t="e">
        <f aca="false">+SUM(J248:J251)</f>
        <v>#VALUE!</v>
      </c>
      <c r="K252" s="927" t="e">
        <f aca="false">+SUM(K248:K251)</f>
        <v>#VALUE!</v>
      </c>
      <c r="L252" s="927" t="e">
        <f aca="false">+SUM(L248:L251)</f>
        <v>#VALUE!</v>
      </c>
      <c r="M252" s="927" t="e">
        <f aca="false">+SUM(M248:M251)</f>
        <v>#VALUE!</v>
      </c>
      <c r="N252" s="927" t="e">
        <f aca="false">+SUM(N248:N251)</f>
        <v>#VALUE!</v>
      </c>
      <c r="O252" s="927" t="e">
        <f aca="false">+SUM(O248:O251)</f>
        <v>#VALUE!</v>
      </c>
      <c r="P252" s="927" t="e">
        <f aca="false">+SUM(P248:P251)</f>
        <v>#VALUE!</v>
      </c>
      <c r="Q252" s="927" t="e">
        <f aca="false">+SUM(Q248:Q251)</f>
        <v>#VALUE!</v>
      </c>
      <c r="R252" s="927" t="e">
        <f aca="false">+SUM(R248:R251)</f>
        <v>#VALUE!</v>
      </c>
      <c r="S252" s="927" t="e">
        <f aca="false">+SUM(S248:S251)</f>
        <v>#VALUE!</v>
      </c>
      <c r="T252" s="927" t="e">
        <f aca="false">+SUM(T248:T251)</f>
        <v>#VALUE!</v>
      </c>
      <c r="U252" s="927" t="e">
        <f aca="false">+SUM(U248:U251)</f>
        <v>#VALUE!</v>
      </c>
      <c r="V252" s="927" t="e">
        <f aca="false">+SUM(V248:V251)</f>
        <v>#VALUE!</v>
      </c>
      <c r="W252" s="927" t="e">
        <f aca="false">+SUM(W248:W251)</f>
        <v>#VALUE!</v>
      </c>
      <c r="X252" s="927" t="e">
        <f aca="false">+SUM(X248:X251)</f>
        <v>#VALUE!</v>
      </c>
      <c r="Y252" s="927" t="e">
        <f aca="false">+SUM(Y248:Y251)</f>
        <v>#VALUE!</v>
      </c>
      <c r="Z252" s="927" t="e">
        <f aca="false">+SUM(Z248:Z251)</f>
        <v>#VALUE!</v>
      </c>
      <c r="AA252" s="927" t="e">
        <f aca="false">+SUM(AA248:AA251)</f>
        <v>#VALUE!</v>
      </c>
      <c r="AB252" s="927" t="e">
        <f aca="false">+SUM(AB248:AB251)</f>
        <v>#VALUE!</v>
      </c>
      <c r="AC252" s="927" t="e">
        <f aca="false">+SUM(AC248:AC251)</f>
        <v>#VALUE!</v>
      </c>
      <c r="AD252" s="927" t="n">
        <f aca="false">+SUM(AD248:AD251)</f>
        <v>0</v>
      </c>
      <c r="AE252" s="927" t="n">
        <f aca="false">+SUM(AE248:AE251)</f>
        <v>0</v>
      </c>
      <c r="AF252" s="927" t="n">
        <f aca="false">+SUM(AF248:AF251)</f>
        <v>0</v>
      </c>
    </row>
    <row r="253" customFormat="false" ht="11.25" hidden="false" customHeight="false" outlineLevel="0" collapsed="false">
      <c r="A253" s="763" t="s">
        <v>754</v>
      </c>
      <c r="E253" s="925"/>
      <c r="F253" s="925"/>
      <c r="G253" s="925"/>
      <c r="H253" s="925"/>
      <c r="I253" s="927"/>
      <c r="J253" s="927"/>
      <c r="K253" s="927"/>
      <c r="L253" s="927"/>
      <c r="M253" s="927"/>
      <c r="N253" s="927"/>
      <c r="O253" s="927"/>
      <c r="P253" s="927"/>
      <c r="Q253" s="927"/>
      <c r="R253" s="927"/>
      <c r="S253" s="927"/>
      <c r="T253" s="927"/>
      <c r="U253" s="927"/>
      <c r="V253" s="927"/>
      <c r="W253" s="927"/>
      <c r="X253" s="927"/>
      <c r="Y253" s="927"/>
      <c r="Z253" s="927"/>
      <c r="AA253" s="927"/>
      <c r="AB253" s="927"/>
      <c r="AC253" s="927"/>
      <c r="AD253" s="927"/>
      <c r="AE253" s="927"/>
      <c r="AF253" s="927"/>
    </row>
    <row r="254" customFormat="false" ht="11.25" hidden="false" customHeight="false" outlineLevel="0" collapsed="false">
      <c r="C254" s="748" t="s">
        <v>755</v>
      </c>
      <c r="E254" s="925"/>
      <c r="F254" s="925"/>
      <c r="G254" s="925"/>
      <c r="H254" s="925"/>
      <c r="I254" s="929" t="e">
        <f aca="false">+I225</f>
        <v>#VALUE!</v>
      </c>
      <c r="J254" s="929" t="e">
        <f aca="false">+J225</f>
        <v>#VALUE!</v>
      </c>
      <c r="K254" s="929" t="e">
        <f aca="false">+K225</f>
        <v>#VALUE!</v>
      </c>
      <c r="L254" s="929" t="e">
        <f aca="false">+L225</f>
        <v>#VALUE!</v>
      </c>
      <c r="M254" s="929" t="e">
        <f aca="false">+M225</f>
        <v>#VALUE!</v>
      </c>
      <c r="N254" s="929" t="e">
        <f aca="false">+N225</f>
        <v>#VALUE!</v>
      </c>
      <c r="O254" s="929" t="e">
        <f aca="false">+O225</f>
        <v>#VALUE!</v>
      </c>
      <c r="P254" s="929" t="e">
        <f aca="false">+P225</f>
        <v>#VALUE!</v>
      </c>
      <c r="Q254" s="929" t="e">
        <f aca="false">+Q225</f>
        <v>#VALUE!</v>
      </c>
      <c r="R254" s="929" t="e">
        <f aca="false">+R225</f>
        <v>#VALUE!</v>
      </c>
      <c r="S254" s="929" t="e">
        <f aca="false">+S225</f>
        <v>#VALUE!</v>
      </c>
      <c r="T254" s="929" t="e">
        <f aca="false">+T225</f>
        <v>#VALUE!</v>
      </c>
      <c r="U254" s="929" t="e">
        <f aca="false">+U225</f>
        <v>#VALUE!</v>
      </c>
      <c r="V254" s="929" t="e">
        <f aca="false">+V225</f>
        <v>#VALUE!</v>
      </c>
      <c r="W254" s="929" t="e">
        <f aca="false">+W225</f>
        <v>#VALUE!</v>
      </c>
      <c r="X254" s="929" t="e">
        <f aca="false">+X225</f>
        <v>#VALUE!</v>
      </c>
      <c r="Y254" s="929" t="e">
        <f aca="false">+Y225</f>
        <v>#VALUE!</v>
      </c>
      <c r="Z254" s="929" t="e">
        <f aca="false">+Z225</f>
        <v>#VALUE!</v>
      </c>
      <c r="AA254" s="929" t="e">
        <f aca="false">+AA225</f>
        <v>#VALUE!</v>
      </c>
      <c r="AB254" s="929" t="e">
        <f aca="false">+AB225</f>
        <v>#VALUE!</v>
      </c>
      <c r="AC254" s="929" t="e">
        <f aca="false">+AC225</f>
        <v>#VALUE!</v>
      </c>
      <c r="AD254" s="929" t="n">
        <f aca="false">+AD225</f>
        <v>0</v>
      </c>
      <c r="AE254" s="929" t="n">
        <f aca="false">+AE225</f>
        <v>0</v>
      </c>
      <c r="AF254" s="929" t="n">
        <f aca="false">+AF225</f>
        <v>0</v>
      </c>
    </row>
    <row r="255" customFormat="false" ht="11.25" hidden="false" customHeight="false" outlineLevel="0" collapsed="false">
      <c r="C255" s="748" t="s">
        <v>756</v>
      </c>
      <c r="E255" s="881" t="n">
        <v>0</v>
      </c>
      <c r="F255" s="881" t="n">
        <v>0</v>
      </c>
      <c r="G255" s="881" t="n">
        <v>0</v>
      </c>
      <c r="H255" s="881" t="n">
        <v>0</v>
      </c>
      <c r="I255" s="931" t="e">
        <f aca="false">SUM(I254)</f>
        <v>#VALUE!</v>
      </c>
      <c r="J255" s="931" t="e">
        <f aca="false">SUM(J254)</f>
        <v>#VALUE!</v>
      </c>
      <c r="K255" s="931" t="e">
        <f aca="false">SUM(K254)</f>
        <v>#VALUE!</v>
      </c>
      <c r="L255" s="931" t="e">
        <f aca="false">SUM(L254)</f>
        <v>#VALUE!</v>
      </c>
      <c r="M255" s="931" t="e">
        <f aca="false">SUM(M254)</f>
        <v>#VALUE!</v>
      </c>
      <c r="N255" s="931" t="e">
        <f aca="false">SUM(N254)</f>
        <v>#VALUE!</v>
      </c>
      <c r="O255" s="931" t="e">
        <f aca="false">SUM(O254)</f>
        <v>#VALUE!</v>
      </c>
      <c r="P255" s="931" t="e">
        <f aca="false">SUM(P254)</f>
        <v>#VALUE!</v>
      </c>
      <c r="Q255" s="931" t="e">
        <f aca="false">SUM(Q254)</f>
        <v>#VALUE!</v>
      </c>
      <c r="R255" s="931" t="e">
        <f aca="false">SUM(R254)</f>
        <v>#VALUE!</v>
      </c>
      <c r="S255" s="931" t="e">
        <f aca="false">SUM(S254)</f>
        <v>#VALUE!</v>
      </c>
      <c r="T255" s="931" t="e">
        <f aca="false">SUM(T254)</f>
        <v>#VALUE!</v>
      </c>
      <c r="U255" s="931" t="e">
        <f aca="false">SUM(U254)</f>
        <v>#VALUE!</v>
      </c>
      <c r="V255" s="931" t="e">
        <f aca="false">SUM(V254)</f>
        <v>#VALUE!</v>
      </c>
      <c r="W255" s="931" t="e">
        <f aca="false">SUM(W254)</f>
        <v>#VALUE!</v>
      </c>
      <c r="X255" s="931" t="e">
        <f aca="false">SUM(X254)</f>
        <v>#VALUE!</v>
      </c>
      <c r="Y255" s="931" t="e">
        <f aca="false">SUM(Y254)</f>
        <v>#VALUE!</v>
      </c>
      <c r="Z255" s="931" t="e">
        <f aca="false">SUM(Z254)</f>
        <v>#VALUE!</v>
      </c>
      <c r="AA255" s="931" t="e">
        <f aca="false">SUM(AA254)</f>
        <v>#VALUE!</v>
      </c>
      <c r="AB255" s="931" t="e">
        <f aca="false">SUM(AB254)</f>
        <v>#VALUE!</v>
      </c>
      <c r="AC255" s="931" t="e">
        <f aca="false">SUM(AC254)</f>
        <v>#VALUE!</v>
      </c>
      <c r="AD255" s="931" t="n">
        <f aca="false">SUM(AD254)</f>
        <v>0</v>
      </c>
      <c r="AE255" s="931" t="n">
        <f aca="false">SUM(AE254)</f>
        <v>0</v>
      </c>
      <c r="AF255" s="931" t="n">
        <f aca="false">SUM(AF254)</f>
        <v>0</v>
      </c>
    </row>
    <row r="256" customFormat="false" ht="11.25" hidden="false" customHeight="false" outlineLevel="0" collapsed="false">
      <c r="E256" s="925"/>
      <c r="F256" s="925"/>
      <c r="G256" s="925"/>
      <c r="H256" s="925"/>
      <c r="I256" s="929"/>
      <c r="J256" s="929"/>
      <c r="K256" s="929"/>
      <c r="L256" s="929"/>
      <c r="M256" s="929"/>
      <c r="N256" s="929"/>
      <c r="O256" s="929"/>
      <c r="P256" s="929"/>
      <c r="Q256" s="929"/>
      <c r="R256" s="929"/>
      <c r="S256" s="929"/>
      <c r="T256" s="929"/>
      <c r="U256" s="929"/>
      <c r="V256" s="929"/>
      <c r="W256" s="929"/>
      <c r="X256" s="929"/>
      <c r="Y256" s="929"/>
      <c r="Z256" s="929"/>
      <c r="AA256" s="929"/>
      <c r="AB256" s="929"/>
      <c r="AC256" s="929"/>
      <c r="AD256" s="929"/>
      <c r="AE256" s="929"/>
      <c r="AF256" s="929"/>
    </row>
    <row r="257" customFormat="false" ht="11.25" hidden="false" customHeight="false" outlineLevel="0" collapsed="false">
      <c r="C257" s="748" t="s">
        <v>757</v>
      </c>
      <c r="E257" s="925" t="n">
        <f aca="false">+E252-E255</f>
        <v>0</v>
      </c>
      <c r="F257" s="925" t="n">
        <f aca="false">+F252-F255</f>
        <v>0</v>
      </c>
      <c r="G257" s="925" t="n">
        <f aca="false">+G252-G255</f>
        <v>0</v>
      </c>
      <c r="H257" s="925" t="n">
        <f aca="false">+H252-H255</f>
        <v>0</v>
      </c>
      <c r="I257" s="927" t="e">
        <f aca="false">+I252-I255</f>
        <v>#VALUE!</v>
      </c>
      <c r="J257" s="929" t="e">
        <f aca="false">+J252-J255</f>
        <v>#VALUE!</v>
      </c>
      <c r="K257" s="929" t="e">
        <f aca="false">+K252-K255</f>
        <v>#VALUE!</v>
      </c>
      <c r="L257" s="929" t="e">
        <f aca="false">+L252-L255</f>
        <v>#VALUE!</v>
      </c>
      <c r="M257" s="929" t="e">
        <f aca="false">+M252-M255</f>
        <v>#VALUE!</v>
      </c>
      <c r="N257" s="929" t="e">
        <f aca="false">+N252-N255</f>
        <v>#VALUE!</v>
      </c>
      <c r="O257" s="929" t="e">
        <f aca="false">+O252-O255</f>
        <v>#VALUE!</v>
      </c>
      <c r="P257" s="929" t="e">
        <f aca="false">+P252-P255</f>
        <v>#VALUE!</v>
      </c>
      <c r="Q257" s="929" t="e">
        <f aca="false">+Q252-Q255</f>
        <v>#VALUE!</v>
      </c>
      <c r="R257" s="929" t="e">
        <f aca="false">+R252-R255</f>
        <v>#VALUE!</v>
      </c>
      <c r="S257" s="929" t="e">
        <f aca="false">+S252-S255</f>
        <v>#VALUE!</v>
      </c>
      <c r="T257" s="929" t="e">
        <f aca="false">+T252-T255</f>
        <v>#VALUE!</v>
      </c>
      <c r="U257" s="929" t="e">
        <f aca="false">+U252-U255</f>
        <v>#VALUE!</v>
      </c>
      <c r="V257" s="929" t="e">
        <f aca="false">+V252-V255</f>
        <v>#VALUE!</v>
      </c>
      <c r="W257" s="929" t="e">
        <f aca="false">+W252-W255</f>
        <v>#VALUE!</v>
      </c>
      <c r="X257" s="929" t="e">
        <f aca="false">+X252-X255</f>
        <v>#VALUE!</v>
      </c>
      <c r="Y257" s="929" t="e">
        <f aca="false">+Y252-Y255</f>
        <v>#VALUE!</v>
      </c>
      <c r="Z257" s="929" t="e">
        <f aca="false">+Z252-Z255</f>
        <v>#VALUE!</v>
      </c>
      <c r="AA257" s="929" t="e">
        <f aca="false">+AA252-AA255</f>
        <v>#VALUE!</v>
      </c>
      <c r="AB257" s="929" t="e">
        <f aca="false">+AB252-AB255</f>
        <v>#VALUE!</v>
      </c>
      <c r="AC257" s="929" t="e">
        <f aca="false">+AC252-AC255</f>
        <v>#VALUE!</v>
      </c>
      <c r="AD257" s="929" t="n">
        <f aca="false">+AD252-AD255</f>
        <v>0</v>
      </c>
      <c r="AE257" s="929" t="n">
        <f aca="false">+AE252-AE255</f>
        <v>0</v>
      </c>
      <c r="AF257" s="929" t="n">
        <f aca="false">+AF252-AF255</f>
        <v>0</v>
      </c>
    </row>
    <row r="258" customFormat="false" ht="11.25" hidden="false" customHeight="false" outlineLevel="0" collapsed="false">
      <c r="E258" s="925"/>
      <c r="F258" s="925"/>
      <c r="G258" s="925"/>
      <c r="H258" s="925"/>
      <c r="I258" s="929"/>
      <c r="J258" s="929"/>
      <c r="K258" s="929"/>
      <c r="L258" s="929"/>
      <c r="M258" s="929"/>
      <c r="N258" s="929"/>
      <c r="O258" s="929"/>
      <c r="P258" s="929"/>
      <c r="Q258" s="929"/>
      <c r="R258" s="929"/>
      <c r="S258" s="929"/>
      <c r="T258" s="929"/>
      <c r="U258" s="929"/>
      <c r="V258" s="929"/>
      <c r="W258" s="929"/>
      <c r="X258" s="929"/>
      <c r="Y258" s="929"/>
      <c r="Z258" s="929"/>
      <c r="AA258" s="929"/>
      <c r="AB258" s="929"/>
      <c r="AC258" s="929"/>
      <c r="AD258" s="929"/>
      <c r="AE258" s="929"/>
      <c r="AF258" s="929"/>
    </row>
    <row r="259" customFormat="false" ht="11.25" hidden="false" customHeight="false" outlineLevel="0" collapsed="false">
      <c r="A259" s="763" t="s">
        <v>745</v>
      </c>
      <c r="E259" s="926" t="n">
        <f aca="false">+E242</f>
        <v>0</v>
      </c>
      <c r="F259" s="926" t="n">
        <f aca="false">+F242</f>
        <v>0</v>
      </c>
      <c r="G259" s="926" t="n">
        <f aca="false">+G242</f>
        <v>0</v>
      </c>
      <c r="H259" s="926" t="n">
        <f aca="false">+H242</f>
        <v>0</v>
      </c>
      <c r="I259" s="929" t="n">
        <f aca="false">+I242</f>
        <v>9305.99326906391</v>
      </c>
      <c r="J259" s="929" t="n">
        <f aca="false">+J242</f>
        <v>18862.6779146645</v>
      </c>
      <c r="K259" s="929" t="n">
        <f aca="false">+K242</f>
        <v>19403.4171490143</v>
      </c>
      <c r="L259" s="929" t="n">
        <f aca="false">+L242</f>
        <v>19835.4662415387</v>
      </c>
      <c r="M259" s="929" t="n">
        <f aca="false">+M242</f>
        <v>20204.2320789554</v>
      </c>
      <c r="N259" s="929" t="n">
        <f aca="false">+N242</f>
        <v>20518.5430337169</v>
      </c>
      <c r="O259" s="929" t="n">
        <f aca="false">+O242</f>
        <v>20862.9674337185</v>
      </c>
      <c r="P259" s="929" t="n">
        <f aca="false">+P242</f>
        <v>21462.1040533718</v>
      </c>
      <c r="Q259" s="929" t="n">
        <f aca="false">+Q242</f>
        <v>21843.6587578208</v>
      </c>
      <c r="R259" s="929" t="n">
        <f aca="false">+R242</f>
        <v>22272.5664122051</v>
      </c>
      <c r="S259" s="929" t="n">
        <f aca="false">+S242</f>
        <v>22717.3566686098</v>
      </c>
      <c r="T259" s="929" t="n">
        <f aca="false">+T242</f>
        <v>23057.759418867</v>
      </c>
      <c r="U259" s="929" t="n">
        <f aca="false">+U242</f>
        <v>23567.4900487882</v>
      </c>
      <c r="V259" s="929" t="n">
        <f aca="false">+V242</f>
        <v>23912.1900633265</v>
      </c>
      <c r="W259" s="929" t="n">
        <f aca="false">+W242</f>
        <v>24346.4846265723</v>
      </c>
      <c r="X259" s="929" t="n">
        <f aca="false">+X242</f>
        <v>24785.7746914709</v>
      </c>
      <c r="Y259" s="929" t="n">
        <f aca="false">+Y242</f>
        <v>25279.5451114648</v>
      </c>
      <c r="Z259" s="929" t="n">
        <f aca="false">+Z242</f>
        <v>25725.313614769</v>
      </c>
      <c r="AA259" s="929" t="n">
        <f aca="false">+AA242</f>
        <v>26202.0343891797</v>
      </c>
      <c r="AB259" s="929" t="n">
        <f aca="false">+AB242</f>
        <v>26561.9870410172</v>
      </c>
      <c r="AC259" s="929" t="n">
        <f aca="false">+AC242</f>
        <v>26207.7758743279</v>
      </c>
      <c r="AD259" s="929" t="n">
        <f aca="false">+AD242</f>
        <v>26501.9161637099</v>
      </c>
      <c r="AE259" s="929" t="n">
        <f aca="false">+AE242</f>
        <v>27031.9544869841</v>
      </c>
      <c r="AF259" s="929" t="n">
        <f aca="false">+AF242</f>
        <v>27572.5935767238</v>
      </c>
    </row>
    <row r="260" customFormat="false" ht="11.25" hidden="false" customHeight="false" outlineLevel="0" collapsed="false">
      <c r="C260" s="748" t="s">
        <v>758</v>
      </c>
      <c r="E260" s="881" t="n">
        <f aca="false">+E257-E259</f>
        <v>0</v>
      </c>
      <c r="F260" s="881" t="n">
        <f aca="false">+F257-F259</f>
        <v>0</v>
      </c>
      <c r="G260" s="881" t="n">
        <f aca="false">+G257-G259</f>
        <v>0</v>
      </c>
      <c r="H260" s="881" t="n">
        <f aca="false">+H257-H259</f>
        <v>0</v>
      </c>
      <c r="I260" s="881" t="e">
        <f aca="false">+I257-I259</f>
        <v>#VALUE!</v>
      </c>
      <c r="J260" s="881" t="e">
        <f aca="false">+J257-J259</f>
        <v>#VALUE!</v>
      </c>
      <c r="K260" s="881" t="e">
        <f aca="false">+K257-K259</f>
        <v>#VALUE!</v>
      </c>
      <c r="L260" s="881" t="e">
        <f aca="false">+L257-L259</f>
        <v>#VALUE!</v>
      </c>
      <c r="M260" s="881" t="e">
        <f aca="false">+M257-M259</f>
        <v>#VALUE!</v>
      </c>
      <c r="N260" s="881" t="e">
        <f aca="false">+N257-N259</f>
        <v>#VALUE!</v>
      </c>
      <c r="O260" s="881" t="e">
        <f aca="false">+O257-O259</f>
        <v>#VALUE!</v>
      </c>
      <c r="P260" s="881" t="e">
        <f aca="false">+P257-P259</f>
        <v>#VALUE!</v>
      </c>
      <c r="Q260" s="881" t="e">
        <f aca="false">+Q257-Q259</f>
        <v>#VALUE!</v>
      </c>
      <c r="R260" s="881" t="e">
        <f aca="false">+R257-R259</f>
        <v>#VALUE!</v>
      </c>
      <c r="S260" s="881" t="e">
        <f aca="false">+S257-S259</f>
        <v>#VALUE!</v>
      </c>
      <c r="T260" s="881" t="e">
        <f aca="false">+T257-T259</f>
        <v>#VALUE!</v>
      </c>
      <c r="U260" s="881" t="e">
        <f aca="false">+U257-U259</f>
        <v>#VALUE!</v>
      </c>
      <c r="V260" s="881" t="e">
        <f aca="false">+V257-V259</f>
        <v>#VALUE!</v>
      </c>
      <c r="W260" s="881" t="e">
        <f aca="false">+W257-W259</f>
        <v>#VALUE!</v>
      </c>
      <c r="X260" s="881" t="e">
        <f aca="false">+X257-X259</f>
        <v>#VALUE!</v>
      </c>
      <c r="Y260" s="881" t="e">
        <f aca="false">+Y257-Y259</f>
        <v>#VALUE!</v>
      </c>
      <c r="Z260" s="881" t="e">
        <f aca="false">+Z257-Z259</f>
        <v>#VALUE!</v>
      </c>
      <c r="AA260" s="881" t="e">
        <f aca="false">+AA257-AA259</f>
        <v>#VALUE!</v>
      </c>
      <c r="AB260" s="881" t="e">
        <f aca="false">+AB257-AB259</f>
        <v>#VALUE!</v>
      </c>
      <c r="AC260" s="881" t="e">
        <f aca="false">+AC257-AC259</f>
        <v>#VALUE!</v>
      </c>
      <c r="AD260" s="881" t="n">
        <f aca="false">+AD257-AD259</f>
        <v>-26501.9161637099</v>
      </c>
      <c r="AE260" s="881" t="n">
        <f aca="false">+AE257-AE259</f>
        <v>-27031.9544869841</v>
      </c>
      <c r="AF260" s="881" t="n">
        <f aca="false">+AF257-AF259</f>
        <v>-27572.5935767238</v>
      </c>
    </row>
    <row r="261" customFormat="false" ht="11.25" hidden="false" customHeight="false" outlineLevel="0" collapsed="false">
      <c r="I261" s="752"/>
    </row>
    <row r="262" customFormat="false" ht="12" hidden="true" customHeight="false" outlineLevel="1" collapsed="false">
      <c r="A262" s="838"/>
      <c r="B262" s="838"/>
      <c r="C262" s="838"/>
      <c r="D262" s="838"/>
      <c r="E262" s="838"/>
      <c r="F262" s="838"/>
      <c r="G262" s="838"/>
      <c r="H262" s="838"/>
      <c r="I262" s="838"/>
      <c r="J262" s="838"/>
      <c r="K262" s="838"/>
      <c r="L262" s="838"/>
      <c r="M262" s="838"/>
      <c r="N262" s="838"/>
      <c r="O262" s="838"/>
      <c r="P262" s="838"/>
      <c r="Q262" s="838"/>
      <c r="R262" s="838"/>
      <c r="S262" s="838"/>
      <c r="T262" s="838"/>
      <c r="U262" s="838"/>
      <c r="V262" s="838"/>
      <c r="W262" s="838"/>
      <c r="X262" s="838"/>
      <c r="Y262" s="838"/>
      <c r="Z262" s="838"/>
      <c r="AA262" s="838"/>
      <c r="AB262" s="838"/>
      <c r="AC262" s="838"/>
      <c r="AD262" s="838"/>
      <c r="AE262" s="838"/>
      <c r="AF262" s="838"/>
    </row>
    <row r="263" customFormat="false" ht="12" hidden="true" customHeight="false" outlineLevel="1" collapsed="false">
      <c r="F263" s="800"/>
    </row>
    <row r="264" customFormat="false" ht="11.25" hidden="true" customHeight="false" outlineLevel="1" collapsed="false">
      <c r="A264" s="932" t="s">
        <v>759</v>
      </c>
    </row>
    <row r="265" customFormat="false" ht="11.25" hidden="true" customHeight="false" outlineLevel="1" collapsed="false">
      <c r="B265" s="800" t="s">
        <v>760</v>
      </c>
      <c r="E265" s="903" t="n">
        <f aca="false">+E252</f>
        <v>0</v>
      </c>
      <c r="F265" s="903" t="n">
        <f aca="false">+F252</f>
        <v>0</v>
      </c>
      <c r="G265" s="903" t="n">
        <f aca="false">+G252</f>
        <v>0</v>
      </c>
      <c r="H265" s="903" t="n">
        <f aca="false">+H252</f>
        <v>0</v>
      </c>
      <c r="I265" s="903" t="e">
        <f aca="false">+I252</f>
        <v>#VALUE!</v>
      </c>
      <c r="J265" s="903" t="e">
        <f aca="false">+J252</f>
        <v>#VALUE!</v>
      </c>
      <c r="K265" s="903" t="e">
        <f aca="false">+K252</f>
        <v>#VALUE!</v>
      </c>
      <c r="L265" s="903" t="e">
        <f aca="false">+L252</f>
        <v>#VALUE!</v>
      </c>
      <c r="M265" s="903" t="e">
        <f aca="false">+M252</f>
        <v>#VALUE!</v>
      </c>
      <c r="N265" s="903" t="e">
        <f aca="false">+N252</f>
        <v>#VALUE!</v>
      </c>
      <c r="O265" s="903" t="e">
        <f aca="false">+O252</f>
        <v>#VALUE!</v>
      </c>
      <c r="P265" s="903" t="e">
        <f aca="false">+P252</f>
        <v>#VALUE!</v>
      </c>
      <c r="Q265" s="903" t="e">
        <f aca="false">+Q252</f>
        <v>#VALUE!</v>
      </c>
      <c r="R265" s="903" t="e">
        <f aca="false">+R252</f>
        <v>#VALUE!</v>
      </c>
      <c r="S265" s="903" t="e">
        <f aca="false">+S252</f>
        <v>#VALUE!</v>
      </c>
      <c r="T265" s="903" t="e">
        <f aca="false">+T252</f>
        <v>#VALUE!</v>
      </c>
      <c r="U265" s="903" t="e">
        <f aca="false">+U252</f>
        <v>#VALUE!</v>
      </c>
      <c r="V265" s="903" t="e">
        <f aca="false">+V252</f>
        <v>#VALUE!</v>
      </c>
      <c r="W265" s="903" t="e">
        <f aca="false">+W252</f>
        <v>#VALUE!</v>
      </c>
      <c r="X265" s="903" t="e">
        <f aca="false">+X252</f>
        <v>#VALUE!</v>
      </c>
      <c r="Y265" s="903" t="e">
        <f aca="false">+Y252</f>
        <v>#VALUE!</v>
      </c>
      <c r="Z265" s="903" t="e">
        <f aca="false">+Z252</f>
        <v>#VALUE!</v>
      </c>
      <c r="AA265" s="903" t="e">
        <f aca="false">+AA252</f>
        <v>#VALUE!</v>
      </c>
      <c r="AB265" s="903" t="e">
        <f aca="false">+AB252</f>
        <v>#VALUE!</v>
      </c>
      <c r="AC265" s="903" t="e">
        <f aca="false">+AC252</f>
        <v>#VALUE!</v>
      </c>
      <c r="AD265" s="903" t="n">
        <f aca="false">+AD252</f>
        <v>0</v>
      </c>
      <c r="AE265" s="903" t="n">
        <f aca="false">+AE252</f>
        <v>0</v>
      </c>
      <c r="AF265" s="903" t="n">
        <f aca="false">+AF252</f>
        <v>0</v>
      </c>
    </row>
    <row r="266" customFormat="false" ht="11.25" hidden="true" customHeight="false" outlineLevel="1" collapsed="false">
      <c r="B266" s="748" t="s">
        <v>732</v>
      </c>
      <c r="E266" s="903" t="n">
        <f aca="false">+E255</f>
        <v>0</v>
      </c>
      <c r="F266" s="903" t="n">
        <f aca="false">+F255</f>
        <v>0</v>
      </c>
      <c r="G266" s="903" t="n">
        <f aca="false">+G255</f>
        <v>0</v>
      </c>
      <c r="H266" s="903" t="n">
        <f aca="false">+H255</f>
        <v>0</v>
      </c>
      <c r="I266" s="903" t="e">
        <f aca="false">+I255</f>
        <v>#VALUE!</v>
      </c>
      <c r="J266" s="903" t="e">
        <f aca="false">+J255</f>
        <v>#VALUE!</v>
      </c>
      <c r="K266" s="903" t="e">
        <f aca="false">+K255</f>
        <v>#VALUE!</v>
      </c>
      <c r="L266" s="903" t="e">
        <f aca="false">+L255</f>
        <v>#VALUE!</v>
      </c>
      <c r="M266" s="903" t="e">
        <f aca="false">+M255</f>
        <v>#VALUE!</v>
      </c>
      <c r="N266" s="903" t="e">
        <f aca="false">+N255</f>
        <v>#VALUE!</v>
      </c>
      <c r="O266" s="903" t="e">
        <f aca="false">+O255</f>
        <v>#VALUE!</v>
      </c>
      <c r="P266" s="903" t="e">
        <f aca="false">+P255</f>
        <v>#VALUE!</v>
      </c>
      <c r="Q266" s="903" t="e">
        <f aca="false">+Q255</f>
        <v>#VALUE!</v>
      </c>
      <c r="R266" s="903" t="e">
        <f aca="false">+R255</f>
        <v>#VALUE!</v>
      </c>
      <c r="S266" s="903" t="e">
        <f aca="false">+S255</f>
        <v>#VALUE!</v>
      </c>
      <c r="T266" s="903" t="e">
        <f aca="false">+T255</f>
        <v>#VALUE!</v>
      </c>
      <c r="U266" s="903" t="e">
        <f aca="false">+U255</f>
        <v>#VALUE!</v>
      </c>
      <c r="V266" s="903" t="e">
        <f aca="false">+V255</f>
        <v>#VALUE!</v>
      </c>
      <c r="W266" s="903" t="e">
        <f aca="false">+W255</f>
        <v>#VALUE!</v>
      </c>
      <c r="X266" s="903" t="e">
        <f aca="false">+X255</f>
        <v>#VALUE!</v>
      </c>
      <c r="Y266" s="903" t="e">
        <f aca="false">+Y255</f>
        <v>#VALUE!</v>
      </c>
      <c r="Z266" s="903" t="e">
        <f aca="false">+Z255</f>
        <v>#VALUE!</v>
      </c>
      <c r="AA266" s="903" t="e">
        <f aca="false">+AA255</f>
        <v>#VALUE!</v>
      </c>
      <c r="AB266" s="903" t="e">
        <f aca="false">+AB255</f>
        <v>#VALUE!</v>
      </c>
      <c r="AC266" s="903" t="e">
        <f aca="false">+AC255</f>
        <v>#VALUE!</v>
      </c>
      <c r="AD266" s="903" t="n">
        <f aca="false">+AD255</f>
        <v>0</v>
      </c>
      <c r="AE266" s="903" t="n">
        <f aca="false">+AE255</f>
        <v>0</v>
      </c>
      <c r="AF266" s="903" t="n">
        <f aca="false">+AF255</f>
        <v>0</v>
      </c>
    </row>
    <row r="267" customFormat="false" ht="11.25" hidden="true" customHeight="false" outlineLevel="1" collapsed="false">
      <c r="B267" s="800" t="s">
        <v>761</v>
      </c>
      <c r="E267" s="903" t="n">
        <f aca="false">+E259</f>
        <v>0</v>
      </c>
      <c r="F267" s="903" t="n">
        <f aca="false">+F259</f>
        <v>0</v>
      </c>
      <c r="G267" s="903" t="n">
        <f aca="false">+G259</f>
        <v>0</v>
      </c>
      <c r="H267" s="903" t="n">
        <f aca="false">+H259</f>
        <v>0</v>
      </c>
      <c r="I267" s="903" t="n">
        <f aca="false">+I259</f>
        <v>9305.99326906391</v>
      </c>
      <c r="J267" s="903" t="n">
        <f aca="false">+J259</f>
        <v>18862.6779146645</v>
      </c>
      <c r="K267" s="903" t="n">
        <f aca="false">+K259</f>
        <v>19403.4171490143</v>
      </c>
      <c r="L267" s="903" t="n">
        <f aca="false">+L259</f>
        <v>19835.4662415387</v>
      </c>
      <c r="M267" s="903" t="n">
        <f aca="false">+M259</f>
        <v>20204.2320789554</v>
      </c>
      <c r="N267" s="903" t="n">
        <f aca="false">+N259</f>
        <v>20518.5430337169</v>
      </c>
      <c r="O267" s="903" t="n">
        <f aca="false">+O259</f>
        <v>20862.9674337185</v>
      </c>
      <c r="P267" s="903" t="n">
        <f aca="false">+P259</f>
        <v>21462.1040533718</v>
      </c>
      <c r="Q267" s="903" t="n">
        <f aca="false">+Q259</f>
        <v>21843.6587578208</v>
      </c>
      <c r="R267" s="903" t="n">
        <f aca="false">+R259</f>
        <v>22272.5664122051</v>
      </c>
      <c r="S267" s="903" t="n">
        <f aca="false">+S259</f>
        <v>22717.3566686098</v>
      </c>
      <c r="T267" s="903" t="n">
        <f aca="false">+T259</f>
        <v>23057.759418867</v>
      </c>
      <c r="U267" s="903" t="n">
        <f aca="false">+U259</f>
        <v>23567.4900487882</v>
      </c>
      <c r="V267" s="903" t="n">
        <f aca="false">+V259</f>
        <v>23912.1900633265</v>
      </c>
      <c r="W267" s="903" t="n">
        <f aca="false">+W259</f>
        <v>24346.4846265723</v>
      </c>
      <c r="X267" s="903" t="n">
        <f aca="false">+X259</f>
        <v>24785.7746914709</v>
      </c>
      <c r="Y267" s="903" t="n">
        <f aca="false">+Y259</f>
        <v>25279.5451114648</v>
      </c>
      <c r="Z267" s="903" t="n">
        <f aca="false">+Z259</f>
        <v>25725.313614769</v>
      </c>
      <c r="AA267" s="903" t="n">
        <f aca="false">+AA259</f>
        <v>26202.0343891797</v>
      </c>
      <c r="AB267" s="903" t="n">
        <f aca="false">+AB259</f>
        <v>26561.9870410172</v>
      </c>
      <c r="AC267" s="903" t="n">
        <f aca="false">+AC259</f>
        <v>26207.7758743279</v>
      </c>
      <c r="AD267" s="903" t="n">
        <f aca="false">+AD259</f>
        <v>26501.9161637099</v>
      </c>
      <c r="AE267" s="903" t="n">
        <f aca="false">+AE259</f>
        <v>27031.9544869841</v>
      </c>
      <c r="AF267" s="903" t="n">
        <f aca="false">+AF259</f>
        <v>27572.5935767238</v>
      </c>
    </row>
    <row r="268" customFormat="false" ht="11.25" hidden="true" customHeight="false" outlineLevel="1" collapsed="false">
      <c r="B268" s="933" t="s">
        <v>762</v>
      </c>
      <c r="C268" s="854"/>
      <c r="E268" s="903"/>
      <c r="F268" s="903"/>
      <c r="G268" s="903"/>
      <c r="H268" s="903"/>
      <c r="I268" s="903" t="n">
        <f aca="false">+I108</f>
        <v>528200.374360615</v>
      </c>
      <c r="J268" s="903" t="n">
        <f aca="false">+J108</f>
        <v>0</v>
      </c>
      <c r="K268" s="903" t="n">
        <f aca="false">+K108</f>
        <v>0</v>
      </c>
      <c r="L268" s="903" t="n">
        <f aca="false">+L108</f>
        <v>0</v>
      </c>
      <c r="M268" s="903" t="n">
        <f aca="false">+M108</f>
        <v>0</v>
      </c>
      <c r="N268" s="903" t="n">
        <f aca="false">+N108</f>
        <v>0</v>
      </c>
      <c r="O268" s="903" t="n">
        <f aca="false">+O108</f>
        <v>0</v>
      </c>
      <c r="P268" s="903" t="n">
        <f aca="false">+P108</f>
        <v>0</v>
      </c>
      <c r="Q268" s="903" t="n">
        <f aca="false">+Q108</f>
        <v>0</v>
      </c>
      <c r="R268" s="903" t="n">
        <f aca="false">+R108</f>
        <v>0</v>
      </c>
      <c r="S268" s="903" t="n">
        <f aca="false">+S108</f>
        <v>0</v>
      </c>
      <c r="T268" s="903" t="n">
        <f aca="false">+T108</f>
        <v>0</v>
      </c>
      <c r="U268" s="903" t="n">
        <f aca="false">+U108</f>
        <v>0</v>
      </c>
      <c r="V268" s="903" t="n">
        <f aca="false">+V108</f>
        <v>0</v>
      </c>
      <c r="W268" s="903" t="n">
        <f aca="false">+W108</f>
        <v>0</v>
      </c>
      <c r="X268" s="903" t="n">
        <f aca="false">+X108</f>
        <v>0</v>
      </c>
      <c r="Y268" s="903" t="n">
        <f aca="false">+Y108</f>
        <v>0</v>
      </c>
      <c r="Z268" s="903" t="n">
        <f aca="false">+Z108</f>
        <v>0</v>
      </c>
      <c r="AA268" s="903" t="n">
        <f aca="false">+AA108</f>
        <v>0</v>
      </c>
      <c r="AB268" s="903" t="n">
        <f aca="false">+AB108</f>
        <v>0</v>
      </c>
      <c r="AC268" s="903" t="n">
        <f aca="false">+AC108</f>
        <v>0</v>
      </c>
      <c r="AD268" s="903" t="n">
        <f aca="false">+AD108</f>
        <v>0</v>
      </c>
      <c r="AE268" s="903" t="n">
        <f aca="false">+AE108</f>
        <v>0</v>
      </c>
      <c r="AF268" s="903" t="n">
        <f aca="false">+AF108</f>
        <v>0</v>
      </c>
    </row>
    <row r="269" customFormat="false" ht="11.25" hidden="true" customHeight="false" outlineLevel="1" collapsed="false">
      <c r="B269" s="800"/>
      <c r="E269" s="903"/>
      <c r="F269" s="903"/>
      <c r="G269" s="903"/>
      <c r="H269" s="903"/>
      <c r="I269" s="903"/>
      <c r="J269" s="903"/>
      <c r="K269" s="903"/>
      <c r="L269" s="903"/>
      <c r="M269" s="903"/>
      <c r="N269" s="903"/>
      <c r="O269" s="903"/>
      <c r="P269" s="903"/>
      <c r="Q269" s="903"/>
      <c r="R269" s="903"/>
      <c r="S269" s="903"/>
      <c r="T269" s="903"/>
      <c r="U269" s="903"/>
      <c r="V269" s="903"/>
      <c r="W269" s="903"/>
      <c r="X269" s="903"/>
      <c r="Y269" s="903"/>
      <c r="Z269" s="903"/>
      <c r="AA269" s="903"/>
      <c r="AB269" s="903"/>
      <c r="AC269" s="903"/>
      <c r="AD269" s="903"/>
      <c r="AE269" s="903"/>
      <c r="AF269" s="903"/>
    </row>
    <row r="270" customFormat="false" ht="11.25" hidden="true" customHeight="false" outlineLevel="1" collapsed="false">
      <c r="B270" s="800" t="s">
        <v>763</v>
      </c>
      <c r="E270" s="903"/>
      <c r="F270" s="903"/>
      <c r="G270" s="903"/>
      <c r="H270" s="903"/>
      <c r="I270" s="903" t="n">
        <f aca="false">+I107</f>
        <v>0</v>
      </c>
      <c r="J270" s="903" t="n">
        <f aca="false">+J107</f>
        <v>0</v>
      </c>
      <c r="K270" s="903" t="n">
        <f aca="false">+K107</f>
        <v>0</v>
      </c>
      <c r="L270" s="903" t="n">
        <f aca="false">+L107</f>
        <v>0</v>
      </c>
      <c r="M270" s="903" t="n">
        <f aca="false">+M107</f>
        <v>0</v>
      </c>
      <c r="N270" s="903" t="n">
        <f aca="false">+N107</f>
        <v>0</v>
      </c>
      <c r="O270" s="903" t="n">
        <f aca="false">+O107</f>
        <v>0</v>
      </c>
      <c r="P270" s="903" t="n">
        <f aca="false">+P107</f>
        <v>0</v>
      </c>
      <c r="Q270" s="903" t="n">
        <f aca="false">+Q107</f>
        <v>0</v>
      </c>
      <c r="R270" s="903" t="n">
        <f aca="false">+R107</f>
        <v>0</v>
      </c>
      <c r="S270" s="903" t="n">
        <f aca="false">+S107</f>
        <v>0</v>
      </c>
      <c r="T270" s="903" t="n">
        <f aca="false">+T107</f>
        <v>0</v>
      </c>
      <c r="U270" s="903" t="n">
        <f aca="false">+U107</f>
        <v>0</v>
      </c>
      <c r="V270" s="903" t="n">
        <f aca="false">+V107</f>
        <v>0</v>
      </c>
      <c r="W270" s="903" t="n">
        <f aca="false">+W107</f>
        <v>0</v>
      </c>
      <c r="X270" s="903" t="n">
        <f aca="false">+X107</f>
        <v>0</v>
      </c>
      <c r="Y270" s="903" t="n">
        <f aca="false">+Y107</f>
        <v>0</v>
      </c>
      <c r="Z270" s="903" t="n">
        <f aca="false">+Z107</f>
        <v>0</v>
      </c>
      <c r="AA270" s="903" t="n">
        <f aca="false">+AA107</f>
        <v>0</v>
      </c>
      <c r="AB270" s="903" t="n">
        <f aca="false">+AB107</f>
        <v>0</v>
      </c>
      <c r="AC270" s="903" t="n">
        <f aca="false">+AC107</f>
        <v>0</v>
      </c>
      <c r="AD270" s="903" t="n">
        <f aca="false">+AD107</f>
        <v>0</v>
      </c>
      <c r="AE270" s="903" t="n">
        <f aca="false">+AE107</f>
        <v>0</v>
      </c>
      <c r="AF270" s="903" t="n">
        <f aca="false">+AF107</f>
        <v>0</v>
      </c>
    </row>
    <row r="271" customFormat="false" ht="11.25" hidden="true" customHeight="false" outlineLevel="1" collapsed="false">
      <c r="B271" s="828" t="s">
        <v>695</v>
      </c>
      <c r="C271" s="828"/>
      <c r="E271" s="903"/>
      <c r="F271" s="903"/>
      <c r="G271" s="903"/>
      <c r="H271" s="903"/>
      <c r="I271" s="903" t="n">
        <f aca="false">+I106</f>
        <v>48563.258028615</v>
      </c>
      <c r="J271" s="903" t="n">
        <f aca="false">+J106</f>
        <v>0</v>
      </c>
      <c r="K271" s="903" t="n">
        <f aca="false">+K106</f>
        <v>0</v>
      </c>
      <c r="L271" s="903" t="n">
        <f aca="false">+L106</f>
        <v>0</v>
      </c>
      <c r="M271" s="903" t="n">
        <f aca="false">+M106</f>
        <v>0</v>
      </c>
      <c r="N271" s="903" t="n">
        <f aca="false">+N106</f>
        <v>0</v>
      </c>
      <c r="O271" s="903" t="n">
        <f aca="false">+O106</f>
        <v>0</v>
      </c>
      <c r="P271" s="903" t="n">
        <f aca="false">+P106</f>
        <v>0</v>
      </c>
      <c r="Q271" s="903" t="n">
        <f aca="false">+Q106</f>
        <v>0</v>
      </c>
      <c r="R271" s="903" t="n">
        <f aca="false">+R106</f>
        <v>0</v>
      </c>
      <c r="S271" s="903" t="n">
        <f aca="false">+S106</f>
        <v>0</v>
      </c>
      <c r="T271" s="903" t="n">
        <f aca="false">+T106</f>
        <v>0</v>
      </c>
      <c r="U271" s="903" t="n">
        <f aca="false">+U106</f>
        <v>0</v>
      </c>
      <c r="V271" s="903" t="n">
        <f aca="false">+V106</f>
        <v>0</v>
      </c>
      <c r="W271" s="903" t="n">
        <f aca="false">+W106</f>
        <v>0</v>
      </c>
      <c r="X271" s="903" t="n">
        <f aca="false">+X106</f>
        <v>0</v>
      </c>
      <c r="Y271" s="903" t="n">
        <f aca="false">+Y106</f>
        <v>0</v>
      </c>
      <c r="Z271" s="903" t="n">
        <f aca="false">+Z106</f>
        <v>0</v>
      </c>
      <c r="AA271" s="903" t="n">
        <f aca="false">+AA106</f>
        <v>0</v>
      </c>
      <c r="AB271" s="903" t="n">
        <f aca="false">+AB106</f>
        <v>0</v>
      </c>
      <c r="AC271" s="903" t="n">
        <f aca="false">+AC106</f>
        <v>0</v>
      </c>
      <c r="AD271" s="903" t="n">
        <f aca="false">+AD106</f>
        <v>0</v>
      </c>
      <c r="AE271" s="903" t="n">
        <f aca="false">+AE106</f>
        <v>0</v>
      </c>
      <c r="AF271" s="903" t="n">
        <f aca="false">+AF106</f>
        <v>0</v>
      </c>
    </row>
    <row r="272" customFormat="false" ht="11.25" hidden="true" customHeight="false" outlineLevel="1" collapsed="false">
      <c r="B272" s="748" t="s">
        <v>764</v>
      </c>
      <c r="E272" s="903" t="n">
        <f aca="false">+E114</f>
        <v>0</v>
      </c>
      <c r="F272" s="903" t="n">
        <f aca="false">+F114</f>
        <v>0</v>
      </c>
      <c r="G272" s="903" t="n">
        <f aca="false">+G114</f>
        <v>0</v>
      </c>
      <c r="H272" s="903" t="n">
        <f aca="false">+H114</f>
        <v>0</v>
      </c>
      <c r="I272" s="903" t="n">
        <f aca="false">+I114</f>
        <v>11990.9279083</v>
      </c>
      <c r="J272" s="903" t="n">
        <f aca="false">+J114</f>
        <v>23981.8558166</v>
      </c>
      <c r="K272" s="903" t="n">
        <f aca="false">+K114</f>
        <v>23981.8558166</v>
      </c>
      <c r="L272" s="903" t="n">
        <f aca="false">+L114</f>
        <v>23981.8558166</v>
      </c>
      <c r="M272" s="903" t="n">
        <f aca="false">+M114</f>
        <v>23981.8558166</v>
      </c>
      <c r="N272" s="903" t="n">
        <f aca="false">+N114</f>
        <v>23981.8558166</v>
      </c>
      <c r="O272" s="903" t="n">
        <f aca="false">+O114</f>
        <v>23981.8558166</v>
      </c>
      <c r="P272" s="903" t="n">
        <f aca="false">+P114</f>
        <v>23981.8558166</v>
      </c>
      <c r="Q272" s="903" t="n">
        <f aca="false">+Q114</f>
        <v>23981.8558166</v>
      </c>
      <c r="R272" s="903" t="n">
        <f aca="false">+R114</f>
        <v>23981.8558166</v>
      </c>
      <c r="S272" s="903" t="n">
        <f aca="false">+S114</f>
        <v>23981.8558166</v>
      </c>
      <c r="T272" s="903" t="n">
        <f aca="false">+T114</f>
        <v>23981.8558166</v>
      </c>
      <c r="U272" s="903" t="n">
        <f aca="false">+U114</f>
        <v>23981.8558166</v>
      </c>
      <c r="V272" s="903" t="n">
        <f aca="false">+V114</f>
        <v>23981.8558166</v>
      </c>
      <c r="W272" s="903" t="n">
        <f aca="false">+W114</f>
        <v>23981.8558166</v>
      </c>
      <c r="X272" s="903" t="n">
        <f aca="false">+X114</f>
        <v>23981.8558166</v>
      </c>
      <c r="Y272" s="903" t="n">
        <f aca="false">+Y114</f>
        <v>23981.8558166</v>
      </c>
      <c r="Z272" s="903" t="n">
        <f aca="false">+Z114</f>
        <v>23981.8558166</v>
      </c>
      <c r="AA272" s="903" t="n">
        <f aca="false">+AA114</f>
        <v>23981.8558166</v>
      </c>
      <c r="AB272" s="903" t="n">
        <f aca="false">+AB114</f>
        <v>23981.8558166</v>
      </c>
      <c r="AC272" s="903" t="n">
        <f aca="false">+AC114</f>
        <v>11990.9279083</v>
      </c>
      <c r="AD272" s="903" t="n">
        <f aca="false">+AD114</f>
        <v>0</v>
      </c>
      <c r="AE272" s="903" t="n">
        <f aca="false">+AE114</f>
        <v>0</v>
      </c>
      <c r="AF272" s="903" t="n">
        <f aca="false">+AF114</f>
        <v>0</v>
      </c>
    </row>
    <row r="273" customFormat="false" ht="11.25" hidden="true" customHeight="false" outlineLevel="1" collapsed="false">
      <c r="B273" s="748" t="s">
        <v>765</v>
      </c>
      <c r="E273" s="903" t="n">
        <f aca="false">+E120</f>
        <v>0</v>
      </c>
      <c r="F273" s="903" t="n">
        <f aca="false">+F120</f>
        <v>0</v>
      </c>
      <c r="G273" s="903" t="n">
        <f aca="false">+G120</f>
        <v>0</v>
      </c>
      <c r="H273" s="903" t="n">
        <f aca="false">+H120</f>
        <v>0</v>
      </c>
      <c r="I273" s="903" t="n">
        <f aca="false">+I120</f>
        <v>17986.39186245</v>
      </c>
      <c r="J273" s="903" t="n">
        <f aca="false">+J120</f>
        <v>34625.0034280071</v>
      </c>
      <c r="K273" s="903" t="n">
        <f aca="false">+K120</f>
        <v>32025.3702574876</v>
      </c>
      <c r="L273" s="903" t="n">
        <f aca="false">+L120</f>
        <v>29627.1846758276</v>
      </c>
      <c r="M273" s="903" t="n">
        <f aca="false">+M120</f>
        <v>27401.6684560471</v>
      </c>
      <c r="N273" s="903" t="n">
        <f aca="false">+N120</f>
        <v>25348.8215981462</v>
      </c>
      <c r="O273" s="903" t="n">
        <f aca="false">+O120</f>
        <v>23444.6622463081</v>
      </c>
      <c r="P273" s="903" t="n">
        <f aca="false">+P120</f>
        <v>21689.190400533</v>
      </c>
      <c r="Q273" s="903" t="n">
        <f aca="false">+Q120</f>
        <v>21401.4081307338</v>
      </c>
      <c r="R273" s="903" t="n">
        <f aca="false">+R120</f>
        <v>21396.6117595705</v>
      </c>
      <c r="S273" s="903" t="n">
        <f aca="false">+S120</f>
        <v>21401.4081307338</v>
      </c>
      <c r="T273" s="903" t="n">
        <f aca="false">+T120</f>
        <v>21396.6117595705</v>
      </c>
      <c r="U273" s="903" t="n">
        <f aca="false">+U120</f>
        <v>21401.4081307338</v>
      </c>
      <c r="V273" s="903" t="n">
        <f aca="false">+V120</f>
        <v>21396.6117595705</v>
      </c>
      <c r="W273" s="903" t="n">
        <f aca="false">+W120</f>
        <v>21401.4081307338</v>
      </c>
      <c r="X273" s="903" t="n">
        <f aca="false">+X120</f>
        <v>21396.6117595705</v>
      </c>
      <c r="Y273" s="903" t="n">
        <f aca="false">+Y120</f>
        <v>21401.4081307338</v>
      </c>
      <c r="Z273" s="903" t="n">
        <f aca="false">+Z120</f>
        <v>21396.6117595705</v>
      </c>
      <c r="AA273" s="903" t="n">
        <f aca="false">+AA120</f>
        <v>21401.4081307338</v>
      </c>
      <c r="AB273" s="903" t="n">
        <f aca="false">+AB120</f>
        <v>21396.6117595705</v>
      </c>
      <c r="AC273" s="903" t="n">
        <f aca="false">+AC120</f>
        <v>10700.7040653669</v>
      </c>
      <c r="AD273" s="903" t="n">
        <f aca="false">+AD120</f>
        <v>0</v>
      </c>
      <c r="AE273" s="903" t="n">
        <f aca="false">+AE120</f>
        <v>0</v>
      </c>
      <c r="AF273" s="903" t="n">
        <f aca="false">+AF120</f>
        <v>0</v>
      </c>
    </row>
    <row r="274" customFormat="false" ht="11.25" hidden="true" customHeight="false" outlineLevel="1" collapsed="false">
      <c r="B274" s="934" t="s">
        <v>766</v>
      </c>
      <c r="E274" s="903" t="n">
        <f aca="false">+E115</f>
        <v>0</v>
      </c>
      <c r="F274" s="903" t="n">
        <f aca="false">+F115</f>
        <v>0</v>
      </c>
      <c r="G274" s="903" t="n">
        <f aca="false">+G115</f>
        <v>0</v>
      </c>
      <c r="H274" s="903" t="n">
        <f aca="false">+H115</f>
        <v>0</v>
      </c>
      <c r="I274" s="903" t="n">
        <f aca="false">+I115</f>
        <v>3468.80414490107</v>
      </c>
      <c r="J274" s="903" t="n">
        <f aca="false">+J115</f>
        <v>6937.60828980214</v>
      </c>
      <c r="K274" s="903" t="n">
        <f aca="false">+K115</f>
        <v>6937.60828980214</v>
      </c>
      <c r="L274" s="903" t="n">
        <f aca="false">+L115</f>
        <v>6937.60828980214</v>
      </c>
      <c r="M274" s="903" t="n">
        <f aca="false">+M115</f>
        <v>6937.60828980214</v>
      </c>
      <c r="N274" s="903" t="n">
        <f aca="false">+N115</f>
        <v>6937.60828980214</v>
      </c>
      <c r="O274" s="903" t="n">
        <f aca="false">+O115</f>
        <v>6937.60828980214</v>
      </c>
      <c r="P274" s="903" t="n">
        <f aca="false">+P115</f>
        <v>3468.80414490107</v>
      </c>
      <c r="Q274" s="903" t="n">
        <f aca="false">+Q115</f>
        <v>0</v>
      </c>
      <c r="R274" s="903" t="n">
        <f aca="false">+R115</f>
        <v>0</v>
      </c>
      <c r="S274" s="903" t="n">
        <f aca="false">+S115</f>
        <v>0</v>
      </c>
      <c r="T274" s="903" t="n">
        <f aca="false">+T115</f>
        <v>0</v>
      </c>
      <c r="U274" s="903" t="n">
        <f aca="false">+U115</f>
        <v>0</v>
      </c>
      <c r="V274" s="903" t="n">
        <f aca="false">+V115</f>
        <v>0</v>
      </c>
      <c r="W274" s="903" t="n">
        <f aca="false">+W115</f>
        <v>0</v>
      </c>
      <c r="X274" s="903" t="n">
        <f aca="false">+X115</f>
        <v>0</v>
      </c>
      <c r="Y274" s="903" t="n">
        <f aca="false">+Y115</f>
        <v>0</v>
      </c>
      <c r="Z274" s="903" t="n">
        <f aca="false">+Z115</f>
        <v>0</v>
      </c>
      <c r="AA274" s="903" t="n">
        <f aca="false">+AA115</f>
        <v>0</v>
      </c>
      <c r="AB274" s="903" t="n">
        <f aca="false">+AB115</f>
        <v>0</v>
      </c>
      <c r="AC274" s="903" t="n">
        <f aca="false">+AC115</f>
        <v>0</v>
      </c>
      <c r="AD274" s="903" t="n">
        <f aca="false">+AD115</f>
        <v>0</v>
      </c>
      <c r="AE274" s="903" t="n">
        <f aca="false">+AE115</f>
        <v>0</v>
      </c>
      <c r="AF274" s="903" t="n">
        <f aca="false">+AF115</f>
        <v>0</v>
      </c>
    </row>
    <row r="275" customFormat="false" ht="11.25" hidden="true" customHeight="false" outlineLevel="1" collapsed="false">
      <c r="B275" s="800" t="s">
        <v>767</v>
      </c>
      <c r="E275" s="903"/>
      <c r="F275" s="903"/>
      <c r="G275" s="903"/>
      <c r="H275" s="903"/>
      <c r="I275" s="903"/>
      <c r="J275" s="903"/>
      <c r="K275" s="903"/>
      <c r="L275" s="903"/>
      <c r="M275" s="903"/>
      <c r="N275" s="903"/>
      <c r="O275" s="903"/>
      <c r="P275" s="903"/>
      <c r="Q275" s="903"/>
      <c r="R275" s="903"/>
      <c r="S275" s="903"/>
      <c r="T275" s="903"/>
      <c r="U275" s="903"/>
      <c r="V275" s="903"/>
      <c r="W275" s="903"/>
      <c r="X275" s="903"/>
      <c r="Y275" s="903"/>
      <c r="Z275" s="903"/>
      <c r="AA275" s="903"/>
      <c r="AB275" s="903"/>
      <c r="AC275" s="903"/>
      <c r="AD275" s="903"/>
      <c r="AE275" s="903"/>
      <c r="AF275" s="903"/>
    </row>
    <row r="276" customFormat="false" ht="11.25" hidden="true" customHeight="false" outlineLevel="1" collapsed="false"/>
    <row r="277" customFormat="false" ht="11.25" hidden="true" customHeight="false" outlineLevel="1" collapsed="false">
      <c r="A277" s="932" t="s">
        <v>768</v>
      </c>
      <c r="H277" s="935"/>
    </row>
    <row r="278" customFormat="false" ht="11.25" hidden="true" customHeight="false" outlineLevel="1" collapsed="false">
      <c r="E278" s="748" t="s">
        <v>769</v>
      </c>
      <c r="H278" s="935" t="n">
        <f aca="false">+Template!H740</f>
        <v>0.5</v>
      </c>
    </row>
    <row r="279" customFormat="false" ht="11.25" hidden="true" customHeight="false" outlineLevel="1" collapsed="false">
      <c r="E279" s="748" t="s">
        <v>770</v>
      </c>
      <c r="G279" s="936"/>
      <c r="H279" s="903" t="n">
        <f aca="false">+Template!H741</f>
        <v>1000</v>
      </c>
    </row>
    <row r="281" customFormat="false" ht="11.25" hidden="false" customHeight="false" outlineLevel="0" collapsed="false">
      <c r="A281" s="937" t="s">
        <v>479</v>
      </c>
      <c r="B281" s="751"/>
      <c r="C281" s="938"/>
      <c r="D281" s="751"/>
      <c r="E281" s="751"/>
      <c r="F281" s="751"/>
      <c r="G281" s="751"/>
      <c r="H281" s="751"/>
      <c r="I281" s="346"/>
      <c r="J281" s="751"/>
      <c r="K281" s="751"/>
      <c r="L281" s="939"/>
      <c r="M281" s="751"/>
      <c r="N281" s="751"/>
      <c r="O281" s="751"/>
      <c r="P281" s="940"/>
      <c r="Q281" s="940"/>
      <c r="R281" s="940"/>
      <c r="S281" s="941" t="n">
        <f aca="true">NOW()</f>
        <v>45926.8867435685</v>
      </c>
      <c r="T281" s="751"/>
      <c r="U281" s="751"/>
      <c r="V281" s="751"/>
      <c r="W281" s="751"/>
      <c r="X281" s="751"/>
      <c r="Y281" s="751"/>
      <c r="Z281" s="751"/>
      <c r="AA281" s="751"/>
      <c r="AB281" s="751"/>
      <c r="AC281" s="751"/>
      <c r="AD281" s="751"/>
      <c r="AE281" s="751"/>
      <c r="AF281" s="751"/>
      <c r="AG281" s="751"/>
    </row>
    <row r="282" customFormat="false" ht="12" hidden="false" customHeight="false" outlineLevel="0" collapsed="false">
      <c r="A282" s="841" t="s">
        <v>771</v>
      </c>
      <c r="B282" s="346"/>
      <c r="C282" s="942" t="s">
        <v>772</v>
      </c>
      <c r="D282" s="943"/>
      <c r="E282" s="944" t="s">
        <v>773</v>
      </c>
      <c r="F282" s="945" t="s">
        <v>774</v>
      </c>
      <c r="G282" s="934" t="s">
        <v>639</v>
      </c>
      <c r="H282" s="945"/>
      <c r="I282" s="751"/>
      <c r="J282" s="751"/>
      <c r="K282" s="751"/>
      <c r="L282" s="939"/>
      <c r="M282" s="751"/>
      <c r="N282" s="751"/>
      <c r="O282" s="751"/>
      <c r="P282" s="751"/>
      <c r="Q282" s="751"/>
      <c r="R282" s="751"/>
      <c r="S282" s="940" t="n">
        <f aca="true">NOW()</f>
        <v>45926.8867435686</v>
      </c>
      <c r="T282" s="751"/>
      <c r="U282" s="751"/>
      <c r="V282" s="751"/>
      <c r="W282" s="751"/>
      <c r="X282" s="751"/>
      <c r="Y282" s="751"/>
      <c r="Z282" s="751"/>
      <c r="AA282" s="751"/>
      <c r="AB282" s="751"/>
      <c r="AC282" s="751"/>
      <c r="AD282" s="751"/>
      <c r="AE282" s="751"/>
      <c r="AF282" s="751"/>
      <c r="AG282" s="751"/>
    </row>
    <row r="283" customFormat="false" ht="12.75" hidden="false" customHeight="false" outlineLevel="0" collapsed="false">
      <c r="A283" s="346"/>
      <c r="B283" s="751"/>
      <c r="C283" s="751"/>
      <c r="D283" s="751"/>
      <c r="E283" s="946" t="n">
        <f aca="false">+E$599</f>
        <v>36891</v>
      </c>
      <c r="F283" s="946" t="n">
        <f aca="false">+F$599</f>
        <v>37256</v>
      </c>
      <c r="G283" s="946" t="n">
        <f aca="false">+G$599</f>
        <v>37621</v>
      </c>
      <c r="H283" s="775" t="n">
        <f aca="false">+H$599</f>
        <v>37802</v>
      </c>
      <c r="I283" s="775" t="n">
        <f aca="false">+I$599</f>
        <v>37986</v>
      </c>
      <c r="J283" s="946" t="n">
        <f aca="false">+J$599</f>
        <v>38352</v>
      </c>
      <c r="K283" s="946" t="n">
        <f aca="false">+K$599</f>
        <v>38717</v>
      </c>
      <c r="L283" s="946" t="n">
        <f aca="false">+L$599</f>
        <v>39082</v>
      </c>
      <c r="M283" s="946" t="n">
        <f aca="false">+M$599</f>
        <v>39447</v>
      </c>
      <c r="N283" s="946" t="n">
        <f aca="false">+N$599</f>
        <v>39813</v>
      </c>
      <c r="O283" s="946" t="n">
        <f aca="false">+O$599</f>
        <v>40178</v>
      </c>
      <c r="P283" s="946" t="n">
        <f aca="false">+P$599</f>
        <v>40543</v>
      </c>
      <c r="Q283" s="946" t="n">
        <f aca="false">+Q$599</f>
        <v>40908</v>
      </c>
      <c r="R283" s="946" t="n">
        <f aca="false">+R$599</f>
        <v>41274</v>
      </c>
      <c r="S283" s="946" t="n">
        <f aca="false">+S$599</f>
        <v>41639</v>
      </c>
      <c r="T283" s="946" t="n">
        <f aca="false">+T$599</f>
        <v>42004</v>
      </c>
      <c r="U283" s="946" t="n">
        <f aca="false">+U$599</f>
        <v>42369</v>
      </c>
      <c r="V283" s="946" t="n">
        <f aca="false">+V$599</f>
        <v>42735</v>
      </c>
      <c r="W283" s="946" t="n">
        <f aca="false">+W$599</f>
        <v>43100</v>
      </c>
      <c r="X283" s="946" t="n">
        <f aca="false">+X$599</f>
        <v>43465</v>
      </c>
      <c r="Y283" s="946" t="n">
        <f aca="false">+Y$599</f>
        <v>43830</v>
      </c>
      <c r="Z283" s="946" t="n">
        <f aca="false">+Z$599</f>
        <v>44196</v>
      </c>
      <c r="AA283" s="946" t="n">
        <f aca="false">+AA$599</f>
        <v>44561</v>
      </c>
      <c r="AB283" s="946" t="n">
        <f aca="false">+AB$599</f>
        <v>44926</v>
      </c>
      <c r="AC283" s="946" t="n">
        <f aca="false">+AC$599</f>
        <v>45291</v>
      </c>
      <c r="AD283" s="946" t="n">
        <f aca="false">+AD$599</f>
        <v>45657</v>
      </c>
      <c r="AE283" s="946" t="n">
        <f aca="false">+AE$599</f>
        <v>46022</v>
      </c>
      <c r="AF283" s="946" t="n">
        <f aca="false">+AF$599</f>
        <v>46387</v>
      </c>
      <c r="AG283" s="751"/>
    </row>
    <row r="284" customFormat="false" ht="12" hidden="false" customHeight="false" outlineLevel="0" collapsed="false">
      <c r="A284" s="841" t="s">
        <v>775</v>
      </c>
      <c r="B284" s="751"/>
      <c r="C284" s="751"/>
      <c r="D284" s="947"/>
      <c r="E284" s="948"/>
      <c r="F284" s="346"/>
      <c r="G284" s="346"/>
      <c r="H284" s="505"/>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751"/>
    </row>
    <row r="285" customFormat="false" ht="11.25" hidden="false" customHeight="false" outlineLevel="0" collapsed="false">
      <c r="A285" s="934" t="s">
        <v>630</v>
      </c>
      <c r="B285" s="751"/>
      <c r="C285" s="949"/>
      <c r="D285" s="950"/>
      <c r="E285" s="950" t="n">
        <f aca="false">E726</f>
        <v>0</v>
      </c>
      <c r="F285" s="950" t="n">
        <f aca="false">F726</f>
        <v>0</v>
      </c>
      <c r="G285" s="950" t="n">
        <f aca="false">G726</f>
        <v>0</v>
      </c>
      <c r="H285" s="951" t="n">
        <f aca="false">H726</f>
        <v>0</v>
      </c>
      <c r="I285" s="948" t="e">
        <f aca="false">I726</f>
        <v>#VALUE!</v>
      </c>
      <c r="J285" s="950" t="e">
        <f aca="false">J726</f>
        <v>#VALUE!</v>
      </c>
      <c r="K285" s="950" t="e">
        <f aca="false">K726</f>
        <v>#VALUE!</v>
      </c>
      <c r="L285" s="950" t="e">
        <f aca="false">L726</f>
        <v>#VALUE!</v>
      </c>
      <c r="M285" s="950" t="e">
        <f aca="false">M726</f>
        <v>#VALUE!</v>
      </c>
      <c r="N285" s="950" t="e">
        <f aca="false">N726</f>
        <v>#VALUE!</v>
      </c>
      <c r="O285" s="950" t="e">
        <f aca="false">O726</f>
        <v>#VALUE!</v>
      </c>
      <c r="P285" s="950" t="e">
        <f aca="false">P726</f>
        <v>#VALUE!</v>
      </c>
      <c r="Q285" s="950" t="e">
        <f aca="false">Q726</f>
        <v>#VALUE!</v>
      </c>
      <c r="R285" s="950" t="e">
        <f aca="false">R726</f>
        <v>#VALUE!</v>
      </c>
      <c r="S285" s="950" t="e">
        <f aca="false">S726</f>
        <v>#VALUE!</v>
      </c>
      <c r="T285" s="950" t="e">
        <f aca="false">T726</f>
        <v>#VALUE!</v>
      </c>
      <c r="U285" s="950" t="e">
        <f aca="false">U726</f>
        <v>#VALUE!</v>
      </c>
      <c r="V285" s="950" t="e">
        <f aca="false">V726</f>
        <v>#VALUE!</v>
      </c>
      <c r="W285" s="950" t="e">
        <f aca="false">W726</f>
        <v>#VALUE!</v>
      </c>
      <c r="X285" s="950" t="e">
        <f aca="false">X726</f>
        <v>#VALUE!</v>
      </c>
      <c r="Y285" s="950" t="e">
        <f aca="false">Y726</f>
        <v>#VALUE!</v>
      </c>
      <c r="Z285" s="950" t="e">
        <f aca="false">Z726</f>
        <v>#VALUE!</v>
      </c>
      <c r="AA285" s="950" t="e">
        <f aca="false">AA726</f>
        <v>#VALUE!</v>
      </c>
      <c r="AB285" s="950" t="e">
        <f aca="false">AB726</f>
        <v>#VALUE!</v>
      </c>
      <c r="AC285" s="950" t="e">
        <f aca="false">AC726</f>
        <v>#VALUE!</v>
      </c>
      <c r="AD285" s="950" t="n">
        <f aca="false">AD726</f>
        <v>0</v>
      </c>
      <c r="AE285" s="950" t="n">
        <f aca="false">AE726</f>
        <v>0</v>
      </c>
      <c r="AF285" s="950" t="n">
        <f aca="false">AF726</f>
        <v>0</v>
      </c>
      <c r="AG285" s="751"/>
    </row>
    <row r="286" customFormat="false" ht="11.25" hidden="false" customHeight="false" outlineLevel="0" collapsed="false">
      <c r="A286" s="934" t="s">
        <v>776</v>
      </c>
      <c r="B286" s="751"/>
      <c r="C286" s="949"/>
      <c r="D286" s="950"/>
      <c r="E286" s="952" t="n">
        <f aca="false">E727</f>
        <v>0</v>
      </c>
      <c r="F286" s="952" t="n">
        <f aca="false">F727</f>
        <v>0</v>
      </c>
      <c r="G286" s="952" t="n">
        <f aca="false">G727</f>
        <v>0</v>
      </c>
      <c r="H286" s="953" t="n">
        <f aca="false">H727</f>
        <v>0</v>
      </c>
      <c r="I286" s="954" t="e">
        <f aca="false">I727</f>
        <v>#VALUE!</v>
      </c>
      <c r="J286" s="952" t="e">
        <f aca="false">J727</f>
        <v>#VALUE!</v>
      </c>
      <c r="K286" s="952" t="e">
        <f aca="false">K727</f>
        <v>#VALUE!</v>
      </c>
      <c r="L286" s="952" t="e">
        <f aca="false">L727</f>
        <v>#VALUE!</v>
      </c>
      <c r="M286" s="952" t="e">
        <f aca="false">M727</f>
        <v>#VALUE!</v>
      </c>
      <c r="N286" s="952" t="e">
        <f aca="false">N727</f>
        <v>#VALUE!</v>
      </c>
      <c r="O286" s="952" t="e">
        <f aca="false">O727</f>
        <v>#VALUE!</v>
      </c>
      <c r="P286" s="952" t="e">
        <f aca="false">P727</f>
        <v>#VALUE!</v>
      </c>
      <c r="Q286" s="952" t="e">
        <f aca="false">Q727</f>
        <v>#VALUE!</v>
      </c>
      <c r="R286" s="952" t="e">
        <f aca="false">R727</f>
        <v>#VALUE!</v>
      </c>
      <c r="S286" s="952" t="e">
        <f aca="false">S727</f>
        <v>#VALUE!</v>
      </c>
      <c r="T286" s="952" t="e">
        <f aca="false">T727</f>
        <v>#VALUE!</v>
      </c>
      <c r="U286" s="952" t="e">
        <f aca="false">U727</f>
        <v>#VALUE!</v>
      </c>
      <c r="V286" s="952" t="e">
        <f aca="false">V727</f>
        <v>#VALUE!</v>
      </c>
      <c r="W286" s="952" t="e">
        <f aca="false">W727</f>
        <v>#VALUE!</v>
      </c>
      <c r="X286" s="952" t="e">
        <f aca="false">X727</f>
        <v>#VALUE!</v>
      </c>
      <c r="Y286" s="952" t="e">
        <f aca="false">Y727</f>
        <v>#VALUE!</v>
      </c>
      <c r="Z286" s="952" t="e">
        <f aca="false">Z727</f>
        <v>#VALUE!</v>
      </c>
      <c r="AA286" s="952" t="e">
        <f aca="false">AA727</f>
        <v>#VALUE!</v>
      </c>
      <c r="AB286" s="952" t="e">
        <f aca="false">AB727</f>
        <v>#VALUE!</v>
      </c>
      <c r="AC286" s="952" t="e">
        <f aca="false">AC727</f>
        <v>#VALUE!</v>
      </c>
      <c r="AD286" s="952" t="n">
        <f aca="false">AD727</f>
        <v>0</v>
      </c>
      <c r="AE286" s="952" t="n">
        <f aca="false">AE727</f>
        <v>0</v>
      </c>
      <c r="AF286" s="952" t="n">
        <f aca="false">AF727</f>
        <v>0</v>
      </c>
      <c r="AG286" s="751"/>
    </row>
    <row r="287" customFormat="false" ht="11.25" hidden="false" customHeight="false" outlineLevel="0" collapsed="false">
      <c r="A287" s="955" t="s">
        <v>777</v>
      </c>
      <c r="B287" s="751"/>
      <c r="C287" s="949"/>
      <c r="D287" s="950"/>
      <c r="E287" s="956" t="n">
        <f aca="false">E285-E286</f>
        <v>0</v>
      </c>
      <c r="F287" s="956" t="n">
        <f aca="false">F285-F286</f>
        <v>0</v>
      </c>
      <c r="G287" s="956" t="n">
        <f aca="false">G285-G286</f>
        <v>0</v>
      </c>
      <c r="H287" s="956" t="n">
        <f aca="false">H285-H286</f>
        <v>0</v>
      </c>
      <c r="I287" s="957" t="e">
        <f aca="false">I285-I286</f>
        <v>#VALUE!</v>
      </c>
      <c r="J287" s="956" t="e">
        <f aca="false">J285-J286</f>
        <v>#VALUE!</v>
      </c>
      <c r="K287" s="956" t="e">
        <f aca="false">K285-K286</f>
        <v>#VALUE!</v>
      </c>
      <c r="L287" s="956" t="e">
        <f aca="false">L285-L286</f>
        <v>#VALUE!</v>
      </c>
      <c r="M287" s="956" t="e">
        <f aca="false">M285-M286</f>
        <v>#VALUE!</v>
      </c>
      <c r="N287" s="956" t="e">
        <f aca="false">N285-N286</f>
        <v>#VALUE!</v>
      </c>
      <c r="O287" s="956" t="e">
        <f aca="false">O285-O286</f>
        <v>#VALUE!</v>
      </c>
      <c r="P287" s="956" t="e">
        <f aca="false">P285-P286</f>
        <v>#VALUE!</v>
      </c>
      <c r="Q287" s="956" t="e">
        <f aca="false">Q285-Q286</f>
        <v>#VALUE!</v>
      </c>
      <c r="R287" s="956" t="e">
        <f aca="false">R285-R286</f>
        <v>#VALUE!</v>
      </c>
      <c r="S287" s="956" t="e">
        <f aca="false">S285-S286</f>
        <v>#VALUE!</v>
      </c>
      <c r="T287" s="956" t="e">
        <f aca="false">T285-T286</f>
        <v>#VALUE!</v>
      </c>
      <c r="U287" s="956" t="e">
        <f aca="false">U285-U286</f>
        <v>#VALUE!</v>
      </c>
      <c r="V287" s="956" t="e">
        <f aca="false">V285-V286</f>
        <v>#VALUE!</v>
      </c>
      <c r="W287" s="956" t="e">
        <f aca="false">W285-W286</f>
        <v>#VALUE!</v>
      </c>
      <c r="X287" s="956" t="e">
        <f aca="false">X285-X286</f>
        <v>#VALUE!</v>
      </c>
      <c r="Y287" s="956" t="e">
        <f aca="false">Y285-Y286</f>
        <v>#VALUE!</v>
      </c>
      <c r="Z287" s="956" t="e">
        <f aca="false">Z285-Z286</f>
        <v>#VALUE!</v>
      </c>
      <c r="AA287" s="956" t="e">
        <f aca="false">AA285-AA286</f>
        <v>#VALUE!</v>
      </c>
      <c r="AB287" s="956" t="e">
        <f aca="false">AB285-AB286</f>
        <v>#VALUE!</v>
      </c>
      <c r="AC287" s="956" t="e">
        <f aca="false">AC285-AC286</f>
        <v>#VALUE!</v>
      </c>
      <c r="AD287" s="956" t="n">
        <f aca="false">AD285-AD286</f>
        <v>0</v>
      </c>
      <c r="AE287" s="956" t="n">
        <f aca="false">AE285-AE286</f>
        <v>0</v>
      </c>
      <c r="AF287" s="956" t="n">
        <f aca="false">AF285-AF286</f>
        <v>0</v>
      </c>
      <c r="AG287" s="751"/>
    </row>
    <row r="288" customFormat="false" ht="11.25" hidden="false" customHeight="false" outlineLevel="0" collapsed="false">
      <c r="A288" s="751"/>
      <c r="B288" s="751"/>
      <c r="C288" s="949"/>
      <c r="D288" s="950"/>
      <c r="E288" s="950"/>
      <c r="F288" s="950"/>
      <c r="G288" s="950"/>
      <c r="H288" s="956"/>
      <c r="I288" s="957"/>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751"/>
    </row>
    <row r="289" customFormat="false" ht="11.25" hidden="false" customHeight="false" outlineLevel="0" collapsed="false">
      <c r="A289" s="934" t="s">
        <v>751</v>
      </c>
      <c r="B289" s="751"/>
      <c r="C289" s="949"/>
      <c r="D289" s="950"/>
      <c r="E289" s="950" t="n">
        <f aca="false">E728</f>
        <v>0</v>
      </c>
      <c r="F289" s="950" t="n">
        <f aca="false">F728</f>
        <v>0</v>
      </c>
      <c r="G289" s="950" t="n">
        <f aca="false">G728</f>
        <v>0</v>
      </c>
      <c r="H289" s="950" t="n">
        <f aca="false">H728</f>
        <v>0</v>
      </c>
      <c r="I289" s="954" t="n">
        <f aca="false">I728</f>
        <v>9305.99326906391</v>
      </c>
      <c r="J289" s="950" t="n">
        <f aca="false">J728</f>
        <v>18862.6779146645</v>
      </c>
      <c r="K289" s="950" t="n">
        <f aca="false">K728</f>
        <v>19403.4171490143</v>
      </c>
      <c r="L289" s="950" t="n">
        <f aca="false">L728</f>
        <v>19835.4662415387</v>
      </c>
      <c r="M289" s="950" t="n">
        <f aca="false">M728</f>
        <v>20204.2320789554</v>
      </c>
      <c r="N289" s="950" t="n">
        <f aca="false">N728</f>
        <v>20518.5430337169</v>
      </c>
      <c r="O289" s="950" t="n">
        <f aca="false">O728</f>
        <v>20862.9674337185</v>
      </c>
      <c r="P289" s="950" t="n">
        <f aca="false">P728</f>
        <v>21462.1040533718</v>
      </c>
      <c r="Q289" s="950" t="n">
        <f aca="false">Q728</f>
        <v>21843.6587578208</v>
      </c>
      <c r="R289" s="950" t="n">
        <f aca="false">R728</f>
        <v>22272.5664122051</v>
      </c>
      <c r="S289" s="950" t="n">
        <f aca="false">S728</f>
        <v>22717.3566686098</v>
      </c>
      <c r="T289" s="950" t="n">
        <f aca="false">T728</f>
        <v>23057.759418867</v>
      </c>
      <c r="U289" s="950" t="n">
        <f aca="false">U728</f>
        <v>23567.4900487882</v>
      </c>
      <c r="V289" s="950" t="n">
        <f aca="false">V728</f>
        <v>23912.1900633265</v>
      </c>
      <c r="W289" s="950" t="n">
        <f aca="false">W728</f>
        <v>24346.4846265723</v>
      </c>
      <c r="X289" s="950" t="n">
        <f aca="false">X728</f>
        <v>24785.7746914709</v>
      </c>
      <c r="Y289" s="950" t="n">
        <f aca="false">Y728</f>
        <v>25279.5451114648</v>
      </c>
      <c r="Z289" s="950" t="n">
        <f aca="false">Z728</f>
        <v>25725.313614769</v>
      </c>
      <c r="AA289" s="950" t="n">
        <f aca="false">AA728</f>
        <v>26202.0343891797</v>
      </c>
      <c r="AB289" s="950" t="n">
        <f aca="false">AB728</f>
        <v>26561.9870410172</v>
      </c>
      <c r="AC289" s="950" t="n">
        <f aca="false">AC728</f>
        <v>26207.7758743279</v>
      </c>
      <c r="AD289" s="950" t="n">
        <f aca="false">AD728</f>
        <v>26501.9161637099</v>
      </c>
      <c r="AE289" s="950" t="n">
        <f aca="false">AE728</f>
        <v>27031.9544869841</v>
      </c>
      <c r="AF289" s="950" t="n">
        <f aca="false">AF728</f>
        <v>27572.5935767238</v>
      </c>
      <c r="AG289" s="751"/>
    </row>
    <row r="290" customFormat="false" ht="11.25" hidden="false" customHeight="false" outlineLevel="0" collapsed="false">
      <c r="A290" s="955" t="s">
        <v>758</v>
      </c>
      <c r="B290" s="751"/>
      <c r="C290" s="949"/>
      <c r="D290" s="950"/>
      <c r="E290" s="958" t="n">
        <f aca="false">E287-E289</f>
        <v>0</v>
      </c>
      <c r="F290" s="958" t="n">
        <f aca="false">F287-F289</f>
        <v>0</v>
      </c>
      <c r="G290" s="958" t="n">
        <f aca="false">G287-G289</f>
        <v>0</v>
      </c>
      <c r="H290" s="959" t="n">
        <f aca="false">H287-H289</f>
        <v>0</v>
      </c>
      <c r="I290" s="958" t="e">
        <f aca="false">I287-I289</f>
        <v>#VALUE!</v>
      </c>
      <c r="J290" s="958" t="e">
        <f aca="false">J287-J289</f>
        <v>#VALUE!</v>
      </c>
      <c r="K290" s="958" t="e">
        <f aca="false">K287-K289</f>
        <v>#VALUE!</v>
      </c>
      <c r="L290" s="958" t="e">
        <f aca="false">L287-L289</f>
        <v>#VALUE!</v>
      </c>
      <c r="M290" s="958" t="e">
        <f aca="false">M287-M289</f>
        <v>#VALUE!</v>
      </c>
      <c r="N290" s="958" t="e">
        <f aca="false">N287-N289</f>
        <v>#VALUE!</v>
      </c>
      <c r="O290" s="958" t="e">
        <f aca="false">O287-O289</f>
        <v>#VALUE!</v>
      </c>
      <c r="P290" s="958" t="e">
        <f aca="false">P287-P289</f>
        <v>#VALUE!</v>
      </c>
      <c r="Q290" s="958" t="e">
        <f aca="false">Q287-Q289</f>
        <v>#VALUE!</v>
      </c>
      <c r="R290" s="958" t="e">
        <f aca="false">R287-R289</f>
        <v>#VALUE!</v>
      </c>
      <c r="S290" s="958" t="e">
        <f aca="false">S287-S289</f>
        <v>#VALUE!</v>
      </c>
      <c r="T290" s="958" t="e">
        <f aca="false">T287-T289</f>
        <v>#VALUE!</v>
      </c>
      <c r="U290" s="958" t="e">
        <f aca="false">U287-U289</f>
        <v>#VALUE!</v>
      </c>
      <c r="V290" s="958" t="e">
        <f aca="false">V287-V289</f>
        <v>#VALUE!</v>
      </c>
      <c r="W290" s="958" t="e">
        <f aca="false">W287-W289</f>
        <v>#VALUE!</v>
      </c>
      <c r="X290" s="958" t="e">
        <f aca="false">X287-X289</f>
        <v>#VALUE!</v>
      </c>
      <c r="Y290" s="958" t="e">
        <f aca="false">Y287-Y289</f>
        <v>#VALUE!</v>
      </c>
      <c r="Z290" s="958" t="e">
        <f aca="false">Z287-Z289</f>
        <v>#VALUE!</v>
      </c>
      <c r="AA290" s="958" t="e">
        <f aca="false">AA287-AA289</f>
        <v>#VALUE!</v>
      </c>
      <c r="AB290" s="958" t="e">
        <f aca="false">AB287-AB289</f>
        <v>#VALUE!</v>
      </c>
      <c r="AC290" s="958" t="e">
        <f aca="false">AC287-AC289</f>
        <v>#VALUE!</v>
      </c>
      <c r="AD290" s="958" t="n">
        <f aca="false">AD287-AD289</f>
        <v>-26501.9161637099</v>
      </c>
      <c r="AE290" s="958" t="n">
        <f aca="false">AE287-AE289</f>
        <v>-27031.9544869841</v>
      </c>
      <c r="AF290" s="958" t="n">
        <f aca="false">AF287-AF289</f>
        <v>-27572.5935767238</v>
      </c>
      <c r="AG290" s="751"/>
    </row>
    <row r="291" customFormat="false" ht="11.25" hidden="false" customHeight="false" outlineLevel="0" collapsed="false">
      <c r="A291" s="751"/>
      <c r="B291" s="751"/>
      <c r="C291" s="949"/>
      <c r="D291" s="950"/>
      <c r="E291" s="950"/>
      <c r="F291" s="950"/>
      <c r="G291" s="950"/>
      <c r="H291" s="960"/>
      <c r="I291" s="950"/>
      <c r="J291" s="950"/>
      <c r="K291" s="950"/>
      <c r="L291" s="950"/>
      <c r="M291" s="950"/>
      <c r="N291" s="950"/>
      <c r="O291" s="950"/>
      <c r="P291" s="950"/>
      <c r="Q291" s="950"/>
      <c r="R291" s="950"/>
      <c r="S291" s="950"/>
      <c r="T291" s="950"/>
      <c r="U291" s="950"/>
      <c r="V291" s="950"/>
      <c r="W291" s="950"/>
      <c r="X291" s="950"/>
      <c r="Y291" s="950"/>
      <c r="Z291" s="950"/>
      <c r="AA291" s="950"/>
      <c r="AB291" s="950"/>
      <c r="AC291" s="950"/>
      <c r="AD291" s="950"/>
      <c r="AE291" s="950"/>
      <c r="AF291" s="950"/>
      <c r="AG291" s="751"/>
    </row>
    <row r="292" customFormat="false" ht="11.25" hidden="false" customHeight="false" outlineLevel="0" collapsed="false">
      <c r="A292" s="751" t="s">
        <v>778</v>
      </c>
      <c r="B292" s="751"/>
      <c r="C292" s="949"/>
      <c r="D292" s="950"/>
      <c r="E292" s="950" t="n">
        <f aca="false">E733</f>
        <v>0</v>
      </c>
      <c r="F292" s="950" t="n">
        <f aca="false">F733</f>
        <v>0</v>
      </c>
      <c r="G292" s="950" t="n">
        <f aca="false">G733</f>
        <v>0</v>
      </c>
      <c r="H292" s="950" t="n">
        <f aca="false">H733</f>
        <v>0</v>
      </c>
      <c r="I292" s="957" t="n">
        <f aca="false">I733</f>
        <v>11990.9279083</v>
      </c>
      <c r="J292" s="950" t="n">
        <f aca="false">J733</f>
        <v>23981.8558166</v>
      </c>
      <c r="K292" s="950" t="n">
        <f aca="false">K733</f>
        <v>23981.8558166</v>
      </c>
      <c r="L292" s="950" t="n">
        <f aca="false">L733</f>
        <v>23981.8558166</v>
      </c>
      <c r="M292" s="950" t="n">
        <f aca="false">M733</f>
        <v>23981.8558166</v>
      </c>
      <c r="N292" s="950" t="n">
        <f aca="false">N733</f>
        <v>23981.8558166</v>
      </c>
      <c r="O292" s="950" t="n">
        <f aca="false">O733</f>
        <v>23981.8558166</v>
      </c>
      <c r="P292" s="950" t="n">
        <f aca="false">P733</f>
        <v>23981.8558166</v>
      </c>
      <c r="Q292" s="950" t="n">
        <f aca="false">Q733</f>
        <v>23981.8558166</v>
      </c>
      <c r="R292" s="950" t="n">
        <f aca="false">R733</f>
        <v>23981.8558166</v>
      </c>
      <c r="S292" s="950" t="n">
        <f aca="false">S733</f>
        <v>23981.8558166</v>
      </c>
      <c r="T292" s="950" t="n">
        <f aca="false">T733</f>
        <v>23981.8558166</v>
      </c>
      <c r="U292" s="950" t="n">
        <f aca="false">U733</f>
        <v>23981.8558166</v>
      </c>
      <c r="V292" s="950" t="n">
        <f aca="false">V733</f>
        <v>23981.8558166</v>
      </c>
      <c r="W292" s="950" t="n">
        <f aca="false">W733</f>
        <v>23981.8558166</v>
      </c>
      <c r="X292" s="950" t="n">
        <f aca="false">X733</f>
        <v>23981.8558166</v>
      </c>
      <c r="Y292" s="950" t="n">
        <f aca="false">Y733</f>
        <v>23981.8558166</v>
      </c>
      <c r="Z292" s="950" t="n">
        <f aca="false">Z733</f>
        <v>23981.8558166</v>
      </c>
      <c r="AA292" s="950" t="n">
        <f aca="false">AA733</f>
        <v>23981.8558166</v>
      </c>
      <c r="AB292" s="950" t="n">
        <f aca="false">AB733</f>
        <v>23981.8558166</v>
      </c>
      <c r="AC292" s="950" t="n">
        <f aca="false">AC733</f>
        <v>11990.9279083</v>
      </c>
      <c r="AD292" s="950" t="n">
        <f aca="false">AD733</f>
        <v>0</v>
      </c>
      <c r="AE292" s="950" t="n">
        <f aca="false">AE733</f>
        <v>0</v>
      </c>
      <c r="AF292" s="950" t="n">
        <f aca="false">AF733</f>
        <v>0</v>
      </c>
      <c r="AG292" s="751"/>
    </row>
    <row r="293" customFormat="false" ht="11.25" hidden="false" customHeight="false" outlineLevel="0" collapsed="false">
      <c r="A293" s="751" t="str">
        <f aca="false">A601</f>
        <v>Amortization   -  Transaction Fees</v>
      </c>
      <c r="B293" s="751"/>
      <c r="C293" s="949"/>
      <c r="D293" s="950"/>
      <c r="E293" s="950" t="n">
        <f aca="false">E601</f>
        <v>0</v>
      </c>
      <c r="F293" s="950" t="n">
        <f aca="false">F601</f>
        <v>0</v>
      </c>
      <c r="G293" s="950" t="n">
        <f aca="false">G601</f>
        <v>0</v>
      </c>
      <c r="H293" s="956" t="n">
        <f aca="false">H601</f>
        <v>0</v>
      </c>
      <c r="I293" s="957" t="e">
        <f aca="false">I601</f>
        <v>#VALUE!</v>
      </c>
      <c r="J293" s="950" t="e">
        <f aca="false">J601</f>
        <v>#VALUE!</v>
      </c>
      <c r="K293" s="950" t="e">
        <f aca="false">K601</f>
        <v>#VALUE!</v>
      </c>
      <c r="L293" s="950" t="e">
        <f aca="false">L601</f>
        <v>#VALUE!</v>
      </c>
      <c r="M293" s="950" t="e">
        <f aca="false">M601</f>
        <v>#VALUE!</v>
      </c>
      <c r="N293" s="950" t="e">
        <f aca="false">N601</f>
        <v>#VALUE!</v>
      </c>
      <c r="O293" s="950" t="e">
        <f aca="false">O601</f>
        <v>#VALUE!</v>
      </c>
      <c r="P293" s="950" t="e">
        <f aca="false">P601</f>
        <v>#VALUE!</v>
      </c>
      <c r="Q293" s="950" t="e">
        <f aca="false">Q601</f>
        <v>#VALUE!</v>
      </c>
      <c r="R293" s="950" t="e">
        <f aca="false">R601</f>
        <v>#VALUE!</v>
      </c>
      <c r="S293" s="950" t="e">
        <f aca="false">S601</f>
        <v>#VALUE!</v>
      </c>
      <c r="T293" s="950" t="n">
        <f aca="false">T601</f>
        <v>0</v>
      </c>
      <c r="U293" s="950" t="n">
        <f aca="false">U601</f>
        <v>0</v>
      </c>
      <c r="V293" s="950" t="n">
        <f aca="false">V601</f>
        <v>0</v>
      </c>
      <c r="W293" s="950" t="n">
        <f aca="false">W601</f>
        <v>0</v>
      </c>
      <c r="X293" s="950" t="n">
        <f aca="false">X601</f>
        <v>0</v>
      </c>
      <c r="Y293" s="950" t="n">
        <f aca="false">Y601</f>
        <v>0</v>
      </c>
      <c r="Z293" s="950" t="n">
        <f aca="false">Z601</f>
        <v>0</v>
      </c>
      <c r="AA293" s="950" t="n">
        <f aca="false">AA601</f>
        <v>0</v>
      </c>
      <c r="AB293" s="950" t="n">
        <f aca="false">AB601</f>
        <v>0</v>
      </c>
      <c r="AC293" s="950" t="n">
        <f aca="false">AC601</f>
        <v>0</v>
      </c>
      <c r="AD293" s="950" t="n">
        <f aca="false">AD601</f>
        <v>0</v>
      </c>
      <c r="AE293" s="950" t="n">
        <f aca="false">AE601</f>
        <v>0</v>
      </c>
      <c r="AF293" s="950" t="n">
        <f aca="false">AF601</f>
        <v>0</v>
      </c>
      <c r="AG293" s="751"/>
    </row>
    <row r="294" customFormat="false" ht="11.25" hidden="false" customHeight="false" outlineLevel="0" collapsed="false">
      <c r="A294" s="751" t="str">
        <f aca="false">A602</f>
        <v>Amortization   -  Intangibles (from operating sheet)</v>
      </c>
      <c r="B294" s="751"/>
      <c r="C294" s="949"/>
      <c r="D294" s="950"/>
      <c r="E294" s="956" t="n">
        <f aca="false">E735</f>
        <v>0</v>
      </c>
      <c r="F294" s="956" t="n">
        <f aca="false">F735</f>
        <v>0</v>
      </c>
      <c r="G294" s="956" t="n">
        <f aca="false">G735</f>
        <v>0</v>
      </c>
      <c r="H294" s="956" t="n">
        <f aca="false">H735</f>
        <v>0</v>
      </c>
      <c r="I294" s="957" t="n">
        <f aca="false">I735</f>
        <v>3468.80414490107</v>
      </c>
      <c r="J294" s="956" t="n">
        <f aca="false">J735</f>
        <v>6937.60828980214</v>
      </c>
      <c r="K294" s="956" t="n">
        <f aca="false">K735</f>
        <v>6937.60828980214</v>
      </c>
      <c r="L294" s="956" t="n">
        <f aca="false">L735</f>
        <v>6937.60828980214</v>
      </c>
      <c r="M294" s="956" t="n">
        <f aca="false">M735</f>
        <v>6937.60828980214</v>
      </c>
      <c r="N294" s="956" t="n">
        <f aca="false">N735</f>
        <v>6937.60828980214</v>
      </c>
      <c r="O294" s="956" t="n">
        <f aca="false">O735</f>
        <v>6937.60828980214</v>
      </c>
      <c r="P294" s="956" t="n">
        <f aca="false">P735</f>
        <v>3468.80414490107</v>
      </c>
      <c r="Q294" s="956" t="n">
        <f aca="false">Q735</f>
        <v>0</v>
      </c>
      <c r="R294" s="956" t="n">
        <f aca="false">R735</f>
        <v>0</v>
      </c>
      <c r="S294" s="956" t="n">
        <f aca="false">S735</f>
        <v>0</v>
      </c>
      <c r="T294" s="956" t="n">
        <f aca="false">T735</f>
        <v>0</v>
      </c>
      <c r="U294" s="956" t="n">
        <f aca="false">U735</f>
        <v>0</v>
      </c>
      <c r="V294" s="956" t="n">
        <f aca="false">V735</f>
        <v>0</v>
      </c>
      <c r="W294" s="956" t="n">
        <f aca="false">W735</f>
        <v>0</v>
      </c>
      <c r="X294" s="956" t="n">
        <f aca="false">X735</f>
        <v>0</v>
      </c>
      <c r="Y294" s="956" t="n">
        <f aca="false">Y735</f>
        <v>0</v>
      </c>
      <c r="Z294" s="956" t="n">
        <f aca="false">Z735</f>
        <v>0</v>
      </c>
      <c r="AA294" s="956" t="n">
        <f aca="false">AA735</f>
        <v>0</v>
      </c>
      <c r="AB294" s="956" t="n">
        <f aca="false">AB735</f>
        <v>0</v>
      </c>
      <c r="AC294" s="956" t="n">
        <f aca="false">AC735</f>
        <v>0</v>
      </c>
      <c r="AD294" s="956" t="n">
        <f aca="false">AD735</f>
        <v>0</v>
      </c>
      <c r="AE294" s="956" t="n">
        <f aca="false">AE735</f>
        <v>0</v>
      </c>
      <c r="AF294" s="956" t="n">
        <f aca="false">AF735</f>
        <v>0</v>
      </c>
      <c r="AG294" s="751"/>
    </row>
    <row r="295" customFormat="false" ht="11.25" hidden="false" customHeight="false" outlineLevel="0" collapsed="false">
      <c r="A295" s="934" t="s">
        <v>779</v>
      </c>
      <c r="B295" s="934"/>
      <c r="C295" s="949"/>
      <c r="D295" s="751"/>
      <c r="E295" s="961" t="n">
        <f aca="false">SUM(E292:E294)</f>
        <v>0</v>
      </c>
      <c r="F295" s="961" t="n">
        <f aca="false">SUM(F292:F294)</f>
        <v>0</v>
      </c>
      <c r="G295" s="961" t="n">
        <f aca="false">SUM(G292:G294)</f>
        <v>0</v>
      </c>
      <c r="H295" s="962" t="n">
        <f aca="false">SUM(H292:H294)</f>
        <v>0</v>
      </c>
      <c r="I295" s="961" t="e">
        <f aca="false">SUM(I292:I294)</f>
        <v>#VALUE!</v>
      </c>
      <c r="J295" s="961" t="e">
        <f aca="false">SUM(J292:J294)</f>
        <v>#VALUE!</v>
      </c>
      <c r="K295" s="961" t="e">
        <f aca="false">SUM(K292:K294)</f>
        <v>#VALUE!</v>
      </c>
      <c r="L295" s="961" t="e">
        <f aca="false">SUM(L292:L294)</f>
        <v>#VALUE!</v>
      </c>
      <c r="M295" s="961" t="e">
        <f aca="false">SUM(M292:M294)</f>
        <v>#VALUE!</v>
      </c>
      <c r="N295" s="961" t="e">
        <f aca="false">SUM(N292:N294)</f>
        <v>#VALUE!</v>
      </c>
      <c r="O295" s="961" t="e">
        <f aca="false">SUM(O292:O294)</f>
        <v>#VALUE!</v>
      </c>
      <c r="P295" s="961" t="e">
        <f aca="false">SUM(P292:P294)</f>
        <v>#VALUE!</v>
      </c>
      <c r="Q295" s="961" t="e">
        <f aca="false">SUM(Q292:Q294)</f>
        <v>#VALUE!</v>
      </c>
      <c r="R295" s="961" t="e">
        <f aca="false">SUM(R292:R294)</f>
        <v>#VALUE!</v>
      </c>
      <c r="S295" s="961" t="e">
        <f aca="false">SUM(S292:S294)</f>
        <v>#VALUE!</v>
      </c>
      <c r="T295" s="961" t="n">
        <f aca="false">SUM(T292:T294)</f>
        <v>23981.8558166</v>
      </c>
      <c r="U295" s="961" t="n">
        <f aca="false">SUM(U292:U294)</f>
        <v>23981.8558166</v>
      </c>
      <c r="V295" s="961" t="n">
        <f aca="false">SUM(V292:V294)</f>
        <v>23981.8558166</v>
      </c>
      <c r="W295" s="961" t="n">
        <f aca="false">SUM(W292:W294)</f>
        <v>23981.8558166</v>
      </c>
      <c r="X295" s="961" t="n">
        <f aca="false">SUM(X292:X294)</f>
        <v>23981.8558166</v>
      </c>
      <c r="Y295" s="961" t="n">
        <f aca="false">SUM(Y292:Y294)</f>
        <v>23981.8558166</v>
      </c>
      <c r="Z295" s="961" t="n">
        <f aca="false">SUM(Z292:Z294)</f>
        <v>23981.8558166</v>
      </c>
      <c r="AA295" s="961" t="n">
        <f aca="false">SUM(AA292:AA294)</f>
        <v>23981.8558166</v>
      </c>
      <c r="AB295" s="961" t="n">
        <f aca="false">SUM(AB292:AB294)</f>
        <v>23981.8558166</v>
      </c>
      <c r="AC295" s="961" t="n">
        <f aca="false">SUM(AC292:AC294)</f>
        <v>11990.9279083</v>
      </c>
      <c r="AD295" s="961" t="n">
        <f aca="false">SUM(AD292:AD294)</f>
        <v>0</v>
      </c>
      <c r="AE295" s="961" t="n">
        <f aca="false">SUM(AE292:AE294)</f>
        <v>0</v>
      </c>
      <c r="AF295" s="961" t="n">
        <f aca="false">SUM(AF292:AF294)</f>
        <v>0</v>
      </c>
      <c r="AG295" s="751"/>
    </row>
    <row r="296" customFormat="false" ht="11.25" hidden="false" customHeight="false" outlineLevel="0" collapsed="false">
      <c r="A296" s="934"/>
      <c r="B296" s="934"/>
      <c r="C296" s="949"/>
      <c r="D296" s="751"/>
      <c r="E296" s="469"/>
      <c r="F296" s="469"/>
      <c r="G296" s="469"/>
      <c r="H296" s="963"/>
      <c r="I296" s="469"/>
      <c r="J296" s="469"/>
      <c r="K296" s="469"/>
      <c r="L296" s="469"/>
      <c r="M296" s="469"/>
      <c r="N296" s="469"/>
      <c r="O296" s="469"/>
      <c r="P296" s="469"/>
      <c r="Q296" s="469"/>
      <c r="R296" s="469"/>
      <c r="S296" s="469"/>
      <c r="T296" s="469"/>
      <c r="U296" s="469"/>
      <c r="V296" s="469"/>
      <c r="W296" s="469"/>
      <c r="X296" s="469"/>
      <c r="Y296" s="469"/>
      <c r="Z296" s="469"/>
      <c r="AA296" s="469"/>
      <c r="AB296" s="469"/>
      <c r="AC296" s="469"/>
      <c r="AD296" s="469"/>
      <c r="AE296" s="469"/>
      <c r="AF296" s="469"/>
      <c r="AG296" s="751"/>
    </row>
    <row r="297" customFormat="false" ht="11.25" hidden="false" customHeight="false" outlineLevel="0" collapsed="false">
      <c r="A297" s="955" t="s">
        <v>636</v>
      </c>
      <c r="B297" s="751"/>
      <c r="C297" s="949"/>
      <c r="D297" s="950"/>
      <c r="E297" s="958" t="n">
        <f aca="false">E290-E295</f>
        <v>0</v>
      </c>
      <c r="F297" s="958" t="n">
        <f aca="false">F290-F295</f>
        <v>0</v>
      </c>
      <c r="G297" s="958" t="n">
        <f aca="false">G290-G295</f>
        <v>0</v>
      </c>
      <c r="H297" s="959" t="n">
        <f aca="false">H290-H295</f>
        <v>0</v>
      </c>
      <c r="I297" s="958" t="e">
        <f aca="false">I290-I295</f>
        <v>#VALUE!</v>
      </c>
      <c r="J297" s="958" t="e">
        <f aca="false">J290-J295</f>
        <v>#VALUE!</v>
      </c>
      <c r="K297" s="958" t="e">
        <f aca="false">K290-K295</f>
        <v>#VALUE!</v>
      </c>
      <c r="L297" s="958" t="e">
        <f aca="false">L290-L295</f>
        <v>#VALUE!</v>
      </c>
      <c r="M297" s="958" t="e">
        <f aca="false">M290-M295</f>
        <v>#VALUE!</v>
      </c>
      <c r="N297" s="958" t="e">
        <f aca="false">N290-N295</f>
        <v>#VALUE!</v>
      </c>
      <c r="O297" s="958" t="e">
        <f aca="false">O290-O295</f>
        <v>#VALUE!</v>
      </c>
      <c r="P297" s="958" t="e">
        <f aca="false">P290-P295</f>
        <v>#VALUE!</v>
      </c>
      <c r="Q297" s="958" t="e">
        <f aca="false">Q290-Q295</f>
        <v>#VALUE!</v>
      </c>
      <c r="R297" s="958" t="e">
        <f aca="false">R290-R295</f>
        <v>#VALUE!</v>
      </c>
      <c r="S297" s="958" t="e">
        <f aca="false">S290-S295</f>
        <v>#VALUE!</v>
      </c>
      <c r="T297" s="958" t="e">
        <f aca="false">T290-T295</f>
        <v>#VALUE!</v>
      </c>
      <c r="U297" s="958" t="e">
        <f aca="false">U290-U295</f>
        <v>#VALUE!</v>
      </c>
      <c r="V297" s="958" t="e">
        <f aca="false">V290-V295</f>
        <v>#VALUE!</v>
      </c>
      <c r="W297" s="958" t="e">
        <f aca="false">W290-W295</f>
        <v>#VALUE!</v>
      </c>
      <c r="X297" s="958" t="e">
        <f aca="false">X290-X295</f>
        <v>#VALUE!</v>
      </c>
      <c r="Y297" s="958" t="e">
        <f aca="false">Y290-Y295</f>
        <v>#VALUE!</v>
      </c>
      <c r="Z297" s="958" t="e">
        <f aca="false">Z290-Z295</f>
        <v>#VALUE!</v>
      </c>
      <c r="AA297" s="958" t="e">
        <f aca="false">AA290-AA295</f>
        <v>#VALUE!</v>
      </c>
      <c r="AB297" s="958" t="e">
        <f aca="false">AB290-AB295</f>
        <v>#VALUE!</v>
      </c>
      <c r="AC297" s="958" t="e">
        <f aca="false">AC290-AC295</f>
        <v>#VALUE!</v>
      </c>
      <c r="AD297" s="958" t="n">
        <f aca="false">AD290-AD295</f>
        <v>-26501.9161637099</v>
      </c>
      <c r="AE297" s="958" t="n">
        <f aca="false">AE290-AE295</f>
        <v>-27031.9544869841</v>
      </c>
      <c r="AF297" s="958" t="n">
        <f aca="false">AF290-AF295</f>
        <v>-27572.5935767238</v>
      </c>
      <c r="AG297" s="751"/>
    </row>
    <row r="298" customFormat="false" ht="11.25" hidden="false" customHeight="false" outlineLevel="0" collapsed="false">
      <c r="A298" s="751"/>
      <c r="B298" s="751"/>
      <c r="C298" s="949"/>
      <c r="D298" s="950"/>
      <c r="E298" s="950"/>
      <c r="F298" s="950"/>
      <c r="G298" s="950"/>
      <c r="H298" s="96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751"/>
    </row>
    <row r="299" customFormat="false" ht="11.25" hidden="false" customHeight="false" outlineLevel="0" collapsed="false">
      <c r="A299" s="955" t="s">
        <v>780</v>
      </c>
      <c r="B299" s="751"/>
      <c r="C299" s="949"/>
      <c r="D299" s="950"/>
      <c r="E299" s="950"/>
      <c r="F299" s="950"/>
      <c r="G299" s="950"/>
      <c r="H299" s="96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751"/>
    </row>
    <row r="300" customFormat="false" ht="11.25" hidden="false" customHeight="false" outlineLevel="0" collapsed="false">
      <c r="A300" s="934" t="s">
        <v>781</v>
      </c>
      <c r="B300" s="751"/>
      <c r="C300" s="938"/>
      <c r="D300" s="949"/>
      <c r="E300" s="950" t="n">
        <f aca="false">E594</f>
        <v>0</v>
      </c>
      <c r="F300" s="950" t="n">
        <f aca="false">F594</f>
        <v>0</v>
      </c>
      <c r="G300" s="950" t="n">
        <f aca="false">G594</f>
        <v>0</v>
      </c>
      <c r="H300" s="960" t="n">
        <f aca="false">H594</f>
        <v>0</v>
      </c>
      <c r="I300" s="950" t="n">
        <f aca="false">IF($E$593="YES",I595*(((I362-H539)+(I366-I539))/2),0)*$C$442</f>
        <v>0</v>
      </c>
      <c r="J300" s="950" t="n">
        <f aca="false">IF($E$593="YES",J594*(((J361-I539)+(J365-J539))/2),0)</f>
        <v>0</v>
      </c>
      <c r="K300" s="950" t="n">
        <f aca="false">IF($E$593="YES",K594*(((K361-J539)+(K365-K539))/2),0)</f>
        <v>0</v>
      </c>
      <c r="L300" s="950" t="n">
        <f aca="false">IF($E$593="YES",L594*(((L361-K539)+(L365-L539))/2),0)</f>
        <v>0</v>
      </c>
      <c r="M300" s="950" t="n">
        <f aca="false">IF($E$593="YES",M594*(((M361-L539)+(M365-M539))/2),0)</f>
        <v>0</v>
      </c>
      <c r="N300" s="950" t="n">
        <f aca="false">IF($E$593="YES",N594*(((N361-M539)+(N365-N539))/2),0)</f>
        <v>0</v>
      </c>
      <c r="O300" s="950" t="n">
        <f aca="false">IF($E$593="YES",O594*(((O361-N539)+(O365-O539))/2),0)</f>
        <v>0</v>
      </c>
      <c r="P300" s="950" t="n">
        <f aca="false">IF($E$593="YES",P594*(((P361-O539)+(P365-P539))/2),0)</f>
        <v>0</v>
      </c>
      <c r="Q300" s="950" t="n">
        <f aca="false">IF($E$593="YES",Q594*(((Q361-P539)+(Q365-Q539))/2),0)</f>
        <v>0</v>
      </c>
      <c r="R300" s="950" t="n">
        <f aca="false">IF($E$593="YES",R594*(((R361-Q539)+(R365-R539))/2),0)</f>
        <v>0</v>
      </c>
      <c r="S300" s="950" t="n">
        <f aca="false">IF($E$593="YES",S594*(((S361-R539)+(S365-S539))/2),0)</f>
        <v>0</v>
      </c>
      <c r="T300" s="950" t="n">
        <f aca="false">IF($E$593="YES",T594*(((T361-S539)+(T365-T539))/2),0)</f>
        <v>0</v>
      </c>
      <c r="U300" s="950" t="n">
        <f aca="false">IF($E$593="YES",U594*(((U361-T539)+(U365-U539))/2),0)</f>
        <v>0</v>
      </c>
      <c r="V300" s="950" t="n">
        <f aca="false">IF($E$593="YES",V594*(((V361-U539)+(V365-V539))/2),0)</f>
        <v>0</v>
      </c>
      <c r="W300" s="950" t="n">
        <f aca="false">IF($E$593="YES",W594*(((W361-V539)+(W365-W539))/2),0)</f>
        <v>0</v>
      </c>
      <c r="X300" s="950" t="n">
        <f aca="false">IF($E$593="YES",X594*(((X361-W539)+(X365-X539))/2),0)</f>
        <v>0</v>
      </c>
      <c r="Y300" s="950" t="n">
        <f aca="false">IF($E$593="YES",Y594*(((Y361-X539)+(Y365-Y539))/2),0)</f>
        <v>0</v>
      </c>
      <c r="Z300" s="950" t="n">
        <f aca="false">IF($E$593="YES",Z594*(((Z361-Y539)+(Z365-Z539))/2),0)</f>
        <v>0</v>
      </c>
      <c r="AA300" s="950" t="n">
        <f aca="false">IF($E$593="YES",AA594*(((AA361-Z539)+(AA365-AA539))/2),0)</f>
        <v>0</v>
      </c>
      <c r="AB300" s="950" t="n">
        <f aca="false">IF($E$593="YES",AB594*(((AB361-AA539)+(AB365-AB539))/2),0)</f>
        <v>0</v>
      </c>
      <c r="AC300" s="950" t="n">
        <f aca="false">IF($E$593="YES",AC594*(((AC361-AB539)+(AC365-AC539))/2),0)</f>
        <v>0</v>
      </c>
      <c r="AD300" s="950" t="n">
        <f aca="false">IF($E$593="YES",AD594*(((AD361-AC539)+(AD365-AD539))/2),0)</f>
        <v>0</v>
      </c>
      <c r="AE300" s="950" t="n">
        <f aca="false">IF($E$593="YES",AE594*(((AE361-AD539)+(AE365-AE539))/2),0)</f>
        <v>0</v>
      </c>
      <c r="AF300" s="950" t="n">
        <f aca="false">IF($E$593="YES",AF594*(((AF361-AE539)+(AF365-AF539))/2),0)</f>
        <v>0</v>
      </c>
      <c r="AG300" s="751"/>
    </row>
    <row r="301" customFormat="false" ht="11.25" hidden="false" customHeight="false" outlineLevel="0" collapsed="false">
      <c r="A301" s="751" t="str">
        <f aca="false">A606</f>
        <v>Other Income (excluding interest income)</v>
      </c>
      <c r="B301" s="751"/>
      <c r="C301" s="938"/>
      <c r="D301" s="751"/>
      <c r="E301" s="751" t="n">
        <f aca="false">E606</f>
        <v>0</v>
      </c>
      <c r="F301" s="751" t="n">
        <f aca="false">F606</f>
        <v>0</v>
      </c>
      <c r="G301" s="751" t="n">
        <f aca="false">G606</f>
        <v>0</v>
      </c>
      <c r="H301" s="963" t="n">
        <f aca="false">H606</f>
        <v>0</v>
      </c>
      <c r="I301" s="751" t="n">
        <f aca="false">I606</f>
        <v>0</v>
      </c>
      <c r="J301" s="751" t="n">
        <f aca="false">J606</f>
        <v>0</v>
      </c>
      <c r="K301" s="751" t="n">
        <f aca="false">K606</f>
        <v>0</v>
      </c>
      <c r="L301" s="751" t="n">
        <f aca="false">L606</f>
        <v>0</v>
      </c>
      <c r="M301" s="751" t="n">
        <f aca="false">M606</f>
        <v>0</v>
      </c>
      <c r="N301" s="751" t="n">
        <f aca="false">N606</f>
        <v>0</v>
      </c>
      <c r="O301" s="751" t="n">
        <f aca="false">O606</f>
        <v>0</v>
      </c>
      <c r="P301" s="751" t="n">
        <f aca="false">P606</f>
        <v>0</v>
      </c>
      <c r="Q301" s="751" t="n">
        <f aca="false">Q606</f>
        <v>0</v>
      </c>
      <c r="R301" s="751" t="n">
        <f aca="false">R606</f>
        <v>0</v>
      </c>
      <c r="S301" s="751" t="n">
        <f aca="false">S606</f>
        <v>0</v>
      </c>
      <c r="T301" s="751" t="n">
        <f aca="false">T606</f>
        <v>0</v>
      </c>
      <c r="U301" s="751" t="n">
        <f aca="false">U606</f>
        <v>0</v>
      </c>
      <c r="V301" s="751" t="n">
        <f aca="false">V606</f>
        <v>0</v>
      </c>
      <c r="W301" s="751" t="n">
        <f aca="false">W606</f>
        <v>0</v>
      </c>
      <c r="X301" s="751" t="n">
        <f aca="false">X606</f>
        <v>0</v>
      </c>
      <c r="Y301" s="751" t="n">
        <f aca="false">Y606</f>
        <v>0</v>
      </c>
      <c r="Z301" s="751" t="n">
        <f aca="false">Z606</f>
        <v>0</v>
      </c>
      <c r="AA301" s="751" t="n">
        <f aca="false">AA606</f>
        <v>0</v>
      </c>
      <c r="AB301" s="751" t="n">
        <f aca="false">AB606</f>
        <v>0</v>
      </c>
      <c r="AC301" s="751" t="n">
        <f aca="false">AC606</f>
        <v>0</v>
      </c>
      <c r="AD301" s="751" t="n">
        <f aca="false">AD606</f>
        <v>0</v>
      </c>
      <c r="AE301" s="751" t="n">
        <f aca="false">AE606</f>
        <v>0</v>
      </c>
      <c r="AF301" s="751" t="n">
        <f aca="false">AF606</f>
        <v>0</v>
      </c>
      <c r="AG301" s="751"/>
    </row>
    <row r="302" customFormat="false" ht="11.25" hidden="false" customHeight="false" outlineLevel="0" collapsed="false">
      <c r="A302" s="955" t="s">
        <v>782</v>
      </c>
      <c r="B302" s="751"/>
      <c r="C302" s="938"/>
      <c r="D302" s="751"/>
      <c r="E302" s="961" t="n">
        <f aca="false">SUM(E300:E301)</f>
        <v>0</v>
      </c>
      <c r="F302" s="961" t="n">
        <f aca="false">SUM(F300:F301)</f>
        <v>0</v>
      </c>
      <c r="G302" s="961" t="n">
        <f aca="false">SUM(G300:G301)</f>
        <v>0</v>
      </c>
      <c r="H302" s="962" t="n">
        <f aca="false">SUM(H300:H301)</f>
        <v>0</v>
      </c>
      <c r="I302" s="961" t="n">
        <f aca="false">SUM(I300:I301)</f>
        <v>0</v>
      </c>
      <c r="J302" s="961" t="n">
        <f aca="false">SUM(J300:J301)</f>
        <v>0</v>
      </c>
      <c r="K302" s="961" t="n">
        <f aca="false">SUM(K300:K301)</f>
        <v>0</v>
      </c>
      <c r="L302" s="961" t="n">
        <f aca="false">SUM(L300:L301)</f>
        <v>0</v>
      </c>
      <c r="M302" s="961" t="n">
        <f aca="false">SUM(M300:M301)</f>
        <v>0</v>
      </c>
      <c r="N302" s="961" t="n">
        <f aca="false">SUM(N300:N301)</f>
        <v>0</v>
      </c>
      <c r="O302" s="961" t="n">
        <f aca="false">SUM(O300:O301)</f>
        <v>0</v>
      </c>
      <c r="P302" s="961" t="n">
        <f aca="false">SUM(P300:P301)</f>
        <v>0</v>
      </c>
      <c r="Q302" s="961" t="n">
        <f aca="false">SUM(Q300:Q301)</f>
        <v>0</v>
      </c>
      <c r="R302" s="961" t="n">
        <f aca="false">SUM(R300:R301)</f>
        <v>0</v>
      </c>
      <c r="S302" s="961" t="n">
        <f aca="false">SUM(S300:S301)</f>
        <v>0</v>
      </c>
      <c r="T302" s="961" t="n">
        <f aca="false">SUM(T300:T301)</f>
        <v>0</v>
      </c>
      <c r="U302" s="961" t="n">
        <f aca="false">SUM(U300:U301)</f>
        <v>0</v>
      </c>
      <c r="V302" s="961" t="n">
        <f aca="false">SUM(V300:V301)</f>
        <v>0</v>
      </c>
      <c r="W302" s="961" t="n">
        <f aca="false">SUM(W300:W301)</f>
        <v>0</v>
      </c>
      <c r="X302" s="961" t="n">
        <f aca="false">SUM(X300:X301)</f>
        <v>0</v>
      </c>
      <c r="Y302" s="961" t="n">
        <f aca="false">SUM(Y300:Y301)</f>
        <v>0</v>
      </c>
      <c r="Z302" s="961" t="n">
        <f aca="false">SUM(Z300:Z301)</f>
        <v>0</v>
      </c>
      <c r="AA302" s="961" t="n">
        <f aca="false">SUM(AA300:AA301)</f>
        <v>0</v>
      </c>
      <c r="AB302" s="961" t="n">
        <f aca="false">SUM(AB300:AB301)</f>
        <v>0</v>
      </c>
      <c r="AC302" s="961" t="n">
        <f aca="false">SUM(AC300:AC301)</f>
        <v>0</v>
      </c>
      <c r="AD302" s="961" t="n">
        <f aca="false">SUM(AD300:AD301)</f>
        <v>0</v>
      </c>
      <c r="AE302" s="961" t="n">
        <f aca="false">SUM(AE300:AE301)</f>
        <v>0</v>
      </c>
      <c r="AF302" s="961" t="n">
        <f aca="false">SUM(AF300:AF301)</f>
        <v>0</v>
      </c>
      <c r="AG302" s="751"/>
    </row>
    <row r="303" customFormat="false" ht="11.25" hidden="false" customHeight="false" outlineLevel="0" collapsed="false">
      <c r="A303" s="751"/>
      <c r="B303" s="751"/>
      <c r="C303" s="751"/>
      <c r="D303" s="751"/>
      <c r="E303" s="751"/>
      <c r="F303" s="751"/>
      <c r="G303" s="751"/>
      <c r="H303" s="963"/>
      <c r="I303" s="751"/>
      <c r="J303" s="751"/>
      <c r="K303" s="751"/>
      <c r="L303" s="751"/>
      <c r="M303" s="751"/>
      <c r="N303" s="751"/>
      <c r="O303" s="751"/>
      <c r="P303" s="751"/>
      <c r="Q303" s="751"/>
      <c r="R303" s="751"/>
      <c r="S303" s="751"/>
      <c r="T303" s="751"/>
      <c r="U303" s="751"/>
      <c r="V303" s="751"/>
      <c r="W303" s="751"/>
      <c r="X303" s="751"/>
      <c r="Y303" s="751"/>
      <c r="Z303" s="751"/>
      <c r="AA303" s="751"/>
      <c r="AB303" s="751"/>
      <c r="AC303" s="751"/>
      <c r="AD303" s="751"/>
      <c r="AE303" s="751"/>
      <c r="AF303" s="751"/>
      <c r="AG303" s="346"/>
    </row>
    <row r="304" customFormat="false" ht="11.25" hidden="false" customHeight="false" outlineLevel="0" collapsed="false">
      <c r="A304" s="955" t="s">
        <v>783</v>
      </c>
      <c r="B304" s="751"/>
      <c r="C304" s="964"/>
      <c r="D304" s="950"/>
      <c r="E304" s="950"/>
      <c r="F304" s="950"/>
      <c r="G304" s="950"/>
      <c r="H304" s="965"/>
      <c r="I304" s="966"/>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751"/>
    </row>
    <row r="305" customFormat="false" ht="11.25" hidden="false" customHeight="false" outlineLevel="0" collapsed="false">
      <c r="A305" s="751" t="str">
        <f aca="false">B451&amp;" (Interest Calc on Avg Balance)"</f>
        <v>Purchase Term Loan (Interest Calc on Avg Balance)</v>
      </c>
      <c r="B305" s="751"/>
      <c r="C305" s="751"/>
      <c r="D305" s="949"/>
      <c r="E305" s="950"/>
      <c r="F305" s="950"/>
      <c r="G305" s="950"/>
      <c r="H305" s="960"/>
      <c r="I305" s="966" t="e">
        <f aca="false">IF(I566="YES",IF($I$567="YES",-I569+((I588-I568)*(I421+I425)/2),0),I588*(I421+I425)/2)*IF(C442&gt;0,C442,1)</f>
        <v>#VALUE!</v>
      </c>
      <c r="J305" s="950" t="e">
        <f aca="false">IF(J566="YES",IF($I$567="YES",-J569+((J588-J568)*((J421+J425)/2)),0),J588*((J421+J425)/2))</f>
        <v>#VALUE!</v>
      </c>
      <c r="K305" s="950" t="e">
        <f aca="false">IF(K566="YES",IF($I$567="YES",-K569+((K588-K568)*((K421+K425)/2)),0),K588*((K421+K425)/2))</f>
        <v>#VALUE!</v>
      </c>
      <c r="L305" s="950" t="e">
        <f aca="false">IF(L566="YES",IF($I$567="YES",-L569+((L588-L568)*((L421+L425)/2)),0),L588*((L421+L425)/2))</f>
        <v>#VALUE!</v>
      </c>
      <c r="M305" s="950" t="e">
        <f aca="false">IF(M566="YES",IF($I$567="YES",-M569+((M588-M568)*((M421+M425)/2)),0),M588*((M421+M425)/2))</f>
        <v>#VALUE!</v>
      </c>
      <c r="N305" s="950" t="e">
        <f aca="false">IF(N566="YES",IF($I$567="YES",-N569+((N588-N568)*((N421+N425)/2)),0),N588*((N421+N425)/2))</f>
        <v>#VALUE!</v>
      </c>
      <c r="O305" s="950" t="e">
        <f aca="false">IF(O566="YES",IF($I$567="YES",-O569+((O588-O568)*((O421+O425)/2)),0),O588*((O421+O425)/2))</f>
        <v>#VALUE!</v>
      </c>
      <c r="P305" s="950" t="e">
        <f aca="false">IF(P566="YES",IF($I$567="YES",-P569+((P588-P568)*((P421+P425)/2)),0),P588*((P421+P425)/2))</f>
        <v>#VALUE!</v>
      </c>
      <c r="Q305" s="950" t="e">
        <f aca="false">IF(Q566="YES",IF($I$567="YES",-Q569+((Q588-Q568)*((Q421+Q425)/2)),0),Q588*((Q421+Q425)/2))</f>
        <v>#VALUE!</v>
      </c>
      <c r="R305" s="950" t="e">
        <f aca="false">IF(R566="YES",IF($I$567="YES",-R569+((R588-R568)*((R421+R425)/2)),0),R588*((R421+R425)/2))</f>
        <v>#VALUE!</v>
      </c>
      <c r="S305" s="950" t="e">
        <f aca="false">IF(S566="YES",IF($I$567="YES",-S569+((S588-S568)*((S421+S425)/2)),0),S588*((S421+S425)/2))</f>
        <v>#VALUE!</v>
      </c>
      <c r="T305" s="950" t="e">
        <f aca="false">IF(T566="YES",IF($I$567="YES",-T569+((T588-T568)*((T421+T425)/2)),0),T588*((T421+T425)/2))</f>
        <v>#VALUE!</v>
      </c>
      <c r="U305" s="950" t="e">
        <f aca="false">IF(U566="YES",IF($I$567="YES",-U569+((U588-U568)*((U421+U425)/2)),0),U588*((U421+U425)/2))</f>
        <v>#VALUE!</v>
      </c>
      <c r="V305" s="950" t="e">
        <f aca="false">IF(V566="YES",IF($I$567="YES",-V569+((V588-V568)*((V421+V425)/2)),0),V588*((V421+V425)/2))</f>
        <v>#VALUE!</v>
      </c>
      <c r="W305" s="950" t="e">
        <f aca="false">IF(W566="YES",IF($I$567="YES",-W569+((W588-W568)*((W421+W425)/2)),0),W588*((W421+W425)/2))</f>
        <v>#VALUE!</v>
      </c>
      <c r="X305" s="950" t="e">
        <f aca="false">IF(X566="YES",IF($I$567="YES",-X569+((X588-X568)*((X421+X425)/2)),0),X588*((X421+X425)/2))</f>
        <v>#VALUE!</v>
      </c>
      <c r="Y305" s="950" t="e">
        <f aca="false">IF(Y566="YES",IF($I$567="YES",-Y569+((Y588-Y568)*((Y421+Y425)/2)),0),Y588*((Y421+Y425)/2))</f>
        <v>#VALUE!</v>
      </c>
      <c r="Z305" s="950" t="e">
        <f aca="false">IF(Z566="YES",IF($I$567="YES",-Z569+((Z588-Z568)*((Z421+Z425)/2)),0),Z588*((Z421+Z425)/2))</f>
        <v>#VALUE!</v>
      </c>
      <c r="AA305" s="950" t="e">
        <f aca="false">IF(AA566="YES",IF($I$567="YES",-AA569+((AA588-AA568)*((AA421+AA425)/2)),0),AA588*((AA421+AA425)/2))</f>
        <v>#VALUE!</v>
      </c>
      <c r="AB305" s="950" t="e">
        <f aca="false">IF(AB566="YES",IF($I$567="YES",-AB569+((AB588-AB568)*((AB421+AB425)/2)),0),AB588*((AB421+AB425)/2))</f>
        <v>#VALUE!</v>
      </c>
      <c r="AC305" s="950" t="e">
        <f aca="false">IF(AC566="YES",IF($I$567="YES",-AC569+((AC588-AC568)*((AC421+AC425)/2)),0),AC588*((AC421+AC425)/2))</f>
        <v>#VALUE!</v>
      </c>
      <c r="AD305" s="950" t="e">
        <f aca="false">IF(AD566="YES",IF($I$567="YES",-AD569+((AD588-AD568)*((AD421+AD425)/2)),0),AD588*((AD421+AD425)/2))</f>
        <v>#VALUE!</v>
      </c>
      <c r="AE305" s="950" t="e">
        <f aca="false">IF(AE566="YES",IF($I$567="YES",-AE569+((AE588-AE568)*((AE421+AE425)/2)),0),AE588*((AE421+AE425)/2))</f>
        <v>#VALUE!</v>
      </c>
      <c r="AF305" s="950" t="e">
        <f aca="false">IF(AF566="YES",IF($I$567="YES",-AF569+((AF588-AF568)*((AF421+AF425)/2)),0),AF588*((AF421+AF425)/2))</f>
        <v>#VALUE!</v>
      </c>
      <c r="AG305" s="751"/>
      <c r="AH305" s="950"/>
      <c r="AI305" s="950"/>
      <c r="AJ305" s="950"/>
      <c r="AK305" s="950"/>
      <c r="AL305" s="950"/>
      <c r="AM305" s="950"/>
      <c r="AN305" s="950"/>
      <c r="AO305" s="950"/>
      <c r="AP305" s="950"/>
      <c r="AQ305" s="950"/>
      <c r="AR305" s="950"/>
      <c r="AS305" s="950"/>
      <c r="AT305" s="950"/>
      <c r="AU305" s="950"/>
      <c r="AV305" s="950"/>
      <c r="AW305" s="950"/>
      <c r="AX305" s="950"/>
      <c r="AY305" s="950"/>
      <c r="AZ305" s="950"/>
      <c r="BA305" s="950"/>
      <c r="BB305" s="950"/>
      <c r="BC305" s="950"/>
      <c r="BD305" s="950"/>
      <c r="BE305" s="950"/>
    </row>
    <row r="306" customFormat="false" ht="11.25" hidden="false" customHeight="false" outlineLevel="0" collapsed="false">
      <c r="A306" s="751" t="str">
        <f aca="false">B452&amp;" (Interest Calc on Avg. Balance)"</f>
        <v>Scrubber Term Loan (Interest Calc on Avg. Balance)</v>
      </c>
      <c r="B306" s="751"/>
      <c r="C306" s="751"/>
      <c r="D306" s="949"/>
      <c r="E306" s="950"/>
      <c r="F306" s="950"/>
      <c r="G306" s="950"/>
      <c r="H306" s="960"/>
      <c r="I306" s="950" t="n">
        <f aca="false">IF(I574="YES",IF($I$575="YES",-I577+((I589-I576)*(I428+I431)/2)*C442,0),I589*(I428+I431)/2*C442)</f>
        <v>0</v>
      </c>
      <c r="J306" s="950" t="n">
        <f aca="false">IF(J574="YES",IF($I$575="YES",-J577+((J589-J576)*(J428+J431)/2),0),J589*(J428+J431)/2)</f>
        <v>0</v>
      </c>
      <c r="K306" s="950" t="n">
        <f aca="false">IF(K574="YES",IF($I$575="YES",-K577+((K589-K576)*(K428+K431)/2),0),K589*(K428+K431)/2)</f>
        <v>0</v>
      </c>
      <c r="L306" s="950" t="n">
        <f aca="false">IF(L574="YES",IF($I$575="YES",-L577+((L589-L576)*(L428+L431)/2),0),L589*(L428+L431)/2)</f>
        <v>0</v>
      </c>
      <c r="M306" s="950" t="n">
        <f aca="false">IF(M574="YES",IF($I$575="YES",-M577+((M589-M576)*(M428+M431)/2),0),M589*(M428+M431)/2)</f>
        <v>0</v>
      </c>
      <c r="N306" s="950" t="n">
        <f aca="false">IF(N574="YES",IF($I$575="YES",-N577+((N589-N576)*(N428+N431)/2),0),N589*(N428+N431)/2)</f>
        <v>0</v>
      </c>
      <c r="O306" s="950" t="n">
        <f aca="false">IF(O574="YES",IF($I$575="YES",-O577+((O589-O576)*(O428+O431)/2),0),O589*(O428+O431)/2)</f>
        <v>0</v>
      </c>
      <c r="P306" s="950" t="n">
        <f aca="false">IF(P574="YES",IF($I$575="YES",-P577+((P589-P576)*(P428+P431)/2),0),P589*(P428+P431)/2)</f>
        <v>0</v>
      </c>
      <c r="Q306" s="950" t="n">
        <f aca="false">IF(Q574="YES",IF($I$575="YES",-Q577+((Q589-Q576)*(Q428+Q431)/2),0),Q589*(Q428+Q431)/2)</f>
        <v>0</v>
      </c>
      <c r="R306" s="950" t="n">
        <f aca="false">IF(R574="YES",IF($I$575="YES",-R577+((R589-R576)*(R428+R431)/2),0),R589*(R428+R431)/2)</f>
        <v>0</v>
      </c>
      <c r="S306" s="950" t="n">
        <f aca="false">IF(S574="YES",IF($I$575="YES",-S577+((S589-S576)*(S428+S431)/2),0),S589*(S428+S431)/2)</f>
        <v>0</v>
      </c>
      <c r="T306" s="950" t="n">
        <f aca="false">IF(T574="YES",IF($I$575="YES",-T577+((T589-T576)*(T428+T431)/2),0),T589*(T428+T431)/2)</f>
        <v>0</v>
      </c>
      <c r="U306" s="950" t="n">
        <f aca="false">IF(U574="YES",IF($I$575="YES",-U577+((U589-U576)*(U428+U431)/2),0),U589*(U428+U431)/2)</f>
        <v>0</v>
      </c>
      <c r="V306" s="950" t="n">
        <f aca="false">IF(V574="YES",IF($I$575="YES",-V577+((V589-V576)*(V428+V431)/2),0),V589*(V428+V431)/2)</f>
        <v>0</v>
      </c>
      <c r="W306" s="950" t="n">
        <f aca="false">IF(W574="YES",IF($I$575="YES",-W577+((W589-W576)*(W428+W431)/2),0),W589*(W428+W431)/2)</f>
        <v>0</v>
      </c>
      <c r="X306" s="950" t="n">
        <f aca="false">IF(X574="YES",IF($I$575="YES",-X577+((X589-X576)*(X428+X431)/2),0),X589*(X428+X431)/2)</f>
        <v>0</v>
      </c>
      <c r="Y306" s="950" t="n">
        <f aca="false">IF(Y574="YES",IF($I$575="YES",-Y577+((Y589-Y576)*(Y428+Y431)/2),0),Y589*(Y428+Y431)/2)</f>
        <v>0</v>
      </c>
      <c r="Z306" s="950" t="n">
        <f aca="false">IF(Z574="YES",IF($I$575="YES",-Z577+((Z589-Z576)*(Z428+Z431)/2),0),Z589*(Z428+Z431)/2)</f>
        <v>0</v>
      </c>
      <c r="AA306" s="950" t="n">
        <f aca="false">IF(AA574="YES",IF($I$575="YES",-AA577+((AA589-AA576)*(AA428+AA431)/2),0),AA589*(AA428+AA431)/2)</f>
        <v>0</v>
      </c>
      <c r="AB306" s="950" t="n">
        <f aca="false">IF(AB574="YES",IF($I$575="YES",-AB577+((AB589-AB576)*(AB428+AB431)/2),0),AB589*(AB428+AB431)/2)</f>
        <v>0</v>
      </c>
      <c r="AC306" s="950" t="n">
        <f aca="false">IF(AC574="YES",IF($I$575="YES",-AC577+((AC589-AC576)*(AC428+AC431)/2),0),AC589*(AC428+AC431)/2)</f>
        <v>0</v>
      </c>
      <c r="AD306" s="950" t="n">
        <f aca="false">IF(AD574="YES",IF($I$575="YES",-AD577+((AD589-AD576)*(AD428+AD431)/2),0),AD589*(AD428+AD431)/2)</f>
        <v>0</v>
      </c>
      <c r="AE306" s="950" t="n">
        <f aca="false">IF(AE574="YES",IF($I$575="YES",-AE577+((AE589-AE576)*(AE428+AE431)/2),0),AE589*(AE428+AE431)/2)</f>
        <v>0</v>
      </c>
      <c r="AF306" s="950" t="n">
        <f aca="false">IF(AF574="YES",IF($I$575="YES",-AF577+((AF589-AF576)*(AF428+AF431)/2),0),AF589*(AF428+AF431)/2)</f>
        <v>0</v>
      </c>
      <c r="AG306" s="751"/>
      <c r="AH306" s="950"/>
      <c r="AI306" s="950"/>
      <c r="AJ306" s="950"/>
      <c r="AK306" s="950"/>
      <c r="AL306" s="950"/>
      <c r="AM306" s="950"/>
      <c r="AN306" s="950"/>
      <c r="AO306" s="950"/>
      <c r="AP306" s="950"/>
      <c r="AQ306" s="950"/>
      <c r="AR306" s="950"/>
      <c r="AS306" s="950"/>
      <c r="AT306" s="950"/>
      <c r="AU306" s="950"/>
      <c r="AV306" s="950"/>
      <c r="AW306" s="950"/>
      <c r="AX306" s="950"/>
      <c r="AY306" s="950"/>
      <c r="AZ306" s="950"/>
      <c r="BA306" s="950"/>
      <c r="BB306" s="950"/>
      <c r="BC306" s="950"/>
      <c r="BD306" s="950"/>
      <c r="BE306" s="950"/>
    </row>
    <row r="307" customFormat="false" ht="11.25" hidden="false" customHeight="false" outlineLevel="0" collapsed="false">
      <c r="A307" s="751" t="s">
        <v>784</v>
      </c>
      <c r="B307" s="751"/>
      <c r="C307" s="751"/>
      <c r="D307" s="949"/>
      <c r="E307" s="950"/>
      <c r="F307" s="950"/>
      <c r="G307" s="950"/>
      <c r="H307" s="960"/>
      <c r="I307" s="950" t="e">
        <f aca="false">+(I414+I417)/2*I587*C442</f>
        <v>#VALUE!</v>
      </c>
      <c r="J307" s="950" t="e">
        <f aca="false">+(J414+J417)/2*J587</f>
        <v>#VALUE!</v>
      </c>
      <c r="K307" s="950" t="e">
        <f aca="false">+(K414+K417)/2*K587</f>
        <v>#VALUE!</v>
      </c>
      <c r="L307" s="950" t="e">
        <f aca="false">+(L414+L417)/2*L587</f>
        <v>#VALUE!</v>
      </c>
      <c r="M307" s="950" t="e">
        <f aca="false">+(M414+M417)/2*M587</f>
        <v>#VALUE!</v>
      </c>
      <c r="N307" s="950" t="e">
        <f aca="false">+(N414+N417)/2*N587</f>
        <v>#VALUE!</v>
      </c>
      <c r="O307" s="950" t="e">
        <f aca="false">+(O414+O417)/2*O587</f>
        <v>#VALUE!</v>
      </c>
      <c r="P307" s="950" t="e">
        <f aca="false">+(P414+P417)/2*P587</f>
        <v>#VALUE!</v>
      </c>
      <c r="Q307" s="950" t="e">
        <f aca="false">+(Q414+Q417)/2*Q587</f>
        <v>#VALUE!</v>
      </c>
      <c r="R307" s="950" t="e">
        <f aca="false">+(R414+R417)/2*R587</f>
        <v>#VALUE!</v>
      </c>
      <c r="S307" s="950" t="e">
        <f aca="false">+(S414+S417)/2*S587</f>
        <v>#VALUE!</v>
      </c>
      <c r="T307" s="950" t="e">
        <f aca="false">+(T414+T417)/2*T587</f>
        <v>#VALUE!</v>
      </c>
      <c r="U307" s="950" t="e">
        <f aca="false">+(U414+U417)/2*U587</f>
        <v>#VALUE!</v>
      </c>
      <c r="V307" s="950" t="e">
        <f aca="false">+(V414+V417)/2*V587</f>
        <v>#VALUE!</v>
      </c>
      <c r="W307" s="950" t="e">
        <f aca="false">+(W414+W417)/2*W587</f>
        <v>#VALUE!</v>
      </c>
      <c r="X307" s="950" t="e">
        <f aca="false">+(X414+X417)/2*X587</f>
        <v>#VALUE!</v>
      </c>
      <c r="Y307" s="950" t="e">
        <f aca="false">+(Y414+Y417)/2*Y587</f>
        <v>#VALUE!</v>
      </c>
      <c r="Z307" s="950" t="e">
        <f aca="false">+(Z414+Z417)/2*Z587</f>
        <v>#VALUE!</v>
      </c>
      <c r="AA307" s="950" t="e">
        <f aca="false">+(AA414+AA417)/2*AA587</f>
        <v>#VALUE!</v>
      </c>
      <c r="AB307" s="950" t="e">
        <f aca="false">+(AB414+AB417)/2*AB587</f>
        <v>#VALUE!</v>
      </c>
      <c r="AC307" s="950" t="e">
        <f aca="false">+(AC414+AC417)/2*AC587</f>
        <v>#VALUE!</v>
      </c>
      <c r="AD307" s="950" t="e">
        <f aca="false">+(AD414+AD417)/2*AD587</f>
        <v>#VALUE!</v>
      </c>
      <c r="AE307" s="950" t="e">
        <f aca="false">+(AE414+AE417)/2*AE587</f>
        <v>#VALUE!</v>
      </c>
      <c r="AF307" s="950" t="e">
        <f aca="false">+(AF414+AF417)/2*AF587</f>
        <v>#VALUE!</v>
      </c>
      <c r="AG307" s="751"/>
    </row>
    <row r="308" customFormat="false" ht="11.25" hidden="false" customHeight="false" outlineLevel="0" collapsed="false">
      <c r="A308" s="955" t="s">
        <v>785</v>
      </c>
      <c r="B308" s="751"/>
      <c r="C308" s="964"/>
      <c r="D308" s="950"/>
      <c r="E308" s="958" t="n">
        <f aca="false">SUM(E305:E306)</f>
        <v>0</v>
      </c>
      <c r="F308" s="958" t="n">
        <f aca="false">SUM(F305:F306)</f>
        <v>0</v>
      </c>
      <c r="G308" s="958" t="n">
        <f aca="false">SUM(G305:G306)</f>
        <v>0</v>
      </c>
      <c r="H308" s="959" t="n">
        <f aca="false">SUM(H305:H306)</f>
        <v>0</v>
      </c>
      <c r="I308" s="958" t="e">
        <f aca="false">SUM(I305:I307)</f>
        <v>#VALUE!</v>
      </c>
      <c r="J308" s="958" t="e">
        <f aca="false">SUM(J305:J307)</f>
        <v>#VALUE!</v>
      </c>
      <c r="K308" s="958" t="e">
        <f aca="false">SUM(K305:K307)</f>
        <v>#VALUE!</v>
      </c>
      <c r="L308" s="958" t="e">
        <f aca="false">SUM(L305:L307)</f>
        <v>#VALUE!</v>
      </c>
      <c r="M308" s="958" t="e">
        <f aca="false">SUM(M305:M307)</f>
        <v>#VALUE!</v>
      </c>
      <c r="N308" s="958" t="e">
        <f aca="false">SUM(N305:N307)</f>
        <v>#VALUE!</v>
      </c>
      <c r="O308" s="958" t="e">
        <f aca="false">SUM(O305:O307)</f>
        <v>#VALUE!</v>
      </c>
      <c r="P308" s="958" t="e">
        <f aca="false">SUM(P305:P307)</f>
        <v>#VALUE!</v>
      </c>
      <c r="Q308" s="958" t="e">
        <f aca="false">SUM(Q305:Q307)</f>
        <v>#VALUE!</v>
      </c>
      <c r="R308" s="958" t="e">
        <f aca="false">SUM(R305:R307)</f>
        <v>#VALUE!</v>
      </c>
      <c r="S308" s="958" t="e">
        <f aca="false">SUM(S305:S307)</f>
        <v>#VALUE!</v>
      </c>
      <c r="T308" s="958" t="e">
        <f aca="false">SUM(T305:T307)</f>
        <v>#VALUE!</v>
      </c>
      <c r="U308" s="958" t="e">
        <f aca="false">SUM(U305:U307)</f>
        <v>#VALUE!</v>
      </c>
      <c r="V308" s="958" t="e">
        <f aca="false">SUM(V305:V307)</f>
        <v>#VALUE!</v>
      </c>
      <c r="W308" s="958" t="e">
        <f aca="false">SUM(W305:W307)</f>
        <v>#VALUE!</v>
      </c>
      <c r="X308" s="958" t="e">
        <f aca="false">SUM(X305:X307)</f>
        <v>#VALUE!</v>
      </c>
      <c r="Y308" s="958" t="e">
        <f aca="false">SUM(Y305:Y307)</f>
        <v>#VALUE!</v>
      </c>
      <c r="Z308" s="958" t="e">
        <f aca="false">SUM(Z305:Z307)</f>
        <v>#VALUE!</v>
      </c>
      <c r="AA308" s="958" t="e">
        <f aca="false">SUM(AA305:AA307)</f>
        <v>#VALUE!</v>
      </c>
      <c r="AB308" s="958" t="e">
        <f aca="false">SUM(AB305:AB307)</f>
        <v>#VALUE!</v>
      </c>
      <c r="AC308" s="958" t="e">
        <f aca="false">SUM(AC305:AC307)</f>
        <v>#VALUE!</v>
      </c>
      <c r="AD308" s="958" t="e">
        <f aca="false">SUM(AD305:AD307)</f>
        <v>#VALUE!</v>
      </c>
      <c r="AE308" s="958" t="e">
        <f aca="false">SUM(AE305:AE307)</f>
        <v>#VALUE!</v>
      </c>
      <c r="AF308" s="958" t="e">
        <f aca="false">SUM(AF305:AF307)</f>
        <v>#VALUE!</v>
      </c>
      <c r="AG308" s="751"/>
    </row>
    <row r="309" customFormat="false" ht="11.25" hidden="false" customHeight="false" outlineLevel="0" collapsed="false">
      <c r="A309" s="751"/>
      <c r="B309" s="751"/>
      <c r="C309" s="751"/>
      <c r="D309" s="751"/>
      <c r="E309" s="751"/>
      <c r="F309" s="751"/>
      <c r="G309" s="751"/>
      <c r="H309" s="963"/>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row>
    <row r="310" customFormat="false" ht="11.25" hidden="false" customHeight="false" outlineLevel="0" collapsed="false">
      <c r="A310" s="955" t="s">
        <v>786</v>
      </c>
      <c r="B310" s="751"/>
      <c r="C310" s="751"/>
      <c r="D310" s="950"/>
      <c r="E310" s="950" t="n">
        <f aca="false">E297+E302-E308</f>
        <v>0</v>
      </c>
      <c r="F310" s="950" t="n">
        <f aca="false">F297+F302-F308</f>
        <v>0</v>
      </c>
      <c r="G310" s="950" t="n">
        <f aca="false">G297+G302-G308</f>
        <v>0</v>
      </c>
      <c r="H310" s="960" t="n">
        <f aca="false">H297+H302-H308</f>
        <v>0</v>
      </c>
      <c r="I310" s="950" t="e">
        <f aca="false">I297+I302-I308</f>
        <v>#VALUE!</v>
      </c>
      <c r="J310" s="950" t="e">
        <f aca="false">J297+J302-J308</f>
        <v>#VALUE!</v>
      </c>
      <c r="K310" s="950" t="e">
        <f aca="false">K297+K302-K308</f>
        <v>#VALUE!</v>
      </c>
      <c r="L310" s="950" t="e">
        <f aca="false">L297+L302-L308</f>
        <v>#VALUE!</v>
      </c>
      <c r="M310" s="950" t="e">
        <f aca="false">M297+M302-M308</f>
        <v>#VALUE!</v>
      </c>
      <c r="N310" s="950" t="e">
        <f aca="false">N297+N302-N308</f>
        <v>#VALUE!</v>
      </c>
      <c r="O310" s="950" t="e">
        <f aca="false">O297+O302-O308</f>
        <v>#VALUE!</v>
      </c>
      <c r="P310" s="950" t="e">
        <f aca="false">P297+P302-P308</f>
        <v>#VALUE!</v>
      </c>
      <c r="Q310" s="950" t="e">
        <f aca="false">Q297+Q302-Q308</f>
        <v>#VALUE!</v>
      </c>
      <c r="R310" s="950" t="e">
        <f aca="false">R297+R302-R308</f>
        <v>#VALUE!</v>
      </c>
      <c r="S310" s="950" t="e">
        <f aca="false">S297+S302-S308</f>
        <v>#VALUE!</v>
      </c>
      <c r="T310" s="950" t="e">
        <f aca="false">T297+T302-T308</f>
        <v>#VALUE!</v>
      </c>
      <c r="U310" s="950" t="e">
        <f aca="false">U297+U302-U308</f>
        <v>#VALUE!</v>
      </c>
      <c r="V310" s="950" t="e">
        <f aca="false">V297+V302-V308</f>
        <v>#VALUE!</v>
      </c>
      <c r="W310" s="950" t="e">
        <f aca="false">W297+W302-W308</f>
        <v>#VALUE!</v>
      </c>
      <c r="X310" s="950" t="e">
        <f aca="false">X297+X302-X308</f>
        <v>#VALUE!</v>
      </c>
      <c r="Y310" s="950" t="e">
        <f aca="false">Y297+Y302-Y308</f>
        <v>#VALUE!</v>
      </c>
      <c r="Z310" s="950" t="e">
        <f aca="false">Z297+Z302-Z308</f>
        <v>#VALUE!</v>
      </c>
      <c r="AA310" s="950" t="e">
        <f aca="false">AA297+AA302-AA308</f>
        <v>#VALUE!</v>
      </c>
      <c r="AB310" s="950" t="e">
        <f aca="false">AB297+AB302-AB308</f>
        <v>#VALUE!</v>
      </c>
      <c r="AC310" s="950" t="e">
        <f aca="false">AC297+AC302-AC308</f>
        <v>#VALUE!</v>
      </c>
      <c r="AD310" s="950" t="e">
        <f aca="false">AD297+AD302-AD308</f>
        <v>#VALUE!</v>
      </c>
      <c r="AE310" s="950" t="e">
        <f aca="false">AE297+AE302-AE308</f>
        <v>#VALUE!</v>
      </c>
      <c r="AF310" s="950" t="e">
        <f aca="false">AF297+AF302-AF308</f>
        <v>#VALUE!</v>
      </c>
      <c r="AG310" s="751"/>
    </row>
    <row r="311" customFormat="false" ht="11.25" hidden="false" customHeight="false" outlineLevel="0" collapsed="false">
      <c r="A311" s="751"/>
      <c r="B311" s="751"/>
      <c r="C311" s="751"/>
      <c r="D311" s="751"/>
      <c r="E311" s="751"/>
      <c r="F311" s="751"/>
      <c r="G311" s="751"/>
      <c r="H311" s="963"/>
      <c r="I311" s="950"/>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row>
    <row r="312" customFormat="false" ht="11.25" hidden="false" customHeight="false" outlineLevel="0" collapsed="false">
      <c r="A312" s="934" t="s">
        <v>787</v>
      </c>
      <c r="B312" s="751"/>
      <c r="C312" s="751"/>
      <c r="D312" s="751"/>
      <c r="E312" s="751" t="n">
        <f aca="false">E615</f>
        <v>0</v>
      </c>
      <c r="F312" s="751" t="n">
        <f aca="false">F615</f>
        <v>0</v>
      </c>
      <c r="G312" s="751" t="n">
        <f aca="false">G615</f>
        <v>0</v>
      </c>
      <c r="H312" s="963" t="n">
        <f aca="false">H615</f>
        <v>0</v>
      </c>
      <c r="I312" s="751" t="n">
        <f aca="false">I615</f>
        <v>0</v>
      </c>
      <c r="J312" s="751" t="n">
        <f aca="false">J615</f>
        <v>0</v>
      </c>
      <c r="K312" s="751" t="n">
        <f aca="false">K615</f>
        <v>0</v>
      </c>
      <c r="L312" s="751" t="n">
        <f aca="false">L615</f>
        <v>0</v>
      </c>
      <c r="M312" s="751" t="n">
        <f aca="false">M615</f>
        <v>0</v>
      </c>
      <c r="N312" s="751" t="n">
        <f aca="false">N615</f>
        <v>0</v>
      </c>
      <c r="O312" s="751" t="n">
        <f aca="false">O615</f>
        <v>0</v>
      </c>
      <c r="P312" s="751" t="n">
        <f aca="false">P615</f>
        <v>0</v>
      </c>
      <c r="Q312" s="751" t="n">
        <f aca="false">Q615</f>
        <v>0</v>
      </c>
      <c r="R312" s="751" t="n">
        <f aca="false">R615</f>
        <v>0</v>
      </c>
      <c r="S312" s="751" t="n">
        <f aca="false">S615</f>
        <v>0</v>
      </c>
      <c r="T312" s="751" t="n">
        <f aca="false">T615</f>
        <v>0</v>
      </c>
      <c r="U312" s="751" t="n">
        <f aca="false">U615</f>
        <v>0</v>
      </c>
      <c r="V312" s="751" t="n">
        <f aca="false">V615</f>
        <v>0</v>
      </c>
      <c r="W312" s="751" t="n">
        <f aca="false">W615</f>
        <v>0</v>
      </c>
      <c r="X312" s="751" t="n">
        <f aca="false">X615</f>
        <v>0</v>
      </c>
      <c r="Y312" s="751" t="n">
        <f aca="false">Y615</f>
        <v>0</v>
      </c>
      <c r="Z312" s="751" t="n">
        <f aca="false">Z615</f>
        <v>0</v>
      </c>
      <c r="AA312" s="751" t="n">
        <f aca="false">AA615</f>
        <v>0</v>
      </c>
      <c r="AB312" s="751" t="n">
        <f aca="false">AB615</f>
        <v>0</v>
      </c>
      <c r="AC312" s="751" t="n">
        <f aca="false">AC615</f>
        <v>0</v>
      </c>
      <c r="AD312" s="751" t="n">
        <f aca="false">AD615</f>
        <v>0</v>
      </c>
      <c r="AE312" s="751" t="n">
        <f aca="false">AE615</f>
        <v>0</v>
      </c>
      <c r="AF312" s="751" t="n">
        <f aca="false">AF615</f>
        <v>0</v>
      </c>
      <c r="AG312" s="751"/>
    </row>
    <row r="313" customFormat="false" ht="11.25" hidden="false" customHeight="false" outlineLevel="0" collapsed="false">
      <c r="A313" s="934" t="s">
        <v>788</v>
      </c>
      <c r="B313" s="751"/>
      <c r="C313" s="751"/>
      <c r="D313" s="751"/>
      <c r="E313" s="751"/>
      <c r="F313" s="751"/>
      <c r="G313" s="751"/>
      <c r="H313" s="963"/>
      <c r="I313" s="751" t="e">
        <f aca="false">-I285*I630</f>
        <v>#VALUE!</v>
      </c>
      <c r="J313" s="751" t="e">
        <f aca="false">-J285*J630</f>
        <v>#VALUE!</v>
      </c>
      <c r="K313" s="751" t="e">
        <f aca="false">-K285*K630</f>
        <v>#VALUE!</v>
      </c>
      <c r="L313" s="751" t="e">
        <f aca="false">-L285*L630</f>
        <v>#VALUE!</v>
      </c>
      <c r="M313" s="751" t="e">
        <f aca="false">-M285*M630</f>
        <v>#VALUE!</v>
      </c>
      <c r="N313" s="751" t="e">
        <f aca="false">-N285*N630</f>
        <v>#VALUE!</v>
      </c>
      <c r="O313" s="751" t="e">
        <f aca="false">-O285*O630</f>
        <v>#VALUE!</v>
      </c>
      <c r="P313" s="751" t="e">
        <f aca="false">-P285*P630</f>
        <v>#VALUE!</v>
      </c>
      <c r="Q313" s="751" t="e">
        <f aca="false">-Q285*Q630</f>
        <v>#VALUE!</v>
      </c>
      <c r="R313" s="751" t="e">
        <f aca="false">-R285*R630</f>
        <v>#VALUE!</v>
      </c>
      <c r="S313" s="751" t="e">
        <f aca="false">-S285*S630</f>
        <v>#VALUE!</v>
      </c>
      <c r="T313" s="751" t="e">
        <f aca="false">-T285*T630</f>
        <v>#VALUE!</v>
      </c>
      <c r="U313" s="751" t="e">
        <f aca="false">-U285*U630</f>
        <v>#VALUE!</v>
      </c>
      <c r="V313" s="751" t="e">
        <f aca="false">-V285*V630</f>
        <v>#VALUE!</v>
      </c>
      <c r="W313" s="751" t="e">
        <f aca="false">-W285*W630</f>
        <v>#VALUE!</v>
      </c>
      <c r="X313" s="751" t="e">
        <f aca="false">-X285*X630</f>
        <v>#VALUE!</v>
      </c>
      <c r="Y313" s="751" t="e">
        <f aca="false">-Y285*Y630</f>
        <v>#VALUE!</v>
      </c>
      <c r="Z313" s="751" t="e">
        <f aca="false">-Z285*Z630</f>
        <v>#VALUE!</v>
      </c>
      <c r="AA313" s="751" t="e">
        <f aca="false">-AA285*AA630</f>
        <v>#VALUE!</v>
      </c>
      <c r="AB313" s="751" t="e">
        <f aca="false">-AB285*AB630</f>
        <v>#VALUE!</v>
      </c>
      <c r="AC313" s="751" t="e">
        <f aca="false">-AC285*AC630</f>
        <v>#VALUE!</v>
      </c>
      <c r="AD313" s="751" t="n">
        <f aca="false">-AD285*AD630</f>
        <v>-0</v>
      </c>
      <c r="AE313" s="751" t="n">
        <f aca="false">-AE285*AE630</f>
        <v>-0</v>
      </c>
      <c r="AF313" s="751" t="n">
        <f aca="false">-AF285*AF630</f>
        <v>-0</v>
      </c>
      <c r="AG313" s="751"/>
    </row>
    <row r="314" customFormat="false" ht="11.25" hidden="false" customHeight="false" outlineLevel="0" collapsed="false">
      <c r="A314" s="955" t="s">
        <v>789</v>
      </c>
      <c r="B314" s="751"/>
      <c r="C314" s="964"/>
      <c r="D314" s="751"/>
      <c r="E314" s="961" t="n">
        <f aca="false">E310+E312</f>
        <v>0</v>
      </c>
      <c r="F314" s="961" t="n">
        <f aca="false">F310+F312</f>
        <v>0</v>
      </c>
      <c r="G314" s="961" t="n">
        <f aca="false">G310+G312</f>
        <v>0</v>
      </c>
      <c r="H314" s="962" t="n">
        <f aca="false">H310+H312</f>
        <v>0</v>
      </c>
      <c r="I314" s="961" t="e">
        <f aca="false">I310+I312+I313</f>
        <v>#VALUE!</v>
      </c>
      <c r="J314" s="961" t="e">
        <f aca="false">J310+J312+J313</f>
        <v>#VALUE!</v>
      </c>
      <c r="K314" s="961" t="e">
        <f aca="false">K310+K312+K313</f>
        <v>#VALUE!</v>
      </c>
      <c r="L314" s="961" t="e">
        <f aca="false">L310+L312+L313</f>
        <v>#VALUE!</v>
      </c>
      <c r="M314" s="961" t="e">
        <f aca="false">M310+M312+M313</f>
        <v>#VALUE!</v>
      </c>
      <c r="N314" s="961" t="e">
        <f aca="false">N310+N312+N313</f>
        <v>#VALUE!</v>
      </c>
      <c r="O314" s="961" t="e">
        <f aca="false">O310+O312+O313</f>
        <v>#VALUE!</v>
      </c>
      <c r="P314" s="961" t="e">
        <f aca="false">P310+P312+P313</f>
        <v>#VALUE!</v>
      </c>
      <c r="Q314" s="961" t="e">
        <f aca="false">Q310+Q312+Q313</f>
        <v>#VALUE!</v>
      </c>
      <c r="R314" s="961" t="e">
        <f aca="false">R310+R312+R313</f>
        <v>#VALUE!</v>
      </c>
      <c r="S314" s="961" t="e">
        <f aca="false">S310+S312+S313</f>
        <v>#VALUE!</v>
      </c>
      <c r="T314" s="961" t="e">
        <f aca="false">T310+T312+T313</f>
        <v>#VALUE!</v>
      </c>
      <c r="U314" s="961" t="e">
        <f aca="false">U310+U312+U313</f>
        <v>#VALUE!</v>
      </c>
      <c r="V314" s="961" t="e">
        <f aca="false">V310+V312+V313</f>
        <v>#VALUE!</v>
      </c>
      <c r="W314" s="961" t="e">
        <f aca="false">W310+W312+W313</f>
        <v>#VALUE!</v>
      </c>
      <c r="X314" s="961" t="e">
        <f aca="false">X310+X312+X313</f>
        <v>#VALUE!</v>
      </c>
      <c r="Y314" s="961" t="e">
        <f aca="false">Y310+Y312+Y313</f>
        <v>#VALUE!</v>
      </c>
      <c r="Z314" s="961" t="e">
        <f aca="false">Z310+Z312+Z313</f>
        <v>#VALUE!</v>
      </c>
      <c r="AA314" s="961" t="e">
        <f aca="false">AA310+AA312+AA313</f>
        <v>#VALUE!</v>
      </c>
      <c r="AB314" s="961" t="e">
        <f aca="false">AB310+AB312+AB313</f>
        <v>#VALUE!</v>
      </c>
      <c r="AC314" s="961" t="e">
        <f aca="false">AC310+AC312+AC313</f>
        <v>#VALUE!</v>
      </c>
      <c r="AD314" s="961" t="e">
        <f aca="false">AD310+AD312+AD313</f>
        <v>#VALUE!</v>
      </c>
      <c r="AE314" s="961" t="e">
        <f aca="false">AE310+AE312+AE313</f>
        <v>#VALUE!</v>
      </c>
      <c r="AF314" s="961" t="e">
        <f aca="false">AF310+AF312+AF313</f>
        <v>#VALUE!</v>
      </c>
      <c r="AG314" s="751"/>
    </row>
    <row r="315" customFormat="false" ht="11.25" hidden="false" customHeight="false" outlineLevel="0" collapsed="false">
      <c r="A315" s="751"/>
      <c r="B315" s="751"/>
      <c r="C315" s="751"/>
      <c r="D315" s="751"/>
      <c r="E315" s="751"/>
      <c r="F315" s="751"/>
      <c r="G315" s="751"/>
      <c r="H315" s="963"/>
      <c r="I315" s="751"/>
      <c r="J315" s="751"/>
      <c r="K315" s="751"/>
      <c r="L315" s="751"/>
      <c r="M315" s="751"/>
      <c r="N315" s="751"/>
      <c r="O315" s="751"/>
      <c r="P315" s="751"/>
      <c r="Q315" s="751"/>
      <c r="R315" s="751"/>
      <c r="S315" s="751"/>
      <c r="T315" s="751"/>
      <c r="U315" s="751"/>
      <c r="V315" s="751"/>
      <c r="W315" s="751"/>
      <c r="X315" s="751"/>
      <c r="Y315" s="751"/>
      <c r="Z315" s="751"/>
      <c r="AA315" s="751"/>
      <c r="AB315" s="751"/>
      <c r="AC315" s="751"/>
      <c r="AD315" s="751"/>
      <c r="AE315" s="751"/>
      <c r="AF315" s="751"/>
      <c r="AG315" s="346"/>
    </row>
    <row r="316" customFormat="false" ht="11.25" hidden="false" customHeight="false" outlineLevel="0" collapsed="false">
      <c r="A316" s="934" t="s">
        <v>790</v>
      </c>
      <c r="B316" s="751"/>
      <c r="C316" s="964"/>
      <c r="D316" s="950"/>
      <c r="E316" s="950" t="n">
        <f aca="false">E627</f>
        <v>0</v>
      </c>
      <c r="F316" s="950" t="n">
        <f aca="false">F627</f>
        <v>0</v>
      </c>
      <c r="G316" s="950" t="n">
        <f aca="false">G627</f>
        <v>0</v>
      </c>
      <c r="H316" s="960" t="n">
        <f aca="false">H627</f>
        <v>0</v>
      </c>
      <c r="I316" s="950" t="e">
        <f aca="false">I671</f>
        <v>#VALUE!</v>
      </c>
      <c r="J316" s="950" t="e">
        <f aca="false">J671</f>
        <v>#VALUE!</v>
      </c>
      <c r="K316" s="950" t="e">
        <f aca="false">K671</f>
        <v>#VALUE!</v>
      </c>
      <c r="L316" s="950" t="e">
        <f aca="false">L671</f>
        <v>#VALUE!</v>
      </c>
      <c r="M316" s="950" t="e">
        <f aca="false">M671</f>
        <v>#VALUE!</v>
      </c>
      <c r="N316" s="950" t="e">
        <f aca="false">N671</f>
        <v>#VALUE!</v>
      </c>
      <c r="O316" s="950" t="e">
        <f aca="false">O671</f>
        <v>#VALUE!</v>
      </c>
      <c r="P316" s="950" t="e">
        <f aca="false">P671</f>
        <v>#VALUE!</v>
      </c>
      <c r="Q316" s="950" t="e">
        <f aca="false">Q671</f>
        <v>#VALUE!</v>
      </c>
      <c r="R316" s="950" t="e">
        <f aca="false">R671</f>
        <v>#VALUE!</v>
      </c>
      <c r="S316" s="950" t="e">
        <f aca="false">S671</f>
        <v>#VALUE!</v>
      </c>
      <c r="T316" s="950" t="e">
        <f aca="false">T671</f>
        <v>#VALUE!</v>
      </c>
      <c r="U316" s="950" t="e">
        <f aca="false">U671</f>
        <v>#VALUE!</v>
      </c>
      <c r="V316" s="950" t="e">
        <f aca="false">V671</f>
        <v>#VALUE!</v>
      </c>
      <c r="W316" s="950" t="e">
        <f aca="false">W671</f>
        <v>#VALUE!</v>
      </c>
      <c r="X316" s="950" t="e">
        <f aca="false">X671</f>
        <v>#VALUE!</v>
      </c>
      <c r="Y316" s="950" t="e">
        <f aca="false">Y671</f>
        <v>#VALUE!</v>
      </c>
      <c r="Z316" s="950" t="e">
        <f aca="false">Z671</f>
        <v>#VALUE!</v>
      </c>
      <c r="AA316" s="950" t="e">
        <f aca="false">AA671</f>
        <v>#VALUE!</v>
      </c>
      <c r="AB316" s="950" t="e">
        <f aca="false">AB671</f>
        <v>#VALUE!</v>
      </c>
      <c r="AC316" s="950" t="e">
        <f aca="false">AC671</f>
        <v>#VALUE!</v>
      </c>
      <c r="AD316" s="950" t="e">
        <f aca="false">AD671</f>
        <v>#VALUE!</v>
      </c>
      <c r="AE316" s="950" t="e">
        <f aca="false">AE671</f>
        <v>#VALUE!</v>
      </c>
      <c r="AF316" s="950" t="e">
        <f aca="false">AF671</f>
        <v>#VALUE!</v>
      </c>
      <c r="AG316" s="346"/>
    </row>
    <row r="317" customFormat="false" ht="12" hidden="false" customHeight="false" outlineLevel="0" collapsed="false">
      <c r="A317" s="955" t="s">
        <v>638</v>
      </c>
      <c r="B317" s="751"/>
      <c r="C317" s="964"/>
      <c r="D317" s="950"/>
      <c r="E317" s="967" t="n">
        <f aca="false">E314-E316</f>
        <v>0</v>
      </c>
      <c r="F317" s="967" t="n">
        <f aca="false">F314-F316</f>
        <v>0</v>
      </c>
      <c r="G317" s="967" t="n">
        <f aca="false">G314-G316</f>
        <v>0</v>
      </c>
      <c r="H317" s="968" t="n">
        <f aca="false">H314-H316</f>
        <v>0</v>
      </c>
      <c r="I317" s="967" t="e">
        <f aca="false">I314-I316</f>
        <v>#VALUE!</v>
      </c>
      <c r="J317" s="967" t="e">
        <f aca="false">J314-J316</f>
        <v>#VALUE!</v>
      </c>
      <c r="K317" s="967" t="e">
        <f aca="false">K314-K316</f>
        <v>#VALUE!</v>
      </c>
      <c r="L317" s="967" t="e">
        <f aca="false">L314-L316</f>
        <v>#VALUE!</v>
      </c>
      <c r="M317" s="967" t="e">
        <f aca="false">M314-M316</f>
        <v>#VALUE!</v>
      </c>
      <c r="N317" s="967" t="e">
        <f aca="false">N314-N316</f>
        <v>#VALUE!</v>
      </c>
      <c r="O317" s="967" t="e">
        <f aca="false">O314-O316</f>
        <v>#VALUE!</v>
      </c>
      <c r="P317" s="967" t="e">
        <f aca="false">P314-P316</f>
        <v>#VALUE!</v>
      </c>
      <c r="Q317" s="967" t="e">
        <f aca="false">Q314-Q316</f>
        <v>#VALUE!</v>
      </c>
      <c r="R317" s="967" t="e">
        <f aca="false">R314-R316</f>
        <v>#VALUE!</v>
      </c>
      <c r="S317" s="967" t="e">
        <f aca="false">S314-S316</f>
        <v>#VALUE!</v>
      </c>
      <c r="T317" s="967" t="e">
        <f aca="false">T314-T316</f>
        <v>#VALUE!</v>
      </c>
      <c r="U317" s="967" t="e">
        <f aca="false">U314-U316</f>
        <v>#VALUE!</v>
      </c>
      <c r="V317" s="967" t="e">
        <f aca="false">V314-V316</f>
        <v>#VALUE!</v>
      </c>
      <c r="W317" s="967" t="e">
        <f aca="false">W314-W316</f>
        <v>#VALUE!</v>
      </c>
      <c r="X317" s="967" t="e">
        <f aca="false">X314-X316</f>
        <v>#VALUE!</v>
      </c>
      <c r="Y317" s="967" t="e">
        <f aca="false">Y314-Y316</f>
        <v>#VALUE!</v>
      </c>
      <c r="Z317" s="967" t="e">
        <f aca="false">Z314-Z316</f>
        <v>#VALUE!</v>
      </c>
      <c r="AA317" s="967" t="e">
        <f aca="false">AA314-AA316</f>
        <v>#VALUE!</v>
      </c>
      <c r="AB317" s="967" t="e">
        <f aca="false">AB314-AB316</f>
        <v>#VALUE!</v>
      </c>
      <c r="AC317" s="967" t="e">
        <f aca="false">AC314-AC316</f>
        <v>#VALUE!</v>
      </c>
      <c r="AD317" s="967" t="e">
        <f aca="false">AD314-AD316</f>
        <v>#VALUE!</v>
      </c>
      <c r="AE317" s="967" t="e">
        <f aca="false">AE314-AE316</f>
        <v>#VALUE!</v>
      </c>
      <c r="AF317" s="967" t="e">
        <f aca="false">AF314-AF316</f>
        <v>#VALUE!</v>
      </c>
      <c r="AG317" s="346"/>
    </row>
    <row r="318" customFormat="false" ht="12" hidden="false" customHeight="false" outlineLevel="0" collapsed="false">
      <c r="A318" s="751"/>
      <c r="B318" s="751"/>
      <c r="C318" s="751"/>
      <c r="D318" s="751"/>
      <c r="E318" s="751"/>
      <c r="F318" s="751"/>
      <c r="G318" s="751"/>
      <c r="H318" s="963"/>
      <c r="I318" s="751"/>
      <c r="J318" s="751"/>
      <c r="K318" s="751"/>
      <c r="L318" s="751"/>
      <c r="M318" s="751"/>
      <c r="N318" s="751"/>
      <c r="O318" s="751"/>
      <c r="P318" s="751"/>
      <c r="Q318" s="751"/>
      <c r="R318" s="751"/>
      <c r="S318" s="751"/>
      <c r="T318" s="751"/>
      <c r="U318" s="751"/>
      <c r="V318" s="751"/>
      <c r="W318" s="751"/>
      <c r="X318" s="751"/>
      <c r="Y318" s="751"/>
      <c r="Z318" s="751"/>
      <c r="AA318" s="751"/>
      <c r="AB318" s="751"/>
      <c r="AC318" s="751"/>
      <c r="AD318" s="751"/>
      <c r="AE318" s="751"/>
      <c r="AF318" s="751"/>
      <c r="AG318" s="751"/>
    </row>
    <row r="319" customFormat="false" ht="11.25" hidden="false" customHeight="false" outlineLevel="0" collapsed="false">
      <c r="A319" s="934" t="s">
        <v>791</v>
      </c>
      <c r="B319" s="751"/>
      <c r="C319" s="751"/>
      <c r="D319" s="950"/>
      <c r="E319" s="969" t="n">
        <v>0</v>
      </c>
      <c r="F319" s="969" t="n">
        <v>0</v>
      </c>
      <c r="G319" s="969" t="n">
        <v>0</v>
      </c>
      <c r="H319" s="969" t="n">
        <v>0</v>
      </c>
      <c r="I319" s="969" t="n">
        <v>0</v>
      </c>
      <c r="J319" s="969" t="n">
        <v>0</v>
      </c>
      <c r="K319" s="969" t="n">
        <v>0</v>
      </c>
      <c r="L319" s="969" t="n">
        <v>0</v>
      </c>
      <c r="M319" s="969" t="n">
        <v>0</v>
      </c>
      <c r="N319" s="969" t="n">
        <v>0</v>
      </c>
      <c r="O319" s="969" t="n">
        <v>0</v>
      </c>
      <c r="P319" s="969" t="n">
        <v>0</v>
      </c>
      <c r="Q319" s="969" t="n">
        <v>0</v>
      </c>
      <c r="R319" s="969" t="n">
        <v>0</v>
      </c>
      <c r="S319" s="969" t="n">
        <v>0</v>
      </c>
      <c r="T319" s="969" t="n">
        <v>0</v>
      </c>
      <c r="U319" s="969" t="n">
        <v>0</v>
      </c>
      <c r="V319" s="969" t="n">
        <v>0</v>
      </c>
      <c r="W319" s="969" t="n">
        <v>0</v>
      </c>
      <c r="X319" s="969" t="n">
        <v>0</v>
      </c>
      <c r="Y319" s="969" t="n">
        <v>0</v>
      </c>
      <c r="Z319" s="969" t="n">
        <v>0</v>
      </c>
      <c r="AA319" s="969" t="n">
        <v>0</v>
      </c>
      <c r="AB319" s="969" t="n">
        <v>0</v>
      </c>
      <c r="AC319" s="969" t="n">
        <v>1</v>
      </c>
      <c r="AD319" s="969" t="n">
        <v>2</v>
      </c>
      <c r="AE319" s="969" t="n">
        <v>3</v>
      </c>
      <c r="AF319" s="969" t="n">
        <v>4</v>
      </c>
      <c r="AG319" s="751"/>
    </row>
    <row r="320" customFormat="false" ht="12" hidden="false" customHeight="false" outlineLevel="0" collapsed="false">
      <c r="A320" s="955" t="s">
        <v>792</v>
      </c>
      <c r="B320" s="751"/>
      <c r="C320" s="751"/>
      <c r="D320" s="751"/>
      <c r="E320" s="970" t="n">
        <f aca="false">E317*(1-E319)</f>
        <v>0</v>
      </c>
      <c r="F320" s="970" t="n">
        <f aca="false">F317*(1-F319)</f>
        <v>0</v>
      </c>
      <c r="G320" s="970" t="n">
        <f aca="false">G317*(1-G319)</f>
        <v>0</v>
      </c>
      <c r="H320" s="970" t="n">
        <f aca="false">H317*(1-H319)</f>
        <v>0</v>
      </c>
      <c r="I320" s="970" t="e">
        <f aca="false">I317*(1-I319)</f>
        <v>#VALUE!</v>
      </c>
      <c r="J320" s="970" t="e">
        <f aca="false">J317*(1-J319)</f>
        <v>#VALUE!</v>
      </c>
      <c r="K320" s="970" t="e">
        <f aca="false">K317*(1-K319)</f>
        <v>#VALUE!</v>
      </c>
      <c r="L320" s="970" t="e">
        <f aca="false">L317*(1-L319)</f>
        <v>#VALUE!</v>
      </c>
      <c r="M320" s="970" t="e">
        <f aca="false">M317*(1-M319)</f>
        <v>#VALUE!</v>
      </c>
      <c r="N320" s="970" t="e">
        <f aca="false">N317*(1-N319)</f>
        <v>#VALUE!</v>
      </c>
      <c r="O320" s="970" t="e">
        <f aca="false">O317*(1-O319)</f>
        <v>#VALUE!</v>
      </c>
      <c r="P320" s="970" t="e">
        <f aca="false">P317*(1-P319)</f>
        <v>#VALUE!</v>
      </c>
      <c r="Q320" s="970" t="e">
        <f aca="false">Q317*(1-Q319)</f>
        <v>#VALUE!</v>
      </c>
      <c r="R320" s="970" t="e">
        <f aca="false">R317*(1-R319)</f>
        <v>#VALUE!</v>
      </c>
      <c r="S320" s="970" t="e">
        <f aca="false">S317*(1-S319)</f>
        <v>#VALUE!</v>
      </c>
      <c r="T320" s="970" t="e">
        <f aca="false">T317*(1-T319)</f>
        <v>#VALUE!</v>
      </c>
      <c r="U320" s="970" t="e">
        <f aca="false">U317*(1-U319)</f>
        <v>#VALUE!</v>
      </c>
      <c r="V320" s="970" t="e">
        <f aca="false">V317*(1-V319)</f>
        <v>#VALUE!</v>
      </c>
      <c r="W320" s="970" t="e">
        <f aca="false">W317*(1-W319)</f>
        <v>#VALUE!</v>
      </c>
      <c r="X320" s="970" t="e">
        <f aca="false">X317*(1-X319)</f>
        <v>#VALUE!</v>
      </c>
      <c r="Y320" s="970" t="e">
        <f aca="false">Y317*(1-Y319)</f>
        <v>#VALUE!</v>
      </c>
      <c r="Z320" s="970" t="e">
        <f aca="false">Z317*(1-Z319)</f>
        <v>#VALUE!</v>
      </c>
      <c r="AA320" s="970" t="e">
        <f aca="false">AA317*(1-AA319)</f>
        <v>#VALUE!</v>
      </c>
      <c r="AB320" s="970" t="e">
        <f aca="false">AB317*(1-AB319)</f>
        <v>#VALUE!</v>
      </c>
      <c r="AC320" s="970" t="e">
        <f aca="false">AC317*(1-AC319)</f>
        <v>#VALUE!</v>
      </c>
      <c r="AD320" s="970" t="e">
        <f aca="false">AD317*(1-AD319)</f>
        <v>#VALUE!</v>
      </c>
      <c r="AE320" s="970" t="e">
        <f aca="false">AE317*(1-AE319)</f>
        <v>#VALUE!</v>
      </c>
      <c r="AF320" s="970" t="e">
        <f aca="false">AF317*(1-AF319)</f>
        <v>#VALUE!</v>
      </c>
      <c r="AG320" s="751"/>
    </row>
    <row r="321" customFormat="false" ht="12" hidden="false" customHeight="false" outlineLevel="0" collapsed="false">
      <c r="A321" s="751"/>
      <c r="B321" s="751"/>
      <c r="C321" s="751"/>
      <c r="D321" s="751"/>
      <c r="E321" s="751"/>
      <c r="F321" s="751"/>
      <c r="G321" s="751"/>
      <c r="H321" s="963"/>
      <c r="I321" s="751"/>
      <c r="J321" s="751"/>
      <c r="K321" s="751"/>
      <c r="L321" s="751"/>
      <c r="M321" s="751"/>
      <c r="N321" s="751"/>
      <c r="O321" s="751"/>
      <c r="P321" s="751"/>
      <c r="Q321" s="751"/>
      <c r="R321" s="751"/>
      <c r="S321" s="751"/>
      <c r="T321" s="751"/>
      <c r="U321" s="751"/>
      <c r="V321" s="751"/>
      <c r="W321" s="751"/>
      <c r="X321" s="751"/>
      <c r="Y321" s="751"/>
      <c r="Z321" s="751"/>
      <c r="AA321" s="751"/>
      <c r="AB321" s="751"/>
      <c r="AC321" s="751"/>
      <c r="AD321" s="751"/>
      <c r="AE321" s="751"/>
      <c r="AF321" s="751"/>
      <c r="AG321" s="751"/>
    </row>
    <row r="322" customFormat="false" ht="11.25" hidden="false" customHeight="false" outlineLevel="0" collapsed="false">
      <c r="A322" s="934" t="s">
        <v>793</v>
      </c>
      <c r="B322" s="751"/>
      <c r="C322" s="751"/>
      <c r="D322" s="751"/>
      <c r="E322" s="751" t="n">
        <f aca="false">E585</f>
        <v>0</v>
      </c>
      <c r="F322" s="751" t="n">
        <f aca="false">F585</f>
        <v>0</v>
      </c>
      <c r="G322" s="751" t="n">
        <f aca="false">G585</f>
        <v>0</v>
      </c>
      <c r="H322" s="963" t="n">
        <f aca="false">H585</f>
        <v>0</v>
      </c>
      <c r="I322" s="751" t="e">
        <f aca="false">IF(I320&lt;0,0,I320*I590)*C442</f>
        <v>#VALUE!</v>
      </c>
      <c r="J322" s="751" t="e">
        <f aca="false">IF(J320&lt;0,0,J320*J590)</f>
        <v>#VALUE!</v>
      </c>
      <c r="K322" s="751" t="e">
        <f aca="false">IF(K320&lt;0,0,K320*K590)</f>
        <v>#VALUE!</v>
      </c>
      <c r="L322" s="751" t="e">
        <f aca="false">IF(L320&lt;0,0,L320*L590)</f>
        <v>#VALUE!</v>
      </c>
      <c r="M322" s="751" t="e">
        <f aca="false">IF(M320&lt;0,0,M320*M590)</f>
        <v>#VALUE!</v>
      </c>
      <c r="N322" s="751" t="e">
        <f aca="false">IF(N320&lt;0,0,N320*N590)</f>
        <v>#VALUE!</v>
      </c>
      <c r="O322" s="751" t="e">
        <f aca="false">IF(O320&lt;0,0,O320*O590)</f>
        <v>#VALUE!</v>
      </c>
      <c r="P322" s="751" t="e">
        <f aca="false">IF(P320&lt;0,0,P320*P590)</f>
        <v>#VALUE!</v>
      </c>
      <c r="Q322" s="751" t="e">
        <f aca="false">IF(Q320&lt;0,0,Q320*Q590)</f>
        <v>#VALUE!</v>
      </c>
      <c r="R322" s="751" t="e">
        <f aca="false">IF(R320&lt;0,0,R320*R590)</f>
        <v>#VALUE!</v>
      </c>
      <c r="S322" s="751" t="e">
        <f aca="false">IF(S320&lt;0,0,S320*S590)</f>
        <v>#VALUE!</v>
      </c>
      <c r="T322" s="751" t="e">
        <f aca="false">IF(T320&lt;0,0,T320*T590)</f>
        <v>#VALUE!</v>
      </c>
      <c r="U322" s="751" t="e">
        <f aca="false">IF(U320&lt;0,0,U320*U590)</f>
        <v>#VALUE!</v>
      </c>
      <c r="V322" s="751" t="e">
        <f aca="false">IF(V320&lt;0,0,V320*V590)</f>
        <v>#VALUE!</v>
      </c>
      <c r="W322" s="751" t="e">
        <f aca="false">IF(W320&lt;0,0,W320*W590)</f>
        <v>#VALUE!</v>
      </c>
      <c r="X322" s="751" t="e">
        <f aca="false">IF(X320&lt;0,0,X320*X590)</f>
        <v>#VALUE!</v>
      </c>
      <c r="Y322" s="751" t="e">
        <f aca="false">IF(Y320&lt;0,0,Y320*Y590)</f>
        <v>#VALUE!</v>
      </c>
      <c r="Z322" s="751" t="e">
        <f aca="false">IF(Z320&lt;0,0,Z320*Z590)</f>
        <v>#VALUE!</v>
      </c>
      <c r="AA322" s="751" t="e">
        <f aca="false">IF(AA320&lt;0,0,AA320*AA590)</f>
        <v>#VALUE!</v>
      </c>
      <c r="AB322" s="751" t="e">
        <f aca="false">IF(AB320&lt;0,0,AB320*AB590)</f>
        <v>#VALUE!</v>
      </c>
      <c r="AC322" s="751" t="e">
        <f aca="false">IF(AC320&lt;0,0,AC320*AC590)</f>
        <v>#VALUE!</v>
      </c>
      <c r="AD322" s="751" t="e">
        <f aca="false">IF(AD320&lt;0,0,AD320*AD590)</f>
        <v>#VALUE!</v>
      </c>
      <c r="AE322" s="751" t="e">
        <f aca="false">IF(AE320&lt;0,0,AE320*AE590)</f>
        <v>#VALUE!</v>
      </c>
      <c r="AF322" s="751" t="e">
        <f aca="false">IF(AF320&lt;0,0,AF320*AF590)</f>
        <v>#VALUE!</v>
      </c>
      <c r="AG322" s="751"/>
    </row>
    <row r="323" customFormat="false" ht="11.25" hidden="false" customHeight="false" outlineLevel="0" collapsed="false">
      <c r="A323" s="346"/>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751"/>
    </row>
    <row r="324" customFormat="false" ht="11.25" hidden="false" customHeight="false" outlineLevel="0" collapsed="false">
      <c r="A324" s="346"/>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46"/>
      <c r="AE324" s="346"/>
      <c r="AF324" s="346"/>
      <c r="AG324" s="751"/>
    </row>
    <row r="325" customFormat="false" ht="11.25" hidden="false" customHeight="false" outlineLevel="0" collapsed="false">
      <c r="I325" s="781"/>
      <c r="J325" s="781"/>
      <c r="K325" s="781"/>
      <c r="L325" s="781"/>
      <c r="M325" s="781"/>
      <c r="N325" s="781"/>
      <c r="O325" s="781"/>
      <c r="P325" s="781"/>
      <c r="Q325" s="781"/>
      <c r="R325" s="781"/>
      <c r="S325" s="781"/>
      <c r="T325" s="781"/>
      <c r="U325" s="781"/>
      <c r="V325" s="781"/>
      <c r="W325" s="781"/>
      <c r="X325" s="781"/>
      <c r="Y325" s="781"/>
      <c r="Z325" s="781"/>
      <c r="AA325" s="781"/>
      <c r="AB325" s="781"/>
      <c r="AC325" s="781"/>
      <c r="AD325" s="781"/>
      <c r="AE325" s="781"/>
      <c r="AF325" s="781"/>
    </row>
    <row r="326" customFormat="false" ht="12" hidden="false" customHeight="false" outlineLevel="0" collapsed="false">
      <c r="A326" s="346"/>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751"/>
    </row>
    <row r="327" customFormat="false" ht="12.75" hidden="false" customHeight="false" outlineLevel="0" collapsed="false">
      <c r="A327" s="751"/>
      <c r="B327" s="751"/>
      <c r="C327" s="751"/>
      <c r="D327" s="751"/>
      <c r="E327" s="971"/>
      <c r="F327" s="971"/>
      <c r="G327" s="971"/>
      <c r="H327" s="775" t="n">
        <f aca="false">H$599</f>
        <v>37802</v>
      </c>
      <c r="I327" s="775" t="n">
        <f aca="false">I$599</f>
        <v>37986</v>
      </c>
      <c r="J327" s="946" t="n">
        <f aca="false">J$599</f>
        <v>38352</v>
      </c>
      <c r="K327" s="946" t="n">
        <f aca="false">K$599</f>
        <v>38717</v>
      </c>
      <c r="L327" s="946" t="n">
        <f aca="false">L$599</f>
        <v>39082</v>
      </c>
      <c r="M327" s="946" t="n">
        <f aca="false">M$599</f>
        <v>39447</v>
      </c>
      <c r="N327" s="946" t="n">
        <f aca="false">N$599</f>
        <v>39813</v>
      </c>
      <c r="O327" s="946" t="n">
        <f aca="false">O$599</f>
        <v>40178</v>
      </c>
      <c r="P327" s="946" t="n">
        <f aca="false">P$599</f>
        <v>40543</v>
      </c>
      <c r="Q327" s="946" t="n">
        <f aca="false">Q$599</f>
        <v>40908</v>
      </c>
      <c r="R327" s="946" t="n">
        <f aca="false">R$599</f>
        <v>41274</v>
      </c>
      <c r="S327" s="946" t="n">
        <f aca="false">S$599</f>
        <v>41639</v>
      </c>
      <c r="T327" s="946" t="n">
        <f aca="false">T$599</f>
        <v>42004</v>
      </c>
      <c r="U327" s="946" t="n">
        <f aca="false">U$599</f>
        <v>42369</v>
      </c>
      <c r="V327" s="946" t="n">
        <f aca="false">V$599</f>
        <v>42735</v>
      </c>
      <c r="W327" s="946" t="n">
        <f aca="false">W$599</f>
        <v>43100</v>
      </c>
      <c r="X327" s="946" t="n">
        <f aca="false">X$599</f>
        <v>43465</v>
      </c>
      <c r="Y327" s="946" t="n">
        <f aca="false">Y$599</f>
        <v>43830</v>
      </c>
      <c r="Z327" s="946" t="n">
        <f aca="false">Z$599</f>
        <v>44196</v>
      </c>
      <c r="AA327" s="946" t="n">
        <f aca="false">AA$599</f>
        <v>44561</v>
      </c>
      <c r="AB327" s="946" t="n">
        <f aca="false">AB$599</f>
        <v>44926</v>
      </c>
      <c r="AC327" s="946" t="n">
        <f aca="false">AC$599</f>
        <v>45291</v>
      </c>
      <c r="AD327" s="946" t="n">
        <f aca="false">AD$599</f>
        <v>45657</v>
      </c>
      <c r="AE327" s="946" t="n">
        <f aca="false">AE$599</f>
        <v>46022</v>
      </c>
      <c r="AF327" s="946" t="n">
        <f aca="false">AF$599</f>
        <v>46387</v>
      </c>
      <c r="AG327" s="751"/>
    </row>
    <row r="328" customFormat="false" ht="12" hidden="false" customHeight="false" outlineLevel="0" collapsed="false">
      <c r="A328" s="841" t="s">
        <v>794</v>
      </c>
      <c r="B328" s="751"/>
      <c r="C328" s="751"/>
      <c r="D328" s="947"/>
      <c r="E328" s="947"/>
      <c r="F328" s="947"/>
      <c r="G328" s="947"/>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46"/>
      <c r="AE328" s="346"/>
      <c r="AF328" s="346"/>
      <c r="AG328" s="751"/>
    </row>
    <row r="329" customFormat="false" ht="11.25" hidden="false" customHeight="false" outlineLevel="0" collapsed="false">
      <c r="A329" s="955" t="s">
        <v>795</v>
      </c>
      <c r="B329" s="751"/>
      <c r="C329" s="751"/>
      <c r="D329" s="751"/>
      <c r="E329" s="751"/>
      <c r="F329" s="751"/>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751"/>
    </row>
    <row r="330" customFormat="false" ht="11.25" hidden="false" customHeight="false" outlineLevel="0" collapsed="false">
      <c r="A330" s="751" t="str">
        <f aca="false">A317</f>
        <v>Net Income</v>
      </c>
      <c r="B330" s="751"/>
      <c r="C330" s="751"/>
      <c r="D330" s="751"/>
      <c r="E330" s="751"/>
      <c r="F330" s="751"/>
      <c r="G330" s="950"/>
      <c r="H330" s="950"/>
      <c r="I330" s="950" t="e">
        <f aca="false">I317</f>
        <v>#VALUE!</v>
      </c>
      <c r="J330" s="950" t="e">
        <f aca="false">J317</f>
        <v>#VALUE!</v>
      </c>
      <c r="K330" s="950" t="e">
        <f aca="false">K317</f>
        <v>#VALUE!</v>
      </c>
      <c r="L330" s="950" t="e">
        <f aca="false">L317</f>
        <v>#VALUE!</v>
      </c>
      <c r="M330" s="950" t="e">
        <f aca="false">M317</f>
        <v>#VALUE!</v>
      </c>
      <c r="N330" s="950" t="e">
        <f aca="false">N317</f>
        <v>#VALUE!</v>
      </c>
      <c r="O330" s="950" t="e">
        <f aca="false">O317</f>
        <v>#VALUE!</v>
      </c>
      <c r="P330" s="950" t="e">
        <f aca="false">P317</f>
        <v>#VALUE!</v>
      </c>
      <c r="Q330" s="950" t="e">
        <f aca="false">Q317</f>
        <v>#VALUE!</v>
      </c>
      <c r="R330" s="950" t="e">
        <f aca="false">R317</f>
        <v>#VALUE!</v>
      </c>
      <c r="S330" s="950" t="e">
        <f aca="false">S317</f>
        <v>#VALUE!</v>
      </c>
      <c r="T330" s="950" t="e">
        <f aca="false">T317</f>
        <v>#VALUE!</v>
      </c>
      <c r="U330" s="950" t="e">
        <f aca="false">U317</f>
        <v>#VALUE!</v>
      </c>
      <c r="V330" s="950" t="e">
        <f aca="false">V317</f>
        <v>#VALUE!</v>
      </c>
      <c r="W330" s="950" t="e">
        <f aca="false">W317</f>
        <v>#VALUE!</v>
      </c>
      <c r="X330" s="950" t="e">
        <f aca="false">X317</f>
        <v>#VALUE!</v>
      </c>
      <c r="Y330" s="950" t="e">
        <f aca="false">Y317</f>
        <v>#VALUE!</v>
      </c>
      <c r="Z330" s="950" t="e">
        <f aca="false">Z317</f>
        <v>#VALUE!</v>
      </c>
      <c r="AA330" s="950" t="e">
        <f aca="false">AA317</f>
        <v>#VALUE!</v>
      </c>
      <c r="AB330" s="950" t="e">
        <f aca="false">AB317</f>
        <v>#VALUE!</v>
      </c>
      <c r="AC330" s="950" t="e">
        <f aca="false">AC317</f>
        <v>#VALUE!</v>
      </c>
      <c r="AD330" s="950" t="e">
        <f aca="false">AD317</f>
        <v>#VALUE!</v>
      </c>
      <c r="AE330" s="950" t="e">
        <f aca="false">AE317</f>
        <v>#VALUE!</v>
      </c>
      <c r="AF330" s="950" t="e">
        <f aca="false">AF317</f>
        <v>#VALUE!</v>
      </c>
      <c r="AG330" s="751"/>
    </row>
    <row r="331" customFormat="false" ht="11.25" hidden="false" customHeight="false" outlineLevel="0" collapsed="false">
      <c r="A331" s="934" t="s">
        <v>796</v>
      </c>
      <c r="B331" s="751"/>
      <c r="C331" s="751"/>
      <c r="D331" s="751"/>
      <c r="E331" s="751"/>
      <c r="F331" s="751"/>
      <c r="G331" s="950"/>
      <c r="H331" s="950"/>
      <c r="I331" s="950" t="e">
        <f aca="false">I292+I293+I294</f>
        <v>#VALUE!</v>
      </c>
      <c r="J331" s="950" t="e">
        <f aca="false">J292+J293+J294</f>
        <v>#VALUE!</v>
      </c>
      <c r="K331" s="950" t="e">
        <f aca="false">K292+K293+K294</f>
        <v>#VALUE!</v>
      </c>
      <c r="L331" s="950" t="e">
        <f aca="false">L292+L293+L294</f>
        <v>#VALUE!</v>
      </c>
      <c r="M331" s="950" t="e">
        <f aca="false">M292+M293+M294</f>
        <v>#VALUE!</v>
      </c>
      <c r="N331" s="950" t="e">
        <f aca="false">N292+N293+N294</f>
        <v>#VALUE!</v>
      </c>
      <c r="O331" s="950" t="e">
        <f aca="false">O292+O293+O294</f>
        <v>#VALUE!</v>
      </c>
      <c r="P331" s="950" t="e">
        <f aca="false">P292+P293+P294</f>
        <v>#VALUE!</v>
      </c>
      <c r="Q331" s="950" t="e">
        <f aca="false">Q292+Q293+Q294</f>
        <v>#VALUE!</v>
      </c>
      <c r="R331" s="950" t="e">
        <f aca="false">R292+R293+R294</f>
        <v>#VALUE!</v>
      </c>
      <c r="S331" s="950" t="e">
        <f aca="false">S292+S293+S294</f>
        <v>#VALUE!</v>
      </c>
      <c r="T331" s="950" t="n">
        <f aca="false">T292+T293+T294</f>
        <v>23981.8558166</v>
      </c>
      <c r="U331" s="950" t="n">
        <f aca="false">U292+U293+U294</f>
        <v>23981.8558166</v>
      </c>
      <c r="V331" s="950" t="n">
        <f aca="false">V292+V293+V294</f>
        <v>23981.8558166</v>
      </c>
      <c r="W331" s="950" t="n">
        <f aca="false">W292+W293+W294</f>
        <v>23981.8558166</v>
      </c>
      <c r="X331" s="950" t="n">
        <f aca="false">X292+X293+X294</f>
        <v>23981.8558166</v>
      </c>
      <c r="Y331" s="950" t="n">
        <f aca="false">Y292+Y293+Y294</f>
        <v>23981.8558166</v>
      </c>
      <c r="Z331" s="950" t="n">
        <f aca="false">Z292+Z293+Z294</f>
        <v>23981.8558166</v>
      </c>
      <c r="AA331" s="950" t="n">
        <f aca="false">AA292+AA293+AA294</f>
        <v>23981.8558166</v>
      </c>
      <c r="AB331" s="950" t="n">
        <f aca="false">AB292+AB293+AB294</f>
        <v>23981.8558166</v>
      </c>
      <c r="AC331" s="950" t="n">
        <f aca="false">AC292+AC293+AC294</f>
        <v>11990.9279083</v>
      </c>
      <c r="AD331" s="950" t="n">
        <f aca="false">AD292+AD293+AD294</f>
        <v>0</v>
      </c>
      <c r="AE331" s="950" t="n">
        <f aca="false">AE292+AE293+AE294</f>
        <v>0</v>
      </c>
      <c r="AF331" s="950" t="n">
        <f aca="false">AF292+AF293+AF294</f>
        <v>0</v>
      </c>
      <c r="AG331" s="751"/>
    </row>
    <row r="332" customFormat="false" ht="11.25" hidden="false" customHeight="false" outlineLevel="0" collapsed="false">
      <c r="A332" s="934" t="s">
        <v>797</v>
      </c>
      <c r="B332" s="751"/>
      <c r="C332" s="751"/>
      <c r="D332" s="751"/>
      <c r="E332" s="751"/>
      <c r="F332" s="751"/>
      <c r="G332" s="950"/>
      <c r="H332" s="950"/>
      <c r="I332" s="950" t="e">
        <f aca="false">I676</f>
        <v>#VALUE!</v>
      </c>
      <c r="J332" s="950" t="e">
        <f aca="false">J676</f>
        <v>#VALUE!</v>
      </c>
      <c r="K332" s="950" t="e">
        <f aca="false">K676</f>
        <v>#VALUE!</v>
      </c>
      <c r="L332" s="950" t="e">
        <f aca="false">L676</f>
        <v>#VALUE!</v>
      </c>
      <c r="M332" s="950" t="e">
        <f aca="false">M676</f>
        <v>#VALUE!</v>
      </c>
      <c r="N332" s="950" t="e">
        <f aca="false">N676</f>
        <v>#VALUE!</v>
      </c>
      <c r="O332" s="950" t="e">
        <f aca="false">O676</f>
        <v>#VALUE!</v>
      </c>
      <c r="P332" s="950" t="e">
        <f aca="false">P676</f>
        <v>#VALUE!</v>
      </c>
      <c r="Q332" s="950" t="e">
        <f aca="false">Q676</f>
        <v>#VALUE!</v>
      </c>
      <c r="R332" s="950" t="e">
        <f aca="false">R676</f>
        <v>#VALUE!</v>
      </c>
      <c r="S332" s="950" t="e">
        <f aca="false">S676</f>
        <v>#VALUE!</v>
      </c>
      <c r="T332" s="950" t="e">
        <f aca="false">T676</f>
        <v>#VALUE!</v>
      </c>
      <c r="U332" s="950" t="e">
        <f aca="false">U676</f>
        <v>#VALUE!</v>
      </c>
      <c r="V332" s="950" t="e">
        <f aca="false">V676</f>
        <v>#VALUE!</v>
      </c>
      <c r="W332" s="950" t="e">
        <f aca="false">W676</f>
        <v>#VALUE!</v>
      </c>
      <c r="X332" s="950" t="e">
        <f aca="false">X676</f>
        <v>#VALUE!</v>
      </c>
      <c r="Y332" s="950" t="e">
        <f aca="false">Y676</f>
        <v>#VALUE!</v>
      </c>
      <c r="Z332" s="950" t="e">
        <f aca="false">Z676</f>
        <v>#VALUE!</v>
      </c>
      <c r="AA332" s="950" t="e">
        <f aca="false">AA676</f>
        <v>#VALUE!</v>
      </c>
      <c r="AB332" s="950" t="e">
        <f aca="false">AB676</f>
        <v>#VALUE!</v>
      </c>
      <c r="AC332" s="950" t="e">
        <f aca="false">AC676</f>
        <v>#VALUE!</v>
      </c>
      <c r="AD332" s="950" t="e">
        <f aca="false">AD676</f>
        <v>#VALUE!</v>
      </c>
      <c r="AE332" s="950" t="e">
        <f aca="false">AE676</f>
        <v>#VALUE!</v>
      </c>
      <c r="AF332" s="950" t="e">
        <f aca="false">AF676</f>
        <v>#VALUE!</v>
      </c>
      <c r="AG332" s="751"/>
    </row>
    <row r="333" customFormat="false" ht="11.25" hidden="false" customHeight="false" outlineLevel="0" collapsed="false">
      <c r="A333" s="934" t="s">
        <v>798</v>
      </c>
      <c r="B333" s="751"/>
      <c r="C333" s="751"/>
      <c r="D333" s="751"/>
      <c r="E333" s="751"/>
      <c r="F333" s="751"/>
      <c r="G333" s="950"/>
      <c r="H333" s="950"/>
      <c r="I333" s="950" t="n">
        <f aca="false">(+I569*-1)+(I577*-1)</f>
        <v>-0</v>
      </c>
      <c r="J333" s="950" t="n">
        <f aca="false">(+J569*-1)+(J577*-1)</f>
        <v>-0</v>
      </c>
      <c r="K333" s="950" t="n">
        <f aca="false">(+K569*-1)+(K577*-1)</f>
        <v>-0</v>
      </c>
      <c r="L333" s="950" t="n">
        <f aca="false">(+L569*-1)+(L577*-1)</f>
        <v>-0</v>
      </c>
      <c r="M333" s="950" t="n">
        <f aca="false">(+M569*-1)+(M577*-1)</f>
        <v>-0</v>
      </c>
      <c r="N333" s="950" t="n">
        <f aca="false">(+N569*-1)+(N577*-1)</f>
        <v>-0</v>
      </c>
      <c r="O333" s="950" t="n">
        <f aca="false">(+O569*-1)+(O577*-1)</f>
        <v>-0</v>
      </c>
      <c r="P333" s="950" t="n">
        <f aca="false">(+P569*-1)+(P577*-1)</f>
        <v>-0</v>
      </c>
      <c r="Q333" s="950" t="n">
        <f aca="false">(+Q569*-1)+(Q577*-1)</f>
        <v>-0</v>
      </c>
      <c r="R333" s="950" t="n">
        <f aca="false">(+R569*-1)+(R577*-1)</f>
        <v>-0</v>
      </c>
      <c r="S333" s="950" t="n">
        <f aca="false">(+S569*-1)+(S577*-1)</f>
        <v>-0</v>
      </c>
      <c r="T333" s="950" t="n">
        <f aca="false">(+T569*-1)+(T577*-1)</f>
        <v>-0</v>
      </c>
      <c r="U333" s="950" t="n">
        <f aca="false">(+U569*-1)+(U577*-1)</f>
        <v>-0</v>
      </c>
      <c r="V333" s="950" t="n">
        <f aca="false">(+V569*-1)+(V577*-1)</f>
        <v>-0</v>
      </c>
      <c r="W333" s="950" t="n">
        <f aca="false">(+W569*-1)+(W577*-1)</f>
        <v>-0</v>
      </c>
      <c r="X333" s="950" t="n">
        <f aca="false">(+X569*-1)+(X577*-1)</f>
        <v>-0</v>
      </c>
      <c r="Y333" s="950" t="n">
        <f aca="false">(+Y569*-1)+(Y577*-1)</f>
        <v>-0</v>
      </c>
      <c r="Z333" s="950" t="n">
        <f aca="false">(+Z569*-1)+(Z577*-1)</f>
        <v>-0</v>
      </c>
      <c r="AA333" s="950" t="n">
        <f aca="false">(+AA569*-1)+(AA577*-1)</f>
        <v>-0</v>
      </c>
      <c r="AB333" s="950" t="n">
        <f aca="false">(+AB569*-1)+(AB577*-1)</f>
        <v>-0</v>
      </c>
      <c r="AC333" s="950" t="n">
        <f aca="false">(+AC569*-1)+(AC577*-1)</f>
        <v>-0</v>
      </c>
      <c r="AD333" s="950" t="n">
        <f aca="false">(+AD569*-1)+(AD577*-1)</f>
        <v>-0</v>
      </c>
      <c r="AE333" s="950" t="n">
        <f aca="false">(+AE569*-1)+(AE577*-1)</f>
        <v>-0</v>
      </c>
      <c r="AF333" s="950" t="n">
        <f aca="false">(+AF569*-1)+(AF577*-1)</f>
        <v>-0</v>
      </c>
      <c r="AG333" s="751"/>
    </row>
    <row r="334" customFormat="false" ht="11.25" hidden="false" customHeight="false" outlineLevel="0" collapsed="false">
      <c r="A334" s="751" t="str">
        <f aca="false">A550</f>
        <v>Increase/(Decrease) in Other Liabilities</v>
      </c>
      <c r="B334" s="751"/>
      <c r="C334" s="751"/>
      <c r="D334" s="751"/>
      <c r="E334" s="751"/>
      <c r="F334" s="751"/>
      <c r="G334" s="751"/>
      <c r="H334" s="751"/>
      <c r="I334" s="751" t="n">
        <f aca="false">I550</f>
        <v>0</v>
      </c>
      <c r="J334" s="751" t="n">
        <f aca="false">J550</f>
        <v>0</v>
      </c>
      <c r="K334" s="751" t="n">
        <f aca="false">K550</f>
        <v>0</v>
      </c>
      <c r="L334" s="751" t="n">
        <f aca="false">L550</f>
        <v>0</v>
      </c>
      <c r="M334" s="751" t="n">
        <f aca="false">M550</f>
        <v>0</v>
      </c>
      <c r="N334" s="751" t="n">
        <f aca="false">N550</f>
        <v>0</v>
      </c>
      <c r="O334" s="751" t="n">
        <f aca="false">O550</f>
        <v>0</v>
      </c>
      <c r="P334" s="751" t="n">
        <f aca="false">P550</f>
        <v>0</v>
      </c>
      <c r="Q334" s="751" t="n">
        <f aca="false">Q550</f>
        <v>0</v>
      </c>
      <c r="R334" s="751" t="n">
        <f aca="false">R550</f>
        <v>0</v>
      </c>
      <c r="S334" s="751" t="n">
        <f aca="false">S550</f>
        <v>0</v>
      </c>
      <c r="T334" s="751" t="n">
        <f aca="false">T550</f>
        <v>0</v>
      </c>
      <c r="U334" s="751" t="n">
        <f aca="false">U550</f>
        <v>0</v>
      </c>
      <c r="V334" s="751" t="n">
        <f aca="false">V550</f>
        <v>0</v>
      </c>
      <c r="W334" s="751" t="n">
        <f aca="false">W550</f>
        <v>0</v>
      </c>
      <c r="X334" s="751" t="n">
        <f aca="false">X550</f>
        <v>0</v>
      </c>
      <c r="Y334" s="751" t="n">
        <f aca="false">Y550</f>
        <v>0</v>
      </c>
      <c r="Z334" s="751" t="n">
        <f aca="false">Z550</f>
        <v>0</v>
      </c>
      <c r="AA334" s="751" t="n">
        <f aca="false">AA550</f>
        <v>0</v>
      </c>
      <c r="AB334" s="751" t="n">
        <f aca="false">AB550</f>
        <v>0</v>
      </c>
      <c r="AC334" s="751" t="n">
        <f aca="false">AC550</f>
        <v>0</v>
      </c>
      <c r="AD334" s="751" t="n">
        <f aca="false">AD550</f>
        <v>0</v>
      </c>
      <c r="AE334" s="751" t="n">
        <f aca="false">AE550</f>
        <v>0</v>
      </c>
      <c r="AF334" s="751" t="n">
        <f aca="false">AF550</f>
        <v>0</v>
      </c>
      <c r="AG334" s="751"/>
    </row>
    <row r="335" customFormat="false" ht="11.25" hidden="false" customHeight="false" outlineLevel="0" collapsed="false">
      <c r="A335" s="934" t="s">
        <v>799</v>
      </c>
      <c r="B335" s="751"/>
      <c r="C335" s="751"/>
      <c r="D335" s="751"/>
      <c r="E335" s="751"/>
      <c r="F335" s="751"/>
      <c r="G335" s="950"/>
      <c r="H335" s="950"/>
      <c r="I335" s="950" t="n">
        <f aca="false">I614</f>
        <v>0</v>
      </c>
      <c r="J335" s="950" t="n">
        <f aca="false">J614</f>
        <v>0</v>
      </c>
      <c r="K335" s="950" t="n">
        <f aca="false">K614</f>
        <v>0</v>
      </c>
      <c r="L335" s="950" t="n">
        <f aca="false">L614</f>
        <v>0</v>
      </c>
      <c r="M335" s="950" t="n">
        <f aca="false">M614</f>
        <v>0</v>
      </c>
      <c r="N335" s="950" t="n">
        <f aca="false">N614</f>
        <v>0</v>
      </c>
      <c r="O335" s="950" t="n">
        <f aca="false">O614</f>
        <v>0</v>
      </c>
      <c r="P335" s="950" t="n">
        <f aca="false">P614</f>
        <v>0</v>
      </c>
      <c r="Q335" s="950" t="n">
        <f aca="false">Q614</f>
        <v>0</v>
      </c>
      <c r="R335" s="950" t="n">
        <f aca="false">R614</f>
        <v>0</v>
      </c>
      <c r="S335" s="950" t="n">
        <f aca="false">S614</f>
        <v>0</v>
      </c>
      <c r="T335" s="950" t="n">
        <f aca="false">T614</f>
        <v>0</v>
      </c>
      <c r="U335" s="950" t="n">
        <f aca="false">U614</f>
        <v>0</v>
      </c>
      <c r="V335" s="950" t="n">
        <f aca="false">V614</f>
        <v>0</v>
      </c>
      <c r="W335" s="950" t="n">
        <f aca="false">W614</f>
        <v>0</v>
      </c>
      <c r="X335" s="950" t="n">
        <f aca="false">X614</f>
        <v>0</v>
      </c>
      <c r="Y335" s="950" t="n">
        <f aca="false">Y614</f>
        <v>0</v>
      </c>
      <c r="Z335" s="950" t="n">
        <f aca="false">Z614</f>
        <v>0</v>
      </c>
      <c r="AA335" s="950" t="n">
        <f aca="false">AA614</f>
        <v>0</v>
      </c>
      <c r="AB335" s="950" t="n">
        <f aca="false">AB614</f>
        <v>0</v>
      </c>
      <c r="AC335" s="950" t="n">
        <f aca="false">AC614</f>
        <v>0</v>
      </c>
      <c r="AD335" s="950" t="n">
        <f aca="false">AD614</f>
        <v>0</v>
      </c>
      <c r="AE335" s="950" t="n">
        <f aca="false">AE614</f>
        <v>0</v>
      </c>
      <c r="AF335" s="950" t="n">
        <f aca="false">AF614</f>
        <v>0</v>
      </c>
      <c r="AG335" s="751"/>
    </row>
    <row r="336" customFormat="false" ht="11.25" hidden="false" customHeight="false" outlineLevel="0" collapsed="false">
      <c r="A336" s="955" t="s">
        <v>800</v>
      </c>
      <c r="B336" s="751"/>
      <c r="C336" s="751"/>
      <c r="D336" s="751"/>
      <c r="E336" s="751"/>
      <c r="F336" s="751"/>
      <c r="G336" s="950"/>
      <c r="H336" s="958"/>
      <c r="I336" s="958" t="e">
        <f aca="false">SUM(I330:I335)</f>
        <v>#VALUE!</v>
      </c>
      <c r="J336" s="958" t="e">
        <f aca="false">SUM(J330:J335)</f>
        <v>#VALUE!</v>
      </c>
      <c r="K336" s="958" t="e">
        <f aca="false">SUM(K330:K335)</f>
        <v>#VALUE!</v>
      </c>
      <c r="L336" s="958" t="e">
        <f aca="false">SUM(L330:L335)</f>
        <v>#VALUE!</v>
      </c>
      <c r="M336" s="958" t="e">
        <f aca="false">SUM(M330:M335)</f>
        <v>#VALUE!</v>
      </c>
      <c r="N336" s="958" t="e">
        <f aca="false">SUM(N330:N335)</f>
        <v>#VALUE!</v>
      </c>
      <c r="O336" s="958" t="e">
        <f aca="false">SUM(O330:O335)</f>
        <v>#VALUE!</v>
      </c>
      <c r="P336" s="958" t="e">
        <f aca="false">SUM(P330:P335)</f>
        <v>#VALUE!</v>
      </c>
      <c r="Q336" s="958" t="e">
        <f aca="false">SUM(Q330:Q335)</f>
        <v>#VALUE!</v>
      </c>
      <c r="R336" s="958" t="e">
        <f aca="false">SUM(R330:R335)</f>
        <v>#VALUE!</v>
      </c>
      <c r="S336" s="958" t="e">
        <f aca="false">SUM(S330:S335)</f>
        <v>#VALUE!</v>
      </c>
      <c r="T336" s="958" t="e">
        <f aca="false">SUM(T330:T335)</f>
        <v>#VALUE!</v>
      </c>
      <c r="U336" s="958" t="e">
        <f aca="false">SUM(U330:U335)</f>
        <v>#VALUE!</v>
      </c>
      <c r="V336" s="958" t="e">
        <f aca="false">SUM(V330:V335)</f>
        <v>#VALUE!</v>
      </c>
      <c r="W336" s="958" t="e">
        <f aca="false">SUM(W330:W335)</f>
        <v>#VALUE!</v>
      </c>
      <c r="X336" s="958" t="e">
        <f aca="false">SUM(X330:X335)</f>
        <v>#VALUE!</v>
      </c>
      <c r="Y336" s="958" t="e">
        <f aca="false">SUM(Y330:Y335)</f>
        <v>#VALUE!</v>
      </c>
      <c r="Z336" s="958" t="e">
        <f aca="false">SUM(Z330:Z335)</f>
        <v>#VALUE!</v>
      </c>
      <c r="AA336" s="958" t="e">
        <f aca="false">SUM(AA330:AA335)</f>
        <v>#VALUE!</v>
      </c>
      <c r="AB336" s="958" t="e">
        <f aca="false">SUM(AB330:AB335)</f>
        <v>#VALUE!</v>
      </c>
      <c r="AC336" s="958" t="e">
        <f aca="false">SUM(AC330:AC335)</f>
        <v>#VALUE!</v>
      </c>
      <c r="AD336" s="958" t="e">
        <f aca="false">SUM(AD330:AD335)</f>
        <v>#VALUE!</v>
      </c>
      <c r="AE336" s="958" t="e">
        <f aca="false">SUM(AE330:AE335)</f>
        <v>#VALUE!</v>
      </c>
      <c r="AF336" s="958" t="e">
        <f aca="false">SUM(AF330:AF335)</f>
        <v>#VALUE!</v>
      </c>
      <c r="AG336" s="751"/>
    </row>
    <row r="337" customFormat="false" ht="11.25" hidden="false" customHeight="false" outlineLevel="0" collapsed="false">
      <c r="A337" s="751"/>
      <c r="B337" s="751"/>
      <c r="C337" s="751"/>
      <c r="D337" s="751"/>
      <c r="E337" s="751"/>
      <c r="F337" s="751"/>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751"/>
    </row>
    <row r="338" customFormat="false" ht="11.25" hidden="false" customHeight="false" outlineLevel="0" collapsed="false">
      <c r="A338" s="955" t="s">
        <v>801</v>
      </c>
      <c r="B338" s="751"/>
      <c r="C338" s="751"/>
      <c r="D338" s="751"/>
      <c r="E338" s="751"/>
      <c r="F338" s="751"/>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751"/>
    </row>
    <row r="339" customFormat="false" ht="11.25" hidden="false" customHeight="false" outlineLevel="0" collapsed="false">
      <c r="A339" s="751" t="s">
        <v>661</v>
      </c>
      <c r="B339" s="751"/>
      <c r="C339" s="751"/>
      <c r="D339" s="751"/>
      <c r="E339" s="751"/>
      <c r="F339" s="751"/>
      <c r="G339" s="950"/>
      <c r="H339" s="950" t="n">
        <f aca="false">H458+H459+H460</f>
        <v>528200.374360615</v>
      </c>
      <c r="I339" s="950" t="n">
        <f aca="false">I729-H339</f>
        <v>0</v>
      </c>
      <c r="J339" s="950" t="n">
        <f aca="false">J729</f>
        <v>0</v>
      </c>
      <c r="K339" s="950" t="n">
        <f aca="false">K729</f>
        <v>0</v>
      </c>
      <c r="L339" s="950" t="n">
        <f aca="false">L729</f>
        <v>0</v>
      </c>
      <c r="M339" s="950" t="n">
        <f aca="false">M729</f>
        <v>0</v>
      </c>
      <c r="N339" s="950" t="n">
        <f aca="false">N729</f>
        <v>0</v>
      </c>
      <c r="O339" s="950" t="n">
        <f aca="false">O729</f>
        <v>0</v>
      </c>
      <c r="P339" s="950" t="n">
        <f aca="false">P729</f>
        <v>0</v>
      </c>
      <c r="Q339" s="950" t="n">
        <f aca="false">Q729</f>
        <v>0</v>
      </c>
      <c r="R339" s="950" t="n">
        <f aca="false">R729</f>
        <v>0</v>
      </c>
      <c r="S339" s="950" t="n">
        <f aca="false">S729</f>
        <v>0</v>
      </c>
      <c r="T339" s="950" t="n">
        <f aca="false">T729</f>
        <v>0</v>
      </c>
      <c r="U339" s="950" t="n">
        <f aca="false">U729</f>
        <v>0</v>
      </c>
      <c r="V339" s="950" t="n">
        <f aca="false">V729</f>
        <v>0</v>
      </c>
      <c r="W339" s="950" t="n">
        <f aca="false">W729</f>
        <v>0</v>
      </c>
      <c r="X339" s="950" t="n">
        <f aca="false">X729</f>
        <v>0</v>
      </c>
      <c r="Y339" s="950" t="n">
        <f aca="false">Y729</f>
        <v>0</v>
      </c>
      <c r="Z339" s="950" t="n">
        <f aca="false">Z729</f>
        <v>0</v>
      </c>
      <c r="AA339" s="950" t="n">
        <f aca="false">AA729</f>
        <v>0</v>
      </c>
      <c r="AB339" s="950" t="n">
        <f aca="false">AB729</f>
        <v>0</v>
      </c>
      <c r="AC339" s="950" t="n">
        <f aca="false">AC729</f>
        <v>0</v>
      </c>
      <c r="AD339" s="950" t="n">
        <f aca="false">AD729</f>
        <v>0</v>
      </c>
      <c r="AE339" s="950" t="n">
        <f aca="false">AE729</f>
        <v>0</v>
      </c>
      <c r="AF339" s="950" t="n">
        <f aca="false">AF729</f>
        <v>0</v>
      </c>
      <c r="AG339" s="751"/>
    </row>
    <row r="340" customFormat="false" ht="11.25" hidden="false" customHeight="false" outlineLevel="0" collapsed="false">
      <c r="A340" s="751" t="str">
        <f aca="false">B463</f>
        <v>Transaction Fees</v>
      </c>
      <c r="B340" s="751"/>
      <c r="C340" s="751"/>
      <c r="D340" s="751"/>
      <c r="E340" s="751"/>
      <c r="F340" s="751"/>
      <c r="G340" s="950"/>
      <c r="H340" s="950" t="e">
        <f aca="false">H463</f>
        <v>#VALUE!</v>
      </c>
      <c r="I340" s="972" t="n">
        <v>0</v>
      </c>
      <c r="J340" s="972" t="n">
        <v>0</v>
      </c>
      <c r="K340" s="973" t="n">
        <f aca="false">+Debt!Q19</f>
        <v>0</v>
      </c>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751"/>
    </row>
    <row r="341" customFormat="false" ht="11.25" hidden="false" customHeight="false" outlineLevel="0" collapsed="false">
      <c r="A341" s="934" t="s">
        <v>802</v>
      </c>
      <c r="B341" s="751"/>
      <c r="C341" s="751"/>
      <c r="D341" s="974"/>
      <c r="E341" s="974"/>
      <c r="F341" s="974"/>
      <c r="G341" s="950"/>
      <c r="H341" s="950" t="e">
        <f aca="false">+H546-G546</f>
        <v>#VALUE!</v>
      </c>
      <c r="I341" s="950" t="e">
        <f aca="false">I546-H546</f>
        <v>#VALUE!</v>
      </c>
      <c r="J341" s="950" t="e">
        <f aca="false">J546-I546</f>
        <v>#VALUE!</v>
      </c>
      <c r="K341" s="950" t="e">
        <f aca="false">K546-J546</f>
        <v>#VALUE!</v>
      </c>
      <c r="L341" s="950" t="e">
        <f aca="false">L546-K546</f>
        <v>#VALUE!</v>
      </c>
      <c r="M341" s="950" t="e">
        <f aca="false">M546-L546</f>
        <v>#VALUE!</v>
      </c>
      <c r="N341" s="950" t="e">
        <f aca="false">N546-M546</f>
        <v>#VALUE!</v>
      </c>
      <c r="O341" s="950" t="e">
        <f aca="false">O546-N546</f>
        <v>#VALUE!</v>
      </c>
      <c r="P341" s="950" t="e">
        <f aca="false">P546-O546</f>
        <v>#VALUE!</v>
      </c>
      <c r="Q341" s="950" t="e">
        <f aca="false">Q546-P546</f>
        <v>#VALUE!</v>
      </c>
      <c r="R341" s="950" t="e">
        <f aca="false">R546-Q546</f>
        <v>#VALUE!</v>
      </c>
      <c r="S341" s="950" t="e">
        <f aca="false">S546-R546</f>
        <v>#VALUE!</v>
      </c>
      <c r="T341" s="950" t="e">
        <f aca="false">T546-S546</f>
        <v>#VALUE!</v>
      </c>
      <c r="U341" s="950" t="e">
        <f aca="false">U546-T546</f>
        <v>#VALUE!</v>
      </c>
      <c r="V341" s="950" t="e">
        <f aca="false">V546-U546</f>
        <v>#VALUE!</v>
      </c>
      <c r="W341" s="950" t="e">
        <f aca="false">W546-V546</f>
        <v>#VALUE!</v>
      </c>
      <c r="X341" s="950" t="e">
        <f aca="false">X546-W546</f>
        <v>#VALUE!</v>
      </c>
      <c r="Y341" s="950" t="e">
        <f aca="false">Y546-X546</f>
        <v>#VALUE!</v>
      </c>
      <c r="Z341" s="950" t="e">
        <f aca="false">Z546-Y546</f>
        <v>#VALUE!</v>
      </c>
      <c r="AA341" s="950" t="e">
        <f aca="false">AA546-Z546</f>
        <v>#VALUE!</v>
      </c>
      <c r="AB341" s="950" t="e">
        <f aca="false">AB546-AA546</f>
        <v>#VALUE!</v>
      </c>
      <c r="AC341" s="950" t="e">
        <f aca="false">AC546-AB546</f>
        <v>#VALUE!</v>
      </c>
      <c r="AD341" s="950" t="e">
        <f aca="false">AD546-AC546</f>
        <v>#VALUE!</v>
      </c>
      <c r="AE341" s="950" t="n">
        <f aca="false">AE546-AD546</f>
        <v>0</v>
      </c>
      <c r="AF341" s="950" t="n">
        <f aca="false">AF546-AE546</f>
        <v>0</v>
      </c>
      <c r="AG341" s="751"/>
    </row>
    <row r="342" customFormat="false" ht="11.25" hidden="false" customHeight="false" outlineLevel="0" collapsed="false">
      <c r="A342" s="751" t="str">
        <f aca="false">A559</f>
        <v>Increase/(Decrease) in Other Assets (DS Reserve)</v>
      </c>
      <c r="B342" s="751"/>
      <c r="C342" s="751"/>
      <c r="D342" s="751"/>
      <c r="E342" s="751"/>
      <c r="F342" s="751"/>
      <c r="G342" s="751"/>
      <c r="H342" s="751" t="n">
        <f aca="false">+H559-G559</f>
        <v>0</v>
      </c>
      <c r="I342" s="751" t="e">
        <f aca="false">I559</f>
        <v>#VALUE!</v>
      </c>
      <c r="J342" s="751" t="e">
        <f aca="false">J559</f>
        <v>#VALUE!</v>
      </c>
      <c r="K342" s="751" t="e">
        <f aca="false">K559</f>
        <v>#VALUE!</v>
      </c>
      <c r="L342" s="751" t="e">
        <f aca="false">L559</f>
        <v>#VALUE!</v>
      </c>
      <c r="M342" s="751" t="e">
        <f aca="false">M559</f>
        <v>#VALUE!</v>
      </c>
      <c r="N342" s="751" t="e">
        <f aca="false">N559</f>
        <v>#VALUE!</v>
      </c>
      <c r="O342" s="751" t="e">
        <f aca="false">O559</f>
        <v>#VALUE!</v>
      </c>
      <c r="P342" s="751" t="e">
        <f aca="false">P559</f>
        <v>#VALUE!</v>
      </c>
      <c r="Q342" s="751" t="e">
        <f aca="false">Q559</f>
        <v>#VALUE!</v>
      </c>
      <c r="R342" s="751" t="e">
        <f aca="false">R559</f>
        <v>#VALUE!</v>
      </c>
      <c r="S342" s="751" t="e">
        <f aca="false">S559</f>
        <v>#VALUE!</v>
      </c>
      <c r="T342" s="751" t="e">
        <f aca="false">T559</f>
        <v>#VALUE!</v>
      </c>
      <c r="U342" s="751" t="e">
        <f aca="false">U559</f>
        <v>#VALUE!</v>
      </c>
      <c r="V342" s="751" t="e">
        <f aca="false">V559</f>
        <v>#VALUE!</v>
      </c>
      <c r="W342" s="751" t="e">
        <f aca="false">W559</f>
        <v>#VALUE!</v>
      </c>
      <c r="X342" s="751" t="e">
        <f aca="false">X559</f>
        <v>#VALUE!</v>
      </c>
      <c r="Y342" s="751" t="e">
        <f aca="false">Y559</f>
        <v>#VALUE!</v>
      </c>
      <c r="Z342" s="751" t="e">
        <f aca="false">Z559</f>
        <v>#VALUE!</v>
      </c>
      <c r="AA342" s="751" t="e">
        <f aca="false">AA559</f>
        <v>#VALUE!</v>
      </c>
      <c r="AB342" s="751" t="e">
        <f aca="false">AB559</f>
        <v>#VALUE!</v>
      </c>
      <c r="AC342" s="751" t="e">
        <f aca="false">AC559</f>
        <v>#VALUE!</v>
      </c>
      <c r="AD342" s="751" t="e">
        <f aca="false">AD559</f>
        <v>#VALUE!</v>
      </c>
      <c r="AE342" s="751" t="e">
        <f aca="false">AE559</f>
        <v>#VALUE!</v>
      </c>
      <c r="AF342" s="751" t="e">
        <f aca="false">AF559</f>
        <v>#VALUE!</v>
      </c>
      <c r="AG342" s="751"/>
    </row>
    <row r="343" customFormat="false" ht="11.25" hidden="false" customHeight="false" outlineLevel="0" collapsed="false">
      <c r="A343" s="934" t="s">
        <v>803</v>
      </c>
      <c r="B343" s="934" t="str">
        <f aca="false">B451</f>
        <v>Purchase Term Loan</v>
      </c>
      <c r="C343" s="751"/>
      <c r="D343" s="751"/>
      <c r="E343" s="751"/>
      <c r="F343" s="751"/>
      <c r="G343" s="950"/>
      <c r="H343" s="950"/>
      <c r="I343" s="950" t="n">
        <f aca="false">I564</f>
        <v>-0</v>
      </c>
      <c r="J343" s="950" t="n">
        <f aca="false">J564</f>
        <v>-0</v>
      </c>
      <c r="K343" s="950" t="n">
        <f aca="false">K564</f>
        <v>-0</v>
      </c>
      <c r="L343" s="950" t="n">
        <f aca="false">L564</f>
        <v>-0</v>
      </c>
      <c r="M343" s="950" t="n">
        <f aca="false">M564</f>
        <v>-0</v>
      </c>
      <c r="N343" s="950" t="n">
        <f aca="false">N564</f>
        <v>-0</v>
      </c>
      <c r="O343" s="950" t="n">
        <f aca="false">O564</f>
        <v>-0</v>
      </c>
      <c r="P343" s="950" t="n">
        <f aca="false">P564</f>
        <v>-0</v>
      </c>
      <c r="Q343" s="950" t="n">
        <f aca="false">Q564</f>
        <v>-0</v>
      </c>
      <c r="R343" s="950" t="n">
        <f aca="false">R564</f>
        <v>-0</v>
      </c>
      <c r="S343" s="950" t="n">
        <f aca="false">S564</f>
        <v>-0</v>
      </c>
      <c r="T343" s="950" t="n">
        <f aca="false">T564</f>
        <v>-0</v>
      </c>
      <c r="U343" s="950" t="n">
        <f aca="false">U564</f>
        <v>-0</v>
      </c>
      <c r="V343" s="950" t="n">
        <f aca="false">V564</f>
        <v>-0</v>
      </c>
      <c r="W343" s="950" t="n">
        <f aca="false">W564</f>
        <v>-0</v>
      </c>
      <c r="X343" s="950" t="n">
        <f aca="false">X564</f>
        <v>-0</v>
      </c>
      <c r="Y343" s="950" t="n">
        <f aca="false">Y564</f>
        <v>-0</v>
      </c>
      <c r="Z343" s="950" t="n">
        <f aca="false">Z564</f>
        <v>-0</v>
      </c>
      <c r="AA343" s="950" t="n">
        <f aca="false">AA564</f>
        <v>-0</v>
      </c>
      <c r="AB343" s="950" t="n">
        <f aca="false">AB564</f>
        <v>-0</v>
      </c>
      <c r="AC343" s="950" t="n">
        <f aca="false">AC564</f>
        <v>-0</v>
      </c>
      <c r="AD343" s="950" t="n">
        <f aca="false">AD564</f>
        <v>-0</v>
      </c>
      <c r="AE343" s="950" t="n">
        <f aca="false">AE564</f>
        <v>-0</v>
      </c>
      <c r="AF343" s="950" t="n">
        <f aca="false">AF564</f>
        <v>-0</v>
      </c>
      <c r="AG343" s="751"/>
    </row>
    <row r="344" customFormat="false" ht="11.25" hidden="false" customHeight="false" outlineLevel="0" collapsed="false">
      <c r="A344" s="934" t="s">
        <v>803</v>
      </c>
      <c r="B344" s="934" t="str">
        <f aca="false">B452</f>
        <v>Scrubber Term Loan</v>
      </c>
      <c r="C344" s="751"/>
      <c r="D344" s="751"/>
      <c r="E344" s="751"/>
      <c r="F344" s="751"/>
      <c r="G344" s="950"/>
      <c r="H344" s="950"/>
      <c r="I344" s="950" t="n">
        <f aca="false">I572</f>
        <v>0</v>
      </c>
      <c r="J344" s="950" t="n">
        <f aca="false">J572</f>
        <v>0</v>
      </c>
      <c r="K344" s="950" t="n">
        <f aca="false">K572</f>
        <v>0</v>
      </c>
      <c r="L344" s="950" t="n">
        <f aca="false">L572</f>
        <v>-0</v>
      </c>
      <c r="M344" s="950" t="n">
        <f aca="false">M572</f>
        <v>-0</v>
      </c>
      <c r="N344" s="950" t="n">
        <f aca="false">N572</f>
        <v>-0</v>
      </c>
      <c r="O344" s="950" t="n">
        <f aca="false">O572</f>
        <v>-0</v>
      </c>
      <c r="P344" s="950" t="n">
        <f aca="false">P572</f>
        <v>-0</v>
      </c>
      <c r="Q344" s="950" t="n">
        <f aca="false">Q572</f>
        <v>-0</v>
      </c>
      <c r="R344" s="950" t="n">
        <f aca="false">R572</f>
        <v>-0</v>
      </c>
      <c r="S344" s="950" t="n">
        <f aca="false">S572</f>
        <v>-0</v>
      </c>
      <c r="T344" s="950" t="n">
        <f aca="false">T572</f>
        <v>-0</v>
      </c>
      <c r="U344" s="950" t="n">
        <f aca="false">U572</f>
        <v>-0</v>
      </c>
      <c r="V344" s="950" t="n">
        <f aca="false">V572</f>
        <v>-0</v>
      </c>
      <c r="W344" s="950" t="n">
        <f aca="false">W572</f>
        <v>-0</v>
      </c>
      <c r="X344" s="950" t="n">
        <f aca="false">X572</f>
        <v>-0</v>
      </c>
      <c r="Y344" s="950" t="n">
        <f aca="false">Y572</f>
        <v>-0</v>
      </c>
      <c r="Z344" s="950" t="n">
        <f aca="false">Z572</f>
        <v>-0</v>
      </c>
      <c r="AA344" s="950" t="n">
        <f aca="false">AA572</f>
        <v>-0</v>
      </c>
      <c r="AB344" s="950" t="n">
        <f aca="false">AB572</f>
        <v>-0</v>
      </c>
      <c r="AC344" s="950" t="n">
        <f aca="false">AC572</f>
        <v>-0</v>
      </c>
      <c r="AD344" s="950" t="n">
        <f aca="false">AD572</f>
        <v>-0</v>
      </c>
      <c r="AE344" s="950" t="n">
        <f aca="false">AE572</f>
        <v>-0</v>
      </c>
      <c r="AF344" s="950" t="n">
        <f aca="false">AF572</f>
        <v>-0</v>
      </c>
      <c r="AG344" s="751"/>
    </row>
    <row r="345" customFormat="false" ht="11.25" hidden="false" customHeight="false" outlineLevel="0" collapsed="false">
      <c r="A345" s="934" t="s">
        <v>804</v>
      </c>
      <c r="B345" s="751"/>
      <c r="C345" s="751"/>
      <c r="D345" s="751"/>
      <c r="E345" s="751"/>
      <c r="F345" s="751"/>
      <c r="G345" s="950"/>
      <c r="H345" s="950" t="n">
        <f aca="false">H462+H461</f>
        <v>0</v>
      </c>
      <c r="I345" s="950" t="e">
        <f aca="false">+I322+I579</f>
        <v>#VALUE!</v>
      </c>
      <c r="J345" s="950" t="e">
        <f aca="false">+J322+J579</f>
        <v>#VALUE!</v>
      </c>
      <c r="K345" s="950" t="e">
        <f aca="false">+K322+K579</f>
        <v>#VALUE!</v>
      </c>
      <c r="L345" s="950" t="e">
        <f aca="false">+L322+L579</f>
        <v>#VALUE!</v>
      </c>
      <c r="M345" s="950" t="e">
        <f aca="false">+M322+M579</f>
        <v>#VALUE!</v>
      </c>
      <c r="N345" s="950" t="e">
        <f aca="false">+N322+N579</f>
        <v>#VALUE!</v>
      </c>
      <c r="O345" s="950" t="e">
        <f aca="false">+O322+O579</f>
        <v>#VALUE!</v>
      </c>
      <c r="P345" s="950" t="e">
        <f aca="false">+P322+P579</f>
        <v>#VALUE!</v>
      </c>
      <c r="Q345" s="950" t="e">
        <f aca="false">+Q322+Q579</f>
        <v>#VALUE!</v>
      </c>
      <c r="R345" s="950" t="e">
        <f aca="false">+R322+R579</f>
        <v>#VALUE!</v>
      </c>
      <c r="S345" s="950" t="e">
        <f aca="false">+S322+S579</f>
        <v>#VALUE!</v>
      </c>
      <c r="T345" s="950" t="e">
        <f aca="false">+T322+T579</f>
        <v>#VALUE!</v>
      </c>
      <c r="U345" s="950" t="e">
        <f aca="false">+U322+U579</f>
        <v>#VALUE!</v>
      </c>
      <c r="V345" s="950" t="e">
        <f aca="false">+V322+V579</f>
        <v>#VALUE!</v>
      </c>
      <c r="W345" s="950" t="e">
        <f aca="false">+W322+W579</f>
        <v>#VALUE!</v>
      </c>
      <c r="X345" s="950" t="e">
        <f aca="false">+X322+X579</f>
        <v>#VALUE!</v>
      </c>
      <c r="Y345" s="950" t="e">
        <f aca="false">+Y322+Y579</f>
        <v>#VALUE!</v>
      </c>
      <c r="Z345" s="950" t="e">
        <f aca="false">+Z322+Z579</f>
        <v>#VALUE!</v>
      </c>
      <c r="AA345" s="950" t="e">
        <f aca="false">+AA322+AA579</f>
        <v>#VALUE!</v>
      </c>
      <c r="AB345" s="950" t="e">
        <f aca="false">+AB322+AB579</f>
        <v>#VALUE!</v>
      </c>
      <c r="AC345" s="950" t="e">
        <f aca="false">+AC322+AC579</f>
        <v>#VALUE!</v>
      </c>
      <c r="AD345" s="950" t="e">
        <f aca="false">+AD322+AD579</f>
        <v>#VALUE!</v>
      </c>
      <c r="AE345" s="950" t="e">
        <f aca="false">+AE322+AE579</f>
        <v>#VALUE!</v>
      </c>
      <c r="AF345" s="950" t="e">
        <f aca="false">+AF322+AF579</f>
        <v>#VALUE!</v>
      </c>
      <c r="AG345" s="751"/>
    </row>
    <row r="346" customFormat="false" ht="11.25" hidden="false" customHeight="false" outlineLevel="0" collapsed="false">
      <c r="A346" s="955" t="s">
        <v>805</v>
      </c>
      <c r="B346" s="751"/>
      <c r="C346" s="751"/>
      <c r="D346" s="751"/>
      <c r="E346" s="751"/>
      <c r="F346" s="751"/>
      <c r="G346" s="950"/>
      <c r="H346" s="958" t="e">
        <f aca="false">SUM(H339:H345)</f>
        <v>#VALUE!</v>
      </c>
      <c r="I346" s="958" t="e">
        <f aca="false">SUM(I339:I345)</f>
        <v>#VALUE!</v>
      </c>
      <c r="J346" s="958" t="e">
        <f aca="false">SUM(J339:J345)</f>
        <v>#VALUE!</v>
      </c>
      <c r="K346" s="958" t="e">
        <f aca="false">SUM(K339:K345)</f>
        <v>#VALUE!</v>
      </c>
      <c r="L346" s="958" t="e">
        <f aca="false">SUM(L339:L345)</f>
        <v>#VALUE!</v>
      </c>
      <c r="M346" s="958" t="e">
        <f aca="false">SUM(M339:M345)</f>
        <v>#VALUE!</v>
      </c>
      <c r="N346" s="958" t="e">
        <f aca="false">SUM(N339:N345)</f>
        <v>#VALUE!</v>
      </c>
      <c r="O346" s="958" t="e">
        <f aca="false">SUM(O339:O345)</f>
        <v>#VALUE!</v>
      </c>
      <c r="P346" s="958" t="e">
        <f aca="false">SUM(P339:P345)</f>
        <v>#VALUE!</v>
      </c>
      <c r="Q346" s="958" t="e">
        <f aca="false">SUM(Q339:Q345)</f>
        <v>#VALUE!</v>
      </c>
      <c r="R346" s="958" t="e">
        <f aca="false">SUM(R339:R345)</f>
        <v>#VALUE!</v>
      </c>
      <c r="S346" s="958" t="e">
        <f aca="false">SUM(S339:S345)</f>
        <v>#VALUE!</v>
      </c>
      <c r="T346" s="958" t="e">
        <f aca="false">SUM(T339:T345)</f>
        <v>#VALUE!</v>
      </c>
      <c r="U346" s="958" t="e">
        <f aca="false">SUM(U339:U345)</f>
        <v>#VALUE!</v>
      </c>
      <c r="V346" s="958" t="e">
        <f aca="false">SUM(V339:V345)</f>
        <v>#VALUE!</v>
      </c>
      <c r="W346" s="958" t="e">
        <f aca="false">SUM(W339:W345)</f>
        <v>#VALUE!</v>
      </c>
      <c r="X346" s="958" t="e">
        <f aca="false">SUM(X339:X345)</f>
        <v>#VALUE!</v>
      </c>
      <c r="Y346" s="958" t="e">
        <f aca="false">SUM(Y339:Y345)</f>
        <v>#VALUE!</v>
      </c>
      <c r="Z346" s="958" t="e">
        <f aca="false">SUM(Z339:Z345)</f>
        <v>#VALUE!</v>
      </c>
      <c r="AA346" s="958" t="e">
        <f aca="false">SUM(AA339:AA345)</f>
        <v>#VALUE!</v>
      </c>
      <c r="AB346" s="958" t="e">
        <f aca="false">SUM(AB339:AB345)</f>
        <v>#VALUE!</v>
      </c>
      <c r="AC346" s="958" t="e">
        <f aca="false">SUM(AC339:AC345)</f>
        <v>#VALUE!</v>
      </c>
      <c r="AD346" s="958" t="e">
        <f aca="false">SUM(AD339:AD345)</f>
        <v>#VALUE!</v>
      </c>
      <c r="AE346" s="958" t="e">
        <f aca="false">SUM(AE339:AE345)</f>
        <v>#VALUE!</v>
      </c>
      <c r="AF346" s="958" t="e">
        <f aca="false">SUM(AF339:AF345)</f>
        <v>#VALUE!</v>
      </c>
      <c r="AG346" s="751"/>
    </row>
    <row r="347" customFormat="false" ht="11.25" hidden="false" customHeight="false" outlineLevel="0" collapsed="false">
      <c r="A347" s="751"/>
      <c r="B347" s="751"/>
      <c r="C347" s="751"/>
      <c r="D347" s="751"/>
      <c r="E347" s="751"/>
      <c r="F347" s="751"/>
      <c r="G347" s="751"/>
      <c r="H347" s="751"/>
      <c r="I347" s="751"/>
      <c r="J347" s="751"/>
      <c r="K347" s="751"/>
      <c r="L347" s="751"/>
      <c r="M347" s="751"/>
      <c r="N347" s="751"/>
      <c r="O347" s="751"/>
      <c r="P347" s="751"/>
      <c r="Q347" s="751"/>
      <c r="R347" s="751"/>
      <c r="S347" s="751"/>
      <c r="T347" s="751"/>
      <c r="U347" s="751"/>
      <c r="V347" s="751"/>
      <c r="W347" s="751"/>
      <c r="X347" s="751"/>
      <c r="Y347" s="751"/>
      <c r="Z347" s="751"/>
      <c r="AA347" s="751"/>
      <c r="AB347" s="751"/>
      <c r="AC347" s="751"/>
      <c r="AD347" s="751"/>
      <c r="AE347" s="751"/>
      <c r="AF347" s="751"/>
      <c r="AG347" s="751"/>
    </row>
    <row r="348" customFormat="false" ht="11.25" hidden="false" customHeight="false" outlineLevel="0" collapsed="false">
      <c r="A348" s="955" t="s">
        <v>806</v>
      </c>
      <c r="B348" s="751"/>
      <c r="C348" s="751"/>
      <c r="D348" s="751"/>
      <c r="E348" s="751"/>
      <c r="F348" s="751"/>
      <c r="G348" s="950"/>
      <c r="H348" s="950" t="e">
        <f aca="false">H336-H346</f>
        <v>#VALUE!</v>
      </c>
      <c r="I348" s="950" t="e">
        <f aca="false">I336-I346</f>
        <v>#VALUE!</v>
      </c>
      <c r="J348" s="950" t="e">
        <f aca="false">J336-J346</f>
        <v>#VALUE!</v>
      </c>
      <c r="K348" s="950" t="e">
        <f aca="false">K336-K346</f>
        <v>#VALUE!</v>
      </c>
      <c r="L348" s="950" t="e">
        <f aca="false">L336-L346</f>
        <v>#VALUE!</v>
      </c>
      <c r="M348" s="950" t="e">
        <f aca="false">M336-M346</f>
        <v>#VALUE!</v>
      </c>
      <c r="N348" s="950" t="e">
        <f aca="false">N336-N346</f>
        <v>#VALUE!</v>
      </c>
      <c r="O348" s="950" t="e">
        <f aca="false">O336-O346</f>
        <v>#VALUE!</v>
      </c>
      <c r="P348" s="950" t="e">
        <f aca="false">P336-P346</f>
        <v>#VALUE!</v>
      </c>
      <c r="Q348" s="950" t="e">
        <f aca="false">Q336-Q346</f>
        <v>#VALUE!</v>
      </c>
      <c r="R348" s="950" t="e">
        <f aca="false">R336-R346</f>
        <v>#VALUE!</v>
      </c>
      <c r="S348" s="950" t="e">
        <f aca="false">S336-S346</f>
        <v>#VALUE!</v>
      </c>
      <c r="T348" s="950" t="e">
        <f aca="false">T336-T346</f>
        <v>#VALUE!</v>
      </c>
      <c r="U348" s="950" t="e">
        <f aca="false">U336-U346</f>
        <v>#VALUE!</v>
      </c>
      <c r="V348" s="950" t="e">
        <f aca="false">V336-V346</f>
        <v>#VALUE!</v>
      </c>
      <c r="W348" s="950" t="e">
        <f aca="false">W336-W346</f>
        <v>#VALUE!</v>
      </c>
      <c r="X348" s="950" t="e">
        <f aca="false">X336-X346</f>
        <v>#VALUE!</v>
      </c>
      <c r="Y348" s="950" t="e">
        <f aca="false">Y336-Y346</f>
        <v>#VALUE!</v>
      </c>
      <c r="Z348" s="950" t="e">
        <f aca="false">Z336-Z346</f>
        <v>#VALUE!</v>
      </c>
      <c r="AA348" s="950" t="e">
        <f aca="false">AA336-AA346</f>
        <v>#VALUE!</v>
      </c>
      <c r="AB348" s="950" t="e">
        <f aca="false">AB336-AB346</f>
        <v>#VALUE!</v>
      </c>
      <c r="AC348" s="950" t="e">
        <f aca="false">AC336-AC346</f>
        <v>#VALUE!</v>
      </c>
      <c r="AD348" s="950" t="e">
        <f aca="false">AD336-AD346</f>
        <v>#VALUE!</v>
      </c>
      <c r="AE348" s="950" t="e">
        <f aca="false">AE336-AE346</f>
        <v>#VALUE!</v>
      </c>
      <c r="AF348" s="950" t="e">
        <f aca="false">AF336-AF346</f>
        <v>#VALUE!</v>
      </c>
      <c r="AG348" s="751"/>
    </row>
    <row r="349" customFormat="false" ht="11.25" hidden="false" customHeight="false" outlineLevel="0" collapsed="false">
      <c r="A349" s="751"/>
      <c r="B349" s="751"/>
      <c r="C349" s="751"/>
      <c r="D349" s="751"/>
      <c r="E349" s="751"/>
      <c r="F349" s="751"/>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751"/>
    </row>
    <row r="350" customFormat="false" ht="11.25" hidden="false" customHeight="false" outlineLevel="0" collapsed="false">
      <c r="A350" s="955" t="s">
        <v>807</v>
      </c>
      <c r="B350" s="751"/>
      <c r="C350" s="751"/>
      <c r="D350" s="751"/>
      <c r="E350" s="751"/>
      <c r="F350" s="751"/>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751"/>
    </row>
    <row r="351" customFormat="false" ht="11.25" hidden="false" customHeight="false" outlineLevel="0" collapsed="false">
      <c r="A351" s="751" t="str">
        <f aca="false">B451</f>
        <v>Purchase Term Loan</v>
      </c>
      <c r="B351" s="751"/>
      <c r="C351" s="751"/>
      <c r="D351" s="751"/>
      <c r="E351" s="751"/>
      <c r="F351" s="751"/>
      <c r="G351" s="950"/>
      <c r="H351" s="950" t="e">
        <f aca="false">H451</f>
        <v>#VALUE!</v>
      </c>
      <c r="I351" s="950" t="n">
        <f aca="false">-I565</f>
        <v>-0</v>
      </c>
      <c r="J351" s="950" t="n">
        <f aca="false">-J565</f>
        <v>-0</v>
      </c>
      <c r="K351" s="950" t="n">
        <f aca="false">-K565</f>
        <v>-0</v>
      </c>
      <c r="L351" s="950" t="n">
        <f aca="false">-L565</f>
        <v>-0</v>
      </c>
      <c r="M351" s="950" t="n">
        <f aca="false">-M565</f>
        <v>-0</v>
      </c>
      <c r="N351" s="950" t="n">
        <f aca="false">-N565</f>
        <v>-0</v>
      </c>
      <c r="O351" s="950" t="n">
        <f aca="false">-O565</f>
        <v>-0</v>
      </c>
      <c r="P351" s="950" t="n">
        <f aca="false">-P565</f>
        <v>-0</v>
      </c>
      <c r="Q351" s="950" t="n">
        <f aca="false">-Q565</f>
        <v>-0</v>
      </c>
      <c r="R351" s="950" t="n">
        <f aca="false">-R565</f>
        <v>-0</v>
      </c>
      <c r="S351" s="950" t="n">
        <f aca="false">-S565</f>
        <v>-0</v>
      </c>
      <c r="T351" s="950" t="n">
        <f aca="false">-T565</f>
        <v>-0</v>
      </c>
      <c r="U351" s="950" t="n">
        <f aca="false">-U565</f>
        <v>-0</v>
      </c>
      <c r="V351" s="950" t="n">
        <f aca="false">-V565</f>
        <v>-0</v>
      </c>
      <c r="W351" s="950" t="n">
        <f aca="false">-W565</f>
        <v>-0</v>
      </c>
      <c r="X351" s="950" t="n">
        <f aca="false">-X565</f>
        <v>-0</v>
      </c>
      <c r="Y351" s="950" t="n">
        <f aca="false">-Y565</f>
        <v>-0</v>
      </c>
      <c r="Z351" s="950" t="n">
        <f aca="false">-Z565</f>
        <v>-0</v>
      </c>
      <c r="AA351" s="950" t="n">
        <f aca="false">-AA565</f>
        <v>-0</v>
      </c>
      <c r="AB351" s="950" t="n">
        <f aca="false">-AB565</f>
        <v>-0</v>
      </c>
      <c r="AC351" s="950" t="n">
        <f aca="false">-AC565</f>
        <v>-0</v>
      </c>
      <c r="AD351" s="950" t="n">
        <f aca="false">-AD565</f>
        <v>-0</v>
      </c>
      <c r="AE351" s="950" t="n">
        <f aca="false">-AE565</f>
        <v>-0</v>
      </c>
      <c r="AF351" s="950" t="n">
        <f aca="false">-AF565</f>
        <v>-0</v>
      </c>
      <c r="AG351" s="751"/>
    </row>
    <row r="352" customFormat="false" ht="11.25" hidden="false" customHeight="false" outlineLevel="0" collapsed="false">
      <c r="A352" s="751" t="str">
        <f aca="false">B452</f>
        <v>Scrubber Term Loan</v>
      </c>
      <c r="B352" s="751"/>
      <c r="C352" s="751"/>
      <c r="D352" s="751"/>
      <c r="E352" s="751"/>
      <c r="F352" s="751"/>
      <c r="G352" s="950"/>
      <c r="H352" s="950" t="n">
        <f aca="false">H452</f>
        <v>0</v>
      </c>
      <c r="I352" s="950" t="n">
        <f aca="false">-I573</f>
        <v>-0</v>
      </c>
      <c r="J352" s="950" t="n">
        <f aca="false">-J573</f>
        <v>-0</v>
      </c>
      <c r="K352" s="950" t="n">
        <f aca="false">-K573</f>
        <v>0</v>
      </c>
      <c r="L352" s="950" t="n">
        <f aca="false">-L573</f>
        <v>-0</v>
      </c>
      <c r="M352" s="950" t="n">
        <f aca="false">-M573</f>
        <v>-0</v>
      </c>
      <c r="N352" s="950" t="n">
        <f aca="false">-N573</f>
        <v>-0</v>
      </c>
      <c r="O352" s="950" t="n">
        <f aca="false">-O573</f>
        <v>-0</v>
      </c>
      <c r="P352" s="950" t="n">
        <f aca="false">-P573</f>
        <v>-0</v>
      </c>
      <c r="Q352" s="950" t="n">
        <f aca="false">-Q573</f>
        <v>-0</v>
      </c>
      <c r="R352" s="950" t="n">
        <f aca="false">-R573</f>
        <v>-0</v>
      </c>
      <c r="S352" s="950" t="n">
        <f aca="false">-S573</f>
        <v>-0</v>
      </c>
      <c r="T352" s="950" t="n">
        <f aca="false">-T573</f>
        <v>-0</v>
      </c>
      <c r="U352" s="950" t="n">
        <f aca="false">-U573</f>
        <v>-0</v>
      </c>
      <c r="V352" s="950" t="n">
        <f aca="false">-V573</f>
        <v>-0</v>
      </c>
      <c r="W352" s="950" t="n">
        <f aca="false">-W573</f>
        <v>-0</v>
      </c>
      <c r="X352" s="950" t="n">
        <f aca="false">-X573</f>
        <v>-0</v>
      </c>
      <c r="Y352" s="950" t="n">
        <f aca="false">-Y573</f>
        <v>-0</v>
      </c>
      <c r="Z352" s="950" t="n">
        <f aca="false">-Z573</f>
        <v>-0</v>
      </c>
      <c r="AA352" s="950" t="n">
        <f aca="false">-AA573</f>
        <v>-0</v>
      </c>
      <c r="AB352" s="950" t="n">
        <f aca="false">-AB573</f>
        <v>-0</v>
      </c>
      <c r="AC352" s="950" t="n">
        <f aca="false">-AC573</f>
        <v>-0</v>
      </c>
      <c r="AD352" s="950" t="n">
        <f aca="false">-AD573</f>
        <v>-0</v>
      </c>
      <c r="AE352" s="950" t="n">
        <f aca="false">-AE573</f>
        <v>-0</v>
      </c>
      <c r="AF352" s="950" t="n">
        <f aca="false">-AF573</f>
        <v>-0</v>
      </c>
      <c r="AG352" s="751"/>
    </row>
    <row r="353" customFormat="false" ht="11.25" hidden="false" customHeight="false" outlineLevel="0" collapsed="false">
      <c r="A353" s="751" t="str">
        <f aca="false">B453</f>
        <v>Common Stock</v>
      </c>
      <c r="B353" s="751"/>
      <c r="C353" s="751"/>
      <c r="D353" s="751"/>
      <c r="E353" s="751"/>
      <c r="F353" s="751"/>
      <c r="G353" s="950"/>
      <c r="H353" s="950" t="e">
        <f aca="false">H453</f>
        <v>#VALUE!</v>
      </c>
      <c r="I353" s="950" t="n">
        <f aca="false">I453</f>
        <v>-0</v>
      </c>
      <c r="J353" s="950" t="n">
        <f aca="false">J453</f>
        <v>-0</v>
      </c>
      <c r="K353" s="950" t="n">
        <f aca="false">K453</f>
        <v>0</v>
      </c>
      <c r="L353" s="950" t="n">
        <f aca="false">L453</f>
        <v>-0</v>
      </c>
      <c r="M353" s="950" t="n">
        <f aca="false">M453</f>
        <v>-0</v>
      </c>
      <c r="N353" s="950" t="n">
        <f aca="false">N453</f>
        <v>-0</v>
      </c>
      <c r="O353" s="950" t="n">
        <f aca="false">O453</f>
        <v>-0</v>
      </c>
      <c r="P353" s="950" t="n">
        <f aca="false">P453</f>
        <v>-0</v>
      </c>
      <c r="Q353" s="950" t="n">
        <f aca="false">Q453</f>
        <v>-0</v>
      </c>
      <c r="R353" s="950" t="n">
        <f aca="false">R453</f>
        <v>-0</v>
      </c>
      <c r="S353" s="950" t="n">
        <f aca="false">S453</f>
        <v>-0</v>
      </c>
      <c r="T353" s="950" t="n">
        <f aca="false">T453</f>
        <v>-0</v>
      </c>
      <c r="U353" s="950" t="n">
        <f aca="false">U453</f>
        <v>-0</v>
      </c>
      <c r="V353" s="950" t="n">
        <f aca="false">V453</f>
        <v>-0</v>
      </c>
      <c r="W353" s="950" t="n">
        <f aca="false">W453</f>
        <v>-0</v>
      </c>
      <c r="X353" s="950" t="n">
        <f aca="false">X453</f>
        <v>-0</v>
      </c>
      <c r="Y353" s="950" t="n">
        <f aca="false">Y453</f>
        <v>-0</v>
      </c>
      <c r="Z353" s="950" t="n">
        <f aca="false">Z453</f>
        <v>-0</v>
      </c>
      <c r="AA353" s="950" t="n">
        <f aca="false">AA453</f>
        <v>-0</v>
      </c>
      <c r="AB353" s="950" t="n">
        <f aca="false">AB453</f>
        <v>-0</v>
      </c>
      <c r="AC353" s="950" t="n">
        <f aca="false">AC453</f>
        <v>-0</v>
      </c>
      <c r="AD353" s="950" t="n">
        <f aca="false">AD453</f>
        <v>-0</v>
      </c>
      <c r="AE353" s="950" t="n">
        <f aca="false">AE453</f>
        <v>-0</v>
      </c>
      <c r="AF353" s="950" t="n">
        <f aca="false">AF453</f>
        <v>-0</v>
      </c>
      <c r="AG353" s="751"/>
    </row>
    <row r="354" customFormat="false" ht="11.25" hidden="false" customHeight="false" outlineLevel="0" collapsed="false">
      <c r="A354" s="955" t="s">
        <v>808</v>
      </c>
      <c r="B354" s="751"/>
      <c r="C354" s="751"/>
      <c r="D354" s="751"/>
      <c r="E354" s="751"/>
      <c r="F354" s="751"/>
      <c r="G354" s="751"/>
      <c r="H354" s="961" t="e">
        <f aca="false">SUM(H351:H353)</f>
        <v>#VALUE!</v>
      </c>
      <c r="I354" s="961" t="n">
        <f aca="false">SUM(I351:I353)</f>
        <v>0</v>
      </c>
      <c r="J354" s="961" t="n">
        <f aca="false">SUM(J351:J353)</f>
        <v>0</v>
      </c>
      <c r="K354" s="961" t="n">
        <f aca="false">SUM(K351:K353)</f>
        <v>0</v>
      </c>
      <c r="L354" s="961" t="n">
        <f aca="false">SUM(L351:L353)</f>
        <v>0</v>
      </c>
      <c r="M354" s="961" t="n">
        <f aca="false">SUM(M351:M353)</f>
        <v>0</v>
      </c>
      <c r="N354" s="961" t="n">
        <f aca="false">SUM(N351:N353)</f>
        <v>0</v>
      </c>
      <c r="O354" s="961" t="n">
        <f aca="false">SUM(O351:O353)</f>
        <v>0</v>
      </c>
      <c r="P354" s="961" t="n">
        <f aca="false">SUM(P351:P353)</f>
        <v>0</v>
      </c>
      <c r="Q354" s="961" t="n">
        <f aca="false">SUM(Q351:Q353)</f>
        <v>0</v>
      </c>
      <c r="R354" s="961" t="n">
        <f aca="false">SUM(R351:R353)</f>
        <v>0</v>
      </c>
      <c r="S354" s="961" t="n">
        <f aca="false">SUM(S351:S353)</f>
        <v>0</v>
      </c>
      <c r="T354" s="961" t="n">
        <f aca="false">SUM(T351:T353)</f>
        <v>0</v>
      </c>
      <c r="U354" s="961" t="n">
        <f aca="false">SUM(U351:U353)</f>
        <v>0</v>
      </c>
      <c r="V354" s="961" t="n">
        <f aca="false">SUM(V351:V353)</f>
        <v>0</v>
      </c>
      <c r="W354" s="961" t="n">
        <f aca="false">SUM(W351:W353)</f>
        <v>0</v>
      </c>
      <c r="X354" s="961" t="n">
        <f aca="false">SUM(X351:X353)</f>
        <v>0</v>
      </c>
      <c r="Y354" s="961" t="n">
        <f aca="false">SUM(Y351:Y353)</f>
        <v>0</v>
      </c>
      <c r="Z354" s="961" t="n">
        <f aca="false">SUM(Z351:Z353)</f>
        <v>0</v>
      </c>
      <c r="AA354" s="961" t="n">
        <f aca="false">SUM(AA351:AA353)</f>
        <v>0</v>
      </c>
      <c r="AB354" s="961" t="n">
        <f aca="false">SUM(AB351:AB353)</f>
        <v>0</v>
      </c>
      <c r="AC354" s="961" t="n">
        <f aca="false">SUM(AC351:AC353)</f>
        <v>0</v>
      </c>
      <c r="AD354" s="961" t="n">
        <f aca="false">SUM(AD351:AD353)</f>
        <v>0</v>
      </c>
      <c r="AE354" s="961" t="n">
        <f aca="false">SUM(AE351:AE353)</f>
        <v>0</v>
      </c>
      <c r="AF354" s="961" t="n">
        <f aca="false">SUM(AF351:AF353)</f>
        <v>0</v>
      </c>
      <c r="AG354" s="751"/>
    </row>
    <row r="355" customFormat="false" ht="11.25" hidden="false" customHeight="false" outlineLevel="0" collapsed="false">
      <c r="A355" s="751"/>
      <c r="B355" s="751"/>
      <c r="C355" s="751"/>
      <c r="D355" s="751"/>
      <c r="E355" s="751"/>
      <c r="F355" s="751"/>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row>
    <row r="356" customFormat="false" ht="11.25" hidden="false" customHeight="false" outlineLevel="0" collapsed="false">
      <c r="A356" s="934" t="s">
        <v>809</v>
      </c>
      <c r="B356" s="751"/>
      <c r="C356" s="751"/>
      <c r="D356" s="751"/>
      <c r="E356" s="751"/>
      <c r="F356" s="751"/>
      <c r="G356" s="950"/>
      <c r="H356" s="950" t="n">
        <v>0</v>
      </c>
      <c r="I356" s="950" t="e">
        <f aca="false">-I415-I416</f>
        <v>#VALUE!</v>
      </c>
      <c r="J356" s="950" t="e">
        <f aca="false">-J415-J416</f>
        <v>#VALUE!</v>
      </c>
      <c r="K356" s="950" t="e">
        <f aca="false">-K415-K416</f>
        <v>#VALUE!</v>
      </c>
      <c r="L356" s="950" t="e">
        <f aca="false">-L415-L416</f>
        <v>#VALUE!</v>
      </c>
      <c r="M356" s="950" t="e">
        <f aca="false">-M415-M416</f>
        <v>#VALUE!</v>
      </c>
      <c r="N356" s="950" t="e">
        <f aca="false">-N415-N416</f>
        <v>#VALUE!</v>
      </c>
      <c r="O356" s="950" t="e">
        <f aca="false">-O415-O416</f>
        <v>#VALUE!</v>
      </c>
      <c r="P356" s="950" t="e">
        <f aca="false">-P415-P416</f>
        <v>#VALUE!</v>
      </c>
      <c r="Q356" s="950" t="e">
        <f aca="false">-Q415-Q416</f>
        <v>#VALUE!</v>
      </c>
      <c r="R356" s="950" t="e">
        <f aca="false">-R415-R416</f>
        <v>#VALUE!</v>
      </c>
      <c r="S356" s="950" t="e">
        <f aca="false">-S415-S416</f>
        <v>#VALUE!</v>
      </c>
      <c r="T356" s="950" t="e">
        <f aca="false">-T415-T416</f>
        <v>#VALUE!</v>
      </c>
      <c r="U356" s="950" t="e">
        <f aca="false">-U415-U416</f>
        <v>#VALUE!</v>
      </c>
      <c r="V356" s="950" t="e">
        <f aca="false">-V415-V416</f>
        <v>#VALUE!</v>
      </c>
      <c r="W356" s="950" t="e">
        <f aca="false">-W415-W416</f>
        <v>#VALUE!</v>
      </c>
      <c r="X356" s="950" t="e">
        <f aca="false">-X415-X416</f>
        <v>#VALUE!</v>
      </c>
      <c r="Y356" s="950" t="e">
        <f aca="false">-Y415-Y416</f>
        <v>#VALUE!</v>
      </c>
      <c r="Z356" s="950" t="e">
        <f aca="false">-Z415-Z416</f>
        <v>#VALUE!</v>
      </c>
      <c r="AA356" s="950" t="e">
        <f aca="false">-AA415-AA416</f>
        <v>#VALUE!</v>
      </c>
      <c r="AB356" s="950" t="e">
        <f aca="false">-AB415-AB416</f>
        <v>#VALUE!</v>
      </c>
      <c r="AC356" s="950" t="e">
        <f aca="false">-AC415-AC416</f>
        <v>#VALUE!</v>
      </c>
      <c r="AD356" s="950" t="e">
        <f aca="false">-AD415-AD416</f>
        <v>#VALUE!</v>
      </c>
      <c r="AE356" s="950" t="e">
        <f aca="false">-AE415-AE416</f>
        <v>#VALUE!</v>
      </c>
      <c r="AF356" s="950" t="e">
        <f aca="false">-AF415-AF416</f>
        <v>#VALUE!</v>
      </c>
      <c r="AG356" s="751"/>
    </row>
    <row r="357" customFormat="false" ht="11.25" hidden="false" customHeight="false" outlineLevel="0" collapsed="false">
      <c r="A357" s="934" t="s">
        <v>810</v>
      </c>
      <c r="B357" s="751"/>
      <c r="C357" s="751"/>
      <c r="D357" s="751"/>
      <c r="E357" s="751"/>
      <c r="F357" s="751"/>
      <c r="G357" s="751"/>
      <c r="H357" s="751" t="e">
        <f aca="false">-H348-H354-H356</f>
        <v>#VALUE!</v>
      </c>
      <c r="I357" s="751" t="e">
        <f aca="false">-I348-I354-I356</f>
        <v>#VALUE!</v>
      </c>
      <c r="J357" s="751" t="e">
        <f aca="false">-J348-J354-J356</f>
        <v>#VALUE!</v>
      </c>
      <c r="K357" s="751" t="e">
        <f aca="false">-K348-K354-K356</f>
        <v>#VALUE!</v>
      </c>
      <c r="L357" s="751" t="e">
        <f aca="false">-L348-L354-L356</f>
        <v>#VALUE!</v>
      </c>
      <c r="M357" s="751" t="e">
        <f aca="false">-M348-M354-M356</f>
        <v>#VALUE!</v>
      </c>
      <c r="N357" s="751" t="e">
        <f aca="false">-N348-N354-N356</f>
        <v>#VALUE!</v>
      </c>
      <c r="O357" s="751" t="e">
        <f aca="false">-O348-O354-O356</f>
        <v>#VALUE!</v>
      </c>
      <c r="P357" s="751" t="e">
        <f aca="false">-P348-P354-P356</f>
        <v>#VALUE!</v>
      </c>
      <c r="Q357" s="751" t="e">
        <f aca="false">-Q348-Q354-Q356</f>
        <v>#VALUE!</v>
      </c>
      <c r="R357" s="751" t="e">
        <f aca="false">-R348-R354-R356</f>
        <v>#VALUE!</v>
      </c>
      <c r="S357" s="751" t="e">
        <f aca="false">-S348-S354-S356</f>
        <v>#VALUE!</v>
      </c>
      <c r="T357" s="751" t="e">
        <f aca="false">-T348-T354-T356</f>
        <v>#VALUE!</v>
      </c>
      <c r="U357" s="751" t="e">
        <f aca="false">-U348-U354-U356</f>
        <v>#VALUE!</v>
      </c>
      <c r="V357" s="751" t="e">
        <f aca="false">-V348-V354-V356</f>
        <v>#VALUE!</v>
      </c>
      <c r="W357" s="751" t="e">
        <f aca="false">-W348-W354-W356</f>
        <v>#VALUE!</v>
      </c>
      <c r="X357" s="751" t="e">
        <f aca="false">-X348-X354-X356</f>
        <v>#VALUE!</v>
      </c>
      <c r="Y357" s="751" t="e">
        <f aca="false">-Y348-Y354-Y356</f>
        <v>#VALUE!</v>
      </c>
      <c r="Z357" s="751" t="e">
        <f aca="false">-Z348-Z354-Z356</f>
        <v>#VALUE!</v>
      </c>
      <c r="AA357" s="751" t="e">
        <f aca="false">-AA348-AA354-AA356</f>
        <v>#VALUE!</v>
      </c>
      <c r="AB357" s="751" t="e">
        <f aca="false">-AB348-AB354-AB356</f>
        <v>#VALUE!</v>
      </c>
      <c r="AC357" s="751" t="e">
        <f aca="false">-AC348-AC354-AC356</f>
        <v>#VALUE!</v>
      </c>
      <c r="AD357" s="751" t="e">
        <f aca="false">-AD348-AD354-AD356</f>
        <v>#VALUE!</v>
      </c>
      <c r="AE357" s="751" t="e">
        <f aca="false">-AE348-AE354-AE356</f>
        <v>#VALUE!</v>
      </c>
      <c r="AF357" s="751" t="e">
        <f aca="false">-AF348-AF354-AF356</f>
        <v>#VALUE!</v>
      </c>
      <c r="AG357" s="751"/>
    </row>
    <row r="358" customFormat="false" ht="11.25" hidden="false" customHeight="false" outlineLevel="0" collapsed="false">
      <c r="A358" s="955" t="s">
        <v>811</v>
      </c>
      <c r="B358" s="751"/>
      <c r="C358" s="751"/>
      <c r="D358" s="751"/>
      <c r="E358" s="751"/>
      <c r="F358" s="751"/>
      <c r="G358" s="938"/>
      <c r="H358" s="958" t="e">
        <f aca="false">H354+H356+H357</f>
        <v>#VALUE!</v>
      </c>
      <c r="I358" s="958" t="e">
        <f aca="false">I354+I356+I357</f>
        <v>#VALUE!</v>
      </c>
      <c r="J358" s="958" t="e">
        <f aca="false">J354+J356+J357</f>
        <v>#VALUE!</v>
      </c>
      <c r="K358" s="958" t="e">
        <f aca="false">K354+K356+K357</f>
        <v>#VALUE!</v>
      </c>
      <c r="L358" s="958" t="e">
        <f aca="false">L354+L356+L357</f>
        <v>#VALUE!</v>
      </c>
      <c r="M358" s="958" t="e">
        <f aca="false">M354+M356+M357</f>
        <v>#VALUE!</v>
      </c>
      <c r="N358" s="958" t="e">
        <f aca="false">N354+N356+N357</f>
        <v>#VALUE!</v>
      </c>
      <c r="O358" s="958" t="e">
        <f aca="false">O354+O356+O357</f>
        <v>#VALUE!</v>
      </c>
      <c r="P358" s="958" t="e">
        <f aca="false">P354+P356+P357</f>
        <v>#VALUE!</v>
      </c>
      <c r="Q358" s="958" t="e">
        <f aca="false">Q354+Q356+Q357</f>
        <v>#VALUE!</v>
      </c>
      <c r="R358" s="958" t="e">
        <f aca="false">R354+R356+R357</f>
        <v>#VALUE!</v>
      </c>
      <c r="S358" s="958" t="e">
        <f aca="false">S354+S356+S357</f>
        <v>#VALUE!</v>
      </c>
      <c r="T358" s="958" t="e">
        <f aca="false">T354+T356+T357</f>
        <v>#VALUE!</v>
      </c>
      <c r="U358" s="958" t="e">
        <f aca="false">U354+U356+U357</f>
        <v>#VALUE!</v>
      </c>
      <c r="V358" s="958" t="e">
        <f aca="false">V354+V356+V357</f>
        <v>#VALUE!</v>
      </c>
      <c r="W358" s="958" t="e">
        <f aca="false">W354+W356+W357</f>
        <v>#VALUE!</v>
      </c>
      <c r="X358" s="958" t="e">
        <f aca="false">X354+X356+X357</f>
        <v>#VALUE!</v>
      </c>
      <c r="Y358" s="958" t="e">
        <f aca="false">Y354+Y356+Y357</f>
        <v>#VALUE!</v>
      </c>
      <c r="Z358" s="958" t="e">
        <f aca="false">Z354+Z356+Z357</f>
        <v>#VALUE!</v>
      </c>
      <c r="AA358" s="958" t="e">
        <f aca="false">AA354+AA356+AA357</f>
        <v>#VALUE!</v>
      </c>
      <c r="AB358" s="958" t="e">
        <f aca="false">AB354+AB356+AB357</f>
        <v>#VALUE!</v>
      </c>
      <c r="AC358" s="958" t="e">
        <f aca="false">AC354+AC356+AC357</f>
        <v>#VALUE!</v>
      </c>
      <c r="AD358" s="958" t="e">
        <f aca="false">AD354+AD356+AD357</f>
        <v>#VALUE!</v>
      </c>
      <c r="AE358" s="958" t="e">
        <f aca="false">AE354+AE356+AE357</f>
        <v>#VALUE!</v>
      </c>
      <c r="AF358" s="958" t="e">
        <f aca="false">AF354+AF356+AF357</f>
        <v>#VALUE!</v>
      </c>
      <c r="AG358" s="751"/>
    </row>
    <row r="359" customFormat="false" ht="11.25" hidden="false" customHeight="false" outlineLevel="0" collapsed="false">
      <c r="A359" s="751"/>
      <c r="B359" s="751"/>
      <c r="C359" s="751"/>
      <c r="D359" s="751"/>
      <c r="E359" s="751"/>
      <c r="F359" s="751"/>
      <c r="G359" s="938"/>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751"/>
    </row>
    <row r="360" customFormat="false" ht="11.25" hidden="false" customHeight="false" outlineLevel="0" collapsed="false">
      <c r="A360" s="955" t="s">
        <v>812</v>
      </c>
      <c r="B360" s="751"/>
      <c r="C360" s="751"/>
      <c r="D360" s="751"/>
      <c r="E360" s="751"/>
      <c r="F360" s="751"/>
      <c r="G360" s="938"/>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751"/>
    </row>
    <row r="361" customFormat="false" ht="11.25" hidden="false" customHeight="false" outlineLevel="0" collapsed="false">
      <c r="A361" s="934" t="s">
        <v>813</v>
      </c>
      <c r="B361" s="751"/>
      <c r="C361" s="751"/>
      <c r="D361" s="751"/>
      <c r="E361" s="751"/>
      <c r="F361" s="751"/>
      <c r="G361" s="938"/>
      <c r="H361" s="950" t="n">
        <f aca="false">I485</f>
        <v>0</v>
      </c>
      <c r="I361" s="950" t="e">
        <f aca="false">H365</f>
        <v>#VALUE!</v>
      </c>
      <c r="J361" s="950" t="e">
        <f aca="false">I365</f>
        <v>#VALUE!</v>
      </c>
      <c r="K361" s="950" t="e">
        <f aca="false">J365</f>
        <v>#VALUE!</v>
      </c>
      <c r="L361" s="950" t="e">
        <f aca="false">K365</f>
        <v>#VALUE!</v>
      </c>
      <c r="M361" s="950" t="e">
        <f aca="false">L365</f>
        <v>#VALUE!</v>
      </c>
      <c r="N361" s="950" t="e">
        <f aca="false">M365</f>
        <v>#VALUE!</v>
      </c>
      <c r="O361" s="950" t="e">
        <f aca="false">N365</f>
        <v>#VALUE!</v>
      </c>
      <c r="P361" s="950" t="e">
        <f aca="false">O365</f>
        <v>#VALUE!</v>
      </c>
      <c r="Q361" s="950" t="e">
        <f aca="false">P365</f>
        <v>#VALUE!</v>
      </c>
      <c r="R361" s="950" t="e">
        <f aca="false">Q365</f>
        <v>#VALUE!</v>
      </c>
      <c r="S361" s="950" t="e">
        <f aca="false">R365</f>
        <v>#VALUE!</v>
      </c>
      <c r="T361" s="950" t="e">
        <f aca="false">S365</f>
        <v>#VALUE!</v>
      </c>
      <c r="U361" s="950" t="e">
        <f aca="false">T365</f>
        <v>#VALUE!</v>
      </c>
      <c r="V361" s="950" t="e">
        <f aca="false">U365</f>
        <v>#VALUE!</v>
      </c>
      <c r="W361" s="950" t="e">
        <f aca="false">V365</f>
        <v>#VALUE!</v>
      </c>
      <c r="X361" s="950" t="e">
        <f aca="false">W365</f>
        <v>#VALUE!</v>
      </c>
      <c r="Y361" s="950" t="e">
        <f aca="false">X365</f>
        <v>#VALUE!</v>
      </c>
      <c r="Z361" s="950" t="e">
        <f aca="false">Y365</f>
        <v>#VALUE!</v>
      </c>
      <c r="AA361" s="950" t="e">
        <f aca="false">Z365</f>
        <v>#VALUE!</v>
      </c>
      <c r="AB361" s="950" t="e">
        <f aca="false">AA365</f>
        <v>#VALUE!</v>
      </c>
      <c r="AC361" s="950" t="e">
        <f aca="false">AB365</f>
        <v>#VALUE!</v>
      </c>
      <c r="AD361" s="950" t="e">
        <f aca="false">AC365</f>
        <v>#VALUE!</v>
      </c>
      <c r="AE361" s="950" t="e">
        <f aca="false">AD365</f>
        <v>#VALUE!</v>
      </c>
      <c r="AF361" s="950" t="e">
        <f aca="false">AE365</f>
        <v>#VALUE!</v>
      </c>
      <c r="AG361" s="346"/>
      <c r="AH361" s="346"/>
      <c r="AI361" s="346"/>
      <c r="AJ361" s="346"/>
      <c r="AK361" s="346"/>
      <c r="AL361" s="346"/>
      <c r="AM361" s="346"/>
      <c r="AN361" s="346"/>
      <c r="AO361" s="346"/>
      <c r="AP361" s="346"/>
      <c r="AQ361" s="346"/>
      <c r="AR361" s="346"/>
      <c r="AS361" s="346"/>
      <c r="AT361" s="346"/>
      <c r="AU361" s="346"/>
      <c r="AV361" s="346"/>
      <c r="AW361" s="346"/>
      <c r="AX361" s="346"/>
      <c r="AY361" s="346"/>
      <c r="AZ361" s="346"/>
      <c r="BA361" s="346"/>
      <c r="BB361" s="346"/>
      <c r="BC361" s="346"/>
      <c r="BD361" s="346"/>
      <c r="BE361" s="346"/>
      <c r="BF361" s="346"/>
    </row>
    <row r="362" customFormat="false" ht="11.25" hidden="false" customHeight="false" outlineLevel="0" collapsed="false">
      <c r="A362" s="934" t="s">
        <v>814</v>
      </c>
      <c r="B362" s="751"/>
      <c r="C362" s="751"/>
      <c r="D362" s="751"/>
      <c r="E362" s="751"/>
      <c r="F362" s="751"/>
      <c r="G362" s="751"/>
      <c r="H362" s="751" t="n">
        <v>0</v>
      </c>
      <c r="I362" s="751" t="e">
        <f aca="false">I539-H539</f>
        <v>#VALUE!</v>
      </c>
      <c r="J362" s="751" t="e">
        <f aca="false">J539-I539</f>
        <v>#VALUE!</v>
      </c>
      <c r="K362" s="751" t="e">
        <f aca="false">K539-J539</f>
        <v>#VALUE!</v>
      </c>
      <c r="L362" s="751" t="e">
        <f aca="false">L539-K539</f>
        <v>#VALUE!</v>
      </c>
      <c r="M362" s="751" t="e">
        <f aca="false">M539-L539</f>
        <v>#VALUE!</v>
      </c>
      <c r="N362" s="751" t="e">
        <f aca="false">N539-M539</f>
        <v>#VALUE!</v>
      </c>
      <c r="O362" s="751" t="e">
        <f aca="false">O539-N539</f>
        <v>#VALUE!</v>
      </c>
      <c r="P362" s="751" t="e">
        <f aca="false">P539-O539</f>
        <v>#VALUE!</v>
      </c>
      <c r="Q362" s="751" t="e">
        <f aca="false">Q539-P539</f>
        <v>#VALUE!</v>
      </c>
      <c r="R362" s="751" t="e">
        <f aca="false">R539-Q539</f>
        <v>#VALUE!</v>
      </c>
      <c r="S362" s="751" t="e">
        <f aca="false">S539-R539</f>
        <v>#VALUE!</v>
      </c>
      <c r="T362" s="751" t="e">
        <f aca="false">T539-S539</f>
        <v>#VALUE!</v>
      </c>
      <c r="U362" s="751" t="e">
        <f aca="false">U539-T539</f>
        <v>#VALUE!</v>
      </c>
      <c r="V362" s="751" t="e">
        <f aca="false">V539-U539</f>
        <v>#VALUE!</v>
      </c>
      <c r="W362" s="751" t="e">
        <f aca="false">W539-V539</f>
        <v>#VALUE!</v>
      </c>
      <c r="X362" s="751" t="e">
        <f aca="false">X539-W539</f>
        <v>#VALUE!</v>
      </c>
      <c r="Y362" s="751" t="e">
        <f aca="false">Y539-X539</f>
        <v>#VALUE!</v>
      </c>
      <c r="Z362" s="751" t="e">
        <f aca="false">Z539-Y539</f>
        <v>#VALUE!</v>
      </c>
      <c r="AA362" s="751" t="e">
        <f aca="false">AA539-Z539</f>
        <v>#VALUE!</v>
      </c>
      <c r="AB362" s="751" t="e">
        <f aca="false">AB539-AA539</f>
        <v>#VALUE!</v>
      </c>
      <c r="AC362" s="751" t="e">
        <f aca="false">AC539-AB539</f>
        <v>#VALUE!</v>
      </c>
      <c r="AD362" s="751" t="e">
        <f aca="false">AD539-AC539</f>
        <v>#VALUE!</v>
      </c>
      <c r="AE362" s="751" t="n">
        <f aca="false">AE539-AD539</f>
        <v>0</v>
      </c>
      <c r="AF362" s="751" t="n">
        <f aca="false">AF539-AE539</f>
        <v>0</v>
      </c>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row>
    <row r="363" customFormat="false" ht="11.25" hidden="false" customHeight="false" outlineLevel="0" collapsed="false">
      <c r="A363" s="934" t="s">
        <v>815</v>
      </c>
      <c r="B363" s="751"/>
      <c r="C363" s="751"/>
      <c r="D363" s="751"/>
      <c r="E363" s="751"/>
      <c r="F363" s="751"/>
      <c r="G363" s="950"/>
      <c r="H363" s="950" t="e">
        <f aca="false">-H357</f>
        <v>#VALUE!</v>
      </c>
      <c r="I363" s="950" t="e">
        <f aca="false">-I357</f>
        <v>#VALUE!</v>
      </c>
      <c r="J363" s="950" t="e">
        <f aca="false">-J357</f>
        <v>#VALUE!</v>
      </c>
      <c r="K363" s="950" t="e">
        <f aca="false">-K357</f>
        <v>#VALUE!</v>
      </c>
      <c r="L363" s="950" t="e">
        <f aca="false">-L357</f>
        <v>#VALUE!</v>
      </c>
      <c r="M363" s="950" t="e">
        <f aca="false">-M357</f>
        <v>#VALUE!</v>
      </c>
      <c r="N363" s="950" t="e">
        <f aca="false">-N357</f>
        <v>#VALUE!</v>
      </c>
      <c r="O363" s="950" t="e">
        <f aca="false">-O357</f>
        <v>#VALUE!</v>
      </c>
      <c r="P363" s="950" t="e">
        <f aca="false">-P357</f>
        <v>#VALUE!</v>
      </c>
      <c r="Q363" s="950" t="e">
        <f aca="false">-Q357</f>
        <v>#VALUE!</v>
      </c>
      <c r="R363" s="950" t="e">
        <f aca="false">-R357</f>
        <v>#VALUE!</v>
      </c>
      <c r="S363" s="950" t="e">
        <f aca="false">-S357</f>
        <v>#VALUE!</v>
      </c>
      <c r="T363" s="950" t="e">
        <f aca="false">-T357</f>
        <v>#VALUE!</v>
      </c>
      <c r="U363" s="950" t="e">
        <f aca="false">-U357</f>
        <v>#VALUE!</v>
      </c>
      <c r="V363" s="950" t="e">
        <f aca="false">-V357</f>
        <v>#VALUE!</v>
      </c>
      <c r="W363" s="950" t="e">
        <f aca="false">-W357</f>
        <v>#VALUE!</v>
      </c>
      <c r="X363" s="950" t="e">
        <f aca="false">-X357</f>
        <v>#VALUE!</v>
      </c>
      <c r="Y363" s="950" t="e">
        <f aca="false">-Y357</f>
        <v>#VALUE!</v>
      </c>
      <c r="Z363" s="950" t="e">
        <f aca="false">-Z357</f>
        <v>#VALUE!</v>
      </c>
      <c r="AA363" s="950" t="e">
        <f aca="false">-AA357</f>
        <v>#VALUE!</v>
      </c>
      <c r="AB363" s="950" t="e">
        <f aca="false">-AB357</f>
        <v>#VALUE!</v>
      </c>
      <c r="AC363" s="950" t="e">
        <f aca="false">-AC357</f>
        <v>#VALUE!</v>
      </c>
      <c r="AD363" s="950" t="e">
        <f aca="false">-AD357</f>
        <v>#VALUE!</v>
      </c>
      <c r="AE363" s="950" t="e">
        <f aca="false">-AE357</f>
        <v>#VALUE!</v>
      </c>
      <c r="AF363" s="950" t="e">
        <f aca="false">-AF357</f>
        <v>#VALUE!</v>
      </c>
      <c r="AG363" s="346"/>
      <c r="AH363" s="346"/>
      <c r="AI363" s="346"/>
      <c r="AJ363" s="346"/>
      <c r="AK363" s="346"/>
      <c r="AL363" s="346"/>
      <c r="AM363" s="346"/>
      <c r="AN363" s="346"/>
      <c r="AO363" s="346"/>
      <c r="AP363" s="346"/>
      <c r="AQ363" s="346"/>
      <c r="AR363" s="346"/>
      <c r="AS363" s="346"/>
      <c r="AT363" s="346"/>
      <c r="AU363" s="346"/>
      <c r="AV363" s="346"/>
      <c r="AW363" s="346"/>
      <c r="AX363" s="346"/>
      <c r="AY363" s="346"/>
      <c r="AZ363" s="346"/>
      <c r="BA363" s="346"/>
      <c r="BB363" s="346"/>
      <c r="BC363" s="346"/>
      <c r="BD363" s="346"/>
      <c r="BE363" s="346"/>
      <c r="BF363" s="346"/>
    </row>
    <row r="364" customFormat="false" ht="11.25" hidden="false" customHeight="false" outlineLevel="0" collapsed="false">
      <c r="A364" s="751" t="str">
        <f aca="false">"Excess Cash Flow Recaptured on "&amp;B451</f>
        <v>Excess Cash Flow Recaptured on Purchase Term Loan</v>
      </c>
      <c r="B364" s="751"/>
      <c r="C364" s="751"/>
      <c r="D364" s="751"/>
      <c r="E364" s="751"/>
      <c r="F364" s="751"/>
      <c r="G364" s="751"/>
      <c r="H364" s="751" t="n">
        <v>0</v>
      </c>
      <c r="I364" s="751" t="e">
        <f aca="false">IF(I363&gt;0,-MIN((+I363)*I570,I421-I422-I423),0)</f>
        <v>#VALUE!</v>
      </c>
      <c r="J364" s="751" t="e">
        <f aca="false">IF(J363&gt;0,-MIN((+J363)*J570,J421-J422-J423),0)</f>
        <v>#VALUE!</v>
      </c>
      <c r="K364" s="751" t="e">
        <f aca="false">IF(K363&gt;0,-MIN((+K363)*K570,K421-K422-K423),0)</f>
        <v>#VALUE!</v>
      </c>
      <c r="L364" s="751" t="e">
        <f aca="false">IF(L363&gt;0,-MIN((+L363)*L570,L421-L422-L423),0)</f>
        <v>#VALUE!</v>
      </c>
      <c r="M364" s="751" t="e">
        <f aca="false">IF(M363&gt;0,-MIN((+M363)*M570,M421-M422-M423),0)</f>
        <v>#VALUE!</v>
      </c>
      <c r="N364" s="751" t="e">
        <f aca="false">IF(N363&gt;0,-MIN((+N363)*N570,N421-N422-N423),0)</f>
        <v>#VALUE!</v>
      </c>
      <c r="O364" s="751" t="e">
        <f aca="false">IF(O363&gt;0,-MIN((+O363)*O570,O421-O422-O423),0)</f>
        <v>#VALUE!</v>
      </c>
      <c r="P364" s="751" t="e">
        <f aca="false">IF(P363&gt;0,-MIN((+P363)*P570,P421-P422-P423),0)</f>
        <v>#VALUE!</v>
      </c>
      <c r="Q364" s="751" t="e">
        <f aca="false">IF(Q363&gt;0,-MIN((+Q363)*Q570,Q421-Q422-Q423),0)</f>
        <v>#VALUE!</v>
      </c>
      <c r="R364" s="751" t="e">
        <f aca="false">IF(R363&gt;0,-MIN((+R363)*R570,R421-R422-R423),0)</f>
        <v>#VALUE!</v>
      </c>
      <c r="S364" s="751" t="e">
        <f aca="false">IF(S363&gt;0,-MIN((+S363)*S570,S421-S422-S423),0)</f>
        <v>#VALUE!</v>
      </c>
      <c r="T364" s="751" t="e">
        <f aca="false">IF(T363&gt;0,-MIN((+T363)*T570,T421-T422-T423),0)</f>
        <v>#VALUE!</v>
      </c>
      <c r="U364" s="751" t="e">
        <f aca="false">IF(U363&gt;0,-MIN((+U363)*U570,U421-U422-U423),0)</f>
        <v>#VALUE!</v>
      </c>
      <c r="V364" s="751" t="e">
        <f aca="false">IF(V363&gt;0,-MIN((+V363)*V570,V421-V422-V423),0)</f>
        <v>#VALUE!</v>
      </c>
      <c r="W364" s="751" t="e">
        <f aca="false">IF(W363&gt;0,-MIN((+W363)*W570,W421-W422-W423),0)</f>
        <v>#VALUE!</v>
      </c>
      <c r="X364" s="751" t="e">
        <f aca="false">IF(X363&gt;0,-MIN((+X363)*X570,X421-X422-X423),0)</f>
        <v>#VALUE!</v>
      </c>
      <c r="Y364" s="751" t="e">
        <f aca="false">IF(Y363&gt;0,-MIN((+Y363)*Y570,Y421-Y422-Y423),0)</f>
        <v>#VALUE!</v>
      </c>
      <c r="Z364" s="751" t="e">
        <f aca="false">IF(Z363&gt;0,-MIN((+Z363)*Z570,Z421-Z422-Z423),0)</f>
        <v>#VALUE!</v>
      </c>
      <c r="AA364" s="751" t="e">
        <f aca="false">IF(AA363&gt;0,-MIN((+AA363)*AA570,AA421-AA422-AA423),0)</f>
        <v>#VALUE!</v>
      </c>
      <c r="AB364" s="751" t="e">
        <f aca="false">IF(AB363&gt;0,-MIN((+AB363)*AB570,AB421-AB422-AB423),0)</f>
        <v>#VALUE!</v>
      </c>
      <c r="AC364" s="751" t="e">
        <f aca="false">IF(AC363&gt;0,-MIN((+AC363)*AC570,AC421-AC422-AC423),0)</f>
        <v>#VALUE!</v>
      </c>
      <c r="AD364" s="751" t="e">
        <f aca="false">IF(AD363&gt;0,-MIN((+AD363)*AD570,AD421-AD422-AD423),0)</f>
        <v>#VALUE!</v>
      </c>
      <c r="AE364" s="751" t="e">
        <f aca="false">IF(AE363&gt;0,-MIN((+AE363)*AE570,AE421-AE422-AE423),0)</f>
        <v>#VALUE!</v>
      </c>
      <c r="AF364" s="751" t="e">
        <f aca="false">IF(AF363&gt;0,-MIN((+AF363)*AF570,AF421-AF422-AF423),0)</f>
        <v>#VALUE!</v>
      </c>
      <c r="AG364" s="346"/>
      <c r="AH364" s="346"/>
      <c r="AI364" s="346"/>
      <c r="AJ364" s="346"/>
      <c r="AK364" s="346"/>
      <c r="AL364" s="346"/>
      <c r="AM364" s="346"/>
      <c r="AN364" s="346"/>
      <c r="AO364" s="346"/>
      <c r="AP364" s="346"/>
      <c r="AQ364" s="346"/>
      <c r="AR364" s="346"/>
      <c r="AS364" s="346"/>
      <c r="AT364" s="346"/>
      <c r="AU364" s="346"/>
      <c r="AV364" s="346"/>
      <c r="AW364" s="346"/>
      <c r="AX364" s="346"/>
      <c r="AY364" s="346"/>
      <c r="AZ364" s="346"/>
      <c r="BA364" s="346"/>
      <c r="BB364" s="346"/>
      <c r="BC364" s="346"/>
      <c r="BD364" s="346"/>
      <c r="BE364" s="346"/>
      <c r="BF364" s="346"/>
    </row>
    <row r="365" customFormat="false" ht="11.25" hidden="false" customHeight="false" outlineLevel="0" collapsed="false">
      <c r="A365" s="934" t="s">
        <v>816</v>
      </c>
      <c r="B365" s="751"/>
      <c r="C365" s="751"/>
      <c r="D365" s="751"/>
      <c r="E365" s="751"/>
      <c r="F365" s="751"/>
      <c r="G365" s="938"/>
      <c r="H365" s="958" t="e">
        <f aca="false">H361+H362+H363+H364+K485</f>
        <v>#VALUE!</v>
      </c>
      <c r="I365" s="958" t="e">
        <f aca="false">I361+I362+I363+I364</f>
        <v>#VALUE!</v>
      </c>
      <c r="J365" s="958" t="e">
        <f aca="false">J361+J362+J363+J364</f>
        <v>#VALUE!</v>
      </c>
      <c r="K365" s="958" t="e">
        <f aca="false">K361+K362+K363+K364</f>
        <v>#VALUE!</v>
      </c>
      <c r="L365" s="958" t="e">
        <f aca="false">L361+L362+L363+L364</f>
        <v>#VALUE!</v>
      </c>
      <c r="M365" s="958" t="e">
        <f aca="false">M361+M362+M363+M364</f>
        <v>#VALUE!</v>
      </c>
      <c r="N365" s="958" t="e">
        <f aca="false">N361+N362+N363+N364</f>
        <v>#VALUE!</v>
      </c>
      <c r="O365" s="958" t="e">
        <f aca="false">O361+O362+O363+O364</f>
        <v>#VALUE!</v>
      </c>
      <c r="P365" s="958" t="e">
        <f aca="false">P361+P362+P363+P364</f>
        <v>#VALUE!</v>
      </c>
      <c r="Q365" s="958" t="e">
        <f aca="false">Q361+Q362+Q363+Q364</f>
        <v>#VALUE!</v>
      </c>
      <c r="R365" s="958" t="e">
        <f aca="false">R361+R362+R363+R364</f>
        <v>#VALUE!</v>
      </c>
      <c r="S365" s="958" t="e">
        <f aca="false">S361+S362+S363+S364</f>
        <v>#VALUE!</v>
      </c>
      <c r="T365" s="958" t="e">
        <f aca="false">T361+T362+T363+T364</f>
        <v>#VALUE!</v>
      </c>
      <c r="U365" s="958" t="e">
        <f aca="false">U361+U362+U363+U364</f>
        <v>#VALUE!</v>
      </c>
      <c r="V365" s="958" t="e">
        <f aca="false">V361+V362+V363+V364</f>
        <v>#VALUE!</v>
      </c>
      <c r="W365" s="958" t="e">
        <f aca="false">W361+W362+W363+W364</f>
        <v>#VALUE!</v>
      </c>
      <c r="X365" s="958" t="e">
        <f aca="false">X361+X362+X363+X364</f>
        <v>#VALUE!</v>
      </c>
      <c r="Y365" s="958" t="e">
        <f aca="false">Y361+Y362+Y363+Y364</f>
        <v>#VALUE!</v>
      </c>
      <c r="Z365" s="958" t="e">
        <f aca="false">Z361+Z362+Z363+Z364</f>
        <v>#VALUE!</v>
      </c>
      <c r="AA365" s="958" t="e">
        <f aca="false">AA361+AA362+AA363+AA364</f>
        <v>#VALUE!</v>
      </c>
      <c r="AB365" s="958" t="e">
        <f aca="false">AB361+AB362+AB363+AB364</f>
        <v>#VALUE!</v>
      </c>
      <c r="AC365" s="958" t="e">
        <f aca="false">AC361+AC362+AC363+AC364</f>
        <v>#VALUE!</v>
      </c>
      <c r="AD365" s="958" t="e">
        <f aca="false">AD361+AD362+AD363+AD364</f>
        <v>#VALUE!</v>
      </c>
      <c r="AE365" s="958" t="e">
        <f aca="false">AE361+AE362+AE363+AE364</f>
        <v>#VALUE!</v>
      </c>
      <c r="AF365" s="958" t="e">
        <f aca="false">AF361+AF362+AF363+AF364</f>
        <v>#VALUE!</v>
      </c>
      <c r="AG365" s="346"/>
      <c r="AH365" s="346"/>
      <c r="AI365" s="346"/>
      <c r="AJ365" s="346"/>
      <c r="AK365" s="346"/>
      <c r="AL365" s="346"/>
      <c r="AM365" s="346"/>
      <c r="AN365" s="346"/>
      <c r="AO365" s="346"/>
      <c r="AP365" s="346"/>
      <c r="AQ365" s="346"/>
      <c r="AR365" s="346"/>
      <c r="AS365" s="346"/>
      <c r="AT365" s="346"/>
      <c r="AU365" s="346"/>
      <c r="AV365" s="346"/>
      <c r="AW365" s="346"/>
      <c r="AX365" s="346"/>
      <c r="AY365" s="346"/>
      <c r="AZ365" s="346"/>
      <c r="BA365" s="346"/>
      <c r="BB365" s="346"/>
      <c r="BC365" s="346"/>
      <c r="BD365" s="346"/>
      <c r="BE365" s="346"/>
      <c r="BF365" s="346"/>
    </row>
    <row r="366" customFormat="false" ht="12" hidden="false" customHeight="false" outlineLevel="0" collapsed="false">
      <c r="A366" s="934"/>
      <c r="B366" s="751"/>
      <c r="C366" s="751"/>
      <c r="D366" s="751"/>
      <c r="E366" s="751"/>
      <c r="F366" s="751"/>
      <c r="G366" s="975"/>
      <c r="H366" s="956"/>
      <c r="I366" s="956"/>
      <c r="J366" s="956"/>
      <c r="K366" s="956"/>
      <c r="L366" s="956"/>
      <c r="M366" s="956"/>
      <c r="N366" s="956"/>
      <c r="O366" s="956"/>
      <c r="P366" s="956"/>
      <c r="Q366" s="956"/>
      <c r="R366" s="956"/>
      <c r="S366" s="956"/>
      <c r="T366" s="751"/>
      <c r="U366" s="751"/>
      <c r="V366" s="751"/>
      <c r="W366" s="751"/>
      <c r="X366" s="751"/>
      <c r="Y366" s="751"/>
      <c r="Z366" s="751"/>
      <c r="AA366" s="751"/>
      <c r="AB366" s="751"/>
      <c r="AC366" s="751"/>
      <c r="AD366" s="751"/>
      <c r="AE366" s="751"/>
      <c r="AF366" s="751"/>
      <c r="AG366" s="751"/>
    </row>
    <row r="367" customFormat="false" ht="12.75" hidden="false" customHeight="false" outlineLevel="0" collapsed="false">
      <c r="A367" s="751"/>
      <c r="B367" s="751"/>
      <c r="C367" s="751"/>
      <c r="D367" s="751"/>
      <c r="E367" s="976" t="n">
        <f aca="false">E$599</f>
        <v>36891</v>
      </c>
      <c r="F367" s="976" t="n">
        <f aca="false">F$599</f>
        <v>37256</v>
      </c>
      <c r="G367" s="976" t="n">
        <f aca="false">G$599</f>
        <v>37621</v>
      </c>
      <c r="H367" s="976" t="n">
        <f aca="false">H$599</f>
        <v>37802</v>
      </c>
      <c r="I367" s="977" t="n">
        <f aca="false">I$599</f>
        <v>37986</v>
      </c>
      <c r="J367" s="977" t="n">
        <f aca="false">J$599</f>
        <v>38352</v>
      </c>
      <c r="K367" s="977" t="n">
        <f aca="false">K$599</f>
        <v>38717</v>
      </c>
      <c r="L367" s="977" t="n">
        <f aca="false">L$599</f>
        <v>39082</v>
      </c>
      <c r="M367" s="977" t="n">
        <f aca="false">M$599</f>
        <v>39447</v>
      </c>
      <c r="N367" s="977" t="n">
        <f aca="false">N$599</f>
        <v>39813</v>
      </c>
      <c r="O367" s="977" t="n">
        <f aca="false">O$599</f>
        <v>40178</v>
      </c>
      <c r="P367" s="977" t="n">
        <f aca="false">P$599</f>
        <v>40543</v>
      </c>
      <c r="Q367" s="977" t="n">
        <f aca="false">Q$599</f>
        <v>40908</v>
      </c>
      <c r="R367" s="977" t="n">
        <f aca="false">R$599</f>
        <v>41274</v>
      </c>
      <c r="S367" s="977" t="n">
        <f aca="false">S$599</f>
        <v>41639</v>
      </c>
      <c r="T367" s="977" t="n">
        <f aca="false">T$599</f>
        <v>42004</v>
      </c>
      <c r="U367" s="977" t="n">
        <f aca="false">U$599</f>
        <v>42369</v>
      </c>
      <c r="V367" s="977" t="n">
        <f aca="false">V$599</f>
        <v>42735</v>
      </c>
      <c r="W367" s="977" t="n">
        <f aca="false">W$599</f>
        <v>43100</v>
      </c>
      <c r="X367" s="977" t="n">
        <f aca="false">X$599</f>
        <v>43465</v>
      </c>
      <c r="Y367" s="977" t="n">
        <f aca="false">Y$599</f>
        <v>43830</v>
      </c>
      <c r="Z367" s="977" t="n">
        <f aca="false">Z$599</f>
        <v>44196</v>
      </c>
      <c r="AA367" s="977" t="n">
        <f aca="false">AA$599</f>
        <v>44561</v>
      </c>
      <c r="AB367" s="977" t="n">
        <f aca="false">AB$599</f>
        <v>44926</v>
      </c>
      <c r="AC367" s="977" t="n">
        <f aca="false">AC$599</f>
        <v>45291</v>
      </c>
      <c r="AD367" s="977" t="n">
        <f aca="false">AD$599</f>
        <v>45657</v>
      </c>
      <c r="AE367" s="977" t="n">
        <f aca="false">AE$599</f>
        <v>46022</v>
      </c>
      <c r="AF367" s="977" t="n">
        <f aca="false">AF$599</f>
        <v>46387</v>
      </c>
      <c r="AG367" s="751"/>
    </row>
    <row r="368" customFormat="false" ht="12" hidden="false" customHeight="false" outlineLevel="0" collapsed="false">
      <c r="A368" s="841" t="s">
        <v>817</v>
      </c>
      <c r="B368" s="751"/>
      <c r="C368" s="751"/>
      <c r="D368" s="751"/>
      <c r="E368" s="346"/>
      <c r="F368" s="346"/>
      <c r="G368" s="346"/>
      <c r="H368" s="346"/>
      <c r="I368" s="346"/>
      <c r="J368" s="346"/>
      <c r="K368" s="346"/>
      <c r="L368" s="346"/>
      <c r="M368" s="346"/>
      <c r="N368" s="346"/>
      <c r="O368" s="346"/>
      <c r="P368" s="346"/>
      <c r="Q368" s="346"/>
      <c r="R368" s="346"/>
      <c r="S368" s="346"/>
      <c r="T368" s="751"/>
      <c r="U368" s="751"/>
      <c r="V368" s="751"/>
      <c r="W368" s="751"/>
      <c r="X368" s="751"/>
      <c r="Y368" s="751"/>
      <c r="Z368" s="751"/>
      <c r="AA368" s="751"/>
      <c r="AB368" s="751"/>
      <c r="AC368" s="751"/>
      <c r="AD368" s="751"/>
      <c r="AE368" s="751"/>
      <c r="AF368" s="751"/>
      <c r="AG368" s="751"/>
    </row>
    <row r="369" customFormat="false" ht="11.25" hidden="false" customHeight="false" outlineLevel="0" collapsed="false">
      <c r="A369" s="751" t="str">
        <f aca="false">A485</f>
        <v>Cash and Marketable Securities</v>
      </c>
      <c r="B369" s="751"/>
      <c r="C369" s="949"/>
      <c r="D369" s="949"/>
      <c r="E369" s="950" t="n">
        <f aca="false">E485</f>
        <v>0</v>
      </c>
      <c r="F369" s="950" t="n">
        <f aca="false">F485</f>
        <v>0</v>
      </c>
      <c r="G369" s="950" t="n">
        <f aca="false">G485</f>
        <v>0</v>
      </c>
      <c r="H369" s="960" t="e">
        <f aca="false">N485</f>
        <v>#VALUE!</v>
      </c>
      <c r="I369" s="950" t="e">
        <f aca="false">I365</f>
        <v>#VALUE!</v>
      </c>
      <c r="J369" s="950" t="e">
        <f aca="false">J365</f>
        <v>#VALUE!</v>
      </c>
      <c r="K369" s="950" t="e">
        <f aca="false">K365</f>
        <v>#VALUE!</v>
      </c>
      <c r="L369" s="950" t="e">
        <f aca="false">L365</f>
        <v>#VALUE!</v>
      </c>
      <c r="M369" s="950" t="e">
        <f aca="false">M365</f>
        <v>#VALUE!</v>
      </c>
      <c r="N369" s="950" t="e">
        <f aca="false">N365</f>
        <v>#VALUE!</v>
      </c>
      <c r="O369" s="950" t="e">
        <f aca="false">O365</f>
        <v>#VALUE!</v>
      </c>
      <c r="P369" s="950" t="e">
        <f aca="false">P365</f>
        <v>#VALUE!</v>
      </c>
      <c r="Q369" s="950" t="e">
        <f aca="false">Q365</f>
        <v>#VALUE!</v>
      </c>
      <c r="R369" s="950" t="e">
        <f aca="false">R365</f>
        <v>#VALUE!</v>
      </c>
      <c r="S369" s="950" t="e">
        <f aca="false">S365</f>
        <v>#VALUE!</v>
      </c>
      <c r="T369" s="950" t="e">
        <f aca="false">T365</f>
        <v>#VALUE!</v>
      </c>
      <c r="U369" s="950" t="e">
        <f aca="false">U365</f>
        <v>#VALUE!</v>
      </c>
      <c r="V369" s="950" t="e">
        <f aca="false">V365</f>
        <v>#VALUE!</v>
      </c>
      <c r="W369" s="950" t="e">
        <f aca="false">W365</f>
        <v>#VALUE!</v>
      </c>
      <c r="X369" s="950" t="e">
        <f aca="false">X365</f>
        <v>#VALUE!</v>
      </c>
      <c r="Y369" s="950" t="e">
        <f aca="false">Y365</f>
        <v>#VALUE!</v>
      </c>
      <c r="Z369" s="950" t="e">
        <f aca="false">Z365</f>
        <v>#VALUE!</v>
      </c>
      <c r="AA369" s="950" t="e">
        <f aca="false">AA365</f>
        <v>#VALUE!</v>
      </c>
      <c r="AB369" s="950" t="e">
        <f aca="false">AB365</f>
        <v>#VALUE!</v>
      </c>
      <c r="AC369" s="950" t="e">
        <f aca="false">AC365</f>
        <v>#VALUE!</v>
      </c>
      <c r="AD369" s="950" t="e">
        <f aca="false">AD365</f>
        <v>#VALUE!</v>
      </c>
      <c r="AE369" s="950" t="e">
        <f aca="false">AE365</f>
        <v>#VALUE!</v>
      </c>
      <c r="AF369" s="950" t="e">
        <f aca="false">AF365</f>
        <v>#VALUE!</v>
      </c>
      <c r="AG369" s="751"/>
    </row>
    <row r="370" customFormat="false" ht="11.25" hidden="false" customHeight="false" outlineLevel="0" collapsed="false">
      <c r="A370" s="751" t="str">
        <f aca="false">A486</f>
        <v>Accounts Receivable</v>
      </c>
      <c r="B370" s="751"/>
      <c r="C370" s="950"/>
      <c r="D370" s="950"/>
      <c r="E370" s="950" t="n">
        <f aca="false">E486</f>
        <v>0</v>
      </c>
      <c r="F370" s="950" t="n">
        <f aca="false">F486</f>
        <v>0</v>
      </c>
      <c r="G370" s="950" t="n">
        <f aca="false">G486</f>
        <v>0</v>
      </c>
      <c r="H370" s="960" t="e">
        <f aca="false">N486</f>
        <v>#VALUE!</v>
      </c>
      <c r="I370" s="950" t="e">
        <f aca="false">I540</f>
        <v>#VALUE!</v>
      </c>
      <c r="J370" s="950" t="e">
        <f aca="false">J540</f>
        <v>#VALUE!</v>
      </c>
      <c r="K370" s="950" t="e">
        <f aca="false">K540</f>
        <v>#VALUE!</v>
      </c>
      <c r="L370" s="950" t="e">
        <f aca="false">L540</f>
        <v>#VALUE!</v>
      </c>
      <c r="M370" s="950" t="e">
        <f aca="false">M540</f>
        <v>#VALUE!</v>
      </c>
      <c r="N370" s="950" t="e">
        <f aca="false">N540</f>
        <v>#VALUE!</v>
      </c>
      <c r="O370" s="950" t="e">
        <f aca="false">O540</f>
        <v>#VALUE!</v>
      </c>
      <c r="P370" s="950" t="e">
        <f aca="false">P540</f>
        <v>#VALUE!</v>
      </c>
      <c r="Q370" s="950" t="e">
        <f aca="false">Q540</f>
        <v>#VALUE!</v>
      </c>
      <c r="R370" s="950" t="e">
        <f aca="false">R540</f>
        <v>#VALUE!</v>
      </c>
      <c r="S370" s="950" t="e">
        <f aca="false">S540</f>
        <v>#VALUE!</v>
      </c>
      <c r="T370" s="950" t="e">
        <f aca="false">T540</f>
        <v>#VALUE!</v>
      </c>
      <c r="U370" s="950" t="e">
        <f aca="false">U540</f>
        <v>#VALUE!</v>
      </c>
      <c r="V370" s="950" t="e">
        <f aca="false">V540</f>
        <v>#VALUE!</v>
      </c>
      <c r="W370" s="950" t="e">
        <f aca="false">W540</f>
        <v>#VALUE!</v>
      </c>
      <c r="X370" s="950" t="e">
        <f aca="false">X540</f>
        <v>#VALUE!</v>
      </c>
      <c r="Y370" s="950" t="e">
        <f aca="false">Y540</f>
        <v>#VALUE!</v>
      </c>
      <c r="Z370" s="950" t="e">
        <f aca="false">Z540</f>
        <v>#VALUE!</v>
      </c>
      <c r="AA370" s="950" t="e">
        <f aca="false">AA540</f>
        <v>#VALUE!</v>
      </c>
      <c r="AB370" s="950" t="e">
        <f aca="false">AB540</f>
        <v>#VALUE!</v>
      </c>
      <c r="AC370" s="950" t="e">
        <f aca="false">AC540</f>
        <v>#VALUE!</v>
      </c>
      <c r="AD370" s="950" t="n">
        <f aca="false">AD540</f>
        <v>0</v>
      </c>
      <c r="AE370" s="950" t="n">
        <f aca="false">AE540</f>
        <v>0</v>
      </c>
      <c r="AF370" s="950" t="n">
        <f aca="false">AF540</f>
        <v>0</v>
      </c>
      <c r="AG370" s="751"/>
    </row>
    <row r="371" customFormat="false" ht="11.25" hidden="false" customHeight="false" outlineLevel="0" collapsed="false">
      <c r="A371" s="751" t="str">
        <f aca="false">A487</f>
        <v>Inventories</v>
      </c>
      <c r="B371" s="751"/>
      <c r="C371" s="950"/>
      <c r="D371" s="950"/>
      <c r="E371" s="950" t="n">
        <f aca="false">E487</f>
        <v>0</v>
      </c>
      <c r="F371" s="950" t="n">
        <f aca="false">F487</f>
        <v>0</v>
      </c>
      <c r="G371" s="950" t="n">
        <f aca="false">G487</f>
        <v>0</v>
      </c>
      <c r="H371" s="960" t="n">
        <f aca="false">N487</f>
        <v>0</v>
      </c>
      <c r="I371" s="950" t="n">
        <f aca="false">I541</f>
        <v>0</v>
      </c>
      <c r="J371" s="950" t="n">
        <f aca="false">J541</f>
        <v>0</v>
      </c>
      <c r="K371" s="950" t="n">
        <f aca="false">K541</f>
        <v>0</v>
      </c>
      <c r="L371" s="950" t="n">
        <f aca="false">L541</f>
        <v>0</v>
      </c>
      <c r="M371" s="950" t="n">
        <f aca="false">M541</f>
        <v>0</v>
      </c>
      <c r="N371" s="950" t="n">
        <f aca="false">N541</f>
        <v>0</v>
      </c>
      <c r="O371" s="950" t="n">
        <f aca="false">O541</f>
        <v>0</v>
      </c>
      <c r="P371" s="950" t="n">
        <f aca="false">P541</f>
        <v>0</v>
      </c>
      <c r="Q371" s="950" t="n">
        <f aca="false">Q541</f>
        <v>0</v>
      </c>
      <c r="R371" s="950" t="n">
        <f aca="false">R541</f>
        <v>0</v>
      </c>
      <c r="S371" s="950" t="n">
        <f aca="false">S541</f>
        <v>0</v>
      </c>
      <c r="T371" s="950" t="n">
        <f aca="false">T541</f>
        <v>0</v>
      </c>
      <c r="U371" s="950" t="n">
        <f aca="false">U541</f>
        <v>0</v>
      </c>
      <c r="V371" s="950" t="n">
        <f aca="false">V541</f>
        <v>0</v>
      </c>
      <c r="W371" s="950" t="n">
        <f aca="false">W541</f>
        <v>0</v>
      </c>
      <c r="X371" s="950" t="n">
        <f aca="false">X541</f>
        <v>0</v>
      </c>
      <c r="Y371" s="950" t="n">
        <f aca="false">Y541</f>
        <v>0</v>
      </c>
      <c r="Z371" s="950" t="n">
        <f aca="false">Z541</f>
        <v>0</v>
      </c>
      <c r="AA371" s="950" t="n">
        <f aca="false">AA541</f>
        <v>0</v>
      </c>
      <c r="AB371" s="950" t="n">
        <f aca="false">AB541</f>
        <v>0</v>
      </c>
      <c r="AC371" s="950" t="n">
        <f aca="false">AC541</f>
        <v>0</v>
      </c>
      <c r="AD371" s="950" t="n">
        <f aca="false">AD541</f>
        <v>0</v>
      </c>
      <c r="AE371" s="950" t="n">
        <f aca="false">AE541</f>
        <v>0</v>
      </c>
      <c r="AF371" s="950" t="n">
        <f aca="false">AF541</f>
        <v>0</v>
      </c>
      <c r="AG371" s="751"/>
    </row>
    <row r="372" customFormat="false" ht="11.25" hidden="false" customHeight="false" outlineLevel="0" collapsed="false">
      <c r="A372" s="751" t="str">
        <f aca="false">A488</f>
        <v>Other Current Assets</v>
      </c>
      <c r="B372" s="751"/>
      <c r="C372" s="950"/>
      <c r="D372" s="950"/>
      <c r="E372" s="950" t="n">
        <f aca="false">E488</f>
        <v>0</v>
      </c>
      <c r="F372" s="950" t="n">
        <f aca="false">F488</f>
        <v>0</v>
      </c>
      <c r="G372" s="950" t="n">
        <f aca="false">G488</f>
        <v>0</v>
      </c>
      <c r="H372" s="960" t="n">
        <f aca="false">N488</f>
        <v>0</v>
      </c>
      <c r="I372" s="950" t="n">
        <f aca="false">I542</f>
        <v>0</v>
      </c>
      <c r="J372" s="950" t="n">
        <f aca="false">J542</f>
        <v>0</v>
      </c>
      <c r="K372" s="950" t="n">
        <f aca="false">K542</f>
        <v>0</v>
      </c>
      <c r="L372" s="950" t="n">
        <f aca="false">L542</f>
        <v>0</v>
      </c>
      <c r="M372" s="950" t="n">
        <f aca="false">M542</f>
        <v>0</v>
      </c>
      <c r="N372" s="950" t="n">
        <f aca="false">N542</f>
        <v>0</v>
      </c>
      <c r="O372" s="950" t="n">
        <f aca="false">O542</f>
        <v>0</v>
      </c>
      <c r="P372" s="950" t="n">
        <f aca="false">P542</f>
        <v>0</v>
      </c>
      <c r="Q372" s="950" t="n">
        <f aca="false">Q542</f>
        <v>0</v>
      </c>
      <c r="R372" s="950" t="n">
        <f aca="false">R542</f>
        <v>0</v>
      </c>
      <c r="S372" s="950" t="n">
        <f aca="false">S542</f>
        <v>0</v>
      </c>
      <c r="T372" s="950" t="n">
        <f aca="false">T542</f>
        <v>0</v>
      </c>
      <c r="U372" s="950" t="n">
        <f aca="false">U542</f>
        <v>0</v>
      </c>
      <c r="V372" s="950" t="n">
        <f aca="false">V542</f>
        <v>0</v>
      </c>
      <c r="W372" s="950" t="n">
        <f aca="false">W542</f>
        <v>0</v>
      </c>
      <c r="X372" s="950" t="n">
        <f aca="false">X542</f>
        <v>0</v>
      </c>
      <c r="Y372" s="950" t="n">
        <f aca="false">Y542</f>
        <v>0</v>
      </c>
      <c r="Z372" s="950" t="n">
        <f aca="false">Z542</f>
        <v>0</v>
      </c>
      <c r="AA372" s="950" t="n">
        <f aca="false">AA542</f>
        <v>0</v>
      </c>
      <c r="AB372" s="950" t="n">
        <f aca="false">AB542</f>
        <v>0</v>
      </c>
      <c r="AC372" s="950" t="n">
        <f aca="false">AC542</f>
        <v>0</v>
      </c>
      <c r="AD372" s="950" t="n">
        <f aca="false">AD542</f>
        <v>0</v>
      </c>
      <c r="AE372" s="950" t="n">
        <f aca="false">AE542</f>
        <v>0</v>
      </c>
      <c r="AF372" s="950" t="n">
        <f aca="false">AF542</f>
        <v>0</v>
      </c>
      <c r="AG372" s="751"/>
    </row>
    <row r="373" customFormat="false" ht="11.25" hidden="false" customHeight="false" outlineLevel="0" collapsed="false">
      <c r="A373" s="978" t="str">
        <f aca="false">A489</f>
        <v>Total Current Assets</v>
      </c>
      <c r="B373" s="751"/>
      <c r="C373" s="950"/>
      <c r="D373" s="950"/>
      <c r="E373" s="958" t="n">
        <f aca="false">SUM(E369:E372)</f>
        <v>0</v>
      </c>
      <c r="F373" s="958" t="n">
        <f aca="false">SUM(F369:F372)</f>
        <v>0</v>
      </c>
      <c r="G373" s="958" t="n">
        <f aca="false">SUM(G369:G372)</f>
        <v>0</v>
      </c>
      <c r="H373" s="959" t="e">
        <f aca="false">SUM(H369:H372)</f>
        <v>#VALUE!</v>
      </c>
      <c r="I373" s="958" t="e">
        <f aca="false">SUM(I369:I372)</f>
        <v>#VALUE!</v>
      </c>
      <c r="J373" s="958" t="e">
        <f aca="false">SUM(J369:J372)</f>
        <v>#VALUE!</v>
      </c>
      <c r="K373" s="958" t="e">
        <f aca="false">SUM(K369:K372)</f>
        <v>#VALUE!</v>
      </c>
      <c r="L373" s="958" t="e">
        <f aca="false">SUM(L369:L372)</f>
        <v>#VALUE!</v>
      </c>
      <c r="M373" s="958" t="e">
        <f aca="false">SUM(M369:M372)</f>
        <v>#VALUE!</v>
      </c>
      <c r="N373" s="958" t="e">
        <f aca="false">SUM(N369:N372)</f>
        <v>#VALUE!</v>
      </c>
      <c r="O373" s="958" t="e">
        <f aca="false">SUM(O369:O372)</f>
        <v>#VALUE!</v>
      </c>
      <c r="P373" s="958" t="e">
        <f aca="false">SUM(P369:P372)</f>
        <v>#VALUE!</v>
      </c>
      <c r="Q373" s="958" t="e">
        <f aca="false">SUM(Q369:Q372)</f>
        <v>#VALUE!</v>
      </c>
      <c r="R373" s="958" t="e">
        <f aca="false">SUM(R369:R372)</f>
        <v>#VALUE!</v>
      </c>
      <c r="S373" s="958" t="e">
        <f aca="false">SUM(S369:S372)</f>
        <v>#VALUE!</v>
      </c>
      <c r="T373" s="958" t="e">
        <f aca="false">SUM(T369:T372)</f>
        <v>#VALUE!</v>
      </c>
      <c r="U373" s="958" t="e">
        <f aca="false">SUM(U369:U372)</f>
        <v>#VALUE!</v>
      </c>
      <c r="V373" s="958" t="e">
        <f aca="false">SUM(V369:V372)</f>
        <v>#VALUE!</v>
      </c>
      <c r="W373" s="958" t="e">
        <f aca="false">SUM(W369:W372)</f>
        <v>#VALUE!</v>
      </c>
      <c r="X373" s="958" t="e">
        <f aca="false">SUM(X369:X372)</f>
        <v>#VALUE!</v>
      </c>
      <c r="Y373" s="958" t="e">
        <f aca="false">SUM(Y369:Y372)</f>
        <v>#VALUE!</v>
      </c>
      <c r="Z373" s="958" t="e">
        <f aca="false">SUM(Z369:Z372)</f>
        <v>#VALUE!</v>
      </c>
      <c r="AA373" s="958" t="e">
        <f aca="false">SUM(AA369:AA372)</f>
        <v>#VALUE!</v>
      </c>
      <c r="AB373" s="958" t="e">
        <f aca="false">SUM(AB369:AB372)</f>
        <v>#VALUE!</v>
      </c>
      <c r="AC373" s="958" t="e">
        <f aca="false">SUM(AC369:AC372)</f>
        <v>#VALUE!</v>
      </c>
      <c r="AD373" s="958" t="e">
        <f aca="false">SUM(AD369:AD372)</f>
        <v>#VALUE!</v>
      </c>
      <c r="AE373" s="958" t="e">
        <f aca="false">SUM(AE369:AE372)</f>
        <v>#VALUE!</v>
      </c>
      <c r="AF373" s="958" t="e">
        <f aca="false">SUM(AF369:AF372)</f>
        <v>#VALUE!</v>
      </c>
      <c r="AG373" s="751"/>
    </row>
    <row r="374" customFormat="false" ht="11.25" hidden="false" customHeight="false" outlineLevel="0" collapsed="false">
      <c r="A374" s="751"/>
      <c r="B374" s="751"/>
      <c r="C374" s="949"/>
      <c r="D374" s="949"/>
      <c r="E374" s="949"/>
      <c r="F374" s="949"/>
      <c r="G374" s="950"/>
      <c r="H374" s="96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751"/>
    </row>
    <row r="375" customFormat="false" ht="11.25" hidden="false" customHeight="false" outlineLevel="0" collapsed="false">
      <c r="A375" s="751" t="str">
        <f aca="false">A491</f>
        <v>Intangibles</v>
      </c>
      <c r="B375" s="751"/>
      <c r="C375" s="949"/>
      <c r="D375" s="949"/>
      <c r="E375" s="950" t="n">
        <f aca="false">E491</f>
        <v>0</v>
      </c>
      <c r="F375" s="950" t="n">
        <f aca="false">F491</f>
        <v>0</v>
      </c>
      <c r="G375" s="950" t="n">
        <f aca="false">G491</f>
        <v>0</v>
      </c>
      <c r="H375" s="960" t="n">
        <f aca="false">N491</f>
        <v>48563.258028615</v>
      </c>
      <c r="I375" s="950" t="n">
        <f aca="false">H375-I602</f>
        <v>45094.4538837139</v>
      </c>
      <c r="J375" s="950" t="n">
        <f aca="false">I375-J602</f>
        <v>38156.8455939118</v>
      </c>
      <c r="K375" s="950" t="n">
        <f aca="false">J375-K602</f>
        <v>31219.2373041096</v>
      </c>
      <c r="L375" s="950" t="n">
        <f aca="false">K375-L602</f>
        <v>24281.6290143075</v>
      </c>
      <c r="M375" s="950" t="n">
        <f aca="false">L375-M602</f>
        <v>17344.0207245053</v>
      </c>
      <c r="N375" s="950" t="n">
        <f aca="false">M375-N602</f>
        <v>10406.4124347032</v>
      </c>
      <c r="O375" s="950" t="n">
        <f aca="false">N375-O602</f>
        <v>3468.80414490106</v>
      </c>
      <c r="P375" s="950" t="n">
        <f aca="false">O375-P602</f>
        <v>0</v>
      </c>
      <c r="Q375" s="950" t="n">
        <f aca="false">P375-Q602</f>
        <v>0</v>
      </c>
      <c r="R375" s="950" t="n">
        <f aca="false">Q375-R602</f>
        <v>0</v>
      </c>
      <c r="S375" s="950" t="n">
        <f aca="false">R375-S602</f>
        <v>0</v>
      </c>
      <c r="T375" s="950" t="n">
        <f aca="false">S375-T602</f>
        <v>0</v>
      </c>
      <c r="U375" s="950" t="n">
        <f aca="false">T375-U602</f>
        <v>0</v>
      </c>
      <c r="V375" s="950" t="n">
        <f aca="false">U375-V602</f>
        <v>0</v>
      </c>
      <c r="W375" s="950" t="n">
        <f aca="false">V375-W602</f>
        <v>0</v>
      </c>
      <c r="X375" s="950" t="n">
        <f aca="false">W375-X602</f>
        <v>0</v>
      </c>
      <c r="Y375" s="950" t="n">
        <f aca="false">X375-Y602</f>
        <v>0</v>
      </c>
      <c r="Z375" s="950" t="n">
        <f aca="false">Y375-Z602</f>
        <v>0</v>
      </c>
      <c r="AA375" s="950" t="n">
        <f aca="false">Z375-AA602</f>
        <v>0</v>
      </c>
      <c r="AB375" s="950" t="n">
        <f aca="false">AA375-AB602</f>
        <v>0</v>
      </c>
      <c r="AC375" s="950" t="n">
        <f aca="false">AB375-AC602</f>
        <v>0</v>
      </c>
      <c r="AD375" s="950" t="n">
        <f aca="false">AC375-AD602</f>
        <v>0</v>
      </c>
      <c r="AE375" s="950" t="n">
        <f aca="false">AD375-AE602</f>
        <v>0</v>
      </c>
      <c r="AF375" s="950" t="n">
        <f aca="false">AE375-AF602</f>
        <v>0</v>
      </c>
      <c r="AG375" s="751"/>
    </row>
    <row r="376" customFormat="false" ht="11.25" hidden="false" customHeight="false" outlineLevel="0" collapsed="false">
      <c r="A376" s="751" t="str">
        <f aca="false">A492</f>
        <v>Transaction Fees</v>
      </c>
      <c r="B376" s="751"/>
      <c r="C376" s="949"/>
      <c r="D376" s="949"/>
      <c r="E376" s="950" t="n">
        <f aca="false">E492</f>
        <v>0</v>
      </c>
      <c r="F376" s="950" t="n">
        <f aca="false">F492</f>
        <v>0</v>
      </c>
      <c r="G376" s="950" t="n">
        <f aca="false">G492</f>
        <v>0</v>
      </c>
      <c r="H376" s="960" t="e">
        <f aca="false">N492</f>
        <v>#VALUE!</v>
      </c>
      <c r="I376" s="950" t="e">
        <f aca="false">H376-I601</f>
        <v>#VALUE!</v>
      </c>
      <c r="J376" s="950" t="e">
        <f aca="false">I376-J601</f>
        <v>#VALUE!</v>
      </c>
      <c r="K376" s="973" t="e">
        <f aca="false">J376-K601+Debt!Q19</f>
        <v>#VALUE!</v>
      </c>
      <c r="L376" s="950" t="e">
        <f aca="false">K376-L601</f>
        <v>#VALUE!</v>
      </c>
      <c r="M376" s="950" t="e">
        <f aca="false">L376-M601</f>
        <v>#VALUE!</v>
      </c>
      <c r="N376" s="950" t="e">
        <f aca="false">M376-N601</f>
        <v>#VALUE!</v>
      </c>
      <c r="O376" s="950" t="e">
        <f aca="false">N376-O601</f>
        <v>#VALUE!</v>
      </c>
      <c r="P376" s="950" t="e">
        <f aca="false">O376-P601</f>
        <v>#VALUE!</v>
      </c>
      <c r="Q376" s="950" t="e">
        <f aca="false">P376-Q601</f>
        <v>#VALUE!</v>
      </c>
      <c r="R376" s="950" t="e">
        <f aca="false">Q376-R601</f>
        <v>#VALUE!</v>
      </c>
      <c r="S376" s="950" t="e">
        <f aca="false">R376-S601</f>
        <v>#VALUE!</v>
      </c>
      <c r="T376" s="950" t="e">
        <f aca="false">S376-T601</f>
        <v>#VALUE!</v>
      </c>
      <c r="U376" s="950" t="e">
        <f aca="false">T376-U601</f>
        <v>#VALUE!</v>
      </c>
      <c r="V376" s="950" t="e">
        <f aca="false">U376-V601</f>
        <v>#VALUE!</v>
      </c>
      <c r="W376" s="950" t="e">
        <f aca="false">V376-W601</f>
        <v>#VALUE!</v>
      </c>
      <c r="X376" s="950" t="e">
        <f aca="false">W376-X601</f>
        <v>#VALUE!</v>
      </c>
      <c r="Y376" s="950" t="e">
        <f aca="false">X376-Y601</f>
        <v>#VALUE!</v>
      </c>
      <c r="Z376" s="950" t="e">
        <f aca="false">Y376-Z601</f>
        <v>#VALUE!</v>
      </c>
      <c r="AA376" s="950" t="e">
        <f aca="false">Z376-AA601</f>
        <v>#VALUE!</v>
      </c>
      <c r="AB376" s="950" t="e">
        <f aca="false">AA376-AB601</f>
        <v>#VALUE!</v>
      </c>
      <c r="AC376" s="950" t="e">
        <f aca="false">AB376-AC601</f>
        <v>#VALUE!</v>
      </c>
      <c r="AD376" s="950" t="e">
        <f aca="false">AC376-AD601</f>
        <v>#VALUE!</v>
      </c>
      <c r="AE376" s="950" t="e">
        <f aca="false">AD376-AE601</f>
        <v>#VALUE!</v>
      </c>
      <c r="AF376" s="950" t="e">
        <f aca="false">AE376-AF601</f>
        <v>#VALUE!</v>
      </c>
      <c r="AG376" s="751"/>
    </row>
    <row r="377" customFormat="false" ht="11.25" hidden="false" customHeight="false" outlineLevel="0" collapsed="false">
      <c r="A377" s="978" t="s">
        <v>818</v>
      </c>
      <c r="B377" s="751"/>
      <c r="C377" s="949"/>
      <c r="D377" s="949"/>
      <c r="E377" s="958" t="n">
        <f aca="false">SUM(E375:E376)</f>
        <v>0</v>
      </c>
      <c r="F377" s="958" t="n">
        <f aca="false">SUM(F375:F376)</f>
        <v>0</v>
      </c>
      <c r="G377" s="958" t="n">
        <f aca="false">SUM(G375:G376)</f>
        <v>0</v>
      </c>
      <c r="H377" s="959" t="e">
        <f aca="false">SUM(H375:H376)</f>
        <v>#VALUE!</v>
      </c>
      <c r="I377" s="958" t="e">
        <f aca="false">SUM(I375:I376)</f>
        <v>#VALUE!</v>
      </c>
      <c r="J377" s="958" t="e">
        <f aca="false">SUM(J375:J376)</f>
        <v>#VALUE!</v>
      </c>
      <c r="K377" s="958" t="e">
        <f aca="false">SUM(K375:K376)</f>
        <v>#VALUE!</v>
      </c>
      <c r="L377" s="958" t="e">
        <f aca="false">SUM(L375:L376)</f>
        <v>#VALUE!</v>
      </c>
      <c r="M377" s="958" t="e">
        <f aca="false">SUM(M375:M376)</f>
        <v>#VALUE!</v>
      </c>
      <c r="N377" s="958" t="e">
        <f aca="false">SUM(N375:N376)</f>
        <v>#VALUE!</v>
      </c>
      <c r="O377" s="958" t="e">
        <f aca="false">SUM(O375:O376)</f>
        <v>#VALUE!</v>
      </c>
      <c r="P377" s="958" t="e">
        <f aca="false">SUM(P375:P376)</f>
        <v>#VALUE!</v>
      </c>
      <c r="Q377" s="958" t="e">
        <f aca="false">SUM(Q375:Q376)</f>
        <v>#VALUE!</v>
      </c>
      <c r="R377" s="958" t="e">
        <f aca="false">SUM(R375:R376)</f>
        <v>#VALUE!</v>
      </c>
      <c r="S377" s="958" t="e">
        <f aca="false">SUM(S375:S376)</f>
        <v>#VALUE!</v>
      </c>
      <c r="T377" s="958" t="e">
        <f aca="false">SUM(T375:T376)</f>
        <v>#VALUE!</v>
      </c>
      <c r="U377" s="958" t="e">
        <f aca="false">SUM(U375:U376)</f>
        <v>#VALUE!</v>
      </c>
      <c r="V377" s="958" t="e">
        <f aca="false">SUM(V375:V376)</f>
        <v>#VALUE!</v>
      </c>
      <c r="W377" s="958" t="e">
        <f aca="false">SUM(W375:W376)</f>
        <v>#VALUE!</v>
      </c>
      <c r="X377" s="958" t="e">
        <f aca="false">SUM(X375:X376)</f>
        <v>#VALUE!</v>
      </c>
      <c r="Y377" s="958" t="e">
        <f aca="false">SUM(Y375:Y376)</f>
        <v>#VALUE!</v>
      </c>
      <c r="Z377" s="958" t="e">
        <f aca="false">SUM(Z375:Z376)</f>
        <v>#VALUE!</v>
      </c>
      <c r="AA377" s="958" t="e">
        <f aca="false">SUM(AA375:AA376)</f>
        <v>#VALUE!</v>
      </c>
      <c r="AB377" s="958" t="e">
        <f aca="false">SUM(AB375:AB376)</f>
        <v>#VALUE!</v>
      </c>
      <c r="AC377" s="958" t="e">
        <f aca="false">SUM(AC375:AC376)</f>
        <v>#VALUE!</v>
      </c>
      <c r="AD377" s="958" t="e">
        <f aca="false">SUM(AD375:AD376)</f>
        <v>#VALUE!</v>
      </c>
      <c r="AE377" s="958" t="e">
        <f aca="false">SUM(AE375:AE376)</f>
        <v>#VALUE!</v>
      </c>
      <c r="AF377" s="958" t="e">
        <f aca="false">SUM(AF375:AF376)</f>
        <v>#VALUE!</v>
      </c>
      <c r="AG377" s="751"/>
    </row>
    <row r="378" customFormat="false" ht="11.25" hidden="false" customHeight="false" outlineLevel="0" collapsed="false">
      <c r="A378" s="751"/>
      <c r="B378" s="751"/>
      <c r="C378" s="949"/>
      <c r="D378" s="949"/>
      <c r="E378" s="950"/>
      <c r="F378" s="950"/>
      <c r="G378" s="950"/>
      <c r="H378" s="960"/>
      <c r="I378" s="950"/>
      <c r="J378" s="950"/>
      <c r="K378" s="950"/>
      <c r="L378" s="950"/>
      <c r="M378" s="950"/>
      <c r="N378" s="950"/>
      <c r="O378" s="950"/>
      <c r="P378" s="950"/>
      <c r="Q378" s="950"/>
      <c r="R378" s="950"/>
      <c r="S378" s="950"/>
      <c r="T378" s="950"/>
      <c r="U378" s="950"/>
      <c r="V378" s="950"/>
      <c r="W378" s="950"/>
      <c r="X378" s="950"/>
      <c r="Y378" s="950"/>
      <c r="Z378" s="950"/>
      <c r="AA378" s="950"/>
      <c r="AB378" s="950"/>
      <c r="AC378" s="950"/>
      <c r="AD378" s="950"/>
      <c r="AE378" s="950"/>
      <c r="AF378" s="950"/>
      <c r="AG378" s="751"/>
    </row>
    <row r="379" customFormat="false" ht="11.25" hidden="false" customHeight="false" outlineLevel="0" collapsed="false">
      <c r="A379" s="751" t="str">
        <f aca="false">A494</f>
        <v>Gross PP&amp;E</v>
      </c>
      <c r="B379" s="751"/>
      <c r="C379" s="949"/>
      <c r="D379" s="949"/>
      <c r="E379" s="950" t="n">
        <f aca="false">E494</f>
        <v>0</v>
      </c>
      <c r="F379" s="950" t="n">
        <f aca="false">F494</f>
        <v>0</v>
      </c>
      <c r="G379" s="950" t="n">
        <f aca="false">G494</f>
        <v>0</v>
      </c>
      <c r="H379" s="960" t="n">
        <f aca="false">N494</f>
        <v>479637.116332</v>
      </c>
      <c r="I379" s="950" t="n">
        <f aca="false">H379-I612+(I729-I731-I732)-H459</f>
        <v>479637.116332</v>
      </c>
      <c r="J379" s="950" t="n">
        <f aca="false">I379-J612+(J729-J731-J732)</f>
        <v>479637.116332</v>
      </c>
      <c r="K379" s="950" t="n">
        <f aca="false">J379-K612+(K729-K731-K732)</f>
        <v>479637.116332</v>
      </c>
      <c r="L379" s="950" t="n">
        <f aca="false">K379-L612+(L729-L731-L732)</f>
        <v>479637.116332</v>
      </c>
      <c r="M379" s="950" t="n">
        <f aca="false">L379-M612+(M729-M731-M732)</f>
        <v>479637.116332</v>
      </c>
      <c r="N379" s="950" t="n">
        <f aca="false">M379-N612+(N729-N731-N732)</f>
        <v>479637.116332</v>
      </c>
      <c r="O379" s="950" t="n">
        <f aca="false">N379-O612+(O729-O731-O732)</f>
        <v>479637.116332</v>
      </c>
      <c r="P379" s="950" t="n">
        <f aca="false">O379-P612+(P729-P731-P732)</f>
        <v>479637.116332</v>
      </c>
      <c r="Q379" s="950" t="n">
        <f aca="false">P379-Q612+(Q729-Q731-Q732)</f>
        <v>479637.116332</v>
      </c>
      <c r="R379" s="950" t="n">
        <f aca="false">Q379-R612+(R729-R731-R732)</f>
        <v>479637.116332</v>
      </c>
      <c r="S379" s="950" t="n">
        <f aca="false">R379-S612+(S729-S731-S732)</f>
        <v>479637.116332</v>
      </c>
      <c r="T379" s="950" t="n">
        <f aca="false">S379-T612+(T729-T731-T732)</f>
        <v>479637.116332</v>
      </c>
      <c r="U379" s="950" t="n">
        <f aca="false">T379-U612+(U729-U731-U732)</f>
        <v>479637.116332</v>
      </c>
      <c r="V379" s="950" t="n">
        <f aca="false">U379-V612+(V729-V731-V732)</f>
        <v>479637.116332</v>
      </c>
      <c r="W379" s="950" t="n">
        <f aca="false">V379-W612+(W729-W731-W732)</f>
        <v>479637.116332</v>
      </c>
      <c r="X379" s="950" t="n">
        <f aca="false">W379-X612+(X729-X731-X732)</f>
        <v>479637.116332</v>
      </c>
      <c r="Y379" s="950" t="n">
        <f aca="false">X379-Y612+(Y729-Y731-Y732)</f>
        <v>479637.116332</v>
      </c>
      <c r="Z379" s="950" t="n">
        <f aca="false">Y379-Z612+(Z729-Z731-Z732)</f>
        <v>479637.116332</v>
      </c>
      <c r="AA379" s="950" t="n">
        <f aca="false">Z379-AA612+(AA729-AA731-AA732)</f>
        <v>479637.116332</v>
      </c>
      <c r="AB379" s="950" t="n">
        <f aca="false">AA379-AB612+(AB729-AB731-AB732)</f>
        <v>479637.116332</v>
      </c>
      <c r="AC379" s="950" t="n">
        <f aca="false">AB379-AC612+(AC729-AC731-AC732)</f>
        <v>479637.116332</v>
      </c>
      <c r="AD379" s="950" t="n">
        <f aca="false">AC379-AD612+(AD729-AD731-AD732)</f>
        <v>479637.116332</v>
      </c>
      <c r="AE379" s="950" t="n">
        <f aca="false">AD379-AE612+(AE729-AE731-AE732)</f>
        <v>479637.116332</v>
      </c>
      <c r="AF379" s="950" t="n">
        <f aca="false">AE379-AF612+(AF729-AF731-AF732)</f>
        <v>479637.116332</v>
      </c>
      <c r="AG379" s="751"/>
    </row>
    <row r="380" customFormat="false" ht="11.25" hidden="false" customHeight="false" outlineLevel="0" collapsed="false">
      <c r="A380" s="751" t="str">
        <f aca="false">A495</f>
        <v>Accumulated Depreciation</v>
      </c>
      <c r="B380" s="751"/>
      <c r="C380" s="949"/>
      <c r="D380" s="949"/>
      <c r="E380" s="950" t="n">
        <f aca="false">E495</f>
        <v>0</v>
      </c>
      <c r="F380" s="950" t="n">
        <f aca="false">F495</f>
        <v>0</v>
      </c>
      <c r="G380" s="950" t="n">
        <f aca="false">G495</f>
        <v>0</v>
      </c>
      <c r="H380" s="960" t="n">
        <f aca="false">N495</f>
        <v>0</v>
      </c>
      <c r="I380" s="950" t="n">
        <f aca="false">H380+I613-I292</f>
        <v>-11990.9279083</v>
      </c>
      <c r="J380" s="950" t="n">
        <f aca="false">I380+J613-J292</f>
        <v>-35972.7837249</v>
      </c>
      <c r="K380" s="950" t="n">
        <f aca="false">J380+K613-K292</f>
        <v>-59954.6395415</v>
      </c>
      <c r="L380" s="950" t="n">
        <f aca="false">K380+L613-L292</f>
        <v>-83936.4953581</v>
      </c>
      <c r="M380" s="950" t="n">
        <f aca="false">L380+M613-M292</f>
        <v>-107918.3511747</v>
      </c>
      <c r="N380" s="950" t="n">
        <f aca="false">M380+N613-N292</f>
        <v>-131900.2069913</v>
      </c>
      <c r="O380" s="950" t="n">
        <f aca="false">N380+O613-O292</f>
        <v>-155882.0628079</v>
      </c>
      <c r="P380" s="950" t="n">
        <f aca="false">O380+P613-P292</f>
        <v>-179863.9186245</v>
      </c>
      <c r="Q380" s="950" t="n">
        <f aca="false">P380+Q613-Q292</f>
        <v>-203845.7744411</v>
      </c>
      <c r="R380" s="950" t="n">
        <f aca="false">Q380+R613-R292</f>
        <v>-227827.6302577</v>
      </c>
      <c r="S380" s="950" t="n">
        <f aca="false">R380+S613-S292</f>
        <v>-251809.4860743</v>
      </c>
      <c r="T380" s="950" t="n">
        <f aca="false">S380+T613-T292</f>
        <v>-275791.3418909</v>
      </c>
      <c r="U380" s="950" t="n">
        <f aca="false">T380+U613-U292</f>
        <v>-299773.1977075</v>
      </c>
      <c r="V380" s="950" t="n">
        <f aca="false">U380+V613-V292</f>
        <v>-323755.0535241</v>
      </c>
      <c r="W380" s="950" t="n">
        <f aca="false">V380+W613-W292</f>
        <v>-347736.9093407</v>
      </c>
      <c r="X380" s="950" t="n">
        <f aca="false">W380+X613-X292</f>
        <v>-371718.7651573</v>
      </c>
      <c r="Y380" s="950" t="n">
        <f aca="false">X380+Y613-Y292</f>
        <v>-395700.6209739</v>
      </c>
      <c r="Z380" s="950" t="n">
        <f aca="false">Y380+Z613-Z292</f>
        <v>-419682.4767905</v>
      </c>
      <c r="AA380" s="950" t="n">
        <f aca="false">Z380+AA613-AA292</f>
        <v>-443664.3326071</v>
      </c>
      <c r="AB380" s="950" t="n">
        <f aca="false">AA380+AB613-AB292</f>
        <v>-467646.1884237</v>
      </c>
      <c r="AC380" s="950" t="n">
        <f aca="false">AB380+AC613-AC292</f>
        <v>-479637.116332</v>
      </c>
      <c r="AD380" s="950" t="n">
        <f aca="false">AC380+AD613-AD292</f>
        <v>-479637.116332</v>
      </c>
      <c r="AE380" s="950" t="n">
        <f aca="false">AD380+AE613-AE292</f>
        <v>-479637.116332</v>
      </c>
      <c r="AF380" s="950" t="n">
        <f aca="false">AE380+AF613-AF292</f>
        <v>-479637.116332</v>
      </c>
      <c r="AG380" s="751"/>
    </row>
    <row r="381" customFormat="false" ht="11.25" hidden="false" customHeight="false" outlineLevel="0" collapsed="false">
      <c r="A381" s="978" t="str">
        <f aca="false">A496</f>
        <v>Net PP&amp;E</v>
      </c>
      <c r="B381" s="751"/>
      <c r="C381" s="950"/>
      <c r="D381" s="950"/>
      <c r="E381" s="958" t="n">
        <f aca="false">E379+E380</f>
        <v>0</v>
      </c>
      <c r="F381" s="958" t="n">
        <f aca="false">F379+F380</f>
        <v>0</v>
      </c>
      <c r="G381" s="958" t="n">
        <f aca="false">G379+G380</f>
        <v>0</v>
      </c>
      <c r="H381" s="959" t="n">
        <f aca="false">H379+H380</f>
        <v>479637.116332</v>
      </c>
      <c r="I381" s="958" t="n">
        <f aca="false">I379+I380</f>
        <v>467646.1884237</v>
      </c>
      <c r="J381" s="958" t="n">
        <f aca="false">J379+J380</f>
        <v>443664.3326071</v>
      </c>
      <c r="K381" s="958" t="n">
        <f aca="false">K379+K380</f>
        <v>419682.4767905</v>
      </c>
      <c r="L381" s="958" t="n">
        <f aca="false">L379+L380</f>
        <v>395700.6209739</v>
      </c>
      <c r="M381" s="958" t="n">
        <f aca="false">M379+M380</f>
        <v>371718.7651573</v>
      </c>
      <c r="N381" s="958" t="n">
        <f aca="false">N379+N380</f>
        <v>347736.9093407</v>
      </c>
      <c r="O381" s="958" t="n">
        <f aca="false">O379+O380</f>
        <v>323755.0535241</v>
      </c>
      <c r="P381" s="958" t="n">
        <f aca="false">P379+P380</f>
        <v>299773.1977075</v>
      </c>
      <c r="Q381" s="958" t="n">
        <f aca="false">Q379+Q380</f>
        <v>275791.3418909</v>
      </c>
      <c r="R381" s="958" t="n">
        <f aca="false">R379+R380</f>
        <v>251809.4860743</v>
      </c>
      <c r="S381" s="958" t="n">
        <f aca="false">S379+S380</f>
        <v>227827.6302577</v>
      </c>
      <c r="T381" s="958" t="n">
        <f aca="false">T379+T380</f>
        <v>203845.7744411</v>
      </c>
      <c r="U381" s="958" t="n">
        <f aca="false">U379+U380</f>
        <v>179863.9186245</v>
      </c>
      <c r="V381" s="958" t="n">
        <f aca="false">V379+V380</f>
        <v>155882.0628079</v>
      </c>
      <c r="W381" s="958" t="n">
        <f aca="false">W379+W380</f>
        <v>131900.2069913</v>
      </c>
      <c r="X381" s="958" t="n">
        <f aca="false">X379+X380</f>
        <v>107918.3511747</v>
      </c>
      <c r="Y381" s="958" t="n">
        <f aca="false">Y379+Y380</f>
        <v>83936.4953581</v>
      </c>
      <c r="Z381" s="958" t="n">
        <f aca="false">Z379+Z380</f>
        <v>59954.6395415</v>
      </c>
      <c r="AA381" s="958" t="n">
        <f aca="false">AA379+AA380</f>
        <v>35972.7837249</v>
      </c>
      <c r="AB381" s="958" t="n">
        <f aca="false">AB379+AB380</f>
        <v>11990.9279083001</v>
      </c>
      <c r="AC381" s="958" t="n">
        <f aca="false">AC379+AC380</f>
        <v>0</v>
      </c>
      <c r="AD381" s="958" t="n">
        <f aca="false">AD379+AD380</f>
        <v>0</v>
      </c>
      <c r="AE381" s="958" t="n">
        <f aca="false">AE379+AE380</f>
        <v>0</v>
      </c>
      <c r="AF381" s="958" t="n">
        <f aca="false">AF379+AF380</f>
        <v>0</v>
      </c>
      <c r="AG381" s="751"/>
    </row>
    <row r="382" customFormat="false" ht="11.25" hidden="false" customHeight="false" outlineLevel="0" collapsed="false">
      <c r="A382" s="751"/>
      <c r="B382" s="751"/>
      <c r="C382" s="950"/>
      <c r="D382" s="950"/>
      <c r="E382" s="950"/>
      <c r="F382" s="950"/>
      <c r="G382" s="950"/>
      <c r="H382" s="96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751"/>
    </row>
    <row r="383" customFormat="false" ht="11.25" hidden="false" customHeight="false" outlineLevel="0" collapsed="false">
      <c r="A383" s="751" t="str">
        <f aca="false">A498</f>
        <v>Land</v>
      </c>
      <c r="B383" s="751"/>
      <c r="C383" s="949"/>
      <c r="D383" s="949"/>
      <c r="E383" s="950" t="n">
        <f aca="false">E498</f>
        <v>0</v>
      </c>
      <c r="F383" s="950" t="n">
        <f aca="false">F498</f>
        <v>0</v>
      </c>
      <c r="G383" s="950" t="n">
        <f aca="false">G498</f>
        <v>0</v>
      </c>
      <c r="H383" s="960" t="n">
        <f aca="false">N498</f>
        <v>0</v>
      </c>
      <c r="I383" s="950" t="n">
        <f aca="false">H383+I731-H460</f>
        <v>0</v>
      </c>
      <c r="J383" s="950" t="n">
        <f aca="false">I383+J731</f>
        <v>0</v>
      </c>
      <c r="K383" s="950" t="n">
        <f aca="false">J383+K731</f>
        <v>0</v>
      </c>
      <c r="L383" s="950" t="n">
        <f aca="false">K383+L731</f>
        <v>0</v>
      </c>
      <c r="M383" s="950" t="n">
        <f aca="false">L383+M731</f>
        <v>0</v>
      </c>
      <c r="N383" s="950" t="n">
        <f aca="false">M383+N731</f>
        <v>0</v>
      </c>
      <c r="O383" s="950" t="n">
        <f aca="false">N383+O731</f>
        <v>0</v>
      </c>
      <c r="P383" s="950" t="n">
        <f aca="false">O383+P731</f>
        <v>0</v>
      </c>
      <c r="Q383" s="950" t="n">
        <f aca="false">P383+Q731</f>
        <v>0</v>
      </c>
      <c r="R383" s="950" t="n">
        <f aca="false">Q383+R731</f>
        <v>0</v>
      </c>
      <c r="S383" s="950" t="n">
        <f aca="false">R383+S731</f>
        <v>0</v>
      </c>
      <c r="T383" s="950" t="n">
        <f aca="false">S383+T731</f>
        <v>0</v>
      </c>
      <c r="U383" s="950" t="n">
        <f aca="false">T383+U731</f>
        <v>0</v>
      </c>
      <c r="V383" s="950" t="n">
        <f aca="false">U383+V731</f>
        <v>0</v>
      </c>
      <c r="W383" s="950" t="n">
        <f aca="false">V383+W731</f>
        <v>0</v>
      </c>
      <c r="X383" s="950" t="n">
        <f aca="false">W383+X731</f>
        <v>0</v>
      </c>
      <c r="Y383" s="950" t="n">
        <f aca="false">X383+Y731</f>
        <v>0</v>
      </c>
      <c r="Z383" s="950" t="n">
        <f aca="false">Y383+Z731</f>
        <v>0</v>
      </c>
      <c r="AA383" s="950" t="n">
        <f aca="false">Z383+AA731</f>
        <v>0</v>
      </c>
      <c r="AB383" s="950" t="n">
        <f aca="false">AA383+AB731</f>
        <v>0</v>
      </c>
      <c r="AC383" s="950" t="n">
        <f aca="false">AB383+AC731</f>
        <v>0</v>
      </c>
      <c r="AD383" s="950" t="n">
        <f aca="false">AC383+AD731</f>
        <v>0</v>
      </c>
      <c r="AE383" s="950" t="n">
        <f aca="false">AD383+AE731</f>
        <v>0</v>
      </c>
      <c r="AF383" s="950" t="n">
        <f aca="false">AE383+AF731</f>
        <v>0</v>
      </c>
      <c r="AG383" s="751"/>
    </row>
    <row r="384" customFormat="false" ht="11.25" hidden="false" customHeight="false" outlineLevel="0" collapsed="false">
      <c r="A384" s="751" t="str">
        <f aca="false">A499</f>
        <v>Other Assets</v>
      </c>
      <c r="B384" s="751"/>
      <c r="C384" s="949"/>
      <c r="D384" s="949"/>
      <c r="E384" s="950" t="n">
        <f aca="false">E499</f>
        <v>0</v>
      </c>
      <c r="F384" s="950" t="n">
        <f aca="false">F499</f>
        <v>0</v>
      </c>
      <c r="G384" s="950" t="n">
        <f aca="false">G499</f>
        <v>0</v>
      </c>
      <c r="H384" s="960" t="n">
        <f aca="false">N499</f>
        <v>0</v>
      </c>
      <c r="I384" s="950" t="e">
        <f aca="false">H384+I342</f>
        <v>#VALUE!</v>
      </c>
      <c r="J384" s="950" t="e">
        <f aca="false">I384+J342</f>
        <v>#VALUE!</v>
      </c>
      <c r="K384" s="950" t="e">
        <f aca="false">J384+K342</f>
        <v>#VALUE!</v>
      </c>
      <c r="L384" s="950" t="e">
        <f aca="false">K384+L342</f>
        <v>#VALUE!</v>
      </c>
      <c r="M384" s="950" t="e">
        <f aca="false">L384+M342</f>
        <v>#VALUE!</v>
      </c>
      <c r="N384" s="950" t="e">
        <f aca="false">M384+N342</f>
        <v>#VALUE!</v>
      </c>
      <c r="O384" s="950" t="e">
        <f aca="false">N384+O342</f>
        <v>#VALUE!</v>
      </c>
      <c r="P384" s="950" t="e">
        <f aca="false">O384+P342</f>
        <v>#VALUE!</v>
      </c>
      <c r="Q384" s="950" t="e">
        <f aca="false">P384+Q342</f>
        <v>#VALUE!</v>
      </c>
      <c r="R384" s="950" t="e">
        <f aca="false">Q384+R342</f>
        <v>#VALUE!</v>
      </c>
      <c r="S384" s="950" t="e">
        <f aca="false">R384+S342</f>
        <v>#VALUE!</v>
      </c>
      <c r="T384" s="950" t="e">
        <f aca="false">S384+T342</f>
        <v>#VALUE!</v>
      </c>
      <c r="U384" s="950" t="e">
        <f aca="false">T384+U342</f>
        <v>#VALUE!</v>
      </c>
      <c r="V384" s="950" t="e">
        <f aca="false">U384+V342</f>
        <v>#VALUE!</v>
      </c>
      <c r="W384" s="950" t="e">
        <f aca="false">V384+W342</f>
        <v>#VALUE!</v>
      </c>
      <c r="X384" s="950" t="e">
        <f aca="false">W384+X342</f>
        <v>#VALUE!</v>
      </c>
      <c r="Y384" s="950" t="e">
        <f aca="false">X384+Y342</f>
        <v>#VALUE!</v>
      </c>
      <c r="Z384" s="950" t="e">
        <f aca="false">Y384+Z342</f>
        <v>#VALUE!</v>
      </c>
      <c r="AA384" s="950" t="e">
        <f aca="false">Z384+AA342</f>
        <v>#VALUE!</v>
      </c>
      <c r="AB384" s="950" t="e">
        <f aca="false">AA384+AB342</f>
        <v>#VALUE!</v>
      </c>
      <c r="AC384" s="950" t="e">
        <f aca="false">AB384+AC342</f>
        <v>#VALUE!</v>
      </c>
      <c r="AD384" s="950" t="e">
        <f aca="false">AC384+AD342</f>
        <v>#VALUE!</v>
      </c>
      <c r="AE384" s="950" t="e">
        <f aca="false">AD384+AE342</f>
        <v>#VALUE!</v>
      </c>
      <c r="AF384" s="950" t="e">
        <f aca="false">AE384+AF342</f>
        <v>#VALUE!</v>
      </c>
      <c r="AG384" s="751"/>
    </row>
    <row r="385" customFormat="false" ht="12" hidden="false" customHeight="false" outlineLevel="0" collapsed="false">
      <c r="A385" s="978" t="str">
        <f aca="false">A500</f>
        <v>Total Assets</v>
      </c>
      <c r="B385" s="751"/>
      <c r="C385" s="950"/>
      <c r="D385" s="950"/>
      <c r="E385" s="967" t="n">
        <f aca="false">E373+E377+E381+E383+E384</f>
        <v>0</v>
      </c>
      <c r="F385" s="967" t="n">
        <f aca="false">F373+F377+F381+F383+F384</f>
        <v>0</v>
      </c>
      <c r="G385" s="967" t="n">
        <f aca="false">G373+G377+G381+G383+G384</f>
        <v>0</v>
      </c>
      <c r="H385" s="968" t="e">
        <f aca="false">H373+H377+H381+H383+H384</f>
        <v>#VALUE!</v>
      </c>
      <c r="I385" s="967" t="e">
        <f aca="false">I373+I377+I381+I383+I384</f>
        <v>#VALUE!</v>
      </c>
      <c r="J385" s="967" t="e">
        <f aca="false">J373+J377+J381+J383+J384</f>
        <v>#VALUE!</v>
      </c>
      <c r="K385" s="967" t="e">
        <f aca="false">K373+K377+K381+K383+K384</f>
        <v>#VALUE!</v>
      </c>
      <c r="L385" s="967" t="e">
        <f aca="false">L373+L377+L381+L383+L384</f>
        <v>#VALUE!</v>
      </c>
      <c r="M385" s="967" t="e">
        <f aca="false">M373+M377+M381+M383+M384</f>
        <v>#VALUE!</v>
      </c>
      <c r="N385" s="967" t="e">
        <f aca="false">N373+N377+N381+N383+N384</f>
        <v>#VALUE!</v>
      </c>
      <c r="O385" s="967" t="e">
        <f aca="false">O373+O377+O381+O383+O384</f>
        <v>#VALUE!</v>
      </c>
      <c r="P385" s="967" t="e">
        <f aca="false">P373+P377+P381+P383+P384</f>
        <v>#VALUE!</v>
      </c>
      <c r="Q385" s="967" t="e">
        <f aca="false">Q373+Q377+Q381+Q383+Q384</f>
        <v>#VALUE!</v>
      </c>
      <c r="R385" s="967" t="e">
        <f aca="false">R373+R377+R381+R383+R384</f>
        <v>#VALUE!</v>
      </c>
      <c r="S385" s="967" t="e">
        <f aca="false">S373+S377+S381+S383+S384</f>
        <v>#VALUE!</v>
      </c>
      <c r="T385" s="967" t="e">
        <f aca="false">T373+T377+T381+T383+T384</f>
        <v>#VALUE!</v>
      </c>
      <c r="U385" s="967" t="e">
        <f aca="false">U373+U377+U381+U383+U384</f>
        <v>#VALUE!</v>
      </c>
      <c r="V385" s="967" t="e">
        <f aca="false">V373+V377+V381+V383+V384</f>
        <v>#VALUE!</v>
      </c>
      <c r="W385" s="967" t="e">
        <f aca="false">W373+W377+W381+W383+W384</f>
        <v>#VALUE!</v>
      </c>
      <c r="X385" s="967" t="e">
        <f aca="false">X373+X377+X381+X383+X384</f>
        <v>#VALUE!</v>
      </c>
      <c r="Y385" s="967" t="e">
        <f aca="false">Y373+Y377+Y381+Y383+Y384</f>
        <v>#VALUE!</v>
      </c>
      <c r="Z385" s="967" t="e">
        <f aca="false">Z373+Z377+Z381+Z383+Z384</f>
        <v>#VALUE!</v>
      </c>
      <c r="AA385" s="967" t="e">
        <f aca="false">AA373+AA377+AA381+AA383+AA384</f>
        <v>#VALUE!</v>
      </c>
      <c r="AB385" s="967" t="e">
        <f aca="false">AB373+AB377+AB381+AB383+AB384</f>
        <v>#VALUE!</v>
      </c>
      <c r="AC385" s="967" t="e">
        <f aca="false">AC373+AC377+AC381+AC383+AC384</f>
        <v>#VALUE!</v>
      </c>
      <c r="AD385" s="967" t="e">
        <f aca="false">AD373+AD377+AD381+AD383+AD384</f>
        <v>#VALUE!</v>
      </c>
      <c r="AE385" s="967" t="e">
        <f aca="false">AE373+AE377+AE381+AE383+AE384</f>
        <v>#VALUE!</v>
      </c>
      <c r="AF385" s="967" t="e">
        <f aca="false">AF373+AF377+AF381+AF383+AF384</f>
        <v>#VALUE!</v>
      </c>
      <c r="AG385" s="751"/>
    </row>
    <row r="386" customFormat="false" ht="12" hidden="false" customHeight="false" outlineLevel="0" collapsed="false">
      <c r="A386" s="751"/>
      <c r="B386" s="751"/>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751"/>
    </row>
    <row r="387" customFormat="false" ht="11.25" hidden="false" customHeight="false" outlineLevel="0" collapsed="false">
      <c r="A387" s="978" t="str">
        <f aca="false">A502</f>
        <v>LIABILITIES &amp; EQUITY:</v>
      </c>
      <c r="B387" s="751"/>
      <c r="C387" s="949"/>
      <c r="D387" s="949"/>
      <c r="E387" s="949"/>
      <c r="F387" s="949"/>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751"/>
    </row>
    <row r="388" customFormat="false" ht="11.25" hidden="false" customHeight="false" outlineLevel="0" collapsed="false">
      <c r="A388" s="751" t="str">
        <f aca="false">A503</f>
        <v>Accounts Payable</v>
      </c>
      <c r="B388" s="751"/>
      <c r="C388" s="950"/>
      <c r="D388" s="950"/>
      <c r="E388" s="950" t="n">
        <f aca="false">E503</f>
        <v>0</v>
      </c>
      <c r="F388" s="950" t="n">
        <f aca="false">F503</f>
        <v>0</v>
      </c>
      <c r="G388" s="950" t="n">
        <f aca="false">G503</f>
        <v>0</v>
      </c>
      <c r="H388" s="960" t="e">
        <f aca="false">N503</f>
        <v>#VALUE!</v>
      </c>
      <c r="I388" s="950" t="e">
        <f aca="false">I543</f>
        <v>#VALUE!</v>
      </c>
      <c r="J388" s="950" t="e">
        <f aca="false">J543</f>
        <v>#VALUE!</v>
      </c>
      <c r="K388" s="950" t="e">
        <f aca="false">K543</f>
        <v>#VALUE!</v>
      </c>
      <c r="L388" s="950" t="e">
        <f aca="false">L543</f>
        <v>#VALUE!</v>
      </c>
      <c r="M388" s="950" t="e">
        <f aca="false">M543</f>
        <v>#VALUE!</v>
      </c>
      <c r="N388" s="950" t="e">
        <f aca="false">N543</f>
        <v>#VALUE!</v>
      </c>
      <c r="O388" s="950" t="e">
        <f aca="false">O543</f>
        <v>#VALUE!</v>
      </c>
      <c r="P388" s="950" t="e">
        <f aca="false">P543</f>
        <v>#VALUE!</v>
      </c>
      <c r="Q388" s="950" t="e">
        <f aca="false">Q543</f>
        <v>#VALUE!</v>
      </c>
      <c r="R388" s="950" t="e">
        <f aca="false">R543</f>
        <v>#VALUE!</v>
      </c>
      <c r="S388" s="950" t="e">
        <f aca="false">S543</f>
        <v>#VALUE!</v>
      </c>
      <c r="T388" s="950" t="e">
        <f aca="false">T543</f>
        <v>#VALUE!</v>
      </c>
      <c r="U388" s="950" t="e">
        <f aca="false">U543</f>
        <v>#VALUE!</v>
      </c>
      <c r="V388" s="950" t="e">
        <f aca="false">V543</f>
        <v>#VALUE!</v>
      </c>
      <c r="W388" s="950" t="e">
        <f aca="false">W543</f>
        <v>#VALUE!</v>
      </c>
      <c r="X388" s="950" t="e">
        <f aca="false">X543</f>
        <v>#VALUE!</v>
      </c>
      <c r="Y388" s="950" t="e">
        <f aca="false">Y543</f>
        <v>#VALUE!</v>
      </c>
      <c r="Z388" s="950" t="e">
        <f aca="false">Z543</f>
        <v>#VALUE!</v>
      </c>
      <c r="AA388" s="950" t="e">
        <f aca="false">AA543</f>
        <v>#VALUE!</v>
      </c>
      <c r="AB388" s="950" t="e">
        <f aca="false">AB543</f>
        <v>#VALUE!</v>
      </c>
      <c r="AC388" s="950" t="e">
        <f aca="false">AC543</f>
        <v>#VALUE!</v>
      </c>
      <c r="AD388" s="950" t="n">
        <f aca="false">AD543</f>
        <v>0</v>
      </c>
      <c r="AE388" s="950" t="n">
        <f aca="false">AE543</f>
        <v>0</v>
      </c>
      <c r="AF388" s="950" t="n">
        <f aca="false">AF543</f>
        <v>0</v>
      </c>
      <c r="AG388" s="751"/>
    </row>
    <row r="389" customFormat="false" ht="11.25" hidden="false" customHeight="false" outlineLevel="0" collapsed="false">
      <c r="A389" s="751" t="str">
        <f aca="false">A504</f>
        <v>Accrued Expenses</v>
      </c>
      <c r="B389" s="751"/>
      <c r="C389" s="950"/>
      <c r="D389" s="950"/>
      <c r="E389" s="950" t="n">
        <f aca="false">E504</f>
        <v>0</v>
      </c>
      <c r="F389" s="950" t="n">
        <f aca="false">F504</f>
        <v>0</v>
      </c>
      <c r="G389" s="950" t="n">
        <f aca="false">G504</f>
        <v>0</v>
      </c>
      <c r="H389" s="960" t="e">
        <f aca="false">N504</f>
        <v>#VALUE!</v>
      </c>
      <c r="I389" s="950" t="e">
        <f aca="false">I544</f>
        <v>#VALUE!</v>
      </c>
      <c r="J389" s="950" t="e">
        <f aca="false">J544</f>
        <v>#VALUE!</v>
      </c>
      <c r="K389" s="950" t="e">
        <f aca="false">K544</f>
        <v>#VALUE!</v>
      </c>
      <c r="L389" s="950" t="e">
        <f aca="false">L544</f>
        <v>#VALUE!</v>
      </c>
      <c r="M389" s="950" t="e">
        <f aca="false">M544</f>
        <v>#VALUE!</v>
      </c>
      <c r="N389" s="950" t="e">
        <f aca="false">N544</f>
        <v>#VALUE!</v>
      </c>
      <c r="O389" s="950" t="e">
        <f aca="false">O544</f>
        <v>#VALUE!</v>
      </c>
      <c r="P389" s="950" t="e">
        <f aca="false">P544</f>
        <v>#VALUE!</v>
      </c>
      <c r="Q389" s="950" t="e">
        <f aca="false">Q544</f>
        <v>#VALUE!</v>
      </c>
      <c r="R389" s="950" t="e">
        <f aca="false">R544</f>
        <v>#VALUE!</v>
      </c>
      <c r="S389" s="950" t="e">
        <f aca="false">S544</f>
        <v>#VALUE!</v>
      </c>
      <c r="T389" s="950" t="e">
        <f aca="false">T544</f>
        <v>#VALUE!</v>
      </c>
      <c r="U389" s="950" t="e">
        <f aca="false">U544</f>
        <v>#VALUE!</v>
      </c>
      <c r="V389" s="950" t="e">
        <f aca="false">V544</f>
        <v>#VALUE!</v>
      </c>
      <c r="W389" s="950" t="e">
        <f aca="false">W544</f>
        <v>#VALUE!</v>
      </c>
      <c r="X389" s="950" t="e">
        <f aca="false">X544</f>
        <v>#VALUE!</v>
      </c>
      <c r="Y389" s="950" t="e">
        <f aca="false">Y544</f>
        <v>#VALUE!</v>
      </c>
      <c r="Z389" s="950" t="e">
        <f aca="false">Z544</f>
        <v>#VALUE!</v>
      </c>
      <c r="AA389" s="950" t="e">
        <f aca="false">AA544</f>
        <v>#VALUE!</v>
      </c>
      <c r="AB389" s="950" t="e">
        <f aca="false">AB544</f>
        <v>#VALUE!</v>
      </c>
      <c r="AC389" s="950" t="e">
        <f aca="false">AC544</f>
        <v>#VALUE!</v>
      </c>
      <c r="AD389" s="950" t="n">
        <f aca="false">AD544</f>
        <v>0</v>
      </c>
      <c r="AE389" s="950" t="n">
        <f aca="false">AE544</f>
        <v>0</v>
      </c>
      <c r="AF389" s="950" t="n">
        <f aca="false">AF544</f>
        <v>0</v>
      </c>
      <c r="AG389" s="751"/>
    </row>
    <row r="390" customFormat="false" ht="11.25" hidden="false" customHeight="false" outlineLevel="0" collapsed="false">
      <c r="A390" s="751" t="str">
        <f aca="false">A505</f>
        <v>Other Payables</v>
      </c>
      <c r="B390" s="751"/>
      <c r="C390" s="950"/>
      <c r="D390" s="950"/>
      <c r="E390" s="950" t="n">
        <f aca="false">E505</f>
        <v>0</v>
      </c>
      <c r="F390" s="950" t="n">
        <f aca="false">F505</f>
        <v>0</v>
      </c>
      <c r="G390" s="950" t="n">
        <f aca="false">G505</f>
        <v>0</v>
      </c>
      <c r="H390" s="960" t="e">
        <f aca="false">N505</f>
        <v>#VALUE!</v>
      </c>
      <c r="I390" s="950" t="e">
        <f aca="false">I545</f>
        <v>#VALUE!</v>
      </c>
      <c r="J390" s="950" t="n">
        <f aca="false">J545</f>
        <v>0</v>
      </c>
      <c r="K390" s="950" t="n">
        <f aca="false">K545</f>
        <v>0</v>
      </c>
      <c r="L390" s="950" t="n">
        <f aca="false">L545</f>
        <v>0</v>
      </c>
      <c r="M390" s="950" t="n">
        <f aca="false">M545</f>
        <v>0</v>
      </c>
      <c r="N390" s="950" t="n">
        <f aca="false">N545</f>
        <v>0</v>
      </c>
      <c r="O390" s="950" t="n">
        <f aca="false">O545</f>
        <v>0</v>
      </c>
      <c r="P390" s="950" t="n">
        <f aca="false">P545</f>
        <v>0</v>
      </c>
      <c r="Q390" s="950" t="n">
        <f aca="false">Q545</f>
        <v>0</v>
      </c>
      <c r="R390" s="950" t="n">
        <f aca="false">R545</f>
        <v>0</v>
      </c>
      <c r="S390" s="950" t="n">
        <f aca="false">S545</f>
        <v>0</v>
      </c>
      <c r="T390" s="950" t="n">
        <f aca="false">T545</f>
        <v>0</v>
      </c>
      <c r="U390" s="950" t="n">
        <f aca="false">U545</f>
        <v>0</v>
      </c>
      <c r="V390" s="950" t="n">
        <f aca="false">V545</f>
        <v>0</v>
      </c>
      <c r="W390" s="950" t="n">
        <f aca="false">W545</f>
        <v>0</v>
      </c>
      <c r="X390" s="950" t="n">
        <f aca="false">X545</f>
        <v>0</v>
      </c>
      <c r="Y390" s="950" t="n">
        <f aca="false">Y545</f>
        <v>0</v>
      </c>
      <c r="Z390" s="950" t="n">
        <f aca="false">Z545</f>
        <v>0</v>
      </c>
      <c r="AA390" s="950" t="n">
        <f aca="false">AA545</f>
        <v>0</v>
      </c>
      <c r="AB390" s="950" t="n">
        <f aca="false">AB545</f>
        <v>0</v>
      </c>
      <c r="AC390" s="950" t="n">
        <f aca="false">AC545</f>
        <v>0</v>
      </c>
      <c r="AD390" s="950" t="n">
        <f aca="false">AD545</f>
        <v>0</v>
      </c>
      <c r="AE390" s="950" t="n">
        <f aca="false">AE545</f>
        <v>0</v>
      </c>
      <c r="AF390" s="950" t="n">
        <f aca="false">AF545</f>
        <v>0</v>
      </c>
      <c r="AG390" s="751"/>
    </row>
    <row r="391" customFormat="false" ht="11.25" hidden="false" customHeight="false" outlineLevel="0" collapsed="false">
      <c r="A391" s="751" t="str">
        <f aca="false">A506</f>
        <v>Current Maturities</v>
      </c>
      <c r="B391" s="751"/>
      <c r="C391" s="949"/>
      <c r="D391" s="949"/>
      <c r="E391" s="950" t="n">
        <f aca="false">E506</f>
        <v>0</v>
      </c>
      <c r="F391" s="950" t="n">
        <f aca="false">F506</f>
        <v>0</v>
      </c>
      <c r="G391" s="950" t="n">
        <f aca="false">G506</f>
        <v>0</v>
      </c>
      <c r="H391" s="960" t="n">
        <f aca="false">N506</f>
        <v>0</v>
      </c>
      <c r="I391" s="950" t="e">
        <f aca="false">+J423+J430+J416</f>
        <v>#VALUE!</v>
      </c>
      <c r="J391" s="950" t="e">
        <f aca="false">+K423+K430+K416</f>
        <v>#VALUE!</v>
      </c>
      <c r="K391" s="950" t="e">
        <f aca="false">+L423+L430+L416</f>
        <v>#VALUE!</v>
      </c>
      <c r="L391" s="950" t="e">
        <f aca="false">+M423+M430+M416</f>
        <v>#VALUE!</v>
      </c>
      <c r="M391" s="950" t="e">
        <f aca="false">+N423+N430+N416</f>
        <v>#VALUE!</v>
      </c>
      <c r="N391" s="950" t="e">
        <f aca="false">+O423+O430+O416</f>
        <v>#VALUE!</v>
      </c>
      <c r="O391" s="950" t="e">
        <f aca="false">+P423+P430+P416</f>
        <v>#VALUE!</v>
      </c>
      <c r="P391" s="950" t="e">
        <f aca="false">+Q423+Q430+Q416</f>
        <v>#VALUE!</v>
      </c>
      <c r="Q391" s="950" t="e">
        <f aca="false">+R423+R430+R416</f>
        <v>#VALUE!</v>
      </c>
      <c r="R391" s="950" t="e">
        <f aca="false">+S423+S430+S416</f>
        <v>#VALUE!</v>
      </c>
      <c r="S391" s="950" t="e">
        <f aca="false">+T423+T430+T416</f>
        <v>#VALUE!</v>
      </c>
      <c r="T391" s="950" t="e">
        <f aca="false">+U423+U430+U416</f>
        <v>#VALUE!</v>
      </c>
      <c r="U391" s="950" t="e">
        <f aca="false">+V423+V430+V416</f>
        <v>#VALUE!</v>
      </c>
      <c r="V391" s="950" t="e">
        <f aca="false">+W423+W430+W416</f>
        <v>#VALUE!</v>
      </c>
      <c r="W391" s="950" t="e">
        <f aca="false">+X423+X430+X416</f>
        <v>#VALUE!</v>
      </c>
      <c r="X391" s="950" t="e">
        <f aca="false">+Y423+Y430+Y416</f>
        <v>#VALUE!</v>
      </c>
      <c r="Y391" s="950" t="e">
        <f aca="false">+Z423+Z430+Z416</f>
        <v>#VALUE!</v>
      </c>
      <c r="Z391" s="950" t="e">
        <f aca="false">+AA423+AA430+AA416</f>
        <v>#VALUE!</v>
      </c>
      <c r="AA391" s="950" t="e">
        <f aca="false">+AB423+AB430+AB416</f>
        <v>#VALUE!</v>
      </c>
      <c r="AB391" s="950" t="e">
        <f aca="false">+AC423+AC430+AC416</f>
        <v>#VALUE!</v>
      </c>
      <c r="AC391" s="950" t="e">
        <f aca="false">+AD423+AD430+AD416</f>
        <v>#VALUE!</v>
      </c>
      <c r="AD391" s="950" t="e">
        <f aca="false">+AE423+AE430+AE416</f>
        <v>#VALUE!</v>
      </c>
      <c r="AE391" s="950" t="e">
        <f aca="false">+AF423+AF430+AF416</f>
        <v>#VALUE!</v>
      </c>
      <c r="AF391" s="950" t="n">
        <f aca="false">+AG423+AG430+AG416</f>
        <v>0</v>
      </c>
      <c r="AG391" s="751"/>
    </row>
    <row r="392" customFormat="false" ht="11.25" hidden="false" customHeight="false" outlineLevel="0" collapsed="false">
      <c r="A392" s="751" t="s">
        <v>819</v>
      </c>
      <c r="B392" s="751"/>
      <c r="C392" s="949"/>
      <c r="D392" s="949"/>
      <c r="E392" s="950" t="n">
        <v>0</v>
      </c>
      <c r="F392" s="950" t="n">
        <v>0</v>
      </c>
      <c r="G392" s="950" t="n">
        <v>0</v>
      </c>
      <c r="H392" s="979" t="n">
        <v>0</v>
      </c>
      <c r="I392" s="954" t="e">
        <f aca="false">+I417-J416</f>
        <v>#VALUE!</v>
      </c>
      <c r="J392" s="952" t="e">
        <f aca="false">+J417-K416</f>
        <v>#VALUE!</v>
      </c>
      <c r="K392" s="952" t="e">
        <f aca="false">+K417-L416</f>
        <v>#VALUE!</v>
      </c>
      <c r="L392" s="952" t="e">
        <f aca="false">+L417-M416</f>
        <v>#VALUE!</v>
      </c>
      <c r="M392" s="952" t="e">
        <f aca="false">+M417-N416</f>
        <v>#VALUE!</v>
      </c>
      <c r="N392" s="952" t="e">
        <f aca="false">+N417-O416</f>
        <v>#VALUE!</v>
      </c>
      <c r="O392" s="952" t="e">
        <f aca="false">+O417-P416</f>
        <v>#VALUE!</v>
      </c>
      <c r="P392" s="952" t="e">
        <f aca="false">+P417-Q416</f>
        <v>#VALUE!</v>
      </c>
      <c r="Q392" s="952" t="e">
        <f aca="false">+Q417-R416</f>
        <v>#VALUE!</v>
      </c>
      <c r="R392" s="952" t="e">
        <f aca="false">+R417-S416</f>
        <v>#VALUE!</v>
      </c>
      <c r="S392" s="952" t="e">
        <f aca="false">+S417-T416</f>
        <v>#VALUE!</v>
      </c>
      <c r="T392" s="952" t="e">
        <f aca="false">+T417-U416</f>
        <v>#VALUE!</v>
      </c>
      <c r="U392" s="952" t="e">
        <f aca="false">+U417-V416</f>
        <v>#VALUE!</v>
      </c>
      <c r="V392" s="952" t="e">
        <f aca="false">+V417-W416</f>
        <v>#VALUE!</v>
      </c>
      <c r="W392" s="952" t="e">
        <f aca="false">+W417-X416</f>
        <v>#VALUE!</v>
      </c>
      <c r="X392" s="952" t="e">
        <f aca="false">+X417-Y416</f>
        <v>#VALUE!</v>
      </c>
      <c r="Y392" s="952" t="e">
        <f aca="false">+Y417-Z416</f>
        <v>#VALUE!</v>
      </c>
      <c r="Z392" s="952" t="e">
        <f aca="false">+Z417-AA416</f>
        <v>#VALUE!</v>
      </c>
      <c r="AA392" s="952" t="e">
        <f aca="false">+AA417-AB416</f>
        <v>#VALUE!</v>
      </c>
      <c r="AB392" s="952" t="e">
        <f aca="false">+AB417-AC416</f>
        <v>#VALUE!</v>
      </c>
      <c r="AC392" s="952" t="e">
        <f aca="false">+AC417-AD416</f>
        <v>#VALUE!</v>
      </c>
      <c r="AD392" s="952" t="e">
        <f aca="false">+AD417-AE416</f>
        <v>#VALUE!</v>
      </c>
      <c r="AE392" s="952" t="e">
        <f aca="false">+AE417-AF416</f>
        <v>#VALUE!</v>
      </c>
      <c r="AF392" s="952" t="e">
        <f aca="false">+AF417-AG416</f>
        <v>#VALUE!</v>
      </c>
      <c r="AG392" s="751"/>
    </row>
    <row r="393" customFormat="false" ht="11.25" hidden="false" customHeight="false" outlineLevel="0" collapsed="false">
      <c r="A393" s="978" t="str">
        <f aca="false">A507</f>
        <v>Total Current Liabilities</v>
      </c>
      <c r="B393" s="751"/>
      <c r="C393" s="950"/>
      <c r="D393" s="950"/>
      <c r="E393" s="958" t="n">
        <f aca="false">E388+E389+E391+E390+E392</f>
        <v>0</v>
      </c>
      <c r="F393" s="958" t="n">
        <f aca="false">F388+F389+F391+F390+F392</f>
        <v>0</v>
      </c>
      <c r="G393" s="958" t="n">
        <f aca="false">G388+G389+G391+G390+G392</f>
        <v>0</v>
      </c>
      <c r="H393" s="956" t="e">
        <f aca="false">H388+H389+H391+H390+H392</f>
        <v>#VALUE!</v>
      </c>
      <c r="I393" s="957" t="e">
        <f aca="false">I388+I389+I391+I390+I392</f>
        <v>#VALUE!</v>
      </c>
      <c r="J393" s="956" t="e">
        <f aca="false">J388+J389+J391+J390+J392</f>
        <v>#VALUE!</v>
      </c>
      <c r="K393" s="956" t="e">
        <f aca="false">K388+K389+K391+K390+K392</f>
        <v>#VALUE!</v>
      </c>
      <c r="L393" s="956" t="e">
        <f aca="false">L388+L389+L391+L390+L392</f>
        <v>#VALUE!</v>
      </c>
      <c r="M393" s="956" t="e">
        <f aca="false">M388+M389+M391+M390+M392</f>
        <v>#VALUE!</v>
      </c>
      <c r="N393" s="956" t="e">
        <f aca="false">N388+N389+N391+N390+N392</f>
        <v>#VALUE!</v>
      </c>
      <c r="O393" s="956" t="e">
        <f aca="false">O388+O389+O391+O390+O392</f>
        <v>#VALUE!</v>
      </c>
      <c r="P393" s="956" t="e">
        <f aca="false">P388+P389+P391+P390+P392</f>
        <v>#VALUE!</v>
      </c>
      <c r="Q393" s="956" t="e">
        <f aca="false">Q388+Q389+Q391+Q390+Q392</f>
        <v>#VALUE!</v>
      </c>
      <c r="R393" s="956" t="e">
        <f aca="false">R388+R389+R391+R390+R392</f>
        <v>#VALUE!</v>
      </c>
      <c r="S393" s="956" t="e">
        <f aca="false">S388+S389+S391+S390+S392</f>
        <v>#VALUE!</v>
      </c>
      <c r="T393" s="956" t="e">
        <f aca="false">T388+T389+T391+T390+T392</f>
        <v>#VALUE!</v>
      </c>
      <c r="U393" s="956" t="e">
        <f aca="false">U388+U389+U391+U390+U392</f>
        <v>#VALUE!</v>
      </c>
      <c r="V393" s="956" t="e">
        <f aca="false">V388+V389+V391+V390+V392</f>
        <v>#VALUE!</v>
      </c>
      <c r="W393" s="956" t="e">
        <f aca="false">W388+W389+W391+W390+W392</f>
        <v>#VALUE!</v>
      </c>
      <c r="X393" s="956" t="e">
        <f aca="false">X388+X389+X391+X390+X392</f>
        <v>#VALUE!</v>
      </c>
      <c r="Y393" s="956" t="e">
        <f aca="false">Y388+Y389+Y391+Y390+Y392</f>
        <v>#VALUE!</v>
      </c>
      <c r="Z393" s="956" t="e">
        <f aca="false">Z388+Z389+Z391+Z390+Z392</f>
        <v>#VALUE!</v>
      </c>
      <c r="AA393" s="956" t="e">
        <f aca="false">AA388+AA389+AA391+AA390+AA392</f>
        <v>#VALUE!</v>
      </c>
      <c r="AB393" s="956" t="e">
        <f aca="false">AB388+AB389+AB391+AB390+AB392</f>
        <v>#VALUE!</v>
      </c>
      <c r="AC393" s="956" t="e">
        <f aca="false">AC388+AC389+AC391+AC390+AC392</f>
        <v>#VALUE!</v>
      </c>
      <c r="AD393" s="956" t="e">
        <f aca="false">AD388+AD389+AD391+AD390+AD392</f>
        <v>#VALUE!</v>
      </c>
      <c r="AE393" s="956" t="e">
        <f aca="false">AE388+AE389+AE391+AE390+AE392</f>
        <v>#VALUE!</v>
      </c>
      <c r="AF393" s="956" t="e">
        <f aca="false">AF388+AF389+AF391+AF390+AF392</f>
        <v>#VALUE!</v>
      </c>
      <c r="AG393" s="751"/>
    </row>
    <row r="394" customFormat="false" ht="11.25" hidden="false" customHeight="false" outlineLevel="0" collapsed="false">
      <c r="A394" s="751"/>
      <c r="B394" s="751"/>
      <c r="C394" s="949"/>
      <c r="D394" s="949"/>
      <c r="E394" s="949"/>
      <c r="F394" s="949"/>
      <c r="G394" s="950"/>
      <c r="H394" s="956"/>
      <c r="I394" s="957"/>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751"/>
    </row>
    <row r="395" customFormat="false" ht="11.25" hidden="false" customHeight="false" outlineLevel="0" collapsed="false">
      <c r="A395" s="751" t="str">
        <f aca="false">A509</f>
        <v>Purchase Term Loan  &amp;Scrubber Term Loan Debt</v>
      </c>
      <c r="B395" s="751"/>
      <c r="C395" s="949"/>
      <c r="D395" s="949"/>
      <c r="E395" s="950" t="n">
        <f aca="false">E509</f>
        <v>0</v>
      </c>
      <c r="F395" s="950" t="n">
        <v>0</v>
      </c>
      <c r="G395" s="950" t="n">
        <v>0</v>
      </c>
      <c r="H395" s="980" t="e">
        <f aca="false">+K509</f>
        <v>#VALUE!</v>
      </c>
      <c r="I395" s="957" t="e">
        <f aca="false">I431+I425-J423-J430</f>
        <v>#VALUE!</v>
      </c>
      <c r="J395" s="950" t="e">
        <f aca="false">J431+J425-K423-K430</f>
        <v>#VALUE!</v>
      </c>
      <c r="K395" s="950" t="e">
        <f aca="false">K431+K425-L423-L430</f>
        <v>#VALUE!</v>
      </c>
      <c r="L395" s="950" t="e">
        <f aca="false">L431+L425-M423-M430</f>
        <v>#VALUE!</v>
      </c>
      <c r="M395" s="950" t="e">
        <f aca="false">M431+M425-N423-N430</f>
        <v>#VALUE!</v>
      </c>
      <c r="N395" s="950" t="e">
        <f aca="false">N431+N425-O423-O430</f>
        <v>#VALUE!</v>
      </c>
      <c r="O395" s="950" t="e">
        <f aca="false">O431+O425-P423-P430</f>
        <v>#VALUE!</v>
      </c>
      <c r="P395" s="950" t="e">
        <f aca="false">P431+P425-Q423-Q430</f>
        <v>#VALUE!</v>
      </c>
      <c r="Q395" s="950" t="e">
        <f aca="false">Q431+Q425-R423-R430</f>
        <v>#VALUE!</v>
      </c>
      <c r="R395" s="950" t="e">
        <f aca="false">R431+R425-S423-S430</f>
        <v>#VALUE!</v>
      </c>
      <c r="S395" s="950" t="e">
        <f aca="false">S431+S425-T423-T430</f>
        <v>#VALUE!</v>
      </c>
      <c r="T395" s="950" t="e">
        <f aca="false">T431+T425-U423-U430</f>
        <v>#VALUE!</v>
      </c>
      <c r="U395" s="950" t="e">
        <f aca="false">U431+U425-V423-V430</f>
        <v>#VALUE!</v>
      </c>
      <c r="V395" s="950" t="e">
        <f aca="false">V431+V425-W423-W430</f>
        <v>#VALUE!</v>
      </c>
      <c r="W395" s="950" t="e">
        <f aca="false">W431+W425-X423-X430</f>
        <v>#VALUE!</v>
      </c>
      <c r="X395" s="950" t="e">
        <f aca="false">X431+X425-Y423-Y430</f>
        <v>#VALUE!</v>
      </c>
      <c r="Y395" s="950" t="e">
        <f aca="false">Y431+Y425-Z423-Z430</f>
        <v>#VALUE!</v>
      </c>
      <c r="Z395" s="950" t="e">
        <f aca="false">Z431+Z425-AA423-AA430</f>
        <v>#VALUE!</v>
      </c>
      <c r="AA395" s="950" t="e">
        <f aca="false">AA431+AA425-AB423-AB430</f>
        <v>#VALUE!</v>
      </c>
      <c r="AB395" s="950" t="e">
        <f aca="false">AB431+AB425-AC423-AC430</f>
        <v>#VALUE!</v>
      </c>
      <c r="AC395" s="950" t="e">
        <f aca="false">AC431+AC425-AD423-AD430</f>
        <v>#VALUE!</v>
      </c>
      <c r="AD395" s="950" t="e">
        <f aca="false">AD431+AD425-AE423-AE430</f>
        <v>#VALUE!</v>
      </c>
      <c r="AE395" s="950" t="e">
        <f aca="false">AE431+AE425-AF423-AF430</f>
        <v>#VALUE!</v>
      </c>
      <c r="AF395" s="950" t="e">
        <f aca="false">AF431+AF425-AG423-AG430</f>
        <v>#VALUE!</v>
      </c>
      <c r="AG395" s="751"/>
    </row>
    <row r="396" customFormat="false" ht="11.25" hidden="false" customHeight="false" outlineLevel="0" collapsed="false">
      <c r="A396" s="751" t="str">
        <f aca="false">A510</f>
        <v>Deferred Taxes</v>
      </c>
      <c r="B396" s="751"/>
      <c r="C396" s="949"/>
      <c r="D396" s="949"/>
      <c r="E396" s="950" t="n">
        <f aca="false">E510</f>
        <v>0</v>
      </c>
      <c r="F396" s="950" t="n">
        <f aca="false">F510</f>
        <v>0</v>
      </c>
      <c r="G396" s="950" t="n">
        <f aca="false">G510</f>
        <v>0</v>
      </c>
      <c r="H396" s="956" t="n">
        <f aca="false">N510</f>
        <v>0</v>
      </c>
      <c r="I396" s="957" t="e">
        <f aca="false">I332+H396</f>
        <v>#VALUE!</v>
      </c>
      <c r="J396" s="950" t="e">
        <f aca="false">J332+I396</f>
        <v>#VALUE!</v>
      </c>
      <c r="K396" s="950" t="e">
        <f aca="false">K332+J396</f>
        <v>#VALUE!</v>
      </c>
      <c r="L396" s="950" t="e">
        <f aca="false">L332+K396</f>
        <v>#VALUE!</v>
      </c>
      <c r="M396" s="950" t="e">
        <f aca="false">M332+L396</f>
        <v>#VALUE!</v>
      </c>
      <c r="N396" s="950" t="e">
        <f aca="false">N332+M396</f>
        <v>#VALUE!</v>
      </c>
      <c r="O396" s="950" t="e">
        <f aca="false">O332+N396</f>
        <v>#VALUE!</v>
      </c>
      <c r="P396" s="950" t="e">
        <f aca="false">P332+O396</f>
        <v>#VALUE!</v>
      </c>
      <c r="Q396" s="950" t="e">
        <f aca="false">Q332+P396</f>
        <v>#VALUE!</v>
      </c>
      <c r="R396" s="950" t="e">
        <f aca="false">R332+Q396</f>
        <v>#VALUE!</v>
      </c>
      <c r="S396" s="950" t="e">
        <f aca="false">S332+R396</f>
        <v>#VALUE!</v>
      </c>
      <c r="T396" s="950" t="e">
        <f aca="false">T332+S396</f>
        <v>#VALUE!</v>
      </c>
      <c r="U396" s="950" t="e">
        <f aca="false">U332+T396</f>
        <v>#VALUE!</v>
      </c>
      <c r="V396" s="950" t="e">
        <f aca="false">V332+U396</f>
        <v>#VALUE!</v>
      </c>
      <c r="W396" s="950" t="e">
        <f aca="false">W332+V396</f>
        <v>#VALUE!</v>
      </c>
      <c r="X396" s="950" t="e">
        <f aca="false">X332+W396</f>
        <v>#VALUE!</v>
      </c>
      <c r="Y396" s="950" t="e">
        <f aca="false">Y332+X396</f>
        <v>#VALUE!</v>
      </c>
      <c r="Z396" s="950" t="e">
        <f aca="false">Z332+Y396</f>
        <v>#VALUE!</v>
      </c>
      <c r="AA396" s="950" t="e">
        <f aca="false">AA332+Z396</f>
        <v>#VALUE!</v>
      </c>
      <c r="AB396" s="950" t="e">
        <f aca="false">AB332+AA396</f>
        <v>#VALUE!</v>
      </c>
      <c r="AC396" s="950" t="e">
        <f aca="false">AC332+AB396</f>
        <v>#VALUE!</v>
      </c>
      <c r="AD396" s="950" t="e">
        <f aca="false">AD332+AC396</f>
        <v>#VALUE!</v>
      </c>
      <c r="AE396" s="950" t="e">
        <f aca="false">AE332+AD396</f>
        <v>#VALUE!</v>
      </c>
      <c r="AF396" s="950" t="e">
        <f aca="false">AF332+AE396</f>
        <v>#VALUE!</v>
      </c>
      <c r="AG396" s="751"/>
    </row>
    <row r="397" customFormat="false" ht="11.25" hidden="false" customHeight="false" outlineLevel="0" collapsed="false">
      <c r="A397" s="751" t="str">
        <f aca="false">A511</f>
        <v>Other Liabilities</v>
      </c>
      <c r="B397" s="751"/>
      <c r="C397" s="751"/>
      <c r="D397" s="751"/>
      <c r="E397" s="950" t="n">
        <f aca="false">E511</f>
        <v>0</v>
      </c>
      <c r="F397" s="950" t="n">
        <f aca="false">F511</f>
        <v>0</v>
      </c>
      <c r="G397" s="950" t="n">
        <f aca="false">G511</f>
        <v>0</v>
      </c>
      <c r="H397" s="956" t="n">
        <f aca="false">N511</f>
        <v>0</v>
      </c>
      <c r="I397" s="981" t="n">
        <f aca="false">H397+I334</f>
        <v>0</v>
      </c>
      <c r="J397" s="751" t="n">
        <f aca="false">I397+J334</f>
        <v>0</v>
      </c>
      <c r="K397" s="751" t="n">
        <f aca="false">J397+K334</f>
        <v>0</v>
      </c>
      <c r="L397" s="751" t="n">
        <f aca="false">K397+L334</f>
        <v>0</v>
      </c>
      <c r="M397" s="751" t="n">
        <f aca="false">L397+M334</f>
        <v>0</v>
      </c>
      <c r="N397" s="751" t="n">
        <f aca="false">M397+N334</f>
        <v>0</v>
      </c>
      <c r="O397" s="751" t="n">
        <f aca="false">N397+O334</f>
        <v>0</v>
      </c>
      <c r="P397" s="751" t="n">
        <f aca="false">O397+P334</f>
        <v>0</v>
      </c>
      <c r="Q397" s="751" t="n">
        <f aca="false">P397+Q334</f>
        <v>0</v>
      </c>
      <c r="R397" s="751" t="n">
        <f aca="false">Q397+R334</f>
        <v>0</v>
      </c>
      <c r="S397" s="751" t="n">
        <f aca="false">R397+S334</f>
        <v>0</v>
      </c>
      <c r="T397" s="751" t="n">
        <f aca="false">S397+T334</f>
        <v>0</v>
      </c>
      <c r="U397" s="751" t="n">
        <f aca="false">T397+U334</f>
        <v>0</v>
      </c>
      <c r="V397" s="751" t="n">
        <f aca="false">U397+V334</f>
        <v>0</v>
      </c>
      <c r="W397" s="751" t="n">
        <f aca="false">V397+W334</f>
        <v>0</v>
      </c>
      <c r="X397" s="751" t="n">
        <f aca="false">W397+X334</f>
        <v>0</v>
      </c>
      <c r="Y397" s="751" t="n">
        <f aca="false">X397+Y334</f>
        <v>0</v>
      </c>
      <c r="Z397" s="751" t="n">
        <f aca="false">Y397+Z334</f>
        <v>0</v>
      </c>
      <c r="AA397" s="751" t="n">
        <f aca="false">Z397+AA334</f>
        <v>0</v>
      </c>
      <c r="AB397" s="751" t="n">
        <f aca="false">AA397+AB334</f>
        <v>0</v>
      </c>
      <c r="AC397" s="751" t="n">
        <f aca="false">AB397+AC334</f>
        <v>0</v>
      </c>
      <c r="AD397" s="751" t="n">
        <f aca="false">AC397+AD334</f>
        <v>0</v>
      </c>
      <c r="AE397" s="751" t="n">
        <f aca="false">AD397+AE334</f>
        <v>0</v>
      </c>
      <c r="AF397" s="751" t="n">
        <f aca="false">AE397+AF334</f>
        <v>0</v>
      </c>
      <c r="AG397" s="751"/>
    </row>
    <row r="398" customFormat="false" ht="11.25" hidden="false" customHeight="false" outlineLevel="0" collapsed="false">
      <c r="A398" s="978" t="str">
        <f aca="false">A512</f>
        <v>Total Long-term Liabilities</v>
      </c>
      <c r="B398" s="751"/>
      <c r="C398" s="950"/>
      <c r="D398" s="950"/>
      <c r="E398" s="958" t="n">
        <f aca="false">E395+E396+E397</f>
        <v>0</v>
      </c>
      <c r="F398" s="958" t="n">
        <f aca="false">F395+F396+F397</f>
        <v>0</v>
      </c>
      <c r="G398" s="958" t="n">
        <f aca="false">G395+G396+G397</f>
        <v>0</v>
      </c>
      <c r="H398" s="958" t="e">
        <f aca="false">H395+H396+H397</f>
        <v>#VALUE!</v>
      </c>
      <c r="I398" s="982" t="e">
        <f aca="false">I395+I396+I397</f>
        <v>#VALUE!</v>
      </c>
      <c r="J398" s="958" t="e">
        <f aca="false">J395+J396+J397</f>
        <v>#VALUE!</v>
      </c>
      <c r="K398" s="958" t="e">
        <f aca="false">K395+K396+K397</f>
        <v>#VALUE!</v>
      </c>
      <c r="L398" s="958" t="e">
        <f aca="false">L395+L396+L397</f>
        <v>#VALUE!</v>
      </c>
      <c r="M398" s="958" t="e">
        <f aca="false">M395+M396+M397</f>
        <v>#VALUE!</v>
      </c>
      <c r="N398" s="958" t="e">
        <f aca="false">N395+N396+N397</f>
        <v>#VALUE!</v>
      </c>
      <c r="O398" s="958" t="e">
        <f aca="false">O395+O396+O397</f>
        <v>#VALUE!</v>
      </c>
      <c r="P398" s="958" t="e">
        <f aca="false">P395+P396+P397</f>
        <v>#VALUE!</v>
      </c>
      <c r="Q398" s="958" t="e">
        <f aca="false">Q395+Q396+Q397</f>
        <v>#VALUE!</v>
      </c>
      <c r="R398" s="958" t="e">
        <f aca="false">R395+R396+R397</f>
        <v>#VALUE!</v>
      </c>
      <c r="S398" s="958" t="e">
        <f aca="false">S395+S396+S397</f>
        <v>#VALUE!</v>
      </c>
      <c r="T398" s="958" t="e">
        <f aca="false">T395+T396+T397</f>
        <v>#VALUE!</v>
      </c>
      <c r="U398" s="958" t="e">
        <f aca="false">U395+U396+U397</f>
        <v>#VALUE!</v>
      </c>
      <c r="V398" s="958" t="e">
        <f aca="false">V395+V396+V397</f>
        <v>#VALUE!</v>
      </c>
      <c r="W398" s="958" t="e">
        <f aca="false">W395+W396+W397</f>
        <v>#VALUE!</v>
      </c>
      <c r="X398" s="958" t="e">
        <f aca="false">X395+X396+X397</f>
        <v>#VALUE!</v>
      </c>
      <c r="Y398" s="958" t="e">
        <f aca="false">Y395+Y396+Y397</f>
        <v>#VALUE!</v>
      </c>
      <c r="Z398" s="958" t="e">
        <f aca="false">Z395+Z396+Z397</f>
        <v>#VALUE!</v>
      </c>
      <c r="AA398" s="958" t="e">
        <f aca="false">AA395+AA396+AA397</f>
        <v>#VALUE!</v>
      </c>
      <c r="AB398" s="958" t="e">
        <f aca="false">AB395+AB396+AB397</f>
        <v>#VALUE!</v>
      </c>
      <c r="AC398" s="958" t="e">
        <f aca="false">AC395+AC396+AC397</f>
        <v>#VALUE!</v>
      </c>
      <c r="AD398" s="958" t="e">
        <f aca="false">AD395+AD396+AD397</f>
        <v>#VALUE!</v>
      </c>
      <c r="AE398" s="958" t="e">
        <f aca="false">AE395+AE396+AE397</f>
        <v>#VALUE!</v>
      </c>
      <c r="AF398" s="958" t="e">
        <f aca="false">AF395+AF396+AF397</f>
        <v>#VALUE!</v>
      </c>
      <c r="AG398" s="751"/>
    </row>
    <row r="399" customFormat="false" ht="11.25" hidden="false" customHeight="false" outlineLevel="0" collapsed="false">
      <c r="A399" s="751"/>
      <c r="B399" s="751"/>
      <c r="C399" s="950"/>
      <c r="D399" s="950"/>
      <c r="E399" s="950"/>
      <c r="F399" s="950"/>
      <c r="G399" s="950"/>
      <c r="H399" s="96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751"/>
    </row>
    <row r="400" customFormat="false" ht="11.25" hidden="false" customHeight="false" outlineLevel="0" collapsed="false">
      <c r="A400" s="978" t="str">
        <f aca="false">A514</f>
        <v>Total Liabilities</v>
      </c>
      <c r="B400" s="751"/>
      <c r="C400" s="950"/>
      <c r="D400" s="950"/>
      <c r="E400" s="950" t="n">
        <f aca="false">E398+E393</f>
        <v>0</v>
      </c>
      <c r="F400" s="950" t="n">
        <f aca="false">F398+F393</f>
        <v>0</v>
      </c>
      <c r="G400" s="950" t="n">
        <f aca="false">G398+G393</f>
        <v>0</v>
      </c>
      <c r="H400" s="960" t="e">
        <f aca="false">H398+H393</f>
        <v>#VALUE!</v>
      </c>
      <c r="I400" s="950" t="e">
        <f aca="false">I398+I393</f>
        <v>#VALUE!</v>
      </c>
      <c r="J400" s="950" t="e">
        <f aca="false">J398+J393</f>
        <v>#VALUE!</v>
      </c>
      <c r="K400" s="950" t="e">
        <f aca="false">K398+K393</f>
        <v>#VALUE!</v>
      </c>
      <c r="L400" s="950" t="e">
        <f aca="false">L398+L393</f>
        <v>#VALUE!</v>
      </c>
      <c r="M400" s="950" t="e">
        <f aca="false">M398+M393</f>
        <v>#VALUE!</v>
      </c>
      <c r="N400" s="950" t="e">
        <f aca="false">N398+N393</f>
        <v>#VALUE!</v>
      </c>
      <c r="O400" s="950" t="e">
        <f aca="false">O398+O393</f>
        <v>#VALUE!</v>
      </c>
      <c r="P400" s="950" t="e">
        <f aca="false">P398+P393</f>
        <v>#VALUE!</v>
      </c>
      <c r="Q400" s="950" t="e">
        <f aca="false">Q398+Q393</f>
        <v>#VALUE!</v>
      </c>
      <c r="R400" s="950" t="e">
        <f aca="false">R398+R393</f>
        <v>#VALUE!</v>
      </c>
      <c r="S400" s="950" t="e">
        <f aca="false">S398+S393</f>
        <v>#VALUE!</v>
      </c>
      <c r="T400" s="950" t="e">
        <f aca="false">T398+T393</f>
        <v>#VALUE!</v>
      </c>
      <c r="U400" s="950" t="e">
        <f aca="false">U398+U393</f>
        <v>#VALUE!</v>
      </c>
      <c r="V400" s="950" t="e">
        <f aca="false">V398+V393</f>
        <v>#VALUE!</v>
      </c>
      <c r="W400" s="950" t="e">
        <f aca="false">W398+W393</f>
        <v>#VALUE!</v>
      </c>
      <c r="X400" s="950" t="e">
        <f aca="false">X398+X393</f>
        <v>#VALUE!</v>
      </c>
      <c r="Y400" s="950" t="e">
        <f aca="false">Y398+Y393</f>
        <v>#VALUE!</v>
      </c>
      <c r="Z400" s="950" t="e">
        <f aca="false">Z398+Z393</f>
        <v>#VALUE!</v>
      </c>
      <c r="AA400" s="950" t="e">
        <f aca="false">AA398+AA393</f>
        <v>#VALUE!</v>
      </c>
      <c r="AB400" s="950" t="e">
        <f aca="false">AB398+AB393</f>
        <v>#VALUE!</v>
      </c>
      <c r="AC400" s="950" t="e">
        <f aca="false">AC398+AC393</f>
        <v>#VALUE!</v>
      </c>
      <c r="AD400" s="950" t="e">
        <f aca="false">AD398+AD393</f>
        <v>#VALUE!</v>
      </c>
      <c r="AE400" s="950" t="e">
        <f aca="false">AE398+AE393</f>
        <v>#VALUE!</v>
      </c>
      <c r="AF400" s="950" t="e">
        <f aca="false">AF398+AF393</f>
        <v>#VALUE!</v>
      </c>
      <c r="AG400" s="751"/>
    </row>
    <row r="401" customFormat="false" ht="11.25" hidden="false" customHeight="false" outlineLevel="0" collapsed="false">
      <c r="A401" s="751"/>
      <c r="B401" s="751"/>
      <c r="C401" s="949"/>
      <c r="D401" s="949"/>
      <c r="E401" s="949"/>
      <c r="F401" s="949"/>
      <c r="G401" s="950"/>
      <c r="H401" s="956"/>
      <c r="I401" s="957"/>
      <c r="J401" s="950"/>
      <c r="K401" s="950"/>
      <c r="L401" s="950"/>
      <c r="M401" s="950"/>
      <c r="N401" s="950"/>
      <c r="O401" s="950"/>
      <c r="P401" s="950"/>
      <c r="Q401" s="950"/>
      <c r="R401" s="950"/>
      <c r="S401" s="950"/>
      <c r="T401" s="950"/>
      <c r="U401" s="950"/>
      <c r="V401" s="950"/>
      <c r="W401" s="950"/>
      <c r="X401" s="950"/>
      <c r="Y401" s="950"/>
      <c r="Z401" s="950"/>
      <c r="AA401" s="950"/>
      <c r="AB401" s="950"/>
      <c r="AC401" s="950"/>
      <c r="AD401" s="950"/>
      <c r="AE401" s="950"/>
      <c r="AF401" s="950"/>
      <c r="AG401" s="751"/>
    </row>
    <row r="402" customFormat="false" ht="11.25" hidden="false" customHeight="false" outlineLevel="0" collapsed="false">
      <c r="A402" s="751" t="str">
        <f aca="false">A516</f>
        <v>Common Stock</v>
      </c>
      <c r="B402" s="751"/>
      <c r="C402" s="949"/>
      <c r="D402" s="949"/>
      <c r="E402" s="950" t="n">
        <f aca="false">E516</f>
        <v>0</v>
      </c>
      <c r="F402" s="950" t="n">
        <f aca="false">F516</f>
        <v>0</v>
      </c>
      <c r="G402" s="950" t="n">
        <f aca="false">G516</f>
        <v>0</v>
      </c>
      <c r="H402" s="956" t="e">
        <f aca="false">N516</f>
        <v>#VALUE!</v>
      </c>
      <c r="I402" s="957" t="e">
        <f aca="false">H402</f>
        <v>#VALUE!</v>
      </c>
      <c r="J402" s="950" t="e">
        <f aca="false">I402</f>
        <v>#VALUE!</v>
      </c>
      <c r="K402" s="950" t="e">
        <f aca="false">J402</f>
        <v>#VALUE!</v>
      </c>
      <c r="L402" s="950" t="e">
        <f aca="false">K402</f>
        <v>#VALUE!</v>
      </c>
      <c r="M402" s="950" t="e">
        <f aca="false">L402</f>
        <v>#VALUE!</v>
      </c>
      <c r="N402" s="950" t="e">
        <f aca="false">M402</f>
        <v>#VALUE!</v>
      </c>
      <c r="O402" s="950" t="e">
        <f aca="false">N402</f>
        <v>#VALUE!</v>
      </c>
      <c r="P402" s="950" t="e">
        <f aca="false">O402</f>
        <v>#VALUE!</v>
      </c>
      <c r="Q402" s="950" t="e">
        <f aca="false">P402</f>
        <v>#VALUE!</v>
      </c>
      <c r="R402" s="950" t="e">
        <f aca="false">Q402</f>
        <v>#VALUE!</v>
      </c>
      <c r="S402" s="950" t="e">
        <f aca="false">R402</f>
        <v>#VALUE!</v>
      </c>
      <c r="T402" s="950" t="e">
        <f aca="false">S402</f>
        <v>#VALUE!</v>
      </c>
      <c r="U402" s="950" t="e">
        <f aca="false">T402</f>
        <v>#VALUE!</v>
      </c>
      <c r="V402" s="950" t="e">
        <f aca="false">U402</f>
        <v>#VALUE!</v>
      </c>
      <c r="W402" s="950" t="e">
        <f aca="false">V402</f>
        <v>#VALUE!</v>
      </c>
      <c r="X402" s="950" t="e">
        <f aca="false">W402</f>
        <v>#VALUE!</v>
      </c>
      <c r="Y402" s="950" t="e">
        <f aca="false">X402</f>
        <v>#VALUE!</v>
      </c>
      <c r="Z402" s="950" t="e">
        <f aca="false">Y402</f>
        <v>#VALUE!</v>
      </c>
      <c r="AA402" s="950" t="e">
        <f aca="false">Z402</f>
        <v>#VALUE!</v>
      </c>
      <c r="AB402" s="950" t="e">
        <f aca="false">AA402</f>
        <v>#VALUE!</v>
      </c>
      <c r="AC402" s="950" t="e">
        <f aca="false">AB402</f>
        <v>#VALUE!</v>
      </c>
      <c r="AD402" s="950" t="e">
        <f aca="false">AC402</f>
        <v>#VALUE!</v>
      </c>
      <c r="AE402" s="950" t="e">
        <f aca="false">AD402</f>
        <v>#VALUE!</v>
      </c>
      <c r="AF402" s="950" t="e">
        <f aca="false">AE402</f>
        <v>#VALUE!</v>
      </c>
      <c r="AG402" s="751"/>
    </row>
    <row r="403" customFormat="false" ht="11.25" hidden="false" customHeight="false" outlineLevel="0" collapsed="false">
      <c r="A403" s="751" t="str">
        <f aca="false">A517</f>
        <v>Paid in Capital</v>
      </c>
      <c r="B403" s="751"/>
      <c r="C403" s="949"/>
      <c r="D403" s="949"/>
      <c r="E403" s="950" t="n">
        <f aca="false">E517</f>
        <v>0</v>
      </c>
      <c r="F403" s="950" t="n">
        <f aca="false">F517</f>
        <v>0</v>
      </c>
      <c r="G403" s="950" t="n">
        <f aca="false">G517</f>
        <v>0</v>
      </c>
      <c r="H403" s="956" t="n">
        <f aca="false">N517</f>
        <v>0</v>
      </c>
      <c r="I403" s="957" t="n">
        <f aca="false">H403-I580</f>
        <v>0</v>
      </c>
      <c r="J403" s="950" t="n">
        <f aca="false">I403-J580</f>
        <v>0</v>
      </c>
      <c r="K403" s="950" t="n">
        <f aca="false">J403-K580</f>
        <v>0</v>
      </c>
      <c r="L403" s="950" t="n">
        <f aca="false">K403-L580</f>
        <v>0</v>
      </c>
      <c r="M403" s="950" t="n">
        <f aca="false">L403-M580</f>
        <v>0</v>
      </c>
      <c r="N403" s="950" t="n">
        <f aca="false">M403-N580</f>
        <v>0</v>
      </c>
      <c r="O403" s="950" t="n">
        <f aca="false">N403-O580</f>
        <v>0</v>
      </c>
      <c r="P403" s="950" t="n">
        <f aca="false">O403-P580</f>
        <v>0</v>
      </c>
      <c r="Q403" s="950" t="n">
        <f aca="false">P403-Q580</f>
        <v>0</v>
      </c>
      <c r="R403" s="950" t="n">
        <f aca="false">Q403-R580</f>
        <v>0</v>
      </c>
      <c r="S403" s="950" t="n">
        <f aca="false">R403-S580</f>
        <v>0</v>
      </c>
      <c r="T403" s="950" t="n">
        <f aca="false">S403-T580</f>
        <v>0</v>
      </c>
      <c r="U403" s="950" t="n">
        <f aca="false">T403-U580</f>
        <v>0</v>
      </c>
      <c r="V403" s="950" t="n">
        <f aca="false">U403-V580</f>
        <v>0</v>
      </c>
      <c r="W403" s="950" t="n">
        <f aca="false">V403-W580</f>
        <v>0</v>
      </c>
      <c r="X403" s="950" t="n">
        <f aca="false">W403-X580</f>
        <v>0</v>
      </c>
      <c r="Y403" s="950" t="n">
        <f aca="false">X403-Y580</f>
        <v>0</v>
      </c>
      <c r="Z403" s="950" t="n">
        <f aca="false">Y403-Z580</f>
        <v>0</v>
      </c>
      <c r="AA403" s="950" t="n">
        <f aca="false">Z403-AA580</f>
        <v>0</v>
      </c>
      <c r="AB403" s="950" t="n">
        <f aca="false">AA403-AB580</f>
        <v>0</v>
      </c>
      <c r="AC403" s="950" t="n">
        <f aca="false">AB403-AC580</f>
        <v>0</v>
      </c>
      <c r="AD403" s="950" t="n">
        <f aca="false">AC403-AD580</f>
        <v>0</v>
      </c>
      <c r="AE403" s="950" t="n">
        <f aca="false">AD403-AE580</f>
        <v>0</v>
      </c>
      <c r="AF403" s="950" t="n">
        <f aca="false">AE403-AF580</f>
        <v>0</v>
      </c>
      <c r="AG403" s="751"/>
    </row>
    <row r="404" customFormat="false" ht="11.25" hidden="false" customHeight="false" outlineLevel="0" collapsed="false">
      <c r="A404" s="751" t="str">
        <f aca="false">A518</f>
        <v>Treasury Stock</v>
      </c>
      <c r="B404" s="751"/>
      <c r="C404" s="949"/>
      <c r="D404" s="949"/>
      <c r="E404" s="950" t="n">
        <f aca="false">E518</f>
        <v>0</v>
      </c>
      <c r="F404" s="950" t="n">
        <f aca="false">F518</f>
        <v>0</v>
      </c>
      <c r="G404" s="950" t="n">
        <f aca="false">G518</f>
        <v>0</v>
      </c>
      <c r="H404" s="956" t="n">
        <f aca="false">N518</f>
        <v>0</v>
      </c>
      <c r="I404" s="957" t="n">
        <f aca="false">H404-I579</f>
        <v>0</v>
      </c>
      <c r="J404" s="950" t="n">
        <f aca="false">I404-J579</f>
        <v>0</v>
      </c>
      <c r="K404" s="950" t="n">
        <f aca="false">J404-K579</f>
        <v>0</v>
      </c>
      <c r="L404" s="950" t="n">
        <f aca="false">K404-L579</f>
        <v>0</v>
      </c>
      <c r="M404" s="950" t="n">
        <f aca="false">L404-M579</f>
        <v>0</v>
      </c>
      <c r="N404" s="950" t="n">
        <f aca="false">M404-N579</f>
        <v>0</v>
      </c>
      <c r="O404" s="950" t="n">
        <f aca="false">N404-O579</f>
        <v>0</v>
      </c>
      <c r="P404" s="950" t="n">
        <f aca="false">O404-P579</f>
        <v>0</v>
      </c>
      <c r="Q404" s="950" t="n">
        <f aca="false">P404-Q579</f>
        <v>0</v>
      </c>
      <c r="R404" s="950" t="n">
        <f aca="false">Q404-R579</f>
        <v>0</v>
      </c>
      <c r="S404" s="950" t="n">
        <f aca="false">R404-S579</f>
        <v>0</v>
      </c>
      <c r="T404" s="950" t="n">
        <f aca="false">S404-T579</f>
        <v>0</v>
      </c>
      <c r="U404" s="950" t="n">
        <f aca="false">T404-U579</f>
        <v>0</v>
      </c>
      <c r="V404" s="950" t="n">
        <f aca="false">U404-V579</f>
        <v>0</v>
      </c>
      <c r="W404" s="950" t="n">
        <f aca="false">V404-W579</f>
        <v>0</v>
      </c>
      <c r="X404" s="950" t="n">
        <f aca="false">W404-X579</f>
        <v>0</v>
      </c>
      <c r="Y404" s="950" t="n">
        <f aca="false">X404-Y579</f>
        <v>0</v>
      </c>
      <c r="Z404" s="950" t="n">
        <f aca="false">Y404-Z579</f>
        <v>0</v>
      </c>
      <c r="AA404" s="950" t="n">
        <f aca="false">Z404-AA579</f>
        <v>0</v>
      </c>
      <c r="AB404" s="950" t="n">
        <f aca="false">AA404-AB579</f>
        <v>0</v>
      </c>
      <c r="AC404" s="950" t="n">
        <f aca="false">AB404-AC579</f>
        <v>0</v>
      </c>
      <c r="AD404" s="950" t="n">
        <f aca="false">AC404-AD579</f>
        <v>0</v>
      </c>
      <c r="AE404" s="950" t="n">
        <f aca="false">AD404-AE579</f>
        <v>0</v>
      </c>
      <c r="AF404" s="950" t="n">
        <f aca="false">AE404-AF579</f>
        <v>0</v>
      </c>
      <c r="AG404" s="751"/>
    </row>
    <row r="405" customFormat="false" ht="11.25" hidden="false" customHeight="false" outlineLevel="0" collapsed="false">
      <c r="A405" s="751" t="str">
        <f aca="false">A519</f>
        <v>Retained Earnings</v>
      </c>
      <c r="B405" s="751"/>
      <c r="C405" s="949"/>
      <c r="D405" s="949"/>
      <c r="E405" s="950" t="n">
        <f aca="false">E519</f>
        <v>0</v>
      </c>
      <c r="F405" s="950" t="n">
        <f aca="false">F519</f>
        <v>0</v>
      </c>
      <c r="G405" s="950" t="n">
        <f aca="false">G519</f>
        <v>0</v>
      </c>
      <c r="H405" s="960" t="n">
        <f aca="false">N519</f>
        <v>0</v>
      </c>
      <c r="I405" s="950" t="e">
        <f aca="false">H405+H406+I317</f>
        <v>#VALUE!</v>
      </c>
      <c r="J405" s="950" t="e">
        <f aca="false">I405+I406+J317</f>
        <v>#VALUE!</v>
      </c>
      <c r="K405" s="950" t="e">
        <f aca="false">J405+J406+K317</f>
        <v>#VALUE!</v>
      </c>
      <c r="L405" s="950" t="e">
        <f aca="false">K405+K406+L317</f>
        <v>#VALUE!</v>
      </c>
      <c r="M405" s="950" t="e">
        <f aca="false">L405+L406+M317</f>
        <v>#VALUE!</v>
      </c>
      <c r="N405" s="950" t="e">
        <f aca="false">M405+M406+N317</f>
        <v>#VALUE!</v>
      </c>
      <c r="O405" s="950" t="e">
        <f aca="false">N405+N406+O317</f>
        <v>#VALUE!</v>
      </c>
      <c r="P405" s="950" t="e">
        <f aca="false">O405+O406+P317</f>
        <v>#VALUE!</v>
      </c>
      <c r="Q405" s="950" t="e">
        <f aca="false">P405+P406+Q317</f>
        <v>#VALUE!</v>
      </c>
      <c r="R405" s="950" t="e">
        <f aca="false">Q405+Q406+R317</f>
        <v>#VALUE!</v>
      </c>
      <c r="S405" s="950" t="e">
        <f aca="false">R405+R406+S317</f>
        <v>#VALUE!</v>
      </c>
      <c r="T405" s="950" t="e">
        <f aca="false">S405+S406+T317</f>
        <v>#VALUE!</v>
      </c>
      <c r="U405" s="950" t="e">
        <f aca="false">T405+T406+U317</f>
        <v>#VALUE!</v>
      </c>
      <c r="V405" s="950" t="e">
        <f aca="false">U405+U406+V317</f>
        <v>#VALUE!</v>
      </c>
      <c r="W405" s="950" t="e">
        <f aca="false">V405+V406+W317</f>
        <v>#VALUE!</v>
      </c>
      <c r="X405" s="950" t="e">
        <f aca="false">W405+W406+X317</f>
        <v>#VALUE!</v>
      </c>
      <c r="Y405" s="950" t="e">
        <f aca="false">X405+X406+Y317</f>
        <v>#VALUE!</v>
      </c>
      <c r="Z405" s="950" t="e">
        <f aca="false">Y405+Y406+Z317</f>
        <v>#VALUE!</v>
      </c>
      <c r="AA405" s="950" t="e">
        <f aca="false">Z405+Z406+AA317</f>
        <v>#VALUE!</v>
      </c>
      <c r="AB405" s="950" t="e">
        <f aca="false">AA405+AA406+AB317</f>
        <v>#VALUE!</v>
      </c>
      <c r="AC405" s="950" t="e">
        <f aca="false">AB405+AB406+AC317</f>
        <v>#VALUE!</v>
      </c>
      <c r="AD405" s="950" t="e">
        <f aca="false">AC405+AC406+AD317</f>
        <v>#VALUE!</v>
      </c>
      <c r="AE405" s="950" t="e">
        <f aca="false">AD405+AD406+AE317</f>
        <v>#VALUE!</v>
      </c>
      <c r="AF405" s="950" t="e">
        <f aca="false">AE405+AE406+AF317</f>
        <v>#VALUE!</v>
      </c>
      <c r="AG405" s="751"/>
    </row>
    <row r="406" customFormat="false" ht="11.25" hidden="false" customHeight="false" outlineLevel="0" collapsed="false">
      <c r="A406" s="751" t="str">
        <f aca="false">A520</f>
        <v>Preferred and Common Dividends</v>
      </c>
      <c r="B406" s="751"/>
      <c r="C406" s="751"/>
      <c r="D406" s="751"/>
      <c r="E406" s="950" t="n">
        <f aca="false">E520</f>
        <v>0</v>
      </c>
      <c r="F406" s="950" t="n">
        <f aca="false">F520</f>
        <v>0</v>
      </c>
      <c r="G406" s="950" t="n">
        <f aca="false">G520</f>
        <v>0</v>
      </c>
      <c r="H406" s="960" t="n">
        <f aca="false">N520</f>
        <v>0</v>
      </c>
      <c r="I406" s="950" t="e">
        <f aca="false">-I322</f>
        <v>#VALUE!</v>
      </c>
      <c r="J406" s="950" t="e">
        <f aca="false">-J322</f>
        <v>#VALUE!</v>
      </c>
      <c r="K406" s="950" t="e">
        <f aca="false">-K322</f>
        <v>#VALUE!</v>
      </c>
      <c r="L406" s="950" t="e">
        <f aca="false">-L322</f>
        <v>#VALUE!</v>
      </c>
      <c r="M406" s="950" t="e">
        <f aca="false">-M322</f>
        <v>#VALUE!</v>
      </c>
      <c r="N406" s="950" t="e">
        <f aca="false">-N322</f>
        <v>#VALUE!</v>
      </c>
      <c r="O406" s="950" t="e">
        <f aca="false">-O322</f>
        <v>#VALUE!</v>
      </c>
      <c r="P406" s="950" t="e">
        <f aca="false">-P322</f>
        <v>#VALUE!</v>
      </c>
      <c r="Q406" s="950" t="e">
        <f aca="false">-Q322</f>
        <v>#VALUE!</v>
      </c>
      <c r="R406" s="950" t="e">
        <f aca="false">-R322</f>
        <v>#VALUE!</v>
      </c>
      <c r="S406" s="950" t="e">
        <f aca="false">-S322</f>
        <v>#VALUE!</v>
      </c>
      <c r="T406" s="950" t="e">
        <f aca="false">-T322</f>
        <v>#VALUE!</v>
      </c>
      <c r="U406" s="950" t="e">
        <f aca="false">-U322</f>
        <v>#VALUE!</v>
      </c>
      <c r="V406" s="950" t="e">
        <f aca="false">-V322</f>
        <v>#VALUE!</v>
      </c>
      <c r="W406" s="950" t="e">
        <f aca="false">-W322</f>
        <v>#VALUE!</v>
      </c>
      <c r="X406" s="950" t="e">
        <f aca="false">-X322</f>
        <v>#VALUE!</v>
      </c>
      <c r="Y406" s="950" t="e">
        <f aca="false">-Y322</f>
        <v>#VALUE!</v>
      </c>
      <c r="Z406" s="950" t="e">
        <f aca="false">-Z322</f>
        <v>#VALUE!</v>
      </c>
      <c r="AA406" s="950" t="e">
        <f aca="false">-AA322</f>
        <v>#VALUE!</v>
      </c>
      <c r="AB406" s="950" t="e">
        <f aca="false">-AB322</f>
        <v>#VALUE!</v>
      </c>
      <c r="AC406" s="950" t="e">
        <f aca="false">-AC322</f>
        <v>#VALUE!</v>
      </c>
      <c r="AD406" s="950" t="e">
        <f aca="false">-AD322</f>
        <v>#VALUE!</v>
      </c>
      <c r="AE406" s="950" t="e">
        <f aca="false">-AE322</f>
        <v>#VALUE!</v>
      </c>
      <c r="AF406" s="950" t="e">
        <f aca="false">-AF322</f>
        <v>#VALUE!</v>
      </c>
      <c r="AG406" s="751"/>
    </row>
    <row r="407" customFormat="false" ht="11.25" hidden="false" customHeight="false" outlineLevel="0" collapsed="false">
      <c r="A407" s="978" t="str">
        <f aca="false">A521</f>
        <v>Total Stockholders' Equity</v>
      </c>
      <c r="B407" s="751"/>
      <c r="C407" s="950"/>
      <c r="D407" s="950"/>
      <c r="E407" s="958" t="n">
        <f aca="false">SUM(E402:E406)</f>
        <v>0</v>
      </c>
      <c r="F407" s="958" t="n">
        <f aca="false">SUM(F402:F406)</f>
        <v>0</v>
      </c>
      <c r="G407" s="958" t="n">
        <f aca="false">SUM(G402:G406)</f>
        <v>0</v>
      </c>
      <c r="H407" s="959" t="e">
        <f aca="false">SUM(H402:H406)</f>
        <v>#VALUE!</v>
      </c>
      <c r="I407" s="958" t="e">
        <f aca="false">SUM(I402:I406)</f>
        <v>#VALUE!</v>
      </c>
      <c r="J407" s="958" t="e">
        <f aca="false">SUM(J402:J406)</f>
        <v>#VALUE!</v>
      </c>
      <c r="K407" s="958" t="e">
        <f aca="false">SUM(K402:K406)</f>
        <v>#VALUE!</v>
      </c>
      <c r="L407" s="958" t="e">
        <f aca="false">SUM(L402:L406)</f>
        <v>#VALUE!</v>
      </c>
      <c r="M407" s="958" t="e">
        <f aca="false">SUM(M402:M406)</f>
        <v>#VALUE!</v>
      </c>
      <c r="N407" s="958" t="e">
        <f aca="false">SUM(N402:N406)</f>
        <v>#VALUE!</v>
      </c>
      <c r="O407" s="958" t="e">
        <f aca="false">SUM(O402:O406)</f>
        <v>#VALUE!</v>
      </c>
      <c r="P407" s="958" t="e">
        <f aca="false">SUM(P402:P406)</f>
        <v>#VALUE!</v>
      </c>
      <c r="Q407" s="958" t="e">
        <f aca="false">SUM(Q402:Q406)</f>
        <v>#VALUE!</v>
      </c>
      <c r="R407" s="958" t="e">
        <f aca="false">SUM(R402:R406)</f>
        <v>#VALUE!</v>
      </c>
      <c r="S407" s="958" t="e">
        <f aca="false">SUM(S402:S406)</f>
        <v>#VALUE!</v>
      </c>
      <c r="T407" s="958" t="e">
        <f aca="false">SUM(T402:T406)</f>
        <v>#VALUE!</v>
      </c>
      <c r="U407" s="958" t="e">
        <f aca="false">SUM(U402:U406)</f>
        <v>#VALUE!</v>
      </c>
      <c r="V407" s="958" t="e">
        <f aca="false">SUM(V402:V406)</f>
        <v>#VALUE!</v>
      </c>
      <c r="W407" s="958" t="e">
        <f aca="false">SUM(W402:W406)</f>
        <v>#VALUE!</v>
      </c>
      <c r="X407" s="958" t="e">
        <f aca="false">SUM(X402:X406)</f>
        <v>#VALUE!</v>
      </c>
      <c r="Y407" s="958" t="e">
        <f aca="false">SUM(Y402:Y406)</f>
        <v>#VALUE!</v>
      </c>
      <c r="Z407" s="958" t="e">
        <f aca="false">SUM(Z402:Z406)</f>
        <v>#VALUE!</v>
      </c>
      <c r="AA407" s="958" t="e">
        <f aca="false">SUM(AA402:AA406)</f>
        <v>#VALUE!</v>
      </c>
      <c r="AB407" s="958" t="e">
        <f aca="false">SUM(AB402:AB406)</f>
        <v>#VALUE!</v>
      </c>
      <c r="AC407" s="958" t="e">
        <f aca="false">SUM(AC402:AC406)</f>
        <v>#VALUE!</v>
      </c>
      <c r="AD407" s="958" t="e">
        <f aca="false">SUM(AD402:AD406)</f>
        <v>#VALUE!</v>
      </c>
      <c r="AE407" s="958" t="e">
        <f aca="false">SUM(AE402:AE406)</f>
        <v>#VALUE!</v>
      </c>
      <c r="AF407" s="958" t="e">
        <f aca="false">SUM(AF402:AF406)</f>
        <v>#VALUE!</v>
      </c>
      <c r="AG407" s="751"/>
    </row>
    <row r="408" customFormat="false" ht="12" hidden="false" customHeight="false" outlineLevel="0" collapsed="false">
      <c r="A408" s="978" t="str">
        <f aca="false">A522</f>
        <v>Total Liabilities &amp; Equity</v>
      </c>
      <c r="B408" s="751"/>
      <c r="C408" s="950"/>
      <c r="D408" s="950"/>
      <c r="E408" s="967" t="n">
        <f aca="false">E400+E407</f>
        <v>0</v>
      </c>
      <c r="F408" s="967" t="n">
        <f aca="false">F400+F407</f>
        <v>0</v>
      </c>
      <c r="G408" s="967" t="n">
        <f aca="false">G400+G407</f>
        <v>0</v>
      </c>
      <c r="H408" s="968" t="e">
        <f aca="false">H400+H407</f>
        <v>#VALUE!</v>
      </c>
      <c r="I408" s="967" t="e">
        <f aca="false">I400+I407</f>
        <v>#VALUE!</v>
      </c>
      <c r="J408" s="967" t="e">
        <f aca="false">J400+J407</f>
        <v>#VALUE!</v>
      </c>
      <c r="K408" s="967" t="e">
        <f aca="false">K400+K407</f>
        <v>#VALUE!</v>
      </c>
      <c r="L408" s="967" t="e">
        <f aca="false">L400+L407</f>
        <v>#VALUE!</v>
      </c>
      <c r="M408" s="967" t="e">
        <f aca="false">M400+M407</f>
        <v>#VALUE!</v>
      </c>
      <c r="N408" s="967" t="e">
        <f aca="false">N400+N407</f>
        <v>#VALUE!</v>
      </c>
      <c r="O408" s="967" t="e">
        <f aca="false">O400+O407</f>
        <v>#VALUE!</v>
      </c>
      <c r="P408" s="967" t="e">
        <f aca="false">P400+P407</f>
        <v>#VALUE!</v>
      </c>
      <c r="Q408" s="967" t="e">
        <f aca="false">Q400+Q407</f>
        <v>#VALUE!</v>
      </c>
      <c r="R408" s="967" t="e">
        <f aca="false">R400+R407</f>
        <v>#VALUE!</v>
      </c>
      <c r="S408" s="967" t="e">
        <f aca="false">S400+S407</f>
        <v>#VALUE!</v>
      </c>
      <c r="T408" s="967" t="e">
        <f aca="false">T400+T407</f>
        <v>#VALUE!</v>
      </c>
      <c r="U408" s="967" t="e">
        <f aca="false">U400+U407</f>
        <v>#VALUE!</v>
      </c>
      <c r="V408" s="967" t="e">
        <f aca="false">V400+V407</f>
        <v>#VALUE!</v>
      </c>
      <c r="W408" s="967" t="e">
        <f aca="false">W400+W407</f>
        <v>#VALUE!</v>
      </c>
      <c r="X408" s="967" t="e">
        <f aca="false">X400+X407</f>
        <v>#VALUE!</v>
      </c>
      <c r="Y408" s="967" t="e">
        <f aca="false">Y400+Y407</f>
        <v>#VALUE!</v>
      </c>
      <c r="Z408" s="967" t="e">
        <f aca="false">Z400+Z407</f>
        <v>#VALUE!</v>
      </c>
      <c r="AA408" s="967" t="e">
        <f aca="false">AA400+AA407</f>
        <v>#VALUE!</v>
      </c>
      <c r="AB408" s="967" t="e">
        <f aca="false">AB400+AB407</f>
        <v>#VALUE!</v>
      </c>
      <c r="AC408" s="967" t="e">
        <f aca="false">AC400+AC407</f>
        <v>#VALUE!</v>
      </c>
      <c r="AD408" s="967" t="e">
        <f aca="false">AD400+AD407</f>
        <v>#VALUE!</v>
      </c>
      <c r="AE408" s="967" t="e">
        <f aca="false">AE400+AE407</f>
        <v>#VALUE!</v>
      </c>
      <c r="AF408" s="967" t="e">
        <f aca="false">AF400+AF407</f>
        <v>#VALUE!</v>
      </c>
      <c r="AG408" s="751"/>
    </row>
    <row r="409" customFormat="false" ht="12" hidden="false" customHeight="false" outlineLevel="0" collapsed="false">
      <c r="A409" s="751"/>
      <c r="B409" s="751"/>
      <c r="C409" s="950"/>
      <c r="D409" s="950"/>
      <c r="E409" s="950"/>
      <c r="F409" s="950"/>
      <c r="G409" s="950"/>
      <c r="H409" s="950"/>
      <c r="I409" s="938"/>
      <c r="J409" s="938"/>
      <c r="K409" s="938"/>
      <c r="L409" s="938"/>
      <c r="M409" s="938"/>
      <c r="N409" s="950"/>
      <c r="O409" s="950"/>
      <c r="P409" s="950"/>
      <c r="Q409" s="950"/>
      <c r="R409" s="950"/>
      <c r="S409" s="950"/>
      <c r="T409" s="950"/>
      <c r="U409" s="950"/>
      <c r="V409" s="950"/>
      <c r="W409" s="950"/>
      <c r="X409" s="950"/>
      <c r="Y409" s="950"/>
      <c r="Z409" s="950"/>
      <c r="AA409" s="950"/>
      <c r="AB409" s="950"/>
      <c r="AC409" s="950"/>
      <c r="AD409" s="950"/>
      <c r="AE409" s="950"/>
      <c r="AF409" s="950"/>
      <c r="AG409" s="751"/>
    </row>
    <row r="410" customFormat="false" ht="11.25" hidden="false" customHeight="false" outlineLevel="0" collapsed="false">
      <c r="A410" s="955" t="s">
        <v>411</v>
      </c>
      <c r="B410" s="751"/>
      <c r="C410" s="950"/>
      <c r="D410" s="950"/>
      <c r="E410" s="983" t="n">
        <f aca="false">E385-E408</f>
        <v>0</v>
      </c>
      <c r="F410" s="983" t="n">
        <f aca="false">F385-F408</f>
        <v>0</v>
      </c>
      <c r="G410" s="983" t="n">
        <f aca="false">G385-G408</f>
        <v>0</v>
      </c>
      <c r="H410" s="983" t="e">
        <f aca="false">H385-H408</f>
        <v>#VALUE!</v>
      </c>
      <c r="I410" s="983" t="e">
        <f aca="false">I385-I408</f>
        <v>#VALUE!</v>
      </c>
      <c r="J410" s="983" t="e">
        <f aca="false">J385-J408</f>
        <v>#VALUE!</v>
      </c>
      <c r="K410" s="983" t="e">
        <f aca="false">K385-K408</f>
        <v>#VALUE!</v>
      </c>
      <c r="L410" s="983" t="e">
        <f aca="false">L385-L408</f>
        <v>#VALUE!</v>
      </c>
      <c r="M410" s="983" t="e">
        <f aca="false">M385-M408</f>
        <v>#VALUE!</v>
      </c>
      <c r="N410" s="983" t="e">
        <f aca="false">N385-N408</f>
        <v>#VALUE!</v>
      </c>
      <c r="O410" s="983" t="e">
        <f aca="false">O385-O408</f>
        <v>#VALUE!</v>
      </c>
      <c r="P410" s="983" t="e">
        <f aca="false">P385-P408</f>
        <v>#VALUE!</v>
      </c>
      <c r="Q410" s="983" t="e">
        <f aca="false">Q385-Q408</f>
        <v>#VALUE!</v>
      </c>
      <c r="R410" s="983" t="e">
        <f aca="false">R385-R408</f>
        <v>#VALUE!</v>
      </c>
      <c r="S410" s="983" t="e">
        <f aca="false">S385-S408</f>
        <v>#VALUE!</v>
      </c>
      <c r="T410" s="983" t="e">
        <f aca="false">T385-T408</f>
        <v>#VALUE!</v>
      </c>
      <c r="U410" s="983" t="e">
        <f aca="false">U385-U408</f>
        <v>#VALUE!</v>
      </c>
      <c r="V410" s="983" t="e">
        <f aca="false">V385-V408</f>
        <v>#VALUE!</v>
      </c>
      <c r="W410" s="983" t="e">
        <f aca="false">W385-W408</f>
        <v>#VALUE!</v>
      </c>
      <c r="X410" s="983" t="e">
        <f aca="false">X385-X408</f>
        <v>#VALUE!</v>
      </c>
      <c r="Y410" s="983" t="e">
        <f aca="false">Y385-Y408</f>
        <v>#VALUE!</v>
      </c>
      <c r="Z410" s="983" t="e">
        <f aca="false">Z385-Z408</f>
        <v>#VALUE!</v>
      </c>
      <c r="AA410" s="983" t="e">
        <f aca="false">AA385-AA408</f>
        <v>#VALUE!</v>
      </c>
      <c r="AB410" s="983" t="e">
        <f aca="false">AB385-AB408</f>
        <v>#VALUE!</v>
      </c>
      <c r="AC410" s="983" t="e">
        <f aca="false">AC385-AC408</f>
        <v>#VALUE!</v>
      </c>
      <c r="AD410" s="983" t="e">
        <f aca="false">AD385-AD408</f>
        <v>#VALUE!</v>
      </c>
      <c r="AE410" s="983" t="e">
        <f aca="false">AE385-AE408</f>
        <v>#VALUE!</v>
      </c>
      <c r="AF410" s="983" t="e">
        <f aca="false">AF385-AF408</f>
        <v>#VALUE!</v>
      </c>
      <c r="AG410" s="751"/>
    </row>
    <row r="411" customFormat="false" ht="12" hidden="false" customHeight="false" outlineLevel="0" collapsed="false">
      <c r="A411" s="955"/>
      <c r="B411" s="751"/>
      <c r="C411" s="950"/>
      <c r="D411" s="950"/>
      <c r="E411" s="950"/>
      <c r="F411" s="950"/>
      <c r="G411" s="950"/>
      <c r="H411" s="950"/>
      <c r="I411" s="950"/>
      <c r="J411" s="950"/>
      <c r="K411" s="950"/>
      <c r="L411" s="950"/>
      <c r="M411" s="950"/>
      <c r="N411" s="950"/>
      <c r="O411" s="950"/>
      <c r="P411" s="950"/>
      <c r="Q411" s="950"/>
      <c r="R411" s="950"/>
      <c r="S411" s="950"/>
      <c r="T411" s="950"/>
      <c r="U411" s="950"/>
      <c r="V411" s="950"/>
      <c r="W411" s="950"/>
      <c r="X411" s="950"/>
      <c r="Y411" s="950"/>
      <c r="Z411" s="950"/>
      <c r="AA411" s="950"/>
      <c r="AB411" s="950"/>
      <c r="AC411" s="950"/>
      <c r="AD411" s="950"/>
      <c r="AE411" s="950"/>
      <c r="AF411" s="950"/>
      <c r="AG411" s="751"/>
    </row>
    <row r="412" customFormat="false" ht="12.75" hidden="false" customHeight="false" outlineLevel="0" collapsed="false">
      <c r="A412" s="751"/>
      <c r="B412" s="751"/>
      <c r="C412" s="751"/>
      <c r="D412" s="751"/>
      <c r="E412" s="751"/>
      <c r="F412" s="751"/>
      <c r="G412" s="950"/>
      <c r="H412" s="775" t="n">
        <f aca="false">H$599</f>
        <v>37802</v>
      </c>
      <c r="I412" s="984" t="n">
        <f aca="false">I$599</f>
        <v>37986</v>
      </c>
      <c r="J412" s="985" t="n">
        <f aca="false">J$599</f>
        <v>38352</v>
      </c>
      <c r="K412" s="985" t="n">
        <f aca="false">K$599</f>
        <v>38717</v>
      </c>
      <c r="L412" s="985" t="n">
        <f aca="false">L$599</f>
        <v>39082</v>
      </c>
      <c r="M412" s="985" t="n">
        <f aca="false">M$599</f>
        <v>39447</v>
      </c>
      <c r="N412" s="985" t="n">
        <f aca="false">N$599</f>
        <v>39813</v>
      </c>
      <c r="O412" s="985" t="n">
        <f aca="false">O$599</f>
        <v>40178</v>
      </c>
      <c r="P412" s="985" t="n">
        <f aca="false">P$599</f>
        <v>40543</v>
      </c>
      <c r="Q412" s="985" t="n">
        <f aca="false">Q$599</f>
        <v>40908</v>
      </c>
      <c r="R412" s="985" t="n">
        <f aca="false">R$599</f>
        <v>41274</v>
      </c>
      <c r="S412" s="985" t="n">
        <f aca="false">S$599</f>
        <v>41639</v>
      </c>
      <c r="T412" s="985" t="n">
        <f aca="false">T$599</f>
        <v>42004</v>
      </c>
      <c r="U412" s="985" t="n">
        <f aca="false">U$599</f>
        <v>42369</v>
      </c>
      <c r="V412" s="985" t="n">
        <f aca="false">V$599</f>
        <v>42735</v>
      </c>
      <c r="W412" s="985" t="n">
        <f aca="false">W$599</f>
        <v>43100</v>
      </c>
      <c r="X412" s="985" t="n">
        <f aca="false">X$599</f>
        <v>43465</v>
      </c>
      <c r="Y412" s="985" t="n">
        <f aca="false">Y$599</f>
        <v>43830</v>
      </c>
      <c r="Z412" s="985" t="n">
        <f aca="false">Z$599</f>
        <v>44196</v>
      </c>
      <c r="AA412" s="985" t="n">
        <f aca="false">AA$599</f>
        <v>44561</v>
      </c>
      <c r="AB412" s="985" t="n">
        <f aca="false">AB$599</f>
        <v>44926</v>
      </c>
      <c r="AC412" s="985" t="n">
        <f aca="false">AC$599</f>
        <v>45291</v>
      </c>
      <c r="AD412" s="985" t="n">
        <f aca="false">AD$599</f>
        <v>45657</v>
      </c>
      <c r="AE412" s="985" t="n">
        <f aca="false">AE$599</f>
        <v>46022</v>
      </c>
      <c r="AF412" s="985" t="n">
        <f aca="false">AF$599</f>
        <v>46387</v>
      </c>
      <c r="AG412" s="751"/>
    </row>
    <row r="413" customFormat="false" ht="12" hidden="false" customHeight="false" outlineLevel="0" collapsed="false">
      <c r="A413" s="841" t="s">
        <v>820</v>
      </c>
      <c r="B413" s="751"/>
      <c r="C413" s="751"/>
      <c r="D413" s="947"/>
      <c r="E413" s="751"/>
      <c r="F413" s="751"/>
      <c r="G413" s="751"/>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751"/>
    </row>
    <row r="414" customFormat="false" ht="12.75" hidden="false" customHeight="false" outlineLevel="0" collapsed="false">
      <c r="A414" s="955" t="s">
        <v>821</v>
      </c>
      <c r="B414" s="751"/>
      <c r="C414" s="934" t="s">
        <v>822</v>
      </c>
      <c r="D414" s="751"/>
      <c r="E414" s="751"/>
      <c r="F414" s="0"/>
      <c r="G414" s="950"/>
      <c r="H414" s="960" t="n">
        <v>0</v>
      </c>
      <c r="I414" s="950" t="n">
        <f aca="false">H417</f>
        <v>0</v>
      </c>
      <c r="J414" s="950" t="e">
        <f aca="false">I417</f>
        <v>#VALUE!</v>
      </c>
      <c r="K414" s="950" t="e">
        <f aca="false">J417</f>
        <v>#VALUE!</v>
      </c>
      <c r="L414" s="950" t="e">
        <f aca="false">K417</f>
        <v>#VALUE!</v>
      </c>
      <c r="M414" s="950" t="e">
        <f aca="false">L417</f>
        <v>#VALUE!</v>
      </c>
      <c r="N414" s="950" t="e">
        <f aca="false">M417</f>
        <v>#VALUE!</v>
      </c>
      <c r="O414" s="950" t="e">
        <f aca="false">N417</f>
        <v>#VALUE!</v>
      </c>
      <c r="P414" s="950" t="e">
        <f aca="false">O417</f>
        <v>#VALUE!</v>
      </c>
      <c r="Q414" s="950" t="e">
        <f aca="false">P417</f>
        <v>#VALUE!</v>
      </c>
      <c r="R414" s="950" t="e">
        <f aca="false">Q417</f>
        <v>#VALUE!</v>
      </c>
      <c r="S414" s="950" t="e">
        <f aca="false">R417</f>
        <v>#VALUE!</v>
      </c>
      <c r="T414" s="950" t="e">
        <f aca="false">S417</f>
        <v>#VALUE!</v>
      </c>
      <c r="U414" s="950" t="e">
        <f aca="false">T417</f>
        <v>#VALUE!</v>
      </c>
      <c r="V414" s="950" t="e">
        <f aca="false">U417</f>
        <v>#VALUE!</v>
      </c>
      <c r="W414" s="950" t="e">
        <f aca="false">V417</f>
        <v>#VALUE!</v>
      </c>
      <c r="X414" s="950" t="e">
        <f aca="false">W417</f>
        <v>#VALUE!</v>
      </c>
      <c r="Y414" s="950" t="e">
        <f aca="false">X417</f>
        <v>#VALUE!</v>
      </c>
      <c r="Z414" s="950" t="e">
        <f aca="false">Y417</f>
        <v>#VALUE!</v>
      </c>
      <c r="AA414" s="950" t="e">
        <f aca="false">Z417</f>
        <v>#VALUE!</v>
      </c>
      <c r="AB414" s="950" t="e">
        <f aca="false">AA417</f>
        <v>#VALUE!</v>
      </c>
      <c r="AC414" s="950" t="e">
        <f aca="false">AB417</f>
        <v>#VALUE!</v>
      </c>
      <c r="AD414" s="950" t="e">
        <f aca="false">AC417</f>
        <v>#VALUE!</v>
      </c>
      <c r="AE414" s="950" t="e">
        <f aca="false">AD417</f>
        <v>#VALUE!</v>
      </c>
      <c r="AF414" s="950" t="e">
        <f aca="false">AE417</f>
        <v>#VALUE!</v>
      </c>
      <c r="AG414" s="950"/>
      <c r="AH414" s="346"/>
      <c r="AI414" s="346"/>
      <c r="AJ414" s="346"/>
      <c r="AK414" s="346"/>
      <c r="AL414" s="346"/>
      <c r="AM414" s="346"/>
      <c r="AN414" s="346"/>
      <c r="AO414" s="346"/>
      <c r="AP414" s="346"/>
      <c r="AQ414" s="346"/>
      <c r="AR414" s="346"/>
      <c r="AS414" s="346"/>
      <c r="AT414" s="346"/>
      <c r="AU414" s="346"/>
      <c r="AV414" s="346"/>
      <c r="AW414" s="346"/>
      <c r="AX414" s="346"/>
      <c r="AY414" s="346"/>
      <c r="AZ414" s="346"/>
      <c r="BA414" s="346"/>
      <c r="BB414" s="346"/>
      <c r="BC414" s="346"/>
      <c r="BD414" s="346"/>
      <c r="BE414" s="346"/>
      <c r="BF414" s="346"/>
    </row>
    <row r="415" customFormat="false" ht="12.75" hidden="false" customHeight="false" outlineLevel="0" collapsed="false">
      <c r="A415" s="751"/>
      <c r="B415" s="751"/>
      <c r="C415" s="934" t="s">
        <v>823</v>
      </c>
      <c r="D415" s="751"/>
      <c r="E415" s="751"/>
      <c r="F415" s="0"/>
      <c r="G415" s="950"/>
      <c r="H415" s="960" t="n">
        <v>0</v>
      </c>
      <c r="I415" s="950" t="e">
        <f aca="false">IF(I348+I354+(I361+I362-I539)&lt;=0,I348+I354+(I361+I362-I539),0)</f>
        <v>#VALUE!</v>
      </c>
      <c r="J415" s="950" t="e">
        <f aca="false">IF(J348+J354+(J361+J362-J539)&lt;=0,J348+J354+(J361+J362-J539),0)</f>
        <v>#VALUE!</v>
      </c>
      <c r="K415" s="950" t="e">
        <f aca="false">IF(K348+K354+(K361+K362-K539)&lt;=0,K348+K354+(K361+K362-K539),0)</f>
        <v>#VALUE!</v>
      </c>
      <c r="L415" s="950" t="e">
        <f aca="false">IF(L348+L354+(L361+L362-L539)&lt;=0,L348+L354+(L361+L362-L539),0)</f>
        <v>#VALUE!</v>
      </c>
      <c r="M415" s="950" t="e">
        <f aca="false">IF(M348+M354+(M361+M362-M539)&lt;=0,M348+M354+(M361+M362-M539),0)</f>
        <v>#VALUE!</v>
      </c>
      <c r="N415" s="950" t="e">
        <f aca="false">IF(N348+N354+(N361+N362-N539)&lt;=0,N348+N354+(N361+N362-N539),0)</f>
        <v>#VALUE!</v>
      </c>
      <c r="O415" s="950" t="e">
        <f aca="false">IF(O348+O354+(O361+O362-O539)&lt;=0,O348+O354+(O361+O362-O539),0)</f>
        <v>#VALUE!</v>
      </c>
      <c r="P415" s="950" t="e">
        <f aca="false">IF(P348+P354+(P361+P362-P539)&lt;=0,P348+P354+(P361+P362-P539),0)</f>
        <v>#VALUE!</v>
      </c>
      <c r="Q415" s="950" t="e">
        <f aca="false">IF(Q348+Q354+(Q361+Q362-Q539)&lt;=0,Q348+Q354+(Q361+Q362-Q539),0)</f>
        <v>#VALUE!</v>
      </c>
      <c r="R415" s="950" t="e">
        <f aca="false">IF(R348+R354+(R361+R362-R539)&lt;=0,R348+R354+(R361+R362-R539),0)</f>
        <v>#VALUE!</v>
      </c>
      <c r="S415" s="950" t="e">
        <f aca="false">IF(S348+S354+(S361+S362-S539)&lt;=0,S348+S354+(S361+S362-S539),0)</f>
        <v>#VALUE!</v>
      </c>
      <c r="T415" s="950" t="e">
        <f aca="false">IF(T348+T354+(T361+T362-T539)&lt;=0,T348+T354+(T361+T362-T539),0)</f>
        <v>#VALUE!</v>
      </c>
      <c r="U415" s="950" t="e">
        <f aca="false">IF(U348+U354+(U361+U362-U539)&lt;=0,U348+U354+(U361+U362-U539),0)</f>
        <v>#VALUE!</v>
      </c>
      <c r="V415" s="950" t="e">
        <f aca="false">IF(V348+V354+(V361+V362-V539)&lt;=0,V348+V354+(V361+V362-V539),0)</f>
        <v>#VALUE!</v>
      </c>
      <c r="W415" s="950" t="e">
        <f aca="false">IF(W348+W354+(W361+W362-W539)&lt;=0,W348+W354+(W361+W362-W539),0)</f>
        <v>#VALUE!</v>
      </c>
      <c r="X415" s="950" t="e">
        <f aca="false">IF(X348+X354+(X361+X362-X539)&lt;=0,X348+X354+(X361+X362-X539),0)</f>
        <v>#VALUE!</v>
      </c>
      <c r="Y415" s="950" t="e">
        <f aca="false">IF(Y348+Y354+(Y361+Y362-Y539)&lt;=0,Y348+Y354+(Y361+Y362-Y539),0)</f>
        <v>#VALUE!</v>
      </c>
      <c r="Z415" s="950" t="e">
        <f aca="false">IF(Z348+Z354+(Z361+Z362-Z539)&lt;=0,Z348+Z354+(Z361+Z362-Z539),0)</f>
        <v>#VALUE!</v>
      </c>
      <c r="AA415" s="950" t="e">
        <f aca="false">IF(AA348+AA354+(AA361+AA362-AA539)&lt;=0,AA348+AA354+(AA361+AA362-AA539),0)</f>
        <v>#VALUE!</v>
      </c>
      <c r="AB415" s="950" t="e">
        <f aca="false">IF(AB348+AB354+(AB361+AB362-AB539)&lt;=0,AB348+AB354+(AB361+AB362-AB539),0)</f>
        <v>#VALUE!</v>
      </c>
      <c r="AC415" s="950" t="e">
        <f aca="false">IF(AC348+AC354+(AC361+AC362-AC539)&lt;=0,AC348+AC354+(AC361+AC362-AC539),0)</f>
        <v>#VALUE!</v>
      </c>
      <c r="AD415" s="950" t="e">
        <f aca="false">IF(AD348+AD354+(AD361+AD362-AD539)&lt;=0,AD348+AD354+(AD361+AD362-AD539),0)</f>
        <v>#VALUE!</v>
      </c>
      <c r="AE415" s="950" t="e">
        <f aca="false">IF(AE348+AE354+(AE361+AE362-AE539)&lt;=0,AE348+AE354+(AE361+AE362-AE539),0)</f>
        <v>#VALUE!</v>
      </c>
      <c r="AF415" s="950" t="e">
        <f aca="false">IF(AF348+AF354+(AF361+AF362-AF539)&lt;=0,AF348+AF354+(AF361+AF362-AF539),0)</f>
        <v>#VALUE!</v>
      </c>
      <c r="AG415" s="950"/>
      <c r="AH415" s="346"/>
      <c r="AI415" s="346"/>
      <c r="AJ415" s="346"/>
      <c r="AK415" s="346"/>
      <c r="AL415" s="346"/>
      <c r="AM415" s="346"/>
      <c r="AN415" s="346"/>
      <c r="AO415" s="346"/>
      <c r="AP415" s="346"/>
      <c r="AQ415" s="346"/>
      <c r="AR415" s="346"/>
      <c r="AS415" s="346"/>
      <c r="AT415" s="346"/>
      <c r="AU415" s="346"/>
      <c r="AV415" s="346"/>
      <c r="AW415" s="346"/>
      <c r="AX415" s="346"/>
      <c r="AY415" s="346"/>
      <c r="AZ415" s="346"/>
      <c r="BA415" s="346"/>
      <c r="BB415" s="346"/>
      <c r="BC415" s="346"/>
      <c r="BD415" s="346"/>
      <c r="BE415" s="346"/>
      <c r="BF415" s="346"/>
    </row>
    <row r="416" customFormat="false" ht="12.75" hidden="false" customHeight="false" outlineLevel="0" collapsed="false">
      <c r="A416" s="751"/>
      <c r="B416" s="751"/>
      <c r="C416" s="934" t="s">
        <v>824</v>
      </c>
      <c r="D416" s="751"/>
      <c r="E416" s="751"/>
      <c r="F416" s="0"/>
      <c r="G416" s="950"/>
      <c r="H416" s="960" t="n">
        <v>0</v>
      </c>
      <c r="I416" s="950" t="e">
        <f aca="false">IF(I348+I354&gt;0,MIN(I348+I354,I414),0)</f>
        <v>#VALUE!</v>
      </c>
      <c r="J416" s="950" t="e">
        <f aca="false">IF(J348+J354&gt;0,MIN(J348+J354,J414),0)</f>
        <v>#VALUE!</v>
      </c>
      <c r="K416" s="950" t="e">
        <f aca="false">IF(K348+K354&gt;0,MIN(K348+K354,K414),0)</f>
        <v>#VALUE!</v>
      </c>
      <c r="L416" s="950" t="e">
        <f aca="false">IF(L348+L354&gt;0,MIN(L348+L354,L414),0)</f>
        <v>#VALUE!</v>
      </c>
      <c r="M416" s="950" t="e">
        <f aca="false">IF(M348+M354&gt;0,MIN(M348+M354,M414),0)</f>
        <v>#VALUE!</v>
      </c>
      <c r="N416" s="950" t="e">
        <f aca="false">IF(N348+N354&gt;0,MIN(N348+N354,N414),0)</f>
        <v>#VALUE!</v>
      </c>
      <c r="O416" s="950" t="e">
        <f aca="false">IF(O348+O354&gt;0,MIN(O348+O354,O414),0)</f>
        <v>#VALUE!</v>
      </c>
      <c r="P416" s="950" t="e">
        <f aca="false">IF(P348+P354&gt;0,MIN(P348+P354,P414),0)</f>
        <v>#VALUE!</v>
      </c>
      <c r="Q416" s="950" t="e">
        <f aca="false">IF(Q348+Q354&gt;0,MIN(Q348+Q354,Q414),0)</f>
        <v>#VALUE!</v>
      </c>
      <c r="R416" s="950" t="e">
        <f aca="false">IF(R348+R354&gt;0,MIN(R348+R354,R414),0)</f>
        <v>#VALUE!</v>
      </c>
      <c r="S416" s="950" t="e">
        <f aca="false">IF(S348+S354&gt;0,MIN(S348+S354,S414),0)</f>
        <v>#VALUE!</v>
      </c>
      <c r="T416" s="950" t="e">
        <f aca="false">IF(T348+T354&gt;0,MIN(T348+T354,T414),0)</f>
        <v>#VALUE!</v>
      </c>
      <c r="U416" s="950" t="e">
        <f aca="false">IF(U348+U354&gt;0,MIN(U348+U354,U414),0)</f>
        <v>#VALUE!</v>
      </c>
      <c r="V416" s="950" t="e">
        <f aca="false">IF(V348+V354&gt;0,MIN(V348+V354,V414),0)</f>
        <v>#VALUE!</v>
      </c>
      <c r="W416" s="950" t="e">
        <f aca="false">IF(W348+W354&gt;0,MIN(W348+W354,W414),0)</f>
        <v>#VALUE!</v>
      </c>
      <c r="X416" s="950" t="e">
        <f aca="false">IF(X348+X354&gt;0,MIN(X348+X354,X414),0)</f>
        <v>#VALUE!</v>
      </c>
      <c r="Y416" s="950" t="e">
        <f aca="false">IF(Y348+Y354&gt;0,MIN(Y348+Y354,Y414),0)</f>
        <v>#VALUE!</v>
      </c>
      <c r="Z416" s="950" t="e">
        <f aca="false">IF(Z348+Z354&gt;0,MIN(Z348+Z354,Z414),0)</f>
        <v>#VALUE!</v>
      </c>
      <c r="AA416" s="950" t="e">
        <f aca="false">IF(AA348+AA354&gt;0,MIN(AA348+AA354,AA414),0)</f>
        <v>#VALUE!</v>
      </c>
      <c r="AB416" s="950" t="e">
        <f aca="false">IF(AB348+AB354&gt;0,MIN(AB348+AB354,AB414),0)</f>
        <v>#VALUE!</v>
      </c>
      <c r="AC416" s="950" t="e">
        <f aca="false">IF(AC348+AC354&gt;0,MIN(AC348+AC354,AC414),0)</f>
        <v>#VALUE!</v>
      </c>
      <c r="AD416" s="950" t="e">
        <f aca="false">IF(AD348+AD354&gt;0,MIN(AD348+AD354,AD414),0)</f>
        <v>#VALUE!</v>
      </c>
      <c r="AE416" s="950" t="e">
        <f aca="false">IF(AE348+AE354&gt;0,MIN(AE348+AE354,AE414),0)</f>
        <v>#VALUE!</v>
      </c>
      <c r="AF416" s="950" t="e">
        <f aca="false">IF(AF348+AF354&gt;0,MIN(AF348+AF354,AF414),0)</f>
        <v>#VALUE!</v>
      </c>
      <c r="AG416" s="950"/>
      <c r="AH416" s="346"/>
      <c r="AI416" s="346"/>
      <c r="AJ416" s="346"/>
      <c r="AK416" s="346"/>
      <c r="AL416" s="346"/>
      <c r="AM416" s="346"/>
      <c r="AN416" s="346"/>
      <c r="AO416" s="346"/>
      <c r="AP416" s="346"/>
      <c r="AQ416" s="346"/>
      <c r="AR416" s="346"/>
      <c r="AS416" s="346"/>
      <c r="AT416" s="346"/>
      <c r="AU416" s="346"/>
      <c r="AV416" s="346"/>
      <c r="AW416" s="346"/>
      <c r="AX416" s="346"/>
      <c r="AY416" s="346"/>
      <c r="AZ416" s="346"/>
      <c r="BA416" s="346"/>
      <c r="BB416" s="346"/>
      <c r="BC416" s="346"/>
      <c r="BD416" s="346"/>
      <c r="BE416" s="346"/>
      <c r="BF416" s="346"/>
    </row>
    <row r="417" customFormat="false" ht="12.75" hidden="false" customHeight="false" outlineLevel="0" collapsed="false">
      <c r="A417" s="751"/>
      <c r="B417" s="751"/>
      <c r="C417" s="934" t="s">
        <v>825</v>
      </c>
      <c r="D417" s="751"/>
      <c r="E417" s="751"/>
      <c r="F417" s="0"/>
      <c r="G417" s="950"/>
      <c r="H417" s="959" t="n">
        <f aca="false">H414-H415-H416</f>
        <v>0</v>
      </c>
      <c r="I417" s="958" t="e">
        <f aca="false">I414-I415-I416</f>
        <v>#VALUE!</v>
      </c>
      <c r="J417" s="958" t="e">
        <f aca="false">J414-J415-J416</f>
        <v>#VALUE!</v>
      </c>
      <c r="K417" s="958" t="e">
        <f aca="false">K414-K415-K416</f>
        <v>#VALUE!</v>
      </c>
      <c r="L417" s="958" t="e">
        <f aca="false">L414-L415-L416</f>
        <v>#VALUE!</v>
      </c>
      <c r="M417" s="958" t="e">
        <f aca="false">M414-M415-M416</f>
        <v>#VALUE!</v>
      </c>
      <c r="N417" s="958" t="e">
        <f aca="false">N414-N415-N416</f>
        <v>#VALUE!</v>
      </c>
      <c r="O417" s="958" t="e">
        <f aca="false">O414-O415-O416</f>
        <v>#VALUE!</v>
      </c>
      <c r="P417" s="958" t="e">
        <f aca="false">P414-P415-P416</f>
        <v>#VALUE!</v>
      </c>
      <c r="Q417" s="958" t="e">
        <f aca="false">Q414-Q415-Q416</f>
        <v>#VALUE!</v>
      </c>
      <c r="R417" s="958" t="e">
        <f aca="false">R414-R415-R416</f>
        <v>#VALUE!</v>
      </c>
      <c r="S417" s="958" t="e">
        <f aca="false">S414-S415-S416</f>
        <v>#VALUE!</v>
      </c>
      <c r="T417" s="958" t="e">
        <f aca="false">T414-T415-T416</f>
        <v>#VALUE!</v>
      </c>
      <c r="U417" s="958" t="e">
        <f aca="false">U414-U415-U416</f>
        <v>#VALUE!</v>
      </c>
      <c r="V417" s="958" t="e">
        <f aca="false">V414-V415-V416</f>
        <v>#VALUE!</v>
      </c>
      <c r="W417" s="958" t="e">
        <f aca="false">W414-W415-W416</f>
        <v>#VALUE!</v>
      </c>
      <c r="X417" s="958" t="e">
        <f aca="false">X414-X415-X416</f>
        <v>#VALUE!</v>
      </c>
      <c r="Y417" s="958" t="e">
        <f aca="false">Y414-Y415-Y416</f>
        <v>#VALUE!</v>
      </c>
      <c r="Z417" s="958" t="e">
        <f aca="false">Z414-Z415-Z416</f>
        <v>#VALUE!</v>
      </c>
      <c r="AA417" s="958" t="e">
        <f aca="false">AA414-AA415-AA416</f>
        <v>#VALUE!</v>
      </c>
      <c r="AB417" s="958" t="e">
        <f aca="false">AB414-AB415-AB416</f>
        <v>#VALUE!</v>
      </c>
      <c r="AC417" s="958" t="e">
        <f aca="false">AC414-AC415-AC416</f>
        <v>#VALUE!</v>
      </c>
      <c r="AD417" s="958" t="e">
        <f aca="false">AD414-AD415-AD416</f>
        <v>#VALUE!</v>
      </c>
      <c r="AE417" s="958" t="e">
        <f aca="false">AE414-AE415-AE416</f>
        <v>#VALUE!</v>
      </c>
      <c r="AF417" s="958" t="e">
        <f aca="false">AF414-AF415-AF416</f>
        <v>#VALUE!</v>
      </c>
      <c r="AG417" s="958"/>
      <c r="AH417" s="346"/>
      <c r="AI417" s="346"/>
      <c r="AJ417" s="346"/>
      <c r="AK417" s="346"/>
      <c r="AL417" s="346"/>
      <c r="AM417" s="346"/>
      <c r="AN417" s="346"/>
      <c r="AO417" s="346"/>
      <c r="AP417" s="346"/>
      <c r="AQ417" s="346"/>
      <c r="AR417" s="346"/>
      <c r="AS417" s="346"/>
      <c r="AT417" s="346"/>
      <c r="AU417" s="346"/>
      <c r="AV417" s="346"/>
      <c r="AW417" s="346"/>
      <c r="AX417" s="346"/>
      <c r="AY417" s="346"/>
      <c r="AZ417" s="346"/>
      <c r="BA417" s="346"/>
      <c r="BB417" s="346"/>
      <c r="BC417" s="346"/>
      <c r="BD417" s="346"/>
      <c r="BE417" s="346"/>
      <c r="BF417" s="346"/>
    </row>
    <row r="418" customFormat="false" ht="12.75" hidden="false" customHeight="false" outlineLevel="0" collapsed="false">
      <c r="A418" s="751"/>
      <c r="B418" s="751"/>
      <c r="C418" s="934" t="s">
        <v>826</v>
      </c>
      <c r="D418" s="751"/>
      <c r="E418" s="751"/>
      <c r="F418" s="0"/>
      <c r="G418" s="751"/>
      <c r="H418" s="963"/>
      <c r="I418" s="964" t="n">
        <f aca="false">I587</f>
        <v>0</v>
      </c>
      <c r="J418" s="964" t="n">
        <f aca="false">J587</f>
        <v>0</v>
      </c>
      <c r="K418" s="964" t="n">
        <f aca="false">K587</f>
        <v>0</v>
      </c>
      <c r="L418" s="964" t="n">
        <f aca="false">L587</f>
        <v>0</v>
      </c>
      <c r="M418" s="964" t="n">
        <f aca="false">M587</f>
        <v>0</v>
      </c>
      <c r="N418" s="964" t="n">
        <f aca="false">N587</f>
        <v>0</v>
      </c>
      <c r="O418" s="964" t="n">
        <f aca="false">O587</f>
        <v>0</v>
      </c>
      <c r="P418" s="964" t="n">
        <f aca="false">P587</f>
        <v>0</v>
      </c>
      <c r="Q418" s="964" t="n">
        <f aca="false">Q587</f>
        <v>0</v>
      </c>
      <c r="R418" s="964" t="n">
        <f aca="false">R587</f>
        <v>0</v>
      </c>
      <c r="S418" s="964" t="n">
        <f aca="false">S587</f>
        <v>0</v>
      </c>
      <c r="T418" s="964" t="n">
        <f aca="false">T587</f>
        <v>0</v>
      </c>
      <c r="U418" s="964" t="n">
        <f aca="false">U587</f>
        <v>0</v>
      </c>
      <c r="V418" s="964" t="n">
        <f aca="false">V587</f>
        <v>0</v>
      </c>
      <c r="W418" s="964" t="n">
        <f aca="false">W587</f>
        <v>0</v>
      </c>
      <c r="X418" s="964" t="n">
        <f aca="false">X587</f>
        <v>0</v>
      </c>
      <c r="Y418" s="964" t="n">
        <f aca="false">Y587</f>
        <v>0</v>
      </c>
      <c r="Z418" s="964" t="n">
        <f aca="false">Z587</f>
        <v>0</v>
      </c>
      <c r="AA418" s="964" t="n">
        <f aca="false">AA587</f>
        <v>0</v>
      </c>
      <c r="AB418" s="964" t="n">
        <f aca="false">AB587</f>
        <v>0</v>
      </c>
      <c r="AC418" s="964" t="n">
        <f aca="false">AC587</f>
        <v>0</v>
      </c>
      <c r="AD418" s="964" t="n">
        <f aca="false">AD587</f>
        <v>0</v>
      </c>
      <c r="AE418" s="964" t="n">
        <f aca="false">AE587</f>
        <v>0</v>
      </c>
      <c r="AF418" s="964" t="n">
        <f aca="false">AF587</f>
        <v>0</v>
      </c>
      <c r="AG418" s="346"/>
    </row>
    <row r="419" customFormat="false" ht="12.75" hidden="false" customHeight="false" outlineLevel="0" collapsed="false">
      <c r="A419" s="986"/>
      <c r="B419" s="986"/>
      <c r="C419" s="986"/>
      <c r="D419" s="986"/>
      <c r="E419" s="751"/>
      <c r="F419" s="0"/>
      <c r="G419" s="987"/>
      <c r="H419" s="963"/>
      <c r="I419" s="751"/>
      <c r="J419" s="751"/>
      <c r="K419" s="751"/>
      <c r="L419" s="751"/>
      <c r="M419" s="751"/>
      <c r="N419" s="751"/>
      <c r="O419" s="751"/>
      <c r="P419" s="751"/>
      <c r="Q419" s="751"/>
      <c r="R419" s="751"/>
      <c r="S419" s="751"/>
      <c r="T419" s="751"/>
      <c r="U419" s="751"/>
      <c r="V419" s="751"/>
      <c r="W419" s="751"/>
      <c r="X419" s="751"/>
      <c r="Y419" s="751"/>
      <c r="Z419" s="751"/>
      <c r="AA419" s="751"/>
      <c r="AB419" s="751"/>
      <c r="AC419" s="751"/>
      <c r="AD419" s="751"/>
      <c r="AE419" s="751"/>
      <c r="AF419" s="751"/>
      <c r="AG419" s="751"/>
    </row>
    <row r="420" customFormat="false" ht="11.25" hidden="false" customHeight="false" outlineLevel="0" collapsed="false">
      <c r="A420" s="751"/>
      <c r="B420" s="751"/>
      <c r="C420" s="934"/>
      <c r="D420" s="751"/>
      <c r="E420" s="751"/>
      <c r="F420" s="751"/>
      <c r="G420" s="751"/>
      <c r="H420" s="751"/>
      <c r="I420" s="964"/>
      <c r="J420" s="964"/>
      <c r="K420" s="964"/>
      <c r="L420" s="964"/>
      <c r="M420" s="964"/>
      <c r="N420" s="964"/>
      <c r="O420" s="964"/>
      <c r="P420" s="964"/>
      <c r="Q420" s="964"/>
      <c r="R420" s="964"/>
      <c r="S420" s="964"/>
      <c r="T420" s="964"/>
      <c r="U420" s="964"/>
      <c r="V420" s="964"/>
      <c r="W420" s="964"/>
      <c r="X420" s="964"/>
      <c r="Y420" s="964"/>
      <c r="Z420" s="964"/>
      <c r="AA420" s="964"/>
      <c r="AB420" s="964"/>
      <c r="AC420" s="964"/>
      <c r="AD420" s="964"/>
      <c r="AE420" s="964"/>
      <c r="AF420" s="964"/>
      <c r="AG420" s="751"/>
    </row>
    <row r="421" customFormat="false" ht="11.25" hidden="false" customHeight="false" outlineLevel="0" collapsed="false">
      <c r="A421" s="978" t="str">
        <f aca="false">B451&amp;":"</f>
        <v>Purchase Term Loan:</v>
      </c>
      <c r="B421" s="751"/>
      <c r="C421" s="934" t="s">
        <v>822</v>
      </c>
      <c r="D421" s="751"/>
      <c r="E421" s="751"/>
      <c r="F421" s="751"/>
      <c r="G421" s="950"/>
      <c r="H421" s="960" t="n">
        <v>0</v>
      </c>
      <c r="I421" s="950" t="e">
        <f aca="false">H425</f>
        <v>#VALUE!</v>
      </c>
      <c r="J421" s="950" t="e">
        <f aca="false">I425</f>
        <v>#VALUE!</v>
      </c>
      <c r="K421" s="950" t="e">
        <f aca="false">J425</f>
        <v>#VALUE!</v>
      </c>
      <c r="L421" s="950" t="e">
        <f aca="false">K425</f>
        <v>#VALUE!</v>
      </c>
      <c r="M421" s="950" t="e">
        <f aca="false">L425</f>
        <v>#VALUE!</v>
      </c>
      <c r="N421" s="950" t="e">
        <f aca="false">M425</f>
        <v>#VALUE!</v>
      </c>
      <c r="O421" s="950" t="e">
        <f aca="false">N425</f>
        <v>#VALUE!</v>
      </c>
      <c r="P421" s="950" t="e">
        <f aca="false">O425</f>
        <v>#VALUE!</v>
      </c>
      <c r="Q421" s="950" t="e">
        <f aca="false">P425</f>
        <v>#VALUE!</v>
      </c>
      <c r="R421" s="950" t="e">
        <f aca="false">Q425</f>
        <v>#VALUE!</v>
      </c>
      <c r="S421" s="950" t="e">
        <f aca="false">R425</f>
        <v>#VALUE!</v>
      </c>
      <c r="T421" s="950" t="e">
        <f aca="false">S425</f>
        <v>#VALUE!</v>
      </c>
      <c r="U421" s="950" t="e">
        <f aca="false">T425</f>
        <v>#VALUE!</v>
      </c>
      <c r="V421" s="950" t="e">
        <f aca="false">U425</f>
        <v>#VALUE!</v>
      </c>
      <c r="W421" s="950" t="e">
        <f aca="false">V425</f>
        <v>#VALUE!</v>
      </c>
      <c r="X421" s="950" t="e">
        <f aca="false">W425</f>
        <v>#VALUE!</v>
      </c>
      <c r="Y421" s="950" t="e">
        <f aca="false">X425</f>
        <v>#VALUE!</v>
      </c>
      <c r="Z421" s="950" t="e">
        <f aca="false">Y425</f>
        <v>#VALUE!</v>
      </c>
      <c r="AA421" s="950" t="e">
        <f aca="false">Z425</f>
        <v>#VALUE!</v>
      </c>
      <c r="AB421" s="950" t="e">
        <f aca="false">AA425</f>
        <v>#VALUE!</v>
      </c>
      <c r="AC421" s="950" t="e">
        <f aca="false">AB425</f>
        <v>#VALUE!</v>
      </c>
      <c r="AD421" s="950" t="e">
        <f aca="false">AC425</f>
        <v>#VALUE!</v>
      </c>
      <c r="AE421" s="950" t="e">
        <f aca="false">AD425</f>
        <v>#VALUE!</v>
      </c>
      <c r="AF421" s="950" t="e">
        <f aca="false">AE425</f>
        <v>#VALUE!</v>
      </c>
      <c r="AG421" s="751"/>
    </row>
    <row r="422" customFormat="false" ht="11.25" hidden="false" customHeight="false" outlineLevel="0" collapsed="false">
      <c r="A422" s="751"/>
      <c r="B422" s="751"/>
      <c r="C422" s="934" t="s">
        <v>823</v>
      </c>
      <c r="D422" s="974"/>
      <c r="E422" s="974"/>
      <c r="F422" s="974"/>
      <c r="G422" s="950"/>
      <c r="H422" s="960" t="e">
        <f aca="false">-H451+H569</f>
        <v>#VALUE!</v>
      </c>
      <c r="I422" s="950" t="n">
        <f aca="false">I569+I565</f>
        <v>0</v>
      </c>
      <c r="J422" s="950" t="n">
        <f aca="false">J569+J565</f>
        <v>0</v>
      </c>
      <c r="K422" s="950" t="n">
        <f aca="false">K569+K565</f>
        <v>0</v>
      </c>
      <c r="L422" s="950" t="n">
        <f aca="false">L569+L565</f>
        <v>0</v>
      </c>
      <c r="M422" s="950" t="n">
        <f aca="false">M569+M565</f>
        <v>0</v>
      </c>
      <c r="N422" s="950" t="n">
        <f aca="false">N569+N565</f>
        <v>0</v>
      </c>
      <c r="O422" s="950" t="n">
        <f aca="false">O569+O565</f>
        <v>0</v>
      </c>
      <c r="P422" s="950" t="n">
        <f aca="false">P569+P565</f>
        <v>0</v>
      </c>
      <c r="Q422" s="950" t="n">
        <f aca="false">Q569+Q565</f>
        <v>0</v>
      </c>
      <c r="R422" s="950" t="n">
        <f aca="false">R569+R565</f>
        <v>0</v>
      </c>
      <c r="S422" s="950" t="n">
        <f aca="false">S569+S565</f>
        <v>0</v>
      </c>
      <c r="T422" s="950" t="n">
        <f aca="false">T569+T565</f>
        <v>0</v>
      </c>
      <c r="U422" s="950" t="n">
        <f aca="false">U569+U565</f>
        <v>0</v>
      </c>
      <c r="V422" s="950" t="n">
        <f aca="false">V569+V565</f>
        <v>0</v>
      </c>
      <c r="W422" s="950" t="n">
        <f aca="false">W569+W565</f>
        <v>0</v>
      </c>
      <c r="X422" s="950" t="n">
        <f aca="false">X569+X565</f>
        <v>0</v>
      </c>
      <c r="Y422" s="950" t="n">
        <f aca="false">Y569+Y565</f>
        <v>0</v>
      </c>
      <c r="Z422" s="950" t="n">
        <f aca="false">Z569+Z565</f>
        <v>0</v>
      </c>
      <c r="AA422" s="950" t="n">
        <f aca="false">AA569+AA565</f>
        <v>0</v>
      </c>
      <c r="AB422" s="950" t="n">
        <f aca="false">AB569+AB565</f>
        <v>0</v>
      </c>
      <c r="AC422" s="950" t="n">
        <f aca="false">AC569+AC565</f>
        <v>0</v>
      </c>
      <c r="AD422" s="950" t="n">
        <f aca="false">AD569+AD565</f>
        <v>0</v>
      </c>
      <c r="AE422" s="950" t="n">
        <f aca="false">AE569+AE565</f>
        <v>0</v>
      </c>
      <c r="AF422" s="950" t="n">
        <f aca="false">AF569+AF565</f>
        <v>0</v>
      </c>
      <c r="AG422" s="751"/>
    </row>
    <row r="423" customFormat="false" ht="11.25" hidden="false" customHeight="false" outlineLevel="0" collapsed="false">
      <c r="A423" s="751"/>
      <c r="B423" s="751"/>
      <c r="C423" s="934" t="s">
        <v>824</v>
      </c>
      <c r="D423" s="751"/>
      <c r="E423" s="751"/>
      <c r="F423" s="751"/>
      <c r="G423" s="950"/>
      <c r="H423" s="960" t="n">
        <f aca="false">H564</f>
        <v>0</v>
      </c>
      <c r="I423" s="950" t="n">
        <f aca="false">I564</f>
        <v>-0</v>
      </c>
      <c r="J423" s="950" t="n">
        <f aca="false">J564</f>
        <v>-0</v>
      </c>
      <c r="K423" s="950" t="n">
        <f aca="false">K564</f>
        <v>-0</v>
      </c>
      <c r="L423" s="950" t="n">
        <f aca="false">L564</f>
        <v>-0</v>
      </c>
      <c r="M423" s="950" t="n">
        <f aca="false">M564</f>
        <v>-0</v>
      </c>
      <c r="N423" s="950" t="n">
        <f aca="false">N564</f>
        <v>-0</v>
      </c>
      <c r="O423" s="950" t="n">
        <f aca="false">O564</f>
        <v>-0</v>
      </c>
      <c r="P423" s="950" t="n">
        <f aca="false">P564</f>
        <v>-0</v>
      </c>
      <c r="Q423" s="950" t="n">
        <f aca="false">Q564</f>
        <v>-0</v>
      </c>
      <c r="R423" s="950" t="n">
        <f aca="false">R564</f>
        <v>-0</v>
      </c>
      <c r="S423" s="950" t="n">
        <f aca="false">S564</f>
        <v>-0</v>
      </c>
      <c r="T423" s="950" t="n">
        <f aca="false">T564</f>
        <v>-0</v>
      </c>
      <c r="U423" s="950" t="n">
        <f aca="false">U564</f>
        <v>-0</v>
      </c>
      <c r="V423" s="950" t="n">
        <f aca="false">V564</f>
        <v>-0</v>
      </c>
      <c r="W423" s="950" t="n">
        <f aca="false">W564</f>
        <v>-0</v>
      </c>
      <c r="X423" s="950" t="n">
        <f aca="false">X564</f>
        <v>-0</v>
      </c>
      <c r="Y423" s="950" t="n">
        <f aca="false">Y564</f>
        <v>-0</v>
      </c>
      <c r="Z423" s="950" t="n">
        <f aca="false">Z564</f>
        <v>-0</v>
      </c>
      <c r="AA423" s="950" t="n">
        <f aca="false">AA564</f>
        <v>-0</v>
      </c>
      <c r="AB423" s="950" t="n">
        <f aca="false">AB564</f>
        <v>-0</v>
      </c>
      <c r="AC423" s="950" t="n">
        <f aca="false">AC564</f>
        <v>-0</v>
      </c>
      <c r="AD423" s="950" t="n">
        <f aca="false">AD564</f>
        <v>-0</v>
      </c>
      <c r="AE423" s="950" t="n">
        <f aca="false">AE564</f>
        <v>-0</v>
      </c>
      <c r="AF423" s="950" t="n">
        <f aca="false">AF564</f>
        <v>-0</v>
      </c>
      <c r="AG423" s="751"/>
    </row>
    <row r="424" customFormat="false" ht="11.25" hidden="false" customHeight="false" outlineLevel="0" collapsed="false">
      <c r="A424" s="751"/>
      <c r="B424" s="751"/>
      <c r="C424" s="934" t="s">
        <v>827</v>
      </c>
      <c r="D424" s="751"/>
      <c r="E424" s="751"/>
      <c r="F424" s="751"/>
      <c r="G424" s="950"/>
      <c r="H424" s="960" t="n">
        <f aca="false">-H364</f>
        <v>-0</v>
      </c>
      <c r="I424" s="956" t="e">
        <f aca="false">-I364</f>
        <v>#VALUE!</v>
      </c>
      <c r="J424" s="956" t="e">
        <f aca="false">-J364</f>
        <v>#VALUE!</v>
      </c>
      <c r="K424" s="956" t="e">
        <f aca="false">-K364</f>
        <v>#VALUE!</v>
      </c>
      <c r="L424" s="956" t="e">
        <f aca="false">-L364</f>
        <v>#VALUE!</v>
      </c>
      <c r="M424" s="956" t="e">
        <f aca="false">-M364</f>
        <v>#VALUE!</v>
      </c>
      <c r="N424" s="956" t="e">
        <f aca="false">-N364</f>
        <v>#VALUE!</v>
      </c>
      <c r="O424" s="956" t="e">
        <f aca="false">-O364</f>
        <v>#VALUE!</v>
      </c>
      <c r="P424" s="956" t="e">
        <f aca="false">-P364</f>
        <v>#VALUE!</v>
      </c>
      <c r="Q424" s="956" t="e">
        <f aca="false">-Q364</f>
        <v>#VALUE!</v>
      </c>
      <c r="R424" s="956" t="e">
        <f aca="false">-R364</f>
        <v>#VALUE!</v>
      </c>
      <c r="S424" s="956" t="e">
        <f aca="false">-S364</f>
        <v>#VALUE!</v>
      </c>
      <c r="T424" s="956" t="e">
        <f aca="false">-T364</f>
        <v>#VALUE!</v>
      </c>
      <c r="U424" s="956" t="e">
        <f aca="false">-U364</f>
        <v>#VALUE!</v>
      </c>
      <c r="V424" s="956" t="e">
        <f aca="false">-V364</f>
        <v>#VALUE!</v>
      </c>
      <c r="W424" s="956" t="e">
        <f aca="false">-W364</f>
        <v>#VALUE!</v>
      </c>
      <c r="X424" s="956" t="e">
        <f aca="false">-X364</f>
        <v>#VALUE!</v>
      </c>
      <c r="Y424" s="956" t="e">
        <f aca="false">-Y364</f>
        <v>#VALUE!</v>
      </c>
      <c r="Z424" s="956" t="e">
        <f aca="false">-Z364</f>
        <v>#VALUE!</v>
      </c>
      <c r="AA424" s="956" t="e">
        <f aca="false">-AA364</f>
        <v>#VALUE!</v>
      </c>
      <c r="AB424" s="956" t="e">
        <f aca="false">-AB364</f>
        <v>#VALUE!</v>
      </c>
      <c r="AC424" s="956" t="e">
        <f aca="false">-AC364</f>
        <v>#VALUE!</v>
      </c>
      <c r="AD424" s="956" t="e">
        <f aca="false">-AD364</f>
        <v>#VALUE!</v>
      </c>
      <c r="AE424" s="956" t="e">
        <f aca="false">-AE364</f>
        <v>#VALUE!</v>
      </c>
      <c r="AF424" s="956" t="e">
        <f aca="false">-AF364</f>
        <v>#VALUE!</v>
      </c>
      <c r="AG424" s="751"/>
    </row>
    <row r="425" customFormat="false" ht="11.25" hidden="false" customHeight="false" outlineLevel="0" collapsed="false">
      <c r="A425" s="751"/>
      <c r="B425" s="751"/>
      <c r="C425" s="934" t="s">
        <v>825</v>
      </c>
      <c r="D425" s="751"/>
      <c r="E425" s="751"/>
      <c r="F425" s="751"/>
      <c r="G425" s="950"/>
      <c r="H425" s="959" t="e">
        <f aca="false">H421-H423-H422-H424</f>
        <v>#VALUE!</v>
      </c>
      <c r="I425" s="958" t="e">
        <f aca="false">I421-I423-I422-I424</f>
        <v>#VALUE!</v>
      </c>
      <c r="J425" s="958" t="e">
        <f aca="false">J421-J423-J422-J424</f>
        <v>#VALUE!</v>
      </c>
      <c r="K425" s="958" t="e">
        <f aca="false">K421-K423-K422-K424</f>
        <v>#VALUE!</v>
      </c>
      <c r="L425" s="958" t="e">
        <f aca="false">L421-L423-L422-L424</f>
        <v>#VALUE!</v>
      </c>
      <c r="M425" s="958" t="e">
        <f aca="false">M421-M423-M422-M424</f>
        <v>#VALUE!</v>
      </c>
      <c r="N425" s="958" t="e">
        <f aca="false">N421-N423-N422-N424</f>
        <v>#VALUE!</v>
      </c>
      <c r="O425" s="958" t="e">
        <f aca="false">O421-O423-O422-O424</f>
        <v>#VALUE!</v>
      </c>
      <c r="P425" s="958" t="e">
        <f aca="false">P421-P423-P422-P424</f>
        <v>#VALUE!</v>
      </c>
      <c r="Q425" s="958" t="e">
        <f aca="false">Q421-Q423-Q422-Q424</f>
        <v>#VALUE!</v>
      </c>
      <c r="R425" s="958" t="e">
        <f aca="false">R421-R423-R422-R424</f>
        <v>#VALUE!</v>
      </c>
      <c r="S425" s="958" t="e">
        <f aca="false">S421-S423-S422-S424</f>
        <v>#VALUE!</v>
      </c>
      <c r="T425" s="958" t="e">
        <f aca="false">T421-T423-T422-T424</f>
        <v>#VALUE!</v>
      </c>
      <c r="U425" s="958" t="e">
        <f aca="false">U421-U423-U422-U424</f>
        <v>#VALUE!</v>
      </c>
      <c r="V425" s="958" t="e">
        <f aca="false">V421-V423-V422-V424</f>
        <v>#VALUE!</v>
      </c>
      <c r="W425" s="958" t="e">
        <f aca="false">W421-W423-W422-W424</f>
        <v>#VALUE!</v>
      </c>
      <c r="X425" s="958" t="e">
        <f aca="false">X421-X423-X422-X424</f>
        <v>#VALUE!</v>
      </c>
      <c r="Y425" s="958" t="e">
        <f aca="false">Y421-Y423-Y422-Y424</f>
        <v>#VALUE!</v>
      </c>
      <c r="Z425" s="958" t="e">
        <f aca="false">Z421-Z423-Z422-Z424</f>
        <v>#VALUE!</v>
      </c>
      <c r="AA425" s="958" t="e">
        <f aca="false">AA421-AA423-AA422-AA424</f>
        <v>#VALUE!</v>
      </c>
      <c r="AB425" s="958" t="e">
        <f aca="false">AB421-AB423-AB422-AB424</f>
        <v>#VALUE!</v>
      </c>
      <c r="AC425" s="958" t="e">
        <f aca="false">AC421-AC423-AC422-AC424</f>
        <v>#VALUE!</v>
      </c>
      <c r="AD425" s="958" t="e">
        <f aca="false">AD421-AD423-AD422-AD424</f>
        <v>#VALUE!</v>
      </c>
      <c r="AE425" s="958" t="e">
        <f aca="false">AE421-AE423-AE422-AE424</f>
        <v>#VALUE!</v>
      </c>
      <c r="AF425" s="958" t="e">
        <f aca="false">AF421-AF423-AF422-AF424</f>
        <v>#VALUE!</v>
      </c>
      <c r="AG425" s="751"/>
    </row>
    <row r="426" customFormat="false" ht="11.25" hidden="false" customHeight="false" outlineLevel="0" collapsed="false">
      <c r="A426" s="751"/>
      <c r="B426" s="751"/>
      <c r="C426" s="934" t="s">
        <v>826</v>
      </c>
      <c r="D426" s="751"/>
      <c r="E426" s="751"/>
      <c r="F426" s="751"/>
      <c r="G426" s="751"/>
      <c r="H426" s="963"/>
      <c r="I426" s="964" t="n">
        <f aca="false">I588</f>
        <v>0.09375</v>
      </c>
      <c r="J426" s="964" t="n">
        <f aca="false">J588</f>
        <v>0.09375</v>
      </c>
      <c r="K426" s="964" t="n">
        <f aca="false">K588</f>
        <v>0.09375</v>
      </c>
      <c r="L426" s="964" t="n">
        <f aca="false">L588</f>
        <v>0.09375</v>
      </c>
      <c r="M426" s="964" t="n">
        <f aca="false">M588</f>
        <v>0.09375</v>
      </c>
      <c r="N426" s="964" t="n">
        <f aca="false">N588</f>
        <v>0.09375</v>
      </c>
      <c r="O426" s="964" t="n">
        <f aca="false">O588</f>
        <v>0.09375</v>
      </c>
      <c r="P426" s="964" t="n">
        <f aca="false">P588</f>
        <v>0.09375</v>
      </c>
      <c r="Q426" s="964" t="n">
        <f aca="false">Q588</f>
        <v>0.09375</v>
      </c>
      <c r="R426" s="964" t="n">
        <f aca="false">R588</f>
        <v>0.09375</v>
      </c>
      <c r="S426" s="964" t="n">
        <f aca="false">S588</f>
        <v>0.09375</v>
      </c>
      <c r="T426" s="964" t="n">
        <f aca="false">T588</f>
        <v>0.09375</v>
      </c>
      <c r="U426" s="964" t="n">
        <f aca="false">U588</f>
        <v>0.09375</v>
      </c>
      <c r="V426" s="964" t="n">
        <f aca="false">V588</f>
        <v>0.09375</v>
      </c>
      <c r="W426" s="964" t="n">
        <f aca="false">W588</f>
        <v>0.09375</v>
      </c>
      <c r="X426" s="964" t="n">
        <f aca="false">X588</f>
        <v>0.09375</v>
      </c>
      <c r="Y426" s="964" t="n">
        <f aca="false">Y588</f>
        <v>0.09375</v>
      </c>
      <c r="Z426" s="964" t="n">
        <f aca="false">Z588</f>
        <v>0.09375</v>
      </c>
      <c r="AA426" s="964" t="n">
        <f aca="false">AA588</f>
        <v>0.09375</v>
      </c>
      <c r="AB426" s="964" t="n">
        <f aca="false">AB588</f>
        <v>0.09375</v>
      </c>
      <c r="AC426" s="964" t="n">
        <f aca="false">AC588</f>
        <v>0.09375</v>
      </c>
      <c r="AD426" s="964" t="n">
        <f aca="false">AD588</f>
        <v>0.09375</v>
      </c>
      <c r="AE426" s="964" t="n">
        <f aca="false">AE588</f>
        <v>0.09375</v>
      </c>
      <c r="AF426" s="964" t="n">
        <f aca="false">AF588</f>
        <v>0.09375</v>
      </c>
      <c r="AG426" s="751"/>
    </row>
    <row r="427" customFormat="false" ht="11.25" hidden="false" customHeight="false" outlineLevel="0" collapsed="false">
      <c r="A427" s="751"/>
      <c r="B427" s="751"/>
      <c r="C427" s="751"/>
      <c r="D427" s="751"/>
      <c r="E427" s="751"/>
      <c r="F427" s="751"/>
      <c r="G427" s="751"/>
      <c r="H427" s="963"/>
      <c r="I427" s="751"/>
      <c r="J427" s="751"/>
      <c r="K427" s="751"/>
      <c r="L427" s="751"/>
      <c r="M427" s="751"/>
      <c r="N427" s="751"/>
      <c r="O427" s="751"/>
      <c r="P427" s="751"/>
      <c r="Q427" s="751"/>
      <c r="R427" s="751"/>
      <c r="S427" s="751"/>
      <c r="T427" s="751"/>
      <c r="U427" s="751"/>
      <c r="V427" s="751"/>
      <c r="W427" s="751"/>
      <c r="X427" s="751"/>
      <c r="Y427" s="751"/>
      <c r="Z427" s="751"/>
      <c r="AA427" s="751"/>
      <c r="AB427" s="751"/>
      <c r="AC427" s="751"/>
      <c r="AD427" s="751"/>
      <c r="AE427" s="751"/>
      <c r="AF427" s="751"/>
      <c r="AG427" s="751"/>
    </row>
    <row r="428" customFormat="false" ht="11.25" hidden="false" customHeight="false" outlineLevel="0" collapsed="false">
      <c r="A428" s="978" t="str">
        <f aca="false">B452&amp;":"</f>
        <v>Scrubber Term Loan:</v>
      </c>
      <c r="B428" s="751"/>
      <c r="C428" s="934" t="s">
        <v>822</v>
      </c>
      <c r="D428" s="751"/>
      <c r="E428" s="751"/>
      <c r="F428" s="751"/>
      <c r="G428" s="950"/>
      <c r="H428" s="960" t="n">
        <v>0</v>
      </c>
      <c r="I428" s="950" t="n">
        <f aca="false">H431</f>
        <v>0</v>
      </c>
      <c r="J428" s="950" t="n">
        <f aca="false">I431</f>
        <v>0</v>
      </c>
      <c r="K428" s="950" t="n">
        <f aca="false">J431</f>
        <v>0</v>
      </c>
      <c r="L428" s="950" t="n">
        <f aca="false">K431</f>
        <v>0</v>
      </c>
      <c r="M428" s="950" t="n">
        <f aca="false">L431</f>
        <v>0</v>
      </c>
      <c r="N428" s="950" t="n">
        <f aca="false">M431</f>
        <v>0</v>
      </c>
      <c r="O428" s="950" t="n">
        <f aca="false">N431</f>
        <v>0</v>
      </c>
      <c r="P428" s="950" t="n">
        <f aca="false">O431</f>
        <v>0</v>
      </c>
      <c r="Q428" s="950" t="n">
        <f aca="false">P431</f>
        <v>0</v>
      </c>
      <c r="R428" s="950" t="n">
        <f aca="false">Q431</f>
        <v>0</v>
      </c>
      <c r="S428" s="950" t="n">
        <f aca="false">R431</f>
        <v>0</v>
      </c>
      <c r="T428" s="950" t="n">
        <f aca="false">S431</f>
        <v>0</v>
      </c>
      <c r="U428" s="950" t="n">
        <f aca="false">T431</f>
        <v>0</v>
      </c>
      <c r="V428" s="950" t="n">
        <f aca="false">U431</f>
        <v>0</v>
      </c>
      <c r="W428" s="950" t="n">
        <f aca="false">V431</f>
        <v>0</v>
      </c>
      <c r="X428" s="950" t="n">
        <f aca="false">W431</f>
        <v>0</v>
      </c>
      <c r="Y428" s="950" t="n">
        <f aca="false">X431</f>
        <v>0</v>
      </c>
      <c r="Z428" s="950" t="n">
        <f aca="false">Y431</f>
        <v>0</v>
      </c>
      <c r="AA428" s="950" t="n">
        <f aca="false">Z431</f>
        <v>0</v>
      </c>
      <c r="AB428" s="950" t="n">
        <f aca="false">AA431</f>
        <v>0</v>
      </c>
      <c r="AC428" s="950" t="n">
        <f aca="false">AB431</f>
        <v>0</v>
      </c>
      <c r="AD428" s="950" t="n">
        <f aca="false">AC431</f>
        <v>0</v>
      </c>
      <c r="AE428" s="950" t="n">
        <f aca="false">AD431</f>
        <v>0</v>
      </c>
      <c r="AF428" s="950" t="n">
        <f aca="false">AE431</f>
        <v>0</v>
      </c>
      <c r="AG428" s="751"/>
    </row>
    <row r="429" customFormat="false" ht="11.25" hidden="false" customHeight="false" outlineLevel="0" collapsed="false">
      <c r="A429" s="751"/>
      <c r="B429" s="751"/>
      <c r="C429" s="934" t="s">
        <v>823</v>
      </c>
      <c r="D429" s="751"/>
      <c r="E429" s="751"/>
      <c r="F429" s="751"/>
      <c r="G429" s="950"/>
      <c r="H429" s="960" t="n">
        <f aca="false">-H452+H577</f>
        <v>0</v>
      </c>
      <c r="I429" s="950" t="n">
        <f aca="false">I577+I573</f>
        <v>0</v>
      </c>
      <c r="J429" s="950" t="n">
        <f aca="false">J577+J573</f>
        <v>0</v>
      </c>
      <c r="K429" s="950" t="n">
        <f aca="false">K577+K573</f>
        <v>0</v>
      </c>
      <c r="L429" s="950" t="n">
        <f aca="false">L577+L573</f>
        <v>0</v>
      </c>
      <c r="M429" s="950" t="n">
        <f aca="false">M577+M573</f>
        <v>0</v>
      </c>
      <c r="N429" s="950" t="n">
        <f aca="false">N577+N573</f>
        <v>0</v>
      </c>
      <c r="O429" s="950" t="n">
        <f aca="false">O577+O573</f>
        <v>0</v>
      </c>
      <c r="P429" s="950" t="n">
        <f aca="false">P577+P573</f>
        <v>0</v>
      </c>
      <c r="Q429" s="950" t="n">
        <f aca="false">Q577+Q573</f>
        <v>0</v>
      </c>
      <c r="R429" s="950" t="n">
        <f aca="false">R577+R573</f>
        <v>0</v>
      </c>
      <c r="S429" s="950" t="n">
        <f aca="false">S577+S573</f>
        <v>0</v>
      </c>
      <c r="T429" s="950" t="n">
        <f aca="false">T577+T573</f>
        <v>0</v>
      </c>
      <c r="U429" s="950" t="n">
        <f aca="false">U577+U573</f>
        <v>0</v>
      </c>
      <c r="V429" s="950" t="n">
        <f aca="false">V577+V573</f>
        <v>0</v>
      </c>
      <c r="W429" s="950" t="n">
        <f aca="false">W577+W573</f>
        <v>0</v>
      </c>
      <c r="X429" s="950" t="n">
        <f aca="false">X577+X573</f>
        <v>0</v>
      </c>
      <c r="Y429" s="950" t="n">
        <f aca="false">Y577+Y573</f>
        <v>0</v>
      </c>
      <c r="Z429" s="950" t="n">
        <f aca="false">Z577+Z573</f>
        <v>0</v>
      </c>
      <c r="AA429" s="950" t="n">
        <f aca="false">AA577+AA573</f>
        <v>0</v>
      </c>
      <c r="AB429" s="950" t="n">
        <f aca="false">AB577+AB573</f>
        <v>0</v>
      </c>
      <c r="AC429" s="950" t="n">
        <f aca="false">AC577+AC573</f>
        <v>0</v>
      </c>
      <c r="AD429" s="950" t="n">
        <f aca="false">AD577+AD573</f>
        <v>0</v>
      </c>
      <c r="AE429" s="950" t="n">
        <f aca="false">AE577+AE573</f>
        <v>0</v>
      </c>
      <c r="AF429" s="950" t="n">
        <f aca="false">AF577+AF573</f>
        <v>0</v>
      </c>
      <c r="AG429" s="751"/>
    </row>
    <row r="430" customFormat="false" ht="11.25" hidden="false" customHeight="false" outlineLevel="0" collapsed="false">
      <c r="A430" s="751"/>
      <c r="B430" s="751"/>
      <c r="C430" s="934" t="s">
        <v>824</v>
      </c>
      <c r="D430" s="751"/>
      <c r="E430" s="751"/>
      <c r="F430" s="751"/>
      <c r="G430" s="751"/>
      <c r="H430" s="963" t="n">
        <f aca="false">H572</f>
        <v>0</v>
      </c>
      <c r="I430" s="751" t="n">
        <f aca="false">I572</f>
        <v>0</v>
      </c>
      <c r="J430" s="751" t="n">
        <f aca="false">J572</f>
        <v>0</v>
      </c>
      <c r="K430" s="751" t="n">
        <f aca="false">K572</f>
        <v>0</v>
      </c>
      <c r="L430" s="751" t="n">
        <f aca="false">L572</f>
        <v>-0</v>
      </c>
      <c r="M430" s="751" t="n">
        <f aca="false">M572</f>
        <v>-0</v>
      </c>
      <c r="N430" s="751" t="n">
        <f aca="false">N572</f>
        <v>-0</v>
      </c>
      <c r="O430" s="751" t="n">
        <f aca="false">O572</f>
        <v>-0</v>
      </c>
      <c r="P430" s="751" t="n">
        <f aca="false">P572</f>
        <v>-0</v>
      </c>
      <c r="Q430" s="751" t="n">
        <f aca="false">Q572</f>
        <v>-0</v>
      </c>
      <c r="R430" s="751" t="n">
        <f aca="false">R572</f>
        <v>-0</v>
      </c>
      <c r="S430" s="751" t="n">
        <f aca="false">S572</f>
        <v>-0</v>
      </c>
      <c r="T430" s="751" t="n">
        <f aca="false">T572</f>
        <v>-0</v>
      </c>
      <c r="U430" s="751" t="n">
        <f aca="false">U572</f>
        <v>-0</v>
      </c>
      <c r="V430" s="751" t="n">
        <f aca="false">V572</f>
        <v>-0</v>
      </c>
      <c r="W430" s="751" t="n">
        <f aca="false">W572</f>
        <v>-0</v>
      </c>
      <c r="X430" s="751" t="n">
        <f aca="false">X572</f>
        <v>-0</v>
      </c>
      <c r="Y430" s="751" t="n">
        <f aca="false">Y572</f>
        <v>-0</v>
      </c>
      <c r="Z430" s="751" t="n">
        <f aca="false">Z572</f>
        <v>-0</v>
      </c>
      <c r="AA430" s="751" t="n">
        <f aca="false">AA572</f>
        <v>-0</v>
      </c>
      <c r="AB430" s="751" t="n">
        <f aca="false">AB572</f>
        <v>-0</v>
      </c>
      <c r="AC430" s="751" t="n">
        <f aca="false">AC572</f>
        <v>-0</v>
      </c>
      <c r="AD430" s="751" t="n">
        <f aca="false">AD572</f>
        <v>-0</v>
      </c>
      <c r="AE430" s="751" t="n">
        <f aca="false">AE572</f>
        <v>-0</v>
      </c>
      <c r="AF430" s="751" t="n">
        <f aca="false">AF572</f>
        <v>-0</v>
      </c>
      <c r="AG430" s="751"/>
    </row>
    <row r="431" customFormat="false" ht="11.25" hidden="false" customHeight="false" outlineLevel="0" collapsed="false">
      <c r="A431" s="751"/>
      <c r="B431" s="751"/>
      <c r="C431" s="934" t="s">
        <v>825</v>
      </c>
      <c r="D431" s="751"/>
      <c r="E431" s="751"/>
      <c r="F431" s="950"/>
      <c r="G431" s="950"/>
      <c r="H431" s="959" t="n">
        <f aca="false">H428-H429-H430</f>
        <v>0</v>
      </c>
      <c r="I431" s="958" t="n">
        <f aca="false">I428-I429-I430</f>
        <v>0</v>
      </c>
      <c r="J431" s="958" t="n">
        <f aca="false">J428-J429-J430</f>
        <v>0</v>
      </c>
      <c r="K431" s="958" t="n">
        <f aca="false">K428-K429-K430</f>
        <v>0</v>
      </c>
      <c r="L431" s="958" t="n">
        <f aca="false">L428-L429-L430</f>
        <v>0</v>
      </c>
      <c r="M431" s="958" t="n">
        <f aca="false">M428-M429-M430</f>
        <v>0</v>
      </c>
      <c r="N431" s="958" t="n">
        <f aca="false">N428-N429-N430</f>
        <v>0</v>
      </c>
      <c r="O431" s="958" t="n">
        <f aca="false">O428-O429-O430</f>
        <v>0</v>
      </c>
      <c r="P431" s="958" t="n">
        <f aca="false">P428-P429-P430</f>
        <v>0</v>
      </c>
      <c r="Q431" s="958" t="n">
        <f aca="false">Q428-Q429-Q430</f>
        <v>0</v>
      </c>
      <c r="R431" s="958" t="n">
        <f aca="false">R428-R429-R430</f>
        <v>0</v>
      </c>
      <c r="S431" s="958" t="n">
        <f aca="false">S428-S429-S430</f>
        <v>0</v>
      </c>
      <c r="T431" s="958" t="n">
        <f aca="false">T428-T429-T430</f>
        <v>0</v>
      </c>
      <c r="U431" s="958" t="n">
        <f aca="false">U428-U429-U430</f>
        <v>0</v>
      </c>
      <c r="V431" s="958" t="n">
        <f aca="false">V428-V429-V430</f>
        <v>0</v>
      </c>
      <c r="W431" s="958" t="n">
        <f aca="false">W428-W429-W430</f>
        <v>0</v>
      </c>
      <c r="X431" s="958" t="n">
        <f aca="false">X428-X429-X430</f>
        <v>0</v>
      </c>
      <c r="Y431" s="958" t="n">
        <f aca="false">Y428-Y429-Y430</f>
        <v>0</v>
      </c>
      <c r="Z431" s="958" t="n">
        <f aca="false">Z428-Z429-Z430</f>
        <v>0</v>
      </c>
      <c r="AA431" s="958" t="n">
        <f aca="false">AA428-AA429-AA430</f>
        <v>0</v>
      </c>
      <c r="AB431" s="958" t="n">
        <f aca="false">AB428-AB429-AB430</f>
        <v>0</v>
      </c>
      <c r="AC431" s="958" t="n">
        <f aca="false">AC428-AC429-AC430</f>
        <v>0</v>
      </c>
      <c r="AD431" s="958" t="n">
        <f aca="false">AD428-AD429-AD430</f>
        <v>0</v>
      </c>
      <c r="AE431" s="958" t="n">
        <f aca="false">AE428-AE429-AE430</f>
        <v>0</v>
      </c>
      <c r="AF431" s="958" t="n">
        <f aca="false">AF428-AF429-AF430</f>
        <v>0</v>
      </c>
      <c r="AG431" s="751"/>
    </row>
    <row r="432" customFormat="false" ht="11.25" hidden="false" customHeight="false" outlineLevel="0" collapsed="false">
      <c r="A432" s="751"/>
      <c r="B432" s="751"/>
      <c r="C432" s="934" t="s">
        <v>826</v>
      </c>
      <c r="D432" s="751"/>
      <c r="E432" s="751"/>
      <c r="F432" s="751"/>
      <c r="G432" s="751"/>
      <c r="H432" s="963"/>
      <c r="I432" s="964" t="n">
        <f aca="false">I589</f>
        <v>0.075</v>
      </c>
      <c r="J432" s="964" t="n">
        <f aca="false">J589</f>
        <v>0.075</v>
      </c>
      <c r="K432" s="964" t="n">
        <f aca="false">K589</f>
        <v>0.075</v>
      </c>
      <c r="L432" s="964" t="n">
        <f aca="false">L589</f>
        <v>0.075</v>
      </c>
      <c r="M432" s="964" t="n">
        <f aca="false">M589</f>
        <v>0.075</v>
      </c>
      <c r="N432" s="964" t="n">
        <f aca="false">N589</f>
        <v>0.075</v>
      </c>
      <c r="O432" s="964" t="n">
        <f aca="false">O589</f>
        <v>0.075</v>
      </c>
      <c r="P432" s="964" t="n">
        <f aca="false">P589</f>
        <v>0.075</v>
      </c>
      <c r="Q432" s="964" t="n">
        <f aca="false">Q589</f>
        <v>0.075</v>
      </c>
      <c r="R432" s="964" t="n">
        <f aca="false">R589</f>
        <v>0.075</v>
      </c>
      <c r="S432" s="964" t="n">
        <f aca="false">S589</f>
        <v>0.075</v>
      </c>
      <c r="T432" s="964" t="n">
        <f aca="false">T589</f>
        <v>0.075</v>
      </c>
      <c r="U432" s="964" t="n">
        <f aca="false">U589</f>
        <v>0.075</v>
      </c>
      <c r="V432" s="964" t="n">
        <f aca="false">V589</f>
        <v>0.075</v>
      </c>
      <c r="W432" s="964" t="n">
        <f aca="false">W589</f>
        <v>0.075</v>
      </c>
      <c r="X432" s="964" t="n">
        <f aca="false">X589</f>
        <v>0.075</v>
      </c>
      <c r="Y432" s="964" t="n">
        <f aca="false">Y589</f>
        <v>0.075</v>
      </c>
      <c r="Z432" s="964" t="n">
        <f aca="false">Z589</f>
        <v>0.075</v>
      </c>
      <c r="AA432" s="964" t="n">
        <f aca="false">AA589</f>
        <v>0.075</v>
      </c>
      <c r="AB432" s="964" t="n">
        <f aca="false">AB589</f>
        <v>0.075</v>
      </c>
      <c r="AC432" s="964" t="n">
        <f aca="false">AC589</f>
        <v>0.075</v>
      </c>
      <c r="AD432" s="964" t="n">
        <f aca="false">AD589</f>
        <v>0.075</v>
      </c>
      <c r="AE432" s="964" t="n">
        <f aca="false">AE589</f>
        <v>0.075</v>
      </c>
      <c r="AF432" s="964" t="n">
        <f aca="false">AF589</f>
        <v>0.075</v>
      </c>
      <c r="AG432" s="751"/>
    </row>
    <row r="433" customFormat="false" ht="12" hidden="false" customHeight="false" outlineLevel="0" collapsed="false">
      <c r="A433" s="751"/>
      <c r="B433" s="751"/>
      <c r="C433" s="751"/>
      <c r="D433" s="751"/>
      <c r="E433" s="751"/>
      <c r="F433" s="751"/>
      <c r="G433" s="751"/>
      <c r="H433" s="963"/>
      <c r="I433" s="751"/>
      <c r="J433" s="751"/>
      <c r="K433" s="751"/>
      <c r="L433" s="751"/>
      <c r="M433" s="751"/>
      <c r="N433" s="751"/>
      <c r="O433" s="751"/>
      <c r="P433" s="751"/>
      <c r="Q433" s="751"/>
      <c r="R433" s="751"/>
      <c r="S433" s="751"/>
      <c r="T433" s="751"/>
      <c r="U433" s="751"/>
      <c r="V433" s="751"/>
      <c r="W433" s="751"/>
      <c r="X433" s="751"/>
      <c r="Y433" s="751"/>
      <c r="Z433" s="751"/>
      <c r="AA433" s="751"/>
      <c r="AB433" s="751"/>
      <c r="AC433" s="751"/>
      <c r="AD433" s="751"/>
      <c r="AE433" s="751"/>
      <c r="AF433" s="751"/>
      <c r="AG433" s="751"/>
    </row>
    <row r="434" customFormat="false" ht="12" hidden="false" customHeight="false" outlineLevel="0" collapsed="false">
      <c r="A434" s="919"/>
      <c r="B434" s="919"/>
      <c r="C434" s="919"/>
      <c r="D434" s="919"/>
      <c r="E434" s="919"/>
      <c r="F434" s="919"/>
      <c r="G434" s="919"/>
      <c r="H434" s="919"/>
      <c r="I434" s="919"/>
      <c r="J434" s="919"/>
      <c r="K434" s="919"/>
      <c r="L434" s="919"/>
      <c r="M434" s="919"/>
      <c r="N434" s="919"/>
      <c r="O434" s="919"/>
      <c r="P434" s="919"/>
      <c r="Q434" s="919"/>
      <c r="R434" s="919"/>
      <c r="S434" s="919"/>
      <c r="T434" s="919"/>
      <c r="U434" s="919"/>
      <c r="V434" s="919"/>
      <c r="W434" s="919"/>
      <c r="X434" s="919"/>
      <c r="Y434" s="919"/>
      <c r="Z434" s="919"/>
      <c r="AA434" s="919"/>
      <c r="AB434" s="919"/>
      <c r="AC434" s="919"/>
      <c r="AD434" s="919"/>
      <c r="AE434" s="919"/>
      <c r="AF434" s="919"/>
      <c r="AG434" s="751"/>
    </row>
    <row r="435" customFormat="false" ht="11.25" hidden="false" customHeight="false" outlineLevel="0" collapsed="false">
      <c r="A435" s="841" t="s">
        <v>828</v>
      </c>
      <c r="B435" s="751"/>
      <c r="C435" s="988"/>
      <c r="D435" s="751"/>
      <c r="E435" s="751"/>
      <c r="F435" s="751"/>
      <c r="G435" s="751"/>
      <c r="H435" s="751"/>
      <c r="I435" s="751"/>
      <c r="J435" s="751"/>
      <c r="K435" s="751"/>
      <c r="L435" s="751"/>
      <c r="M435" s="751"/>
      <c r="N435" s="751"/>
      <c r="O435" s="751"/>
      <c r="P435" s="751"/>
      <c r="Q435" s="751"/>
      <c r="R435" s="751"/>
      <c r="S435" s="751"/>
      <c r="T435" s="751"/>
      <c r="U435" s="751"/>
      <c r="V435" s="751"/>
      <c r="W435" s="751"/>
      <c r="X435" s="751"/>
      <c r="Y435" s="751"/>
      <c r="Z435" s="751"/>
      <c r="AA435" s="751"/>
      <c r="AB435" s="751"/>
      <c r="AC435" s="751"/>
      <c r="AD435" s="751"/>
      <c r="AE435" s="751"/>
      <c r="AF435" s="751"/>
      <c r="AG435" s="751"/>
    </row>
    <row r="436" customFormat="false" ht="11.25" hidden="false" customHeight="false" outlineLevel="0" collapsed="false">
      <c r="A436" s="751"/>
      <c r="B436" s="751"/>
      <c r="C436" s="751"/>
      <c r="D436" s="751"/>
      <c r="E436" s="751"/>
      <c r="F436" s="751"/>
      <c r="G436" s="751"/>
      <c r="H436" s="751"/>
      <c r="I436" s="751"/>
      <c r="J436" s="751"/>
      <c r="K436" s="751"/>
      <c r="L436" s="751"/>
      <c r="M436" s="751"/>
      <c r="N436" s="751"/>
      <c r="O436" s="751"/>
      <c r="P436" s="751"/>
      <c r="Q436" s="751"/>
      <c r="R436" s="751"/>
      <c r="S436" s="751"/>
      <c r="T436" s="751"/>
      <c r="U436" s="751"/>
      <c r="V436" s="751"/>
      <c r="W436" s="751"/>
      <c r="X436" s="751"/>
      <c r="Y436" s="751"/>
      <c r="Z436" s="751"/>
      <c r="AA436" s="751"/>
      <c r="AB436" s="751"/>
      <c r="AC436" s="751"/>
      <c r="AD436" s="751"/>
      <c r="AE436" s="751"/>
      <c r="AF436" s="751"/>
      <c r="AG436" s="751"/>
    </row>
    <row r="437" customFormat="false" ht="11.25" hidden="false" customHeight="false" outlineLevel="0" collapsed="false">
      <c r="A437" s="955" t="s">
        <v>829</v>
      </c>
      <c r="B437" s="751"/>
      <c r="C437" s="989" t="n">
        <f aca="false">Assumptions!C17</f>
        <v>37802</v>
      </c>
      <c r="D437" s="751"/>
      <c r="E437" s="751"/>
      <c r="F437" s="964"/>
      <c r="G437" s="751"/>
      <c r="H437" s="751"/>
      <c r="I437" s="751"/>
      <c r="J437" s="751"/>
      <c r="K437" s="751"/>
      <c r="L437" s="346"/>
      <c r="M437" s="346"/>
      <c r="N437" s="751"/>
      <c r="O437" s="751"/>
      <c r="P437" s="751"/>
      <c r="Q437" s="751"/>
      <c r="R437" s="751"/>
      <c r="S437" s="751"/>
      <c r="T437" s="751"/>
      <c r="U437" s="751"/>
      <c r="V437" s="751"/>
      <c r="W437" s="751"/>
      <c r="X437" s="751"/>
      <c r="Y437" s="751"/>
      <c r="Z437" s="751"/>
      <c r="AA437" s="751"/>
      <c r="AB437" s="751"/>
      <c r="AC437" s="751"/>
      <c r="AD437" s="751"/>
      <c r="AE437" s="751"/>
      <c r="AF437" s="751"/>
      <c r="AG437" s="751"/>
    </row>
    <row r="438" customFormat="false" ht="11.25" hidden="false" customHeight="false" outlineLevel="0" collapsed="false">
      <c r="A438" s="955" t="s">
        <v>830</v>
      </c>
      <c r="B438" s="751"/>
      <c r="C438" s="990"/>
      <c r="D438" s="751"/>
      <c r="E438" s="751"/>
      <c r="F438" s="964"/>
      <c r="G438" s="751"/>
      <c r="H438" s="751"/>
      <c r="I438" s="751"/>
      <c r="J438" s="751"/>
      <c r="K438" s="751"/>
      <c r="L438" s="346"/>
      <c r="M438" s="955"/>
      <c r="N438" s="751"/>
      <c r="O438" s="751"/>
      <c r="P438" s="751"/>
      <c r="Q438" s="751"/>
      <c r="R438" s="751"/>
      <c r="S438" s="751"/>
      <c r="T438" s="751"/>
      <c r="U438" s="751"/>
      <c r="V438" s="751"/>
      <c r="W438" s="751"/>
      <c r="X438" s="751"/>
      <c r="Y438" s="751"/>
      <c r="Z438" s="751"/>
      <c r="AA438" s="751"/>
      <c r="AB438" s="751"/>
      <c r="AC438" s="751"/>
      <c r="AD438" s="751"/>
      <c r="AE438" s="751"/>
      <c r="AF438" s="751"/>
      <c r="AG438" s="751"/>
    </row>
    <row r="439" customFormat="false" ht="11.25" hidden="false" customHeight="false" outlineLevel="0" collapsed="false">
      <c r="A439" s="955"/>
      <c r="B439" s="944" t="s">
        <v>831</v>
      </c>
      <c r="C439" s="991" t="n">
        <f aca="false">1-C442</f>
        <v>0.5</v>
      </c>
      <c r="D439" s="934" t="s">
        <v>832</v>
      </c>
      <c r="E439" s="751"/>
      <c r="F439" s="964"/>
      <c r="G439" s="751"/>
      <c r="H439" s="751"/>
      <c r="I439" s="751"/>
      <c r="J439" s="751"/>
      <c r="K439" s="751"/>
      <c r="L439" s="346"/>
      <c r="M439" s="955"/>
      <c r="N439" s="751"/>
      <c r="O439" s="751"/>
      <c r="P439" s="751"/>
      <c r="Q439" s="751"/>
      <c r="R439" s="751"/>
      <c r="S439" s="751"/>
      <c r="T439" s="751"/>
      <c r="U439" s="751"/>
      <c r="V439" s="751"/>
      <c r="W439" s="751"/>
      <c r="X439" s="751"/>
      <c r="Y439" s="751"/>
      <c r="Z439" s="751"/>
      <c r="AA439" s="751"/>
      <c r="AB439" s="751"/>
      <c r="AC439" s="751"/>
      <c r="AD439" s="751"/>
      <c r="AE439" s="751"/>
      <c r="AF439" s="751"/>
      <c r="AG439" s="751"/>
    </row>
    <row r="440" customFormat="false" ht="11.25" hidden="false" customHeight="false" outlineLevel="0" collapsed="false">
      <c r="A440" s="955"/>
      <c r="B440" s="944" t="s">
        <v>833</v>
      </c>
      <c r="C440" s="992" t="n">
        <f aca="false">C439*12</f>
        <v>6</v>
      </c>
      <c r="D440" s="934" t="s">
        <v>834</v>
      </c>
      <c r="E440" s="751"/>
      <c r="F440" s="964"/>
      <c r="G440" s="751"/>
      <c r="H440" s="751"/>
      <c r="I440" s="751"/>
      <c r="J440" s="751"/>
      <c r="K440" s="751"/>
      <c r="L440" s="346"/>
      <c r="M440" s="955"/>
      <c r="N440" s="751"/>
      <c r="O440" s="751"/>
      <c r="P440" s="751"/>
      <c r="Q440" s="751"/>
      <c r="R440" s="751"/>
      <c r="S440" s="751"/>
      <c r="T440" s="751"/>
      <c r="U440" s="751"/>
      <c r="V440" s="751"/>
      <c r="W440" s="751"/>
      <c r="X440" s="751"/>
      <c r="Y440" s="751"/>
      <c r="Z440" s="751"/>
      <c r="AA440" s="751"/>
      <c r="AB440" s="751"/>
      <c r="AC440" s="751"/>
      <c r="AD440" s="751"/>
      <c r="AE440" s="751"/>
      <c r="AF440" s="751"/>
      <c r="AG440" s="751"/>
    </row>
    <row r="441" customFormat="false" ht="11.25" hidden="false" customHeight="false" outlineLevel="0" collapsed="false">
      <c r="A441" s="955"/>
      <c r="B441" s="751"/>
      <c r="C441" s="346"/>
      <c r="D441" s="934"/>
      <c r="E441" s="751"/>
      <c r="F441" s="964"/>
      <c r="G441" s="751"/>
      <c r="H441" s="751"/>
      <c r="I441" s="751"/>
      <c r="J441" s="751"/>
      <c r="K441" s="751"/>
      <c r="L441" s="346"/>
      <c r="M441" s="955"/>
      <c r="N441" s="751"/>
      <c r="O441" s="751"/>
      <c r="P441" s="751"/>
      <c r="Q441" s="751"/>
      <c r="R441" s="751"/>
      <c r="S441" s="751"/>
      <c r="T441" s="751"/>
      <c r="U441" s="751"/>
      <c r="V441" s="751"/>
      <c r="W441" s="751"/>
      <c r="X441" s="751"/>
      <c r="Y441" s="751"/>
      <c r="Z441" s="751"/>
      <c r="AA441" s="751"/>
      <c r="AB441" s="751"/>
      <c r="AC441" s="751"/>
      <c r="AD441" s="751"/>
      <c r="AE441" s="751"/>
      <c r="AF441" s="751"/>
      <c r="AG441" s="751"/>
    </row>
    <row r="442" customFormat="false" ht="11.25" hidden="false" customHeight="false" outlineLevel="0" collapsed="false">
      <c r="A442" s="955"/>
      <c r="B442" s="944" t="s">
        <v>831</v>
      </c>
      <c r="C442" s="991" t="n">
        <f aca="false">IF(12-MONTH(C437)+MONTH(E445)&gt;=12,(12-MONTH(C437)+MONTH(E445))-12,12-MONTH(C437)+MONTH(E445))/12</f>
        <v>0.5</v>
      </c>
      <c r="D442" s="934" t="s">
        <v>835</v>
      </c>
      <c r="E442" s="751"/>
      <c r="F442" s="964"/>
      <c r="G442" s="751"/>
      <c r="H442" s="751"/>
      <c r="I442" s="751"/>
      <c r="J442" s="751"/>
      <c r="K442" s="751"/>
      <c r="L442" s="346"/>
      <c r="M442" s="955"/>
      <c r="N442" s="751"/>
      <c r="O442" s="751"/>
      <c r="P442" s="751"/>
      <c r="Q442" s="751"/>
      <c r="R442" s="751"/>
      <c r="S442" s="751"/>
      <c r="T442" s="751"/>
      <c r="U442" s="751"/>
      <c r="V442" s="751"/>
      <c r="W442" s="751"/>
      <c r="X442" s="751"/>
      <c r="Y442" s="751"/>
      <c r="Z442" s="751"/>
      <c r="AA442" s="751"/>
      <c r="AB442" s="751"/>
      <c r="AC442" s="751"/>
      <c r="AD442" s="751"/>
      <c r="AE442" s="751"/>
      <c r="AF442" s="751"/>
      <c r="AG442" s="751"/>
    </row>
    <row r="443" customFormat="false" ht="11.25" hidden="false" customHeight="false" outlineLevel="0" collapsed="false">
      <c r="A443" s="955"/>
      <c r="B443" s="993" t="s">
        <v>833</v>
      </c>
      <c r="C443" s="992" t="n">
        <f aca="false">C442*12</f>
        <v>6</v>
      </c>
      <c r="D443" s="934" t="s">
        <v>836</v>
      </c>
      <c r="E443" s="751"/>
      <c r="F443" s="964"/>
      <c r="G443" s="994" t="str">
        <f aca="false">TEXT(I599,"0")&amp;"."</f>
        <v>37986.</v>
      </c>
      <c r="H443" s="751"/>
      <c r="I443" s="751"/>
      <c r="J443" s="751"/>
      <c r="K443" s="751"/>
      <c r="L443" s="346"/>
      <c r="M443" s="955"/>
      <c r="N443" s="751"/>
      <c r="O443" s="751"/>
      <c r="P443" s="751"/>
      <c r="Q443" s="751"/>
      <c r="R443" s="751"/>
      <c r="S443" s="751"/>
      <c r="T443" s="751"/>
      <c r="U443" s="751"/>
      <c r="V443" s="751"/>
      <c r="W443" s="751"/>
      <c r="X443" s="751"/>
      <c r="Y443" s="751"/>
      <c r="Z443" s="751"/>
      <c r="AA443" s="751"/>
      <c r="AB443" s="751"/>
      <c r="AC443" s="751"/>
      <c r="AD443" s="751"/>
      <c r="AE443" s="751"/>
      <c r="AF443" s="751"/>
      <c r="AG443" s="751"/>
    </row>
    <row r="444" customFormat="false" ht="11.25" hidden="false" customHeight="false" outlineLevel="0" collapsed="false">
      <c r="A444" s="955"/>
      <c r="B444" s="751"/>
      <c r="C444" s="751"/>
      <c r="D444" s="751"/>
      <c r="E444" s="751"/>
      <c r="F444" s="964"/>
      <c r="G444" s="751"/>
      <c r="H444" s="751"/>
      <c r="I444" s="751"/>
      <c r="J444" s="751"/>
      <c r="K444" s="751"/>
      <c r="L444" s="346"/>
      <c r="M444" s="955"/>
      <c r="N444" s="751"/>
      <c r="O444" s="751"/>
      <c r="P444" s="751"/>
      <c r="Q444" s="751"/>
      <c r="R444" s="751"/>
      <c r="S444" s="751"/>
      <c r="T444" s="751"/>
      <c r="U444" s="751"/>
      <c r="V444" s="751"/>
      <c r="W444" s="751"/>
      <c r="X444" s="751"/>
      <c r="Y444" s="751"/>
      <c r="Z444" s="751"/>
      <c r="AA444" s="751"/>
      <c r="AB444" s="751"/>
      <c r="AC444" s="751"/>
      <c r="AD444" s="751"/>
      <c r="AE444" s="751"/>
      <c r="AF444" s="751"/>
      <c r="AG444" s="751"/>
    </row>
    <row r="445" customFormat="false" ht="11.25" hidden="false" customHeight="false" outlineLevel="0" collapsed="false">
      <c r="A445" s="955"/>
      <c r="B445" s="346"/>
      <c r="C445" s="944" t="s">
        <v>837</v>
      </c>
      <c r="D445" s="346"/>
      <c r="E445" s="989" t="n">
        <f aca="false">DATE(YEAR(Assumptions!$C$17),12,31)</f>
        <v>37986</v>
      </c>
      <c r="F445" s="346"/>
      <c r="G445" s="751"/>
      <c r="H445" s="751"/>
      <c r="I445" s="751"/>
      <c r="J445" s="751"/>
      <c r="K445" s="751"/>
      <c r="L445" s="346"/>
      <c r="M445" s="955"/>
      <c r="N445" s="751"/>
      <c r="O445" s="751"/>
      <c r="P445" s="751"/>
      <c r="Q445" s="751"/>
      <c r="R445" s="751"/>
      <c r="S445" s="751"/>
      <c r="T445" s="751"/>
      <c r="U445" s="751"/>
      <c r="V445" s="751"/>
      <c r="W445" s="751"/>
      <c r="X445" s="751"/>
      <c r="Y445" s="751"/>
      <c r="Z445" s="751"/>
      <c r="AA445" s="751"/>
      <c r="AB445" s="751"/>
      <c r="AC445" s="751"/>
      <c r="AD445" s="751"/>
      <c r="AE445" s="751"/>
      <c r="AF445" s="751"/>
      <c r="AG445" s="751"/>
    </row>
    <row r="446" customFormat="false" ht="12" hidden="false" customHeight="false" outlineLevel="0" collapsed="false">
      <c r="A446" s="955"/>
      <c r="B446" s="751"/>
      <c r="C446" s="990"/>
      <c r="D446" s="751"/>
      <c r="E446" s="751"/>
      <c r="F446" s="964"/>
      <c r="G446" s="751"/>
      <c r="H446" s="751"/>
      <c r="I446" s="751"/>
      <c r="J446" s="751"/>
      <c r="K446" s="751"/>
      <c r="L446" s="346"/>
      <c r="M446" s="955"/>
      <c r="N446" s="751"/>
      <c r="O446" s="751"/>
      <c r="P446" s="751"/>
      <c r="Q446" s="751"/>
      <c r="R446" s="751"/>
      <c r="S446" s="751"/>
      <c r="T446" s="751"/>
      <c r="U446" s="751"/>
      <c r="V446" s="751"/>
      <c r="W446" s="751"/>
      <c r="X446" s="751"/>
      <c r="Y446" s="751"/>
      <c r="Z446" s="751"/>
      <c r="AA446" s="751"/>
      <c r="AB446" s="751"/>
      <c r="AC446" s="751"/>
      <c r="AD446" s="751"/>
      <c r="AE446" s="751"/>
      <c r="AF446" s="751"/>
      <c r="AG446" s="751"/>
    </row>
    <row r="447" customFormat="false" ht="12" hidden="false" customHeight="false" outlineLevel="0" collapsed="false">
      <c r="A447" s="919"/>
      <c r="B447" s="919"/>
      <c r="C447" s="919"/>
      <c r="D447" s="919"/>
      <c r="E447" s="919"/>
      <c r="F447" s="919"/>
      <c r="G447" s="919"/>
      <c r="H447" s="919"/>
      <c r="I447" s="919"/>
      <c r="J447" s="919"/>
      <c r="K447" s="919"/>
      <c r="L447" s="995"/>
      <c r="M447" s="996"/>
      <c r="N447" s="996"/>
      <c r="O447" s="996"/>
      <c r="P447" s="919"/>
      <c r="Q447" s="919"/>
      <c r="R447" s="919"/>
      <c r="S447" s="919"/>
      <c r="T447" s="997"/>
      <c r="U447" s="919"/>
      <c r="V447" s="919"/>
      <c r="W447" s="919"/>
      <c r="X447" s="919"/>
      <c r="Y447" s="919"/>
      <c r="Z447" s="919"/>
      <c r="AA447" s="919"/>
      <c r="AB447" s="919"/>
      <c r="AC447" s="919"/>
      <c r="AD447" s="919"/>
      <c r="AE447" s="919"/>
      <c r="AF447" s="919"/>
      <c r="AG447" s="751"/>
    </row>
    <row r="448" customFormat="false" ht="11.25" hidden="false" customHeight="false" outlineLevel="0" collapsed="false">
      <c r="A448" s="841" t="s">
        <v>838</v>
      </c>
      <c r="B448" s="751"/>
      <c r="C448" s="751"/>
      <c r="D448" s="751"/>
      <c r="E448" s="346"/>
      <c r="F448" s="751"/>
      <c r="G448" s="751"/>
      <c r="H448" s="945"/>
      <c r="I448" s="751"/>
      <c r="J448" s="998" t="s">
        <v>839</v>
      </c>
      <c r="K448" s="751"/>
      <c r="L448" s="346"/>
      <c r="M448" s="346"/>
      <c r="N448" s="346"/>
      <c r="O448" s="346"/>
      <c r="P448" s="751"/>
      <c r="Q448" s="751"/>
      <c r="R448" s="751"/>
      <c r="S448" s="751"/>
      <c r="T448" s="751"/>
      <c r="U448" s="751"/>
      <c r="V448" s="751"/>
      <c r="W448" s="751"/>
      <c r="X448" s="751"/>
      <c r="Y448" s="751"/>
      <c r="Z448" s="751"/>
      <c r="AA448" s="751"/>
      <c r="AB448" s="751"/>
      <c r="AC448" s="751"/>
      <c r="AD448" s="751"/>
      <c r="AE448" s="751"/>
      <c r="AF448" s="751"/>
      <c r="AG448" s="751"/>
    </row>
    <row r="449" customFormat="false" ht="12" hidden="false" customHeight="false" outlineLevel="0" collapsed="false">
      <c r="A449" s="751"/>
      <c r="B449" s="751"/>
      <c r="C449" s="751"/>
      <c r="D449" s="751"/>
      <c r="E449" s="999" t="s">
        <v>840</v>
      </c>
      <c r="F449" s="751"/>
      <c r="G449" s="346"/>
      <c r="H449" s="999" t="s">
        <v>840</v>
      </c>
      <c r="I449" s="346"/>
      <c r="J449" s="346"/>
      <c r="K449" s="346"/>
      <c r="L449" s="346"/>
      <c r="M449" s="346"/>
      <c r="N449" s="346"/>
      <c r="O449" s="346"/>
      <c r="P449" s="346"/>
      <c r="Q449" s="346"/>
      <c r="R449" s="346"/>
      <c r="S449" s="346"/>
      <c r="T449" s="751"/>
      <c r="U449" s="751"/>
      <c r="V449" s="751"/>
      <c r="W449" s="751"/>
      <c r="X449" s="751"/>
      <c r="Y449" s="751"/>
      <c r="Z449" s="751"/>
      <c r="AA449" s="751"/>
      <c r="AB449" s="751"/>
      <c r="AC449" s="751"/>
      <c r="AD449" s="751"/>
      <c r="AE449" s="751"/>
      <c r="AF449" s="751"/>
      <c r="AG449" s="751"/>
    </row>
    <row r="450" customFormat="false" ht="12.75" hidden="false" customHeight="false" outlineLevel="0" collapsed="false">
      <c r="A450" s="751"/>
      <c r="B450" s="1000" t="s">
        <v>396</v>
      </c>
      <c r="C450" s="751"/>
      <c r="D450" s="751"/>
      <c r="E450" s="998" t="s">
        <v>841</v>
      </c>
      <c r="F450" s="751"/>
      <c r="G450" s="346"/>
      <c r="H450" s="998" t="s">
        <v>286</v>
      </c>
      <c r="I450" s="775" t="n">
        <f aca="false">I$599</f>
        <v>37986</v>
      </c>
      <c r="J450" s="985" t="n">
        <f aca="false">J$599</f>
        <v>38352</v>
      </c>
      <c r="K450" s="985" t="n">
        <f aca="false">K$599</f>
        <v>38717</v>
      </c>
      <c r="L450" s="985" t="n">
        <f aca="false">L$599</f>
        <v>39082</v>
      </c>
      <c r="M450" s="985" t="n">
        <f aca="false">M$599</f>
        <v>39447</v>
      </c>
      <c r="N450" s="985" t="n">
        <f aca="false">N$599</f>
        <v>39813</v>
      </c>
      <c r="O450" s="985" t="n">
        <f aca="false">O$599</f>
        <v>40178</v>
      </c>
      <c r="P450" s="985" t="n">
        <f aca="false">P$599</f>
        <v>40543</v>
      </c>
      <c r="Q450" s="985" t="n">
        <f aca="false">Q$599</f>
        <v>40908</v>
      </c>
      <c r="R450" s="985" t="n">
        <f aca="false">R$599</f>
        <v>41274</v>
      </c>
      <c r="S450" s="985" t="n">
        <f aca="false">S$599</f>
        <v>41639</v>
      </c>
      <c r="T450" s="985" t="n">
        <f aca="false">T$599</f>
        <v>42004</v>
      </c>
      <c r="U450" s="985" t="n">
        <f aca="false">U$599</f>
        <v>42369</v>
      </c>
      <c r="V450" s="985" t="n">
        <f aca="false">V$599</f>
        <v>42735</v>
      </c>
      <c r="W450" s="985" t="n">
        <f aca="false">W$599</f>
        <v>43100</v>
      </c>
      <c r="X450" s="985" t="n">
        <f aca="false">X$599</f>
        <v>43465</v>
      </c>
      <c r="Y450" s="985" t="n">
        <f aca="false">Y$599</f>
        <v>43830</v>
      </c>
      <c r="Z450" s="985" t="n">
        <f aca="false">Z$599</f>
        <v>44196</v>
      </c>
      <c r="AA450" s="985" t="n">
        <f aca="false">AA$599</f>
        <v>44561</v>
      </c>
      <c r="AB450" s="985" t="n">
        <f aca="false">AB$599</f>
        <v>44926</v>
      </c>
      <c r="AC450" s="985" t="n">
        <f aca="false">AC$599</f>
        <v>45291</v>
      </c>
      <c r="AD450" s="985" t="n">
        <f aca="false">AD$599</f>
        <v>45657</v>
      </c>
      <c r="AE450" s="985" t="n">
        <f aca="false">AE$599</f>
        <v>46022</v>
      </c>
      <c r="AF450" s="985" t="n">
        <f aca="false">AF$599</f>
        <v>46387</v>
      </c>
      <c r="AG450" s="751"/>
    </row>
    <row r="451" customFormat="false" ht="12" hidden="false" customHeight="false" outlineLevel="0" collapsed="false">
      <c r="A451" s="751"/>
      <c r="B451" s="1001" t="s">
        <v>842</v>
      </c>
      <c r="C451" s="751"/>
      <c r="D451" s="751"/>
      <c r="E451" s="1002" t="e">
        <f aca="false">+Debt!C18</f>
        <v>#VALUE!</v>
      </c>
      <c r="F451" s="964"/>
      <c r="G451" s="346"/>
      <c r="H451" s="904" t="e">
        <f aca="false">E451</f>
        <v>#VALUE!</v>
      </c>
      <c r="I451" s="948" t="n">
        <f aca="false">-I565</f>
        <v>-0</v>
      </c>
      <c r="J451" s="948" t="n">
        <f aca="false">-J565</f>
        <v>-0</v>
      </c>
      <c r="K451" s="948" t="n">
        <f aca="false">-K565</f>
        <v>-0</v>
      </c>
      <c r="L451" s="948" t="n">
        <f aca="false">-L565</f>
        <v>-0</v>
      </c>
      <c r="M451" s="948" t="n">
        <f aca="false">-M565</f>
        <v>-0</v>
      </c>
      <c r="N451" s="948" t="n">
        <f aca="false">-N565</f>
        <v>-0</v>
      </c>
      <c r="O451" s="948" t="n">
        <f aca="false">-O565</f>
        <v>-0</v>
      </c>
      <c r="P451" s="948" t="n">
        <f aca="false">-P565</f>
        <v>-0</v>
      </c>
      <c r="Q451" s="948" t="n">
        <f aca="false">-Q565</f>
        <v>-0</v>
      </c>
      <c r="R451" s="948" t="n">
        <f aca="false">-R565</f>
        <v>-0</v>
      </c>
      <c r="S451" s="948" t="n">
        <f aca="false">-S565</f>
        <v>-0</v>
      </c>
      <c r="T451" s="948" t="n">
        <f aca="false">-T565</f>
        <v>-0</v>
      </c>
      <c r="U451" s="948" t="n">
        <f aca="false">-U565</f>
        <v>-0</v>
      </c>
      <c r="V451" s="948" t="n">
        <f aca="false">-V565</f>
        <v>-0</v>
      </c>
      <c r="W451" s="948" t="n">
        <f aca="false">-W565</f>
        <v>-0</v>
      </c>
      <c r="X451" s="948" t="n">
        <f aca="false">-X565</f>
        <v>-0</v>
      </c>
      <c r="Y451" s="948" t="n">
        <f aca="false">-Y565</f>
        <v>-0</v>
      </c>
      <c r="Z451" s="948" t="n">
        <f aca="false">-Z565</f>
        <v>-0</v>
      </c>
      <c r="AA451" s="948" t="n">
        <f aca="false">-AA565</f>
        <v>-0</v>
      </c>
      <c r="AB451" s="948" t="n">
        <f aca="false">-AB565</f>
        <v>-0</v>
      </c>
      <c r="AC451" s="948" t="n">
        <f aca="false">-AC565</f>
        <v>-0</v>
      </c>
      <c r="AD451" s="948" t="n">
        <f aca="false">-AD565</f>
        <v>-0</v>
      </c>
      <c r="AE451" s="948" t="n">
        <f aca="false">-AE565</f>
        <v>-0</v>
      </c>
      <c r="AF451" s="948" t="n">
        <f aca="false">-AF565</f>
        <v>-0</v>
      </c>
      <c r="AG451" s="751"/>
    </row>
    <row r="452" customFormat="false" ht="11.25" hidden="false" customHeight="false" outlineLevel="0" collapsed="false">
      <c r="A452" s="751"/>
      <c r="B452" s="1001" t="s">
        <v>843</v>
      </c>
      <c r="C452" s="751"/>
      <c r="D452" s="751"/>
      <c r="E452" s="949" t="n">
        <v>0</v>
      </c>
      <c r="F452" s="964"/>
      <c r="G452" s="346"/>
      <c r="H452" s="1003" t="n">
        <f aca="false">E452</f>
        <v>0</v>
      </c>
      <c r="I452" s="948" t="n">
        <f aca="false">-I573</f>
        <v>-0</v>
      </c>
      <c r="J452" s="948" t="n">
        <f aca="false">-J573</f>
        <v>-0</v>
      </c>
      <c r="K452" s="948" t="n">
        <f aca="false">-K573</f>
        <v>0</v>
      </c>
      <c r="L452" s="948" t="n">
        <f aca="false">-L573</f>
        <v>-0</v>
      </c>
      <c r="M452" s="948" t="n">
        <f aca="false">-M573</f>
        <v>-0</v>
      </c>
      <c r="N452" s="948" t="n">
        <f aca="false">-N573</f>
        <v>-0</v>
      </c>
      <c r="O452" s="948" t="n">
        <f aca="false">-O573</f>
        <v>-0</v>
      </c>
      <c r="P452" s="948" t="n">
        <f aca="false">-P573</f>
        <v>-0</v>
      </c>
      <c r="Q452" s="948" t="n">
        <f aca="false">-Q573</f>
        <v>-0</v>
      </c>
      <c r="R452" s="948" t="n">
        <f aca="false">-R573</f>
        <v>-0</v>
      </c>
      <c r="S452" s="948" t="n">
        <f aca="false">-S573</f>
        <v>-0</v>
      </c>
      <c r="T452" s="948" t="n">
        <f aca="false">-T573</f>
        <v>-0</v>
      </c>
      <c r="U452" s="948" t="n">
        <f aca="false">-U573</f>
        <v>-0</v>
      </c>
      <c r="V452" s="948" t="n">
        <f aca="false">-V573</f>
        <v>-0</v>
      </c>
      <c r="W452" s="948" t="n">
        <f aca="false">-W573</f>
        <v>-0</v>
      </c>
      <c r="X452" s="948" t="n">
        <f aca="false">-X573</f>
        <v>-0</v>
      </c>
      <c r="Y452" s="948" t="n">
        <f aca="false">-Y573</f>
        <v>-0</v>
      </c>
      <c r="Z452" s="948" t="n">
        <f aca="false">-Z573</f>
        <v>-0</v>
      </c>
      <c r="AA452" s="948" t="n">
        <f aca="false">-AA573</f>
        <v>-0</v>
      </c>
      <c r="AB452" s="948" t="n">
        <f aca="false">-AB573</f>
        <v>-0</v>
      </c>
      <c r="AC452" s="948" t="n">
        <f aca="false">-AC573</f>
        <v>-0</v>
      </c>
      <c r="AD452" s="948" t="n">
        <f aca="false">-AD573</f>
        <v>-0</v>
      </c>
      <c r="AE452" s="948" t="n">
        <f aca="false">-AE573</f>
        <v>-0</v>
      </c>
      <c r="AF452" s="948" t="n">
        <f aca="false">-AF573</f>
        <v>-0</v>
      </c>
      <c r="AG452" s="751"/>
    </row>
    <row r="453" customFormat="false" ht="11.25" hidden="false" customHeight="false" outlineLevel="0" collapsed="false">
      <c r="A453" s="751"/>
      <c r="B453" s="934" t="s">
        <v>844</v>
      </c>
      <c r="C453" s="751"/>
      <c r="D453" s="751"/>
      <c r="E453" s="1002" t="e">
        <f aca="false">+Debt!C19</f>
        <v>#VALUE!</v>
      </c>
      <c r="F453" s="751"/>
      <c r="G453" s="346"/>
      <c r="H453" s="904" t="e">
        <f aca="false">E453</f>
        <v>#VALUE!</v>
      </c>
      <c r="I453" s="948" t="n">
        <f aca="false">-I580</f>
        <v>-0</v>
      </c>
      <c r="J453" s="948" t="n">
        <f aca="false">-J580</f>
        <v>-0</v>
      </c>
      <c r="K453" s="948" t="n">
        <f aca="false">-K580</f>
        <v>0</v>
      </c>
      <c r="L453" s="948" t="n">
        <f aca="false">-L580</f>
        <v>-0</v>
      </c>
      <c r="M453" s="948" t="n">
        <f aca="false">-M580</f>
        <v>-0</v>
      </c>
      <c r="N453" s="948" t="n">
        <f aca="false">-N580</f>
        <v>-0</v>
      </c>
      <c r="O453" s="948" t="n">
        <f aca="false">-O580</f>
        <v>-0</v>
      </c>
      <c r="P453" s="948" t="n">
        <f aca="false">-P580</f>
        <v>-0</v>
      </c>
      <c r="Q453" s="948" t="n">
        <f aca="false">-Q580</f>
        <v>-0</v>
      </c>
      <c r="R453" s="948" t="n">
        <f aca="false">-R580</f>
        <v>-0</v>
      </c>
      <c r="S453" s="948" t="n">
        <f aca="false">-S580</f>
        <v>-0</v>
      </c>
      <c r="T453" s="948" t="n">
        <f aca="false">-T580</f>
        <v>-0</v>
      </c>
      <c r="U453" s="948" t="n">
        <f aca="false">-U580</f>
        <v>-0</v>
      </c>
      <c r="V453" s="948" t="n">
        <f aca="false">-V580</f>
        <v>-0</v>
      </c>
      <c r="W453" s="948" t="n">
        <f aca="false">-W580</f>
        <v>-0</v>
      </c>
      <c r="X453" s="948" t="n">
        <f aca="false">-X580</f>
        <v>-0</v>
      </c>
      <c r="Y453" s="948" t="n">
        <f aca="false">-Y580</f>
        <v>-0</v>
      </c>
      <c r="Z453" s="948" t="n">
        <f aca="false">-Z580</f>
        <v>-0</v>
      </c>
      <c r="AA453" s="948" t="n">
        <f aca="false">-AA580</f>
        <v>-0</v>
      </c>
      <c r="AB453" s="948" t="n">
        <f aca="false">-AB580</f>
        <v>-0</v>
      </c>
      <c r="AC453" s="948" t="n">
        <f aca="false">-AC580</f>
        <v>-0</v>
      </c>
      <c r="AD453" s="948" t="n">
        <f aca="false">-AD580</f>
        <v>-0</v>
      </c>
      <c r="AE453" s="948" t="n">
        <f aca="false">-AE580</f>
        <v>-0</v>
      </c>
      <c r="AF453" s="948" t="n">
        <f aca="false">-AF580</f>
        <v>-0</v>
      </c>
      <c r="AG453" s="751"/>
    </row>
    <row r="454" customFormat="false" ht="11.25" hidden="false" customHeight="false" outlineLevel="0" collapsed="false">
      <c r="A454" s="751"/>
      <c r="B454" s="934" t="s">
        <v>845</v>
      </c>
      <c r="C454" s="751"/>
      <c r="D454" s="751"/>
      <c r="E454" s="949" t="n">
        <v>0</v>
      </c>
      <c r="F454" s="964"/>
      <c r="G454" s="346"/>
      <c r="H454" s="948" t="n">
        <f aca="false">E454</f>
        <v>0</v>
      </c>
      <c r="I454" s="948"/>
      <c r="J454" s="948"/>
      <c r="K454" s="948"/>
      <c r="L454" s="948"/>
      <c r="M454" s="948"/>
      <c r="N454" s="948"/>
      <c r="O454" s="948"/>
      <c r="P454" s="948"/>
      <c r="Q454" s="948"/>
      <c r="R454" s="948"/>
      <c r="S454" s="948"/>
      <c r="T454" s="948"/>
      <c r="U454" s="948"/>
      <c r="V454" s="948"/>
      <c r="W454" s="948"/>
      <c r="X454" s="948"/>
      <c r="Y454" s="948"/>
      <c r="Z454" s="948"/>
      <c r="AA454" s="948"/>
      <c r="AB454" s="948"/>
      <c r="AC454" s="948"/>
      <c r="AD454" s="948"/>
      <c r="AE454" s="948"/>
      <c r="AF454" s="948"/>
      <c r="AG454" s="751"/>
    </row>
    <row r="455" customFormat="false" ht="11.25" hidden="false" customHeight="false" outlineLevel="0" collapsed="false">
      <c r="A455" s="751"/>
      <c r="B455" s="955" t="s">
        <v>846</v>
      </c>
      <c r="C455" s="751"/>
      <c r="D455" s="751"/>
      <c r="E455" s="958" t="e">
        <f aca="false">SUM(E451:E454)</f>
        <v>#VALUE!</v>
      </c>
      <c r="F455" s="1004"/>
      <c r="G455" s="484"/>
      <c r="H455" s="958" t="e">
        <f aca="false">SUM(H451:H454)</f>
        <v>#VALUE!</v>
      </c>
      <c r="I455" s="958" t="n">
        <f aca="false">SUM(I451:I454)</f>
        <v>0</v>
      </c>
      <c r="J455" s="958" t="n">
        <f aca="false">SUM(J451:J454)</f>
        <v>0</v>
      </c>
      <c r="K455" s="958" t="n">
        <f aca="false">SUM(K451:K454)</f>
        <v>0</v>
      </c>
      <c r="L455" s="958" t="n">
        <f aca="false">SUM(L451:L454)</f>
        <v>0</v>
      </c>
      <c r="M455" s="958" t="n">
        <f aca="false">SUM(M451:M454)</f>
        <v>0</v>
      </c>
      <c r="N455" s="958" t="n">
        <f aca="false">SUM(N451:N454)</f>
        <v>0</v>
      </c>
      <c r="O455" s="958" t="n">
        <f aca="false">SUM(O451:O454)</f>
        <v>0</v>
      </c>
      <c r="P455" s="958" t="n">
        <f aca="false">SUM(P451:P454)</f>
        <v>0</v>
      </c>
      <c r="Q455" s="958" t="n">
        <f aca="false">SUM(Q451:Q454)</f>
        <v>0</v>
      </c>
      <c r="R455" s="958" t="n">
        <f aca="false">SUM(R451:R454)</f>
        <v>0</v>
      </c>
      <c r="S455" s="958" t="n">
        <f aca="false">SUM(S451:S454)</f>
        <v>0</v>
      </c>
      <c r="T455" s="958" t="n">
        <f aca="false">SUM(T451:T454)</f>
        <v>0</v>
      </c>
      <c r="U455" s="958" t="n">
        <f aca="false">SUM(U451:U454)</f>
        <v>0</v>
      </c>
      <c r="V455" s="958" t="n">
        <f aca="false">SUM(V451:V454)</f>
        <v>0</v>
      </c>
      <c r="W455" s="958" t="n">
        <f aca="false">SUM(W451:W454)</f>
        <v>0</v>
      </c>
      <c r="X455" s="958" t="n">
        <f aca="false">SUM(X451:X454)</f>
        <v>0</v>
      </c>
      <c r="Y455" s="958" t="n">
        <f aca="false">SUM(Y451:Y454)</f>
        <v>0</v>
      </c>
      <c r="Z455" s="958" t="n">
        <f aca="false">SUM(Z451:Z454)</f>
        <v>0</v>
      </c>
      <c r="AA455" s="958" t="n">
        <f aca="false">SUM(AA451:AA454)</f>
        <v>0</v>
      </c>
      <c r="AB455" s="958" t="n">
        <f aca="false">SUM(AB451:AB454)</f>
        <v>0</v>
      </c>
      <c r="AC455" s="958" t="n">
        <f aca="false">SUM(AC451:AC454)</f>
        <v>0</v>
      </c>
      <c r="AD455" s="958" t="n">
        <f aca="false">SUM(AD451:AD454)</f>
        <v>0</v>
      </c>
      <c r="AE455" s="958" t="n">
        <f aca="false">SUM(AE451:AE454)</f>
        <v>0</v>
      </c>
      <c r="AF455" s="958" t="n">
        <f aca="false">SUM(AF451:AF454)</f>
        <v>0</v>
      </c>
      <c r="AG455" s="751"/>
    </row>
    <row r="456" customFormat="false" ht="11.25" hidden="false" customHeight="false" outlineLevel="0" collapsed="false">
      <c r="A456" s="751"/>
      <c r="B456" s="751"/>
      <c r="C456" s="346"/>
      <c r="D456" s="346"/>
      <c r="E456" s="346"/>
      <c r="F456" s="938"/>
      <c r="G456" s="751"/>
      <c r="H456" s="751"/>
      <c r="I456" s="751"/>
      <c r="J456" s="751"/>
      <c r="K456" s="751"/>
      <c r="L456" s="751"/>
      <c r="M456" s="751"/>
      <c r="N456" s="751"/>
      <c r="O456" s="751"/>
      <c r="P456" s="751"/>
      <c r="Q456" s="751"/>
      <c r="R456" s="751"/>
      <c r="S456" s="751"/>
      <c r="T456" s="751"/>
      <c r="U456" s="751"/>
      <c r="V456" s="751"/>
      <c r="W456" s="751"/>
      <c r="X456" s="751"/>
      <c r="Y456" s="751"/>
      <c r="Z456" s="751"/>
      <c r="AA456" s="751"/>
      <c r="AB456" s="751"/>
      <c r="AC456" s="751"/>
      <c r="AD456" s="751"/>
      <c r="AE456" s="751"/>
      <c r="AF456" s="751"/>
      <c r="AG456" s="751"/>
    </row>
    <row r="457" customFormat="false" ht="11.25" hidden="false" customHeight="false" outlineLevel="0" collapsed="false">
      <c r="A457" s="934"/>
      <c r="B457" s="1000" t="s">
        <v>397</v>
      </c>
      <c r="C457" s="751"/>
      <c r="D457" s="751"/>
      <c r="E457" s="999"/>
      <c r="F457" s="964"/>
      <c r="G457" s="346"/>
      <c r="H457" s="751"/>
      <c r="I457" s="751"/>
      <c r="J457" s="751"/>
      <c r="K457" s="751"/>
      <c r="L457" s="751"/>
      <c r="M457" s="751"/>
      <c r="N457" s="751"/>
      <c r="O457" s="751"/>
      <c r="P457" s="751"/>
      <c r="Q457" s="751"/>
      <c r="R457" s="751"/>
      <c r="S457" s="751"/>
      <c r="T457" s="751"/>
      <c r="U457" s="751"/>
      <c r="V457" s="751"/>
      <c r="W457" s="751"/>
      <c r="X457" s="751"/>
      <c r="Y457" s="751"/>
      <c r="Z457" s="751"/>
      <c r="AA457" s="751"/>
      <c r="AB457" s="751"/>
      <c r="AC457" s="751"/>
      <c r="AD457" s="751"/>
      <c r="AE457" s="751"/>
      <c r="AF457" s="751"/>
      <c r="AG457" s="751"/>
    </row>
    <row r="458" customFormat="false" ht="11.25" hidden="false" customHeight="false" outlineLevel="0" collapsed="false">
      <c r="A458" s="934"/>
      <c r="B458" s="346" t="s">
        <v>847</v>
      </c>
      <c r="C458" s="948" t="str">
        <f aca="false">A491</f>
        <v>Intangibles</v>
      </c>
      <c r="D458" s="346"/>
      <c r="E458" s="1005" t="n">
        <f aca="false">Debt!H22</f>
        <v>48563.258028615</v>
      </c>
      <c r="F458" s="964"/>
      <c r="G458" s="346"/>
      <c r="H458" s="1006" t="n">
        <f aca="false">E458</f>
        <v>48563.258028615</v>
      </c>
      <c r="I458" s="961" t="n">
        <f aca="false">I732</f>
        <v>48563.258028615</v>
      </c>
      <c r="J458" s="961" t="n">
        <f aca="false">J732</f>
        <v>0</v>
      </c>
      <c r="K458" s="961" t="n">
        <f aca="false">K732</f>
        <v>0</v>
      </c>
      <c r="L458" s="961" t="n">
        <f aca="false">L732</f>
        <v>0</v>
      </c>
      <c r="M458" s="961" t="n">
        <f aca="false">M732</f>
        <v>0</v>
      </c>
      <c r="N458" s="961" t="n">
        <f aca="false">N732</f>
        <v>0</v>
      </c>
      <c r="O458" s="961" t="n">
        <f aca="false">O732</f>
        <v>0</v>
      </c>
      <c r="P458" s="961" t="n">
        <f aca="false">P732</f>
        <v>0</v>
      </c>
      <c r="Q458" s="961" t="n">
        <f aca="false">Q732</f>
        <v>0</v>
      </c>
      <c r="R458" s="961" t="n">
        <f aca="false">R732</f>
        <v>0</v>
      </c>
      <c r="S458" s="962" t="n">
        <f aca="false">S732</f>
        <v>0</v>
      </c>
      <c r="T458" s="962" t="n">
        <f aca="false">T732</f>
        <v>0</v>
      </c>
      <c r="U458" s="962" t="n">
        <f aca="false">U732</f>
        <v>0</v>
      </c>
      <c r="V458" s="962" t="n">
        <f aca="false">V732</f>
        <v>0</v>
      </c>
      <c r="W458" s="962" t="n">
        <f aca="false">W732</f>
        <v>0</v>
      </c>
      <c r="X458" s="962" t="n">
        <f aca="false">X732</f>
        <v>0</v>
      </c>
      <c r="Y458" s="962" t="n">
        <f aca="false">Y732</f>
        <v>0</v>
      </c>
      <c r="Z458" s="962" t="n">
        <f aca="false">Z732</f>
        <v>0</v>
      </c>
      <c r="AA458" s="962" t="n">
        <f aca="false">AA732</f>
        <v>0</v>
      </c>
      <c r="AB458" s="962" t="n">
        <f aca="false">AB732</f>
        <v>0</v>
      </c>
      <c r="AC458" s="962" t="n">
        <f aca="false">AC732</f>
        <v>0</v>
      </c>
      <c r="AD458" s="962" t="n">
        <f aca="false">AD732</f>
        <v>0</v>
      </c>
      <c r="AE458" s="962" t="n">
        <f aca="false">AE732</f>
        <v>0</v>
      </c>
      <c r="AF458" s="962" t="n">
        <f aca="false">AF732</f>
        <v>0</v>
      </c>
      <c r="AG458" s="751"/>
    </row>
    <row r="459" customFormat="false" ht="11.25" hidden="false" customHeight="false" outlineLevel="0" collapsed="false">
      <c r="A459" s="934"/>
      <c r="B459" s="346"/>
      <c r="C459" s="948" t="s">
        <v>848</v>
      </c>
      <c r="D459" s="346"/>
      <c r="E459" s="1007" t="n">
        <f aca="false">+Debt!H18</f>
        <v>479637.116332</v>
      </c>
      <c r="F459" s="964"/>
      <c r="G459" s="346"/>
      <c r="H459" s="1008" t="n">
        <f aca="false">E459</f>
        <v>479637.116332</v>
      </c>
      <c r="I459" s="469" t="n">
        <f aca="false">(I729-I732-I731)-H459</f>
        <v>0</v>
      </c>
      <c r="J459" s="469" t="n">
        <f aca="false">J729-J460</f>
        <v>0</v>
      </c>
      <c r="K459" s="469" t="n">
        <f aca="false">K729-K460</f>
        <v>0</v>
      </c>
      <c r="L459" s="469" t="n">
        <f aca="false">L729-L460</f>
        <v>0</v>
      </c>
      <c r="M459" s="469" t="n">
        <f aca="false">M729-M460</f>
        <v>0</v>
      </c>
      <c r="N459" s="469" t="n">
        <f aca="false">N729-N460</f>
        <v>0</v>
      </c>
      <c r="O459" s="469" t="n">
        <f aca="false">O729-O460</f>
        <v>0</v>
      </c>
      <c r="P459" s="469" t="n">
        <f aca="false">P729-P460</f>
        <v>0</v>
      </c>
      <c r="Q459" s="469" t="n">
        <f aca="false">Q729-Q460</f>
        <v>0</v>
      </c>
      <c r="R459" s="469" t="n">
        <f aca="false">R729-R460</f>
        <v>0</v>
      </c>
      <c r="S459" s="963" t="n">
        <f aca="false">S729-S460</f>
        <v>0</v>
      </c>
      <c r="T459" s="963" t="n">
        <f aca="false">T729-T460</f>
        <v>0</v>
      </c>
      <c r="U459" s="963" t="n">
        <f aca="false">U729-U460</f>
        <v>0</v>
      </c>
      <c r="V459" s="963" t="n">
        <f aca="false">V729-V460</f>
        <v>0</v>
      </c>
      <c r="W459" s="963" t="n">
        <f aca="false">W729-W460</f>
        <v>0</v>
      </c>
      <c r="X459" s="963" t="n">
        <f aca="false">X729-X460</f>
        <v>0</v>
      </c>
      <c r="Y459" s="963" t="n">
        <f aca="false">Y729-Y460</f>
        <v>0</v>
      </c>
      <c r="Z459" s="963" t="n">
        <f aca="false">Z729-Z460</f>
        <v>0</v>
      </c>
      <c r="AA459" s="963" t="n">
        <f aca="false">AA729-AA460</f>
        <v>0</v>
      </c>
      <c r="AB459" s="963" t="n">
        <f aca="false">AB729-AB460</f>
        <v>0</v>
      </c>
      <c r="AC459" s="963" t="n">
        <f aca="false">AC729-AC460</f>
        <v>0</v>
      </c>
      <c r="AD459" s="963" t="n">
        <f aca="false">AD729-AD460</f>
        <v>0</v>
      </c>
      <c r="AE459" s="963" t="n">
        <f aca="false">AE729-AE460</f>
        <v>0</v>
      </c>
      <c r="AF459" s="963" t="n">
        <f aca="false">AF729-AF460</f>
        <v>0</v>
      </c>
      <c r="AG459" s="751"/>
    </row>
    <row r="460" customFormat="false" ht="11.25" hidden="false" customHeight="false" outlineLevel="0" collapsed="false">
      <c r="A460" s="934"/>
      <c r="B460" s="346"/>
      <c r="C460" s="948" t="s">
        <v>696</v>
      </c>
      <c r="D460" s="346"/>
      <c r="E460" s="1009" t="n">
        <v>0</v>
      </c>
      <c r="F460" s="964"/>
      <c r="G460" s="346"/>
      <c r="H460" s="1010" t="n">
        <f aca="false">E460</f>
        <v>0</v>
      </c>
      <c r="I460" s="1011" t="n">
        <f aca="false">I731-H460</f>
        <v>0</v>
      </c>
      <c r="J460" s="1011" t="n">
        <f aca="false">J731</f>
        <v>0</v>
      </c>
      <c r="K460" s="1011" t="n">
        <f aca="false">K731</f>
        <v>0</v>
      </c>
      <c r="L460" s="1011" t="n">
        <f aca="false">L731</f>
        <v>0</v>
      </c>
      <c r="M460" s="1011" t="n">
        <f aca="false">M731</f>
        <v>0</v>
      </c>
      <c r="N460" s="1011" t="n">
        <f aca="false">N731</f>
        <v>0</v>
      </c>
      <c r="O460" s="1011" t="n">
        <f aca="false">O731</f>
        <v>0</v>
      </c>
      <c r="P460" s="1011" t="n">
        <f aca="false">P731</f>
        <v>0</v>
      </c>
      <c r="Q460" s="1011" t="n">
        <f aca="false">Q731</f>
        <v>0</v>
      </c>
      <c r="R460" s="1011" t="n">
        <f aca="false">R731</f>
        <v>0</v>
      </c>
      <c r="S460" s="1011" t="n">
        <f aca="false">S731</f>
        <v>0</v>
      </c>
      <c r="T460" s="1011" t="n">
        <f aca="false">T731</f>
        <v>0</v>
      </c>
      <c r="U460" s="1011" t="n">
        <f aca="false">U731</f>
        <v>0</v>
      </c>
      <c r="V460" s="1011" t="n">
        <f aca="false">V731</f>
        <v>0</v>
      </c>
      <c r="W460" s="1011" t="n">
        <f aca="false">W731</f>
        <v>0</v>
      </c>
      <c r="X460" s="1011" t="n">
        <f aca="false">X731</f>
        <v>0</v>
      </c>
      <c r="Y460" s="1011" t="n">
        <f aca="false">Y731</f>
        <v>0</v>
      </c>
      <c r="Z460" s="1011" t="n">
        <f aca="false">Z731</f>
        <v>0</v>
      </c>
      <c r="AA460" s="1011" t="n">
        <f aca="false">AA731</f>
        <v>0</v>
      </c>
      <c r="AB460" s="1011" t="n">
        <f aca="false">AB731</f>
        <v>0</v>
      </c>
      <c r="AC460" s="1011" t="n">
        <f aca="false">AC731</f>
        <v>0</v>
      </c>
      <c r="AD460" s="1011" t="n">
        <f aca="false">AD731</f>
        <v>0</v>
      </c>
      <c r="AE460" s="1011" t="n">
        <f aca="false">AE731</f>
        <v>0</v>
      </c>
      <c r="AF460" s="1011" t="n">
        <f aca="false">AF731</f>
        <v>0</v>
      </c>
      <c r="AG460" s="751"/>
    </row>
    <row r="461" customFormat="false" ht="11.25" hidden="false" customHeight="false" outlineLevel="0" collapsed="false">
      <c r="A461" s="934"/>
      <c r="B461" s="346" t="s">
        <v>849</v>
      </c>
      <c r="C461" s="346"/>
      <c r="D461" s="346"/>
      <c r="E461" s="1003" t="n">
        <v>0</v>
      </c>
      <c r="F461" s="964"/>
      <c r="G461" s="346"/>
      <c r="H461" s="1003" t="n">
        <v>0</v>
      </c>
      <c r="I461" s="1003" t="n">
        <v>0</v>
      </c>
      <c r="J461" s="1003" t="n">
        <v>0</v>
      </c>
      <c r="K461" s="1003" t="n">
        <v>0</v>
      </c>
      <c r="L461" s="1003" t="n">
        <v>0</v>
      </c>
      <c r="M461" s="1003" t="n">
        <v>0</v>
      </c>
      <c r="N461" s="1003" t="n">
        <v>0</v>
      </c>
      <c r="O461" s="1003" t="n">
        <v>0</v>
      </c>
      <c r="P461" s="1003" t="n">
        <v>0</v>
      </c>
      <c r="Q461" s="1003" t="n">
        <v>0</v>
      </c>
      <c r="R461" s="1003" t="n">
        <v>0</v>
      </c>
      <c r="S461" s="1003" t="n">
        <v>0</v>
      </c>
      <c r="T461" s="1003" t="n">
        <v>0</v>
      </c>
      <c r="U461" s="1003" t="n">
        <v>0</v>
      </c>
      <c r="V461" s="1003" t="n">
        <v>0</v>
      </c>
      <c r="W461" s="1003" t="n">
        <v>0</v>
      </c>
      <c r="X461" s="1003" t="n">
        <v>0</v>
      </c>
      <c r="Y461" s="1003" t="n">
        <v>0</v>
      </c>
      <c r="Z461" s="1003" t="n">
        <v>0</v>
      </c>
      <c r="AA461" s="1003" t="n">
        <v>0</v>
      </c>
      <c r="AB461" s="1003" t="n">
        <v>0</v>
      </c>
      <c r="AC461" s="1003" t="n">
        <v>0</v>
      </c>
      <c r="AD461" s="1003" t="n">
        <v>0</v>
      </c>
      <c r="AE461" s="1003" t="n">
        <v>0</v>
      </c>
      <c r="AF461" s="1003" t="n">
        <v>0</v>
      </c>
      <c r="AG461" s="751"/>
    </row>
    <row r="462" customFormat="false" ht="11.25" hidden="false" customHeight="false" outlineLevel="0" collapsed="false">
      <c r="A462" s="934"/>
      <c r="B462" s="346" t="s">
        <v>850</v>
      </c>
      <c r="C462" s="346"/>
      <c r="D462" s="346"/>
      <c r="E462" s="949" t="n">
        <v>0</v>
      </c>
      <c r="F462" s="964"/>
      <c r="G462" s="346"/>
      <c r="H462" s="1003" t="n">
        <f aca="false">E462</f>
        <v>0</v>
      </c>
      <c r="I462" s="904" t="n">
        <f aca="false">-I579</f>
        <v>-0</v>
      </c>
      <c r="J462" s="904" t="n">
        <f aca="false">-J579</f>
        <v>-0</v>
      </c>
      <c r="K462" s="904" t="n">
        <f aca="false">-K579</f>
        <v>-0</v>
      </c>
      <c r="L462" s="904" t="n">
        <f aca="false">-L579</f>
        <v>-0</v>
      </c>
      <c r="M462" s="904" t="n">
        <f aca="false">-M579</f>
        <v>-0</v>
      </c>
      <c r="N462" s="904" t="n">
        <f aca="false">-N579</f>
        <v>-0</v>
      </c>
      <c r="O462" s="904" t="n">
        <f aca="false">-O579</f>
        <v>-0</v>
      </c>
      <c r="P462" s="904" t="n">
        <f aca="false">-P579</f>
        <v>-0</v>
      </c>
      <c r="Q462" s="904" t="n">
        <f aca="false">-Q579</f>
        <v>-0</v>
      </c>
      <c r="R462" s="904" t="n">
        <f aca="false">-R579</f>
        <v>-0</v>
      </c>
      <c r="S462" s="904" t="n">
        <f aca="false">-S579</f>
        <v>-0</v>
      </c>
      <c r="T462" s="904" t="n">
        <f aca="false">-T579</f>
        <v>-0</v>
      </c>
      <c r="U462" s="904" t="n">
        <f aca="false">-U579</f>
        <v>-0</v>
      </c>
      <c r="V462" s="904" t="n">
        <f aca="false">-V579</f>
        <v>-0</v>
      </c>
      <c r="W462" s="904" t="n">
        <f aca="false">-W579</f>
        <v>-0</v>
      </c>
      <c r="X462" s="904" t="n">
        <f aca="false">-X579</f>
        <v>-0</v>
      </c>
      <c r="Y462" s="904" t="n">
        <f aca="false">-Y579</f>
        <v>-0</v>
      </c>
      <c r="Z462" s="904" t="n">
        <f aca="false">-Z579</f>
        <v>-0</v>
      </c>
      <c r="AA462" s="904" t="n">
        <f aca="false">-AA579</f>
        <v>-0</v>
      </c>
      <c r="AB462" s="904" t="n">
        <f aca="false">-AB579</f>
        <v>-0</v>
      </c>
      <c r="AC462" s="904" t="n">
        <f aca="false">-AC579</f>
        <v>-0</v>
      </c>
      <c r="AD462" s="904" t="n">
        <f aca="false">-AD579</f>
        <v>-0</v>
      </c>
      <c r="AE462" s="904" t="n">
        <f aca="false">-AE579</f>
        <v>-0</v>
      </c>
      <c r="AF462" s="904" t="n">
        <f aca="false">-AF579</f>
        <v>-0</v>
      </c>
      <c r="AG462" s="751"/>
    </row>
    <row r="463" customFormat="false" ht="11.25" hidden="false" customHeight="false" outlineLevel="0" collapsed="false">
      <c r="A463" s="934"/>
      <c r="B463" s="1001" t="s">
        <v>851</v>
      </c>
      <c r="C463" s="751"/>
      <c r="D463" s="751"/>
      <c r="E463" s="950" t="e">
        <f aca="false">I473+I474</f>
        <v>#VALUE!</v>
      </c>
      <c r="F463" s="964"/>
      <c r="G463" s="346"/>
      <c r="H463" s="1012" t="e">
        <f aca="false">E463</f>
        <v>#VALUE!</v>
      </c>
      <c r="I463" s="1012"/>
      <c r="J463" s="1012"/>
      <c r="K463" s="1012" t="n">
        <f aca="false">+K340</f>
        <v>0</v>
      </c>
      <c r="L463" s="1012"/>
      <c r="M463" s="1012"/>
      <c r="N463" s="1012"/>
      <c r="O463" s="1012"/>
      <c r="P463" s="1012"/>
      <c r="Q463" s="1012"/>
      <c r="R463" s="1012"/>
      <c r="S463" s="1012"/>
      <c r="T463" s="1012"/>
      <c r="U463" s="1012"/>
      <c r="V463" s="1012"/>
      <c r="W463" s="1012"/>
      <c r="X463" s="1012"/>
      <c r="Y463" s="1012"/>
      <c r="Z463" s="1012"/>
      <c r="AA463" s="1012"/>
      <c r="AB463" s="1012"/>
      <c r="AC463" s="1012"/>
      <c r="AD463" s="1012"/>
      <c r="AE463" s="1012"/>
      <c r="AF463" s="1012"/>
      <c r="AG463" s="751"/>
    </row>
    <row r="464" customFormat="false" ht="11.25" hidden="false" customHeight="false" outlineLevel="0" collapsed="false">
      <c r="A464" s="934"/>
      <c r="B464" s="1001" t="s">
        <v>852</v>
      </c>
      <c r="C464" s="751"/>
      <c r="D464" s="751"/>
      <c r="E464" s="986" t="e">
        <f aca="false">+Debt!H20+Debt!H21</f>
        <v>#VALUE!</v>
      </c>
      <c r="F464" s="964"/>
      <c r="G464" s="346"/>
      <c r="H464" s="904" t="e">
        <f aca="false">H455-SUM(H458:H463)</f>
        <v>#VALUE!</v>
      </c>
      <c r="I464" s="904" t="n">
        <f aca="false">I455-SUM(I458:I463)</f>
        <v>-48563.258028615</v>
      </c>
      <c r="J464" s="904" t="n">
        <f aca="false">J455-SUM(J458:J463)</f>
        <v>0</v>
      </c>
      <c r="K464" s="904" t="n">
        <f aca="false">K455-SUM(K458:K463)</f>
        <v>0</v>
      </c>
      <c r="L464" s="904" t="n">
        <f aca="false">L455-SUM(L458:L463)</f>
        <v>0</v>
      </c>
      <c r="M464" s="904" t="n">
        <f aca="false">M455-SUM(M458:M463)</f>
        <v>0</v>
      </c>
      <c r="N464" s="904" t="n">
        <f aca="false">N455-SUM(N458:N463)</f>
        <v>0</v>
      </c>
      <c r="O464" s="904" t="n">
        <f aca="false">O455-SUM(O458:O463)</f>
        <v>0</v>
      </c>
      <c r="P464" s="904" t="n">
        <f aca="false">P455-SUM(P458:P463)</f>
        <v>0</v>
      </c>
      <c r="Q464" s="904" t="n">
        <f aca="false">Q455-SUM(Q458:Q463)</f>
        <v>0</v>
      </c>
      <c r="R464" s="904" t="n">
        <f aca="false">R455-SUM(R458:R463)</f>
        <v>0</v>
      </c>
      <c r="S464" s="904" t="n">
        <f aca="false">S455-SUM(S458:S463)</f>
        <v>0</v>
      </c>
      <c r="T464" s="904" t="n">
        <f aca="false">T455-SUM(T458:T463)</f>
        <v>0</v>
      </c>
      <c r="U464" s="904" t="n">
        <f aca="false">U455-SUM(U458:U463)</f>
        <v>0</v>
      </c>
      <c r="V464" s="904" t="n">
        <f aca="false">V455-SUM(V458:V463)</f>
        <v>0</v>
      </c>
      <c r="W464" s="904" t="n">
        <f aca="false">W455-SUM(W458:W463)</f>
        <v>0</v>
      </c>
      <c r="X464" s="904" t="n">
        <f aca="false">X455-SUM(X458:X463)</f>
        <v>0</v>
      </c>
      <c r="Y464" s="904" t="n">
        <f aca="false">Y455-SUM(Y458:Y463)</f>
        <v>0</v>
      </c>
      <c r="Z464" s="904" t="n">
        <f aca="false">Z455-SUM(Z458:Z463)</f>
        <v>0</v>
      </c>
      <c r="AA464" s="904" t="n">
        <f aca="false">AA455-SUM(AA458:AA463)</f>
        <v>0</v>
      </c>
      <c r="AB464" s="904" t="n">
        <f aca="false">AB455-SUM(AB458:AB463)</f>
        <v>0</v>
      </c>
      <c r="AC464" s="904" t="n">
        <f aca="false">AC455-SUM(AC458:AC463)</f>
        <v>0</v>
      </c>
      <c r="AD464" s="904" t="n">
        <f aca="false">AD455-SUM(AD458:AD463)</f>
        <v>0</v>
      </c>
      <c r="AE464" s="904" t="n">
        <f aca="false">AE455-SUM(AE458:AE463)</f>
        <v>0</v>
      </c>
      <c r="AF464" s="904" t="n">
        <f aca="false">AF455-SUM(AF458:AF463)</f>
        <v>0</v>
      </c>
      <c r="AG464" s="751"/>
    </row>
    <row r="465" customFormat="false" ht="11.25" hidden="false" customHeight="false" outlineLevel="0" collapsed="false">
      <c r="A465" s="934"/>
      <c r="B465" s="751"/>
      <c r="C465" s="751"/>
      <c r="D465" s="751"/>
      <c r="E465" s="950"/>
      <c r="F465" s="964"/>
      <c r="G465" s="346"/>
      <c r="H465" s="751"/>
      <c r="I465" s="751"/>
      <c r="J465" s="751"/>
      <c r="K465" s="751"/>
      <c r="L465" s="751"/>
      <c r="M465" s="751"/>
      <c r="N465" s="751"/>
      <c r="O465" s="751"/>
      <c r="P465" s="751"/>
      <c r="Q465" s="751"/>
      <c r="R465" s="751"/>
      <c r="S465" s="751"/>
      <c r="T465" s="751"/>
      <c r="U465" s="751"/>
      <c r="V465" s="751"/>
      <c r="W465" s="751"/>
      <c r="X465" s="751"/>
      <c r="Y465" s="751"/>
      <c r="Z465" s="751"/>
      <c r="AA465" s="751"/>
      <c r="AB465" s="751"/>
      <c r="AC465" s="751"/>
      <c r="AD465" s="751"/>
      <c r="AE465" s="751"/>
      <c r="AF465" s="751"/>
      <c r="AG465" s="751"/>
    </row>
    <row r="466" customFormat="false" ht="11.25" hidden="false" customHeight="false" outlineLevel="0" collapsed="false">
      <c r="A466" s="934"/>
      <c r="B466" s="955" t="s">
        <v>853</v>
      </c>
      <c r="C466" s="751"/>
      <c r="D466" s="751"/>
      <c r="E466" s="950" t="e">
        <f aca="false">SUM(E458:E465)</f>
        <v>#VALUE!</v>
      </c>
      <c r="F466" s="964"/>
      <c r="G466" s="346"/>
      <c r="H466" s="958" t="e">
        <f aca="false">SUM(H458:H465)</f>
        <v>#VALUE!</v>
      </c>
      <c r="I466" s="958" t="n">
        <f aca="false">SUM(I458:I465)</f>
        <v>0</v>
      </c>
      <c r="J466" s="958" t="n">
        <f aca="false">SUM(J458:J465)</f>
        <v>0</v>
      </c>
      <c r="K466" s="958" t="n">
        <f aca="false">SUM(K458:K465)</f>
        <v>0</v>
      </c>
      <c r="L466" s="958" t="n">
        <f aca="false">SUM(L458:L465)</f>
        <v>0</v>
      </c>
      <c r="M466" s="958" t="n">
        <f aca="false">SUM(M458:M465)</f>
        <v>0</v>
      </c>
      <c r="N466" s="958" t="n">
        <f aca="false">SUM(N458:N465)</f>
        <v>0</v>
      </c>
      <c r="O466" s="958" t="n">
        <f aca="false">SUM(O458:O465)</f>
        <v>0</v>
      </c>
      <c r="P466" s="958" t="n">
        <f aca="false">SUM(P458:P465)</f>
        <v>0</v>
      </c>
      <c r="Q466" s="958" t="n">
        <f aca="false">SUM(Q458:Q465)</f>
        <v>0</v>
      </c>
      <c r="R466" s="958" t="n">
        <f aca="false">SUM(R458:R465)</f>
        <v>0</v>
      </c>
      <c r="S466" s="958" t="n">
        <f aca="false">SUM(S458:S465)</f>
        <v>0</v>
      </c>
      <c r="T466" s="958" t="n">
        <f aca="false">SUM(T458:T465)</f>
        <v>0</v>
      </c>
      <c r="U466" s="958" t="n">
        <f aca="false">SUM(U458:U465)</f>
        <v>0</v>
      </c>
      <c r="V466" s="958" t="n">
        <f aca="false">SUM(V458:V465)</f>
        <v>0</v>
      </c>
      <c r="W466" s="958" t="n">
        <f aca="false">SUM(W458:W465)</f>
        <v>0</v>
      </c>
      <c r="X466" s="958" t="n">
        <f aca="false">SUM(X458:X465)</f>
        <v>0</v>
      </c>
      <c r="Y466" s="958" t="n">
        <f aca="false">SUM(Y458:Y465)</f>
        <v>0</v>
      </c>
      <c r="Z466" s="958" t="n">
        <f aca="false">SUM(Z458:Z465)</f>
        <v>0</v>
      </c>
      <c r="AA466" s="958" t="n">
        <f aca="false">SUM(AA458:AA465)</f>
        <v>0</v>
      </c>
      <c r="AB466" s="958" t="n">
        <f aca="false">SUM(AB458:AB465)</f>
        <v>0</v>
      </c>
      <c r="AC466" s="958" t="n">
        <f aca="false">SUM(AC458:AC465)</f>
        <v>0</v>
      </c>
      <c r="AD466" s="958" t="n">
        <f aca="false">SUM(AD458:AD465)</f>
        <v>0</v>
      </c>
      <c r="AE466" s="958" t="n">
        <f aca="false">SUM(AE458:AE465)</f>
        <v>0</v>
      </c>
      <c r="AF466" s="958" t="n">
        <f aca="false">SUM(AF458:AF465)</f>
        <v>0</v>
      </c>
      <c r="AG466" s="751"/>
    </row>
    <row r="467" customFormat="false" ht="11.25" hidden="false" customHeight="false" outlineLevel="0" collapsed="false">
      <c r="A467" s="934"/>
      <c r="B467" s="938"/>
      <c r="C467" s="1013" t="s">
        <v>854</v>
      </c>
      <c r="D467" s="751"/>
      <c r="E467" s="992" t="e">
        <f aca="false">E466-E455</f>
        <v>#VALUE!</v>
      </c>
      <c r="F467" s="964"/>
      <c r="G467" s="346"/>
      <c r="H467" s="992" t="e">
        <f aca="false">H466-H455</f>
        <v>#VALUE!</v>
      </c>
      <c r="I467" s="992" t="n">
        <f aca="false">I466-I455</f>
        <v>0</v>
      </c>
      <c r="J467" s="992" t="n">
        <f aca="false">J466-J455</f>
        <v>0</v>
      </c>
      <c r="K467" s="992" t="n">
        <f aca="false">K466-K455</f>
        <v>0</v>
      </c>
      <c r="L467" s="992" t="n">
        <f aca="false">L466-L455</f>
        <v>0</v>
      </c>
      <c r="M467" s="992" t="n">
        <f aca="false">M466-M455</f>
        <v>0</v>
      </c>
      <c r="N467" s="992" t="n">
        <f aca="false">N466-N455</f>
        <v>0</v>
      </c>
      <c r="O467" s="992" t="n">
        <f aca="false">O466-O455</f>
        <v>0</v>
      </c>
      <c r="P467" s="992" t="n">
        <f aca="false">P466-P455</f>
        <v>0</v>
      </c>
      <c r="Q467" s="992" t="n">
        <f aca="false">Q466-Q455</f>
        <v>0</v>
      </c>
      <c r="R467" s="992" t="n">
        <f aca="false">R466-R455</f>
        <v>0</v>
      </c>
      <c r="S467" s="992" t="n">
        <f aca="false">S466-S455</f>
        <v>0</v>
      </c>
      <c r="T467" s="992" t="n">
        <f aca="false">T466-T455</f>
        <v>0</v>
      </c>
      <c r="U467" s="992" t="n">
        <f aca="false">U466-U455</f>
        <v>0</v>
      </c>
      <c r="V467" s="992" t="n">
        <f aca="false">V466-V455</f>
        <v>0</v>
      </c>
      <c r="W467" s="992" t="n">
        <f aca="false">W466-W455</f>
        <v>0</v>
      </c>
      <c r="X467" s="992" t="n">
        <f aca="false">X466-X455</f>
        <v>0</v>
      </c>
      <c r="Y467" s="992" t="n">
        <f aca="false">Y466-Y455</f>
        <v>0</v>
      </c>
      <c r="Z467" s="992" t="n">
        <f aca="false">Z466-Z455</f>
        <v>0</v>
      </c>
      <c r="AA467" s="992" t="n">
        <f aca="false">AA466-AA455</f>
        <v>0</v>
      </c>
      <c r="AB467" s="992" t="n">
        <f aca="false">AB466-AB455</f>
        <v>0</v>
      </c>
      <c r="AC467" s="992" t="n">
        <f aca="false">AC466-AC455</f>
        <v>0</v>
      </c>
      <c r="AD467" s="992" t="n">
        <f aca="false">AD466-AD455</f>
        <v>0</v>
      </c>
      <c r="AE467" s="992" t="n">
        <f aca="false">AE466-AE455</f>
        <v>0</v>
      </c>
      <c r="AF467" s="992" t="n">
        <f aca="false">AF466-AF455</f>
        <v>0</v>
      </c>
      <c r="AG467" s="751"/>
    </row>
    <row r="468" customFormat="false" ht="11.25" hidden="false" customHeight="false" outlineLevel="0" collapsed="false">
      <c r="A468" s="934"/>
      <c r="B468" s="346"/>
      <c r="C468" s="346"/>
      <c r="D468" s="346"/>
      <c r="E468" s="346"/>
      <c r="F468" s="964"/>
      <c r="G468" s="346"/>
      <c r="H468" s="751"/>
      <c r="I468" s="751"/>
      <c r="J468" s="751"/>
      <c r="K468" s="751"/>
      <c r="L468" s="751"/>
      <c r="M468" s="751"/>
      <c r="N468" s="751"/>
      <c r="O468" s="751"/>
      <c r="P468" s="751"/>
      <c r="Q468" s="751"/>
      <c r="R468" s="751"/>
      <c r="S468" s="751"/>
      <c r="T468" s="751"/>
      <c r="U468" s="751"/>
      <c r="V468" s="751"/>
      <c r="W468" s="751"/>
      <c r="X468" s="751"/>
      <c r="Y468" s="751"/>
      <c r="Z468" s="751"/>
      <c r="AA468" s="751"/>
      <c r="AB468" s="751"/>
      <c r="AC468" s="751"/>
      <c r="AD468" s="751"/>
      <c r="AE468" s="751"/>
      <c r="AF468" s="751"/>
      <c r="AG468" s="751"/>
    </row>
    <row r="469" customFormat="false" ht="12" hidden="false" customHeight="false" outlineLevel="0" collapsed="false">
      <c r="A469" s="934"/>
      <c r="B469" s="751"/>
      <c r="C469" s="751"/>
      <c r="D469" s="751"/>
      <c r="E469" s="751"/>
      <c r="F469" s="751"/>
      <c r="G469" s="751"/>
      <c r="H469" s="751"/>
      <c r="I469" s="751"/>
      <c r="J469" s="751"/>
      <c r="K469" s="751"/>
      <c r="L469" s="751"/>
      <c r="M469" s="751"/>
      <c r="N469" s="751"/>
      <c r="O469" s="751"/>
      <c r="P469" s="751"/>
      <c r="Q469" s="751"/>
      <c r="R469" s="751"/>
      <c r="S469" s="751"/>
      <c r="T469" s="751"/>
      <c r="U469" s="751"/>
      <c r="V469" s="751"/>
      <c r="W469" s="751"/>
      <c r="X469" s="751"/>
      <c r="Y469" s="751"/>
      <c r="Z469" s="751"/>
      <c r="AA469" s="751"/>
      <c r="AB469" s="751"/>
      <c r="AC469" s="751"/>
      <c r="AD469" s="751"/>
      <c r="AE469" s="751"/>
      <c r="AF469" s="751"/>
      <c r="AG469" s="751"/>
    </row>
    <row r="470" customFormat="false" ht="12.75" hidden="false" customHeight="false" outlineLevel="0" collapsed="false">
      <c r="A470" s="995"/>
      <c r="B470" s="919"/>
      <c r="C470" s="919"/>
      <c r="D470" s="919"/>
      <c r="E470" s="919"/>
      <c r="F470" s="919"/>
      <c r="G470" s="919"/>
      <c r="H470" s="919"/>
      <c r="I470" s="919"/>
      <c r="J470" s="919"/>
      <c r="K470" s="919"/>
      <c r="L470" s="919"/>
      <c r="M470" s="919"/>
      <c r="N470" s="919"/>
      <c r="O470" s="919"/>
      <c r="P470" s="919"/>
      <c r="Q470" s="919"/>
      <c r="R470" s="919"/>
      <c r="S470" s="919"/>
      <c r="T470" s="919"/>
      <c r="U470" s="919"/>
      <c r="V470" s="919"/>
      <c r="W470" s="919"/>
      <c r="X470" s="919"/>
      <c r="Y470" s="919"/>
      <c r="Z470" s="919"/>
      <c r="AA470" s="919"/>
      <c r="AB470" s="919"/>
      <c r="AC470" s="919"/>
      <c r="AD470" s="919"/>
      <c r="AE470" s="919"/>
      <c r="AF470" s="919"/>
      <c r="AG470" s="751"/>
    </row>
    <row r="471" customFormat="false" ht="12.75" hidden="false" customHeight="false" outlineLevel="0" collapsed="false">
      <c r="A471" s="841" t="s">
        <v>855</v>
      </c>
      <c r="B471" s="751"/>
      <c r="C471" s="469"/>
      <c r="D471" s="751"/>
      <c r="E471" s="469"/>
      <c r="F471" s="1014" t="s">
        <v>856</v>
      </c>
      <c r="G471" s="1014" t="s">
        <v>857</v>
      </c>
      <c r="H471" s="1014"/>
      <c r="I471" s="751"/>
      <c r="J471" s="751"/>
      <c r="K471" s="751"/>
      <c r="L471" s="751"/>
      <c r="M471" s="751"/>
      <c r="N471" s="751"/>
      <c r="O471" s="751"/>
      <c r="P471" s="751"/>
      <c r="Q471" s="751"/>
      <c r="R471" s="751"/>
      <c r="S471" s="751"/>
      <c r="T471" s="751"/>
      <c r="U471" s="751"/>
      <c r="V471" s="751"/>
      <c r="W471" s="751"/>
      <c r="X471" s="751"/>
      <c r="Y471" s="751"/>
      <c r="Z471" s="751"/>
      <c r="AA471" s="751"/>
      <c r="AB471" s="751"/>
      <c r="AC471" s="751"/>
      <c r="AD471" s="751"/>
      <c r="AE471" s="751"/>
      <c r="AF471" s="751"/>
      <c r="AG471" s="751"/>
    </row>
    <row r="472" customFormat="false" ht="12.75" hidden="false" customHeight="false" outlineLevel="0" collapsed="false">
      <c r="A472" s="934"/>
      <c r="B472" s="751"/>
      <c r="C472" s="1015" t="s">
        <v>858</v>
      </c>
      <c r="D472" s="751"/>
      <c r="E472" s="1015" t="s">
        <v>443</v>
      </c>
      <c r="F472" s="1016" t="s">
        <v>859</v>
      </c>
      <c r="G472" s="1016" t="s">
        <v>860</v>
      </c>
      <c r="H472" s="1016"/>
      <c r="I472" s="1017" t="n">
        <f aca="false">I$599</f>
        <v>37986</v>
      </c>
      <c r="J472" s="1018" t="n">
        <f aca="false">J$599</f>
        <v>38352</v>
      </c>
      <c r="K472" s="1018" t="n">
        <f aca="false">K$599</f>
        <v>38717</v>
      </c>
      <c r="L472" s="1018" t="n">
        <f aca="false">L$599</f>
        <v>39082</v>
      </c>
      <c r="M472" s="1018" t="n">
        <f aca="false">M$599</f>
        <v>39447</v>
      </c>
      <c r="N472" s="1018" t="n">
        <f aca="false">N$599</f>
        <v>39813</v>
      </c>
      <c r="O472" s="1018" t="n">
        <f aca="false">O$599</f>
        <v>40178</v>
      </c>
      <c r="P472" s="1018" t="n">
        <f aca="false">P$599</f>
        <v>40543</v>
      </c>
      <c r="Q472" s="1018" t="n">
        <f aca="false">Q$599</f>
        <v>40908</v>
      </c>
      <c r="R472" s="1018" t="n">
        <f aca="false">R$599</f>
        <v>41274</v>
      </c>
      <c r="S472" s="1018" t="n">
        <f aca="false">S$599</f>
        <v>41639</v>
      </c>
      <c r="T472" s="1018" t="n">
        <f aca="false">T$599</f>
        <v>42004</v>
      </c>
      <c r="U472" s="1018" t="n">
        <f aca="false">U$599</f>
        <v>42369</v>
      </c>
      <c r="V472" s="1018" t="n">
        <f aca="false">V$599</f>
        <v>42735</v>
      </c>
      <c r="W472" s="1018" t="n">
        <f aca="false">W$599</f>
        <v>43100</v>
      </c>
      <c r="X472" s="1018" t="n">
        <f aca="false">X$599</f>
        <v>43465</v>
      </c>
      <c r="Y472" s="1018" t="n">
        <f aca="false">Y$599</f>
        <v>43830</v>
      </c>
      <c r="Z472" s="1018" t="n">
        <f aca="false">Z$599</f>
        <v>44196</v>
      </c>
      <c r="AA472" s="1018" t="n">
        <f aca="false">AA$599</f>
        <v>44561</v>
      </c>
      <c r="AB472" s="1018" t="n">
        <f aca="false">AB$599</f>
        <v>44926</v>
      </c>
      <c r="AC472" s="1018" t="n">
        <f aca="false">AC$599</f>
        <v>45291</v>
      </c>
      <c r="AD472" s="1018" t="n">
        <f aca="false">AD$599</f>
        <v>45657</v>
      </c>
      <c r="AE472" s="1018" t="n">
        <f aca="false">AE$599</f>
        <v>46022</v>
      </c>
      <c r="AF472" s="1018" t="n">
        <f aca="false">AF$599</f>
        <v>46387</v>
      </c>
      <c r="AG472" s="751"/>
    </row>
    <row r="473" customFormat="false" ht="12" hidden="false" customHeight="false" outlineLevel="0" collapsed="false">
      <c r="A473" s="934" t="s">
        <v>861</v>
      </c>
      <c r="B473" s="751"/>
      <c r="C473" s="751"/>
      <c r="D473" s="751"/>
      <c r="E473" s="939" t="n">
        <v>0</v>
      </c>
      <c r="F473" s="944" t="s">
        <v>862</v>
      </c>
      <c r="G473" s="938"/>
      <c r="H473" s="944" t="s">
        <v>863</v>
      </c>
      <c r="I473" s="992" t="n">
        <f aca="false">E473+E474</f>
        <v>0</v>
      </c>
      <c r="J473" s="751"/>
      <c r="K473" s="751"/>
      <c r="L473" s="751"/>
      <c r="M473" s="751"/>
      <c r="N473" s="751"/>
      <c r="O473" s="751"/>
      <c r="P473" s="751"/>
      <c r="Q473" s="751"/>
      <c r="R473" s="751"/>
      <c r="S473" s="751"/>
      <c r="T473" s="751"/>
      <c r="U473" s="751"/>
      <c r="V473" s="751"/>
      <c r="W473" s="751"/>
      <c r="X473" s="751"/>
      <c r="Y473" s="751"/>
      <c r="Z473" s="751"/>
      <c r="AA473" s="751"/>
      <c r="AB473" s="751"/>
      <c r="AC473" s="751"/>
      <c r="AD473" s="751"/>
      <c r="AE473" s="751"/>
      <c r="AF473" s="751"/>
      <c r="AG473" s="751"/>
    </row>
    <row r="474" customFormat="false" ht="11.25" hidden="false" customHeight="false" outlineLevel="0" collapsed="false">
      <c r="A474" s="934" t="s">
        <v>864</v>
      </c>
      <c r="B474" s="751"/>
      <c r="C474" s="751"/>
      <c r="D474" s="751"/>
      <c r="E474" s="939" t="n">
        <v>0</v>
      </c>
      <c r="F474" s="944" t="s">
        <v>862</v>
      </c>
      <c r="G474" s="938"/>
      <c r="H474" s="944" t="s">
        <v>865</v>
      </c>
      <c r="I474" s="992" t="e">
        <f aca="false">E479-I473</f>
        <v>#VALUE!</v>
      </c>
      <c r="J474" s="751"/>
      <c r="K474" s="751"/>
      <c r="L474" s="751"/>
      <c r="M474" s="751"/>
      <c r="N474" s="751"/>
      <c r="O474" s="751"/>
      <c r="P474" s="751"/>
      <c r="Q474" s="751"/>
      <c r="R474" s="751"/>
      <c r="S474" s="751"/>
      <c r="T474" s="751"/>
      <c r="U474" s="751"/>
      <c r="V474" s="751"/>
      <c r="W474" s="751"/>
      <c r="X474" s="751"/>
      <c r="Y474" s="751"/>
      <c r="Z474" s="751"/>
      <c r="AA474" s="751"/>
      <c r="AB474" s="751"/>
      <c r="AC474" s="751"/>
      <c r="AD474" s="751"/>
      <c r="AE474" s="751"/>
      <c r="AF474" s="751"/>
      <c r="AG474" s="751"/>
    </row>
    <row r="475" customFormat="false" ht="11.25" hidden="false" customHeight="false" outlineLevel="0" collapsed="false">
      <c r="A475" s="934" t="s">
        <v>866</v>
      </c>
      <c r="B475" s="751"/>
      <c r="C475" s="751"/>
      <c r="D475" s="751"/>
      <c r="E475" s="751"/>
      <c r="F475" s="751"/>
      <c r="G475" s="938"/>
      <c r="H475" s="944" t="s">
        <v>867</v>
      </c>
      <c r="I475" s="751" t="n">
        <f aca="false">IF($C$442&gt;0,I473,0)</f>
        <v>0</v>
      </c>
      <c r="J475" s="751" t="n">
        <f aca="false">IF($C$442=0,I473,0)</f>
        <v>0</v>
      </c>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row>
    <row r="476" customFormat="false" ht="11.25" hidden="false" customHeight="false" outlineLevel="0" collapsed="false">
      <c r="A476" s="934" t="str">
        <f aca="false">"    "&amp;B451</f>
        <v>    Purchase Term Loan</v>
      </c>
      <c r="B476" s="751"/>
      <c r="C476" s="1019"/>
      <c r="D476" s="751"/>
      <c r="E476" s="751" t="e">
        <f aca="false">+Debt!H19</f>
        <v>#VALUE!</v>
      </c>
      <c r="F476" s="1020" t="n">
        <v>10</v>
      </c>
      <c r="G476" s="751"/>
      <c r="H476" s="751"/>
      <c r="I476" s="751" t="e">
        <f aca="false">$E476/$F476*$C$442</f>
        <v>#VALUE!</v>
      </c>
      <c r="J476" s="751" t="e">
        <f aca="false">$E476/$F476</f>
        <v>#VALUE!</v>
      </c>
      <c r="K476" s="751" t="e">
        <f aca="false">$E476/$F476</f>
        <v>#VALUE!</v>
      </c>
      <c r="L476" s="751" t="e">
        <f aca="false">$E476/$F476</f>
        <v>#VALUE!</v>
      </c>
      <c r="M476" s="751" t="e">
        <f aca="false">$E476/$F476</f>
        <v>#VALUE!</v>
      </c>
      <c r="N476" s="751" t="e">
        <f aca="false">$E476/$F476</f>
        <v>#VALUE!</v>
      </c>
      <c r="O476" s="751" t="e">
        <f aca="false">$E476/$F476</f>
        <v>#VALUE!</v>
      </c>
      <c r="P476" s="751" t="e">
        <f aca="false">$E476/$F476</f>
        <v>#VALUE!</v>
      </c>
      <c r="Q476" s="751" t="e">
        <f aca="false">$E476/$F476</f>
        <v>#VALUE!</v>
      </c>
      <c r="R476" s="751" t="e">
        <f aca="false">$E476/$F476</f>
        <v>#VALUE!</v>
      </c>
      <c r="S476" s="751" t="e">
        <f aca="false">$E476/$F476*C439</f>
        <v>#VALUE!</v>
      </c>
      <c r="T476" s="751"/>
      <c r="U476" s="751"/>
      <c r="V476" s="751"/>
      <c r="W476" s="751"/>
      <c r="X476" s="751"/>
      <c r="Y476" s="751"/>
      <c r="Z476" s="751"/>
      <c r="AA476" s="751"/>
      <c r="AB476" s="751"/>
      <c r="AC476" s="751"/>
      <c r="AD476" s="751"/>
      <c r="AE476" s="751"/>
      <c r="AF476" s="751"/>
      <c r="AG476" s="751"/>
    </row>
    <row r="477" customFormat="false" ht="11.25" hidden="false" customHeight="false" outlineLevel="0" collapsed="false">
      <c r="A477" s="934" t="str">
        <f aca="false">"    "&amp;B452</f>
        <v>    Scrubber Term Loan</v>
      </c>
      <c r="B477" s="751"/>
      <c r="C477" s="1019" t="n">
        <v>0.02</v>
      </c>
      <c r="D477" s="751"/>
      <c r="E477" s="1021" t="n">
        <v>0</v>
      </c>
      <c r="F477" s="1020" t="n">
        <v>10</v>
      </c>
      <c r="G477" s="751"/>
      <c r="H477" s="751"/>
      <c r="I477" s="1022" t="n">
        <v>0</v>
      </c>
      <c r="J477" s="1022" t="n">
        <v>0</v>
      </c>
      <c r="K477" s="751" t="n">
        <f aca="false">+Debt!$Q$19/Template!$F$477</f>
        <v>0</v>
      </c>
      <c r="L477" s="751" t="n">
        <f aca="false">+Debt!$Q$19/Template!$F$477</f>
        <v>0</v>
      </c>
      <c r="M477" s="751" t="n">
        <f aca="false">+Debt!$Q$19/Template!$F$477</f>
        <v>0</v>
      </c>
      <c r="N477" s="751" t="n">
        <f aca="false">+Debt!$Q$19/Template!$F$477</f>
        <v>0</v>
      </c>
      <c r="O477" s="751" t="n">
        <f aca="false">+Debt!$Q$19/Template!$F$477</f>
        <v>0</v>
      </c>
      <c r="P477" s="751" t="n">
        <f aca="false">+Debt!$Q$19/Template!$F$477</f>
        <v>0</v>
      </c>
      <c r="Q477" s="751" t="n">
        <f aca="false">+Debt!$Q$19/Template!$F$477</f>
        <v>0</v>
      </c>
      <c r="R477" s="751" t="n">
        <f aca="false">+Debt!$Q$19/Template!$F$477</f>
        <v>0</v>
      </c>
      <c r="S477" s="751" t="n">
        <f aca="false">+Debt!$Q$19/Template!$F$477</f>
        <v>0</v>
      </c>
      <c r="T477" s="751" t="n">
        <f aca="false">+Debt!$Q$19/Template!$F$477</f>
        <v>0</v>
      </c>
      <c r="U477" s="751"/>
      <c r="V477" s="751"/>
      <c r="W477" s="751"/>
      <c r="X477" s="751"/>
      <c r="Y477" s="751"/>
      <c r="Z477" s="751"/>
      <c r="AA477" s="751"/>
      <c r="AB477" s="751"/>
      <c r="AC477" s="751"/>
      <c r="AD477" s="751"/>
      <c r="AE477" s="751"/>
      <c r="AF477" s="751"/>
      <c r="AG477" s="751"/>
    </row>
    <row r="478" customFormat="false" ht="11.25" hidden="false" customHeight="false" outlineLevel="0" collapsed="false">
      <c r="A478" s="934" t="str">
        <f aca="false">"    "&amp;B453</f>
        <v>    Common Stock</v>
      </c>
      <c r="B478" s="751"/>
      <c r="C478" s="1019" t="n">
        <v>0</v>
      </c>
      <c r="D478" s="751"/>
      <c r="E478" s="751" t="e">
        <f aca="false">C478*SUM(H453:S453)</f>
        <v>#VALUE!</v>
      </c>
      <c r="F478" s="944" t="s">
        <v>862</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row>
    <row r="479" customFormat="false" ht="12" hidden="false" customHeight="false" outlineLevel="0" collapsed="false">
      <c r="A479" s="934" t="s">
        <v>868</v>
      </c>
      <c r="B479" s="751"/>
      <c r="C479" s="934" t="s">
        <v>297</v>
      </c>
      <c r="D479" s="751"/>
      <c r="E479" s="970" t="e">
        <f aca="false">SUM(E473:E478)</f>
        <v>#VALUE!</v>
      </c>
      <c r="F479" s="751"/>
      <c r="G479" s="934" t="s">
        <v>753</v>
      </c>
      <c r="H479" s="751"/>
      <c r="I479" s="970" t="e">
        <f aca="false">SUM(I475:I478)</f>
        <v>#VALUE!</v>
      </c>
      <c r="J479" s="970" t="e">
        <f aca="false">SUM(J475:J478)</f>
        <v>#VALUE!</v>
      </c>
      <c r="K479" s="970" t="e">
        <f aca="false">SUM(K475:K478)</f>
        <v>#VALUE!</v>
      </c>
      <c r="L479" s="970" t="e">
        <f aca="false">SUM(L475:L478)</f>
        <v>#VALUE!</v>
      </c>
      <c r="M479" s="970" t="e">
        <f aca="false">SUM(M475:M478)</f>
        <v>#VALUE!</v>
      </c>
      <c r="N479" s="970" t="e">
        <f aca="false">SUM(N475:N478)</f>
        <v>#VALUE!</v>
      </c>
      <c r="O479" s="970" t="e">
        <f aca="false">SUM(O475:O478)</f>
        <v>#VALUE!</v>
      </c>
      <c r="P479" s="970" t="e">
        <f aca="false">SUM(P475:P478)</f>
        <v>#VALUE!</v>
      </c>
      <c r="Q479" s="970" t="e">
        <f aca="false">SUM(Q475:Q478)</f>
        <v>#VALUE!</v>
      </c>
      <c r="R479" s="970" t="e">
        <f aca="false">SUM(R475:R478)</f>
        <v>#VALUE!</v>
      </c>
      <c r="S479" s="970" t="e">
        <f aca="false">SUM(S475:S478)</f>
        <v>#VALUE!</v>
      </c>
      <c r="T479" s="970" t="n">
        <f aca="false">SUM(T475:T478)</f>
        <v>0</v>
      </c>
      <c r="U479" s="970" t="n">
        <f aca="false">SUM(U475:U478)</f>
        <v>0</v>
      </c>
      <c r="V479" s="970" t="n">
        <f aca="false">SUM(V475:V478)</f>
        <v>0</v>
      </c>
      <c r="W479" s="970" t="n">
        <f aca="false">SUM(W475:W478)</f>
        <v>0</v>
      </c>
      <c r="X479" s="751"/>
      <c r="Y479" s="751"/>
      <c r="Z479" s="751"/>
      <c r="AA479" s="751"/>
      <c r="AB479" s="751"/>
      <c r="AC479" s="751"/>
      <c r="AD479" s="751"/>
      <c r="AE479" s="751"/>
      <c r="AF479" s="751"/>
      <c r="AG479" s="751"/>
    </row>
    <row r="480" customFormat="false" ht="12" hidden="false" customHeight="false" outlineLevel="0" collapsed="false">
      <c r="A480" s="934"/>
      <c r="B480" s="751"/>
      <c r="C480" s="934"/>
      <c r="D480" s="751"/>
      <c r="E480" s="469"/>
      <c r="F480" s="751"/>
      <c r="G480" s="934"/>
      <c r="H480" s="751"/>
      <c r="I480" s="469"/>
      <c r="J480" s="469"/>
      <c r="K480" s="469"/>
      <c r="L480" s="469"/>
      <c r="M480" s="469"/>
      <c r="N480" s="469"/>
      <c r="O480" s="469"/>
      <c r="P480" s="469"/>
      <c r="Q480" s="469"/>
      <c r="R480" s="469"/>
      <c r="S480" s="469"/>
      <c r="T480" s="751"/>
      <c r="U480" s="751"/>
      <c r="V480" s="751"/>
      <c r="W480" s="751"/>
      <c r="X480" s="751"/>
      <c r="Y480" s="751"/>
      <c r="Z480" s="751"/>
      <c r="AA480" s="751"/>
      <c r="AB480" s="751"/>
      <c r="AC480" s="751"/>
      <c r="AD480" s="751"/>
      <c r="AE480" s="751"/>
      <c r="AF480" s="751"/>
      <c r="AG480" s="751"/>
    </row>
    <row r="481" customFormat="false" ht="12" hidden="false" customHeight="false" outlineLevel="0" collapsed="false">
      <c r="A481" s="934"/>
      <c r="B481" s="751"/>
      <c r="C481" s="934"/>
      <c r="D481" s="751"/>
      <c r="E481" s="469"/>
      <c r="F481" s="751"/>
      <c r="G481" s="934"/>
      <c r="H481" s="751"/>
      <c r="I481" s="469"/>
      <c r="J481" s="469"/>
      <c r="K481" s="469"/>
      <c r="L481" s="469"/>
      <c r="M481" s="469"/>
      <c r="N481" s="469"/>
      <c r="O481" s="469"/>
      <c r="P481" s="469"/>
      <c r="Q481" s="469"/>
      <c r="R481" s="469"/>
      <c r="S481" s="469"/>
      <c r="T481" s="469"/>
      <c r="U481" s="469"/>
      <c r="V481" s="469"/>
      <c r="W481" s="469"/>
      <c r="X481" s="469"/>
      <c r="Y481" s="469"/>
      <c r="Z481" s="469"/>
      <c r="AA481" s="469"/>
      <c r="AB481" s="469"/>
      <c r="AC481" s="469"/>
      <c r="AD481" s="469"/>
      <c r="AE481" s="469"/>
      <c r="AF481" s="469"/>
      <c r="AG481" s="751"/>
    </row>
    <row r="482" customFormat="false" ht="12" hidden="false" customHeight="false" outlineLevel="0" collapsed="false">
      <c r="A482" s="995"/>
      <c r="B482" s="919"/>
      <c r="C482" s="995"/>
      <c r="D482" s="919"/>
      <c r="E482" s="919"/>
      <c r="F482" s="919"/>
      <c r="G482" s="995"/>
      <c r="H482" s="919"/>
      <c r="I482" s="919"/>
      <c r="J482" s="919"/>
      <c r="K482" s="919"/>
      <c r="L482" s="919"/>
      <c r="M482" s="919"/>
      <c r="N482" s="919"/>
      <c r="O482" s="919"/>
      <c r="P482" s="919"/>
      <c r="Q482" s="919"/>
      <c r="R482" s="919"/>
      <c r="S482" s="919"/>
      <c r="T482" s="919"/>
      <c r="U482" s="919"/>
      <c r="V482" s="919"/>
      <c r="W482" s="919"/>
      <c r="X482" s="919"/>
      <c r="Y482" s="919"/>
      <c r="Z482" s="919"/>
      <c r="AA482" s="919"/>
      <c r="AB482" s="919"/>
      <c r="AC482" s="919"/>
      <c r="AD482" s="919"/>
      <c r="AE482" s="919"/>
      <c r="AF482" s="919"/>
      <c r="AG482" s="751"/>
    </row>
    <row r="483" customFormat="false" ht="12" hidden="false" customHeight="false" outlineLevel="0" collapsed="false">
      <c r="A483" s="841" t="s">
        <v>869</v>
      </c>
      <c r="B483" s="751"/>
      <c r="C483" s="751"/>
      <c r="D483" s="751"/>
      <c r="E483" s="751"/>
      <c r="F483" s="751"/>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row>
    <row r="484" customFormat="false" ht="12.75" hidden="false" customHeight="false" outlineLevel="0" collapsed="false">
      <c r="A484" s="955" t="s">
        <v>870</v>
      </c>
      <c r="B484" s="751"/>
      <c r="C484" s="751"/>
      <c r="D484" s="751"/>
      <c r="E484" s="1023" t="n">
        <f aca="false">E599</f>
        <v>36891</v>
      </c>
      <c r="F484" s="1023" t="n">
        <f aca="false">E484+1</f>
        <v>36892</v>
      </c>
      <c r="G484" s="1023" t="n">
        <f aca="false">F484+1</f>
        <v>36893</v>
      </c>
      <c r="H484" s="751"/>
      <c r="I484" s="1024" t="n">
        <f aca="false">C437</f>
        <v>37802</v>
      </c>
      <c r="J484" s="751"/>
      <c r="K484" s="1015" t="s">
        <v>871</v>
      </c>
      <c r="L484" s="1015" t="s">
        <v>872</v>
      </c>
      <c r="M484" s="751"/>
      <c r="N484" s="1024" t="n">
        <f aca="false">I484</f>
        <v>37802</v>
      </c>
      <c r="O484" s="751"/>
      <c r="P484" s="1025" t="s">
        <v>873</v>
      </c>
      <c r="Q484" s="1025"/>
      <c r="R484" s="346"/>
      <c r="S484" s="751"/>
      <c r="T484" s="751"/>
      <c r="U484" s="751"/>
      <c r="V484" s="751"/>
      <c r="W484" s="751"/>
      <c r="X484" s="751"/>
      <c r="Y484" s="751"/>
      <c r="Z484" s="751"/>
      <c r="AA484" s="751"/>
      <c r="AB484" s="751"/>
      <c r="AC484" s="751"/>
      <c r="AD484" s="751"/>
      <c r="AE484" s="751"/>
      <c r="AF484" s="751"/>
      <c r="AG484" s="751"/>
    </row>
    <row r="485" customFormat="false" ht="12.75" hidden="false" customHeight="false" outlineLevel="0" collapsed="false">
      <c r="A485" s="934" t="s">
        <v>874</v>
      </c>
      <c r="B485" s="751"/>
      <c r="C485" s="751"/>
      <c r="D485" s="751"/>
      <c r="E485" s="949" t="n">
        <v>0</v>
      </c>
      <c r="F485" s="949" t="n">
        <v>0</v>
      </c>
      <c r="G485" s="949" t="n">
        <v>0</v>
      </c>
      <c r="H485" s="751"/>
      <c r="I485" s="1026" t="n">
        <v>0</v>
      </c>
      <c r="J485" s="950"/>
      <c r="K485" s="950" t="e">
        <f aca="false">+Debt!F69</f>
        <v>#VALUE!</v>
      </c>
      <c r="L485" s="950" t="n">
        <f aca="false">H454</f>
        <v>0</v>
      </c>
      <c r="M485" s="950"/>
      <c r="N485" s="950" t="e">
        <f aca="false">I485+K485-L485</f>
        <v>#VALUE!</v>
      </c>
      <c r="O485" s="950"/>
      <c r="P485" s="1027" t="str">
        <f aca="false">"at "&amp;TEXT(N484,"mm/dd/yy")&amp;":*"</f>
        <v>at 06/30/03:*</v>
      </c>
      <c r="Q485" s="1027"/>
      <c r="R485" s="346"/>
      <c r="S485" s="751"/>
      <c r="T485" s="751"/>
      <c r="U485" s="751"/>
      <c r="V485" s="751"/>
      <c r="W485" s="751"/>
      <c r="X485" s="751"/>
      <c r="Y485" s="751"/>
      <c r="Z485" s="751"/>
      <c r="AA485" s="751"/>
      <c r="AB485" s="751"/>
      <c r="AC485" s="751"/>
      <c r="AD485" s="751"/>
      <c r="AE485" s="751"/>
      <c r="AF485" s="751"/>
      <c r="AG485" s="751"/>
    </row>
    <row r="486" customFormat="false" ht="12" hidden="false" customHeight="false" outlineLevel="0" collapsed="false">
      <c r="A486" s="934" t="s">
        <v>875</v>
      </c>
      <c r="B486" s="751"/>
      <c r="C486" s="751"/>
      <c r="D486" s="751"/>
      <c r="E486" s="949" t="n">
        <v>0</v>
      </c>
      <c r="F486" s="949" t="n">
        <v>0</v>
      </c>
      <c r="G486" s="949" t="n">
        <v>0</v>
      </c>
      <c r="H486" s="751"/>
      <c r="I486" s="949" t="n">
        <v>0</v>
      </c>
      <c r="J486" s="950"/>
      <c r="K486" s="949" t="e">
        <f aca="false">+Debt!F70</f>
        <v>#VALUE!</v>
      </c>
      <c r="L486" s="949"/>
      <c r="M486" s="950"/>
      <c r="N486" s="950" t="e">
        <f aca="false">I486+K486-L486</f>
        <v>#VALUE!</v>
      </c>
      <c r="O486" s="950"/>
      <c r="P486" s="1028" t="n">
        <v>0</v>
      </c>
      <c r="Q486" s="945"/>
      <c r="R486" s="346"/>
      <c r="S486" s="751"/>
      <c r="T486" s="751"/>
      <c r="U486" s="751"/>
      <c r="V486" s="751"/>
      <c r="W486" s="751"/>
      <c r="X486" s="751"/>
      <c r="Y486" s="751"/>
      <c r="Z486" s="751"/>
      <c r="AA486" s="751"/>
      <c r="AB486" s="751"/>
      <c r="AC486" s="751"/>
      <c r="AD486" s="751"/>
      <c r="AE486" s="751"/>
      <c r="AF486" s="751"/>
      <c r="AG486" s="751"/>
    </row>
    <row r="487" customFormat="false" ht="11.25" hidden="false" customHeight="false" outlineLevel="0" collapsed="false">
      <c r="A487" s="934" t="s">
        <v>876</v>
      </c>
      <c r="B487" s="751"/>
      <c r="C487" s="751"/>
      <c r="D487" s="751"/>
      <c r="E487" s="949" t="n">
        <v>0</v>
      </c>
      <c r="F487" s="949" t="n">
        <v>0</v>
      </c>
      <c r="G487" s="949" t="n">
        <v>0</v>
      </c>
      <c r="H487" s="751"/>
      <c r="I487" s="949" t="n">
        <v>0</v>
      </c>
      <c r="J487" s="950"/>
      <c r="K487" s="949" t="n">
        <f aca="false">+Debt!F71</f>
        <v>0</v>
      </c>
      <c r="L487" s="949"/>
      <c r="M487" s="950"/>
      <c r="N487" s="950" t="n">
        <f aca="false">I487+K487-L487</f>
        <v>0</v>
      </c>
      <c r="O487" s="950"/>
      <c r="P487" s="751"/>
      <c r="Q487" s="950"/>
      <c r="R487" s="950"/>
      <c r="S487" s="751"/>
      <c r="T487" s="751"/>
      <c r="U487" s="751"/>
      <c r="V487" s="751"/>
      <c r="W487" s="751"/>
      <c r="X487" s="751"/>
      <c r="Y487" s="751"/>
      <c r="Z487" s="751"/>
      <c r="AA487" s="751"/>
      <c r="AB487" s="751"/>
      <c r="AC487" s="751"/>
      <c r="AD487" s="751"/>
      <c r="AE487" s="751"/>
      <c r="AF487" s="751"/>
      <c r="AG487" s="751"/>
    </row>
    <row r="488" customFormat="false" ht="11.25" hidden="false" customHeight="false" outlineLevel="0" collapsed="false">
      <c r="A488" s="934" t="s">
        <v>877</v>
      </c>
      <c r="B488" s="751"/>
      <c r="C488" s="751"/>
      <c r="D488" s="751"/>
      <c r="E488" s="949" t="n">
        <v>0</v>
      </c>
      <c r="F488" s="949" t="n">
        <v>0</v>
      </c>
      <c r="G488" s="949" t="n">
        <v>0</v>
      </c>
      <c r="H488" s="751"/>
      <c r="I488" s="949" t="n">
        <v>0</v>
      </c>
      <c r="J488" s="950"/>
      <c r="K488" s="949" t="n">
        <v>0</v>
      </c>
      <c r="L488" s="949"/>
      <c r="M488" s="950"/>
      <c r="N488" s="950" t="n">
        <f aca="false">I488+K488-L488</f>
        <v>0</v>
      </c>
      <c r="O488" s="950"/>
      <c r="P488" s="751"/>
      <c r="Q488" s="950"/>
      <c r="R488" s="950"/>
      <c r="S488" s="751"/>
      <c r="T488" s="751"/>
      <c r="U488" s="751"/>
      <c r="V488" s="751"/>
      <c r="W488" s="751"/>
      <c r="X488" s="751"/>
      <c r="Y488" s="751"/>
      <c r="Z488" s="751"/>
      <c r="AA488" s="751"/>
      <c r="AB488" s="751"/>
      <c r="AC488" s="751"/>
      <c r="AD488" s="751"/>
      <c r="AE488" s="751"/>
      <c r="AF488" s="751"/>
      <c r="AG488" s="751"/>
    </row>
    <row r="489" customFormat="false" ht="11.25" hidden="false" customHeight="false" outlineLevel="0" collapsed="false">
      <c r="A489" s="955" t="s">
        <v>878</v>
      </c>
      <c r="B489" s="751"/>
      <c r="C489" s="751"/>
      <c r="D489" s="751"/>
      <c r="E489" s="958" t="n">
        <f aca="false">SUM(E485:E488)</f>
        <v>0</v>
      </c>
      <c r="F489" s="958" t="n">
        <f aca="false">SUM(F485:F488)</f>
        <v>0</v>
      </c>
      <c r="G489" s="958" t="n">
        <f aca="false">SUM(G485:G488)</f>
        <v>0</v>
      </c>
      <c r="H489" s="751"/>
      <c r="I489" s="958" t="n">
        <f aca="false">SUM(I485:I488)</f>
        <v>0</v>
      </c>
      <c r="J489" s="950"/>
      <c r="K489" s="958" t="e">
        <f aca="false">SUM(K485:K488)</f>
        <v>#VALUE!</v>
      </c>
      <c r="L489" s="958" t="n">
        <f aca="false">SUM(L485:L488)</f>
        <v>0</v>
      </c>
      <c r="M489" s="950"/>
      <c r="N489" s="958" t="e">
        <f aca="false">SUM(N485:N488)</f>
        <v>#VALUE!</v>
      </c>
      <c r="O489" s="950"/>
      <c r="P489" s="751"/>
      <c r="Q489" s="950"/>
      <c r="R489" s="950"/>
      <c r="S489" s="751"/>
      <c r="T489" s="751"/>
      <c r="U489" s="751"/>
      <c r="V489" s="751"/>
      <c r="W489" s="751"/>
      <c r="X489" s="751"/>
      <c r="Y489" s="751"/>
      <c r="Z489" s="751"/>
      <c r="AA489" s="751"/>
      <c r="AB489" s="751"/>
      <c r="AC489" s="751"/>
      <c r="AD489" s="751"/>
      <c r="AE489" s="751"/>
      <c r="AF489" s="751"/>
      <c r="AG489" s="751"/>
    </row>
    <row r="490" customFormat="false" ht="11.25" hidden="false" customHeight="false" outlineLevel="0" collapsed="false">
      <c r="A490" s="751"/>
      <c r="B490" s="751"/>
      <c r="C490" s="751"/>
      <c r="D490" s="751"/>
      <c r="E490" s="949"/>
      <c r="F490" s="949"/>
      <c r="G490" s="949"/>
      <c r="H490" s="751"/>
      <c r="I490" s="949"/>
      <c r="J490" s="950"/>
      <c r="K490" s="950"/>
      <c r="L490" s="950"/>
      <c r="M490" s="950"/>
      <c r="N490" s="950"/>
      <c r="O490" s="950"/>
      <c r="P490" s="751"/>
      <c r="Q490" s="950"/>
      <c r="R490" s="950"/>
      <c r="S490" s="751"/>
      <c r="T490" s="751"/>
      <c r="U490" s="751"/>
      <c r="V490" s="751"/>
      <c r="W490" s="751"/>
      <c r="X490" s="751"/>
      <c r="Y490" s="751"/>
      <c r="Z490" s="751"/>
      <c r="AA490" s="751"/>
      <c r="AB490" s="751"/>
      <c r="AC490" s="751"/>
      <c r="AD490" s="751"/>
      <c r="AE490" s="751"/>
      <c r="AF490" s="751"/>
      <c r="AG490" s="751"/>
    </row>
    <row r="491" customFormat="false" ht="11.25" hidden="false" customHeight="false" outlineLevel="0" collapsed="false">
      <c r="A491" s="934" t="s">
        <v>879</v>
      </c>
      <c r="B491" s="751"/>
      <c r="C491" s="751"/>
      <c r="D491" s="751"/>
      <c r="E491" s="949" t="n">
        <v>0</v>
      </c>
      <c r="F491" s="949" t="n">
        <v>0</v>
      </c>
      <c r="G491" s="949" t="n">
        <v>0</v>
      </c>
      <c r="H491" s="751"/>
      <c r="I491" s="949" t="n">
        <v>0</v>
      </c>
      <c r="J491" s="950"/>
      <c r="K491" s="1029" t="n">
        <f aca="false">H458</f>
        <v>48563.258028615</v>
      </c>
      <c r="L491" s="949"/>
      <c r="M491" s="950"/>
      <c r="N491" s="950" t="n">
        <f aca="false">I491+K491-L491</f>
        <v>48563.258028615</v>
      </c>
      <c r="O491" s="950"/>
      <c r="P491" s="950"/>
      <c r="Q491" s="950"/>
      <c r="R491" s="950"/>
      <c r="S491" s="751"/>
      <c r="T491" s="751"/>
      <c r="U491" s="751"/>
      <c r="V491" s="751"/>
      <c r="W491" s="751"/>
      <c r="X491" s="751"/>
      <c r="Y491" s="751"/>
      <c r="Z491" s="751"/>
      <c r="AA491" s="751"/>
      <c r="AB491" s="751"/>
      <c r="AC491" s="751"/>
      <c r="AD491" s="751"/>
      <c r="AE491" s="751"/>
      <c r="AF491" s="751"/>
      <c r="AG491" s="751"/>
    </row>
    <row r="492" customFormat="false" ht="11.25" hidden="false" customHeight="false" outlineLevel="0" collapsed="false">
      <c r="A492" s="934" t="s">
        <v>851</v>
      </c>
      <c r="B492" s="751"/>
      <c r="C492" s="751"/>
      <c r="D492" s="751"/>
      <c r="E492" s="949" t="n">
        <v>0</v>
      </c>
      <c r="F492" s="949" t="n">
        <v>0</v>
      </c>
      <c r="G492" s="949" t="n">
        <v>0</v>
      </c>
      <c r="H492" s="751"/>
      <c r="I492" s="1002" t="n">
        <f aca="false">G492</f>
        <v>0</v>
      </c>
      <c r="J492" s="950"/>
      <c r="K492" s="1030" t="e">
        <f aca="false">E479</f>
        <v>#VALUE!</v>
      </c>
      <c r="L492" s="949"/>
      <c r="M492" s="950"/>
      <c r="N492" s="950" t="e">
        <f aca="false">I492+K492-L492</f>
        <v>#VALUE!</v>
      </c>
      <c r="O492" s="950"/>
      <c r="P492" s="950"/>
      <c r="Q492" s="950"/>
      <c r="R492" s="950"/>
      <c r="S492" s="751"/>
      <c r="T492" s="751"/>
      <c r="U492" s="751"/>
      <c r="V492" s="751"/>
      <c r="W492" s="751"/>
      <c r="X492" s="751"/>
      <c r="Y492" s="751"/>
      <c r="Z492" s="751"/>
      <c r="AA492" s="751"/>
      <c r="AB492" s="751"/>
      <c r="AC492" s="751"/>
      <c r="AD492" s="751"/>
      <c r="AE492" s="751"/>
      <c r="AF492" s="751"/>
      <c r="AG492" s="751"/>
    </row>
    <row r="493" customFormat="false" ht="11.25" hidden="false" customHeight="false" outlineLevel="0" collapsed="false">
      <c r="A493" s="751"/>
      <c r="B493" s="751"/>
      <c r="C493" s="751"/>
      <c r="D493" s="751"/>
      <c r="E493" s="949"/>
      <c r="F493" s="949"/>
      <c r="G493" s="949"/>
      <c r="H493" s="751"/>
      <c r="I493" s="949"/>
      <c r="J493" s="950"/>
      <c r="K493" s="1029"/>
      <c r="L493" s="949"/>
      <c r="M493" s="950"/>
      <c r="N493" s="950"/>
      <c r="O493" s="950"/>
      <c r="P493" s="950"/>
      <c r="Q493" s="950"/>
      <c r="R493" s="950"/>
      <c r="S493" s="751"/>
      <c r="T493" s="751"/>
      <c r="U493" s="751"/>
      <c r="V493" s="751"/>
      <c r="W493" s="751"/>
      <c r="X493" s="751"/>
      <c r="Y493" s="751"/>
      <c r="Z493" s="751"/>
      <c r="AA493" s="751"/>
      <c r="AB493" s="751"/>
      <c r="AC493" s="751"/>
      <c r="AD493" s="751"/>
      <c r="AE493" s="751"/>
      <c r="AF493" s="751"/>
      <c r="AG493" s="751"/>
    </row>
    <row r="494" customFormat="false" ht="11.25" hidden="false" customHeight="false" outlineLevel="0" collapsed="false">
      <c r="A494" s="934" t="s">
        <v>880</v>
      </c>
      <c r="B494" s="751"/>
      <c r="C494" s="751"/>
      <c r="D494" s="751"/>
      <c r="E494" s="949" t="n">
        <v>0</v>
      </c>
      <c r="F494" s="949" t="n">
        <v>0</v>
      </c>
      <c r="G494" s="949" t="n">
        <v>0</v>
      </c>
      <c r="H494" s="751"/>
      <c r="I494" s="949" t="n">
        <v>0</v>
      </c>
      <c r="J494" s="950"/>
      <c r="K494" s="1029" t="n">
        <f aca="false">H459</f>
        <v>479637.116332</v>
      </c>
      <c r="L494" s="949"/>
      <c r="M494" s="950"/>
      <c r="N494" s="950" t="n">
        <f aca="false">I494+K494-L494</f>
        <v>479637.116332</v>
      </c>
      <c r="O494" s="950"/>
      <c r="P494" s="950"/>
      <c r="Q494" s="950"/>
      <c r="R494" s="950"/>
      <c r="S494" s="751"/>
      <c r="T494" s="751"/>
      <c r="U494" s="751"/>
      <c r="V494" s="751"/>
      <c r="W494" s="751"/>
      <c r="X494" s="751"/>
      <c r="Y494" s="751"/>
      <c r="Z494" s="751"/>
      <c r="AA494" s="751"/>
      <c r="AB494" s="751"/>
      <c r="AC494" s="751"/>
      <c r="AD494" s="751"/>
      <c r="AE494" s="751"/>
      <c r="AF494" s="751"/>
      <c r="AG494" s="751"/>
    </row>
    <row r="495" customFormat="false" ht="11.25" hidden="false" customHeight="false" outlineLevel="0" collapsed="false">
      <c r="A495" s="934" t="s">
        <v>881</v>
      </c>
      <c r="B495" s="751"/>
      <c r="C495" s="751"/>
      <c r="D495" s="751"/>
      <c r="E495" s="949" t="n">
        <v>0</v>
      </c>
      <c r="F495" s="949" t="n">
        <v>0</v>
      </c>
      <c r="G495" s="949" t="n">
        <v>0</v>
      </c>
      <c r="H495" s="751"/>
      <c r="I495" s="949" t="n">
        <v>0</v>
      </c>
      <c r="J495" s="950"/>
      <c r="K495" s="949"/>
      <c r="L495" s="949"/>
      <c r="M495" s="950"/>
      <c r="N495" s="950" t="n">
        <f aca="false">I495+K495-L495</f>
        <v>0</v>
      </c>
      <c r="O495" s="950"/>
      <c r="P495" s="950"/>
      <c r="Q495" s="950"/>
      <c r="R495" s="950"/>
      <c r="S495" s="751"/>
      <c r="T495" s="751"/>
      <c r="U495" s="751"/>
      <c r="V495" s="751"/>
      <c r="W495" s="751"/>
      <c r="X495" s="751"/>
      <c r="Y495" s="751"/>
      <c r="Z495" s="751"/>
      <c r="AA495" s="751"/>
      <c r="AB495" s="751"/>
      <c r="AC495" s="751"/>
      <c r="AD495" s="751"/>
      <c r="AE495" s="751"/>
      <c r="AF495" s="751"/>
      <c r="AG495" s="751"/>
    </row>
    <row r="496" customFormat="false" ht="11.25" hidden="false" customHeight="false" outlineLevel="0" collapsed="false">
      <c r="A496" s="955" t="s">
        <v>882</v>
      </c>
      <c r="B496" s="751"/>
      <c r="C496" s="751"/>
      <c r="D496" s="751"/>
      <c r="E496" s="958" t="n">
        <f aca="false">E494+E495</f>
        <v>0</v>
      </c>
      <c r="F496" s="958" t="n">
        <f aca="false">F494+F495</f>
        <v>0</v>
      </c>
      <c r="G496" s="958" t="n">
        <f aca="false">G494+G495</f>
        <v>0</v>
      </c>
      <c r="H496" s="751"/>
      <c r="I496" s="958" t="n">
        <f aca="false">I494+I495</f>
        <v>0</v>
      </c>
      <c r="J496" s="950"/>
      <c r="K496" s="958" t="n">
        <f aca="false">K494+K495</f>
        <v>479637.116332</v>
      </c>
      <c r="L496" s="950"/>
      <c r="M496" s="950"/>
      <c r="N496" s="958" t="n">
        <f aca="false">N494+N495</f>
        <v>479637.116332</v>
      </c>
      <c r="O496" s="950"/>
      <c r="P496" s="950"/>
      <c r="Q496" s="950"/>
      <c r="R496" s="950"/>
      <c r="S496" s="751"/>
      <c r="T496" s="751"/>
      <c r="U496" s="751"/>
      <c r="V496" s="751"/>
      <c r="W496" s="751"/>
      <c r="X496" s="751"/>
      <c r="Y496" s="751"/>
      <c r="Z496" s="751"/>
      <c r="AA496" s="751"/>
      <c r="AB496" s="751"/>
      <c r="AC496" s="751"/>
      <c r="AD496" s="751"/>
      <c r="AE496" s="751"/>
      <c r="AF496" s="751"/>
      <c r="AG496" s="751"/>
    </row>
    <row r="497" customFormat="false" ht="11.25" hidden="false" customHeight="false" outlineLevel="0" collapsed="false">
      <c r="A497" s="751"/>
      <c r="B497" s="751"/>
      <c r="C497" s="751"/>
      <c r="D497" s="751"/>
      <c r="E497" s="950"/>
      <c r="F497" s="950"/>
      <c r="G497" s="950"/>
      <c r="H497" s="751"/>
      <c r="I497" s="950"/>
      <c r="J497" s="950"/>
      <c r="K497" s="950"/>
      <c r="L497" s="950"/>
      <c r="M497" s="950"/>
      <c r="N497" s="950"/>
      <c r="O497" s="950"/>
      <c r="P497" s="950"/>
      <c r="Q497" s="950"/>
      <c r="R497" s="950"/>
      <c r="S497" s="751"/>
      <c r="T497" s="751"/>
      <c r="U497" s="751"/>
      <c r="V497" s="751"/>
      <c r="W497" s="751"/>
      <c r="X497" s="751"/>
      <c r="Y497" s="751"/>
      <c r="Z497" s="751"/>
      <c r="AA497" s="751"/>
      <c r="AB497" s="751"/>
      <c r="AC497" s="751"/>
      <c r="AD497" s="751"/>
      <c r="AE497" s="751"/>
      <c r="AF497" s="751"/>
      <c r="AG497" s="751"/>
    </row>
    <row r="498" customFormat="false" ht="11.25" hidden="false" customHeight="false" outlineLevel="0" collapsed="false">
      <c r="A498" s="934" t="s">
        <v>696</v>
      </c>
      <c r="B498" s="751"/>
      <c r="C498" s="751"/>
      <c r="D498" s="751"/>
      <c r="E498" s="949" t="n">
        <v>0</v>
      </c>
      <c r="F498" s="949" t="n">
        <v>0</v>
      </c>
      <c r="G498" s="949" t="n">
        <v>0</v>
      </c>
      <c r="H498" s="751"/>
      <c r="I498" s="949" t="n">
        <v>0</v>
      </c>
      <c r="J498" s="950"/>
      <c r="K498" s="1002" t="n">
        <f aca="false">H460</f>
        <v>0</v>
      </c>
      <c r="L498" s="949"/>
      <c r="M498" s="950"/>
      <c r="N498" s="950" t="n">
        <f aca="false">I498+K498-L498</f>
        <v>0</v>
      </c>
      <c r="O498" s="950"/>
      <c r="P498" s="950"/>
      <c r="Q498" s="950"/>
      <c r="R498" s="950"/>
      <c r="S498" s="751"/>
      <c r="T498" s="751"/>
      <c r="U498" s="751"/>
      <c r="V498" s="751"/>
      <c r="W498" s="751"/>
      <c r="X498" s="751"/>
      <c r="Y498" s="751"/>
      <c r="Z498" s="751"/>
      <c r="AA498" s="751"/>
      <c r="AB498" s="751"/>
      <c r="AC498" s="751"/>
      <c r="AD498" s="751"/>
      <c r="AE498" s="751"/>
      <c r="AF498" s="751"/>
      <c r="AG498" s="751"/>
    </row>
    <row r="499" customFormat="false" ht="11.25" hidden="false" customHeight="false" outlineLevel="0" collapsed="false">
      <c r="A499" s="934" t="s">
        <v>883</v>
      </c>
      <c r="B499" s="751"/>
      <c r="C499" s="751"/>
      <c r="D499" s="751"/>
      <c r="E499" s="949" t="n">
        <v>0</v>
      </c>
      <c r="F499" s="949" t="n">
        <v>0</v>
      </c>
      <c r="G499" s="949" t="n">
        <v>0</v>
      </c>
      <c r="H499" s="751"/>
      <c r="I499" s="949" t="n">
        <v>0</v>
      </c>
      <c r="J499" s="950"/>
      <c r="K499" s="949" t="n">
        <f aca="false">+H559</f>
        <v>0</v>
      </c>
      <c r="L499" s="949"/>
      <c r="M499" s="950"/>
      <c r="N499" s="950" t="n">
        <f aca="false">I499+K499-L499</f>
        <v>0</v>
      </c>
      <c r="O499" s="950"/>
      <c r="P499" s="950"/>
      <c r="Q499" s="950"/>
      <c r="R499" s="950"/>
      <c r="S499" s="751"/>
      <c r="T499" s="751"/>
      <c r="U499" s="751"/>
      <c r="V499" s="751"/>
      <c r="W499" s="751"/>
      <c r="X499" s="751"/>
      <c r="Y499" s="751"/>
      <c r="Z499" s="751"/>
      <c r="AA499" s="751"/>
      <c r="AB499" s="751"/>
      <c r="AC499" s="751"/>
      <c r="AD499" s="751"/>
      <c r="AE499" s="751"/>
      <c r="AF499" s="751"/>
      <c r="AG499" s="751"/>
    </row>
    <row r="500" customFormat="false" ht="12" hidden="false" customHeight="false" outlineLevel="0" collapsed="false">
      <c r="A500" s="955" t="s">
        <v>884</v>
      </c>
      <c r="B500" s="751"/>
      <c r="C500" s="751"/>
      <c r="D500" s="751"/>
      <c r="E500" s="967" t="n">
        <f aca="false">E489+E491+E492+E496+E498+E499</f>
        <v>0</v>
      </c>
      <c r="F500" s="967" t="n">
        <f aca="false">F489+F491+F492+F496+F498+F499</f>
        <v>0</v>
      </c>
      <c r="G500" s="967" t="n">
        <f aca="false">G489+G491+G492+G496+G498+G499</f>
        <v>0</v>
      </c>
      <c r="H500" s="751"/>
      <c r="I500" s="967" t="n">
        <f aca="false">I489+I491+I492+I496+I498+I499</f>
        <v>0</v>
      </c>
      <c r="J500" s="950"/>
      <c r="K500" s="967" t="e">
        <f aca="false">K489+K491+K492+K496+K498+K499</f>
        <v>#VALUE!</v>
      </c>
      <c r="L500" s="967" t="n">
        <f aca="false">L489+L491+L492+L496+L498+L499</f>
        <v>0</v>
      </c>
      <c r="M500" s="950"/>
      <c r="N500" s="967" t="e">
        <f aca="false">N489+N491+N492+N496+N498+N499</f>
        <v>#VALUE!</v>
      </c>
      <c r="O500" s="950"/>
      <c r="P500" s="751"/>
      <c r="Q500" s="751"/>
      <c r="R500" s="751"/>
      <c r="S500" s="751"/>
      <c r="T500" s="751"/>
      <c r="U500" s="751"/>
      <c r="V500" s="751"/>
      <c r="W500" s="751"/>
      <c r="X500" s="751"/>
      <c r="Y500" s="751"/>
      <c r="Z500" s="751"/>
      <c r="AA500" s="751"/>
      <c r="AB500" s="751"/>
      <c r="AC500" s="751"/>
      <c r="AD500" s="751"/>
      <c r="AE500" s="751"/>
      <c r="AF500" s="751"/>
      <c r="AG500" s="751"/>
    </row>
    <row r="501" customFormat="false" ht="12" hidden="false" customHeight="false" outlineLevel="0" collapsed="false">
      <c r="A501" s="751"/>
      <c r="B501" s="751"/>
      <c r="C501" s="751"/>
      <c r="D501" s="751"/>
      <c r="E501" s="949"/>
      <c r="F501" s="949"/>
      <c r="G501" s="949"/>
      <c r="H501" s="751"/>
      <c r="I501" s="949"/>
      <c r="J501" s="950"/>
      <c r="K501" s="950"/>
      <c r="L501" s="950"/>
      <c r="M501" s="950"/>
      <c r="N501" s="950"/>
      <c r="O501" s="950"/>
      <c r="P501" s="751"/>
      <c r="Q501" s="751"/>
      <c r="R501" s="751"/>
      <c r="S501" s="751"/>
      <c r="T501" s="751"/>
      <c r="U501" s="751"/>
      <c r="V501" s="751"/>
      <c r="W501" s="751"/>
      <c r="X501" s="751"/>
      <c r="Y501" s="751"/>
      <c r="Z501" s="751"/>
      <c r="AA501" s="751"/>
      <c r="AB501" s="751"/>
      <c r="AC501" s="751"/>
      <c r="AD501" s="751"/>
      <c r="AE501" s="751"/>
      <c r="AF501" s="751"/>
      <c r="AG501" s="751"/>
    </row>
    <row r="502" customFormat="false" ht="12" hidden="false" customHeight="false" outlineLevel="0" collapsed="false">
      <c r="A502" s="955" t="s">
        <v>885</v>
      </c>
      <c r="B502" s="751"/>
      <c r="C502" s="751"/>
      <c r="D502" s="751"/>
      <c r="E502" s="950"/>
      <c r="F502" s="950"/>
      <c r="G502" s="950"/>
      <c r="H502" s="751"/>
      <c r="I502" s="950"/>
      <c r="J502" s="950"/>
      <c r="K502" s="950"/>
      <c r="L502" s="950"/>
      <c r="M502" s="950"/>
      <c r="N502" s="950"/>
      <c r="O502" s="950"/>
      <c r="P502" s="751"/>
      <c r="Q502" s="751"/>
      <c r="R502" s="751"/>
      <c r="S502" s="751"/>
      <c r="T502" s="751"/>
      <c r="U502" s="751"/>
      <c r="V502" s="751"/>
      <c r="W502" s="751"/>
      <c r="X502" s="751"/>
      <c r="Y502" s="751"/>
      <c r="Z502" s="751"/>
      <c r="AA502" s="751"/>
      <c r="AB502" s="751"/>
      <c r="AC502" s="751"/>
      <c r="AD502" s="751"/>
      <c r="AE502" s="751"/>
      <c r="AF502" s="751"/>
      <c r="AG502" s="751"/>
    </row>
    <row r="503" customFormat="false" ht="12" hidden="false" customHeight="false" outlineLevel="0" collapsed="false">
      <c r="A503" s="934" t="s">
        <v>886</v>
      </c>
      <c r="B503" s="751"/>
      <c r="C503" s="751"/>
      <c r="D503" s="751"/>
      <c r="E503" s="949" t="n">
        <v>0</v>
      </c>
      <c r="F503" s="949" t="n">
        <v>0</v>
      </c>
      <c r="G503" s="949" t="n">
        <v>0</v>
      </c>
      <c r="H503" s="751"/>
      <c r="I503" s="949" t="n">
        <v>0</v>
      </c>
      <c r="J503" s="950"/>
      <c r="K503" s="949" t="e">
        <f aca="false">+Debt!F73</f>
        <v>#VALUE!</v>
      </c>
      <c r="L503" s="949"/>
      <c r="M503" s="950"/>
      <c r="N503" s="950" t="e">
        <f aca="false">I503+K503-L503</f>
        <v>#VALUE!</v>
      </c>
      <c r="O503" s="950"/>
      <c r="P503" s="1031" t="s">
        <v>297</v>
      </c>
      <c r="Q503" s="1031"/>
      <c r="R503" s="1031" t="s">
        <v>887</v>
      </c>
      <c r="S503" s="1031"/>
      <c r="T503" s="751"/>
      <c r="U503" s="751"/>
      <c r="V503" s="751"/>
      <c r="W503" s="751"/>
      <c r="X503" s="751"/>
      <c r="Y503" s="751"/>
      <c r="Z503" s="751"/>
      <c r="AA503" s="751"/>
      <c r="AB503" s="751"/>
      <c r="AC503" s="751"/>
      <c r="AD503" s="751"/>
      <c r="AE503" s="751"/>
      <c r="AF503" s="751"/>
      <c r="AG503" s="751"/>
    </row>
    <row r="504" customFormat="false" ht="12" hidden="false" customHeight="false" outlineLevel="0" collapsed="false">
      <c r="A504" s="934" t="s">
        <v>888</v>
      </c>
      <c r="B504" s="751"/>
      <c r="C504" s="751"/>
      <c r="D504" s="751"/>
      <c r="E504" s="949" t="n">
        <v>0</v>
      </c>
      <c r="F504" s="949" t="n">
        <v>0</v>
      </c>
      <c r="G504" s="949" t="n">
        <v>0</v>
      </c>
      <c r="H504" s="751"/>
      <c r="I504" s="949" t="n">
        <v>0</v>
      </c>
      <c r="J504" s="950"/>
      <c r="K504" s="949" t="e">
        <f aca="false">+Debt!F74</f>
        <v>#VALUE!</v>
      </c>
      <c r="L504" s="949"/>
      <c r="M504" s="950"/>
      <c r="N504" s="950" t="e">
        <f aca="false">I504+K504-L504</f>
        <v>#VALUE!</v>
      </c>
      <c r="O504" s="950"/>
      <c r="P504" s="1032" t="s">
        <v>889</v>
      </c>
      <c r="Q504" s="1032"/>
      <c r="R504" s="1032" t="s">
        <v>889</v>
      </c>
      <c r="S504" s="1032"/>
      <c r="T504" s="751"/>
      <c r="U504" s="751"/>
      <c r="V504" s="751"/>
      <c r="W504" s="751"/>
      <c r="X504" s="751"/>
      <c r="Y504" s="751"/>
      <c r="Z504" s="751"/>
      <c r="AA504" s="751"/>
      <c r="AB504" s="751"/>
      <c r="AC504" s="751"/>
      <c r="AD504" s="751"/>
      <c r="AE504" s="751"/>
      <c r="AF504" s="751"/>
      <c r="AG504" s="751"/>
    </row>
    <row r="505" customFormat="false" ht="12" hidden="false" customHeight="false" outlineLevel="0" collapsed="false">
      <c r="A505" s="934" t="s">
        <v>890</v>
      </c>
      <c r="B505" s="751"/>
      <c r="C505" s="751"/>
      <c r="D505" s="751"/>
      <c r="E505" s="949" t="n">
        <v>0</v>
      </c>
      <c r="F505" s="949" t="n">
        <v>0</v>
      </c>
      <c r="G505" s="949" t="n">
        <v>0</v>
      </c>
      <c r="H505" s="751"/>
      <c r="I505" s="949" t="n">
        <v>0</v>
      </c>
      <c r="J505" s="950"/>
      <c r="K505" s="949" t="e">
        <f aca="false">+Debt!F75</f>
        <v>#VALUE!</v>
      </c>
      <c r="L505" s="949"/>
      <c r="M505" s="950"/>
      <c r="N505" s="950" t="e">
        <f aca="false">I505+K505-L505</f>
        <v>#VALUE!</v>
      </c>
      <c r="O505" s="950"/>
      <c r="P505" s="999" t="s">
        <v>443</v>
      </c>
      <c r="Q505" s="999" t="s">
        <v>858</v>
      </c>
      <c r="R505" s="999" t="s">
        <v>443</v>
      </c>
      <c r="S505" s="999" t="s">
        <v>858</v>
      </c>
      <c r="T505" s="751"/>
      <c r="U505" s="751"/>
      <c r="V505" s="751"/>
      <c r="W505" s="751"/>
      <c r="X505" s="751"/>
      <c r="Y505" s="751"/>
      <c r="Z505" s="751"/>
      <c r="AA505" s="751"/>
      <c r="AB505" s="751"/>
      <c r="AC505" s="751"/>
      <c r="AD505" s="751"/>
      <c r="AE505" s="751"/>
      <c r="AF505" s="751"/>
      <c r="AG505" s="751"/>
    </row>
    <row r="506" customFormat="false" ht="11.25" hidden="false" customHeight="false" outlineLevel="0" collapsed="false">
      <c r="A506" s="934" t="s">
        <v>891</v>
      </c>
      <c r="B506" s="751"/>
      <c r="C506" s="751"/>
      <c r="D506" s="751"/>
      <c r="E506" s="949" t="n">
        <v>0</v>
      </c>
      <c r="F506" s="949" t="n">
        <v>0</v>
      </c>
      <c r="G506" s="949" t="n">
        <v>0</v>
      </c>
      <c r="H506" s="751"/>
      <c r="I506" s="949" t="n">
        <v>0</v>
      </c>
      <c r="J506" s="950"/>
      <c r="K506" s="949" t="n">
        <v>0</v>
      </c>
      <c r="L506" s="949" t="n">
        <v>0</v>
      </c>
      <c r="M506" s="950"/>
      <c r="N506" s="950" t="n">
        <f aca="false">I506+K506-L506</f>
        <v>0</v>
      </c>
      <c r="O506" s="950"/>
      <c r="P506" s="950" t="n">
        <f aca="false">N506</f>
        <v>0</v>
      </c>
      <c r="Q506" s="964" t="e">
        <f aca="false">IF($P$522=0,0,P506/$P$522)</f>
        <v>#VALUE!</v>
      </c>
      <c r="R506" s="950" t="n">
        <f aca="false">N506</f>
        <v>0</v>
      </c>
      <c r="S506" s="964" t="e">
        <f aca="false">IF($R$522=0,0,R506/$R$522)</f>
        <v>#VALUE!</v>
      </c>
      <c r="T506" s="751"/>
      <c r="U506" s="751"/>
      <c r="V506" s="751"/>
      <c r="W506" s="751"/>
      <c r="X506" s="751"/>
      <c r="Y506" s="751"/>
      <c r="Z506" s="751"/>
      <c r="AA506" s="751"/>
      <c r="AB506" s="751"/>
      <c r="AC506" s="751"/>
      <c r="AD506" s="751"/>
      <c r="AE506" s="751"/>
      <c r="AF506" s="751"/>
      <c r="AG506" s="751"/>
    </row>
    <row r="507" customFormat="false" ht="11.25" hidden="false" customHeight="false" outlineLevel="0" collapsed="false">
      <c r="A507" s="955" t="s">
        <v>892</v>
      </c>
      <c r="B507" s="751"/>
      <c r="C507" s="751"/>
      <c r="D507" s="751"/>
      <c r="E507" s="958" t="n">
        <f aca="false">SUM(E503:E506)</f>
        <v>0</v>
      </c>
      <c r="F507" s="958" t="n">
        <f aca="false">SUM(F503:F506)</f>
        <v>0</v>
      </c>
      <c r="G507" s="958" t="n">
        <f aca="false">SUM(G503:G506)</f>
        <v>0</v>
      </c>
      <c r="H507" s="751"/>
      <c r="I507" s="958" t="n">
        <f aca="false">SUM(I503:I506)</f>
        <v>0</v>
      </c>
      <c r="J507" s="950"/>
      <c r="K507" s="958" t="e">
        <f aca="false">SUM(K502:K506)</f>
        <v>#VALUE!</v>
      </c>
      <c r="L507" s="958" t="n">
        <f aca="false">SUM(L502:L506)</f>
        <v>0</v>
      </c>
      <c r="M507" s="950"/>
      <c r="N507" s="958" t="e">
        <f aca="false">SUM(N503:N506)</f>
        <v>#VALUE!</v>
      </c>
      <c r="O507" s="950"/>
      <c r="P507" s="958" t="n">
        <f aca="false">SUM(P506)</f>
        <v>0</v>
      </c>
      <c r="Q507" s="1004" t="e">
        <f aca="false">IF($P$522=0,0,P507/$P$522)</f>
        <v>#VALUE!</v>
      </c>
      <c r="R507" s="958" t="n">
        <f aca="false">SUM(R506)</f>
        <v>0</v>
      </c>
      <c r="S507" s="1004" t="e">
        <f aca="false">IF($R$522=0,0,R507/$R$522)</f>
        <v>#VALUE!</v>
      </c>
      <c r="T507" s="751"/>
      <c r="U507" s="751"/>
      <c r="V507" s="751"/>
      <c r="W507" s="751"/>
      <c r="X507" s="751"/>
      <c r="Y507" s="751"/>
      <c r="Z507" s="751"/>
      <c r="AA507" s="751"/>
      <c r="AB507" s="751"/>
      <c r="AC507" s="751"/>
      <c r="AD507" s="751"/>
      <c r="AE507" s="751"/>
      <c r="AF507" s="751"/>
      <c r="AG507" s="751"/>
    </row>
    <row r="508" customFormat="false" ht="11.25" hidden="false" customHeight="false" outlineLevel="0" collapsed="false">
      <c r="A508" s="751"/>
      <c r="B508" s="751"/>
      <c r="C508" s="751"/>
      <c r="D508" s="751"/>
      <c r="E508" s="949"/>
      <c r="F508" s="949"/>
      <c r="G508" s="949"/>
      <c r="H508" s="751"/>
      <c r="I508" s="949"/>
      <c r="J508" s="950"/>
      <c r="K508" s="950"/>
      <c r="L508" s="950"/>
      <c r="M508" s="950"/>
      <c r="N508" s="950"/>
      <c r="O508" s="950"/>
      <c r="P508" s="950"/>
      <c r="Q508" s="964"/>
      <c r="R508" s="950"/>
      <c r="S508" s="751"/>
      <c r="T508" s="751"/>
      <c r="U508" s="751"/>
      <c r="V508" s="751"/>
      <c r="W508" s="751"/>
      <c r="X508" s="751"/>
      <c r="Y508" s="751"/>
      <c r="Z508" s="751"/>
      <c r="AA508" s="751"/>
      <c r="AB508" s="751"/>
      <c r="AC508" s="751"/>
      <c r="AD508" s="751"/>
      <c r="AE508" s="751"/>
      <c r="AF508" s="751"/>
      <c r="AG508" s="751"/>
    </row>
    <row r="509" customFormat="false" ht="11.25" hidden="false" customHeight="false" outlineLevel="0" collapsed="false">
      <c r="A509" s="934" t="str">
        <f aca="false">+B451&amp;"  &amp;"&amp;B452&amp;" Debt"</f>
        <v>Purchase Term Loan  &amp;Scrubber Term Loan Debt</v>
      </c>
      <c r="B509" s="751"/>
      <c r="C509" s="751"/>
      <c r="D509" s="751"/>
      <c r="E509" s="949" t="n">
        <v>0</v>
      </c>
      <c r="F509" s="949" t="n">
        <v>0</v>
      </c>
      <c r="G509" s="949" t="n">
        <v>0</v>
      </c>
      <c r="H509" s="751"/>
      <c r="I509" s="949" t="n">
        <v>0</v>
      </c>
      <c r="J509" s="950"/>
      <c r="K509" s="751" t="e">
        <f aca="false">H451+H452</f>
        <v>#VALUE!</v>
      </c>
      <c r="L509" s="751" t="n">
        <v>0</v>
      </c>
      <c r="M509" s="950"/>
      <c r="N509" s="950" t="e">
        <f aca="false">I509+K509-L509</f>
        <v>#VALUE!</v>
      </c>
      <c r="O509" s="950"/>
      <c r="P509" s="751" t="e">
        <f aca="false">N509</f>
        <v>#VALUE!</v>
      </c>
      <c r="Q509" s="964" t="e">
        <f aca="false">IF($P$522=0,0,P509/$P$522)</f>
        <v>#VALUE!</v>
      </c>
      <c r="R509" s="751" t="e">
        <f aca="false">N509</f>
        <v>#VALUE!</v>
      </c>
      <c r="S509" s="964" t="e">
        <f aca="false">IF($R$522=0,0,R509/$R$522)</f>
        <v>#VALUE!</v>
      </c>
      <c r="T509" s="751"/>
      <c r="U509" s="751"/>
      <c r="V509" s="751"/>
      <c r="W509" s="751"/>
      <c r="X509" s="751"/>
      <c r="Y509" s="751"/>
      <c r="Z509" s="751"/>
      <c r="AA509" s="751"/>
      <c r="AB509" s="751"/>
      <c r="AC509" s="751"/>
      <c r="AD509" s="751"/>
      <c r="AE509" s="751"/>
      <c r="AF509" s="751"/>
      <c r="AG509" s="751"/>
    </row>
    <row r="510" customFormat="false" ht="11.25" hidden="false" customHeight="false" outlineLevel="0" collapsed="false">
      <c r="A510" s="934" t="s">
        <v>893</v>
      </c>
      <c r="B510" s="751"/>
      <c r="C510" s="751"/>
      <c r="D510" s="751"/>
      <c r="E510" s="949" t="n">
        <v>0</v>
      </c>
      <c r="F510" s="949" t="n">
        <v>0</v>
      </c>
      <c r="G510" s="949" t="n">
        <v>0</v>
      </c>
      <c r="H510" s="751"/>
      <c r="I510" s="949" t="n">
        <v>0</v>
      </c>
      <c r="J510" s="950"/>
      <c r="K510" s="949"/>
      <c r="L510" s="949"/>
      <c r="M510" s="950"/>
      <c r="N510" s="950" t="n">
        <f aca="false">I510+K510-L510</f>
        <v>0</v>
      </c>
      <c r="O510" s="950"/>
      <c r="P510" s="751"/>
      <c r="Q510" s="964"/>
      <c r="R510" s="751"/>
      <c r="S510" s="964"/>
      <c r="T510" s="751"/>
      <c r="U510" s="751"/>
      <c r="V510" s="751"/>
      <c r="W510" s="751"/>
      <c r="X510" s="751"/>
      <c r="Y510" s="751"/>
      <c r="Z510" s="751"/>
      <c r="AA510" s="751"/>
      <c r="AB510" s="751"/>
      <c r="AC510" s="751"/>
      <c r="AD510" s="751"/>
      <c r="AE510" s="751"/>
      <c r="AF510" s="751"/>
      <c r="AG510" s="751"/>
    </row>
    <row r="511" customFormat="false" ht="11.25" hidden="false" customHeight="false" outlineLevel="0" collapsed="false">
      <c r="A511" s="934" t="s">
        <v>894</v>
      </c>
      <c r="B511" s="751"/>
      <c r="C511" s="751"/>
      <c r="D511" s="751"/>
      <c r="E511" s="939" t="n">
        <v>0</v>
      </c>
      <c r="F511" s="939" t="n">
        <v>0</v>
      </c>
      <c r="G511" s="939" t="n">
        <v>0</v>
      </c>
      <c r="H511" s="751"/>
      <c r="I511" s="939" t="n">
        <v>0</v>
      </c>
      <c r="J511" s="938"/>
      <c r="K511" s="1033"/>
      <c r="L511" s="751"/>
      <c r="M511" s="751"/>
      <c r="N511" s="950" t="n">
        <f aca="false">I511+K511-L511</f>
        <v>0</v>
      </c>
      <c r="O511" s="751"/>
      <c r="P511" s="751"/>
      <c r="Q511" s="964"/>
      <c r="R511" s="751"/>
      <c r="S511" s="964"/>
      <c r="T511" s="751"/>
      <c r="U511" s="751"/>
      <c r="V511" s="751"/>
      <c r="W511" s="751"/>
      <c r="X511" s="751"/>
      <c r="Y511" s="751"/>
      <c r="Z511" s="751"/>
      <c r="AA511" s="751"/>
      <c r="AB511" s="751"/>
      <c r="AC511" s="751"/>
      <c r="AD511" s="751"/>
      <c r="AE511" s="751"/>
      <c r="AF511" s="751"/>
      <c r="AG511" s="751"/>
    </row>
    <row r="512" customFormat="false" ht="11.25" hidden="false" customHeight="false" outlineLevel="0" collapsed="false">
      <c r="A512" s="955" t="s">
        <v>895</v>
      </c>
      <c r="B512" s="751"/>
      <c r="C512" s="751"/>
      <c r="D512" s="751"/>
      <c r="E512" s="958" t="n">
        <f aca="false">+SUM(E509:E511)</f>
        <v>0</v>
      </c>
      <c r="F512" s="958" t="n">
        <f aca="false">+SUM(F509:F511)</f>
        <v>0</v>
      </c>
      <c r="G512" s="958" t="n">
        <f aca="false">+SUM(G509:G511)</f>
        <v>0</v>
      </c>
      <c r="H512" s="751"/>
      <c r="I512" s="958" t="n">
        <f aca="false">+SUM(I509:I511)</f>
        <v>0</v>
      </c>
      <c r="J512" s="938"/>
      <c r="K512" s="958" t="e">
        <f aca="false">+SUM(K509:K511)</f>
        <v>#VALUE!</v>
      </c>
      <c r="L512" s="958" t="n">
        <f aca="false">+SUM(L509:L511)</f>
        <v>0</v>
      </c>
      <c r="M512" s="950"/>
      <c r="N512" s="958" t="e">
        <f aca="false">+SUM(N509:N511)</f>
        <v>#VALUE!</v>
      </c>
      <c r="O512" s="950"/>
      <c r="P512" s="958" t="e">
        <f aca="false">+SUM(P509:P511)</f>
        <v>#VALUE!</v>
      </c>
      <c r="Q512" s="1004" t="e">
        <f aca="false">IF($P$522=0,0,P512/$P$522)</f>
        <v>#VALUE!</v>
      </c>
      <c r="R512" s="958" t="e">
        <f aca="false">+SUM(R509:R511)</f>
        <v>#VALUE!</v>
      </c>
      <c r="S512" s="1004" t="e">
        <f aca="false">IF($R$522=0,0,R512/$R$522)</f>
        <v>#VALUE!</v>
      </c>
      <c r="T512" s="751"/>
      <c r="U512" s="751"/>
      <c r="V512" s="751"/>
      <c r="W512" s="751"/>
      <c r="X512" s="751"/>
      <c r="Y512" s="751"/>
      <c r="Z512" s="751"/>
      <c r="AA512" s="751"/>
      <c r="AB512" s="751"/>
      <c r="AC512" s="751"/>
      <c r="AD512" s="751"/>
      <c r="AE512" s="751"/>
      <c r="AF512" s="751"/>
      <c r="AG512" s="751"/>
    </row>
    <row r="513" customFormat="false" ht="11.25" hidden="false" customHeight="false" outlineLevel="0" collapsed="false">
      <c r="A513" s="751"/>
      <c r="B513" s="751"/>
      <c r="C513" s="751"/>
      <c r="D513" s="751"/>
      <c r="E513" s="950"/>
      <c r="F513" s="950"/>
      <c r="G513" s="950"/>
      <c r="H513" s="751"/>
      <c r="I513" s="950"/>
      <c r="J513" s="950"/>
      <c r="K513" s="950"/>
      <c r="L513" s="950"/>
      <c r="M513" s="950"/>
      <c r="N513" s="950"/>
      <c r="O513" s="950"/>
      <c r="P513" s="950"/>
      <c r="Q513" s="964"/>
      <c r="R513" s="950"/>
      <c r="S513" s="964"/>
      <c r="T513" s="751"/>
      <c r="U513" s="751"/>
      <c r="V513" s="751"/>
      <c r="W513" s="751"/>
      <c r="X513" s="751"/>
      <c r="Y513" s="751"/>
      <c r="Z513" s="751"/>
      <c r="AA513" s="751"/>
      <c r="AB513" s="751"/>
      <c r="AC513" s="751"/>
      <c r="AD513" s="751"/>
      <c r="AE513" s="751"/>
      <c r="AF513" s="751"/>
      <c r="AG513" s="751"/>
    </row>
    <row r="514" customFormat="false" ht="11.25" hidden="false" customHeight="false" outlineLevel="0" collapsed="false">
      <c r="A514" s="955" t="s">
        <v>896</v>
      </c>
      <c r="B514" s="751"/>
      <c r="C514" s="751"/>
      <c r="D514" s="751"/>
      <c r="E514" s="950" t="n">
        <f aca="false">E512+E507</f>
        <v>0</v>
      </c>
      <c r="F514" s="950" t="n">
        <f aca="false">F512+F507</f>
        <v>0</v>
      </c>
      <c r="G514" s="950" t="n">
        <f aca="false">G512+G507</f>
        <v>0</v>
      </c>
      <c r="H514" s="751"/>
      <c r="I514" s="950" t="n">
        <f aca="false">I512+I507</f>
        <v>0</v>
      </c>
      <c r="J514" s="950"/>
      <c r="K514" s="950" t="e">
        <f aca="false">K512+K507</f>
        <v>#VALUE!</v>
      </c>
      <c r="L514" s="950" t="n">
        <f aca="false">L512+L507</f>
        <v>0</v>
      </c>
      <c r="M514" s="950"/>
      <c r="N514" s="950" t="e">
        <f aca="false">N507+N512</f>
        <v>#VALUE!</v>
      </c>
      <c r="O514" s="950"/>
      <c r="P514" s="950" t="e">
        <f aca="false">P507+P512</f>
        <v>#VALUE!</v>
      </c>
      <c r="Q514" s="964" t="e">
        <f aca="false">IF($P$522=0,0,P514/$P$522)</f>
        <v>#VALUE!</v>
      </c>
      <c r="R514" s="950" t="e">
        <f aca="false">R507+R512</f>
        <v>#VALUE!</v>
      </c>
      <c r="S514" s="964" t="e">
        <f aca="false">IF($R$522=0,0,R514/$R$522)</f>
        <v>#VALUE!</v>
      </c>
      <c r="T514" s="751"/>
      <c r="U514" s="751"/>
      <c r="V514" s="751"/>
      <c r="W514" s="751"/>
      <c r="X514" s="751"/>
      <c r="Y514" s="751"/>
      <c r="Z514" s="751"/>
      <c r="AA514" s="751"/>
      <c r="AB514" s="751"/>
      <c r="AC514" s="751"/>
      <c r="AD514" s="751"/>
      <c r="AE514" s="751"/>
      <c r="AF514" s="751"/>
      <c r="AG514" s="751"/>
    </row>
    <row r="515" customFormat="false" ht="11.25" hidden="false" customHeight="false" outlineLevel="0" collapsed="false">
      <c r="A515" s="751"/>
      <c r="B515" s="751"/>
      <c r="C515" s="751"/>
      <c r="D515" s="751"/>
      <c r="E515" s="949"/>
      <c r="F515" s="949"/>
      <c r="G515" s="949"/>
      <c r="H515" s="751"/>
      <c r="I515" s="949"/>
      <c r="J515" s="950"/>
      <c r="K515" s="950"/>
      <c r="L515" s="950"/>
      <c r="M515" s="950"/>
      <c r="N515" s="950"/>
      <c r="O515" s="950"/>
      <c r="P515" s="950"/>
      <c r="Q515" s="964"/>
      <c r="R515" s="950"/>
      <c r="S515" s="964"/>
      <c r="T515" s="751"/>
      <c r="U515" s="751"/>
      <c r="V515" s="751"/>
      <c r="W515" s="751"/>
      <c r="X515" s="751"/>
      <c r="Y515" s="751"/>
      <c r="Z515" s="751"/>
      <c r="AA515" s="751"/>
      <c r="AB515" s="751"/>
      <c r="AC515" s="751"/>
      <c r="AD515" s="751"/>
      <c r="AE515" s="751"/>
      <c r="AF515" s="751"/>
      <c r="AG515" s="751"/>
    </row>
    <row r="516" customFormat="false" ht="11.25" hidden="false" customHeight="false" outlineLevel="0" collapsed="false">
      <c r="A516" s="751" t="str">
        <f aca="false">B453</f>
        <v>Common Stock</v>
      </c>
      <c r="B516" s="751"/>
      <c r="C516" s="751"/>
      <c r="D516" s="751"/>
      <c r="E516" s="939" t="n">
        <v>0</v>
      </c>
      <c r="F516" s="939" t="n">
        <v>0</v>
      </c>
      <c r="G516" s="939" t="n">
        <v>0</v>
      </c>
      <c r="H516" s="751"/>
      <c r="I516" s="939" t="n">
        <v>0</v>
      </c>
      <c r="J516" s="950"/>
      <c r="K516" s="950" t="e">
        <f aca="false">H453</f>
        <v>#VALUE!</v>
      </c>
      <c r="L516" s="949" t="n">
        <v>0</v>
      </c>
      <c r="M516" s="950"/>
      <c r="N516" s="950" t="e">
        <f aca="false">I516+K516-L516</f>
        <v>#VALUE!</v>
      </c>
      <c r="O516" s="950"/>
      <c r="P516" s="950" t="e">
        <f aca="false">N516</f>
        <v>#VALUE!</v>
      </c>
      <c r="Q516" s="964" t="e">
        <f aca="false">IF($P$522=0,0,P516/$P$522)</f>
        <v>#VALUE!</v>
      </c>
      <c r="R516" s="950" t="e">
        <f aca="false">N516</f>
        <v>#VALUE!</v>
      </c>
      <c r="S516" s="964" t="e">
        <f aca="false">IF($R$522=0,0,R516/$R$522)</f>
        <v>#VALUE!</v>
      </c>
      <c r="T516" s="751"/>
      <c r="U516" s="751"/>
      <c r="V516" s="751"/>
      <c r="W516" s="751"/>
      <c r="X516" s="751"/>
      <c r="Y516" s="751"/>
      <c r="Z516" s="751"/>
      <c r="AA516" s="751"/>
      <c r="AB516" s="751"/>
      <c r="AC516" s="751"/>
      <c r="AD516" s="751"/>
      <c r="AE516" s="751"/>
      <c r="AF516" s="751"/>
      <c r="AG516" s="751"/>
    </row>
    <row r="517" customFormat="false" ht="11.25" hidden="false" customHeight="false" outlineLevel="0" collapsed="false">
      <c r="A517" s="934" t="s">
        <v>897</v>
      </c>
      <c r="B517" s="751"/>
      <c r="C517" s="751"/>
      <c r="D517" s="751"/>
      <c r="E517" s="949" t="n">
        <v>0</v>
      </c>
      <c r="F517" s="949" t="n">
        <v>0</v>
      </c>
      <c r="G517" s="949" t="n">
        <v>0</v>
      </c>
      <c r="H517" s="751"/>
      <c r="I517" s="949" t="n">
        <v>0</v>
      </c>
      <c r="J517" s="950"/>
      <c r="K517" s="950"/>
      <c r="L517" s="949" t="n">
        <v>0</v>
      </c>
      <c r="M517" s="950"/>
      <c r="N517" s="950" t="n">
        <f aca="false">I517+K517-L517</f>
        <v>0</v>
      </c>
      <c r="O517" s="950"/>
      <c r="P517" s="950" t="n">
        <f aca="false">N517</f>
        <v>0</v>
      </c>
      <c r="Q517" s="964" t="e">
        <f aca="false">IF($P$522=0,0,P517/$P$522)</f>
        <v>#VALUE!</v>
      </c>
      <c r="R517" s="950" t="n">
        <f aca="false">N517</f>
        <v>0</v>
      </c>
      <c r="S517" s="964" t="e">
        <f aca="false">IF($R$522=0,0,R517/$R$522)</f>
        <v>#VALUE!</v>
      </c>
      <c r="T517" s="751"/>
      <c r="U517" s="751"/>
      <c r="V517" s="751"/>
      <c r="W517" s="751"/>
      <c r="X517" s="751"/>
      <c r="Y517" s="751"/>
      <c r="Z517" s="751"/>
      <c r="AA517" s="751"/>
      <c r="AB517" s="751"/>
      <c r="AC517" s="751"/>
      <c r="AD517" s="751"/>
      <c r="AE517" s="751"/>
      <c r="AF517" s="751"/>
      <c r="AG517" s="751"/>
    </row>
    <row r="518" customFormat="false" ht="11.25" hidden="false" customHeight="false" outlineLevel="0" collapsed="false">
      <c r="A518" s="934" t="s">
        <v>898</v>
      </c>
      <c r="B518" s="751"/>
      <c r="C518" s="751"/>
      <c r="D518" s="751"/>
      <c r="E518" s="949" t="n">
        <v>0</v>
      </c>
      <c r="F518" s="949" t="n">
        <v>0</v>
      </c>
      <c r="G518" s="949" t="n">
        <v>0</v>
      </c>
      <c r="H518" s="751"/>
      <c r="I518" s="949" t="n">
        <v>0</v>
      </c>
      <c r="J518" s="950"/>
      <c r="K518" s="949"/>
      <c r="L518" s="1034" t="n">
        <f aca="false">H462</f>
        <v>0</v>
      </c>
      <c r="M518" s="950"/>
      <c r="N518" s="950" t="n">
        <f aca="false">I518+K518-L518</f>
        <v>0</v>
      </c>
      <c r="O518" s="950"/>
      <c r="P518" s="950" t="n">
        <f aca="false">N518</f>
        <v>0</v>
      </c>
      <c r="Q518" s="964" t="e">
        <f aca="false">IF($P$522=0,0,P518/$P$522)</f>
        <v>#VALUE!</v>
      </c>
      <c r="R518" s="950" t="n">
        <f aca="false">N518</f>
        <v>0</v>
      </c>
      <c r="S518" s="964" t="e">
        <f aca="false">IF($R$522=0,0,R518/$R$522)</f>
        <v>#VALUE!</v>
      </c>
      <c r="T518" s="751"/>
      <c r="U518" s="751"/>
      <c r="V518" s="751"/>
      <c r="W518" s="751"/>
      <c r="X518" s="751"/>
      <c r="Y518" s="751"/>
      <c r="Z518" s="751"/>
      <c r="AA518" s="751"/>
      <c r="AB518" s="751"/>
      <c r="AC518" s="751"/>
      <c r="AD518" s="751"/>
      <c r="AE518" s="751"/>
      <c r="AF518" s="751"/>
      <c r="AG518" s="751"/>
    </row>
    <row r="519" customFormat="false" ht="11.25" hidden="false" customHeight="false" outlineLevel="0" collapsed="false">
      <c r="A519" s="934" t="s">
        <v>899</v>
      </c>
      <c r="B519" s="751"/>
      <c r="C519" s="751"/>
      <c r="D519" s="751"/>
      <c r="E519" s="949" t="n">
        <v>0</v>
      </c>
      <c r="F519" s="949" t="n">
        <v>0</v>
      </c>
      <c r="G519" s="949" t="n">
        <v>0</v>
      </c>
      <c r="H519" s="751"/>
      <c r="I519" s="949" t="n">
        <v>0</v>
      </c>
      <c r="J519" s="950"/>
      <c r="K519" s="949"/>
      <c r="L519" s="1034" t="n">
        <f aca="false">H461-L517-L516</f>
        <v>0</v>
      </c>
      <c r="M519" s="950"/>
      <c r="N519" s="950" t="n">
        <f aca="false">I519+K519-L519</f>
        <v>0</v>
      </c>
      <c r="O519" s="950"/>
      <c r="P519" s="950" t="n">
        <f aca="false">N519</f>
        <v>0</v>
      </c>
      <c r="Q519" s="964" t="e">
        <f aca="false">IF($P$522=0,0,P519/$P$522)</f>
        <v>#VALUE!</v>
      </c>
      <c r="R519" s="950" t="n">
        <f aca="false">N519</f>
        <v>0</v>
      </c>
      <c r="S519" s="964" t="e">
        <f aca="false">IF($R$522=0,0,R519/$R$522)</f>
        <v>#VALUE!</v>
      </c>
      <c r="T519" s="751"/>
      <c r="U519" s="751"/>
      <c r="V519" s="751"/>
      <c r="W519" s="751"/>
      <c r="X519" s="751"/>
      <c r="Y519" s="751"/>
      <c r="Z519" s="751"/>
      <c r="AA519" s="751"/>
      <c r="AB519" s="751"/>
      <c r="AC519" s="751"/>
      <c r="AD519" s="751"/>
      <c r="AE519" s="751"/>
      <c r="AF519" s="751"/>
      <c r="AG519" s="751"/>
    </row>
    <row r="520" customFormat="false" ht="11.25" hidden="false" customHeight="false" outlineLevel="0" collapsed="false">
      <c r="A520" s="934" t="s">
        <v>900</v>
      </c>
      <c r="B520" s="751"/>
      <c r="C520" s="751"/>
      <c r="D520" s="751"/>
      <c r="E520" s="939" t="n">
        <v>0</v>
      </c>
      <c r="F520" s="939" t="n">
        <v>0</v>
      </c>
      <c r="G520" s="939" t="n">
        <v>0</v>
      </c>
      <c r="H520" s="751"/>
      <c r="I520" s="949" t="n">
        <v>0</v>
      </c>
      <c r="J520" s="751"/>
      <c r="K520" s="939"/>
      <c r="L520" s="1035"/>
      <c r="M520" s="751"/>
      <c r="N520" s="950" t="n">
        <f aca="false">I520+K520-L520</f>
        <v>0</v>
      </c>
      <c r="O520" s="751"/>
      <c r="P520" s="950" t="n">
        <f aca="false">N520</f>
        <v>0</v>
      </c>
      <c r="Q520" s="964" t="e">
        <f aca="false">IF($P$522=0,0,P520/$P$522)</f>
        <v>#VALUE!</v>
      </c>
      <c r="R520" s="950" t="n">
        <f aca="false">N520</f>
        <v>0</v>
      </c>
      <c r="S520" s="964" t="e">
        <f aca="false">IF($R$522=0,0,R520/$R$522)</f>
        <v>#VALUE!</v>
      </c>
      <c r="T520" s="751"/>
      <c r="U520" s="751"/>
      <c r="V520" s="751"/>
      <c r="W520" s="751"/>
      <c r="X520" s="751"/>
      <c r="Y520" s="751"/>
      <c r="Z520" s="751"/>
      <c r="AA520" s="751"/>
      <c r="AB520" s="751"/>
      <c r="AC520" s="751"/>
      <c r="AD520" s="751"/>
      <c r="AE520" s="751"/>
      <c r="AF520" s="751"/>
      <c r="AG520" s="751"/>
    </row>
    <row r="521" customFormat="false" ht="11.25" hidden="false" customHeight="false" outlineLevel="0" collapsed="false">
      <c r="A521" s="955" t="s">
        <v>901</v>
      </c>
      <c r="B521" s="751"/>
      <c r="C521" s="751"/>
      <c r="D521" s="950"/>
      <c r="E521" s="958" t="n">
        <f aca="false">SUM(E516:E520)</f>
        <v>0</v>
      </c>
      <c r="F521" s="958" t="n">
        <f aca="false">SUM(F516:F520)</f>
        <v>0</v>
      </c>
      <c r="G521" s="958" t="n">
        <f aca="false">SUM(G516:G520)</f>
        <v>0</v>
      </c>
      <c r="H521" s="751"/>
      <c r="I521" s="958" t="n">
        <f aca="false">SUM(I516:I520)</f>
        <v>0</v>
      </c>
      <c r="J521" s="950"/>
      <c r="K521" s="958" t="e">
        <f aca="false">SUM(K516:K520)</f>
        <v>#VALUE!</v>
      </c>
      <c r="L521" s="958" t="n">
        <f aca="false">SUM(L516:L520)</f>
        <v>0</v>
      </c>
      <c r="M521" s="950"/>
      <c r="N521" s="958" t="e">
        <f aca="false">SUM(N516:N520)</f>
        <v>#VALUE!</v>
      </c>
      <c r="O521" s="950"/>
      <c r="P521" s="958" t="e">
        <f aca="false">SUM(P516:P520)</f>
        <v>#VALUE!</v>
      </c>
      <c r="Q521" s="1004" t="e">
        <f aca="false">IF($P$522=0,0,P521/$P$522)</f>
        <v>#VALUE!</v>
      </c>
      <c r="R521" s="958" t="e">
        <f aca="false">SUM(R516:R520)</f>
        <v>#VALUE!</v>
      </c>
      <c r="S521" s="1004" t="e">
        <f aca="false">IF($R$522=0,0,R521/$R$522)</f>
        <v>#VALUE!</v>
      </c>
      <c r="T521" s="751"/>
      <c r="U521" s="751"/>
      <c r="V521" s="751"/>
      <c r="W521" s="751"/>
      <c r="X521" s="751"/>
      <c r="Y521" s="751"/>
      <c r="Z521" s="751"/>
      <c r="AA521" s="751"/>
      <c r="AB521" s="751"/>
      <c r="AC521" s="751"/>
      <c r="AD521" s="751"/>
      <c r="AE521" s="751"/>
      <c r="AF521" s="751"/>
      <c r="AG521" s="751"/>
    </row>
    <row r="522" customFormat="false" ht="12" hidden="false" customHeight="false" outlineLevel="0" collapsed="false">
      <c r="A522" s="955" t="s">
        <v>902</v>
      </c>
      <c r="B522" s="751"/>
      <c r="C522" s="751"/>
      <c r="D522" s="751"/>
      <c r="E522" s="967" t="n">
        <f aca="false">E514+E521</f>
        <v>0</v>
      </c>
      <c r="F522" s="967" t="n">
        <f aca="false">F514+F521</f>
        <v>0</v>
      </c>
      <c r="G522" s="967" t="n">
        <f aca="false">G514+G521</f>
        <v>0</v>
      </c>
      <c r="H522" s="751"/>
      <c r="I522" s="967" t="n">
        <f aca="false">I514+I521</f>
        <v>0</v>
      </c>
      <c r="J522" s="950"/>
      <c r="K522" s="967" t="e">
        <f aca="false">K521+K514</f>
        <v>#VALUE!</v>
      </c>
      <c r="L522" s="967" t="n">
        <f aca="false">L521+L514</f>
        <v>0</v>
      </c>
      <c r="M522" s="950"/>
      <c r="N522" s="967" t="e">
        <f aca="false">N514+N521</f>
        <v>#VALUE!</v>
      </c>
      <c r="O522" s="950"/>
      <c r="P522" s="967" t="e">
        <f aca="false">P514+P521</f>
        <v>#VALUE!</v>
      </c>
      <c r="Q522" s="1036" t="e">
        <f aca="false">IF($P$522=0,0,P522/$P$522)</f>
        <v>#VALUE!</v>
      </c>
      <c r="R522" s="967" t="e">
        <f aca="false">R514+R521</f>
        <v>#VALUE!</v>
      </c>
      <c r="S522" s="1036" t="e">
        <f aca="false">IF($R$522=0,0,R522/$R$522)</f>
        <v>#VALUE!</v>
      </c>
      <c r="T522" s="751"/>
      <c r="U522" s="751"/>
      <c r="V522" s="751"/>
      <c r="W522" s="751"/>
      <c r="X522" s="751"/>
      <c r="Y522" s="751"/>
      <c r="Z522" s="751"/>
      <c r="AA522" s="751"/>
      <c r="AB522" s="751"/>
      <c r="AC522" s="751"/>
      <c r="AD522" s="751"/>
      <c r="AE522" s="751"/>
      <c r="AF522" s="751"/>
      <c r="AG522" s="751"/>
    </row>
    <row r="523" customFormat="false" ht="12" hidden="false" customHeight="false" outlineLevel="0" collapsed="false">
      <c r="A523" s="978"/>
      <c r="B523" s="751"/>
      <c r="C523" s="751"/>
      <c r="D523" s="751"/>
      <c r="E523" s="751"/>
      <c r="F523" s="751"/>
      <c r="G523" s="751"/>
      <c r="H523" s="751"/>
      <c r="I523" s="751"/>
      <c r="J523" s="950"/>
      <c r="K523" s="950"/>
      <c r="L523" s="950"/>
      <c r="M523" s="950"/>
      <c r="N523" s="950"/>
      <c r="O523" s="950"/>
      <c r="P523" s="950"/>
      <c r="Q523" s="964"/>
      <c r="R523" s="950"/>
      <c r="S523" s="751"/>
      <c r="T523" s="751"/>
      <c r="U523" s="751"/>
      <c r="V523" s="751"/>
      <c r="W523" s="751"/>
      <c r="X523" s="751"/>
      <c r="Y523" s="751"/>
      <c r="Z523" s="751"/>
      <c r="AA523" s="751"/>
      <c r="AB523" s="751"/>
      <c r="AC523" s="751"/>
      <c r="AD523" s="751"/>
      <c r="AE523" s="751"/>
      <c r="AF523" s="751"/>
      <c r="AG523" s="751"/>
    </row>
    <row r="524" customFormat="false" ht="11.25" hidden="false" customHeight="false" outlineLevel="0" collapsed="false">
      <c r="A524" s="955" t="s">
        <v>411</v>
      </c>
      <c r="B524" s="751"/>
      <c r="C524" s="751"/>
      <c r="D524" s="751"/>
      <c r="E524" s="950" t="n">
        <f aca="false">E500-E522</f>
        <v>0</v>
      </c>
      <c r="F524" s="950" t="n">
        <f aca="false">F500-F522</f>
        <v>0</v>
      </c>
      <c r="G524" s="950" t="n">
        <f aca="false">G500-G522</f>
        <v>0</v>
      </c>
      <c r="H524" s="751"/>
      <c r="I524" s="950" t="n">
        <f aca="false">I500-I522</f>
        <v>0</v>
      </c>
      <c r="J524" s="950"/>
      <c r="K524" s="950" t="e">
        <f aca="false">K500-K522</f>
        <v>#VALUE!</v>
      </c>
      <c r="L524" s="950" t="n">
        <f aca="false">L500-L522</f>
        <v>0</v>
      </c>
      <c r="M524" s="950"/>
      <c r="N524" s="950" t="e">
        <f aca="false">N500-N522</f>
        <v>#VALUE!</v>
      </c>
      <c r="O524" s="950"/>
      <c r="P524" s="950"/>
      <c r="Q524" s="950"/>
      <c r="R524" s="950"/>
      <c r="S524" s="751"/>
      <c r="T524" s="751"/>
      <c r="U524" s="751"/>
      <c r="V524" s="751"/>
      <c r="W524" s="751"/>
      <c r="X524" s="751"/>
      <c r="Y524" s="751"/>
      <c r="Z524" s="751"/>
      <c r="AA524" s="751"/>
      <c r="AB524" s="751"/>
      <c r="AC524" s="751"/>
      <c r="AD524" s="751"/>
      <c r="AE524" s="751"/>
      <c r="AF524" s="751"/>
      <c r="AG524" s="751"/>
    </row>
    <row r="525" customFormat="false" ht="11.25" hidden="false" customHeight="false" outlineLevel="0" collapsed="false">
      <c r="A525" s="751"/>
      <c r="B525" s="751"/>
      <c r="C525" s="751"/>
      <c r="D525" s="751"/>
      <c r="E525" s="751"/>
      <c r="F525" s="751"/>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row>
    <row r="526" customFormat="false" ht="12" hidden="false" customHeight="false" outlineLevel="0" collapsed="false">
      <c r="A526" s="934"/>
      <c r="B526" s="938"/>
      <c r="C526" s="938"/>
      <c r="D526" s="938"/>
      <c r="E526" s="938"/>
      <c r="F526" s="964"/>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row>
    <row r="527" customFormat="false" ht="12.75" hidden="false" customHeight="false" outlineLevel="0" collapsed="false">
      <c r="A527" s="996"/>
      <c r="B527" s="1037"/>
      <c r="C527" s="1037"/>
      <c r="D527" s="1037"/>
      <c r="E527" s="1037"/>
      <c r="F527" s="1038"/>
      <c r="G527" s="919"/>
      <c r="H527" s="919"/>
      <c r="I527" s="919"/>
      <c r="J527" s="919"/>
      <c r="K527" s="919"/>
      <c r="L527" s="919"/>
      <c r="M527" s="919"/>
      <c r="N527" s="919"/>
      <c r="O527" s="919"/>
      <c r="P527" s="919"/>
      <c r="Q527" s="919"/>
      <c r="R527" s="919"/>
      <c r="S527" s="919"/>
      <c r="T527" s="919"/>
      <c r="U527" s="919"/>
      <c r="V527" s="919"/>
      <c r="W527" s="919"/>
      <c r="X527" s="919"/>
      <c r="Y527" s="919"/>
      <c r="Z527" s="751"/>
      <c r="AA527" s="751"/>
      <c r="AB527" s="751"/>
      <c r="AC527" s="751"/>
      <c r="AD527" s="751"/>
      <c r="AE527" s="751"/>
      <c r="AF527" s="751"/>
      <c r="AG527" s="751"/>
    </row>
    <row r="528" customFormat="false" ht="12.75" hidden="false" customHeight="false" outlineLevel="0" collapsed="false">
      <c r="A528" s="841" t="s">
        <v>442</v>
      </c>
      <c r="B528" s="751"/>
      <c r="C528" s="751"/>
      <c r="D528" s="947"/>
      <c r="E528" s="1023" t="n">
        <f aca="false">E$599</f>
        <v>36891</v>
      </c>
      <c r="F528" s="1023" t="n">
        <f aca="false">F$599</f>
        <v>37256</v>
      </c>
      <c r="G528" s="1023" t="n">
        <f aca="false">G$599</f>
        <v>37621</v>
      </c>
      <c r="H528" s="1039" t="n">
        <f aca="false">H$599</f>
        <v>37802</v>
      </c>
      <c r="I528" s="1017" t="n">
        <f aca="false">I$599</f>
        <v>37986</v>
      </c>
      <c r="J528" s="1018" t="n">
        <f aca="false">J$599</f>
        <v>38352</v>
      </c>
      <c r="K528" s="1018" t="n">
        <f aca="false">K$599</f>
        <v>38717</v>
      </c>
      <c r="L528" s="1018" t="n">
        <f aca="false">L$599</f>
        <v>39082</v>
      </c>
      <c r="M528" s="1018" t="n">
        <f aca="false">M$599</f>
        <v>39447</v>
      </c>
      <c r="N528" s="1018" t="n">
        <f aca="false">N$599</f>
        <v>39813</v>
      </c>
      <c r="O528" s="1018" t="n">
        <f aca="false">O$599</f>
        <v>40178</v>
      </c>
      <c r="P528" s="1018" t="n">
        <f aca="false">P$599</f>
        <v>40543</v>
      </c>
      <c r="Q528" s="1018" t="n">
        <f aca="false">Q$599</f>
        <v>40908</v>
      </c>
      <c r="R528" s="1018" t="n">
        <f aca="false">R$599</f>
        <v>41274</v>
      </c>
      <c r="S528" s="1018" t="n">
        <f aca="false">S$599</f>
        <v>41639</v>
      </c>
      <c r="T528" s="1018" t="n">
        <f aca="false">T$599</f>
        <v>42004</v>
      </c>
      <c r="U528" s="1018" t="n">
        <f aca="false">U$599</f>
        <v>42369</v>
      </c>
      <c r="V528" s="1018" t="n">
        <f aca="false">V$599</f>
        <v>42735</v>
      </c>
      <c r="W528" s="1018" t="n">
        <f aca="false">W$599</f>
        <v>43100</v>
      </c>
      <c r="X528" s="1018" t="n">
        <f aca="false">X$599</f>
        <v>43465</v>
      </c>
      <c r="Y528" s="1018" t="n">
        <f aca="false">Y$599</f>
        <v>43830</v>
      </c>
      <c r="Z528" s="1018" t="n">
        <f aca="false">Z$599</f>
        <v>44196</v>
      </c>
      <c r="AA528" s="1018" t="n">
        <f aca="false">AA$599</f>
        <v>44561</v>
      </c>
      <c r="AB528" s="1018" t="n">
        <f aca="false">AB$599</f>
        <v>44926</v>
      </c>
      <c r="AC528" s="1018" t="n">
        <f aca="false">AC$599</f>
        <v>45291</v>
      </c>
      <c r="AD528" s="1018" t="n">
        <f aca="false">AD$599</f>
        <v>45657</v>
      </c>
      <c r="AE528" s="1018" t="n">
        <f aca="false">AE$599</f>
        <v>46022</v>
      </c>
      <c r="AF528" s="1018" t="n">
        <f aca="false">AF$599</f>
        <v>46387</v>
      </c>
      <c r="AG528" s="751"/>
    </row>
    <row r="529" customFormat="false" ht="12" hidden="false" customHeight="false" outlineLevel="0" collapsed="false">
      <c r="A529" s="948" t="str">
        <f aca="false">A539&amp;"  (Days)"</f>
        <v>Operating Cash Balance  (Days)</v>
      </c>
      <c r="B529" s="346"/>
      <c r="C529" s="346"/>
      <c r="D529" s="346"/>
      <c r="E529" s="1040" t="n">
        <v>0</v>
      </c>
      <c r="F529" s="1040" t="n">
        <v>0</v>
      </c>
      <c r="G529" s="1040" t="n">
        <v>0</v>
      </c>
      <c r="H529" s="1040" t="n">
        <v>0</v>
      </c>
      <c r="I529" s="1041" t="n">
        <f aca="false">Debt!E69</f>
        <v>30</v>
      </c>
      <c r="J529" s="1042" t="n">
        <f aca="false">I529</f>
        <v>30</v>
      </c>
      <c r="K529" s="1042" t="n">
        <f aca="false">J529</f>
        <v>30</v>
      </c>
      <c r="L529" s="1042" t="n">
        <f aca="false">K529</f>
        <v>30</v>
      </c>
      <c r="M529" s="1042" t="n">
        <f aca="false">L529</f>
        <v>30</v>
      </c>
      <c r="N529" s="1042" t="n">
        <f aca="false">M529</f>
        <v>30</v>
      </c>
      <c r="O529" s="1042" t="n">
        <f aca="false">N529</f>
        <v>30</v>
      </c>
      <c r="P529" s="1042" t="n">
        <f aca="false">O529</f>
        <v>30</v>
      </c>
      <c r="Q529" s="1042" t="n">
        <f aca="false">P529</f>
        <v>30</v>
      </c>
      <c r="R529" s="1042" t="n">
        <f aca="false">Q529</f>
        <v>30</v>
      </c>
      <c r="S529" s="1042" t="n">
        <f aca="false">R529</f>
        <v>30</v>
      </c>
      <c r="T529" s="1042" t="n">
        <f aca="false">S529</f>
        <v>30</v>
      </c>
      <c r="U529" s="1042" t="n">
        <f aca="false">T529</f>
        <v>30</v>
      </c>
      <c r="V529" s="1042" t="n">
        <f aca="false">U529</f>
        <v>30</v>
      </c>
      <c r="W529" s="1042" t="n">
        <f aca="false">V529</f>
        <v>30</v>
      </c>
      <c r="X529" s="1042" t="n">
        <f aca="false">W529</f>
        <v>30</v>
      </c>
      <c r="Y529" s="1042" t="n">
        <f aca="false">X529</f>
        <v>30</v>
      </c>
      <c r="Z529" s="1042" t="n">
        <f aca="false">Y529</f>
        <v>30</v>
      </c>
      <c r="AA529" s="1042" t="n">
        <f aca="false">Z529</f>
        <v>30</v>
      </c>
      <c r="AB529" s="1042" t="n">
        <f aca="false">AA529</f>
        <v>30</v>
      </c>
      <c r="AC529" s="1042" t="n">
        <f aca="false">AB529</f>
        <v>30</v>
      </c>
      <c r="AD529" s="1042" t="n">
        <f aca="false">AC529</f>
        <v>30</v>
      </c>
      <c r="AE529" s="1042" t="n">
        <f aca="false">AD529</f>
        <v>30</v>
      </c>
      <c r="AF529" s="1042" t="n">
        <f aca="false">AE529</f>
        <v>30</v>
      </c>
      <c r="AG529" s="751"/>
    </row>
    <row r="530" customFormat="false" ht="11.25" hidden="false" customHeight="false" outlineLevel="0" collapsed="false">
      <c r="A530" s="948" t="str">
        <f aca="false">A540&amp;"  (Days)"</f>
        <v>Accounts Receivable  (Days)</v>
      </c>
      <c r="B530" s="346"/>
      <c r="C530" s="346"/>
      <c r="D530" s="346"/>
      <c r="E530" s="1040" t="n">
        <v>0</v>
      </c>
      <c r="F530" s="1040" t="n">
        <v>0</v>
      </c>
      <c r="G530" s="1040" t="n">
        <v>0</v>
      </c>
      <c r="H530" s="1040" t="n">
        <v>0</v>
      </c>
      <c r="I530" s="1041" t="n">
        <f aca="false">Debt!E70</f>
        <v>30</v>
      </c>
      <c r="J530" s="1042" t="n">
        <f aca="false">I530</f>
        <v>30</v>
      </c>
      <c r="K530" s="1042" t="n">
        <f aca="false">J530</f>
        <v>30</v>
      </c>
      <c r="L530" s="1042" t="n">
        <f aca="false">K530</f>
        <v>30</v>
      </c>
      <c r="M530" s="1042" t="n">
        <f aca="false">L530</f>
        <v>30</v>
      </c>
      <c r="N530" s="1042" t="n">
        <f aca="false">M530</f>
        <v>30</v>
      </c>
      <c r="O530" s="1042" t="n">
        <f aca="false">N530</f>
        <v>30</v>
      </c>
      <c r="P530" s="1042" t="n">
        <f aca="false">O530</f>
        <v>30</v>
      </c>
      <c r="Q530" s="1042" t="n">
        <f aca="false">P530</f>
        <v>30</v>
      </c>
      <c r="R530" s="1042" t="n">
        <f aca="false">Q530</f>
        <v>30</v>
      </c>
      <c r="S530" s="1042" t="n">
        <f aca="false">R530</f>
        <v>30</v>
      </c>
      <c r="T530" s="1042" t="n">
        <f aca="false">S530</f>
        <v>30</v>
      </c>
      <c r="U530" s="1042" t="n">
        <f aca="false">T530</f>
        <v>30</v>
      </c>
      <c r="V530" s="1042" t="n">
        <f aca="false">U530</f>
        <v>30</v>
      </c>
      <c r="W530" s="1042" t="n">
        <f aca="false">V530</f>
        <v>30</v>
      </c>
      <c r="X530" s="1042" t="n">
        <f aca="false">W530</f>
        <v>30</v>
      </c>
      <c r="Y530" s="1042" t="n">
        <f aca="false">X530</f>
        <v>30</v>
      </c>
      <c r="Z530" s="1042" t="n">
        <f aca="false">Y530</f>
        <v>30</v>
      </c>
      <c r="AA530" s="1042" t="n">
        <f aca="false">Z530</f>
        <v>30</v>
      </c>
      <c r="AB530" s="1042" t="n">
        <f aca="false">AA530</f>
        <v>30</v>
      </c>
      <c r="AC530" s="1042" t="n">
        <f aca="false">AB530</f>
        <v>30</v>
      </c>
      <c r="AD530" s="1042" t="n">
        <f aca="false">AC530</f>
        <v>30</v>
      </c>
      <c r="AE530" s="1042" t="n">
        <f aca="false">AD530</f>
        <v>30</v>
      </c>
      <c r="AF530" s="1042" t="n">
        <f aca="false">AE530</f>
        <v>30</v>
      </c>
      <c r="AG530" s="751"/>
    </row>
    <row r="531" customFormat="false" ht="11.25" hidden="false" customHeight="false" outlineLevel="0" collapsed="false">
      <c r="A531" s="948" t="str">
        <f aca="false">A541&amp;"  (x)"</f>
        <v>Inventories  (x)</v>
      </c>
      <c r="B531" s="346"/>
      <c r="C531" s="346"/>
      <c r="D531" s="346"/>
      <c r="E531" s="1040" t="n">
        <v>0</v>
      </c>
      <c r="F531" s="1040" t="n">
        <v>0</v>
      </c>
      <c r="G531" s="1040" t="n">
        <v>0</v>
      </c>
      <c r="H531" s="1040" t="n">
        <v>0</v>
      </c>
      <c r="I531" s="1041" t="n">
        <f aca="false">Debt!E71</f>
        <v>0</v>
      </c>
      <c r="J531" s="1042" t="n">
        <f aca="false">I531</f>
        <v>0</v>
      </c>
      <c r="K531" s="1042" t="n">
        <f aca="false">J531</f>
        <v>0</v>
      </c>
      <c r="L531" s="1042" t="n">
        <f aca="false">K531</f>
        <v>0</v>
      </c>
      <c r="M531" s="1042" t="n">
        <f aca="false">L531</f>
        <v>0</v>
      </c>
      <c r="N531" s="1042" t="n">
        <f aca="false">M531</f>
        <v>0</v>
      </c>
      <c r="O531" s="1042" t="n">
        <f aca="false">N531</f>
        <v>0</v>
      </c>
      <c r="P531" s="1042" t="n">
        <f aca="false">O531</f>
        <v>0</v>
      </c>
      <c r="Q531" s="1042" t="n">
        <f aca="false">P531</f>
        <v>0</v>
      </c>
      <c r="R531" s="1042" t="n">
        <f aca="false">Q531</f>
        <v>0</v>
      </c>
      <c r="S531" s="1042" t="n">
        <f aca="false">R531</f>
        <v>0</v>
      </c>
      <c r="T531" s="1042" t="n">
        <f aca="false">S531</f>
        <v>0</v>
      </c>
      <c r="U531" s="1042" t="n">
        <f aca="false">T531</f>
        <v>0</v>
      </c>
      <c r="V531" s="1042" t="n">
        <f aca="false">U531</f>
        <v>0</v>
      </c>
      <c r="W531" s="1042" t="n">
        <f aca="false">V531</f>
        <v>0</v>
      </c>
      <c r="X531" s="1042" t="n">
        <f aca="false">W531</f>
        <v>0</v>
      </c>
      <c r="Y531" s="1042" t="n">
        <f aca="false">X531</f>
        <v>0</v>
      </c>
      <c r="Z531" s="1042" t="n">
        <f aca="false">Y531</f>
        <v>0</v>
      </c>
      <c r="AA531" s="1042" t="n">
        <f aca="false">Z531</f>
        <v>0</v>
      </c>
      <c r="AB531" s="1042" t="n">
        <f aca="false">AA531</f>
        <v>0</v>
      </c>
      <c r="AC531" s="1042" t="n">
        <f aca="false">AB531</f>
        <v>0</v>
      </c>
      <c r="AD531" s="1042" t="n">
        <f aca="false">AC531</f>
        <v>0</v>
      </c>
      <c r="AE531" s="1042" t="n">
        <f aca="false">AD531</f>
        <v>0</v>
      </c>
      <c r="AF531" s="1042" t="n">
        <f aca="false">AE531</f>
        <v>0</v>
      </c>
      <c r="AG531" s="751"/>
    </row>
    <row r="532" customFormat="false" ht="11.25" hidden="false" customHeight="false" outlineLevel="0" collapsed="false">
      <c r="A532" s="948" t="str">
        <f aca="false">A542&amp;"  ($)"</f>
        <v>Other Current Assets  ($)</v>
      </c>
      <c r="B532" s="346"/>
      <c r="C532" s="346"/>
      <c r="D532" s="346"/>
      <c r="E532" s="1040" t="n">
        <v>0</v>
      </c>
      <c r="F532" s="1040" t="n">
        <v>0</v>
      </c>
      <c r="G532" s="1040" t="n">
        <v>0</v>
      </c>
      <c r="H532" s="1040" t="n">
        <v>0</v>
      </c>
      <c r="I532" s="476" t="n">
        <f aca="false">Debt!E72</f>
        <v>0</v>
      </c>
      <c r="J532" s="1043" t="n">
        <f aca="false">I532</f>
        <v>0</v>
      </c>
      <c r="K532" s="1043" t="n">
        <f aca="false">J532</f>
        <v>0</v>
      </c>
      <c r="L532" s="1043" t="n">
        <f aca="false">K532</f>
        <v>0</v>
      </c>
      <c r="M532" s="1043" t="n">
        <f aca="false">L532</f>
        <v>0</v>
      </c>
      <c r="N532" s="1043" t="n">
        <f aca="false">M532</f>
        <v>0</v>
      </c>
      <c r="O532" s="1043" t="n">
        <f aca="false">N532</f>
        <v>0</v>
      </c>
      <c r="P532" s="1043" t="n">
        <f aca="false">O532</f>
        <v>0</v>
      </c>
      <c r="Q532" s="1043" t="n">
        <f aca="false">P532</f>
        <v>0</v>
      </c>
      <c r="R532" s="1043" t="n">
        <f aca="false">Q532</f>
        <v>0</v>
      </c>
      <c r="S532" s="1043" t="n">
        <f aca="false">R532</f>
        <v>0</v>
      </c>
      <c r="T532" s="1043" t="n">
        <f aca="false">S532</f>
        <v>0</v>
      </c>
      <c r="U532" s="1043" t="n">
        <f aca="false">T532</f>
        <v>0</v>
      </c>
      <c r="V532" s="1043" t="n">
        <f aca="false">U532</f>
        <v>0</v>
      </c>
      <c r="W532" s="1043" t="n">
        <f aca="false">V532</f>
        <v>0</v>
      </c>
      <c r="X532" s="1043" t="n">
        <f aca="false">W532</f>
        <v>0</v>
      </c>
      <c r="Y532" s="1043" t="n">
        <f aca="false">X532</f>
        <v>0</v>
      </c>
      <c r="Z532" s="1043" t="n">
        <f aca="false">Y532</f>
        <v>0</v>
      </c>
      <c r="AA532" s="1043" t="n">
        <f aca="false">Z532</f>
        <v>0</v>
      </c>
      <c r="AB532" s="1043" t="n">
        <f aca="false">AA532</f>
        <v>0</v>
      </c>
      <c r="AC532" s="1043" t="n">
        <f aca="false">AB532</f>
        <v>0</v>
      </c>
      <c r="AD532" s="1043" t="n">
        <f aca="false">AC532</f>
        <v>0</v>
      </c>
      <c r="AE532" s="1043" t="n">
        <f aca="false">AD532</f>
        <v>0</v>
      </c>
      <c r="AF532" s="1043" t="n">
        <f aca="false">AE532</f>
        <v>0</v>
      </c>
      <c r="AG532" s="751"/>
    </row>
    <row r="533" customFormat="false" ht="11.25" hidden="false" customHeight="false" outlineLevel="0" collapsed="false">
      <c r="A533" s="948" t="str">
        <f aca="false">A543&amp;"  (Days)"</f>
        <v>Accounts Payable  (Days)</v>
      </c>
      <c r="B533" s="346"/>
      <c r="C533" s="346"/>
      <c r="D533" s="346"/>
      <c r="E533" s="1040" t="n">
        <v>0</v>
      </c>
      <c r="F533" s="1040" t="n">
        <v>0</v>
      </c>
      <c r="G533" s="1040" t="n">
        <v>0</v>
      </c>
      <c r="H533" s="1040" t="n">
        <v>0</v>
      </c>
      <c r="I533" s="1041" t="n">
        <f aca="false">Debt!E73</f>
        <v>30</v>
      </c>
      <c r="J533" s="1042" t="n">
        <f aca="false">I533</f>
        <v>30</v>
      </c>
      <c r="K533" s="1042" t="n">
        <f aca="false">J533</f>
        <v>30</v>
      </c>
      <c r="L533" s="1042" t="n">
        <f aca="false">K533</f>
        <v>30</v>
      </c>
      <c r="M533" s="1042" t="n">
        <f aca="false">L533</f>
        <v>30</v>
      </c>
      <c r="N533" s="1042" t="n">
        <f aca="false">M533</f>
        <v>30</v>
      </c>
      <c r="O533" s="1042" t="n">
        <f aca="false">N533</f>
        <v>30</v>
      </c>
      <c r="P533" s="1042" t="n">
        <f aca="false">O533</f>
        <v>30</v>
      </c>
      <c r="Q533" s="1042" t="n">
        <f aca="false">P533</f>
        <v>30</v>
      </c>
      <c r="R533" s="1042" t="n">
        <f aca="false">Q533</f>
        <v>30</v>
      </c>
      <c r="S533" s="1042" t="n">
        <f aca="false">R533</f>
        <v>30</v>
      </c>
      <c r="T533" s="1042" t="n">
        <f aca="false">S533</f>
        <v>30</v>
      </c>
      <c r="U533" s="1042" t="n">
        <f aca="false">T533</f>
        <v>30</v>
      </c>
      <c r="V533" s="1042" t="n">
        <f aca="false">U533</f>
        <v>30</v>
      </c>
      <c r="W533" s="1042" t="n">
        <f aca="false">V533</f>
        <v>30</v>
      </c>
      <c r="X533" s="1042" t="n">
        <f aca="false">W533</f>
        <v>30</v>
      </c>
      <c r="Y533" s="1042" t="n">
        <f aca="false">X533</f>
        <v>30</v>
      </c>
      <c r="Z533" s="1042" t="n">
        <f aca="false">Y533</f>
        <v>30</v>
      </c>
      <c r="AA533" s="1042" t="n">
        <f aca="false">Z533</f>
        <v>30</v>
      </c>
      <c r="AB533" s="1042" t="n">
        <f aca="false">AA533</f>
        <v>30</v>
      </c>
      <c r="AC533" s="1042" t="n">
        <f aca="false">AB533</f>
        <v>30</v>
      </c>
      <c r="AD533" s="1042" t="n">
        <f aca="false">AC533</f>
        <v>30</v>
      </c>
      <c r="AE533" s="1042" t="n">
        <f aca="false">AD533</f>
        <v>30</v>
      </c>
      <c r="AF533" s="1042" t="n">
        <f aca="false">AE533</f>
        <v>30</v>
      </c>
      <c r="AG533" s="751"/>
    </row>
    <row r="534" customFormat="false" ht="11.25" hidden="false" customHeight="false" outlineLevel="0" collapsed="false">
      <c r="A534" s="948" t="str">
        <f aca="false">A544&amp;"  (Days)"</f>
        <v>Accrued Expenses  (Days)</v>
      </c>
      <c r="B534" s="346"/>
      <c r="C534" s="346"/>
      <c r="D534" s="346"/>
      <c r="E534" s="1040" t="n">
        <v>0</v>
      </c>
      <c r="F534" s="1040" t="n">
        <v>0</v>
      </c>
      <c r="G534" s="1040" t="n">
        <v>0</v>
      </c>
      <c r="H534" s="1040" t="n">
        <v>0</v>
      </c>
      <c r="I534" s="1041" t="n">
        <f aca="false">Debt!E74</f>
        <v>31</v>
      </c>
      <c r="J534" s="1042" t="n">
        <f aca="false">I534</f>
        <v>31</v>
      </c>
      <c r="K534" s="1042" t="n">
        <f aca="false">J534</f>
        <v>31</v>
      </c>
      <c r="L534" s="1042" t="n">
        <f aca="false">K534</f>
        <v>31</v>
      </c>
      <c r="M534" s="1042" t="n">
        <f aca="false">L534</f>
        <v>31</v>
      </c>
      <c r="N534" s="1042" t="n">
        <f aca="false">M534</f>
        <v>31</v>
      </c>
      <c r="O534" s="1042" t="n">
        <f aca="false">N534</f>
        <v>31</v>
      </c>
      <c r="P534" s="1042" t="n">
        <f aca="false">O534</f>
        <v>31</v>
      </c>
      <c r="Q534" s="1042" t="n">
        <f aca="false">P534</f>
        <v>31</v>
      </c>
      <c r="R534" s="1042" t="n">
        <f aca="false">Q534</f>
        <v>31</v>
      </c>
      <c r="S534" s="1042" t="n">
        <f aca="false">R534</f>
        <v>31</v>
      </c>
      <c r="T534" s="1042" t="n">
        <f aca="false">S534</f>
        <v>31</v>
      </c>
      <c r="U534" s="1042" t="n">
        <f aca="false">T534</f>
        <v>31</v>
      </c>
      <c r="V534" s="1042" t="n">
        <f aca="false">U534</f>
        <v>31</v>
      </c>
      <c r="W534" s="1042" t="n">
        <f aca="false">V534</f>
        <v>31</v>
      </c>
      <c r="X534" s="1042" t="n">
        <f aca="false">W534</f>
        <v>31</v>
      </c>
      <c r="Y534" s="1042" t="n">
        <f aca="false">X534</f>
        <v>31</v>
      </c>
      <c r="Z534" s="1042" t="n">
        <f aca="false">Y534</f>
        <v>31</v>
      </c>
      <c r="AA534" s="1042" t="n">
        <f aca="false">Z534</f>
        <v>31</v>
      </c>
      <c r="AB534" s="1042" t="n">
        <f aca="false">AA534</f>
        <v>31</v>
      </c>
      <c r="AC534" s="1042" t="n">
        <f aca="false">AB534</f>
        <v>31</v>
      </c>
      <c r="AD534" s="1042" t="n">
        <f aca="false">AC534</f>
        <v>31</v>
      </c>
      <c r="AE534" s="1042" t="n">
        <f aca="false">AD534</f>
        <v>31</v>
      </c>
      <c r="AF534" s="1042" t="n">
        <f aca="false">AE534</f>
        <v>31</v>
      </c>
      <c r="AG534" s="751"/>
    </row>
    <row r="535" customFormat="false" ht="11.25" hidden="false" customHeight="false" outlineLevel="0" collapsed="false">
      <c r="A535" s="948" t="str">
        <f aca="false">A545&amp;"  ($)"</f>
        <v>Other Payables  ($)</v>
      </c>
      <c r="B535" s="346"/>
      <c r="C535" s="346"/>
      <c r="D535" s="346"/>
      <c r="E535" s="1040" t="n">
        <v>0</v>
      </c>
      <c r="F535" s="1040" t="n">
        <v>0</v>
      </c>
      <c r="G535" s="1040" t="n">
        <v>0</v>
      </c>
      <c r="H535" s="1040" t="n">
        <v>0</v>
      </c>
      <c r="I535" s="476" t="n">
        <f aca="false">Debt!E75</f>
        <v>0</v>
      </c>
      <c r="J535" s="1043" t="n">
        <f aca="false">I535</f>
        <v>0</v>
      </c>
      <c r="K535" s="1043" t="n">
        <f aca="false">J535</f>
        <v>0</v>
      </c>
      <c r="L535" s="1043" t="n">
        <f aca="false">K535</f>
        <v>0</v>
      </c>
      <c r="M535" s="1043" t="n">
        <f aca="false">L535</f>
        <v>0</v>
      </c>
      <c r="N535" s="1043" t="n">
        <f aca="false">M535</f>
        <v>0</v>
      </c>
      <c r="O535" s="1043" t="n">
        <f aca="false">N535</f>
        <v>0</v>
      </c>
      <c r="P535" s="1043" t="n">
        <f aca="false">O535</f>
        <v>0</v>
      </c>
      <c r="Q535" s="1043" t="n">
        <f aca="false">P535</f>
        <v>0</v>
      </c>
      <c r="R535" s="1043" t="n">
        <f aca="false">Q535</f>
        <v>0</v>
      </c>
      <c r="S535" s="1043" t="n">
        <f aca="false">R535</f>
        <v>0</v>
      </c>
      <c r="T535" s="1043" t="n">
        <f aca="false">S535</f>
        <v>0</v>
      </c>
      <c r="U535" s="1043" t="n">
        <f aca="false">T535</f>
        <v>0</v>
      </c>
      <c r="V535" s="1043" t="n">
        <f aca="false">U535</f>
        <v>0</v>
      </c>
      <c r="W535" s="1043" t="n">
        <f aca="false">V535</f>
        <v>0</v>
      </c>
      <c r="X535" s="1043" t="n">
        <f aca="false">W535</f>
        <v>0</v>
      </c>
      <c r="Y535" s="1043" t="n">
        <f aca="false">X535</f>
        <v>0</v>
      </c>
      <c r="Z535" s="1043" t="n">
        <f aca="false">Y535</f>
        <v>0</v>
      </c>
      <c r="AA535" s="1043" t="n">
        <f aca="false">Z535</f>
        <v>0</v>
      </c>
      <c r="AB535" s="1043" t="n">
        <f aca="false">AA535</f>
        <v>0</v>
      </c>
      <c r="AC535" s="1043" t="n">
        <f aca="false">AB535</f>
        <v>0</v>
      </c>
      <c r="AD535" s="1043" t="n">
        <f aca="false">AC535</f>
        <v>0</v>
      </c>
      <c r="AE535" s="1043" t="n">
        <f aca="false">AD535</f>
        <v>0</v>
      </c>
      <c r="AF535" s="1043" t="n">
        <f aca="false">AE535</f>
        <v>0</v>
      </c>
      <c r="AG535" s="751"/>
    </row>
    <row r="536" customFormat="false" ht="11.25" hidden="false" customHeight="false" outlineLevel="0" collapsed="false">
      <c r="A536" s="751"/>
      <c r="B536" s="751"/>
      <c r="C536" s="751"/>
      <c r="D536" s="751"/>
      <c r="E536" s="751"/>
      <c r="F536" s="751"/>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row>
    <row r="537" customFormat="false" ht="11.25" hidden="false" customHeight="false" outlineLevel="0" collapsed="false">
      <c r="A537" s="751"/>
      <c r="B537" s="751"/>
      <c r="C537" s="751"/>
      <c r="D537" s="751"/>
      <c r="E537" s="751"/>
      <c r="F537" s="751"/>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row>
    <row r="538" customFormat="false" ht="12" hidden="false" customHeight="false" outlineLevel="0" collapsed="false">
      <c r="A538" s="1044" t="s">
        <v>903</v>
      </c>
      <c r="B538" s="961"/>
      <c r="C538" s="961"/>
      <c r="D538" s="961"/>
      <c r="E538" s="1045" t="n">
        <f aca="false">E$599</f>
        <v>36891</v>
      </c>
      <c r="F538" s="1045" t="n">
        <f aca="false">F$599</f>
        <v>37256</v>
      </c>
      <c r="G538" s="1045" t="n">
        <f aca="false">G$599</f>
        <v>37621</v>
      </c>
      <c r="H538" s="1046" t="n">
        <f aca="false">H$599</f>
        <v>37802</v>
      </c>
      <c r="I538" s="1047" t="n">
        <f aca="false">I$599</f>
        <v>37986</v>
      </c>
      <c r="J538" s="1048" t="n">
        <f aca="false">J$599</f>
        <v>38352</v>
      </c>
      <c r="K538" s="1048" t="n">
        <f aca="false">K$599</f>
        <v>38717</v>
      </c>
      <c r="L538" s="1048" t="n">
        <f aca="false">L$599</f>
        <v>39082</v>
      </c>
      <c r="M538" s="1048" t="n">
        <f aca="false">M$599</f>
        <v>39447</v>
      </c>
      <c r="N538" s="1048" t="n">
        <f aca="false">N$599</f>
        <v>39813</v>
      </c>
      <c r="O538" s="1048" t="n">
        <f aca="false">O$599</f>
        <v>40178</v>
      </c>
      <c r="P538" s="1048" t="n">
        <f aca="false">P$599</f>
        <v>40543</v>
      </c>
      <c r="Q538" s="1048" t="n">
        <f aca="false">Q$599</f>
        <v>40908</v>
      </c>
      <c r="R538" s="1048" t="n">
        <f aca="false">R$599</f>
        <v>41274</v>
      </c>
      <c r="S538" s="1048" t="n">
        <f aca="false">S$599</f>
        <v>41639</v>
      </c>
      <c r="T538" s="1048" t="n">
        <f aca="false">T$599</f>
        <v>42004</v>
      </c>
      <c r="U538" s="1048" t="n">
        <f aca="false">U$599</f>
        <v>42369</v>
      </c>
      <c r="V538" s="1048" t="n">
        <f aca="false">V$599</f>
        <v>42735</v>
      </c>
      <c r="W538" s="1048" t="n">
        <f aca="false">W$599</f>
        <v>43100</v>
      </c>
      <c r="X538" s="1048" t="n">
        <f aca="false">X$599</f>
        <v>43465</v>
      </c>
      <c r="Y538" s="1048" t="n">
        <f aca="false">Y$599</f>
        <v>43830</v>
      </c>
      <c r="Z538" s="1048" t="n">
        <f aca="false">Z$599</f>
        <v>44196</v>
      </c>
      <c r="AA538" s="1048" t="n">
        <f aca="false">AA$599</f>
        <v>44561</v>
      </c>
      <c r="AB538" s="1048" t="n">
        <f aca="false">AB$599</f>
        <v>44926</v>
      </c>
      <c r="AC538" s="1048" t="n">
        <f aca="false">AC$599</f>
        <v>45291</v>
      </c>
      <c r="AD538" s="1048" t="n">
        <f aca="false">AD$599</f>
        <v>45657</v>
      </c>
      <c r="AE538" s="1048" t="n">
        <f aca="false">AE$599</f>
        <v>46022</v>
      </c>
      <c r="AF538" s="1049" t="n">
        <f aca="false">AF$599</f>
        <v>46387</v>
      </c>
      <c r="AG538" s="751"/>
    </row>
    <row r="539" customFormat="false" ht="12" hidden="false" customHeight="false" outlineLevel="0" collapsed="false">
      <c r="A539" s="1050" t="s">
        <v>904</v>
      </c>
      <c r="B539" s="469"/>
      <c r="C539" s="469"/>
      <c r="D539" s="469"/>
      <c r="E539" s="956" t="n">
        <f aca="false">E485</f>
        <v>0</v>
      </c>
      <c r="F539" s="956" t="n">
        <f aca="false">F485</f>
        <v>0</v>
      </c>
      <c r="G539" s="956" t="n">
        <f aca="false">G485</f>
        <v>0</v>
      </c>
      <c r="H539" s="1051" t="e">
        <f aca="false" t="array" ref="H539:H545">+Debt!F69:F75</f>
        <v>#VALUE!</v>
      </c>
      <c r="I539" s="1052" t="e">
        <f aca="false" t="array" ref="I539:I545">Debt!F69:F75</f>
        <v>#VALUE!</v>
      </c>
      <c r="J539" s="1053" t="e">
        <f aca="false">IF(J285=0,0,J529/365*(J$285))</f>
        <v>#VALUE!</v>
      </c>
      <c r="K539" s="1054" t="e">
        <f aca="false">IF(K285=0,0,K529/365*(K$285))</f>
        <v>#VALUE!</v>
      </c>
      <c r="L539" s="1054" t="e">
        <f aca="false">IF(L285=0,0,L529/365*(L$285))</f>
        <v>#VALUE!</v>
      </c>
      <c r="M539" s="1054" t="e">
        <f aca="false">IF(M285=0,0,M529/365*(M$285))</f>
        <v>#VALUE!</v>
      </c>
      <c r="N539" s="1054" t="e">
        <f aca="false">IF(N285=0,0,N529/365*(N$285))</f>
        <v>#VALUE!</v>
      </c>
      <c r="O539" s="1054" t="e">
        <f aca="false">IF(O285=0,0,O529/365*(O$285))</f>
        <v>#VALUE!</v>
      </c>
      <c r="P539" s="1054" t="e">
        <f aca="false">IF(P285=0,0,P529/365*(P$285))</f>
        <v>#VALUE!</v>
      </c>
      <c r="Q539" s="1054" t="e">
        <f aca="false">IF(Q285=0,0,Q529/365*(Q$285))</f>
        <v>#VALUE!</v>
      </c>
      <c r="R539" s="1054" t="e">
        <f aca="false">IF(R285=0,0,R529/365*(R$285))</f>
        <v>#VALUE!</v>
      </c>
      <c r="S539" s="1054" t="e">
        <f aca="false">IF(S285=0,0,S529/365*(S$285))</f>
        <v>#VALUE!</v>
      </c>
      <c r="T539" s="1054" t="e">
        <f aca="false">IF(T285=0,0,T529/365*(T$285))</f>
        <v>#VALUE!</v>
      </c>
      <c r="U539" s="1054" t="e">
        <f aca="false">IF(U285=0,0,U529/365*(U$285))</f>
        <v>#VALUE!</v>
      </c>
      <c r="V539" s="1054" t="e">
        <f aca="false">IF(V285=0,0,V529/365*(V$285))</f>
        <v>#VALUE!</v>
      </c>
      <c r="W539" s="1054" t="e">
        <f aca="false">IF(W285=0,0,W529/365*(W$285))</f>
        <v>#VALUE!</v>
      </c>
      <c r="X539" s="1054" t="e">
        <f aca="false">IF(X285=0,0,X529/365*(X$285))</f>
        <v>#VALUE!</v>
      </c>
      <c r="Y539" s="1054" t="e">
        <f aca="false">IF(Y285=0,0,Y529/365*(Y$285))</f>
        <v>#VALUE!</v>
      </c>
      <c r="Z539" s="1054" t="e">
        <f aca="false">IF(Z285=0,0,Z529/365*(Z$285))</f>
        <v>#VALUE!</v>
      </c>
      <c r="AA539" s="1054" t="e">
        <f aca="false">IF(AA285=0,0,AA529/365*(AA$285))</f>
        <v>#VALUE!</v>
      </c>
      <c r="AB539" s="1054" t="e">
        <f aca="false">IF(AB285=0,0,AB529/365*(AB$285))</f>
        <v>#VALUE!</v>
      </c>
      <c r="AC539" s="1054" t="e">
        <f aca="false">IF(AC285=0,0,AC529/365*(AC$285))</f>
        <v>#VALUE!</v>
      </c>
      <c r="AD539" s="1054" t="n">
        <f aca="false">IF(AD285=0,0,AD529/365*(AD$285))</f>
        <v>0</v>
      </c>
      <c r="AE539" s="1054" t="n">
        <f aca="false">IF(AE285=0,0,AE529/365*(AE$285))</f>
        <v>0</v>
      </c>
      <c r="AF539" s="1055" t="n">
        <f aca="false">IF(AF285=0,0,AF529/365*(AF$285))</f>
        <v>0</v>
      </c>
      <c r="AG539" s="751"/>
    </row>
    <row r="540" customFormat="false" ht="11.25" hidden="false" customHeight="false" outlineLevel="0" collapsed="false">
      <c r="A540" s="1050" t="str">
        <f aca="false">A370</f>
        <v>Accounts Receivable</v>
      </c>
      <c r="B540" s="469"/>
      <c r="C540" s="1056"/>
      <c r="D540" s="956"/>
      <c r="E540" s="956" t="n">
        <f aca="false">E486</f>
        <v>0</v>
      </c>
      <c r="F540" s="956" t="n">
        <f aca="false">F486</f>
        <v>0</v>
      </c>
      <c r="G540" s="956" t="n">
        <f aca="false">G486</f>
        <v>0</v>
      </c>
      <c r="H540" s="1051" t="e">
        <v>#VALUE!</v>
      </c>
      <c r="I540" s="1052" t="e">
        <v>#VALUE!</v>
      </c>
      <c r="J540" s="1053" t="e">
        <f aca="false">J530/365*(J$285)</f>
        <v>#VALUE!</v>
      </c>
      <c r="K540" s="1054" t="e">
        <f aca="false">K530/365*(K$285)</f>
        <v>#VALUE!</v>
      </c>
      <c r="L540" s="1054" t="e">
        <f aca="false">L530/365*(L$285)</f>
        <v>#VALUE!</v>
      </c>
      <c r="M540" s="1054" t="e">
        <f aca="false">M530/365*(M$285)</f>
        <v>#VALUE!</v>
      </c>
      <c r="N540" s="1054" t="e">
        <f aca="false">N530/365*(N$285)</f>
        <v>#VALUE!</v>
      </c>
      <c r="O540" s="1054" t="e">
        <f aca="false">O530/365*(O$285)</f>
        <v>#VALUE!</v>
      </c>
      <c r="P540" s="1054" t="e">
        <f aca="false">P530/365*(P$285)</f>
        <v>#VALUE!</v>
      </c>
      <c r="Q540" s="1054" t="e">
        <f aca="false">Q530/365*(Q$285)</f>
        <v>#VALUE!</v>
      </c>
      <c r="R540" s="1054" t="e">
        <f aca="false">R530/365*(R$285)</f>
        <v>#VALUE!</v>
      </c>
      <c r="S540" s="1054" t="e">
        <f aca="false">S530/365*(S$285)</f>
        <v>#VALUE!</v>
      </c>
      <c r="T540" s="1054" t="e">
        <f aca="false">T530/365*(T$285)</f>
        <v>#VALUE!</v>
      </c>
      <c r="U540" s="1054" t="e">
        <f aca="false">U530/365*(U$285)</f>
        <v>#VALUE!</v>
      </c>
      <c r="V540" s="1054" t="e">
        <f aca="false">V530/365*(V$285)</f>
        <v>#VALUE!</v>
      </c>
      <c r="W540" s="1054" t="e">
        <f aca="false">W530/365*(W$285)</f>
        <v>#VALUE!</v>
      </c>
      <c r="X540" s="1054" t="e">
        <f aca="false">X530/365*(X$285)</f>
        <v>#VALUE!</v>
      </c>
      <c r="Y540" s="1054" t="e">
        <f aca="false">Y530/365*(Y$285)</f>
        <v>#VALUE!</v>
      </c>
      <c r="Z540" s="1054" t="e">
        <f aca="false">Z530/365*(Z$285)</f>
        <v>#VALUE!</v>
      </c>
      <c r="AA540" s="1054" t="e">
        <f aca="false">AA530/365*(AA$285)</f>
        <v>#VALUE!</v>
      </c>
      <c r="AB540" s="1054" t="e">
        <f aca="false">AB530/365*(AB$285)</f>
        <v>#VALUE!</v>
      </c>
      <c r="AC540" s="1054" t="e">
        <f aca="false">AC530/365*(AC$285)</f>
        <v>#VALUE!</v>
      </c>
      <c r="AD540" s="1054" t="n">
        <f aca="false">AD530/365*(AD$285)</f>
        <v>0</v>
      </c>
      <c r="AE540" s="1054" t="n">
        <f aca="false">AE530/365*(AE$285)</f>
        <v>0</v>
      </c>
      <c r="AF540" s="1055" t="n">
        <f aca="false">AF530/365*(AF$285)</f>
        <v>0</v>
      </c>
      <c r="AG540" s="751"/>
    </row>
    <row r="541" customFormat="false" ht="11.25" hidden="false" customHeight="false" outlineLevel="0" collapsed="false">
      <c r="A541" s="1050" t="str">
        <f aca="false">A371</f>
        <v>Inventories</v>
      </c>
      <c r="B541" s="469"/>
      <c r="C541" s="1056"/>
      <c r="D541" s="956"/>
      <c r="E541" s="956" t="n">
        <f aca="false">E487</f>
        <v>0</v>
      </c>
      <c r="F541" s="956" t="n">
        <f aca="false">F487</f>
        <v>0</v>
      </c>
      <c r="G541" s="956" t="n">
        <f aca="false">G487</f>
        <v>0</v>
      </c>
      <c r="H541" s="1051" t="n">
        <v>0</v>
      </c>
      <c r="I541" s="1052" t="n">
        <v>0</v>
      </c>
      <c r="J541" s="1053" t="n">
        <f aca="false">IF(J531=0,0,(J$286)/J531)</f>
        <v>0</v>
      </c>
      <c r="K541" s="1054" t="n">
        <f aca="false">IF(K531=0,0,(K$286)/K531)</f>
        <v>0</v>
      </c>
      <c r="L541" s="1054" t="n">
        <f aca="false">IF(L531=0,0,(L$286)/L531)</f>
        <v>0</v>
      </c>
      <c r="M541" s="1054" t="n">
        <f aca="false">IF(M531=0,0,(M$286)/M531)</f>
        <v>0</v>
      </c>
      <c r="N541" s="1054" t="n">
        <f aca="false">IF(N531=0,0,(N$286)/N531)</f>
        <v>0</v>
      </c>
      <c r="O541" s="1054" t="n">
        <f aca="false">IF(O531=0,0,(O$286)/O531)</f>
        <v>0</v>
      </c>
      <c r="P541" s="1054" t="n">
        <f aca="false">IF(P531=0,0,(P$286)/P531)</f>
        <v>0</v>
      </c>
      <c r="Q541" s="1054" t="n">
        <f aca="false">IF(Q531=0,0,(Q$286)/Q531)</f>
        <v>0</v>
      </c>
      <c r="R541" s="1054" t="n">
        <f aca="false">IF(R531=0,0,(R$286)/R531)</f>
        <v>0</v>
      </c>
      <c r="S541" s="1054" t="n">
        <f aca="false">IF(S531=0,0,(S$286)/S531)</f>
        <v>0</v>
      </c>
      <c r="T541" s="1054" t="n">
        <f aca="false">IF(T531=0,0,(T$286)/T531)</f>
        <v>0</v>
      </c>
      <c r="U541" s="1054" t="n">
        <f aca="false">IF(U531=0,0,(U$286)/U531)</f>
        <v>0</v>
      </c>
      <c r="V541" s="1054" t="n">
        <f aca="false">IF(V531=0,0,(V$286)/V531)</f>
        <v>0</v>
      </c>
      <c r="W541" s="1054" t="n">
        <f aca="false">IF(W531=0,0,(W$286)/W531)</f>
        <v>0</v>
      </c>
      <c r="X541" s="1054" t="n">
        <f aca="false">IF(X531=0,0,(X$286)/X531)</f>
        <v>0</v>
      </c>
      <c r="Y541" s="1054" t="n">
        <f aca="false">IF(Y531=0,0,(Y$286)/Y531)</f>
        <v>0</v>
      </c>
      <c r="Z541" s="1054" t="n">
        <f aca="false">IF(Z531=0,0,(Z$286)/Z531)</f>
        <v>0</v>
      </c>
      <c r="AA541" s="1054" t="n">
        <f aca="false">IF(AA531=0,0,(AA$286)/AA531)</f>
        <v>0</v>
      </c>
      <c r="AB541" s="1054" t="n">
        <f aca="false">IF(AB531=0,0,(AB$286)/AB531)</f>
        <v>0</v>
      </c>
      <c r="AC541" s="1054" t="n">
        <f aca="false">IF(AC531=0,0,(AC$286)/AC531)</f>
        <v>0</v>
      </c>
      <c r="AD541" s="1054" t="n">
        <f aca="false">IF(AD531=0,0,(AD$286)/AD531)</f>
        <v>0</v>
      </c>
      <c r="AE541" s="1054" t="n">
        <f aca="false">IF(AE531=0,0,(AE$286)/AE531)</f>
        <v>0</v>
      </c>
      <c r="AF541" s="1055" t="n">
        <f aca="false">IF(AF531=0,0,(AF$286)/AF531)</f>
        <v>0</v>
      </c>
      <c r="AG541" s="751"/>
    </row>
    <row r="542" customFormat="false" ht="11.25" hidden="false" customHeight="false" outlineLevel="0" collapsed="false">
      <c r="A542" s="1050" t="str">
        <f aca="false">A372</f>
        <v>Other Current Assets</v>
      </c>
      <c r="B542" s="469"/>
      <c r="C542" s="1056"/>
      <c r="D542" s="956"/>
      <c r="E542" s="956" t="n">
        <f aca="false">E488</f>
        <v>0</v>
      </c>
      <c r="F542" s="956" t="n">
        <f aca="false">F488</f>
        <v>0</v>
      </c>
      <c r="G542" s="956" t="n">
        <f aca="false">G488</f>
        <v>0</v>
      </c>
      <c r="H542" s="1051" t="n">
        <v>0</v>
      </c>
      <c r="I542" s="1052" t="n">
        <v>0</v>
      </c>
      <c r="J542" s="1053" t="n">
        <f aca="false">J532</f>
        <v>0</v>
      </c>
      <c r="K542" s="1054" t="n">
        <f aca="false">K532</f>
        <v>0</v>
      </c>
      <c r="L542" s="1054" t="n">
        <f aca="false">L532</f>
        <v>0</v>
      </c>
      <c r="M542" s="1054" t="n">
        <f aca="false">M532</f>
        <v>0</v>
      </c>
      <c r="N542" s="1054" t="n">
        <f aca="false">N532</f>
        <v>0</v>
      </c>
      <c r="O542" s="1054" t="n">
        <f aca="false">O532</f>
        <v>0</v>
      </c>
      <c r="P542" s="1054" t="n">
        <f aca="false">P532</f>
        <v>0</v>
      </c>
      <c r="Q542" s="1054" t="n">
        <f aca="false">Q532</f>
        <v>0</v>
      </c>
      <c r="R542" s="1054" t="n">
        <f aca="false">R532</f>
        <v>0</v>
      </c>
      <c r="S542" s="1054" t="n">
        <f aca="false">S532</f>
        <v>0</v>
      </c>
      <c r="T542" s="1054" t="n">
        <f aca="false">T532</f>
        <v>0</v>
      </c>
      <c r="U542" s="1054" t="n">
        <f aca="false">U532</f>
        <v>0</v>
      </c>
      <c r="V542" s="1054" t="n">
        <f aca="false">V532</f>
        <v>0</v>
      </c>
      <c r="W542" s="1054" t="n">
        <f aca="false">W532</f>
        <v>0</v>
      </c>
      <c r="X542" s="1054" t="n">
        <f aca="false">X532</f>
        <v>0</v>
      </c>
      <c r="Y542" s="1054" t="n">
        <f aca="false">Y532</f>
        <v>0</v>
      </c>
      <c r="Z542" s="1054" t="n">
        <f aca="false">Z532</f>
        <v>0</v>
      </c>
      <c r="AA542" s="1054" t="n">
        <f aca="false">AA532</f>
        <v>0</v>
      </c>
      <c r="AB542" s="1054" t="n">
        <f aca="false">AB532</f>
        <v>0</v>
      </c>
      <c r="AC542" s="1054" t="n">
        <f aca="false">AC532</f>
        <v>0</v>
      </c>
      <c r="AD542" s="1054" t="n">
        <f aca="false">AD532</f>
        <v>0</v>
      </c>
      <c r="AE542" s="1054" t="n">
        <f aca="false">AE532</f>
        <v>0</v>
      </c>
      <c r="AF542" s="1055" t="n">
        <f aca="false">AF532</f>
        <v>0</v>
      </c>
      <c r="AG542" s="751"/>
    </row>
    <row r="543" customFormat="false" ht="11.25" hidden="false" customHeight="false" outlineLevel="0" collapsed="false">
      <c r="A543" s="1050" t="str">
        <f aca="false">A388</f>
        <v>Accounts Payable</v>
      </c>
      <c r="B543" s="469"/>
      <c r="C543" s="1056"/>
      <c r="D543" s="956"/>
      <c r="E543" s="956" t="n">
        <f aca="false">E503</f>
        <v>0</v>
      </c>
      <c r="F543" s="956" t="n">
        <f aca="false">F503</f>
        <v>0</v>
      </c>
      <c r="G543" s="956" t="n">
        <f aca="false">G503</f>
        <v>0</v>
      </c>
      <c r="H543" s="1051" t="e">
        <v>#VALUE!</v>
      </c>
      <c r="I543" s="1052" t="e">
        <v>#VALUE!</v>
      </c>
      <c r="J543" s="1053" t="e">
        <f aca="false">J533/365*(J$286)</f>
        <v>#VALUE!</v>
      </c>
      <c r="K543" s="1054" t="e">
        <f aca="false">K533/365*(K$286)</f>
        <v>#VALUE!</v>
      </c>
      <c r="L543" s="1054" t="e">
        <f aca="false">L533/365*(L$286)</f>
        <v>#VALUE!</v>
      </c>
      <c r="M543" s="1054" t="e">
        <f aca="false">M533/365*(M$286)</f>
        <v>#VALUE!</v>
      </c>
      <c r="N543" s="1054" t="e">
        <f aca="false">N533/365*(N$286)</f>
        <v>#VALUE!</v>
      </c>
      <c r="O543" s="1054" t="e">
        <f aca="false">O533/365*(O$286)</f>
        <v>#VALUE!</v>
      </c>
      <c r="P543" s="1054" t="e">
        <f aca="false">P533/365*(P$286)</f>
        <v>#VALUE!</v>
      </c>
      <c r="Q543" s="1054" t="e">
        <f aca="false">Q533/365*(Q$286)</f>
        <v>#VALUE!</v>
      </c>
      <c r="R543" s="1054" t="e">
        <f aca="false">R533/365*(R$286)</f>
        <v>#VALUE!</v>
      </c>
      <c r="S543" s="1054" t="e">
        <f aca="false">S533/365*(S$286)</f>
        <v>#VALUE!</v>
      </c>
      <c r="T543" s="1054" t="e">
        <f aca="false">T533/365*(T$286)</f>
        <v>#VALUE!</v>
      </c>
      <c r="U543" s="1054" t="e">
        <f aca="false">U533/365*(U$286)</f>
        <v>#VALUE!</v>
      </c>
      <c r="V543" s="1054" t="e">
        <f aca="false">V533/365*(V$286)</f>
        <v>#VALUE!</v>
      </c>
      <c r="W543" s="1054" t="e">
        <f aca="false">W533/365*(W$286)</f>
        <v>#VALUE!</v>
      </c>
      <c r="X543" s="1054" t="e">
        <f aca="false">X533/365*(X$286)</f>
        <v>#VALUE!</v>
      </c>
      <c r="Y543" s="1054" t="e">
        <f aca="false">Y533/365*(Y$286)</f>
        <v>#VALUE!</v>
      </c>
      <c r="Z543" s="1054" t="e">
        <f aca="false">Z533/365*(Z$286)</f>
        <v>#VALUE!</v>
      </c>
      <c r="AA543" s="1054" t="e">
        <f aca="false">AA533/365*(AA$286)</f>
        <v>#VALUE!</v>
      </c>
      <c r="AB543" s="1054" t="e">
        <f aca="false">AB533/365*(AB$286)</f>
        <v>#VALUE!</v>
      </c>
      <c r="AC543" s="1054" t="e">
        <f aca="false">AC533/365*(AC$286)</f>
        <v>#VALUE!</v>
      </c>
      <c r="AD543" s="1054" t="n">
        <f aca="false">AD533/365*(AD$286)</f>
        <v>0</v>
      </c>
      <c r="AE543" s="1054" t="n">
        <f aca="false">AE533/365*(AE$286)</f>
        <v>0</v>
      </c>
      <c r="AF543" s="1055" t="n">
        <f aca="false">AF533/365*(AF$286)</f>
        <v>0</v>
      </c>
      <c r="AG543" s="751"/>
    </row>
    <row r="544" customFormat="false" ht="11.25" hidden="false" customHeight="false" outlineLevel="0" collapsed="false">
      <c r="A544" s="1050" t="str">
        <f aca="false">A389</f>
        <v>Accrued Expenses</v>
      </c>
      <c r="B544" s="469"/>
      <c r="C544" s="1056"/>
      <c r="D544" s="956"/>
      <c r="E544" s="956" t="n">
        <f aca="false">E504</f>
        <v>0</v>
      </c>
      <c r="F544" s="956" t="n">
        <f aca="false">F504</f>
        <v>0</v>
      </c>
      <c r="G544" s="956" t="n">
        <f aca="false">G504</f>
        <v>0</v>
      </c>
      <c r="H544" s="1051" t="e">
        <v>#VALUE!</v>
      </c>
      <c r="I544" s="1052" t="e">
        <v>#VALUE!</v>
      </c>
      <c r="J544" s="1053" t="e">
        <f aca="false">J534/365*(J$285)</f>
        <v>#VALUE!</v>
      </c>
      <c r="K544" s="1054" t="e">
        <f aca="false">K534/365*(K$285)</f>
        <v>#VALUE!</v>
      </c>
      <c r="L544" s="1054" t="e">
        <f aca="false">L534/365*(L$285)</f>
        <v>#VALUE!</v>
      </c>
      <c r="M544" s="1054" t="e">
        <f aca="false">M534/365*(M$285)</f>
        <v>#VALUE!</v>
      </c>
      <c r="N544" s="1054" t="e">
        <f aca="false">N534/365*(N$285)</f>
        <v>#VALUE!</v>
      </c>
      <c r="O544" s="1054" t="e">
        <f aca="false">O534/365*(O$285)</f>
        <v>#VALUE!</v>
      </c>
      <c r="P544" s="1054" t="e">
        <f aca="false">P534/365*(P$285)</f>
        <v>#VALUE!</v>
      </c>
      <c r="Q544" s="1054" t="e">
        <f aca="false">Q534/365*(Q$285)</f>
        <v>#VALUE!</v>
      </c>
      <c r="R544" s="1054" t="e">
        <f aca="false">R534/365*(R$285)</f>
        <v>#VALUE!</v>
      </c>
      <c r="S544" s="1054" t="e">
        <f aca="false">S534/365*(S$285)</f>
        <v>#VALUE!</v>
      </c>
      <c r="T544" s="1054" t="e">
        <f aca="false">T534/365*(T$285)</f>
        <v>#VALUE!</v>
      </c>
      <c r="U544" s="1054" t="e">
        <f aca="false">U534/365*(U$285)</f>
        <v>#VALUE!</v>
      </c>
      <c r="V544" s="1054" t="e">
        <f aca="false">V534/365*(V$285)</f>
        <v>#VALUE!</v>
      </c>
      <c r="W544" s="1054" t="e">
        <f aca="false">W534/365*(W$285)</f>
        <v>#VALUE!</v>
      </c>
      <c r="X544" s="1054" t="e">
        <f aca="false">X534/365*(X$285)</f>
        <v>#VALUE!</v>
      </c>
      <c r="Y544" s="1054" t="e">
        <f aca="false">Y534/365*(Y$285)</f>
        <v>#VALUE!</v>
      </c>
      <c r="Z544" s="1054" t="e">
        <f aca="false">Z534/365*(Z$285)</f>
        <v>#VALUE!</v>
      </c>
      <c r="AA544" s="1054" t="e">
        <f aca="false">AA534/365*(AA$285)</f>
        <v>#VALUE!</v>
      </c>
      <c r="AB544" s="1054" t="e">
        <f aca="false">AB534/365*(AB$285)</f>
        <v>#VALUE!</v>
      </c>
      <c r="AC544" s="1054" t="e">
        <f aca="false">AC534/365*(AC$285)</f>
        <v>#VALUE!</v>
      </c>
      <c r="AD544" s="1054" t="n">
        <f aca="false">AD534/365*(AD$285)</f>
        <v>0</v>
      </c>
      <c r="AE544" s="1054" t="n">
        <f aca="false">AE534/365*(AE$285)</f>
        <v>0</v>
      </c>
      <c r="AF544" s="1055" t="n">
        <f aca="false">AF534/365*(AF$285)</f>
        <v>0</v>
      </c>
      <c r="AG544" s="751"/>
    </row>
    <row r="545" customFormat="false" ht="11.25" hidden="false" customHeight="false" outlineLevel="0" collapsed="false">
      <c r="A545" s="1050" t="str">
        <f aca="false">A390</f>
        <v>Other Payables</v>
      </c>
      <c r="B545" s="469"/>
      <c r="C545" s="956"/>
      <c r="D545" s="956"/>
      <c r="E545" s="956" t="n">
        <f aca="false">E505</f>
        <v>0</v>
      </c>
      <c r="F545" s="956" t="n">
        <f aca="false">F505</f>
        <v>0</v>
      </c>
      <c r="G545" s="956" t="n">
        <f aca="false">G505</f>
        <v>0</v>
      </c>
      <c r="H545" s="1051" t="e">
        <v>#VALUE!</v>
      </c>
      <c r="I545" s="1052" t="e">
        <v>#VALUE!</v>
      </c>
      <c r="J545" s="1053" t="n">
        <f aca="false">J535</f>
        <v>0</v>
      </c>
      <c r="K545" s="1054" t="n">
        <f aca="false">K535</f>
        <v>0</v>
      </c>
      <c r="L545" s="1054" t="n">
        <f aca="false">L535</f>
        <v>0</v>
      </c>
      <c r="M545" s="1054" t="n">
        <f aca="false">M535</f>
        <v>0</v>
      </c>
      <c r="N545" s="1054" t="n">
        <f aca="false">N535</f>
        <v>0</v>
      </c>
      <c r="O545" s="1054" t="n">
        <f aca="false">O535</f>
        <v>0</v>
      </c>
      <c r="P545" s="1054" t="n">
        <f aca="false">P535</f>
        <v>0</v>
      </c>
      <c r="Q545" s="1054" t="n">
        <f aca="false">Q535</f>
        <v>0</v>
      </c>
      <c r="R545" s="1054" t="n">
        <f aca="false">R535</f>
        <v>0</v>
      </c>
      <c r="S545" s="1054" t="n">
        <f aca="false">S535</f>
        <v>0</v>
      </c>
      <c r="T545" s="1054" t="n">
        <f aca="false">T535</f>
        <v>0</v>
      </c>
      <c r="U545" s="1054" t="n">
        <f aca="false">U535</f>
        <v>0</v>
      </c>
      <c r="V545" s="1054" t="n">
        <f aca="false">V535</f>
        <v>0</v>
      </c>
      <c r="W545" s="1054" t="n">
        <f aca="false">W535</f>
        <v>0</v>
      </c>
      <c r="X545" s="1054" t="n">
        <f aca="false">X535</f>
        <v>0</v>
      </c>
      <c r="Y545" s="1054" t="n">
        <f aca="false">Y535</f>
        <v>0</v>
      </c>
      <c r="Z545" s="1054" t="n">
        <f aca="false">Z535</f>
        <v>0</v>
      </c>
      <c r="AA545" s="1054" t="n">
        <f aca="false">AA535</f>
        <v>0</v>
      </c>
      <c r="AB545" s="1054" t="n">
        <f aca="false">AB535</f>
        <v>0</v>
      </c>
      <c r="AC545" s="1054" t="n">
        <f aca="false">AC535</f>
        <v>0</v>
      </c>
      <c r="AD545" s="1054" t="n">
        <f aca="false">AD535</f>
        <v>0</v>
      </c>
      <c r="AE545" s="1054" t="n">
        <f aca="false">AE535</f>
        <v>0</v>
      </c>
      <c r="AF545" s="1055" t="n">
        <f aca="false">AF535</f>
        <v>0</v>
      </c>
      <c r="AG545" s="751"/>
    </row>
    <row r="546" customFormat="false" ht="12" hidden="false" customHeight="false" outlineLevel="0" collapsed="false">
      <c r="A546" s="1050" t="s">
        <v>905</v>
      </c>
      <c r="B546" s="469"/>
      <c r="C546" s="956"/>
      <c r="D546" s="1057" t="n">
        <f aca="false">E546</f>
        <v>0</v>
      </c>
      <c r="E546" s="967" t="n">
        <f aca="false">E539+E540+E541+E542-E543-E544-E545</f>
        <v>0</v>
      </c>
      <c r="F546" s="967" t="n">
        <f aca="false">F539+F540+F541+F542-F543-F544-F545</f>
        <v>0</v>
      </c>
      <c r="G546" s="967" t="n">
        <f aca="false">G539+G540+G541+G542-G543-G544-G545</f>
        <v>0</v>
      </c>
      <c r="H546" s="967" t="e">
        <f aca="false">H539+H540+H541+H542-H543-H544-H545</f>
        <v>#VALUE!</v>
      </c>
      <c r="I546" s="967" t="e">
        <f aca="false">I539+I540+I541+I542-I543-I544-I545</f>
        <v>#VALUE!</v>
      </c>
      <c r="J546" s="1058" t="e">
        <f aca="false">J539+J540+J541+J542-J543-J544-J545</f>
        <v>#VALUE!</v>
      </c>
      <c r="K546" s="967" t="e">
        <f aca="false">K539+K540+K541+K542-K543-K544-K545</f>
        <v>#VALUE!</v>
      </c>
      <c r="L546" s="967" t="e">
        <f aca="false">L539+L540+L541+L542-L543-L544-L545</f>
        <v>#VALUE!</v>
      </c>
      <c r="M546" s="967" t="e">
        <f aca="false">M539+M540+M541+M542-M543-M544-M545</f>
        <v>#VALUE!</v>
      </c>
      <c r="N546" s="967" t="e">
        <f aca="false">N539+N540+N541+N542-N543-N544-N545</f>
        <v>#VALUE!</v>
      </c>
      <c r="O546" s="967" t="e">
        <f aca="false">O539+O540+O541+O542-O543-O544-O545</f>
        <v>#VALUE!</v>
      </c>
      <c r="P546" s="967" t="e">
        <f aca="false">P539+P540+P541+P542-P543-P544-P545</f>
        <v>#VALUE!</v>
      </c>
      <c r="Q546" s="967" t="e">
        <f aca="false">Q539+Q540+Q541+Q542-Q543-Q544-Q545</f>
        <v>#VALUE!</v>
      </c>
      <c r="R546" s="967" t="e">
        <f aca="false">R539+R540+R541+R542-R543-R544-R545</f>
        <v>#VALUE!</v>
      </c>
      <c r="S546" s="967" t="e">
        <f aca="false">S539+S540+S541+S542-S543-S544-S545</f>
        <v>#VALUE!</v>
      </c>
      <c r="T546" s="967" t="e">
        <f aca="false">T539+T540+T541+T542-T543-T544-T545</f>
        <v>#VALUE!</v>
      </c>
      <c r="U546" s="967" t="e">
        <f aca="false">U539+U540+U541+U542-U543-U544-U545</f>
        <v>#VALUE!</v>
      </c>
      <c r="V546" s="967" t="e">
        <f aca="false">V539+V540+V541+V542-V543-V544-V545</f>
        <v>#VALUE!</v>
      </c>
      <c r="W546" s="967" t="e">
        <f aca="false">W539+W540+W541+W542-W543-W544-W545</f>
        <v>#VALUE!</v>
      </c>
      <c r="X546" s="967" t="e">
        <f aca="false">X539+X540+X541+X542-X543-X544-X545</f>
        <v>#VALUE!</v>
      </c>
      <c r="Y546" s="967" t="e">
        <f aca="false">Y539+Y540+Y541+Y542-Y543-Y544-Y545</f>
        <v>#VALUE!</v>
      </c>
      <c r="Z546" s="967" t="e">
        <f aca="false">Z539+Z540+Z541+Z542-Z543-Z544-Z545</f>
        <v>#VALUE!</v>
      </c>
      <c r="AA546" s="967" t="e">
        <f aca="false">AA539+AA540+AA541+AA542-AA543-AA544-AA545</f>
        <v>#VALUE!</v>
      </c>
      <c r="AB546" s="967" t="e">
        <f aca="false">AB539+AB540+AB541+AB542-AB543-AB544-AB545</f>
        <v>#VALUE!</v>
      </c>
      <c r="AC546" s="967" t="e">
        <f aca="false">AC539+AC540+AC541+AC542-AC543-AC544-AC545</f>
        <v>#VALUE!</v>
      </c>
      <c r="AD546" s="967" t="n">
        <f aca="false">AD539+AD540+AD541+AD542-AD543-AD544-AD545</f>
        <v>0</v>
      </c>
      <c r="AE546" s="967" t="n">
        <f aca="false">AE539+AE540+AE541+AE542-AE543-AE544-AE545</f>
        <v>0</v>
      </c>
      <c r="AF546" s="968" t="n">
        <f aca="false">AF539+AF540+AF541+AF542-AF543-AF544-AF545</f>
        <v>0</v>
      </c>
      <c r="AG546" s="751"/>
    </row>
    <row r="547" customFormat="false" ht="12" hidden="false" customHeight="false" outlineLevel="0" collapsed="false">
      <c r="A547" s="1050"/>
      <c r="B547" s="469"/>
      <c r="C547" s="469"/>
      <c r="D547" s="469"/>
      <c r="E547" s="469"/>
      <c r="F547" s="469"/>
      <c r="G547" s="469"/>
      <c r="H547" s="469"/>
      <c r="I547" s="469"/>
      <c r="J547" s="981"/>
      <c r="K547" s="469"/>
      <c r="L547" s="469"/>
      <c r="M547" s="469"/>
      <c r="N547" s="469"/>
      <c r="O547" s="469"/>
      <c r="P547" s="469"/>
      <c r="Q547" s="469"/>
      <c r="R547" s="469"/>
      <c r="S547" s="469"/>
      <c r="T547" s="469"/>
      <c r="U547" s="469"/>
      <c r="V547" s="469"/>
      <c r="W547" s="469"/>
      <c r="X547" s="469"/>
      <c r="Y547" s="469"/>
      <c r="Z547" s="469"/>
      <c r="AA547" s="469"/>
      <c r="AB547" s="469"/>
      <c r="AC547" s="469"/>
      <c r="AD547" s="469"/>
      <c r="AE547" s="469"/>
      <c r="AF547" s="963"/>
      <c r="AG547" s="751"/>
    </row>
    <row r="548" customFormat="false" ht="11.25" hidden="false" customHeight="false" outlineLevel="0" collapsed="false">
      <c r="A548" s="1059" t="s">
        <v>802</v>
      </c>
      <c r="B548" s="1011"/>
      <c r="C548" s="1011"/>
      <c r="D548" s="1011"/>
      <c r="E548" s="1011" t="n">
        <f aca="false">E546-D546</f>
        <v>0</v>
      </c>
      <c r="F548" s="1011" t="n">
        <f aca="false">F546-E546</f>
        <v>0</v>
      </c>
      <c r="G548" s="1011" t="n">
        <f aca="false">G546-F546</f>
        <v>0</v>
      </c>
      <c r="H548" s="1060" t="e">
        <f aca="false">H546-G546</f>
        <v>#VALUE!</v>
      </c>
      <c r="I548" s="1060" t="e">
        <f aca="false">+I546-H546</f>
        <v>#VALUE!</v>
      </c>
      <c r="J548" s="1011" t="e">
        <f aca="false">+J546-I546</f>
        <v>#VALUE!</v>
      </c>
      <c r="K548" s="1011" t="e">
        <f aca="false">+K546-J546</f>
        <v>#VALUE!</v>
      </c>
      <c r="L548" s="1011" t="e">
        <f aca="false">+L546-K546</f>
        <v>#VALUE!</v>
      </c>
      <c r="M548" s="1011" t="e">
        <f aca="false">+M546-L546</f>
        <v>#VALUE!</v>
      </c>
      <c r="N548" s="1011" t="e">
        <f aca="false">+N546-M546</f>
        <v>#VALUE!</v>
      </c>
      <c r="O548" s="1011" t="e">
        <f aca="false">+O546-N546</f>
        <v>#VALUE!</v>
      </c>
      <c r="P548" s="1011" t="e">
        <f aca="false">+P546-O546</f>
        <v>#VALUE!</v>
      </c>
      <c r="Q548" s="1011" t="e">
        <f aca="false">+Q546-P546</f>
        <v>#VALUE!</v>
      </c>
      <c r="R548" s="1011" t="e">
        <f aca="false">+R546-Q546</f>
        <v>#VALUE!</v>
      </c>
      <c r="S548" s="1011" t="e">
        <f aca="false">+S546-R546</f>
        <v>#VALUE!</v>
      </c>
      <c r="T548" s="1011" t="e">
        <f aca="false">+T546-S546</f>
        <v>#VALUE!</v>
      </c>
      <c r="U548" s="1011" t="e">
        <f aca="false">+U546-T546</f>
        <v>#VALUE!</v>
      </c>
      <c r="V548" s="1011" t="e">
        <f aca="false">+V546-U546</f>
        <v>#VALUE!</v>
      </c>
      <c r="W548" s="1011" t="e">
        <f aca="false">+W546-V546</f>
        <v>#VALUE!</v>
      </c>
      <c r="X548" s="1011" t="e">
        <f aca="false">+X546-W546</f>
        <v>#VALUE!</v>
      </c>
      <c r="Y548" s="1011" t="e">
        <f aca="false">+Y546-X546</f>
        <v>#VALUE!</v>
      </c>
      <c r="Z548" s="1011" t="e">
        <f aca="false">+Z546-Y546</f>
        <v>#VALUE!</v>
      </c>
      <c r="AA548" s="1011" t="e">
        <f aca="false">+AA546-Z546</f>
        <v>#VALUE!</v>
      </c>
      <c r="AB548" s="1011" t="e">
        <f aca="false">+AB546-AA546</f>
        <v>#VALUE!</v>
      </c>
      <c r="AC548" s="1011" t="e">
        <f aca="false">+AC546-AB546</f>
        <v>#VALUE!</v>
      </c>
      <c r="AD548" s="1011" t="e">
        <f aca="false">+AD546-AC546</f>
        <v>#VALUE!</v>
      </c>
      <c r="AE548" s="1011" t="n">
        <f aca="false">+AE546-AD546</f>
        <v>0</v>
      </c>
      <c r="AF548" s="1061" t="n">
        <f aca="false">+AF546-AE546</f>
        <v>0</v>
      </c>
      <c r="AG548" s="751"/>
    </row>
    <row r="549" customFormat="false" ht="11.25" hidden="false" customHeight="false" outlineLevel="0" collapsed="false">
      <c r="A549" s="934"/>
      <c r="B549" s="751"/>
      <c r="C549" s="751"/>
      <c r="D549" s="1062"/>
      <c r="E549" s="1062"/>
      <c r="F549" s="1062"/>
      <c r="G549" s="1062"/>
      <c r="H549" s="1062"/>
      <c r="I549" s="1063"/>
      <c r="J549" s="1063"/>
      <c r="K549" s="751"/>
      <c r="L549" s="751"/>
      <c r="M549" s="751"/>
      <c r="N549" s="751"/>
      <c r="O549" s="751"/>
      <c r="P549" s="751"/>
      <c r="Q549" s="751"/>
      <c r="R549" s="751"/>
      <c r="S549" s="751"/>
      <c r="T549" s="751"/>
      <c r="U549" s="751"/>
      <c r="V549" s="751"/>
      <c r="W549" s="751"/>
      <c r="X549" s="751"/>
      <c r="Y549" s="751"/>
      <c r="Z549" s="751"/>
      <c r="AA549" s="751"/>
      <c r="AB549" s="751"/>
      <c r="AC549" s="751"/>
      <c r="AD549" s="751"/>
      <c r="AE549" s="751"/>
      <c r="AF549" s="751"/>
      <c r="AG549" s="751"/>
    </row>
    <row r="550" customFormat="false" ht="11.25" hidden="false" customHeight="false" outlineLevel="0" collapsed="false">
      <c r="A550" s="1064" t="s">
        <v>906</v>
      </c>
      <c r="B550" s="961"/>
      <c r="C550" s="961"/>
      <c r="D550" s="961"/>
      <c r="E550" s="1065"/>
      <c r="F550" s="1065"/>
      <c r="G550" s="1065"/>
      <c r="H550" s="1065"/>
      <c r="I550" s="1065" t="n">
        <v>0</v>
      </c>
      <c r="J550" s="1065" t="n">
        <v>0</v>
      </c>
      <c r="K550" s="1065" t="n">
        <v>0</v>
      </c>
      <c r="L550" s="1065" t="n">
        <v>0</v>
      </c>
      <c r="M550" s="1065" t="n">
        <v>0</v>
      </c>
      <c r="N550" s="1065" t="n">
        <v>0</v>
      </c>
      <c r="O550" s="1065" t="n">
        <v>0</v>
      </c>
      <c r="P550" s="1065" t="n">
        <v>0</v>
      </c>
      <c r="Q550" s="1065" t="n">
        <v>0</v>
      </c>
      <c r="R550" s="1065" t="n">
        <v>0</v>
      </c>
      <c r="S550" s="1065" t="n">
        <v>0</v>
      </c>
      <c r="T550" s="1065" t="n">
        <v>0</v>
      </c>
      <c r="U550" s="1065" t="n">
        <v>0</v>
      </c>
      <c r="V550" s="1065" t="n">
        <v>0</v>
      </c>
      <c r="W550" s="1065" t="n">
        <v>0</v>
      </c>
      <c r="X550" s="1065" t="n">
        <v>0</v>
      </c>
      <c r="Y550" s="1065" t="n">
        <v>0</v>
      </c>
      <c r="Z550" s="1065" t="n">
        <v>0</v>
      </c>
      <c r="AA550" s="1065" t="n">
        <v>0</v>
      </c>
      <c r="AB550" s="1065" t="n">
        <v>0</v>
      </c>
      <c r="AC550" s="1065" t="n">
        <v>0</v>
      </c>
      <c r="AD550" s="1065" t="n">
        <v>0</v>
      </c>
      <c r="AE550" s="1065" t="n">
        <v>0</v>
      </c>
      <c r="AF550" s="1066" t="n">
        <v>0</v>
      </c>
      <c r="AG550" s="751"/>
    </row>
    <row r="551" customFormat="false" ht="11.25" hidden="false" customHeight="false" outlineLevel="0" collapsed="false">
      <c r="A551" s="802"/>
      <c r="B551" s="469"/>
      <c r="C551" s="469"/>
      <c r="D551" s="469"/>
      <c r="E551" s="469"/>
      <c r="F551" s="469"/>
      <c r="G551" s="807"/>
      <c r="H551" s="807"/>
      <c r="I551" s="807"/>
      <c r="J551" s="807"/>
      <c r="K551" s="807"/>
      <c r="L551" s="807"/>
      <c r="M551" s="807"/>
      <c r="N551" s="807"/>
      <c r="O551" s="807"/>
      <c r="P551" s="807"/>
      <c r="Q551" s="807"/>
      <c r="R551" s="807"/>
      <c r="S551" s="807"/>
      <c r="T551" s="807"/>
      <c r="U551" s="807"/>
      <c r="V551" s="807"/>
      <c r="W551" s="807"/>
      <c r="X551" s="807"/>
      <c r="Y551" s="807"/>
      <c r="Z551" s="807"/>
      <c r="AA551" s="807"/>
      <c r="AB551" s="807"/>
      <c r="AC551" s="807"/>
      <c r="AD551" s="807"/>
      <c r="AE551" s="807"/>
      <c r="AF551" s="803"/>
      <c r="AG551" s="751"/>
    </row>
    <row r="552" customFormat="false" ht="11.25" hidden="false" customHeight="false" outlineLevel="0" collapsed="false">
      <c r="A552" s="802"/>
      <c r="B552" s="469"/>
      <c r="C552" s="469"/>
      <c r="D552" s="469"/>
      <c r="E552" s="469"/>
      <c r="F552" s="469"/>
      <c r="G552" s="469"/>
      <c r="H552" s="469"/>
      <c r="I552" s="1067"/>
      <c r="J552" s="1067"/>
      <c r="K552" s="1067"/>
      <c r="L552" s="1067"/>
      <c r="M552" s="1067"/>
      <c r="N552" s="1067"/>
      <c r="O552" s="1067"/>
      <c r="P552" s="1067"/>
      <c r="Q552" s="1067"/>
      <c r="R552" s="1067"/>
      <c r="S552" s="1067"/>
      <c r="T552" s="1067"/>
      <c r="U552" s="1067"/>
      <c r="V552" s="1067"/>
      <c r="W552" s="1067"/>
      <c r="X552" s="1067"/>
      <c r="Y552" s="1067"/>
      <c r="Z552" s="1067"/>
      <c r="AA552" s="1067"/>
      <c r="AB552" s="1067"/>
      <c r="AC552" s="1067"/>
      <c r="AD552" s="1067"/>
      <c r="AE552" s="1067"/>
      <c r="AF552" s="1068"/>
      <c r="AG552" s="751"/>
    </row>
    <row r="553" customFormat="false" ht="11.25" hidden="false" customHeight="false" outlineLevel="0" collapsed="false">
      <c r="A553" s="1050" t="s">
        <v>907</v>
      </c>
      <c r="B553" s="469"/>
      <c r="C553" s="469"/>
      <c r="D553" s="469"/>
      <c r="E553" s="469"/>
      <c r="F553" s="469"/>
      <c r="G553" s="469"/>
      <c r="H553" s="1067"/>
      <c r="I553" s="1069" t="e">
        <f aca="false">+I$423+I$430+I$308</f>
        <v>#VALUE!</v>
      </c>
      <c r="J553" s="1069" t="e">
        <f aca="false">+J$423+J$430+J$308</f>
        <v>#VALUE!</v>
      </c>
      <c r="K553" s="1069" t="e">
        <f aca="false">+K$423+K$430+K$308</f>
        <v>#VALUE!</v>
      </c>
      <c r="L553" s="1069" t="e">
        <f aca="false">+L$423+L$430+L$308</f>
        <v>#VALUE!</v>
      </c>
      <c r="M553" s="1069" t="e">
        <f aca="false">+M$423+M$430+M$308</f>
        <v>#VALUE!</v>
      </c>
      <c r="N553" s="1069" t="e">
        <f aca="false">+N$423+N$430+N$308</f>
        <v>#VALUE!</v>
      </c>
      <c r="O553" s="1069" t="e">
        <f aca="false">+O$423+O$430+O$308</f>
        <v>#VALUE!</v>
      </c>
      <c r="P553" s="1069" t="e">
        <f aca="false">+P$423+P$430+P$308</f>
        <v>#VALUE!</v>
      </c>
      <c r="Q553" s="1069" t="e">
        <f aca="false">+Q$423+Q$430+Q$308</f>
        <v>#VALUE!</v>
      </c>
      <c r="R553" s="1069" t="e">
        <f aca="false">+R$423+R$430+R$308</f>
        <v>#VALUE!</v>
      </c>
      <c r="S553" s="1069" t="e">
        <f aca="false">+S$423+S$430+S$308</f>
        <v>#VALUE!</v>
      </c>
      <c r="T553" s="1069" t="e">
        <f aca="false">+T$423+T$430+T$308</f>
        <v>#VALUE!</v>
      </c>
      <c r="U553" s="1069" t="e">
        <f aca="false">+U$423+U$430+U$308</f>
        <v>#VALUE!</v>
      </c>
      <c r="V553" s="1069" t="e">
        <f aca="false">+V$423+V$430+V$308</f>
        <v>#VALUE!</v>
      </c>
      <c r="W553" s="1069" t="e">
        <f aca="false">+W$423+W$430+W$308</f>
        <v>#VALUE!</v>
      </c>
      <c r="X553" s="1069" t="e">
        <f aca="false">+X$423+X$430+X$308</f>
        <v>#VALUE!</v>
      </c>
      <c r="Y553" s="1069" t="e">
        <f aca="false">+Y$423+Y$430+Y$308</f>
        <v>#VALUE!</v>
      </c>
      <c r="Z553" s="1069" t="e">
        <f aca="false">+Z$423+Z$430+Z$308</f>
        <v>#VALUE!</v>
      </c>
      <c r="AA553" s="1069" t="e">
        <f aca="false">+AA$423+AA$430+AA$308</f>
        <v>#VALUE!</v>
      </c>
      <c r="AB553" s="1069" t="e">
        <f aca="false">+AB$423+AB$430+AB$308</f>
        <v>#VALUE!</v>
      </c>
      <c r="AC553" s="1069" t="e">
        <f aca="false">+AC$423+AC$430+AC$308</f>
        <v>#VALUE!</v>
      </c>
      <c r="AD553" s="1069" t="e">
        <f aca="false">+AD$423+AD$430+AD$308</f>
        <v>#VALUE!</v>
      </c>
      <c r="AE553" s="1069" t="e">
        <f aca="false">+AE$423+AE$430+AE$308</f>
        <v>#VALUE!</v>
      </c>
      <c r="AF553" s="1069" t="e">
        <f aca="false">+AF$423+AF$430+AF$308</f>
        <v>#VALUE!</v>
      </c>
      <c r="AG553" s="751"/>
    </row>
    <row r="554" customFormat="false" ht="11.25" hidden="false" customHeight="false" outlineLevel="0" collapsed="false">
      <c r="A554" s="1050" t="s">
        <v>908</v>
      </c>
      <c r="B554" s="469"/>
      <c r="C554" s="469"/>
      <c r="D554" s="469"/>
      <c r="E554" s="469"/>
      <c r="F554" s="469"/>
      <c r="G554" s="469"/>
      <c r="H554" s="1070" t="n">
        <f aca="false">+H555</f>
        <v>0</v>
      </c>
      <c r="I554" s="1069" t="e">
        <f aca="false">+I553*0.5</f>
        <v>#VALUE!</v>
      </c>
      <c r="J554" s="1069" t="e">
        <f aca="false">+J553*0.5</f>
        <v>#VALUE!</v>
      </c>
      <c r="K554" s="1069" t="e">
        <f aca="false">+K553*0.5</f>
        <v>#VALUE!</v>
      </c>
      <c r="L554" s="1069" t="e">
        <f aca="false">+L553*0.5</f>
        <v>#VALUE!</v>
      </c>
      <c r="M554" s="1069" t="e">
        <f aca="false">+M553*0.5</f>
        <v>#VALUE!</v>
      </c>
      <c r="N554" s="1069" t="e">
        <f aca="false">+N553*0.5</f>
        <v>#VALUE!</v>
      </c>
      <c r="O554" s="1069" t="e">
        <f aca="false">+O553*0.5</f>
        <v>#VALUE!</v>
      </c>
      <c r="P554" s="1069" t="e">
        <f aca="false">+P553*0.5</f>
        <v>#VALUE!</v>
      </c>
      <c r="Q554" s="1069" t="e">
        <f aca="false">+Q553*0.5</f>
        <v>#VALUE!</v>
      </c>
      <c r="R554" s="1069" t="e">
        <f aca="false">+R553*0.5</f>
        <v>#VALUE!</v>
      </c>
      <c r="S554" s="1069" t="e">
        <f aca="false">+S553*0.5</f>
        <v>#VALUE!</v>
      </c>
      <c r="T554" s="1069" t="e">
        <f aca="false">+T553*0.5</f>
        <v>#VALUE!</v>
      </c>
      <c r="U554" s="1069" t="e">
        <f aca="false">+U553*0.5</f>
        <v>#VALUE!</v>
      </c>
      <c r="V554" s="1069" t="e">
        <f aca="false">+V553*0.5</f>
        <v>#VALUE!</v>
      </c>
      <c r="W554" s="1069" t="e">
        <f aca="false">+W553*0.5</f>
        <v>#VALUE!</v>
      </c>
      <c r="X554" s="1069" t="e">
        <f aca="false">+X553*0.5</f>
        <v>#VALUE!</v>
      </c>
      <c r="Y554" s="1069" t="e">
        <f aca="false">+Y553*0.5</f>
        <v>#VALUE!</v>
      </c>
      <c r="Z554" s="1069" t="e">
        <f aca="false">+Z553*0.5</f>
        <v>#VALUE!</v>
      </c>
      <c r="AA554" s="1069" t="e">
        <f aca="false">+AA553*0.5</f>
        <v>#VALUE!</v>
      </c>
      <c r="AB554" s="1069" t="e">
        <f aca="false">+AB553*0.5</f>
        <v>#VALUE!</v>
      </c>
      <c r="AC554" s="1069" t="e">
        <f aca="false">+AC553*0.5</f>
        <v>#VALUE!</v>
      </c>
      <c r="AD554" s="1069" t="e">
        <f aca="false">+AD553*0.5</f>
        <v>#VALUE!</v>
      </c>
      <c r="AE554" s="1069" t="e">
        <f aca="false">+AE553*0.5</f>
        <v>#VALUE!</v>
      </c>
      <c r="AF554" s="1069" t="e">
        <f aca="false">+AF553*0.5</f>
        <v>#VALUE!</v>
      </c>
      <c r="AG554" s="751"/>
    </row>
    <row r="555" customFormat="false" ht="11.25" hidden="false" customHeight="false" outlineLevel="0" collapsed="false">
      <c r="A555" s="1050" t="s">
        <v>909</v>
      </c>
      <c r="B555" s="469"/>
      <c r="C555" s="469"/>
      <c r="D555" s="469"/>
      <c r="E555" s="469"/>
      <c r="F555" s="469"/>
      <c r="G555" s="469"/>
      <c r="H555" s="1071" t="n">
        <f aca="false">+Debt!H20</f>
        <v>0</v>
      </c>
      <c r="I555" s="1069" t="n">
        <f aca="false">+H557</f>
        <v>0</v>
      </c>
      <c r="J555" s="1069" t="e">
        <f aca="false">+I557</f>
        <v>#VALUE!</v>
      </c>
      <c r="K555" s="1069" t="e">
        <f aca="false">+J557</f>
        <v>#VALUE!</v>
      </c>
      <c r="L555" s="1069" t="e">
        <f aca="false">+K557</f>
        <v>#VALUE!</v>
      </c>
      <c r="M555" s="1069" t="e">
        <f aca="false">+L557</f>
        <v>#VALUE!</v>
      </c>
      <c r="N555" s="1069" t="e">
        <f aca="false">+M557</f>
        <v>#VALUE!</v>
      </c>
      <c r="O555" s="1069" t="e">
        <f aca="false">+N557</f>
        <v>#VALUE!</v>
      </c>
      <c r="P555" s="1069" t="e">
        <f aca="false">+O557</f>
        <v>#VALUE!</v>
      </c>
      <c r="Q555" s="1069" t="e">
        <f aca="false">+P557</f>
        <v>#VALUE!</v>
      </c>
      <c r="R555" s="1069" t="e">
        <f aca="false">+Q557</f>
        <v>#VALUE!</v>
      </c>
      <c r="S555" s="1069" t="e">
        <f aca="false">+R557</f>
        <v>#VALUE!</v>
      </c>
      <c r="T555" s="1069" t="e">
        <f aca="false">+S557</f>
        <v>#VALUE!</v>
      </c>
      <c r="U555" s="1069" t="e">
        <f aca="false">+T557</f>
        <v>#VALUE!</v>
      </c>
      <c r="V555" s="1069" t="e">
        <f aca="false">+U557</f>
        <v>#VALUE!</v>
      </c>
      <c r="W555" s="1069" t="e">
        <f aca="false">+V557</f>
        <v>#VALUE!</v>
      </c>
      <c r="X555" s="1069" t="e">
        <f aca="false">+W557</f>
        <v>#VALUE!</v>
      </c>
      <c r="Y555" s="1069" t="e">
        <f aca="false">+X557</f>
        <v>#VALUE!</v>
      </c>
      <c r="Z555" s="1069" t="e">
        <f aca="false">+Y557</f>
        <v>#VALUE!</v>
      </c>
      <c r="AA555" s="1069" t="e">
        <f aca="false">+Z557</f>
        <v>#VALUE!</v>
      </c>
      <c r="AB555" s="1069" t="e">
        <f aca="false">+AA557</f>
        <v>#VALUE!</v>
      </c>
      <c r="AC555" s="1069" t="e">
        <f aca="false">+AB557</f>
        <v>#VALUE!</v>
      </c>
      <c r="AD555" s="1069" t="e">
        <f aca="false">+AC557</f>
        <v>#VALUE!</v>
      </c>
      <c r="AE555" s="1069" t="e">
        <f aca="false">+AD557</f>
        <v>#VALUE!</v>
      </c>
      <c r="AF555" s="1069" t="e">
        <f aca="false">+AE557</f>
        <v>#VALUE!</v>
      </c>
      <c r="AG555" s="751"/>
    </row>
    <row r="556" customFormat="false" ht="11.25" hidden="false" customHeight="false" outlineLevel="0" collapsed="false">
      <c r="A556" s="1050" t="s">
        <v>910</v>
      </c>
      <c r="B556" s="469"/>
      <c r="C556" s="469"/>
      <c r="D556" s="469"/>
      <c r="E556" s="469"/>
      <c r="F556" s="469"/>
      <c r="G556" s="469"/>
      <c r="H556" s="1070" t="n">
        <f aca="false">+H554-H555</f>
        <v>0</v>
      </c>
      <c r="I556" s="1069" t="e">
        <f aca="false">+I554-I555</f>
        <v>#VALUE!</v>
      </c>
      <c r="J556" s="1069" t="e">
        <f aca="false">+J554-J555</f>
        <v>#VALUE!</v>
      </c>
      <c r="K556" s="1069" t="e">
        <f aca="false">+K554-K555</f>
        <v>#VALUE!</v>
      </c>
      <c r="L556" s="1069" t="e">
        <f aca="false">+L554-L555</f>
        <v>#VALUE!</v>
      </c>
      <c r="M556" s="1069" t="e">
        <f aca="false">+M554-M555</f>
        <v>#VALUE!</v>
      </c>
      <c r="N556" s="1069" t="e">
        <f aca="false">+N554-N555</f>
        <v>#VALUE!</v>
      </c>
      <c r="O556" s="1069" t="e">
        <f aca="false">+O554-O555</f>
        <v>#VALUE!</v>
      </c>
      <c r="P556" s="1069" t="e">
        <f aca="false">+P554-P555</f>
        <v>#VALUE!</v>
      </c>
      <c r="Q556" s="1069" t="e">
        <f aca="false">+Q554-Q555</f>
        <v>#VALUE!</v>
      </c>
      <c r="R556" s="1069" t="e">
        <f aca="false">+R554-R555</f>
        <v>#VALUE!</v>
      </c>
      <c r="S556" s="1069" t="e">
        <f aca="false">+S554-S555</f>
        <v>#VALUE!</v>
      </c>
      <c r="T556" s="1069" t="e">
        <f aca="false">+T554-T555</f>
        <v>#VALUE!</v>
      </c>
      <c r="U556" s="1069" t="e">
        <f aca="false">+U554-U555</f>
        <v>#VALUE!</v>
      </c>
      <c r="V556" s="1069" t="e">
        <f aca="false">+V554-V555</f>
        <v>#VALUE!</v>
      </c>
      <c r="W556" s="1069" t="e">
        <f aca="false">+W554-W555</f>
        <v>#VALUE!</v>
      </c>
      <c r="X556" s="1069" t="e">
        <f aca="false">+X554-X555</f>
        <v>#VALUE!</v>
      </c>
      <c r="Y556" s="1069" t="e">
        <f aca="false">+Y554-Y555</f>
        <v>#VALUE!</v>
      </c>
      <c r="Z556" s="1069" t="e">
        <f aca="false">+Z554-Z555</f>
        <v>#VALUE!</v>
      </c>
      <c r="AA556" s="1069" t="e">
        <f aca="false">+AA554-AA555</f>
        <v>#VALUE!</v>
      </c>
      <c r="AB556" s="1069" t="e">
        <f aca="false">+AB554-AB555</f>
        <v>#VALUE!</v>
      </c>
      <c r="AC556" s="1069" t="e">
        <f aca="false">+AC554-AC555</f>
        <v>#VALUE!</v>
      </c>
      <c r="AD556" s="1069" t="e">
        <f aca="false">+AD554-AD555</f>
        <v>#VALUE!</v>
      </c>
      <c r="AE556" s="1069" t="e">
        <f aca="false">+AE554-AE555</f>
        <v>#VALUE!</v>
      </c>
      <c r="AF556" s="1069" t="e">
        <f aca="false">+AF554-AF555</f>
        <v>#VALUE!</v>
      </c>
      <c r="AG556" s="751"/>
    </row>
    <row r="557" customFormat="false" ht="11.25" hidden="false" customHeight="false" outlineLevel="0" collapsed="false">
      <c r="A557" s="1050" t="s">
        <v>911</v>
      </c>
      <c r="B557" s="469"/>
      <c r="C557" s="469"/>
      <c r="D557" s="469"/>
      <c r="E557" s="469"/>
      <c r="F557" s="469"/>
      <c r="G557" s="469"/>
      <c r="H557" s="1067" t="n">
        <f aca="false">+H555+H556</f>
        <v>0</v>
      </c>
      <c r="I557" s="1069" t="e">
        <f aca="false">+I555+I556</f>
        <v>#VALUE!</v>
      </c>
      <c r="J557" s="1069" t="e">
        <f aca="false">+J555+J556</f>
        <v>#VALUE!</v>
      </c>
      <c r="K557" s="1069" t="e">
        <f aca="false">+K555+K556</f>
        <v>#VALUE!</v>
      </c>
      <c r="L557" s="1069" t="e">
        <f aca="false">+L555+L556</f>
        <v>#VALUE!</v>
      </c>
      <c r="M557" s="1069" t="e">
        <f aca="false">+M555+M556</f>
        <v>#VALUE!</v>
      </c>
      <c r="N557" s="1069" t="e">
        <f aca="false">+N555+N556</f>
        <v>#VALUE!</v>
      </c>
      <c r="O557" s="1069" t="e">
        <f aca="false">+O555+O556</f>
        <v>#VALUE!</v>
      </c>
      <c r="P557" s="1069" t="e">
        <f aca="false">+P555+P556</f>
        <v>#VALUE!</v>
      </c>
      <c r="Q557" s="1069" t="e">
        <f aca="false">+Q555+Q556</f>
        <v>#VALUE!</v>
      </c>
      <c r="R557" s="1069" t="e">
        <f aca="false">+R555+R556</f>
        <v>#VALUE!</v>
      </c>
      <c r="S557" s="1069" t="e">
        <f aca="false">+S555+S556</f>
        <v>#VALUE!</v>
      </c>
      <c r="T557" s="1069" t="e">
        <f aca="false">+T555+T556</f>
        <v>#VALUE!</v>
      </c>
      <c r="U557" s="1069" t="e">
        <f aca="false">+U555+U556</f>
        <v>#VALUE!</v>
      </c>
      <c r="V557" s="1069" t="e">
        <f aca="false">+V555+V556</f>
        <v>#VALUE!</v>
      </c>
      <c r="W557" s="1069" t="e">
        <f aca="false">+W555+W556</f>
        <v>#VALUE!</v>
      </c>
      <c r="X557" s="1069" t="e">
        <f aca="false">+X555+X556</f>
        <v>#VALUE!</v>
      </c>
      <c r="Y557" s="1069" t="e">
        <f aca="false">+Y555+Y556</f>
        <v>#VALUE!</v>
      </c>
      <c r="Z557" s="1069" t="e">
        <f aca="false">+Z555+Z556</f>
        <v>#VALUE!</v>
      </c>
      <c r="AA557" s="1069" t="e">
        <f aca="false">+AA555+AA556</f>
        <v>#VALUE!</v>
      </c>
      <c r="AB557" s="1069" t="e">
        <f aca="false">+AB555+AB556</f>
        <v>#VALUE!</v>
      </c>
      <c r="AC557" s="1069" t="e">
        <f aca="false">+AC555+AC556</f>
        <v>#VALUE!</v>
      </c>
      <c r="AD557" s="1069" t="e">
        <f aca="false">+AD555+AD556</f>
        <v>#VALUE!</v>
      </c>
      <c r="AE557" s="1069" t="e">
        <f aca="false">+AE555+AE556</f>
        <v>#VALUE!</v>
      </c>
      <c r="AF557" s="1069" t="e">
        <f aca="false">+AF555+AF556</f>
        <v>#VALUE!</v>
      </c>
      <c r="AG557" s="751"/>
    </row>
    <row r="558" customFormat="false" ht="11.25" hidden="false" customHeight="false" outlineLevel="0" collapsed="false">
      <c r="A558" s="1050"/>
      <c r="B558" s="469"/>
      <c r="C558" s="469"/>
      <c r="D558" s="469"/>
      <c r="E558" s="469"/>
      <c r="F558" s="469"/>
      <c r="G558" s="469"/>
      <c r="H558" s="1067"/>
      <c r="I558" s="1067"/>
      <c r="J558" s="1069"/>
      <c r="K558" s="1069"/>
      <c r="L558" s="1069"/>
      <c r="M558" s="1069"/>
      <c r="N558" s="1069"/>
      <c r="O558" s="1069"/>
      <c r="P558" s="1069"/>
      <c r="Q558" s="1069"/>
      <c r="R558" s="1069"/>
      <c r="S558" s="1069"/>
      <c r="T558" s="1069"/>
      <c r="U558" s="1069"/>
      <c r="V558" s="1069"/>
      <c r="W558" s="1069"/>
      <c r="X558" s="1069"/>
      <c r="Y558" s="1069"/>
      <c r="Z558" s="1069"/>
      <c r="AA558" s="1069"/>
      <c r="AB558" s="1069"/>
      <c r="AC558" s="1069"/>
      <c r="AD558" s="1069"/>
      <c r="AE558" s="1069"/>
      <c r="AF558" s="1069"/>
      <c r="AG558" s="751"/>
    </row>
    <row r="559" customFormat="false" ht="11.25" hidden="false" customHeight="false" outlineLevel="0" collapsed="false">
      <c r="A559" s="1050" t="s">
        <v>912</v>
      </c>
      <c r="B559" s="469"/>
      <c r="C559" s="469"/>
      <c r="D559" s="469"/>
      <c r="E559" s="469"/>
      <c r="F559" s="469"/>
      <c r="G559" s="469" t="n">
        <v>0</v>
      </c>
      <c r="H559" s="1071" t="n">
        <f aca="false">+Debt!H20</f>
        <v>0</v>
      </c>
      <c r="I559" s="1072" t="e">
        <f aca="false">+I556</f>
        <v>#VALUE!</v>
      </c>
      <c r="J559" s="1072" t="e">
        <f aca="false">+J556</f>
        <v>#VALUE!</v>
      </c>
      <c r="K559" s="1072" t="e">
        <f aca="false">+K556</f>
        <v>#VALUE!</v>
      </c>
      <c r="L559" s="1072" t="e">
        <f aca="false">+L556</f>
        <v>#VALUE!</v>
      </c>
      <c r="M559" s="1072" t="e">
        <f aca="false">+M556</f>
        <v>#VALUE!</v>
      </c>
      <c r="N559" s="1072" t="e">
        <f aca="false">+N556</f>
        <v>#VALUE!</v>
      </c>
      <c r="O559" s="1072" t="e">
        <f aca="false">+O556</f>
        <v>#VALUE!</v>
      </c>
      <c r="P559" s="1072" t="e">
        <f aca="false">+P556</f>
        <v>#VALUE!</v>
      </c>
      <c r="Q559" s="1072" t="e">
        <f aca="false">+Q556</f>
        <v>#VALUE!</v>
      </c>
      <c r="R559" s="1072" t="e">
        <f aca="false">+R556</f>
        <v>#VALUE!</v>
      </c>
      <c r="S559" s="1072" t="e">
        <f aca="false">+S556</f>
        <v>#VALUE!</v>
      </c>
      <c r="T559" s="1072" t="e">
        <f aca="false">+T556</f>
        <v>#VALUE!</v>
      </c>
      <c r="U559" s="1072" t="e">
        <f aca="false">+U556</f>
        <v>#VALUE!</v>
      </c>
      <c r="V559" s="1072" t="e">
        <f aca="false">+V556</f>
        <v>#VALUE!</v>
      </c>
      <c r="W559" s="1072" t="e">
        <f aca="false">+W556</f>
        <v>#VALUE!</v>
      </c>
      <c r="X559" s="1072" t="e">
        <f aca="false">+X556</f>
        <v>#VALUE!</v>
      </c>
      <c r="Y559" s="1072" t="e">
        <f aca="false">+Y556</f>
        <v>#VALUE!</v>
      </c>
      <c r="Z559" s="1072" t="e">
        <f aca="false">+Z556</f>
        <v>#VALUE!</v>
      </c>
      <c r="AA559" s="1072" t="e">
        <f aca="false">+AA556</f>
        <v>#VALUE!</v>
      </c>
      <c r="AB559" s="1072" t="e">
        <f aca="false">+AB556</f>
        <v>#VALUE!</v>
      </c>
      <c r="AC559" s="1072" t="e">
        <f aca="false">+AC556</f>
        <v>#VALUE!</v>
      </c>
      <c r="AD559" s="1072" t="e">
        <f aca="false">+AD556</f>
        <v>#VALUE!</v>
      </c>
      <c r="AE559" s="1072" t="e">
        <f aca="false">+AE556</f>
        <v>#VALUE!</v>
      </c>
      <c r="AF559" s="1072" t="e">
        <f aca="false">+AF556</f>
        <v>#VALUE!</v>
      </c>
      <c r="AG559" s="751"/>
    </row>
    <row r="560" customFormat="false" ht="11.25" hidden="false" customHeight="false" outlineLevel="0" collapsed="false">
      <c r="A560" s="1059"/>
      <c r="B560" s="1011"/>
      <c r="C560" s="1011"/>
      <c r="D560" s="1011"/>
      <c r="E560" s="1011"/>
      <c r="F560" s="1011"/>
      <c r="G560" s="828"/>
      <c r="H560" s="828"/>
      <c r="I560" s="1011"/>
      <c r="J560" s="1011"/>
      <c r="K560" s="1011"/>
      <c r="L560" s="1011"/>
      <c r="M560" s="1011"/>
      <c r="N560" s="1011"/>
      <c r="O560" s="1011"/>
      <c r="P560" s="1011"/>
      <c r="Q560" s="1011"/>
      <c r="R560" s="1011"/>
      <c r="S560" s="1011"/>
      <c r="T560" s="1011"/>
      <c r="U560" s="1011"/>
      <c r="V560" s="1011"/>
      <c r="W560" s="1011"/>
      <c r="X560" s="1011"/>
      <c r="Y560" s="1011"/>
      <c r="Z560" s="1011"/>
      <c r="AA560" s="1011"/>
      <c r="AB560" s="1011"/>
      <c r="AC560" s="1011"/>
      <c r="AD560" s="1011"/>
      <c r="AE560" s="1011"/>
      <c r="AF560" s="1061"/>
      <c r="AG560" s="751"/>
    </row>
    <row r="561" customFormat="false" ht="12" hidden="false" customHeight="false" outlineLevel="0" collapsed="false">
      <c r="A561" s="841" t="s">
        <v>913</v>
      </c>
      <c r="B561" s="751"/>
      <c r="C561" s="751"/>
      <c r="D561" s="751"/>
      <c r="E561" s="751"/>
      <c r="F561" s="751"/>
      <c r="G561" s="751"/>
      <c r="H561" s="751"/>
      <c r="I561" s="469"/>
      <c r="J561" s="469"/>
      <c r="K561" s="751"/>
      <c r="L561" s="751"/>
      <c r="M561" s="751"/>
      <c r="N561" s="751"/>
      <c r="O561" s="751"/>
      <c r="P561" s="751"/>
      <c r="Q561" s="751"/>
      <c r="R561" s="751"/>
      <c r="S561" s="751"/>
      <c r="T561" s="751"/>
      <c r="U561" s="751"/>
      <c r="V561" s="751"/>
      <c r="W561" s="751"/>
      <c r="X561" s="751"/>
      <c r="Y561" s="751"/>
      <c r="Z561" s="751"/>
      <c r="AA561" s="751"/>
      <c r="AB561" s="751"/>
      <c r="AC561" s="751"/>
      <c r="AD561" s="751"/>
      <c r="AE561" s="751"/>
      <c r="AF561" s="751"/>
      <c r="AG561" s="751"/>
    </row>
    <row r="562" customFormat="false" ht="12.75" hidden="false" customHeight="false" outlineLevel="0" collapsed="false">
      <c r="A562" s="841" t="s">
        <v>914</v>
      </c>
      <c r="B562" s="751"/>
      <c r="C562" s="751"/>
      <c r="D562" s="947"/>
      <c r="E562" s="1023" t="n">
        <f aca="false">E$599</f>
        <v>36891</v>
      </c>
      <c r="F562" s="1023" t="n">
        <f aca="false">F$599</f>
        <v>37256</v>
      </c>
      <c r="G562" s="1023" t="n">
        <f aca="false">G$599</f>
        <v>37621</v>
      </c>
      <c r="H562" s="1039" t="n">
        <f aca="false">H$599</f>
        <v>37802</v>
      </c>
      <c r="I562" s="1073" t="n">
        <f aca="false">I$599</f>
        <v>37986</v>
      </c>
      <c r="J562" s="1018" t="n">
        <f aca="false">J$599</f>
        <v>38352</v>
      </c>
      <c r="K562" s="1018" t="n">
        <f aca="false">K$599</f>
        <v>38717</v>
      </c>
      <c r="L562" s="1018" t="n">
        <f aca="false">L$599</f>
        <v>39082</v>
      </c>
      <c r="M562" s="1018" t="n">
        <f aca="false">M$599</f>
        <v>39447</v>
      </c>
      <c r="N562" s="1018" t="n">
        <f aca="false">N$599</f>
        <v>39813</v>
      </c>
      <c r="O562" s="1018" t="n">
        <f aca="false">O$599</f>
        <v>40178</v>
      </c>
      <c r="P562" s="1018" t="n">
        <f aca="false">P$599</f>
        <v>40543</v>
      </c>
      <c r="Q562" s="1018" t="n">
        <f aca="false">Q$599</f>
        <v>40908</v>
      </c>
      <c r="R562" s="1018" t="n">
        <f aca="false">R$599</f>
        <v>41274</v>
      </c>
      <c r="S562" s="1018" t="n">
        <f aca="false">S$599</f>
        <v>41639</v>
      </c>
      <c r="T562" s="1018" t="n">
        <f aca="false">T$599</f>
        <v>42004</v>
      </c>
      <c r="U562" s="1018" t="n">
        <f aca="false">U$599</f>
        <v>42369</v>
      </c>
      <c r="V562" s="1018" t="n">
        <f aca="false">V$599</f>
        <v>42735</v>
      </c>
      <c r="W562" s="1018" t="n">
        <f aca="false">W$599</f>
        <v>43100</v>
      </c>
      <c r="X562" s="1018" t="n">
        <f aca="false">X$599</f>
        <v>43465</v>
      </c>
      <c r="Y562" s="1018" t="n">
        <f aca="false">Y$599</f>
        <v>43830</v>
      </c>
      <c r="Z562" s="1018" t="n">
        <f aca="false">Z$599</f>
        <v>44196</v>
      </c>
      <c r="AA562" s="1018" t="n">
        <f aca="false">AA$599</f>
        <v>44561</v>
      </c>
      <c r="AB562" s="1018" t="n">
        <f aca="false">AB$599</f>
        <v>44926</v>
      </c>
      <c r="AC562" s="1018" t="n">
        <f aca="false">AC$599</f>
        <v>45291</v>
      </c>
      <c r="AD562" s="1018" t="n">
        <f aca="false">AD$599</f>
        <v>45657</v>
      </c>
      <c r="AE562" s="1018" t="n">
        <f aca="false">AE$599</f>
        <v>46022</v>
      </c>
      <c r="AF562" s="1018" t="n">
        <f aca="false">AF$599</f>
        <v>46387</v>
      </c>
      <c r="AG562" s="751"/>
    </row>
    <row r="563" customFormat="false" ht="12" hidden="false" customHeight="false" outlineLevel="0" collapsed="false">
      <c r="A563" s="955"/>
      <c r="B563" s="751"/>
      <c r="C563" s="751"/>
      <c r="D563" s="751"/>
      <c r="E563" s="751"/>
      <c r="F563" s="751"/>
      <c r="G563" s="751"/>
      <c r="H563" s="751"/>
      <c r="I563" s="751"/>
      <c r="J563" s="751"/>
      <c r="K563" s="751"/>
      <c r="L563" s="751"/>
      <c r="M563" s="751"/>
      <c r="N563" s="751"/>
      <c r="O563" s="751"/>
      <c r="P563" s="751"/>
      <c r="Q563" s="751"/>
      <c r="R563" s="751"/>
      <c r="S563" s="751"/>
      <c r="T563" s="751"/>
      <c r="U563" s="751"/>
      <c r="V563" s="751"/>
      <c r="W563" s="751"/>
      <c r="X563" s="751"/>
      <c r="Y563" s="751"/>
      <c r="Z563" s="751"/>
      <c r="AA563" s="751"/>
      <c r="AB563" s="751"/>
      <c r="AC563" s="751"/>
      <c r="AD563" s="751"/>
      <c r="AE563" s="751"/>
      <c r="AF563" s="751"/>
      <c r="AG563" s="751"/>
    </row>
    <row r="564" customFormat="false" ht="11.25" hidden="false" customHeight="false" outlineLevel="0" collapsed="false">
      <c r="A564" s="955" t="str">
        <f aca="false">B451</f>
        <v>Purchase Term Loan</v>
      </c>
      <c r="B564" s="346"/>
      <c r="C564" s="751"/>
      <c r="D564" s="949"/>
      <c r="E564" s="949"/>
      <c r="F564" s="949"/>
      <c r="G564" s="944" t="s">
        <v>824</v>
      </c>
      <c r="H564" s="751"/>
      <c r="I564" s="949" t="n">
        <f aca="false">-Debt!C44</f>
        <v>-0</v>
      </c>
      <c r="J564" s="949" t="n">
        <f aca="false">-Debt!D44</f>
        <v>-0</v>
      </c>
      <c r="K564" s="949" t="n">
        <f aca="false">-Debt!E44</f>
        <v>-0</v>
      </c>
      <c r="L564" s="949" t="n">
        <f aca="false">-Debt!F44</f>
        <v>-0</v>
      </c>
      <c r="M564" s="949" t="n">
        <f aca="false">-Debt!G44</f>
        <v>-0</v>
      </c>
      <c r="N564" s="949" t="n">
        <f aca="false">-Debt!H44</f>
        <v>-0</v>
      </c>
      <c r="O564" s="949" t="n">
        <f aca="false">-Debt!I44</f>
        <v>-0</v>
      </c>
      <c r="P564" s="949" t="n">
        <f aca="false">-Debt!J44</f>
        <v>-0</v>
      </c>
      <c r="Q564" s="949" t="n">
        <f aca="false">-Debt!K44</f>
        <v>-0</v>
      </c>
      <c r="R564" s="949" t="n">
        <f aca="false">-Debt!L44</f>
        <v>-0</v>
      </c>
      <c r="S564" s="949" t="n">
        <f aca="false">-Debt!M44</f>
        <v>-0</v>
      </c>
      <c r="T564" s="949" t="n">
        <f aca="false">-Debt!N44</f>
        <v>-0</v>
      </c>
      <c r="U564" s="949" t="n">
        <f aca="false">-Debt!O44</f>
        <v>-0</v>
      </c>
      <c r="V564" s="949" t="n">
        <f aca="false">-Debt!P44</f>
        <v>-0</v>
      </c>
      <c r="W564" s="949" t="n">
        <f aca="false">-Debt!Q44</f>
        <v>-0</v>
      </c>
      <c r="X564" s="949" t="n">
        <f aca="false">-Debt!R44</f>
        <v>-0</v>
      </c>
      <c r="Y564" s="949" t="n">
        <f aca="false">-Debt!S44</f>
        <v>-0</v>
      </c>
      <c r="Z564" s="949" t="n">
        <f aca="false">-Debt!T44</f>
        <v>-0</v>
      </c>
      <c r="AA564" s="949" t="n">
        <f aca="false">-Debt!U44</f>
        <v>-0</v>
      </c>
      <c r="AB564" s="949" t="n">
        <f aca="false">-Debt!V44</f>
        <v>-0</v>
      </c>
      <c r="AC564" s="949" t="n">
        <f aca="false">-Debt!W44</f>
        <v>-0</v>
      </c>
      <c r="AD564" s="949" t="n">
        <f aca="false">-Debt!X44</f>
        <v>-0</v>
      </c>
      <c r="AE564" s="949" t="n">
        <f aca="false">-Debt!Y44</f>
        <v>-0</v>
      </c>
      <c r="AF564" s="949" t="n">
        <f aca="false">-Debt!Z44</f>
        <v>-0</v>
      </c>
      <c r="AG564" s="751"/>
    </row>
    <row r="565" customFormat="false" ht="11.25" hidden="false" customHeight="false" outlineLevel="0" collapsed="false">
      <c r="A565" s="955"/>
      <c r="B565" s="346"/>
      <c r="C565" s="751"/>
      <c r="D565" s="751"/>
      <c r="E565" s="751"/>
      <c r="F565" s="751"/>
      <c r="G565" s="944" t="s">
        <v>915</v>
      </c>
      <c r="H565" s="751"/>
      <c r="I565" s="939" t="n">
        <v>0</v>
      </c>
      <c r="J565" s="939" t="n">
        <v>0</v>
      </c>
      <c r="K565" s="939" t="n">
        <v>0</v>
      </c>
      <c r="L565" s="939" t="n">
        <v>0</v>
      </c>
      <c r="M565" s="939" t="n">
        <v>0</v>
      </c>
      <c r="N565" s="939" t="n">
        <v>0</v>
      </c>
      <c r="O565" s="939" t="n">
        <v>0</v>
      </c>
      <c r="P565" s="939" t="n">
        <v>0</v>
      </c>
      <c r="Q565" s="939" t="n">
        <v>0</v>
      </c>
      <c r="R565" s="939" t="n">
        <v>0</v>
      </c>
      <c r="S565" s="939" t="n">
        <v>0</v>
      </c>
      <c r="T565" s="939" t="n">
        <v>0</v>
      </c>
      <c r="U565" s="939" t="n">
        <v>0</v>
      </c>
      <c r="V565" s="939" t="n">
        <v>0</v>
      </c>
      <c r="W565" s="939" t="n">
        <v>0</v>
      </c>
      <c r="X565" s="939" t="n">
        <v>0</v>
      </c>
      <c r="Y565" s="939" t="n">
        <v>0</v>
      </c>
      <c r="Z565" s="939" t="n">
        <v>0</v>
      </c>
      <c r="AA565" s="939" t="n">
        <v>0</v>
      </c>
      <c r="AB565" s="939" t="n">
        <v>0</v>
      </c>
      <c r="AC565" s="939" t="n">
        <v>0</v>
      </c>
      <c r="AD565" s="939" t="n">
        <v>0</v>
      </c>
      <c r="AE565" s="939" t="n">
        <v>0</v>
      </c>
      <c r="AF565" s="939" t="n">
        <v>0</v>
      </c>
      <c r="AG565" s="751"/>
    </row>
    <row r="566" customFormat="false" ht="11.25" hidden="false" customHeight="false" outlineLevel="0" collapsed="false">
      <c r="A566" s="955"/>
      <c r="B566" s="346"/>
      <c r="C566" s="751"/>
      <c r="D566" s="1074"/>
      <c r="E566" s="1074"/>
      <c r="F566" s="1074"/>
      <c r="G566" s="944" t="s">
        <v>916</v>
      </c>
      <c r="H566" s="751"/>
      <c r="I566" s="1075" t="s">
        <v>917</v>
      </c>
      <c r="J566" s="1075" t="s">
        <v>917</v>
      </c>
      <c r="K566" s="1075" t="s">
        <v>917</v>
      </c>
      <c r="L566" s="1075" t="s">
        <v>917</v>
      </c>
      <c r="M566" s="1075" t="s">
        <v>917</v>
      </c>
      <c r="N566" s="1075" t="s">
        <v>917</v>
      </c>
      <c r="O566" s="1075" t="s">
        <v>917</v>
      </c>
      <c r="P566" s="1075" t="s">
        <v>917</v>
      </c>
      <c r="Q566" s="1075" t="s">
        <v>917</v>
      </c>
      <c r="R566" s="1075" t="s">
        <v>917</v>
      </c>
      <c r="S566" s="1075" t="s">
        <v>917</v>
      </c>
      <c r="T566" s="1075" t="s">
        <v>917</v>
      </c>
      <c r="U566" s="1075" t="s">
        <v>917</v>
      </c>
      <c r="V566" s="1075" t="s">
        <v>917</v>
      </c>
      <c r="W566" s="1075" t="s">
        <v>917</v>
      </c>
      <c r="X566" s="1075" t="s">
        <v>917</v>
      </c>
      <c r="Y566" s="1075" t="s">
        <v>917</v>
      </c>
      <c r="Z566" s="1075" t="s">
        <v>917</v>
      </c>
      <c r="AA566" s="1075" t="s">
        <v>917</v>
      </c>
      <c r="AB566" s="1075" t="s">
        <v>917</v>
      </c>
      <c r="AC566" s="1075" t="s">
        <v>917</v>
      </c>
      <c r="AD566" s="1075" t="s">
        <v>917</v>
      </c>
      <c r="AE566" s="1075" t="s">
        <v>917</v>
      </c>
      <c r="AF566" s="1075" t="s">
        <v>917</v>
      </c>
      <c r="AG566" s="751"/>
    </row>
    <row r="567" customFormat="false" ht="11.25" hidden="false" customHeight="false" outlineLevel="0" collapsed="false">
      <c r="A567" s="955"/>
      <c r="B567" s="346"/>
      <c r="C567" s="751"/>
      <c r="D567" s="751"/>
      <c r="E567" s="751"/>
      <c r="F567" s="751"/>
      <c r="G567" s="944" t="s">
        <v>918</v>
      </c>
      <c r="H567" s="751"/>
      <c r="I567" s="1075" t="s">
        <v>919</v>
      </c>
      <c r="J567" s="751"/>
      <c r="K567" s="751"/>
      <c r="L567" s="751"/>
      <c r="M567" s="751"/>
      <c r="N567" s="751"/>
      <c r="O567" s="751"/>
      <c r="P567" s="751"/>
      <c r="Q567" s="751"/>
      <c r="R567" s="751"/>
      <c r="S567" s="751"/>
      <c r="T567" s="751"/>
      <c r="U567" s="751"/>
      <c r="V567" s="751"/>
      <c r="W567" s="751"/>
      <c r="X567" s="751"/>
      <c r="Y567" s="751"/>
      <c r="Z567" s="751"/>
      <c r="AA567" s="751"/>
      <c r="AB567" s="751"/>
      <c r="AC567" s="751"/>
      <c r="AD567" s="751"/>
      <c r="AE567" s="751"/>
      <c r="AF567" s="751"/>
      <c r="AG567" s="751"/>
    </row>
    <row r="568" customFormat="false" ht="11.25" hidden="false" customHeight="false" outlineLevel="0" collapsed="false">
      <c r="A568" s="955"/>
      <c r="B568" s="346"/>
      <c r="C568" s="751"/>
      <c r="D568" s="1076"/>
      <c r="E568" s="1076"/>
      <c r="F568" s="1076"/>
      <c r="G568" s="944" t="s">
        <v>920</v>
      </c>
      <c r="H568" s="947"/>
      <c r="I568" s="1076" t="n">
        <f aca="false">Assumptions!$M$12+VLOOKUP(YEAR(I562),Assumptions!$L$13:$M$16,2)</f>
        <v>0.09375</v>
      </c>
      <c r="J568" s="1076" t="n">
        <f aca="false">Assumptions!$M$12+VLOOKUP(YEAR(J562),Assumptions!$L$13:$M$16,2)</f>
        <v>0.09375</v>
      </c>
      <c r="K568" s="1076" t="n">
        <f aca="false">Assumptions!$M$12+VLOOKUP(YEAR(K562),Assumptions!$L$13:$M$16,2)</f>
        <v>0.09375</v>
      </c>
      <c r="L568" s="1076" t="n">
        <f aca="false">Assumptions!$M$12+VLOOKUP(YEAR(L562),Assumptions!$L$13:$M$16,2)</f>
        <v>0.09375</v>
      </c>
      <c r="M568" s="1076" t="n">
        <f aca="false">Assumptions!$M$12+VLOOKUP(YEAR(M562),Assumptions!$L$13:$M$16,2)</f>
        <v>0.095</v>
      </c>
      <c r="N568" s="1076" t="n">
        <f aca="false">Assumptions!$M$12+VLOOKUP(YEAR(N562),Assumptions!$L$13:$M$16,2)</f>
        <v>0.095</v>
      </c>
      <c r="O568" s="1076" t="n">
        <f aca="false">Assumptions!$M$12+VLOOKUP(YEAR(O562),Assumptions!$L$13:$M$16,2)</f>
        <v>0.095</v>
      </c>
      <c r="P568" s="1076" t="n">
        <f aca="false">Assumptions!$M$12+VLOOKUP(YEAR(P562),Assumptions!$L$13:$M$16,2)</f>
        <v>0.095</v>
      </c>
      <c r="Q568" s="1076" t="n">
        <f aca="false">Assumptions!$M$12+VLOOKUP(YEAR(Q562),Assumptions!$L$13:$M$16,2)</f>
        <v>0.09625</v>
      </c>
      <c r="R568" s="1076" t="n">
        <f aca="false">Assumptions!$M$12+VLOOKUP(YEAR(R562),Assumptions!$L$13:$M$16,2)</f>
        <v>0.09625</v>
      </c>
      <c r="S568" s="1076" t="n">
        <f aca="false">Assumptions!$M$12+VLOOKUP(YEAR(S562),Assumptions!$L$13:$M$16,2)</f>
        <v>0.09625</v>
      </c>
      <c r="T568" s="1076" t="n">
        <f aca="false">Assumptions!$M$12+VLOOKUP(YEAR(T562),Assumptions!$L$13:$M$16,2)</f>
        <v>0.09625</v>
      </c>
      <c r="U568" s="1076" t="n">
        <f aca="false">Assumptions!$M$12+VLOOKUP(YEAR(U562),Assumptions!$L$13:$M$16,2)</f>
        <v>0.0975</v>
      </c>
      <c r="V568" s="1076" t="n">
        <f aca="false">Assumptions!$M$12+VLOOKUP(YEAR(V562),Assumptions!$L$13:$M$16,2)</f>
        <v>0.0975</v>
      </c>
      <c r="W568" s="1076" t="n">
        <f aca="false">Assumptions!$M$12+VLOOKUP(YEAR(W562),Assumptions!$L$13:$M$16,2)</f>
        <v>0.0975</v>
      </c>
      <c r="X568" s="1076" t="n">
        <f aca="false">Assumptions!$M$12+VLOOKUP(YEAR(X562),Assumptions!$L$13:$M$16,2)</f>
        <v>0.0975</v>
      </c>
      <c r="Y568" s="1076" t="n">
        <f aca="false">Assumptions!$M$12+VLOOKUP(YEAR(Y562),Assumptions!$L$13:$M$16,2)</f>
        <v>0.0975</v>
      </c>
      <c r="Z568" s="1076" t="n">
        <f aca="false">Assumptions!$M$12+VLOOKUP(YEAR(Z562),Assumptions!$L$13:$M$16,2)</f>
        <v>0.0975</v>
      </c>
      <c r="AA568" s="1076" t="n">
        <f aca="false">Assumptions!$M$12+VLOOKUP(YEAR(AA562),Assumptions!$L$13:$M$16,2)</f>
        <v>0.0975</v>
      </c>
      <c r="AB568" s="1076" t="n">
        <f aca="false">Assumptions!$M$12+VLOOKUP(YEAR(AB562),Assumptions!$L$13:$M$16,2)</f>
        <v>0.0975</v>
      </c>
      <c r="AC568" s="1076" t="n">
        <f aca="false">Assumptions!$M$12+VLOOKUP(YEAR(AC562),Assumptions!$L$13:$M$16,2)</f>
        <v>0.0975</v>
      </c>
      <c r="AD568" s="1076" t="n">
        <f aca="false">Assumptions!$M$12+VLOOKUP(YEAR(AD562),Assumptions!$L$13:$M$16,2)</f>
        <v>0.0975</v>
      </c>
      <c r="AE568" s="1076" t="n">
        <f aca="false">Assumptions!$M$12+VLOOKUP(YEAR(AE562),Assumptions!$L$13:$M$16,2)</f>
        <v>0.0975</v>
      </c>
      <c r="AF568" s="1076" t="n">
        <f aca="false">Assumptions!$M$12+VLOOKUP(YEAR(AF562),Assumptions!$L$13:$M$16,2)</f>
        <v>0.0975</v>
      </c>
      <c r="AG568" s="751"/>
    </row>
    <row r="569" customFormat="false" ht="11.25" hidden="false" customHeight="false" outlineLevel="0" collapsed="false">
      <c r="A569" s="955"/>
      <c r="B569" s="346"/>
      <c r="C569" s="751"/>
      <c r="D569" s="751"/>
      <c r="E569" s="751"/>
      <c r="F569" s="751"/>
      <c r="G569" s="944" t="s">
        <v>921</v>
      </c>
      <c r="H569" s="950"/>
      <c r="I569" s="950" t="n">
        <f aca="false">IF(I566="YES",((1+I568/2)^2-1)*I421*-1,0)*C442</f>
        <v>0</v>
      </c>
      <c r="J569" s="950" t="n">
        <f aca="false">IF(J566="YES",((1+J568/2)^2-1)*J421*-1,0)</f>
        <v>0</v>
      </c>
      <c r="K569" s="950" t="n">
        <f aca="false">IF(K566="YES",((1+K568/2)^2-1)*K421*-1,0)</f>
        <v>0</v>
      </c>
      <c r="L569" s="950" t="n">
        <f aca="false">IF(L566="YES",((1+L568/2)^2-1)*L421*-1,0)</f>
        <v>0</v>
      </c>
      <c r="M569" s="950" t="n">
        <f aca="false">IF(M566="YES",((1+M568/2)^2-1)*M421*-1,0)</f>
        <v>0</v>
      </c>
      <c r="N569" s="950" t="n">
        <f aca="false">IF(N566="YES",((1+N568/2)^2-1)*N421*-1,0)</f>
        <v>0</v>
      </c>
      <c r="O569" s="950" t="n">
        <f aca="false">IF(O566="YES",((1+O568/2)^2-1)*O421*-1,0)</f>
        <v>0</v>
      </c>
      <c r="P569" s="950" t="n">
        <f aca="false">IF(P566="YES",((1+P568/2)^2-1)*P421*-1,0)</f>
        <v>0</v>
      </c>
      <c r="Q569" s="950" t="n">
        <f aca="false">IF(Q566="YES",((1+Q568/2)^2-1)*Q421*-1,0)</f>
        <v>0</v>
      </c>
      <c r="R569" s="950" t="n">
        <f aca="false">IF(R566="YES",((1+R568/2)^2-1)*R421*-1,0)</f>
        <v>0</v>
      </c>
      <c r="S569" s="950" t="n">
        <f aca="false">IF(S566="YES",((1+S568/2)^2-1)*S421*-1,0)</f>
        <v>0</v>
      </c>
      <c r="T569" s="950" t="n">
        <f aca="false">IF(T566="YES",((1+T568/2)^2-1)*T421*-1,0)</f>
        <v>0</v>
      </c>
      <c r="U569" s="950" t="n">
        <f aca="false">IF(U566="YES",((1+U568/2)^2-1)*U421*-1,0)</f>
        <v>0</v>
      </c>
      <c r="V569" s="950" t="n">
        <f aca="false">IF(V566="YES",((1+V568/2)^2-1)*V421*-1,0)</f>
        <v>0</v>
      </c>
      <c r="W569" s="950" t="n">
        <f aca="false">IF(W566="YES",((1+W568/2)^2-1)*W421*-1,0)</f>
        <v>0</v>
      </c>
      <c r="X569" s="950" t="n">
        <f aca="false">IF(X566="YES",((1+X568/2)^2-1)*X421*-1,0)</f>
        <v>0</v>
      </c>
      <c r="Y569" s="950" t="n">
        <f aca="false">IF(Y566="YES",((1+Y568/2)^2-1)*Y421*-1,0)</f>
        <v>0</v>
      </c>
      <c r="Z569" s="950" t="n">
        <f aca="false">IF(Z566="YES",((1+Z568/2)^2-1)*Z421*-1,0)</f>
        <v>0</v>
      </c>
      <c r="AA569" s="950" t="n">
        <f aca="false">IF(AA566="YES",((1+AA568/2)^2-1)*AA421*-1,0)</f>
        <v>0</v>
      </c>
      <c r="AB569" s="950" t="n">
        <f aca="false">IF(AB566="YES",((1+AB568/2)^2-1)*AB421*-1,0)</f>
        <v>0</v>
      </c>
      <c r="AC569" s="950" t="n">
        <f aca="false">IF(AC566="YES",((1+AC568/2)^2-1)*AC421*-1,0)</f>
        <v>0</v>
      </c>
      <c r="AD569" s="950" t="n">
        <f aca="false">IF(AD566="YES",((1+AD568/2)^2-1)*AD421*-1,0)</f>
        <v>0</v>
      </c>
      <c r="AE569" s="950" t="n">
        <f aca="false">IF(AE566="YES",((1+AE568/2)^2-1)*AE421*-1,0)</f>
        <v>0</v>
      </c>
      <c r="AF569" s="950" t="n">
        <f aca="false">IF(AF566="YES",((1+AF568/2)^2-1)*AF421*-1,0)</f>
        <v>0</v>
      </c>
      <c r="AG569" s="751"/>
    </row>
    <row r="570" customFormat="false" ht="11.25" hidden="false" customHeight="false" outlineLevel="0" collapsed="false">
      <c r="A570" s="955"/>
      <c r="B570" s="346"/>
      <c r="C570" s="751"/>
      <c r="D570" s="751"/>
      <c r="E570" s="751"/>
      <c r="F570" s="751"/>
      <c r="G570" s="944" t="s">
        <v>922</v>
      </c>
      <c r="H570" s="950"/>
      <c r="I570" s="1077" t="n">
        <v>0</v>
      </c>
      <c r="J570" s="1077" t="n">
        <v>0</v>
      </c>
      <c r="K570" s="1077" t="n">
        <v>0</v>
      </c>
      <c r="L570" s="1077" t="n">
        <v>0</v>
      </c>
      <c r="M570" s="1077" t="n">
        <v>0</v>
      </c>
      <c r="N570" s="1077" t="n">
        <v>0</v>
      </c>
      <c r="O570" s="1077" t="n">
        <v>0</v>
      </c>
      <c r="P570" s="1077" t="n">
        <v>0</v>
      </c>
      <c r="Q570" s="1077" t="n">
        <v>0</v>
      </c>
      <c r="R570" s="1077" t="n">
        <v>0</v>
      </c>
      <c r="S570" s="1077" t="n">
        <v>0</v>
      </c>
      <c r="T570" s="1077" t="n">
        <v>0</v>
      </c>
      <c r="U570" s="1077" t="n">
        <v>0</v>
      </c>
      <c r="V570" s="1077" t="n">
        <v>0</v>
      </c>
      <c r="W570" s="1077" t="n">
        <v>0</v>
      </c>
      <c r="X570" s="1077" t="n">
        <v>0</v>
      </c>
      <c r="Y570" s="1077" t="n">
        <v>0</v>
      </c>
      <c r="Z570" s="1077" t="n">
        <v>0</v>
      </c>
      <c r="AA570" s="1077" t="n">
        <v>0</v>
      </c>
      <c r="AB570" s="1077" t="n">
        <v>0</v>
      </c>
      <c r="AC570" s="1077" t="n">
        <v>0</v>
      </c>
      <c r="AD570" s="1077" t="n">
        <v>0</v>
      </c>
      <c r="AE570" s="1077" t="n">
        <v>0</v>
      </c>
      <c r="AF570" s="1077" t="n">
        <v>0</v>
      </c>
      <c r="AG570" s="751"/>
    </row>
    <row r="571" customFormat="false" ht="11.25" hidden="false" customHeight="false" outlineLevel="0" collapsed="false">
      <c r="A571" s="955"/>
      <c r="B571" s="751"/>
      <c r="C571" s="751"/>
      <c r="D571" s="751"/>
      <c r="E571" s="751"/>
      <c r="F571" s="751"/>
      <c r="G571" s="751"/>
      <c r="H571" s="947"/>
      <c r="I571" s="751"/>
      <c r="J571" s="751"/>
      <c r="K571" s="751"/>
      <c r="L571" s="751"/>
      <c r="M571" s="751"/>
      <c r="N571" s="751"/>
      <c r="O571" s="751"/>
      <c r="P571" s="751"/>
      <c r="Q571" s="751"/>
      <c r="R571" s="751"/>
      <c r="S571" s="751"/>
      <c r="T571" s="751"/>
      <c r="U571" s="751"/>
      <c r="V571" s="751"/>
      <c r="W571" s="751"/>
      <c r="X571" s="751"/>
      <c r="Y571" s="751"/>
      <c r="Z571" s="751"/>
      <c r="AA571" s="751"/>
      <c r="AB571" s="751"/>
      <c r="AC571" s="751"/>
      <c r="AD571" s="751"/>
      <c r="AE571" s="751"/>
      <c r="AF571" s="751"/>
      <c r="AG571" s="751"/>
    </row>
    <row r="572" customFormat="false" ht="11.25" hidden="false" customHeight="false" outlineLevel="0" collapsed="false">
      <c r="A572" s="955" t="str">
        <f aca="false">B452</f>
        <v>Scrubber Term Loan</v>
      </c>
      <c r="B572" s="346"/>
      <c r="C572" s="751"/>
      <c r="D572" s="751"/>
      <c r="E572" s="751"/>
      <c r="F572" s="751"/>
      <c r="G572" s="944" t="s">
        <v>824</v>
      </c>
      <c r="H572" s="947"/>
      <c r="I572" s="949" t="n">
        <v>0</v>
      </c>
      <c r="J572" s="949" t="n">
        <v>0</v>
      </c>
      <c r="K572" s="949" t="n">
        <v>0</v>
      </c>
      <c r="L572" s="949" t="n">
        <f aca="false">+-Debt!F60</f>
        <v>-0</v>
      </c>
      <c r="M572" s="949" t="n">
        <f aca="false">+-Debt!G60</f>
        <v>-0</v>
      </c>
      <c r="N572" s="949" t="n">
        <f aca="false">+-Debt!H60</f>
        <v>-0</v>
      </c>
      <c r="O572" s="949" t="n">
        <f aca="false">+-Debt!I60</f>
        <v>-0</v>
      </c>
      <c r="P572" s="949" t="n">
        <f aca="false">+-Debt!J60</f>
        <v>-0</v>
      </c>
      <c r="Q572" s="949" t="n">
        <f aca="false">+-Debt!K60</f>
        <v>-0</v>
      </c>
      <c r="R572" s="949" t="n">
        <f aca="false">+-Debt!L60</f>
        <v>-0</v>
      </c>
      <c r="S572" s="949" t="n">
        <f aca="false">+-Debt!M60</f>
        <v>-0</v>
      </c>
      <c r="T572" s="949" t="n">
        <f aca="false">+-Debt!N60</f>
        <v>-0</v>
      </c>
      <c r="U572" s="949" t="n">
        <f aca="false">+-Debt!O60</f>
        <v>-0</v>
      </c>
      <c r="V572" s="949" t="n">
        <f aca="false">+-Debt!P60</f>
        <v>-0</v>
      </c>
      <c r="W572" s="949" t="n">
        <f aca="false">+-Debt!Q60</f>
        <v>-0</v>
      </c>
      <c r="X572" s="949" t="n">
        <f aca="false">+-Debt!R60</f>
        <v>-0</v>
      </c>
      <c r="Y572" s="949" t="n">
        <f aca="false">+-Debt!S60</f>
        <v>-0</v>
      </c>
      <c r="Z572" s="949" t="n">
        <f aca="false">+-Debt!T60</f>
        <v>-0</v>
      </c>
      <c r="AA572" s="949" t="n">
        <f aca="false">+-Debt!U60</f>
        <v>-0</v>
      </c>
      <c r="AB572" s="949" t="n">
        <f aca="false">+-Debt!V60</f>
        <v>-0</v>
      </c>
      <c r="AC572" s="949" t="n">
        <f aca="false">+-Debt!W56</f>
        <v>-0</v>
      </c>
      <c r="AD572" s="949" t="n">
        <f aca="false">+-Debt!X56</f>
        <v>-0</v>
      </c>
      <c r="AE572" s="949" t="n">
        <f aca="false">+-Debt!Y56</f>
        <v>-0</v>
      </c>
      <c r="AF572" s="949" t="n">
        <f aca="false">+-Debt!Z56</f>
        <v>-0</v>
      </c>
      <c r="AG572" s="751"/>
    </row>
    <row r="573" customFormat="false" ht="11.25" hidden="false" customHeight="false" outlineLevel="0" collapsed="false">
      <c r="A573" s="955"/>
      <c r="B573" s="346"/>
      <c r="C573" s="751"/>
      <c r="D573" s="751"/>
      <c r="E573" s="751"/>
      <c r="F573" s="751"/>
      <c r="G573" s="944" t="s">
        <v>915</v>
      </c>
      <c r="H573" s="947"/>
      <c r="I573" s="939" t="n">
        <v>0</v>
      </c>
      <c r="J573" s="939" t="n">
        <v>0</v>
      </c>
      <c r="K573" s="939" t="n">
        <f aca="false">-Debt!E50</f>
        <v>-0</v>
      </c>
      <c r="L573" s="939" t="n">
        <v>0</v>
      </c>
      <c r="M573" s="939" t="n">
        <v>0</v>
      </c>
      <c r="N573" s="939" t="n">
        <v>0</v>
      </c>
      <c r="O573" s="939" t="n">
        <v>0</v>
      </c>
      <c r="P573" s="939" t="n">
        <v>0</v>
      </c>
      <c r="Q573" s="939" t="n">
        <v>0</v>
      </c>
      <c r="R573" s="939" t="n">
        <v>0</v>
      </c>
      <c r="S573" s="939" t="n">
        <v>0</v>
      </c>
      <c r="T573" s="939" t="n">
        <v>0</v>
      </c>
      <c r="U573" s="939" t="n">
        <v>0</v>
      </c>
      <c r="V573" s="939" t="n">
        <v>0</v>
      </c>
      <c r="W573" s="939" t="n">
        <v>0</v>
      </c>
      <c r="X573" s="939" t="n">
        <v>0</v>
      </c>
      <c r="Y573" s="939" t="n">
        <v>0</v>
      </c>
      <c r="Z573" s="939" t="n">
        <v>0</v>
      </c>
      <c r="AA573" s="939" t="n">
        <v>0</v>
      </c>
      <c r="AB573" s="939" t="n">
        <v>0</v>
      </c>
      <c r="AC573" s="939" t="n">
        <v>0</v>
      </c>
      <c r="AD573" s="939" t="n">
        <v>0</v>
      </c>
      <c r="AE573" s="939" t="n">
        <v>0</v>
      </c>
      <c r="AF573" s="939" t="n">
        <v>0</v>
      </c>
      <c r="AG573" s="751"/>
    </row>
    <row r="574" customFormat="false" ht="11.25" hidden="false" customHeight="false" outlineLevel="0" collapsed="false">
      <c r="A574" s="955"/>
      <c r="B574" s="346"/>
      <c r="C574" s="751"/>
      <c r="D574" s="751"/>
      <c r="E574" s="751"/>
      <c r="F574" s="751"/>
      <c r="G574" s="944" t="s">
        <v>916</v>
      </c>
      <c r="H574" s="751"/>
      <c r="I574" s="1075" t="s">
        <v>917</v>
      </c>
      <c r="J574" s="1075" t="s">
        <v>917</v>
      </c>
      <c r="K574" s="1075" t="s">
        <v>917</v>
      </c>
      <c r="L574" s="1075" t="s">
        <v>917</v>
      </c>
      <c r="M574" s="1075" t="s">
        <v>917</v>
      </c>
      <c r="N574" s="1075" t="s">
        <v>917</v>
      </c>
      <c r="O574" s="1075" t="s">
        <v>917</v>
      </c>
      <c r="P574" s="1075" t="s">
        <v>917</v>
      </c>
      <c r="Q574" s="1075" t="s">
        <v>917</v>
      </c>
      <c r="R574" s="1075" t="s">
        <v>917</v>
      </c>
      <c r="S574" s="1075" t="s">
        <v>917</v>
      </c>
      <c r="T574" s="1075" t="s">
        <v>917</v>
      </c>
      <c r="U574" s="1075" t="s">
        <v>917</v>
      </c>
      <c r="V574" s="1075" t="s">
        <v>917</v>
      </c>
      <c r="W574" s="1075" t="s">
        <v>917</v>
      </c>
      <c r="X574" s="1075" t="s">
        <v>917</v>
      </c>
      <c r="Y574" s="1075" t="s">
        <v>917</v>
      </c>
      <c r="Z574" s="1075" t="s">
        <v>917</v>
      </c>
      <c r="AA574" s="1075" t="s">
        <v>917</v>
      </c>
      <c r="AB574" s="1075" t="s">
        <v>917</v>
      </c>
      <c r="AC574" s="1075" t="s">
        <v>917</v>
      </c>
      <c r="AD574" s="1075" t="s">
        <v>917</v>
      </c>
      <c r="AE574" s="1075" t="s">
        <v>917</v>
      </c>
      <c r="AF574" s="1075" t="s">
        <v>917</v>
      </c>
      <c r="AG574" s="751"/>
    </row>
    <row r="575" customFormat="false" ht="11.25" hidden="false" customHeight="false" outlineLevel="0" collapsed="false">
      <c r="A575" s="955"/>
      <c r="B575" s="346"/>
      <c r="C575" s="751"/>
      <c r="D575" s="751"/>
      <c r="E575" s="751"/>
      <c r="F575" s="751"/>
      <c r="G575" s="944" t="s">
        <v>918</v>
      </c>
      <c r="H575" s="751"/>
      <c r="I575" s="1075" t="s">
        <v>919</v>
      </c>
      <c r="J575" s="751"/>
      <c r="K575" s="751"/>
      <c r="L575" s="751"/>
      <c r="M575" s="751"/>
      <c r="N575" s="751"/>
      <c r="O575" s="751"/>
      <c r="P575" s="751"/>
      <c r="Q575" s="751"/>
      <c r="R575" s="751"/>
      <c r="S575" s="751"/>
      <c r="T575" s="751"/>
      <c r="U575" s="751"/>
      <c r="V575" s="751"/>
      <c r="W575" s="751"/>
      <c r="X575" s="751"/>
      <c r="Y575" s="751"/>
      <c r="Z575" s="751"/>
      <c r="AA575" s="751"/>
      <c r="AB575" s="751"/>
      <c r="AC575" s="751"/>
      <c r="AD575" s="751"/>
      <c r="AE575" s="751"/>
      <c r="AF575" s="751"/>
      <c r="AG575" s="751"/>
    </row>
    <row r="576" customFormat="false" ht="11.25" hidden="false" customHeight="false" outlineLevel="0" collapsed="false">
      <c r="A576" s="955"/>
      <c r="B576" s="346"/>
      <c r="C576" s="751"/>
      <c r="D576" s="751"/>
      <c r="E576" s="751"/>
      <c r="F576" s="751"/>
      <c r="G576" s="944" t="s">
        <v>920</v>
      </c>
      <c r="H576" s="947"/>
      <c r="I576" s="1076" t="n">
        <f aca="false">I589</f>
        <v>0.075</v>
      </c>
      <c r="J576" s="1076" t="n">
        <f aca="false">J589</f>
        <v>0.075</v>
      </c>
      <c r="K576" s="1076" t="n">
        <f aca="false">K589</f>
        <v>0.075</v>
      </c>
      <c r="L576" s="1076" t="n">
        <f aca="false">L589</f>
        <v>0.075</v>
      </c>
      <c r="M576" s="1076" t="n">
        <f aca="false">M589</f>
        <v>0.075</v>
      </c>
      <c r="N576" s="1076" t="n">
        <f aca="false">N589</f>
        <v>0.075</v>
      </c>
      <c r="O576" s="1076" t="n">
        <f aca="false">O589</f>
        <v>0.075</v>
      </c>
      <c r="P576" s="1076" t="n">
        <f aca="false">P589</f>
        <v>0.075</v>
      </c>
      <c r="Q576" s="1076" t="n">
        <f aca="false">Q589</f>
        <v>0.075</v>
      </c>
      <c r="R576" s="1076" t="n">
        <f aca="false">R589</f>
        <v>0.075</v>
      </c>
      <c r="S576" s="1076" t="n">
        <f aca="false">S589</f>
        <v>0.075</v>
      </c>
      <c r="T576" s="1076" t="n">
        <f aca="false">T589</f>
        <v>0.075</v>
      </c>
      <c r="U576" s="1076" t="n">
        <f aca="false">U589</f>
        <v>0.075</v>
      </c>
      <c r="V576" s="1076" t="n">
        <f aca="false">V589</f>
        <v>0.075</v>
      </c>
      <c r="W576" s="1076" t="n">
        <f aca="false">W589</f>
        <v>0.075</v>
      </c>
      <c r="X576" s="1076" t="n">
        <f aca="false">X589</f>
        <v>0.075</v>
      </c>
      <c r="Y576" s="1076" t="n">
        <f aca="false">Y589</f>
        <v>0.075</v>
      </c>
      <c r="Z576" s="1076" t="n">
        <f aca="false">Z589</f>
        <v>0.075</v>
      </c>
      <c r="AA576" s="1076" t="n">
        <f aca="false">AA589</f>
        <v>0.075</v>
      </c>
      <c r="AB576" s="1076" t="n">
        <f aca="false">AB589</f>
        <v>0.075</v>
      </c>
      <c r="AC576" s="1076" t="n">
        <f aca="false">AC589</f>
        <v>0.075</v>
      </c>
      <c r="AD576" s="1076" t="n">
        <f aca="false">AD589</f>
        <v>0.075</v>
      </c>
      <c r="AE576" s="1076" t="n">
        <f aca="false">AE589</f>
        <v>0.075</v>
      </c>
      <c r="AF576" s="1076" t="n">
        <f aca="false">AF589</f>
        <v>0.075</v>
      </c>
      <c r="AG576" s="751"/>
    </row>
    <row r="577" customFormat="false" ht="11.25" hidden="false" customHeight="false" outlineLevel="0" collapsed="false">
      <c r="A577" s="955"/>
      <c r="B577" s="346"/>
      <c r="C577" s="751"/>
      <c r="D577" s="751"/>
      <c r="E577" s="751"/>
      <c r="F577" s="751"/>
      <c r="G577" s="944" t="s">
        <v>923</v>
      </c>
      <c r="H577" s="950"/>
      <c r="I577" s="950" t="n">
        <f aca="false">IF(I574="YES",((1+I576/2)^2-1)*(I428+I431)/2*-1,0)*C442</f>
        <v>0</v>
      </c>
      <c r="J577" s="950" t="n">
        <f aca="false">IF(J574="YES",((1+J576/2)^2-1)*(J428+J431)/2*-1,0)</f>
        <v>0</v>
      </c>
      <c r="K577" s="950" t="n">
        <f aca="false">IF(K574="YES",((1+K576/2)^2-1)*(K428+K431)/2*-1,0)</f>
        <v>0</v>
      </c>
      <c r="L577" s="950" t="n">
        <f aca="false">IF(L574="YES",((1+L576/2)^2-1)*(L428+L431)/2*-1,0)</f>
        <v>0</v>
      </c>
      <c r="M577" s="950" t="n">
        <f aca="false">IF(M574="YES",((1+M576/2)^2-1)*(M428+M431)/2*-1,0)</f>
        <v>0</v>
      </c>
      <c r="N577" s="950" t="n">
        <f aca="false">IF(N574="YES",((1+N576/2)^2-1)*(N428+N431)/2*-1,0)</f>
        <v>0</v>
      </c>
      <c r="O577" s="950" t="n">
        <f aca="false">IF(O574="YES",((1+O576/2)^2-1)*(O428+O431)/2*-1,0)</f>
        <v>0</v>
      </c>
      <c r="P577" s="950" t="n">
        <f aca="false">IF(P574="YES",((1+P576/2)^2-1)*(P428+P431)/2*-1,0)</f>
        <v>0</v>
      </c>
      <c r="Q577" s="950" t="n">
        <f aca="false">IF(Q574="YES",((1+Q576/2)^2-1)*(Q428+Q431)/2*-1,0)</f>
        <v>0</v>
      </c>
      <c r="R577" s="950" t="n">
        <f aca="false">IF(R574="YES",((1+R576/2)^2-1)*(R428+R431)/2*-1,0)</f>
        <v>0</v>
      </c>
      <c r="S577" s="950" t="n">
        <f aca="false">IF(S574="YES",((1+S576/2)^2-1)*(S428+S431)/2*-1,0)</f>
        <v>0</v>
      </c>
      <c r="T577" s="950" t="n">
        <f aca="false">IF(T574="YES",((1+T576/2)^2-1)*(T428+T431)/2*-1,0)</f>
        <v>0</v>
      </c>
      <c r="U577" s="950" t="n">
        <f aca="false">IF(U574="YES",((1+U576/2)^2-1)*(U428+U431)/2*-1,0)</f>
        <v>0</v>
      </c>
      <c r="V577" s="950" t="n">
        <f aca="false">IF(V574="YES",((1+V576/2)^2-1)*(V428+V431)/2*-1,0)</f>
        <v>0</v>
      </c>
      <c r="W577" s="950" t="n">
        <f aca="false">IF(W574="YES",((1+W576/2)^2-1)*(W428+W431)/2*-1,0)</f>
        <v>0</v>
      </c>
      <c r="X577" s="950" t="n">
        <f aca="false">IF(X574="YES",((1+X576/2)^2-1)*(X428+X431)/2*-1,0)</f>
        <v>0</v>
      </c>
      <c r="Y577" s="950" t="n">
        <f aca="false">IF(Y574="YES",((1+Y576/2)^2-1)*(Y428+Y431)/2*-1,0)</f>
        <v>0</v>
      </c>
      <c r="Z577" s="950" t="n">
        <f aca="false">IF(Z574="YES",((1+Z576/2)^2-1)*(Z428+Z431)/2*-1,0)</f>
        <v>0</v>
      </c>
      <c r="AA577" s="950" t="n">
        <f aca="false">IF(AA574="YES",((1+AA576/2)^2-1)*(AA428+AA431)/2*-1,0)</f>
        <v>0</v>
      </c>
      <c r="AB577" s="950" t="n">
        <f aca="false">IF(AB574="YES",((1+AB576/2)^2-1)*(AB428+AB431)/2*-1,0)</f>
        <v>0</v>
      </c>
      <c r="AC577" s="950" t="n">
        <f aca="false">IF(AC574="YES",((1+AC576/2)^2-1)*(AC428+AC431)/2*-1,0)</f>
        <v>0</v>
      </c>
      <c r="AD577" s="950" t="n">
        <f aca="false">IF(AD574="YES",((1+AD576/2)^2-1)*(AD428+AD431)/2*-1,0)</f>
        <v>0</v>
      </c>
      <c r="AE577" s="950" t="n">
        <f aca="false">IF(AE574="YES",((1+AE576/2)^2-1)*(AE428+AE431)/2*-1,0)</f>
        <v>0</v>
      </c>
      <c r="AF577" s="950" t="n">
        <f aca="false">IF(AF574="YES",((1+AF576/2)^2-1)*(AF428+AF431)/2*-1,0)</f>
        <v>0</v>
      </c>
      <c r="AG577" s="751"/>
    </row>
    <row r="578" customFormat="false" ht="11.25" hidden="false" customHeight="false" outlineLevel="0" collapsed="false">
      <c r="A578" s="955"/>
      <c r="B578" s="751"/>
      <c r="C578" s="751"/>
      <c r="D578" s="751"/>
      <c r="E578" s="751"/>
      <c r="F578" s="751"/>
      <c r="G578" s="751"/>
      <c r="H578" s="947"/>
      <c r="I578" s="751"/>
      <c r="J578" s="751"/>
      <c r="K578" s="751"/>
      <c r="L578" s="751"/>
      <c r="M578" s="751"/>
      <c r="N578" s="751"/>
      <c r="O578" s="751"/>
      <c r="P578" s="751"/>
      <c r="Q578" s="751"/>
      <c r="R578" s="751"/>
      <c r="S578" s="751"/>
      <c r="T578" s="751"/>
      <c r="U578" s="751"/>
      <c r="V578" s="751"/>
      <c r="W578" s="751"/>
      <c r="X578" s="751"/>
      <c r="Y578" s="751"/>
      <c r="Z578" s="751"/>
      <c r="AA578" s="751"/>
      <c r="AB578" s="751"/>
      <c r="AC578" s="751"/>
      <c r="AD578" s="751"/>
      <c r="AE578" s="751"/>
      <c r="AF578" s="751"/>
      <c r="AG578" s="751"/>
    </row>
    <row r="579" customFormat="false" ht="11.25" hidden="false" customHeight="false" outlineLevel="0" collapsed="false">
      <c r="A579" s="955" t="str">
        <f aca="false">B453</f>
        <v>Common Stock</v>
      </c>
      <c r="B579" s="346"/>
      <c r="C579" s="751"/>
      <c r="D579" s="751"/>
      <c r="E579" s="751"/>
      <c r="F579" s="751"/>
      <c r="G579" s="944" t="s">
        <v>924</v>
      </c>
      <c r="H579" s="751"/>
      <c r="I579" s="939" t="n">
        <v>0</v>
      </c>
      <c r="J579" s="939" t="n">
        <v>0</v>
      </c>
      <c r="K579" s="939" t="n">
        <v>0</v>
      </c>
      <c r="L579" s="939" t="n">
        <v>0</v>
      </c>
      <c r="M579" s="939" t="n">
        <v>0</v>
      </c>
      <c r="N579" s="939" t="n">
        <v>0</v>
      </c>
      <c r="O579" s="939" t="n">
        <v>0</v>
      </c>
      <c r="P579" s="939" t="n">
        <v>0</v>
      </c>
      <c r="Q579" s="939" t="n">
        <v>0</v>
      </c>
      <c r="R579" s="939" t="n">
        <v>0</v>
      </c>
      <c r="S579" s="939" t="n">
        <v>0</v>
      </c>
      <c r="T579" s="939" t="n">
        <v>0</v>
      </c>
      <c r="U579" s="939" t="n">
        <v>0</v>
      </c>
      <c r="V579" s="939" t="n">
        <v>0</v>
      </c>
      <c r="W579" s="939" t="n">
        <v>0</v>
      </c>
      <c r="X579" s="939" t="n">
        <v>0</v>
      </c>
      <c r="Y579" s="939" t="n">
        <v>0</v>
      </c>
      <c r="Z579" s="939" t="n">
        <v>0</v>
      </c>
      <c r="AA579" s="939" t="n">
        <v>0</v>
      </c>
      <c r="AB579" s="939" t="n">
        <v>0</v>
      </c>
      <c r="AC579" s="939" t="n">
        <v>0</v>
      </c>
      <c r="AD579" s="939" t="n">
        <v>0</v>
      </c>
      <c r="AE579" s="939" t="n">
        <v>0</v>
      </c>
      <c r="AF579" s="939" t="n">
        <v>0</v>
      </c>
      <c r="AG579" s="751"/>
    </row>
    <row r="580" customFormat="false" ht="12" hidden="false" customHeight="false" outlineLevel="0" collapsed="false">
      <c r="A580" s="955"/>
      <c r="B580" s="346"/>
      <c r="C580" s="751"/>
      <c r="D580" s="751"/>
      <c r="E580" s="751"/>
      <c r="F580" s="751"/>
      <c r="G580" s="944" t="s">
        <v>925</v>
      </c>
      <c r="H580" s="751"/>
      <c r="I580" s="939" t="n">
        <v>0</v>
      </c>
      <c r="J580" s="939" t="n">
        <v>0</v>
      </c>
      <c r="K580" s="939" t="n">
        <f aca="false">-Debt!E49</f>
        <v>-0</v>
      </c>
      <c r="L580" s="939" t="n">
        <v>0</v>
      </c>
      <c r="M580" s="939" t="n">
        <v>0</v>
      </c>
      <c r="N580" s="939" t="n">
        <v>0</v>
      </c>
      <c r="O580" s="939" t="n">
        <v>0</v>
      </c>
      <c r="P580" s="939" t="n">
        <v>0</v>
      </c>
      <c r="Q580" s="939" t="n">
        <v>0</v>
      </c>
      <c r="R580" s="939" t="n">
        <v>0</v>
      </c>
      <c r="S580" s="939" t="n">
        <v>0</v>
      </c>
      <c r="T580" s="939" t="n">
        <v>0</v>
      </c>
      <c r="U580" s="939" t="n">
        <v>0</v>
      </c>
      <c r="V580" s="939" t="n">
        <v>0</v>
      </c>
      <c r="W580" s="939" t="n">
        <v>0</v>
      </c>
      <c r="X580" s="939" t="n">
        <v>0</v>
      </c>
      <c r="Y580" s="939" t="n">
        <v>0</v>
      </c>
      <c r="Z580" s="939" t="n">
        <v>0</v>
      </c>
      <c r="AA580" s="939" t="n">
        <v>0</v>
      </c>
      <c r="AB580" s="939" t="n">
        <v>0</v>
      </c>
      <c r="AC580" s="939" t="n">
        <v>0</v>
      </c>
      <c r="AD580" s="939" t="n">
        <v>0</v>
      </c>
      <c r="AE580" s="939" t="n">
        <v>0</v>
      </c>
      <c r="AF580" s="939" t="n">
        <v>0</v>
      </c>
      <c r="AG580" s="751"/>
    </row>
    <row r="581" customFormat="false" ht="12.75" hidden="false" customHeight="false" outlineLevel="0" collapsed="false">
      <c r="A581" s="995"/>
      <c r="B581" s="919"/>
      <c r="C581" s="919"/>
      <c r="D581" s="919"/>
      <c r="E581" s="1078"/>
      <c r="F581" s="919"/>
      <c r="G581" s="919"/>
      <c r="H581" s="1078"/>
      <c r="I581" s="919"/>
      <c r="J581" s="1078"/>
      <c r="K581" s="919"/>
      <c r="L581" s="919"/>
      <c r="M581" s="919"/>
      <c r="N581" s="919"/>
      <c r="O581" s="919"/>
      <c r="P581" s="919"/>
      <c r="Q581" s="919"/>
      <c r="R581" s="919"/>
      <c r="S581" s="919"/>
      <c r="T581" s="919"/>
      <c r="U581" s="919"/>
      <c r="V581" s="919"/>
      <c r="W581" s="919"/>
      <c r="X581" s="919"/>
      <c r="Y581" s="919"/>
      <c r="Z581" s="919"/>
      <c r="AA581" s="919"/>
      <c r="AB581" s="919"/>
      <c r="AC581" s="919"/>
      <c r="AD581" s="919"/>
      <c r="AE581" s="919"/>
      <c r="AF581" s="919"/>
      <c r="AG581" s="751"/>
    </row>
    <row r="582" customFormat="false" ht="12" hidden="false" customHeight="false" outlineLevel="0" collapsed="false">
      <c r="A582" s="841" t="s">
        <v>926</v>
      </c>
      <c r="B582" s="751"/>
      <c r="C582" s="751"/>
      <c r="D582" s="947"/>
      <c r="E582" s="1079" t="n">
        <f aca="false">E$599</f>
        <v>36891</v>
      </c>
      <c r="F582" s="1079" t="n">
        <f aca="false">F$599</f>
        <v>37256</v>
      </c>
      <c r="G582" s="1079" t="n">
        <f aca="false">G$599</f>
        <v>37621</v>
      </c>
      <c r="H582" s="1080" t="n">
        <f aca="false">H$599</f>
        <v>37802</v>
      </c>
      <c r="I582" s="1081" t="n">
        <f aca="false">I$599</f>
        <v>37986</v>
      </c>
      <c r="J582" s="1082" t="n">
        <f aca="false">J$599</f>
        <v>38352</v>
      </c>
      <c r="K582" s="1082" t="n">
        <f aca="false">K$599</f>
        <v>38717</v>
      </c>
      <c r="L582" s="1082" t="n">
        <f aca="false">L$599</f>
        <v>39082</v>
      </c>
      <c r="M582" s="1082" t="n">
        <f aca="false">M$599</f>
        <v>39447</v>
      </c>
      <c r="N582" s="1082" t="n">
        <f aca="false">N$599</f>
        <v>39813</v>
      </c>
      <c r="O582" s="1082" t="n">
        <f aca="false">O$599</f>
        <v>40178</v>
      </c>
      <c r="P582" s="1082" t="n">
        <f aca="false">P$599</f>
        <v>40543</v>
      </c>
      <c r="Q582" s="1082" t="n">
        <f aca="false">Q$599</f>
        <v>40908</v>
      </c>
      <c r="R582" s="1082" t="n">
        <f aca="false">R$599</f>
        <v>41274</v>
      </c>
      <c r="S582" s="1082" t="n">
        <f aca="false">S$599</f>
        <v>41639</v>
      </c>
      <c r="T582" s="1082" t="n">
        <f aca="false">T$599</f>
        <v>42004</v>
      </c>
      <c r="U582" s="1082" t="n">
        <f aca="false">U$599</f>
        <v>42369</v>
      </c>
      <c r="V582" s="1082" t="n">
        <f aca="false">V$599</f>
        <v>42735</v>
      </c>
      <c r="W582" s="1082" t="n">
        <f aca="false">W$599</f>
        <v>43100</v>
      </c>
      <c r="X582" s="1082" t="n">
        <f aca="false">X$599</f>
        <v>43465</v>
      </c>
      <c r="Y582" s="1082" t="n">
        <f aca="false">Y$599</f>
        <v>43830</v>
      </c>
      <c r="Z582" s="1082" t="n">
        <f aca="false">Z$599</f>
        <v>44196</v>
      </c>
      <c r="AA582" s="1082" t="n">
        <f aca="false">AA$599</f>
        <v>44561</v>
      </c>
      <c r="AB582" s="1082" t="n">
        <f aca="false">AB$599</f>
        <v>44926</v>
      </c>
      <c r="AC582" s="1082" t="n">
        <f aca="false">AC$599</f>
        <v>45291</v>
      </c>
      <c r="AD582" s="1082" t="n">
        <f aca="false">AD$599</f>
        <v>45657</v>
      </c>
      <c r="AE582" s="1082" t="n">
        <f aca="false">AE$599</f>
        <v>46022</v>
      </c>
      <c r="AF582" s="1082" t="n">
        <f aca="false">AF$599</f>
        <v>46387</v>
      </c>
      <c r="AG582" s="751"/>
    </row>
    <row r="583" customFormat="false" ht="12" hidden="false" customHeight="false" outlineLevel="0" collapsed="false">
      <c r="A583" s="841" t="s">
        <v>927</v>
      </c>
      <c r="B583" s="751"/>
      <c r="C583" s="751"/>
      <c r="D583" s="751"/>
      <c r="E583" s="1016" t="s">
        <v>443</v>
      </c>
      <c r="F583" s="1016" t="s">
        <v>443</v>
      </c>
      <c r="G583" s="1016" t="s">
        <v>443</v>
      </c>
      <c r="H583" s="1083" t="s">
        <v>443</v>
      </c>
      <c r="I583" s="1084" t="s">
        <v>858</v>
      </c>
      <c r="J583" s="1085" t="s">
        <v>858</v>
      </c>
      <c r="K583" s="1085" t="s">
        <v>858</v>
      </c>
      <c r="L583" s="1085" t="s">
        <v>858</v>
      </c>
      <c r="M583" s="1085" t="s">
        <v>858</v>
      </c>
      <c r="N583" s="1085" t="s">
        <v>858</v>
      </c>
      <c r="O583" s="1085" t="s">
        <v>858</v>
      </c>
      <c r="P583" s="1085" t="s">
        <v>858</v>
      </c>
      <c r="Q583" s="1085" t="s">
        <v>858</v>
      </c>
      <c r="R583" s="1085" t="s">
        <v>858</v>
      </c>
      <c r="S583" s="1085" t="s">
        <v>858</v>
      </c>
      <c r="T583" s="1085" t="s">
        <v>858</v>
      </c>
      <c r="U583" s="1085" t="s">
        <v>858</v>
      </c>
      <c r="V583" s="1085" t="s">
        <v>858</v>
      </c>
      <c r="W583" s="1085" t="s">
        <v>858</v>
      </c>
      <c r="X583" s="1085" t="s">
        <v>858</v>
      </c>
      <c r="Y583" s="1085" t="s">
        <v>858</v>
      </c>
      <c r="Z583" s="1085" t="s">
        <v>858</v>
      </c>
      <c r="AA583" s="1085" t="s">
        <v>858</v>
      </c>
      <c r="AB583" s="1085" t="s">
        <v>858</v>
      </c>
      <c r="AC583" s="1085" t="s">
        <v>858</v>
      </c>
      <c r="AD583" s="1085" t="s">
        <v>858</v>
      </c>
      <c r="AE583" s="1085" t="s">
        <v>858</v>
      </c>
      <c r="AF583" s="1085" t="s">
        <v>858</v>
      </c>
      <c r="AG583" s="751"/>
    </row>
    <row r="584" customFormat="false" ht="12" hidden="false" customHeight="false" outlineLevel="0" collapsed="false">
      <c r="A584" s="841"/>
      <c r="B584" s="751"/>
      <c r="C584" s="751"/>
      <c r="D584" s="751"/>
      <c r="E584" s="1086"/>
      <c r="F584" s="1086"/>
      <c r="G584" s="1086"/>
      <c r="H584" s="1087"/>
      <c r="I584" s="1087"/>
      <c r="J584" s="1087"/>
      <c r="K584" s="1087"/>
      <c r="L584" s="1087"/>
      <c r="M584" s="1087"/>
      <c r="N584" s="1087"/>
      <c r="O584" s="1087"/>
      <c r="P584" s="1087"/>
      <c r="Q584" s="1087"/>
      <c r="R584" s="1087"/>
      <c r="S584" s="1087"/>
      <c r="T584" s="1087"/>
      <c r="U584" s="1087"/>
      <c r="V584" s="1087"/>
      <c r="W584" s="1087"/>
      <c r="X584" s="1087"/>
      <c r="Y584" s="1087"/>
      <c r="Z584" s="1087"/>
      <c r="AA584" s="1087"/>
      <c r="AB584" s="1087"/>
      <c r="AC584" s="1087"/>
      <c r="AD584" s="1087"/>
      <c r="AE584" s="1087"/>
      <c r="AF584" s="1087"/>
      <c r="AG584" s="751"/>
    </row>
    <row r="585" customFormat="false" ht="11.25" hidden="false" customHeight="false" outlineLevel="0" collapsed="false">
      <c r="A585" s="934" t="s">
        <v>928</v>
      </c>
      <c r="B585" s="751"/>
      <c r="C585" s="751"/>
      <c r="D585" s="751"/>
      <c r="E585" s="939" t="n">
        <v>0</v>
      </c>
      <c r="F585" s="939" t="n">
        <v>0</v>
      </c>
      <c r="G585" s="939" t="n">
        <v>0</v>
      </c>
      <c r="H585" s="939" t="n">
        <v>0</v>
      </c>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row>
    <row r="586" customFormat="false" ht="11.25" hidden="false" customHeight="false" outlineLevel="0" collapsed="false">
      <c r="A586" s="751"/>
      <c r="B586" s="751"/>
      <c r="C586" s="751"/>
      <c r="D586" s="751"/>
      <c r="E586" s="751"/>
      <c r="F586" s="751"/>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row>
    <row r="587" customFormat="false" ht="11.25" hidden="false" customHeight="false" outlineLevel="0" collapsed="false">
      <c r="A587" s="934" t="s">
        <v>784</v>
      </c>
      <c r="B587" s="751"/>
      <c r="C587" s="751"/>
      <c r="D587" s="751"/>
      <c r="E587" s="1088"/>
      <c r="F587" s="751"/>
      <c r="G587" s="751"/>
      <c r="H587" s="751"/>
      <c r="I587" s="1076" t="n">
        <v>0</v>
      </c>
      <c r="J587" s="1076" t="n">
        <v>0</v>
      </c>
      <c r="K587" s="1076" t="n">
        <v>0</v>
      </c>
      <c r="L587" s="1076" t="n">
        <v>0</v>
      </c>
      <c r="M587" s="1076" t="n">
        <v>0</v>
      </c>
      <c r="N587" s="1076" t="n">
        <v>0</v>
      </c>
      <c r="O587" s="1076" t="n">
        <v>0</v>
      </c>
      <c r="P587" s="1076" t="n">
        <v>0</v>
      </c>
      <c r="Q587" s="1076" t="n">
        <v>0</v>
      </c>
      <c r="R587" s="1076" t="n">
        <v>0</v>
      </c>
      <c r="S587" s="1076" t="n">
        <v>0</v>
      </c>
      <c r="T587" s="1076" t="n">
        <v>0</v>
      </c>
      <c r="U587" s="1076" t="n">
        <v>0</v>
      </c>
      <c r="V587" s="1076" t="n">
        <v>0</v>
      </c>
      <c r="W587" s="1076" t="n">
        <v>0</v>
      </c>
      <c r="X587" s="1076" t="n">
        <v>0</v>
      </c>
      <c r="Y587" s="1076" t="n">
        <v>0</v>
      </c>
      <c r="Z587" s="1076" t="n">
        <v>0</v>
      </c>
      <c r="AA587" s="1076" t="n">
        <v>0</v>
      </c>
      <c r="AB587" s="1076" t="n">
        <v>0</v>
      </c>
      <c r="AC587" s="1076" t="n">
        <v>0</v>
      </c>
      <c r="AD587" s="1076" t="n">
        <v>0</v>
      </c>
      <c r="AE587" s="1076" t="n">
        <v>0</v>
      </c>
      <c r="AF587" s="1076" t="n">
        <v>0</v>
      </c>
      <c r="AG587" s="751"/>
    </row>
    <row r="588" customFormat="false" ht="11.25" hidden="false" customHeight="false" outlineLevel="0" collapsed="false">
      <c r="A588" s="934" t="str">
        <f aca="false">B451</f>
        <v>Purchase Term Loan</v>
      </c>
      <c r="B588" s="751"/>
      <c r="C588" s="751"/>
      <c r="D588" s="1076"/>
      <c r="E588" s="949"/>
      <c r="F588" s="949"/>
      <c r="G588" s="949"/>
      <c r="H588" s="949"/>
      <c r="I588" s="1089" t="n">
        <f aca="false">Assumptions!$M$17</f>
        <v>0.09375</v>
      </c>
      <c r="J588" s="1089" t="n">
        <f aca="false">Assumptions!$M$17</f>
        <v>0.09375</v>
      </c>
      <c r="K588" s="1089" t="n">
        <f aca="false">Assumptions!$M$17</f>
        <v>0.09375</v>
      </c>
      <c r="L588" s="1089" t="n">
        <f aca="false">Assumptions!$M$17</f>
        <v>0.09375</v>
      </c>
      <c r="M588" s="1089" t="n">
        <f aca="false">Assumptions!$M$17</f>
        <v>0.09375</v>
      </c>
      <c r="N588" s="1089" t="n">
        <f aca="false">Assumptions!$M$17</f>
        <v>0.09375</v>
      </c>
      <c r="O588" s="1089" t="n">
        <f aca="false">Assumptions!$M$17</f>
        <v>0.09375</v>
      </c>
      <c r="P588" s="1089" t="n">
        <f aca="false">Assumptions!$M$17</f>
        <v>0.09375</v>
      </c>
      <c r="Q588" s="1089" t="n">
        <f aca="false">Assumptions!$M$17</f>
        <v>0.09375</v>
      </c>
      <c r="R588" s="1089" t="n">
        <f aca="false">Assumptions!$M$17</f>
        <v>0.09375</v>
      </c>
      <c r="S588" s="1089" t="n">
        <f aca="false">Assumptions!$M$17</f>
        <v>0.09375</v>
      </c>
      <c r="T588" s="1089" t="n">
        <f aca="false">Assumptions!$M$17</f>
        <v>0.09375</v>
      </c>
      <c r="U588" s="1089" t="n">
        <f aca="false">Assumptions!$M$17</f>
        <v>0.09375</v>
      </c>
      <c r="V588" s="1089" t="n">
        <f aca="false">Assumptions!$M$17</f>
        <v>0.09375</v>
      </c>
      <c r="W588" s="1089" t="n">
        <f aca="false">Assumptions!$M$17</f>
        <v>0.09375</v>
      </c>
      <c r="X588" s="1089" t="n">
        <f aca="false">Assumptions!$M$17</f>
        <v>0.09375</v>
      </c>
      <c r="Y588" s="1089" t="n">
        <f aca="false">Assumptions!$M$17</f>
        <v>0.09375</v>
      </c>
      <c r="Z588" s="1089" t="n">
        <f aca="false">Assumptions!$M$17</f>
        <v>0.09375</v>
      </c>
      <c r="AA588" s="1089" t="n">
        <f aca="false">Assumptions!$M$17</f>
        <v>0.09375</v>
      </c>
      <c r="AB588" s="1089" t="n">
        <f aca="false">Assumptions!$M$17</f>
        <v>0.09375</v>
      </c>
      <c r="AC588" s="1089" t="n">
        <f aca="false">Assumptions!$M$17</f>
        <v>0.09375</v>
      </c>
      <c r="AD588" s="1089" t="n">
        <f aca="false">Assumptions!$M$17</f>
        <v>0.09375</v>
      </c>
      <c r="AE588" s="1089" t="n">
        <f aca="false">Assumptions!$M$17</f>
        <v>0.09375</v>
      </c>
      <c r="AF588" s="1089" t="n">
        <f aca="false">Assumptions!$M$17</f>
        <v>0.09375</v>
      </c>
      <c r="AG588" s="751"/>
    </row>
    <row r="589" customFormat="false" ht="11.25" hidden="false" customHeight="false" outlineLevel="0" collapsed="false">
      <c r="A589" s="934" t="str">
        <f aca="false">B452</f>
        <v>Scrubber Term Loan</v>
      </c>
      <c r="B589" s="751"/>
      <c r="C589" s="751"/>
      <c r="D589" s="1076"/>
      <c r="E589" s="949"/>
      <c r="F589" s="949"/>
      <c r="G589" s="949"/>
      <c r="H589" s="949"/>
      <c r="I589" s="1089" t="n">
        <f aca="false">+Debt!$N$35</f>
        <v>0.075</v>
      </c>
      <c r="J589" s="1089" t="n">
        <f aca="false">+Debt!$N$35</f>
        <v>0.075</v>
      </c>
      <c r="K589" s="1089" t="n">
        <f aca="false">+Debt!$N$35</f>
        <v>0.075</v>
      </c>
      <c r="L589" s="1089" t="n">
        <f aca="false">+Debt!$N$35</f>
        <v>0.075</v>
      </c>
      <c r="M589" s="1089" t="n">
        <f aca="false">+Debt!$N$35</f>
        <v>0.075</v>
      </c>
      <c r="N589" s="1089" t="n">
        <f aca="false">+Debt!$N$35</f>
        <v>0.075</v>
      </c>
      <c r="O589" s="1089" t="n">
        <f aca="false">+Debt!$N$35</f>
        <v>0.075</v>
      </c>
      <c r="P589" s="1089" t="n">
        <f aca="false">+Debt!$N$35</f>
        <v>0.075</v>
      </c>
      <c r="Q589" s="1089" t="n">
        <f aca="false">+Debt!$N$35</f>
        <v>0.075</v>
      </c>
      <c r="R589" s="1089" t="n">
        <f aca="false">+Debt!$N$35</f>
        <v>0.075</v>
      </c>
      <c r="S589" s="1089" t="n">
        <f aca="false">+Debt!$N$35</f>
        <v>0.075</v>
      </c>
      <c r="T589" s="1089" t="n">
        <f aca="false">+Debt!$N$35</f>
        <v>0.075</v>
      </c>
      <c r="U589" s="1089" t="n">
        <f aca="false">+Debt!$N$35</f>
        <v>0.075</v>
      </c>
      <c r="V589" s="1089" t="n">
        <f aca="false">+Debt!$N$35</f>
        <v>0.075</v>
      </c>
      <c r="W589" s="1089" t="n">
        <f aca="false">+Debt!$N$35</f>
        <v>0.075</v>
      </c>
      <c r="X589" s="1089" t="n">
        <f aca="false">+Debt!$N$35</f>
        <v>0.075</v>
      </c>
      <c r="Y589" s="1089" t="n">
        <f aca="false">+Debt!$N$35</f>
        <v>0.075</v>
      </c>
      <c r="Z589" s="1089" t="n">
        <f aca="false">+Debt!$N$35</f>
        <v>0.075</v>
      </c>
      <c r="AA589" s="1089" t="n">
        <f aca="false">+Debt!$N$35</f>
        <v>0.075</v>
      </c>
      <c r="AB589" s="1089" t="n">
        <f aca="false">+Debt!$N$35</f>
        <v>0.075</v>
      </c>
      <c r="AC589" s="1089" t="n">
        <f aca="false">+Debt!$N$35</f>
        <v>0.075</v>
      </c>
      <c r="AD589" s="1089" t="n">
        <f aca="false">+Debt!$N$35</f>
        <v>0.075</v>
      </c>
      <c r="AE589" s="1089" t="n">
        <f aca="false">+Debt!$N$35</f>
        <v>0.075</v>
      </c>
      <c r="AF589" s="1089" t="n">
        <f aca="false">+Debt!$N$35</f>
        <v>0.075</v>
      </c>
      <c r="AG589" s="751"/>
    </row>
    <row r="590" customFormat="false" ht="11.25" hidden="false" customHeight="false" outlineLevel="0" collapsed="false">
      <c r="A590" s="934" t="s">
        <v>929</v>
      </c>
      <c r="B590" s="751"/>
      <c r="C590" s="751"/>
      <c r="D590" s="751"/>
      <c r="E590" s="949"/>
      <c r="F590" s="949"/>
      <c r="G590" s="949"/>
      <c r="H590" s="949"/>
      <c r="I590" s="1076" t="n">
        <v>0</v>
      </c>
      <c r="J590" s="1076" t="n">
        <f aca="false">I590</f>
        <v>0</v>
      </c>
      <c r="K590" s="1076" t="n">
        <f aca="false">J590</f>
        <v>0</v>
      </c>
      <c r="L590" s="1076" t="n">
        <f aca="false">K590</f>
        <v>0</v>
      </c>
      <c r="M590" s="1076" t="n">
        <f aca="false">L590</f>
        <v>0</v>
      </c>
      <c r="N590" s="1076" t="n">
        <f aca="false">M590</f>
        <v>0</v>
      </c>
      <c r="O590" s="1076" t="n">
        <f aca="false">N590</f>
        <v>0</v>
      </c>
      <c r="P590" s="1076" t="n">
        <f aca="false">O590</f>
        <v>0</v>
      </c>
      <c r="Q590" s="1076" t="n">
        <f aca="false">P590</f>
        <v>0</v>
      </c>
      <c r="R590" s="1076" t="n">
        <f aca="false">Q590</f>
        <v>0</v>
      </c>
      <c r="S590" s="1076" t="n">
        <f aca="false">R590</f>
        <v>0</v>
      </c>
      <c r="T590" s="1076" t="n">
        <f aca="false">S590</f>
        <v>0</v>
      </c>
      <c r="U590" s="1076" t="n">
        <f aca="false">T590</f>
        <v>0</v>
      </c>
      <c r="V590" s="1076" t="n">
        <f aca="false">U590</f>
        <v>0</v>
      </c>
      <c r="W590" s="1076" t="n">
        <f aca="false">V590</f>
        <v>0</v>
      </c>
      <c r="X590" s="1076" t="n">
        <f aca="false">W590</f>
        <v>0</v>
      </c>
      <c r="Y590" s="1076" t="n">
        <f aca="false">X590</f>
        <v>0</v>
      </c>
      <c r="Z590" s="1076" t="n">
        <f aca="false">Y590</f>
        <v>0</v>
      </c>
      <c r="AA590" s="1076" t="n">
        <f aca="false">Z590</f>
        <v>0</v>
      </c>
      <c r="AB590" s="1076" t="n">
        <f aca="false">AA590</f>
        <v>0</v>
      </c>
      <c r="AC590" s="1076" t="n">
        <f aca="false">AB590</f>
        <v>0</v>
      </c>
      <c r="AD590" s="1076" t="n">
        <f aca="false">AC590</f>
        <v>0</v>
      </c>
      <c r="AE590" s="1076" t="n">
        <f aca="false">AD590</f>
        <v>0</v>
      </c>
      <c r="AF590" s="1076" t="n">
        <f aca="false">AE590</f>
        <v>0</v>
      </c>
      <c r="AG590" s="751"/>
    </row>
    <row r="591" customFormat="false" ht="11.25" hidden="false" customHeight="false" outlineLevel="0" collapsed="false">
      <c r="A591" s="934"/>
      <c r="B591" s="751"/>
      <c r="C591" s="751"/>
      <c r="D591" s="751"/>
      <c r="E591" s="751"/>
      <c r="F591" s="751"/>
      <c r="G591" s="751"/>
      <c r="H591" s="751"/>
      <c r="I591" s="751"/>
      <c r="J591" s="751"/>
      <c r="K591" s="751"/>
      <c r="L591" s="751"/>
      <c r="M591" s="751"/>
      <c r="N591" s="751"/>
      <c r="O591" s="751"/>
      <c r="P591" s="751"/>
      <c r="Q591" s="751"/>
      <c r="R591" s="751"/>
      <c r="S591" s="751"/>
      <c r="T591" s="751"/>
      <c r="U591" s="751"/>
      <c r="V591" s="751"/>
      <c r="W591" s="751"/>
      <c r="X591" s="751"/>
      <c r="Y591" s="751"/>
      <c r="Z591" s="751"/>
      <c r="AA591" s="751"/>
      <c r="AB591" s="751"/>
      <c r="AC591" s="751"/>
      <c r="AD591" s="751"/>
      <c r="AE591" s="751"/>
      <c r="AF591" s="751"/>
      <c r="AG591" s="751"/>
    </row>
    <row r="592" customFormat="false" ht="11.25" hidden="false" customHeight="false" outlineLevel="0" collapsed="false">
      <c r="A592" s="1090" t="s">
        <v>781</v>
      </c>
      <c r="B592" s="751"/>
      <c r="C592" s="751"/>
      <c r="D592" s="751"/>
      <c r="E592" s="751"/>
      <c r="F592" s="751"/>
      <c r="G592" s="751"/>
      <c r="H592" s="751"/>
      <c r="I592" s="751"/>
      <c r="J592" s="751"/>
      <c r="K592" s="751"/>
      <c r="L592" s="751"/>
      <c r="M592" s="751"/>
      <c r="N592" s="751"/>
      <c r="O592" s="751"/>
      <c r="P592" s="751"/>
      <c r="Q592" s="751"/>
      <c r="R592" s="751"/>
      <c r="S592" s="751"/>
      <c r="T592" s="751"/>
      <c r="U592" s="751"/>
      <c r="V592" s="751"/>
      <c r="W592" s="751"/>
      <c r="X592" s="751"/>
      <c r="Y592" s="751"/>
      <c r="Z592" s="751"/>
      <c r="AA592" s="751"/>
      <c r="AB592" s="751"/>
      <c r="AC592" s="751"/>
      <c r="AD592" s="751"/>
      <c r="AE592" s="751"/>
      <c r="AF592" s="751"/>
      <c r="AG592" s="751"/>
    </row>
    <row r="593" customFormat="false" ht="11.25" hidden="false" customHeight="false" outlineLevel="0" collapsed="false">
      <c r="A593" s="934" t="s">
        <v>930</v>
      </c>
      <c r="B593" s="751"/>
      <c r="C593" s="751"/>
      <c r="D593" s="751"/>
      <c r="E593" s="1091" t="s">
        <v>917</v>
      </c>
      <c r="F593" s="751"/>
      <c r="G593" s="751"/>
      <c r="H593" s="751"/>
      <c r="I593" s="751"/>
      <c r="J593" s="751"/>
      <c r="K593" s="751"/>
      <c r="L593" s="751"/>
      <c r="M593" s="751"/>
      <c r="N593" s="751"/>
      <c r="O593" s="751"/>
      <c r="P593" s="751"/>
      <c r="Q593" s="751"/>
      <c r="R593" s="751"/>
      <c r="S593" s="751"/>
      <c r="T593" s="751"/>
      <c r="U593" s="751"/>
      <c r="V593" s="751"/>
      <c r="W593" s="751"/>
      <c r="X593" s="751"/>
      <c r="Y593" s="751"/>
      <c r="Z593" s="751"/>
      <c r="AA593" s="751"/>
      <c r="AB593" s="751"/>
      <c r="AC593" s="751"/>
      <c r="AD593" s="751"/>
      <c r="AE593" s="751"/>
      <c r="AF593" s="751"/>
      <c r="AG593" s="751"/>
    </row>
    <row r="594" customFormat="false" ht="11.25" hidden="false" customHeight="false" outlineLevel="0" collapsed="false">
      <c r="A594" s="934" t="s">
        <v>931</v>
      </c>
      <c r="B594" s="751"/>
      <c r="C594" s="751"/>
      <c r="D594" s="1076"/>
      <c r="E594" s="949" t="n">
        <v>0</v>
      </c>
      <c r="F594" s="949" t="n">
        <v>0</v>
      </c>
      <c r="G594" s="949" t="n">
        <v>0</v>
      </c>
      <c r="H594" s="949" t="n">
        <v>0</v>
      </c>
      <c r="I594" s="1076" t="n">
        <v>0.1</v>
      </c>
      <c r="J594" s="1076" t="n">
        <f aca="false">I594</f>
        <v>0.1</v>
      </c>
      <c r="K594" s="1076" t="n">
        <f aca="false">J594</f>
        <v>0.1</v>
      </c>
      <c r="L594" s="1076" t="n">
        <f aca="false">K594</f>
        <v>0.1</v>
      </c>
      <c r="M594" s="1076" t="n">
        <f aca="false">L594</f>
        <v>0.1</v>
      </c>
      <c r="N594" s="1076" t="n">
        <f aca="false">M594</f>
        <v>0.1</v>
      </c>
      <c r="O594" s="1076" t="n">
        <f aca="false">N594</f>
        <v>0.1</v>
      </c>
      <c r="P594" s="1076" t="n">
        <f aca="false">O594</f>
        <v>0.1</v>
      </c>
      <c r="Q594" s="1076" t="n">
        <f aca="false">P594</f>
        <v>0.1</v>
      </c>
      <c r="R594" s="1076" t="n">
        <f aca="false">Q594</f>
        <v>0.1</v>
      </c>
      <c r="S594" s="1076" t="n">
        <f aca="false">R594</f>
        <v>0.1</v>
      </c>
      <c r="T594" s="1076" t="n">
        <f aca="false">S594</f>
        <v>0.1</v>
      </c>
      <c r="U594" s="1076" t="n">
        <f aca="false">T594</f>
        <v>0.1</v>
      </c>
      <c r="V594" s="1076" t="n">
        <f aca="false">U594</f>
        <v>0.1</v>
      </c>
      <c r="W594" s="1076" t="n">
        <f aca="false">V594</f>
        <v>0.1</v>
      </c>
      <c r="X594" s="1076" t="n">
        <f aca="false">W594</f>
        <v>0.1</v>
      </c>
      <c r="Y594" s="1076" t="n">
        <f aca="false">X594</f>
        <v>0.1</v>
      </c>
      <c r="Z594" s="1076" t="n">
        <f aca="false">Y594</f>
        <v>0.1</v>
      </c>
      <c r="AA594" s="1076" t="n">
        <f aca="false">Z594</f>
        <v>0.1</v>
      </c>
      <c r="AB594" s="1076" t="n">
        <f aca="false">AA594</f>
        <v>0.1</v>
      </c>
      <c r="AC594" s="1076" t="n">
        <f aca="false">AB594</f>
        <v>0.1</v>
      </c>
      <c r="AD594" s="1076" t="n">
        <f aca="false">AC594</f>
        <v>0.1</v>
      </c>
      <c r="AE594" s="1076" t="n">
        <f aca="false">AD594</f>
        <v>0.1</v>
      </c>
      <c r="AF594" s="1076" t="n">
        <f aca="false">AE594</f>
        <v>0.1</v>
      </c>
      <c r="AG594" s="751"/>
    </row>
    <row r="595" customFormat="false" ht="11.25" hidden="false" customHeight="false" outlineLevel="0" collapsed="false">
      <c r="A595" s="934"/>
      <c r="B595" s="751"/>
      <c r="C595" s="751"/>
      <c r="D595" s="751"/>
      <c r="E595" s="950"/>
      <c r="F595" s="950"/>
      <c r="G595" s="950"/>
      <c r="H595" s="950"/>
      <c r="I595" s="751"/>
      <c r="J595" s="751"/>
      <c r="K595" s="751"/>
      <c r="L595" s="751"/>
      <c r="M595" s="751"/>
      <c r="N595" s="751"/>
      <c r="O595" s="751"/>
      <c r="P595" s="751"/>
      <c r="Q595" s="751"/>
      <c r="R595" s="751"/>
      <c r="S595" s="751"/>
      <c r="T595" s="751"/>
      <c r="U595" s="751"/>
      <c r="V595" s="751"/>
      <c r="W595" s="751"/>
      <c r="X595" s="751"/>
      <c r="Y595" s="751"/>
      <c r="Z595" s="751"/>
      <c r="AA595" s="751"/>
      <c r="AB595" s="751"/>
      <c r="AC595" s="751"/>
      <c r="AD595" s="751"/>
      <c r="AE595" s="751"/>
      <c r="AF595" s="751"/>
      <c r="AG595" s="751"/>
    </row>
    <row r="596" customFormat="false" ht="12" hidden="false" customHeight="false" outlineLevel="0" collapsed="false">
      <c r="A596" s="934"/>
      <c r="B596" s="751"/>
      <c r="C596" s="751"/>
      <c r="D596" s="751"/>
      <c r="E596" s="950"/>
      <c r="F596" s="950"/>
      <c r="G596" s="950"/>
      <c r="H596" s="950"/>
      <c r="I596" s="751"/>
      <c r="J596" s="751"/>
      <c r="K596" s="751"/>
      <c r="L596" s="751"/>
      <c r="M596" s="751"/>
      <c r="N596" s="751"/>
      <c r="O596" s="751"/>
      <c r="P596" s="751"/>
      <c r="Q596" s="751"/>
      <c r="R596" s="751"/>
      <c r="S596" s="751"/>
      <c r="T596" s="751"/>
      <c r="U596" s="751"/>
      <c r="V596" s="751"/>
      <c r="W596" s="751"/>
      <c r="X596" s="751"/>
      <c r="Y596" s="751"/>
      <c r="Z596" s="751"/>
      <c r="AA596" s="751"/>
      <c r="AB596" s="751"/>
      <c r="AC596" s="751"/>
      <c r="AD596" s="751"/>
      <c r="AE596" s="751"/>
      <c r="AF596" s="751"/>
      <c r="AG596" s="751"/>
    </row>
    <row r="597" customFormat="false" ht="12.75" hidden="false" customHeight="false" outlineLevel="0" collapsed="false">
      <c r="A597" s="995"/>
      <c r="B597" s="919"/>
      <c r="C597" s="919"/>
      <c r="D597" s="919"/>
      <c r="E597" s="1078"/>
      <c r="F597" s="1078"/>
      <c r="G597" s="1078"/>
      <c r="H597" s="1078"/>
      <c r="I597" s="919"/>
      <c r="J597" s="919"/>
      <c r="K597" s="919"/>
      <c r="L597" s="919"/>
      <c r="M597" s="919"/>
      <c r="N597" s="919"/>
      <c r="O597" s="919"/>
      <c r="P597" s="919"/>
      <c r="Q597" s="919"/>
      <c r="R597" s="919"/>
      <c r="S597" s="919"/>
      <c r="T597" s="919"/>
      <c r="U597" s="919"/>
      <c r="V597" s="919"/>
      <c r="W597" s="919"/>
      <c r="X597" s="919"/>
      <c r="Y597" s="919"/>
      <c r="Z597" s="919"/>
      <c r="AA597" s="919"/>
      <c r="AB597" s="919"/>
      <c r="AC597" s="919"/>
      <c r="AD597" s="919"/>
      <c r="AE597" s="919"/>
      <c r="AF597" s="919"/>
      <c r="AG597" s="751"/>
    </row>
    <row r="598" customFormat="false" ht="12.75" hidden="false" customHeight="false" outlineLevel="0" collapsed="false">
      <c r="A598" s="841" t="s">
        <v>932</v>
      </c>
      <c r="B598" s="751"/>
      <c r="C598" s="751"/>
      <c r="D598" s="751"/>
      <c r="E598" s="841"/>
      <c r="F598" s="751"/>
      <c r="G598" s="751"/>
      <c r="H598" s="1025" t="str">
        <f aca="false">TEXT(C440,"0")&amp;" M"</f>
        <v>6 M</v>
      </c>
      <c r="I598" s="1092" t="str">
        <f aca="false">TEXT(C443,"0")&amp;" M"</f>
        <v>6 M</v>
      </c>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row>
    <row r="599" customFormat="false" ht="12.75" hidden="false" customHeight="false" outlineLevel="0" collapsed="false">
      <c r="A599" s="944" t="s">
        <v>933</v>
      </c>
      <c r="B599" s="1093" t="n">
        <f aca="false">E445</f>
        <v>37986</v>
      </c>
      <c r="C599" s="346"/>
      <c r="D599" s="751"/>
      <c r="E599" s="1023" t="n">
        <f aca="false">DATE(YEAR(F599)-1,12,31)</f>
        <v>36891</v>
      </c>
      <c r="F599" s="1023" t="n">
        <f aca="false">DATE(YEAR(G599)-1,12,31)</f>
        <v>37256</v>
      </c>
      <c r="G599" s="1023" t="n">
        <f aca="false">DATE(YEAR(H599)-1,12,31)</f>
        <v>37621</v>
      </c>
      <c r="H599" s="1039" t="n">
        <f aca="false">C437</f>
        <v>37802</v>
      </c>
      <c r="I599" s="1094" t="n">
        <f aca="false">E445</f>
        <v>37986</v>
      </c>
      <c r="J599" s="1095" t="n">
        <f aca="false">DATE(YEAR(I599)+1,12,31)</f>
        <v>38352</v>
      </c>
      <c r="K599" s="1095" t="n">
        <f aca="false">DATE(YEAR(J599)+1,12,31)</f>
        <v>38717</v>
      </c>
      <c r="L599" s="1095" t="n">
        <f aca="false">DATE(YEAR(K599)+1,12,31)</f>
        <v>39082</v>
      </c>
      <c r="M599" s="1095" t="n">
        <f aca="false">DATE(YEAR(L599)+1,12,31)</f>
        <v>39447</v>
      </c>
      <c r="N599" s="1095" t="n">
        <f aca="false">DATE(YEAR(M599)+1,12,31)</f>
        <v>39813</v>
      </c>
      <c r="O599" s="1095" t="n">
        <f aca="false">DATE(YEAR(N599)+1,12,31)</f>
        <v>40178</v>
      </c>
      <c r="P599" s="1095" t="n">
        <f aca="false">DATE(YEAR(O599)+1,12,31)</f>
        <v>40543</v>
      </c>
      <c r="Q599" s="1095" t="n">
        <f aca="false">DATE(YEAR(P599)+1,12,31)</f>
        <v>40908</v>
      </c>
      <c r="R599" s="1095" t="n">
        <f aca="false">DATE(YEAR(Q599)+1,12,31)</f>
        <v>41274</v>
      </c>
      <c r="S599" s="1095" t="n">
        <f aca="false">DATE(YEAR(R599)+1,12,31)</f>
        <v>41639</v>
      </c>
      <c r="T599" s="1095" t="n">
        <f aca="false">DATE(YEAR(S599)+1,12,31)</f>
        <v>42004</v>
      </c>
      <c r="U599" s="1095" t="n">
        <f aca="false">DATE(YEAR(T599)+1,12,31)</f>
        <v>42369</v>
      </c>
      <c r="V599" s="1095" t="n">
        <f aca="false">DATE(YEAR(U599)+1,12,31)</f>
        <v>42735</v>
      </c>
      <c r="W599" s="1095" t="n">
        <f aca="false">DATE(YEAR(V599)+1,12,31)</f>
        <v>43100</v>
      </c>
      <c r="X599" s="1095" t="n">
        <f aca="false">DATE(YEAR(W599)+1,12,31)</f>
        <v>43465</v>
      </c>
      <c r="Y599" s="1095" t="n">
        <f aca="false">DATE(YEAR(X599)+1,12,31)</f>
        <v>43830</v>
      </c>
      <c r="Z599" s="1095" t="n">
        <f aca="false">DATE(YEAR(Y599)+1,12,31)</f>
        <v>44196</v>
      </c>
      <c r="AA599" s="1095" t="n">
        <f aca="false">DATE(YEAR(Z599)+1,12,31)</f>
        <v>44561</v>
      </c>
      <c r="AB599" s="1095" t="n">
        <f aca="false">DATE(YEAR(AA599)+1,12,31)</f>
        <v>44926</v>
      </c>
      <c r="AC599" s="1095" t="n">
        <f aca="false">DATE(YEAR(AB599)+1,12,31)</f>
        <v>45291</v>
      </c>
      <c r="AD599" s="1095" t="n">
        <f aca="false">DATE(YEAR(AC599)+1,12,31)</f>
        <v>45657</v>
      </c>
      <c r="AE599" s="1095" t="n">
        <f aca="false">DATE(YEAR(AD599)+1,12,31)</f>
        <v>46022</v>
      </c>
      <c r="AF599" s="1095" t="n">
        <f aca="false">DATE(YEAR(AE599)+1,12,31)</f>
        <v>46387</v>
      </c>
      <c r="AG599" s="751"/>
    </row>
    <row r="600" customFormat="false" ht="12" hidden="false" customHeight="false" outlineLevel="0" collapsed="false">
      <c r="A600" s="841" t="s">
        <v>867</v>
      </c>
      <c r="B600" s="751"/>
      <c r="C600" s="751"/>
      <c r="D600" s="751"/>
      <c r="E600" s="751"/>
      <c r="F600" s="751"/>
      <c r="G600" s="949"/>
      <c r="H600" s="751"/>
      <c r="I600" s="751"/>
      <c r="J600" s="751"/>
      <c r="K600" s="751"/>
      <c r="L600" s="751"/>
      <c r="M600" s="751"/>
      <c r="N600" s="751"/>
      <c r="O600" s="751"/>
      <c r="P600" s="751"/>
      <c r="Q600" s="751"/>
      <c r="R600" s="751"/>
      <c r="S600" s="751"/>
      <c r="T600" s="751"/>
      <c r="U600" s="751"/>
      <c r="V600" s="751"/>
      <c r="W600" s="751"/>
      <c r="X600" s="751"/>
      <c r="Y600" s="751"/>
      <c r="Z600" s="751"/>
      <c r="AA600" s="751"/>
      <c r="AB600" s="751"/>
      <c r="AC600" s="751"/>
      <c r="AD600" s="751"/>
      <c r="AE600" s="751"/>
      <c r="AF600" s="751"/>
      <c r="AG600" s="751"/>
    </row>
    <row r="601" customFormat="false" ht="11.25" hidden="false" customHeight="false" outlineLevel="0" collapsed="false">
      <c r="A601" s="934" t="s">
        <v>934</v>
      </c>
      <c r="B601" s="751"/>
      <c r="C601" s="751"/>
      <c r="D601" s="949"/>
      <c r="E601" s="949"/>
      <c r="F601" s="949"/>
      <c r="G601" s="949"/>
      <c r="H601" s="949"/>
      <c r="I601" s="950" t="e">
        <f aca="false">I479</f>
        <v>#VALUE!</v>
      </c>
      <c r="J601" s="950" t="e">
        <f aca="false">J479</f>
        <v>#VALUE!</v>
      </c>
      <c r="K601" s="950" t="e">
        <f aca="false">K479</f>
        <v>#VALUE!</v>
      </c>
      <c r="L601" s="950" t="e">
        <f aca="false">L479</f>
        <v>#VALUE!</v>
      </c>
      <c r="M601" s="950" t="e">
        <f aca="false">M479</f>
        <v>#VALUE!</v>
      </c>
      <c r="N601" s="950" t="e">
        <f aca="false">N479</f>
        <v>#VALUE!</v>
      </c>
      <c r="O601" s="950" t="e">
        <f aca="false">O479</f>
        <v>#VALUE!</v>
      </c>
      <c r="P601" s="950" t="e">
        <f aca="false">P479</f>
        <v>#VALUE!</v>
      </c>
      <c r="Q601" s="950" t="e">
        <f aca="false">Q479</f>
        <v>#VALUE!</v>
      </c>
      <c r="R601" s="950" t="e">
        <f aca="false">R479</f>
        <v>#VALUE!</v>
      </c>
      <c r="S601" s="950" t="e">
        <f aca="false">S479</f>
        <v>#VALUE!</v>
      </c>
      <c r="T601" s="950" t="n">
        <f aca="false">T479</f>
        <v>0</v>
      </c>
      <c r="U601" s="950" t="n">
        <f aca="false">U479</f>
        <v>0</v>
      </c>
      <c r="V601" s="950" t="n">
        <f aca="false">V479</f>
        <v>0</v>
      </c>
      <c r="W601" s="950" t="n">
        <f aca="false">W479</f>
        <v>0</v>
      </c>
      <c r="X601" s="950" t="n">
        <f aca="false">X479</f>
        <v>0</v>
      </c>
      <c r="Y601" s="950" t="n">
        <f aca="false">Y479</f>
        <v>0</v>
      </c>
      <c r="Z601" s="950" t="n">
        <f aca="false">Z479</f>
        <v>0</v>
      </c>
      <c r="AA601" s="950" t="n">
        <f aca="false">AA479</f>
        <v>0</v>
      </c>
      <c r="AB601" s="950" t="n">
        <f aca="false">AB479</f>
        <v>0</v>
      </c>
      <c r="AC601" s="950" t="n">
        <f aca="false">AC479</f>
        <v>0</v>
      </c>
      <c r="AD601" s="950" t="n">
        <f aca="false">AD479</f>
        <v>0</v>
      </c>
      <c r="AE601" s="950" t="n">
        <f aca="false">AE479</f>
        <v>0</v>
      </c>
      <c r="AF601" s="950" t="n">
        <f aca="false">AF479</f>
        <v>0</v>
      </c>
      <c r="AG601" s="751"/>
    </row>
    <row r="602" customFormat="false" ht="11.25" hidden="false" customHeight="false" outlineLevel="0" collapsed="false">
      <c r="A602" s="934" t="s">
        <v>935</v>
      </c>
      <c r="B602" s="751"/>
      <c r="C602" s="751"/>
      <c r="D602" s="1074"/>
      <c r="E602" s="1002" t="n">
        <f aca="false">E735</f>
        <v>0</v>
      </c>
      <c r="F602" s="1002" t="n">
        <f aca="false">F735</f>
        <v>0</v>
      </c>
      <c r="G602" s="1002" t="n">
        <f aca="false">G735</f>
        <v>0</v>
      </c>
      <c r="H602" s="1002" t="n">
        <f aca="false">H735</f>
        <v>0</v>
      </c>
      <c r="I602" s="1002" t="n">
        <f aca="false">I735</f>
        <v>3468.80414490107</v>
      </c>
      <c r="J602" s="1002" t="n">
        <f aca="false">J735</f>
        <v>6937.60828980214</v>
      </c>
      <c r="K602" s="1002" t="n">
        <f aca="false">K735</f>
        <v>6937.60828980214</v>
      </c>
      <c r="L602" s="1002" t="n">
        <f aca="false">L735</f>
        <v>6937.60828980214</v>
      </c>
      <c r="M602" s="1002" t="n">
        <f aca="false">M735</f>
        <v>6937.60828980214</v>
      </c>
      <c r="N602" s="1002" t="n">
        <f aca="false">N735</f>
        <v>6937.60828980214</v>
      </c>
      <c r="O602" s="1002" t="n">
        <f aca="false">O735</f>
        <v>6937.60828980214</v>
      </c>
      <c r="P602" s="1002" t="n">
        <f aca="false">P735</f>
        <v>3468.80414490107</v>
      </c>
      <c r="Q602" s="1002" t="n">
        <f aca="false">Q735</f>
        <v>0</v>
      </c>
      <c r="R602" s="1002" t="n">
        <f aca="false">R735</f>
        <v>0</v>
      </c>
      <c r="S602" s="1002" t="n">
        <f aca="false">S735</f>
        <v>0</v>
      </c>
      <c r="T602" s="1002" t="n">
        <f aca="false">T735</f>
        <v>0</v>
      </c>
      <c r="U602" s="1002" t="n">
        <f aca="false">U735</f>
        <v>0</v>
      </c>
      <c r="V602" s="1002" t="n">
        <f aca="false">V735</f>
        <v>0</v>
      </c>
      <c r="W602" s="1002" t="n">
        <f aca="false">W735</f>
        <v>0</v>
      </c>
      <c r="X602" s="1002" t="n">
        <f aca="false">X735</f>
        <v>0</v>
      </c>
      <c r="Y602" s="1002" t="n">
        <f aca="false">Y735</f>
        <v>0</v>
      </c>
      <c r="Z602" s="1002" t="n">
        <f aca="false">Z735</f>
        <v>0</v>
      </c>
      <c r="AA602" s="1002" t="n">
        <f aca="false">AA735</f>
        <v>0</v>
      </c>
      <c r="AB602" s="1002" t="n">
        <f aca="false">AB735</f>
        <v>0</v>
      </c>
      <c r="AC602" s="1002" t="n">
        <f aca="false">AC735</f>
        <v>0</v>
      </c>
      <c r="AD602" s="1002" t="n">
        <f aca="false">AD735</f>
        <v>0</v>
      </c>
      <c r="AE602" s="1002" t="n">
        <f aca="false">AE735</f>
        <v>0</v>
      </c>
      <c r="AF602" s="1002" t="n">
        <f aca="false">AF735</f>
        <v>0</v>
      </c>
      <c r="AG602" s="751"/>
    </row>
    <row r="603" customFormat="false" ht="12" hidden="false" customHeight="false" outlineLevel="0" collapsed="false">
      <c r="A603" s="934" t="s">
        <v>936</v>
      </c>
      <c r="B603" s="751"/>
      <c r="C603" s="751"/>
      <c r="D603" s="949"/>
      <c r="E603" s="1096" t="n">
        <f aca="false">SUM(E601:E602)</f>
        <v>0</v>
      </c>
      <c r="F603" s="1096" t="n">
        <f aca="false">SUM(F601:F602)</f>
        <v>0</v>
      </c>
      <c r="G603" s="1096" t="n">
        <f aca="false">SUM(G601:G602)</f>
        <v>0</v>
      </c>
      <c r="H603" s="1096" t="n">
        <f aca="false">SUM(H601:H602)</f>
        <v>0</v>
      </c>
      <c r="I603" s="1096" t="e">
        <f aca="false">SUM(I601:I602)</f>
        <v>#VALUE!</v>
      </c>
      <c r="J603" s="1096" t="e">
        <f aca="false">SUM(J601:J602)</f>
        <v>#VALUE!</v>
      </c>
      <c r="K603" s="1096" t="e">
        <f aca="false">SUM(K601:K602)</f>
        <v>#VALUE!</v>
      </c>
      <c r="L603" s="1096" t="e">
        <f aca="false">SUM(L601:L602)</f>
        <v>#VALUE!</v>
      </c>
      <c r="M603" s="1096" t="e">
        <f aca="false">SUM(M601:M602)</f>
        <v>#VALUE!</v>
      </c>
      <c r="N603" s="1096" t="e">
        <f aca="false">SUM(N601:N602)</f>
        <v>#VALUE!</v>
      </c>
      <c r="O603" s="1096" t="e">
        <f aca="false">SUM(O601:O602)</f>
        <v>#VALUE!</v>
      </c>
      <c r="P603" s="1096" t="e">
        <f aca="false">SUM(P601:P602)</f>
        <v>#VALUE!</v>
      </c>
      <c r="Q603" s="1096" t="e">
        <f aca="false">SUM(Q601:Q602)</f>
        <v>#VALUE!</v>
      </c>
      <c r="R603" s="1096" t="e">
        <f aca="false">SUM(R601:R602)</f>
        <v>#VALUE!</v>
      </c>
      <c r="S603" s="1096" t="e">
        <f aca="false">SUM(S601:S602)</f>
        <v>#VALUE!</v>
      </c>
      <c r="T603" s="1096" t="n">
        <f aca="false">SUM(T601:T602)</f>
        <v>0</v>
      </c>
      <c r="U603" s="1096" t="n">
        <f aca="false">SUM(U601:U602)</f>
        <v>0</v>
      </c>
      <c r="V603" s="1096" t="n">
        <f aca="false">SUM(V601:V602)</f>
        <v>0</v>
      </c>
      <c r="W603" s="1096" t="n">
        <f aca="false">SUM(W601:W602)</f>
        <v>0</v>
      </c>
      <c r="X603" s="1096" t="n">
        <f aca="false">SUM(X601:X602)</f>
        <v>0</v>
      </c>
      <c r="Y603" s="1096" t="n">
        <f aca="false">SUM(Y601:Y602)</f>
        <v>0</v>
      </c>
      <c r="Z603" s="1096" t="n">
        <f aca="false">SUM(Z601:Z602)</f>
        <v>0</v>
      </c>
      <c r="AA603" s="1096" t="n">
        <f aca="false">SUM(AA601:AA602)</f>
        <v>0</v>
      </c>
      <c r="AB603" s="1096" t="n">
        <f aca="false">SUM(AB601:AB602)</f>
        <v>0</v>
      </c>
      <c r="AC603" s="1096" t="n">
        <f aca="false">SUM(AC601:AC602)</f>
        <v>0</v>
      </c>
      <c r="AD603" s="1096" t="n">
        <f aca="false">SUM(AD601:AD602)</f>
        <v>0</v>
      </c>
      <c r="AE603" s="1096" t="n">
        <f aca="false">SUM(AE601:AE602)</f>
        <v>0</v>
      </c>
      <c r="AF603" s="1096" t="n">
        <f aca="false">SUM(AF601:AF602)</f>
        <v>0</v>
      </c>
      <c r="AG603" s="751"/>
    </row>
    <row r="604" customFormat="false" ht="12" hidden="false" customHeight="false" outlineLevel="0" collapsed="false">
      <c r="A604" s="934"/>
      <c r="B604" s="751"/>
      <c r="C604" s="751"/>
      <c r="D604" s="949"/>
      <c r="E604" s="949"/>
      <c r="F604" s="949"/>
      <c r="G604" s="949"/>
      <c r="H604" s="949"/>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751"/>
    </row>
    <row r="605" customFormat="false" ht="11.25" hidden="false" customHeight="false" outlineLevel="0" collapsed="false">
      <c r="A605" s="841" t="s">
        <v>780</v>
      </c>
      <c r="B605" s="751"/>
      <c r="C605" s="751"/>
      <c r="D605" s="751"/>
      <c r="E605" s="751"/>
      <c r="F605" s="751"/>
      <c r="G605" s="751"/>
      <c r="H605" s="751"/>
      <c r="I605" s="949"/>
      <c r="J605" s="949"/>
      <c r="K605" s="949"/>
      <c r="L605" s="949"/>
      <c r="M605" s="949"/>
      <c r="N605" s="949"/>
      <c r="O605" s="949"/>
      <c r="P605" s="949"/>
      <c r="Q605" s="949"/>
      <c r="R605" s="949"/>
      <c r="S605" s="949"/>
      <c r="T605" s="949"/>
      <c r="U605" s="949"/>
      <c r="V605" s="949"/>
      <c r="W605" s="949"/>
      <c r="X605" s="949"/>
      <c r="Y605" s="949"/>
      <c r="Z605" s="949"/>
      <c r="AA605" s="949"/>
      <c r="AB605" s="949"/>
      <c r="AC605" s="949"/>
      <c r="AD605" s="949"/>
      <c r="AE605" s="949"/>
      <c r="AF605" s="949"/>
      <c r="AG605" s="751"/>
    </row>
    <row r="606" customFormat="false" ht="11.25" hidden="false" customHeight="false" outlineLevel="0" collapsed="false">
      <c r="A606" s="934" t="s">
        <v>937</v>
      </c>
      <c r="B606" s="934"/>
      <c r="C606" s="751"/>
      <c r="D606" s="751"/>
      <c r="E606" s="939" t="n">
        <v>0</v>
      </c>
      <c r="F606" s="939" t="n">
        <v>0</v>
      </c>
      <c r="G606" s="939" t="n">
        <v>0</v>
      </c>
      <c r="H606" s="939" t="n">
        <v>0</v>
      </c>
      <c r="I606" s="939" t="n">
        <v>0</v>
      </c>
      <c r="J606" s="939" t="n">
        <v>0</v>
      </c>
      <c r="K606" s="939" t="n">
        <v>0</v>
      </c>
      <c r="L606" s="939" t="n">
        <v>0</v>
      </c>
      <c r="M606" s="939" t="n">
        <v>0</v>
      </c>
      <c r="N606" s="939" t="n">
        <v>0</v>
      </c>
      <c r="O606" s="939" t="n">
        <v>0</v>
      </c>
      <c r="P606" s="939" t="n">
        <v>0</v>
      </c>
      <c r="Q606" s="939" t="n">
        <v>0</v>
      </c>
      <c r="R606" s="939" t="n">
        <v>0</v>
      </c>
      <c r="S606" s="939" t="n">
        <v>0</v>
      </c>
      <c r="T606" s="939" t="n">
        <v>0</v>
      </c>
      <c r="U606" s="939" t="n">
        <v>0</v>
      </c>
      <c r="V606" s="939" t="n">
        <v>0</v>
      </c>
      <c r="W606" s="939" t="n">
        <v>0</v>
      </c>
      <c r="X606" s="939" t="n">
        <v>0</v>
      </c>
      <c r="Y606" s="939" t="n">
        <v>0</v>
      </c>
      <c r="Z606" s="939" t="n">
        <v>0</v>
      </c>
      <c r="AA606" s="939" t="n">
        <v>0</v>
      </c>
      <c r="AB606" s="939" t="n">
        <v>0</v>
      </c>
      <c r="AC606" s="939" t="n">
        <v>0</v>
      </c>
      <c r="AD606" s="939" t="n">
        <v>0</v>
      </c>
      <c r="AE606" s="939" t="n">
        <v>0</v>
      </c>
      <c r="AF606" s="939" t="n">
        <v>0</v>
      </c>
      <c r="AG606" s="751"/>
    </row>
    <row r="607" customFormat="false" ht="12" hidden="false" customHeight="false" outlineLevel="0" collapsed="false">
      <c r="A607" s="934"/>
      <c r="B607" s="751"/>
      <c r="C607" s="751"/>
      <c r="D607" s="751"/>
      <c r="E607" s="950"/>
      <c r="F607" s="950"/>
      <c r="G607" s="950"/>
      <c r="H607" s="950"/>
      <c r="I607" s="751"/>
      <c r="J607" s="751"/>
      <c r="K607" s="751"/>
      <c r="L607" s="751"/>
      <c r="M607" s="751"/>
      <c r="N607" s="751"/>
      <c r="O607" s="751"/>
      <c r="P607" s="751"/>
      <c r="Q607" s="751"/>
      <c r="R607" s="751"/>
      <c r="S607" s="751"/>
      <c r="T607" s="751"/>
      <c r="U607" s="751"/>
      <c r="V607" s="751"/>
      <c r="W607" s="751"/>
      <c r="X607" s="751"/>
      <c r="Y607" s="751"/>
      <c r="Z607" s="751"/>
      <c r="AA607" s="751"/>
      <c r="AB607" s="751"/>
      <c r="AC607" s="751"/>
      <c r="AD607" s="751"/>
      <c r="AE607" s="751"/>
      <c r="AF607" s="751"/>
      <c r="AG607" s="751"/>
    </row>
    <row r="608" customFormat="false" ht="12.75" hidden="false" customHeight="false" outlineLevel="0" collapsed="false">
      <c r="A608" s="919"/>
      <c r="B608" s="919"/>
      <c r="C608" s="919"/>
      <c r="D608" s="919"/>
      <c r="E608" s="919"/>
      <c r="F608" s="919"/>
      <c r="G608" s="919"/>
      <c r="H608" s="919"/>
      <c r="I608" s="919"/>
      <c r="J608" s="919"/>
      <c r="K608" s="919"/>
      <c r="L608" s="919"/>
      <c r="M608" s="919"/>
      <c r="N608" s="919"/>
      <c r="O608" s="919"/>
      <c r="P608" s="919"/>
      <c r="Q608" s="919"/>
      <c r="R608" s="919"/>
      <c r="S608" s="919"/>
      <c r="T608" s="919"/>
      <c r="U608" s="919"/>
      <c r="V608" s="919"/>
      <c r="W608" s="919"/>
      <c r="X608" s="919"/>
      <c r="Y608" s="919"/>
      <c r="Z608" s="919"/>
      <c r="AA608" s="919"/>
      <c r="AB608" s="919"/>
      <c r="AC608" s="919"/>
      <c r="AD608" s="919"/>
      <c r="AE608" s="919"/>
      <c r="AF608" s="919"/>
      <c r="AG608" s="751"/>
    </row>
    <row r="609" customFormat="false" ht="12.75" hidden="false" customHeight="false" outlineLevel="0" collapsed="false">
      <c r="A609" s="1097" t="s">
        <v>938</v>
      </c>
      <c r="B609" s="751"/>
      <c r="C609" s="751"/>
      <c r="D609" s="751"/>
      <c r="E609" s="1023" t="n">
        <f aca="false">E$599</f>
        <v>36891</v>
      </c>
      <c r="F609" s="1023" t="n">
        <f aca="false">F$599</f>
        <v>37256</v>
      </c>
      <c r="G609" s="1023" t="n">
        <f aca="false">G$599</f>
        <v>37621</v>
      </c>
      <c r="H609" s="1039" t="n">
        <f aca="false">H$599</f>
        <v>37802</v>
      </c>
      <c r="I609" s="984" t="n">
        <f aca="false">I$599</f>
        <v>37986</v>
      </c>
      <c r="J609" s="985" t="n">
        <f aca="false">J$599</f>
        <v>38352</v>
      </c>
      <c r="K609" s="985" t="n">
        <f aca="false">K$599</f>
        <v>38717</v>
      </c>
      <c r="L609" s="985" t="n">
        <f aca="false">L$599</f>
        <v>39082</v>
      </c>
      <c r="M609" s="985" t="n">
        <f aca="false">M$599</f>
        <v>39447</v>
      </c>
      <c r="N609" s="985" t="n">
        <f aca="false">N$599</f>
        <v>39813</v>
      </c>
      <c r="O609" s="985" t="n">
        <f aca="false">O$599</f>
        <v>40178</v>
      </c>
      <c r="P609" s="985" t="n">
        <f aca="false">P$599</f>
        <v>40543</v>
      </c>
      <c r="Q609" s="985" t="n">
        <f aca="false">Q$599</f>
        <v>40908</v>
      </c>
      <c r="R609" s="985" t="n">
        <f aca="false">R$599</f>
        <v>41274</v>
      </c>
      <c r="S609" s="985" t="n">
        <f aca="false">S$599</f>
        <v>41639</v>
      </c>
      <c r="T609" s="985" t="n">
        <f aca="false">T$599</f>
        <v>42004</v>
      </c>
      <c r="U609" s="985" t="n">
        <f aca="false">U$599</f>
        <v>42369</v>
      </c>
      <c r="V609" s="985" t="n">
        <f aca="false">V$599</f>
        <v>42735</v>
      </c>
      <c r="W609" s="985" t="n">
        <f aca="false">W$599</f>
        <v>43100</v>
      </c>
      <c r="X609" s="985" t="n">
        <f aca="false">X$599</f>
        <v>43465</v>
      </c>
      <c r="Y609" s="985" t="n">
        <f aca="false">Y$599</f>
        <v>43830</v>
      </c>
      <c r="Z609" s="985" t="n">
        <f aca="false">Z$599</f>
        <v>44196</v>
      </c>
      <c r="AA609" s="985" t="n">
        <f aca="false">AA$599</f>
        <v>44561</v>
      </c>
      <c r="AB609" s="985" t="n">
        <f aca="false">AB$599</f>
        <v>44926</v>
      </c>
      <c r="AC609" s="985" t="n">
        <f aca="false">AC$599</f>
        <v>45291</v>
      </c>
      <c r="AD609" s="985" t="n">
        <f aca="false">AD$599</f>
        <v>45657</v>
      </c>
      <c r="AE609" s="985" t="n">
        <f aca="false">AE$599</f>
        <v>46022</v>
      </c>
      <c r="AF609" s="985" t="n">
        <f aca="false">AF$599</f>
        <v>46387</v>
      </c>
      <c r="AG609" s="1095"/>
    </row>
    <row r="610" customFormat="false" ht="12" hidden="false" customHeight="false" outlineLevel="0" collapsed="false">
      <c r="A610" s="934" t="s">
        <v>939</v>
      </c>
      <c r="B610" s="751"/>
      <c r="C610" s="751"/>
      <c r="D610" s="751"/>
      <c r="E610" s="751"/>
      <c r="F610" s="751"/>
      <c r="G610" s="751"/>
      <c r="H610" s="751"/>
      <c r="I610" s="939" t="n">
        <v>0</v>
      </c>
      <c r="J610" s="939" t="n">
        <v>0</v>
      </c>
      <c r="K610" s="939" t="n">
        <v>0</v>
      </c>
      <c r="L610" s="939" t="n">
        <v>0</v>
      </c>
      <c r="M610" s="939" t="n">
        <v>0</v>
      </c>
      <c r="N610" s="939" t="n">
        <v>0</v>
      </c>
      <c r="O610" s="939" t="n">
        <v>0</v>
      </c>
      <c r="P610" s="939" t="n">
        <v>0</v>
      </c>
      <c r="Q610" s="939" t="n">
        <v>0</v>
      </c>
      <c r="R610" s="939" t="n">
        <v>0</v>
      </c>
      <c r="S610" s="939" t="n">
        <v>0</v>
      </c>
      <c r="T610" s="939" t="n">
        <v>0</v>
      </c>
      <c r="U610" s="939" t="n">
        <v>0</v>
      </c>
      <c r="V610" s="939" t="n">
        <v>0</v>
      </c>
      <c r="W610" s="939" t="n">
        <v>0</v>
      </c>
      <c r="X610" s="939" t="n">
        <v>0</v>
      </c>
      <c r="Y610" s="939" t="n">
        <v>0</v>
      </c>
      <c r="Z610" s="939" t="n">
        <v>0</v>
      </c>
      <c r="AA610" s="939" t="n">
        <v>0</v>
      </c>
      <c r="AB610" s="939" t="n">
        <v>0</v>
      </c>
      <c r="AC610" s="939" t="n">
        <v>0</v>
      </c>
      <c r="AD610" s="939" t="n">
        <v>0</v>
      </c>
      <c r="AE610" s="939" t="n">
        <v>0</v>
      </c>
      <c r="AF610" s="939" t="n">
        <v>0</v>
      </c>
      <c r="AG610" s="346"/>
    </row>
    <row r="611" customFormat="false" ht="11.25" hidden="false" customHeight="false" outlineLevel="0" collapsed="false">
      <c r="A611" s="934"/>
      <c r="B611" s="751"/>
      <c r="C611" s="751"/>
      <c r="D611" s="751"/>
      <c r="E611" s="751"/>
      <c r="F611" s="751"/>
      <c r="G611" s="751"/>
      <c r="H611" s="751"/>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346"/>
    </row>
    <row r="612" customFormat="false" ht="11.25" hidden="false" customHeight="false" outlineLevel="0" collapsed="false">
      <c r="A612" s="934" t="s">
        <v>940</v>
      </c>
      <c r="B612" s="751"/>
      <c r="C612" s="751"/>
      <c r="D612" s="751"/>
      <c r="E612" s="751"/>
      <c r="F612" s="751"/>
      <c r="G612" s="751"/>
      <c r="H612" s="751"/>
      <c r="I612" s="939" t="n">
        <v>0</v>
      </c>
      <c r="J612" s="939" t="n">
        <v>0</v>
      </c>
      <c r="K612" s="939" t="n">
        <v>0</v>
      </c>
      <c r="L612" s="939" t="n">
        <v>0</v>
      </c>
      <c r="M612" s="939" t="n">
        <v>0</v>
      </c>
      <c r="N612" s="939" t="n">
        <v>0</v>
      </c>
      <c r="O612" s="939" t="n">
        <v>0</v>
      </c>
      <c r="P612" s="939" t="n">
        <v>0</v>
      </c>
      <c r="Q612" s="939" t="n">
        <v>0</v>
      </c>
      <c r="R612" s="939" t="n">
        <v>0</v>
      </c>
      <c r="S612" s="939" t="n">
        <v>0</v>
      </c>
      <c r="T612" s="939" t="n">
        <v>0</v>
      </c>
      <c r="U612" s="939" t="n">
        <v>0</v>
      </c>
      <c r="V612" s="939" t="n">
        <v>0</v>
      </c>
      <c r="W612" s="939" t="n">
        <v>0</v>
      </c>
      <c r="X612" s="939" t="n">
        <v>0</v>
      </c>
      <c r="Y612" s="939" t="n">
        <v>0</v>
      </c>
      <c r="Z612" s="939" t="n">
        <v>0</v>
      </c>
      <c r="AA612" s="939" t="n">
        <v>0</v>
      </c>
      <c r="AB612" s="939" t="n">
        <v>0</v>
      </c>
      <c r="AC612" s="939" t="n">
        <v>0</v>
      </c>
      <c r="AD612" s="939" t="n">
        <v>0</v>
      </c>
      <c r="AE612" s="939" t="n">
        <v>0</v>
      </c>
      <c r="AF612" s="939" t="n">
        <v>0</v>
      </c>
      <c r="AG612" s="346"/>
    </row>
    <row r="613" customFormat="false" ht="11.25" hidden="false" customHeight="false" outlineLevel="0" collapsed="false">
      <c r="A613" s="934" t="s">
        <v>941</v>
      </c>
      <c r="B613" s="751"/>
      <c r="C613" s="751"/>
      <c r="D613" s="751"/>
      <c r="E613" s="751"/>
      <c r="F613" s="751"/>
      <c r="G613" s="751"/>
      <c r="H613" s="751"/>
      <c r="I613" s="939" t="n">
        <v>0</v>
      </c>
      <c r="J613" s="939" t="n">
        <v>0</v>
      </c>
      <c r="K613" s="939" t="n">
        <v>0</v>
      </c>
      <c r="L613" s="939" t="n">
        <v>0</v>
      </c>
      <c r="M613" s="939" t="n">
        <v>0</v>
      </c>
      <c r="N613" s="939" t="n">
        <v>0</v>
      </c>
      <c r="O613" s="939" t="n">
        <v>0</v>
      </c>
      <c r="P613" s="939" t="n">
        <v>0</v>
      </c>
      <c r="Q613" s="939" t="n">
        <v>0</v>
      </c>
      <c r="R613" s="939" t="n">
        <v>0</v>
      </c>
      <c r="S613" s="939" t="n">
        <v>0</v>
      </c>
      <c r="T613" s="939" t="n">
        <v>0</v>
      </c>
      <c r="U613" s="939" t="n">
        <v>0</v>
      </c>
      <c r="V613" s="939" t="n">
        <v>0</v>
      </c>
      <c r="W613" s="939" t="n">
        <v>0</v>
      </c>
      <c r="X613" s="939" t="n">
        <v>0</v>
      </c>
      <c r="Y613" s="939" t="n">
        <v>0</v>
      </c>
      <c r="Z613" s="939" t="n">
        <v>0</v>
      </c>
      <c r="AA613" s="939" t="n">
        <v>0</v>
      </c>
      <c r="AB613" s="939" t="n">
        <v>0</v>
      </c>
      <c r="AC613" s="939" t="n">
        <v>0</v>
      </c>
      <c r="AD613" s="939" t="n">
        <v>0</v>
      </c>
      <c r="AE613" s="939" t="n">
        <v>0</v>
      </c>
      <c r="AF613" s="939" t="n">
        <v>0</v>
      </c>
      <c r="AG613" s="346"/>
    </row>
    <row r="614" customFormat="false" ht="11.25" hidden="false" customHeight="false" outlineLevel="0" collapsed="false">
      <c r="A614" s="934" t="s">
        <v>942</v>
      </c>
      <c r="B614" s="751"/>
      <c r="C614" s="751"/>
      <c r="D614" s="751"/>
      <c r="E614" s="751"/>
      <c r="F614" s="751"/>
      <c r="G614" s="751"/>
      <c r="H614" s="751"/>
      <c r="I614" s="961" t="n">
        <f aca="false">I612-I613</f>
        <v>0</v>
      </c>
      <c r="J614" s="961" t="n">
        <f aca="false">J612-J613</f>
        <v>0</v>
      </c>
      <c r="K614" s="961" t="n">
        <f aca="false">K612-K613</f>
        <v>0</v>
      </c>
      <c r="L614" s="961" t="n">
        <f aca="false">L612-L613</f>
        <v>0</v>
      </c>
      <c r="M614" s="961" t="n">
        <f aca="false">M612-M613</f>
        <v>0</v>
      </c>
      <c r="N614" s="961" t="n">
        <f aca="false">N612-N613</f>
        <v>0</v>
      </c>
      <c r="O614" s="961" t="n">
        <f aca="false">O612-O613</f>
        <v>0</v>
      </c>
      <c r="P614" s="961" t="n">
        <f aca="false">P612-P613</f>
        <v>0</v>
      </c>
      <c r="Q614" s="961" t="n">
        <f aca="false">Q612-Q613</f>
        <v>0</v>
      </c>
      <c r="R614" s="961" t="n">
        <f aca="false">R612-R613</f>
        <v>0</v>
      </c>
      <c r="S614" s="961" t="n">
        <f aca="false">S612-S613</f>
        <v>0</v>
      </c>
      <c r="T614" s="961" t="n">
        <f aca="false">T612-T613</f>
        <v>0</v>
      </c>
      <c r="U614" s="961" t="n">
        <f aca="false">U612-U613</f>
        <v>0</v>
      </c>
      <c r="V614" s="961" t="n">
        <f aca="false">V612-V613</f>
        <v>0</v>
      </c>
      <c r="W614" s="961" t="n">
        <f aca="false">W612-W613</f>
        <v>0</v>
      </c>
      <c r="X614" s="961" t="n">
        <f aca="false">X612-X613</f>
        <v>0</v>
      </c>
      <c r="Y614" s="961" t="n">
        <f aca="false">Y612-Y613</f>
        <v>0</v>
      </c>
      <c r="Z614" s="961" t="n">
        <f aca="false">Z612-Z613</f>
        <v>0</v>
      </c>
      <c r="AA614" s="961" t="n">
        <f aca="false">AA612-AA613</f>
        <v>0</v>
      </c>
      <c r="AB614" s="961" t="n">
        <f aca="false">AB612-AB613</f>
        <v>0</v>
      </c>
      <c r="AC614" s="961" t="n">
        <f aca="false">AC612-AC613</f>
        <v>0</v>
      </c>
      <c r="AD614" s="961" t="n">
        <f aca="false">AD612-AD613</f>
        <v>0</v>
      </c>
      <c r="AE614" s="961" t="n">
        <f aca="false">AE612-AE613</f>
        <v>0</v>
      </c>
      <c r="AF614" s="961" t="n">
        <f aca="false">AF612-AF613</f>
        <v>0</v>
      </c>
      <c r="AG614" s="346"/>
    </row>
    <row r="615" customFormat="false" ht="11.25" hidden="false" customHeight="false" outlineLevel="0" collapsed="false">
      <c r="A615" s="955" t="s">
        <v>943</v>
      </c>
      <c r="B615" s="751"/>
      <c r="C615" s="751"/>
      <c r="D615" s="751"/>
      <c r="E615" s="1065" t="n">
        <v>0</v>
      </c>
      <c r="F615" s="1065" t="n">
        <v>0</v>
      </c>
      <c r="G615" s="1065" t="n">
        <v>0</v>
      </c>
      <c r="H615" s="1065" t="n">
        <v>0</v>
      </c>
      <c r="I615" s="961" t="n">
        <f aca="false">I610-I614</f>
        <v>0</v>
      </c>
      <c r="J615" s="961" t="n">
        <f aca="false">J610-J614</f>
        <v>0</v>
      </c>
      <c r="K615" s="961" t="n">
        <f aca="false">K610-K614</f>
        <v>0</v>
      </c>
      <c r="L615" s="961" t="n">
        <f aca="false">L610-L614</f>
        <v>0</v>
      </c>
      <c r="M615" s="961" t="n">
        <f aca="false">M610-M614</f>
        <v>0</v>
      </c>
      <c r="N615" s="961" t="n">
        <f aca="false">N610-N614</f>
        <v>0</v>
      </c>
      <c r="O615" s="961" t="n">
        <f aca="false">O610-O614</f>
        <v>0</v>
      </c>
      <c r="P615" s="961" t="n">
        <f aca="false">P610-P614</f>
        <v>0</v>
      </c>
      <c r="Q615" s="961" t="n">
        <f aca="false">Q610-Q614</f>
        <v>0</v>
      </c>
      <c r="R615" s="961" t="n">
        <f aca="false">R610-R614</f>
        <v>0</v>
      </c>
      <c r="S615" s="961" t="n">
        <f aca="false">S610-S614</f>
        <v>0</v>
      </c>
      <c r="T615" s="961" t="n">
        <f aca="false">T610-T614</f>
        <v>0</v>
      </c>
      <c r="U615" s="961" t="n">
        <f aca="false">U610-U614</f>
        <v>0</v>
      </c>
      <c r="V615" s="961" t="n">
        <f aca="false">V610-V614</f>
        <v>0</v>
      </c>
      <c r="W615" s="961" t="n">
        <f aca="false">W610-W614</f>
        <v>0</v>
      </c>
      <c r="X615" s="961" t="n">
        <f aca="false">X610-X614</f>
        <v>0</v>
      </c>
      <c r="Y615" s="961" t="n">
        <f aca="false">Y610-Y614</f>
        <v>0</v>
      </c>
      <c r="Z615" s="961" t="n">
        <f aca="false">Z610-Z614</f>
        <v>0</v>
      </c>
      <c r="AA615" s="961" t="n">
        <f aca="false">AA610-AA614</f>
        <v>0</v>
      </c>
      <c r="AB615" s="961" t="n">
        <f aca="false">AB610-AB614</f>
        <v>0</v>
      </c>
      <c r="AC615" s="961" t="n">
        <f aca="false">AC610-AC614</f>
        <v>0</v>
      </c>
      <c r="AD615" s="961" t="n">
        <f aca="false">AD610-AD614</f>
        <v>0</v>
      </c>
      <c r="AE615" s="961" t="n">
        <f aca="false">AE610-AE614</f>
        <v>0</v>
      </c>
      <c r="AF615" s="961" t="n">
        <f aca="false">AF610-AF614</f>
        <v>0</v>
      </c>
      <c r="AG615" s="346"/>
    </row>
    <row r="616" customFormat="false" ht="11.25" hidden="false" customHeight="false" outlineLevel="0" collapsed="false">
      <c r="A616" s="934" t="s">
        <v>944</v>
      </c>
      <c r="B616" s="751"/>
      <c r="C616" s="751"/>
      <c r="D616" s="751"/>
      <c r="E616" s="751"/>
      <c r="F616" s="751"/>
      <c r="G616" s="751"/>
      <c r="H616" s="751"/>
      <c r="I616" s="939" t="n">
        <v>0</v>
      </c>
      <c r="J616" s="939" t="n">
        <v>0</v>
      </c>
      <c r="K616" s="939" t="n">
        <v>0</v>
      </c>
      <c r="L616" s="939" t="n">
        <v>0</v>
      </c>
      <c r="M616" s="939" t="n">
        <v>0</v>
      </c>
      <c r="N616" s="939" t="n">
        <v>0</v>
      </c>
      <c r="O616" s="939" t="n">
        <v>0</v>
      </c>
      <c r="P616" s="939" t="n">
        <v>0</v>
      </c>
      <c r="Q616" s="939" t="n">
        <v>0</v>
      </c>
      <c r="R616" s="939" t="n">
        <v>0</v>
      </c>
      <c r="S616" s="939" t="n">
        <v>0</v>
      </c>
      <c r="T616" s="939" t="n">
        <v>0</v>
      </c>
      <c r="U616" s="939" t="n">
        <v>0</v>
      </c>
      <c r="V616" s="939" t="n">
        <v>0</v>
      </c>
      <c r="W616" s="939" t="n">
        <v>0</v>
      </c>
      <c r="X616" s="939" t="n">
        <v>0</v>
      </c>
      <c r="Y616" s="939" t="n">
        <v>0</v>
      </c>
      <c r="Z616" s="939" t="n">
        <v>0</v>
      </c>
      <c r="AA616" s="939" t="n">
        <v>0</v>
      </c>
      <c r="AB616" s="939" t="n">
        <v>0</v>
      </c>
      <c r="AC616" s="939" t="n">
        <v>0</v>
      </c>
      <c r="AD616" s="939" t="n">
        <v>0</v>
      </c>
      <c r="AE616" s="939" t="n">
        <v>0</v>
      </c>
      <c r="AF616" s="939" t="n">
        <v>0</v>
      </c>
      <c r="AG616" s="346"/>
    </row>
    <row r="617" customFormat="false" ht="11.25" hidden="false" customHeight="false" outlineLevel="0" collapsed="false">
      <c r="A617" s="934"/>
      <c r="B617" s="751"/>
      <c r="C617" s="751"/>
      <c r="D617" s="751"/>
      <c r="E617" s="751"/>
      <c r="F617" s="751"/>
      <c r="G617" s="751"/>
      <c r="H617" s="751"/>
      <c r="I617" s="751"/>
      <c r="J617" s="751"/>
      <c r="K617" s="751"/>
      <c r="L617" s="751"/>
      <c r="M617" s="751"/>
      <c r="N617" s="751"/>
      <c r="O617" s="751"/>
      <c r="P617" s="751"/>
      <c r="Q617" s="751"/>
      <c r="R617" s="751"/>
      <c r="S617" s="751"/>
      <c r="T617" s="751"/>
      <c r="U617" s="751"/>
      <c r="V617" s="751"/>
      <c r="W617" s="751"/>
      <c r="X617" s="751"/>
      <c r="Y617" s="751"/>
      <c r="Z617" s="751"/>
      <c r="AA617" s="751"/>
      <c r="AB617" s="751"/>
      <c r="AC617" s="751"/>
      <c r="AD617" s="751"/>
      <c r="AE617" s="751"/>
      <c r="AF617" s="751"/>
      <c r="AG617" s="346"/>
    </row>
    <row r="618" customFormat="false" ht="11.25" hidden="false" customHeight="false" outlineLevel="0" collapsed="false">
      <c r="A618" s="934" t="s">
        <v>945</v>
      </c>
      <c r="B618" s="751"/>
      <c r="C618" s="751"/>
      <c r="D618" s="751"/>
      <c r="E618" s="751"/>
      <c r="F618" s="751"/>
      <c r="G618" s="751"/>
      <c r="H618" s="751"/>
      <c r="I618" s="939" t="n">
        <f aca="false">I614</f>
        <v>0</v>
      </c>
      <c r="J618" s="939" t="n">
        <v>0</v>
      </c>
      <c r="K618" s="939" t="n">
        <v>0</v>
      </c>
      <c r="L618" s="939" t="n">
        <v>0</v>
      </c>
      <c r="M618" s="939" t="n">
        <v>0</v>
      </c>
      <c r="N618" s="939" t="n">
        <v>0</v>
      </c>
      <c r="O618" s="939" t="n">
        <v>0</v>
      </c>
      <c r="P618" s="939" t="n">
        <v>0</v>
      </c>
      <c r="Q618" s="939" t="n">
        <v>0</v>
      </c>
      <c r="R618" s="939" t="n">
        <v>0</v>
      </c>
      <c r="S618" s="939" t="n">
        <v>0</v>
      </c>
      <c r="T618" s="939" t="n">
        <v>0</v>
      </c>
      <c r="U618" s="939" t="n">
        <v>0</v>
      </c>
      <c r="V618" s="939" t="n">
        <v>0</v>
      </c>
      <c r="W618" s="939" t="n">
        <v>0</v>
      </c>
      <c r="X618" s="939" t="n">
        <v>0</v>
      </c>
      <c r="Y618" s="939" t="n">
        <v>0</v>
      </c>
      <c r="Z618" s="939" t="n">
        <v>0</v>
      </c>
      <c r="AA618" s="939" t="n">
        <v>0</v>
      </c>
      <c r="AB618" s="939" t="n">
        <v>0</v>
      </c>
      <c r="AC618" s="939" t="n">
        <v>0</v>
      </c>
      <c r="AD618" s="939" t="n">
        <v>0</v>
      </c>
      <c r="AE618" s="939" t="n">
        <v>0</v>
      </c>
      <c r="AF618" s="939" t="n">
        <v>0</v>
      </c>
      <c r="AG618" s="751"/>
    </row>
    <row r="619" customFormat="false" ht="11.25" hidden="false" customHeight="false" outlineLevel="0" collapsed="false">
      <c r="A619" s="955" t="s">
        <v>946</v>
      </c>
      <c r="B619" s="751"/>
      <c r="C619" s="751"/>
      <c r="D619" s="751"/>
      <c r="E619" s="751"/>
      <c r="F619" s="751"/>
      <c r="G619" s="751"/>
      <c r="H619" s="751"/>
      <c r="I619" s="751" t="n">
        <f aca="false">I610-I618</f>
        <v>0</v>
      </c>
      <c r="J619" s="751" t="n">
        <f aca="false">J610-J618</f>
        <v>0</v>
      </c>
      <c r="K619" s="751" t="n">
        <f aca="false">K610-K618</f>
        <v>0</v>
      </c>
      <c r="L619" s="751" t="n">
        <f aca="false">L610-L618</f>
        <v>0</v>
      </c>
      <c r="M619" s="751" t="n">
        <f aca="false">M610-M618</f>
        <v>0</v>
      </c>
      <c r="N619" s="751" t="n">
        <f aca="false">N610-N618</f>
        <v>0</v>
      </c>
      <c r="O619" s="751" t="n">
        <f aca="false">O610-O618</f>
        <v>0</v>
      </c>
      <c r="P619" s="751" t="n">
        <f aca="false">P610-P618</f>
        <v>0</v>
      </c>
      <c r="Q619" s="751" t="n">
        <f aca="false">Q610-Q618</f>
        <v>0</v>
      </c>
      <c r="R619" s="751" t="n">
        <f aca="false">R610-R618</f>
        <v>0</v>
      </c>
      <c r="S619" s="751" t="n">
        <f aca="false">S610-S618</f>
        <v>0</v>
      </c>
      <c r="T619" s="751" t="n">
        <f aca="false">T610-T618</f>
        <v>0</v>
      </c>
      <c r="U619" s="751" t="n">
        <f aca="false">U610-U618</f>
        <v>0</v>
      </c>
      <c r="V619" s="751" t="n">
        <f aca="false">V610-V618</f>
        <v>0</v>
      </c>
      <c r="W619" s="751" t="n">
        <f aca="false">W610-W618</f>
        <v>0</v>
      </c>
      <c r="X619" s="751" t="n">
        <f aca="false">X610-X618</f>
        <v>0</v>
      </c>
      <c r="Y619" s="751" t="n">
        <f aca="false">Y610-Y618</f>
        <v>0</v>
      </c>
      <c r="Z619" s="751" t="n">
        <f aca="false">Z610-Z618</f>
        <v>0</v>
      </c>
      <c r="AA619" s="751" t="n">
        <f aca="false">AA610-AA618</f>
        <v>0</v>
      </c>
      <c r="AB619" s="751" t="n">
        <f aca="false">AB610-AB618</f>
        <v>0</v>
      </c>
      <c r="AC619" s="751" t="n">
        <f aca="false">AC610-AC618</f>
        <v>0</v>
      </c>
      <c r="AD619" s="751" t="n">
        <f aca="false">AD610-AD618</f>
        <v>0</v>
      </c>
      <c r="AE619" s="751" t="n">
        <f aca="false">AE610-AE618</f>
        <v>0</v>
      </c>
      <c r="AF619" s="751" t="n">
        <f aca="false">AF610-AF618</f>
        <v>0</v>
      </c>
      <c r="AG619" s="751"/>
    </row>
    <row r="620" customFormat="false" ht="11.25" hidden="false" customHeight="false" outlineLevel="0" collapsed="false">
      <c r="A620" s="934" t="s">
        <v>947</v>
      </c>
      <c r="B620" s="751"/>
      <c r="C620" s="751"/>
      <c r="D620" s="751"/>
      <c r="E620" s="751"/>
      <c r="F620" s="751"/>
      <c r="G620" s="751"/>
      <c r="H620" s="751"/>
      <c r="I620" s="939" t="n">
        <v>0</v>
      </c>
      <c r="J620" s="939" t="n">
        <v>0</v>
      </c>
      <c r="K620" s="939" t="n">
        <v>0</v>
      </c>
      <c r="L620" s="939" t="n">
        <v>0</v>
      </c>
      <c r="M620" s="939" t="n">
        <v>0</v>
      </c>
      <c r="N620" s="939" t="n">
        <v>0</v>
      </c>
      <c r="O620" s="939" t="n">
        <v>0</v>
      </c>
      <c r="P620" s="939" t="n">
        <v>0</v>
      </c>
      <c r="Q620" s="939" t="n">
        <v>0</v>
      </c>
      <c r="R620" s="939" t="n">
        <v>0</v>
      </c>
      <c r="S620" s="939" t="n">
        <v>0</v>
      </c>
      <c r="T620" s="939" t="n">
        <v>0</v>
      </c>
      <c r="U620" s="939" t="n">
        <v>0</v>
      </c>
      <c r="V620" s="939" t="n">
        <v>0</v>
      </c>
      <c r="W620" s="939" t="n">
        <v>0</v>
      </c>
      <c r="X620" s="939" t="n">
        <v>0</v>
      </c>
      <c r="Y620" s="939" t="n">
        <v>0</v>
      </c>
      <c r="Z620" s="939" t="n">
        <v>0</v>
      </c>
      <c r="AA620" s="939" t="n">
        <v>0</v>
      </c>
      <c r="AB620" s="939" t="n">
        <v>0</v>
      </c>
      <c r="AC620" s="939" t="n">
        <v>0</v>
      </c>
      <c r="AD620" s="939" t="n">
        <v>0</v>
      </c>
      <c r="AE620" s="939" t="n">
        <v>0</v>
      </c>
      <c r="AF620" s="939" t="n">
        <v>0</v>
      </c>
      <c r="AG620" s="751"/>
    </row>
    <row r="621" customFormat="false" ht="11.25" hidden="false" customHeight="false" outlineLevel="0" collapsed="false">
      <c r="A621" s="934"/>
      <c r="B621" s="751"/>
      <c r="C621" s="751"/>
      <c r="D621" s="751"/>
      <c r="E621" s="751"/>
      <c r="F621" s="751"/>
      <c r="G621" s="751"/>
      <c r="H621" s="751"/>
      <c r="I621" s="751"/>
      <c r="J621" s="751"/>
      <c r="K621" s="751"/>
      <c r="L621" s="751"/>
      <c r="M621" s="751"/>
      <c r="N621" s="751"/>
      <c r="O621" s="751"/>
      <c r="P621" s="751"/>
      <c r="Q621" s="751"/>
      <c r="R621" s="751"/>
      <c r="S621" s="751"/>
      <c r="T621" s="751"/>
      <c r="U621" s="751"/>
      <c r="V621" s="751"/>
      <c r="W621" s="751"/>
      <c r="X621" s="751"/>
      <c r="Y621" s="751"/>
      <c r="Z621" s="751"/>
      <c r="AA621" s="751"/>
      <c r="AB621" s="751"/>
      <c r="AC621" s="751"/>
      <c r="AD621" s="751"/>
      <c r="AE621" s="751"/>
      <c r="AF621" s="751"/>
      <c r="AG621" s="751"/>
    </row>
    <row r="622" customFormat="false" ht="11.25" hidden="false" customHeight="false" outlineLevel="0" collapsed="false">
      <c r="A622" s="934" t="s">
        <v>948</v>
      </c>
      <c r="B622" s="751"/>
      <c r="C622" s="751"/>
      <c r="D622" s="751"/>
      <c r="E622" s="751"/>
      <c r="F622" s="751"/>
      <c r="G622" s="751"/>
      <c r="H622" s="751"/>
      <c r="I622" s="751"/>
      <c r="J622" s="751"/>
      <c r="K622" s="751"/>
      <c r="L622" s="751"/>
      <c r="M622" s="751"/>
      <c r="N622" s="751"/>
      <c r="O622" s="751"/>
      <c r="P622" s="751"/>
      <c r="Q622" s="751"/>
      <c r="R622" s="751"/>
      <c r="S622" s="751"/>
      <c r="T622" s="751"/>
      <c r="U622" s="751"/>
      <c r="V622" s="751"/>
      <c r="W622" s="751"/>
      <c r="X622" s="751"/>
      <c r="Y622" s="751"/>
      <c r="Z622" s="751"/>
      <c r="AA622" s="751"/>
      <c r="AB622" s="751"/>
      <c r="AC622" s="751"/>
      <c r="AD622" s="751"/>
      <c r="AE622" s="751"/>
      <c r="AF622" s="751"/>
      <c r="AG622" s="751"/>
    </row>
    <row r="623" customFormat="false" ht="12" hidden="false" customHeight="false" outlineLevel="0" collapsed="false">
      <c r="A623" s="934"/>
      <c r="B623" s="751"/>
      <c r="C623" s="751"/>
      <c r="D623" s="751"/>
      <c r="E623" s="950"/>
      <c r="F623" s="950"/>
      <c r="G623" s="950"/>
      <c r="H623" s="950"/>
      <c r="I623" s="751"/>
      <c r="J623" s="751"/>
      <c r="K623" s="751"/>
      <c r="L623" s="751"/>
      <c r="M623" s="751"/>
      <c r="N623" s="751"/>
      <c r="O623" s="751"/>
      <c r="P623" s="751"/>
      <c r="Q623" s="751"/>
      <c r="R623" s="751"/>
      <c r="S623" s="751"/>
      <c r="T623" s="751"/>
      <c r="U623" s="751"/>
      <c r="V623" s="751"/>
      <c r="W623" s="751"/>
      <c r="X623" s="751"/>
      <c r="Y623" s="751"/>
      <c r="Z623" s="751"/>
      <c r="AA623" s="751"/>
      <c r="AB623" s="751"/>
      <c r="AC623" s="751"/>
      <c r="AD623" s="751"/>
      <c r="AE623" s="751"/>
      <c r="AF623" s="751"/>
      <c r="AG623" s="751"/>
    </row>
    <row r="624" customFormat="false" ht="12.75" hidden="false" customHeight="false" outlineLevel="0" collapsed="false">
      <c r="A624" s="919"/>
      <c r="B624" s="919"/>
      <c r="C624" s="919"/>
      <c r="D624" s="919"/>
      <c r="E624" s="919"/>
      <c r="F624" s="919"/>
      <c r="G624" s="919"/>
      <c r="H624" s="919"/>
      <c r="I624" s="919"/>
      <c r="J624" s="919"/>
      <c r="K624" s="919"/>
      <c r="L624" s="919"/>
      <c r="M624" s="919"/>
      <c r="N624" s="919"/>
      <c r="O624" s="919"/>
      <c r="P624" s="919"/>
      <c r="Q624" s="919"/>
      <c r="R624" s="919"/>
      <c r="S624" s="919"/>
      <c r="T624" s="919"/>
      <c r="U624" s="919"/>
      <c r="V624" s="919"/>
      <c r="W624" s="919"/>
      <c r="X624" s="919"/>
      <c r="Y624" s="919"/>
      <c r="Z624" s="919"/>
      <c r="AA624" s="919"/>
      <c r="AB624" s="919"/>
      <c r="AC624" s="919"/>
      <c r="AD624" s="919"/>
      <c r="AE624" s="919"/>
      <c r="AF624" s="919"/>
      <c r="AG624" s="751"/>
    </row>
    <row r="625" customFormat="false" ht="12" hidden="false" customHeight="false" outlineLevel="0" collapsed="false">
      <c r="A625" s="841" t="s">
        <v>949</v>
      </c>
      <c r="B625" s="751"/>
      <c r="C625" s="751"/>
      <c r="D625" s="751"/>
      <c r="E625" s="1079" t="n">
        <f aca="false">E$599</f>
        <v>36891</v>
      </c>
      <c r="F625" s="1079" t="n">
        <f aca="false">F$599</f>
        <v>37256</v>
      </c>
      <c r="G625" s="1079" t="n">
        <f aca="false">G$599</f>
        <v>37621</v>
      </c>
      <c r="H625" s="1080" t="n">
        <f aca="false">H$599</f>
        <v>37802</v>
      </c>
      <c r="I625" s="1081" t="n">
        <f aca="false">I$599</f>
        <v>37986</v>
      </c>
      <c r="J625" s="1082" t="n">
        <f aca="false">J$599</f>
        <v>38352</v>
      </c>
      <c r="K625" s="1082" t="n">
        <f aca="false">K$599</f>
        <v>38717</v>
      </c>
      <c r="L625" s="1082" t="n">
        <f aca="false">L$599</f>
        <v>39082</v>
      </c>
      <c r="M625" s="1082" t="n">
        <f aca="false">M$599</f>
        <v>39447</v>
      </c>
      <c r="N625" s="1082" t="n">
        <f aca="false">N$599</f>
        <v>39813</v>
      </c>
      <c r="O625" s="1082" t="n">
        <f aca="false">O$599</f>
        <v>40178</v>
      </c>
      <c r="P625" s="1082" t="n">
        <f aca="false">P$599</f>
        <v>40543</v>
      </c>
      <c r="Q625" s="1082" t="n">
        <f aca="false">Q$599</f>
        <v>40908</v>
      </c>
      <c r="R625" s="1082" t="n">
        <f aca="false">R$599</f>
        <v>41274</v>
      </c>
      <c r="S625" s="1082" t="n">
        <f aca="false">S$599</f>
        <v>41639</v>
      </c>
      <c r="T625" s="1082" t="n">
        <f aca="false">T$599</f>
        <v>42004</v>
      </c>
      <c r="U625" s="1082" t="n">
        <f aca="false">U$599</f>
        <v>42369</v>
      </c>
      <c r="V625" s="1082" t="n">
        <f aca="false">V$599</f>
        <v>42735</v>
      </c>
      <c r="W625" s="1082" t="n">
        <f aca="false">W$599</f>
        <v>43100</v>
      </c>
      <c r="X625" s="1082" t="n">
        <f aca="false">X$599</f>
        <v>43465</v>
      </c>
      <c r="Y625" s="1082" t="n">
        <f aca="false">Y$599</f>
        <v>43830</v>
      </c>
      <c r="Z625" s="1082" t="n">
        <f aca="false">Z$599</f>
        <v>44196</v>
      </c>
      <c r="AA625" s="1082" t="n">
        <f aca="false">AA$599</f>
        <v>44561</v>
      </c>
      <c r="AB625" s="1082" t="n">
        <f aca="false">AB$599</f>
        <v>44926</v>
      </c>
      <c r="AC625" s="1082" t="n">
        <f aca="false">AC$599</f>
        <v>45291</v>
      </c>
      <c r="AD625" s="1082" t="n">
        <f aca="false">AD$599</f>
        <v>45657</v>
      </c>
      <c r="AE625" s="1082" t="n">
        <f aca="false">AE$599</f>
        <v>46022</v>
      </c>
      <c r="AF625" s="1082" t="n">
        <f aca="false">AF$599</f>
        <v>46387</v>
      </c>
      <c r="AG625" s="751"/>
    </row>
    <row r="626" customFormat="false" ht="12" hidden="false" customHeight="false" outlineLevel="0" collapsed="false">
      <c r="A626" s="751"/>
      <c r="B626" s="751"/>
      <c r="C626" s="751"/>
      <c r="D626" s="751"/>
      <c r="E626" s="1016" t="s">
        <v>950</v>
      </c>
      <c r="F626" s="1016" t="s">
        <v>950</v>
      </c>
      <c r="G626" s="1016" t="s">
        <v>950</v>
      </c>
      <c r="H626" s="1083" t="s">
        <v>950</v>
      </c>
      <c r="I626" s="1084" t="s">
        <v>951</v>
      </c>
      <c r="J626" s="1085" t="s">
        <v>951</v>
      </c>
      <c r="K626" s="1085" t="s">
        <v>951</v>
      </c>
      <c r="L626" s="1085" t="s">
        <v>951</v>
      </c>
      <c r="M626" s="1085" t="s">
        <v>951</v>
      </c>
      <c r="N626" s="1085" t="s">
        <v>951</v>
      </c>
      <c r="O626" s="1085" t="s">
        <v>951</v>
      </c>
      <c r="P626" s="1085" t="s">
        <v>951</v>
      </c>
      <c r="Q626" s="1085" t="s">
        <v>951</v>
      </c>
      <c r="R626" s="1085" t="s">
        <v>951</v>
      </c>
      <c r="S626" s="1085" t="s">
        <v>951</v>
      </c>
      <c r="T626" s="1085" t="s">
        <v>951</v>
      </c>
      <c r="U626" s="1085" t="s">
        <v>951</v>
      </c>
      <c r="V626" s="1085" t="s">
        <v>951</v>
      </c>
      <c r="W626" s="1085" t="s">
        <v>951</v>
      </c>
      <c r="X626" s="1085" t="s">
        <v>951</v>
      </c>
      <c r="Y626" s="1085" t="s">
        <v>951</v>
      </c>
      <c r="Z626" s="1085" t="s">
        <v>951</v>
      </c>
      <c r="AA626" s="1085" t="s">
        <v>951</v>
      </c>
      <c r="AB626" s="1085" t="s">
        <v>951</v>
      </c>
      <c r="AC626" s="1085" t="s">
        <v>951</v>
      </c>
      <c r="AD626" s="1085" t="s">
        <v>951</v>
      </c>
      <c r="AE626" s="1085" t="s">
        <v>951</v>
      </c>
      <c r="AF626" s="1085" t="s">
        <v>951</v>
      </c>
      <c r="AG626" s="751"/>
    </row>
    <row r="627" customFormat="false" ht="12" hidden="false" customHeight="false" outlineLevel="0" collapsed="false">
      <c r="A627" s="934" t="s">
        <v>952</v>
      </c>
      <c r="B627" s="751"/>
      <c r="C627" s="751"/>
      <c r="D627" s="751"/>
      <c r="E627" s="949" t="n">
        <v>0</v>
      </c>
      <c r="F627" s="949" t="n">
        <v>0</v>
      </c>
      <c r="G627" s="949" t="n">
        <v>0</v>
      </c>
      <c r="H627" s="949" t="n">
        <v>0</v>
      </c>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row>
    <row r="628" customFormat="false" ht="11.25" hidden="false" customHeight="false" outlineLevel="0" collapsed="false">
      <c r="A628" s="934" t="s">
        <v>953</v>
      </c>
      <c r="B628" s="751"/>
      <c r="C628" s="751"/>
      <c r="D628" s="751"/>
      <c r="E628" s="751"/>
      <c r="F628" s="751"/>
      <c r="G628" s="751"/>
      <c r="H628" s="751"/>
      <c r="I628" s="1098" t="n">
        <f aca="false">Assumptions!$C$21</f>
        <v>0.35</v>
      </c>
      <c r="J628" s="1098" t="n">
        <f aca="false">Assumptions!$C$21</f>
        <v>0.35</v>
      </c>
      <c r="K628" s="1098" t="n">
        <f aca="false">Assumptions!$C$21</f>
        <v>0.35</v>
      </c>
      <c r="L628" s="1098" t="n">
        <f aca="false">Assumptions!$C$21</f>
        <v>0.35</v>
      </c>
      <c r="M628" s="1098" t="n">
        <f aca="false">Assumptions!$C$21</f>
        <v>0.35</v>
      </c>
      <c r="N628" s="1098" t="n">
        <f aca="false">Assumptions!$C$21</f>
        <v>0.35</v>
      </c>
      <c r="O628" s="1098" t="n">
        <f aca="false">Assumptions!$C$21</f>
        <v>0.35</v>
      </c>
      <c r="P628" s="1098" t="n">
        <f aca="false">Assumptions!$C$21</f>
        <v>0.35</v>
      </c>
      <c r="Q628" s="1098" t="n">
        <f aca="false">Assumptions!$C$21</f>
        <v>0.35</v>
      </c>
      <c r="R628" s="1098" t="n">
        <f aca="false">Assumptions!$C$21</f>
        <v>0.35</v>
      </c>
      <c r="S628" s="1098" t="n">
        <f aca="false">Assumptions!$C$21</f>
        <v>0.35</v>
      </c>
      <c r="T628" s="1098" t="n">
        <f aca="false">Assumptions!$C$21</f>
        <v>0.35</v>
      </c>
      <c r="U628" s="1098" t="n">
        <f aca="false">Assumptions!$C$21</f>
        <v>0.35</v>
      </c>
      <c r="V628" s="1098" t="n">
        <f aca="false">Assumptions!$C$21</f>
        <v>0.35</v>
      </c>
      <c r="W628" s="1098" t="n">
        <f aca="false">Assumptions!$C$21</f>
        <v>0.35</v>
      </c>
      <c r="X628" s="1098" t="n">
        <f aca="false">Assumptions!$C$21</f>
        <v>0.35</v>
      </c>
      <c r="Y628" s="1098" t="n">
        <f aca="false">Assumptions!$C$21</f>
        <v>0.35</v>
      </c>
      <c r="Z628" s="1098" t="n">
        <f aca="false">Assumptions!$C$21</f>
        <v>0.35</v>
      </c>
      <c r="AA628" s="1098" t="n">
        <f aca="false">Assumptions!$C$21</f>
        <v>0.35</v>
      </c>
      <c r="AB628" s="1098" t="n">
        <f aca="false">Assumptions!$C$21</f>
        <v>0.35</v>
      </c>
      <c r="AC628" s="1098" t="n">
        <f aca="false">Assumptions!$C$21</f>
        <v>0.35</v>
      </c>
      <c r="AD628" s="1098" t="n">
        <f aca="false">Assumptions!$C$21</f>
        <v>0.35</v>
      </c>
      <c r="AE628" s="1098" t="n">
        <f aca="false">Assumptions!$C$21</f>
        <v>0.35</v>
      </c>
      <c r="AF628" s="1098" t="n">
        <f aca="false">Assumptions!$C$21</f>
        <v>0.35</v>
      </c>
      <c r="AG628" s="751"/>
    </row>
    <row r="629" customFormat="false" ht="11.25" hidden="false" customHeight="false" outlineLevel="0" collapsed="false">
      <c r="A629" s="934" t="s">
        <v>954</v>
      </c>
      <c r="B629" s="751"/>
      <c r="C629" s="751"/>
      <c r="D629" s="751"/>
      <c r="E629" s="751"/>
      <c r="F629" s="751"/>
      <c r="G629" s="751"/>
      <c r="H629" s="751"/>
      <c r="I629" s="1098" t="n">
        <f aca="false">Assumptions!$C$22</f>
        <v>0.0884</v>
      </c>
      <c r="J629" s="1098" t="n">
        <f aca="false">Assumptions!$C$22</f>
        <v>0.0884</v>
      </c>
      <c r="K629" s="1098" t="n">
        <f aca="false">Assumptions!$C$22</f>
        <v>0.0884</v>
      </c>
      <c r="L629" s="1098" t="n">
        <f aca="false">Assumptions!$C$22</f>
        <v>0.0884</v>
      </c>
      <c r="M629" s="1098" t="n">
        <f aca="false">Assumptions!$C$22</f>
        <v>0.0884</v>
      </c>
      <c r="N629" s="1098" t="n">
        <f aca="false">Assumptions!$C$22</f>
        <v>0.0884</v>
      </c>
      <c r="O629" s="1098" t="n">
        <f aca="false">Assumptions!$C$22</f>
        <v>0.0884</v>
      </c>
      <c r="P629" s="1098" t="n">
        <f aca="false">Assumptions!$C$22</f>
        <v>0.0884</v>
      </c>
      <c r="Q629" s="1098" t="n">
        <f aca="false">Assumptions!$C$22</f>
        <v>0.0884</v>
      </c>
      <c r="R629" s="1098" t="n">
        <f aca="false">Assumptions!$C$22</f>
        <v>0.0884</v>
      </c>
      <c r="S629" s="1098" t="n">
        <f aca="false">Assumptions!$C$22</f>
        <v>0.0884</v>
      </c>
      <c r="T629" s="1098" t="n">
        <f aca="false">Assumptions!$C$22</f>
        <v>0.0884</v>
      </c>
      <c r="U629" s="1098" t="n">
        <f aca="false">Assumptions!$C$22</f>
        <v>0.0884</v>
      </c>
      <c r="V629" s="1098" t="n">
        <f aca="false">Assumptions!$C$22</f>
        <v>0.0884</v>
      </c>
      <c r="W629" s="1098" t="n">
        <f aca="false">Assumptions!$C$22</f>
        <v>0.0884</v>
      </c>
      <c r="X629" s="1098" t="n">
        <f aca="false">Assumptions!$C$22</f>
        <v>0.0884</v>
      </c>
      <c r="Y629" s="1098" t="n">
        <f aca="false">Assumptions!$C$22</f>
        <v>0.0884</v>
      </c>
      <c r="Z629" s="1098" t="n">
        <f aca="false">Assumptions!$C$22</f>
        <v>0.0884</v>
      </c>
      <c r="AA629" s="1098" t="n">
        <f aca="false">Assumptions!$C$22</f>
        <v>0.0884</v>
      </c>
      <c r="AB629" s="1098" t="n">
        <f aca="false">Assumptions!$C$22</f>
        <v>0.0884</v>
      </c>
      <c r="AC629" s="1098" t="n">
        <f aca="false">Assumptions!$C$22</f>
        <v>0.0884</v>
      </c>
      <c r="AD629" s="1098" t="n">
        <f aca="false">Assumptions!$C$22</f>
        <v>0.0884</v>
      </c>
      <c r="AE629" s="1098" t="n">
        <f aca="false">Assumptions!$C$22</f>
        <v>0.0884</v>
      </c>
      <c r="AF629" s="1098" t="n">
        <f aca="false">Assumptions!$C$22</f>
        <v>0.0884</v>
      </c>
      <c r="AG629" s="751"/>
    </row>
    <row r="630" customFormat="false" ht="11.25" hidden="false" customHeight="false" outlineLevel="0" collapsed="false">
      <c r="A630" s="1099" t="s">
        <v>955</v>
      </c>
      <c r="B630" s="346"/>
      <c r="C630" s="346"/>
      <c r="D630" s="346"/>
      <c r="E630" s="346"/>
      <c r="F630" s="346"/>
      <c r="G630" s="346"/>
      <c r="H630" s="346"/>
      <c r="I630" s="1076" t="n">
        <v>0</v>
      </c>
      <c r="J630" s="1076" t="n">
        <v>0</v>
      </c>
      <c r="K630" s="1076" t="n">
        <v>0</v>
      </c>
      <c r="L630" s="1076" t="n">
        <v>0</v>
      </c>
      <c r="M630" s="1076" t="n">
        <v>0</v>
      </c>
      <c r="N630" s="1076" t="n">
        <v>0</v>
      </c>
      <c r="O630" s="1076" t="n">
        <v>0</v>
      </c>
      <c r="P630" s="1076" t="n">
        <v>0</v>
      </c>
      <c r="Q630" s="1076" t="n">
        <v>0</v>
      </c>
      <c r="R630" s="1076" t="n">
        <v>0</v>
      </c>
      <c r="S630" s="1076" t="n">
        <v>0</v>
      </c>
      <c r="T630" s="1076" t="n">
        <v>0</v>
      </c>
      <c r="U630" s="1076" t="n">
        <v>0</v>
      </c>
      <c r="V630" s="1076" t="n">
        <v>0</v>
      </c>
      <c r="W630" s="1076" t="n">
        <v>0</v>
      </c>
      <c r="X630" s="1076" t="n">
        <v>0</v>
      </c>
      <c r="Y630" s="1076" t="n">
        <v>0</v>
      </c>
      <c r="Z630" s="1076" t="n">
        <v>0</v>
      </c>
      <c r="AA630" s="1076" t="n">
        <v>0</v>
      </c>
      <c r="AB630" s="1076" t="n">
        <v>0</v>
      </c>
      <c r="AC630" s="1076" t="n">
        <v>0</v>
      </c>
      <c r="AD630" s="1076" t="n">
        <v>0</v>
      </c>
      <c r="AE630" s="1076" t="n">
        <v>0</v>
      </c>
      <c r="AF630" s="1076" t="n">
        <v>0</v>
      </c>
      <c r="AG630" s="751"/>
    </row>
    <row r="631" customFormat="false" ht="11.25" hidden="false" customHeight="false" outlineLevel="0" collapsed="false">
      <c r="A631" s="934"/>
      <c r="B631" s="751"/>
      <c r="C631" s="751"/>
      <c r="D631" s="751"/>
      <c r="E631" s="751"/>
      <c r="F631" s="751"/>
      <c r="G631" s="751"/>
      <c r="H631" s="751"/>
      <c r="I631" s="1076"/>
      <c r="J631" s="1076"/>
      <c r="K631" s="1076"/>
      <c r="L631" s="1076"/>
      <c r="M631" s="1076"/>
      <c r="N631" s="1076"/>
      <c r="O631" s="1076"/>
      <c r="P631" s="1076"/>
      <c r="Q631" s="1076"/>
      <c r="R631" s="1076"/>
      <c r="S631" s="1076"/>
      <c r="T631" s="1076"/>
      <c r="U631" s="1076"/>
      <c r="V631" s="1076"/>
      <c r="W631" s="1076"/>
      <c r="X631" s="1076"/>
      <c r="Y631" s="1076"/>
      <c r="Z631" s="1076"/>
      <c r="AA631" s="1076"/>
      <c r="AB631" s="1076"/>
      <c r="AC631" s="1076"/>
      <c r="AD631" s="1076"/>
      <c r="AE631" s="1076"/>
      <c r="AF631" s="1076"/>
      <c r="AG631" s="751"/>
    </row>
    <row r="632" customFormat="false" ht="12" hidden="false" customHeight="false" outlineLevel="0" collapsed="false">
      <c r="A632" s="1100"/>
      <c r="B632" s="1101"/>
      <c r="C632" s="1102"/>
      <c r="D632" s="1101"/>
      <c r="E632" s="1101"/>
      <c r="F632" s="1101"/>
      <c r="G632" s="1102"/>
      <c r="H632" s="1103"/>
      <c r="I632" s="1104"/>
      <c r="J632" s="1101"/>
      <c r="K632" s="1101"/>
      <c r="L632" s="1105"/>
      <c r="M632" s="1105"/>
      <c r="N632" s="1105"/>
      <c r="O632" s="1105"/>
      <c r="P632" s="1105"/>
      <c r="Q632" s="1105"/>
      <c r="R632" s="1105"/>
      <c r="S632" s="1105"/>
      <c r="T632" s="1105"/>
      <c r="U632" s="1105"/>
      <c r="V632" s="1105"/>
      <c r="W632" s="1105"/>
      <c r="X632" s="1105"/>
      <c r="Y632" s="1105"/>
      <c r="Z632" s="1105"/>
      <c r="AA632" s="1105"/>
      <c r="AB632" s="1105"/>
      <c r="AC632" s="1105"/>
      <c r="AD632" s="1105"/>
      <c r="AE632" s="1105"/>
      <c r="AF632" s="1105"/>
      <c r="AG632" s="751"/>
    </row>
    <row r="633" customFormat="false" ht="12.75" hidden="false" customHeight="false" outlineLevel="0" collapsed="false">
      <c r="A633" s="934"/>
      <c r="B633" s="751"/>
      <c r="C633" s="751"/>
      <c r="D633" s="751"/>
      <c r="E633" s="751"/>
      <c r="F633" s="751"/>
      <c r="G633" s="751"/>
      <c r="H633" s="751"/>
      <c r="I633" s="751"/>
      <c r="J633" s="751"/>
      <c r="K633" s="751"/>
      <c r="L633" s="751"/>
      <c r="M633" s="751"/>
      <c r="N633" s="751"/>
      <c r="O633" s="751"/>
      <c r="P633" s="751"/>
      <c r="Q633" s="751"/>
      <c r="R633" s="751"/>
      <c r="S633" s="751"/>
      <c r="T633" s="751"/>
      <c r="U633" s="751"/>
      <c r="V633" s="751"/>
      <c r="W633" s="751"/>
      <c r="X633" s="751"/>
      <c r="Y633" s="751"/>
      <c r="Z633" s="751"/>
      <c r="AA633" s="751"/>
      <c r="AB633" s="751"/>
      <c r="AC633" s="751"/>
      <c r="AD633" s="751"/>
      <c r="AE633" s="751"/>
      <c r="AF633" s="751"/>
      <c r="AG633" s="751"/>
    </row>
    <row r="634" customFormat="false" ht="12.75" hidden="false" customHeight="false" outlineLevel="0" collapsed="false">
      <c r="A634" s="1106" t="s">
        <v>956</v>
      </c>
      <c r="B634" s="751"/>
      <c r="C634" s="751"/>
      <c r="D634" s="950"/>
      <c r="E634" s="947"/>
      <c r="F634" s="947"/>
      <c r="G634" s="947"/>
      <c r="H634" s="775" t="n">
        <f aca="false">H$599</f>
        <v>37802</v>
      </c>
      <c r="I634" s="984" t="n">
        <f aca="false">I$599</f>
        <v>37986</v>
      </c>
      <c r="J634" s="985" t="n">
        <f aca="false">J$599</f>
        <v>38352</v>
      </c>
      <c r="K634" s="985" t="n">
        <f aca="false">K$599</f>
        <v>38717</v>
      </c>
      <c r="L634" s="985" t="n">
        <f aca="false">L$599</f>
        <v>39082</v>
      </c>
      <c r="M634" s="985" t="n">
        <f aca="false">M$599</f>
        <v>39447</v>
      </c>
      <c r="N634" s="985" t="n">
        <f aca="false">N$599</f>
        <v>39813</v>
      </c>
      <c r="O634" s="985" t="n">
        <f aca="false">O$599</f>
        <v>40178</v>
      </c>
      <c r="P634" s="985" t="n">
        <f aca="false">P$599</f>
        <v>40543</v>
      </c>
      <c r="Q634" s="985" t="n">
        <f aca="false">Q$599</f>
        <v>40908</v>
      </c>
      <c r="R634" s="985" t="n">
        <f aca="false">R$599</f>
        <v>41274</v>
      </c>
      <c r="S634" s="985" t="n">
        <f aca="false">S$599</f>
        <v>41639</v>
      </c>
      <c r="T634" s="985" t="n">
        <f aca="false">T$599</f>
        <v>42004</v>
      </c>
      <c r="U634" s="985" t="n">
        <f aca="false">U$599</f>
        <v>42369</v>
      </c>
      <c r="V634" s="985" t="n">
        <f aca="false">V$599</f>
        <v>42735</v>
      </c>
      <c r="W634" s="985" t="n">
        <f aca="false">W$599</f>
        <v>43100</v>
      </c>
      <c r="X634" s="985" t="n">
        <f aca="false">X$599</f>
        <v>43465</v>
      </c>
      <c r="Y634" s="985" t="n">
        <f aca="false">Y$599</f>
        <v>43830</v>
      </c>
      <c r="Z634" s="985" t="n">
        <f aca="false">Z$599</f>
        <v>44196</v>
      </c>
      <c r="AA634" s="985" t="n">
        <f aca="false">AA$599</f>
        <v>44561</v>
      </c>
      <c r="AB634" s="985" t="n">
        <f aca="false">AB$599</f>
        <v>44926</v>
      </c>
      <c r="AC634" s="985" t="n">
        <f aca="false">AC$599</f>
        <v>45291</v>
      </c>
      <c r="AD634" s="985" t="n">
        <f aca="false">AD$599</f>
        <v>45657</v>
      </c>
      <c r="AE634" s="985" t="n">
        <f aca="false">AE$599</f>
        <v>46022</v>
      </c>
      <c r="AF634" s="985" t="n">
        <f aca="false">AF$599</f>
        <v>46387</v>
      </c>
      <c r="AG634" s="751"/>
    </row>
    <row r="635" customFormat="false" ht="12" hidden="false" customHeight="false" outlineLevel="0" collapsed="false">
      <c r="A635" s="1107" t="s">
        <v>957</v>
      </c>
      <c r="B635" s="751"/>
      <c r="C635" s="751"/>
      <c r="D635" s="950"/>
      <c r="E635" s="950"/>
      <c r="F635" s="950"/>
      <c r="G635" s="950"/>
      <c r="H635" s="950"/>
      <c r="I635" s="469"/>
      <c r="J635" s="1108"/>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751"/>
    </row>
    <row r="636" customFormat="false" ht="11.25" hidden="false" customHeight="false" outlineLevel="0" collapsed="false">
      <c r="A636" s="1109" t="s">
        <v>958</v>
      </c>
      <c r="B636" s="751"/>
      <c r="C636" s="950"/>
      <c r="D636" s="950"/>
      <c r="E636" s="950"/>
      <c r="F636" s="950"/>
      <c r="G636" s="950"/>
      <c r="H636" s="1110" t="n">
        <f aca="false">H314</f>
        <v>0</v>
      </c>
      <c r="I636" s="1110" t="e">
        <f aca="false">I314</f>
        <v>#VALUE!</v>
      </c>
      <c r="J636" s="1111" t="e">
        <f aca="false">J314</f>
        <v>#VALUE!</v>
      </c>
      <c r="K636" s="1112" t="e">
        <f aca="false">K314</f>
        <v>#VALUE!</v>
      </c>
      <c r="L636" s="1112" t="e">
        <f aca="false">L314</f>
        <v>#VALUE!</v>
      </c>
      <c r="M636" s="1112" t="e">
        <f aca="false">M314</f>
        <v>#VALUE!</v>
      </c>
      <c r="N636" s="1112" t="e">
        <f aca="false">N314</f>
        <v>#VALUE!</v>
      </c>
      <c r="O636" s="1112" t="e">
        <f aca="false">O314</f>
        <v>#VALUE!</v>
      </c>
      <c r="P636" s="1112" t="e">
        <f aca="false">P314</f>
        <v>#VALUE!</v>
      </c>
      <c r="Q636" s="1112" t="e">
        <f aca="false">Q314</f>
        <v>#VALUE!</v>
      </c>
      <c r="R636" s="1112" t="e">
        <f aca="false">R314</f>
        <v>#VALUE!</v>
      </c>
      <c r="S636" s="1112" t="e">
        <f aca="false">S314</f>
        <v>#VALUE!</v>
      </c>
      <c r="T636" s="1112" t="e">
        <f aca="false">T314</f>
        <v>#VALUE!</v>
      </c>
      <c r="U636" s="1112" t="e">
        <f aca="false">U314</f>
        <v>#VALUE!</v>
      </c>
      <c r="V636" s="1112" t="e">
        <f aca="false">V314</f>
        <v>#VALUE!</v>
      </c>
      <c r="W636" s="1112" t="e">
        <f aca="false">W314</f>
        <v>#VALUE!</v>
      </c>
      <c r="X636" s="1112" t="e">
        <f aca="false">X314</f>
        <v>#VALUE!</v>
      </c>
      <c r="Y636" s="1112" t="e">
        <f aca="false">Y314</f>
        <v>#VALUE!</v>
      </c>
      <c r="Z636" s="1112" t="e">
        <f aca="false">Z314</f>
        <v>#VALUE!</v>
      </c>
      <c r="AA636" s="1112" t="e">
        <f aca="false">AA314</f>
        <v>#VALUE!</v>
      </c>
      <c r="AB636" s="1112" t="e">
        <f aca="false">AB314</f>
        <v>#VALUE!</v>
      </c>
      <c r="AC636" s="1112" t="e">
        <f aca="false">AC314</f>
        <v>#VALUE!</v>
      </c>
      <c r="AD636" s="1112" t="e">
        <f aca="false">AD314</f>
        <v>#VALUE!</v>
      </c>
      <c r="AE636" s="1112" t="e">
        <f aca="false">AE314</f>
        <v>#VALUE!</v>
      </c>
      <c r="AF636" s="1112" t="e">
        <f aca="false">AF314</f>
        <v>#VALUE!</v>
      </c>
      <c r="AG636" s="751"/>
    </row>
    <row r="637" customFormat="false" ht="11.25" hidden="false" customHeight="false" outlineLevel="0" collapsed="false">
      <c r="A637" s="1109" t="s">
        <v>959</v>
      </c>
      <c r="B637" s="1109" t="s">
        <v>960</v>
      </c>
      <c r="C637" s="950"/>
      <c r="D637" s="950"/>
      <c r="E637" s="950"/>
      <c r="F637" s="950"/>
      <c r="G637" s="950"/>
      <c r="H637" s="1110" t="n">
        <f aca="false">H733+H616</f>
        <v>0</v>
      </c>
      <c r="I637" s="1110" t="n">
        <f aca="false">I733+I616</f>
        <v>11990.9279083</v>
      </c>
      <c r="J637" s="1111" t="n">
        <f aca="false">J733+J616</f>
        <v>23981.8558166</v>
      </c>
      <c r="K637" s="1110" t="n">
        <f aca="false">K733+K616</f>
        <v>23981.8558166</v>
      </c>
      <c r="L637" s="1110" t="n">
        <f aca="false">L733+L616</f>
        <v>23981.8558166</v>
      </c>
      <c r="M637" s="1110" t="n">
        <f aca="false">M733+M616</f>
        <v>23981.8558166</v>
      </c>
      <c r="N637" s="1110" t="n">
        <f aca="false">N733+N616</f>
        <v>23981.8558166</v>
      </c>
      <c r="O637" s="1110" t="n">
        <f aca="false">O733+O616</f>
        <v>23981.8558166</v>
      </c>
      <c r="P637" s="1110" t="n">
        <f aca="false">P733+P616</f>
        <v>23981.8558166</v>
      </c>
      <c r="Q637" s="1110" t="n">
        <f aca="false">Q733+Q616</f>
        <v>23981.8558166</v>
      </c>
      <c r="R637" s="1110" t="n">
        <f aca="false">R733+R616</f>
        <v>23981.8558166</v>
      </c>
      <c r="S637" s="1110" t="n">
        <f aca="false">S733+S616</f>
        <v>23981.8558166</v>
      </c>
      <c r="T637" s="1110" t="n">
        <f aca="false">T733+T616</f>
        <v>23981.8558166</v>
      </c>
      <c r="U637" s="1110" t="n">
        <f aca="false">U733+U616</f>
        <v>23981.8558166</v>
      </c>
      <c r="V637" s="1110" t="n">
        <f aca="false">V733+V616</f>
        <v>23981.8558166</v>
      </c>
      <c r="W637" s="1110" t="n">
        <f aca="false">W733+W616</f>
        <v>23981.8558166</v>
      </c>
      <c r="X637" s="1110" t="n">
        <f aca="false">X733+X616</f>
        <v>23981.8558166</v>
      </c>
      <c r="Y637" s="1110" t="n">
        <f aca="false">Y733+Y616</f>
        <v>23981.8558166</v>
      </c>
      <c r="Z637" s="1110" t="n">
        <f aca="false">Z733+Z616</f>
        <v>23981.8558166</v>
      </c>
      <c r="AA637" s="1110" t="n">
        <f aca="false">AA733+AA616</f>
        <v>23981.8558166</v>
      </c>
      <c r="AB637" s="1110" t="n">
        <f aca="false">AB733+AB616</f>
        <v>23981.8558166</v>
      </c>
      <c r="AC637" s="1110" t="n">
        <f aca="false">AC733+AC616</f>
        <v>11990.9279083</v>
      </c>
      <c r="AD637" s="1110" t="n">
        <f aca="false">AD733+AD616</f>
        <v>0</v>
      </c>
      <c r="AE637" s="1110" t="n">
        <f aca="false">AE733+AE616</f>
        <v>0</v>
      </c>
      <c r="AF637" s="1110" t="n">
        <f aca="false">AF733+AF616</f>
        <v>0</v>
      </c>
      <c r="AG637" s="751"/>
    </row>
    <row r="638" customFormat="false" ht="11.25" hidden="false" customHeight="false" outlineLevel="0" collapsed="false">
      <c r="A638" s="938"/>
      <c r="B638" s="1113" t="s">
        <v>961</v>
      </c>
      <c r="C638" s="751"/>
      <c r="D638" s="751"/>
      <c r="E638" s="751"/>
      <c r="F638" s="751"/>
      <c r="G638" s="751"/>
      <c r="H638" s="1114" t="n">
        <f aca="false">-H312</f>
        <v>-0</v>
      </c>
      <c r="I638" s="1114" t="n">
        <f aca="false">-I312</f>
        <v>-0</v>
      </c>
      <c r="J638" s="1115" t="n">
        <f aca="false">-J312</f>
        <v>-0</v>
      </c>
      <c r="K638" s="1114" t="n">
        <f aca="false">-K312</f>
        <v>-0</v>
      </c>
      <c r="L638" s="1114" t="n">
        <f aca="false">-L312</f>
        <v>-0</v>
      </c>
      <c r="M638" s="1114" t="n">
        <f aca="false">-M312</f>
        <v>-0</v>
      </c>
      <c r="N638" s="1114" t="n">
        <f aca="false">-N312</f>
        <v>-0</v>
      </c>
      <c r="O638" s="1114" t="n">
        <f aca="false">-O312</f>
        <v>-0</v>
      </c>
      <c r="P638" s="1114" t="n">
        <f aca="false">-P312</f>
        <v>-0</v>
      </c>
      <c r="Q638" s="1114" t="n">
        <f aca="false">-Q312</f>
        <v>-0</v>
      </c>
      <c r="R638" s="1114" t="n">
        <f aca="false">-R312</f>
        <v>-0</v>
      </c>
      <c r="S638" s="1114" t="n">
        <f aca="false">-S312</f>
        <v>-0</v>
      </c>
      <c r="T638" s="1114" t="n">
        <f aca="false">-T312</f>
        <v>-0</v>
      </c>
      <c r="U638" s="1114" t="n">
        <f aca="false">-U312</f>
        <v>-0</v>
      </c>
      <c r="V638" s="1114" t="n">
        <f aca="false">-V312</f>
        <v>-0</v>
      </c>
      <c r="W638" s="1114" t="n">
        <f aca="false">-W312</f>
        <v>-0</v>
      </c>
      <c r="X638" s="1114" t="n">
        <f aca="false">-X312</f>
        <v>-0</v>
      </c>
      <c r="Y638" s="1114" t="n">
        <f aca="false">-Y312</f>
        <v>-0</v>
      </c>
      <c r="Z638" s="1114" t="n">
        <f aca="false">-Z312</f>
        <v>-0</v>
      </c>
      <c r="AA638" s="1114" t="n">
        <f aca="false">-AA312</f>
        <v>-0</v>
      </c>
      <c r="AB638" s="1114" t="n">
        <f aca="false">-AB312</f>
        <v>-0</v>
      </c>
      <c r="AC638" s="1114" t="n">
        <f aca="false">-AC312</f>
        <v>-0</v>
      </c>
      <c r="AD638" s="1114" t="n">
        <f aca="false">-AD312</f>
        <v>-0</v>
      </c>
      <c r="AE638" s="1114" t="n">
        <f aca="false">-AE312</f>
        <v>-0</v>
      </c>
      <c r="AF638" s="1114" t="n">
        <f aca="false">-AF312</f>
        <v>-0</v>
      </c>
      <c r="AG638" s="751"/>
    </row>
    <row r="639" customFormat="false" ht="11.25" hidden="false" customHeight="false" outlineLevel="0" collapsed="false">
      <c r="A639" s="1109" t="s">
        <v>962</v>
      </c>
      <c r="B639" s="986" t="s">
        <v>963</v>
      </c>
      <c r="C639" s="950"/>
      <c r="D639" s="949"/>
      <c r="E639" s="949"/>
      <c r="F639" s="949"/>
      <c r="G639" s="949"/>
      <c r="H639" s="1110" t="n">
        <f aca="false">-(H734+H620)</f>
        <v>-0</v>
      </c>
      <c r="I639" s="1110" t="n">
        <f aca="false">-(I734+I620)</f>
        <v>-17986.39186245</v>
      </c>
      <c r="J639" s="1111" t="n">
        <f aca="false">-(J734+J620)</f>
        <v>-34625.0034280071</v>
      </c>
      <c r="K639" s="1110" t="n">
        <f aca="false">-(K734+K620)</f>
        <v>-32025.3702574876</v>
      </c>
      <c r="L639" s="1110" t="n">
        <f aca="false">-(L734+L620)</f>
        <v>-29627.1846758276</v>
      </c>
      <c r="M639" s="1110" t="n">
        <f aca="false">-(M734+M620)</f>
        <v>-27401.6684560471</v>
      </c>
      <c r="N639" s="1110" t="n">
        <f aca="false">-(N734+N620)</f>
        <v>-25348.8215981462</v>
      </c>
      <c r="O639" s="1110" t="n">
        <f aca="false">-(O734+O620)</f>
        <v>-23444.6622463081</v>
      </c>
      <c r="P639" s="1110" t="n">
        <f aca="false">-(P734+P620)</f>
        <v>-21689.190400533</v>
      </c>
      <c r="Q639" s="1110" t="n">
        <f aca="false">-(Q734+Q620)</f>
        <v>-21401.4081307338</v>
      </c>
      <c r="R639" s="1110" t="n">
        <f aca="false">-(R734+R620)</f>
        <v>-21396.6117595705</v>
      </c>
      <c r="S639" s="1110" t="n">
        <f aca="false">-(S734+S620)</f>
        <v>-21401.4081307338</v>
      </c>
      <c r="T639" s="1110" t="n">
        <f aca="false">-(T734+T620)</f>
        <v>-21396.6117595705</v>
      </c>
      <c r="U639" s="1110" t="n">
        <f aca="false">-(U734+U620)</f>
        <v>-21401.4081307338</v>
      </c>
      <c r="V639" s="1110" t="n">
        <f aca="false">-(V734+V620)</f>
        <v>-21396.6117595705</v>
      </c>
      <c r="W639" s="1110" t="n">
        <f aca="false">-(W734+W620)</f>
        <v>-21401.4081307338</v>
      </c>
      <c r="X639" s="1110" t="n">
        <f aca="false">-(X734+X620)</f>
        <v>-21396.6117595705</v>
      </c>
      <c r="Y639" s="1110" t="n">
        <f aca="false">-(Y734+Y620)</f>
        <v>-21401.4081307338</v>
      </c>
      <c r="Z639" s="1110" t="n">
        <f aca="false">-(Z734+Z620)</f>
        <v>-21396.6117595705</v>
      </c>
      <c r="AA639" s="1110" t="n">
        <f aca="false">-(AA734+AA620)</f>
        <v>-21401.4081307338</v>
      </c>
      <c r="AB639" s="1110" t="n">
        <f aca="false">-(AB734+AB620)</f>
        <v>-21396.6117595705</v>
      </c>
      <c r="AC639" s="1110" t="n">
        <f aca="false">-(AC734+AC620)</f>
        <v>-10700.7040653669</v>
      </c>
      <c r="AD639" s="1110" t="n">
        <f aca="false">-(AD734+AD620)</f>
        <v>-0</v>
      </c>
      <c r="AE639" s="1110" t="n">
        <f aca="false">-(AE734+AE620)</f>
        <v>-0</v>
      </c>
      <c r="AF639" s="1110" t="n">
        <f aca="false">-(AF734+AF620)</f>
        <v>-0</v>
      </c>
      <c r="AG639" s="751"/>
    </row>
    <row r="640" customFormat="false" ht="11.25" hidden="false" customHeight="false" outlineLevel="0" collapsed="false">
      <c r="A640" s="938"/>
      <c r="B640" s="1113" t="s">
        <v>964</v>
      </c>
      <c r="C640" s="751"/>
      <c r="D640" s="751"/>
      <c r="E640" s="751"/>
      <c r="F640" s="751"/>
      <c r="G640" s="751"/>
      <c r="H640" s="1114" t="n">
        <f aca="false">H619</f>
        <v>0</v>
      </c>
      <c r="I640" s="1114" t="n">
        <f aca="false">I619</f>
        <v>0</v>
      </c>
      <c r="J640" s="1115" t="n">
        <f aca="false">J619</f>
        <v>0</v>
      </c>
      <c r="K640" s="1116" t="n">
        <f aca="false">K619</f>
        <v>0</v>
      </c>
      <c r="L640" s="1116" t="n">
        <f aca="false">L619</f>
        <v>0</v>
      </c>
      <c r="M640" s="1116" t="n">
        <f aca="false">M619</f>
        <v>0</v>
      </c>
      <c r="N640" s="1116" t="n">
        <f aca="false">N619</f>
        <v>0</v>
      </c>
      <c r="O640" s="1116" t="n">
        <f aca="false">O619</f>
        <v>0</v>
      </c>
      <c r="P640" s="1116" t="n">
        <f aca="false">P619</f>
        <v>0</v>
      </c>
      <c r="Q640" s="1116" t="n">
        <f aca="false">Q619</f>
        <v>0</v>
      </c>
      <c r="R640" s="1116" t="n">
        <f aca="false">R619</f>
        <v>0</v>
      </c>
      <c r="S640" s="1116" t="n">
        <f aca="false">S619</f>
        <v>0</v>
      </c>
      <c r="T640" s="1116" t="n">
        <f aca="false">T619</f>
        <v>0</v>
      </c>
      <c r="U640" s="1116" t="n">
        <f aca="false">U619</f>
        <v>0</v>
      </c>
      <c r="V640" s="1116" t="n">
        <f aca="false">V619</f>
        <v>0</v>
      </c>
      <c r="W640" s="1116" t="n">
        <f aca="false">W619</f>
        <v>0</v>
      </c>
      <c r="X640" s="1116" t="n">
        <f aca="false">X619</f>
        <v>0</v>
      </c>
      <c r="Y640" s="1116" t="n">
        <f aca="false">Y619</f>
        <v>0</v>
      </c>
      <c r="Z640" s="1116" t="n">
        <f aca="false">Z619</f>
        <v>0</v>
      </c>
      <c r="AA640" s="1116" t="n">
        <f aca="false">AA619</f>
        <v>0</v>
      </c>
      <c r="AB640" s="1116" t="n">
        <f aca="false">AB619</f>
        <v>0</v>
      </c>
      <c r="AC640" s="1116" t="n">
        <f aca="false">AC619</f>
        <v>0</v>
      </c>
      <c r="AD640" s="1116" t="n">
        <f aca="false">AD619</f>
        <v>0</v>
      </c>
      <c r="AE640" s="1116" t="n">
        <f aca="false">AE619</f>
        <v>0</v>
      </c>
      <c r="AF640" s="1116" t="n">
        <f aca="false">AF619</f>
        <v>0</v>
      </c>
      <c r="AG640" s="751"/>
    </row>
    <row r="641" customFormat="false" ht="11.25" hidden="false" customHeight="false" outlineLevel="0" collapsed="false">
      <c r="A641" s="1109" t="s">
        <v>965</v>
      </c>
      <c r="B641" s="751"/>
      <c r="C641" s="950"/>
      <c r="D641" s="950"/>
      <c r="E641" s="950"/>
      <c r="F641" s="950"/>
      <c r="G641" s="950"/>
      <c r="H641" s="1117" t="n">
        <f aca="false">SUM(H636:H640)</f>
        <v>0</v>
      </c>
      <c r="I641" s="1117" t="e">
        <f aca="false">SUM(I636:I640)</f>
        <v>#VALUE!</v>
      </c>
      <c r="J641" s="1118" t="e">
        <f aca="false">SUM(J636:J640)</f>
        <v>#VALUE!</v>
      </c>
      <c r="K641" s="1117" t="e">
        <f aca="false">SUM(K636:K640)</f>
        <v>#VALUE!</v>
      </c>
      <c r="L641" s="1117" t="e">
        <f aca="false">SUM(L636:L640)</f>
        <v>#VALUE!</v>
      </c>
      <c r="M641" s="1117" t="e">
        <f aca="false">SUM(M636:M640)</f>
        <v>#VALUE!</v>
      </c>
      <c r="N641" s="1117" t="e">
        <f aca="false">SUM(N636:N640)</f>
        <v>#VALUE!</v>
      </c>
      <c r="O641" s="1117" t="e">
        <f aca="false">SUM(O636:O640)</f>
        <v>#VALUE!</v>
      </c>
      <c r="P641" s="1117" t="e">
        <f aca="false">SUM(P636:P640)</f>
        <v>#VALUE!</v>
      </c>
      <c r="Q641" s="1117" t="e">
        <f aca="false">SUM(Q636:Q640)</f>
        <v>#VALUE!</v>
      </c>
      <c r="R641" s="1117" t="e">
        <f aca="false">SUM(R636:R640)</f>
        <v>#VALUE!</v>
      </c>
      <c r="S641" s="1117" t="e">
        <f aca="false">SUM(S636:S640)</f>
        <v>#VALUE!</v>
      </c>
      <c r="T641" s="1117" t="e">
        <f aca="false">SUM(T636:T640)</f>
        <v>#VALUE!</v>
      </c>
      <c r="U641" s="1117" t="e">
        <f aca="false">SUM(U636:U640)</f>
        <v>#VALUE!</v>
      </c>
      <c r="V641" s="1117" t="e">
        <f aca="false">SUM(V636:V640)</f>
        <v>#VALUE!</v>
      </c>
      <c r="W641" s="1117" t="e">
        <f aca="false">SUM(W636:W640)</f>
        <v>#VALUE!</v>
      </c>
      <c r="X641" s="1117" t="e">
        <f aca="false">SUM(X636:X640)</f>
        <v>#VALUE!</v>
      </c>
      <c r="Y641" s="1117" t="e">
        <f aca="false">SUM(Y636:Y640)</f>
        <v>#VALUE!</v>
      </c>
      <c r="Z641" s="1117" t="e">
        <f aca="false">SUM(Z636:Z640)</f>
        <v>#VALUE!</v>
      </c>
      <c r="AA641" s="1117" t="e">
        <f aca="false">SUM(AA636:AA640)</f>
        <v>#VALUE!</v>
      </c>
      <c r="AB641" s="1117" t="e">
        <f aca="false">SUM(AB636:AB640)</f>
        <v>#VALUE!</v>
      </c>
      <c r="AC641" s="1117" t="e">
        <f aca="false">SUM(AC636:AC640)</f>
        <v>#VALUE!</v>
      </c>
      <c r="AD641" s="1117" t="e">
        <f aca="false">SUM(AD636:AD640)</f>
        <v>#VALUE!</v>
      </c>
      <c r="AE641" s="1117" t="e">
        <f aca="false">SUM(AE636:AE640)</f>
        <v>#VALUE!</v>
      </c>
      <c r="AF641" s="1117" t="e">
        <f aca="false">SUM(AF636:AF640)</f>
        <v>#VALUE!</v>
      </c>
      <c r="AG641" s="751"/>
    </row>
    <row r="642" customFormat="false" ht="11.25" hidden="false" customHeight="false" outlineLevel="0" collapsed="false">
      <c r="A642" s="1109"/>
      <c r="B642" s="751"/>
      <c r="C642" s="751"/>
      <c r="D642" s="751"/>
      <c r="E642" s="751"/>
      <c r="F642" s="751"/>
      <c r="G642" s="751"/>
      <c r="H642" s="1116"/>
      <c r="I642" s="1114"/>
      <c r="J642" s="1115"/>
      <c r="K642" s="1116"/>
      <c r="L642" s="1116"/>
      <c r="M642" s="1116"/>
      <c r="N642" s="1116"/>
      <c r="O642" s="1116"/>
      <c r="P642" s="1116"/>
      <c r="Q642" s="1116"/>
      <c r="R642" s="1116"/>
      <c r="S642" s="1116"/>
      <c r="T642" s="1116"/>
      <c r="U642" s="1116"/>
      <c r="V642" s="1116"/>
      <c r="W642" s="1116"/>
      <c r="X642" s="1116"/>
      <c r="Y642" s="1116"/>
      <c r="Z642" s="1116"/>
      <c r="AA642" s="1116"/>
      <c r="AB642" s="1116"/>
      <c r="AC642" s="1116"/>
      <c r="AD642" s="1116"/>
      <c r="AE642" s="1116"/>
      <c r="AF642" s="1116"/>
      <c r="AG642" s="751"/>
    </row>
    <row r="643" customFormat="false" ht="11.25" hidden="false" customHeight="false" outlineLevel="0" collapsed="false">
      <c r="A643" s="346" t="s">
        <v>966</v>
      </c>
      <c r="B643" s="346"/>
      <c r="C643" s="346"/>
      <c r="D643" s="346"/>
      <c r="E643" s="346"/>
      <c r="F643" s="346"/>
      <c r="G643" s="346"/>
      <c r="H643" s="1119" t="n">
        <f aca="false">G620</f>
        <v>0</v>
      </c>
      <c r="I643" s="1119" t="n">
        <f aca="false">H648</f>
        <v>0</v>
      </c>
      <c r="J643" s="1120" t="e">
        <f aca="false">I648</f>
        <v>#VALUE!</v>
      </c>
      <c r="K643" s="1121" t="e">
        <f aca="false">J648</f>
        <v>#VALUE!</v>
      </c>
      <c r="L643" s="1121" t="e">
        <f aca="false">K648</f>
        <v>#VALUE!</v>
      </c>
      <c r="M643" s="1121" t="e">
        <f aca="false">L648</f>
        <v>#VALUE!</v>
      </c>
      <c r="N643" s="1121" t="e">
        <f aca="false">M648</f>
        <v>#VALUE!</v>
      </c>
      <c r="O643" s="1121" t="e">
        <f aca="false">N648</f>
        <v>#VALUE!</v>
      </c>
      <c r="P643" s="1121" t="e">
        <f aca="false">O648</f>
        <v>#VALUE!</v>
      </c>
      <c r="Q643" s="1121" t="e">
        <f aca="false">P648</f>
        <v>#VALUE!</v>
      </c>
      <c r="R643" s="1121" t="e">
        <f aca="false">Q648</f>
        <v>#VALUE!</v>
      </c>
      <c r="S643" s="1121" t="e">
        <f aca="false">R648</f>
        <v>#VALUE!</v>
      </c>
      <c r="T643" s="1121" t="e">
        <f aca="false">S648</f>
        <v>#VALUE!</v>
      </c>
      <c r="U643" s="1121" t="e">
        <f aca="false">T648</f>
        <v>#VALUE!</v>
      </c>
      <c r="V643" s="1121" t="e">
        <f aca="false">U648</f>
        <v>#VALUE!</v>
      </c>
      <c r="W643" s="1121" t="e">
        <f aca="false">V648</f>
        <v>#VALUE!</v>
      </c>
      <c r="X643" s="1121" t="e">
        <f aca="false">W648</f>
        <v>#VALUE!</v>
      </c>
      <c r="Y643" s="1121" t="e">
        <f aca="false">X648</f>
        <v>#VALUE!</v>
      </c>
      <c r="Z643" s="1121" t="e">
        <f aca="false">Y648</f>
        <v>#VALUE!</v>
      </c>
      <c r="AA643" s="1121" t="e">
        <f aca="false">Z648</f>
        <v>#VALUE!</v>
      </c>
      <c r="AB643" s="1121" t="e">
        <f aca="false">AA648</f>
        <v>#VALUE!</v>
      </c>
      <c r="AC643" s="1121" t="e">
        <f aca="false">AB648</f>
        <v>#VALUE!</v>
      </c>
      <c r="AD643" s="1121" t="e">
        <f aca="false">AC648</f>
        <v>#VALUE!</v>
      </c>
      <c r="AE643" s="1121" t="e">
        <f aca="false">AD648</f>
        <v>#VALUE!</v>
      </c>
      <c r="AF643" s="1121" t="e">
        <f aca="false">AE648</f>
        <v>#VALUE!</v>
      </c>
      <c r="AG643" s="346"/>
      <c r="AH643" s="346"/>
      <c r="AI643" s="346"/>
      <c r="AJ643" s="346"/>
      <c r="AK643" s="346"/>
      <c r="AL643" s="346"/>
      <c r="AM643" s="346"/>
      <c r="AN643" s="346"/>
      <c r="AO643" s="346"/>
      <c r="AP643" s="346"/>
      <c r="AQ643" s="346"/>
      <c r="AR643" s="346"/>
      <c r="AS643" s="346"/>
      <c r="AT643" s="346"/>
      <c r="AU643" s="346"/>
      <c r="AV643" s="346"/>
      <c r="AW643" s="346"/>
      <c r="AX643" s="346"/>
      <c r="AY643" s="346"/>
      <c r="AZ643" s="346"/>
      <c r="BA643" s="346"/>
      <c r="BB643" s="346"/>
      <c r="BC643" s="346"/>
      <c r="BD643" s="346"/>
      <c r="BE643" s="346"/>
      <c r="BF643" s="346"/>
      <c r="BG643" s="346"/>
      <c r="BH643" s="346"/>
      <c r="BI643" s="346"/>
      <c r="BJ643" s="346"/>
      <c r="BK643" s="346"/>
      <c r="BL643" s="346"/>
      <c r="BM643" s="346"/>
      <c r="BN643" s="346"/>
      <c r="BO643" s="346"/>
      <c r="BP643" s="346"/>
      <c r="BQ643" s="346"/>
      <c r="BR643" s="346"/>
      <c r="BS643" s="346"/>
      <c r="BT643" s="346"/>
      <c r="BU643" s="346"/>
      <c r="BV643" s="346"/>
      <c r="BW643" s="346"/>
      <c r="BX643" s="346"/>
      <c r="BY643" s="346"/>
      <c r="BZ643" s="346"/>
      <c r="CA643" s="346"/>
      <c r="CB643" s="346"/>
      <c r="CC643" s="346"/>
      <c r="CD643" s="346"/>
      <c r="CE643" s="346"/>
      <c r="CF643" s="346"/>
      <c r="CG643" s="346"/>
      <c r="CH643" s="346"/>
      <c r="CI643" s="346"/>
      <c r="CJ643" s="346"/>
      <c r="CK643" s="346"/>
      <c r="CL643" s="346"/>
      <c r="CM643" s="346"/>
      <c r="CN643" s="346"/>
      <c r="CO643" s="346"/>
      <c r="CP643" s="346"/>
      <c r="CQ643" s="346"/>
      <c r="CR643" s="346"/>
      <c r="CS643" s="346"/>
      <c r="CT643" s="346"/>
      <c r="CU643" s="346"/>
      <c r="CV643" s="346"/>
      <c r="CW643" s="346"/>
      <c r="CX643" s="346"/>
      <c r="CY643" s="346"/>
      <c r="CZ643" s="346"/>
      <c r="DA643" s="346"/>
      <c r="DB643" s="346"/>
      <c r="DC643" s="346"/>
      <c r="DD643" s="346"/>
      <c r="DE643" s="346"/>
      <c r="DF643" s="346"/>
      <c r="DG643" s="346"/>
      <c r="DH643" s="346"/>
      <c r="DI643" s="346"/>
      <c r="DJ643" s="346"/>
      <c r="DK643" s="346"/>
      <c r="DL643" s="346"/>
      <c r="DM643" s="346"/>
      <c r="DN643" s="346"/>
      <c r="DO643" s="346"/>
      <c r="DP643" s="346"/>
      <c r="DQ643" s="346"/>
      <c r="DR643" s="346"/>
      <c r="DS643" s="346"/>
      <c r="DT643" s="346"/>
      <c r="DU643" s="346"/>
      <c r="DV643" s="346"/>
      <c r="DW643" s="346"/>
      <c r="DX643" s="346"/>
      <c r="DY643" s="346"/>
      <c r="DZ643" s="346"/>
      <c r="EA643" s="346"/>
      <c r="EB643" s="346"/>
      <c r="EC643" s="346"/>
      <c r="ED643" s="346"/>
      <c r="EE643" s="346"/>
      <c r="EF643" s="346"/>
      <c r="EG643" s="346"/>
      <c r="EH643" s="346"/>
      <c r="EI643" s="346"/>
      <c r="EJ643" s="346"/>
      <c r="EK643" s="346"/>
      <c r="EL643" s="346"/>
      <c r="EM643" s="346"/>
      <c r="EN643" s="346"/>
      <c r="EO643" s="346"/>
      <c r="EP643" s="346"/>
      <c r="EQ643" s="346"/>
      <c r="ER643" s="346"/>
      <c r="ES643" s="346"/>
      <c r="ET643" s="346"/>
      <c r="EU643" s="346"/>
      <c r="EV643" s="346"/>
      <c r="EW643" s="346"/>
      <c r="EX643" s="346"/>
      <c r="EY643" s="346"/>
      <c r="EZ643" s="346"/>
      <c r="FA643" s="346"/>
      <c r="FB643" s="346"/>
      <c r="FC643" s="346"/>
      <c r="FD643" s="346"/>
      <c r="FE643" s="346"/>
      <c r="FF643" s="346"/>
      <c r="FG643" s="346"/>
      <c r="FH643" s="346"/>
      <c r="FI643" s="346"/>
      <c r="FJ643" s="346"/>
      <c r="FK643" s="346"/>
      <c r="FL643" s="346"/>
      <c r="FM643" s="346"/>
      <c r="FN643" s="346"/>
      <c r="FO643" s="346"/>
      <c r="FP643" s="346"/>
      <c r="FQ643" s="346"/>
      <c r="FR643" s="346"/>
      <c r="FS643" s="346"/>
      <c r="FT643" s="346"/>
      <c r="FU643" s="346"/>
      <c r="FV643" s="346"/>
      <c r="FW643" s="346"/>
      <c r="FX643" s="346"/>
      <c r="FY643" s="346"/>
      <c r="FZ643" s="346"/>
      <c r="GA643" s="346"/>
      <c r="GB643" s="346"/>
      <c r="GC643" s="346"/>
      <c r="GD643" s="346"/>
      <c r="GE643" s="346"/>
      <c r="GF643" s="346"/>
      <c r="GG643" s="346"/>
      <c r="GH643" s="346"/>
      <c r="GI643" s="346"/>
      <c r="GJ643" s="346"/>
      <c r="GK643" s="346"/>
      <c r="GL643" s="346"/>
      <c r="GM643" s="346"/>
      <c r="GN643" s="346"/>
      <c r="GO643" s="346"/>
      <c r="GP643" s="346"/>
      <c r="GQ643" s="346"/>
      <c r="GR643" s="346"/>
      <c r="GS643" s="346"/>
      <c r="GT643" s="346"/>
      <c r="GU643" s="346"/>
      <c r="GV643" s="346"/>
      <c r="GW643" s="346"/>
      <c r="GX643" s="346"/>
      <c r="GY643" s="346"/>
      <c r="GZ643" s="346"/>
      <c r="HA643" s="346"/>
      <c r="HB643" s="346"/>
      <c r="HC643" s="346"/>
      <c r="HD643" s="346"/>
      <c r="HE643" s="346"/>
      <c r="HF643" s="346"/>
      <c r="HG643" s="346"/>
      <c r="HH643" s="346"/>
      <c r="HI643" s="346"/>
      <c r="HJ643" s="346"/>
      <c r="HK643" s="346"/>
      <c r="HL643" s="346"/>
      <c r="HM643" s="346"/>
      <c r="HN643" s="346"/>
      <c r="HO643" s="346"/>
      <c r="HP643" s="346"/>
      <c r="HQ643" s="346"/>
      <c r="HR643" s="346"/>
      <c r="HS643" s="346"/>
      <c r="HT643" s="346"/>
      <c r="HU643" s="346"/>
      <c r="HV643" s="346"/>
      <c r="HW643" s="346"/>
      <c r="HX643" s="346"/>
      <c r="HY643" s="346"/>
      <c r="HZ643" s="346"/>
      <c r="IA643" s="346"/>
      <c r="IB643" s="346"/>
      <c r="IC643" s="346"/>
      <c r="ID643" s="346"/>
      <c r="IE643" s="346"/>
      <c r="IF643" s="346"/>
      <c r="IG643" s="346"/>
      <c r="IH643" s="346"/>
      <c r="II643" s="346"/>
      <c r="IJ643" s="346"/>
      <c r="IK643" s="346"/>
      <c r="IL643" s="346"/>
      <c r="IM643" s="346"/>
      <c r="IN643" s="346"/>
      <c r="IO643" s="346"/>
      <c r="IP643" s="346"/>
      <c r="IQ643" s="346"/>
      <c r="IR643" s="346"/>
      <c r="IS643" s="346"/>
      <c r="IT643" s="346"/>
      <c r="IU643" s="346"/>
      <c r="IV643" s="346"/>
      <c r="IW643" s="346"/>
    </row>
    <row r="644" customFormat="false" ht="11.25" hidden="false" customHeight="false" outlineLevel="0" collapsed="false">
      <c r="A644" s="347" t="s">
        <v>967</v>
      </c>
      <c r="B644" s="346"/>
      <c r="C644" s="346"/>
      <c r="D644" s="346"/>
      <c r="E644" s="346"/>
      <c r="F644" s="346"/>
      <c r="G644" s="346"/>
      <c r="H644" s="1122" t="n">
        <v>0</v>
      </c>
      <c r="I644" s="1122" t="n">
        <v>0</v>
      </c>
      <c r="J644" s="1123" t="n">
        <v>0</v>
      </c>
      <c r="K644" s="1124" t="n">
        <v>0</v>
      </c>
      <c r="L644" s="1124" t="n">
        <v>0</v>
      </c>
      <c r="M644" s="1124" t="n">
        <v>0</v>
      </c>
      <c r="N644" s="1124" t="n">
        <v>0</v>
      </c>
      <c r="O644" s="1124" t="n">
        <v>0</v>
      </c>
      <c r="P644" s="1124" t="n">
        <v>0</v>
      </c>
      <c r="Q644" s="1124" t="n">
        <v>0</v>
      </c>
      <c r="R644" s="1124" t="n">
        <v>0</v>
      </c>
      <c r="S644" s="1124" t="n">
        <v>0</v>
      </c>
      <c r="T644" s="1124" t="n">
        <v>0</v>
      </c>
      <c r="U644" s="1124" t="n">
        <v>0</v>
      </c>
      <c r="V644" s="1124" t="n">
        <v>0</v>
      </c>
      <c r="W644" s="1124" t="n">
        <v>0</v>
      </c>
      <c r="X644" s="1124" t="n">
        <v>0</v>
      </c>
      <c r="Y644" s="1124" t="n">
        <v>0</v>
      </c>
      <c r="Z644" s="1124" t="n">
        <v>0</v>
      </c>
      <c r="AA644" s="1124" t="n">
        <v>0</v>
      </c>
      <c r="AB644" s="1124" t="n">
        <v>0</v>
      </c>
      <c r="AC644" s="1124" t="n">
        <v>0</v>
      </c>
      <c r="AD644" s="1124" t="n">
        <v>0</v>
      </c>
      <c r="AE644" s="1124" t="n">
        <v>0</v>
      </c>
      <c r="AF644" s="1124" t="n">
        <v>0</v>
      </c>
      <c r="AG644" s="346"/>
      <c r="AH644" s="346"/>
      <c r="AI644" s="346"/>
      <c r="AJ644" s="346"/>
      <c r="AK644" s="346"/>
      <c r="AL644" s="346"/>
      <c r="AM644" s="346"/>
      <c r="AN644" s="346"/>
      <c r="AO644" s="346"/>
      <c r="AP644" s="346"/>
      <c r="AQ644" s="346"/>
      <c r="AR644" s="346"/>
      <c r="AS644" s="346"/>
      <c r="AT644" s="346"/>
      <c r="AU644" s="346"/>
      <c r="AV644" s="346"/>
      <c r="AW644" s="346"/>
      <c r="AX644" s="346"/>
      <c r="AY644" s="346"/>
      <c r="AZ644" s="346"/>
      <c r="BA644" s="346"/>
      <c r="BB644" s="346"/>
      <c r="BC644" s="346"/>
      <c r="BD644" s="346"/>
      <c r="BE644" s="346"/>
      <c r="BF644" s="346"/>
      <c r="BG644" s="346"/>
      <c r="BH644" s="346"/>
      <c r="BI644" s="346"/>
      <c r="BJ644" s="346"/>
      <c r="BK644" s="346"/>
      <c r="BL644" s="346"/>
      <c r="BM644" s="346"/>
      <c r="BN644" s="346"/>
      <c r="BO644" s="346"/>
      <c r="BP644" s="346"/>
      <c r="BQ644" s="346"/>
      <c r="BR644" s="346"/>
      <c r="BS644" s="346"/>
      <c r="BT644" s="346"/>
      <c r="BU644" s="346"/>
      <c r="BV644" s="346"/>
      <c r="BW644" s="346"/>
      <c r="BX644" s="346"/>
      <c r="BY644" s="346"/>
      <c r="BZ644" s="346"/>
      <c r="CA644" s="346"/>
      <c r="CB644" s="346"/>
      <c r="CC644" s="346"/>
      <c r="CD644" s="346"/>
      <c r="CE644" s="346"/>
      <c r="CF644" s="346"/>
      <c r="CG644" s="346"/>
      <c r="CH644" s="346"/>
      <c r="CI644" s="346"/>
      <c r="CJ644" s="346"/>
      <c r="CK644" s="346"/>
      <c r="CL644" s="346"/>
      <c r="CM644" s="346"/>
      <c r="CN644" s="346"/>
      <c r="CO644" s="346"/>
      <c r="CP644" s="346"/>
      <c r="CQ644" s="346"/>
      <c r="CR644" s="346"/>
      <c r="CS644" s="346"/>
      <c r="CT644" s="346"/>
      <c r="CU644" s="346"/>
      <c r="CV644" s="346"/>
      <c r="CW644" s="346"/>
      <c r="CX644" s="346"/>
      <c r="CY644" s="346"/>
      <c r="CZ644" s="346"/>
      <c r="DA644" s="346"/>
      <c r="DB644" s="346"/>
      <c r="DC644" s="346"/>
      <c r="DD644" s="346"/>
      <c r="DE644" s="346"/>
      <c r="DF644" s="346"/>
      <c r="DG644" s="346"/>
      <c r="DH644" s="346"/>
      <c r="DI644" s="346"/>
      <c r="DJ644" s="346"/>
      <c r="DK644" s="346"/>
      <c r="DL644" s="346"/>
      <c r="DM644" s="346"/>
      <c r="DN644" s="346"/>
      <c r="DO644" s="346"/>
      <c r="DP644" s="346"/>
      <c r="DQ644" s="346"/>
      <c r="DR644" s="346"/>
      <c r="DS644" s="346"/>
      <c r="DT644" s="346"/>
      <c r="DU644" s="346"/>
      <c r="DV644" s="346"/>
      <c r="DW644" s="346"/>
      <c r="DX644" s="346"/>
      <c r="DY644" s="346"/>
      <c r="DZ644" s="346"/>
      <c r="EA644" s="346"/>
      <c r="EB644" s="346"/>
      <c r="EC644" s="346"/>
      <c r="ED644" s="346"/>
      <c r="EE644" s="346"/>
      <c r="EF644" s="346"/>
      <c r="EG644" s="346"/>
      <c r="EH644" s="346"/>
      <c r="EI644" s="346"/>
      <c r="EJ644" s="346"/>
      <c r="EK644" s="346"/>
      <c r="EL644" s="346"/>
      <c r="EM644" s="346"/>
      <c r="EN644" s="346"/>
      <c r="EO644" s="346"/>
      <c r="EP644" s="346"/>
      <c r="EQ644" s="346"/>
      <c r="ER644" s="346"/>
      <c r="ES644" s="346"/>
      <c r="ET644" s="346"/>
      <c r="EU644" s="346"/>
      <c r="EV644" s="346"/>
      <c r="EW644" s="346"/>
      <c r="EX644" s="346"/>
      <c r="EY644" s="346"/>
      <c r="EZ644" s="346"/>
      <c r="FA644" s="346"/>
      <c r="FB644" s="346"/>
      <c r="FC644" s="346"/>
      <c r="FD644" s="346"/>
      <c r="FE644" s="346"/>
      <c r="FF644" s="346"/>
      <c r="FG644" s="346"/>
      <c r="FH644" s="346"/>
      <c r="FI644" s="346"/>
      <c r="FJ644" s="346"/>
      <c r="FK644" s="346"/>
      <c r="FL644" s="346"/>
      <c r="FM644" s="346"/>
      <c r="FN644" s="346"/>
      <c r="FO644" s="346"/>
      <c r="FP644" s="346"/>
      <c r="FQ644" s="346"/>
      <c r="FR644" s="346"/>
      <c r="FS644" s="346"/>
      <c r="FT644" s="346"/>
      <c r="FU644" s="346"/>
      <c r="FV644" s="346"/>
      <c r="FW644" s="346"/>
      <c r="FX644" s="346"/>
      <c r="FY644" s="346"/>
      <c r="FZ644" s="346"/>
      <c r="GA644" s="346"/>
      <c r="GB644" s="346"/>
      <c r="GC644" s="346"/>
      <c r="GD644" s="346"/>
      <c r="GE644" s="346"/>
      <c r="GF644" s="346"/>
      <c r="GG644" s="346"/>
      <c r="GH644" s="346"/>
      <c r="GI644" s="346"/>
      <c r="GJ644" s="346"/>
      <c r="GK644" s="346"/>
      <c r="GL644" s="346"/>
      <c r="GM644" s="346"/>
      <c r="GN644" s="346"/>
      <c r="GO644" s="346"/>
      <c r="GP644" s="346"/>
      <c r="GQ644" s="346"/>
      <c r="GR644" s="346"/>
      <c r="GS644" s="346"/>
      <c r="GT644" s="346"/>
      <c r="GU644" s="346"/>
      <c r="GV644" s="346"/>
      <c r="GW644" s="346"/>
      <c r="GX644" s="346"/>
      <c r="GY644" s="346"/>
      <c r="GZ644" s="346"/>
      <c r="HA644" s="346"/>
      <c r="HB644" s="346"/>
      <c r="HC644" s="346"/>
      <c r="HD644" s="346"/>
      <c r="HE644" s="346"/>
      <c r="HF644" s="346"/>
      <c r="HG644" s="346"/>
      <c r="HH644" s="346"/>
      <c r="HI644" s="346"/>
      <c r="HJ644" s="346"/>
      <c r="HK644" s="346"/>
      <c r="HL644" s="346"/>
      <c r="HM644" s="346"/>
      <c r="HN644" s="346"/>
      <c r="HO644" s="346"/>
      <c r="HP644" s="346"/>
      <c r="HQ644" s="346"/>
      <c r="HR644" s="346"/>
      <c r="HS644" s="346"/>
      <c r="HT644" s="346"/>
      <c r="HU644" s="346"/>
      <c r="HV644" s="346"/>
      <c r="HW644" s="346"/>
      <c r="HX644" s="346"/>
      <c r="HY644" s="346"/>
      <c r="HZ644" s="346"/>
      <c r="IA644" s="346"/>
      <c r="IB644" s="346"/>
      <c r="IC644" s="346"/>
      <c r="ID644" s="346"/>
      <c r="IE644" s="346"/>
      <c r="IF644" s="346"/>
      <c r="IG644" s="346"/>
      <c r="IH644" s="346"/>
      <c r="II644" s="346"/>
      <c r="IJ644" s="346"/>
      <c r="IK644" s="346"/>
      <c r="IL644" s="346"/>
      <c r="IM644" s="346"/>
      <c r="IN644" s="346"/>
      <c r="IO644" s="346"/>
      <c r="IP644" s="346"/>
      <c r="IQ644" s="346"/>
      <c r="IR644" s="346"/>
      <c r="IS644" s="346"/>
      <c r="IT644" s="346"/>
      <c r="IU644" s="346"/>
      <c r="IV644" s="346"/>
      <c r="IW644" s="346"/>
    </row>
    <row r="645" customFormat="false" ht="11.25" hidden="false" customHeight="false" outlineLevel="0" collapsed="false">
      <c r="A645" s="347" t="s">
        <v>968</v>
      </c>
      <c r="B645" s="346"/>
      <c r="C645" s="346"/>
      <c r="D645" s="346"/>
      <c r="E645" s="346"/>
      <c r="F645" s="346"/>
      <c r="G645" s="346"/>
      <c r="H645" s="1119" t="n">
        <f aca="false">IF(H643-H644&lt;0,0,H643-H644)</f>
        <v>0</v>
      </c>
      <c r="I645" s="1119" t="n">
        <f aca="false">IF(I643-I644&lt;0,0,I643-I644)</f>
        <v>0</v>
      </c>
      <c r="J645" s="1120" t="e">
        <f aca="false">IF(J643-J644&lt;0,0,J643-J644)</f>
        <v>#VALUE!</v>
      </c>
      <c r="K645" s="1119" t="e">
        <f aca="false">IF(K643-K644&lt;0,0,K643-K644)</f>
        <v>#VALUE!</v>
      </c>
      <c r="L645" s="1119" t="e">
        <f aca="false">IF(L643-L644&lt;0,0,L643-L644)</f>
        <v>#VALUE!</v>
      </c>
      <c r="M645" s="1119" t="e">
        <f aca="false">IF(M643-M644&lt;0,0,M643-M644)</f>
        <v>#VALUE!</v>
      </c>
      <c r="N645" s="1119" t="e">
        <f aca="false">IF(N643-N644&lt;0,0,N643-N644)</f>
        <v>#VALUE!</v>
      </c>
      <c r="O645" s="1119" t="e">
        <f aca="false">IF(O643-O644&lt;0,0,O643-O644)</f>
        <v>#VALUE!</v>
      </c>
      <c r="P645" s="1119" t="e">
        <f aca="false">IF(P643-P644&lt;0,0,P643-P644)</f>
        <v>#VALUE!</v>
      </c>
      <c r="Q645" s="1119" t="e">
        <f aca="false">IF(Q643-Q644&lt;0,0,Q643-Q644)</f>
        <v>#VALUE!</v>
      </c>
      <c r="R645" s="1119" t="e">
        <f aca="false">IF(R643-R644&lt;0,0,R643-R644)</f>
        <v>#VALUE!</v>
      </c>
      <c r="S645" s="1119" t="e">
        <f aca="false">IF(S643-S644&lt;0,0,S643-S644)</f>
        <v>#VALUE!</v>
      </c>
      <c r="T645" s="1119" t="e">
        <f aca="false">IF(T643-T644&lt;0,0,T643-T644)</f>
        <v>#VALUE!</v>
      </c>
      <c r="U645" s="1119" t="e">
        <f aca="false">IF(U643-U644&lt;0,0,U643-U644)</f>
        <v>#VALUE!</v>
      </c>
      <c r="V645" s="1119" t="e">
        <f aca="false">IF(V643-V644&lt;0,0,V643-V644)</f>
        <v>#VALUE!</v>
      </c>
      <c r="W645" s="1119" t="e">
        <f aca="false">IF(W643-W644&lt;0,0,W643-W644)</f>
        <v>#VALUE!</v>
      </c>
      <c r="X645" s="1119" t="e">
        <f aca="false">IF(X643-X644&lt;0,0,X643-X644)</f>
        <v>#VALUE!</v>
      </c>
      <c r="Y645" s="1119" t="e">
        <f aca="false">IF(Y643-Y644&lt;0,0,Y643-Y644)</f>
        <v>#VALUE!</v>
      </c>
      <c r="Z645" s="1119" t="e">
        <f aca="false">IF(Z643-Z644&lt;0,0,Z643-Z644)</f>
        <v>#VALUE!</v>
      </c>
      <c r="AA645" s="1119" t="e">
        <f aca="false">IF(AA643-AA644&lt;0,0,AA643-AA644)</f>
        <v>#VALUE!</v>
      </c>
      <c r="AB645" s="1119" t="e">
        <f aca="false">IF(AB643-AB644&lt;0,0,AB643-AB644)</f>
        <v>#VALUE!</v>
      </c>
      <c r="AC645" s="1119" t="e">
        <f aca="false">IF(AC643-AC644&lt;0,0,AC643-AC644)</f>
        <v>#VALUE!</v>
      </c>
      <c r="AD645" s="1119" t="e">
        <f aca="false">IF(AD643-AD644&lt;0,0,AD643-AD644)</f>
        <v>#VALUE!</v>
      </c>
      <c r="AE645" s="1119" t="e">
        <f aca="false">IF(AE643-AE644&lt;0,0,AE643-AE644)</f>
        <v>#VALUE!</v>
      </c>
      <c r="AF645" s="1119" t="e">
        <f aca="false">IF(AF643-AF644&lt;0,0,AF643-AF644)</f>
        <v>#VALUE!</v>
      </c>
      <c r="AG645" s="346"/>
      <c r="AH645" s="346"/>
      <c r="AI645" s="346"/>
      <c r="AJ645" s="346"/>
      <c r="AK645" s="346"/>
      <c r="AL645" s="346"/>
      <c r="AM645" s="346"/>
      <c r="AN645" s="346"/>
      <c r="AO645" s="346"/>
      <c r="AP645" s="346"/>
      <c r="AQ645" s="346"/>
      <c r="AR645" s="346"/>
      <c r="AS645" s="346"/>
      <c r="AT645" s="346"/>
      <c r="AU645" s="346"/>
      <c r="AV645" s="346"/>
      <c r="AW645" s="346"/>
      <c r="AX645" s="346"/>
      <c r="AY645" s="346"/>
      <c r="AZ645" s="346"/>
      <c r="BA645" s="346"/>
      <c r="BB645" s="346"/>
      <c r="BC645" s="346"/>
      <c r="BD645" s="346"/>
      <c r="BE645" s="346"/>
      <c r="BF645" s="346"/>
      <c r="BG645" s="346"/>
      <c r="BH645" s="346"/>
      <c r="BI645" s="346"/>
      <c r="BJ645" s="346"/>
      <c r="BK645" s="346"/>
      <c r="BL645" s="346"/>
      <c r="BM645" s="346"/>
      <c r="BN645" s="346"/>
      <c r="BO645" s="346"/>
      <c r="BP645" s="346"/>
      <c r="BQ645" s="346"/>
      <c r="BR645" s="346"/>
      <c r="BS645" s="346"/>
      <c r="BT645" s="346"/>
      <c r="BU645" s="346"/>
      <c r="BV645" s="346"/>
      <c r="BW645" s="346"/>
      <c r="BX645" s="346"/>
      <c r="BY645" s="346"/>
      <c r="BZ645" s="346"/>
      <c r="CA645" s="346"/>
      <c r="CB645" s="346"/>
      <c r="CC645" s="346"/>
      <c r="CD645" s="346"/>
      <c r="CE645" s="346"/>
      <c r="CF645" s="346"/>
      <c r="CG645" s="346"/>
      <c r="CH645" s="346"/>
      <c r="CI645" s="346"/>
      <c r="CJ645" s="346"/>
      <c r="CK645" s="346"/>
      <c r="CL645" s="346"/>
      <c r="CM645" s="346"/>
      <c r="CN645" s="346"/>
      <c r="CO645" s="346"/>
      <c r="CP645" s="346"/>
      <c r="CQ645" s="346"/>
      <c r="CR645" s="346"/>
      <c r="CS645" s="346"/>
      <c r="CT645" s="346"/>
      <c r="CU645" s="346"/>
      <c r="CV645" s="346"/>
      <c r="CW645" s="346"/>
      <c r="CX645" s="346"/>
      <c r="CY645" s="346"/>
      <c r="CZ645" s="346"/>
      <c r="DA645" s="346"/>
      <c r="DB645" s="346"/>
      <c r="DC645" s="346"/>
      <c r="DD645" s="346"/>
      <c r="DE645" s="346"/>
      <c r="DF645" s="346"/>
      <c r="DG645" s="346"/>
      <c r="DH645" s="346"/>
      <c r="DI645" s="346"/>
      <c r="DJ645" s="346"/>
      <c r="DK645" s="346"/>
      <c r="DL645" s="346"/>
      <c r="DM645" s="346"/>
      <c r="DN645" s="346"/>
      <c r="DO645" s="346"/>
      <c r="DP645" s="346"/>
      <c r="DQ645" s="346"/>
      <c r="DR645" s="346"/>
      <c r="DS645" s="346"/>
      <c r="DT645" s="346"/>
      <c r="DU645" s="346"/>
      <c r="DV645" s="346"/>
      <c r="DW645" s="346"/>
      <c r="DX645" s="346"/>
      <c r="DY645" s="346"/>
      <c r="DZ645" s="346"/>
      <c r="EA645" s="346"/>
      <c r="EB645" s="346"/>
      <c r="EC645" s="346"/>
      <c r="ED645" s="346"/>
      <c r="EE645" s="346"/>
      <c r="EF645" s="346"/>
      <c r="EG645" s="346"/>
      <c r="EH645" s="346"/>
      <c r="EI645" s="346"/>
      <c r="EJ645" s="346"/>
      <c r="EK645" s="346"/>
      <c r="EL645" s="346"/>
      <c r="EM645" s="346"/>
      <c r="EN645" s="346"/>
      <c r="EO645" s="346"/>
      <c r="EP645" s="346"/>
      <c r="EQ645" s="346"/>
      <c r="ER645" s="346"/>
      <c r="ES645" s="346"/>
      <c r="ET645" s="346"/>
      <c r="EU645" s="346"/>
      <c r="EV645" s="346"/>
      <c r="EW645" s="346"/>
      <c r="EX645" s="346"/>
      <c r="EY645" s="346"/>
      <c r="EZ645" s="346"/>
      <c r="FA645" s="346"/>
      <c r="FB645" s="346"/>
      <c r="FC645" s="346"/>
      <c r="FD645" s="346"/>
      <c r="FE645" s="346"/>
      <c r="FF645" s="346"/>
      <c r="FG645" s="346"/>
      <c r="FH645" s="346"/>
      <c r="FI645" s="346"/>
      <c r="FJ645" s="346"/>
      <c r="FK645" s="346"/>
      <c r="FL645" s="346"/>
      <c r="FM645" s="346"/>
      <c r="FN645" s="346"/>
      <c r="FO645" s="346"/>
      <c r="FP645" s="346"/>
      <c r="FQ645" s="346"/>
      <c r="FR645" s="346"/>
      <c r="FS645" s="346"/>
      <c r="FT645" s="346"/>
      <c r="FU645" s="346"/>
      <c r="FV645" s="346"/>
      <c r="FW645" s="346"/>
      <c r="FX645" s="346"/>
      <c r="FY645" s="346"/>
      <c r="FZ645" s="346"/>
      <c r="GA645" s="346"/>
      <c r="GB645" s="346"/>
      <c r="GC645" s="346"/>
      <c r="GD645" s="346"/>
      <c r="GE645" s="346"/>
      <c r="GF645" s="346"/>
      <c r="GG645" s="346"/>
      <c r="GH645" s="346"/>
      <c r="GI645" s="346"/>
      <c r="GJ645" s="346"/>
      <c r="GK645" s="346"/>
      <c r="GL645" s="346"/>
      <c r="GM645" s="346"/>
      <c r="GN645" s="346"/>
      <c r="GO645" s="346"/>
      <c r="GP645" s="346"/>
      <c r="GQ645" s="346"/>
      <c r="GR645" s="346"/>
      <c r="GS645" s="346"/>
      <c r="GT645" s="346"/>
      <c r="GU645" s="346"/>
      <c r="GV645" s="346"/>
      <c r="GW645" s="346"/>
      <c r="GX645" s="346"/>
      <c r="GY645" s="346"/>
      <c r="GZ645" s="346"/>
      <c r="HA645" s="346"/>
      <c r="HB645" s="346"/>
      <c r="HC645" s="346"/>
      <c r="HD645" s="346"/>
      <c r="HE645" s="346"/>
      <c r="HF645" s="346"/>
      <c r="HG645" s="346"/>
      <c r="HH645" s="346"/>
      <c r="HI645" s="346"/>
      <c r="HJ645" s="346"/>
      <c r="HK645" s="346"/>
      <c r="HL645" s="346"/>
      <c r="HM645" s="346"/>
      <c r="HN645" s="346"/>
      <c r="HO645" s="346"/>
      <c r="HP645" s="346"/>
      <c r="HQ645" s="346"/>
      <c r="HR645" s="346"/>
      <c r="HS645" s="346"/>
      <c r="HT645" s="346"/>
      <c r="HU645" s="346"/>
      <c r="HV645" s="346"/>
      <c r="HW645" s="346"/>
      <c r="HX645" s="346"/>
      <c r="HY645" s="346"/>
      <c r="HZ645" s="346"/>
      <c r="IA645" s="346"/>
      <c r="IB645" s="346"/>
      <c r="IC645" s="346"/>
      <c r="ID645" s="346"/>
      <c r="IE645" s="346"/>
      <c r="IF645" s="346"/>
      <c r="IG645" s="346"/>
      <c r="IH645" s="346"/>
      <c r="II645" s="346"/>
      <c r="IJ645" s="346"/>
      <c r="IK645" s="346"/>
      <c r="IL645" s="346"/>
      <c r="IM645" s="346"/>
      <c r="IN645" s="346"/>
      <c r="IO645" s="346"/>
      <c r="IP645" s="346"/>
      <c r="IQ645" s="346"/>
      <c r="IR645" s="346"/>
      <c r="IS645" s="346"/>
      <c r="IT645" s="346"/>
      <c r="IU645" s="346"/>
      <c r="IV645" s="346"/>
      <c r="IW645" s="346"/>
    </row>
    <row r="646" customFormat="false" ht="11.25" hidden="false" customHeight="false" outlineLevel="0" collapsed="false">
      <c r="A646" s="347" t="s">
        <v>969</v>
      </c>
      <c r="B646" s="346"/>
      <c r="C646" s="346"/>
      <c r="D646" s="346"/>
      <c r="E646" s="346"/>
      <c r="F646" s="346"/>
      <c r="G646" s="346"/>
      <c r="H646" s="1119" t="n">
        <f aca="false">IF(H641&lt;=0,H641,0)</f>
        <v>0</v>
      </c>
      <c r="I646" s="1119" t="e">
        <f aca="false">IF(I641&lt;=0,I641,0)</f>
        <v>#VALUE!</v>
      </c>
      <c r="J646" s="1120" t="e">
        <f aca="false">IF(J641&lt;=0,J641,0)</f>
        <v>#VALUE!</v>
      </c>
      <c r="K646" s="1119" t="e">
        <f aca="false">IF(K641&lt;=0,K641,0)</f>
        <v>#VALUE!</v>
      </c>
      <c r="L646" s="1119" t="e">
        <f aca="false">IF(L641&lt;=0,L641,0)</f>
        <v>#VALUE!</v>
      </c>
      <c r="M646" s="1119" t="e">
        <f aca="false">IF(M641&lt;=0,M641,0)</f>
        <v>#VALUE!</v>
      </c>
      <c r="N646" s="1119" t="e">
        <f aca="false">IF(N641&lt;=0,N641,0)</f>
        <v>#VALUE!</v>
      </c>
      <c r="O646" s="1119" t="e">
        <f aca="false">IF(O641&lt;=0,O641,0)</f>
        <v>#VALUE!</v>
      </c>
      <c r="P646" s="1119" t="e">
        <f aca="false">IF(P641&lt;=0,P641,0)</f>
        <v>#VALUE!</v>
      </c>
      <c r="Q646" s="1119" t="e">
        <f aca="false">IF(Q641&lt;=0,Q641,0)</f>
        <v>#VALUE!</v>
      </c>
      <c r="R646" s="1119" t="e">
        <f aca="false">IF(R641&lt;=0,R641,0)</f>
        <v>#VALUE!</v>
      </c>
      <c r="S646" s="1119" t="e">
        <f aca="false">IF(S641&lt;=0,S641,0)</f>
        <v>#VALUE!</v>
      </c>
      <c r="T646" s="1119" t="e">
        <f aca="false">IF(T641&lt;=0,T641,0)</f>
        <v>#VALUE!</v>
      </c>
      <c r="U646" s="1119" t="e">
        <f aca="false">IF(U641&lt;=0,U641,0)</f>
        <v>#VALUE!</v>
      </c>
      <c r="V646" s="1119" t="e">
        <f aca="false">IF(V641&lt;=0,V641,0)</f>
        <v>#VALUE!</v>
      </c>
      <c r="W646" s="1119" t="e">
        <f aca="false">IF(W641&lt;=0,W641,0)</f>
        <v>#VALUE!</v>
      </c>
      <c r="X646" s="1119" t="e">
        <f aca="false">IF(X641&lt;=0,X641,0)</f>
        <v>#VALUE!</v>
      </c>
      <c r="Y646" s="1119" t="e">
        <f aca="false">IF(Y641&lt;=0,Y641,0)</f>
        <v>#VALUE!</v>
      </c>
      <c r="Z646" s="1119" t="e">
        <f aca="false">IF(Z641&lt;=0,Z641,0)</f>
        <v>#VALUE!</v>
      </c>
      <c r="AA646" s="1119" t="e">
        <f aca="false">IF(AA641&lt;=0,AA641,0)</f>
        <v>#VALUE!</v>
      </c>
      <c r="AB646" s="1119" t="e">
        <f aca="false">IF(AB641&lt;=0,AB641,0)</f>
        <v>#VALUE!</v>
      </c>
      <c r="AC646" s="1119" t="e">
        <f aca="false">IF(AC641&lt;=0,AC641,0)</f>
        <v>#VALUE!</v>
      </c>
      <c r="AD646" s="1119" t="e">
        <f aca="false">IF(AD641&lt;=0,AD641,0)</f>
        <v>#VALUE!</v>
      </c>
      <c r="AE646" s="1119" t="e">
        <f aca="false">IF(AE641&lt;=0,AE641,0)</f>
        <v>#VALUE!</v>
      </c>
      <c r="AF646" s="1119" t="e">
        <f aca="false">IF(AF641&lt;=0,AF641,0)</f>
        <v>#VALUE!</v>
      </c>
      <c r="AG646" s="346"/>
      <c r="AH646" s="346"/>
      <c r="AI646" s="346"/>
      <c r="AJ646" s="346"/>
      <c r="AK646" s="346"/>
      <c r="AL646" s="346"/>
      <c r="AM646" s="346"/>
      <c r="AN646" s="346"/>
      <c r="AO646" s="346"/>
      <c r="AP646" s="346"/>
      <c r="AQ646" s="346"/>
      <c r="AR646" s="346"/>
      <c r="AS646" s="346"/>
      <c r="AT646" s="346"/>
      <c r="AU646" s="346"/>
      <c r="AV646" s="346"/>
      <c r="AW646" s="346"/>
      <c r="AX646" s="346"/>
      <c r="AY646" s="346"/>
      <c r="AZ646" s="346"/>
      <c r="BA646" s="346"/>
      <c r="BB646" s="346"/>
      <c r="BC646" s="346"/>
      <c r="BD646" s="346"/>
      <c r="BE646" s="346"/>
      <c r="BF646" s="346"/>
      <c r="BG646" s="346"/>
      <c r="BH646" s="346"/>
      <c r="BI646" s="346"/>
      <c r="BJ646" s="346"/>
      <c r="BK646" s="346"/>
      <c r="BL646" s="346"/>
      <c r="BM646" s="346"/>
      <c r="BN646" s="346"/>
      <c r="BO646" s="346"/>
      <c r="BP646" s="346"/>
      <c r="BQ646" s="346"/>
      <c r="BR646" s="346"/>
      <c r="BS646" s="346"/>
      <c r="BT646" s="346"/>
      <c r="BU646" s="346"/>
      <c r="BV646" s="346"/>
      <c r="BW646" s="346"/>
      <c r="BX646" s="346"/>
      <c r="BY646" s="346"/>
      <c r="BZ646" s="346"/>
      <c r="CA646" s="346"/>
      <c r="CB646" s="346"/>
      <c r="CC646" s="346"/>
      <c r="CD646" s="346"/>
      <c r="CE646" s="346"/>
      <c r="CF646" s="346"/>
      <c r="CG646" s="346"/>
      <c r="CH646" s="346"/>
      <c r="CI646" s="346"/>
      <c r="CJ646" s="346"/>
      <c r="CK646" s="346"/>
      <c r="CL646" s="346"/>
      <c r="CM646" s="346"/>
      <c r="CN646" s="346"/>
      <c r="CO646" s="346"/>
      <c r="CP646" s="346"/>
      <c r="CQ646" s="346"/>
      <c r="CR646" s="346"/>
      <c r="CS646" s="346"/>
      <c r="CT646" s="346"/>
      <c r="CU646" s="346"/>
      <c r="CV646" s="346"/>
      <c r="CW646" s="346"/>
      <c r="CX646" s="346"/>
      <c r="CY646" s="346"/>
      <c r="CZ646" s="346"/>
      <c r="DA646" s="346"/>
      <c r="DB646" s="346"/>
      <c r="DC646" s="346"/>
      <c r="DD646" s="346"/>
      <c r="DE646" s="346"/>
      <c r="DF646" s="346"/>
      <c r="DG646" s="346"/>
      <c r="DH646" s="346"/>
      <c r="DI646" s="346"/>
      <c r="DJ646" s="346"/>
      <c r="DK646" s="346"/>
      <c r="DL646" s="346"/>
      <c r="DM646" s="346"/>
      <c r="DN646" s="346"/>
      <c r="DO646" s="346"/>
      <c r="DP646" s="346"/>
      <c r="DQ646" s="346"/>
      <c r="DR646" s="346"/>
      <c r="DS646" s="346"/>
      <c r="DT646" s="346"/>
      <c r="DU646" s="346"/>
      <c r="DV646" s="346"/>
      <c r="DW646" s="346"/>
      <c r="DX646" s="346"/>
      <c r="DY646" s="346"/>
      <c r="DZ646" s="346"/>
      <c r="EA646" s="346"/>
      <c r="EB646" s="346"/>
      <c r="EC646" s="346"/>
      <c r="ED646" s="346"/>
      <c r="EE646" s="346"/>
      <c r="EF646" s="346"/>
      <c r="EG646" s="346"/>
      <c r="EH646" s="346"/>
      <c r="EI646" s="346"/>
      <c r="EJ646" s="346"/>
      <c r="EK646" s="346"/>
      <c r="EL646" s="346"/>
      <c r="EM646" s="346"/>
      <c r="EN646" s="346"/>
      <c r="EO646" s="346"/>
      <c r="EP646" s="346"/>
      <c r="EQ646" s="346"/>
      <c r="ER646" s="346"/>
      <c r="ES646" s="346"/>
      <c r="ET646" s="346"/>
      <c r="EU646" s="346"/>
      <c r="EV646" s="346"/>
      <c r="EW646" s="346"/>
      <c r="EX646" s="346"/>
      <c r="EY646" s="346"/>
      <c r="EZ646" s="346"/>
      <c r="FA646" s="346"/>
      <c r="FB646" s="346"/>
      <c r="FC646" s="346"/>
      <c r="FD646" s="346"/>
      <c r="FE646" s="346"/>
      <c r="FF646" s="346"/>
      <c r="FG646" s="346"/>
      <c r="FH646" s="346"/>
      <c r="FI646" s="346"/>
      <c r="FJ646" s="346"/>
      <c r="FK646" s="346"/>
      <c r="FL646" s="346"/>
      <c r="FM646" s="346"/>
      <c r="FN646" s="346"/>
      <c r="FO646" s="346"/>
      <c r="FP646" s="346"/>
      <c r="FQ646" s="346"/>
      <c r="FR646" s="346"/>
      <c r="FS646" s="346"/>
      <c r="FT646" s="346"/>
      <c r="FU646" s="346"/>
      <c r="FV646" s="346"/>
      <c r="FW646" s="346"/>
      <c r="FX646" s="346"/>
      <c r="FY646" s="346"/>
      <c r="FZ646" s="346"/>
      <c r="GA646" s="346"/>
      <c r="GB646" s="346"/>
      <c r="GC646" s="346"/>
      <c r="GD646" s="346"/>
      <c r="GE646" s="346"/>
      <c r="GF646" s="346"/>
      <c r="GG646" s="346"/>
      <c r="GH646" s="346"/>
      <c r="GI646" s="346"/>
      <c r="GJ646" s="346"/>
      <c r="GK646" s="346"/>
      <c r="GL646" s="346"/>
      <c r="GM646" s="346"/>
      <c r="GN646" s="346"/>
      <c r="GO646" s="346"/>
      <c r="GP646" s="346"/>
      <c r="GQ646" s="346"/>
      <c r="GR646" s="346"/>
      <c r="GS646" s="346"/>
      <c r="GT646" s="346"/>
      <c r="GU646" s="346"/>
      <c r="GV646" s="346"/>
      <c r="GW646" s="346"/>
      <c r="GX646" s="346"/>
      <c r="GY646" s="346"/>
      <c r="GZ646" s="346"/>
      <c r="HA646" s="346"/>
      <c r="HB646" s="346"/>
      <c r="HC646" s="346"/>
      <c r="HD646" s="346"/>
      <c r="HE646" s="346"/>
      <c r="HF646" s="346"/>
      <c r="HG646" s="346"/>
      <c r="HH646" s="346"/>
      <c r="HI646" s="346"/>
      <c r="HJ646" s="346"/>
      <c r="HK646" s="346"/>
      <c r="HL646" s="346"/>
      <c r="HM646" s="346"/>
      <c r="HN646" s="346"/>
      <c r="HO646" s="346"/>
      <c r="HP646" s="346"/>
      <c r="HQ646" s="346"/>
      <c r="HR646" s="346"/>
      <c r="HS646" s="346"/>
      <c r="HT646" s="346"/>
      <c r="HU646" s="346"/>
      <c r="HV646" s="346"/>
      <c r="HW646" s="346"/>
      <c r="HX646" s="346"/>
      <c r="HY646" s="346"/>
      <c r="HZ646" s="346"/>
      <c r="IA646" s="346"/>
      <c r="IB646" s="346"/>
      <c r="IC646" s="346"/>
      <c r="ID646" s="346"/>
      <c r="IE646" s="346"/>
      <c r="IF646" s="346"/>
      <c r="IG646" s="346"/>
      <c r="IH646" s="346"/>
      <c r="II646" s="346"/>
      <c r="IJ646" s="346"/>
      <c r="IK646" s="346"/>
      <c r="IL646" s="346"/>
      <c r="IM646" s="346"/>
      <c r="IN646" s="346"/>
      <c r="IO646" s="346"/>
      <c r="IP646" s="346"/>
      <c r="IQ646" s="346"/>
      <c r="IR646" s="346"/>
      <c r="IS646" s="346"/>
      <c r="IT646" s="346"/>
      <c r="IU646" s="346"/>
      <c r="IV646" s="346"/>
      <c r="IW646" s="346"/>
    </row>
    <row r="647" customFormat="false" ht="11.25" hidden="false" customHeight="false" outlineLevel="0" collapsed="false">
      <c r="A647" s="347" t="s">
        <v>970</v>
      </c>
      <c r="B647" s="346"/>
      <c r="C647" s="346"/>
      <c r="D647" s="346"/>
      <c r="E647" s="346"/>
      <c r="F647" s="346"/>
      <c r="G647" s="346"/>
      <c r="H647" s="1119" t="n">
        <f aca="false">IF(H641&gt;0,IF(H645&lt;=H641,H645,H641),0)</f>
        <v>0</v>
      </c>
      <c r="I647" s="1119" t="e">
        <f aca="false">IF(I641&gt;0,IF(I645&lt;=I641,I645,I641),0)</f>
        <v>#VALUE!</v>
      </c>
      <c r="J647" s="1120" t="e">
        <f aca="false">IF(J641&gt;0,IF(J645&lt;=J641,J645,J641),0)</f>
        <v>#VALUE!</v>
      </c>
      <c r="K647" s="1119" t="e">
        <f aca="false">IF(K641&gt;0,IF(K645&lt;=K641,K645,K641),0)</f>
        <v>#VALUE!</v>
      </c>
      <c r="L647" s="1119" t="e">
        <f aca="false">IF(L641&gt;0,IF(L645&lt;=L641,L645,L641),0)</f>
        <v>#VALUE!</v>
      </c>
      <c r="M647" s="1119" t="e">
        <f aca="false">IF(M641&gt;0,IF(M645&lt;=M641,M645,M641),0)</f>
        <v>#VALUE!</v>
      </c>
      <c r="N647" s="1119" t="e">
        <f aca="false">IF(N641&gt;0,IF(N645&lt;=N641,N645,N641),0)</f>
        <v>#VALUE!</v>
      </c>
      <c r="O647" s="1119" t="e">
        <f aca="false">IF(O641&gt;0,IF(O645&lt;=O641,O645,O641),0)</f>
        <v>#VALUE!</v>
      </c>
      <c r="P647" s="1119" t="e">
        <f aca="false">IF(P641&gt;0,IF(P645&lt;=P641,P645,P641),0)</f>
        <v>#VALUE!</v>
      </c>
      <c r="Q647" s="1119" t="e">
        <f aca="false">IF(Q641&gt;0,IF(Q645&lt;=Q641,Q645,Q641),0)</f>
        <v>#VALUE!</v>
      </c>
      <c r="R647" s="1119" t="e">
        <f aca="false">IF(R641&gt;0,IF(R645&lt;=R641,R645,R641),0)</f>
        <v>#VALUE!</v>
      </c>
      <c r="S647" s="1119" t="e">
        <f aca="false">IF(S641&gt;0,IF(S645&lt;=S641,S645,S641),0)</f>
        <v>#VALUE!</v>
      </c>
      <c r="T647" s="1119" t="e">
        <f aca="false">IF(T641&gt;0,IF(T645&lt;=T641,T645,T641),0)</f>
        <v>#VALUE!</v>
      </c>
      <c r="U647" s="1119" t="e">
        <f aca="false">IF(U641&gt;0,IF(U645&lt;=U641,U645,U641),0)</f>
        <v>#VALUE!</v>
      </c>
      <c r="V647" s="1119" t="e">
        <f aca="false">IF(V641&gt;0,IF(V645&lt;=V641,V645,V641),0)</f>
        <v>#VALUE!</v>
      </c>
      <c r="W647" s="1119" t="e">
        <f aca="false">IF(W641&gt;0,IF(W645&lt;=W641,W645,W641),0)</f>
        <v>#VALUE!</v>
      </c>
      <c r="X647" s="1119" t="e">
        <f aca="false">IF(X641&gt;0,IF(X645&lt;=X641,X645,X641),0)</f>
        <v>#VALUE!</v>
      </c>
      <c r="Y647" s="1119" t="e">
        <f aca="false">IF(Y641&gt;0,IF(Y645&lt;=Y641,Y645,Y641),0)</f>
        <v>#VALUE!</v>
      </c>
      <c r="Z647" s="1119" t="e">
        <f aca="false">IF(Z641&gt;0,IF(Z645&lt;=Z641,Z645,Z641),0)</f>
        <v>#VALUE!</v>
      </c>
      <c r="AA647" s="1119" t="e">
        <f aca="false">IF(AA641&gt;0,IF(AA645&lt;=AA641,AA645,AA641),0)</f>
        <v>#VALUE!</v>
      </c>
      <c r="AB647" s="1119" t="e">
        <f aca="false">IF(AB641&gt;0,IF(AB645&lt;=AB641,AB645,AB641),0)</f>
        <v>#VALUE!</v>
      </c>
      <c r="AC647" s="1119" t="e">
        <f aca="false">IF(AC641&gt;0,IF(AC645&lt;=AC641,AC645,AC641),0)</f>
        <v>#VALUE!</v>
      </c>
      <c r="AD647" s="1119" t="e">
        <f aca="false">IF(AD641&gt;0,IF(AD645&lt;=AD641,AD645,AD641),0)</f>
        <v>#VALUE!</v>
      </c>
      <c r="AE647" s="1119" t="e">
        <f aca="false">IF(AE641&gt;0,IF(AE645&lt;=AE641,AE645,AE641),0)</f>
        <v>#VALUE!</v>
      </c>
      <c r="AF647" s="1119" t="e">
        <f aca="false">IF(AF641&gt;0,IF(AF645&lt;=AF641,AF645,AF641),0)</f>
        <v>#VALUE!</v>
      </c>
      <c r="AG647" s="346"/>
      <c r="AH647" s="346"/>
      <c r="AI647" s="346"/>
      <c r="AJ647" s="346"/>
      <c r="AK647" s="346"/>
      <c r="AL647" s="346"/>
      <c r="AM647" s="346"/>
      <c r="AN647" s="346"/>
      <c r="AO647" s="346"/>
      <c r="AP647" s="346"/>
      <c r="AQ647" s="346"/>
      <c r="AR647" s="346"/>
      <c r="AS647" s="346"/>
      <c r="AT647" s="346"/>
      <c r="AU647" s="346"/>
      <c r="AV647" s="346"/>
      <c r="AW647" s="346"/>
      <c r="AX647" s="346"/>
      <c r="AY647" s="346"/>
      <c r="AZ647" s="346"/>
      <c r="BA647" s="346"/>
      <c r="BB647" s="346"/>
      <c r="BC647" s="346"/>
      <c r="BD647" s="346"/>
      <c r="BE647" s="346"/>
      <c r="BF647" s="346"/>
      <c r="BG647" s="346"/>
      <c r="BH647" s="346"/>
      <c r="BI647" s="346"/>
      <c r="BJ647" s="346"/>
      <c r="BK647" s="346"/>
      <c r="BL647" s="346"/>
      <c r="BM647" s="346"/>
      <c r="BN647" s="346"/>
      <c r="BO647" s="346"/>
      <c r="BP647" s="346"/>
      <c r="BQ647" s="346"/>
      <c r="BR647" s="346"/>
      <c r="BS647" s="346"/>
      <c r="BT647" s="346"/>
      <c r="BU647" s="346"/>
      <c r="BV647" s="346"/>
      <c r="BW647" s="346"/>
      <c r="BX647" s="346"/>
      <c r="BY647" s="346"/>
      <c r="BZ647" s="346"/>
      <c r="CA647" s="346"/>
      <c r="CB647" s="346"/>
      <c r="CC647" s="346"/>
      <c r="CD647" s="346"/>
      <c r="CE647" s="346"/>
      <c r="CF647" s="346"/>
      <c r="CG647" s="346"/>
      <c r="CH647" s="346"/>
      <c r="CI647" s="346"/>
      <c r="CJ647" s="346"/>
      <c r="CK647" s="346"/>
      <c r="CL647" s="346"/>
      <c r="CM647" s="346"/>
      <c r="CN647" s="346"/>
      <c r="CO647" s="346"/>
      <c r="CP647" s="346"/>
      <c r="CQ647" s="346"/>
      <c r="CR647" s="346"/>
      <c r="CS647" s="346"/>
      <c r="CT647" s="346"/>
      <c r="CU647" s="346"/>
      <c r="CV647" s="346"/>
      <c r="CW647" s="346"/>
      <c r="CX647" s="346"/>
      <c r="CY647" s="346"/>
      <c r="CZ647" s="346"/>
      <c r="DA647" s="346"/>
      <c r="DB647" s="346"/>
      <c r="DC647" s="346"/>
      <c r="DD647" s="346"/>
      <c r="DE647" s="346"/>
      <c r="DF647" s="346"/>
      <c r="DG647" s="346"/>
      <c r="DH647" s="346"/>
      <c r="DI647" s="346"/>
      <c r="DJ647" s="346"/>
      <c r="DK647" s="346"/>
      <c r="DL647" s="346"/>
      <c r="DM647" s="346"/>
      <c r="DN647" s="346"/>
      <c r="DO647" s="346"/>
      <c r="DP647" s="346"/>
      <c r="DQ647" s="346"/>
      <c r="DR647" s="346"/>
      <c r="DS647" s="346"/>
      <c r="DT647" s="346"/>
      <c r="DU647" s="346"/>
      <c r="DV647" s="346"/>
      <c r="DW647" s="346"/>
      <c r="DX647" s="346"/>
      <c r="DY647" s="346"/>
      <c r="DZ647" s="346"/>
      <c r="EA647" s="346"/>
      <c r="EB647" s="346"/>
      <c r="EC647" s="346"/>
      <c r="ED647" s="346"/>
      <c r="EE647" s="346"/>
      <c r="EF647" s="346"/>
      <c r="EG647" s="346"/>
      <c r="EH647" s="346"/>
      <c r="EI647" s="346"/>
      <c r="EJ647" s="346"/>
      <c r="EK647" s="346"/>
      <c r="EL647" s="346"/>
      <c r="EM647" s="346"/>
      <c r="EN647" s="346"/>
      <c r="EO647" s="346"/>
      <c r="EP647" s="346"/>
      <c r="EQ647" s="346"/>
      <c r="ER647" s="346"/>
      <c r="ES647" s="346"/>
      <c r="ET647" s="346"/>
      <c r="EU647" s="346"/>
      <c r="EV647" s="346"/>
      <c r="EW647" s="346"/>
      <c r="EX647" s="346"/>
      <c r="EY647" s="346"/>
      <c r="EZ647" s="346"/>
      <c r="FA647" s="346"/>
      <c r="FB647" s="346"/>
      <c r="FC647" s="346"/>
      <c r="FD647" s="346"/>
      <c r="FE647" s="346"/>
      <c r="FF647" s="346"/>
      <c r="FG647" s="346"/>
      <c r="FH647" s="346"/>
      <c r="FI647" s="346"/>
      <c r="FJ647" s="346"/>
      <c r="FK647" s="346"/>
      <c r="FL647" s="346"/>
      <c r="FM647" s="346"/>
      <c r="FN647" s="346"/>
      <c r="FO647" s="346"/>
      <c r="FP647" s="346"/>
      <c r="FQ647" s="346"/>
      <c r="FR647" s="346"/>
      <c r="FS647" s="346"/>
      <c r="FT647" s="346"/>
      <c r="FU647" s="346"/>
      <c r="FV647" s="346"/>
      <c r="FW647" s="346"/>
      <c r="FX647" s="346"/>
      <c r="FY647" s="346"/>
      <c r="FZ647" s="346"/>
      <c r="GA647" s="346"/>
      <c r="GB647" s="346"/>
      <c r="GC647" s="346"/>
      <c r="GD647" s="346"/>
      <c r="GE647" s="346"/>
      <c r="GF647" s="346"/>
      <c r="GG647" s="346"/>
      <c r="GH647" s="346"/>
      <c r="GI647" s="346"/>
      <c r="GJ647" s="346"/>
      <c r="GK647" s="346"/>
      <c r="GL647" s="346"/>
      <c r="GM647" s="346"/>
      <c r="GN647" s="346"/>
      <c r="GO647" s="346"/>
      <c r="GP647" s="346"/>
      <c r="GQ647" s="346"/>
      <c r="GR647" s="346"/>
      <c r="GS647" s="346"/>
      <c r="GT647" s="346"/>
      <c r="GU647" s="346"/>
      <c r="GV647" s="346"/>
      <c r="GW647" s="346"/>
      <c r="GX647" s="346"/>
      <c r="GY647" s="346"/>
      <c r="GZ647" s="346"/>
      <c r="HA647" s="346"/>
      <c r="HB647" s="346"/>
      <c r="HC647" s="346"/>
      <c r="HD647" s="346"/>
      <c r="HE647" s="346"/>
      <c r="HF647" s="346"/>
      <c r="HG647" s="346"/>
      <c r="HH647" s="346"/>
      <c r="HI647" s="346"/>
      <c r="HJ647" s="346"/>
      <c r="HK647" s="346"/>
      <c r="HL647" s="346"/>
      <c r="HM647" s="346"/>
      <c r="HN647" s="346"/>
      <c r="HO647" s="346"/>
      <c r="HP647" s="346"/>
      <c r="HQ647" s="346"/>
      <c r="HR647" s="346"/>
      <c r="HS647" s="346"/>
      <c r="HT647" s="346"/>
      <c r="HU647" s="346"/>
      <c r="HV647" s="346"/>
      <c r="HW647" s="346"/>
      <c r="HX647" s="346"/>
      <c r="HY647" s="346"/>
      <c r="HZ647" s="346"/>
      <c r="IA647" s="346"/>
      <c r="IB647" s="346"/>
      <c r="IC647" s="346"/>
      <c r="ID647" s="346"/>
      <c r="IE647" s="346"/>
      <c r="IF647" s="346"/>
      <c r="IG647" s="346"/>
      <c r="IH647" s="346"/>
      <c r="II647" s="346"/>
      <c r="IJ647" s="346"/>
      <c r="IK647" s="346"/>
      <c r="IL647" s="346"/>
      <c r="IM647" s="346"/>
      <c r="IN647" s="346"/>
      <c r="IO647" s="346"/>
      <c r="IP647" s="346"/>
      <c r="IQ647" s="346"/>
      <c r="IR647" s="346"/>
      <c r="IS647" s="346"/>
      <c r="IT647" s="346"/>
      <c r="IU647" s="346"/>
      <c r="IV647" s="346"/>
      <c r="IW647" s="346"/>
    </row>
    <row r="648" customFormat="false" ht="11.25" hidden="false" customHeight="false" outlineLevel="0" collapsed="false">
      <c r="A648" s="347" t="s">
        <v>971</v>
      </c>
      <c r="B648" s="346"/>
      <c r="C648" s="346"/>
      <c r="D648" s="346"/>
      <c r="E648" s="346"/>
      <c r="F648" s="346"/>
      <c r="G648" s="346"/>
      <c r="H648" s="1125" t="n">
        <f aca="false">IF(H645-H646-H647&lt;0,0,H645-H646-H647)</f>
        <v>0</v>
      </c>
      <c r="I648" s="1125" t="e">
        <f aca="false">IF(I645-I646-I647&lt;0,0,I645-I646-I647)</f>
        <v>#VALUE!</v>
      </c>
      <c r="J648" s="1126" t="e">
        <f aca="false">IF(J645-J646-J647&lt;0,0,J645-J646-J647)</f>
        <v>#VALUE!</v>
      </c>
      <c r="K648" s="1125" t="e">
        <f aca="false">IF(K645-K646-K647&lt;0,0,K645-K646-K647)</f>
        <v>#VALUE!</v>
      </c>
      <c r="L648" s="1125" t="e">
        <f aca="false">IF(L645-L646-L647&lt;0,0,L645-L646-L647)</f>
        <v>#VALUE!</v>
      </c>
      <c r="M648" s="1125" t="e">
        <f aca="false">IF(M645-M646-M647&lt;0,0,M645-M646-M647)</f>
        <v>#VALUE!</v>
      </c>
      <c r="N648" s="1125" t="e">
        <f aca="false">IF(N645-N646-N647&lt;0,0,N645-N646-N647)</f>
        <v>#VALUE!</v>
      </c>
      <c r="O648" s="1125" t="e">
        <f aca="false">IF(O645-O646-O647&lt;0,0,O645-O646-O647)</f>
        <v>#VALUE!</v>
      </c>
      <c r="P648" s="1125" t="e">
        <f aca="false">IF(P645-P646-P647&lt;0,0,P645-P646-P647)</f>
        <v>#VALUE!</v>
      </c>
      <c r="Q648" s="1125" t="e">
        <f aca="false">IF(Q645-Q646-Q647&lt;0,0,Q645-Q646-Q647)</f>
        <v>#VALUE!</v>
      </c>
      <c r="R648" s="1125" t="e">
        <f aca="false">IF(R645-R646-R647&lt;0,0,R645-R646-R647)</f>
        <v>#VALUE!</v>
      </c>
      <c r="S648" s="1125" t="e">
        <f aca="false">IF(S645-S646-S647&lt;0,0,S645-S646-S647)</f>
        <v>#VALUE!</v>
      </c>
      <c r="T648" s="1125" t="e">
        <f aca="false">IF(T645-T646-T647&lt;0,0,T645-T646-T647)</f>
        <v>#VALUE!</v>
      </c>
      <c r="U648" s="1125" t="e">
        <f aca="false">IF(U645-U646-U647&lt;0,0,U645-U646-U647)</f>
        <v>#VALUE!</v>
      </c>
      <c r="V648" s="1125" t="e">
        <f aca="false">IF(V645-V646-V647&lt;0,0,V645-V646-V647)</f>
        <v>#VALUE!</v>
      </c>
      <c r="W648" s="1125" t="e">
        <f aca="false">IF(W645-W646-W647&lt;0,0,W645-W646-W647)</f>
        <v>#VALUE!</v>
      </c>
      <c r="X648" s="1125" t="e">
        <f aca="false">IF(X645-X646-X647&lt;0,0,X645-X646-X647)</f>
        <v>#VALUE!</v>
      </c>
      <c r="Y648" s="1125" t="e">
        <f aca="false">IF(Y645-Y646-Y647&lt;0,0,Y645-Y646-Y647)</f>
        <v>#VALUE!</v>
      </c>
      <c r="Z648" s="1125" t="e">
        <f aca="false">IF(Z645-Z646-Z647&lt;0,0,Z645-Z646-Z647)</f>
        <v>#VALUE!</v>
      </c>
      <c r="AA648" s="1125" t="e">
        <f aca="false">IF(AA645-AA646-AA647&lt;0,0,AA645-AA646-AA647)</f>
        <v>#VALUE!</v>
      </c>
      <c r="AB648" s="1125" t="e">
        <f aca="false">IF(AB645-AB646-AB647&lt;0,0,AB645-AB646-AB647)</f>
        <v>#VALUE!</v>
      </c>
      <c r="AC648" s="1125" t="e">
        <f aca="false">IF(AC645-AC646-AC647&lt;0,0,AC645-AC646-AC647)</f>
        <v>#VALUE!</v>
      </c>
      <c r="AD648" s="1125" t="e">
        <f aca="false">IF(AD645-AD646-AD647&lt;0,0,AD645-AD646-AD647)</f>
        <v>#VALUE!</v>
      </c>
      <c r="AE648" s="1125" t="e">
        <f aca="false">IF(AE645-AE646-AE647&lt;0,0,AE645-AE646-AE647)</f>
        <v>#VALUE!</v>
      </c>
      <c r="AF648" s="1125" t="e">
        <f aca="false">IF(AF645-AF646-AF647&lt;0,0,AF645-AF646-AF647)</f>
        <v>#VALUE!</v>
      </c>
      <c r="AG648" s="346"/>
      <c r="AH648" s="346"/>
      <c r="AI648" s="346"/>
      <c r="AJ648" s="346"/>
      <c r="AK648" s="346"/>
      <c r="AL648" s="346"/>
      <c r="AM648" s="346"/>
      <c r="AN648" s="346"/>
      <c r="AO648" s="346"/>
      <c r="AP648" s="346"/>
      <c r="AQ648" s="346"/>
      <c r="AR648" s="346"/>
      <c r="AS648" s="346"/>
      <c r="AT648" s="346"/>
      <c r="AU648" s="346"/>
      <c r="AV648" s="346"/>
      <c r="AW648" s="346"/>
      <c r="AX648" s="346"/>
      <c r="AY648" s="346"/>
      <c r="AZ648" s="346"/>
      <c r="BA648" s="346"/>
      <c r="BB648" s="346"/>
      <c r="BC648" s="346"/>
      <c r="BD648" s="346"/>
      <c r="BE648" s="346"/>
      <c r="BF648" s="346"/>
      <c r="BG648" s="346"/>
      <c r="BH648" s="346"/>
      <c r="BI648" s="346"/>
      <c r="BJ648" s="346"/>
      <c r="BK648" s="346"/>
      <c r="BL648" s="346"/>
      <c r="BM648" s="346"/>
      <c r="BN648" s="346"/>
      <c r="BO648" s="346"/>
      <c r="BP648" s="346"/>
      <c r="BQ648" s="346"/>
      <c r="BR648" s="346"/>
      <c r="BS648" s="346"/>
      <c r="BT648" s="346"/>
      <c r="BU648" s="346"/>
      <c r="BV648" s="346"/>
      <c r="BW648" s="346"/>
      <c r="BX648" s="346"/>
      <c r="BY648" s="346"/>
      <c r="BZ648" s="346"/>
      <c r="CA648" s="346"/>
      <c r="CB648" s="346"/>
      <c r="CC648" s="346"/>
      <c r="CD648" s="346"/>
      <c r="CE648" s="346"/>
      <c r="CF648" s="346"/>
      <c r="CG648" s="346"/>
      <c r="CH648" s="346"/>
      <c r="CI648" s="346"/>
      <c r="CJ648" s="346"/>
      <c r="CK648" s="346"/>
      <c r="CL648" s="346"/>
      <c r="CM648" s="346"/>
      <c r="CN648" s="346"/>
      <c r="CO648" s="346"/>
      <c r="CP648" s="346"/>
      <c r="CQ648" s="346"/>
      <c r="CR648" s="346"/>
      <c r="CS648" s="346"/>
      <c r="CT648" s="346"/>
      <c r="CU648" s="346"/>
      <c r="CV648" s="346"/>
      <c r="CW648" s="346"/>
      <c r="CX648" s="346"/>
      <c r="CY648" s="346"/>
      <c r="CZ648" s="346"/>
      <c r="DA648" s="346"/>
      <c r="DB648" s="346"/>
      <c r="DC648" s="346"/>
      <c r="DD648" s="346"/>
      <c r="DE648" s="346"/>
      <c r="DF648" s="346"/>
      <c r="DG648" s="346"/>
      <c r="DH648" s="346"/>
      <c r="DI648" s="346"/>
      <c r="DJ648" s="346"/>
      <c r="DK648" s="346"/>
      <c r="DL648" s="346"/>
      <c r="DM648" s="346"/>
      <c r="DN648" s="346"/>
      <c r="DO648" s="346"/>
      <c r="DP648" s="346"/>
      <c r="DQ648" s="346"/>
      <c r="DR648" s="346"/>
      <c r="DS648" s="346"/>
      <c r="DT648" s="346"/>
      <c r="DU648" s="346"/>
      <c r="DV648" s="346"/>
      <c r="DW648" s="346"/>
      <c r="DX648" s="346"/>
      <c r="DY648" s="346"/>
      <c r="DZ648" s="346"/>
      <c r="EA648" s="346"/>
      <c r="EB648" s="346"/>
      <c r="EC648" s="346"/>
      <c r="ED648" s="346"/>
      <c r="EE648" s="346"/>
      <c r="EF648" s="346"/>
      <c r="EG648" s="346"/>
      <c r="EH648" s="346"/>
      <c r="EI648" s="346"/>
      <c r="EJ648" s="346"/>
      <c r="EK648" s="346"/>
      <c r="EL648" s="346"/>
      <c r="EM648" s="346"/>
      <c r="EN648" s="346"/>
      <c r="EO648" s="346"/>
      <c r="EP648" s="346"/>
      <c r="EQ648" s="346"/>
      <c r="ER648" s="346"/>
      <c r="ES648" s="346"/>
      <c r="ET648" s="346"/>
      <c r="EU648" s="346"/>
      <c r="EV648" s="346"/>
      <c r="EW648" s="346"/>
      <c r="EX648" s="346"/>
      <c r="EY648" s="346"/>
      <c r="EZ648" s="346"/>
      <c r="FA648" s="346"/>
      <c r="FB648" s="346"/>
      <c r="FC648" s="346"/>
      <c r="FD648" s="346"/>
      <c r="FE648" s="346"/>
      <c r="FF648" s="346"/>
      <c r="FG648" s="346"/>
      <c r="FH648" s="346"/>
      <c r="FI648" s="346"/>
      <c r="FJ648" s="346"/>
      <c r="FK648" s="346"/>
      <c r="FL648" s="346"/>
      <c r="FM648" s="346"/>
      <c r="FN648" s="346"/>
      <c r="FO648" s="346"/>
      <c r="FP648" s="346"/>
      <c r="FQ648" s="346"/>
      <c r="FR648" s="346"/>
      <c r="FS648" s="346"/>
      <c r="FT648" s="346"/>
      <c r="FU648" s="346"/>
      <c r="FV648" s="346"/>
      <c r="FW648" s="346"/>
      <c r="FX648" s="346"/>
      <c r="FY648" s="346"/>
      <c r="FZ648" s="346"/>
      <c r="GA648" s="346"/>
      <c r="GB648" s="346"/>
      <c r="GC648" s="346"/>
      <c r="GD648" s="346"/>
      <c r="GE648" s="346"/>
      <c r="GF648" s="346"/>
      <c r="GG648" s="346"/>
      <c r="GH648" s="346"/>
      <c r="GI648" s="346"/>
      <c r="GJ648" s="346"/>
      <c r="GK648" s="346"/>
      <c r="GL648" s="346"/>
      <c r="GM648" s="346"/>
      <c r="GN648" s="346"/>
      <c r="GO648" s="346"/>
      <c r="GP648" s="346"/>
      <c r="GQ648" s="346"/>
      <c r="GR648" s="346"/>
      <c r="GS648" s="346"/>
      <c r="GT648" s="346"/>
      <c r="GU648" s="346"/>
      <c r="GV648" s="346"/>
      <c r="GW648" s="346"/>
      <c r="GX648" s="346"/>
      <c r="GY648" s="346"/>
      <c r="GZ648" s="346"/>
      <c r="HA648" s="346"/>
      <c r="HB648" s="346"/>
      <c r="HC648" s="346"/>
      <c r="HD648" s="346"/>
      <c r="HE648" s="346"/>
      <c r="HF648" s="346"/>
      <c r="HG648" s="346"/>
      <c r="HH648" s="346"/>
      <c r="HI648" s="346"/>
      <c r="HJ648" s="346"/>
      <c r="HK648" s="346"/>
      <c r="HL648" s="346"/>
      <c r="HM648" s="346"/>
      <c r="HN648" s="346"/>
      <c r="HO648" s="346"/>
      <c r="HP648" s="346"/>
      <c r="HQ648" s="346"/>
      <c r="HR648" s="346"/>
      <c r="HS648" s="346"/>
      <c r="HT648" s="346"/>
      <c r="HU648" s="346"/>
      <c r="HV648" s="346"/>
      <c r="HW648" s="346"/>
      <c r="HX648" s="346"/>
      <c r="HY648" s="346"/>
      <c r="HZ648" s="346"/>
      <c r="IA648" s="346"/>
      <c r="IB648" s="346"/>
      <c r="IC648" s="346"/>
      <c r="ID648" s="346"/>
      <c r="IE648" s="346"/>
      <c r="IF648" s="346"/>
      <c r="IG648" s="346"/>
      <c r="IH648" s="346"/>
      <c r="II648" s="346"/>
      <c r="IJ648" s="346"/>
      <c r="IK648" s="346"/>
      <c r="IL648" s="346"/>
      <c r="IM648" s="346"/>
      <c r="IN648" s="346"/>
      <c r="IO648" s="346"/>
      <c r="IP648" s="346"/>
      <c r="IQ648" s="346"/>
      <c r="IR648" s="346"/>
      <c r="IS648" s="346"/>
      <c r="IT648" s="346"/>
      <c r="IU648" s="346"/>
      <c r="IV648" s="346"/>
      <c r="IW648" s="346"/>
    </row>
    <row r="649" customFormat="false" ht="11.25" hidden="false" customHeight="false" outlineLevel="0" collapsed="false">
      <c r="A649" s="1127"/>
      <c r="B649" s="751"/>
      <c r="C649" s="751"/>
      <c r="D649" s="751"/>
      <c r="E649" s="751"/>
      <c r="F649" s="751"/>
      <c r="G649" s="751"/>
      <c r="H649" s="1116"/>
      <c r="I649" s="1114"/>
      <c r="J649" s="1115"/>
      <c r="K649" s="1116"/>
      <c r="L649" s="1116"/>
      <c r="M649" s="1116"/>
      <c r="N649" s="1116"/>
      <c r="O649" s="1116"/>
      <c r="P649" s="1116"/>
      <c r="Q649" s="1116"/>
      <c r="R649" s="1116"/>
      <c r="S649" s="1116"/>
      <c r="T649" s="1116"/>
      <c r="U649" s="1116"/>
      <c r="V649" s="1116"/>
      <c r="W649" s="1116"/>
      <c r="X649" s="1116"/>
      <c r="Y649" s="1116"/>
      <c r="Z649" s="1116"/>
      <c r="AA649" s="1116"/>
      <c r="AB649" s="1116"/>
      <c r="AC649" s="1116"/>
      <c r="AD649" s="1116"/>
      <c r="AE649" s="1116"/>
      <c r="AF649" s="1116"/>
      <c r="AG649" s="751"/>
    </row>
    <row r="650" customFormat="false" ht="11.25" hidden="false" customHeight="false" outlineLevel="0" collapsed="false">
      <c r="A650" s="1109" t="s">
        <v>972</v>
      </c>
      <c r="B650" s="751"/>
      <c r="C650" s="751"/>
      <c r="D650" s="751"/>
      <c r="E650" s="751"/>
      <c r="F650" s="751"/>
      <c r="G650" s="751"/>
      <c r="H650" s="1114" t="n">
        <f aca="false">IF(H641&lt;=0,0,H641-H647)</f>
        <v>0</v>
      </c>
      <c r="I650" s="1114" t="e">
        <f aca="false">IF(I641&lt;=0,0,I641-I647)</f>
        <v>#VALUE!</v>
      </c>
      <c r="J650" s="1115" t="e">
        <f aca="false">IF(J641&lt;=0,0,J641-J647)</f>
        <v>#VALUE!</v>
      </c>
      <c r="K650" s="1114" t="e">
        <f aca="false">IF(K641&lt;=0,0,K641-K647)</f>
        <v>#VALUE!</v>
      </c>
      <c r="L650" s="1114" t="e">
        <f aca="false">IF(L641&lt;=0,0,L641-L647)</f>
        <v>#VALUE!</v>
      </c>
      <c r="M650" s="1114" t="e">
        <f aca="false">IF(M641&lt;=0,0,M641-M647)</f>
        <v>#VALUE!</v>
      </c>
      <c r="N650" s="1114" t="e">
        <f aca="false">IF(N641&lt;=0,0,N641-N647)</f>
        <v>#VALUE!</v>
      </c>
      <c r="O650" s="1114" t="e">
        <f aca="false">IF(O641&lt;=0,0,O641-O647)</f>
        <v>#VALUE!</v>
      </c>
      <c r="P650" s="1114" t="e">
        <f aca="false">IF(P641&lt;=0,0,P641-P647)</f>
        <v>#VALUE!</v>
      </c>
      <c r="Q650" s="1114" t="e">
        <f aca="false">IF(Q641&lt;=0,0,Q641-Q647)</f>
        <v>#VALUE!</v>
      </c>
      <c r="R650" s="1114" t="e">
        <f aca="false">IF(R641&lt;=0,0,R641-R647)</f>
        <v>#VALUE!</v>
      </c>
      <c r="S650" s="1114" t="e">
        <f aca="false">IF(S641&lt;=0,0,S641-S647)</f>
        <v>#VALUE!</v>
      </c>
      <c r="T650" s="1114" t="e">
        <f aca="false">IF(T641&lt;=0,0,T641-T647)</f>
        <v>#VALUE!</v>
      </c>
      <c r="U650" s="1114" t="e">
        <f aca="false">IF(U641&lt;=0,0,U641-U647)</f>
        <v>#VALUE!</v>
      </c>
      <c r="V650" s="1114" t="e">
        <f aca="false">IF(V641&lt;=0,0,V641-V647)</f>
        <v>#VALUE!</v>
      </c>
      <c r="W650" s="1114" t="e">
        <f aca="false">IF(W641&lt;=0,0,W641-W647)</f>
        <v>#VALUE!</v>
      </c>
      <c r="X650" s="1114" t="e">
        <f aca="false">IF(X641&lt;=0,0,X641-X647)</f>
        <v>#VALUE!</v>
      </c>
      <c r="Y650" s="1114" t="e">
        <f aca="false">IF(Y641&lt;=0,0,Y641-Y647)</f>
        <v>#VALUE!</v>
      </c>
      <c r="Z650" s="1114" t="e">
        <f aca="false">IF(Z641&lt;=0,0,Z641-Z647)</f>
        <v>#VALUE!</v>
      </c>
      <c r="AA650" s="1114" t="e">
        <f aca="false">IF(AA641&lt;=0,0,AA641-AA647)</f>
        <v>#VALUE!</v>
      </c>
      <c r="AB650" s="1114" t="e">
        <f aca="false">IF(AB641&lt;=0,0,AB641-AB647)</f>
        <v>#VALUE!</v>
      </c>
      <c r="AC650" s="1114" t="e">
        <f aca="false">IF(AC641&lt;=0,0,AC641-AC647)</f>
        <v>#VALUE!</v>
      </c>
      <c r="AD650" s="1114" t="e">
        <f aca="false">IF(AD641&lt;=0,0,AD641-AD647)</f>
        <v>#VALUE!</v>
      </c>
      <c r="AE650" s="1114" t="e">
        <f aca="false">IF(AE641&lt;=0,0,AE641-AE647)</f>
        <v>#VALUE!</v>
      </c>
      <c r="AF650" s="1114" t="e">
        <f aca="false">IF(AF641&lt;=0,0,AF641-AF647)</f>
        <v>#VALUE!</v>
      </c>
      <c r="AG650" s="751"/>
    </row>
    <row r="651" customFormat="false" ht="11.25" hidden="false" customHeight="false" outlineLevel="0" collapsed="false">
      <c r="A651" s="1109"/>
      <c r="B651" s="751"/>
      <c r="C651" s="751"/>
      <c r="D651" s="751"/>
      <c r="E651" s="751"/>
      <c r="F651" s="751"/>
      <c r="G651" s="751"/>
      <c r="H651" s="1114"/>
      <c r="I651" s="1114"/>
      <c r="J651" s="1115"/>
      <c r="K651" s="1116"/>
      <c r="L651" s="1116"/>
      <c r="M651" s="1116"/>
      <c r="N651" s="1116"/>
      <c r="O651" s="1116"/>
      <c r="P651" s="1116"/>
      <c r="Q651" s="1116"/>
      <c r="R651" s="1116"/>
      <c r="S651" s="1116"/>
      <c r="T651" s="1116"/>
      <c r="U651" s="1116"/>
      <c r="V651" s="1116"/>
      <c r="W651" s="1116"/>
      <c r="X651" s="1116"/>
      <c r="Y651" s="1116"/>
      <c r="Z651" s="1116"/>
      <c r="AA651" s="1116"/>
      <c r="AB651" s="1116"/>
      <c r="AC651" s="1116"/>
      <c r="AD651" s="1116"/>
      <c r="AE651" s="1116"/>
      <c r="AF651" s="1116"/>
      <c r="AG651" s="751"/>
    </row>
    <row r="652" customFormat="false" ht="11.25" hidden="false" customHeight="false" outlineLevel="0" collapsed="false">
      <c r="A652" s="1109" t="s">
        <v>973</v>
      </c>
      <c r="B652" s="346"/>
      <c r="C652" s="964" t="n">
        <f aca="false">I629</f>
        <v>0.0884</v>
      </c>
      <c r="D652" s="751"/>
      <c r="E652" s="751"/>
      <c r="F652" s="751"/>
      <c r="G652" s="751"/>
      <c r="H652" s="1110" t="n">
        <f aca="false">H650*H629</f>
        <v>0</v>
      </c>
      <c r="I652" s="1110" t="e">
        <f aca="false">I650*I629</f>
        <v>#VALUE!</v>
      </c>
      <c r="J652" s="1111" t="e">
        <f aca="false">J650*J629</f>
        <v>#VALUE!</v>
      </c>
      <c r="K652" s="1112" t="e">
        <f aca="false">K650*K629</f>
        <v>#VALUE!</v>
      </c>
      <c r="L652" s="1112" t="e">
        <f aca="false">L650*L629</f>
        <v>#VALUE!</v>
      </c>
      <c r="M652" s="1112" t="e">
        <f aca="false">M650*M629</f>
        <v>#VALUE!</v>
      </c>
      <c r="N652" s="1112" t="e">
        <f aca="false">N650*N629</f>
        <v>#VALUE!</v>
      </c>
      <c r="O652" s="1112" t="e">
        <f aca="false">O650*O629</f>
        <v>#VALUE!</v>
      </c>
      <c r="P652" s="1112" t="e">
        <f aca="false">P650*P629</f>
        <v>#VALUE!</v>
      </c>
      <c r="Q652" s="1112" t="e">
        <f aca="false">Q650*Q629</f>
        <v>#VALUE!</v>
      </c>
      <c r="R652" s="1112" t="e">
        <f aca="false">R650*R629</f>
        <v>#VALUE!</v>
      </c>
      <c r="S652" s="1112" t="e">
        <f aca="false">S650*S629</f>
        <v>#VALUE!</v>
      </c>
      <c r="T652" s="1112" t="e">
        <f aca="false">T650*T629</f>
        <v>#VALUE!</v>
      </c>
      <c r="U652" s="1112" t="e">
        <f aca="false">U650*U629</f>
        <v>#VALUE!</v>
      </c>
      <c r="V652" s="1112" t="e">
        <f aca="false">V650*V629</f>
        <v>#VALUE!</v>
      </c>
      <c r="W652" s="1112" t="e">
        <f aca="false">W650*W629</f>
        <v>#VALUE!</v>
      </c>
      <c r="X652" s="1112" t="e">
        <f aca="false">X650*X629</f>
        <v>#VALUE!</v>
      </c>
      <c r="Y652" s="1112" t="e">
        <f aca="false">Y650*Y629</f>
        <v>#VALUE!</v>
      </c>
      <c r="Z652" s="1112" t="e">
        <f aca="false">Z650*Z629</f>
        <v>#VALUE!</v>
      </c>
      <c r="AA652" s="1112" t="e">
        <f aca="false">AA650*AA629</f>
        <v>#VALUE!</v>
      </c>
      <c r="AB652" s="1112" t="e">
        <f aca="false">AB650*AB629</f>
        <v>#VALUE!</v>
      </c>
      <c r="AC652" s="1112" t="e">
        <f aca="false">AC650*AC629</f>
        <v>#VALUE!</v>
      </c>
      <c r="AD652" s="1112" t="e">
        <f aca="false">AD650*AD629</f>
        <v>#VALUE!</v>
      </c>
      <c r="AE652" s="1112" t="e">
        <f aca="false">AE650*AE629</f>
        <v>#VALUE!</v>
      </c>
      <c r="AF652" s="1112" t="e">
        <f aca="false">AF650*AF629</f>
        <v>#VALUE!</v>
      </c>
      <c r="AG652" s="751"/>
    </row>
    <row r="653" customFormat="false" ht="11.25" hidden="false" customHeight="false" outlineLevel="0" collapsed="false">
      <c r="A653" s="1109" t="s">
        <v>974</v>
      </c>
      <c r="B653" s="346"/>
      <c r="C653" s="964" t="n">
        <f aca="false">I628</f>
        <v>0.35</v>
      </c>
      <c r="D653" s="751"/>
      <c r="E653" s="751"/>
      <c r="F653" s="751"/>
      <c r="G653" s="751"/>
      <c r="H653" s="1114" t="n">
        <f aca="false">(H650-H652)*H628</f>
        <v>0</v>
      </c>
      <c r="I653" s="1114" t="e">
        <f aca="false">(I650-I652)*I628</f>
        <v>#VALUE!</v>
      </c>
      <c r="J653" s="1115" t="e">
        <f aca="false">(J650-J652)*J628</f>
        <v>#VALUE!</v>
      </c>
      <c r="K653" s="1116" t="e">
        <f aca="false">(K650-K652)*K628</f>
        <v>#VALUE!</v>
      </c>
      <c r="L653" s="1116" t="e">
        <f aca="false">(L650-L652)*L628</f>
        <v>#VALUE!</v>
      </c>
      <c r="M653" s="1116" t="e">
        <f aca="false">(M650-M652)*M628</f>
        <v>#VALUE!</v>
      </c>
      <c r="N653" s="1116" t="e">
        <f aca="false">(N650-N652)*N628</f>
        <v>#VALUE!</v>
      </c>
      <c r="O653" s="1116" t="e">
        <f aca="false">(O650-O652)*O628</f>
        <v>#VALUE!</v>
      </c>
      <c r="P653" s="1116" t="e">
        <f aca="false">(P650-P652)*P628</f>
        <v>#VALUE!</v>
      </c>
      <c r="Q653" s="1116" t="e">
        <f aca="false">(Q650-Q652)*Q628</f>
        <v>#VALUE!</v>
      </c>
      <c r="R653" s="1116" t="e">
        <f aca="false">(R650-R652)*R628</f>
        <v>#VALUE!</v>
      </c>
      <c r="S653" s="1116" t="e">
        <f aca="false">(S650-S652)*S628</f>
        <v>#VALUE!</v>
      </c>
      <c r="T653" s="1116" t="e">
        <f aca="false">(T650-T652)*T628</f>
        <v>#VALUE!</v>
      </c>
      <c r="U653" s="1116" t="e">
        <f aca="false">(U650-U652)*U628</f>
        <v>#VALUE!</v>
      </c>
      <c r="V653" s="1116" t="e">
        <f aca="false">(V650-V652)*V628</f>
        <v>#VALUE!</v>
      </c>
      <c r="W653" s="1116" t="e">
        <f aca="false">(W650-W652)*W628</f>
        <v>#VALUE!</v>
      </c>
      <c r="X653" s="1116" t="e">
        <f aca="false">(X650-X652)*X628</f>
        <v>#VALUE!</v>
      </c>
      <c r="Y653" s="1116" t="e">
        <f aca="false">(Y650-Y652)*Y628</f>
        <v>#VALUE!</v>
      </c>
      <c r="Z653" s="1116" t="e">
        <f aca="false">(Z650-Z652)*Z628</f>
        <v>#VALUE!</v>
      </c>
      <c r="AA653" s="1116" t="e">
        <f aca="false">(AA650-AA652)*AA628</f>
        <v>#VALUE!</v>
      </c>
      <c r="AB653" s="1116" t="e">
        <f aca="false">(AB650-AB652)*AB628</f>
        <v>#VALUE!</v>
      </c>
      <c r="AC653" s="1116" t="e">
        <f aca="false">(AC650-AC652)*AC628</f>
        <v>#VALUE!</v>
      </c>
      <c r="AD653" s="1116" t="e">
        <f aca="false">(AD650-AD652)*AD628</f>
        <v>#VALUE!</v>
      </c>
      <c r="AE653" s="1116" t="e">
        <f aca="false">(AE650-AE652)*AE628</f>
        <v>#VALUE!</v>
      </c>
      <c r="AF653" s="1116" t="e">
        <f aca="false">(AF650-AF652)*AF628</f>
        <v>#VALUE!</v>
      </c>
      <c r="AG653" s="751"/>
    </row>
    <row r="654" customFormat="false" ht="12" hidden="false" customHeight="false" outlineLevel="0" collapsed="false">
      <c r="A654" s="1109" t="s">
        <v>975</v>
      </c>
      <c r="B654" s="751"/>
      <c r="C654" s="950"/>
      <c r="D654" s="950"/>
      <c r="E654" s="950"/>
      <c r="F654" s="950"/>
      <c r="G654" s="950"/>
      <c r="H654" s="1128" t="n">
        <f aca="false">H652+H653</f>
        <v>0</v>
      </c>
      <c r="I654" s="1128" t="e">
        <f aca="false">I652+I653</f>
        <v>#VALUE!</v>
      </c>
      <c r="J654" s="1129" t="e">
        <f aca="false">J652+J653</f>
        <v>#VALUE!</v>
      </c>
      <c r="K654" s="1128" t="e">
        <f aca="false">K652+K653</f>
        <v>#VALUE!</v>
      </c>
      <c r="L654" s="1128" t="e">
        <f aca="false">L652+L653</f>
        <v>#VALUE!</v>
      </c>
      <c r="M654" s="1128" t="e">
        <f aca="false">M652+M653</f>
        <v>#VALUE!</v>
      </c>
      <c r="N654" s="1128" t="e">
        <f aca="false">N652+N653</f>
        <v>#VALUE!</v>
      </c>
      <c r="O654" s="1128" t="e">
        <f aca="false">O652+O653</f>
        <v>#VALUE!</v>
      </c>
      <c r="P654" s="1128" t="e">
        <f aca="false">P652+P653</f>
        <v>#VALUE!</v>
      </c>
      <c r="Q654" s="1128" t="e">
        <f aca="false">Q652+Q653</f>
        <v>#VALUE!</v>
      </c>
      <c r="R654" s="1128" t="e">
        <f aca="false">R652+R653</f>
        <v>#VALUE!</v>
      </c>
      <c r="S654" s="1128" t="e">
        <f aca="false">S652+S653</f>
        <v>#VALUE!</v>
      </c>
      <c r="T654" s="1128" t="e">
        <f aca="false">T652+T653</f>
        <v>#VALUE!</v>
      </c>
      <c r="U654" s="1128" t="e">
        <f aca="false">U652+U653</f>
        <v>#VALUE!</v>
      </c>
      <c r="V654" s="1128" t="e">
        <f aca="false">V652+V653</f>
        <v>#VALUE!</v>
      </c>
      <c r="W654" s="1128" t="e">
        <f aca="false">W652+W653</f>
        <v>#VALUE!</v>
      </c>
      <c r="X654" s="1128" t="e">
        <f aca="false">X652+X653</f>
        <v>#VALUE!</v>
      </c>
      <c r="Y654" s="1128" t="e">
        <f aca="false">Y652+Y653</f>
        <v>#VALUE!</v>
      </c>
      <c r="Z654" s="1128" t="e">
        <f aca="false">Z652+Z653</f>
        <v>#VALUE!</v>
      </c>
      <c r="AA654" s="1128" t="e">
        <f aca="false">AA652+AA653</f>
        <v>#VALUE!</v>
      </c>
      <c r="AB654" s="1128" t="e">
        <f aca="false">AB652+AB653</f>
        <v>#VALUE!</v>
      </c>
      <c r="AC654" s="1128" t="e">
        <f aca="false">AC652+AC653</f>
        <v>#VALUE!</v>
      </c>
      <c r="AD654" s="1128" t="e">
        <f aca="false">AD652+AD653</f>
        <v>#VALUE!</v>
      </c>
      <c r="AE654" s="1128" t="e">
        <f aca="false">AE652+AE653</f>
        <v>#VALUE!</v>
      </c>
      <c r="AF654" s="1128" t="e">
        <f aca="false">AF652+AF653</f>
        <v>#VALUE!</v>
      </c>
      <c r="AG654" s="751"/>
    </row>
    <row r="655" customFormat="false" ht="12" hidden="false" customHeight="false" outlineLevel="0" collapsed="false">
      <c r="A655" s="1109"/>
      <c r="B655" s="751"/>
      <c r="C655" s="751"/>
      <c r="D655" s="751"/>
      <c r="E655" s="751"/>
      <c r="F655" s="751"/>
      <c r="G655" s="751"/>
      <c r="H655" s="1116"/>
      <c r="I655" s="1116"/>
      <c r="J655" s="1115"/>
      <c r="K655" s="1116"/>
      <c r="L655" s="1116"/>
      <c r="M655" s="1116"/>
      <c r="N655" s="1116"/>
      <c r="O655" s="1116"/>
      <c r="P655" s="1116"/>
      <c r="Q655" s="1116"/>
      <c r="R655" s="1116"/>
      <c r="S655" s="1116"/>
      <c r="T655" s="1116"/>
      <c r="U655" s="1116"/>
      <c r="V655" s="1116"/>
      <c r="W655" s="1116"/>
      <c r="X655" s="1116"/>
      <c r="Y655" s="1116"/>
      <c r="Z655" s="1116"/>
      <c r="AA655" s="1116"/>
      <c r="AB655" s="1116"/>
      <c r="AC655" s="1116"/>
      <c r="AD655" s="1116"/>
      <c r="AE655" s="1116"/>
      <c r="AF655" s="1116"/>
      <c r="AG655" s="751"/>
    </row>
    <row r="656" customFormat="false" ht="11.25" hidden="false" customHeight="false" outlineLevel="0" collapsed="false">
      <c r="A656" s="1107" t="s">
        <v>976</v>
      </c>
      <c r="B656" s="751"/>
      <c r="C656" s="950"/>
      <c r="D656" s="950"/>
      <c r="E656" s="950"/>
      <c r="F656" s="950"/>
      <c r="G656" s="950"/>
      <c r="H656" s="1121"/>
      <c r="I656" s="1121"/>
      <c r="J656" s="1120"/>
      <c r="K656" s="1112"/>
      <c r="L656" s="1112"/>
      <c r="M656" s="1112"/>
      <c r="N656" s="1112"/>
      <c r="O656" s="1112"/>
      <c r="P656" s="1112"/>
      <c r="Q656" s="1112"/>
      <c r="R656" s="1112"/>
      <c r="S656" s="1112"/>
      <c r="T656" s="1116"/>
      <c r="U656" s="1116"/>
      <c r="V656" s="1116"/>
      <c r="W656" s="1116"/>
      <c r="X656" s="1116"/>
      <c r="Y656" s="1116"/>
      <c r="Z656" s="1116"/>
      <c r="AA656" s="1116"/>
      <c r="AB656" s="1116"/>
      <c r="AC656" s="1116"/>
      <c r="AD656" s="1116"/>
      <c r="AE656" s="1116"/>
      <c r="AF656" s="1116"/>
      <c r="AG656" s="751"/>
    </row>
    <row r="657" customFormat="false" ht="11.25" hidden="false" customHeight="false" outlineLevel="0" collapsed="false">
      <c r="A657" s="1109" t="str">
        <f aca="false">A636</f>
        <v>Income before Taxes</v>
      </c>
      <c r="B657" s="751"/>
      <c r="C657" s="950"/>
      <c r="D657" s="950"/>
      <c r="E657" s="950"/>
      <c r="F657" s="950"/>
      <c r="G657" s="950"/>
      <c r="H657" s="1110" t="n">
        <f aca="false">H314</f>
        <v>0</v>
      </c>
      <c r="I657" s="1110" t="e">
        <f aca="false">I314</f>
        <v>#VALUE!</v>
      </c>
      <c r="J657" s="1120" t="e">
        <f aca="false">J314</f>
        <v>#VALUE!</v>
      </c>
      <c r="K657" s="1110" t="e">
        <f aca="false">K314</f>
        <v>#VALUE!</v>
      </c>
      <c r="L657" s="1110" t="e">
        <f aca="false">L314</f>
        <v>#VALUE!</v>
      </c>
      <c r="M657" s="1110" t="e">
        <f aca="false">M314</f>
        <v>#VALUE!</v>
      </c>
      <c r="N657" s="1110" t="e">
        <f aca="false">N314</f>
        <v>#VALUE!</v>
      </c>
      <c r="O657" s="1110" t="e">
        <f aca="false">O314</f>
        <v>#VALUE!</v>
      </c>
      <c r="P657" s="1110" t="e">
        <f aca="false">P314</f>
        <v>#VALUE!</v>
      </c>
      <c r="Q657" s="1110" t="e">
        <f aca="false">Q314</f>
        <v>#VALUE!</v>
      </c>
      <c r="R657" s="1110" t="e">
        <f aca="false">R314</f>
        <v>#VALUE!</v>
      </c>
      <c r="S657" s="1110" t="e">
        <f aca="false">S314</f>
        <v>#VALUE!</v>
      </c>
      <c r="T657" s="1110" t="e">
        <f aca="false">T314</f>
        <v>#VALUE!</v>
      </c>
      <c r="U657" s="1110" t="e">
        <f aca="false">U314</f>
        <v>#VALUE!</v>
      </c>
      <c r="V657" s="1110" t="e">
        <f aca="false">V314</f>
        <v>#VALUE!</v>
      </c>
      <c r="W657" s="1110" t="e">
        <f aca="false">W314</f>
        <v>#VALUE!</v>
      </c>
      <c r="X657" s="1110" t="e">
        <f aca="false">X314</f>
        <v>#VALUE!</v>
      </c>
      <c r="Y657" s="1110" t="e">
        <f aca="false">Y314</f>
        <v>#VALUE!</v>
      </c>
      <c r="Z657" s="1110" t="e">
        <f aca="false">Z314</f>
        <v>#VALUE!</v>
      </c>
      <c r="AA657" s="1110" t="e">
        <f aca="false">AA314</f>
        <v>#VALUE!</v>
      </c>
      <c r="AB657" s="1110" t="e">
        <f aca="false">AB314</f>
        <v>#VALUE!</v>
      </c>
      <c r="AC657" s="1110" t="e">
        <f aca="false">AC314</f>
        <v>#VALUE!</v>
      </c>
      <c r="AD657" s="1110" t="e">
        <f aca="false">AD314</f>
        <v>#VALUE!</v>
      </c>
      <c r="AE657" s="1110" t="e">
        <f aca="false">AE314</f>
        <v>#VALUE!</v>
      </c>
      <c r="AF657" s="1110" t="e">
        <f aca="false">AF314</f>
        <v>#VALUE!</v>
      </c>
      <c r="AG657" s="751"/>
    </row>
    <row r="658" customFormat="false" ht="11.25" hidden="false" customHeight="false" outlineLevel="0" collapsed="false">
      <c r="A658" s="1109" t="s">
        <v>977</v>
      </c>
      <c r="B658" s="751"/>
      <c r="C658" s="950"/>
      <c r="D658" s="950"/>
      <c r="E658" s="950"/>
      <c r="F658" s="950"/>
      <c r="G658" s="950"/>
      <c r="H658" s="1110" t="n">
        <f aca="false">H657</f>
        <v>0</v>
      </c>
      <c r="I658" s="1110" t="e">
        <f aca="false">I657</f>
        <v>#VALUE!</v>
      </c>
      <c r="J658" s="1111" t="e">
        <f aca="false">J657</f>
        <v>#VALUE!</v>
      </c>
      <c r="K658" s="1110" t="e">
        <f aca="false">K657</f>
        <v>#VALUE!</v>
      </c>
      <c r="L658" s="1110" t="e">
        <f aca="false">L657</f>
        <v>#VALUE!</v>
      </c>
      <c r="M658" s="1110" t="e">
        <f aca="false">M657</f>
        <v>#VALUE!</v>
      </c>
      <c r="N658" s="1110" t="e">
        <f aca="false">N657</f>
        <v>#VALUE!</v>
      </c>
      <c r="O658" s="1110" t="e">
        <f aca="false">O657</f>
        <v>#VALUE!</v>
      </c>
      <c r="P658" s="1110" t="e">
        <f aca="false">P657</f>
        <v>#VALUE!</v>
      </c>
      <c r="Q658" s="1110" t="e">
        <f aca="false">Q657</f>
        <v>#VALUE!</v>
      </c>
      <c r="R658" s="1110" t="e">
        <f aca="false">R657</f>
        <v>#VALUE!</v>
      </c>
      <c r="S658" s="1110" t="e">
        <f aca="false">S657</f>
        <v>#VALUE!</v>
      </c>
      <c r="T658" s="1110" t="e">
        <f aca="false">T657</f>
        <v>#VALUE!</v>
      </c>
      <c r="U658" s="1110" t="e">
        <f aca="false">U657</f>
        <v>#VALUE!</v>
      </c>
      <c r="V658" s="1110" t="e">
        <f aca="false">V657</f>
        <v>#VALUE!</v>
      </c>
      <c r="W658" s="1110" t="e">
        <f aca="false">W657</f>
        <v>#VALUE!</v>
      </c>
      <c r="X658" s="1110" t="e">
        <f aca="false">X657</f>
        <v>#VALUE!</v>
      </c>
      <c r="Y658" s="1110" t="e">
        <f aca="false">Y657</f>
        <v>#VALUE!</v>
      </c>
      <c r="Z658" s="1110" t="e">
        <f aca="false">Z657</f>
        <v>#VALUE!</v>
      </c>
      <c r="AA658" s="1110" t="e">
        <f aca="false">AA657</f>
        <v>#VALUE!</v>
      </c>
      <c r="AB658" s="1110" t="e">
        <f aca="false">AB657</f>
        <v>#VALUE!</v>
      </c>
      <c r="AC658" s="1110" t="e">
        <f aca="false">AC657</f>
        <v>#VALUE!</v>
      </c>
      <c r="AD658" s="1110" t="e">
        <f aca="false">AD657</f>
        <v>#VALUE!</v>
      </c>
      <c r="AE658" s="1110" t="e">
        <f aca="false">AE657</f>
        <v>#VALUE!</v>
      </c>
      <c r="AF658" s="1110" t="e">
        <f aca="false">AF657</f>
        <v>#VALUE!</v>
      </c>
      <c r="AG658" s="751"/>
    </row>
    <row r="659" customFormat="false" ht="11.25" hidden="false" customHeight="false" outlineLevel="0" collapsed="false">
      <c r="A659" s="1109"/>
      <c r="B659" s="751"/>
      <c r="C659" s="950"/>
      <c r="D659" s="950"/>
      <c r="E659" s="950"/>
      <c r="F659" s="950"/>
      <c r="G659" s="950"/>
      <c r="H659" s="1112"/>
      <c r="I659" s="1110"/>
      <c r="J659" s="1111"/>
      <c r="K659" s="1112"/>
      <c r="L659" s="1112"/>
      <c r="M659" s="1112"/>
      <c r="N659" s="1112"/>
      <c r="O659" s="1112"/>
      <c r="P659" s="1112"/>
      <c r="Q659" s="1112"/>
      <c r="R659" s="1112"/>
      <c r="S659" s="1112"/>
      <c r="T659" s="1112"/>
      <c r="U659" s="1112"/>
      <c r="V659" s="1112"/>
      <c r="W659" s="1112"/>
      <c r="X659" s="1112"/>
      <c r="Y659" s="1112"/>
      <c r="Z659" s="1112"/>
      <c r="AA659" s="1112"/>
      <c r="AB659" s="1112"/>
      <c r="AC659" s="1112"/>
      <c r="AD659" s="1112"/>
      <c r="AE659" s="1112"/>
      <c r="AF659" s="1112"/>
      <c r="AG659" s="751"/>
    </row>
    <row r="660" customFormat="false" ht="11.25" hidden="false" customHeight="false" outlineLevel="0" collapsed="false">
      <c r="A660" s="346" t="s">
        <v>966</v>
      </c>
      <c r="B660" s="346"/>
      <c r="C660" s="346"/>
      <c r="D660" s="346"/>
      <c r="E660" s="346"/>
      <c r="F660" s="346"/>
      <c r="G660" s="346"/>
      <c r="H660" s="1119" t="n">
        <f aca="false">G636</f>
        <v>0</v>
      </c>
      <c r="I660" s="1119" t="n">
        <f aca="false">H665</f>
        <v>0</v>
      </c>
      <c r="J660" s="1120" t="e">
        <f aca="false">I665</f>
        <v>#VALUE!</v>
      </c>
      <c r="K660" s="1121" t="e">
        <f aca="false">J665</f>
        <v>#VALUE!</v>
      </c>
      <c r="L660" s="1121" t="e">
        <f aca="false">K665</f>
        <v>#VALUE!</v>
      </c>
      <c r="M660" s="1121" t="e">
        <f aca="false">L665</f>
        <v>#VALUE!</v>
      </c>
      <c r="N660" s="1121" t="e">
        <f aca="false">M665</f>
        <v>#VALUE!</v>
      </c>
      <c r="O660" s="1121" t="e">
        <f aca="false">N665</f>
        <v>#VALUE!</v>
      </c>
      <c r="P660" s="1121" t="e">
        <f aca="false">O665</f>
        <v>#VALUE!</v>
      </c>
      <c r="Q660" s="1121" t="e">
        <f aca="false">P665</f>
        <v>#VALUE!</v>
      </c>
      <c r="R660" s="1121" t="e">
        <f aca="false">Q665</f>
        <v>#VALUE!</v>
      </c>
      <c r="S660" s="1121" t="e">
        <f aca="false">R665</f>
        <v>#VALUE!</v>
      </c>
      <c r="T660" s="1121" t="e">
        <f aca="false">S665</f>
        <v>#VALUE!</v>
      </c>
      <c r="U660" s="1121" t="e">
        <f aca="false">T665</f>
        <v>#VALUE!</v>
      </c>
      <c r="V660" s="1121" t="e">
        <f aca="false">U665</f>
        <v>#VALUE!</v>
      </c>
      <c r="W660" s="1121" t="e">
        <f aca="false">V665</f>
        <v>#VALUE!</v>
      </c>
      <c r="X660" s="1121" t="e">
        <f aca="false">W665</f>
        <v>#VALUE!</v>
      </c>
      <c r="Y660" s="1121" t="e">
        <f aca="false">X665</f>
        <v>#VALUE!</v>
      </c>
      <c r="Z660" s="1121" t="e">
        <f aca="false">Y665</f>
        <v>#VALUE!</v>
      </c>
      <c r="AA660" s="1121" t="e">
        <f aca="false">Z665</f>
        <v>#VALUE!</v>
      </c>
      <c r="AB660" s="1121" t="e">
        <f aca="false">AA665</f>
        <v>#VALUE!</v>
      </c>
      <c r="AC660" s="1121" t="e">
        <f aca="false">AB665</f>
        <v>#VALUE!</v>
      </c>
      <c r="AD660" s="1121" t="e">
        <f aca="false">AC665</f>
        <v>#VALUE!</v>
      </c>
      <c r="AE660" s="1121" t="e">
        <f aca="false">AD665</f>
        <v>#VALUE!</v>
      </c>
      <c r="AF660" s="1121" t="e">
        <f aca="false">AE665</f>
        <v>#VALUE!</v>
      </c>
      <c r="AG660" s="346"/>
      <c r="AH660" s="346"/>
      <c r="AI660" s="346"/>
      <c r="AJ660" s="346"/>
      <c r="AK660" s="346"/>
      <c r="AL660" s="346"/>
      <c r="AM660" s="346"/>
      <c r="AN660" s="346"/>
      <c r="AO660" s="346"/>
      <c r="AP660" s="346"/>
      <c r="AQ660" s="346"/>
      <c r="AR660" s="346"/>
      <c r="AS660" s="346"/>
      <c r="AT660" s="346"/>
      <c r="AU660" s="346"/>
      <c r="AV660" s="346"/>
      <c r="AW660" s="346"/>
      <c r="AX660" s="346"/>
      <c r="AY660" s="346"/>
      <c r="AZ660" s="346"/>
      <c r="BA660" s="346"/>
      <c r="BB660" s="346"/>
      <c r="BC660" s="346"/>
      <c r="BD660" s="346"/>
      <c r="BE660" s="346"/>
      <c r="BF660" s="346"/>
      <c r="BG660" s="346"/>
      <c r="BH660" s="346"/>
      <c r="BI660" s="346"/>
      <c r="BJ660" s="346"/>
      <c r="BK660" s="346"/>
      <c r="BL660" s="346"/>
      <c r="BM660" s="346"/>
      <c r="BN660" s="346"/>
      <c r="BO660" s="346"/>
      <c r="BP660" s="346"/>
      <c r="BQ660" s="346"/>
      <c r="BR660" s="346"/>
      <c r="BS660" s="346"/>
      <c r="BT660" s="346"/>
      <c r="BU660" s="346"/>
      <c r="BV660" s="346"/>
      <c r="BW660" s="346"/>
      <c r="BX660" s="346"/>
      <c r="BY660" s="346"/>
      <c r="BZ660" s="346"/>
      <c r="CA660" s="346"/>
      <c r="CB660" s="346"/>
      <c r="CC660" s="346"/>
      <c r="CD660" s="346"/>
      <c r="CE660" s="346"/>
      <c r="CF660" s="346"/>
      <c r="CG660" s="346"/>
      <c r="CH660" s="346"/>
      <c r="CI660" s="346"/>
      <c r="CJ660" s="346"/>
      <c r="CK660" s="346"/>
      <c r="CL660" s="346"/>
      <c r="CM660" s="346"/>
      <c r="CN660" s="346"/>
      <c r="CO660" s="346"/>
      <c r="CP660" s="346"/>
      <c r="CQ660" s="346"/>
      <c r="CR660" s="346"/>
      <c r="CS660" s="346"/>
      <c r="CT660" s="346"/>
      <c r="CU660" s="346"/>
      <c r="CV660" s="346"/>
      <c r="CW660" s="346"/>
      <c r="CX660" s="346"/>
      <c r="CY660" s="346"/>
      <c r="CZ660" s="346"/>
      <c r="DA660" s="346"/>
      <c r="DB660" s="346"/>
      <c r="DC660" s="346"/>
      <c r="DD660" s="346"/>
      <c r="DE660" s="346"/>
      <c r="DF660" s="346"/>
      <c r="DG660" s="346"/>
      <c r="DH660" s="346"/>
      <c r="DI660" s="346"/>
      <c r="DJ660" s="346"/>
      <c r="DK660" s="346"/>
      <c r="DL660" s="346"/>
      <c r="DM660" s="346"/>
      <c r="DN660" s="346"/>
      <c r="DO660" s="346"/>
      <c r="DP660" s="346"/>
      <c r="DQ660" s="346"/>
      <c r="DR660" s="346"/>
      <c r="DS660" s="346"/>
      <c r="DT660" s="346"/>
      <c r="DU660" s="346"/>
      <c r="DV660" s="346"/>
      <c r="DW660" s="346"/>
      <c r="DX660" s="346"/>
      <c r="DY660" s="346"/>
      <c r="DZ660" s="346"/>
      <c r="EA660" s="346"/>
      <c r="EB660" s="346"/>
      <c r="EC660" s="346"/>
      <c r="ED660" s="346"/>
      <c r="EE660" s="346"/>
      <c r="EF660" s="346"/>
      <c r="EG660" s="346"/>
      <c r="EH660" s="346"/>
      <c r="EI660" s="346"/>
      <c r="EJ660" s="346"/>
      <c r="EK660" s="346"/>
      <c r="EL660" s="346"/>
      <c r="EM660" s="346"/>
      <c r="EN660" s="346"/>
      <c r="EO660" s="346"/>
      <c r="EP660" s="346"/>
      <c r="EQ660" s="346"/>
      <c r="ER660" s="346"/>
      <c r="ES660" s="346"/>
      <c r="ET660" s="346"/>
      <c r="EU660" s="346"/>
      <c r="EV660" s="346"/>
      <c r="EW660" s="346"/>
      <c r="EX660" s="346"/>
      <c r="EY660" s="346"/>
      <c r="EZ660" s="346"/>
      <c r="FA660" s="346"/>
      <c r="FB660" s="346"/>
      <c r="FC660" s="346"/>
      <c r="FD660" s="346"/>
      <c r="FE660" s="346"/>
      <c r="FF660" s="346"/>
      <c r="FG660" s="346"/>
      <c r="FH660" s="346"/>
      <c r="FI660" s="346"/>
      <c r="FJ660" s="346"/>
      <c r="FK660" s="346"/>
      <c r="FL660" s="346"/>
      <c r="FM660" s="346"/>
      <c r="FN660" s="346"/>
      <c r="FO660" s="346"/>
      <c r="FP660" s="346"/>
      <c r="FQ660" s="346"/>
      <c r="FR660" s="346"/>
      <c r="FS660" s="346"/>
      <c r="FT660" s="346"/>
      <c r="FU660" s="346"/>
      <c r="FV660" s="346"/>
      <c r="FW660" s="346"/>
      <c r="FX660" s="346"/>
      <c r="FY660" s="346"/>
      <c r="FZ660" s="346"/>
      <c r="GA660" s="346"/>
      <c r="GB660" s="346"/>
      <c r="GC660" s="346"/>
      <c r="GD660" s="346"/>
      <c r="GE660" s="346"/>
      <c r="GF660" s="346"/>
      <c r="GG660" s="346"/>
      <c r="GH660" s="346"/>
      <c r="GI660" s="346"/>
      <c r="GJ660" s="346"/>
      <c r="GK660" s="346"/>
      <c r="GL660" s="346"/>
      <c r="GM660" s="346"/>
      <c r="GN660" s="346"/>
      <c r="GO660" s="346"/>
      <c r="GP660" s="346"/>
      <c r="GQ660" s="346"/>
      <c r="GR660" s="346"/>
      <c r="GS660" s="346"/>
      <c r="GT660" s="346"/>
      <c r="GU660" s="346"/>
      <c r="GV660" s="346"/>
      <c r="GW660" s="346"/>
      <c r="GX660" s="346"/>
      <c r="GY660" s="346"/>
      <c r="GZ660" s="346"/>
      <c r="HA660" s="346"/>
      <c r="HB660" s="346"/>
      <c r="HC660" s="346"/>
      <c r="HD660" s="346"/>
      <c r="HE660" s="346"/>
      <c r="HF660" s="346"/>
      <c r="HG660" s="346"/>
      <c r="HH660" s="346"/>
      <c r="HI660" s="346"/>
      <c r="HJ660" s="346"/>
      <c r="HK660" s="346"/>
      <c r="HL660" s="346"/>
      <c r="HM660" s="346"/>
      <c r="HN660" s="346"/>
      <c r="HO660" s="346"/>
      <c r="HP660" s="346"/>
      <c r="HQ660" s="346"/>
      <c r="HR660" s="346"/>
      <c r="HS660" s="346"/>
      <c r="HT660" s="346"/>
      <c r="HU660" s="346"/>
      <c r="HV660" s="346"/>
      <c r="HW660" s="346"/>
      <c r="HX660" s="346"/>
      <c r="HY660" s="346"/>
      <c r="HZ660" s="346"/>
      <c r="IA660" s="346"/>
      <c r="IB660" s="346"/>
      <c r="IC660" s="346"/>
      <c r="ID660" s="346"/>
      <c r="IE660" s="346"/>
      <c r="IF660" s="346"/>
      <c r="IG660" s="346"/>
      <c r="IH660" s="346"/>
      <c r="II660" s="346"/>
      <c r="IJ660" s="346"/>
      <c r="IK660" s="346"/>
      <c r="IL660" s="346"/>
      <c r="IM660" s="346"/>
      <c r="IN660" s="346"/>
      <c r="IO660" s="346"/>
      <c r="IP660" s="346"/>
      <c r="IQ660" s="346"/>
      <c r="IR660" s="346"/>
      <c r="IS660" s="346"/>
      <c r="IT660" s="346"/>
      <c r="IU660" s="346"/>
      <c r="IV660" s="346"/>
      <c r="IW660" s="346"/>
    </row>
    <row r="661" customFormat="false" ht="11.25" hidden="false" customHeight="false" outlineLevel="0" collapsed="false">
      <c r="A661" s="347" t="s">
        <v>967</v>
      </c>
      <c r="B661" s="346"/>
      <c r="C661" s="346"/>
      <c r="D661" s="346"/>
      <c r="E661" s="346"/>
      <c r="F661" s="346"/>
      <c r="G661" s="346"/>
      <c r="H661" s="1122" t="n">
        <v>0</v>
      </c>
      <c r="I661" s="1122" t="n">
        <v>0</v>
      </c>
      <c r="J661" s="1123" t="n">
        <v>0</v>
      </c>
      <c r="K661" s="1124" t="n">
        <v>0</v>
      </c>
      <c r="L661" s="1124" t="n">
        <v>0</v>
      </c>
      <c r="M661" s="1124" t="n">
        <v>0</v>
      </c>
      <c r="N661" s="1124" t="n">
        <v>0</v>
      </c>
      <c r="O661" s="1124" t="n">
        <v>0</v>
      </c>
      <c r="P661" s="1124" t="n">
        <v>0</v>
      </c>
      <c r="Q661" s="1124" t="n">
        <v>0</v>
      </c>
      <c r="R661" s="1124" t="n">
        <v>0</v>
      </c>
      <c r="S661" s="1124" t="n">
        <v>0</v>
      </c>
      <c r="T661" s="1124" t="n">
        <v>0</v>
      </c>
      <c r="U661" s="1124" t="n">
        <v>0</v>
      </c>
      <c r="V661" s="1124" t="n">
        <v>0</v>
      </c>
      <c r="W661" s="1124" t="n">
        <v>0</v>
      </c>
      <c r="X661" s="1124" t="n">
        <v>0</v>
      </c>
      <c r="Y661" s="1124" t="n">
        <v>0</v>
      </c>
      <c r="Z661" s="1124" t="n">
        <v>0</v>
      </c>
      <c r="AA661" s="1124" t="n">
        <v>0</v>
      </c>
      <c r="AB661" s="1124" t="n">
        <v>0</v>
      </c>
      <c r="AC661" s="1124" t="n">
        <v>0</v>
      </c>
      <c r="AD661" s="1124" t="n">
        <v>0</v>
      </c>
      <c r="AE661" s="1124" t="n">
        <v>0</v>
      </c>
      <c r="AF661" s="1124" t="n">
        <v>0</v>
      </c>
      <c r="AG661" s="346"/>
      <c r="AH661" s="346"/>
      <c r="AI661" s="346"/>
      <c r="AJ661" s="346"/>
      <c r="AK661" s="346"/>
      <c r="AL661" s="346"/>
      <c r="AM661" s="346"/>
      <c r="AN661" s="346"/>
      <c r="AO661" s="346"/>
      <c r="AP661" s="346"/>
      <c r="AQ661" s="346"/>
      <c r="AR661" s="346"/>
      <c r="AS661" s="346"/>
      <c r="AT661" s="346"/>
      <c r="AU661" s="346"/>
      <c r="AV661" s="346"/>
      <c r="AW661" s="346"/>
      <c r="AX661" s="346"/>
      <c r="AY661" s="346"/>
      <c r="AZ661" s="346"/>
      <c r="BA661" s="346"/>
      <c r="BB661" s="346"/>
      <c r="BC661" s="346"/>
      <c r="BD661" s="346"/>
      <c r="BE661" s="346"/>
      <c r="BF661" s="346"/>
      <c r="BG661" s="346"/>
      <c r="BH661" s="346"/>
      <c r="BI661" s="346"/>
      <c r="BJ661" s="346"/>
      <c r="BK661" s="346"/>
      <c r="BL661" s="346"/>
      <c r="BM661" s="346"/>
      <c r="BN661" s="346"/>
      <c r="BO661" s="346"/>
      <c r="BP661" s="346"/>
      <c r="BQ661" s="346"/>
      <c r="BR661" s="346"/>
      <c r="BS661" s="346"/>
      <c r="BT661" s="346"/>
      <c r="BU661" s="346"/>
      <c r="BV661" s="346"/>
      <c r="BW661" s="346"/>
      <c r="BX661" s="346"/>
      <c r="BY661" s="346"/>
      <c r="BZ661" s="346"/>
      <c r="CA661" s="346"/>
      <c r="CB661" s="346"/>
      <c r="CC661" s="346"/>
      <c r="CD661" s="346"/>
      <c r="CE661" s="346"/>
      <c r="CF661" s="346"/>
      <c r="CG661" s="346"/>
      <c r="CH661" s="346"/>
      <c r="CI661" s="346"/>
      <c r="CJ661" s="346"/>
      <c r="CK661" s="346"/>
      <c r="CL661" s="346"/>
      <c r="CM661" s="346"/>
      <c r="CN661" s="346"/>
      <c r="CO661" s="346"/>
      <c r="CP661" s="346"/>
      <c r="CQ661" s="346"/>
      <c r="CR661" s="346"/>
      <c r="CS661" s="346"/>
      <c r="CT661" s="346"/>
      <c r="CU661" s="346"/>
      <c r="CV661" s="346"/>
      <c r="CW661" s="346"/>
      <c r="CX661" s="346"/>
      <c r="CY661" s="346"/>
      <c r="CZ661" s="346"/>
      <c r="DA661" s="346"/>
      <c r="DB661" s="346"/>
      <c r="DC661" s="346"/>
      <c r="DD661" s="346"/>
      <c r="DE661" s="346"/>
      <c r="DF661" s="346"/>
      <c r="DG661" s="346"/>
      <c r="DH661" s="346"/>
      <c r="DI661" s="346"/>
      <c r="DJ661" s="346"/>
      <c r="DK661" s="346"/>
      <c r="DL661" s="346"/>
      <c r="DM661" s="346"/>
      <c r="DN661" s="346"/>
      <c r="DO661" s="346"/>
      <c r="DP661" s="346"/>
      <c r="DQ661" s="346"/>
      <c r="DR661" s="346"/>
      <c r="DS661" s="346"/>
      <c r="DT661" s="346"/>
      <c r="DU661" s="346"/>
      <c r="DV661" s="346"/>
      <c r="DW661" s="346"/>
      <c r="DX661" s="346"/>
      <c r="DY661" s="346"/>
      <c r="DZ661" s="346"/>
      <c r="EA661" s="346"/>
      <c r="EB661" s="346"/>
      <c r="EC661" s="346"/>
      <c r="ED661" s="346"/>
      <c r="EE661" s="346"/>
      <c r="EF661" s="346"/>
      <c r="EG661" s="346"/>
      <c r="EH661" s="346"/>
      <c r="EI661" s="346"/>
      <c r="EJ661" s="346"/>
      <c r="EK661" s="346"/>
      <c r="EL661" s="346"/>
      <c r="EM661" s="346"/>
      <c r="EN661" s="346"/>
      <c r="EO661" s="346"/>
      <c r="EP661" s="346"/>
      <c r="EQ661" s="346"/>
      <c r="ER661" s="346"/>
      <c r="ES661" s="346"/>
      <c r="ET661" s="346"/>
      <c r="EU661" s="346"/>
      <c r="EV661" s="346"/>
      <c r="EW661" s="346"/>
      <c r="EX661" s="346"/>
      <c r="EY661" s="346"/>
      <c r="EZ661" s="346"/>
      <c r="FA661" s="346"/>
      <c r="FB661" s="346"/>
      <c r="FC661" s="346"/>
      <c r="FD661" s="346"/>
      <c r="FE661" s="346"/>
      <c r="FF661" s="346"/>
      <c r="FG661" s="346"/>
      <c r="FH661" s="346"/>
      <c r="FI661" s="346"/>
      <c r="FJ661" s="346"/>
      <c r="FK661" s="346"/>
      <c r="FL661" s="346"/>
      <c r="FM661" s="346"/>
      <c r="FN661" s="346"/>
      <c r="FO661" s="346"/>
      <c r="FP661" s="346"/>
      <c r="FQ661" s="346"/>
      <c r="FR661" s="346"/>
      <c r="FS661" s="346"/>
      <c r="FT661" s="346"/>
      <c r="FU661" s="346"/>
      <c r="FV661" s="346"/>
      <c r="FW661" s="346"/>
      <c r="FX661" s="346"/>
      <c r="FY661" s="346"/>
      <c r="FZ661" s="346"/>
      <c r="GA661" s="346"/>
      <c r="GB661" s="346"/>
      <c r="GC661" s="346"/>
      <c r="GD661" s="346"/>
      <c r="GE661" s="346"/>
      <c r="GF661" s="346"/>
      <c r="GG661" s="346"/>
      <c r="GH661" s="346"/>
      <c r="GI661" s="346"/>
      <c r="GJ661" s="346"/>
      <c r="GK661" s="346"/>
      <c r="GL661" s="346"/>
      <c r="GM661" s="346"/>
      <c r="GN661" s="346"/>
      <c r="GO661" s="346"/>
      <c r="GP661" s="346"/>
      <c r="GQ661" s="346"/>
      <c r="GR661" s="346"/>
      <c r="GS661" s="346"/>
      <c r="GT661" s="346"/>
      <c r="GU661" s="346"/>
      <c r="GV661" s="346"/>
      <c r="GW661" s="346"/>
      <c r="GX661" s="346"/>
      <c r="GY661" s="346"/>
      <c r="GZ661" s="346"/>
      <c r="HA661" s="346"/>
      <c r="HB661" s="346"/>
      <c r="HC661" s="346"/>
      <c r="HD661" s="346"/>
      <c r="HE661" s="346"/>
      <c r="HF661" s="346"/>
      <c r="HG661" s="346"/>
      <c r="HH661" s="346"/>
      <c r="HI661" s="346"/>
      <c r="HJ661" s="346"/>
      <c r="HK661" s="346"/>
      <c r="HL661" s="346"/>
      <c r="HM661" s="346"/>
      <c r="HN661" s="346"/>
      <c r="HO661" s="346"/>
      <c r="HP661" s="346"/>
      <c r="HQ661" s="346"/>
      <c r="HR661" s="346"/>
      <c r="HS661" s="346"/>
      <c r="HT661" s="346"/>
      <c r="HU661" s="346"/>
      <c r="HV661" s="346"/>
      <c r="HW661" s="346"/>
      <c r="HX661" s="346"/>
      <c r="HY661" s="346"/>
      <c r="HZ661" s="346"/>
      <c r="IA661" s="346"/>
      <c r="IB661" s="346"/>
      <c r="IC661" s="346"/>
      <c r="ID661" s="346"/>
      <c r="IE661" s="346"/>
      <c r="IF661" s="346"/>
      <c r="IG661" s="346"/>
      <c r="IH661" s="346"/>
      <c r="II661" s="346"/>
      <c r="IJ661" s="346"/>
      <c r="IK661" s="346"/>
      <c r="IL661" s="346"/>
      <c r="IM661" s="346"/>
      <c r="IN661" s="346"/>
      <c r="IO661" s="346"/>
      <c r="IP661" s="346"/>
      <c r="IQ661" s="346"/>
      <c r="IR661" s="346"/>
      <c r="IS661" s="346"/>
      <c r="IT661" s="346"/>
      <c r="IU661" s="346"/>
      <c r="IV661" s="346"/>
      <c r="IW661" s="346"/>
    </row>
    <row r="662" customFormat="false" ht="11.25" hidden="false" customHeight="false" outlineLevel="0" collapsed="false">
      <c r="A662" s="347" t="s">
        <v>968</v>
      </c>
      <c r="B662" s="346"/>
      <c r="C662" s="346"/>
      <c r="D662" s="346"/>
      <c r="E662" s="346"/>
      <c r="F662" s="346"/>
      <c r="G662" s="346"/>
      <c r="H662" s="1119" t="n">
        <f aca="false">IF(H660-H661&lt;0,0,H660-H661)</f>
        <v>0</v>
      </c>
      <c r="I662" s="1119" t="n">
        <f aca="false">IF(I660-I661&lt;0,0,I660-I661)</f>
        <v>0</v>
      </c>
      <c r="J662" s="1120" t="e">
        <f aca="false">IF(J660-J661&lt;0,0,J660-J661)</f>
        <v>#VALUE!</v>
      </c>
      <c r="K662" s="1119" t="e">
        <f aca="false">IF(K660-K661&lt;0,0,K660-K661)</f>
        <v>#VALUE!</v>
      </c>
      <c r="L662" s="1119" t="e">
        <f aca="false">IF(L660-L661&lt;0,0,L660-L661)</f>
        <v>#VALUE!</v>
      </c>
      <c r="M662" s="1119" t="e">
        <f aca="false">IF(M660-M661&lt;0,0,M660-M661)</f>
        <v>#VALUE!</v>
      </c>
      <c r="N662" s="1119" t="e">
        <f aca="false">IF(N660-N661&lt;0,0,N660-N661)</f>
        <v>#VALUE!</v>
      </c>
      <c r="O662" s="1119" t="e">
        <f aca="false">IF(O660-O661&lt;0,0,O660-O661)</f>
        <v>#VALUE!</v>
      </c>
      <c r="P662" s="1119" t="e">
        <f aca="false">IF(P660-P661&lt;0,0,P660-P661)</f>
        <v>#VALUE!</v>
      </c>
      <c r="Q662" s="1119" t="e">
        <f aca="false">IF(Q660-Q661&lt;0,0,Q660-Q661)</f>
        <v>#VALUE!</v>
      </c>
      <c r="R662" s="1119" t="e">
        <f aca="false">IF(R660-R661&lt;0,0,R660-R661)</f>
        <v>#VALUE!</v>
      </c>
      <c r="S662" s="1119" t="e">
        <f aca="false">IF(S660-S661&lt;0,0,S660-S661)</f>
        <v>#VALUE!</v>
      </c>
      <c r="T662" s="1119" t="e">
        <f aca="false">IF(T660-T661&lt;0,0,T660-T661)</f>
        <v>#VALUE!</v>
      </c>
      <c r="U662" s="1119" t="e">
        <f aca="false">IF(U660-U661&lt;0,0,U660-U661)</f>
        <v>#VALUE!</v>
      </c>
      <c r="V662" s="1119" t="e">
        <f aca="false">IF(V660-V661&lt;0,0,V660-V661)</f>
        <v>#VALUE!</v>
      </c>
      <c r="W662" s="1119" t="e">
        <f aca="false">IF(W660-W661&lt;0,0,W660-W661)</f>
        <v>#VALUE!</v>
      </c>
      <c r="X662" s="1119" t="e">
        <f aca="false">IF(X660-X661&lt;0,0,X660-X661)</f>
        <v>#VALUE!</v>
      </c>
      <c r="Y662" s="1119" t="e">
        <f aca="false">IF(Y660-Y661&lt;0,0,Y660-Y661)</f>
        <v>#VALUE!</v>
      </c>
      <c r="Z662" s="1119" t="e">
        <f aca="false">IF(Z660-Z661&lt;0,0,Z660-Z661)</f>
        <v>#VALUE!</v>
      </c>
      <c r="AA662" s="1119" t="e">
        <f aca="false">IF(AA660-AA661&lt;0,0,AA660-AA661)</f>
        <v>#VALUE!</v>
      </c>
      <c r="AB662" s="1119" t="e">
        <f aca="false">IF(AB660-AB661&lt;0,0,AB660-AB661)</f>
        <v>#VALUE!</v>
      </c>
      <c r="AC662" s="1119" t="e">
        <f aca="false">IF(AC660-AC661&lt;0,0,AC660-AC661)</f>
        <v>#VALUE!</v>
      </c>
      <c r="AD662" s="1119" t="e">
        <f aca="false">IF(AD660-AD661&lt;0,0,AD660-AD661)</f>
        <v>#VALUE!</v>
      </c>
      <c r="AE662" s="1119" t="e">
        <f aca="false">IF(AE660-AE661&lt;0,0,AE660-AE661)</f>
        <v>#VALUE!</v>
      </c>
      <c r="AF662" s="1119" t="e">
        <f aca="false">IF(AF660-AF661&lt;0,0,AF660-AF661)</f>
        <v>#VALUE!</v>
      </c>
      <c r="AG662" s="346"/>
      <c r="AH662" s="346"/>
      <c r="AI662" s="346"/>
      <c r="AJ662" s="346"/>
      <c r="AK662" s="346"/>
      <c r="AL662" s="346"/>
      <c r="AM662" s="346"/>
      <c r="AN662" s="346"/>
      <c r="AO662" s="346"/>
      <c r="AP662" s="346"/>
      <c r="AQ662" s="346"/>
      <c r="AR662" s="346"/>
      <c r="AS662" s="346"/>
      <c r="AT662" s="346"/>
      <c r="AU662" s="346"/>
      <c r="AV662" s="346"/>
      <c r="AW662" s="346"/>
      <c r="AX662" s="346"/>
      <c r="AY662" s="346"/>
      <c r="AZ662" s="346"/>
      <c r="BA662" s="346"/>
      <c r="BB662" s="346"/>
      <c r="BC662" s="346"/>
      <c r="BD662" s="346"/>
      <c r="BE662" s="346"/>
      <c r="BF662" s="346"/>
      <c r="BG662" s="346"/>
      <c r="BH662" s="346"/>
      <c r="BI662" s="346"/>
      <c r="BJ662" s="346"/>
      <c r="BK662" s="346"/>
      <c r="BL662" s="346"/>
      <c r="BM662" s="346"/>
      <c r="BN662" s="346"/>
      <c r="BO662" s="346"/>
      <c r="BP662" s="346"/>
      <c r="BQ662" s="346"/>
      <c r="BR662" s="346"/>
      <c r="BS662" s="346"/>
      <c r="BT662" s="346"/>
      <c r="BU662" s="346"/>
      <c r="BV662" s="346"/>
      <c r="BW662" s="346"/>
      <c r="BX662" s="346"/>
      <c r="BY662" s="346"/>
      <c r="BZ662" s="346"/>
      <c r="CA662" s="346"/>
      <c r="CB662" s="346"/>
      <c r="CC662" s="346"/>
      <c r="CD662" s="346"/>
      <c r="CE662" s="346"/>
      <c r="CF662" s="346"/>
      <c r="CG662" s="346"/>
      <c r="CH662" s="346"/>
      <c r="CI662" s="346"/>
      <c r="CJ662" s="346"/>
      <c r="CK662" s="346"/>
      <c r="CL662" s="346"/>
      <c r="CM662" s="346"/>
      <c r="CN662" s="346"/>
      <c r="CO662" s="346"/>
      <c r="CP662" s="346"/>
      <c r="CQ662" s="346"/>
      <c r="CR662" s="346"/>
      <c r="CS662" s="346"/>
      <c r="CT662" s="346"/>
      <c r="CU662" s="346"/>
      <c r="CV662" s="346"/>
      <c r="CW662" s="346"/>
      <c r="CX662" s="346"/>
      <c r="CY662" s="346"/>
      <c r="CZ662" s="346"/>
      <c r="DA662" s="346"/>
      <c r="DB662" s="346"/>
      <c r="DC662" s="346"/>
      <c r="DD662" s="346"/>
      <c r="DE662" s="346"/>
      <c r="DF662" s="346"/>
      <c r="DG662" s="346"/>
      <c r="DH662" s="346"/>
      <c r="DI662" s="346"/>
      <c r="DJ662" s="346"/>
      <c r="DK662" s="346"/>
      <c r="DL662" s="346"/>
      <c r="DM662" s="346"/>
      <c r="DN662" s="346"/>
      <c r="DO662" s="346"/>
      <c r="DP662" s="346"/>
      <c r="DQ662" s="346"/>
      <c r="DR662" s="346"/>
      <c r="DS662" s="346"/>
      <c r="DT662" s="346"/>
      <c r="DU662" s="346"/>
      <c r="DV662" s="346"/>
      <c r="DW662" s="346"/>
      <c r="DX662" s="346"/>
      <c r="DY662" s="346"/>
      <c r="DZ662" s="346"/>
      <c r="EA662" s="346"/>
      <c r="EB662" s="346"/>
      <c r="EC662" s="346"/>
      <c r="ED662" s="346"/>
      <c r="EE662" s="346"/>
      <c r="EF662" s="346"/>
      <c r="EG662" s="346"/>
      <c r="EH662" s="346"/>
      <c r="EI662" s="346"/>
      <c r="EJ662" s="346"/>
      <c r="EK662" s="346"/>
      <c r="EL662" s="346"/>
      <c r="EM662" s="346"/>
      <c r="EN662" s="346"/>
      <c r="EO662" s="346"/>
      <c r="EP662" s="346"/>
      <c r="EQ662" s="346"/>
      <c r="ER662" s="346"/>
      <c r="ES662" s="346"/>
      <c r="ET662" s="346"/>
      <c r="EU662" s="346"/>
      <c r="EV662" s="346"/>
      <c r="EW662" s="346"/>
      <c r="EX662" s="346"/>
      <c r="EY662" s="346"/>
      <c r="EZ662" s="346"/>
      <c r="FA662" s="346"/>
      <c r="FB662" s="346"/>
      <c r="FC662" s="346"/>
      <c r="FD662" s="346"/>
      <c r="FE662" s="346"/>
      <c r="FF662" s="346"/>
      <c r="FG662" s="346"/>
      <c r="FH662" s="346"/>
      <c r="FI662" s="346"/>
      <c r="FJ662" s="346"/>
      <c r="FK662" s="346"/>
      <c r="FL662" s="346"/>
      <c r="FM662" s="346"/>
      <c r="FN662" s="346"/>
      <c r="FO662" s="346"/>
      <c r="FP662" s="346"/>
      <c r="FQ662" s="346"/>
      <c r="FR662" s="346"/>
      <c r="FS662" s="346"/>
      <c r="FT662" s="346"/>
      <c r="FU662" s="346"/>
      <c r="FV662" s="346"/>
      <c r="FW662" s="346"/>
      <c r="FX662" s="346"/>
      <c r="FY662" s="346"/>
      <c r="FZ662" s="346"/>
      <c r="GA662" s="346"/>
      <c r="GB662" s="346"/>
      <c r="GC662" s="346"/>
      <c r="GD662" s="346"/>
      <c r="GE662" s="346"/>
      <c r="GF662" s="346"/>
      <c r="GG662" s="346"/>
      <c r="GH662" s="346"/>
      <c r="GI662" s="346"/>
      <c r="GJ662" s="346"/>
      <c r="GK662" s="346"/>
      <c r="GL662" s="346"/>
      <c r="GM662" s="346"/>
      <c r="GN662" s="346"/>
      <c r="GO662" s="346"/>
      <c r="GP662" s="346"/>
      <c r="GQ662" s="346"/>
      <c r="GR662" s="346"/>
      <c r="GS662" s="346"/>
      <c r="GT662" s="346"/>
      <c r="GU662" s="346"/>
      <c r="GV662" s="346"/>
      <c r="GW662" s="346"/>
      <c r="GX662" s="346"/>
      <c r="GY662" s="346"/>
      <c r="GZ662" s="346"/>
      <c r="HA662" s="346"/>
      <c r="HB662" s="346"/>
      <c r="HC662" s="346"/>
      <c r="HD662" s="346"/>
      <c r="HE662" s="346"/>
      <c r="HF662" s="346"/>
      <c r="HG662" s="346"/>
      <c r="HH662" s="346"/>
      <c r="HI662" s="346"/>
      <c r="HJ662" s="346"/>
      <c r="HK662" s="346"/>
      <c r="HL662" s="346"/>
      <c r="HM662" s="346"/>
      <c r="HN662" s="346"/>
      <c r="HO662" s="346"/>
      <c r="HP662" s="346"/>
      <c r="HQ662" s="346"/>
      <c r="HR662" s="346"/>
      <c r="HS662" s="346"/>
      <c r="HT662" s="346"/>
      <c r="HU662" s="346"/>
      <c r="HV662" s="346"/>
      <c r="HW662" s="346"/>
      <c r="HX662" s="346"/>
      <c r="HY662" s="346"/>
      <c r="HZ662" s="346"/>
      <c r="IA662" s="346"/>
      <c r="IB662" s="346"/>
      <c r="IC662" s="346"/>
      <c r="ID662" s="346"/>
      <c r="IE662" s="346"/>
      <c r="IF662" s="346"/>
      <c r="IG662" s="346"/>
      <c r="IH662" s="346"/>
      <c r="II662" s="346"/>
      <c r="IJ662" s="346"/>
      <c r="IK662" s="346"/>
      <c r="IL662" s="346"/>
      <c r="IM662" s="346"/>
      <c r="IN662" s="346"/>
      <c r="IO662" s="346"/>
      <c r="IP662" s="346"/>
      <c r="IQ662" s="346"/>
      <c r="IR662" s="346"/>
      <c r="IS662" s="346"/>
      <c r="IT662" s="346"/>
      <c r="IU662" s="346"/>
      <c r="IV662" s="346"/>
      <c r="IW662" s="346"/>
    </row>
    <row r="663" customFormat="false" ht="11.25" hidden="false" customHeight="false" outlineLevel="0" collapsed="false">
      <c r="A663" s="347" t="s">
        <v>969</v>
      </c>
      <c r="B663" s="346"/>
      <c r="C663" s="346"/>
      <c r="D663" s="346"/>
      <c r="E663" s="346"/>
      <c r="F663" s="346"/>
      <c r="G663" s="346"/>
      <c r="H663" s="1119" t="n">
        <f aca="false">IF(H658&lt;=0,H658,0)</f>
        <v>0</v>
      </c>
      <c r="I663" s="1119" t="e">
        <f aca="false">IF(I658&lt;=0,I658,0)</f>
        <v>#VALUE!</v>
      </c>
      <c r="J663" s="1120" t="e">
        <f aca="false">IF(J658&lt;=0,J658,0)</f>
        <v>#VALUE!</v>
      </c>
      <c r="K663" s="1119" t="e">
        <f aca="false">IF(K658&lt;=0,K658,0)</f>
        <v>#VALUE!</v>
      </c>
      <c r="L663" s="1119" t="e">
        <f aca="false">IF(L658&lt;=0,L658,0)</f>
        <v>#VALUE!</v>
      </c>
      <c r="M663" s="1119" t="e">
        <f aca="false">IF(M658&lt;=0,M658,0)</f>
        <v>#VALUE!</v>
      </c>
      <c r="N663" s="1119" t="e">
        <f aca="false">IF(N658&lt;=0,N658,0)</f>
        <v>#VALUE!</v>
      </c>
      <c r="O663" s="1119" t="e">
        <f aca="false">IF(O658&lt;=0,O658,0)</f>
        <v>#VALUE!</v>
      </c>
      <c r="P663" s="1119" t="e">
        <f aca="false">IF(P658&lt;=0,P658,0)</f>
        <v>#VALUE!</v>
      </c>
      <c r="Q663" s="1119" t="e">
        <f aca="false">IF(Q658&lt;=0,Q658,0)</f>
        <v>#VALUE!</v>
      </c>
      <c r="R663" s="1119" t="e">
        <f aca="false">IF(R658&lt;=0,R658,0)</f>
        <v>#VALUE!</v>
      </c>
      <c r="S663" s="1119" t="e">
        <f aca="false">IF(S658&lt;=0,S658,0)</f>
        <v>#VALUE!</v>
      </c>
      <c r="T663" s="1119" t="e">
        <f aca="false">IF(T658&lt;=0,T658,0)</f>
        <v>#VALUE!</v>
      </c>
      <c r="U663" s="1119" t="e">
        <f aca="false">IF(U658&lt;=0,U658,0)</f>
        <v>#VALUE!</v>
      </c>
      <c r="V663" s="1119" t="e">
        <f aca="false">IF(V658&lt;=0,V658,0)</f>
        <v>#VALUE!</v>
      </c>
      <c r="W663" s="1119" t="e">
        <f aca="false">IF(W658&lt;=0,W658,0)</f>
        <v>#VALUE!</v>
      </c>
      <c r="X663" s="1119" t="e">
        <f aca="false">IF(X658&lt;=0,X658,0)</f>
        <v>#VALUE!</v>
      </c>
      <c r="Y663" s="1119" t="e">
        <f aca="false">IF(Y658&lt;=0,Y658,0)</f>
        <v>#VALUE!</v>
      </c>
      <c r="Z663" s="1119" t="e">
        <f aca="false">IF(Z658&lt;=0,Z658,0)</f>
        <v>#VALUE!</v>
      </c>
      <c r="AA663" s="1119" t="e">
        <f aca="false">IF(AA658&lt;=0,AA658,0)</f>
        <v>#VALUE!</v>
      </c>
      <c r="AB663" s="1119" t="e">
        <f aca="false">IF(AB658&lt;=0,AB658,0)</f>
        <v>#VALUE!</v>
      </c>
      <c r="AC663" s="1119" t="e">
        <f aca="false">IF(AC658&lt;=0,AC658,0)</f>
        <v>#VALUE!</v>
      </c>
      <c r="AD663" s="1119" t="e">
        <f aca="false">IF(AD658&lt;=0,AD658,0)</f>
        <v>#VALUE!</v>
      </c>
      <c r="AE663" s="1119" t="e">
        <f aca="false">IF(AE658&lt;=0,AE658,0)</f>
        <v>#VALUE!</v>
      </c>
      <c r="AF663" s="1119" t="e">
        <f aca="false">IF(AF658&lt;=0,AF658,0)</f>
        <v>#VALUE!</v>
      </c>
      <c r="AG663" s="346"/>
      <c r="AH663" s="346"/>
      <c r="AI663" s="346"/>
      <c r="AJ663" s="346"/>
      <c r="AK663" s="346"/>
      <c r="AL663" s="346"/>
      <c r="AM663" s="346"/>
      <c r="AN663" s="346"/>
      <c r="AO663" s="346"/>
      <c r="AP663" s="346"/>
      <c r="AQ663" s="346"/>
      <c r="AR663" s="346"/>
      <c r="AS663" s="346"/>
      <c r="AT663" s="346"/>
      <c r="AU663" s="346"/>
      <c r="AV663" s="346"/>
      <c r="AW663" s="346"/>
      <c r="AX663" s="346"/>
      <c r="AY663" s="346"/>
      <c r="AZ663" s="346"/>
      <c r="BA663" s="346"/>
      <c r="BB663" s="346"/>
      <c r="BC663" s="346"/>
      <c r="BD663" s="346"/>
      <c r="BE663" s="346"/>
      <c r="BF663" s="346"/>
      <c r="BG663" s="346"/>
      <c r="BH663" s="346"/>
      <c r="BI663" s="346"/>
      <c r="BJ663" s="346"/>
      <c r="BK663" s="346"/>
      <c r="BL663" s="346"/>
      <c r="BM663" s="346"/>
      <c r="BN663" s="346"/>
      <c r="BO663" s="346"/>
      <c r="BP663" s="346"/>
      <c r="BQ663" s="346"/>
      <c r="BR663" s="346"/>
      <c r="BS663" s="346"/>
      <c r="BT663" s="346"/>
      <c r="BU663" s="346"/>
      <c r="BV663" s="346"/>
      <c r="BW663" s="346"/>
      <c r="BX663" s="346"/>
      <c r="BY663" s="346"/>
      <c r="BZ663" s="346"/>
      <c r="CA663" s="346"/>
      <c r="CB663" s="346"/>
      <c r="CC663" s="346"/>
      <c r="CD663" s="346"/>
      <c r="CE663" s="346"/>
      <c r="CF663" s="346"/>
      <c r="CG663" s="346"/>
      <c r="CH663" s="346"/>
      <c r="CI663" s="346"/>
      <c r="CJ663" s="346"/>
      <c r="CK663" s="346"/>
      <c r="CL663" s="346"/>
      <c r="CM663" s="346"/>
      <c r="CN663" s="346"/>
      <c r="CO663" s="346"/>
      <c r="CP663" s="346"/>
      <c r="CQ663" s="346"/>
      <c r="CR663" s="346"/>
      <c r="CS663" s="346"/>
      <c r="CT663" s="346"/>
      <c r="CU663" s="346"/>
      <c r="CV663" s="346"/>
      <c r="CW663" s="346"/>
      <c r="CX663" s="346"/>
      <c r="CY663" s="346"/>
      <c r="CZ663" s="346"/>
      <c r="DA663" s="346"/>
      <c r="DB663" s="346"/>
      <c r="DC663" s="346"/>
      <c r="DD663" s="346"/>
      <c r="DE663" s="346"/>
      <c r="DF663" s="346"/>
      <c r="DG663" s="346"/>
      <c r="DH663" s="346"/>
      <c r="DI663" s="346"/>
      <c r="DJ663" s="346"/>
      <c r="DK663" s="346"/>
      <c r="DL663" s="346"/>
      <c r="DM663" s="346"/>
      <c r="DN663" s="346"/>
      <c r="DO663" s="346"/>
      <c r="DP663" s="346"/>
      <c r="DQ663" s="346"/>
      <c r="DR663" s="346"/>
      <c r="DS663" s="346"/>
      <c r="DT663" s="346"/>
      <c r="DU663" s="346"/>
      <c r="DV663" s="346"/>
      <c r="DW663" s="346"/>
      <c r="DX663" s="346"/>
      <c r="DY663" s="346"/>
      <c r="DZ663" s="346"/>
      <c r="EA663" s="346"/>
      <c r="EB663" s="346"/>
      <c r="EC663" s="346"/>
      <c r="ED663" s="346"/>
      <c r="EE663" s="346"/>
      <c r="EF663" s="346"/>
      <c r="EG663" s="346"/>
      <c r="EH663" s="346"/>
      <c r="EI663" s="346"/>
      <c r="EJ663" s="346"/>
      <c r="EK663" s="346"/>
      <c r="EL663" s="346"/>
      <c r="EM663" s="346"/>
      <c r="EN663" s="346"/>
      <c r="EO663" s="346"/>
      <c r="EP663" s="346"/>
      <c r="EQ663" s="346"/>
      <c r="ER663" s="346"/>
      <c r="ES663" s="346"/>
      <c r="ET663" s="346"/>
      <c r="EU663" s="346"/>
      <c r="EV663" s="346"/>
      <c r="EW663" s="346"/>
      <c r="EX663" s="346"/>
      <c r="EY663" s="346"/>
      <c r="EZ663" s="346"/>
      <c r="FA663" s="346"/>
      <c r="FB663" s="346"/>
      <c r="FC663" s="346"/>
      <c r="FD663" s="346"/>
      <c r="FE663" s="346"/>
      <c r="FF663" s="346"/>
      <c r="FG663" s="346"/>
      <c r="FH663" s="346"/>
      <c r="FI663" s="346"/>
      <c r="FJ663" s="346"/>
      <c r="FK663" s="346"/>
      <c r="FL663" s="346"/>
      <c r="FM663" s="346"/>
      <c r="FN663" s="346"/>
      <c r="FO663" s="346"/>
      <c r="FP663" s="346"/>
      <c r="FQ663" s="346"/>
      <c r="FR663" s="346"/>
      <c r="FS663" s="346"/>
      <c r="FT663" s="346"/>
      <c r="FU663" s="346"/>
      <c r="FV663" s="346"/>
      <c r="FW663" s="346"/>
      <c r="FX663" s="346"/>
      <c r="FY663" s="346"/>
      <c r="FZ663" s="346"/>
      <c r="GA663" s="346"/>
      <c r="GB663" s="346"/>
      <c r="GC663" s="346"/>
      <c r="GD663" s="346"/>
      <c r="GE663" s="346"/>
      <c r="GF663" s="346"/>
      <c r="GG663" s="346"/>
      <c r="GH663" s="346"/>
      <c r="GI663" s="346"/>
      <c r="GJ663" s="346"/>
      <c r="GK663" s="346"/>
      <c r="GL663" s="346"/>
      <c r="GM663" s="346"/>
      <c r="GN663" s="346"/>
      <c r="GO663" s="346"/>
      <c r="GP663" s="346"/>
      <c r="GQ663" s="346"/>
      <c r="GR663" s="346"/>
      <c r="GS663" s="346"/>
      <c r="GT663" s="346"/>
      <c r="GU663" s="346"/>
      <c r="GV663" s="346"/>
      <c r="GW663" s="346"/>
      <c r="GX663" s="346"/>
      <c r="GY663" s="346"/>
      <c r="GZ663" s="346"/>
      <c r="HA663" s="346"/>
      <c r="HB663" s="346"/>
      <c r="HC663" s="346"/>
      <c r="HD663" s="346"/>
      <c r="HE663" s="346"/>
      <c r="HF663" s="346"/>
      <c r="HG663" s="346"/>
      <c r="HH663" s="346"/>
      <c r="HI663" s="346"/>
      <c r="HJ663" s="346"/>
      <c r="HK663" s="346"/>
      <c r="HL663" s="346"/>
      <c r="HM663" s="346"/>
      <c r="HN663" s="346"/>
      <c r="HO663" s="346"/>
      <c r="HP663" s="346"/>
      <c r="HQ663" s="346"/>
      <c r="HR663" s="346"/>
      <c r="HS663" s="346"/>
      <c r="HT663" s="346"/>
      <c r="HU663" s="346"/>
      <c r="HV663" s="346"/>
      <c r="HW663" s="346"/>
      <c r="HX663" s="346"/>
      <c r="HY663" s="346"/>
      <c r="HZ663" s="346"/>
      <c r="IA663" s="346"/>
      <c r="IB663" s="346"/>
      <c r="IC663" s="346"/>
      <c r="ID663" s="346"/>
      <c r="IE663" s="346"/>
      <c r="IF663" s="346"/>
      <c r="IG663" s="346"/>
      <c r="IH663" s="346"/>
      <c r="II663" s="346"/>
      <c r="IJ663" s="346"/>
      <c r="IK663" s="346"/>
      <c r="IL663" s="346"/>
      <c r="IM663" s="346"/>
      <c r="IN663" s="346"/>
      <c r="IO663" s="346"/>
      <c r="IP663" s="346"/>
      <c r="IQ663" s="346"/>
      <c r="IR663" s="346"/>
      <c r="IS663" s="346"/>
      <c r="IT663" s="346"/>
      <c r="IU663" s="346"/>
      <c r="IV663" s="346"/>
      <c r="IW663" s="346"/>
    </row>
    <row r="664" customFormat="false" ht="11.25" hidden="false" customHeight="false" outlineLevel="0" collapsed="false">
      <c r="A664" s="347" t="s">
        <v>970</v>
      </c>
      <c r="B664" s="346"/>
      <c r="C664" s="346"/>
      <c r="D664" s="346"/>
      <c r="E664" s="346"/>
      <c r="F664" s="346"/>
      <c r="G664" s="346"/>
      <c r="H664" s="1119" t="n">
        <f aca="false">IF(H658&gt;0,IF(H662&lt;=H658,H662,H658),0)</f>
        <v>0</v>
      </c>
      <c r="I664" s="1119" t="e">
        <f aca="false">IF(I658&gt;0,IF(I662&lt;=I658,I662,I658),0)</f>
        <v>#VALUE!</v>
      </c>
      <c r="J664" s="1120" t="e">
        <f aca="false">IF(J658&gt;0,IF(J662&lt;=J658,J662,J658),0)</f>
        <v>#VALUE!</v>
      </c>
      <c r="K664" s="1119" t="e">
        <f aca="false">IF(K658&gt;0,IF(K662&lt;=K658,K662,K658),0)</f>
        <v>#VALUE!</v>
      </c>
      <c r="L664" s="1119" t="e">
        <f aca="false">IF(L658&gt;0,IF(L662&lt;=L658,L662,L658),0)</f>
        <v>#VALUE!</v>
      </c>
      <c r="M664" s="1119" t="e">
        <f aca="false">IF(M658&gt;0,IF(M662&lt;=M658,M662,M658),0)</f>
        <v>#VALUE!</v>
      </c>
      <c r="N664" s="1119" t="e">
        <f aca="false">IF(N658&gt;0,IF(N662&lt;=N658,N662,N658),0)</f>
        <v>#VALUE!</v>
      </c>
      <c r="O664" s="1119" t="e">
        <f aca="false">IF(O658&gt;0,IF(O662&lt;=O658,O662,O658),0)</f>
        <v>#VALUE!</v>
      </c>
      <c r="P664" s="1119" t="e">
        <f aca="false">IF(P658&gt;0,IF(P662&lt;=P658,P662,P658),0)</f>
        <v>#VALUE!</v>
      </c>
      <c r="Q664" s="1119" t="e">
        <f aca="false">IF(Q658&gt;0,IF(Q662&lt;=Q658,Q662,Q658),0)</f>
        <v>#VALUE!</v>
      </c>
      <c r="R664" s="1119" t="e">
        <f aca="false">IF(R658&gt;0,IF(R662&lt;=R658,R662,R658),0)</f>
        <v>#VALUE!</v>
      </c>
      <c r="S664" s="1119" t="e">
        <f aca="false">IF(S658&gt;0,IF(S662&lt;=S658,S662,S658),0)</f>
        <v>#VALUE!</v>
      </c>
      <c r="T664" s="1119" t="e">
        <f aca="false">IF(T658&gt;0,IF(T662&lt;=T658,T662,T658),0)</f>
        <v>#VALUE!</v>
      </c>
      <c r="U664" s="1119" t="e">
        <f aca="false">IF(U658&gt;0,IF(U662&lt;=U658,U662,U658),0)</f>
        <v>#VALUE!</v>
      </c>
      <c r="V664" s="1119" t="e">
        <f aca="false">IF(V658&gt;0,IF(V662&lt;=V658,V662,V658),0)</f>
        <v>#VALUE!</v>
      </c>
      <c r="W664" s="1119" t="e">
        <f aca="false">IF(W658&gt;0,IF(W662&lt;=W658,W662,W658),0)</f>
        <v>#VALUE!</v>
      </c>
      <c r="X664" s="1119" t="e">
        <f aca="false">IF(X658&gt;0,IF(X662&lt;=X658,X662,X658),0)</f>
        <v>#VALUE!</v>
      </c>
      <c r="Y664" s="1119" t="e">
        <f aca="false">IF(Y658&gt;0,IF(Y662&lt;=Y658,Y662,Y658),0)</f>
        <v>#VALUE!</v>
      </c>
      <c r="Z664" s="1119" t="e">
        <f aca="false">IF(Z658&gt;0,IF(Z662&lt;=Z658,Z662,Z658),0)</f>
        <v>#VALUE!</v>
      </c>
      <c r="AA664" s="1119" t="e">
        <f aca="false">IF(AA658&gt;0,IF(AA662&lt;=AA658,AA662,AA658),0)</f>
        <v>#VALUE!</v>
      </c>
      <c r="AB664" s="1119" t="e">
        <f aca="false">IF(AB658&gt;0,IF(AB662&lt;=AB658,AB662,AB658),0)</f>
        <v>#VALUE!</v>
      </c>
      <c r="AC664" s="1119" t="e">
        <f aca="false">IF(AC658&gt;0,IF(AC662&lt;=AC658,AC662,AC658),0)</f>
        <v>#VALUE!</v>
      </c>
      <c r="AD664" s="1119" t="e">
        <f aca="false">IF(AD658&gt;0,IF(AD662&lt;=AD658,AD662,AD658),0)</f>
        <v>#VALUE!</v>
      </c>
      <c r="AE664" s="1119" t="e">
        <f aca="false">IF(AE658&gt;0,IF(AE662&lt;=AE658,AE662,AE658),0)</f>
        <v>#VALUE!</v>
      </c>
      <c r="AF664" s="1119" t="e">
        <f aca="false">IF(AF658&gt;0,IF(AF662&lt;=AF658,AF662,AF658),0)</f>
        <v>#VALUE!</v>
      </c>
      <c r="AG664" s="346"/>
      <c r="AH664" s="346"/>
      <c r="AI664" s="346"/>
      <c r="AJ664" s="346"/>
      <c r="AK664" s="346"/>
      <c r="AL664" s="346"/>
      <c r="AM664" s="346"/>
      <c r="AN664" s="346"/>
      <c r="AO664" s="346"/>
      <c r="AP664" s="346"/>
      <c r="AQ664" s="346"/>
      <c r="AR664" s="346"/>
      <c r="AS664" s="346"/>
      <c r="AT664" s="346"/>
      <c r="AU664" s="346"/>
      <c r="AV664" s="346"/>
      <c r="AW664" s="346"/>
      <c r="AX664" s="346"/>
      <c r="AY664" s="346"/>
      <c r="AZ664" s="346"/>
      <c r="BA664" s="346"/>
      <c r="BB664" s="346"/>
      <c r="BC664" s="346"/>
      <c r="BD664" s="346"/>
      <c r="BE664" s="346"/>
      <c r="BF664" s="346"/>
      <c r="BG664" s="346"/>
      <c r="BH664" s="346"/>
      <c r="BI664" s="346"/>
      <c r="BJ664" s="346"/>
      <c r="BK664" s="346"/>
      <c r="BL664" s="346"/>
      <c r="BM664" s="346"/>
      <c r="BN664" s="346"/>
      <c r="BO664" s="346"/>
      <c r="BP664" s="346"/>
      <c r="BQ664" s="346"/>
      <c r="BR664" s="346"/>
      <c r="BS664" s="346"/>
      <c r="BT664" s="346"/>
      <c r="BU664" s="346"/>
      <c r="BV664" s="346"/>
      <c r="BW664" s="346"/>
      <c r="BX664" s="346"/>
      <c r="BY664" s="346"/>
      <c r="BZ664" s="346"/>
      <c r="CA664" s="346"/>
      <c r="CB664" s="346"/>
      <c r="CC664" s="346"/>
      <c r="CD664" s="346"/>
      <c r="CE664" s="346"/>
      <c r="CF664" s="346"/>
      <c r="CG664" s="346"/>
      <c r="CH664" s="346"/>
      <c r="CI664" s="346"/>
      <c r="CJ664" s="346"/>
      <c r="CK664" s="346"/>
      <c r="CL664" s="346"/>
      <c r="CM664" s="346"/>
      <c r="CN664" s="346"/>
      <c r="CO664" s="346"/>
      <c r="CP664" s="346"/>
      <c r="CQ664" s="346"/>
      <c r="CR664" s="346"/>
      <c r="CS664" s="346"/>
      <c r="CT664" s="346"/>
      <c r="CU664" s="346"/>
      <c r="CV664" s="346"/>
      <c r="CW664" s="346"/>
      <c r="CX664" s="346"/>
      <c r="CY664" s="346"/>
      <c r="CZ664" s="346"/>
      <c r="DA664" s="346"/>
      <c r="DB664" s="346"/>
      <c r="DC664" s="346"/>
      <c r="DD664" s="346"/>
      <c r="DE664" s="346"/>
      <c r="DF664" s="346"/>
      <c r="DG664" s="346"/>
      <c r="DH664" s="346"/>
      <c r="DI664" s="346"/>
      <c r="DJ664" s="346"/>
      <c r="DK664" s="346"/>
      <c r="DL664" s="346"/>
      <c r="DM664" s="346"/>
      <c r="DN664" s="346"/>
      <c r="DO664" s="346"/>
      <c r="DP664" s="346"/>
      <c r="DQ664" s="346"/>
      <c r="DR664" s="346"/>
      <c r="DS664" s="346"/>
      <c r="DT664" s="346"/>
      <c r="DU664" s="346"/>
      <c r="DV664" s="346"/>
      <c r="DW664" s="346"/>
      <c r="DX664" s="346"/>
      <c r="DY664" s="346"/>
      <c r="DZ664" s="346"/>
      <c r="EA664" s="346"/>
      <c r="EB664" s="346"/>
      <c r="EC664" s="346"/>
      <c r="ED664" s="346"/>
      <c r="EE664" s="346"/>
      <c r="EF664" s="346"/>
      <c r="EG664" s="346"/>
      <c r="EH664" s="346"/>
      <c r="EI664" s="346"/>
      <c r="EJ664" s="346"/>
      <c r="EK664" s="346"/>
      <c r="EL664" s="346"/>
      <c r="EM664" s="346"/>
      <c r="EN664" s="346"/>
      <c r="EO664" s="346"/>
      <c r="EP664" s="346"/>
      <c r="EQ664" s="346"/>
      <c r="ER664" s="346"/>
      <c r="ES664" s="346"/>
      <c r="ET664" s="346"/>
      <c r="EU664" s="346"/>
      <c r="EV664" s="346"/>
      <c r="EW664" s="346"/>
      <c r="EX664" s="346"/>
      <c r="EY664" s="346"/>
      <c r="EZ664" s="346"/>
      <c r="FA664" s="346"/>
      <c r="FB664" s="346"/>
      <c r="FC664" s="346"/>
      <c r="FD664" s="346"/>
      <c r="FE664" s="346"/>
      <c r="FF664" s="346"/>
      <c r="FG664" s="346"/>
      <c r="FH664" s="346"/>
      <c r="FI664" s="346"/>
      <c r="FJ664" s="346"/>
      <c r="FK664" s="346"/>
      <c r="FL664" s="346"/>
      <c r="FM664" s="346"/>
      <c r="FN664" s="346"/>
      <c r="FO664" s="346"/>
      <c r="FP664" s="346"/>
      <c r="FQ664" s="346"/>
      <c r="FR664" s="346"/>
      <c r="FS664" s="346"/>
      <c r="FT664" s="346"/>
      <c r="FU664" s="346"/>
      <c r="FV664" s="346"/>
      <c r="FW664" s="346"/>
      <c r="FX664" s="346"/>
      <c r="FY664" s="346"/>
      <c r="FZ664" s="346"/>
      <c r="GA664" s="346"/>
      <c r="GB664" s="346"/>
      <c r="GC664" s="346"/>
      <c r="GD664" s="346"/>
      <c r="GE664" s="346"/>
      <c r="GF664" s="346"/>
      <c r="GG664" s="346"/>
      <c r="GH664" s="346"/>
      <c r="GI664" s="346"/>
      <c r="GJ664" s="346"/>
      <c r="GK664" s="346"/>
      <c r="GL664" s="346"/>
      <c r="GM664" s="346"/>
      <c r="GN664" s="346"/>
      <c r="GO664" s="346"/>
      <c r="GP664" s="346"/>
      <c r="GQ664" s="346"/>
      <c r="GR664" s="346"/>
      <c r="GS664" s="346"/>
      <c r="GT664" s="346"/>
      <c r="GU664" s="346"/>
      <c r="GV664" s="346"/>
      <c r="GW664" s="346"/>
      <c r="GX664" s="346"/>
      <c r="GY664" s="346"/>
      <c r="GZ664" s="346"/>
      <c r="HA664" s="346"/>
      <c r="HB664" s="346"/>
      <c r="HC664" s="346"/>
      <c r="HD664" s="346"/>
      <c r="HE664" s="346"/>
      <c r="HF664" s="346"/>
      <c r="HG664" s="346"/>
      <c r="HH664" s="346"/>
      <c r="HI664" s="346"/>
      <c r="HJ664" s="346"/>
      <c r="HK664" s="346"/>
      <c r="HL664" s="346"/>
      <c r="HM664" s="346"/>
      <c r="HN664" s="346"/>
      <c r="HO664" s="346"/>
      <c r="HP664" s="346"/>
      <c r="HQ664" s="346"/>
      <c r="HR664" s="346"/>
      <c r="HS664" s="346"/>
      <c r="HT664" s="346"/>
      <c r="HU664" s="346"/>
      <c r="HV664" s="346"/>
      <c r="HW664" s="346"/>
      <c r="HX664" s="346"/>
      <c r="HY664" s="346"/>
      <c r="HZ664" s="346"/>
      <c r="IA664" s="346"/>
      <c r="IB664" s="346"/>
      <c r="IC664" s="346"/>
      <c r="ID664" s="346"/>
      <c r="IE664" s="346"/>
      <c r="IF664" s="346"/>
      <c r="IG664" s="346"/>
      <c r="IH664" s="346"/>
      <c r="II664" s="346"/>
      <c r="IJ664" s="346"/>
      <c r="IK664" s="346"/>
      <c r="IL664" s="346"/>
      <c r="IM664" s="346"/>
      <c r="IN664" s="346"/>
      <c r="IO664" s="346"/>
      <c r="IP664" s="346"/>
      <c r="IQ664" s="346"/>
      <c r="IR664" s="346"/>
      <c r="IS664" s="346"/>
      <c r="IT664" s="346"/>
      <c r="IU664" s="346"/>
      <c r="IV664" s="346"/>
      <c r="IW664" s="346"/>
    </row>
    <row r="665" customFormat="false" ht="11.25" hidden="false" customHeight="false" outlineLevel="0" collapsed="false">
      <c r="A665" s="347" t="s">
        <v>971</v>
      </c>
      <c r="B665" s="346"/>
      <c r="C665" s="346"/>
      <c r="D665" s="346"/>
      <c r="E665" s="346"/>
      <c r="F665" s="346"/>
      <c r="G665" s="346"/>
      <c r="H665" s="1125" t="n">
        <f aca="false">IF(H662-H663-H664&lt;0,0,H662-H663-H664)</f>
        <v>0</v>
      </c>
      <c r="I665" s="1125" t="e">
        <f aca="false">IF(I662-I663-I664&lt;0,0,I662-I663-I664)</f>
        <v>#VALUE!</v>
      </c>
      <c r="J665" s="1126" t="e">
        <f aca="false">IF(J662-J663-J664&lt;0,0,J662-J663-J664)</f>
        <v>#VALUE!</v>
      </c>
      <c r="K665" s="1125" t="e">
        <f aca="false">IF(K662-K663-K664&lt;0,0,K662-K663-K664)</f>
        <v>#VALUE!</v>
      </c>
      <c r="L665" s="1125" t="e">
        <f aca="false">IF(L662-L663-L664&lt;0,0,L662-L663-L664)</f>
        <v>#VALUE!</v>
      </c>
      <c r="M665" s="1125" t="e">
        <f aca="false">IF(M662-M663-M664&lt;0,0,M662-M663-M664)</f>
        <v>#VALUE!</v>
      </c>
      <c r="N665" s="1125" t="e">
        <f aca="false">IF(N662-N663-N664&lt;0,0,N662-N663-N664)</f>
        <v>#VALUE!</v>
      </c>
      <c r="O665" s="1125" t="e">
        <f aca="false">IF(O662-O663-O664&lt;0,0,O662-O663-O664)</f>
        <v>#VALUE!</v>
      </c>
      <c r="P665" s="1125" t="e">
        <f aca="false">IF(P662-P663-P664&lt;0,0,P662-P663-P664)</f>
        <v>#VALUE!</v>
      </c>
      <c r="Q665" s="1125" t="e">
        <f aca="false">IF(Q662-Q663-Q664&lt;0,0,Q662-Q663-Q664)</f>
        <v>#VALUE!</v>
      </c>
      <c r="R665" s="1125" t="e">
        <f aca="false">IF(R662-R663-R664&lt;0,0,R662-R663-R664)</f>
        <v>#VALUE!</v>
      </c>
      <c r="S665" s="1125" t="e">
        <f aca="false">IF(S662-S663-S664&lt;0,0,S662-S663-S664)</f>
        <v>#VALUE!</v>
      </c>
      <c r="T665" s="1125" t="e">
        <f aca="false">IF(T662-T663-T664&lt;0,0,T662-T663-T664)</f>
        <v>#VALUE!</v>
      </c>
      <c r="U665" s="1125" t="e">
        <f aca="false">IF(U662-U663-U664&lt;0,0,U662-U663-U664)</f>
        <v>#VALUE!</v>
      </c>
      <c r="V665" s="1125" t="e">
        <f aca="false">IF(V662-V663-V664&lt;0,0,V662-V663-V664)</f>
        <v>#VALUE!</v>
      </c>
      <c r="W665" s="1125" t="e">
        <f aca="false">IF(W662-W663-W664&lt;0,0,W662-W663-W664)</f>
        <v>#VALUE!</v>
      </c>
      <c r="X665" s="1125" t="e">
        <f aca="false">IF(X662-X663-X664&lt;0,0,X662-X663-X664)</f>
        <v>#VALUE!</v>
      </c>
      <c r="Y665" s="1125" t="e">
        <f aca="false">IF(Y662-Y663-Y664&lt;0,0,Y662-Y663-Y664)</f>
        <v>#VALUE!</v>
      </c>
      <c r="Z665" s="1125" t="e">
        <f aca="false">IF(Z662-Z663-Z664&lt;0,0,Z662-Z663-Z664)</f>
        <v>#VALUE!</v>
      </c>
      <c r="AA665" s="1125" t="e">
        <f aca="false">IF(AA662-AA663-AA664&lt;0,0,AA662-AA663-AA664)</f>
        <v>#VALUE!</v>
      </c>
      <c r="AB665" s="1125" t="e">
        <f aca="false">IF(AB662-AB663-AB664&lt;0,0,AB662-AB663-AB664)</f>
        <v>#VALUE!</v>
      </c>
      <c r="AC665" s="1125" t="e">
        <f aca="false">IF(AC662-AC663-AC664&lt;0,0,AC662-AC663-AC664)</f>
        <v>#VALUE!</v>
      </c>
      <c r="AD665" s="1125" t="e">
        <f aca="false">IF(AD662-AD663-AD664&lt;0,0,AD662-AD663-AD664)</f>
        <v>#VALUE!</v>
      </c>
      <c r="AE665" s="1125" t="e">
        <f aca="false">IF(AE662-AE663-AE664&lt;0,0,AE662-AE663-AE664)</f>
        <v>#VALUE!</v>
      </c>
      <c r="AF665" s="1125" t="e">
        <f aca="false">IF(AF662-AF663-AF664&lt;0,0,AF662-AF663-AF664)</f>
        <v>#VALUE!</v>
      </c>
      <c r="AG665" s="346"/>
      <c r="AH665" s="346"/>
      <c r="AI665" s="346"/>
      <c r="AJ665" s="346"/>
      <c r="AK665" s="346"/>
      <c r="AL665" s="346"/>
      <c r="AM665" s="346"/>
      <c r="AN665" s="346"/>
      <c r="AO665" s="346"/>
      <c r="AP665" s="346"/>
      <c r="AQ665" s="346"/>
      <c r="AR665" s="346"/>
      <c r="AS665" s="346"/>
      <c r="AT665" s="346"/>
      <c r="AU665" s="346"/>
      <c r="AV665" s="346"/>
      <c r="AW665" s="346"/>
      <c r="AX665" s="346"/>
      <c r="AY665" s="346"/>
      <c r="AZ665" s="346"/>
      <c r="BA665" s="346"/>
      <c r="BB665" s="346"/>
      <c r="BC665" s="346"/>
      <c r="BD665" s="346"/>
      <c r="BE665" s="346"/>
      <c r="BF665" s="346"/>
      <c r="BG665" s="346"/>
      <c r="BH665" s="346"/>
      <c r="BI665" s="346"/>
      <c r="BJ665" s="346"/>
      <c r="BK665" s="346"/>
      <c r="BL665" s="346"/>
      <c r="BM665" s="346"/>
      <c r="BN665" s="346"/>
      <c r="BO665" s="346"/>
      <c r="BP665" s="346"/>
      <c r="BQ665" s="346"/>
      <c r="BR665" s="346"/>
      <c r="BS665" s="346"/>
      <c r="BT665" s="346"/>
      <c r="BU665" s="346"/>
      <c r="BV665" s="346"/>
      <c r="BW665" s="346"/>
      <c r="BX665" s="346"/>
      <c r="BY665" s="346"/>
      <c r="BZ665" s="346"/>
      <c r="CA665" s="346"/>
      <c r="CB665" s="346"/>
      <c r="CC665" s="346"/>
      <c r="CD665" s="346"/>
      <c r="CE665" s="346"/>
      <c r="CF665" s="346"/>
      <c r="CG665" s="346"/>
      <c r="CH665" s="346"/>
      <c r="CI665" s="346"/>
      <c r="CJ665" s="346"/>
      <c r="CK665" s="346"/>
      <c r="CL665" s="346"/>
      <c r="CM665" s="346"/>
      <c r="CN665" s="346"/>
      <c r="CO665" s="346"/>
      <c r="CP665" s="346"/>
      <c r="CQ665" s="346"/>
      <c r="CR665" s="346"/>
      <c r="CS665" s="346"/>
      <c r="CT665" s="346"/>
      <c r="CU665" s="346"/>
      <c r="CV665" s="346"/>
      <c r="CW665" s="346"/>
      <c r="CX665" s="346"/>
      <c r="CY665" s="346"/>
      <c r="CZ665" s="346"/>
      <c r="DA665" s="346"/>
      <c r="DB665" s="346"/>
      <c r="DC665" s="346"/>
      <c r="DD665" s="346"/>
      <c r="DE665" s="346"/>
      <c r="DF665" s="346"/>
      <c r="DG665" s="346"/>
      <c r="DH665" s="346"/>
      <c r="DI665" s="346"/>
      <c r="DJ665" s="346"/>
      <c r="DK665" s="346"/>
      <c r="DL665" s="346"/>
      <c r="DM665" s="346"/>
      <c r="DN665" s="346"/>
      <c r="DO665" s="346"/>
      <c r="DP665" s="346"/>
      <c r="DQ665" s="346"/>
      <c r="DR665" s="346"/>
      <c r="DS665" s="346"/>
      <c r="DT665" s="346"/>
      <c r="DU665" s="346"/>
      <c r="DV665" s="346"/>
      <c r="DW665" s="346"/>
      <c r="DX665" s="346"/>
      <c r="DY665" s="346"/>
      <c r="DZ665" s="346"/>
      <c r="EA665" s="346"/>
      <c r="EB665" s="346"/>
      <c r="EC665" s="346"/>
      <c r="ED665" s="346"/>
      <c r="EE665" s="346"/>
      <c r="EF665" s="346"/>
      <c r="EG665" s="346"/>
      <c r="EH665" s="346"/>
      <c r="EI665" s="346"/>
      <c r="EJ665" s="346"/>
      <c r="EK665" s="346"/>
      <c r="EL665" s="346"/>
      <c r="EM665" s="346"/>
      <c r="EN665" s="346"/>
      <c r="EO665" s="346"/>
      <c r="EP665" s="346"/>
      <c r="EQ665" s="346"/>
      <c r="ER665" s="346"/>
      <c r="ES665" s="346"/>
      <c r="ET665" s="346"/>
      <c r="EU665" s="346"/>
      <c r="EV665" s="346"/>
      <c r="EW665" s="346"/>
      <c r="EX665" s="346"/>
      <c r="EY665" s="346"/>
      <c r="EZ665" s="346"/>
      <c r="FA665" s="346"/>
      <c r="FB665" s="346"/>
      <c r="FC665" s="346"/>
      <c r="FD665" s="346"/>
      <c r="FE665" s="346"/>
      <c r="FF665" s="346"/>
      <c r="FG665" s="346"/>
      <c r="FH665" s="346"/>
      <c r="FI665" s="346"/>
      <c r="FJ665" s="346"/>
      <c r="FK665" s="346"/>
      <c r="FL665" s="346"/>
      <c r="FM665" s="346"/>
      <c r="FN665" s="346"/>
      <c r="FO665" s="346"/>
      <c r="FP665" s="346"/>
      <c r="FQ665" s="346"/>
      <c r="FR665" s="346"/>
      <c r="FS665" s="346"/>
      <c r="FT665" s="346"/>
      <c r="FU665" s="346"/>
      <c r="FV665" s="346"/>
      <c r="FW665" s="346"/>
      <c r="FX665" s="346"/>
      <c r="FY665" s="346"/>
      <c r="FZ665" s="346"/>
      <c r="GA665" s="346"/>
      <c r="GB665" s="346"/>
      <c r="GC665" s="346"/>
      <c r="GD665" s="346"/>
      <c r="GE665" s="346"/>
      <c r="GF665" s="346"/>
      <c r="GG665" s="346"/>
      <c r="GH665" s="346"/>
      <c r="GI665" s="346"/>
      <c r="GJ665" s="346"/>
      <c r="GK665" s="346"/>
      <c r="GL665" s="346"/>
      <c r="GM665" s="346"/>
      <c r="GN665" s="346"/>
      <c r="GO665" s="346"/>
      <c r="GP665" s="346"/>
      <c r="GQ665" s="346"/>
      <c r="GR665" s="346"/>
      <c r="GS665" s="346"/>
      <c r="GT665" s="346"/>
      <c r="GU665" s="346"/>
      <c r="GV665" s="346"/>
      <c r="GW665" s="346"/>
      <c r="GX665" s="346"/>
      <c r="GY665" s="346"/>
      <c r="GZ665" s="346"/>
      <c r="HA665" s="346"/>
      <c r="HB665" s="346"/>
      <c r="HC665" s="346"/>
      <c r="HD665" s="346"/>
      <c r="HE665" s="346"/>
      <c r="HF665" s="346"/>
      <c r="HG665" s="346"/>
      <c r="HH665" s="346"/>
      <c r="HI665" s="346"/>
      <c r="HJ665" s="346"/>
      <c r="HK665" s="346"/>
      <c r="HL665" s="346"/>
      <c r="HM665" s="346"/>
      <c r="HN665" s="346"/>
      <c r="HO665" s="346"/>
      <c r="HP665" s="346"/>
      <c r="HQ665" s="346"/>
      <c r="HR665" s="346"/>
      <c r="HS665" s="346"/>
      <c r="HT665" s="346"/>
      <c r="HU665" s="346"/>
      <c r="HV665" s="346"/>
      <c r="HW665" s="346"/>
      <c r="HX665" s="346"/>
      <c r="HY665" s="346"/>
      <c r="HZ665" s="346"/>
      <c r="IA665" s="346"/>
      <c r="IB665" s="346"/>
      <c r="IC665" s="346"/>
      <c r="ID665" s="346"/>
      <c r="IE665" s="346"/>
      <c r="IF665" s="346"/>
      <c r="IG665" s="346"/>
      <c r="IH665" s="346"/>
      <c r="II665" s="346"/>
      <c r="IJ665" s="346"/>
      <c r="IK665" s="346"/>
      <c r="IL665" s="346"/>
      <c r="IM665" s="346"/>
      <c r="IN665" s="346"/>
      <c r="IO665" s="346"/>
      <c r="IP665" s="346"/>
      <c r="IQ665" s="346"/>
      <c r="IR665" s="346"/>
      <c r="IS665" s="346"/>
      <c r="IT665" s="346"/>
      <c r="IU665" s="346"/>
      <c r="IV665" s="346"/>
      <c r="IW665" s="346"/>
    </row>
    <row r="666" customFormat="false" ht="11.25" hidden="false" customHeight="false" outlineLevel="0" collapsed="false">
      <c r="A666" s="1127"/>
      <c r="B666" s="751"/>
      <c r="C666" s="751"/>
      <c r="D666" s="751"/>
      <c r="E666" s="751"/>
      <c r="F666" s="751"/>
      <c r="G666" s="751"/>
      <c r="H666" s="1114"/>
      <c r="I666" s="1114"/>
      <c r="J666" s="1115"/>
      <c r="K666" s="1114"/>
      <c r="L666" s="1114"/>
      <c r="M666" s="1114"/>
      <c r="N666" s="1114"/>
      <c r="O666" s="1114"/>
      <c r="P666" s="1114"/>
      <c r="Q666" s="1114"/>
      <c r="R666" s="1114"/>
      <c r="S666" s="1114"/>
      <c r="T666" s="1114"/>
      <c r="U666" s="1114"/>
      <c r="V666" s="1114"/>
      <c r="W666" s="1114"/>
      <c r="X666" s="1114"/>
      <c r="Y666" s="1114"/>
      <c r="Z666" s="1114"/>
      <c r="AA666" s="1114"/>
      <c r="AB666" s="1114"/>
      <c r="AC666" s="1114"/>
      <c r="AD666" s="1114"/>
      <c r="AE666" s="1114"/>
      <c r="AF666" s="1114"/>
      <c r="AG666" s="751"/>
    </row>
    <row r="667" customFormat="false" ht="11.25" hidden="false" customHeight="false" outlineLevel="0" collapsed="false">
      <c r="A667" s="1109" t="s">
        <v>978</v>
      </c>
      <c r="B667" s="751"/>
      <c r="C667" s="751"/>
      <c r="D667" s="751"/>
      <c r="E667" s="751"/>
      <c r="F667" s="751"/>
      <c r="G667" s="751"/>
      <c r="H667" s="1114" t="n">
        <f aca="false">IF(H658&lt;=0,0,H658-H664)</f>
        <v>0</v>
      </c>
      <c r="I667" s="1114" t="e">
        <f aca="false">IF(I658&lt;=0,0,I658-I664)</f>
        <v>#VALUE!</v>
      </c>
      <c r="J667" s="1115" t="e">
        <f aca="false">IF(J658&lt;=0,0,J658-J664)</f>
        <v>#VALUE!</v>
      </c>
      <c r="K667" s="1114" t="e">
        <f aca="false">IF(K658&lt;=0,0,K658-K664)</f>
        <v>#VALUE!</v>
      </c>
      <c r="L667" s="1114" t="e">
        <f aca="false">IF(L658&lt;=0,0,L658-L664)</f>
        <v>#VALUE!</v>
      </c>
      <c r="M667" s="1114" t="e">
        <f aca="false">IF(M658&lt;=0,0,M658-M664)</f>
        <v>#VALUE!</v>
      </c>
      <c r="N667" s="1114" t="e">
        <f aca="false">IF(N658&lt;=0,0,N658-N664)</f>
        <v>#VALUE!</v>
      </c>
      <c r="O667" s="1114" t="e">
        <f aca="false">IF(O658&lt;=0,0,O658-O664)</f>
        <v>#VALUE!</v>
      </c>
      <c r="P667" s="1114" t="e">
        <f aca="false">IF(P658&lt;=0,0,P658-P664)</f>
        <v>#VALUE!</v>
      </c>
      <c r="Q667" s="1114" t="e">
        <f aca="false">IF(Q658&lt;=0,0,Q658-Q664)</f>
        <v>#VALUE!</v>
      </c>
      <c r="R667" s="1114" t="e">
        <f aca="false">IF(R658&lt;=0,0,R658-R664)</f>
        <v>#VALUE!</v>
      </c>
      <c r="S667" s="1114" t="e">
        <f aca="false">IF(S658&lt;=0,0,S658-S664)</f>
        <v>#VALUE!</v>
      </c>
      <c r="T667" s="1114" t="e">
        <f aca="false">IF(T658&lt;=0,0,T658-T664)</f>
        <v>#VALUE!</v>
      </c>
      <c r="U667" s="1114" t="e">
        <f aca="false">IF(U658&lt;=0,0,U658-U664)</f>
        <v>#VALUE!</v>
      </c>
      <c r="V667" s="1114" t="e">
        <f aca="false">IF(V658&lt;=0,0,V658-V664)</f>
        <v>#VALUE!</v>
      </c>
      <c r="W667" s="1114" t="e">
        <f aca="false">IF(W658&lt;=0,0,W658-W664)</f>
        <v>#VALUE!</v>
      </c>
      <c r="X667" s="1114" t="e">
        <f aca="false">IF(X658&lt;=0,0,X658-X664)</f>
        <v>#VALUE!</v>
      </c>
      <c r="Y667" s="1114" t="e">
        <f aca="false">IF(Y658&lt;=0,0,Y658-Y664)</f>
        <v>#VALUE!</v>
      </c>
      <c r="Z667" s="1114" t="e">
        <f aca="false">IF(Z658&lt;=0,0,Z658-Z664)</f>
        <v>#VALUE!</v>
      </c>
      <c r="AA667" s="1114" t="e">
        <f aca="false">IF(AA658&lt;=0,0,AA658-AA664)</f>
        <v>#VALUE!</v>
      </c>
      <c r="AB667" s="1114" t="e">
        <f aca="false">IF(AB658&lt;=0,0,AB658-AB664)</f>
        <v>#VALUE!</v>
      </c>
      <c r="AC667" s="1114" t="e">
        <f aca="false">IF(AC658&lt;=0,0,AC658-AC664)</f>
        <v>#VALUE!</v>
      </c>
      <c r="AD667" s="1114" t="e">
        <f aca="false">IF(AD658&lt;=0,0,AD658-AD664)</f>
        <v>#VALUE!</v>
      </c>
      <c r="AE667" s="1114" t="e">
        <f aca="false">IF(AE658&lt;=0,0,AE658-AE664)</f>
        <v>#VALUE!</v>
      </c>
      <c r="AF667" s="1114" t="e">
        <f aca="false">IF(AF658&lt;=0,0,AF658-AF664)</f>
        <v>#VALUE!</v>
      </c>
      <c r="AG667" s="751"/>
    </row>
    <row r="668" customFormat="false" ht="11.25" hidden="false" customHeight="false" outlineLevel="0" collapsed="false">
      <c r="A668" s="1109"/>
      <c r="B668" s="751"/>
      <c r="C668" s="751"/>
      <c r="D668" s="751"/>
      <c r="E668" s="751"/>
      <c r="F668" s="751"/>
      <c r="G668" s="751"/>
      <c r="H668" s="1114"/>
      <c r="I668" s="1114"/>
      <c r="J668" s="1115"/>
      <c r="K668" s="1116"/>
      <c r="L668" s="1116"/>
      <c r="M668" s="1116"/>
      <c r="N668" s="1116"/>
      <c r="O668" s="1116"/>
      <c r="P668" s="1116"/>
      <c r="Q668" s="1116"/>
      <c r="R668" s="1116"/>
      <c r="S668" s="1116"/>
      <c r="T668" s="1116"/>
      <c r="U668" s="1116"/>
      <c r="V668" s="1116"/>
      <c r="W668" s="1116"/>
      <c r="X668" s="1116"/>
      <c r="Y668" s="1116"/>
      <c r="Z668" s="1116"/>
      <c r="AA668" s="1116"/>
      <c r="AB668" s="1116"/>
      <c r="AC668" s="1116"/>
      <c r="AD668" s="1116"/>
      <c r="AE668" s="1116"/>
      <c r="AF668" s="1116"/>
      <c r="AG668" s="751"/>
    </row>
    <row r="669" customFormat="false" ht="11.25" hidden="false" customHeight="false" outlineLevel="0" collapsed="false">
      <c r="A669" s="1109" t="s">
        <v>973</v>
      </c>
      <c r="B669" s="346"/>
      <c r="C669" s="964" t="n">
        <f aca="false">I629</f>
        <v>0.0884</v>
      </c>
      <c r="D669" s="751"/>
      <c r="E669" s="751"/>
      <c r="F669" s="751"/>
      <c r="G669" s="751"/>
      <c r="H669" s="1110" t="n">
        <f aca="false">H667*H629</f>
        <v>0</v>
      </c>
      <c r="I669" s="1110" t="e">
        <f aca="false">I667*I629</f>
        <v>#VALUE!</v>
      </c>
      <c r="J669" s="1111" t="e">
        <f aca="false">J667*J629</f>
        <v>#VALUE!</v>
      </c>
      <c r="K669" s="1112" t="e">
        <f aca="false">K667*K629</f>
        <v>#VALUE!</v>
      </c>
      <c r="L669" s="1112" t="e">
        <f aca="false">L667*L629</f>
        <v>#VALUE!</v>
      </c>
      <c r="M669" s="1112" t="e">
        <f aca="false">M667*M629</f>
        <v>#VALUE!</v>
      </c>
      <c r="N669" s="1112" t="e">
        <f aca="false">N667*N629</f>
        <v>#VALUE!</v>
      </c>
      <c r="O669" s="1112" t="e">
        <f aca="false">O667*O629</f>
        <v>#VALUE!</v>
      </c>
      <c r="P669" s="1112" t="e">
        <f aca="false">P667*P629</f>
        <v>#VALUE!</v>
      </c>
      <c r="Q669" s="1112" t="e">
        <f aca="false">Q667*Q629</f>
        <v>#VALUE!</v>
      </c>
      <c r="R669" s="1112" t="e">
        <f aca="false">R667*R629</f>
        <v>#VALUE!</v>
      </c>
      <c r="S669" s="1112" t="e">
        <f aca="false">S667*S629</f>
        <v>#VALUE!</v>
      </c>
      <c r="T669" s="1112" t="e">
        <f aca="false">T667*T629</f>
        <v>#VALUE!</v>
      </c>
      <c r="U669" s="1112" t="e">
        <f aca="false">U667*U629</f>
        <v>#VALUE!</v>
      </c>
      <c r="V669" s="1112" t="e">
        <f aca="false">V667*V629</f>
        <v>#VALUE!</v>
      </c>
      <c r="W669" s="1112" t="e">
        <f aca="false">W667*W629</f>
        <v>#VALUE!</v>
      </c>
      <c r="X669" s="1112" t="e">
        <f aca="false">X667*X629</f>
        <v>#VALUE!</v>
      </c>
      <c r="Y669" s="1112" t="e">
        <f aca="false">Y667*Y629</f>
        <v>#VALUE!</v>
      </c>
      <c r="Z669" s="1112" t="e">
        <f aca="false">Z667*Z629</f>
        <v>#VALUE!</v>
      </c>
      <c r="AA669" s="1112" t="e">
        <f aca="false">AA667*AA629</f>
        <v>#VALUE!</v>
      </c>
      <c r="AB669" s="1112" t="e">
        <f aca="false">AB667*AB629</f>
        <v>#VALUE!</v>
      </c>
      <c r="AC669" s="1112" t="e">
        <f aca="false">AC667*AC629</f>
        <v>#VALUE!</v>
      </c>
      <c r="AD669" s="1112" t="e">
        <f aca="false">AD667*AD629</f>
        <v>#VALUE!</v>
      </c>
      <c r="AE669" s="1112" t="e">
        <f aca="false">AE667*AE629</f>
        <v>#VALUE!</v>
      </c>
      <c r="AF669" s="1112" t="e">
        <f aca="false">AF667*AF629</f>
        <v>#VALUE!</v>
      </c>
      <c r="AG669" s="751"/>
    </row>
    <row r="670" customFormat="false" ht="11.25" hidden="false" customHeight="false" outlineLevel="0" collapsed="false">
      <c r="A670" s="1109" t="s">
        <v>974</v>
      </c>
      <c r="B670" s="346"/>
      <c r="C670" s="964" t="n">
        <f aca="false">I628</f>
        <v>0.35</v>
      </c>
      <c r="D670" s="751"/>
      <c r="E670" s="751"/>
      <c r="F670" s="751"/>
      <c r="G670" s="751"/>
      <c r="H670" s="1114" t="n">
        <f aca="false">(H667-H669)*H628</f>
        <v>0</v>
      </c>
      <c r="I670" s="1130" t="e">
        <f aca="false">(I667-I669)*I628</f>
        <v>#VALUE!</v>
      </c>
      <c r="J670" s="1116" t="e">
        <f aca="false">(J667-J669)*J628</f>
        <v>#VALUE!</v>
      </c>
      <c r="K670" s="1116" t="e">
        <f aca="false">(K667-K669)*K628</f>
        <v>#VALUE!</v>
      </c>
      <c r="L670" s="1116" t="e">
        <f aca="false">(L667-L669)*L628</f>
        <v>#VALUE!</v>
      </c>
      <c r="M670" s="1116" t="e">
        <f aca="false">(M667-M669)*M628</f>
        <v>#VALUE!</v>
      </c>
      <c r="N670" s="1116" t="e">
        <f aca="false">(N667-N669)*N628</f>
        <v>#VALUE!</v>
      </c>
      <c r="O670" s="1116" t="e">
        <f aca="false">(O667-O669)*O628</f>
        <v>#VALUE!</v>
      </c>
      <c r="P670" s="1116" t="e">
        <f aca="false">(P667-P669)*P628</f>
        <v>#VALUE!</v>
      </c>
      <c r="Q670" s="1116" t="e">
        <f aca="false">(Q667-Q669)*Q628</f>
        <v>#VALUE!</v>
      </c>
      <c r="R670" s="1116" t="e">
        <f aca="false">(R667-R669)*R628</f>
        <v>#VALUE!</v>
      </c>
      <c r="S670" s="1116" t="e">
        <f aca="false">(S667-S669)*S628</f>
        <v>#VALUE!</v>
      </c>
      <c r="T670" s="1116" t="e">
        <f aca="false">(T667-T669)*T628</f>
        <v>#VALUE!</v>
      </c>
      <c r="U670" s="1116" t="e">
        <f aca="false">(U667-U669)*U628</f>
        <v>#VALUE!</v>
      </c>
      <c r="V670" s="1116" t="e">
        <f aca="false">(V667-V669)*V628</f>
        <v>#VALUE!</v>
      </c>
      <c r="W670" s="1116" t="e">
        <f aca="false">(W667-W669)*W628</f>
        <v>#VALUE!</v>
      </c>
      <c r="X670" s="1116" t="e">
        <f aca="false">(X667-X669)*X628</f>
        <v>#VALUE!</v>
      </c>
      <c r="Y670" s="1116" t="e">
        <f aca="false">(Y667-Y669)*Y628</f>
        <v>#VALUE!</v>
      </c>
      <c r="Z670" s="1116" t="e">
        <f aca="false">(Z667-Z669)*Z628</f>
        <v>#VALUE!</v>
      </c>
      <c r="AA670" s="1116" t="e">
        <f aca="false">(AA667-AA669)*AA628</f>
        <v>#VALUE!</v>
      </c>
      <c r="AB670" s="1116" t="e">
        <f aca="false">(AB667-AB669)*AB628</f>
        <v>#VALUE!</v>
      </c>
      <c r="AC670" s="1116" t="e">
        <f aca="false">(AC667-AC669)*AC628</f>
        <v>#VALUE!</v>
      </c>
      <c r="AD670" s="1116" t="e">
        <f aca="false">(AD667-AD669)*AD628</f>
        <v>#VALUE!</v>
      </c>
      <c r="AE670" s="1116" t="e">
        <f aca="false">(AE667-AE669)*AE628</f>
        <v>#VALUE!</v>
      </c>
      <c r="AF670" s="1116" t="e">
        <f aca="false">(AF667-AF669)*AF628</f>
        <v>#VALUE!</v>
      </c>
      <c r="AG670" s="751"/>
    </row>
    <row r="671" customFormat="false" ht="12" hidden="false" customHeight="false" outlineLevel="0" collapsed="false">
      <c r="A671" s="1109" t="s">
        <v>979</v>
      </c>
      <c r="B671" s="751"/>
      <c r="C671" s="751"/>
      <c r="D671" s="751"/>
      <c r="E671" s="751"/>
      <c r="F671" s="751"/>
      <c r="G671" s="751"/>
      <c r="H671" s="1128" t="n">
        <f aca="false">H669+H670</f>
        <v>0</v>
      </c>
      <c r="I671" s="1131" t="e">
        <f aca="false">I669+I670</f>
        <v>#VALUE!</v>
      </c>
      <c r="J671" s="1128" t="e">
        <f aca="false">J669+J670</f>
        <v>#VALUE!</v>
      </c>
      <c r="K671" s="1128" t="e">
        <f aca="false">K669+K670</f>
        <v>#VALUE!</v>
      </c>
      <c r="L671" s="1128" t="e">
        <f aca="false">L669+L670</f>
        <v>#VALUE!</v>
      </c>
      <c r="M671" s="1128" t="e">
        <f aca="false">M669+M670</f>
        <v>#VALUE!</v>
      </c>
      <c r="N671" s="1128" t="e">
        <f aca="false">N669+N670</f>
        <v>#VALUE!</v>
      </c>
      <c r="O671" s="1128" t="e">
        <f aca="false">O669+O670</f>
        <v>#VALUE!</v>
      </c>
      <c r="P671" s="1128" t="e">
        <f aca="false">P669+P670</f>
        <v>#VALUE!</v>
      </c>
      <c r="Q671" s="1128" t="e">
        <f aca="false">Q669+Q670</f>
        <v>#VALUE!</v>
      </c>
      <c r="R671" s="1128" t="e">
        <f aca="false">R669+R670</f>
        <v>#VALUE!</v>
      </c>
      <c r="S671" s="1128" t="e">
        <f aca="false">S669+S670</f>
        <v>#VALUE!</v>
      </c>
      <c r="T671" s="1128" t="e">
        <f aca="false">T669+T670</f>
        <v>#VALUE!</v>
      </c>
      <c r="U671" s="1128" t="e">
        <f aca="false">U669+U670</f>
        <v>#VALUE!</v>
      </c>
      <c r="V671" s="1128" t="e">
        <f aca="false">V669+V670</f>
        <v>#VALUE!</v>
      </c>
      <c r="W671" s="1128" t="e">
        <f aca="false">W669+W670</f>
        <v>#VALUE!</v>
      </c>
      <c r="X671" s="1128" t="e">
        <f aca="false">X669+X670</f>
        <v>#VALUE!</v>
      </c>
      <c r="Y671" s="1128" t="e">
        <f aca="false">Y669+Y670</f>
        <v>#VALUE!</v>
      </c>
      <c r="Z671" s="1128" t="e">
        <f aca="false">Z669+Z670</f>
        <v>#VALUE!</v>
      </c>
      <c r="AA671" s="1128" t="e">
        <f aca="false">AA669+AA670</f>
        <v>#VALUE!</v>
      </c>
      <c r="AB671" s="1128" t="e">
        <f aca="false">AB669+AB670</f>
        <v>#VALUE!</v>
      </c>
      <c r="AC671" s="1128" t="e">
        <f aca="false">AC669+AC670</f>
        <v>#VALUE!</v>
      </c>
      <c r="AD671" s="1128" t="e">
        <f aca="false">AD669+AD670</f>
        <v>#VALUE!</v>
      </c>
      <c r="AE671" s="1128" t="e">
        <f aca="false">AE669+AE670</f>
        <v>#VALUE!</v>
      </c>
      <c r="AF671" s="1128" t="e">
        <f aca="false">AF669+AF670</f>
        <v>#VALUE!</v>
      </c>
      <c r="AG671" s="751"/>
    </row>
    <row r="672" customFormat="false" ht="12" hidden="false" customHeight="false" outlineLevel="0" collapsed="false">
      <c r="A672" s="1109"/>
      <c r="B672" s="751"/>
      <c r="C672" s="751"/>
      <c r="D672" s="751"/>
      <c r="E672" s="751"/>
      <c r="F672" s="751"/>
      <c r="G672" s="751"/>
      <c r="H672" s="1116"/>
      <c r="I672" s="1116"/>
      <c r="J672" s="1116"/>
      <c r="K672" s="1116"/>
      <c r="L672" s="1116"/>
      <c r="M672" s="1116"/>
      <c r="N672" s="1116"/>
      <c r="O672" s="1116"/>
      <c r="P672" s="1116"/>
      <c r="Q672" s="1116"/>
      <c r="R672" s="1116"/>
      <c r="S672" s="1116"/>
      <c r="T672" s="1116"/>
      <c r="U672" s="1116"/>
      <c r="V672" s="1116"/>
      <c r="W672" s="1116"/>
      <c r="X672" s="1116"/>
      <c r="Y672" s="1116"/>
      <c r="Z672" s="1116"/>
      <c r="AA672" s="1116"/>
      <c r="AB672" s="1116"/>
      <c r="AC672" s="1116"/>
      <c r="AD672" s="1116"/>
      <c r="AE672" s="1116"/>
      <c r="AF672" s="1116"/>
      <c r="AG672" s="751"/>
    </row>
    <row r="673" customFormat="false" ht="11.25" hidden="false" customHeight="false" outlineLevel="0" collapsed="false">
      <c r="A673" s="1109"/>
      <c r="B673" s="751"/>
      <c r="C673" s="751"/>
      <c r="D673" s="751"/>
      <c r="E673" s="751"/>
      <c r="F673" s="751"/>
      <c r="G673" s="751"/>
      <c r="H673" s="1121"/>
      <c r="I673" s="1130"/>
      <c r="J673" s="1116"/>
      <c r="K673" s="1116"/>
      <c r="L673" s="1116"/>
      <c r="M673" s="1116"/>
      <c r="N673" s="1116"/>
      <c r="O673" s="1116"/>
      <c r="P673" s="1116"/>
      <c r="Q673" s="1116"/>
      <c r="R673" s="1116"/>
      <c r="S673" s="1116"/>
      <c r="T673" s="1116"/>
      <c r="U673" s="1116"/>
      <c r="V673" s="1116"/>
      <c r="W673" s="1116"/>
      <c r="X673" s="1116"/>
      <c r="Y673" s="1116"/>
      <c r="Z673" s="1116"/>
      <c r="AA673" s="1116"/>
      <c r="AB673" s="1116"/>
      <c r="AC673" s="1116"/>
      <c r="AD673" s="1116"/>
      <c r="AE673" s="1116"/>
      <c r="AF673" s="1116"/>
      <c r="AG673" s="751"/>
    </row>
    <row r="674" customFormat="false" ht="11.25" hidden="false" customHeight="false" outlineLevel="0" collapsed="false">
      <c r="A674" s="1109" t="s">
        <v>980</v>
      </c>
      <c r="B674" s="751"/>
      <c r="C674" s="751"/>
      <c r="D674" s="751"/>
      <c r="E674" s="751"/>
      <c r="F674" s="751"/>
      <c r="G674" s="751"/>
      <c r="H674" s="1114" t="n">
        <f aca="false">+H654</f>
        <v>0</v>
      </c>
      <c r="I674" s="1114" t="e">
        <f aca="false">+I654</f>
        <v>#VALUE!</v>
      </c>
      <c r="J674" s="1115" t="e">
        <f aca="false">+J654</f>
        <v>#VALUE!</v>
      </c>
      <c r="K674" s="1114" t="e">
        <f aca="false">+K654</f>
        <v>#VALUE!</v>
      </c>
      <c r="L674" s="1114" t="e">
        <f aca="false">+L654</f>
        <v>#VALUE!</v>
      </c>
      <c r="M674" s="1114" t="e">
        <f aca="false">+M654</f>
        <v>#VALUE!</v>
      </c>
      <c r="N674" s="1114" t="e">
        <f aca="false">+N654</f>
        <v>#VALUE!</v>
      </c>
      <c r="O674" s="1114" t="e">
        <f aca="false">+O654</f>
        <v>#VALUE!</v>
      </c>
      <c r="P674" s="1114" t="e">
        <f aca="false">+P654</f>
        <v>#VALUE!</v>
      </c>
      <c r="Q674" s="1114" t="e">
        <f aca="false">+Q654</f>
        <v>#VALUE!</v>
      </c>
      <c r="R674" s="1114" t="e">
        <f aca="false">+R654</f>
        <v>#VALUE!</v>
      </c>
      <c r="S674" s="1114" t="e">
        <f aca="false">+S654</f>
        <v>#VALUE!</v>
      </c>
      <c r="T674" s="1114" t="e">
        <f aca="false">+T654</f>
        <v>#VALUE!</v>
      </c>
      <c r="U674" s="1114" t="e">
        <f aca="false">+U654</f>
        <v>#VALUE!</v>
      </c>
      <c r="V674" s="1114" t="e">
        <f aca="false">+V654</f>
        <v>#VALUE!</v>
      </c>
      <c r="W674" s="1114" t="e">
        <f aca="false">+W654</f>
        <v>#VALUE!</v>
      </c>
      <c r="X674" s="1114" t="e">
        <f aca="false">+X654</f>
        <v>#VALUE!</v>
      </c>
      <c r="Y674" s="1114" t="e">
        <f aca="false">+Y654</f>
        <v>#VALUE!</v>
      </c>
      <c r="Z674" s="1114" t="e">
        <f aca="false">+Z654</f>
        <v>#VALUE!</v>
      </c>
      <c r="AA674" s="1114" t="e">
        <f aca="false">+AA654</f>
        <v>#VALUE!</v>
      </c>
      <c r="AB674" s="1114" t="e">
        <f aca="false">+AB654</f>
        <v>#VALUE!</v>
      </c>
      <c r="AC674" s="1114" t="e">
        <f aca="false">+AC654</f>
        <v>#VALUE!</v>
      </c>
      <c r="AD674" s="1114" t="e">
        <f aca="false">+AD654</f>
        <v>#VALUE!</v>
      </c>
      <c r="AE674" s="1114" t="e">
        <f aca="false">+AE654</f>
        <v>#VALUE!</v>
      </c>
      <c r="AF674" s="1114" t="e">
        <f aca="false">+AF654</f>
        <v>#VALUE!</v>
      </c>
      <c r="AG674" s="751"/>
    </row>
    <row r="675" customFormat="false" ht="11.25" hidden="false" customHeight="false" outlineLevel="0" collapsed="false">
      <c r="A675" s="1109" t="s">
        <v>979</v>
      </c>
      <c r="B675" s="751"/>
      <c r="C675" s="751"/>
      <c r="D675" s="751"/>
      <c r="E675" s="751"/>
      <c r="F675" s="751"/>
      <c r="G675" s="751"/>
      <c r="H675" s="1114" t="n">
        <f aca="false">H671</f>
        <v>0</v>
      </c>
      <c r="I675" s="1130" t="e">
        <f aca="false">I671</f>
        <v>#VALUE!</v>
      </c>
      <c r="J675" s="1116" t="e">
        <f aca="false">J671</f>
        <v>#VALUE!</v>
      </c>
      <c r="K675" s="1116" t="e">
        <f aca="false">K671</f>
        <v>#VALUE!</v>
      </c>
      <c r="L675" s="1116" t="e">
        <f aca="false">L671</f>
        <v>#VALUE!</v>
      </c>
      <c r="M675" s="1116" t="e">
        <f aca="false">M671</f>
        <v>#VALUE!</v>
      </c>
      <c r="N675" s="1116" t="e">
        <f aca="false">N671</f>
        <v>#VALUE!</v>
      </c>
      <c r="O675" s="1116" t="e">
        <f aca="false">O671</f>
        <v>#VALUE!</v>
      </c>
      <c r="P675" s="1116" t="e">
        <f aca="false">P671</f>
        <v>#VALUE!</v>
      </c>
      <c r="Q675" s="1116" t="e">
        <f aca="false">Q671</f>
        <v>#VALUE!</v>
      </c>
      <c r="R675" s="1116" t="e">
        <f aca="false">R671</f>
        <v>#VALUE!</v>
      </c>
      <c r="S675" s="1116" t="e">
        <f aca="false">S671</f>
        <v>#VALUE!</v>
      </c>
      <c r="T675" s="1116" t="e">
        <f aca="false">T671</f>
        <v>#VALUE!</v>
      </c>
      <c r="U675" s="1116" t="e">
        <f aca="false">U671</f>
        <v>#VALUE!</v>
      </c>
      <c r="V675" s="1116" t="e">
        <f aca="false">V671</f>
        <v>#VALUE!</v>
      </c>
      <c r="W675" s="1116" t="e">
        <f aca="false">W671</f>
        <v>#VALUE!</v>
      </c>
      <c r="X675" s="1116" t="e">
        <f aca="false">X671</f>
        <v>#VALUE!</v>
      </c>
      <c r="Y675" s="1116" t="e">
        <f aca="false">Y671</f>
        <v>#VALUE!</v>
      </c>
      <c r="Z675" s="1116" t="e">
        <f aca="false">Z671</f>
        <v>#VALUE!</v>
      </c>
      <c r="AA675" s="1116" t="e">
        <f aca="false">AA671</f>
        <v>#VALUE!</v>
      </c>
      <c r="AB675" s="1116" t="e">
        <f aca="false">AB671</f>
        <v>#VALUE!</v>
      </c>
      <c r="AC675" s="1116" t="e">
        <f aca="false">AC671</f>
        <v>#VALUE!</v>
      </c>
      <c r="AD675" s="1116" t="e">
        <f aca="false">AD671</f>
        <v>#VALUE!</v>
      </c>
      <c r="AE675" s="1116" t="e">
        <f aca="false">AE671</f>
        <v>#VALUE!</v>
      </c>
      <c r="AF675" s="1116" t="e">
        <f aca="false">AF671</f>
        <v>#VALUE!</v>
      </c>
      <c r="AG675" s="751"/>
    </row>
    <row r="676" customFormat="false" ht="12" hidden="false" customHeight="false" outlineLevel="0" collapsed="false">
      <c r="A676" s="1109" t="s">
        <v>797</v>
      </c>
      <c r="B676" s="751"/>
      <c r="C676" s="950"/>
      <c r="D676" s="950"/>
      <c r="E676" s="950"/>
      <c r="F676" s="950"/>
      <c r="G676" s="950"/>
      <c r="H676" s="1132" t="n">
        <f aca="false">H675-H674</f>
        <v>0</v>
      </c>
      <c r="I676" s="1133" t="e">
        <f aca="false">I675-I674</f>
        <v>#VALUE!</v>
      </c>
      <c r="J676" s="1132" t="e">
        <f aca="false">J675-J674</f>
        <v>#VALUE!</v>
      </c>
      <c r="K676" s="1132" t="e">
        <f aca="false">K675-K674</f>
        <v>#VALUE!</v>
      </c>
      <c r="L676" s="1132" t="e">
        <f aca="false">L675-L674</f>
        <v>#VALUE!</v>
      </c>
      <c r="M676" s="1132" t="e">
        <f aca="false">M675-M674</f>
        <v>#VALUE!</v>
      </c>
      <c r="N676" s="1132" t="e">
        <f aca="false">N675-N674</f>
        <v>#VALUE!</v>
      </c>
      <c r="O676" s="1132" t="e">
        <f aca="false">O675-O674</f>
        <v>#VALUE!</v>
      </c>
      <c r="P676" s="1132" t="e">
        <f aca="false">P675-P674</f>
        <v>#VALUE!</v>
      </c>
      <c r="Q676" s="1132" t="e">
        <f aca="false">Q675-Q674</f>
        <v>#VALUE!</v>
      </c>
      <c r="R676" s="1132" t="e">
        <f aca="false">R675-R674</f>
        <v>#VALUE!</v>
      </c>
      <c r="S676" s="1132" t="e">
        <f aca="false">S675-S674</f>
        <v>#VALUE!</v>
      </c>
      <c r="T676" s="1132" t="e">
        <f aca="false">T675-T674</f>
        <v>#VALUE!</v>
      </c>
      <c r="U676" s="1132" t="e">
        <f aca="false">U675-U674</f>
        <v>#VALUE!</v>
      </c>
      <c r="V676" s="1132" t="e">
        <f aca="false">V675-V674</f>
        <v>#VALUE!</v>
      </c>
      <c r="W676" s="1132" t="e">
        <f aca="false">W675-W674</f>
        <v>#VALUE!</v>
      </c>
      <c r="X676" s="1132" t="e">
        <f aca="false">X675-X674</f>
        <v>#VALUE!</v>
      </c>
      <c r="Y676" s="1132" t="e">
        <f aca="false">Y675-Y674</f>
        <v>#VALUE!</v>
      </c>
      <c r="Z676" s="1132" t="e">
        <f aca="false">Z675-Z674</f>
        <v>#VALUE!</v>
      </c>
      <c r="AA676" s="1132" t="e">
        <f aca="false">AA675-AA674</f>
        <v>#VALUE!</v>
      </c>
      <c r="AB676" s="1132" t="e">
        <f aca="false">AB675-AB674</f>
        <v>#VALUE!</v>
      </c>
      <c r="AC676" s="1132" t="e">
        <f aca="false">AC675-AC674</f>
        <v>#VALUE!</v>
      </c>
      <c r="AD676" s="1132" t="e">
        <f aca="false">AD675-AD674</f>
        <v>#VALUE!</v>
      </c>
      <c r="AE676" s="1132" t="e">
        <f aca="false">AE675-AE674</f>
        <v>#VALUE!</v>
      </c>
      <c r="AF676" s="1132" t="e">
        <f aca="false">AF675-AF674</f>
        <v>#VALUE!</v>
      </c>
      <c r="AG676" s="751"/>
    </row>
    <row r="677" customFormat="false" ht="12" hidden="false" customHeight="false" outlineLevel="0" collapsed="false">
      <c r="A677" s="1109"/>
      <c r="B677" s="751"/>
      <c r="C677" s="950"/>
      <c r="D677" s="950"/>
      <c r="E677" s="950"/>
      <c r="F677" s="950"/>
      <c r="G677" s="950"/>
      <c r="H677" s="346"/>
      <c r="I677" s="956"/>
      <c r="J677" s="956"/>
      <c r="K677" s="956"/>
      <c r="L677" s="956"/>
      <c r="M677" s="956"/>
      <c r="N677" s="956"/>
      <c r="O677" s="956"/>
      <c r="P677" s="956"/>
      <c r="Q677" s="956"/>
      <c r="R677" s="956"/>
      <c r="S677" s="956"/>
      <c r="T677" s="956"/>
      <c r="U677" s="956"/>
      <c r="V677" s="956"/>
      <c r="W677" s="956"/>
      <c r="X677" s="956"/>
      <c r="Y677" s="956"/>
      <c r="Z677" s="956"/>
      <c r="AA677" s="956"/>
      <c r="AB677" s="956"/>
      <c r="AC677" s="956"/>
      <c r="AD677" s="956"/>
      <c r="AE677" s="956"/>
      <c r="AF677" s="956"/>
      <c r="AG677" s="751"/>
    </row>
    <row r="678" customFormat="false" ht="12" hidden="false" customHeight="false" outlineLevel="0" collapsed="false">
      <c r="A678" s="1134"/>
      <c r="B678" s="1134"/>
      <c r="C678" s="1134"/>
      <c r="D678" s="1134"/>
      <c r="E678" s="1134"/>
      <c r="F678" s="1134"/>
      <c r="G678" s="1134"/>
      <c r="H678" s="1134"/>
      <c r="I678" s="1134"/>
      <c r="J678" s="1134"/>
      <c r="K678" s="1134"/>
      <c r="L678" s="1134"/>
      <c r="M678" s="1134"/>
      <c r="N678" s="1134"/>
      <c r="O678" s="1134"/>
      <c r="P678" s="1134"/>
      <c r="Q678" s="1134"/>
      <c r="R678" s="1134"/>
      <c r="S678" s="1134"/>
      <c r="T678" s="1101"/>
      <c r="U678" s="1101"/>
      <c r="V678" s="1101"/>
      <c r="W678" s="1101"/>
      <c r="X678" s="1101"/>
      <c r="Y678" s="1101"/>
      <c r="Z678" s="1101"/>
      <c r="AA678" s="1101"/>
      <c r="AB678" s="1101"/>
      <c r="AC678" s="1101"/>
      <c r="AD678" s="1101"/>
      <c r="AE678" s="1101"/>
      <c r="AF678" s="1101"/>
      <c r="AG678" s="751"/>
    </row>
    <row r="679" customFormat="false" ht="12.75" hidden="false" customHeight="false" outlineLevel="0" collapsed="false"/>
    <row r="680" customFormat="false" ht="12.75" hidden="false" customHeight="false" outlineLevel="0" collapsed="false">
      <c r="A680" s="841" t="s">
        <v>981</v>
      </c>
      <c r="B680" s="751"/>
      <c r="C680" s="751"/>
      <c r="D680" s="751"/>
      <c r="E680" s="751"/>
      <c r="F680" s="751"/>
      <c r="G680" s="751"/>
      <c r="H680" s="1135" t="n">
        <f aca="false">H$599</f>
        <v>37802</v>
      </c>
      <c r="I680" s="1136" t="n">
        <f aca="false">I$599</f>
        <v>37986</v>
      </c>
      <c r="J680" s="985" t="n">
        <f aca="false">J$599</f>
        <v>38352</v>
      </c>
      <c r="K680" s="985" t="n">
        <f aca="false">K$599</f>
        <v>38717</v>
      </c>
      <c r="L680" s="985" t="n">
        <f aca="false">L$599</f>
        <v>39082</v>
      </c>
      <c r="M680" s="985" t="n">
        <f aca="false">M$599</f>
        <v>39447</v>
      </c>
      <c r="N680" s="985" t="n">
        <f aca="false">N$599</f>
        <v>39813</v>
      </c>
      <c r="O680" s="985" t="n">
        <f aca="false">O$599</f>
        <v>40178</v>
      </c>
      <c r="P680" s="985" t="n">
        <f aca="false">P$599</f>
        <v>40543</v>
      </c>
      <c r="Q680" s="985" t="n">
        <f aca="false">Q$599</f>
        <v>40908</v>
      </c>
      <c r="R680" s="985" t="n">
        <f aca="false">R$599</f>
        <v>41274</v>
      </c>
      <c r="S680" s="985" t="n">
        <f aca="false">S$599</f>
        <v>41639</v>
      </c>
      <c r="T680" s="985" t="n">
        <f aca="false">T$599</f>
        <v>42004</v>
      </c>
      <c r="U680" s="985" t="n">
        <f aca="false">U$599</f>
        <v>42369</v>
      </c>
      <c r="V680" s="985" t="n">
        <f aca="false">V$599</f>
        <v>42735</v>
      </c>
      <c r="W680" s="985" t="n">
        <f aca="false">W$599</f>
        <v>43100</v>
      </c>
      <c r="X680" s="985" t="n">
        <f aca="false">X$599</f>
        <v>43465</v>
      </c>
      <c r="Y680" s="985" t="n">
        <f aca="false">Y$599</f>
        <v>43830</v>
      </c>
      <c r="Z680" s="985" t="n">
        <f aca="false">Z$599</f>
        <v>44196</v>
      </c>
      <c r="AA680" s="985" t="n">
        <f aca="false">AA$599</f>
        <v>44561</v>
      </c>
      <c r="AB680" s="985" t="n">
        <f aca="false">AB$599</f>
        <v>44926</v>
      </c>
      <c r="AC680" s="985" t="n">
        <f aca="false">AC$599</f>
        <v>45291</v>
      </c>
      <c r="AD680" s="985" t="n">
        <f aca="false">AD$599</f>
        <v>45657</v>
      </c>
      <c r="AE680" s="985" t="n">
        <f aca="false">AE$599</f>
        <v>46022</v>
      </c>
      <c r="AF680" s="985" t="n">
        <f aca="false">AF$599</f>
        <v>46387</v>
      </c>
      <c r="AG680" s="751"/>
    </row>
    <row r="681" customFormat="false" ht="12" hidden="false" customHeight="false" outlineLevel="0" collapsed="false">
      <c r="A681" s="955" t="s">
        <v>982</v>
      </c>
      <c r="B681" s="751"/>
      <c r="C681" s="751"/>
      <c r="D681" s="751"/>
      <c r="E681" s="751"/>
      <c r="F681" s="751"/>
      <c r="G681" s="751"/>
      <c r="H681" s="947"/>
      <c r="I681" s="1137"/>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751"/>
    </row>
    <row r="682" customFormat="false" ht="11.25" hidden="false" customHeight="false" outlineLevel="0" collapsed="false">
      <c r="A682" s="955" t="s">
        <v>983</v>
      </c>
      <c r="B682" s="751"/>
      <c r="C682" s="751"/>
      <c r="D682" s="751"/>
      <c r="E682" s="751"/>
      <c r="F682" s="751"/>
      <c r="G682" s="751"/>
      <c r="H682" s="1112" t="e">
        <f aca="false">-H453</f>
        <v>#VALUE!</v>
      </c>
      <c r="I682" s="1138" t="n">
        <v>0</v>
      </c>
      <c r="J682" s="1139" t="n">
        <v>0</v>
      </c>
      <c r="K682" s="1139" t="n">
        <v>0</v>
      </c>
      <c r="L682" s="1139" t="n">
        <v>0</v>
      </c>
      <c r="M682" s="1139" t="n">
        <v>0</v>
      </c>
      <c r="N682" s="1139" t="n">
        <v>0</v>
      </c>
      <c r="O682" s="1139" t="n">
        <v>0</v>
      </c>
      <c r="P682" s="1139" t="n">
        <v>0</v>
      </c>
      <c r="Q682" s="1139" t="n">
        <v>0</v>
      </c>
      <c r="R682" s="1139" t="n">
        <v>0</v>
      </c>
      <c r="S682" s="1139" t="n">
        <v>0</v>
      </c>
      <c r="T682" s="1139" t="n">
        <v>0</v>
      </c>
      <c r="U682" s="1139" t="n">
        <v>0</v>
      </c>
      <c r="V682" s="1139" t="n">
        <v>0</v>
      </c>
      <c r="W682" s="1139" t="n">
        <v>0</v>
      </c>
      <c r="X682" s="1139" t="n">
        <v>0</v>
      </c>
      <c r="Y682" s="1139" t="n">
        <v>0</v>
      </c>
      <c r="Z682" s="1139" t="n">
        <v>0</v>
      </c>
      <c r="AA682" s="1139" t="n">
        <v>0</v>
      </c>
      <c r="AB682" s="1139" t="n">
        <v>0</v>
      </c>
      <c r="AC682" s="1139" t="n">
        <v>0</v>
      </c>
      <c r="AD682" s="1139" t="n">
        <v>0</v>
      </c>
      <c r="AE682" s="1139" t="n">
        <v>0</v>
      </c>
      <c r="AF682" s="1139" t="n">
        <v>0</v>
      </c>
      <c r="AG682" s="751"/>
    </row>
    <row r="683" customFormat="false" ht="11.25" hidden="false" customHeight="false" outlineLevel="0" collapsed="false">
      <c r="A683" s="955"/>
      <c r="B683" s="751"/>
      <c r="C683" s="751"/>
      <c r="D683" s="751"/>
      <c r="E683" s="751"/>
      <c r="F683" s="751"/>
      <c r="G683" s="751"/>
      <c r="H683" s="1112"/>
      <c r="I683" s="1111"/>
      <c r="J683" s="1110"/>
      <c r="K683" s="1110"/>
      <c r="L683" s="1110"/>
      <c r="M683" s="1110"/>
      <c r="N683" s="1110"/>
      <c r="O683" s="1110"/>
      <c r="P683" s="1110"/>
      <c r="Q683" s="1110"/>
      <c r="R683" s="1110"/>
      <c r="S683" s="1110"/>
      <c r="T683" s="1110"/>
      <c r="U683" s="1110"/>
      <c r="V683" s="1110"/>
      <c r="W683" s="1110"/>
      <c r="X683" s="1110"/>
      <c r="Y683" s="1110"/>
      <c r="Z683" s="1110"/>
      <c r="AA683" s="1110"/>
      <c r="AB683" s="1110"/>
      <c r="AC683" s="1110"/>
      <c r="AD683" s="1110"/>
      <c r="AE683" s="1110"/>
      <c r="AF683" s="1110"/>
      <c r="AG683" s="751"/>
    </row>
    <row r="684" customFormat="false" ht="11.25" hidden="false" customHeight="false" outlineLevel="0" collapsed="false">
      <c r="A684" s="955" t="s">
        <v>638</v>
      </c>
      <c r="B684" s="751"/>
      <c r="C684" s="751"/>
      <c r="D684" s="751"/>
      <c r="E684" s="751"/>
      <c r="F684" s="751"/>
      <c r="G684" s="751"/>
      <c r="H684" s="751"/>
      <c r="I684" s="981" t="e">
        <f aca="false">I$317</f>
        <v>#VALUE!</v>
      </c>
      <c r="J684" s="469" t="e">
        <f aca="false">J$317</f>
        <v>#VALUE!</v>
      </c>
      <c r="K684" s="469" t="e">
        <f aca="false">K$317</f>
        <v>#VALUE!</v>
      </c>
      <c r="L684" s="469" t="e">
        <f aca="false">L$317</f>
        <v>#VALUE!</v>
      </c>
      <c r="M684" s="469" t="e">
        <f aca="false">M$317</f>
        <v>#VALUE!</v>
      </c>
      <c r="N684" s="469" t="e">
        <f aca="false">N$317</f>
        <v>#VALUE!</v>
      </c>
      <c r="O684" s="469" t="e">
        <f aca="false">O$317</f>
        <v>#VALUE!</v>
      </c>
      <c r="P684" s="469" t="e">
        <f aca="false">P$317</f>
        <v>#VALUE!</v>
      </c>
      <c r="Q684" s="469" t="e">
        <f aca="false">Q$317</f>
        <v>#VALUE!</v>
      </c>
      <c r="R684" s="469" t="e">
        <f aca="false">R$317</f>
        <v>#VALUE!</v>
      </c>
      <c r="S684" s="469" t="e">
        <f aca="false">S$317</f>
        <v>#VALUE!</v>
      </c>
      <c r="T684" s="469" t="e">
        <f aca="false">T$317</f>
        <v>#VALUE!</v>
      </c>
      <c r="U684" s="469" t="e">
        <f aca="false">U$317</f>
        <v>#VALUE!</v>
      </c>
      <c r="V684" s="469" t="e">
        <f aca="false">V$317</f>
        <v>#VALUE!</v>
      </c>
      <c r="W684" s="469" t="e">
        <f aca="false">W$317</f>
        <v>#VALUE!</v>
      </c>
      <c r="X684" s="469" t="e">
        <f aca="false">X$317</f>
        <v>#VALUE!</v>
      </c>
      <c r="Y684" s="469" t="e">
        <f aca="false">Y$317</f>
        <v>#VALUE!</v>
      </c>
      <c r="Z684" s="469" t="e">
        <f aca="false">Z$317</f>
        <v>#VALUE!</v>
      </c>
      <c r="AA684" s="469" t="e">
        <f aca="false">AA$317</f>
        <v>#VALUE!</v>
      </c>
      <c r="AB684" s="469" t="e">
        <f aca="false">AB$317</f>
        <v>#VALUE!</v>
      </c>
      <c r="AC684" s="469" t="e">
        <f aca="false">AC$317</f>
        <v>#VALUE!</v>
      </c>
      <c r="AD684" s="469" t="e">
        <f aca="false">AD$317</f>
        <v>#VALUE!</v>
      </c>
      <c r="AE684" s="469" t="e">
        <f aca="false">AE$317</f>
        <v>#VALUE!</v>
      </c>
      <c r="AF684" s="469" t="e">
        <f aca="false">AF$317</f>
        <v>#VALUE!</v>
      </c>
      <c r="AG684" s="751"/>
    </row>
    <row r="685" customFormat="false" ht="11.25" hidden="false" customHeight="false" outlineLevel="0" collapsed="false">
      <c r="A685" s="934"/>
      <c r="B685" s="751"/>
      <c r="C685" s="751"/>
      <c r="D685" s="751"/>
      <c r="E685" s="751"/>
      <c r="F685" s="751"/>
      <c r="G685" s="751"/>
      <c r="H685" s="751"/>
      <c r="I685" s="981"/>
      <c r="J685" s="469"/>
      <c r="K685" s="469"/>
      <c r="L685" s="469"/>
      <c r="M685" s="469"/>
      <c r="N685" s="469"/>
      <c r="O685" s="469"/>
      <c r="P685" s="469"/>
      <c r="Q685" s="469"/>
      <c r="R685" s="469"/>
      <c r="S685" s="469"/>
      <c r="T685" s="469"/>
      <c r="U685" s="469"/>
      <c r="V685" s="469"/>
      <c r="W685" s="469"/>
      <c r="X685" s="469"/>
      <c r="Y685" s="469"/>
      <c r="Z685" s="469"/>
      <c r="AA685" s="469"/>
      <c r="AB685" s="469"/>
      <c r="AC685" s="469"/>
      <c r="AD685" s="469"/>
      <c r="AE685" s="469"/>
      <c r="AF685" s="469"/>
      <c r="AG685" s="751"/>
    </row>
    <row r="686" customFormat="false" ht="11.25" hidden="false" customHeight="false" outlineLevel="0" collapsed="false">
      <c r="A686" s="934" t="s">
        <v>984</v>
      </c>
      <c r="B686" s="934" t="s">
        <v>985</v>
      </c>
      <c r="C686" s="751"/>
      <c r="D686" s="751"/>
      <c r="E686" s="751"/>
      <c r="F686" s="751"/>
      <c r="G686" s="751"/>
      <c r="H686" s="751"/>
      <c r="I686" s="981" t="e">
        <f aca="false">I$293+I$294+I$292</f>
        <v>#VALUE!</v>
      </c>
      <c r="J686" s="469" t="e">
        <f aca="false">J$293+J$294+J$292</f>
        <v>#VALUE!</v>
      </c>
      <c r="K686" s="469" t="e">
        <f aca="false">K$293+K$294+K$292</f>
        <v>#VALUE!</v>
      </c>
      <c r="L686" s="469" t="e">
        <f aca="false">L$293+L$294+L$292</f>
        <v>#VALUE!</v>
      </c>
      <c r="M686" s="469" t="e">
        <f aca="false">M$293+M$294+M$292</f>
        <v>#VALUE!</v>
      </c>
      <c r="N686" s="469" t="e">
        <f aca="false">N$293+N$294+N$292</f>
        <v>#VALUE!</v>
      </c>
      <c r="O686" s="469" t="e">
        <f aca="false">O$293+O$294+O$292</f>
        <v>#VALUE!</v>
      </c>
      <c r="P686" s="469" t="e">
        <f aca="false">P$293+P$294+P$292</f>
        <v>#VALUE!</v>
      </c>
      <c r="Q686" s="469" t="e">
        <f aca="false">Q$293+Q$294+Q$292</f>
        <v>#VALUE!</v>
      </c>
      <c r="R686" s="469" t="e">
        <f aca="false">R$293+R$294+R$292</f>
        <v>#VALUE!</v>
      </c>
      <c r="S686" s="469" t="e">
        <f aca="false">S$293+S$294+S$292</f>
        <v>#VALUE!</v>
      </c>
      <c r="T686" s="469" t="n">
        <f aca="false">T$293+T$294+T$292</f>
        <v>23981.8558166</v>
      </c>
      <c r="U686" s="469" t="n">
        <f aca="false">U$293+U$294+U$292</f>
        <v>23981.8558166</v>
      </c>
      <c r="V686" s="469" t="n">
        <f aca="false">V$293+V$294+V$292</f>
        <v>23981.8558166</v>
      </c>
      <c r="W686" s="469" t="n">
        <f aca="false">W$293+W$294+W$292</f>
        <v>23981.8558166</v>
      </c>
      <c r="X686" s="469" t="n">
        <f aca="false">X$293+X$294+X$292</f>
        <v>23981.8558166</v>
      </c>
      <c r="Y686" s="469" t="n">
        <f aca="false">Y$293+Y$294+Y$292</f>
        <v>23981.8558166</v>
      </c>
      <c r="Z686" s="469" t="n">
        <f aca="false">Z$293+Z$294+Z$292</f>
        <v>23981.8558166</v>
      </c>
      <c r="AA686" s="469" t="n">
        <f aca="false">AA$293+AA$294+AA$292</f>
        <v>23981.8558166</v>
      </c>
      <c r="AB686" s="469" t="n">
        <f aca="false">AB$293+AB$294+AB$292</f>
        <v>23981.8558166</v>
      </c>
      <c r="AC686" s="469" t="n">
        <f aca="false">AC$293+AC$294+AC$292</f>
        <v>11990.9279083</v>
      </c>
      <c r="AD686" s="469" t="n">
        <f aca="false">AD$293+AD$294+AD$292</f>
        <v>0</v>
      </c>
      <c r="AE686" s="469" t="n">
        <f aca="false">AE$293+AE$294+AE$292</f>
        <v>0</v>
      </c>
      <c r="AF686" s="469" t="n">
        <f aca="false">AF$293+AF$294+AF$292</f>
        <v>0</v>
      </c>
      <c r="AG686" s="751"/>
    </row>
    <row r="687" customFormat="false" ht="11.25" hidden="false" customHeight="false" outlineLevel="0" collapsed="false">
      <c r="A687" s="346"/>
      <c r="B687" s="934" t="s">
        <v>797</v>
      </c>
      <c r="C687" s="751"/>
      <c r="D687" s="751"/>
      <c r="E687" s="751"/>
      <c r="F687" s="751"/>
      <c r="G687" s="751"/>
      <c r="H687" s="751"/>
      <c r="I687" s="981" t="e">
        <f aca="false">+I$332</f>
        <v>#VALUE!</v>
      </c>
      <c r="J687" s="469" t="e">
        <f aca="false">+J$332</f>
        <v>#VALUE!</v>
      </c>
      <c r="K687" s="469" t="e">
        <f aca="false">+K$332</f>
        <v>#VALUE!</v>
      </c>
      <c r="L687" s="469" t="e">
        <f aca="false">+L$332</f>
        <v>#VALUE!</v>
      </c>
      <c r="M687" s="469" t="e">
        <f aca="false">+M$332</f>
        <v>#VALUE!</v>
      </c>
      <c r="N687" s="469" t="e">
        <f aca="false">+N$332</f>
        <v>#VALUE!</v>
      </c>
      <c r="O687" s="469" t="e">
        <f aca="false">+O$332</f>
        <v>#VALUE!</v>
      </c>
      <c r="P687" s="469" t="e">
        <f aca="false">+P$332</f>
        <v>#VALUE!</v>
      </c>
      <c r="Q687" s="469" t="e">
        <f aca="false">+Q$332</f>
        <v>#VALUE!</v>
      </c>
      <c r="R687" s="469" t="e">
        <f aca="false">+R$332</f>
        <v>#VALUE!</v>
      </c>
      <c r="S687" s="469" t="e">
        <f aca="false">+S$332</f>
        <v>#VALUE!</v>
      </c>
      <c r="T687" s="469" t="e">
        <f aca="false">+T$332</f>
        <v>#VALUE!</v>
      </c>
      <c r="U687" s="469" t="e">
        <f aca="false">+U$332</f>
        <v>#VALUE!</v>
      </c>
      <c r="V687" s="469" t="e">
        <f aca="false">+V$332</f>
        <v>#VALUE!</v>
      </c>
      <c r="W687" s="469" t="e">
        <f aca="false">+W$332</f>
        <v>#VALUE!</v>
      </c>
      <c r="X687" s="469" t="e">
        <f aca="false">+X$332</f>
        <v>#VALUE!</v>
      </c>
      <c r="Y687" s="469" t="e">
        <f aca="false">+Y$332</f>
        <v>#VALUE!</v>
      </c>
      <c r="Z687" s="469" t="e">
        <f aca="false">+Z$332</f>
        <v>#VALUE!</v>
      </c>
      <c r="AA687" s="469" t="e">
        <f aca="false">+AA$332</f>
        <v>#VALUE!</v>
      </c>
      <c r="AB687" s="469" t="e">
        <f aca="false">+AB$332</f>
        <v>#VALUE!</v>
      </c>
      <c r="AC687" s="469" t="e">
        <f aca="false">+AC$332</f>
        <v>#VALUE!</v>
      </c>
      <c r="AD687" s="469" t="e">
        <f aca="false">+AD$332</f>
        <v>#VALUE!</v>
      </c>
      <c r="AE687" s="469" t="e">
        <f aca="false">+AE$332</f>
        <v>#VALUE!</v>
      </c>
      <c r="AF687" s="469" t="e">
        <f aca="false">+AF$332</f>
        <v>#VALUE!</v>
      </c>
      <c r="AG687" s="751"/>
    </row>
    <row r="688" customFormat="false" ht="11.25" hidden="false" customHeight="false" outlineLevel="0" collapsed="false">
      <c r="A688" s="934" t="s">
        <v>986</v>
      </c>
      <c r="B688" s="934" t="s">
        <v>987</v>
      </c>
      <c r="C688" s="751"/>
      <c r="D688" s="751"/>
      <c r="E688" s="751"/>
      <c r="F688" s="751"/>
      <c r="G688" s="751"/>
      <c r="H688" s="751"/>
      <c r="I688" s="981" t="e">
        <f aca="false">I$548-(I539-H539)</f>
        <v>#VALUE!</v>
      </c>
      <c r="J688" s="469" t="e">
        <f aca="false">J$548-(J539-I539)</f>
        <v>#VALUE!</v>
      </c>
      <c r="K688" s="469" t="e">
        <f aca="false">K$548-(K539-J539)</f>
        <v>#VALUE!</v>
      </c>
      <c r="L688" s="469" t="e">
        <f aca="false">L$548-(L539-K539)</f>
        <v>#VALUE!</v>
      </c>
      <c r="M688" s="469" t="e">
        <f aca="false">M$548-(M539-L539)</f>
        <v>#VALUE!</v>
      </c>
      <c r="N688" s="469" t="e">
        <f aca="false">N$548-(N539-M539)</f>
        <v>#VALUE!</v>
      </c>
      <c r="O688" s="469" t="e">
        <f aca="false">O$548-(O539-N539)</f>
        <v>#VALUE!</v>
      </c>
      <c r="P688" s="469" t="e">
        <f aca="false">P$548-(P539-O539)</f>
        <v>#VALUE!</v>
      </c>
      <c r="Q688" s="469" t="e">
        <f aca="false">Q$548-(Q539-P539)</f>
        <v>#VALUE!</v>
      </c>
      <c r="R688" s="469" t="e">
        <f aca="false">R$548-(R539-Q539)</f>
        <v>#VALUE!</v>
      </c>
      <c r="S688" s="469" t="e">
        <f aca="false">S$548-(S539-R539)</f>
        <v>#VALUE!</v>
      </c>
      <c r="T688" s="469" t="e">
        <f aca="false">T$548-(T539-S539)</f>
        <v>#VALUE!</v>
      </c>
      <c r="U688" s="469" t="e">
        <f aca="false">U$548-(U539-T539)</f>
        <v>#VALUE!</v>
      </c>
      <c r="V688" s="469" t="e">
        <f aca="false">V$548-(V539-U539)</f>
        <v>#VALUE!</v>
      </c>
      <c r="W688" s="469" t="e">
        <f aca="false">W$548-(W539-V539)</f>
        <v>#VALUE!</v>
      </c>
      <c r="X688" s="469" t="e">
        <f aca="false">X$548-(X539-W539)</f>
        <v>#VALUE!</v>
      </c>
      <c r="Y688" s="469" t="e">
        <f aca="false">Y$548-(Y539-X539)</f>
        <v>#VALUE!</v>
      </c>
      <c r="Z688" s="469" t="e">
        <f aca="false">Z$548-(Z539-Y539)</f>
        <v>#VALUE!</v>
      </c>
      <c r="AA688" s="469" t="e">
        <f aca="false">AA$548-(AA539-Z539)</f>
        <v>#VALUE!</v>
      </c>
      <c r="AB688" s="469" t="e">
        <f aca="false">AB$548-(AB539-AA539)</f>
        <v>#VALUE!</v>
      </c>
      <c r="AC688" s="469" t="e">
        <f aca="false">AC$548-(AC539-AB539)</f>
        <v>#VALUE!</v>
      </c>
      <c r="AD688" s="469" t="e">
        <f aca="false">AD$548-(AD539-AC539)</f>
        <v>#VALUE!</v>
      </c>
      <c r="AE688" s="469" t="n">
        <f aca="false">AE$548-(AE539-AD539)</f>
        <v>0</v>
      </c>
      <c r="AF688" s="469" t="n">
        <f aca="false">AF$548-(AF539-AE539)</f>
        <v>0</v>
      </c>
      <c r="AG688" s="751"/>
    </row>
    <row r="689" customFormat="false" ht="11.25" hidden="false" customHeight="false" outlineLevel="0" collapsed="false">
      <c r="A689" s="934"/>
      <c r="C689" s="751"/>
      <c r="D689" s="751"/>
      <c r="E689" s="751"/>
      <c r="F689" s="751"/>
      <c r="G689" s="751"/>
      <c r="H689" s="751"/>
      <c r="I689" s="981"/>
      <c r="J689" s="807"/>
      <c r="K689" s="807"/>
      <c r="L689" s="807"/>
      <c r="M689" s="807"/>
      <c r="N689" s="807"/>
      <c r="O689" s="807"/>
      <c r="P689" s="807"/>
      <c r="Q689" s="807"/>
      <c r="R689" s="807"/>
      <c r="S689" s="807"/>
      <c r="T689" s="807"/>
      <c r="U689" s="807"/>
      <c r="V689" s="807"/>
      <c r="W689" s="807"/>
      <c r="X689" s="807"/>
      <c r="Y689" s="807"/>
      <c r="Z689" s="807"/>
      <c r="AA689" s="807"/>
      <c r="AB689" s="807"/>
      <c r="AC689" s="807"/>
      <c r="AD689" s="807"/>
      <c r="AE689" s="807"/>
      <c r="AF689" s="807"/>
      <c r="AG689" s="469"/>
      <c r="AH689" s="807"/>
      <c r="AI689" s="807"/>
      <c r="AJ689" s="807"/>
      <c r="AK689" s="807"/>
      <c r="AL689" s="807"/>
      <c r="AM689" s="807"/>
      <c r="AN689" s="807"/>
      <c r="AO689" s="807"/>
      <c r="AP689" s="807"/>
      <c r="AQ689" s="807"/>
      <c r="AR689" s="807"/>
      <c r="AS689" s="807"/>
      <c r="AT689" s="807"/>
      <c r="AU689" s="807"/>
      <c r="AV689" s="807"/>
      <c r="AW689" s="807"/>
      <c r="AX689" s="807"/>
      <c r="AY689" s="807"/>
      <c r="AZ689" s="807"/>
      <c r="BA689" s="807"/>
      <c r="BB689" s="807"/>
      <c r="BC689" s="807"/>
      <c r="BD689" s="807"/>
      <c r="BE689" s="807"/>
      <c r="BF689" s="807"/>
      <c r="BG689" s="807"/>
      <c r="BH689" s="807"/>
      <c r="BI689" s="807"/>
      <c r="BJ689" s="807"/>
      <c r="BK689" s="807"/>
      <c r="BL689" s="807"/>
      <c r="BM689" s="807"/>
      <c r="BN689" s="807"/>
      <c r="BO689" s="807"/>
      <c r="BP689" s="807"/>
      <c r="BQ689" s="807"/>
      <c r="BR689" s="807"/>
      <c r="BS689" s="807"/>
      <c r="BT689" s="807"/>
      <c r="BU689" s="807"/>
      <c r="BV689" s="807"/>
      <c r="BW689" s="807"/>
      <c r="BX689" s="807"/>
      <c r="BY689" s="807"/>
      <c r="BZ689" s="807"/>
      <c r="CA689" s="807"/>
      <c r="CB689" s="807"/>
      <c r="CC689" s="807"/>
      <c r="CD689" s="807"/>
      <c r="CE689" s="807"/>
      <c r="CF689" s="807"/>
      <c r="CG689" s="807"/>
      <c r="CH689" s="807"/>
      <c r="CI689" s="807"/>
      <c r="CJ689" s="807"/>
      <c r="CK689" s="807"/>
      <c r="CL689" s="807"/>
      <c r="CM689" s="807"/>
      <c r="CN689" s="807"/>
      <c r="CO689" s="807"/>
      <c r="CP689" s="807"/>
      <c r="CQ689" s="807"/>
      <c r="CR689" s="807"/>
      <c r="CS689" s="807"/>
      <c r="CT689" s="807"/>
      <c r="CU689" s="807"/>
      <c r="CV689" s="807"/>
      <c r="CW689" s="807"/>
      <c r="CX689" s="807"/>
      <c r="CY689" s="807"/>
      <c r="CZ689" s="807"/>
      <c r="DA689" s="807"/>
      <c r="DB689" s="807"/>
      <c r="DC689" s="807"/>
      <c r="DD689" s="807"/>
      <c r="DE689" s="807"/>
      <c r="DF689" s="807"/>
      <c r="DG689" s="807"/>
      <c r="DH689" s="807"/>
      <c r="DI689" s="807"/>
      <c r="DJ689" s="807"/>
      <c r="DK689" s="807"/>
      <c r="DL689" s="807"/>
      <c r="DM689" s="807"/>
      <c r="DN689" s="807"/>
      <c r="DO689" s="807"/>
      <c r="DP689" s="807"/>
      <c r="DQ689" s="807"/>
      <c r="DR689" s="807"/>
      <c r="DS689" s="807"/>
      <c r="DT689" s="807"/>
      <c r="DU689" s="807"/>
      <c r="DV689" s="807"/>
      <c r="DW689" s="807"/>
      <c r="DX689" s="807"/>
      <c r="DY689" s="807"/>
      <c r="DZ689" s="807"/>
      <c r="EA689" s="807"/>
      <c r="EB689" s="807"/>
      <c r="EC689" s="807"/>
      <c r="ED689" s="807"/>
      <c r="EE689" s="807"/>
      <c r="EF689" s="807"/>
      <c r="EG689" s="807"/>
      <c r="EH689" s="807"/>
      <c r="EI689" s="807"/>
      <c r="EJ689" s="807"/>
      <c r="EK689" s="807"/>
      <c r="EL689" s="807"/>
      <c r="EM689" s="807"/>
      <c r="EN689" s="807"/>
      <c r="EO689" s="807"/>
      <c r="EP689" s="807"/>
      <c r="EQ689" s="807"/>
      <c r="ER689" s="807"/>
      <c r="ES689" s="807"/>
      <c r="ET689" s="807"/>
      <c r="EU689" s="807"/>
      <c r="EV689" s="807"/>
      <c r="EW689" s="807"/>
      <c r="EX689" s="807"/>
      <c r="EY689" s="807"/>
      <c r="EZ689" s="807"/>
      <c r="FA689" s="807"/>
      <c r="FB689" s="807"/>
      <c r="FC689" s="807"/>
      <c r="FD689" s="807"/>
      <c r="FE689" s="807"/>
      <c r="FF689" s="807"/>
      <c r="FG689" s="807"/>
      <c r="FH689" s="807"/>
      <c r="FI689" s="807"/>
      <c r="FJ689" s="807"/>
      <c r="FK689" s="807"/>
      <c r="FL689" s="807"/>
      <c r="FM689" s="807"/>
      <c r="FN689" s="807"/>
      <c r="FO689" s="807"/>
      <c r="FP689" s="807"/>
      <c r="FQ689" s="807"/>
      <c r="FR689" s="807"/>
      <c r="FS689" s="807"/>
      <c r="FT689" s="807"/>
      <c r="FU689" s="807"/>
      <c r="FV689" s="807"/>
      <c r="FW689" s="807"/>
      <c r="FX689" s="807"/>
      <c r="FY689" s="807"/>
      <c r="FZ689" s="807"/>
      <c r="GA689" s="807"/>
      <c r="GB689" s="807"/>
      <c r="GC689" s="807"/>
      <c r="GD689" s="807"/>
      <c r="GE689" s="807"/>
      <c r="GF689" s="807"/>
      <c r="GG689" s="807"/>
      <c r="GH689" s="807"/>
      <c r="GI689" s="807"/>
      <c r="GJ689" s="807"/>
      <c r="GK689" s="807"/>
      <c r="GL689" s="807"/>
      <c r="GM689" s="807"/>
      <c r="GN689" s="807"/>
      <c r="GO689" s="807"/>
      <c r="GP689" s="807"/>
      <c r="GQ689" s="807"/>
      <c r="GR689" s="807"/>
      <c r="GS689" s="807"/>
      <c r="GT689" s="807"/>
      <c r="GU689" s="807"/>
      <c r="GV689" s="807"/>
      <c r="GW689" s="807"/>
      <c r="GX689" s="807"/>
      <c r="GY689" s="807"/>
      <c r="GZ689" s="807"/>
      <c r="HA689" s="807"/>
      <c r="HB689" s="807"/>
      <c r="HC689" s="807"/>
      <c r="HD689" s="807"/>
      <c r="HE689" s="807"/>
      <c r="HF689" s="807"/>
      <c r="HG689" s="807"/>
      <c r="HH689" s="807"/>
      <c r="HI689" s="807"/>
      <c r="HJ689" s="807"/>
      <c r="HK689" s="807"/>
      <c r="HL689" s="807"/>
      <c r="HM689" s="807"/>
      <c r="HN689" s="807"/>
      <c r="HO689" s="807"/>
      <c r="HP689" s="807"/>
      <c r="HQ689" s="807"/>
      <c r="HR689" s="807"/>
      <c r="HS689" s="807"/>
      <c r="HT689" s="807"/>
      <c r="HU689" s="807"/>
      <c r="HV689" s="807"/>
      <c r="HW689" s="807"/>
      <c r="HX689" s="807"/>
      <c r="HY689" s="807"/>
      <c r="HZ689" s="807"/>
      <c r="IA689" s="807"/>
      <c r="IB689" s="807"/>
      <c r="IC689" s="807"/>
      <c r="ID689" s="807"/>
      <c r="IE689" s="807"/>
      <c r="IF689" s="807"/>
      <c r="IG689" s="807"/>
      <c r="IH689" s="807"/>
      <c r="II689" s="807"/>
      <c r="IJ689" s="807"/>
      <c r="IK689" s="807"/>
      <c r="IL689" s="807"/>
      <c r="IM689" s="807"/>
      <c r="IN689" s="807"/>
      <c r="IO689" s="807"/>
      <c r="IP689" s="807"/>
      <c r="IQ689" s="807"/>
      <c r="IR689" s="807"/>
      <c r="IS689" s="807"/>
      <c r="IT689" s="807"/>
      <c r="IU689" s="807"/>
      <c r="IV689" s="807"/>
      <c r="IW689" s="807"/>
    </row>
    <row r="690" customFormat="false" ht="11.25" hidden="false" customHeight="false" outlineLevel="0" collapsed="false">
      <c r="A690" s="934"/>
      <c r="B690" s="934" t="s">
        <v>988</v>
      </c>
      <c r="C690" s="751"/>
      <c r="D690" s="751"/>
      <c r="E690" s="751"/>
      <c r="F690" s="751"/>
      <c r="G690" s="751"/>
      <c r="H690" s="751"/>
      <c r="I690" s="1140" t="e">
        <f aca="false">+I684+I686+I687-I688</f>
        <v>#VALUE!</v>
      </c>
      <c r="J690" s="1141" t="e">
        <f aca="false">+J684+J686+J687-J688</f>
        <v>#VALUE!</v>
      </c>
      <c r="K690" s="1141" t="e">
        <f aca="false">+K684+K686+K687-K688</f>
        <v>#VALUE!</v>
      </c>
      <c r="L690" s="1141" t="e">
        <f aca="false">+L684+L686+L687-L688</f>
        <v>#VALUE!</v>
      </c>
      <c r="M690" s="1141" t="e">
        <f aca="false">+M684+M686+M687-M688</f>
        <v>#VALUE!</v>
      </c>
      <c r="N690" s="1141" t="e">
        <f aca="false">+N684+N686+N687-N688</f>
        <v>#VALUE!</v>
      </c>
      <c r="O690" s="1141" t="e">
        <f aca="false">+O684+O686+O687-O688</f>
        <v>#VALUE!</v>
      </c>
      <c r="P690" s="1141" t="e">
        <f aca="false">+P684+P686+P687-P688</f>
        <v>#VALUE!</v>
      </c>
      <c r="Q690" s="1141" t="e">
        <f aca="false">+Q684+Q686+Q687-Q688</f>
        <v>#VALUE!</v>
      </c>
      <c r="R690" s="1141" t="e">
        <f aca="false">+R684+R686+R687-R688</f>
        <v>#VALUE!</v>
      </c>
      <c r="S690" s="1141" t="e">
        <f aca="false">+S684+S686+S687-S688</f>
        <v>#VALUE!</v>
      </c>
      <c r="T690" s="1141" t="e">
        <f aca="false">+T684+T686+T687-T688</f>
        <v>#VALUE!</v>
      </c>
      <c r="U690" s="1141" t="e">
        <f aca="false">+U684+U686+U687-U688</f>
        <v>#VALUE!</v>
      </c>
      <c r="V690" s="1141" t="e">
        <f aca="false">+V684+V686+V687-V688</f>
        <v>#VALUE!</v>
      </c>
      <c r="W690" s="1141" t="e">
        <f aca="false">+W684+W686+W687-W688</f>
        <v>#VALUE!</v>
      </c>
      <c r="X690" s="1141" t="e">
        <f aca="false">+X684+X686+X687-X688</f>
        <v>#VALUE!</v>
      </c>
      <c r="Y690" s="1141" t="e">
        <f aca="false">+Y684+Y686+Y687-Y688</f>
        <v>#VALUE!</v>
      </c>
      <c r="Z690" s="1141" t="e">
        <f aca="false">+Z684+Z686+Z687-Z688</f>
        <v>#VALUE!</v>
      </c>
      <c r="AA690" s="1141" t="e">
        <f aca="false">+AA684+AA686+AA687-AA688</f>
        <v>#VALUE!</v>
      </c>
      <c r="AB690" s="1141" t="e">
        <f aca="false">+AB684+AB686+AB687-AB688</f>
        <v>#VALUE!</v>
      </c>
      <c r="AC690" s="1141" t="e">
        <f aca="false">+AC684+AC686+AC687-AC688</f>
        <v>#VALUE!</v>
      </c>
      <c r="AD690" s="1141" t="e">
        <f aca="false">+AD684+AD686+AD687-AD688</f>
        <v>#VALUE!</v>
      </c>
      <c r="AE690" s="1141" t="e">
        <f aca="false">+AE684+AE686+AE687-AE688</f>
        <v>#VALUE!</v>
      </c>
      <c r="AF690" s="1141" t="e">
        <f aca="false">+AF684+AF686+AF687-AF688</f>
        <v>#VALUE!</v>
      </c>
      <c r="AG690" s="469"/>
      <c r="AH690" s="807"/>
      <c r="AI690" s="807"/>
      <c r="AJ690" s="807"/>
      <c r="AK690" s="807"/>
      <c r="AL690" s="807"/>
      <c r="AM690" s="807"/>
      <c r="AN690" s="807"/>
      <c r="AO690" s="807"/>
      <c r="AP690" s="807"/>
      <c r="AQ690" s="807"/>
      <c r="AR690" s="807"/>
      <c r="AS690" s="807"/>
      <c r="AT690" s="807"/>
      <c r="AU690" s="807"/>
      <c r="AV690" s="807"/>
      <c r="AW690" s="807"/>
      <c r="AX690" s="807"/>
      <c r="AY690" s="807"/>
      <c r="AZ690" s="807"/>
      <c r="BA690" s="807"/>
      <c r="BB690" s="807"/>
      <c r="BC690" s="807"/>
      <c r="BD690" s="807"/>
      <c r="BE690" s="807"/>
      <c r="BF690" s="807"/>
      <c r="BG690" s="807"/>
      <c r="BH690" s="807"/>
      <c r="BI690" s="807"/>
      <c r="BJ690" s="807"/>
      <c r="BK690" s="807"/>
      <c r="BL690" s="807"/>
      <c r="BM690" s="807"/>
      <c r="BN690" s="807"/>
      <c r="BO690" s="807"/>
      <c r="BP690" s="807"/>
      <c r="BQ690" s="807"/>
      <c r="BR690" s="807"/>
      <c r="BS690" s="807"/>
      <c r="BT690" s="807"/>
      <c r="BU690" s="807"/>
      <c r="BV690" s="807"/>
      <c r="BW690" s="807"/>
      <c r="BX690" s="807"/>
      <c r="BY690" s="807"/>
      <c r="BZ690" s="807"/>
      <c r="CA690" s="807"/>
      <c r="CB690" s="807"/>
      <c r="CC690" s="807"/>
      <c r="CD690" s="807"/>
      <c r="CE690" s="807"/>
      <c r="CF690" s="807"/>
      <c r="CG690" s="807"/>
      <c r="CH690" s="807"/>
      <c r="CI690" s="807"/>
      <c r="CJ690" s="807"/>
      <c r="CK690" s="807"/>
      <c r="CL690" s="807"/>
      <c r="CM690" s="807"/>
      <c r="CN690" s="807"/>
      <c r="CO690" s="807"/>
      <c r="CP690" s="807"/>
      <c r="CQ690" s="807"/>
      <c r="CR690" s="807"/>
      <c r="CS690" s="807"/>
      <c r="CT690" s="807"/>
      <c r="CU690" s="807"/>
      <c r="CV690" s="807"/>
      <c r="CW690" s="807"/>
      <c r="CX690" s="807"/>
      <c r="CY690" s="807"/>
      <c r="CZ690" s="807"/>
      <c r="DA690" s="807"/>
      <c r="DB690" s="807"/>
      <c r="DC690" s="807"/>
      <c r="DD690" s="807"/>
      <c r="DE690" s="807"/>
      <c r="DF690" s="807"/>
      <c r="DG690" s="807"/>
      <c r="DH690" s="807"/>
      <c r="DI690" s="807"/>
      <c r="DJ690" s="807"/>
      <c r="DK690" s="807"/>
      <c r="DL690" s="807"/>
      <c r="DM690" s="807"/>
      <c r="DN690" s="807"/>
      <c r="DO690" s="807"/>
      <c r="DP690" s="807"/>
      <c r="DQ690" s="807"/>
      <c r="DR690" s="807"/>
      <c r="DS690" s="807"/>
      <c r="DT690" s="807"/>
      <c r="DU690" s="807"/>
      <c r="DV690" s="807"/>
      <c r="DW690" s="807"/>
      <c r="DX690" s="807"/>
      <c r="DY690" s="807"/>
      <c r="DZ690" s="807"/>
      <c r="EA690" s="807"/>
      <c r="EB690" s="807"/>
      <c r="EC690" s="807"/>
      <c r="ED690" s="807"/>
      <c r="EE690" s="807"/>
      <c r="EF690" s="807"/>
      <c r="EG690" s="807"/>
      <c r="EH690" s="807"/>
      <c r="EI690" s="807"/>
      <c r="EJ690" s="807"/>
      <c r="EK690" s="807"/>
      <c r="EL690" s="807"/>
      <c r="EM690" s="807"/>
      <c r="EN690" s="807"/>
      <c r="EO690" s="807"/>
      <c r="EP690" s="807"/>
      <c r="EQ690" s="807"/>
      <c r="ER690" s="807"/>
      <c r="ES690" s="807"/>
      <c r="ET690" s="807"/>
      <c r="EU690" s="807"/>
      <c r="EV690" s="807"/>
      <c r="EW690" s="807"/>
      <c r="EX690" s="807"/>
      <c r="EY690" s="807"/>
      <c r="EZ690" s="807"/>
      <c r="FA690" s="807"/>
      <c r="FB690" s="807"/>
      <c r="FC690" s="807"/>
      <c r="FD690" s="807"/>
      <c r="FE690" s="807"/>
      <c r="FF690" s="807"/>
      <c r="FG690" s="807"/>
      <c r="FH690" s="807"/>
      <c r="FI690" s="807"/>
      <c r="FJ690" s="807"/>
      <c r="FK690" s="807"/>
      <c r="FL690" s="807"/>
      <c r="FM690" s="807"/>
      <c r="FN690" s="807"/>
      <c r="FO690" s="807"/>
      <c r="FP690" s="807"/>
      <c r="FQ690" s="807"/>
      <c r="FR690" s="807"/>
      <c r="FS690" s="807"/>
      <c r="FT690" s="807"/>
      <c r="FU690" s="807"/>
      <c r="FV690" s="807"/>
      <c r="FW690" s="807"/>
      <c r="FX690" s="807"/>
      <c r="FY690" s="807"/>
      <c r="FZ690" s="807"/>
      <c r="GA690" s="807"/>
      <c r="GB690" s="807"/>
      <c r="GC690" s="807"/>
      <c r="GD690" s="807"/>
      <c r="GE690" s="807"/>
      <c r="GF690" s="807"/>
      <c r="GG690" s="807"/>
      <c r="GH690" s="807"/>
      <c r="GI690" s="807"/>
      <c r="GJ690" s="807"/>
      <c r="GK690" s="807"/>
      <c r="GL690" s="807"/>
      <c r="GM690" s="807"/>
      <c r="GN690" s="807"/>
      <c r="GO690" s="807"/>
      <c r="GP690" s="807"/>
      <c r="GQ690" s="807"/>
      <c r="GR690" s="807"/>
      <c r="GS690" s="807"/>
      <c r="GT690" s="807"/>
      <c r="GU690" s="807"/>
      <c r="GV690" s="807"/>
      <c r="GW690" s="807"/>
      <c r="GX690" s="807"/>
      <c r="GY690" s="807"/>
      <c r="GZ690" s="807"/>
      <c r="HA690" s="807"/>
      <c r="HB690" s="807"/>
      <c r="HC690" s="807"/>
      <c r="HD690" s="807"/>
      <c r="HE690" s="807"/>
      <c r="HF690" s="807"/>
      <c r="HG690" s="807"/>
      <c r="HH690" s="807"/>
      <c r="HI690" s="807"/>
      <c r="HJ690" s="807"/>
      <c r="HK690" s="807"/>
      <c r="HL690" s="807"/>
      <c r="HM690" s="807"/>
      <c r="HN690" s="807"/>
      <c r="HO690" s="807"/>
      <c r="HP690" s="807"/>
      <c r="HQ690" s="807"/>
      <c r="HR690" s="807"/>
      <c r="HS690" s="807"/>
      <c r="HT690" s="807"/>
      <c r="HU690" s="807"/>
      <c r="HV690" s="807"/>
      <c r="HW690" s="807"/>
      <c r="HX690" s="807"/>
      <c r="HY690" s="807"/>
      <c r="HZ690" s="807"/>
      <c r="IA690" s="807"/>
      <c r="IB690" s="807"/>
      <c r="IC690" s="807"/>
      <c r="ID690" s="807"/>
      <c r="IE690" s="807"/>
      <c r="IF690" s="807"/>
      <c r="IG690" s="807"/>
      <c r="IH690" s="807"/>
      <c r="II690" s="807"/>
      <c r="IJ690" s="807"/>
      <c r="IK690" s="807"/>
      <c r="IL690" s="807"/>
      <c r="IM690" s="807"/>
      <c r="IN690" s="807"/>
      <c r="IO690" s="807"/>
      <c r="IP690" s="807"/>
      <c r="IQ690" s="807"/>
      <c r="IR690" s="807"/>
      <c r="IS690" s="807"/>
      <c r="IT690" s="807"/>
      <c r="IU690" s="807"/>
      <c r="IV690" s="807"/>
      <c r="IW690" s="807"/>
    </row>
    <row r="691" customFormat="false" ht="11.25" hidden="false" customHeight="false" outlineLevel="0" collapsed="false">
      <c r="A691" s="934"/>
      <c r="B691" s="934"/>
      <c r="C691" s="751"/>
      <c r="D691" s="751"/>
      <c r="E691" s="751"/>
      <c r="F691" s="751"/>
      <c r="G691" s="751"/>
      <c r="H691" s="751"/>
      <c r="I691" s="981"/>
      <c r="J691" s="469"/>
      <c r="K691" s="469"/>
      <c r="L691" s="469"/>
      <c r="M691" s="469"/>
      <c r="N691" s="469"/>
      <c r="O691" s="469"/>
      <c r="P691" s="469"/>
      <c r="Q691" s="469"/>
      <c r="R691" s="469"/>
      <c r="S691" s="469"/>
      <c r="T691" s="469"/>
      <c r="U691" s="469"/>
      <c r="V691" s="469"/>
      <c r="W691" s="469"/>
      <c r="X691" s="469"/>
      <c r="Y691" s="469"/>
      <c r="Z691" s="469"/>
      <c r="AA691" s="469"/>
      <c r="AB691" s="469"/>
      <c r="AC691" s="469"/>
      <c r="AD691" s="469"/>
      <c r="AE691" s="469"/>
      <c r="AF691" s="469"/>
      <c r="AG691" s="469"/>
      <c r="AH691" s="807"/>
      <c r="AI691" s="807"/>
      <c r="AJ691" s="807"/>
      <c r="AK691" s="807"/>
      <c r="AL691" s="807"/>
      <c r="AM691" s="807"/>
      <c r="AN691" s="807"/>
      <c r="AO691" s="807"/>
      <c r="AP691" s="807"/>
      <c r="AQ691" s="807"/>
      <c r="AR691" s="807"/>
      <c r="AS691" s="807"/>
      <c r="AT691" s="807"/>
      <c r="AU691" s="807"/>
      <c r="AV691" s="807"/>
      <c r="AW691" s="807"/>
      <c r="AX691" s="807"/>
      <c r="AY691" s="807"/>
      <c r="AZ691" s="807"/>
      <c r="BA691" s="807"/>
      <c r="BB691" s="807"/>
      <c r="BC691" s="807"/>
      <c r="BD691" s="807"/>
      <c r="BE691" s="807"/>
      <c r="BF691" s="807"/>
      <c r="BG691" s="807"/>
      <c r="BH691" s="807"/>
      <c r="BI691" s="807"/>
      <c r="BJ691" s="807"/>
      <c r="BK691" s="807"/>
      <c r="BL691" s="807"/>
      <c r="BM691" s="807"/>
      <c r="BN691" s="807"/>
      <c r="BO691" s="807"/>
      <c r="BP691" s="807"/>
      <c r="BQ691" s="807"/>
      <c r="BR691" s="807"/>
      <c r="BS691" s="807"/>
      <c r="BT691" s="807"/>
      <c r="BU691" s="807"/>
      <c r="BV691" s="807"/>
      <c r="BW691" s="807"/>
      <c r="BX691" s="807"/>
      <c r="BY691" s="807"/>
      <c r="BZ691" s="807"/>
      <c r="CA691" s="807"/>
      <c r="CB691" s="807"/>
      <c r="CC691" s="807"/>
      <c r="CD691" s="807"/>
      <c r="CE691" s="807"/>
      <c r="CF691" s="807"/>
      <c r="CG691" s="807"/>
      <c r="CH691" s="807"/>
      <c r="CI691" s="807"/>
      <c r="CJ691" s="807"/>
      <c r="CK691" s="807"/>
      <c r="CL691" s="807"/>
      <c r="CM691" s="807"/>
      <c r="CN691" s="807"/>
      <c r="CO691" s="807"/>
      <c r="CP691" s="807"/>
      <c r="CQ691" s="807"/>
      <c r="CR691" s="807"/>
      <c r="CS691" s="807"/>
      <c r="CT691" s="807"/>
      <c r="CU691" s="807"/>
      <c r="CV691" s="807"/>
      <c r="CW691" s="807"/>
      <c r="CX691" s="807"/>
      <c r="CY691" s="807"/>
      <c r="CZ691" s="807"/>
      <c r="DA691" s="807"/>
      <c r="DB691" s="807"/>
      <c r="DC691" s="807"/>
      <c r="DD691" s="807"/>
      <c r="DE691" s="807"/>
      <c r="DF691" s="807"/>
      <c r="DG691" s="807"/>
      <c r="DH691" s="807"/>
      <c r="DI691" s="807"/>
      <c r="DJ691" s="807"/>
      <c r="DK691" s="807"/>
      <c r="DL691" s="807"/>
      <c r="DM691" s="807"/>
      <c r="DN691" s="807"/>
      <c r="DO691" s="807"/>
      <c r="DP691" s="807"/>
      <c r="DQ691" s="807"/>
      <c r="DR691" s="807"/>
      <c r="DS691" s="807"/>
      <c r="DT691" s="807"/>
      <c r="DU691" s="807"/>
      <c r="DV691" s="807"/>
      <c r="DW691" s="807"/>
      <c r="DX691" s="807"/>
      <c r="DY691" s="807"/>
      <c r="DZ691" s="807"/>
      <c r="EA691" s="807"/>
      <c r="EB691" s="807"/>
      <c r="EC691" s="807"/>
      <c r="ED691" s="807"/>
      <c r="EE691" s="807"/>
      <c r="EF691" s="807"/>
      <c r="EG691" s="807"/>
      <c r="EH691" s="807"/>
      <c r="EI691" s="807"/>
      <c r="EJ691" s="807"/>
      <c r="EK691" s="807"/>
      <c r="EL691" s="807"/>
      <c r="EM691" s="807"/>
      <c r="EN691" s="807"/>
      <c r="EO691" s="807"/>
      <c r="EP691" s="807"/>
      <c r="EQ691" s="807"/>
      <c r="ER691" s="807"/>
      <c r="ES691" s="807"/>
      <c r="ET691" s="807"/>
      <c r="EU691" s="807"/>
      <c r="EV691" s="807"/>
      <c r="EW691" s="807"/>
      <c r="EX691" s="807"/>
      <c r="EY691" s="807"/>
      <c r="EZ691" s="807"/>
      <c r="FA691" s="807"/>
      <c r="FB691" s="807"/>
      <c r="FC691" s="807"/>
      <c r="FD691" s="807"/>
      <c r="FE691" s="807"/>
      <c r="FF691" s="807"/>
      <c r="FG691" s="807"/>
      <c r="FH691" s="807"/>
      <c r="FI691" s="807"/>
      <c r="FJ691" s="807"/>
      <c r="FK691" s="807"/>
      <c r="FL691" s="807"/>
      <c r="FM691" s="807"/>
      <c r="FN691" s="807"/>
      <c r="FO691" s="807"/>
      <c r="FP691" s="807"/>
      <c r="FQ691" s="807"/>
      <c r="FR691" s="807"/>
      <c r="FS691" s="807"/>
      <c r="FT691" s="807"/>
      <c r="FU691" s="807"/>
      <c r="FV691" s="807"/>
      <c r="FW691" s="807"/>
      <c r="FX691" s="807"/>
      <c r="FY691" s="807"/>
      <c r="FZ691" s="807"/>
      <c r="GA691" s="807"/>
      <c r="GB691" s="807"/>
      <c r="GC691" s="807"/>
      <c r="GD691" s="807"/>
      <c r="GE691" s="807"/>
      <c r="GF691" s="807"/>
      <c r="GG691" s="807"/>
      <c r="GH691" s="807"/>
      <c r="GI691" s="807"/>
      <c r="GJ691" s="807"/>
      <c r="GK691" s="807"/>
      <c r="GL691" s="807"/>
      <c r="GM691" s="807"/>
      <c r="GN691" s="807"/>
      <c r="GO691" s="807"/>
      <c r="GP691" s="807"/>
      <c r="GQ691" s="807"/>
      <c r="GR691" s="807"/>
      <c r="GS691" s="807"/>
      <c r="GT691" s="807"/>
      <c r="GU691" s="807"/>
      <c r="GV691" s="807"/>
      <c r="GW691" s="807"/>
      <c r="GX691" s="807"/>
      <c r="GY691" s="807"/>
      <c r="GZ691" s="807"/>
      <c r="HA691" s="807"/>
      <c r="HB691" s="807"/>
      <c r="HC691" s="807"/>
      <c r="HD691" s="807"/>
      <c r="HE691" s="807"/>
      <c r="HF691" s="807"/>
      <c r="HG691" s="807"/>
      <c r="HH691" s="807"/>
      <c r="HI691" s="807"/>
      <c r="HJ691" s="807"/>
      <c r="HK691" s="807"/>
      <c r="HL691" s="807"/>
      <c r="HM691" s="807"/>
      <c r="HN691" s="807"/>
      <c r="HO691" s="807"/>
      <c r="HP691" s="807"/>
      <c r="HQ691" s="807"/>
      <c r="HR691" s="807"/>
      <c r="HS691" s="807"/>
      <c r="HT691" s="807"/>
      <c r="HU691" s="807"/>
      <c r="HV691" s="807"/>
      <c r="HW691" s="807"/>
      <c r="HX691" s="807"/>
      <c r="HY691" s="807"/>
      <c r="HZ691" s="807"/>
      <c r="IA691" s="807"/>
      <c r="IB691" s="807"/>
      <c r="IC691" s="807"/>
      <c r="ID691" s="807"/>
      <c r="IE691" s="807"/>
      <c r="IF691" s="807"/>
      <c r="IG691" s="807"/>
      <c r="IH691" s="807"/>
      <c r="II691" s="807"/>
      <c r="IJ691" s="807"/>
      <c r="IK691" s="807"/>
      <c r="IL691" s="807"/>
      <c r="IM691" s="807"/>
      <c r="IN691" s="807"/>
      <c r="IO691" s="807"/>
      <c r="IP691" s="807"/>
      <c r="IQ691" s="807"/>
      <c r="IR691" s="807"/>
      <c r="IS691" s="807"/>
      <c r="IT691" s="807"/>
      <c r="IU691" s="807"/>
      <c r="IV691" s="807"/>
      <c r="IW691" s="807"/>
    </row>
    <row r="692" customFormat="false" ht="11.25" hidden="false" customHeight="false" outlineLevel="0" collapsed="false">
      <c r="A692" s="934"/>
      <c r="B692" s="934" t="s">
        <v>989</v>
      </c>
      <c r="C692" s="751"/>
      <c r="D692" s="751"/>
      <c r="E692" s="751"/>
      <c r="F692" s="751"/>
      <c r="G692" s="751"/>
      <c r="H692" s="751"/>
      <c r="I692" s="981" t="n">
        <f aca="false">-I$339</f>
        <v>-0</v>
      </c>
      <c r="J692" s="469" t="n">
        <f aca="false">-J$339</f>
        <v>-0</v>
      </c>
      <c r="K692" s="469" t="n">
        <f aca="false">-K$339</f>
        <v>-0</v>
      </c>
      <c r="L692" s="469" t="n">
        <f aca="false">-L$339</f>
        <v>-0</v>
      </c>
      <c r="M692" s="469" t="n">
        <f aca="false">-M$339</f>
        <v>-0</v>
      </c>
      <c r="N692" s="469" t="n">
        <f aca="false">-N$339</f>
        <v>-0</v>
      </c>
      <c r="O692" s="469" t="n">
        <f aca="false">-O$339</f>
        <v>-0</v>
      </c>
      <c r="P692" s="469" t="n">
        <f aca="false">-P$339</f>
        <v>-0</v>
      </c>
      <c r="Q692" s="469" t="n">
        <f aca="false">-Q$339</f>
        <v>-0</v>
      </c>
      <c r="R692" s="469" t="n">
        <f aca="false">-R$339</f>
        <v>-0</v>
      </c>
      <c r="S692" s="469" t="n">
        <f aca="false">-S$339</f>
        <v>-0</v>
      </c>
      <c r="T692" s="469" t="n">
        <f aca="false">-T$339</f>
        <v>-0</v>
      </c>
      <c r="U692" s="469" t="n">
        <f aca="false">-U$339</f>
        <v>-0</v>
      </c>
      <c r="V692" s="469" t="n">
        <f aca="false">-V$339</f>
        <v>-0</v>
      </c>
      <c r="W692" s="469" t="n">
        <f aca="false">-W$339</f>
        <v>-0</v>
      </c>
      <c r="X692" s="469" t="n">
        <f aca="false">-X$339</f>
        <v>-0</v>
      </c>
      <c r="Y692" s="469" t="n">
        <f aca="false">-Y$339</f>
        <v>-0</v>
      </c>
      <c r="Z692" s="469" t="n">
        <f aca="false">-Z$339</f>
        <v>-0</v>
      </c>
      <c r="AA692" s="469" t="n">
        <f aca="false">-AA$339</f>
        <v>-0</v>
      </c>
      <c r="AB692" s="469" t="n">
        <f aca="false">-AB$339</f>
        <v>-0</v>
      </c>
      <c r="AC692" s="469" t="n">
        <f aca="false">-AC$339</f>
        <v>-0</v>
      </c>
      <c r="AD692" s="469" t="n">
        <f aca="false">-AD$339</f>
        <v>-0</v>
      </c>
      <c r="AE692" s="469" t="n">
        <f aca="false">-AE$339</f>
        <v>-0</v>
      </c>
      <c r="AF692" s="469" t="n">
        <f aca="false">-AF$339</f>
        <v>-0</v>
      </c>
      <c r="AG692" s="751"/>
    </row>
    <row r="693" customFormat="false" ht="11.25" hidden="false" customHeight="false" outlineLevel="0" collapsed="false">
      <c r="A693" s="934"/>
      <c r="B693" s="934" t="s">
        <v>990</v>
      </c>
      <c r="C693" s="751"/>
      <c r="D693" s="751"/>
      <c r="E693" s="751"/>
      <c r="F693" s="751"/>
      <c r="G693" s="751"/>
      <c r="H693" s="751"/>
      <c r="I693" s="981" t="e">
        <f aca="false">-I$343-I$344+I$364</f>
        <v>#VALUE!</v>
      </c>
      <c r="J693" s="469" t="e">
        <f aca="false">-J$343-J$344+J$364</f>
        <v>#VALUE!</v>
      </c>
      <c r="K693" s="469" t="e">
        <f aca="false">-K$343-K$344+K$364</f>
        <v>#VALUE!</v>
      </c>
      <c r="L693" s="469" t="e">
        <f aca="false">-L$343-L$344+L$364</f>
        <v>#VALUE!</v>
      </c>
      <c r="M693" s="469" t="e">
        <f aca="false">-M$343-M$344+M$364</f>
        <v>#VALUE!</v>
      </c>
      <c r="N693" s="469" t="e">
        <f aca="false">-N$343-N$344+N$364</f>
        <v>#VALUE!</v>
      </c>
      <c r="O693" s="469" t="e">
        <f aca="false">-O$343-O$344+O$364</f>
        <v>#VALUE!</v>
      </c>
      <c r="P693" s="469" t="e">
        <f aca="false">-P$343-P$344+P$364</f>
        <v>#VALUE!</v>
      </c>
      <c r="Q693" s="469" t="e">
        <f aca="false">-Q$343-Q$344+Q$364</f>
        <v>#VALUE!</v>
      </c>
      <c r="R693" s="469" t="e">
        <f aca="false">-R$343-R$344+R$364</f>
        <v>#VALUE!</v>
      </c>
      <c r="S693" s="469" t="e">
        <f aca="false">-S$343-S$344+S$364</f>
        <v>#VALUE!</v>
      </c>
      <c r="T693" s="469" t="e">
        <f aca="false">-T$343-T$344+T$364</f>
        <v>#VALUE!</v>
      </c>
      <c r="U693" s="469" t="e">
        <f aca="false">-U$343-U$344+U$364</f>
        <v>#VALUE!</v>
      </c>
      <c r="V693" s="469" t="e">
        <f aca="false">-V$343-V$344+V$364</f>
        <v>#VALUE!</v>
      </c>
      <c r="W693" s="469" t="e">
        <f aca="false">-W$343-W$344+W$364</f>
        <v>#VALUE!</v>
      </c>
      <c r="X693" s="469" t="e">
        <f aca="false">-X$343-X$344+X$364</f>
        <v>#VALUE!</v>
      </c>
      <c r="Y693" s="469" t="e">
        <f aca="false">-Y$343-Y$344+Y$364</f>
        <v>#VALUE!</v>
      </c>
      <c r="Z693" s="469" t="e">
        <f aca="false">-Z$343-Z$344+Z$364</f>
        <v>#VALUE!</v>
      </c>
      <c r="AA693" s="469" t="e">
        <f aca="false">-AA$343-AA$344+AA$364</f>
        <v>#VALUE!</v>
      </c>
      <c r="AB693" s="469" t="e">
        <f aca="false">-AB$343-AB$344+AB$364</f>
        <v>#VALUE!</v>
      </c>
      <c r="AC693" s="469" t="e">
        <f aca="false">-AC$343-AC$344+AC$364</f>
        <v>#VALUE!</v>
      </c>
      <c r="AD693" s="469" t="e">
        <f aca="false">-AD$343-AD$344+AD$364</f>
        <v>#VALUE!</v>
      </c>
      <c r="AE693" s="469" t="e">
        <f aca="false">-AE$343-AE$344+AE$364</f>
        <v>#VALUE!</v>
      </c>
      <c r="AF693" s="469" t="e">
        <f aca="false">-AF$343-AF$344+AF$364</f>
        <v>#VALUE!</v>
      </c>
      <c r="AG693" s="751"/>
    </row>
    <row r="694" customFormat="false" ht="11.25" hidden="false" customHeight="false" outlineLevel="0" collapsed="false">
      <c r="A694" s="934"/>
      <c r="B694" s="934" t="s">
        <v>991</v>
      </c>
      <c r="C694" s="751"/>
      <c r="D694" s="751"/>
      <c r="E694" s="751"/>
      <c r="F694" s="751"/>
      <c r="G694" s="751"/>
      <c r="H694" s="751"/>
      <c r="I694" s="981" t="n">
        <f aca="false">+I$351+I$352</f>
        <v>-0</v>
      </c>
      <c r="J694" s="469" t="n">
        <f aca="false">+J$351+J$352</f>
        <v>-0</v>
      </c>
      <c r="K694" s="469" t="n">
        <f aca="false">+K$351+K$352</f>
        <v>0</v>
      </c>
      <c r="L694" s="469" t="n">
        <f aca="false">+L$351+L$352</f>
        <v>-0</v>
      </c>
      <c r="M694" s="469" t="n">
        <f aca="false">+M$351+M$352</f>
        <v>-0</v>
      </c>
      <c r="N694" s="469" t="n">
        <f aca="false">+N$351+N$352</f>
        <v>-0</v>
      </c>
      <c r="O694" s="469" t="n">
        <f aca="false">+O$351+O$352</f>
        <v>-0</v>
      </c>
      <c r="P694" s="469" t="n">
        <f aca="false">+P$351+P$352</f>
        <v>-0</v>
      </c>
      <c r="Q694" s="469" t="n">
        <f aca="false">+Q$351+Q$352</f>
        <v>-0</v>
      </c>
      <c r="R694" s="469" t="n">
        <f aca="false">+R$351+R$352</f>
        <v>-0</v>
      </c>
      <c r="S694" s="469" t="n">
        <f aca="false">+S$351+S$352</f>
        <v>-0</v>
      </c>
      <c r="T694" s="469" t="n">
        <f aca="false">+T$351+T$352</f>
        <v>-0</v>
      </c>
      <c r="U694" s="469" t="n">
        <f aca="false">+U$351+U$352</f>
        <v>-0</v>
      </c>
      <c r="V694" s="469" t="n">
        <f aca="false">+V$351+V$352</f>
        <v>-0</v>
      </c>
      <c r="W694" s="469" t="n">
        <f aca="false">+W$351+W$352</f>
        <v>-0</v>
      </c>
      <c r="X694" s="469" t="n">
        <f aca="false">+X$351+X$352</f>
        <v>-0</v>
      </c>
      <c r="Y694" s="469" t="n">
        <f aca="false">+Y$351+Y$352</f>
        <v>-0</v>
      </c>
      <c r="Z694" s="469" t="n">
        <f aca="false">+Z$351+Z$352</f>
        <v>-0</v>
      </c>
      <c r="AA694" s="469" t="n">
        <f aca="false">+AA$351+AA$352</f>
        <v>-0</v>
      </c>
      <c r="AB694" s="469" t="n">
        <f aca="false">+AB$351+AB$352</f>
        <v>-0</v>
      </c>
      <c r="AC694" s="469" t="n">
        <f aca="false">+AC$351+AC$352</f>
        <v>-0</v>
      </c>
      <c r="AD694" s="469" t="n">
        <f aca="false">+AD$351+AD$352</f>
        <v>-0</v>
      </c>
      <c r="AE694" s="469" t="n">
        <f aca="false">+AE$351+AE$352</f>
        <v>-0</v>
      </c>
      <c r="AF694" s="469" t="n">
        <f aca="false">+AF$351+AF$352</f>
        <v>-0</v>
      </c>
      <c r="AG694" s="751"/>
    </row>
    <row r="695" customFormat="false" ht="11.25" hidden="false" customHeight="false" outlineLevel="0" collapsed="false">
      <c r="A695" s="934"/>
      <c r="B695" s="934" t="str">
        <f aca="false">+A340</f>
        <v>Transaction Fees</v>
      </c>
      <c r="C695" s="751"/>
      <c r="D695" s="751"/>
      <c r="E695" s="751"/>
      <c r="F695" s="751"/>
      <c r="G695" s="751"/>
      <c r="H695" s="469"/>
      <c r="I695" s="981" t="n">
        <f aca="false">-I340</f>
        <v>-0</v>
      </c>
      <c r="J695" s="469" t="n">
        <f aca="false">-J340</f>
        <v>-0</v>
      </c>
      <c r="K695" s="469" t="n">
        <f aca="false">-K340</f>
        <v>-0</v>
      </c>
      <c r="L695" s="469" t="n">
        <f aca="false">-L340</f>
        <v>-0</v>
      </c>
      <c r="M695" s="469" t="n">
        <f aca="false">-M340</f>
        <v>-0</v>
      </c>
      <c r="N695" s="469" t="n">
        <f aca="false">-N340</f>
        <v>-0</v>
      </c>
      <c r="O695" s="469" t="n">
        <f aca="false">-O340</f>
        <v>-0</v>
      </c>
      <c r="P695" s="469" t="n">
        <f aca="false">-P340</f>
        <v>-0</v>
      </c>
      <c r="Q695" s="469" t="n">
        <f aca="false">-Q340</f>
        <v>-0</v>
      </c>
      <c r="R695" s="469" t="n">
        <f aca="false">-R340</f>
        <v>-0</v>
      </c>
      <c r="S695" s="469" t="n">
        <f aca="false">-S340</f>
        <v>-0</v>
      </c>
      <c r="T695" s="469" t="n">
        <f aca="false">-T340</f>
        <v>-0</v>
      </c>
      <c r="U695" s="469" t="n">
        <f aca="false">-U340</f>
        <v>-0</v>
      </c>
      <c r="V695" s="469" t="n">
        <f aca="false">-V340</f>
        <v>-0</v>
      </c>
      <c r="W695" s="469" t="n">
        <f aca="false">-W340</f>
        <v>-0</v>
      </c>
      <c r="X695" s="469" t="n">
        <f aca="false">-X340</f>
        <v>-0</v>
      </c>
      <c r="Y695" s="469" t="n">
        <f aca="false">-Y340</f>
        <v>-0</v>
      </c>
      <c r="Z695" s="469" t="n">
        <f aca="false">-Z340</f>
        <v>-0</v>
      </c>
      <c r="AA695" s="469" t="n">
        <f aca="false">-AA340</f>
        <v>-0</v>
      </c>
      <c r="AB695" s="469" t="n">
        <f aca="false">-AB340</f>
        <v>-0</v>
      </c>
      <c r="AC695" s="469" t="n">
        <f aca="false">-AC340</f>
        <v>-0</v>
      </c>
      <c r="AD695" s="469" t="n">
        <f aca="false">-AD340</f>
        <v>-0</v>
      </c>
      <c r="AE695" s="469" t="n">
        <f aca="false">-AE340</f>
        <v>-0</v>
      </c>
      <c r="AF695" s="469" t="n">
        <f aca="false">-AF340</f>
        <v>-0</v>
      </c>
      <c r="AG695" s="751"/>
    </row>
    <row r="696" customFormat="false" ht="11.25" hidden="false" customHeight="false" outlineLevel="0" collapsed="false">
      <c r="A696" s="934"/>
      <c r="B696" s="934" t="s">
        <v>992</v>
      </c>
      <c r="C696" s="751"/>
      <c r="D696" s="751"/>
      <c r="E696" s="751"/>
      <c r="F696" s="751"/>
      <c r="G696" s="751"/>
      <c r="H696" s="469"/>
      <c r="I696" s="981" t="e">
        <f aca="false">+I$334-I$342</f>
        <v>#VALUE!</v>
      </c>
      <c r="J696" s="469" t="e">
        <f aca="false">+J$334-J$342</f>
        <v>#VALUE!</v>
      </c>
      <c r="K696" s="469" t="e">
        <f aca="false">+K$334-K$342</f>
        <v>#VALUE!</v>
      </c>
      <c r="L696" s="469" t="e">
        <f aca="false">+L$334-L$342</f>
        <v>#VALUE!</v>
      </c>
      <c r="M696" s="469" t="e">
        <f aca="false">+M$334-M$342</f>
        <v>#VALUE!</v>
      </c>
      <c r="N696" s="469" t="e">
        <f aca="false">+N$334-N$342</f>
        <v>#VALUE!</v>
      </c>
      <c r="O696" s="469" t="e">
        <f aca="false">+O$334-O$342</f>
        <v>#VALUE!</v>
      </c>
      <c r="P696" s="469" t="e">
        <f aca="false">+P$334-P$342</f>
        <v>#VALUE!</v>
      </c>
      <c r="Q696" s="469" t="e">
        <f aca="false">+Q$334-Q$342</f>
        <v>#VALUE!</v>
      </c>
      <c r="R696" s="469" t="e">
        <f aca="false">+R$334-R$342</f>
        <v>#VALUE!</v>
      </c>
      <c r="S696" s="469" t="e">
        <f aca="false">+S$334-S$342</f>
        <v>#VALUE!</v>
      </c>
      <c r="T696" s="469" t="e">
        <f aca="false">+T$334-T$342</f>
        <v>#VALUE!</v>
      </c>
      <c r="U696" s="469" t="e">
        <f aca="false">+U$334-U$342</f>
        <v>#VALUE!</v>
      </c>
      <c r="V696" s="469" t="e">
        <f aca="false">+V$334-V$342</f>
        <v>#VALUE!</v>
      </c>
      <c r="W696" s="469" t="e">
        <f aca="false">+W$334-W$342</f>
        <v>#VALUE!</v>
      </c>
      <c r="X696" s="469" t="e">
        <f aca="false">+X$334-X$342</f>
        <v>#VALUE!</v>
      </c>
      <c r="Y696" s="469" t="e">
        <f aca="false">+Y$334-Y$342</f>
        <v>#VALUE!</v>
      </c>
      <c r="Z696" s="469" t="e">
        <f aca="false">+Z$334-Z$342</f>
        <v>#VALUE!</v>
      </c>
      <c r="AA696" s="469" t="e">
        <f aca="false">+AA$334-AA$342</f>
        <v>#VALUE!</v>
      </c>
      <c r="AB696" s="469" t="e">
        <f aca="false">+AB$334-AB$342</f>
        <v>#VALUE!</v>
      </c>
      <c r="AC696" s="469" t="e">
        <f aca="false">+AC$334-AC$342</f>
        <v>#VALUE!</v>
      </c>
      <c r="AD696" s="469" t="e">
        <f aca="false">+AD$334-AD$342</f>
        <v>#VALUE!</v>
      </c>
      <c r="AE696" s="469" t="e">
        <f aca="false">+AE$334-AE$342</f>
        <v>#VALUE!</v>
      </c>
      <c r="AF696" s="469" t="e">
        <f aca="false">+AF$334-AF$342</f>
        <v>#VALUE!</v>
      </c>
      <c r="AG696" s="751"/>
    </row>
    <row r="697" customFormat="false" ht="12" hidden="false" customHeight="false" outlineLevel="0" collapsed="false">
      <c r="A697" s="1142" t="s">
        <v>993</v>
      </c>
      <c r="B697" s="751"/>
      <c r="C697" s="751"/>
      <c r="D697" s="751"/>
      <c r="E697" s="751"/>
      <c r="F697" s="751"/>
      <c r="G697" s="751"/>
      <c r="H697" s="1143" t="e">
        <f aca="false">+H682</f>
        <v>#VALUE!</v>
      </c>
      <c r="I697" s="1144" t="e">
        <f aca="false">I690+I692+I693+I694+I695+I696</f>
        <v>#VALUE!</v>
      </c>
      <c r="J697" s="970" t="e">
        <f aca="false">J690+J692+J693+J694+J695+J696</f>
        <v>#VALUE!</v>
      </c>
      <c r="K697" s="970" t="e">
        <f aca="false">K690+K692+K693+K694+K695+K696</f>
        <v>#VALUE!</v>
      </c>
      <c r="L697" s="970" t="e">
        <f aca="false">L690+L692+L693+L694+L695+L696</f>
        <v>#VALUE!</v>
      </c>
      <c r="M697" s="970" t="e">
        <f aca="false">M690+M692+M693+M694+M695+M696</f>
        <v>#VALUE!</v>
      </c>
      <c r="N697" s="970" t="e">
        <f aca="false">N690+N692+N693+N694+N695+N696</f>
        <v>#VALUE!</v>
      </c>
      <c r="O697" s="970" t="e">
        <f aca="false">O690+O692+O693+O694+O695+O696</f>
        <v>#VALUE!</v>
      </c>
      <c r="P697" s="970" t="e">
        <f aca="false">P690+P692+P693+P694+P695+P696</f>
        <v>#VALUE!</v>
      </c>
      <c r="Q697" s="970" t="e">
        <f aca="false">Q690+Q692+Q693+Q694+Q695+Q696</f>
        <v>#VALUE!</v>
      </c>
      <c r="R697" s="970" t="e">
        <f aca="false">R690+R692+R693+R694+R695+R696</f>
        <v>#VALUE!</v>
      </c>
      <c r="S697" s="970" t="e">
        <f aca="false">S690+S692+S693+S694+S695+S696</f>
        <v>#VALUE!</v>
      </c>
      <c r="T697" s="970" t="e">
        <f aca="false">T690+T692+T693+T694+T695+T696</f>
        <v>#VALUE!</v>
      </c>
      <c r="U697" s="970" t="e">
        <f aca="false">U690+U692+U693+U694+U695+U696</f>
        <v>#VALUE!</v>
      </c>
      <c r="V697" s="970" t="e">
        <f aca="false">V690+V692+V693+V694+V695+V696</f>
        <v>#VALUE!</v>
      </c>
      <c r="W697" s="970" t="e">
        <f aca="false">W690+W692+W693+W694+W695+W696</f>
        <v>#VALUE!</v>
      </c>
      <c r="X697" s="970" t="e">
        <f aca="false">X690+X692+X693+X694+X695+X696</f>
        <v>#VALUE!</v>
      </c>
      <c r="Y697" s="970" t="e">
        <f aca="false">Y690+Y692+Y693+Y694+Y695+Y696</f>
        <v>#VALUE!</v>
      </c>
      <c r="Z697" s="970" t="e">
        <f aca="false">Z690+Z692+Z693+Z694+Z695+Z696</f>
        <v>#VALUE!</v>
      </c>
      <c r="AA697" s="970" t="e">
        <f aca="false">AA690+AA692+AA693+AA694+AA695+AA696</f>
        <v>#VALUE!</v>
      </c>
      <c r="AB697" s="970" t="e">
        <f aca="false">AB690+AB692+AB693+AB694+AB695+AB696</f>
        <v>#VALUE!</v>
      </c>
      <c r="AC697" s="970" t="e">
        <f aca="false">AC690+AC692+AC693+AC694+AC695+AC696</f>
        <v>#VALUE!</v>
      </c>
      <c r="AD697" s="970" t="e">
        <f aca="false">AD690+AD692+AD693+AD694+AD695+AD696</f>
        <v>#VALUE!</v>
      </c>
      <c r="AE697" s="970" t="e">
        <f aca="false">AE690+AE692+AE693+AE694+AE695+AE696</f>
        <v>#VALUE!</v>
      </c>
      <c r="AF697" s="970" t="e">
        <f aca="false">AF690+AF692+AF693+AF694+AF695+AF696</f>
        <v>#VALUE!</v>
      </c>
      <c r="AG697" s="751"/>
    </row>
    <row r="698" customFormat="false" ht="12" hidden="false" customHeight="false" outlineLevel="0" collapsed="false">
      <c r="A698" s="1145" t="s">
        <v>409</v>
      </c>
      <c r="B698" s="1146" t="e">
        <f aca="false">+SUM(I698:S698)</f>
        <v>#VALUE!</v>
      </c>
      <c r="C698" s="1146"/>
      <c r="D698" s="1146"/>
      <c r="E698" s="1146"/>
      <c r="F698" s="1146"/>
      <c r="G698" s="1146"/>
      <c r="H698" s="1147"/>
      <c r="I698" s="1148" t="e">
        <f aca="false">-I$356-I$353+I$345+I$362+I$363-I697</f>
        <v>#VALUE!</v>
      </c>
      <c r="J698" s="1148" t="e">
        <f aca="false">-J$356-J$353+J$345+J$362+J$363-J697</f>
        <v>#VALUE!</v>
      </c>
      <c r="K698" s="1148" t="e">
        <f aca="false">-K$356-K$353+K$345+K$362+K$363-K697</f>
        <v>#VALUE!</v>
      </c>
      <c r="L698" s="1148" t="e">
        <f aca="false">-L$356-L$353+L$345+L$362+L$363-L697</f>
        <v>#VALUE!</v>
      </c>
      <c r="M698" s="1148" t="e">
        <f aca="false">-M$356-M$353+M$345+M$362+M$363-M697</f>
        <v>#VALUE!</v>
      </c>
      <c r="N698" s="1148" t="e">
        <f aca="false">-N$356-N$353+N$345+N$362+N$363-N697</f>
        <v>#VALUE!</v>
      </c>
      <c r="O698" s="1148" t="e">
        <f aca="false">-O$356-O$353+O$345+O$362+O$363-O697</f>
        <v>#VALUE!</v>
      </c>
      <c r="P698" s="1148" t="e">
        <f aca="false">-P$356-P$353+P$345+P$362+P$363-P697</f>
        <v>#VALUE!</v>
      </c>
      <c r="Q698" s="1148" t="e">
        <f aca="false">-Q$356-Q$353+Q$345+Q$362+Q$363-Q697</f>
        <v>#VALUE!</v>
      </c>
      <c r="R698" s="1148" t="e">
        <f aca="false">-R$356-R$353+R$345+R$362+R$363-R697</f>
        <v>#VALUE!</v>
      </c>
      <c r="S698" s="1148" t="e">
        <f aca="false">-S$356-S$353+S$345+S$362+S$363-S697</f>
        <v>#VALUE!</v>
      </c>
      <c r="T698" s="1148" t="e">
        <f aca="false">-T$356-T$353+T$345+T$362+T$363-T697</f>
        <v>#VALUE!</v>
      </c>
      <c r="U698" s="1148" t="e">
        <f aca="false">-U$356-U$353+U$345+U$362+U$363-U697</f>
        <v>#VALUE!</v>
      </c>
      <c r="V698" s="1148" t="e">
        <f aca="false">-V$356-V$353+V$345+V$362+V$363-V697</f>
        <v>#VALUE!</v>
      </c>
      <c r="W698" s="1148" t="e">
        <f aca="false">-W$356-W$353+W$345+W$362+W$363-W697</f>
        <v>#VALUE!</v>
      </c>
      <c r="X698" s="1148" t="e">
        <f aca="false">-X$356-X$353+X$345+X$362+X$363-X697</f>
        <v>#VALUE!</v>
      </c>
      <c r="Y698" s="1148" t="e">
        <f aca="false">-Y$356-Y$353+Y$345+Y$362+Y$363-Y697</f>
        <v>#VALUE!</v>
      </c>
      <c r="Z698" s="1148" t="e">
        <f aca="false">-Z$356-Z$353+Z$345+Z$362+Z$363-Z697</f>
        <v>#VALUE!</v>
      </c>
      <c r="AA698" s="1148" t="e">
        <f aca="false">-AA$356-AA$353+AA$345+AA$362+AA$363-AA697</f>
        <v>#VALUE!</v>
      </c>
      <c r="AB698" s="1148" t="e">
        <f aca="false">-AB$356-AB$353+AB$345+AB$362+AB$363-AB697</f>
        <v>#VALUE!</v>
      </c>
      <c r="AC698" s="1148" t="e">
        <f aca="false">-AC$356-AC$353+AC$345+AC$362+AC$363-AC697</f>
        <v>#VALUE!</v>
      </c>
      <c r="AD698" s="1148" t="e">
        <f aca="false">-AD$356-AD$353+AD$345+AD$362+AD$363-AD697</f>
        <v>#VALUE!</v>
      </c>
      <c r="AE698" s="1148" t="e">
        <f aca="false">-AE$356-AE$353+AE$345+AE$362+AE$363-AE697</f>
        <v>#VALUE!</v>
      </c>
      <c r="AF698" s="1148" t="e">
        <f aca="false">-AF$356-AF$353+AF$345+AF$362+AF$363-AF697</f>
        <v>#VALUE!</v>
      </c>
      <c r="AG698" s="751"/>
    </row>
    <row r="699" customFormat="false" ht="11.25" hidden="false" customHeight="false" outlineLevel="0" collapsed="false">
      <c r="A699" s="1149" t="s">
        <v>409</v>
      </c>
      <c r="B699" s="1146" t="e">
        <f aca="false">+SUM(I699:S699)</f>
        <v>#VALUE!</v>
      </c>
      <c r="C699" s="1149"/>
      <c r="D699" s="1149"/>
      <c r="E699" s="1149"/>
      <c r="F699" s="1149"/>
      <c r="G699" s="1149"/>
      <c r="H699" s="1149"/>
      <c r="I699" s="1150" t="e">
        <f aca="false">+I780-I353-I697</f>
        <v>#VALUE!</v>
      </c>
      <c r="J699" s="1150" t="e">
        <f aca="false">+J780-J353-J697</f>
        <v>#VALUE!</v>
      </c>
      <c r="K699" s="1150" t="e">
        <f aca="false">+K780-K353-K697</f>
        <v>#VALUE!</v>
      </c>
      <c r="L699" s="1150" t="e">
        <f aca="false">+L780-L353-L697</f>
        <v>#VALUE!</v>
      </c>
      <c r="M699" s="1150" t="e">
        <f aca="false">+M780-M353-M697</f>
        <v>#VALUE!</v>
      </c>
      <c r="N699" s="1150" t="e">
        <f aca="false">+N780-N353-N697</f>
        <v>#VALUE!</v>
      </c>
      <c r="O699" s="1150" t="e">
        <f aca="false">+O780-O353-O697</f>
        <v>#VALUE!</v>
      </c>
      <c r="P699" s="1150" t="e">
        <f aca="false">+P780-P353-P697</f>
        <v>#VALUE!</v>
      </c>
      <c r="Q699" s="1150" t="e">
        <f aca="false">+Q780-Q353-Q697</f>
        <v>#VALUE!</v>
      </c>
      <c r="R699" s="1150" t="e">
        <f aca="false">+R780-R353-R697</f>
        <v>#VALUE!</v>
      </c>
      <c r="S699" s="1150" t="e">
        <f aca="false">+S780-S353-S697</f>
        <v>#VALUE!</v>
      </c>
      <c r="T699" s="1150" t="e">
        <f aca="false">+T780-T353-T697</f>
        <v>#VALUE!</v>
      </c>
      <c r="U699" s="1150" t="e">
        <f aca="false">+U780-U353-U697</f>
        <v>#VALUE!</v>
      </c>
      <c r="V699" s="1150" t="e">
        <f aca="false">+V780-V353-V697</f>
        <v>#VALUE!</v>
      </c>
      <c r="W699" s="1150" t="e">
        <f aca="false">+W780-W353-W697</f>
        <v>#VALUE!</v>
      </c>
      <c r="X699" s="1150" t="e">
        <f aca="false">+X780-X353-X697</f>
        <v>#VALUE!</v>
      </c>
      <c r="Y699" s="1150" t="e">
        <f aca="false">+Y780-Y353-Y697</f>
        <v>#VALUE!</v>
      </c>
      <c r="Z699" s="1150" t="e">
        <f aca="false">+Z780-Z353-Z697</f>
        <v>#VALUE!</v>
      </c>
      <c r="AA699" s="1150" t="e">
        <f aca="false">+AA780-AA353-AA697</f>
        <v>#VALUE!</v>
      </c>
      <c r="AB699" s="1150" t="e">
        <f aca="false">+AB780-AB353-AB697</f>
        <v>#VALUE!</v>
      </c>
      <c r="AC699" s="1150" t="e">
        <f aca="false">+AC780-AC353-AC697</f>
        <v>#VALUE!</v>
      </c>
      <c r="AD699" s="1150" t="e">
        <f aca="false">+AD780-AD353-AD697</f>
        <v>#VALUE!</v>
      </c>
      <c r="AE699" s="1150" t="e">
        <f aca="false">+AE780-AE353-AE697</f>
        <v>#VALUE!</v>
      </c>
      <c r="AF699" s="1150" t="e">
        <f aca="false">+AF780-AF353-AF697</f>
        <v>#VALUE!</v>
      </c>
      <c r="AG699" s="751"/>
    </row>
    <row r="700" customFormat="false" ht="12" hidden="false" customHeight="false" outlineLevel="0" collapsed="false">
      <c r="D700" s="807"/>
      <c r="E700" s="807"/>
      <c r="F700" s="807"/>
      <c r="AG700" s="751"/>
    </row>
    <row r="701" customFormat="false" ht="11.25" hidden="false" customHeight="false" outlineLevel="0" collapsed="false">
      <c r="A701" s="1151" t="s">
        <v>994</v>
      </c>
      <c r="B701" s="1152"/>
      <c r="C701" s="1152"/>
      <c r="D701" s="1152"/>
      <c r="E701" s="1153" t="s">
        <v>995</v>
      </c>
      <c r="F701" s="1154"/>
      <c r="G701" s="807"/>
      <c r="H701" s="807"/>
      <c r="I701" s="807"/>
      <c r="J701" s="807"/>
      <c r="K701" s="807"/>
      <c r="L701" s="807"/>
      <c r="M701" s="807"/>
      <c r="N701" s="807"/>
      <c r="O701" s="807"/>
      <c r="P701" s="807"/>
      <c r="Q701" s="807"/>
      <c r="R701" s="807"/>
      <c r="S701" s="807"/>
      <c r="T701" s="807"/>
      <c r="U701" s="807"/>
      <c r="V701" s="807"/>
      <c r="W701" s="807"/>
      <c r="X701" s="807"/>
      <c r="Y701" s="807"/>
      <c r="Z701" s="807"/>
      <c r="AA701" s="807"/>
      <c r="AB701" s="807"/>
      <c r="AC701" s="807"/>
      <c r="AD701" s="807"/>
      <c r="AE701" s="807"/>
      <c r="AF701" s="807"/>
      <c r="AG701" s="751"/>
    </row>
    <row r="702" customFormat="false" ht="11.25" hidden="false" customHeight="false" outlineLevel="0" collapsed="false">
      <c r="A702" s="1155" t="str">
        <f aca="false">+"(Federal Taxes @ "&amp;TEXT(I628,"0.00%")&amp;")"</f>
        <v>(Federal Taxes @ 35.00%)</v>
      </c>
      <c r="B702" s="469"/>
      <c r="C702" s="469"/>
      <c r="D702" s="469"/>
      <c r="E702" s="1087" t="s">
        <v>996</v>
      </c>
      <c r="F702" s="1156"/>
      <c r="G702" s="469"/>
      <c r="H702" s="347"/>
      <c r="I702" s="1157" t="n">
        <f aca="false">+I680</f>
        <v>37986</v>
      </c>
      <c r="J702" s="1157" t="n">
        <f aca="false">+J680</f>
        <v>38352</v>
      </c>
      <c r="K702" s="1157" t="n">
        <f aca="false">+K680</f>
        <v>38717</v>
      </c>
      <c r="L702" s="1157" t="n">
        <f aca="false">+L680</f>
        <v>39082</v>
      </c>
      <c r="M702" s="1157" t="n">
        <f aca="false">+M680</f>
        <v>39447</v>
      </c>
      <c r="N702" s="1157" t="n">
        <f aca="false">+N680</f>
        <v>39813</v>
      </c>
      <c r="O702" s="1157" t="n">
        <f aca="false">+O680</f>
        <v>40178</v>
      </c>
      <c r="P702" s="1157" t="n">
        <f aca="false">+P680</f>
        <v>40543</v>
      </c>
      <c r="Q702" s="1157" t="n">
        <f aca="false">+Q680</f>
        <v>40908</v>
      </c>
      <c r="R702" s="1157" t="n">
        <f aca="false">+R680</f>
        <v>41274</v>
      </c>
      <c r="S702" s="1157" t="n">
        <f aca="false">+S680</f>
        <v>41639</v>
      </c>
      <c r="T702" s="1157" t="n">
        <f aca="false">+T680</f>
        <v>42004</v>
      </c>
      <c r="U702" s="1157" t="n">
        <f aca="false">+U680</f>
        <v>42369</v>
      </c>
      <c r="V702" s="1157" t="n">
        <f aca="false">+V680</f>
        <v>42735</v>
      </c>
      <c r="W702" s="1157" t="n">
        <f aca="false">+W680</f>
        <v>43100</v>
      </c>
      <c r="X702" s="1157" t="n">
        <f aca="false">+X680</f>
        <v>43465</v>
      </c>
      <c r="Y702" s="1157" t="n">
        <f aca="false">+Y680</f>
        <v>43830</v>
      </c>
      <c r="Z702" s="1157" t="n">
        <f aca="false">+Z680</f>
        <v>44196</v>
      </c>
      <c r="AA702" s="1157" t="n">
        <f aca="false">+AA680</f>
        <v>44561</v>
      </c>
      <c r="AB702" s="1157" t="n">
        <f aca="false">+AB680</f>
        <v>44926</v>
      </c>
      <c r="AC702" s="1157" t="n">
        <f aca="false">+AC680</f>
        <v>45291</v>
      </c>
      <c r="AD702" s="807"/>
      <c r="AE702" s="807"/>
      <c r="AF702" s="807"/>
      <c r="AG702" s="751"/>
    </row>
    <row r="703" customFormat="false" ht="11.25" hidden="false" customHeight="false" outlineLevel="0" collapsed="false">
      <c r="A703" s="1158"/>
      <c r="B703" s="469"/>
      <c r="C703" s="469"/>
      <c r="D703" s="469"/>
      <c r="E703" s="469"/>
      <c r="F703" s="1156"/>
      <c r="G703" s="1159" t="s">
        <v>997</v>
      </c>
      <c r="H703" s="807"/>
      <c r="I703" s="1160" t="e">
        <f aca="false">+I$314+I$295</f>
        <v>#VALUE!</v>
      </c>
      <c r="J703" s="1160" t="e">
        <f aca="false">+J$314+J$295</f>
        <v>#VALUE!</v>
      </c>
      <c r="K703" s="1160" t="e">
        <f aca="false">+K$314+K$295</f>
        <v>#VALUE!</v>
      </c>
      <c r="L703" s="1160" t="e">
        <f aca="false">+L$314+L$295</f>
        <v>#VALUE!</v>
      </c>
      <c r="M703" s="1160" t="e">
        <f aca="false">+M$314+M$295</f>
        <v>#VALUE!</v>
      </c>
      <c r="N703" s="1160" t="e">
        <f aca="false">+N$314+N$295</f>
        <v>#VALUE!</v>
      </c>
      <c r="O703" s="1160" t="e">
        <f aca="false">+O$314+O$295</f>
        <v>#VALUE!</v>
      </c>
      <c r="P703" s="1160" t="e">
        <f aca="false">+P$314+P$295</f>
        <v>#VALUE!</v>
      </c>
      <c r="Q703" s="1160" t="e">
        <f aca="false">+Q$314+Q$295</f>
        <v>#VALUE!</v>
      </c>
      <c r="R703" s="1160" t="e">
        <f aca="false">+R$314+R$295</f>
        <v>#VALUE!</v>
      </c>
      <c r="S703" s="1160" t="e">
        <f aca="false">+S$314+S$295</f>
        <v>#VALUE!</v>
      </c>
      <c r="T703" s="1160" t="e">
        <f aca="false">+T$314+T$295</f>
        <v>#VALUE!</v>
      </c>
      <c r="U703" s="1160" t="e">
        <f aca="false">+U$314+U$295</f>
        <v>#VALUE!</v>
      </c>
      <c r="V703" s="1160" t="e">
        <f aca="false">+V$314+V$295</f>
        <v>#VALUE!</v>
      </c>
      <c r="W703" s="1160" t="e">
        <f aca="false">+W$314+W$295</f>
        <v>#VALUE!</v>
      </c>
      <c r="X703" s="1160" t="e">
        <f aca="false">+X$314+X$295</f>
        <v>#VALUE!</v>
      </c>
      <c r="Y703" s="1160" t="e">
        <f aca="false">+Y$314+Y$295</f>
        <v>#VALUE!</v>
      </c>
      <c r="Z703" s="1160" t="e">
        <f aca="false">+Z$314+Z$295</f>
        <v>#VALUE!</v>
      </c>
      <c r="AA703" s="1160" t="e">
        <f aca="false">+AA$314+AA$295</f>
        <v>#VALUE!</v>
      </c>
      <c r="AB703" s="1160" t="e">
        <f aca="false">+AB$314+AB$295</f>
        <v>#VALUE!</v>
      </c>
      <c r="AC703" s="1160" t="e">
        <f aca="false">+AC$314+AC$295</f>
        <v>#VALUE!</v>
      </c>
      <c r="AD703" s="807"/>
      <c r="AE703" s="807"/>
      <c r="AF703" s="807"/>
      <c r="AG703" s="751"/>
    </row>
    <row r="704" customFormat="false" ht="11.25" hidden="false" customHeight="false" outlineLevel="0" collapsed="false">
      <c r="A704" s="1161"/>
      <c r="B704" s="807"/>
      <c r="C704" s="807"/>
      <c r="D704" s="807"/>
      <c r="E704" s="807"/>
      <c r="F704" s="1156"/>
      <c r="G704" s="1159" t="s">
        <v>998</v>
      </c>
      <c r="H704" s="807"/>
      <c r="I704" s="1160" t="e">
        <f aca="false">+I308</f>
        <v>#VALUE!</v>
      </c>
      <c r="J704" s="1160" t="e">
        <f aca="false">+J308</f>
        <v>#VALUE!</v>
      </c>
      <c r="K704" s="1160" t="e">
        <f aca="false">+K308</f>
        <v>#VALUE!</v>
      </c>
      <c r="L704" s="1160" t="e">
        <f aca="false">+L308</f>
        <v>#VALUE!</v>
      </c>
      <c r="M704" s="1160" t="e">
        <f aca="false">+M308</f>
        <v>#VALUE!</v>
      </c>
      <c r="N704" s="1160" t="e">
        <f aca="false">+N308</f>
        <v>#VALUE!</v>
      </c>
      <c r="O704" s="1160" t="e">
        <f aca="false">+O308</f>
        <v>#VALUE!</v>
      </c>
      <c r="P704" s="1160" t="e">
        <f aca="false">+P308</f>
        <v>#VALUE!</v>
      </c>
      <c r="Q704" s="1160" t="e">
        <f aca="false">+Q308</f>
        <v>#VALUE!</v>
      </c>
      <c r="R704" s="1160" t="e">
        <f aca="false">+R308</f>
        <v>#VALUE!</v>
      </c>
      <c r="S704" s="1160" t="e">
        <f aca="false">+S308</f>
        <v>#VALUE!</v>
      </c>
      <c r="T704" s="1160" t="e">
        <f aca="false">+T308</f>
        <v>#VALUE!</v>
      </c>
      <c r="U704" s="1160" t="e">
        <f aca="false">+U308</f>
        <v>#VALUE!</v>
      </c>
      <c r="V704" s="1160" t="e">
        <f aca="false">+V308</f>
        <v>#VALUE!</v>
      </c>
      <c r="W704" s="1160" t="e">
        <f aca="false">+W308</f>
        <v>#VALUE!</v>
      </c>
      <c r="X704" s="1160" t="e">
        <f aca="false">+X308</f>
        <v>#VALUE!</v>
      </c>
      <c r="Y704" s="1160" t="e">
        <f aca="false">+Y308</f>
        <v>#VALUE!</v>
      </c>
      <c r="Z704" s="1160" t="e">
        <f aca="false">+Z308</f>
        <v>#VALUE!</v>
      </c>
      <c r="AA704" s="1160" t="e">
        <f aca="false">+AA308</f>
        <v>#VALUE!</v>
      </c>
      <c r="AB704" s="1160" t="e">
        <f aca="false">+AB308</f>
        <v>#VALUE!</v>
      </c>
      <c r="AC704" s="1160" t="e">
        <f aca="false">+AC308</f>
        <v>#VALUE!</v>
      </c>
      <c r="AD704" s="807"/>
      <c r="AE704" s="807"/>
      <c r="AF704" s="807"/>
      <c r="AG704" s="751"/>
    </row>
    <row r="705" customFormat="false" ht="11.25" hidden="false" customHeight="false" outlineLevel="0" collapsed="false">
      <c r="A705" s="1158" t="s">
        <v>999</v>
      </c>
      <c r="B705" s="469"/>
      <c r="C705" s="469"/>
      <c r="D705" s="469"/>
      <c r="E705" s="1162" t="n">
        <f aca="false">Assumptions!L44</f>
        <v>0.12</v>
      </c>
      <c r="F705" s="1156"/>
      <c r="G705" s="1159" t="s">
        <v>1000</v>
      </c>
      <c r="H705" s="807"/>
      <c r="I705" s="1160" t="n">
        <f aca="false">I$343+I$344</f>
        <v>0</v>
      </c>
      <c r="J705" s="1160" t="n">
        <f aca="false">J$343+J$344</f>
        <v>0</v>
      </c>
      <c r="K705" s="1160" t="n">
        <f aca="false">K$343+K$344</f>
        <v>0</v>
      </c>
      <c r="L705" s="1160" t="n">
        <f aca="false">L$343+L$344</f>
        <v>-0</v>
      </c>
      <c r="M705" s="1160" t="n">
        <f aca="false">M$343+M$344</f>
        <v>-0</v>
      </c>
      <c r="N705" s="1160" t="n">
        <f aca="false">N$343+N$344</f>
        <v>-0</v>
      </c>
      <c r="O705" s="1160" t="n">
        <f aca="false">O$343+O$344</f>
        <v>-0</v>
      </c>
      <c r="P705" s="1160" t="n">
        <f aca="false">P$343+P$344</f>
        <v>-0</v>
      </c>
      <c r="Q705" s="1160" t="n">
        <f aca="false">Q$343+Q$344</f>
        <v>-0</v>
      </c>
      <c r="R705" s="1160" t="n">
        <f aca="false">R$343+R$344</f>
        <v>-0</v>
      </c>
      <c r="S705" s="1160" t="n">
        <f aca="false">S$343+S$344</f>
        <v>-0</v>
      </c>
      <c r="T705" s="1160" t="n">
        <f aca="false">T$343+T$344</f>
        <v>-0</v>
      </c>
      <c r="U705" s="1160" t="n">
        <f aca="false">U$343+U$344</f>
        <v>-0</v>
      </c>
      <c r="V705" s="1160" t="n">
        <f aca="false">V$343+V$344</f>
        <v>-0</v>
      </c>
      <c r="W705" s="1160" t="n">
        <f aca="false">W$343+W$344</f>
        <v>-0</v>
      </c>
      <c r="X705" s="1160" t="n">
        <f aca="false">X$343+X$344</f>
        <v>-0</v>
      </c>
      <c r="Y705" s="1160" t="n">
        <f aca="false">Y$343+Y$344</f>
        <v>-0</v>
      </c>
      <c r="Z705" s="1160" t="n">
        <f aca="false">Z$343+Z$344</f>
        <v>-0</v>
      </c>
      <c r="AA705" s="1160" t="n">
        <f aca="false">AA$343+AA$344</f>
        <v>-0</v>
      </c>
      <c r="AB705" s="1160" t="n">
        <f aca="false">AB$343+AB$344</f>
        <v>-0</v>
      </c>
      <c r="AC705" s="1160" t="n">
        <f aca="false">AC$343+AC$344</f>
        <v>-0</v>
      </c>
      <c r="AD705" s="807"/>
      <c r="AE705" s="807"/>
      <c r="AF705" s="807"/>
      <c r="AG705" s="751"/>
    </row>
    <row r="706" customFormat="false" ht="11.25" hidden="false" customHeight="false" outlineLevel="0" collapsed="false">
      <c r="A706" s="1161"/>
      <c r="B706" s="807"/>
      <c r="C706" s="807"/>
      <c r="D706" s="807"/>
      <c r="E706" s="807"/>
      <c r="F706" s="1156"/>
      <c r="G706" s="1163" t="s">
        <v>1001</v>
      </c>
      <c r="H706" s="807"/>
      <c r="I706" s="1164" t="e">
        <f aca="false">(I703+I704)/(I704+I705)</f>
        <v>#VALUE!</v>
      </c>
      <c r="J706" s="1164" t="e">
        <f aca="false">(J703+J704)/(J704+J705)</f>
        <v>#VALUE!</v>
      </c>
      <c r="K706" s="1164" t="e">
        <f aca="false">(K703+K704)/(K704+K705)</f>
        <v>#VALUE!</v>
      </c>
      <c r="L706" s="1164" t="e">
        <f aca="false">(L703+L704)/(L704+L705)</f>
        <v>#VALUE!</v>
      </c>
      <c r="M706" s="1164" t="e">
        <f aca="false">(M703+M704)/(M704+M705)</f>
        <v>#VALUE!</v>
      </c>
      <c r="N706" s="1164" t="e">
        <f aca="false">(N703+N704)/(N704+N705)</f>
        <v>#VALUE!</v>
      </c>
      <c r="O706" s="1164" t="e">
        <f aca="false">(O703+O704)/(O704+O705)</f>
        <v>#VALUE!</v>
      </c>
      <c r="P706" s="1164" t="e">
        <f aca="false">(P703+P704)/(P704+P705)</f>
        <v>#VALUE!</v>
      </c>
      <c r="Q706" s="1164" t="e">
        <f aca="false">(Q703+Q704)/(Q704+Q705)</f>
        <v>#VALUE!</v>
      </c>
      <c r="R706" s="1164" t="e">
        <f aca="false">(R703+R704)/(R704+R705)</f>
        <v>#VALUE!</v>
      </c>
      <c r="S706" s="1164" t="e">
        <f aca="false">(S703+S704)/(S704+S705)</f>
        <v>#VALUE!</v>
      </c>
      <c r="T706" s="1164" t="e">
        <f aca="false">(T703+T704)/(T704+T705)</f>
        <v>#VALUE!</v>
      </c>
      <c r="U706" s="1164" t="e">
        <f aca="false">(U703+U704)/(U704+U705)</f>
        <v>#VALUE!</v>
      </c>
      <c r="V706" s="1164" t="e">
        <f aca="false">(V703+V704)/(V704+V705)</f>
        <v>#VALUE!</v>
      </c>
      <c r="W706" s="1164" t="e">
        <f aca="false">(W703+W704)/(W704+W705)</f>
        <v>#VALUE!</v>
      </c>
      <c r="X706" s="1164" t="e">
        <f aca="false">(X703+X704)/(X704+X705)</f>
        <v>#VALUE!</v>
      </c>
      <c r="Y706" s="1164" t="e">
        <f aca="false">(Y703+Y704)/(Y704+Y705)</f>
        <v>#VALUE!</v>
      </c>
      <c r="Z706" s="1164" t="e">
        <f aca="false">(Z703+Z704)/(Z704+Z705)</f>
        <v>#VALUE!</v>
      </c>
      <c r="AA706" s="1164" t="e">
        <f aca="false">(AA703+AA704)/(AA704+AA705)</f>
        <v>#VALUE!</v>
      </c>
      <c r="AB706" s="1164" t="e">
        <f aca="false">(AB703+AB704)/(AB704+AB705)</f>
        <v>#VALUE!</v>
      </c>
      <c r="AC706" s="1164" t="e">
        <f aca="false">(AC703+AC704)/(AC704+AC705)</f>
        <v>#VALUE!</v>
      </c>
      <c r="AD706" s="807"/>
      <c r="AE706" s="807"/>
      <c r="AF706" s="807"/>
      <c r="AG706" s="751"/>
    </row>
    <row r="707" customFormat="false" ht="11.25" hidden="false" customHeight="false" outlineLevel="0" collapsed="false">
      <c r="A707" s="1155" t="s">
        <v>1002</v>
      </c>
      <c r="B707" s="469"/>
      <c r="C707" s="469"/>
      <c r="D707" s="469"/>
      <c r="E707" s="1165"/>
      <c r="F707" s="1156"/>
      <c r="G707" s="1163" t="s">
        <v>1003</v>
      </c>
      <c r="H707" s="807"/>
      <c r="I707" s="1166" t="e">
        <f aca="false">XIRR($H697:I697,$H680:I680,0.15)</f>
        <v>#VALUE!</v>
      </c>
      <c r="J707" s="1166" t="e">
        <f aca="false">XIRR($H697:J697,$H680:J680,0.15)</f>
        <v>#VALUE!</v>
      </c>
      <c r="K707" s="1166" t="e">
        <f aca="false">XIRR($H697:K697,$H680:K680,0.15)</f>
        <v>#VALUE!</v>
      </c>
      <c r="L707" s="1166" t="e">
        <f aca="false">XIRR($H697:L697,$H680:L680,0.15)</f>
        <v>#VALUE!</v>
      </c>
      <c r="M707" s="1166" t="e">
        <f aca="false">XIRR($H697:M697,$H680:M680,0.15)</f>
        <v>#VALUE!</v>
      </c>
      <c r="N707" s="1166" t="e">
        <f aca="false">XIRR($H697:N697,$H680:N680,0.15)</f>
        <v>#VALUE!</v>
      </c>
      <c r="O707" s="1166" t="e">
        <f aca="false">XIRR($H697:O697,$H680:O680,0.15)</f>
        <v>#VALUE!</v>
      </c>
      <c r="P707" s="1166" t="e">
        <f aca="false">XIRR($H697:P697,$H680:P680,0.15)</f>
        <v>#VALUE!</v>
      </c>
      <c r="Q707" s="1166" t="e">
        <f aca="false">XIRR($H697:Q697,$H680:Q680,0.15)</f>
        <v>#VALUE!</v>
      </c>
      <c r="R707" s="1166" t="e">
        <f aca="false">XIRR($H697:R697,$H680:R680,0.15)</f>
        <v>#VALUE!</v>
      </c>
      <c r="S707" s="1166" t="e">
        <f aca="false">XIRR($H697:S697,$H680:S680,0.15)</f>
        <v>#VALUE!</v>
      </c>
      <c r="T707" s="1166" t="e">
        <f aca="false">XIRR($H697:T697,$H680:T680,0.15)</f>
        <v>#VALUE!</v>
      </c>
      <c r="U707" s="1166" t="e">
        <f aca="false">XIRR($H697:U697,$H680:U680,0.15)</f>
        <v>#VALUE!</v>
      </c>
      <c r="V707" s="1166" t="e">
        <f aca="false">XIRR($H697:V697,$H680:V680,0.15)</f>
        <v>#VALUE!</v>
      </c>
      <c r="W707" s="1166" t="e">
        <f aca="false">XIRR($H697:W697,$H680:W680,0.15)</f>
        <v>#VALUE!</v>
      </c>
      <c r="X707" s="1166" t="e">
        <f aca="false">XIRR($H697:X697,$H680:X680,0.15)</f>
        <v>#VALUE!</v>
      </c>
      <c r="Y707" s="1166" t="e">
        <f aca="false">XIRR($H697:Y697,$H680:Y680,0.15)</f>
        <v>#VALUE!</v>
      </c>
      <c r="Z707" s="1166" t="e">
        <f aca="false">XIRR($H697:Z697,$H680:Z680,0.15)</f>
        <v>#VALUE!</v>
      </c>
      <c r="AA707" s="1166" t="e">
        <f aca="false">XIRR($H697:AA697,$H680:AA680,0.15)</f>
        <v>#VALUE!</v>
      </c>
      <c r="AB707" s="1166" t="e">
        <f aca="false">XIRR($H697:AB697,$H680:AB680,0.15)</f>
        <v>#VALUE!</v>
      </c>
      <c r="AC707" s="1166" t="e">
        <f aca="false">XIRR($H697:AC697,$H680:AC680,0.15)</f>
        <v>#VALUE!</v>
      </c>
      <c r="AD707" s="807"/>
      <c r="AE707" s="807"/>
      <c r="AF707" s="807"/>
      <c r="AG707" s="751"/>
    </row>
    <row r="708" customFormat="false" ht="11.25" hidden="false" customHeight="false" outlineLevel="0" collapsed="false">
      <c r="A708" s="1167" t="s">
        <v>1004</v>
      </c>
      <c r="B708" s="1168"/>
      <c r="C708" s="1168"/>
      <c r="D708" s="1168"/>
      <c r="E708" s="1169" t="e">
        <f aca="false">3*HLOOKUP(Assumptions!$C$18,Template!$I$283:$AF$290,8)</f>
        <v>#VALUE!</v>
      </c>
      <c r="F708" s="1156"/>
      <c r="G708" s="1163"/>
      <c r="H708" s="807"/>
      <c r="I708" s="347"/>
      <c r="J708" s="475"/>
      <c r="K708" s="475"/>
      <c r="L708" s="475"/>
      <c r="M708" s="475"/>
      <c r="N708" s="475"/>
      <c r="O708" s="475"/>
      <c r="P708" s="475"/>
      <c r="Q708" s="475"/>
      <c r="R708" s="475"/>
      <c r="S708" s="475"/>
      <c r="T708" s="807"/>
      <c r="U708" s="807"/>
      <c r="V708" s="807"/>
      <c r="W708" s="807"/>
      <c r="X708" s="807"/>
      <c r="Y708" s="807"/>
      <c r="Z708" s="807"/>
      <c r="AA708" s="807"/>
      <c r="AB708" s="807"/>
      <c r="AC708" s="807"/>
      <c r="AD708" s="807"/>
      <c r="AE708" s="807"/>
      <c r="AF708" s="807"/>
      <c r="AG708" s="751"/>
    </row>
    <row r="709" customFormat="false" ht="11.25" hidden="false" customHeight="false" outlineLevel="0" collapsed="false">
      <c r="A709" s="1170" t="s">
        <v>1005</v>
      </c>
      <c r="B709" s="854"/>
      <c r="C709" s="854"/>
      <c r="D709" s="854"/>
      <c r="E709" s="1171" t="e">
        <f aca="false">+$N$51-SUM($I$93:INDEX($I$61:$AF$93,33,MATCH(YEAR(Assumptions!$C$18),Template!$I$61:$AF$61)))</f>
        <v>#N/A</v>
      </c>
      <c r="F709" s="1156"/>
      <c r="G709" s="807"/>
      <c r="H709" s="807"/>
      <c r="I709" s="807"/>
      <c r="J709" s="807"/>
      <c r="K709" s="807"/>
      <c r="L709" s="807"/>
      <c r="M709" s="807"/>
      <c r="N709" s="807"/>
      <c r="O709" s="807"/>
      <c r="P709" s="807"/>
      <c r="Q709" s="807"/>
      <c r="R709" s="807"/>
      <c r="S709" s="807"/>
      <c r="T709" s="807"/>
      <c r="U709" s="807"/>
      <c r="V709" s="807"/>
      <c r="W709" s="807"/>
      <c r="X709" s="807"/>
      <c r="Y709" s="807"/>
      <c r="Z709" s="807"/>
      <c r="AA709" s="807"/>
      <c r="AB709" s="807"/>
      <c r="AC709" s="807"/>
      <c r="AD709" s="807"/>
      <c r="AE709" s="807"/>
      <c r="AF709" s="807"/>
      <c r="AG709" s="751"/>
    </row>
    <row r="710" customFormat="false" ht="11.25" hidden="false" customHeight="false" outlineLevel="0" collapsed="false">
      <c r="A710" s="1172" t="s">
        <v>1006</v>
      </c>
      <c r="B710" s="807"/>
      <c r="C710" s="807"/>
      <c r="D710" s="807"/>
      <c r="E710" s="1173" t="e">
        <f aca="false">+E708-(MAX((E708-E709)*Assumptions!$C$23,0))</f>
        <v>#N/A</v>
      </c>
      <c r="F710" s="1156"/>
      <c r="G710" s="1163"/>
      <c r="H710" s="807"/>
      <c r="I710" s="807"/>
      <c r="J710" s="1174"/>
      <c r="K710" s="1174"/>
      <c r="L710" s="1174"/>
      <c r="M710" s="1174"/>
      <c r="N710" s="1174"/>
      <c r="O710" s="1174"/>
      <c r="P710" s="1174"/>
      <c r="Q710" s="1174"/>
      <c r="R710" s="1174"/>
      <c r="S710" s="1174"/>
      <c r="T710" s="807"/>
      <c r="U710" s="807"/>
      <c r="V710" s="807"/>
      <c r="W710" s="807"/>
      <c r="X710" s="807"/>
      <c r="Y710" s="807"/>
      <c r="Z710" s="807"/>
      <c r="AA710" s="807"/>
      <c r="AB710" s="807"/>
      <c r="AC710" s="807"/>
      <c r="AD710" s="807"/>
      <c r="AE710" s="807"/>
      <c r="AF710" s="807"/>
      <c r="AG710" s="751"/>
    </row>
    <row r="711" customFormat="false" ht="11.25" hidden="false" customHeight="false" outlineLevel="0" collapsed="false">
      <c r="A711" s="1175" t="s">
        <v>1007</v>
      </c>
      <c r="B711" s="1176"/>
      <c r="C711" s="1176"/>
      <c r="D711" s="1176"/>
      <c r="E711" s="1173" t="e">
        <f aca="false">HLOOKUP(Assumptions!$C$18,Template!$J$538:$AF$546,9)</f>
        <v>#VALUE!</v>
      </c>
      <c r="F711" s="1156"/>
      <c r="G711" s="1163"/>
      <c r="H711" s="347"/>
      <c r="I711" s="347"/>
      <c r="J711" s="1119"/>
      <c r="K711" s="1119"/>
      <c r="L711" s="1119"/>
      <c r="M711" s="1119"/>
      <c r="N711" s="1119"/>
      <c r="O711" s="1119"/>
      <c r="P711" s="1119"/>
      <c r="Q711" s="1119"/>
      <c r="R711" s="1119"/>
      <c r="S711" s="1119"/>
      <c r="T711" s="807"/>
      <c r="U711" s="807"/>
      <c r="V711" s="807"/>
      <c r="W711" s="807"/>
      <c r="X711" s="807"/>
      <c r="Y711" s="807"/>
      <c r="Z711" s="807"/>
      <c r="AA711" s="807"/>
      <c r="AB711" s="807"/>
      <c r="AC711" s="807"/>
      <c r="AD711" s="807"/>
      <c r="AE711" s="807"/>
      <c r="AF711" s="807"/>
      <c r="AG711" s="751"/>
    </row>
    <row r="712" customFormat="false" ht="11.25" hidden="false" customHeight="false" outlineLevel="0" collapsed="false">
      <c r="A712" s="1175" t="s">
        <v>1008</v>
      </c>
      <c r="B712" s="1176"/>
      <c r="C712" s="1176"/>
      <c r="D712" s="1176"/>
      <c r="E712" s="1173" t="e">
        <f aca="false">HLOOKUP(Assumptions!$C$18,Template!$I$367:$AF$384,18)</f>
        <v>#VALUE!</v>
      </c>
      <c r="F712" s="1156"/>
      <c r="G712" s="807"/>
      <c r="H712" s="807"/>
      <c r="I712" s="807"/>
      <c r="J712" s="807"/>
      <c r="K712" s="807"/>
      <c r="L712" s="807"/>
      <c r="M712" s="807"/>
      <c r="N712" s="807"/>
      <c r="O712" s="807"/>
      <c r="P712" s="807"/>
      <c r="Q712" s="807"/>
      <c r="R712" s="807"/>
      <c r="S712" s="807"/>
      <c r="T712" s="807"/>
      <c r="U712" s="807"/>
      <c r="V712" s="807"/>
      <c r="W712" s="807"/>
      <c r="X712" s="807"/>
      <c r="Y712" s="807"/>
      <c r="Z712" s="807"/>
      <c r="AA712" s="807"/>
      <c r="AB712" s="807"/>
      <c r="AC712" s="807"/>
      <c r="AD712" s="807"/>
      <c r="AE712" s="807"/>
      <c r="AF712" s="807"/>
      <c r="AG712" s="751"/>
    </row>
    <row r="713" customFormat="false" ht="11.25" hidden="false" customHeight="false" outlineLevel="0" collapsed="false">
      <c r="A713" s="1175" t="s">
        <v>1009</v>
      </c>
      <c r="B713" s="1176"/>
      <c r="C713" s="1176"/>
      <c r="D713" s="1176"/>
      <c r="E713" s="1173" t="e">
        <f aca="false">-HLOOKUP(Assumptions!$C$18,Template!$I$367:$AF$395,25)-HLOOKUP(Assumptions!$C$18,Template!$I$367:$AF$395,26)-HLOOKUP(Assumptions!$C$18,Template!$I$367:$AF$395,29)</f>
        <v>#VALUE!</v>
      </c>
      <c r="F713" s="1156"/>
      <c r="G713" s="807"/>
      <c r="H713" s="807"/>
      <c r="I713" s="807"/>
      <c r="J713" s="807"/>
      <c r="K713" s="807"/>
      <c r="L713" s="807"/>
      <c r="M713" s="807"/>
      <c r="N713" s="807"/>
      <c r="O713" s="807"/>
      <c r="P713" s="807"/>
      <c r="Q713" s="807"/>
      <c r="R713" s="807"/>
      <c r="S713" s="807"/>
      <c r="T713" s="807"/>
      <c r="U713" s="807"/>
      <c r="V713" s="807"/>
      <c r="W713" s="807"/>
      <c r="X713" s="807"/>
      <c r="Y713" s="807"/>
      <c r="Z713" s="807"/>
      <c r="AA713" s="807"/>
      <c r="AB713" s="807"/>
      <c r="AC713" s="807"/>
      <c r="AD713" s="807"/>
      <c r="AE713" s="807"/>
      <c r="AF713" s="807"/>
      <c r="AG713" s="751"/>
    </row>
    <row r="714" customFormat="false" ht="11.25" hidden="false" customHeight="false" outlineLevel="0" collapsed="false">
      <c r="A714" s="1158"/>
      <c r="B714" s="469"/>
      <c r="C714" s="469"/>
      <c r="D714" s="469"/>
      <c r="E714" s="1177"/>
      <c r="F714" s="1156"/>
      <c r="AG714" s="751"/>
    </row>
    <row r="715" customFormat="false" ht="12" hidden="false" customHeight="false" outlineLevel="0" collapsed="false">
      <c r="A715" s="1178" t="s">
        <v>297</v>
      </c>
      <c r="B715" s="1011"/>
      <c r="C715" s="1011"/>
      <c r="D715" s="1011"/>
      <c r="E715" s="1179" t="e">
        <f aca="false">MAX(0,+SUM(E710:E713))</f>
        <v>#N/A</v>
      </c>
      <c r="F715" s="1156"/>
      <c r="AG715" s="751"/>
    </row>
    <row r="716" customFormat="false" ht="12" hidden="false" customHeight="false" outlineLevel="0" collapsed="false">
      <c r="A716" s="1180" t="str">
        <f aca="false">"VALUATION as of "&amp;TEXT(H680,"m/d/y")</f>
        <v>VALUATION as of 6/30/y</v>
      </c>
      <c r="B716" s="469"/>
      <c r="C716" s="469"/>
      <c r="D716" s="469"/>
      <c r="E716" s="469"/>
      <c r="F716" s="1156"/>
      <c r="AG716" s="751"/>
    </row>
    <row r="717" customFormat="false" ht="11.25" hidden="false" customHeight="false" outlineLevel="0" collapsed="false">
      <c r="A717" s="1158" t="s">
        <v>1010</v>
      </c>
      <c r="B717" s="469"/>
      <c r="C717" s="469"/>
      <c r="D717" s="469"/>
      <c r="E717" s="469" t="e">
        <f aca="false">XNPV(E705,$H$697:INDEX($I$680:$AF$697,18,MATCH(Assumptions!$C$18,$H$680:$AF$680)),H$680:INDEX($I$680:$AF$680,1,MATCH(Assumptions!$C$18,$H$680:$AF$680)))</f>
        <v>#VALUE!</v>
      </c>
      <c r="F717" s="1156"/>
      <c r="AG717" s="751"/>
    </row>
    <row r="718" customFormat="false" ht="11.25" hidden="false" customHeight="false" outlineLevel="0" collapsed="false">
      <c r="A718" s="1181" t="s">
        <v>1011</v>
      </c>
      <c r="B718" s="469"/>
      <c r="C718" s="469"/>
      <c r="D718" s="469"/>
      <c r="E718" s="469" t="e">
        <f aca="false">+E715/(1+E705)^((Assumptions!$C$18-TDATE)/365)</f>
        <v>#N/A</v>
      </c>
      <c r="F718" s="1156"/>
      <c r="AG718" s="751"/>
    </row>
    <row r="719" customFormat="false" ht="11.25" hidden="false" customHeight="false" outlineLevel="0" collapsed="false">
      <c r="A719" s="1158" t="s">
        <v>1012</v>
      </c>
      <c r="B719" s="469"/>
      <c r="C719" s="469"/>
      <c r="D719" s="469"/>
      <c r="E719" s="469" t="n">
        <f aca="false">Q$850</f>
        <v>0.155</v>
      </c>
      <c r="F719" s="1156"/>
      <c r="AG719" s="751"/>
    </row>
    <row r="720" customFormat="false" ht="11.25" hidden="false" customHeight="false" outlineLevel="0" collapsed="false">
      <c r="A720" s="1175" t="s">
        <v>1013</v>
      </c>
      <c r="B720" s="1176"/>
      <c r="C720" s="1176"/>
      <c r="D720" s="1176"/>
      <c r="E720" s="1182" t="e">
        <f aca="false">SUM(E717:E719)</f>
        <v>#VALUE!</v>
      </c>
      <c r="F720" s="1156"/>
      <c r="AG720" s="751"/>
    </row>
    <row r="721" customFormat="false" ht="12" hidden="false" customHeight="false" outlineLevel="0" collapsed="false">
      <c r="A721" s="1183" t="s">
        <v>310</v>
      </c>
      <c r="B721" s="1184"/>
      <c r="C721" s="1184"/>
      <c r="D721" s="1184"/>
      <c r="E721" s="1185" t="e">
        <f aca="false">HLOOKUP(Assumptions!$C$18,Template!$I$702:$AC$707,6)</f>
        <v>#VALUE!</v>
      </c>
      <c r="F721" s="1186"/>
      <c r="AG721" s="751"/>
    </row>
    <row r="722" customFormat="false" ht="11.25" hidden="false" customHeight="false" outlineLevel="0" collapsed="false">
      <c r="T722" s="751"/>
      <c r="U722" s="751"/>
      <c r="V722" s="751"/>
      <c r="W722" s="751"/>
      <c r="X722" s="751"/>
      <c r="Y722" s="751"/>
      <c r="Z722" s="751"/>
      <c r="AA722" s="751"/>
      <c r="AB722" s="751"/>
      <c r="AC722" s="751"/>
      <c r="AD722" s="751"/>
      <c r="AE722" s="751"/>
      <c r="AF722" s="751"/>
      <c r="AG722" s="751"/>
    </row>
    <row r="723" customFormat="false" ht="12" hidden="false" customHeight="false" outlineLevel="1" collapsed="false">
      <c r="A723" s="346"/>
      <c r="B723" s="346"/>
      <c r="C723" s="346"/>
      <c r="D723" s="346"/>
      <c r="E723" s="346"/>
      <c r="F723" s="346"/>
      <c r="G723" s="346"/>
      <c r="H723" s="346"/>
      <c r="I723" s="346"/>
      <c r="J723" s="346"/>
      <c r="K723" s="346"/>
      <c r="L723" s="346"/>
      <c r="M723" s="346"/>
      <c r="N723" s="346"/>
      <c r="O723" s="346"/>
      <c r="P723" s="346"/>
      <c r="Q723" s="346"/>
      <c r="R723" s="346"/>
      <c r="S723" s="346"/>
      <c r="T723" s="751"/>
      <c r="U723" s="751"/>
      <c r="V723" s="751"/>
      <c r="W723" s="751"/>
      <c r="X723" s="751"/>
      <c r="Y723" s="751"/>
      <c r="Z723" s="751"/>
      <c r="AA723" s="751"/>
      <c r="AB723" s="751"/>
      <c r="AC723" s="751"/>
      <c r="AD723" s="751"/>
      <c r="AE723" s="751"/>
      <c r="AF723" s="751"/>
      <c r="AG723" s="751"/>
    </row>
    <row r="724" customFormat="false" ht="12" hidden="false" customHeight="false" outlineLevel="1" collapsed="false">
      <c r="A724" s="1187"/>
      <c r="B724" s="1187"/>
      <c r="C724" s="1187"/>
      <c r="D724" s="1187"/>
      <c r="E724" s="1187"/>
      <c r="F724" s="1187"/>
      <c r="G724" s="1187"/>
      <c r="H724" s="1187"/>
      <c r="I724" s="1187"/>
      <c r="J724" s="1187"/>
      <c r="K724" s="1187"/>
      <c r="L724" s="1187"/>
      <c r="M724" s="1187"/>
      <c r="N724" s="1187"/>
      <c r="O724" s="1187"/>
      <c r="P724" s="1187"/>
      <c r="Q724" s="1187"/>
      <c r="R724" s="1187"/>
      <c r="S724" s="1187"/>
      <c r="T724" s="1188"/>
      <c r="U724" s="1188"/>
      <c r="V724" s="1188"/>
      <c r="W724" s="1188"/>
      <c r="X724" s="1188"/>
      <c r="Y724" s="1188"/>
      <c r="Z724" s="1188"/>
      <c r="AA724" s="1188"/>
      <c r="AB724" s="1188"/>
      <c r="AC724" s="1188"/>
      <c r="AD724" s="1188"/>
      <c r="AE724" s="1188"/>
      <c r="AF724" s="1188"/>
      <c r="AG724" s="751"/>
    </row>
    <row r="725" customFormat="false" ht="11.25" hidden="false" customHeight="false" outlineLevel="1" collapsed="false">
      <c r="A725" s="1189" t="s">
        <v>1014</v>
      </c>
      <c r="B725" s="1190"/>
      <c r="C725" s="1190"/>
      <c r="D725" s="1190"/>
      <c r="E725" s="1190"/>
      <c r="F725" s="1190"/>
      <c r="G725" s="1190"/>
      <c r="H725" s="1190"/>
      <c r="I725" s="1190"/>
      <c r="J725" s="1190"/>
      <c r="K725" s="1190"/>
      <c r="L725" s="1190"/>
      <c r="M725" s="1190"/>
      <c r="N725" s="1190"/>
      <c r="O725" s="1190"/>
      <c r="P725" s="1190"/>
      <c r="Q725" s="1190"/>
      <c r="R725" s="1190"/>
      <c r="S725" s="1190"/>
      <c r="T725" s="1191"/>
      <c r="U725" s="1191"/>
      <c r="V725" s="1191"/>
      <c r="W725" s="1191"/>
      <c r="X725" s="1191"/>
      <c r="Y725" s="1191"/>
      <c r="Z725" s="1191"/>
      <c r="AA725" s="1191"/>
      <c r="AB725" s="1191"/>
      <c r="AC725" s="1191"/>
      <c r="AD725" s="1191"/>
      <c r="AE725" s="1191"/>
      <c r="AF725" s="1191"/>
      <c r="AG725" s="751"/>
    </row>
    <row r="726" customFormat="false" ht="11.25" hidden="false" customHeight="false" outlineLevel="1" collapsed="false">
      <c r="A726" s="1190"/>
      <c r="B726" s="1192" t="str">
        <f aca="false">+Template!B265</f>
        <v>Revenues (excluding deferred PP revenue)</v>
      </c>
      <c r="C726" s="1192"/>
      <c r="D726" s="1192"/>
      <c r="E726" s="1192" t="n">
        <f aca="false">+Template!E265</f>
        <v>0</v>
      </c>
      <c r="F726" s="1192" t="n">
        <f aca="false">+Template!F265</f>
        <v>0</v>
      </c>
      <c r="G726" s="1192" t="n">
        <f aca="false">+Template!G265</f>
        <v>0</v>
      </c>
      <c r="H726" s="1192" t="n">
        <f aca="false">+Template!H265</f>
        <v>0</v>
      </c>
      <c r="I726" s="1192" t="e">
        <f aca="false">+Template!I265</f>
        <v>#VALUE!</v>
      </c>
      <c r="J726" s="1192" t="e">
        <f aca="false">+Template!J265</f>
        <v>#VALUE!</v>
      </c>
      <c r="K726" s="1192" t="e">
        <f aca="false">+Template!K265</f>
        <v>#VALUE!</v>
      </c>
      <c r="L726" s="1192" t="e">
        <f aca="false">+Template!L265</f>
        <v>#VALUE!</v>
      </c>
      <c r="M726" s="1192" t="e">
        <f aca="false">+Template!M265</f>
        <v>#VALUE!</v>
      </c>
      <c r="N726" s="1192" t="e">
        <f aca="false">+Template!N265</f>
        <v>#VALUE!</v>
      </c>
      <c r="O726" s="1192" t="e">
        <f aca="false">+Template!O265</f>
        <v>#VALUE!</v>
      </c>
      <c r="P726" s="1192" t="e">
        <f aca="false">+Template!P265</f>
        <v>#VALUE!</v>
      </c>
      <c r="Q726" s="1192" t="e">
        <f aca="false">+Template!Q265</f>
        <v>#VALUE!</v>
      </c>
      <c r="R726" s="1192" t="e">
        <f aca="false">+Template!R265</f>
        <v>#VALUE!</v>
      </c>
      <c r="S726" s="1192" t="e">
        <f aca="false">+Template!S265</f>
        <v>#VALUE!</v>
      </c>
      <c r="T726" s="1192" t="e">
        <f aca="false">+Template!T265</f>
        <v>#VALUE!</v>
      </c>
      <c r="U726" s="1192" t="e">
        <f aca="false">+Template!U265</f>
        <v>#VALUE!</v>
      </c>
      <c r="V726" s="1192" t="e">
        <f aca="false">+Template!V265</f>
        <v>#VALUE!</v>
      </c>
      <c r="W726" s="1192" t="e">
        <f aca="false">+Template!W265</f>
        <v>#VALUE!</v>
      </c>
      <c r="X726" s="1192" t="e">
        <f aca="false">+Template!X265</f>
        <v>#VALUE!</v>
      </c>
      <c r="Y726" s="1192" t="e">
        <f aca="false">+Template!Y265</f>
        <v>#VALUE!</v>
      </c>
      <c r="Z726" s="1192" t="e">
        <f aca="false">+Template!Z265</f>
        <v>#VALUE!</v>
      </c>
      <c r="AA726" s="1192" t="e">
        <f aca="false">+Template!AA265</f>
        <v>#VALUE!</v>
      </c>
      <c r="AB726" s="1192" t="e">
        <f aca="false">+Template!AB265</f>
        <v>#VALUE!</v>
      </c>
      <c r="AC726" s="1192" t="e">
        <f aca="false">+Template!AC265</f>
        <v>#VALUE!</v>
      </c>
      <c r="AD726" s="1192" t="n">
        <f aca="false">+Template!AD265</f>
        <v>0</v>
      </c>
      <c r="AE726" s="1192" t="n">
        <f aca="false">+Template!AE265</f>
        <v>0</v>
      </c>
      <c r="AF726" s="1192" t="n">
        <f aca="false">+Template!AF265</f>
        <v>0</v>
      </c>
      <c r="AG726" s="751"/>
    </row>
    <row r="727" customFormat="false" ht="11.25" hidden="false" customHeight="false" outlineLevel="1" collapsed="false">
      <c r="A727" s="1190"/>
      <c r="B727" s="1192" t="str">
        <f aca="false">+Template!B266</f>
        <v>Cost of Sales</v>
      </c>
      <c r="C727" s="1192"/>
      <c r="D727" s="1192"/>
      <c r="E727" s="1192" t="n">
        <f aca="false">+Template!E266</f>
        <v>0</v>
      </c>
      <c r="F727" s="1192" t="n">
        <f aca="false">+Template!F266</f>
        <v>0</v>
      </c>
      <c r="G727" s="1192" t="n">
        <f aca="false">+Template!G266</f>
        <v>0</v>
      </c>
      <c r="H727" s="1192" t="n">
        <f aca="false">+Template!H266</f>
        <v>0</v>
      </c>
      <c r="I727" s="1192" t="e">
        <f aca="false">+Template!I266</f>
        <v>#VALUE!</v>
      </c>
      <c r="J727" s="1192" t="e">
        <f aca="false">+Template!J266</f>
        <v>#VALUE!</v>
      </c>
      <c r="K727" s="1192" t="e">
        <f aca="false">+Template!K266</f>
        <v>#VALUE!</v>
      </c>
      <c r="L727" s="1192" t="e">
        <f aca="false">+Template!L266</f>
        <v>#VALUE!</v>
      </c>
      <c r="M727" s="1192" t="e">
        <f aca="false">+Template!M266</f>
        <v>#VALUE!</v>
      </c>
      <c r="N727" s="1192" t="e">
        <f aca="false">+Template!N266</f>
        <v>#VALUE!</v>
      </c>
      <c r="O727" s="1192" t="e">
        <f aca="false">+Template!O266</f>
        <v>#VALUE!</v>
      </c>
      <c r="P727" s="1192" t="e">
        <f aca="false">+Template!P266</f>
        <v>#VALUE!</v>
      </c>
      <c r="Q727" s="1192" t="e">
        <f aca="false">+Template!Q266</f>
        <v>#VALUE!</v>
      </c>
      <c r="R727" s="1192" t="e">
        <f aca="false">+Template!R266</f>
        <v>#VALUE!</v>
      </c>
      <c r="S727" s="1192" t="e">
        <f aca="false">+Template!S266</f>
        <v>#VALUE!</v>
      </c>
      <c r="T727" s="1192" t="e">
        <f aca="false">+Template!T266</f>
        <v>#VALUE!</v>
      </c>
      <c r="U727" s="1192" t="e">
        <f aca="false">+Template!U266</f>
        <v>#VALUE!</v>
      </c>
      <c r="V727" s="1192" t="e">
        <f aca="false">+Template!V266</f>
        <v>#VALUE!</v>
      </c>
      <c r="W727" s="1192" t="e">
        <f aca="false">+Template!W266</f>
        <v>#VALUE!</v>
      </c>
      <c r="X727" s="1192" t="e">
        <f aca="false">+Template!X266</f>
        <v>#VALUE!</v>
      </c>
      <c r="Y727" s="1192" t="e">
        <f aca="false">+Template!Y266</f>
        <v>#VALUE!</v>
      </c>
      <c r="Z727" s="1192" t="e">
        <f aca="false">+Template!Z266</f>
        <v>#VALUE!</v>
      </c>
      <c r="AA727" s="1192" t="e">
        <f aca="false">+Template!AA266</f>
        <v>#VALUE!</v>
      </c>
      <c r="AB727" s="1192" t="e">
        <f aca="false">+Template!AB266</f>
        <v>#VALUE!</v>
      </c>
      <c r="AC727" s="1192" t="e">
        <f aca="false">+Template!AC266</f>
        <v>#VALUE!</v>
      </c>
      <c r="AD727" s="1192" t="n">
        <f aca="false">+Template!AD266</f>
        <v>0</v>
      </c>
      <c r="AE727" s="1192" t="n">
        <f aca="false">+Template!AE266</f>
        <v>0</v>
      </c>
      <c r="AF727" s="1192" t="n">
        <f aca="false">+Template!AF266</f>
        <v>0</v>
      </c>
      <c r="AG727" s="751"/>
    </row>
    <row r="728" customFormat="false" ht="11.25" hidden="false" customHeight="false" outlineLevel="1" collapsed="false">
      <c r="A728" s="1190"/>
      <c r="B728" s="1192" t="str">
        <f aca="false">+Template!B267</f>
        <v>Cash Expenses</v>
      </c>
      <c r="C728" s="1192"/>
      <c r="D728" s="1192"/>
      <c r="E728" s="1192" t="n">
        <f aca="false">+Template!E267</f>
        <v>0</v>
      </c>
      <c r="F728" s="1192" t="n">
        <f aca="false">+Template!F267</f>
        <v>0</v>
      </c>
      <c r="G728" s="1192" t="n">
        <f aca="false">+Template!G267</f>
        <v>0</v>
      </c>
      <c r="H728" s="1192" t="n">
        <f aca="false">+Template!H267</f>
        <v>0</v>
      </c>
      <c r="I728" s="1192" t="n">
        <f aca="false">+Template!I267</f>
        <v>9305.99326906391</v>
      </c>
      <c r="J728" s="1192" t="n">
        <f aca="false">+Template!J267</f>
        <v>18862.6779146645</v>
      </c>
      <c r="K728" s="1192" t="n">
        <f aca="false">+Template!K267</f>
        <v>19403.4171490143</v>
      </c>
      <c r="L728" s="1192" t="n">
        <f aca="false">+Template!L267</f>
        <v>19835.4662415387</v>
      </c>
      <c r="M728" s="1192" t="n">
        <f aca="false">+Template!M267</f>
        <v>20204.2320789554</v>
      </c>
      <c r="N728" s="1192" t="n">
        <f aca="false">+Template!N267</f>
        <v>20518.5430337169</v>
      </c>
      <c r="O728" s="1192" t="n">
        <f aca="false">+Template!O267</f>
        <v>20862.9674337185</v>
      </c>
      <c r="P728" s="1192" t="n">
        <f aca="false">+Template!P267</f>
        <v>21462.1040533718</v>
      </c>
      <c r="Q728" s="1192" t="n">
        <f aca="false">+Template!Q267</f>
        <v>21843.6587578208</v>
      </c>
      <c r="R728" s="1192" t="n">
        <f aca="false">+Template!R267</f>
        <v>22272.5664122051</v>
      </c>
      <c r="S728" s="1192" t="n">
        <f aca="false">+Template!S267</f>
        <v>22717.3566686098</v>
      </c>
      <c r="T728" s="1192" t="n">
        <f aca="false">+Template!T267</f>
        <v>23057.759418867</v>
      </c>
      <c r="U728" s="1192" t="n">
        <f aca="false">+Template!U267</f>
        <v>23567.4900487882</v>
      </c>
      <c r="V728" s="1192" t="n">
        <f aca="false">+Template!V267</f>
        <v>23912.1900633265</v>
      </c>
      <c r="W728" s="1192" t="n">
        <f aca="false">+Template!W267</f>
        <v>24346.4846265723</v>
      </c>
      <c r="X728" s="1192" t="n">
        <f aca="false">+Template!X267</f>
        <v>24785.7746914709</v>
      </c>
      <c r="Y728" s="1192" t="n">
        <f aca="false">+Template!Y267</f>
        <v>25279.5451114648</v>
      </c>
      <c r="Z728" s="1192" t="n">
        <f aca="false">+Template!Z267</f>
        <v>25725.313614769</v>
      </c>
      <c r="AA728" s="1192" t="n">
        <f aca="false">+Template!AA267</f>
        <v>26202.0343891797</v>
      </c>
      <c r="AB728" s="1192" t="n">
        <f aca="false">+Template!AB267</f>
        <v>26561.9870410172</v>
      </c>
      <c r="AC728" s="1192" t="n">
        <f aca="false">+Template!AC267</f>
        <v>26207.7758743279</v>
      </c>
      <c r="AD728" s="1192" t="n">
        <f aca="false">+Template!AD267</f>
        <v>26501.9161637099</v>
      </c>
      <c r="AE728" s="1192" t="n">
        <f aca="false">+Template!AE267</f>
        <v>27031.9544869841</v>
      </c>
      <c r="AF728" s="1192" t="n">
        <f aca="false">+Template!AF267</f>
        <v>27572.5935767238</v>
      </c>
      <c r="AG728" s="751"/>
    </row>
    <row r="729" customFormat="false" ht="11.25" hidden="false" customHeight="false" outlineLevel="1" collapsed="false">
      <c r="A729" s="1193"/>
      <c r="B729" s="1192" t="str">
        <f aca="false">+Template!B268</f>
        <v>Capital Expenditures - Total</v>
      </c>
      <c r="C729" s="1192"/>
      <c r="D729" s="1192"/>
      <c r="E729" s="1192" t="n">
        <f aca="false">+Template!E268</f>
        <v>0</v>
      </c>
      <c r="F729" s="1192" t="n">
        <f aca="false">+Template!F268</f>
        <v>0</v>
      </c>
      <c r="G729" s="1192" t="n">
        <f aca="false">+Template!G268</f>
        <v>0</v>
      </c>
      <c r="H729" s="1192" t="n">
        <f aca="false">+Template!H268</f>
        <v>0</v>
      </c>
      <c r="I729" s="1192" t="n">
        <f aca="false">+Template!I268</f>
        <v>528200.374360615</v>
      </c>
      <c r="J729" s="1192" t="n">
        <f aca="false">+Template!J268</f>
        <v>0</v>
      </c>
      <c r="K729" s="1192" t="n">
        <f aca="false">+Template!K268</f>
        <v>0</v>
      </c>
      <c r="L729" s="1192" t="n">
        <f aca="false">+Template!L268</f>
        <v>0</v>
      </c>
      <c r="M729" s="1192" t="n">
        <f aca="false">+Template!M268</f>
        <v>0</v>
      </c>
      <c r="N729" s="1192" t="n">
        <f aca="false">+Template!N268</f>
        <v>0</v>
      </c>
      <c r="O729" s="1192" t="n">
        <f aca="false">+Template!O268</f>
        <v>0</v>
      </c>
      <c r="P729" s="1192" t="n">
        <f aca="false">+Template!P268</f>
        <v>0</v>
      </c>
      <c r="Q729" s="1192" t="n">
        <f aca="false">+Template!Q268</f>
        <v>0</v>
      </c>
      <c r="R729" s="1192" t="n">
        <f aca="false">+Template!R268</f>
        <v>0</v>
      </c>
      <c r="S729" s="1192" t="n">
        <f aca="false">+Template!S268</f>
        <v>0</v>
      </c>
      <c r="T729" s="1192" t="n">
        <f aca="false">+Template!T268</f>
        <v>0</v>
      </c>
      <c r="U729" s="1192" t="n">
        <f aca="false">+Template!U268</f>
        <v>0</v>
      </c>
      <c r="V729" s="1192" t="n">
        <f aca="false">+Template!V268</f>
        <v>0</v>
      </c>
      <c r="W729" s="1192" t="n">
        <f aca="false">+Template!W268</f>
        <v>0</v>
      </c>
      <c r="X729" s="1192" t="n">
        <f aca="false">+Template!X268</f>
        <v>0</v>
      </c>
      <c r="Y729" s="1192" t="n">
        <f aca="false">+Template!Y268</f>
        <v>0</v>
      </c>
      <c r="Z729" s="1192" t="n">
        <f aca="false">+Template!Z268</f>
        <v>0</v>
      </c>
      <c r="AA729" s="1192" t="n">
        <f aca="false">+Template!AA268</f>
        <v>0</v>
      </c>
      <c r="AB729" s="1192" t="n">
        <f aca="false">+Template!AB268</f>
        <v>0</v>
      </c>
      <c r="AC729" s="1192" t="n">
        <f aca="false">+Template!AC268</f>
        <v>0</v>
      </c>
      <c r="AD729" s="1192" t="n">
        <f aca="false">+Template!AD268</f>
        <v>0</v>
      </c>
      <c r="AE729" s="1192" t="n">
        <f aca="false">+Template!AE268</f>
        <v>0</v>
      </c>
      <c r="AF729" s="1192" t="n">
        <f aca="false">+Template!AF268</f>
        <v>0</v>
      </c>
      <c r="AG729" s="751"/>
    </row>
    <row r="730" customFormat="false" ht="11.25" hidden="false" customHeight="false" outlineLevel="1" collapsed="false">
      <c r="A730" s="1193"/>
      <c r="B730" s="1192"/>
      <c r="C730" s="1192"/>
      <c r="D730" s="1192"/>
      <c r="E730" s="1192"/>
      <c r="F730" s="1192"/>
      <c r="G730" s="1192"/>
      <c r="H730" s="1192"/>
      <c r="I730" s="1192"/>
      <c r="J730" s="1192"/>
      <c r="K730" s="1192"/>
      <c r="L730" s="1192"/>
      <c r="M730" s="1192"/>
      <c r="N730" s="1192"/>
      <c r="O730" s="1192"/>
      <c r="P730" s="1192"/>
      <c r="Q730" s="1192"/>
      <c r="R730" s="1192"/>
      <c r="S730" s="1192"/>
      <c r="T730" s="1192"/>
      <c r="U730" s="1192"/>
      <c r="V730" s="1192"/>
      <c r="W730" s="1192"/>
      <c r="X730" s="1192"/>
      <c r="Y730" s="1192"/>
      <c r="Z730" s="1192"/>
      <c r="AA730" s="1192"/>
      <c r="AB730" s="1192"/>
      <c r="AC730" s="1192"/>
      <c r="AD730" s="1192"/>
      <c r="AE730" s="1192"/>
      <c r="AF730" s="1192"/>
      <c r="AG730" s="751"/>
    </row>
    <row r="731" customFormat="false" ht="11.25" hidden="false" customHeight="false" outlineLevel="1" collapsed="false">
      <c r="A731" s="1193"/>
      <c r="B731" s="1192" t="str">
        <f aca="false">+Template!B270</f>
        <v>Capital Expenditures - Land</v>
      </c>
      <c r="C731" s="1192"/>
      <c r="D731" s="1192"/>
      <c r="E731" s="1192" t="n">
        <f aca="false">+Template!E270</f>
        <v>0</v>
      </c>
      <c r="F731" s="1192" t="n">
        <f aca="false">+Template!F270</f>
        <v>0</v>
      </c>
      <c r="G731" s="1192" t="n">
        <f aca="false">+Template!G270</f>
        <v>0</v>
      </c>
      <c r="H731" s="1192" t="n">
        <f aca="false">+Template!H270</f>
        <v>0</v>
      </c>
      <c r="I731" s="1192" t="n">
        <f aca="false">+Template!I270</f>
        <v>0</v>
      </c>
      <c r="J731" s="1192" t="n">
        <f aca="false">+Template!J270</f>
        <v>0</v>
      </c>
      <c r="K731" s="1192" t="n">
        <f aca="false">+Template!K270</f>
        <v>0</v>
      </c>
      <c r="L731" s="1192" t="n">
        <f aca="false">+Template!L270</f>
        <v>0</v>
      </c>
      <c r="M731" s="1192" t="n">
        <f aca="false">+Template!M270</f>
        <v>0</v>
      </c>
      <c r="N731" s="1192" t="n">
        <f aca="false">+Template!N270</f>
        <v>0</v>
      </c>
      <c r="O731" s="1192" t="n">
        <f aca="false">+Template!O270</f>
        <v>0</v>
      </c>
      <c r="P731" s="1192" t="n">
        <f aca="false">+Template!P270</f>
        <v>0</v>
      </c>
      <c r="Q731" s="1192" t="n">
        <f aca="false">+Template!Q270</f>
        <v>0</v>
      </c>
      <c r="R731" s="1192" t="n">
        <f aca="false">+Template!R270</f>
        <v>0</v>
      </c>
      <c r="S731" s="1192" t="n">
        <f aca="false">+Template!S270</f>
        <v>0</v>
      </c>
      <c r="T731" s="1192" t="n">
        <f aca="false">+Template!T270</f>
        <v>0</v>
      </c>
      <c r="U731" s="1192" t="n">
        <f aca="false">+Template!U270</f>
        <v>0</v>
      </c>
      <c r="V731" s="1192" t="n">
        <f aca="false">+Template!V270</f>
        <v>0</v>
      </c>
      <c r="W731" s="1192" t="n">
        <f aca="false">+Template!W270</f>
        <v>0</v>
      </c>
      <c r="X731" s="1192" t="n">
        <f aca="false">+Template!X270</f>
        <v>0</v>
      </c>
      <c r="Y731" s="1192" t="n">
        <f aca="false">+Template!Y270</f>
        <v>0</v>
      </c>
      <c r="Z731" s="1192" t="n">
        <f aca="false">+Template!Z270</f>
        <v>0</v>
      </c>
      <c r="AA731" s="1192" t="n">
        <f aca="false">+Template!AA270</f>
        <v>0</v>
      </c>
      <c r="AB731" s="1192" t="n">
        <f aca="false">+Template!AB270</f>
        <v>0</v>
      </c>
      <c r="AC731" s="1192" t="n">
        <f aca="false">+Template!AC270</f>
        <v>0</v>
      </c>
      <c r="AD731" s="1192" t="n">
        <f aca="false">+Template!AD270</f>
        <v>0</v>
      </c>
      <c r="AE731" s="1192" t="n">
        <f aca="false">+Template!AE270</f>
        <v>0</v>
      </c>
      <c r="AF731" s="1192" t="n">
        <f aca="false">+Template!AF270</f>
        <v>0</v>
      </c>
      <c r="AG731" s="751"/>
    </row>
    <row r="732" customFormat="false" ht="11.25" hidden="false" customHeight="false" outlineLevel="1" collapsed="false">
      <c r="A732" s="1190"/>
      <c r="B732" s="1192" t="str">
        <f aca="false">+Template!B271</f>
        <v>Capitalized Costs</v>
      </c>
      <c r="C732" s="1192"/>
      <c r="D732" s="1192"/>
      <c r="E732" s="1192" t="n">
        <f aca="false">+Template!E271</f>
        <v>0</v>
      </c>
      <c r="F732" s="1192" t="n">
        <f aca="false">+Template!F271</f>
        <v>0</v>
      </c>
      <c r="G732" s="1192" t="n">
        <f aca="false">+Template!G271</f>
        <v>0</v>
      </c>
      <c r="H732" s="1192" t="n">
        <f aca="false">+Template!H271</f>
        <v>0</v>
      </c>
      <c r="I732" s="1192" t="n">
        <f aca="false">+Template!I271</f>
        <v>48563.258028615</v>
      </c>
      <c r="J732" s="1192" t="n">
        <f aca="false">+Template!J271</f>
        <v>0</v>
      </c>
      <c r="K732" s="1192" t="n">
        <f aca="false">+Template!K271</f>
        <v>0</v>
      </c>
      <c r="L732" s="1192" t="n">
        <f aca="false">+Template!L271</f>
        <v>0</v>
      </c>
      <c r="M732" s="1192" t="n">
        <f aca="false">+Template!M271</f>
        <v>0</v>
      </c>
      <c r="N732" s="1192" t="n">
        <f aca="false">+Template!N271</f>
        <v>0</v>
      </c>
      <c r="O732" s="1192" t="n">
        <f aca="false">+Template!O271</f>
        <v>0</v>
      </c>
      <c r="P732" s="1192" t="n">
        <f aca="false">+Template!P271</f>
        <v>0</v>
      </c>
      <c r="Q732" s="1192" t="n">
        <f aca="false">+Template!Q271</f>
        <v>0</v>
      </c>
      <c r="R732" s="1192" t="n">
        <f aca="false">+Template!R271</f>
        <v>0</v>
      </c>
      <c r="S732" s="1192" t="n">
        <f aca="false">+Template!S271</f>
        <v>0</v>
      </c>
      <c r="T732" s="1192" t="n">
        <f aca="false">+Template!T271</f>
        <v>0</v>
      </c>
      <c r="U732" s="1192" t="n">
        <f aca="false">+Template!U271</f>
        <v>0</v>
      </c>
      <c r="V732" s="1192" t="n">
        <f aca="false">+Template!V271</f>
        <v>0</v>
      </c>
      <c r="W732" s="1192" t="n">
        <f aca="false">+Template!W271</f>
        <v>0</v>
      </c>
      <c r="X732" s="1192" t="n">
        <f aca="false">+Template!X271</f>
        <v>0</v>
      </c>
      <c r="Y732" s="1192" t="n">
        <f aca="false">+Template!Y271</f>
        <v>0</v>
      </c>
      <c r="Z732" s="1192" t="n">
        <f aca="false">+Template!Z271</f>
        <v>0</v>
      </c>
      <c r="AA732" s="1192" t="n">
        <f aca="false">+Template!AA271</f>
        <v>0</v>
      </c>
      <c r="AB732" s="1192" t="n">
        <f aca="false">+Template!AB271</f>
        <v>0</v>
      </c>
      <c r="AC732" s="1192" t="n">
        <f aca="false">+Template!AC271</f>
        <v>0</v>
      </c>
      <c r="AD732" s="1192" t="n">
        <f aca="false">+Template!AD271</f>
        <v>0</v>
      </c>
      <c r="AE732" s="1192" t="n">
        <f aca="false">+Template!AE271</f>
        <v>0</v>
      </c>
      <c r="AF732" s="1192" t="n">
        <f aca="false">+Template!AF271</f>
        <v>0</v>
      </c>
      <c r="AG732" s="751"/>
    </row>
    <row r="733" customFormat="false" ht="11.25" hidden="false" customHeight="false" outlineLevel="1" collapsed="false">
      <c r="A733" s="1190"/>
      <c r="B733" s="1192" t="str">
        <f aca="false">+Template!B272</f>
        <v>Depreciation Expense - Book</v>
      </c>
      <c r="C733" s="1192"/>
      <c r="D733" s="1192"/>
      <c r="E733" s="1192" t="n">
        <f aca="false">+Template!E272</f>
        <v>0</v>
      </c>
      <c r="F733" s="1192" t="n">
        <f aca="false">+Template!F272</f>
        <v>0</v>
      </c>
      <c r="G733" s="1192" t="n">
        <f aca="false">+Template!G272</f>
        <v>0</v>
      </c>
      <c r="H733" s="1192" t="n">
        <f aca="false">+Template!H272</f>
        <v>0</v>
      </c>
      <c r="I733" s="1192" t="n">
        <f aca="false">+Template!I272</f>
        <v>11990.9279083</v>
      </c>
      <c r="J733" s="1192" t="n">
        <f aca="false">+Template!J272</f>
        <v>23981.8558166</v>
      </c>
      <c r="K733" s="1192" t="n">
        <f aca="false">+Template!K272</f>
        <v>23981.8558166</v>
      </c>
      <c r="L733" s="1192" t="n">
        <f aca="false">+Template!L272</f>
        <v>23981.8558166</v>
      </c>
      <c r="M733" s="1192" t="n">
        <f aca="false">+Template!M272</f>
        <v>23981.8558166</v>
      </c>
      <c r="N733" s="1192" t="n">
        <f aca="false">+Template!N272</f>
        <v>23981.8558166</v>
      </c>
      <c r="O733" s="1192" t="n">
        <f aca="false">+Template!O272</f>
        <v>23981.8558166</v>
      </c>
      <c r="P733" s="1192" t="n">
        <f aca="false">+Template!P272</f>
        <v>23981.8558166</v>
      </c>
      <c r="Q733" s="1192" t="n">
        <f aca="false">+Template!Q272</f>
        <v>23981.8558166</v>
      </c>
      <c r="R733" s="1192" t="n">
        <f aca="false">+Template!R272</f>
        <v>23981.8558166</v>
      </c>
      <c r="S733" s="1192" t="n">
        <f aca="false">+Template!S272</f>
        <v>23981.8558166</v>
      </c>
      <c r="T733" s="1192" t="n">
        <f aca="false">+Template!T272</f>
        <v>23981.8558166</v>
      </c>
      <c r="U733" s="1192" t="n">
        <f aca="false">+Template!U272</f>
        <v>23981.8558166</v>
      </c>
      <c r="V733" s="1192" t="n">
        <f aca="false">+Template!V272</f>
        <v>23981.8558166</v>
      </c>
      <c r="W733" s="1192" t="n">
        <f aca="false">+Template!W272</f>
        <v>23981.8558166</v>
      </c>
      <c r="X733" s="1192" t="n">
        <f aca="false">+Template!X272</f>
        <v>23981.8558166</v>
      </c>
      <c r="Y733" s="1192" t="n">
        <f aca="false">+Template!Y272</f>
        <v>23981.8558166</v>
      </c>
      <c r="Z733" s="1192" t="n">
        <f aca="false">+Template!Z272</f>
        <v>23981.8558166</v>
      </c>
      <c r="AA733" s="1192" t="n">
        <f aca="false">+Template!AA272</f>
        <v>23981.8558166</v>
      </c>
      <c r="AB733" s="1192" t="n">
        <f aca="false">+Template!AB272</f>
        <v>23981.8558166</v>
      </c>
      <c r="AC733" s="1192" t="n">
        <f aca="false">+Template!AC272</f>
        <v>11990.9279083</v>
      </c>
      <c r="AD733" s="1192" t="n">
        <f aca="false">+Template!AD272</f>
        <v>0</v>
      </c>
      <c r="AE733" s="1192" t="n">
        <f aca="false">+Template!AE272</f>
        <v>0</v>
      </c>
      <c r="AF733" s="1192" t="n">
        <f aca="false">+Template!AF272</f>
        <v>0</v>
      </c>
      <c r="AG733" s="751"/>
    </row>
    <row r="734" customFormat="false" ht="11.25" hidden="false" customHeight="false" outlineLevel="1" collapsed="false">
      <c r="A734" s="1190"/>
      <c r="B734" s="1192" t="str">
        <f aca="false">+Template!B273</f>
        <v>Depreciation Expense - Tax</v>
      </c>
      <c r="C734" s="1192"/>
      <c r="D734" s="1192"/>
      <c r="E734" s="1192" t="n">
        <f aca="false">+Template!E273</f>
        <v>0</v>
      </c>
      <c r="F734" s="1192" t="n">
        <f aca="false">+Template!F273</f>
        <v>0</v>
      </c>
      <c r="G734" s="1192" t="n">
        <f aca="false">+Template!G273</f>
        <v>0</v>
      </c>
      <c r="H734" s="1192" t="n">
        <f aca="false">+Template!H273</f>
        <v>0</v>
      </c>
      <c r="I734" s="1192" t="n">
        <f aca="false">+Template!I273</f>
        <v>17986.39186245</v>
      </c>
      <c r="J734" s="1192" t="n">
        <f aca="false">+Template!J273</f>
        <v>34625.0034280071</v>
      </c>
      <c r="K734" s="1192" t="n">
        <f aca="false">+Template!K273</f>
        <v>32025.3702574876</v>
      </c>
      <c r="L734" s="1192" t="n">
        <f aca="false">+Template!L273</f>
        <v>29627.1846758276</v>
      </c>
      <c r="M734" s="1192" t="n">
        <f aca="false">+Template!M273</f>
        <v>27401.6684560471</v>
      </c>
      <c r="N734" s="1192" t="n">
        <f aca="false">+Template!N273</f>
        <v>25348.8215981462</v>
      </c>
      <c r="O734" s="1192" t="n">
        <f aca="false">+Template!O273</f>
        <v>23444.6622463081</v>
      </c>
      <c r="P734" s="1192" t="n">
        <f aca="false">+Template!P273</f>
        <v>21689.190400533</v>
      </c>
      <c r="Q734" s="1192" t="n">
        <f aca="false">+Template!Q273</f>
        <v>21401.4081307338</v>
      </c>
      <c r="R734" s="1192" t="n">
        <f aca="false">+Template!R273</f>
        <v>21396.6117595705</v>
      </c>
      <c r="S734" s="1192" t="n">
        <f aca="false">+Template!S273</f>
        <v>21401.4081307338</v>
      </c>
      <c r="T734" s="1192" t="n">
        <f aca="false">+Template!T273</f>
        <v>21396.6117595705</v>
      </c>
      <c r="U734" s="1192" t="n">
        <f aca="false">+Template!U273</f>
        <v>21401.4081307338</v>
      </c>
      <c r="V734" s="1192" t="n">
        <f aca="false">+Template!V273</f>
        <v>21396.6117595705</v>
      </c>
      <c r="W734" s="1192" t="n">
        <f aca="false">+Template!W273</f>
        <v>21401.4081307338</v>
      </c>
      <c r="X734" s="1192" t="n">
        <f aca="false">+Template!X273</f>
        <v>21396.6117595705</v>
      </c>
      <c r="Y734" s="1192" t="n">
        <f aca="false">+Template!Y273</f>
        <v>21401.4081307338</v>
      </c>
      <c r="Z734" s="1192" t="n">
        <f aca="false">+Template!Z273</f>
        <v>21396.6117595705</v>
      </c>
      <c r="AA734" s="1192" t="n">
        <f aca="false">+Template!AA273</f>
        <v>21401.4081307338</v>
      </c>
      <c r="AB734" s="1192" t="n">
        <f aca="false">+Template!AB273</f>
        <v>21396.6117595705</v>
      </c>
      <c r="AC734" s="1192" t="n">
        <f aca="false">+Template!AC273</f>
        <v>10700.7040653669</v>
      </c>
      <c r="AD734" s="1192" t="n">
        <f aca="false">+Template!AD273</f>
        <v>0</v>
      </c>
      <c r="AE734" s="1192" t="n">
        <f aca="false">+Template!AE273</f>
        <v>0</v>
      </c>
      <c r="AF734" s="1192" t="n">
        <f aca="false">+Template!AF273</f>
        <v>0</v>
      </c>
      <c r="AG734" s="751"/>
    </row>
    <row r="735" customFormat="false" ht="11.25" hidden="false" customHeight="false" outlineLevel="1" collapsed="false">
      <c r="A735" s="1190"/>
      <c r="B735" s="1192" t="str">
        <f aca="false">+Template!B274</f>
        <v>Amortization of Intangibles - Book</v>
      </c>
      <c r="C735" s="1192"/>
      <c r="D735" s="1192"/>
      <c r="E735" s="1192" t="n">
        <f aca="false">+Template!E274</f>
        <v>0</v>
      </c>
      <c r="F735" s="1192" t="n">
        <f aca="false">+Template!F274</f>
        <v>0</v>
      </c>
      <c r="G735" s="1192" t="n">
        <f aca="false">+Template!G274</f>
        <v>0</v>
      </c>
      <c r="H735" s="1192" t="n">
        <f aca="false">+Template!H274</f>
        <v>0</v>
      </c>
      <c r="I735" s="1192" t="n">
        <f aca="false">+Template!I274</f>
        <v>3468.80414490107</v>
      </c>
      <c r="J735" s="1192" t="n">
        <f aca="false">+Template!J274</f>
        <v>6937.60828980214</v>
      </c>
      <c r="K735" s="1192" t="n">
        <f aca="false">+Template!K274</f>
        <v>6937.60828980214</v>
      </c>
      <c r="L735" s="1192" t="n">
        <f aca="false">+Template!L274</f>
        <v>6937.60828980214</v>
      </c>
      <c r="M735" s="1192" t="n">
        <f aca="false">+Template!M274</f>
        <v>6937.60828980214</v>
      </c>
      <c r="N735" s="1192" t="n">
        <f aca="false">+Template!N274</f>
        <v>6937.60828980214</v>
      </c>
      <c r="O735" s="1192" t="n">
        <f aca="false">+Template!O274</f>
        <v>6937.60828980214</v>
      </c>
      <c r="P735" s="1192" t="n">
        <f aca="false">+Template!P274</f>
        <v>3468.80414490107</v>
      </c>
      <c r="Q735" s="1192" t="n">
        <f aca="false">+Template!Q274</f>
        <v>0</v>
      </c>
      <c r="R735" s="1192" t="n">
        <f aca="false">+Template!R274</f>
        <v>0</v>
      </c>
      <c r="S735" s="1192" t="n">
        <f aca="false">+Template!S274</f>
        <v>0</v>
      </c>
      <c r="T735" s="1192" t="n">
        <f aca="false">+Template!T274</f>
        <v>0</v>
      </c>
      <c r="U735" s="1192" t="n">
        <f aca="false">+Template!U274</f>
        <v>0</v>
      </c>
      <c r="V735" s="1192" t="n">
        <f aca="false">+Template!V274</f>
        <v>0</v>
      </c>
      <c r="W735" s="1192" t="n">
        <f aca="false">+Template!W274</f>
        <v>0</v>
      </c>
      <c r="X735" s="1192" t="n">
        <f aca="false">+Template!X274</f>
        <v>0</v>
      </c>
      <c r="Y735" s="1192" t="n">
        <f aca="false">+Template!Y274</f>
        <v>0</v>
      </c>
      <c r="Z735" s="1192" t="n">
        <f aca="false">+Template!Z274</f>
        <v>0</v>
      </c>
      <c r="AA735" s="1192" t="n">
        <f aca="false">+Template!AA274</f>
        <v>0</v>
      </c>
      <c r="AB735" s="1192" t="n">
        <f aca="false">+Template!AB274</f>
        <v>0</v>
      </c>
      <c r="AC735" s="1192" t="n">
        <f aca="false">+Template!AC274</f>
        <v>0</v>
      </c>
      <c r="AD735" s="1192" t="n">
        <f aca="false">+Template!AD274</f>
        <v>0</v>
      </c>
      <c r="AE735" s="1192" t="n">
        <f aca="false">+Template!AE274</f>
        <v>0</v>
      </c>
      <c r="AF735" s="1192" t="n">
        <f aca="false">+Template!AF274</f>
        <v>0</v>
      </c>
      <c r="AG735" s="751"/>
    </row>
    <row r="736" customFormat="false" ht="11.25" hidden="false" customHeight="false" outlineLevel="1" collapsed="false">
      <c r="A736" s="1190"/>
      <c r="B736" s="1192"/>
      <c r="C736" s="1192"/>
      <c r="D736" s="1192"/>
      <c r="E736" s="1192"/>
      <c r="F736" s="1192"/>
      <c r="G736" s="1192"/>
      <c r="H736" s="1192"/>
      <c r="I736" s="1192"/>
      <c r="J736" s="1192"/>
      <c r="K736" s="1192"/>
      <c r="L736" s="1192"/>
      <c r="M736" s="1192"/>
      <c r="N736" s="1192"/>
      <c r="O736" s="1192"/>
      <c r="P736" s="1192"/>
      <c r="Q736" s="1192"/>
      <c r="R736" s="1192"/>
      <c r="S736" s="1192"/>
      <c r="T736" s="1192"/>
      <c r="U736" s="1192"/>
      <c r="V736" s="1192"/>
      <c r="W736" s="1192"/>
      <c r="X736" s="1192"/>
      <c r="Y736" s="1192"/>
      <c r="Z736" s="1192"/>
      <c r="AA736" s="1192"/>
      <c r="AB736" s="1192"/>
      <c r="AC736" s="1192"/>
      <c r="AD736" s="1192"/>
      <c r="AE736" s="1192"/>
      <c r="AF736" s="1192"/>
      <c r="AG736" s="751"/>
    </row>
    <row r="737" customFormat="false" ht="12" hidden="false" customHeight="false" outlineLevel="1" collapsed="false">
      <c r="A737" s="1194"/>
      <c r="B737" s="1195"/>
      <c r="C737" s="1195"/>
      <c r="D737" s="1195"/>
      <c r="E737" s="1195"/>
      <c r="F737" s="1195"/>
      <c r="G737" s="1195"/>
      <c r="H737" s="1195"/>
      <c r="I737" s="1195"/>
      <c r="J737" s="1195"/>
      <c r="K737" s="1195"/>
      <c r="L737" s="1195"/>
      <c r="M737" s="1195"/>
      <c r="N737" s="1195"/>
      <c r="O737" s="1195"/>
      <c r="P737" s="1195"/>
      <c r="Q737" s="1195"/>
      <c r="R737" s="1195"/>
      <c r="S737" s="1195"/>
      <c r="T737" s="1195"/>
      <c r="U737" s="1195"/>
      <c r="V737" s="1195"/>
      <c r="W737" s="1195"/>
      <c r="X737" s="1195"/>
      <c r="Y737" s="1195"/>
      <c r="Z737" s="1195"/>
      <c r="AA737" s="1195"/>
      <c r="AB737" s="1195"/>
      <c r="AC737" s="1195"/>
      <c r="AD737" s="1195"/>
      <c r="AE737" s="1195"/>
      <c r="AF737" s="1195"/>
      <c r="AG737" s="751"/>
    </row>
    <row r="738" customFormat="false" ht="12" hidden="false" customHeight="false" outlineLevel="1" collapsed="false">
      <c r="A738" s="1191"/>
      <c r="B738" s="1190"/>
      <c r="C738" s="1190"/>
      <c r="D738" s="1190"/>
      <c r="E738" s="1190"/>
      <c r="F738" s="1190"/>
      <c r="G738" s="1190"/>
      <c r="H738" s="1190"/>
      <c r="I738" s="1190"/>
      <c r="J738" s="1190"/>
      <c r="K738" s="1190"/>
      <c r="L738" s="1190"/>
      <c r="M738" s="1190"/>
      <c r="N738" s="1190"/>
      <c r="O738" s="1190"/>
      <c r="P738" s="1190"/>
      <c r="Q738" s="1190"/>
      <c r="R738" s="1190"/>
      <c r="S738" s="1190"/>
      <c r="T738" s="1190"/>
      <c r="U738" s="1190"/>
      <c r="V738" s="1190"/>
      <c r="W738" s="1190"/>
      <c r="X738" s="1190"/>
      <c r="Y738" s="1190"/>
      <c r="Z738" s="1190"/>
      <c r="AA738" s="1190"/>
      <c r="AB738" s="1190"/>
      <c r="AC738" s="1190"/>
      <c r="AD738" s="1190"/>
      <c r="AE738" s="1190"/>
      <c r="AF738" s="1190"/>
      <c r="AG738" s="751"/>
    </row>
    <row r="739" customFormat="false" ht="11.25" hidden="false" customHeight="false" outlineLevel="1" collapsed="false">
      <c r="A739" s="1196" t="s">
        <v>1015</v>
      </c>
      <c r="B739" s="1190"/>
      <c r="C739" s="1190"/>
      <c r="D739" s="1190"/>
      <c r="E739" s="1190"/>
      <c r="F739" s="1190"/>
      <c r="G739" s="1190"/>
      <c r="H739" s="1190"/>
      <c r="I739" s="1190"/>
      <c r="J739" s="1190"/>
      <c r="K739" s="1190"/>
      <c r="L739" s="1190"/>
      <c r="M739" s="1190"/>
      <c r="N739" s="1190"/>
      <c r="O739" s="1190"/>
      <c r="P739" s="1190"/>
      <c r="Q739" s="1190"/>
      <c r="R739" s="1190"/>
      <c r="S739" s="1190"/>
      <c r="T739" s="1190"/>
      <c r="U739" s="1190"/>
      <c r="V739" s="1190"/>
      <c r="W739" s="1190"/>
      <c r="X739" s="1190"/>
      <c r="Y739" s="1190"/>
      <c r="Z739" s="1190"/>
      <c r="AA739" s="1190"/>
      <c r="AB739" s="1190"/>
      <c r="AC739" s="1190"/>
      <c r="AD739" s="1190"/>
      <c r="AE739" s="1190"/>
      <c r="AF739" s="1190"/>
      <c r="AG739" s="751"/>
    </row>
    <row r="740" customFormat="false" ht="11.25" hidden="false" customHeight="false" outlineLevel="1" collapsed="false">
      <c r="A740" s="1190"/>
      <c r="B740" s="1190"/>
      <c r="C740" s="1190"/>
      <c r="D740" s="1190"/>
      <c r="E740" s="1190" t="s">
        <v>1016</v>
      </c>
      <c r="F740" s="1190"/>
      <c r="G740" s="1190"/>
      <c r="H740" s="1197" t="n">
        <f aca="false">+C442</f>
        <v>0.5</v>
      </c>
      <c r="I740" s="1190"/>
      <c r="J740" s="1190"/>
      <c r="K740" s="1190"/>
      <c r="L740" s="1190"/>
      <c r="M740" s="1190"/>
      <c r="N740" s="1190"/>
      <c r="O740" s="1190"/>
      <c r="P740" s="1190"/>
      <c r="Q740" s="1190"/>
      <c r="R740" s="1190"/>
      <c r="S740" s="1190"/>
      <c r="T740" s="1190"/>
      <c r="U740" s="1190"/>
      <c r="V740" s="1190"/>
      <c r="W740" s="1190"/>
      <c r="X740" s="1190"/>
      <c r="Y740" s="1190"/>
      <c r="Z740" s="1190"/>
      <c r="AA740" s="1190"/>
      <c r="AB740" s="1190"/>
      <c r="AC740" s="1190"/>
      <c r="AD740" s="1190"/>
      <c r="AE740" s="1190"/>
      <c r="AF740" s="1190"/>
      <c r="AG740" s="751"/>
    </row>
    <row r="741" customFormat="false" ht="11.25" hidden="false" customHeight="false" outlineLevel="1" collapsed="false">
      <c r="A741" s="1190"/>
      <c r="B741" s="1190"/>
      <c r="C741" s="1190"/>
      <c r="D741" s="1190"/>
      <c r="E741" s="1198" t="s">
        <v>1017</v>
      </c>
      <c r="F741" s="1190"/>
      <c r="G741" s="1199"/>
      <c r="H741" s="1200" t="n">
        <f aca="false">IF(F282="Millions",1000000,IF(F282="Thousands",1000,1))</f>
        <v>1000</v>
      </c>
      <c r="I741" s="1190"/>
      <c r="J741" s="1201"/>
      <c r="K741" s="1201"/>
      <c r="L741" s="1201"/>
      <c r="M741" s="1201"/>
      <c r="N741" s="1201"/>
      <c r="O741" s="1201"/>
      <c r="P741" s="1201"/>
      <c r="Q741" s="1201"/>
      <c r="R741" s="1201"/>
      <c r="S741" s="1201"/>
      <c r="T741" s="1201"/>
      <c r="U741" s="1201"/>
      <c r="V741" s="1201"/>
      <c r="W741" s="1201"/>
      <c r="X741" s="1201"/>
      <c r="Y741" s="1201"/>
      <c r="Z741" s="1201"/>
      <c r="AA741" s="1201"/>
      <c r="AB741" s="1201"/>
      <c r="AC741" s="1201"/>
      <c r="AD741" s="1201"/>
      <c r="AE741" s="1201"/>
      <c r="AF741" s="1201"/>
      <c r="AG741" s="751"/>
    </row>
    <row r="742" customFormat="false" ht="11.25" hidden="false" customHeight="false" outlineLevel="1" collapsed="false">
      <c r="A742" s="1190"/>
      <c r="B742" s="1190"/>
      <c r="C742" s="1190"/>
      <c r="D742" s="1190"/>
      <c r="E742" s="1198"/>
      <c r="F742" s="1190"/>
      <c r="G742" s="1199"/>
      <c r="H742" s="1200"/>
      <c r="I742" s="1192"/>
      <c r="J742" s="1192"/>
      <c r="K742" s="1192"/>
      <c r="L742" s="1192"/>
      <c r="M742" s="1192"/>
      <c r="N742" s="1192"/>
      <c r="O742" s="1192"/>
      <c r="P742" s="1192"/>
      <c r="Q742" s="1192"/>
      <c r="R742" s="1192"/>
      <c r="S742" s="1192"/>
      <c r="T742" s="1192"/>
      <c r="U742" s="1192"/>
      <c r="V742" s="1192"/>
      <c r="W742" s="1192"/>
      <c r="X742" s="1192"/>
      <c r="Y742" s="1192"/>
      <c r="Z742" s="1192"/>
      <c r="AA742" s="1192"/>
      <c r="AB742" s="1192"/>
      <c r="AC742" s="1192"/>
      <c r="AD742" s="1192"/>
      <c r="AE742" s="1192"/>
      <c r="AF742" s="1192"/>
      <c r="AG742" s="751"/>
    </row>
    <row r="743" customFormat="false" ht="11.25" hidden="false" customHeight="false" outlineLevel="1" collapsed="false">
      <c r="A743" s="1190"/>
      <c r="B743" s="1190"/>
      <c r="C743" s="1190"/>
      <c r="D743" s="1190"/>
      <c r="E743" s="1198"/>
      <c r="F743" s="1190"/>
      <c r="G743" s="1199"/>
      <c r="H743" s="1200"/>
      <c r="I743" s="1192"/>
      <c r="J743" s="1192"/>
      <c r="K743" s="1192"/>
      <c r="L743" s="1192"/>
      <c r="M743" s="1192"/>
      <c r="N743" s="1192"/>
      <c r="O743" s="1192"/>
      <c r="P743" s="1192"/>
      <c r="Q743" s="1192"/>
      <c r="R743" s="1192"/>
      <c r="S743" s="1192"/>
      <c r="T743" s="1192"/>
      <c r="U743" s="1192"/>
      <c r="V743" s="1192"/>
      <c r="W743" s="1192"/>
      <c r="X743" s="1192"/>
      <c r="Y743" s="1192"/>
      <c r="Z743" s="1192"/>
      <c r="AA743" s="1192"/>
      <c r="AB743" s="1192"/>
      <c r="AC743" s="1192"/>
      <c r="AD743" s="1192"/>
      <c r="AE743" s="1192"/>
      <c r="AF743" s="1192"/>
      <c r="AG743" s="751"/>
    </row>
    <row r="744" customFormat="false" ht="11.25" hidden="false" customHeight="false" outlineLevel="1" collapsed="false">
      <c r="A744" s="1190"/>
      <c r="B744" s="1190"/>
      <c r="C744" s="1190"/>
      <c r="D744" s="1190"/>
      <c r="E744" s="1198"/>
      <c r="F744" s="1190"/>
      <c r="G744" s="1199"/>
      <c r="H744" s="1200"/>
      <c r="I744" s="1192"/>
      <c r="J744" s="1192"/>
      <c r="K744" s="1192"/>
      <c r="L744" s="1192"/>
      <c r="M744" s="1192"/>
      <c r="N744" s="1192"/>
      <c r="O744" s="1192"/>
      <c r="P744" s="1192"/>
      <c r="Q744" s="1192"/>
      <c r="R744" s="1192"/>
      <c r="S744" s="1192"/>
      <c r="T744" s="1192"/>
      <c r="U744" s="1192"/>
      <c r="V744" s="1192"/>
      <c r="W744" s="1192"/>
      <c r="X744" s="1192"/>
      <c r="Y744" s="1192"/>
      <c r="Z744" s="1192"/>
      <c r="AA744" s="1192"/>
      <c r="AB744" s="1192"/>
      <c r="AC744" s="1192"/>
      <c r="AD744" s="1192"/>
      <c r="AE744" s="1192"/>
      <c r="AF744" s="1192"/>
      <c r="AG744" s="751"/>
    </row>
    <row r="745" customFormat="false" ht="12" hidden="false" customHeight="false" outlineLevel="1" collapsed="false">
      <c r="A745" s="1194"/>
      <c r="B745" s="1194"/>
      <c r="C745" s="1194"/>
      <c r="D745" s="1194"/>
      <c r="E745" s="1194"/>
      <c r="F745" s="1194"/>
      <c r="G745" s="1194"/>
      <c r="H745" s="1194"/>
      <c r="I745" s="1194"/>
      <c r="J745" s="1194"/>
      <c r="K745" s="1194"/>
      <c r="L745" s="1194"/>
      <c r="M745" s="1194"/>
      <c r="N745" s="1194"/>
      <c r="O745" s="1194"/>
      <c r="P745" s="1194"/>
      <c r="Q745" s="1194"/>
      <c r="R745" s="1194"/>
      <c r="S745" s="1194"/>
      <c r="T745" s="1194"/>
      <c r="U745" s="1194"/>
      <c r="V745" s="1194"/>
      <c r="W745" s="1194"/>
      <c r="X745" s="1194"/>
      <c r="Y745" s="1194"/>
      <c r="Z745" s="1194"/>
      <c r="AA745" s="1194"/>
      <c r="AB745" s="1194"/>
      <c r="AC745" s="1194"/>
      <c r="AD745" s="1194"/>
      <c r="AE745" s="1194"/>
      <c r="AF745" s="1194"/>
      <c r="AG745" s="751"/>
    </row>
    <row r="746" customFormat="false" ht="12" hidden="false" customHeight="false" outlineLevel="1" collapsed="false">
      <c r="A746" s="1202"/>
      <c r="B746" s="1202"/>
      <c r="C746" s="1202"/>
      <c r="D746" s="1202"/>
      <c r="E746" s="1202"/>
      <c r="F746" s="1202"/>
      <c r="G746" s="1202"/>
      <c r="H746" s="1202"/>
      <c r="I746" s="1202"/>
      <c r="J746" s="1202"/>
      <c r="K746" s="1202"/>
      <c r="L746" s="1202"/>
      <c r="M746" s="1202"/>
      <c r="N746" s="1202"/>
      <c r="O746" s="1202"/>
      <c r="P746" s="1202"/>
      <c r="Q746" s="1202"/>
      <c r="R746" s="1202"/>
      <c r="S746" s="1202"/>
      <c r="T746" s="1202"/>
      <c r="U746" s="1202"/>
      <c r="V746" s="1202"/>
      <c r="W746" s="1202"/>
      <c r="X746" s="1202"/>
      <c r="Y746" s="1202"/>
      <c r="Z746" s="1202"/>
      <c r="AA746" s="1202"/>
      <c r="AB746" s="1202"/>
      <c r="AC746" s="1202"/>
      <c r="AD746" s="1202"/>
      <c r="AE746" s="1202"/>
      <c r="AF746" s="1202"/>
      <c r="AG746" s="751"/>
    </row>
    <row r="747" customFormat="false" ht="12" hidden="false" customHeight="false" outlineLevel="1" collapsed="false">
      <c r="A747" s="751"/>
      <c r="B747" s="751"/>
      <c r="C747" s="751"/>
      <c r="D747" s="751"/>
      <c r="E747" s="751"/>
      <c r="F747" s="751"/>
      <c r="G747" s="751"/>
      <c r="H747" s="751"/>
      <c r="I747" s="751"/>
      <c r="J747" s="751"/>
      <c r="K747" s="751"/>
      <c r="L747" s="751"/>
      <c r="M747" s="751"/>
      <c r="N747" s="751"/>
      <c r="O747" s="751"/>
      <c r="P747" s="751"/>
      <c r="Q747" s="751"/>
      <c r="R747" s="751"/>
      <c r="S747" s="751"/>
      <c r="T747" s="751"/>
      <c r="U747" s="751"/>
      <c r="V747" s="751"/>
      <c r="W747" s="751"/>
      <c r="X747" s="751"/>
      <c r="Y747" s="751"/>
      <c r="Z747" s="751"/>
      <c r="AA747" s="751"/>
      <c r="AB747" s="751"/>
      <c r="AC747" s="751"/>
      <c r="AD747" s="751"/>
      <c r="AE747" s="751"/>
      <c r="AF747" s="751"/>
      <c r="AG747" s="751"/>
    </row>
    <row r="748" customFormat="false" ht="12.75" hidden="false" customHeight="false" outlineLevel="0" collapsed="false">
      <c r="A748" s="841" t="s">
        <v>1018</v>
      </c>
      <c r="B748" s="751"/>
      <c r="C748" s="751"/>
      <c r="D748" s="751"/>
      <c r="E748" s="1023" t="n">
        <f aca="false">E$599</f>
        <v>36891</v>
      </c>
      <c r="F748" s="1023" t="n">
        <f aca="false">F$599</f>
        <v>37256</v>
      </c>
      <c r="G748" s="1023" t="n">
        <f aca="false">G$599</f>
        <v>37621</v>
      </c>
      <c r="H748" s="1039" t="n">
        <f aca="false">H$599</f>
        <v>37802</v>
      </c>
      <c r="I748" s="984" t="n">
        <f aca="false">I$599</f>
        <v>37986</v>
      </c>
      <c r="J748" s="985" t="n">
        <f aca="false">J$599</f>
        <v>38352</v>
      </c>
      <c r="K748" s="985" t="n">
        <f aca="false">K$599</f>
        <v>38717</v>
      </c>
      <c r="L748" s="985" t="n">
        <f aca="false">L$599</f>
        <v>39082</v>
      </c>
      <c r="M748" s="985" t="n">
        <f aca="false">M$599</f>
        <v>39447</v>
      </c>
      <c r="N748" s="985" t="n">
        <f aca="false">N$599</f>
        <v>39813</v>
      </c>
      <c r="O748" s="985" t="n">
        <f aca="false">O$599</f>
        <v>40178</v>
      </c>
      <c r="P748" s="985" t="n">
        <f aca="false">P$599</f>
        <v>40543</v>
      </c>
      <c r="Q748" s="985" t="n">
        <f aca="false">Q$599</f>
        <v>40908</v>
      </c>
      <c r="R748" s="985" t="n">
        <f aca="false">R$599</f>
        <v>41274</v>
      </c>
      <c r="S748" s="985" t="n">
        <f aca="false">S$599</f>
        <v>41639</v>
      </c>
      <c r="T748" s="985" t="n">
        <f aca="false">T$599</f>
        <v>42004</v>
      </c>
      <c r="U748" s="985" t="n">
        <f aca="false">U$599</f>
        <v>42369</v>
      </c>
      <c r="V748" s="985" t="n">
        <f aca="false">V$599</f>
        <v>42735</v>
      </c>
      <c r="W748" s="985" t="n">
        <f aca="false">W$599</f>
        <v>43100</v>
      </c>
      <c r="X748" s="985" t="n">
        <f aca="false">X$599</f>
        <v>43465</v>
      </c>
      <c r="Y748" s="985" t="n">
        <f aca="false">Y$599</f>
        <v>43830</v>
      </c>
      <c r="Z748" s="985" t="n">
        <f aca="false">Z$599</f>
        <v>44196</v>
      </c>
      <c r="AA748" s="985" t="n">
        <f aca="false">AA$599</f>
        <v>44561</v>
      </c>
      <c r="AB748" s="985" t="n">
        <f aca="false">AB$599</f>
        <v>44926</v>
      </c>
      <c r="AC748" s="985" t="n">
        <f aca="false">AC$599</f>
        <v>45291</v>
      </c>
      <c r="AD748" s="985" t="n">
        <f aca="false">AD$599</f>
        <v>45657</v>
      </c>
      <c r="AE748" s="985" t="n">
        <f aca="false">AE$599</f>
        <v>46022</v>
      </c>
      <c r="AF748" s="985" t="n">
        <f aca="false">AF$599</f>
        <v>46387</v>
      </c>
      <c r="AG748" s="751"/>
    </row>
    <row r="749" customFormat="false" ht="12" hidden="false" customHeight="false" outlineLevel="0" collapsed="false">
      <c r="A749" s="1203" t="s">
        <v>1019</v>
      </c>
      <c r="B749" s="751"/>
      <c r="C749" s="751"/>
      <c r="D749" s="751"/>
      <c r="E749" s="751"/>
      <c r="F749" s="751"/>
      <c r="G749" s="751"/>
      <c r="H749" s="751"/>
      <c r="I749" s="751"/>
      <c r="J749" s="981"/>
      <c r="K749" s="751"/>
      <c r="L749" s="751"/>
      <c r="M749" s="751"/>
      <c r="N749" s="751"/>
      <c r="O749" s="751"/>
      <c r="P749" s="751"/>
      <c r="Q749" s="751"/>
      <c r="R749" s="751"/>
      <c r="S749" s="751"/>
      <c r="T749" s="751"/>
      <c r="U749" s="751"/>
      <c r="V749" s="751"/>
      <c r="W749" s="751"/>
      <c r="X749" s="751"/>
      <c r="Y749" s="751"/>
      <c r="Z749" s="751"/>
      <c r="AA749" s="751"/>
      <c r="AB749" s="751"/>
      <c r="AC749" s="751"/>
      <c r="AD749" s="751"/>
      <c r="AE749" s="751"/>
      <c r="AF749" s="751"/>
      <c r="AG749" s="751"/>
    </row>
    <row r="750" customFormat="false" ht="11.25" hidden="false" customHeight="false" outlineLevel="0" collapsed="false">
      <c r="A750" s="934"/>
      <c r="B750" s="934" t="s">
        <v>638</v>
      </c>
      <c r="C750" s="346"/>
      <c r="D750" s="751"/>
      <c r="E750" s="751"/>
      <c r="F750" s="751"/>
      <c r="G750" s="751"/>
      <c r="H750" s="751"/>
      <c r="I750" s="751" t="e">
        <f aca="false">I330</f>
        <v>#VALUE!</v>
      </c>
      <c r="J750" s="981" t="e">
        <f aca="false">J330</f>
        <v>#VALUE!</v>
      </c>
      <c r="K750" s="751" t="e">
        <f aca="false">K330</f>
        <v>#VALUE!</v>
      </c>
      <c r="L750" s="751" t="e">
        <f aca="false">L330</f>
        <v>#VALUE!</v>
      </c>
      <c r="M750" s="751" t="e">
        <f aca="false">M330</f>
        <v>#VALUE!</v>
      </c>
      <c r="N750" s="751" t="e">
        <f aca="false">N330</f>
        <v>#VALUE!</v>
      </c>
      <c r="O750" s="751" t="e">
        <f aca="false">O330</f>
        <v>#VALUE!</v>
      </c>
      <c r="P750" s="751" t="e">
        <f aca="false">P330</f>
        <v>#VALUE!</v>
      </c>
      <c r="Q750" s="751" t="e">
        <f aca="false">Q330</f>
        <v>#VALUE!</v>
      </c>
      <c r="R750" s="751" t="e">
        <f aca="false">R330</f>
        <v>#VALUE!</v>
      </c>
      <c r="S750" s="751" t="e">
        <f aca="false">S330</f>
        <v>#VALUE!</v>
      </c>
      <c r="T750" s="751" t="e">
        <f aca="false">T330</f>
        <v>#VALUE!</v>
      </c>
      <c r="U750" s="751" t="e">
        <f aca="false">U330</f>
        <v>#VALUE!</v>
      </c>
      <c r="V750" s="751" t="e">
        <f aca="false">V330</f>
        <v>#VALUE!</v>
      </c>
      <c r="W750" s="751" t="e">
        <f aca="false">W330</f>
        <v>#VALUE!</v>
      </c>
      <c r="X750" s="751" t="e">
        <f aca="false">X330</f>
        <v>#VALUE!</v>
      </c>
      <c r="Y750" s="751" t="e">
        <f aca="false">Y330</f>
        <v>#VALUE!</v>
      </c>
      <c r="Z750" s="751" t="e">
        <f aca="false">Z330</f>
        <v>#VALUE!</v>
      </c>
      <c r="AA750" s="751" t="e">
        <f aca="false">AA330</f>
        <v>#VALUE!</v>
      </c>
      <c r="AB750" s="751" t="e">
        <f aca="false">AB330</f>
        <v>#VALUE!</v>
      </c>
      <c r="AC750" s="751" t="e">
        <f aca="false">AC330</f>
        <v>#VALUE!</v>
      </c>
      <c r="AD750" s="751" t="e">
        <f aca="false">AD330</f>
        <v>#VALUE!</v>
      </c>
      <c r="AE750" s="751" t="e">
        <f aca="false">AE330</f>
        <v>#VALUE!</v>
      </c>
      <c r="AF750" s="751" t="e">
        <f aca="false">AF330</f>
        <v>#VALUE!</v>
      </c>
      <c r="AG750" s="751"/>
    </row>
    <row r="751" customFormat="false" ht="11.25" hidden="false" customHeight="false" outlineLevel="0" collapsed="false">
      <c r="A751" s="934"/>
      <c r="B751" s="934"/>
      <c r="C751" s="346"/>
      <c r="D751" s="751"/>
      <c r="E751" s="751"/>
      <c r="F751" s="751"/>
      <c r="G751" s="751"/>
      <c r="H751" s="751"/>
      <c r="I751" s="751"/>
      <c r="J751" s="981"/>
      <c r="K751" s="751"/>
      <c r="L751" s="751"/>
      <c r="M751" s="751"/>
      <c r="N751" s="751"/>
      <c r="O751" s="751"/>
      <c r="P751" s="751"/>
      <c r="Q751" s="751"/>
      <c r="R751" s="751"/>
      <c r="S751" s="751"/>
      <c r="T751" s="751"/>
      <c r="U751" s="751"/>
      <c r="V751" s="751"/>
      <c r="W751" s="751"/>
      <c r="X751" s="751"/>
      <c r="Y751" s="751"/>
      <c r="Z751" s="751"/>
      <c r="AA751" s="751"/>
      <c r="AB751" s="751"/>
      <c r="AC751" s="751"/>
      <c r="AD751" s="751"/>
      <c r="AE751" s="751"/>
      <c r="AF751" s="751"/>
      <c r="AG751" s="751"/>
    </row>
    <row r="752" customFormat="false" ht="11.25" hidden="false" customHeight="false" outlineLevel="0" collapsed="false">
      <c r="A752" s="955" t="s">
        <v>959</v>
      </c>
      <c r="B752" s="751" t="str">
        <f aca="false">A331</f>
        <v>Depreciation &amp; Amortization</v>
      </c>
      <c r="C752" s="346"/>
      <c r="D752" s="751"/>
      <c r="E752" s="751"/>
      <c r="F752" s="751"/>
      <c r="G752" s="751"/>
      <c r="H752" s="751"/>
      <c r="I752" s="751" t="e">
        <f aca="false">I331</f>
        <v>#VALUE!</v>
      </c>
      <c r="J752" s="981" t="e">
        <f aca="false">J331</f>
        <v>#VALUE!</v>
      </c>
      <c r="K752" s="751" t="e">
        <f aca="false">K331</f>
        <v>#VALUE!</v>
      </c>
      <c r="L752" s="751" t="e">
        <f aca="false">L331</f>
        <v>#VALUE!</v>
      </c>
      <c r="M752" s="751" t="e">
        <f aca="false">M331</f>
        <v>#VALUE!</v>
      </c>
      <c r="N752" s="751" t="e">
        <f aca="false">N331</f>
        <v>#VALUE!</v>
      </c>
      <c r="O752" s="751" t="e">
        <f aca="false">O331</f>
        <v>#VALUE!</v>
      </c>
      <c r="P752" s="751" t="e">
        <f aca="false">P331</f>
        <v>#VALUE!</v>
      </c>
      <c r="Q752" s="751" t="e">
        <f aca="false">Q331</f>
        <v>#VALUE!</v>
      </c>
      <c r="R752" s="751" t="e">
        <f aca="false">R331</f>
        <v>#VALUE!</v>
      </c>
      <c r="S752" s="751" t="e">
        <f aca="false">S331</f>
        <v>#VALUE!</v>
      </c>
      <c r="T752" s="751" t="n">
        <f aca="false">T331</f>
        <v>23981.8558166</v>
      </c>
      <c r="U752" s="751" t="n">
        <f aca="false">U331</f>
        <v>23981.8558166</v>
      </c>
      <c r="V752" s="751" t="n">
        <f aca="false">V331</f>
        <v>23981.8558166</v>
      </c>
      <c r="W752" s="751" t="n">
        <f aca="false">W331</f>
        <v>23981.8558166</v>
      </c>
      <c r="X752" s="751" t="n">
        <f aca="false">X331</f>
        <v>23981.8558166</v>
      </c>
      <c r="Y752" s="751" t="n">
        <f aca="false">Y331</f>
        <v>23981.8558166</v>
      </c>
      <c r="Z752" s="751" t="n">
        <f aca="false">Z331</f>
        <v>23981.8558166</v>
      </c>
      <c r="AA752" s="751" t="n">
        <f aca="false">AA331</f>
        <v>23981.8558166</v>
      </c>
      <c r="AB752" s="751" t="n">
        <f aca="false">AB331</f>
        <v>23981.8558166</v>
      </c>
      <c r="AC752" s="751" t="n">
        <f aca="false">AC331</f>
        <v>11990.9279083</v>
      </c>
      <c r="AD752" s="751" t="n">
        <f aca="false">AD331</f>
        <v>0</v>
      </c>
      <c r="AE752" s="751" t="n">
        <f aca="false">AE331</f>
        <v>0</v>
      </c>
      <c r="AF752" s="751" t="n">
        <f aca="false">AF331</f>
        <v>0</v>
      </c>
      <c r="AG752" s="751"/>
    </row>
    <row r="753" customFormat="false" ht="11.25" hidden="false" customHeight="false" outlineLevel="0" collapsed="false">
      <c r="A753" s="934"/>
      <c r="B753" s="751" t="str">
        <f aca="false">A332</f>
        <v>Deferred Income Taxes</v>
      </c>
      <c r="C753" s="346"/>
      <c r="D753" s="751"/>
      <c r="E753" s="751"/>
      <c r="F753" s="751"/>
      <c r="G753" s="751"/>
      <c r="H753" s="751"/>
      <c r="I753" s="751" t="e">
        <f aca="false">I332</f>
        <v>#VALUE!</v>
      </c>
      <c r="J753" s="981" t="e">
        <f aca="false">J332</f>
        <v>#VALUE!</v>
      </c>
      <c r="K753" s="751" t="e">
        <f aca="false">K332</f>
        <v>#VALUE!</v>
      </c>
      <c r="L753" s="751" t="e">
        <f aca="false">L332</f>
        <v>#VALUE!</v>
      </c>
      <c r="M753" s="751" t="e">
        <f aca="false">M332</f>
        <v>#VALUE!</v>
      </c>
      <c r="N753" s="751" t="e">
        <f aca="false">N332</f>
        <v>#VALUE!</v>
      </c>
      <c r="O753" s="751" t="e">
        <f aca="false">O332</f>
        <v>#VALUE!</v>
      </c>
      <c r="P753" s="751" t="e">
        <f aca="false">P332</f>
        <v>#VALUE!</v>
      </c>
      <c r="Q753" s="751" t="e">
        <f aca="false">Q332</f>
        <v>#VALUE!</v>
      </c>
      <c r="R753" s="751" t="e">
        <f aca="false">R332</f>
        <v>#VALUE!</v>
      </c>
      <c r="S753" s="751" t="e">
        <f aca="false">S332</f>
        <v>#VALUE!</v>
      </c>
      <c r="T753" s="751" t="e">
        <f aca="false">T332</f>
        <v>#VALUE!</v>
      </c>
      <c r="U753" s="751" t="e">
        <f aca="false">U332</f>
        <v>#VALUE!</v>
      </c>
      <c r="V753" s="751" t="e">
        <f aca="false">V332</f>
        <v>#VALUE!</v>
      </c>
      <c r="W753" s="751" t="e">
        <f aca="false">W332</f>
        <v>#VALUE!</v>
      </c>
      <c r="X753" s="751" t="e">
        <f aca="false">X332</f>
        <v>#VALUE!</v>
      </c>
      <c r="Y753" s="751" t="e">
        <f aca="false">Y332</f>
        <v>#VALUE!</v>
      </c>
      <c r="Z753" s="751" t="e">
        <f aca="false">Z332</f>
        <v>#VALUE!</v>
      </c>
      <c r="AA753" s="751" t="e">
        <f aca="false">AA332</f>
        <v>#VALUE!</v>
      </c>
      <c r="AB753" s="751" t="e">
        <f aca="false">AB332</f>
        <v>#VALUE!</v>
      </c>
      <c r="AC753" s="751" t="e">
        <f aca="false">AC332</f>
        <v>#VALUE!</v>
      </c>
      <c r="AD753" s="751" t="e">
        <f aca="false">AD332</f>
        <v>#VALUE!</v>
      </c>
      <c r="AE753" s="751" t="e">
        <f aca="false">AE332</f>
        <v>#VALUE!</v>
      </c>
      <c r="AF753" s="751" t="e">
        <f aca="false">AF332</f>
        <v>#VALUE!</v>
      </c>
      <c r="AG753" s="751"/>
    </row>
    <row r="754" customFormat="false" ht="11.25" hidden="false" customHeight="false" outlineLevel="0" collapsed="false">
      <c r="A754" s="934"/>
      <c r="B754" s="751" t="str">
        <f aca="false">A333</f>
        <v>Non-Cash Interest and Dividends</v>
      </c>
      <c r="C754" s="346"/>
      <c r="D754" s="751"/>
      <c r="E754" s="751"/>
      <c r="F754" s="751"/>
      <c r="G754" s="751"/>
      <c r="H754" s="751"/>
      <c r="I754" s="751" t="n">
        <f aca="false">I333</f>
        <v>-0</v>
      </c>
      <c r="J754" s="981" t="n">
        <f aca="false">J333</f>
        <v>-0</v>
      </c>
      <c r="K754" s="751" t="n">
        <f aca="false">K333</f>
        <v>-0</v>
      </c>
      <c r="L754" s="751" t="n">
        <f aca="false">L333</f>
        <v>-0</v>
      </c>
      <c r="M754" s="751" t="n">
        <f aca="false">M333</f>
        <v>-0</v>
      </c>
      <c r="N754" s="751" t="n">
        <f aca="false">N333</f>
        <v>-0</v>
      </c>
      <c r="O754" s="751" t="n">
        <f aca="false">O333</f>
        <v>-0</v>
      </c>
      <c r="P754" s="751" t="n">
        <f aca="false">P333</f>
        <v>-0</v>
      </c>
      <c r="Q754" s="751" t="n">
        <f aca="false">Q333</f>
        <v>-0</v>
      </c>
      <c r="R754" s="751" t="n">
        <f aca="false">R333</f>
        <v>-0</v>
      </c>
      <c r="S754" s="751" t="n">
        <f aca="false">S333</f>
        <v>-0</v>
      </c>
      <c r="T754" s="751" t="n">
        <f aca="false">T333</f>
        <v>-0</v>
      </c>
      <c r="U754" s="751" t="n">
        <f aca="false">U333</f>
        <v>-0</v>
      </c>
      <c r="V754" s="751" t="n">
        <f aca="false">V333</f>
        <v>-0</v>
      </c>
      <c r="W754" s="751" t="n">
        <f aca="false">W333</f>
        <v>-0</v>
      </c>
      <c r="X754" s="751" t="n">
        <f aca="false">X333</f>
        <v>-0</v>
      </c>
      <c r="Y754" s="751" t="n">
        <f aca="false">Y333</f>
        <v>-0</v>
      </c>
      <c r="Z754" s="751" t="n">
        <f aca="false">Z333</f>
        <v>-0</v>
      </c>
      <c r="AA754" s="751" t="n">
        <f aca="false">AA333</f>
        <v>-0</v>
      </c>
      <c r="AB754" s="751" t="n">
        <f aca="false">AB333</f>
        <v>-0</v>
      </c>
      <c r="AC754" s="751" t="n">
        <f aca="false">AC333</f>
        <v>-0</v>
      </c>
      <c r="AD754" s="751" t="n">
        <f aca="false">AD333</f>
        <v>-0</v>
      </c>
      <c r="AE754" s="751" t="n">
        <f aca="false">AE333</f>
        <v>-0</v>
      </c>
      <c r="AF754" s="751" t="n">
        <f aca="false">AF333</f>
        <v>-0</v>
      </c>
      <c r="AG754" s="751"/>
    </row>
    <row r="755" customFormat="false" ht="11.25" hidden="false" customHeight="false" outlineLevel="0" collapsed="false">
      <c r="A755" s="934"/>
      <c r="B755" s="934" t="s">
        <v>1020</v>
      </c>
      <c r="C755" s="346"/>
      <c r="D755" s="751"/>
      <c r="E755" s="751"/>
      <c r="F755" s="751"/>
      <c r="G755" s="751"/>
      <c r="H755" s="751"/>
      <c r="I755" s="751" t="n">
        <f aca="false">-I615</f>
        <v>-0</v>
      </c>
      <c r="J755" s="981" t="n">
        <f aca="false">-J615</f>
        <v>-0</v>
      </c>
      <c r="K755" s="751" t="n">
        <f aca="false">-K615</f>
        <v>-0</v>
      </c>
      <c r="L755" s="751" t="n">
        <f aca="false">-L615</f>
        <v>-0</v>
      </c>
      <c r="M755" s="751" t="n">
        <f aca="false">-M615</f>
        <v>-0</v>
      </c>
      <c r="N755" s="751" t="n">
        <f aca="false">-N615</f>
        <v>-0</v>
      </c>
      <c r="O755" s="751" t="n">
        <f aca="false">-O615</f>
        <v>-0</v>
      </c>
      <c r="P755" s="751" t="n">
        <f aca="false">-P615</f>
        <v>-0</v>
      </c>
      <c r="Q755" s="751" t="n">
        <f aca="false">-Q615</f>
        <v>-0</v>
      </c>
      <c r="R755" s="751" t="n">
        <f aca="false">-R615</f>
        <v>-0</v>
      </c>
      <c r="S755" s="751" t="n">
        <f aca="false">-S615</f>
        <v>-0</v>
      </c>
      <c r="T755" s="751" t="n">
        <f aca="false">-T615</f>
        <v>-0</v>
      </c>
      <c r="U755" s="751" t="n">
        <f aca="false">-U615</f>
        <v>-0</v>
      </c>
      <c r="V755" s="751" t="n">
        <f aca="false">-V615</f>
        <v>-0</v>
      </c>
      <c r="W755" s="751" t="n">
        <f aca="false">-W615</f>
        <v>-0</v>
      </c>
      <c r="X755" s="751" t="n">
        <f aca="false">-X615</f>
        <v>-0</v>
      </c>
      <c r="Y755" s="751" t="n">
        <f aca="false">-Y615</f>
        <v>-0</v>
      </c>
      <c r="Z755" s="751" t="n">
        <f aca="false">-Z615</f>
        <v>-0</v>
      </c>
      <c r="AA755" s="751" t="n">
        <f aca="false">-AA615</f>
        <v>-0</v>
      </c>
      <c r="AB755" s="751" t="n">
        <f aca="false">-AB615</f>
        <v>-0</v>
      </c>
      <c r="AC755" s="751" t="n">
        <f aca="false">-AC615</f>
        <v>-0</v>
      </c>
      <c r="AD755" s="751" t="n">
        <f aca="false">-AD615</f>
        <v>-0</v>
      </c>
      <c r="AE755" s="751" t="n">
        <f aca="false">-AE615</f>
        <v>-0</v>
      </c>
      <c r="AF755" s="751" t="n">
        <f aca="false">-AF615</f>
        <v>-0</v>
      </c>
      <c r="AG755" s="751"/>
    </row>
    <row r="756" customFormat="false" ht="11.25" hidden="false" customHeight="false" outlineLevel="0" collapsed="false">
      <c r="A756" s="934"/>
      <c r="B756" s="751"/>
      <c r="C756" s="751"/>
      <c r="D756" s="751"/>
      <c r="E756" s="751"/>
      <c r="F756" s="751"/>
      <c r="G756" s="751"/>
      <c r="H756" s="751"/>
      <c r="I756" s="751"/>
      <c r="J756" s="981"/>
      <c r="K756" s="751"/>
      <c r="L756" s="751"/>
      <c r="M756" s="751"/>
      <c r="N756" s="751"/>
      <c r="O756" s="751"/>
      <c r="P756" s="751"/>
      <c r="Q756" s="751"/>
      <c r="R756" s="751"/>
      <c r="S756" s="751"/>
      <c r="T756" s="751"/>
      <c r="U756" s="751"/>
      <c r="V756" s="751"/>
      <c r="W756" s="751"/>
      <c r="X756" s="751"/>
      <c r="Y756" s="751"/>
      <c r="Z756" s="751"/>
      <c r="AA756" s="751"/>
      <c r="AB756" s="751"/>
      <c r="AC756" s="751"/>
      <c r="AD756" s="751"/>
      <c r="AE756" s="751"/>
      <c r="AF756" s="751"/>
      <c r="AG756" s="751"/>
    </row>
    <row r="757" customFormat="false" ht="11.25" hidden="false" customHeight="false" outlineLevel="0" collapsed="false">
      <c r="A757" s="955" t="s">
        <v>1021</v>
      </c>
      <c r="B757" s="751" t="str">
        <f aca="false">A540</f>
        <v>Accounts Receivable</v>
      </c>
      <c r="C757" s="751"/>
      <c r="D757" s="751"/>
      <c r="E757" s="751"/>
      <c r="F757" s="751"/>
      <c r="G757" s="751"/>
      <c r="H757" s="751"/>
      <c r="I757" s="751" t="e">
        <f aca="false">-I540+H540</f>
        <v>#VALUE!</v>
      </c>
      <c r="J757" s="981" t="e">
        <f aca="false">-J540+I540</f>
        <v>#VALUE!</v>
      </c>
      <c r="K757" s="751" t="e">
        <f aca="false">-K540+J540</f>
        <v>#VALUE!</v>
      </c>
      <c r="L757" s="751" t="e">
        <f aca="false">-L540+K540</f>
        <v>#VALUE!</v>
      </c>
      <c r="M757" s="751" t="e">
        <f aca="false">-M540+L540</f>
        <v>#VALUE!</v>
      </c>
      <c r="N757" s="751" t="e">
        <f aca="false">-N540+M540</f>
        <v>#VALUE!</v>
      </c>
      <c r="O757" s="751" t="e">
        <f aca="false">-O540+N540</f>
        <v>#VALUE!</v>
      </c>
      <c r="P757" s="751" t="e">
        <f aca="false">-P540+O540</f>
        <v>#VALUE!</v>
      </c>
      <c r="Q757" s="751" t="e">
        <f aca="false">-Q540+P540</f>
        <v>#VALUE!</v>
      </c>
      <c r="R757" s="751" t="e">
        <f aca="false">-R540+Q540</f>
        <v>#VALUE!</v>
      </c>
      <c r="S757" s="751" t="e">
        <f aca="false">-S540+R540</f>
        <v>#VALUE!</v>
      </c>
      <c r="T757" s="751" t="e">
        <f aca="false">-T540+S540</f>
        <v>#VALUE!</v>
      </c>
      <c r="U757" s="751" t="e">
        <f aca="false">-U540+T540</f>
        <v>#VALUE!</v>
      </c>
      <c r="V757" s="751" t="e">
        <f aca="false">-V540+U540</f>
        <v>#VALUE!</v>
      </c>
      <c r="W757" s="751" t="e">
        <f aca="false">-W540+V540</f>
        <v>#VALUE!</v>
      </c>
      <c r="X757" s="751" t="e">
        <f aca="false">-X540+W540</f>
        <v>#VALUE!</v>
      </c>
      <c r="Y757" s="751" t="e">
        <f aca="false">-Y540+X540</f>
        <v>#VALUE!</v>
      </c>
      <c r="Z757" s="751" t="e">
        <f aca="false">-Z540+Y540</f>
        <v>#VALUE!</v>
      </c>
      <c r="AA757" s="751" t="e">
        <f aca="false">-AA540+Z540</f>
        <v>#VALUE!</v>
      </c>
      <c r="AB757" s="751" t="e">
        <f aca="false">-AB540+AA540</f>
        <v>#VALUE!</v>
      </c>
      <c r="AC757" s="751" t="e">
        <f aca="false">-AC540+AB540</f>
        <v>#VALUE!</v>
      </c>
      <c r="AD757" s="751" t="e">
        <f aca="false">-AD540+AC540</f>
        <v>#VALUE!</v>
      </c>
      <c r="AE757" s="751" t="n">
        <f aca="false">-AE540+AD540</f>
        <v>0</v>
      </c>
      <c r="AF757" s="751" t="n">
        <f aca="false">-AF540+AE540</f>
        <v>0</v>
      </c>
      <c r="AG757" s="751"/>
    </row>
    <row r="758" customFormat="false" ht="11.25" hidden="false" customHeight="false" outlineLevel="0" collapsed="false">
      <c r="A758" s="955" t="s">
        <v>1022</v>
      </c>
      <c r="B758" s="751" t="str">
        <f aca="false">A541</f>
        <v>Inventories</v>
      </c>
      <c r="C758" s="751"/>
      <c r="D758" s="751"/>
      <c r="E758" s="751"/>
      <c r="F758" s="751"/>
      <c r="G758" s="751"/>
      <c r="H758" s="751"/>
      <c r="I758" s="751" t="n">
        <f aca="false">-I541+H541</f>
        <v>0</v>
      </c>
      <c r="J758" s="981" t="n">
        <f aca="false">-J541+I541</f>
        <v>0</v>
      </c>
      <c r="K758" s="751" t="n">
        <f aca="false">-K541+J541</f>
        <v>0</v>
      </c>
      <c r="L758" s="751" t="n">
        <f aca="false">-L541+K541</f>
        <v>0</v>
      </c>
      <c r="M758" s="751" t="n">
        <f aca="false">-M541+L541</f>
        <v>0</v>
      </c>
      <c r="N758" s="751" t="n">
        <f aca="false">-N541+M541</f>
        <v>0</v>
      </c>
      <c r="O758" s="751" t="n">
        <f aca="false">-O541+N541</f>
        <v>0</v>
      </c>
      <c r="P758" s="751" t="n">
        <f aca="false">-P541+O541</f>
        <v>0</v>
      </c>
      <c r="Q758" s="751" t="n">
        <f aca="false">-Q541+P541</f>
        <v>0</v>
      </c>
      <c r="R758" s="751" t="n">
        <f aca="false">-R541+Q541</f>
        <v>0</v>
      </c>
      <c r="S758" s="751" t="n">
        <f aca="false">-S541+R541</f>
        <v>0</v>
      </c>
      <c r="T758" s="751" t="n">
        <f aca="false">-T541+S541</f>
        <v>0</v>
      </c>
      <c r="U758" s="751" t="n">
        <f aca="false">-U541+T541</f>
        <v>0</v>
      </c>
      <c r="V758" s="751" t="n">
        <f aca="false">-V541+U541</f>
        <v>0</v>
      </c>
      <c r="W758" s="751" t="n">
        <f aca="false">-W541+V541</f>
        <v>0</v>
      </c>
      <c r="X758" s="751" t="n">
        <f aca="false">-X541+W541</f>
        <v>0</v>
      </c>
      <c r="Y758" s="751" t="n">
        <f aca="false">-Y541+X541</f>
        <v>0</v>
      </c>
      <c r="Z758" s="751" t="n">
        <f aca="false">-Z541+Y541</f>
        <v>0</v>
      </c>
      <c r="AA758" s="751" t="n">
        <f aca="false">-AA541+Z541</f>
        <v>0</v>
      </c>
      <c r="AB758" s="751" t="n">
        <f aca="false">-AB541+AA541</f>
        <v>0</v>
      </c>
      <c r="AC758" s="751" t="n">
        <f aca="false">-AC541+AB541</f>
        <v>0</v>
      </c>
      <c r="AD758" s="751" t="n">
        <f aca="false">-AD541+AC541</f>
        <v>0</v>
      </c>
      <c r="AE758" s="751" t="n">
        <f aca="false">-AE541+AD541</f>
        <v>0</v>
      </c>
      <c r="AF758" s="751" t="n">
        <f aca="false">-AF541+AE541</f>
        <v>0</v>
      </c>
      <c r="AG758" s="751"/>
    </row>
    <row r="759" customFormat="false" ht="11.25" hidden="false" customHeight="false" outlineLevel="0" collapsed="false">
      <c r="A759" s="955" t="s">
        <v>1023</v>
      </c>
      <c r="B759" s="751" t="str">
        <f aca="false">A542</f>
        <v>Other Current Assets</v>
      </c>
      <c r="C759" s="751"/>
      <c r="D759" s="751"/>
      <c r="E759" s="751"/>
      <c r="F759" s="751"/>
      <c r="G759" s="751"/>
      <c r="H759" s="751"/>
      <c r="I759" s="751" t="n">
        <f aca="false">-I542+H542</f>
        <v>0</v>
      </c>
      <c r="J759" s="981" t="n">
        <f aca="false">-J542+I542</f>
        <v>0</v>
      </c>
      <c r="K759" s="751" t="n">
        <f aca="false">-K542+J542</f>
        <v>0</v>
      </c>
      <c r="L759" s="751" t="n">
        <f aca="false">-L542+K542</f>
        <v>0</v>
      </c>
      <c r="M759" s="751" t="n">
        <f aca="false">-M542+L542</f>
        <v>0</v>
      </c>
      <c r="N759" s="751" t="n">
        <f aca="false">-N542+M542</f>
        <v>0</v>
      </c>
      <c r="O759" s="751" t="n">
        <f aca="false">-O542+N542</f>
        <v>0</v>
      </c>
      <c r="P759" s="751" t="n">
        <f aca="false">-P542+O542</f>
        <v>0</v>
      </c>
      <c r="Q759" s="751" t="n">
        <f aca="false">-Q542+P542</f>
        <v>0</v>
      </c>
      <c r="R759" s="751" t="n">
        <f aca="false">-R542+Q542</f>
        <v>0</v>
      </c>
      <c r="S759" s="751" t="n">
        <f aca="false">-S542+R542</f>
        <v>0</v>
      </c>
      <c r="T759" s="751" t="n">
        <f aca="false">-T542+S542</f>
        <v>0</v>
      </c>
      <c r="U759" s="751" t="n">
        <f aca="false">-U542+T542</f>
        <v>0</v>
      </c>
      <c r="V759" s="751" t="n">
        <f aca="false">-V542+U542</f>
        <v>0</v>
      </c>
      <c r="W759" s="751" t="n">
        <f aca="false">-W542+V542</f>
        <v>0</v>
      </c>
      <c r="X759" s="751" t="n">
        <f aca="false">-X542+W542</f>
        <v>0</v>
      </c>
      <c r="Y759" s="751" t="n">
        <f aca="false">-Y542+X542</f>
        <v>0</v>
      </c>
      <c r="Z759" s="751" t="n">
        <f aca="false">-Z542+Y542</f>
        <v>0</v>
      </c>
      <c r="AA759" s="751" t="n">
        <f aca="false">-AA542+Z542</f>
        <v>0</v>
      </c>
      <c r="AB759" s="751" t="n">
        <f aca="false">-AB542+AA542</f>
        <v>0</v>
      </c>
      <c r="AC759" s="751" t="n">
        <f aca="false">-AC542+AB542</f>
        <v>0</v>
      </c>
      <c r="AD759" s="751" t="n">
        <f aca="false">-AD542+AC542</f>
        <v>0</v>
      </c>
      <c r="AE759" s="751" t="n">
        <f aca="false">-AE542+AD542</f>
        <v>0</v>
      </c>
      <c r="AF759" s="751" t="n">
        <f aca="false">-AF542+AE542</f>
        <v>0</v>
      </c>
      <c r="AG759" s="751"/>
    </row>
    <row r="760" customFormat="false" ht="11.25" hidden="false" customHeight="false" outlineLevel="0" collapsed="false">
      <c r="A760" s="934"/>
      <c r="B760" s="751" t="str">
        <f aca="false">A543</f>
        <v>Accounts Payable</v>
      </c>
      <c r="C760" s="751"/>
      <c r="D760" s="751"/>
      <c r="E760" s="751"/>
      <c r="F760" s="751"/>
      <c r="G760" s="751"/>
      <c r="H760" s="751"/>
      <c r="I760" s="751" t="e">
        <f aca="false">I543-H543</f>
        <v>#VALUE!</v>
      </c>
      <c r="J760" s="981" t="e">
        <f aca="false">J543-I543</f>
        <v>#VALUE!</v>
      </c>
      <c r="K760" s="751" t="e">
        <f aca="false">K543-J543</f>
        <v>#VALUE!</v>
      </c>
      <c r="L760" s="751" t="e">
        <f aca="false">L543-K543</f>
        <v>#VALUE!</v>
      </c>
      <c r="M760" s="751" t="e">
        <f aca="false">M543-L543</f>
        <v>#VALUE!</v>
      </c>
      <c r="N760" s="751" t="e">
        <f aca="false">N543-M543</f>
        <v>#VALUE!</v>
      </c>
      <c r="O760" s="751" t="e">
        <f aca="false">O543-N543</f>
        <v>#VALUE!</v>
      </c>
      <c r="P760" s="751" t="e">
        <f aca="false">P543-O543</f>
        <v>#VALUE!</v>
      </c>
      <c r="Q760" s="751" t="e">
        <f aca="false">Q543-P543</f>
        <v>#VALUE!</v>
      </c>
      <c r="R760" s="751" t="e">
        <f aca="false">R543-Q543</f>
        <v>#VALUE!</v>
      </c>
      <c r="S760" s="751" t="e">
        <f aca="false">S543-R543</f>
        <v>#VALUE!</v>
      </c>
      <c r="T760" s="751" t="e">
        <f aca="false">T543-S543</f>
        <v>#VALUE!</v>
      </c>
      <c r="U760" s="751" t="e">
        <f aca="false">U543-T543</f>
        <v>#VALUE!</v>
      </c>
      <c r="V760" s="751" t="e">
        <f aca="false">V543-U543</f>
        <v>#VALUE!</v>
      </c>
      <c r="W760" s="751" t="e">
        <f aca="false">W543-V543</f>
        <v>#VALUE!</v>
      </c>
      <c r="X760" s="751" t="e">
        <f aca="false">X543-W543</f>
        <v>#VALUE!</v>
      </c>
      <c r="Y760" s="751" t="e">
        <f aca="false">Y543-X543</f>
        <v>#VALUE!</v>
      </c>
      <c r="Z760" s="751" t="e">
        <f aca="false">Z543-Y543</f>
        <v>#VALUE!</v>
      </c>
      <c r="AA760" s="751" t="e">
        <f aca="false">AA543-Z543</f>
        <v>#VALUE!</v>
      </c>
      <c r="AB760" s="751" t="e">
        <f aca="false">AB543-AA543</f>
        <v>#VALUE!</v>
      </c>
      <c r="AC760" s="751" t="e">
        <f aca="false">AC543-AB543</f>
        <v>#VALUE!</v>
      </c>
      <c r="AD760" s="751" t="e">
        <f aca="false">AD543-AC543</f>
        <v>#VALUE!</v>
      </c>
      <c r="AE760" s="751" t="n">
        <f aca="false">AE543-AD543</f>
        <v>0</v>
      </c>
      <c r="AF760" s="751" t="n">
        <f aca="false">AF543-AE543</f>
        <v>0</v>
      </c>
      <c r="AG760" s="751"/>
    </row>
    <row r="761" customFormat="false" ht="11.25" hidden="false" customHeight="false" outlineLevel="0" collapsed="false">
      <c r="A761" s="934"/>
      <c r="B761" s="751" t="str">
        <f aca="false">A544</f>
        <v>Accrued Expenses</v>
      </c>
      <c r="C761" s="751"/>
      <c r="D761" s="751"/>
      <c r="E761" s="751"/>
      <c r="F761" s="751"/>
      <c r="G761" s="751"/>
      <c r="H761" s="751"/>
      <c r="I761" s="751" t="e">
        <f aca="false">I544-H544</f>
        <v>#VALUE!</v>
      </c>
      <c r="J761" s="981" t="e">
        <f aca="false">J544-I544</f>
        <v>#VALUE!</v>
      </c>
      <c r="K761" s="751" t="e">
        <f aca="false">K544-J544</f>
        <v>#VALUE!</v>
      </c>
      <c r="L761" s="751" t="e">
        <f aca="false">L544-K544</f>
        <v>#VALUE!</v>
      </c>
      <c r="M761" s="751" t="e">
        <f aca="false">M544-L544</f>
        <v>#VALUE!</v>
      </c>
      <c r="N761" s="751" t="e">
        <f aca="false">N544-M544</f>
        <v>#VALUE!</v>
      </c>
      <c r="O761" s="751" t="e">
        <f aca="false">O544-N544</f>
        <v>#VALUE!</v>
      </c>
      <c r="P761" s="751" t="e">
        <f aca="false">P544-O544</f>
        <v>#VALUE!</v>
      </c>
      <c r="Q761" s="751" t="e">
        <f aca="false">Q544-P544</f>
        <v>#VALUE!</v>
      </c>
      <c r="R761" s="751" t="e">
        <f aca="false">R544-Q544</f>
        <v>#VALUE!</v>
      </c>
      <c r="S761" s="751" t="e">
        <f aca="false">S544-R544</f>
        <v>#VALUE!</v>
      </c>
      <c r="T761" s="751" t="e">
        <f aca="false">T544-S544</f>
        <v>#VALUE!</v>
      </c>
      <c r="U761" s="751" t="e">
        <f aca="false">U544-T544</f>
        <v>#VALUE!</v>
      </c>
      <c r="V761" s="751" t="e">
        <f aca="false">V544-U544</f>
        <v>#VALUE!</v>
      </c>
      <c r="W761" s="751" t="e">
        <f aca="false">W544-V544</f>
        <v>#VALUE!</v>
      </c>
      <c r="X761" s="751" t="e">
        <f aca="false">X544-W544</f>
        <v>#VALUE!</v>
      </c>
      <c r="Y761" s="751" t="e">
        <f aca="false">Y544-X544</f>
        <v>#VALUE!</v>
      </c>
      <c r="Z761" s="751" t="e">
        <f aca="false">Z544-Y544</f>
        <v>#VALUE!</v>
      </c>
      <c r="AA761" s="751" t="e">
        <f aca="false">AA544-Z544</f>
        <v>#VALUE!</v>
      </c>
      <c r="AB761" s="751" t="e">
        <f aca="false">AB544-AA544</f>
        <v>#VALUE!</v>
      </c>
      <c r="AC761" s="751" t="e">
        <f aca="false">AC544-AB544</f>
        <v>#VALUE!</v>
      </c>
      <c r="AD761" s="751" t="e">
        <f aca="false">AD544-AC544</f>
        <v>#VALUE!</v>
      </c>
      <c r="AE761" s="751" t="n">
        <f aca="false">AE544-AD544</f>
        <v>0</v>
      </c>
      <c r="AF761" s="751" t="n">
        <f aca="false">AF544-AE544</f>
        <v>0</v>
      </c>
      <c r="AG761" s="751"/>
    </row>
    <row r="762" customFormat="false" ht="11.25" hidden="false" customHeight="false" outlineLevel="0" collapsed="false">
      <c r="A762" s="934"/>
      <c r="B762" s="751" t="str">
        <f aca="false">A545</f>
        <v>Other Payables</v>
      </c>
      <c r="C762" s="751"/>
      <c r="D762" s="751"/>
      <c r="E762" s="751"/>
      <c r="F762" s="751"/>
      <c r="G762" s="751"/>
      <c r="H762" s="751"/>
      <c r="I762" s="751" t="e">
        <f aca="false">I545-H545</f>
        <v>#VALUE!</v>
      </c>
      <c r="J762" s="981" t="e">
        <f aca="false">J545-I545</f>
        <v>#VALUE!</v>
      </c>
      <c r="K762" s="751" t="n">
        <f aca="false">K545-J545</f>
        <v>0</v>
      </c>
      <c r="L762" s="751" t="n">
        <f aca="false">L545-K545</f>
        <v>0</v>
      </c>
      <c r="M762" s="751" t="n">
        <f aca="false">M545-L545</f>
        <v>0</v>
      </c>
      <c r="N762" s="751" t="n">
        <f aca="false">N545-M545</f>
        <v>0</v>
      </c>
      <c r="O762" s="751" t="n">
        <f aca="false">O545-N545</f>
        <v>0</v>
      </c>
      <c r="P762" s="751" t="n">
        <f aca="false">P545-O545</f>
        <v>0</v>
      </c>
      <c r="Q762" s="751" t="n">
        <f aca="false">Q545-P545</f>
        <v>0</v>
      </c>
      <c r="R762" s="751" t="n">
        <f aca="false">R545-Q545</f>
        <v>0</v>
      </c>
      <c r="S762" s="751" t="n">
        <f aca="false">S545-R545</f>
        <v>0</v>
      </c>
      <c r="T762" s="751" t="n">
        <f aca="false">T545-S545</f>
        <v>0</v>
      </c>
      <c r="U762" s="751" t="n">
        <f aca="false">U545-T545</f>
        <v>0</v>
      </c>
      <c r="V762" s="751" t="n">
        <f aca="false">V545-U545</f>
        <v>0</v>
      </c>
      <c r="W762" s="751" t="n">
        <f aca="false">W545-V545</f>
        <v>0</v>
      </c>
      <c r="X762" s="751" t="n">
        <f aca="false">X545-W545</f>
        <v>0</v>
      </c>
      <c r="Y762" s="751" t="n">
        <f aca="false">Y545-X545</f>
        <v>0</v>
      </c>
      <c r="Z762" s="751" t="n">
        <f aca="false">Z545-Y545</f>
        <v>0</v>
      </c>
      <c r="AA762" s="751" t="n">
        <f aca="false">AA545-Z545</f>
        <v>0</v>
      </c>
      <c r="AB762" s="751" t="n">
        <f aca="false">AB545-AA545</f>
        <v>0</v>
      </c>
      <c r="AC762" s="751" t="n">
        <f aca="false">AC545-AB545</f>
        <v>0</v>
      </c>
      <c r="AD762" s="751" t="n">
        <f aca="false">AD545-AC545</f>
        <v>0</v>
      </c>
      <c r="AE762" s="751" t="n">
        <f aca="false">AE545-AD545</f>
        <v>0</v>
      </c>
      <c r="AF762" s="751" t="n">
        <f aca="false">AF545-AE545</f>
        <v>0</v>
      </c>
      <c r="AG762" s="751"/>
    </row>
    <row r="763" customFormat="false" ht="11.25" hidden="false" customHeight="false" outlineLevel="0" collapsed="false">
      <c r="A763" s="1203" t="str">
        <f aca="false">A749</f>
        <v>Cash Flow From Operating Activities:</v>
      </c>
      <c r="B763" s="751"/>
      <c r="C763" s="751"/>
      <c r="D763" s="751"/>
      <c r="E763" s="751"/>
      <c r="F763" s="751"/>
      <c r="G763" s="751"/>
      <c r="H763" s="751"/>
      <c r="I763" s="961" t="e">
        <f aca="false">SUM(I750:I762)</f>
        <v>#VALUE!</v>
      </c>
      <c r="J763" s="1204" t="e">
        <f aca="false">SUM(J750:J762)</f>
        <v>#VALUE!</v>
      </c>
      <c r="K763" s="961" t="e">
        <f aca="false">SUM(K750:K762)</f>
        <v>#VALUE!</v>
      </c>
      <c r="L763" s="961" t="e">
        <f aca="false">SUM(L750:L762)</f>
        <v>#VALUE!</v>
      </c>
      <c r="M763" s="961" t="e">
        <f aca="false">SUM(M750:M762)</f>
        <v>#VALUE!</v>
      </c>
      <c r="N763" s="961" t="e">
        <f aca="false">SUM(N750:N762)</f>
        <v>#VALUE!</v>
      </c>
      <c r="O763" s="961" t="e">
        <f aca="false">SUM(O750:O762)</f>
        <v>#VALUE!</v>
      </c>
      <c r="P763" s="961" t="e">
        <f aca="false">SUM(P750:P762)</f>
        <v>#VALUE!</v>
      </c>
      <c r="Q763" s="961" t="e">
        <f aca="false">SUM(Q750:Q762)</f>
        <v>#VALUE!</v>
      </c>
      <c r="R763" s="961" t="e">
        <f aca="false">SUM(R750:R762)</f>
        <v>#VALUE!</v>
      </c>
      <c r="S763" s="961" t="e">
        <f aca="false">SUM(S750:S762)</f>
        <v>#VALUE!</v>
      </c>
      <c r="T763" s="961" t="e">
        <f aca="false">SUM(T750:T762)</f>
        <v>#VALUE!</v>
      </c>
      <c r="U763" s="961" t="e">
        <f aca="false">SUM(U750:U762)</f>
        <v>#VALUE!</v>
      </c>
      <c r="V763" s="961" t="e">
        <f aca="false">SUM(V750:V762)</f>
        <v>#VALUE!</v>
      </c>
      <c r="W763" s="961" t="e">
        <f aca="false">SUM(W750:W762)</f>
        <v>#VALUE!</v>
      </c>
      <c r="X763" s="961" t="e">
        <f aca="false">SUM(X750:X762)</f>
        <v>#VALUE!</v>
      </c>
      <c r="Y763" s="961" t="e">
        <f aca="false">SUM(Y750:Y762)</f>
        <v>#VALUE!</v>
      </c>
      <c r="Z763" s="961" t="e">
        <f aca="false">SUM(Z750:Z762)</f>
        <v>#VALUE!</v>
      </c>
      <c r="AA763" s="961" t="e">
        <f aca="false">SUM(AA750:AA762)</f>
        <v>#VALUE!</v>
      </c>
      <c r="AB763" s="961" t="e">
        <f aca="false">SUM(AB750:AB762)</f>
        <v>#VALUE!</v>
      </c>
      <c r="AC763" s="961" t="e">
        <f aca="false">SUM(AC750:AC762)</f>
        <v>#VALUE!</v>
      </c>
      <c r="AD763" s="961" t="e">
        <f aca="false">SUM(AD750:AD762)</f>
        <v>#VALUE!</v>
      </c>
      <c r="AE763" s="961" t="e">
        <f aca="false">SUM(AE750:AE762)</f>
        <v>#VALUE!</v>
      </c>
      <c r="AF763" s="961" t="e">
        <f aca="false">SUM(AF750:AF762)</f>
        <v>#VALUE!</v>
      </c>
      <c r="AG763" s="751"/>
    </row>
    <row r="764" customFormat="false" ht="11.25" hidden="false" customHeight="false" outlineLevel="0" collapsed="false">
      <c r="A764" s="934"/>
      <c r="B764" s="751"/>
      <c r="C764" s="751"/>
      <c r="D764" s="751"/>
      <c r="E764" s="751"/>
      <c r="F764" s="751"/>
      <c r="G764" s="751"/>
      <c r="H764" s="751"/>
      <c r="I764" s="751"/>
      <c r="J764" s="981"/>
      <c r="K764" s="751"/>
      <c r="L764" s="751"/>
      <c r="M764" s="751"/>
      <c r="N764" s="751"/>
      <c r="O764" s="751"/>
      <c r="P764" s="751"/>
      <c r="Q764" s="751"/>
      <c r="R764" s="751"/>
      <c r="S764" s="751"/>
      <c r="T764" s="751"/>
      <c r="U764" s="751"/>
      <c r="V764" s="751"/>
      <c r="W764" s="751"/>
      <c r="X764" s="751"/>
      <c r="Y764" s="751"/>
      <c r="Z764" s="751"/>
      <c r="AA764" s="751"/>
      <c r="AB764" s="751"/>
      <c r="AC764" s="751"/>
      <c r="AD764" s="751"/>
      <c r="AE764" s="751"/>
      <c r="AF764" s="751"/>
      <c r="AG764" s="751"/>
    </row>
    <row r="765" customFormat="false" ht="11.25" hidden="false" customHeight="false" outlineLevel="0" collapsed="false">
      <c r="A765" s="934"/>
      <c r="B765" s="751"/>
      <c r="C765" s="751"/>
      <c r="D765" s="751"/>
      <c r="E765" s="751"/>
      <c r="F765" s="751"/>
      <c r="G765" s="751"/>
      <c r="H765" s="751"/>
      <c r="I765" s="751"/>
      <c r="J765" s="981"/>
      <c r="K765" s="751"/>
      <c r="L765" s="751"/>
      <c r="M765" s="751"/>
      <c r="N765" s="751"/>
      <c r="O765" s="751"/>
      <c r="P765" s="751"/>
      <c r="Q765" s="751"/>
      <c r="R765" s="751"/>
      <c r="S765" s="751"/>
      <c r="T765" s="751"/>
      <c r="U765" s="751"/>
      <c r="V765" s="751"/>
      <c r="W765" s="751"/>
      <c r="X765" s="751"/>
      <c r="Y765" s="751"/>
      <c r="Z765" s="751"/>
      <c r="AA765" s="751"/>
      <c r="AB765" s="751"/>
      <c r="AC765" s="751"/>
      <c r="AD765" s="751"/>
      <c r="AE765" s="751"/>
      <c r="AF765" s="751"/>
      <c r="AG765" s="751"/>
    </row>
    <row r="766" customFormat="false" ht="11.25" hidden="false" customHeight="false" outlineLevel="0" collapsed="false">
      <c r="A766" s="1203" t="s">
        <v>1024</v>
      </c>
      <c r="B766" s="751"/>
      <c r="C766" s="751"/>
      <c r="D766" s="751"/>
      <c r="E766" s="751"/>
      <c r="F766" s="751"/>
      <c r="G766" s="751"/>
      <c r="H766" s="751"/>
      <c r="I766" s="751"/>
      <c r="J766" s="981"/>
      <c r="K766" s="751"/>
      <c r="L766" s="751"/>
      <c r="M766" s="751"/>
      <c r="N766" s="751"/>
      <c r="O766" s="751"/>
      <c r="P766" s="751"/>
      <c r="Q766" s="751"/>
      <c r="R766" s="751"/>
      <c r="S766" s="751"/>
      <c r="T766" s="751"/>
      <c r="U766" s="751"/>
      <c r="V766" s="751"/>
      <c r="W766" s="751"/>
      <c r="X766" s="751"/>
      <c r="Y766" s="751"/>
      <c r="Z766" s="751"/>
      <c r="AA766" s="751"/>
      <c r="AB766" s="751"/>
      <c r="AC766" s="751"/>
      <c r="AD766" s="751"/>
      <c r="AE766" s="751"/>
      <c r="AF766" s="751"/>
      <c r="AG766" s="751"/>
    </row>
    <row r="767" customFormat="false" ht="11.25" hidden="false" customHeight="false" outlineLevel="0" collapsed="false">
      <c r="A767" s="751"/>
      <c r="B767" s="751" t="str">
        <f aca="false">A335</f>
        <v>Net Proceeds from Sale of Assets</v>
      </c>
      <c r="C767" s="751"/>
      <c r="D767" s="751"/>
      <c r="E767" s="751"/>
      <c r="F767" s="751"/>
      <c r="G767" s="751"/>
      <c r="H767" s="751"/>
      <c r="I767" s="751" t="n">
        <f aca="false">I335</f>
        <v>0</v>
      </c>
      <c r="J767" s="981" t="n">
        <f aca="false">J335</f>
        <v>0</v>
      </c>
      <c r="K767" s="751" t="n">
        <f aca="false">K335</f>
        <v>0</v>
      </c>
      <c r="L767" s="751" t="n">
        <f aca="false">L335</f>
        <v>0</v>
      </c>
      <c r="M767" s="751" t="n">
        <f aca="false">M335</f>
        <v>0</v>
      </c>
      <c r="N767" s="751" t="n">
        <f aca="false">N335</f>
        <v>0</v>
      </c>
      <c r="O767" s="751" t="n">
        <f aca="false">O335</f>
        <v>0</v>
      </c>
      <c r="P767" s="751" t="n">
        <f aca="false">P335</f>
        <v>0</v>
      </c>
      <c r="Q767" s="751" t="n">
        <f aca="false">Q335</f>
        <v>0</v>
      </c>
      <c r="R767" s="751" t="n">
        <f aca="false">R335</f>
        <v>0</v>
      </c>
      <c r="S767" s="751" t="n">
        <f aca="false">S335</f>
        <v>0</v>
      </c>
      <c r="T767" s="751" t="n">
        <f aca="false">T335</f>
        <v>0</v>
      </c>
      <c r="U767" s="751" t="n">
        <f aca="false">U335</f>
        <v>0</v>
      </c>
      <c r="V767" s="751" t="n">
        <f aca="false">V335</f>
        <v>0</v>
      </c>
      <c r="W767" s="751" t="n">
        <f aca="false">W335</f>
        <v>0</v>
      </c>
      <c r="X767" s="751" t="n">
        <f aca="false">X335</f>
        <v>0</v>
      </c>
      <c r="Y767" s="751" t="n">
        <f aca="false">Y335</f>
        <v>0</v>
      </c>
      <c r="Z767" s="751" t="n">
        <f aca="false">Z335</f>
        <v>0</v>
      </c>
      <c r="AA767" s="751" t="n">
        <f aca="false">AA335</f>
        <v>0</v>
      </c>
      <c r="AB767" s="751" t="n">
        <f aca="false">AB335</f>
        <v>0</v>
      </c>
      <c r="AC767" s="751" t="n">
        <f aca="false">AC335</f>
        <v>0</v>
      </c>
      <c r="AD767" s="751" t="n">
        <f aca="false">AD335</f>
        <v>0</v>
      </c>
      <c r="AE767" s="751" t="n">
        <f aca="false">AE335</f>
        <v>0</v>
      </c>
      <c r="AF767" s="751" t="n">
        <f aca="false">AF335</f>
        <v>0</v>
      </c>
      <c r="AG767" s="751"/>
    </row>
    <row r="768" customFormat="false" ht="11.25" hidden="false" customHeight="false" outlineLevel="0" collapsed="false">
      <c r="A768" s="751"/>
      <c r="B768" s="751" t="str">
        <f aca="false">A339</f>
        <v>Total Capital Expenditures</v>
      </c>
      <c r="C768" s="751"/>
      <c r="D768" s="751"/>
      <c r="E768" s="751"/>
      <c r="F768" s="751"/>
      <c r="G768" s="751"/>
      <c r="H768" s="751"/>
      <c r="I768" s="751" t="n">
        <f aca="false">-I339</f>
        <v>-0</v>
      </c>
      <c r="J768" s="981" t="n">
        <f aca="false">-J339</f>
        <v>-0</v>
      </c>
      <c r="K768" s="751" t="n">
        <f aca="false">-K339</f>
        <v>-0</v>
      </c>
      <c r="L768" s="751" t="n">
        <f aca="false">-L339</f>
        <v>-0</v>
      </c>
      <c r="M768" s="751" t="n">
        <f aca="false">-M339</f>
        <v>-0</v>
      </c>
      <c r="N768" s="751" t="n">
        <f aca="false">-N339</f>
        <v>-0</v>
      </c>
      <c r="O768" s="751" t="n">
        <f aca="false">-O339</f>
        <v>-0</v>
      </c>
      <c r="P768" s="751" t="n">
        <f aca="false">-P339</f>
        <v>-0</v>
      </c>
      <c r="Q768" s="751" t="n">
        <f aca="false">-Q339</f>
        <v>-0</v>
      </c>
      <c r="R768" s="751" t="n">
        <f aca="false">-R339</f>
        <v>-0</v>
      </c>
      <c r="S768" s="751" t="n">
        <f aca="false">-S339</f>
        <v>-0</v>
      </c>
      <c r="T768" s="751" t="n">
        <f aca="false">-T339</f>
        <v>-0</v>
      </c>
      <c r="U768" s="751" t="n">
        <f aca="false">-U339</f>
        <v>-0</v>
      </c>
      <c r="V768" s="751" t="n">
        <f aca="false">-V339</f>
        <v>-0</v>
      </c>
      <c r="W768" s="751" t="n">
        <f aca="false">-W339</f>
        <v>-0</v>
      </c>
      <c r="X768" s="751" t="n">
        <f aca="false">-X339</f>
        <v>-0</v>
      </c>
      <c r="Y768" s="751" t="n">
        <f aca="false">-Y339</f>
        <v>-0</v>
      </c>
      <c r="Z768" s="751" t="n">
        <f aca="false">-Z339</f>
        <v>-0</v>
      </c>
      <c r="AA768" s="751" t="n">
        <f aca="false">-AA339</f>
        <v>-0</v>
      </c>
      <c r="AB768" s="751" t="n">
        <f aca="false">-AB339</f>
        <v>-0</v>
      </c>
      <c r="AC768" s="751" t="n">
        <f aca="false">-AC339</f>
        <v>-0</v>
      </c>
      <c r="AD768" s="751" t="n">
        <f aca="false">-AD339</f>
        <v>-0</v>
      </c>
      <c r="AE768" s="751" t="n">
        <f aca="false">-AE339</f>
        <v>-0</v>
      </c>
      <c r="AF768" s="751" t="n">
        <f aca="false">-AF339</f>
        <v>-0</v>
      </c>
      <c r="AG768" s="751"/>
    </row>
    <row r="769" customFormat="false" ht="11.25" hidden="false" customHeight="false" outlineLevel="0" collapsed="false">
      <c r="A769" s="751"/>
      <c r="B769" s="751" t="str">
        <f aca="false">A334</f>
        <v>Increase/(Decrease) in Other Liabilities</v>
      </c>
      <c r="C769" s="751"/>
      <c r="D769" s="751"/>
      <c r="E769" s="751"/>
      <c r="F769" s="751"/>
      <c r="G769" s="751"/>
      <c r="H769" s="751"/>
      <c r="I769" s="751" t="n">
        <f aca="false">I334</f>
        <v>0</v>
      </c>
      <c r="J769" s="981" t="n">
        <f aca="false">J334</f>
        <v>0</v>
      </c>
      <c r="K769" s="751" t="n">
        <f aca="false">K334</f>
        <v>0</v>
      </c>
      <c r="L769" s="751" t="n">
        <f aca="false">L334</f>
        <v>0</v>
      </c>
      <c r="M769" s="751" t="n">
        <f aca="false">M334</f>
        <v>0</v>
      </c>
      <c r="N769" s="751" t="n">
        <f aca="false">N334</f>
        <v>0</v>
      </c>
      <c r="O769" s="751" t="n">
        <f aca="false">O334</f>
        <v>0</v>
      </c>
      <c r="P769" s="751" t="n">
        <f aca="false">P334</f>
        <v>0</v>
      </c>
      <c r="Q769" s="751" t="n">
        <f aca="false">Q334</f>
        <v>0</v>
      </c>
      <c r="R769" s="751" t="n">
        <f aca="false">R334</f>
        <v>0</v>
      </c>
      <c r="S769" s="751" t="n">
        <f aca="false">S334</f>
        <v>0</v>
      </c>
      <c r="T769" s="751" t="n">
        <f aca="false">T334</f>
        <v>0</v>
      </c>
      <c r="U769" s="751" t="n">
        <f aca="false">U334</f>
        <v>0</v>
      </c>
      <c r="V769" s="751" t="n">
        <f aca="false">V334</f>
        <v>0</v>
      </c>
      <c r="W769" s="751" t="n">
        <f aca="false">W334</f>
        <v>0</v>
      </c>
      <c r="X769" s="751" t="n">
        <f aca="false">X334</f>
        <v>0</v>
      </c>
      <c r="Y769" s="751" t="n">
        <f aca="false">Y334</f>
        <v>0</v>
      </c>
      <c r="Z769" s="751" t="n">
        <f aca="false">Z334</f>
        <v>0</v>
      </c>
      <c r="AA769" s="751" t="n">
        <f aca="false">AA334</f>
        <v>0</v>
      </c>
      <c r="AB769" s="751" t="n">
        <f aca="false">AB334</f>
        <v>0</v>
      </c>
      <c r="AC769" s="751" t="n">
        <f aca="false">AC334</f>
        <v>0</v>
      </c>
      <c r="AD769" s="751" t="n">
        <f aca="false">AD334</f>
        <v>0</v>
      </c>
      <c r="AE769" s="751" t="n">
        <f aca="false">AE334</f>
        <v>0</v>
      </c>
      <c r="AF769" s="751" t="n">
        <f aca="false">AF334</f>
        <v>0</v>
      </c>
      <c r="AG769" s="751"/>
    </row>
    <row r="770" customFormat="false" ht="11.25" hidden="false" customHeight="false" outlineLevel="0" collapsed="false">
      <c r="A770" s="751"/>
      <c r="B770" s="751" t="str">
        <f aca="false">A342</f>
        <v>Increase/(Decrease) in Other Assets (DS Reserve)</v>
      </c>
      <c r="C770" s="751"/>
      <c r="D770" s="751"/>
      <c r="E770" s="751"/>
      <c r="F770" s="751"/>
      <c r="G770" s="751"/>
      <c r="H770" s="751"/>
      <c r="I770" s="751" t="e">
        <f aca="false">-I342</f>
        <v>#VALUE!</v>
      </c>
      <c r="J770" s="981" t="e">
        <f aca="false">-J342</f>
        <v>#VALUE!</v>
      </c>
      <c r="K770" s="751" t="e">
        <f aca="false">-K342</f>
        <v>#VALUE!</v>
      </c>
      <c r="L770" s="751" t="e">
        <f aca="false">-L342</f>
        <v>#VALUE!</v>
      </c>
      <c r="M770" s="751" t="e">
        <f aca="false">-M342</f>
        <v>#VALUE!</v>
      </c>
      <c r="N770" s="751" t="e">
        <f aca="false">-N342</f>
        <v>#VALUE!</v>
      </c>
      <c r="O770" s="751" t="e">
        <f aca="false">-O342</f>
        <v>#VALUE!</v>
      </c>
      <c r="P770" s="751" t="e">
        <f aca="false">-P342</f>
        <v>#VALUE!</v>
      </c>
      <c r="Q770" s="751" t="e">
        <f aca="false">-Q342</f>
        <v>#VALUE!</v>
      </c>
      <c r="R770" s="751" t="e">
        <f aca="false">-R342</f>
        <v>#VALUE!</v>
      </c>
      <c r="S770" s="751" t="e">
        <f aca="false">-S342</f>
        <v>#VALUE!</v>
      </c>
      <c r="T770" s="751" t="e">
        <f aca="false">-T342</f>
        <v>#VALUE!</v>
      </c>
      <c r="U770" s="751" t="e">
        <f aca="false">-U342</f>
        <v>#VALUE!</v>
      </c>
      <c r="V770" s="751" t="e">
        <f aca="false">-V342</f>
        <v>#VALUE!</v>
      </c>
      <c r="W770" s="751" t="e">
        <f aca="false">-W342</f>
        <v>#VALUE!</v>
      </c>
      <c r="X770" s="751" t="e">
        <f aca="false">-X342</f>
        <v>#VALUE!</v>
      </c>
      <c r="Y770" s="751" t="e">
        <f aca="false">-Y342</f>
        <v>#VALUE!</v>
      </c>
      <c r="Z770" s="751" t="e">
        <f aca="false">-Z342</f>
        <v>#VALUE!</v>
      </c>
      <c r="AA770" s="751" t="e">
        <f aca="false">-AA342</f>
        <v>#VALUE!</v>
      </c>
      <c r="AB770" s="751" t="e">
        <f aca="false">-AB342</f>
        <v>#VALUE!</v>
      </c>
      <c r="AC770" s="751" t="e">
        <f aca="false">-AC342</f>
        <v>#VALUE!</v>
      </c>
      <c r="AD770" s="751" t="e">
        <f aca="false">-AD342</f>
        <v>#VALUE!</v>
      </c>
      <c r="AE770" s="751" t="e">
        <f aca="false">-AE342</f>
        <v>#VALUE!</v>
      </c>
      <c r="AF770" s="751" t="e">
        <f aca="false">-AF342</f>
        <v>#VALUE!</v>
      </c>
      <c r="AG770" s="751"/>
    </row>
    <row r="771" customFormat="false" ht="11.25" hidden="false" customHeight="false" outlineLevel="0" collapsed="false">
      <c r="A771" s="751"/>
      <c r="B771" s="751" t="s">
        <v>403</v>
      </c>
      <c r="C771" s="751"/>
      <c r="D771" s="751"/>
      <c r="E771" s="751"/>
      <c r="F771" s="751"/>
      <c r="G771" s="751"/>
      <c r="H771" s="751"/>
      <c r="I771" s="751" t="n">
        <f aca="false">-I340</f>
        <v>-0</v>
      </c>
      <c r="J771" s="981" t="n">
        <f aca="false">-J340</f>
        <v>-0</v>
      </c>
      <c r="K771" s="751" t="n">
        <f aca="false">-K340</f>
        <v>-0</v>
      </c>
      <c r="L771" s="751" t="n">
        <f aca="false">-L340</f>
        <v>-0</v>
      </c>
      <c r="M771" s="751" t="n">
        <f aca="false">-M340</f>
        <v>-0</v>
      </c>
      <c r="N771" s="751" t="n">
        <f aca="false">-N340</f>
        <v>-0</v>
      </c>
      <c r="O771" s="751" t="n">
        <f aca="false">-O340</f>
        <v>-0</v>
      </c>
      <c r="P771" s="751" t="n">
        <f aca="false">-P340</f>
        <v>-0</v>
      </c>
      <c r="Q771" s="751" t="n">
        <f aca="false">-Q340</f>
        <v>-0</v>
      </c>
      <c r="R771" s="751" t="n">
        <f aca="false">-R340</f>
        <v>-0</v>
      </c>
      <c r="S771" s="751" t="n">
        <f aca="false">-S340</f>
        <v>-0</v>
      </c>
      <c r="T771" s="751" t="n">
        <f aca="false">-T340</f>
        <v>-0</v>
      </c>
      <c r="U771" s="751" t="n">
        <f aca="false">-U340</f>
        <v>-0</v>
      </c>
      <c r="V771" s="751" t="n">
        <f aca="false">-V340</f>
        <v>-0</v>
      </c>
      <c r="W771" s="751" t="n">
        <f aca="false">-W340</f>
        <v>-0</v>
      </c>
      <c r="X771" s="751" t="n">
        <f aca="false">-X340</f>
        <v>-0</v>
      </c>
      <c r="Y771" s="751" t="n">
        <f aca="false">-Y340</f>
        <v>-0</v>
      </c>
      <c r="Z771" s="751" t="n">
        <f aca="false">-Z340</f>
        <v>-0</v>
      </c>
      <c r="AA771" s="751" t="n">
        <f aca="false">-AA340</f>
        <v>-0</v>
      </c>
      <c r="AB771" s="751" t="n">
        <f aca="false">-AB340</f>
        <v>-0</v>
      </c>
      <c r="AC771" s="751" t="n">
        <f aca="false">-AC340</f>
        <v>-0</v>
      </c>
      <c r="AD771" s="751" t="n">
        <f aca="false">-AD340</f>
        <v>-0</v>
      </c>
      <c r="AE771" s="751" t="n">
        <f aca="false">-AE340</f>
        <v>-0</v>
      </c>
      <c r="AF771" s="751" t="n">
        <f aca="false">-AF340</f>
        <v>-0</v>
      </c>
      <c r="AG771" s="751"/>
    </row>
    <row r="772" customFormat="false" ht="11.25" hidden="false" customHeight="false" outlineLevel="0" collapsed="false">
      <c r="A772" s="1205" t="str">
        <f aca="false">A766</f>
        <v>Cash Flow From Investing Activities:</v>
      </c>
      <c r="B772" s="751"/>
      <c r="C772" s="751"/>
      <c r="D772" s="751"/>
      <c r="E772" s="751"/>
      <c r="F772" s="751"/>
      <c r="G772" s="751"/>
      <c r="H772" s="751"/>
      <c r="I772" s="961" t="e">
        <f aca="false">SUM(I767:I771)</f>
        <v>#VALUE!</v>
      </c>
      <c r="J772" s="1204" t="e">
        <f aca="false">SUM(J767:J771)</f>
        <v>#VALUE!</v>
      </c>
      <c r="K772" s="961" t="e">
        <f aca="false">SUM(K767:K771)</f>
        <v>#VALUE!</v>
      </c>
      <c r="L772" s="961" t="e">
        <f aca="false">SUM(L767:L771)</f>
        <v>#VALUE!</v>
      </c>
      <c r="M772" s="961" t="e">
        <f aca="false">SUM(M767:M771)</f>
        <v>#VALUE!</v>
      </c>
      <c r="N772" s="961" t="e">
        <f aca="false">SUM(N767:N771)</f>
        <v>#VALUE!</v>
      </c>
      <c r="O772" s="961" t="e">
        <f aca="false">SUM(O767:O771)</f>
        <v>#VALUE!</v>
      </c>
      <c r="P772" s="961" t="e">
        <f aca="false">SUM(P767:P771)</f>
        <v>#VALUE!</v>
      </c>
      <c r="Q772" s="961" t="e">
        <f aca="false">SUM(Q767:Q771)</f>
        <v>#VALUE!</v>
      </c>
      <c r="R772" s="961" t="e">
        <f aca="false">SUM(R767:R771)</f>
        <v>#VALUE!</v>
      </c>
      <c r="S772" s="961" t="e">
        <f aca="false">SUM(S767:S771)</f>
        <v>#VALUE!</v>
      </c>
      <c r="T772" s="961" t="e">
        <f aca="false">SUM(T767:T771)</f>
        <v>#VALUE!</v>
      </c>
      <c r="U772" s="961" t="e">
        <f aca="false">SUM(U767:U771)</f>
        <v>#VALUE!</v>
      </c>
      <c r="V772" s="961" t="e">
        <f aca="false">SUM(V767:V771)</f>
        <v>#VALUE!</v>
      </c>
      <c r="W772" s="961" t="e">
        <f aca="false">SUM(W767:W771)</f>
        <v>#VALUE!</v>
      </c>
      <c r="X772" s="961" t="e">
        <f aca="false">SUM(X767:X771)</f>
        <v>#VALUE!</v>
      </c>
      <c r="Y772" s="961" t="e">
        <f aca="false">SUM(Y767:Y771)</f>
        <v>#VALUE!</v>
      </c>
      <c r="Z772" s="961" t="e">
        <f aca="false">SUM(Z767:Z771)</f>
        <v>#VALUE!</v>
      </c>
      <c r="AA772" s="961" t="e">
        <f aca="false">SUM(AA767:AA771)</f>
        <v>#VALUE!</v>
      </c>
      <c r="AB772" s="961" t="e">
        <f aca="false">SUM(AB767:AB771)</f>
        <v>#VALUE!</v>
      </c>
      <c r="AC772" s="961" t="e">
        <f aca="false">SUM(AC767:AC771)</f>
        <v>#VALUE!</v>
      </c>
      <c r="AD772" s="961" t="e">
        <f aca="false">SUM(AD767:AD771)</f>
        <v>#VALUE!</v>
      </c>
      <c r="AE772" s="961" t="e">
        <f aca="false">SUM(AE767:AE771)</f>
        <v>#VALUE!</v>
      </c>
      <c r="AF772" s="961" t="e">
        <f aca="false">SUM(AF767:AF771)</f>
        <v>#VALUE!</v>
      </c>
      <c r="AG772" s="751"/>
    </row>
    <row r="773" customFormat="false" ht="11.25" hidden="false" customHeight="false" outlineLevel="0" collapsed="false">
      <c r="A773" s="751"/>
      <c r="B773" s="751"/>
      <c r="C773" s="751"/>
      <c r="D773" s="751"/>
      <c r="E773" s="751"/>
      <c r="F773" s="751"/>
      <c r="G773" s="751"/>
      <c r="H773" s="751"/>
      <c r="I773" s="751"/>
      <c r="J773" s="981"/>
      <c r="K773" s="751"/>
      <c r="L773" s="751"/>
      <c r="M773" s="751"/>
      <c r="N773" s="751"/>
      <c r="O773" s="751"/>
      <c r="P773" s="751"/>
      <c r="Q773" s="751"/>
      <c r="R773" s="751"/>
      <c r="S773" s="751"/>
      <c r="T773" s="751"/>
      <c r="U773" s="751"/>
      <c r="V773" s="751"/>
      <c r="W773" s="751"/>
      <c r="X773" s="751"/>
      <c r="Y773" s="751"/>
      <c r="Z773" s="751"/>
      <c r="AA773" s="751"/>
      <c r="AB773" s="751"/>
      <c r="AC773" s="751"/>
      <c r="AD773" s="751"/>
      <c r="AE773" s="751"/>
      <c r="AF773" s="751"/>
      <c r="AG773" s="751"/>
    </row>
    <row r="774" customFormat="false" ht="11.25" hidden="false" customHeight="false" outlineLevel="0" collapsed="false">
      <c r="A774" s="1203" t="s">
        <v>1025</v>
      </c>
      <c r="B774" s="751"/>
      <c r="C774" s="751"/>
      <c r="D774" s="751"/>
      <c r="E774" s="751"/>
      <c r="F774" s="751"/>
      <c r="G774" s="751"/>
      <c r="H774" s="751"/>
      <c r="I774" s="751"/>
      <c r="J774" s="981"/>
      <c r="K774" s="751"/>
      <c r="L774" s="751"/>
      <c r="M774" s="751"/>
      <c r="N774" s="751"/>
      <c r="O774" s="751"/>
      <c r="P774" s="751"/>
      <c r="Q774" s="751"/>
      <c r="R774" s="751"/>
      <c r="S774" s="751"/>
      <c r="T774" s="751"/>
      <c r="U774" s="751"/>
      <c r="V774" s="751"/>
      <c r="W774" s="751"/>
      <c r="X774" s="751"/>
      <c r="Y774" s="751"/>
      <c r="Z774" s="751"/>
      <c r="AA774" s="751"/>
      <c r="AB774" s="751"/>
      <c r="AC774" s="751"/>
      <c r="AD774" s="751"/>
      <c r="AE774" s="751"/>
      <c r="AF774" s="751"/>
      <c r="AG774" s="751"/>
    </row>
    <row r="775" customFormat="false" ht="11.25" hidden="false" customHeight="false" outlineLevel="0" collapsed="false">
      <c r="A775" s="751"/>
      <c r="B775" s="934" t="s">
        <v>1026</v>
      </c>
      <c r="C775" s="751"/>
      <c r="D775" s="751"/>
      <c r="E775" s="751"/>
      <c r="F775" s="751"/>
      <c r="G775" s="751"/>
      <c r="H775" s="751"/>
      <c r="I775" s="751" t="e">
        <f aca="false">-I345</f>
        <v>#VALUE!</v>
      </c>
      <c r="J775" s="981" t="e">
        <f aca="false">-J345</f>
        <v>#VALUE!</v>
      </c>
      <c r="K775" s="751" t="e">
        <f aca="false">-K345</f>
        <v>#VALUE!</v>
      </c>
      <c r="L775" s="751" t="e">
        <f aca="false">-L345</f>
        <v>#VALUE!</v>
      </c>
      <c r="M775" s="751" t="e">
        <f aca="false">-M345</f>
        <v>#VALUE!</v>
      </c>
      <c r="N775" s="751" t="e">
        <f aca="false">-N345</f>
        <v>#VALUE!</v>
      </c>
      <c r="O775" s="751" t="e">
        <f aca="false">-O345</f>
        <v>#VALUE!</v>
      </c>
      <c r="P775" s="751" t="e">
        <f aca="false">-P345</f>
        <v>#VALUE!</v>
      </c>
      <c r="Q775" s="751" t="e">
        <f aca="false">-Q345</f>
        <v>#VALUE!</v>
      </c>
      <c r="R775" s="751" t="e">
        <f aca="false">-R345</f>
        <v>#VALUE!</v>
      </c>
      <c r="S775" s="751" t="e">
        <f aca="false">-S345</f>
        <v>#VALUE!</v>
      </c>
      <c r="T775" s="751" t="e">
        <f aca="false">-T345</f>
        <v>#VALUE!</v>
      </c>
      <c r="U775" s="751" t="e">
        <f aca="false">-U345</f>
        <v>#VALUE!</v>
      </c>
      <c r="V775" s="751" t="e">
        <f aca="false">-V345</f>
        <v>#VALUE!</v>
      </c>
      <c r="W775" s="751" t="e">
        <f aca="false">-W345</f>
        <v>#VALUE!</v>
      </c>
      <c r="X775" s="751" t="e">
        <f aca="false">-X345</f>
        <v>#VALUE!</v>
      </c>
      <c r="Y775" s="751" t="e">
        <f aca="false">-Y345</f>
        <v>#VALUE!</v>
      </c>
      <c r="Z775" s="751" t="e">
        <f aca="false">-Z345</f>
        <v>#VALUE!</v>
      </c>
      <c r="AA775" s="751" t="e">
        <f aca="false">-AA345</f>
        <v>#VALUE!</v>
      </c>
      <c r="AB775" s="751" t="e">
        <f aca="false">-AB345</f>
        <v>#VALUE!</v>
      </c>
      <c r="AC775" s="751" t="e">
        <f aca="false">-AC345</f>
        <v>#VALUE!</v>
      </c>
      <c r="AD775" s="751" t="e">
        <f aca="false">-AD345</f>
        <v>#VALUE!</v>
      </c>
      <c r="AE775" s="751" t="e">
        <f aca="false">-AE345</f>
        <v>#VALUE!</v>
      </c>
      <c r="AF775" s="751" t="e">
        <f aca="false">-AF345</f>
        <v>#VALUE!</v>
      </c>
      <c r="AG775" s="751"/>
    </row>
    <row r="776" customFormat="false" ht="11.25" hidden="false" customHeight="false" outlineLevel="0" collapsed="false">
      <c r="A776" s="751"/>
      <c r="B776" s="934" t="s">
        <v>1027</v>
      </c>
      <c r="C776" s="751"/>
      <c r="D776" s="751"/>
      <c r="E776" s="751"/>
      <c r="F776" s="751"/>
      <c r="G776" s="751"/>
      <c r="H776" s="751"/>
      <c r="I776" s="751" t="n">
        <f aca="false">-SUM(I343:I344)</f>
        <v>-0</v>
      </c>
      <c r="J776" s="981" t="n">
        <f aca="false">-SUM(J343:J344)</f>
        <v>-0</v>
      </c>
      <c r="K776" s="751" t="n">
        <f aca="false">-SUM(K343:K344)</f>
        <v>-0</v>
      </c>
      <c r="L776" s="751" t="n">
        <f aca="false">-SUM(L343:L344)</f>
        <v>-0</v>
      </c>
      <c r="M776" s="751" t="n">
        <f aca="false">-SUM(M343:M344)</f>
        <v>-0</v>
      </c>
      <c r="N776" s="751" t="n">
        <f aca="false">-SUM(N343:N344)</f>
        <v>-0</v>
      </c>
      <c r="O776" s="751" t="n">
        <f aca="false">-SUM(O343:O344)</f>
        <v>-0</v>
      </c>
      <c r="P776" s="751" t="n">
        <f aca="false">-SUM(P343:P344)</f>
        <v>-0</v>
      </c>
      <c r="Q776" s="751" t="n">
        <f aca="false">-SUM(Q343:Q344)</f>
        <v>-0</v>
      </c>
      <c r="R776" s="751" t="n">
        <f aca="false">-SUM(R343:R344)</f>
        <v>-0</v>
      </c>
      <c r="S776" s="751" t="n">
        <f aca="false">-SUM(S343:S344)</f>
        <v>-0</v>
      </c>
      <c r="T776" s="751" t="n">
        <f aca="false">-SUM(T343:T344)</f>
        <v>-0</v>
      </c>
      <c r="U776" s="751" t="n">
        <f aca="false">-SUM(U343:U344)</f>
        <v>-0</v>
      </c>
      <c r="V776" s="751" t="n">
        <f aca="false">-SUM(V343:V344)</f>
        <v>-0</v>
      </c>
      <c r="W776" s="751" t="n">
        <f aca="false">-SUM(W343:W344)</f>
        <v>-0</v>
      </c>
      <c r="X776" s="751" t="n">
        <f aca="false">-SUM(X343:X344)</f>
        <v>-0</v>
      </c>
      <c r="Y776" s="751" t="n">
        <f aca="false">-SUM(Y343:Y344)</f>
        <v>-0</v>
      </c>
      <c r="Z776" s="751" t="n">
        <f aca="false">-SUM(Z343:Z344)</f>
        <v>-0</v>
      </c>
      <c r="AA776" s="751" t="n">
        <f aca="false">-SUM(AA343:AA344)</f>
        <v>-0</v>
      </c>
      <c r="AB776" s="751" t="n">
        <f aca="false">-SUM(AB343:AB344)</f>
        <v>-0</v>
      </c>
      <c r="AC776" s="751" t="n">
        <f aca="false">-SUM(AC343:AC344)</f>
        <v>-0</v>
      </c>
      <c r="AD776" s="751" t="n">
        <f aca="false">-SUM(AD343:AD344)</f>
        <v>-0</v>
      </c>
      <c r="AE776" s="751" t="n">
        <f aca="false">-SUM(AE343:AE344)</f>
        <v>-0</v>
      </c>
      <c r="AF776" s="751" t="n">
        <f aca="false">-SUM(AF343:AF344)</f>
        <v>-0</v>
      </c>
      <c r="AG776" s="751"/>
    </row>
    <row r="777" customFormat="false" ht="11.25" hidden="false" customHeight="false" outlineLevel="0" collapsed="false">
      <c r="A777" s="751"/>
      <c r="B777" s="934" t="s">
        <v>1028</v>
      </c>
      <c r="C777" s="751"/>
      <c r="D777" s="751"/>
      <c r="E777" s="751"/>
      <c r="F777" s="751"/>
      <c r="G777" s="751"/>
      <c r="H777" s="751"/>
      <c r="I777" s="751" t="n">
        <f aca="false">SUM(I351:I353)</f>
        <v>0</v>
      </c>
      <c r="J777" s="981" t="n">
        <f aca="false">SUM(J351:J353)</f>
        <v>0</v>
      </c>
      <c r="K777" s="751" t="n">
        <f aca="false">SUM(K351:K353)</f>
        <v>0</v>
      </c>
      <c r="L777" s="751" t="n">
        <f aca="false">SUM(L351:L353)</f>
        <v>0</v>
      </c>
      <c r="M777" s="751" t="n">
        <f aca="false">SUM(M351:M353)</f>
        <v>0</v>
      </c>
      <c r="N777" s="751" t="n">
        <f aca="false">SUM(N351:N353)</f>
        <v>0</v>
      </c>
      <c r="O777" s="751" t="n">
        <f aca="false">SUM(O351:O353)</f>
        <v>0</v>
      </c>
      <c r="P777" s="751" t="n">
        <f aca="false">SUM(P351:P353)</f>
        <v>0</v>
      </c>
      <c r="Q777" s="751" t="n">
        <f aca="false">SUM(Q351:Q353)</f>
        <v>0</v>
      </c>
      <c r="R777" s="751" t="n">
        <f aca="false">SUM(R351:R353)</f>
        <v>0</v>
      </c>
      <c r="S777" s="751" t="n">
        <f aca="false">SUM(S351:S353)</f>
        <v>0</v>
      </c>
      <c r="T777" s="751" t="n">
        <f aca="false">SUM(T351:T353)</f>
        <v>0</v>
      </c>
      <c r="U777" s="751" t="n">
        <f aca="false">SUM(U351:U353)</f>
        <v>0</v>
      </c>
      <c r="V777" s="751" t="n">
        <f aca="false">SUM(V351:V353)</f>
        <v>0</v>
      </c>
      <c r="W777" s="751" t="n">
        <f aca="false">SUM(W351:W353)</f>
        <v>0</v>
      </c>
      <c r="X777" s="751" t="n">
        <f aca="false">SUM(X351:X353)</f>
        <v>0</v>
      </c>
      <c r="Y777" s="751" t="n">
        <f aca="false">SUM(Y351:Y353)</f>
        <v>0</v>
      </c>
      <c r="Z777" s="751" t="n">
        <f aca="false">SUM(Z351:Z353)</f>
        <v>0</v>
      </c>
      <c r="AA777" s="751" t="n">
        <f aca="false">SUM(AA351:AA353)</f>
        <v>0</v>
      </c>
      <c r="AB777" s="751" t="n">
        <f aca="false">SUM(AB351:AB353)</f>
        <v>0</v>
      </c>
      <c r="AC777" s="751" t="n">
        <f aca="false">SUM(AC351:AC353)</f>
        <v>0</v>
      </c>
      <c r="AD777" s="751" t="n">
        <f aca="false">SUM(AD351:AD353)</f>
        <v>0</v>
      </c>
      <c r="AE777" s="751" t="n">
        <f aca="false">SUM(AE351:AE353)</f>
        <v>0</v>
      </c>
      <c r="AF777" s="751" t="n">
        <f aca="false">SUM(AF351:AF353)</f>
        <v>0</v>
      </c>
      <c r="AG777" s="751"/>
    </row>
    <row r="778" customFormat="false" ht="11.25" hidden="false" customHeight="false" outlineLevel="0" collapsed="false">
      <c r="A778" s="1205" t="str">
        <f aca="false">A774</f>
        <v>Cash Flow From Financing Activities:</v>
      </c>
      <c r="B778" s="751"/>
      <c r="C778" s="751"/>
      <c r="D778" s="751"/>
      <c r="E778" s="751"/>
      <c r="F778" s="751"/>
      <c r="G778" s="751"/>
      <c r="H778" s="751"/>
      <c r="I778" s="961" t="e">
        <f aca="false">SUM(I775:I777)</f>
        <v>#VALUE!</v>
      </c>
      <c r="J778" s="1204" t="e">
        <f aca="false">SUM(J775:J777)</f>
        <v>#VALUE!</v>
      </c>
      <c r="K778" s="961" t="e">
        <f aca="false">SUM(K775:K777)</f>
        <v>#VALUE!</v>
      </c>
      <c r="L778" s="961" t="e">
        <f aca="false">SUM(L775:L777)</f>
        <v>#VALUE!</v>
      </c>
      <c r="M778" s="961" t="e">
        <f aca="false">SUM(M775:M777)</f>
        <v>#VALUE!</v>
      </c>
      <c r="N778" s="961" t="e">
        <f aca="false">SUM(N775:N777)</f>
        <v>#VALUE!</v>
      </c>
      <c r="O778" s="961" t="e">
        <f aca="false">SUM(O775:O777)</f>
        <v>#VALUE!</v>
      </c>
      <c r="P778" s="961" t="e">
        <f aca="false">SUM(P775:P777)</f>
        <v>#VALUE!</v>
      </c>
      <c r="Q778" s="961" t="e">
        <f aca="false">SUM(Q775:Q777)</f>
        <v>#VALUE!</v>
      </c>
      <c r="R778" s="961" t="e">
        <f aca="false">SUM(R775:R777)</f>
        <v>#VALUE!</v>
      </c>
      <c r="S778" s="961" t="e">
        <f aca="false">SUM(S775:S777)</f>
        <v>#VALUE!</v>
      </c>
      <c r="T778" s="961" t="e">
        <f aca="false">SUM(T775:T777)</f>
        <v>#VALUE!</v>
      </c>
      <c r="U778" s="961" t="e">
        <f aca="false">SUM(U775:U777)</f>
        <v>#VALUE!</v>
      </c>
      <c r="V778" s="961" t="e">
        <f aca="false">SUM(V775:V777)</f>
        <v>#VALUE!</v>
      </c>
      <c r="W778" s="961" t="e">
        <f aca="false">SUM(W775:W777)</f>
        <v>#VALUE!</v>
      </c>
      <c r="X778" s="961" t="e">
        <f aca="false">SUM(X775:X777)</f>
        <v>#VALUE!</v>
      </c>
      <c r="Y778" s="961" t="e">
        <f aca="false">SUM(Y775:Y777)</f>
        <v>#VALUE!</v>
      </c>
      <c r="Z778" s="961" t="e">
        <f aca="false">SUM(Z775:Z777)</f>
        <v>#VALUE!</v>
      </c>
      <c r="AA778" s="961" t="e">
        <f aca="false">SUM(AA775:AA777)</f>
        <v>#VALUE!</v>
      </c>
      <c r="AB778" s="961" t="e">
        <f aca="false">SUM(AB775:AB777)</f>
        <v>#VALUE!</v>
      </c>
      <c r="AC778" s="961" t="e">
        <f aca="false">SUM(AC775:AC777)</f>
        <v>#VALUE!</v>
      </c>
      <c r="AD778" s="961" t="e">
        <f aca="false">SUM(AD775:AD777)</f>
        <v>#VALUE!</v>
      </c>
      <c r="AE778" s="961" t="e">
        <f aca="false">SUM(AE775:AE777)</f>
        <v>#VALUE!</v>
      </c>
      <c r="AF778" s="961" t="e">
        <f aca="false">SUM(AF775:AF777)</f>
        <v>#VALUE!</v>
      </c>
      <c r="AG778" s="751"/>
    </row>
    <row r="779" customFormat="false" ht="11.25" hidden="false" customHeight="false" outlineLevel="0" collapsed="false">
      <c r="A779" s="751"/>
      <c r="B779" s="751"/>
      <c r="C779" s="751"/>
      <c r="D779" s="751"/>
      <c r="E779" s="751"/>
      <c r="F779" s="751"/>
      <c r="G779" s="751"/>
      <c r="H779" s="751"/>
      <c r="I779" s="751"/>
      <c r="J779" s="981"/>
      <c r="K779" s="751"/>
      <c r="L779" s="751"/>
      <c r="M779" s="751"/>
      <c r="N779" s="751"/>
      <c r="O779" s="751"/>
      <c r="P779" s="751"/>
      <c r="Q779" s="751"/>
      <c r="R779" s="751"/>
      <c r="S779" s="751"/>
      <c r="T779" s="751"/>
      <c r="U779" s="751"/>
      <c r="V779" s="751"/>
      <c r="W779" s="751"/>
      <c r="X779" s="751"/>
      <c r="Y779" s="751"/>
      <c r="Z779" s="751"/>
      <c r="AA779" s="751"/>
      <c r="AB779" s="751"/>
      <c r="AC779" s="751"/>
      <c r="AD779" s="751"/>
      <c r="AE779" s="751"/>
      <c r="AF779" s="751"/>
      <c r="AG779" s="751"/>
    </row>
    <row r="780" customFormat="false" ht="12" hidden="false" customHeight="false" outlineLevel="0" collapsed="false">
      <c r="A780" s="1203" t="s">
        <v>1029</v>
      </c>
      <c r="B780" s="751"/>
      <c r="C780" s="751"/>
      <c r="D780" s="751"/>
      <c r="E780" s="751"/>
      <c r="F780" s="751"/>
      <c r="G780" s="751"/>
      <c r="H780" s="751"/>
      <c r="I780" s="1206" t="e">
        <f aca="false">I778+I772+I763</f>
        <v>#VALUE!</v>
      </c>
      <c r="J780" s="1207" t="e">
        <f aca="false">J778+J772+J763</f>
        <v>#VALUE!</v>
      </c>
      <c r="K780" s="1206" t="e">
        <f aca="false">K778+K772+K763</f>
        <v>#VALUE!</v>
      </c>
      <c r="L780" s="1206" t="e">
        <f aca="false">L778+L772+L763</f>
        <v>#VALUE!</v>
      </c>
      <c r="M780" s="1206" t="e">
        <f aca="false">M778+M772+M763</f>
        <v>#VALUE!</v>
      </c>
      <c r="N780" s="1206" t="e">
        <f aca="false">N778+N772+N763</f>
        <v>#VALUE!</v>
      </c>
      <c r="O780" s="1206" t="e">
        <f aca="false">O778+O772+O763</f>
        <v>#VALUE!</v>
      </c>
      <c r="P780" s="1206" t="e">
        <f aca="false">P778+P772+P763</f>
        <v>#VALUE!</v>
      </c>
      <c r="Q780" s="1206" t="e">
        <f aca="false">Q778+Q772+Q763</f>
        <v>#VALUE!</v>
      </c>
      <c r="R780" s="1206" t="e">
        <f aca="false">R778+R772+R763</f>
        <v>#VALUE!</v>
      </c>
      <c r="S780" s="1206" t="e">
        <f aca="false">S778+S772+S763</f>
        <v>#VALUE!</v>
      </c>
      <c r="T780" s="1206" t="e">
        <f aca="false">T778+T772+T763</f>
        <v>#VALUE!</v>
      </c>
      <c r="U780" s="1206" t="e">
        <f aca="false">U778+U772+U763</f>
        <v>#VALUE!</v>
      </c>
      <c r="V780" s="1206" t="e">
        <f aca="false">V778+V772+V763</f>
        <v>#VALUE!</v>
      </c>
      <c r="W780" s="1206" t="e">
        <f aca="false">W778+W772+W763</f>
        <v>#VALUE!</v>
      </c>
      <c r="X780" s="1206" t="e">
        <f aca="false">X778+X772+X763</f>
        <v>#VALUE!</v>
      </c>
      <c r="Y780" s="1206" t="e">
        <f aca="false">Y778+Y772+Y763</f>
        <v>#VALUE!</v>
      </c>
      <c r="Z780" s="1206" t="e">
        <f aca="false">Z778+Z772+Z763</f>
        <v>#VALUE!</v>
      </c>
      <c r="AA780" s="1206" t="e">
        <f aca="false">AA778+AA772+AA763</f>
        <v>#VALUE!</v>
      </c>
      <c r="AB780" s="1206" t="e">
        <f aca="false">AB778+AB772+AB763</f>
        <v>#VALUE!</v>
      </c>
      <c r="AC780" s="1206" t="e">
        <f aca="false">AC778+AC772+AC763</f>
        <v>#VALUE!</v>
      </c>
      <c r="AD780" s="1206" t="e">
        <f aca="false">AD778+AD772+AD763</f>
        <v>#VALUE!</v>
      </c>
      <c r="AE780" s="1206" t="e">
        <f aca="false">AE778+AE772+AE763</f>
        <v>#VALUE!</v>
      </c>
      <c r="AF780" s="1206" t="e">
        <f aca="false">AF778+AF772+AF763</f>
        <v>#VALUE!</v>
      </c>
      <c r="AG780" s="751"/>
    </row>
    <row r="781" customFormat="false" ht="12" hidden="false" customHeight="false" outlineLevel="0" collapsed="false"/>
    <row r="783" customFormat="false" ht="11.25" hidden="false" customHeight="false" outlineLevel="0" collapsed="false">
      <c r="I783" s="1208"/>
      <c r="J783" s="1208"/>
      <c r="K783" s="1208"/>
      <c r="L783" s="1208"/>
    </row>
    <row r="826" customFormat="false" ht="12" hidden="false" customHeight="false" outlineLevel="0" collapsed="false"/>
    <row r="827" customFormat="false" ht="12.75" hidden="false" customHeight="false" outlineLevel="0" collapsed="false">
      <c r="A827" s="841" t="s">
        <v>981</v>
      </c>
      <c r="B827" s="751"/>
      <c r="C827" s="751"/>
      <c r="D827" s="751"/>
      <c r="E827" s="751"/>
      <c r="F827" s="751"/>
      <c r="G827" s="751"/>
      <c r="H827" s="775" t="n">
        <f aca="false">H$599</f>
        <v>37802</v>
      </c>
      <c r="I827" s="984" t="n">
        <f aca="false">I$599</f>
        <v>37986</v>
      </c>
      <c r="J827" s="985" t="n">
        <f aca="false">J$599</f>
        <v>38352</v>
      </c>
      <c r="K827" s="985" t="n">
        <f aca="false">K$599</f>
        <v>38717</v>
      </c>
      <c r="L827" s="985" t="n">
        <f aca="false">L$599</f>
        <v>39082</v>
      </c>
      <c r="M827" s="985" t="n">
        <f aca="false">M$599</f>
        <v>39447</v>
      </c>
      <c r="N827" s="985" t="n">
        <f aca="false">N$599</f>
        <v>39813</v>
      </c>
      <c r="O827" s="985" t="n">
        <f aca="false">O$599</f>
        <v>40178</v>
      </c>
      <c r="P827" s="985" t="n">
        <f aca="false">P$599</f>
        <v>40543</v>
      </c>
      <c r="Q827" s="985" t="n">
        <f aca="false">Q$599</f>
        <v>40908</v>
      </c>
      <c r="R827" s="985" t="n">
        <f aca="false">R$599</f>
        <v>41274</v>
      </c>
      <c r="S827" s="985" t="n">
        <f aca="false">S$599</f>
        <v>41639</v>
      </c>
      <c r="T827" s="985" t="n">
        <f aca="false">T$599</f>
        <v>42004</v>
      </c>
      <c r="U827" s="985" t="n">
        <f aca="false">U$599</f>
        <v>42369</v>
      </c>
      <c r="V827" s="985" t="n">
        <f aca="false">V$599</f>
        <v>42735</v>
      </c>
      <c r="W827" s="985" t="n">
        <f aca="false">W$599</f>
        <v>43100</v>
      </c>
      <c r="X827" s="985" t="n">
        <f aca="false">X$599</f>
        <v>43465</v>
      </c>
      <c r="Y827" s="985" t="n">
        <f aca="false">Y$599</f>
        <v>43830</v>
      </c>
      <c r="Z827" s="985" t="n">
        <f aca="false">Z$599</f>
        <v>44196</v>
      </c>
      <c r="AA827" s="985" t="n">
        <f aca="false">AA$599</f>
        <v>44561</v>
      </c>
      <c r="AB827" s="985" t="n">
        <f aca="false">AB$599</f>
        <v>44926</v>
      </c>
      <c r="AC827" s="985" t="n">
        <f aca="false">AC$599</f>
        <v>45291</v>
      </c>
      <c r="AD827" s="985" t="n">
        <f aca="false">AD$599</f>
        <v>45657</v>
      </c>
      <c r="AE827" s="985" t="n">
        <f aca="false">AE$599</f>
        <v>46022</v>
      </c>
      <c r="AF827" s="985" t="n">
        <f aca="false">AF$599</f>
        <v>46387</v>
      </c>
    </row>
    <row r="828" customFormat="false" ht="12" hidden="false" customHeight="false" outlineLevel="0" collapsed="false">
      <c r="A828" s="955" t="s">
        <v>982</v>
      </c>
      <c r="B828" s="751"/>
      <c r="C828" s="751"/>
      <c r="D828" s="751"/>
      <c r="E828" s="751"/>
      <c r="F828" s="751"/>
      <c r="G828" s="751"/>
      <c r="H828" s="947"/>
      <c r="I828" s="505"/>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row>
    <row r="829" customFormat="false" ht="11.25" hidden="false" customHeight="false" outlineLevel="0" collapsed="false">
      <c r="A829" s="955" t="s">
        <v>638</v>
      </c>
      <c r="B829" s="751"/>
      <c r="C829" s="751"/>
      <c r="D829" s="751"/>
      <c r="E829" s="751"/>
      <c r="F829" s="751"/>
      <c r="G829" s="751"/>
      <c r="H829" s="751"/>
      <c r="I829" s="962" t="e">
        <f aca="false">I317</f>
        <v>#VALUE!</v>
      </c>
      <c r="J829" s="1204" t="e">
        <f aca="false">J317</f>
        <v>#VALUE!</v>
      </c>
      <c r="K829" s="961" t="e">
        <f aca="false">K317</f>
        <v>#VALUE!</v>
      </c>
      <c r="L829" s="961" t="e">
        <f aca="false">L317</f>
        <v>#VALUE!</v>
      </c>
      <c r="M829" s="961" t="e">
        <f aca="false">M317</f>
        <v>#VALUE!</v>
      </c>
      <c r="N829" s="961" t="e">
        <f aca="false">N317</f>
        <v>#VALUE!</v>
      </c>
      <c r="O829" s="961" t="e">
        <f aca="false">O317</f>
        <v>#VALUE!</v>
      </c>
      <c r="P829" s="961" t="e">
        <f aca="false">P317</f>
        <v>#VALUE!</v>
      </c>
      <c r="Q829" s="961" t="e">
        <f aca="false">Q317</f>
        <v>#VALUE!</v>
      </c>
      <c r="R829" s="961" t="e">
        <f aca="false">R317</f>
        <v>#VALUE!</v>
      </c>
      <c r="S829" s="961" t="e">
        <f aca="false">S317</f>
        <v>#VALUE!</v>
      </c>
      <c r="T829" s="961" t="e">
        <f aca="false">T317</f>
        <v>#VALUE!</v>
      </c>
      <c r="U829" s="961" t="e">
        <f aca="false">U317</f>
        <v>#VALUE!</v>
      </c>
      <c r="V829" s="961" t="e">
        <f aca="false">V317</f>
        <v>#VALUE!</v>
      </c>
      <c r="W829" s="961" t="e">
        <f aca="false">W317</f>
        <v>#VALUE!</v>
      </c>
      <c r="X829" s="961" t="e">
        <f aca="false">X317</f>
        <v>#VALUE!</v>
      </c>
      <c r="Y829" s="961" t="e">
        <f aca="false">Y317</f>
        <v>#VALUE!</v>
      </c>
      <c r="Z829" s="961" t="e">
        <f aca="false">Z317</f>
        <v>#VALUE!</v>
      </c>
      <c r="AA829" s="961" t="e">
        <f aca="false">AA317</f>
        <v>#VALUE!</v>
      </c>
      <c r="AB829" s="961" t="e">
        <f aca="false">AB317</f>
        <v>#VALUE!</v>
      </c>
      <c r="AC829" s="961" t="e">
        <f aca="false">AC317</f>
        <v>#VALUE!</v>
      </c>
      <c r="AD829" s="961" t="e">
        <f aca="false">AD317</f>
        <v>#VALUE!</v>
      </c>
      <c r="AE829" s="961" t="e">
        <f aca="false">AE317</f>
        <v>#VALUE!</v>
      </c>
      <c r="AF829" s="962" t="e">
        <f aca="false">AF317</f>
        <v>#VALUE!</v>
      </c>
    </row>
    <row r="830" customFormat="false" ht="11.25" hidden="false" customHeight="false" outlineLevel="0" collapsed="false">
      <c r="A830" s="934"/>
      <c r="B830" s="751"/>
      <c r="C830" s="751"/>
      <c r="D830" s="751"/>
      <c r="E830" s="751"/>
      <c r="F830" s="751"/>
      <c r="G830" s="751"/>
      <c r="H830" s="751"/>
      <c r="I830" s="963"/>
      <c r="J830" s="751"/>
      <c r="K830" s="751"/>
      <c r="L830" s="751"/>
      <c r="M830" s="751"/>
      <c r="N830" s="751"/>
      <c r="O830" s="751"/>
      <c r="P830" s="751"/>
      <c r="Q830" s="751"/>
      <c r="R830" s="751"/>
      <c r="S830" s="751"/>
      <c r="T830" s="751"/>
      <c r="U830" s="751"/>
      <c r="V830" s="751"/>
      <c r="W830" s="751"/>
      <c r="X830" s="751"/>
      <c r="Y830" s="751"/>
      <c r="Z830" s="751"/>
      <c r="AA830" s="751"/>
      <c r="AB830" s="751"/>
      <c r="AC830" s="751"/>
      <c r="AD830" s="751"/>
      <c r="AE830" s="751"/>
      <c r="AF830" s="751"/>
    </row>
    <row r="831" customFormat="false" ht="11.25" hidden="false" customHeight="false" outlineLevel="0" collapsed="false">
      <c r="A831" s="934" t="s">
        <v>984</v>
      </c>
      <c r="B831" s="934" t="s">
        <v>635</v>
      </c>
      <c r="C831" s="751"/>
      <c r="D831" s="751"/>
      <c r="E831" s="751"/>
      <c r="F831" s="751"/>
      <c r="G831" s="751"/>
      <c r="H831" s="751"/>
      <c r="I831" s="469" t="n">
        <f aca="false">I292</f>
        <v>11990.9279083</v>
      </c>
      <c r="J831" s="981" t="n">
        <f aca="false">J292</f>
        <v>23981.8558166</v>
      </c>
      <c r="K831" s="751" t="n">
        <f aca="false">K292</f>
        <v>23981.8558166</v>
      </c>
      <c r="L831" s="751" t="n">
        <f aca="false">L292</f>
        <v>23981.8558166</v>
      </c>
      <c r="M831" s="751" t="n">
        <f aca="false">M292</f>
        <v>23981.8558166</v>
      </c>
      <c r="N831" s="751" t="n">
        <f aca="false">N292</f>
        <v>23981.8558166</v>
      </c>
      <c r="O831" s="751" t="n">
        <f aca="false">O292</f>
        <v>23981.8558166</v>
      </c>
      <c r="P831" s="751" t="n">
        <f aca="false">P292</f>
        <v>23981.8558166</v>
      </c>
      <c r="Q831" s="751" t="n">
        <f aca="false">Q292</f>
        <v>23981.8558166</v>
      </c>
      <c r="R831" s="751" t="n">
        <f aca="false">R292</f>
        <v>23981.8558166</v>
      </c>
      <c r="S831" s="751" t="n">
        <f aca="false">S292</f>
        <v>23981.8558166</v>
      </c>
      <c r="T831" s="751" t="n">
        <f aca="false">T292</f>
        <v>23981.8558166</v>
      </c>
      <c r="U831" s="751" t="n">
        <f aca="false">U292</f>
        <v>23981.8558166</v>
      </c>
      <c r="V831" s="751" t="n">
        <f aca="false">V292</f>
        <v>23981.8558166</v>
      </c>
      <c r="W831" s="751" t="n">
        <f aca="false">W292</f>
        <v>23981.8558166</v>
      </c>
      <c r="X831" s="751" t="n">
        <f aca="false">X292</f>
        <v>23981.8558166</v>
      </c>
      <c r="Y831" s="751" t="n">
        <f aca="false">Y292</f>
        <v>23981.8558166</v>
      </c>
      <c r="Z831" s="751" t="n">
        <f aca="false">Z292</f>
        <v>23981.8558166</v>
      </c>
      <c r="AA831" s="751" t="n">
        <f aca="false">AA292</f>
        <v>23981.8558166</v>
      </c>
      <c r="AB831" s="751" t="n">
        <f aca="false">AB292</f>
        <v>23981.8558166</v>
      </c>
      <c r="AC831" s="751" t="n">
        <f aca="false">AC292</f>
        <v>11990.9279083</v>
      </c>
      <c r="AD831" s="751" t="n">
        <f aca="false">AD292</f>
        <v>0</v>
      </c>
      <c r="AE831" s="751" t="n">
        <f aca="false">AE292</f>
        <v>0</v>
      </c>
      <c r="AF831" s="751" t="n">
        <f aca="false">AF292</f>
        <v>0</v>
      </c>
    </row>
    <row r="832" customFormat="false" ht="11.25" hidden="false" customHeight="false" outlineLevel="0" collapsed="false">
      <c r="A832" s="346"/>
      <c r="B832" s="934" t="s">
        <v>418</v>
      </c>
      <c r="C832" s="751"/>
      <c r="D832" s="751"/>
      <c r="E832" s="751"/>
      <c r="F832" s="751"/>
      <c r="G832" s="751"/>
      <c r="H832" s="751"/>
      <c r="I832" s="469" t="e">
        <f aca="false">I293+I294</f>
        <v>#VALUE!</v>
      </c>
      <c r="J832" s="981" t="e">
        <f aca="false">J293+J294</f>
        <v>#VALUE!</v>
      </c>
      <c r="K832" s="469" t="e">
        <f aca="false">K293+K294</f>
        <v>#VALUE!</v>
      </c>
      <c r="L832" s="469" t="e">
        <f aca="false">L293+L294</f>
        <v>#VALUE!</v>
      </c>
      <c r="M832" s="469" t="e">
        <f aca="false">M293+M294</f>
        <v>#VALUE!</v>
      </c>
      <c r="N832" s="469" t="e">
        <f aca="false">N293+N294</f>
        <v>#VALUE!</v>
      </c>
      <c r="O832" s="469" t="e">
        <f aca="false">O293+O294</f>
        <v>#VALUE!</v>
      </c>
      <c r="P832" s="469" t="e">
        <f aca="false">P293+P294</f>
        <v>#VALUE!</v>
      </c>
      <c r="Q832" s="469" t="e">
        <f aca="false">Q293+Q294</f>
        <v>#VALUE!</v>
      </c>
      <c r="R832" s="469" t="e">
        <f aca="false">R293+R294</f>
        <v>#VALUE!</v>
      </c>
      <c r="S832" s="469" t="e">
        <f aca="false">S293+S294</f>
        <v>#VALUE!</v>
      </c>
      <c r="T832" s="751"/>
      <c r="U832" s="751"/>
      <c r="V832" s="751"/>
      <c r="W832" s="751"/>
      <c r="X832" s="751"/>
      <c r="Y832" s="751"/>
      <c r="Z832" s="751"/>
      <c r="AA832" s="751"/>
      <c r="AB832" s="751"/>
      <c r="AC832" s="751"/>
      <c r="AD832" s="751"/>
      <c r="AE832" s="751"/>
      <c r="AF832" s="751"/>
    </row>
    <row r="833" customFormat="false" ht="11.25" hidden="false" customHeight="false" outlineLevel="0" collapsed="false">
      <c r="A833" s="934" t="s">
        <v>986</v>
      </c>
      <c r="B833" s="934" t="s">
        <v>1030</v>
      </c>
      <c r="C833" s="751"/>
      <c r="D833" s="751"/>
      <c r="E833" s="751"/>
      <c r="F833" s="751"/>
      <c r="G833" s="751"/>
      <c r="H833" s="751"/>
      <c r="I833" s="469" t="e">
        <f aca="false">I341</f>
        <v>#VALUE!</v>
      </c>
      <c r="J833" s="981" t="e">
        <f aca="false">J341</f>
        <v>#VALUE!</v>
      </c>
      <c r="K833" s="751" t="e">
        <f aca="false">K341</f>
        <v>#VALUE!</v>
      </c>
      <c r="L833" s="751" t="e">
        <f aca="false">L341</f>
        <v>#VALUE!</v>
      </c>
      <c r="M833" s="751" t="e">
        <f aca="false">M341</f>
        <v>#VALUE!</v>
      </c>
      <c r="N833" s="751" t="e">
        <f aca="false">N341</f>
        <v>#VALUE!</v>
      </c>
      <c r="O833" s="751" t="e">
        <f aca="false">O341</f>
        <v>#VALUE!</v>
      </c>
      <c r="P833" s="751" t="e">
        <f aca="false">P341</f>
        <v>#VALUE!</v>
      </c>
      <c r="Q833" s="751" t="e">
        <f aca="false">Q341</f>
        <v>#VALUE!</v>
      </c>
      <c r="R833" s="751" t="e">
        <f aca="false">R341</f>
        <v>#VALUE!</v>
      </c>
      <c r="S833" s="751" t="e">
        <f aca="false">S341</f>
        <v>#VALUE!</v>
      </c>
      <c r="T833" s="751"/>
      <c r="U833" s="751"/>
      <c r="V833" s="751"/>
      <c r="W833" s="751"/>
      <c r="X833" s="751"/>
      <c r="Y833" s="751"/>
      <c r="Z833" s="751"/>
      <c r="AA833" s="751"/>
      <c r="AB833" s="751"/>
      <c r="AC833" s="751"/>
      <c r="AD833" s="751"/>
      <c r="AE833" s="751"/>
      <c r="AF833" s="751"/>
    </row>
    <row r="834" customFormat="false" ht="11.25" hidden="false" customHeight="false" outlineLevel="0" collapsed="false">
      <c r="A834" s="934"/>
      <c r="B834" s="934" t="s">
        <v>989</v>
      </c>
      <c r="C834" s="751"/>
      <c r="D834" s="751"/>
      <c r="E834" s="751"/>
      <c r="F834" s="751"/>
      <c r="G834" s="751"/>
      <c r="H834" s="751"/>
      <c r="I834" s="963" t="n">
        <f aca="false">I339</f>
        <v>0</v>
      </c>
      <c r="J834" s="751" t="n">
        <f aca="false">J339</f>
        <v>0</v>
      </c>
      <c r="K834" s="751" t="n">
        <f aca="false">K339</f>
        <v>0</v>
      </c>
      <c r="L834" s="751" t="n">
        <f aca="false">L339</f>
        <v>0</v>
      </c>
      <c r="M834" s="751" t="n">
        <f aca="false">M339</f>
        <v>0</v>
      </c>
      <c r="N834" s="751" t="n">
        <f aca="false">N339</f>
        <v>0</v>
      </c>
      <c r="O834" s="751" t="n">
        <f aca="false">O339</f>
        <v>0</v>
      </c>
      <c r="P834" s="751" t="n">
        <f aca="false">P339</f>
        <v>0</v>
      </c>
      <c r="Q834" s="751" t="n">
        <f aca="false">Q339</f>
        <v>0</v>
      </c>
      <c r="R834" s="751" t="n">
        <f aca="false">R339</f>
        <v>0</v>
      </c>
      <c r="S834" s="751" t="n">
        <f aca="false">S339</f>
        <v>0</v>
      </c>
      <c r="T834" s="751"/>
      <c r="U834" s="751"/>
      <c r="V834" s="751"/>
      <c r="W834" s="751"/>
      <c r="X834" s="751"/>
      <c r="Y834" s="751"/>
      <c r="Z834" s="751"/>
      <c r="AA834" s="751"/>
      <c r="AB834" s="751"/>
      <c r="AC834" s="751"/>
      <c r="AD834" s="751"/>
      <c r="AE834" s="751"/>
      <c r="AF834" s="751"/>
    </row>
    <row r="835" customFormat="false" ht="12" hidden="false" customHeight="false" outlineLevel="0" collapsed="false">
      <c r="A835" s="955" t="s">
        <v>1031</v>
      </c>
      <c r="B835" s="751"/>
      <c r="C835" s="751"/>
      <c r="D835" s="751"/>
      <c r="E835" s="751"/>
      <c r="F835" s="751"/>
      <c r="G835" s="751"/>
      <c r="H835" s="1209" t="n">
        <v>0</v>
      </c>
      <c r="I835" s="1210" t="e">
        <f aca="false">I829+I831+I832-I833-I834</f>
        <v>#VALUE!</v>
      </c>
      <c r="J835" s="970" t="e">
        <f aca="false">J829+J831+J832-J833-J834</f>
        <v>#VALUE!</v>
      </c>
      <c r="K835" s="970" t="e">
        <f aca="false">K829+K831+K832-K833-K834</f>
        <v>#VALUE!</v>
      </c>
      <c r="L835" s="970" t="e">
        <f aca="false">L829+L831+L832-L833-L834</f>
        <v>#VALUE!</v>
      </c>
      <c r="M835" s="970" t="e">
        <f aca="false">M829+M831+M832-M833-M834</f>
        <v>#VALUE!</v>
      </c>
      <c r="N835" s="970" t="e">
        <f aca="false">N829+N831+N832-N833-N834</f>
        <v>#VALUE!</v>
      </c>
      <c r="O835" s="970" t="e">
        <f aca="false">O829+O831+O832-O833-O834</f>
        <v>#VALUE!</v>
      </c>
      <c r="P835" s="970" t="e">
        <f aca="false">P829+P831+P832-P833-P834</f>
        <v>#VALUE!</v>
      </c>
      <c r="Q835" s="970" t="e">
        <f aca="false">Q829+Q831+Q832-Q833-Q834</f>
        <v>#VALUE!</v>
      </c>
      <c r="R835" s="970" t="e">
        <f aca="false">R829+R831+R832-R833-R834</f>
        <v>#VALUE!</v>
      </c>
      <c r="S835" s="970" t="e">
        <f aca="false">S829+S831+S832-S833-S834</f>
        <v>#VALUE!</v>
      </c>
      <c r="T835" s="751"/>
      <c r="U835" s="751"/>
      <c r="V835" s="751"/>
      <c r="W835" s="751"/>
      <c r="X835" s="751"/>
      <c r="Y835" s="751"/>
      <c r="Z835" s="751"/>
      <c r="AA835" s="751"/>
      <c r="AB835" s="751"/>
      <c r="AC835" s="751"/>
      <c r="AD835" s="751"/>
      <c r="AE835" s="751"/>
      <c r="AF835" s="751"/>
    </row>
    <row r="836" customFormat="false" ht="12" hidden="false" customHeight="false" outlineLevel="0" collapsed="false">
      <c r="A836" s="955"/>
      <c r="B836" s="751"/>
      <c r="C836" s="751"/>
      <c r="D836" s="751"/>
      <c r="E836" s="751"/>
      <c r="F836" s="751"/>
      <c r="G836" s="751"/>
      <c r="H836" s="1209"/>
      <c r="I836" s="469"/>
      <c r="J836" s="469"/>
      <c r="K836" s="469"/>
      <c r="L836" s="469"/>
      <c r="M836" s="469"/>
      <c r="N836" s="469"/>
      <c r="O836" s="469"/>
      <c r="P836" s="469"/>
      <c r="Q836" s="469"/>
      <c r="R836" s="469"/>
      <c r="S836" s="469"/>
      <c r="T836" s="751"/>
      <c r="U836" s="751"/>
      <c r="V836" s="751"/>
      <c r="W836" s="751"/>
      <c r="X836" s="751"/>
      <c r="Y836" s="751"/>
      <c r="Z836" s="751"/>
      <c r="AA836" s="751"/>
      <c r="AB836" s="751"/>
      <c r="AC836" s="751"/>
      <c r="AD836" s="751"/>
      <c r="AE836" s="751"/>
      <c r="AF836" s="751"/>
    </row>
    <row r="837" customFormat="false" ht="12" hidden="false" customHeight="false" outlineLevel="0" collapsed="false">
      <c r="A837" s="934"/>
      <c r="B837" s="751"/>
      <c r="C837" s="751"/>
      <c r="D837" s="751"/>
      <c r="E837" s="751"/>
      <c r="F837" s="751"/>
      <c r="G837" s="751"/>
      <c r="H837" s="751"/>
      <c r="I837" s="751"/>
      <c r="J837" s="751"/>
      <c r="K837" s="751"/>
      <c r="L837" s="751"/>
      <c r="M837" s="751"/>
      <c r="N837" s="751"/>
      <c r="O837" s="751"/>
      <c r="P837" s="751"/>
      <c r="Q837" s="751"/>
      <c r="R837" s="751"/>
      <c r="S837" s="751"/>
      <c r="T837" s="751"/>
      <c r="U837" s="751"/>
      <c r="V837" s="751"/>
      <c r="W837" s="751"/>
      <c r="X837" s="751"/>
      <c r="Y837" s="751"/>
      <c r="Z837" s="751"/>
      <c r="AA837" s="751"/>
      <c r="AB837" s="751"/>
      <c r="AC837" s="751"/>
      <c r="AD837" s="751"/>
      <c r="AE837" s="751"/>
      <c r="AF837" s="751"/>
    </row>
    <row r="838" customFormat="false" ht="12" hidden="false" customHeight="false" outlineLevel="0" collapsed="false">
      <c r="A838" s="934"/>
      <c r="B838" s="751"/>
      <c r="C838" s="751"/>
      <c r="D838" s="751"/>
      <c r="E838" s="1211" t="s">
        <v>1032</v>
      </c>
      <c r="F838" s="751"/>
      <c r="G838" s="1211" t="s">
        <v>1032</v>
      </c>
      <c r="H838" s="751"/>
      <c r="I838" s="1211" t="s">
        <v>1033</v>
      </c>
      <c r="J838" s="751"/>
      <c r="K838" s="751"/>
      <c r="L838" s="1203" t="s">
        <v>1034</v>
      </c>
      <c r="M838" s="751"/>
      <c r="N838" s="751"/>
      <c r="O838" s="751"/>
      <c r="P838" s="751"/>
      <c r="Q838" s="751"/>
      <c r="R838" s="751"/>
      <c r="S838" s="751"/>
      <c r="T838" s="751"/>
      <c r="U838" s="751"/>
      <c r="V838" s="751"/>
      <c r="W838" s="751"/>
      <c r="X838" s="751"/>
      <c r="Y838" s="751"/>
      <c r="Z838" s="751"/>
      <c r="AA838" s="751"/>
      <c r="AB838" s="751"/>
      <c r="AC838" s="751"/>
      <c r="AD838" s="751"/>
      <c r="AE838" s="751"/>
      <c r="AF838" s="751"/>
    </row>
    <row r="839" customFormat="false" ht="12" hidden="false" customHeight="false" outlineLevel="0" collapsed="false">
      <c r="A839" s="955" t="s">
        <v>1035</v>
      </c>
      <c r="B839" s="751"/>
      <c r="C839" s="751"/>
      <c r="D839" s="751"/>
      <c r="E839" s="1083" t="s">
        <v>995</v>
      </c>
      <c r="F839" s="751"/>
      <c r="G839" s="1083" t="s">
        <v>1036</v>
      </c>
      <c r="H839" s="751"/>
      <c r="I839" s="1083" t="s">
        <v>1037</v>
      </c>
      <c r="J839" s="751"/>
      <c r="K839" s="751"/>
      <c r="L839" s="934" t="s">
        <v>1038</v>
      </c>
      <c r="M839" s="751"/>
      <c r="N839" s="751"/>
      <c r="O839" s="751"/>
      <c r="P839" s="751"/>
      <c r="Q839" s="751" t="n">
        <v>10</v>
      </c>
      <c r="R839" s="751"/>
      <c r="S839" s="751"/>
      <c r="T839" s="751"/>
      <c r="U839" s="751"/>
      <c r="V839" s="751"/>
      <c r="W839" s="751"/>
      <c r="X839" s="751"/>
      <c r="Y839" s="751"/>
      <c r="Z839" s="751"/>
      <c r="AA839" s="751"/>
      <c r="AB839" s="751"/>
      <c r="AC839" s="751"/>
      <c r="AD839" s="751"/>
      <c r="AE839" s="751"/>
      <c r="AF839" s="751"/>
    </row>
    <row r="840" customFormat="false" ht="12" hidden="false" customHeight="false" outlineLevel="0" collapsed="false">
      <c r="A840" s="934" t="s">
        <v>1039</v>
      </c>
      <c r="B840" s="751"/>
      <c r="C840" s="751"/>
      <c r="D840" s="751"/>
      <c r="E840" s="961"/>
      <c r="F840" s="751"/>
      <c r="G840" s="961"/>
      <c r="H840" s="751"/>
      <c r="I840" s="961" t="e">
        <f aca="false">S829+S831+S832</f>
        <v>#VALUE!</v>
      </c>
      <c r="J840" s="751"/>
      <c r="K840" s="751"/>
      <c r="L840" s="934" t="s">
        <v>1040</v>
      </c>
      <c r="M840" s="751"/>
      <c r="N840" s="751"/>
      <c r="O840" s="751"/>
      <c r="P840" s="751"/>
      <c r="Q840" s="1035" t="e">
        <f aca="false">N485-P486</f>
        <v>#VALUE!</v>
      </c>
      <c r="R840" s="751"/>
      <c r="S840" s="751"/>
      <c r="T840" s="751"/>
      <c r="U840" s="751"/>
      <c r="V840" s="751"/>
      <c r="W840" s="751"/>
      <c r="X840" s="751"/>
      <c r="Y840" s="751"/>
      <c r="Z840" s="751"/>
      <c r="AA840" s="751"/>
      <c r="AB840" s="751"/>
      <c r="AC840" s="751"/>
      <c r="AD840" s="751"/>
      <c r="AE840" s="751"/>
      <c r="AF840" s="751"/>
    </row>
    <row r="841" customFormat="false" ht="11.25" hidden="false" customHeight="false" outlineLevel="0" collapsed="false">
      <c r="A841" s="934" t="s">
        <v>1041</v>
      </c>
      <c r="B841" s="751"/>
      <c r="C841" s="751"/>
      <c r="D841" s="751"/>
      <c r="E841" s="751" t="e">
        <f aca="false">$S$829</f>
        <v>#VALUE!</v>
      </c>
      <c r="F841" s="751"/>
      <c r="G841" s="751" t="e">
        <f aca="false">E841</f>
        <v>#VALUE!</v>
      </c>
      <c r="H841" s="751"/>
      <c r="I841" s="751"/>
      <c r="J841" s="751"/>
      <c r="K841" s="751"/>
      <c r="L841" s="934" t="s">
        <v>1042</v>
      </c>
      <c r="M841" s="751"/>
      <c r="N841" s="751"/>
      <c r="O841" s="751"/>
      <c r="P841" s="751"/>
      <c r="Q841" s="1035" t="n">
        <v>0</v>
      </c>
      <c r="R841" s="751"/>
      <c r="S841" s="751"/>
      <c r="T841" s="751"/>
      <c r="U841" s="751"/>
      <c r="V841" s="751"/>
      <c r="W841" s="751"/>
      <c r="X841" s="751"/>
      <c r="Y841" s="751"/>
      <c r="Z841" s="751"/>
      <c r="AA841" s="751"/>
      <c r="AB841" s="751"/>
      <c r="AC841" s="751"/>
      <c r="AD841" s="751"/>
      <c r="AE841" s="751"/>
      <c r="AF841" s="751"/>
    </row>
    <row r="842" customFormat="false" ht="11.25" hidden="false" customHeight="false" outlineLevel="0" collapsed="false">
      <c r="A842" s="934"/>
      <c r="B842" s="751"/>
      <c r="C842" s="751"/>
      <c r="D842" s="751"/>
      <c r="E842" s="751"/>
      <c r="F842" s="751"/>
      <c r="G842" s="751"/>
      <c r="H842" s="751"/>
      <c r="I842" s="751"/>
      <c r="J842" s="751"/>
      <c r="K842" s="751"/>
      <c r="L842" s="934" t="s">
        <v>1043</v>
      </c>
      <c r="M842" s="751"/>
      <c r="N842" s="751"/>
      <c r="O842" s="751"/>
      <c r="P842" s="751"/>
      <c r="Q842" s="939" t="n">
        <v>25000</v>
      </c>
      <c r="R842" s="751"/>
      <c r="S842" s="751"/>
      <c r="T842" s="469" t="n">
        <f aca="false">T293+T294</f>
        <v>0</v>
      </c>
      <c r="U842" s="469" t="n">
        <f aca="false">U293+U294</f>
        <v>0</v>
      </c>
      <c r="V842" s="469" t="n">
        <f aca="false">V293+V294</f>
        <v>0</v>
      </c>
      <c r="W842" s="469" t="n">
        <f aca="false">W293+W294</f>
        <v>0</v>
      </c>
      <c r="X842" s="469" t="n">
        <f aca="false">X293+X294</f>
        <v>0</v>
      </c>
      <c r="Y842" s="469" t="n">
        <f aca="false">Y293+Y294</f>
        <v>0</v>
      </c>
      <c r="Z842" s="469" t="n">
        <f aca="false">Z293+Z294</f>
        <v>0</v>
      </c>
      <c r="AA842" s="469" t="n">
        <f aca="false">AA293+AA294</f>
        <v>0</v>
      </c>
      <c r="AB842" s="469" t="n">
        <f aca="false">AB293+AB294</f>
        <v>0</v>
      </c>
      <c r="AC842" s="469" t="n">
        <f aca="false">AC293+AC294</f>
        <v>0</v>
      </c>
      <c r="AD842" s="469" t="n">
        <f aca="false">AD293+AD294</f>
        <v>0</v>
      </c>
      <c r="AE842" s="469" t="n">
        <f aca="false">AE293+AE294</f>
        <v>0</v>
      </c>
      <c r="AF842" s="469" t="n">
        <f aca="false">AF293+AF294</f>
        <v>0</v>
      </c>
    </row>
    <row r="843" customFormat="false" ht="11.25" hidden="false" customHeight="false" outlineLevel="0" collapsed="false">
      <c r="A843" s="934" t="s">
        <v>1044</v>
      </c>
      <c r="B843" s="751"/>
      <c r="C843" s="751"/>
      <c r="D843" s="751"/>
      <c r="E843" s="964" t="n">
        <f aca="false">R854</f>
        <v>0.127875</v>
      </c>
      <c r="F843" s="751"/>
      <c r="G843" s="964" t="n">
        <f aca="false">E843</f>
        <v>0.127875</v>
      </c>
      <c r="H843" s="751"/>
      <c r="I843" s="751"/>
      <c r="J843" s="751"/>
      <c r="K843" s="751"/>
      <c r="L843" s="934" t="s">
        <v>1045</v>
      </c>
      <c r="M843" s="751"/>
      <c r="N843" s="751"/>
      <c r="O843" s="751"/>
      <c r="P843" s="751"/>
      <c r="Q843" s="1076" t="n">
        <v>0.01</v>
      </c>
      <c r="R843" s="751"/>
      <c r="S843" s="751"/>
      <c r="T843" s="751" t="e">
        <f aca="false">T341</f>
        <v>#VALUE!</v>
      </c>
      <c r="U843" s="751" t="e">
        <f aca="false">U341</f>
        <v>#VALUE!</v>
      </c>
      <c r="V843" s="751" t="e">
        <f aca="false">V341</f>
        <v>#VALUE!</v>
      </c>
      <c r="W843" s="751" t="e">
        <f aca="false">W341</f>
        <v>#VALUE!</v>
      </c>
      <c r="X843" s="751" t="e">
        <f aca="false">X341</f>
        <v>#VALUE!</v>
      </c>
      <c r="Y843" s="751" t="e">
        <f aca="false">Y341</f>
        <v>#VALUE!</v>
      </c>
      <c r="Z843" s="751" t="e">
        <f aca="false">Z341</f>
        <v>#VALUE!</v>
      </c>
      <c r="AA843" s="751" t="e">
        <f aca="false">AA341</f>
        <v>#VALUE!</v>
      </c>
      <c r="AB843" s="751" t="e">
        <f aca="false">AB341</f>
        <v>#VALUE!</v>
      </c>
      <c r="AC843" s="751" t="e">
        <f aca="false">AC341</f>
        <v>#VALUE!</v>
      </c>
      <c r="AD843" s="751" t="e">
        <f aca="false">AD341</f>
        <v>#VALUE!</v>
      </c>
      <c r="AE843" s="751" t="n">
        <f aca="false">AE341</f>
        <v>0</v>
      </c>
      <c r="AF843" s="751" t="n">
        <f aca="false">AF341</f>
        <v>0</v>
      </c>
    </row>
    <row r="844" customFormat="false" ht="11.25" hidden="false" customHeight="false" outlineLevel="0" collapsed="false">
      <c r="A844" s="934" t="s">
        <v>1045</v>
      </c>
      <c r="B844" s="751"/>
      <c r="C844" s="751"/>
      <c r="D844" s="751"/>
      <c r="E844" s="964"/>
      <c r="F844" s="751"/>
      <c r="G844" s="964" t="n">
        <f aca="false">Q843</f>
        <v>0.01</v>
      </c>
      <c r="H844" s="751"/>
      <c r="I844" s="751"/>
      <c r="J844" s="751"/>
      <c r="K844" s="751"/>
      <c r="L844" s="934" t="s">
        <v>1046</v>
      </c>
      <c r="M844" s="751"/>
      <c r="N844" s="751"/>
      <c r="O844" s="751"/>
      <c r="P844" s="751"/>
      <c r="Q844" s="1212" t="n">
        <v>6</v>
      </c>
      <c r="R844" s="751"/>
      <c r="S844" s="751"/>
      <c r="T844" s="751" t="n">
        <f aca="false">T339</f>
        <v>0</v>
      </c>
      <c r="U844" s="751" t="n">
        <f aca="false">U339</f>
        <v>0</v>
      </c>
      <c r="V844" s="751" t="n">
        <f aca="false">V339</f>
        <v>0</v>
      </c>
      <c r="W844" s="751" t="n">
        <f aca="false">W339</f>
        <v>0</v>
      </c>
      <c r="X844" s="751" t="n">
        <f aca="false">X339</f>
        <v>0</v>
      </c>
      <c r="Y844" s="751" t="n">
        <f aca="false">Y339</f>
        <v>0</v>
      </c>
      <c r="Z844" s="751" t="n">
        <f aca="false">Z339</f>
        <v>0</v>
      </c>
      <c r="AA844" s="751" t="n">
        <f aca="false">AA339</f>
        <v>0</v>
      </c>
      <c r="AB844" s="751" t="n">
        <f aca="false">AB339</f>
        <v>0</v>
      </c>
      <c r="AC844" s="751" t="n">
        <f aca="false">AC339</f>
        <v>0</v>
      </c>
      <c r="AD844" s="751" t="n">
        <f aca="false">AD339</f>
        <v>0</v>
      </c>
      <c r="AE844" s="751" t="n">
        <f aca="false">AE339</f>
        <v>0</v>
      </c>
      <c r="AF844" s="751" t="n">
        <f aca="false">AF339</f>
        <v>0</v>
      </c>
    </row>
    <row r="845" customFormat="false" ht="12" hidden="false" customHeight="false" outlineLevel="0" collapsed="false">
      <c r="A845" s="934" t="s">
        <v>1047</v>
      </c>
      <c r="B845" s="751"/>
      <c r="C845" s="751"/>
      <c r="D845" s="751"/>
      <c r="E845" s="964"/>
      <c r="F845" s="751"/>
      <c r="G845" s="964"/>
      <c r="H845" s="751"/>
      <c r="I845" s="1213" t="n">
        <f aca="false">Q844</f>
        <v>6</v>
      </c>
      <c r="J845" s="751"/>
      <c r="K845" s="751"/>
      <c r="L845" s="751"/>
      <c r="M845" s="751"/>
      <c r="N845" s="751"/>
      <c r="O845" s="751"/>
      <c r="P845" s="751"/>
      <c r="Q845" s="751"/>
      <c r="R845" s="751"/>
      <c r="S845" s="751"/>
      <c r="T845" s="970" t="e">
        <f aca="false">T829+T831+T842-T843-T844</f>
        <v>#VALUE!</v>
      </c>
      <c r="U845" s="970" t="e">
        <f aca="false">U829+U831+U842-U843-U844</f>
        <v>#VALUE!</v>
      </c>
      <c r="V845" s="970" t="e">
        <f aca="false">V829+V831+V842-V843-V844</f>
        <v>#VALUE!</v>
      </c>
      <c r="W845" s="970" t="e">
        <f aca="false">W829+W831+W842-W843-W844</f>
        <v>#VALUE!</v>
      </c>
      <c r="X845" s="970" t="e">
        <f aca="false">X829+X831+X842-X843-X844</f>
        <v>#VALUE!</v>
      </c>
      <c r="Y845" s="970" t="e">
        <f aca="false">Y829+Y831+Y842-Y843-Y844</f>
        <v>#VALUE!</v>
      </c>
      <c r="Z845" s="970" t="e">
        <f aca="false">Z829+Z831+Z842-Z843-Z844</f>
        <v>#VALUE!</v>
      </c>
      <c r="AA845" s="970" t="e">
        <f aca="false">AA829+AA831+AA842-AA843-AA844</f>
        <v>#VALUE!</v>
      </c>
      <c r="AB845" s="970" t="e">
        <f aca="false">AB829+AB831+AB842-AB843-AB844</f>
        <v>#VALUE!</v>
      </c>
      <c r="AC845" s="970" t="e">
        <f aca="false">AC829+AC831+AC842-AC843-AC844</f>
        <v>#VALUE!</v>
      </c>
      <c r="AD845" s="970" t="e">
        <f aca="false">AD829+AD831+AD842-AD843-AD844</f>
        <v>#VALUE!</v>
      </c>
      <c r="AE845" s="970" t="e">
        <f aca="false">AE829+AE831+AE842-AE843-AE844</f>
        <v>#VALUE!</v>
      </c>
      <c r="AF845" s="970" t="e">
        <f aca="false">AF829+AF831+AF842-AF843-AF844</f>
        <v>#VALUE!</v>
      </c>
    </row>
    <row r="846" customFormat="false" ht="12" hidden="false" customHeight="false" outlineLevel="0" collapsed="false">
      <c r="A846" s="934" t="s">
        <v>1048</v>
      </c>
      <c r="B846" s="751"/>
      <c r="C846" s="751"/>
      <c r="D846" s="751"/>
      <c r="E846" s="961" t="n">
        <f aca="false">IF(ISERR(E841/$R$854),0,E841/$R$854)</f>
        <v>0</v>
      </c>
      <c r="F846" s="751"/>
      <c r="G846" s="961" t="n">
        <f aca="false">IF(ISERR((G841*(1+G844))/($R$854-G844)),0,(G841*(1+G844))/(R854-G844))</f>
        <v>0</v>
      </c>
      <c r="H846" s="751"/>
      <c r="I846" s="961" t="e">
        <f aca="false">I845*I840</f>
        <v>#VALUE!</v>
      </c>
      <c r="J846" s="751"/>
      <c r="K846" s="751"/>
      <c r="L846" s="955" t="s">
        <v>1049</v>
      </c>
      <c r="M846" s="751"/>
      <c r="N846" s="751"/>
      <c r="O846" s="751"/>
      <c r="P846" s="751"/>
      <c r="Q846" s="939"/>
      <c r="R846" s="751"/>
      <c r="S846" s="751"/>
    </row>
    <row r="847" customFormat="false" ht="11.25" hidden="false" customHeight="false" outlineLevel="0" collapsed="false">
      <c r="A847" s="934"/>
      <c r="B847" s="751"/>
      <c r="C847" s="751"/>
      <c r="D847" s="751"/>
      <c r="E847" s="751"/>
      <c r="F847" s="751"/>
      <c r="G847" s="751"/>
      <c r="H847" s="751"/>
      <c r="I847" s="751"/>
      <c r="J847" s="751"/>
      <c r="K847" s="751"/>
      <c r="L847" s="934" t="s">
        <v>1050</v>
      </c>
      <c r="M847" s="751"/>
      <c r="N847" s="751"/>
      <c r="O847" s="751"/>
      <c r="P847" s="751"/>
      <c r="Q847" s="1076" t="n">
        <v>0.35</v>
      </c>
      <c r="R847" s="751"/>
      <c r="S847" s="751"/>
    </row>
    <row r="848" customFormat="false" ht="11.25" hidden="false" customHeight="false" outlineLevel="0" collapsed="false">
      <c r="A848" s="955" t="str">
        <f aca="false">"VALUATION as of "&amp;TEXT(H827,"m/d/y")</f>
        <v>VALUATION as of 6/30/y</v>
      </c>
      <c r="B848" s="751"/>
      <c r="C848" s="751"/>
      <c r="D848" s="751"/>
      <c r="E848" s="751"/>
      <c r="F848" s="751"/>
      <c r="G848" s="751"/>
      <c r="H848" s="751"/>
      <c r="I848" s="751"/>
      <c r="J848" s="751"/>
      <c r="K848" s="751"/>
      <c r="L848" s="934" t="s">
        <v>1051</v>
      </c>
      <c r="M848" s="751"/>
      <c r="N848" s="751"/>
      <c r="O848" s="751"/>
      <c r="P848" s="751"/>
      <c r="Q848" s="1076" t="n">
        <v>1</v>
      </c>
      <c r="R848" s="751"/>
      <c r="S848" s="751"/>
    </row>
    <row r="849" customFormat="false" ht="11.25" hidden="false" customHeight="false" outlineLevel="0" collapsed="false">
      <c r="A849" s="934" t="s">
        <v>1010</v>
      </c>
      <c r="B849" s="751"/>
      <c r="C849" s="751"/>
      <c r="D849" s="751"/>
      <c r="E849" s="751" t="e">
        <f aca="false">XNPV($R$854,$H$835:$S$835,H827:$S$827)</f>
        <v>#VALUE!</v>
      </c>
      <c r="F849" s="751"/>
      <c r="G849" s="751" t="e">
        <f aca="false">XNPV($R$854,$H$835:$S$835,$H$827:$S$827)</f>
        <v>#VALUE!</v>
      </c>
      <c r="H849" s="751"/>
      <c r="I849" s="751" t="e">
        <f aca="false">XNPV($R$854,$H$835:$S$835,$H$827:$S$827)</f>
        <v>#VALUE!</v>
      </c>
      <c r="J849" s="751"/>
      <c r="K849" s="751"/>
      <c r="L849" s="934" t="s">
        <v>1052</v>
      </c>
      <c r="M849" s="751"/>
      <c r="N849" s="751"/>
      <c r="O849" s="751"/>
      <c r="P849" s="751"/>
      <c r="Q849" s="964" t="n">
        <f aca="false">(100*Q848)/(100*Q848+100)</f>
        <v>0.5</v>
      </c>
      <c r="R849" s="751"/>
      <c r="S849" s="751"/>
    </row>
    <row r="850" customFormat="false" ht="11.25" hidden="false" customHeight="false" outlineLevel="0" collapsed="false">
      <c r="A850" s="934" t="s">
        <v>1011</v>
      </c>
      <c r="B850" s="751"/>
      <c r="C850" s="751"/>
      <c r="D850" s="751"/>
      <c r="E850" s="751" t="n">
        <f aca="false">(E846/(1+$R$854)^$Q$839)/(1+$R$854)^IF($C$442=1,0,$C$442)</f>
        <v>0</v>
      </c>
      <c r="F850" s="751"/>
      <c r="G850" s="751" t="n">
        <f aca="false">(G846/(1+$R$854)^$Q$839)/(1+$R$854)^IF($C$442=1,0,$C$442)</f>
        <v>0</v>
      </c>
      <c r="H850" s="751"/>
      <c r="I850" s="751" t="e">
        <f aca="false">(I846/(1+$R$854)^$Q$839)/(1+$R$854)^IF($C$442=1,0,$C$442)</f>
        <v>#VALUE!</v>
      </c>
      <c r="J850" s="751"/>
      <c r="K850" s="751"/>
      <c r="L850" s="934" t="s">
        <v>1053</v>
      </c>
      <c r="M850" s="751"/>
      <c r="N850" s="751"/>
      <c r="O850" s="751"/>
      <c r="P850" s="751"/>
      <c r="Q850" s="964" t="n">
        <f aca="false">O860</f>
        <v>0.155</v>
      </c>
      <c r="R850" s="751"/>
      <c r="S850" s="751"/>
    </row>
    <row r="851" customFormat="false" ht="11.25" hidden="false" customHeight="false" outlineLevel="0" collapsed="false">
      <c r="A851" s="934" t="s">
        <v>1012</v>
      </c>
      <c r="B851" s="751"/>
      <c r="C851" s="751"/>
      <c r="D851" s="751"/>
      <c r="E851" s="751" t="e">
        <f aca="false">Q840</f>
        <v>#VALUE!</v>
      </c>
      <c r="F851" s="751"/>
      <c r="G851" s="751" t="e">
        <f aca="false">E851</f>
        <v>#VALUE!</v>
      </c>
      <c r="H851" s="751"/>
      <c r="I851" s="751" t="e">
        <f aca="false">G851</f>
        <v>#VALUE!</v>
      </c>
      <c r="J851" s="751"/>
      <c r="K851" s="751"/>
      <c r="L851" s="934" t="s">
        <v>1054</v>
      </c>
      <c r="M851" s="751"/>
      <c r="N851" s="751"/>
      <c r="O851" s="751"/>
      <c r="P851" s="751"/>
      <c r="Q851" s="964"/>
      <c r="R851" s="964" t="n">
        <f aca="false">Q850+((1-Q847)*(Q850-Q852)*Q848)</f>
        <v>0.207</v>
      </c>
      <c r="S851" s="751"/>
    </row>
    <row r="852" customFormat="false" ht="11.25" hidden="false" customHeight="false" outlineLevel="0" collapsed="false">
      <c r="A852" s="934" t="s">
        <v>1013</v>
      </c>
      <c r="B852" s="751"/>
      <c r="C852" s="751"/>
      <c r="D852" s="751"/>
      <c r="E852" s="961" t="e">
        <f aca="false">SUM(E849:E851)</f>
        <v>#VALUE!</v>
      </c>
      <c r="F852" s="751"/>
      <c r="G852" s="961" t="e">
        <f aca="false">SUM(G849:G851)</f>
        <v>#VALUE!</v>
      </c>
      <c r="H852" s="751"/>
      <c r="I852" s="961" t="e">
        <f aca="false">SUM(I849:I851)</f>
        <v>#VALUE!</v>
      </c>
      <c r="J852" s="751"/>
      <c r="K852" s="751"/>
      <c r="L852" s="934" t="s">
        <v>1055</v>
      </c>
      <c r="M852" s="751"/>
      <c r="N852" s="751"/>
      <c r="O852" s="751"/>
      <c r="P852" s="751"/>
      <c r="Q852" s="1076" t="n">
        <v>0.075</v>
      </c>
      <c r="R852" s="964"/>
      <c r="S852" s="751"/>
    </row>
    <row r="853" customFormat="false" ht="11.25" hidden="false" customHeight="false" outlineLevel="0" collapsed="false">
      <c r="A853" s="934"/>
      <c r="B853" s="751"/>
      <c r="C853" s="751"/>
      <c r="D853" s="751"/>
      <c r="E853" s="751"/>
      <c r="F853" s="751"/>
      <c r="G853" s="751"/>
      <c r="H853" s="751"/>
      <c r="I853" s="751"/>
      <c r="J853" s="751"/>
      <c r="K853" s="751"/>
      <c r="L853" s="934" t="s">
        <v>1056</v>
      </c>
      <c r="M853" s="751"/>
      <c r="N853" s="751"/>
      <c r="O853" s="751"/>
      <c r="P853" s="751"/>
      <c r="Q853" s="1076"/>
      <c r="R853" s="964" t="n">
        <f aca="false">Q852*(1-Q847)</f>
        <v>0.04875</v>
      </c>
      <c r="S853" s="751"/>
    </row>
    <row r="854" customFormat="false" ht="12" hidden="false" customHeight="false" outlineLevel="0" collapsed="false">
      <c r="A854" s="934" t="s">
        <v>1057</v>
      </c>
      <c r="B854" s="751"/>
      <c r="C854" s="751"/>
      <c r="D854" s="751"/>
      <c r="E854" s="751" t="n">
        <f aca="false">Q841</f>
        <v>0</v>
      </c>
      <c r="F854" s="751"/>
      <c r="G854" s="751" t="n">
        <f aca="false">E854</f>
        <v>0</v>
      </c>
      <c r="H854" s="751"/>
      <c r="I854" s="751" t="n">
        <f aca="false">G854</f>
        <v>0</v>
      </c>
      <c r="J854" s="751"/>
      <c r="K854" s="751"/>
      <c r="L854" s="955" t="s">
        <v>1058</v>
      </c>
      <c r="M854" s="751"/>
      <c r="N854" s="751"/>
      <c r="O854" s="751"/>
      <c r="P854" s="751"/>
      <c r="Q854" s="1076"/>
      <c r="R854" s="1036" t="n">
        <f aca="false">Q849*R853+R851*(1-Q849)</f>
        <v>0.127875</v>
      </c>
      <c r="S854" s="751"/>
    </row>
    <row r="855" customFormat="false" ht="12.75" hidden="false" customHeight="false" outlineLevel="0" collapsed="false">
      <c r="A855" s="934" t="s">
        <v>1059</v>
      </c>
      <c r="B855" s="751"/>
      <c r="C855" s="751"/>
      <c r="D855" s="751"/>
      <c r="E855" s="970" t="e">
        <f aca="false">E852-E854</f>
        <v>#VALUE!</v>
      </c>
      <c r="F855" s="751"/>
      <c r="G855" s="970" t="e">
        <f aca="false">G852-G854</f>
        <v>#VALUE!</v>
      </c>
      <c r="H855" s="751"/>
      <c r="I855" s="970" t="e">
        <f aca="false">I852-I854</f>
        <v>#VALUE!</v>
      </c>
      <c r="J855" s="751"/>
      <c r="K855" s="751"/>
      <c r="L855" s="751"/>
      <c r="M855" s="751"/>
      <c r="N855" s="751"/>
      <c r="O855" s="751"/>
      <c r="P855" s="751"/>
      <c r="Q855" s="751"/>
      <c r="R855" s="751"/>
      <c r="S855" s="751"/>
    </row>
    <row r="856" customFormat="false" ht="12" hidden="false" customHeight="false" outlineLevel="0" collapsed="false">
      <c r="A856" s="934"/>
      <c r="B856" s="751"/>
      <c r="C856" s="751"/>
      <c r="D856" s="751"/>
      <c r="E856" s="751"/>
      <c r="F856" s="751"/>
      <c r="G856" s="751"/>
      <c r="H856" s="751"/>
      <c r="I856" s="751"/>
      <c r="J856" s="751"/>
      <c r="K856" s="751"/>
      <c r="L856" s="955" t="s">
        <v>1060</v>
      </c>
      <c r="M856" s="751"/>
      <c r="N856" s="751"/>
      <c r="O856" s="751"/>
      <c r="P856" s="751"/>
      <c r="Q856" s="751"/>
      <c r="R856" s="964"/>
      <c r="S856" s="751"/>
    </row>
    <row r="857" customFormat="false" ht="11.25" hidden="false" customHeight="false" outlineLevel="0" collapsed="false">
      <c r="A857" s="934" t="str">
        <f aca="false">"Number of Shares Outstanding at "&amp;TEXT(H827,"m/d/y")</f>
        <v>Number of Shares Outstanding at 6/30/y</v>
      </c>
      <c r="B857" s="751"/>
      <c r="C857" s="751"/>
      <c r="D857" s="751"/>
      <c r="E857" s="950" t="n">
        <f aca="false">Q842</f>
        <v>25000</v>
      </c>
      <c r="F857" s="751"/>
      <c r="G857" s="950" t="n">
        <f aca="false">E857</f>
        <v>25000</v>
      </c>
      <c r="H857" s="751"/>
      <c r="I857" s="950" t="n">
        <f aca="false">G857</f>
        <v>25000</v>
      </c>
      <c r="J857" s="751"/>
      <c r="K857" s="751"/>
      <c r="L857" s="934" t="s">
        <v>1061</v>
      </c>
      <c r="M857" s="751"/>
      <c r="N857" s="751"/>
      <c r="O857" s="1076" t="n">
        <v>0.075</v>
      </c>
      <c r="P857" s="934" t="s">
        <v>1062</v>
      </c>
      <c r="Q857" s="751"/>
      <c r="R857" s="751"/>
      <c r="S857" s="751"/>
    </row>
    <row r="858" customFormat="false" ht="11.25" hidden="false" customHeight="false" outlineLevel="0" collapsed="false">
      <c r="A858" s="934"/>
      <c r="B858" s="751"/>
      <c r="C858" s="751"/>
      <c r="D858" s="751"/>
      <c r="E858" s="751"/>
      <c r="F858" s="751"/>
      <c r="G858" s="751"/>
      <c r="H858" s="751"/>
      <c r="I858" s="751"/>
      <c r="J858" s="751"/>
      <c r="K858" s="751"/>
      <c r="L858" s="934" t="s">
        <v>1063</v>
      </c>
      <c r="M858" s="751"/>
      <c r="N858" s="751"/>
      <c r="O858" s="1214" t="n">
        <v>2</v>
      </c>
      <c r="P858" s="934" t="s">
        <v>1064</v>
      </c>
      <c r="Q858" s="751"/>
      <c r="R858" s="751"/>
      <c r="S858" s="751"/>
    </row>
    <row r="859" customFormat="false" ht="11.25" hidden="false" customHeight="false" outlineLevel="0" collapsed="false">
      <c r="A859" s="934"/>
      <c r="B859" s="751"/>
      <c r="C859" s="751"/>
      <c r="D859" s="751"/>
      <c r="E859" s="751"/>
      <c r="F859" s="751"/>
      <c r="G859" s="751"/>
      <c r="H859" s="751"/>
      <c r="I859" s="751"/>
      <c r="J859" s="751"/>
      <c r="K859" s="751"/>
      <c r="L859" s="934" t="s">
        <v>1065</v>
      </c>
      <c r="M859" s="751"/>
      <c r="N859" s="751"/>
      <c r="O859" s="1076" t="n">
        <v>0.04</v>
      </c>
      <c r="P859" s="934"/>
      <c r="Q859" s="751"/>
      <c r="R859" s="751"/>
      <c r="S859" s="751"/>
    </row>
    <row r="860" customFormat="false" ht="12" hidden="false" customHeight="false" outlineLevel="0" collapsed="false">
      <c r="A860" s="934" t="s">
        <v>1066</v>
      </c>
      <c r="B860" s="751"/>
      <c r="C860" s="751"/>
      <c r="D860" s="751"/>
      <c r="E860" s="1215" t="n">
        <f aca="false">IF(ISERR(E855/E857),0,E855/E857)</f>
        <v>0</v>
      </c>
      <c r="F860" s="751"/>
      <c r="G860" s="1215" t="n">
        <f aca="false">IF(ISERR(G855/G857),0,G855/G857)</f>
        <v>0</v>
      </c>
      <c r="H860" s="751"/>
      <c r="I860" s="1215" t="n">
        <f aca="false">IF(ISERR(I855/I857),0,I855/I857)</f>
        <v>0</v>
      </c>
      <c r="J860" s="751"/>
      <c r="K860" s="751"/>
      <c r="L860" s="955" t="s">
        <v>1067</v>
      </c>
      <c r="M860" s="751"/>
      <c r="N860" s="751"/>
      <c r="O860" s="1036" t="n">
        <f aca="false">O857+(O858*O859)</f>
        <v>0.155</v>
      </c>
      <c r="P860" s="751"/>
      <c r="Q860" s="751"/>
      <c r="R860" s="751"/>
      <c r="S860" s="751"/>
    </row>
    <row r="861" customFormat="false" ht="12" hidden="false" customHeight="false" outlineLevel="0" collapsed="false"/>
  </sheetData>
  <mergeCells count="10">
    <mergeCell ref="C36:I36"/>
    <mergeCell ref="L36:S36"/>
    <mergeCell ref="G471:H471"/>
    <mergeCell ref="G472:H472"/>
    <mergeCell ref="P484:Q484"/>
    <mergeCell ref="P485:Q485"/>
    <mergeCell ref="P503:Q503"/>
    <mergeCell ref="R503:S503"/>
    <mergeCell ref="P504:Q504"/>
    <mergeCell ref="R504:S504"/>
  </mergeCells>
  <printOptions headings="false" gridLines="false" gridLinesSet="true" horizontalCentered="true" verticalCentered="false"/>
  <pageMargins left="0.1" right="0.1" top="0.4" bottom="0.75" header="0.511811023622047" footer="0.5"/>
  <pageSetup paperSize="1" scale="100" fitToWidth="1" fitToHeight="1" pageOrder="downThenOver" orientation="landscape" blackAndWhite="false" draft="false" cellComments="none" horizontalDpi="300" verticalDpi="300" copies="1"/>
  <headerFooter differentFirst="false" differentOddEven="false">
    <oddHeader/>
    <oddFooter>&amp;C&amp;D  &amp;T&amp;R&amp;F</oddFooter>
  </headerFooter>
  <rowBreaks count="2" manualBreakCount="2">
    <brk id="122" man="true" max="16383" min="0"/>
    <brk id="225" man="true" max="16383" min="0"/>
  </rowBreaks>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52">
              <controlPr defaultSize="0" print="false" autoFill="0" autoPict="0" macro="CFMODEL_Macros.Optimize">
                <anchor moveWithCells="true" sizeWithCells="false">
                  <from>
                    <xdr:col>1</xdr:col>
                    <xdr:colOff>884880</xdr:colOff>
                    <xdr:row>0</xdr:row>
                    <xdr:rowOff>0</xdr:rowOff>
                  </from>
                  <to>
                    <xdr:col>2</xdr:col>
                    <xdr:colOff>886320</xdr:colOff>
                    <xdr:row>2</xdr:row>
                    <xdr:rowOff>9360</xdr:rowOff>
                  </to>
                </anchor>
              </controlPr>
            </control>
          </mc:Choice>
        </mc:AlternateContent>
        <mc:AlternateContent xmlns:mc="http://schemas.openxmlformats.org/markup-compatibility/2006">
          <mc:Choice Requires="x14">
            <control shapeId="1002" r:id="rId5" name="Button 610">
              <controlPr defaultSize="0" print="false" autoFill="0" autoPict="0" macro="CFMODEL_Macros.inp">
                <anchor moveWithCells="true" sizeWithCells="false">
                  <from>
                    <xdr:col>0</xdr:col>
                    <xdr:colOff>0</xdr:colOff>
                    <xdr:row>0</xdr:row>
                    <xdr:rowOff>9360</xdr:rowOff>
                  </from>
                  <to>
                    <xdr:col>1</xdr:col>
                    <xdr:colOff>1080</xdr:colOff>
                    <xdr:row>1</xdr:row>
                    <xdr:rowOff>9720</xdr:rowOff>
                  </to>
                </anchor>
              </controlPr>
            </control>
          </mc:Choice>
        </mc:AlternateContent>
        <mc:AlternateContent xmlns:mc="http://schemas.openxmlformats.org/markup-compatibility/2006">
          <mc:Choice Requires="x14">
            <control shapeId="1003" r:id="rId6" name="Button 614">
              <controlPr defaultSize="0" print="false" autoFill="0" autoPict="0" macro="CFMODEL_Macros.go">
                <anchor moveWithCells="true" sizeWithCells="false">
                  <from>
                    <xdr:col>1</xdr:col>
                    <xdr:colOff>0</xdr:colOff>
                    <xdr:row>0</xdr:row>
                    <xdr:rowOff>9360</xdr:rowOff>
                  </from>
                  <to>
                    <xdr:col>2</xdr:col>
                    <xdr:colOff>-9720</xdr:colOff>
                    <xdr:row>1</xdr:row>
                    <xdr:rowOff>9720</xdr:rowOff>
                  </to>
                </anchor>
              </controlPr>
            </control>
          </mc:Choice>
        </mc:AlternateContent>
        <mc:AlternateContent xmlns:mc="http://schemas.openxmlformats.org/markup-compatibility/2006">
          <mc:Choice Requires="x14">
            <control shapeId="1004" r:id="rId7" name="Button 615">
              <controlPr defaultSize="0" print="false" autoFill="0" autoPict="0" macro="CFMODEL_Macros.setcalc">
                <anchor moveWithCells="true" sizeWithCells="false">
                  <from>
                    <xdr:col>0</xdr:col>
                    <xdr:colOff>0</xdr:colOff>
                    <xdr:row>1</xdr:row>
                    <xdr:rowOff>9720</xdr:rowOff>
                  </from>
                  <to>
                    <xdr:col>1</xdr:col>
                    <xdr:colOff>1080</xdr:colOff>
                    <xdr:row>2</xdr:row>
                    <xdr:rowOff>18720</xdr:rowOff>
                  </to>
                </anchor>
              </controlPr>
            </control>
          </mc:Choice>
        </mc:AlternateContent>
        <mc:AlternateContent xmlns:mc="http://schemas.openxmlformats.org/markup-compatibility/2006">
          <mc:Choice Requires="x14">
            <control shapeId="1005" r:id="rId8" name="Button 933">
              <controlPr defaultSize="0" print="false" autoFill="0" autoPict="0" macro="CFMODEL_Macros.prt">
                <anchor moveWithCells="true" sizeWithCells="false">
                  <from>
                    <xdr:col>1</xdr:col>
                    <xdr:colOff>0</xdr:colOff>
                    <xdr:row>1</xdr:row>
                    <xdr:rowOff>9720</xdr:rowOff>
                  </from>
                  <to>
                    <xdr:col>2</xdr:col>
                    <xdr:colOff>-9720</xdr:colOff>
                    <xdr:row>2</xdr:row>
                    <xdr:rowOff>18720</xdr:rowOff>
                  </to>
                </anchor>
              </controlPr>
            </control>
          </mc:Choice>
        </mc:AlternateContent>
        <mc:AlternateContent xmlns:mc="http://schemas.openxmlformats.org/markup-compatibility/2006">
          <mc:Choice Requires="x14">
            <control shapeId="1006" r:id="rId9" name="Button 934">
              <controlPr defaultSize="0" print="false" autoFill="0" autoPict="0" macro="CFMODEL_Macros.Clear">
                <anchor moveWithCells="true" sizeWithCells="false">
                  <from>
                    <xdr:col>0</xdr:col>
                    <xdr:colOff>0</xdr:colOff>
                    <xdr:row>2</xdr:row>
                    <xdr:rowOff>18720</xdr:rowOff>
                  </from>
                  <to>
                    <xdr:col>1</xdr:col>
                    <xdr:colOff>1080</xdr:colOff>
                    <xdr:row>3</xdr:row>
                    <xdr:rowOff>0</xdr:rowOff>
                  </to>
                </anchor>
              </controlPr>
            </control>
          </mc:Choice>
        </mc:AlternateContent>
        <mc:AlternateContent xmlns:mc="http://schemas.openxmlformats.org/markup-compatibility/2006">
          <mc:Choice Requires="x14">
            <control shapeId="1007" r:id="rId10" name="Button 165">
              <controlPr defaultSize="0" print="false" autoFill="0" autoPict="0" macro="Module6.WCPrint">
                <anchor moveWithCells="true" sizeWithCells="false">
                  <from>
                    <xdr:col>3</xdr:col>
                    <xdr:colOff>0</xdr:colOff>
                    <xdr:row>0</xdr:row>
                    <xdr:rowOff>9360</xdr:rowOff>
                  </from>
                  <to>
                    <xdr:col>4</xdr:col>
                    <xdr:colOff>302760</xdr:colOff>
                    <xdr:row>1</xdr:row>
                    <xdr:rowOff>19080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289"/>
  <sheetViews>
    <sheetView showFormulas="false" showGridLines="true" showRowColHeaders="true" showZeros="true" rightToLeft="false" tabSelected="false" showOutlineSymbols="true" defaultGridColor="true" view="normal" topLeftCell="A261" colorId="64" zoomScale="100" zoomScaleNormal="100" zoomScalePageLayoutView="100" workbookViewId="0">
      <selection pane="topLeft" activeCell="A6" activeCellId="0" sqref="A6:N289"/>
    </sheetView>
  </sheetViews>
  <sheetFormatPr defaultColWidth="9.0546875" defaultRowHeight="12.75" customHeight="true" zeroHeight="false" outlineLevelRow="0" outlineLevelCol="0"/>
  <sheetData>
    <row r="1" customFormat="false" ht="23.25" hidden="false" customHeight="false" outlineLevel="0" collapsed="false">
      <c r="A1" s="1216" t="s">
        <v>1068</v>
      </c>
    </row>
    <row r="2" customFormat="false" ht="15.75" hidden="false" customHeight="false" outlineLevel="0" collapsed="false">
      <c r="A2" s="1217" t="s">
        <v>1069</v>
      </c>
      <c r="B2" s="1218"/>
      <c r="C2" s="1218"/>
      <c r="D2" s="1218"/>
      <c r="E2" s="1218"/>
      <c r="F2" s="1218"/>
      <c r="G2" s="1218"/>
      <c r="H2" s="1218"/>
      <c r="I2" s="1218"/>
      <c r="J2" s="1218"/>
      <c r="K2" s="1218"/>
      <c r="L2" s="1218"/>
      <c r="M2" s="1218"/>
      <c r="N2" s="1218"/>
    </row>
    <row r="3" customFormat="false" ht="12.75" hidden="false" customHeight="false" outlineLevel="0" collapsed="false">
      <c r="A3" s="1219"/>
      <c r="B3" s="1220" t="s">
        <v>1070</v>
      </c>
      <c r="C3" s="1220"/>
      <c r="D3" s="1220"/>
      <c r="E3" s="1220"/>
      <c r="F3" s="1220"/>
      <c r="G3" s="1220"/>
      <c r="H3" s="1221" t="s">
        <v>1071</v>
      </c>
      <c r="I3" s="1221"/>
      <c r="J3" s="1221"/>
      <c r="K3" s="1222" t="s">
        <v>1072</v>
      </c>
      <c r="L3" s="1223"/>
      <c r="M3" s="1223" t="s">
        <v>1073</v>
      </c>
      <c r="N3" s="1223" t="s">
        <v>1073</v>
      </c>
      <c r="O3" s="1223"/>
      <c r="P3" s="1223"/>
    </row>
    <row r="4" customFormat="false" ht="12.75" hidden="false" customHeight="false" outlineLevel="0" collapsed="false">
      <c r="A4" s="1224" t="s">
        <v>16</v>
      </c>
      <c r="B4" s="1225" t="s">
        <v>726</v>
      </c>
      <c r="C4" s="1225"/>
      <c r="D4" s="1225"/>
      <c r="E4" s="1226" t="s">
        <v>131</v>
      </c>
      <c r="F4" s="1226"/>
      <c r="G4" s="1226"/>
      <c r="H4" s="1227" t="n">
        <f aca="false">'Curve Paste'!BX4</f>
        <v>0.07</v>
      </c>
      <c r="I4" s="1228" t="s">
        <v>1074</v>
      </c>
      <c r="J4" s="1227" t="n">
        <f aca="false">'Curve Paste'!BZ4</f>
        <v>0.07</v>
      </c>
      <c r="K4" s="1229" t="s">
        <v>1075</v>
      </c>
      <c r="L4" s="1230" t="s">
        <v>49</v>
      </c>
      <c r="M4" s="1230" t="s">
        <v>287</v>
      </c>
      <c r="N4" s="1230" t="s">
        <v>287</v>
      </c>
      <c r="O4" s="1230" t="s">
        <v>1076</v>
      </c>
      <c r="P4" s="1230" t="s">
        <v>1077</v>
      </c>
    </row>
    <row r="5" customFormat="false" ht="13.5" hidden="false" customHeight="false" outlineLevel="0" collapsed="false">
      <c r="A5" s="1231"/>
      <c r="B5" s="1232" t="s">
        <v>1078</v>
      </c>
      <c r="C5" s="1233" t="s">
        <v>372</v>
      </c>
      <c r="D5" s="1233" t="s">
        <v>1079</v>
      </c>
      <c r="E5" s="1233" t="s">
        <v>1078</v>
      </c>
      <c r="F5" s="1233" t="s">
        <v>372</v>
      </c>
      <c r="G5" s="1234" t="s">
        <v>1079</v>
      </c>
      <c r="H5" s="1232" t="s">
        <v>1078</v>
      </c>
      <c r="I5" s="1233" t="s">
        <v>372</v>
      </c>
      <c r="J5" s="1234" t="s">
        <v>1079</v>
      </c>
      <c r="K5" s="1235" t="s">
        <v>1080</v>
      </c>
      <c r="L5" s="1236"/>
      <c r="M5" s="1236" t="s">
        <v>726</v>
      </c>
      <c r="N5" s="1236" t="s">
        <v>1081</v>
      </c>
      <c r="O5" s="1236" t="s">
        <v>49</v>
      </c>
      <c r="P5" s="1236" t="s">
        <v>288</v>
      </c>
    </row>
    <row r="6" customFormat="false" ht="12.75" hidden="false" customHeight="false" outlineLevel="0" collapsed="false">
      <c r="A6" s="1237" t="n">
        <f aca="false">'Curve Paste'!BQ6</f>
        <v>36647</v>
      </c>
      <c r="B6" s="1238" t="n">
        <f aca="false">IF(Assumptions!$L$30=4,VLOOKUP($A6,'Henwood Reference'!$E$9:$R$296,14),'Curve Paste'!BR6)</f>
        <v>2.05843679575938</v>
      </c>
      <c r="C6" s="1238" t="n">
        <f aca="false">IF(Assumptions!$L$30=4,VLOOKUP($A6,'Henwood Reference'!$E$9:$R$296,14),'Curve Paste'!BS6)</f>
        <v>2.05843679575938</v>
      </c>
      <c r="D6" s="1238" t="n">
        <f aca="false">IF(Assumptions!$L$30=4,VLOOKUP($A6,'Henwood Reference'!$E$9:$R$296,14),'Curve Paste'!BT6)</f>
        <v>2.05843679575938</v>
      </c>
      <c r="E6" s="1239" t="n">
        <f aca="false">'Curve Paste'!BU6</f>
        <v>0.3325</v>
      </c>
      <c r="F6" s="1239" t="n">
        <v>0.56</v>
      </c>
      <c r="G6" s="1239" t="n">
        <v>0.5675</v>
      </c>
      <c r="H6" s="1239" t="n">
        <f aca="false">I6-$H$4</f>
        <v>-0.07</v>
      </c>
      <c r="I6" s="1239"/>
      <c r="J6" s="1239" t="n">
        <f aca="false">I6+$J$4</f>
        <v>0.07</v>
      </c>
      <c r="K6" s="1240" t="n">
        <v>0</v>
      </c>
      <c r="L6" s="1241" t="n">
        <f aca="false">IF(Assumptions!$L$30=4,0,O6+P6)</f>
        <v>0</v>
      </c>
      <c r="M6" s="1242" t="n">
        <f aca="false">(IF(GasPriceCurve,IF(OBuySell=OCallPut,D6,B6),C6)+K6/1000+L6)/(1-GasTransportPercent)</f>
        <v>2.08343805238804</v>
      </c>
      <c r="N6" s="1239" t="n">
        <f aca="false">IF(Assumptions!$L$30=4,F6,CHOOSE(Assumptions!$L$30,E6,F6,G6))</f>
        <v>0.56</v>
      </c>
      <c r="O6" s="0" t="n">
        <v>0.045</v>
      </c>
      <c r="P6" s="647" t="n">
        <f aca="false">Assumptions!$L$32*(1+Assumptions!$C$26)^(YEAR(A6)-2000)</f>
        <v>0.082</v>
      </c>
    </row>
    <row r="7" customFormat="false" ht="12.75" hidden="false" customHeight="false" outlineLevel="0" collapsed="false">
      <c r="A7" s="1237" t="n">
        <f aca="false">'Curve Paste'!BQ7</f>
        <v>36678</v>
      </c>
      <c r="B7" s="1238" t="n">
        <f aca="false">IF(Assumptions!$L$30=4,VLOOKUP($A7,'Henwood Reference'!$E$9:$R$296,14),'Curve Paste'!BR7)</f>
        <v>2.07980302690049</v>
      </c>
      <c r="C7" s="1238" t="n">
        <f aca="false">IF(Assumptions!$L$30=4,VLOOKUP($A7,'Henwood Reference'!$E$9:$R$296,14),'Curve Paste'!BS7)</f>
        <v>2.07980302690049</v>
      </c>
      <c r="D7" s="1238" t="n">
        <f aca="false">IF(Assumptions!$L$30=4,VLOOKUP($A7,'Henwood Reference'!$E$9:$R$296,14),'Curve Paste'!BT7)</f>
        <v>2.07980302690049</v>
      </c>
      <c r="E7" s="1239" t="n">
        <v>0.45</v>
      </c>
      <c r="F7" s="1239" t="n">
        <v>0.4575</v>
      </c>
      <c r="G7" s="1239" t="n">
        <v>0.465</v>
      </c>
      <c r="H7" s="1239" t="n">
        <f aca="false">I7-$H$4</f>
        <v>-0.07</v>
      </c>
      <c r="I7" s="1239"/>
      <c r="J7" s="1239" t="n">
        <f aca="false">I7+$J$4</f>
        <v>0.07</v>
      </c>
      <c r="K7" s="1240" t="n">
        <v>0</v>
      </c>
      <c r="L7" s="1241" t="n">
        <f aca="false">IF(Assumptions!$L$30=4,0,O7+P7)</f>
        <v>0</v>
      </c>
      <c r="M7" s="1242" t="n">
        <f aca="false">(IF(GasPriceCurve,IF(OBuySell=OCallPut,D7,B7),C7)+K7/1000+L7)/(1-GasTransportPercent)</f>
        <v>2.1050637924094</v>
      </c>
      <c r="N7" s="1239" t="n">
        <f aca="false">IF(Assumptions!$L$30=4,F7,CHOOSE(Assumptions!$L$30,E7,F7,G7))</f>
        <v>0.4575</v>
      </c>
      <c r="O7" s="0" t="n">
        <v>0.085</v>
      </c>
      <c r="P7" s="647" t="n">
        <f aca="false">Assumptions!$L$32*(1+Assumptions!$C$26)^(YEAR(A7)-2000)</f>
        <v>0.082</v>
      </c>
    </row>
    <row r="8" customFormat="false" ht="12.75" hidden="false" customHeight="false" outlineLevel="0" collapsed="false">
      <c r="A8" s="1237" t="n">
        <f aca="false">'Curve Paste'!BQ8</f>
        <v>36708</v>
      </c>
      <c r="B8" s="1238" t="n">
        <f aca="false">IF(Assumptions!$L$30=4,VLOOKUP($A8,'Henwood Reference'!$E$9:$R$296,14),'Curve Paste'!BR8)</f>
        <v>2.13310120787886</v>
      </c>
      <c r="C8" s="1238" t="n">
        <f aca="false">IF(Assumptions!$L$30=4,VLOOKUP($A8,'Henwood Reference'!$E$9:$R$296,14),'Curve Paste'!BS8)</f>
        <v>2.13310120787886</v>
      </c>
      <c r="D8" s="1238" t="n">
        <f aca="false">IF(Assumptions!$L$30=4,VLOOKUP($A8,'Henwood Reference'!$E$9:$R$296,14),'Curve Paste'!BT8)</f>
        <v>2.13310120787886</v>
      </c>
      <c r="E8" s="1239" t="n">
        <v>0.4125</v>
      </c>
      <c r="F8" s="1239" t="n">
        <v>0.42</v>
      </c>
      <c r="G8" s="1239" t="n">
        <v>0.4275</v>
      </c>
      <c r="H8" s="1239" t="n">
        <f aca="false">I8-$H$4</f>
        <v>-0.07</v>
      </c>
      <c r="I8" s="1239"/>
      <c r="J8" s="1239" t="n">
        <f aca="false">I8+$J$4</f>
        <v>0.07</v>
      </c>
      <c r="K8" s="1240" t="n">
        <v>0</v>
      </c>
      <c r="L8" s="1241" t="n">
        <f aca="false">IF(Assumptions!$L$30=4,0,O8+P8)</f>
        <v>0</v>
      </c>
      <c r="M8" s="1242" t="n">
        <f aca="false">(IF(GasPriceCurve,IF(OBuySell=OCallPut,D8,B8),C8)+K8/1000+L8)/(1-GasTransportPercent)</f>
        <v>2.15900931971544</v>
      </c>
      <c r="N8" s="1239" t="n">
        <f aca="false">IF(Assumptions!$L$30=4,F8,CHOOSE(Assumptions!$L$30,E8,F8,G8))</f>
        <v>0.42</v>
      </c>
      <c r="O8" s="0" t="n">
        <v>0.175</v>
      </c>
      <c r="P8" s="647" t="n">
        <f aca="false">Assumptions!$L$32*(1+Assumptions!$C$26)^(YEAR(A8)-2000)</f>
        <v>0.082</v>
      </c>
    </row>
    <row r="9" customFormat="false" ht="12.75" hidden="false" customHeight="false" outlineLevel="0" collapsed="false">
      <c r="A9" s="1237" t="n">
        <f aca="false">'Curve Paste'!BQ9</f>
        <v>36739</v>
      </c>
      <c r="B9" s="1238" t="n">
        <f aca="false">IF(Assumptions!$L$30=4,VLOOKUP($A9,'Henwood Reference'!$E$9:$R$296,14),'Curve Paste'!BR9)</f>
        <v>2.20987876373757</v>
      </c>
      <c r="C9" s="1238" t="n">
        <f aca="false">IF(Assumptions!$L$30=4,VLOOKUP($A9,'Henwood Reference'!$E$9:$R$296,14),'Curve Paste'!BS9)</f>
        <v>2.20987876373757</v>
      </c>
      <c r="D9" s="1238" t="n">
        <f aca="false">IF(Assumptions!$L$30=4,VLOOKUP($A9,'Henwood Reference'!$E$9:$R$296,14),'Curve Paste'!BT9)</f>
        <v>2.20987876373757</v>
      </c>
      <c r="E9" s="1239" t="n">
        <v>0.3875</v>
      </c>
      <c r="F9" s="1239" t="n">
        <v>0.395</v>
      </c>
      <c r="G9" s="1239" t="n">
        <v>0.4025</v>
      </c>
      <c r="H9" s="1239" t="n">
        <f aca="false">I9-$H$4</f>
        <v>-0.07</v>
      </c>
      <c r="I9" s="1239"/>
      <c r="J9" s="1239" t="n">
        <f aca="false">I9+$J$4</f>
        <v>0.07</v>
      </c>
      <c r="K9" s="1240" t="n">
        <v>0</v>
      </c>
      <c r="L9" s="1241" t="n">
        <f aca="false">IF(Assumptions!$L$30=4,0,O9+P9)</f>
        <v>0</v>
      </c>
      <c r="M9" s="1242" t="n">
        <f aca="false">(IF(GasPriceCurve,IF(OBuySell=OCallPut,D9,B9),C9)+K9/1000+L9)/(1-GasTransportPercent)</f>
        <v>2.23671939649552</v>
      </c>
      <c r="N9" s="1239" t="n">
        <f aca="false">IF(Assumptions!$L$30=4,F9,CHOOSE(Assumptions!$L$30,E9,F9,G9))</f>
        <v>0.395</v>
      </c>
      <c r="O9" s="0" t="n">
        <v>0.185</v>
      </c>
      <c r="P9" s="647" t="n">
        <f aca="false">Assumptions!$L$32*(1+Assumptions!$C$26)^(YEAR(A9)-2000)</f>
        <v>0.082</v>
      </c>
    </row>
    <row r="10" customFormat="false" ht="12.75" hidden="false" customHeight="false" outlineLevel="0" collapsed="false">
      <c r="A10" s="1237" t="n">
        <f aca="false">'Curve Paste'!BQ10</f>
        <v>36770</v>
      </c>
      <c r="B10" s="1238" t="n">
        <f aca="false">IF(Assumptions!$L$30=4,VLOOKUP($A10,'Henwood Reference'!$E$9:$R$296,14),'Curve Paste'!BR10)</f>
        <v>2.3016831195197</v>
      </c>
      <c r="C10" s="1238" t="n">
        <f aca="false">IF(Assumptions!$L$30=4,VLOOKUP($A10,'Henwood Reference'!$E$9:$R$296,14),'Curve Paste'!BS10)</f>
        <v>2.3016831195197</v>
      </c>
      <c r="D10" s="1238" t="n">
        <f aca="false">IF(Assumptions!$L$30=4,VLOOKUP($A10,'Henwood Reference'!$E$9:$R$296,14),'Curve Paste'!BT10)</f>
        <v>2.3016831195197</v>
      </c>
      <c r="E10" s="1239" t="n">
        <v>0.365</v>
      </c>
      <c r="F10" s="1239" t="n">
        <v>0.3725</v>
      </c>
      <c r="G10" s="1239" t="n">
        <v>0.38</v>
      </c>
      <c r="H10" s="1239" t="n">
        <f aca="false">I10-$H$4</f>
        <v>-0.07</v>
      </c>
      <c r="I10" s="1239"/>
      <c r="J10" s="1239" t="n">
        <f aca="false">I10+$J$4</f>
        <v>0.07</v>
      </c>
      <c r="K10" s="1240" t="n">
        <v>0</v>
      </c>
      <c r="L10" s="1241" t="n">
        <f aca="false">IF(Assumptions!$L$30=4,0,O10+P10)</f>
        <v>0</v>
      </c>
      <c r="M10" s="1242" t="n">
        <f aca="false">(IF(GasPriceCurve,IF(OBuySell=OCallPut,D10,B10),C10)+K10/1000+L10)/(1-GasTransportPercent)</f>
        <v>2.32963878493897</v>
      </c>
      <c r="N10" s="1239" t="n">
        <f aca="false">IF(Assumptions!$L$30=4,F10,CHOOSE(Assumptions!$L$30,E10,F10,G10))</f>
        <v>0.3725</v>
      </c>
      <c r="O10" s="0" t="n">
        <v>0.185</v>
      </c>
      <c r="P10" s="647" t="n">
        <f aca="false">Assumptions!$L$32*(1+Assumptions!$C$26)^(YEAR(A10)-2000)</f>
        <v>0.082</v>
      </c>
    </row>
    <row r="11" customFormat="false" ht="12.75" hidden="false" customHeight="false" outlineLevel="0" collapsed="false">
      <c r="A11" s="1237" t="n">
        <f aca="false">'Curve Paste'!BQ11</f>
        <v>36800</v>
      </c>
      <c r="B11" s="1238" t="n">
        <f aca="false">IF(Assumptions!$L$30=4,VLOOKUP($A11,'Henwood Reference'!$E$9:$R$296,14),'Curve Paste'!BR11)</f>
        <v>2.40006170026832</v>
      </c>
      <c r="C11" s="1238" t="n">
        <f aca="false">IF(Assumptions!$L$30=4,VLOOKUP($A11,'Henwood Reference'!$E$9:$R$296,14),'Curve Paste'!BS11)</f>
        <v>2.40006170026832</v>
      </c>
      <c r="D11" s="1238" t="n">
        <f aca="false">IF(Assumptions!$L$30=4,VLOOKUP($A11,'Henwood Reference'!$E$9:$R$296,14),'Curve Paste'!BT11)</f>
        <v>2.40006170026832</v>
      </c>
      <c r="E11" s="1239" t="n">
        <v>0.3475</v>
      </c>
      <c r="F11" s="1239" t="n">
        <v>0.355</v>
      </c>
      <c r="G11" s="1239" t="n">
        <v>0.3625</v>
      </c>
      <c r="H11" s="1239" t="n">
        <f aca="false">I11-$H$4</f>
        <v>-0.07</v>
      </c>
      <c r="I11" s="1239"/>
      <c r="J11" s="1239" t="n">
        <f aca="false">I11+$J$4</f>
        <v>0.07</v>
      </c>
      <c r="K11" s="1240" t="n">
        <v>0</v>
      </c>
      <c r="L11" s="1241" t="n">
        <f aca="false">IF(Assumptions!$L$30=4,0,O11+P11)</f>
        <v>0</v>
      </c>
      <c r="M11" s="1242" t="n">
        <f aca="false">(IF(GasPriceCurve,IF(OBuySell=OCallPut,D11,B11),C11)+K11/1000+L11)/(1-GasTransportPercent)</f>
        <v>2.42921224723514</v>
      </c>
      <c r="N11" s="1239" t="n">
        <f aca="false">IF(Assumptions!$L$30=4,F11,CHOOSE(Assumptions!$L$30,E11,F11,G11))</f>
        <v>0.355</v>
      </c>
      <c r="O11" s="0" t="n">
        <v>0.09</v>
      </c>
      <c r="P11" s="647" t="n">
        <f aca="false">Assumptions!$L$32*(1+Assumptions!$C$26)^(YEAR(A11)-2000)</f>
        <v>0.082</v>
      </c>
    </row>
    <row r="12" customFormat="false" ht="12.75" hidden="false" customHeight="false" outlineLevel="0" collapsed="false">
      <c r="A12" s="1237" t="n">
        <f aca="false">'Curve Paste'!BQ12</f>
        <v>36831</v>
      </c>
      <c r="B12" s="1238" t="n">
        <f aca="false">IF(Assumptions!$L$30=4,VLOOKUP($A12,'Henwood Reference'!$E$9:$R$296,14),'Curve Paste'!BR12)</f>
        <v>2.49656193102652</v>
      </c>
      <c r="C12" s="1238" t="n">
        <f aca="false">IF(Assumptions!$L$30=4,VLOOKUP($A12,'Henwood Reference'!$E$9:$R$296,14),'Curve Paste'!BS12)</f>
        <v>2.49656193102652</v>
      </c>
      <c r="D12" s="1238" t="n">
        <f aca="false">IF(Assumptions!$L$30=4,VLOOKUP($A12,'Henwood Reference'!$E$9:$R$296,14),'Curve Paste'!BT12)</f>
        <v>2.49656193102652</v>
      </c>
      <c r="E12" s="1239" t="n">
        <v>0.34</v>
      </c>
      <c r="F12" s="1239" t="n">
        <v>0.3475</v>
      </c>
      <c r="G12" s="1239" t="n">
        <v>0.355</v>
      </c>
      <c r="H12" s="1239" t="n">
        <f aca="false">I12-$H$4</f>
        <v>-0.07</v>
      </c>
      <c r="I12" s="1239"/>
      <c r="J12" s="1239" t="n">
        <f aca="false">I12+$J$4</f>
        <v>0.07</v>
      </c>
      <c r="K12" s="1240" t="n">
        <v>0</v>
      </c>
      <c r="L12" s="1241" t="n">
        <f aca="false">IF(Assumptions!$L$30=4,0,O12+P12)</f>
        <v>0</v>
      </c>
      <c r="M12" s="1242" t="n">
        <f aca="false">(IF(GasPriceCurve,IF(OBuySell=OCallPut,D12,B12),C12)+K12/1000+L12)/(1-GasTransportPercent)</f>
        <v>2.5268845455734</v>
      </c>
      <c r="N12" s="1239" t="n">
        <f aca="false">IF(Assumptions!$L$30=4,F12,CHOOSE(Assumptions!$L$30,E12,F12,G12))</f>
        <v>0.3475</v>
      </c>
      <c r="O12" s="0" t="n">
        <v>0.05</v>
      </c>
      <c r="P12" s="647" t="n">
        <f aca="false">Assumptions!$L$32*(1+Assumptions!$C$26)^(YEAR(A12)-2000)</f>
        <v>0.082</v>
      </c>
    </row>
    <row r="13" customFormat="false" ht="12.75" hidden="false" customHeight="false" outlineLevel="0" collapsed="false">
      <c r="A13" s="1237" t="n">
        <f aca="false">'Curve Paste'!BQ13</f>
        <v>36861</v>
      </c>
      <c r="B13" s="1238" t="n">
        <f aca="false">IF(Assumptions!$L$30=4,VLOOKUP($A13,'Henwood Reference'!$E$9:$R$296,14),'Curve Paste'!BR13)</f>
        <v>2.59852351025726</v>
      </c>
      <c r="C13" s="1238" t="n">
        <f aca="false">IF(Assumptions!$L$30=4,VLOOKUP($A13,'Henwood Reference'!$E$9:$R$296,14),'Curve Paste'!BS13)</f>
        <v>2.59852351025726</v>
      </c>
      <c r="D13" s="1238" t="n">
        <f aca="false">IF(Assumptions!$L$30=4,VLOOKUP($A13,'Henwood Reference'!$E$9:$R$296,14),'Curve Paste'!BT13)</f>
        <v>2.59852351025726</v>
      </c>
      <c r="E13" s="1239" t="n">
        <v>0.325</v>
      </c>
      <c r="F13" s="1239" t="n">
        <v>0.3325</v>
      </c>
      <c r="G13" s="1239" t="n">
        <v>0.34</v>
      </c>
      <c r="H13" s="1239" t="n">
        <f aca="false">I13-$H$4</f>
        <v>-0.07</v>
      </c>
      <c r="I13" s="1239"/>
      <c r="J13" s="1239" t="n">
        <f aca="false">I13+$J$4</f>
        <v>0.07</v>
      </c>
      <c r="K13" s="1240" t="n">
        <v>0</v>
      </c>
      <c r="L13" s="1241" t="n">
        <f aca="false">IF(Assumptions!$L$30=4,0,O13+P13)</f>
        <v>0</v>
      </c>
      <c r="M13" s="1242" t="n">
        <f aca="false">(IF(GasPriceCurve,IF(OBuySell=OCallPut,D13,B13),C13)+K13/1000+L13)/(1-GasTransportPercent)</f>
        <v>2.63008452455188</v>
      </c>
      <c r="N13" s="1239" t="n">
        <f aca="false">IF(Assumptions!$L$30=4,F13,CHOOSE(Assumptions!$L$30,E13,F13,G13))</f>
        <v>0.3325</v>
      </c>
      <c r="O13" s="0" t="n">
        <v>0.05</v>
      </c>
      <c r="P13" s="647" t="n">
        <f aca="false">Assumptions!$L$32*(1+Assumptions!$C$26)^(YEAR(A13)-2000)</f>
        <v>0.082</v>
      </c>
    </row>
    <row r="14" customFormat="false" ht="12.75" hidden="false" customHeight="false" outlineLevel="0" collapsed="false">
      <c r="A14" s="1237" t="n">
        <f aca="false">'Curve Paste'!BQ14</f>
        <v>36892</v>
      </c>
      <c r="B14" s="1238" t="n">
        <f aca="false">IF(Assumptions!$L$30=4,VLOOKUP($A14,'Henwood Reference'!$E$9:$R$296,14),'Curve Paste'!BR14)</f>
        <v>2.51419682813781</v>
      </c>
      <c r="C14" s="1238" t="n">
        <f aca="false">IF(Assumptions!$L$30=4,VLOOKUP($A14,'Henwood Reference'!$E$9:$R$296,14),'Curve Paste'!BS14)</f>
        <v>2.51419682813781</v>
      </c>
      <c r="D14" s="1238" t="n">
        <f aca="false">IF(Assumptions!$L$30=4,VLOOKUP($A14,'Henwood Reference'!$E$9:$R$296,14),'Curve Paste'!BT14)</f>
        <v>2.51419682813781</v>
      </c>
      <c r="E14" s="1239" t="n">
        <v>0.32</v>
      </c>
      <c r="F14" s="1239" t="n">
        <v>0.3275</v>
      </c>
      <c r="G14" s="1239" t="n">
        <v>0.335</v>
      </c>
      <c r="H14" s="1239" t="n">
        <f aca="false">I14-$H$4</f>
        <v>-0.07</v>
      </c>
      <c r="I14" s="1239"/>
      <c r="J14" s="1239" t="n">
        <f aca="false">I14+$J$4</f>
        <v>0.07</v>
      </c>
      <c r="K14" s="1240" t="n">
        <v>0</v>
      </c>
      <c r="L14" s="1241" t="n">
        <f aca="false">IF(Assumptions!$L$30=4,0,O14+P14)</f>
        <v>0</v>
      </c>
      <c r="M14" s="1242" t="n">
        <f aca="false">(IF(GasPriceCurve,IF(OBuySell=OCallPut,D14,B14),C14)+K14/1000+L14)/(1-GasTransportPercent)</f>
        <v>2.54473363171843</v>
      </c>
      <c r="N14" s="1239" t="n">
        <f aca="false">IF(Assumptions!$L$30=4,F14,CHOOSE(Assumptions!$L$30,E14,F14,G14))</f>
        <v>0.3275</v>
      </c>
      <c r="O14" s="0" t="n">
        <v>0.035</v>
      </c>
      <c r="P14" s="647" t="n">
        <f aca="false">Assumptions!$L$32*(1+Assumptions!$C$26)^(YEAR(A14)-2000)</f>
        <v>0.08364</v>
      </c>
    </row>
    <row r="15" customFormat="false" ht="12.75" hidden="false" customHeight="false" outlineLevel="0" collapsed="false">
      <c r="A15" s="1237" t="n">
        <f aca="false">'Curve Paste'!BQ15</f>
        <v>36923</v>
      </c>
      <c r="B15" s="1238" t="n">
        <f aca="false">IF(Assumptions!$L$30=4,VLOOKUP($A15,'Henwood Reference'!$E$9:$R$296,14),'Curve Paste'!BR15)</f>
        <v>2.31825591333036</v>
      </c>
      <c r="C15" s="1238" t="n">
        <f aca="false">IF(Assumptions!$L$30=4,VLOOKUP($A15,'Henwood Reference'!$E$9:$R$296,14),'Curve Paste'!BS15)</f>
        <v>2.31825591333036</v>
      </c>
      <c r="D15" s="1238" t="n">
        <f aca="false">IF(Assumptions!$L$30=4,VLOOKUP($A15,'Henwood Reference'!$E$9:$R$296,14),'Curve Paste'!BT15)</f>
        <v>2.31825591333036</v>
      </c>
      <c r="E15" s="1239" t="n">
        <v>0.3175</v>
      </c>
      <c r="F15" s="1239" t="n">
        <v>0.325</v>
      </c>
      <c r="G15" s="1239" t="n">
        <v>0.3325</v>
      </c>
      <c r="H15" s="1239" t="n">
        <f aca="false">I15-$H$4</f>
        <v>-0.07</v>
      </c>
      <c r="I15" s="1239"/>
      <c r="J15" s="1239" t="n">
        <f aca="false">I15+$J$4</f>
        <v>0.07</v>
      </c>
      <c r="K15" s="1240" t="n">
        <v>0</v>
      </c>
      <c r="L15" s="1241" t="n">
        <f aca="false">IF(Assumptions!$L$30=4,0,O15+P15)</f>
        <v>0</v>
      </c>
      <c r="M15" s="1242" t="n">
        <f aca="false">(IF(GasPriceCurve,IF(OBuySell=OCallPut,D15,B15),C15)+K15/1000+L15)/(1-GasTransportPercent)</f>
        <v>2.34641286774328</v>
      </c>
      <c r="N15" s="1239" t="n">
        <f aca="false">IF(Assumptions!$L$30=4,F15,CHOOSE(Assumptions!$L$30,E15,F15,G15))</f>
        <v>0.325</v>
      </c>
      <c r="O15" s="0" t="n">
        <v>0.035</v>
      </c>
      <c r="P15" s="647" t="n">
        <f aca="false">Assumptions!$L$32*(1+Assumptions!$C$26)^(YEAR(A15)-2000)</f>
        <v>0.08364</v>
      </c>
    </row>
    <row r="16" customFormat="false" ht="12.75" hidden="false" customHeight="false" outlineLevel="0" collapsed="false">
      <c r="A16" s="1237" t="n">
        <f aca="false">'Curve Paste'!BQ16</f>
        <v>36951</v>
      </c>
      <c r="B16" s="1238" t="n">
        <f aca="false">IF(Assumptions!$L$30=4,VLOOKUP($A16,'Henwood Reference'!$E$9:$R$296,14),'Curve Paste'!BR16)</f>
        <v>2.19047614065144</v>
      </c>
      <c r="C16" s="1238" t="n">
        <f aca="false">IF(Assumptions!$L$30=4,VLOOKUP($A16,'Henwood Reference'!$E$9:$R$296,14),'Curve Paste'!BS16)</f>
        <v>2.19047614065144</v>
      </c>
      <c r="D16" s="1238" t="n">
        <f aca="false">IF(Assumptions!$L$30=4,VLOOKUP($A16,'Henwood Reference'!$E$9:$R$296,14),'Curve Paste'!BT16)</f>
        <v>2.19047614065144</v>
      </c>
      <c r="E16" s="1239" t="n">
        <v>0.3</v>
      </c>
      <c r="F16" s="1239" t="n">
        <v>0.3075</v>
      </c>
      <c r="G16" s="1239" t="n">
        <v>0.315</v>
      </c>
      <c r="H16" s="1239" t="n">
        <f aca="false">I16-$H$4</f>
        <v>-0.07</v>
      </c>
      <c r="I16" s="1239"/>
      <c r="J16" s="1239" t="n">
        <f aca="false">I16+$J$4</f>
        <v>0.07</v>
      </c>
      <c r="K16" s="1240" t="n">
        <v>0</v>
      </c>
      <c r="L16" s="1241" t="n">
        <f aca="false">IF(Assumptions!$L$30=4,0,O16+P16)</f>
        <v>0</v>
      </c>
      <c r="M16" s="1242" t="n">
        <f aca="false">(IF(GasPriceCurve,IF(OBuySell=OCallPut,D16,B16),C16)+K16/1000+L16)/(1-GasTransportPercent)</f>
        <v>2.21708111401968</v>
      </c>
      <c r="N16" s="1239" t="n">
        <f aca="false">IF(Assumptions!$L$30=4,F16,CHOOSE(Assumptions!$L$30,E16,F16,G16))</f>
        <v>0.3075</v>
      </c>
      <c r="O16" s="0" t="n">
        <v>0.0525</v>
      </c>
      <c r="P16" s="647" t="n">
        <f aca="false">Assumptions!$L$32*(1+Assumptions!$C$26)^(YEAR(A16)-2000)</f>
        <v>0.08364</v>
      </c>
    </row>
    <row r="17" customFormat="false" ht="12.75" hidden="false" customHeight="false" outlineLevel="0" collapsed="false">
      <c r="A17" s="1237" t="n">
        <f aca="false">'Curve Paste'!BQ17</f>
        <v>36982</v>
      </c>
      <c r="B17" s="1238" t="n">
        <f aca="false">IF(Assumptions!$L$30=4,VLOOKUP($A17,'Henwood Reference'!$E$9:$R$296,14),'Curve Paste'!BR17)</f>
        <v>2.12119217385181</v>
      </c>
      <c r="C17" s="1238" t="n">
        <f aca="false">IF(Assumptions!$L$30=4,VLOOKUP($A17,'Henwood Reference'!$E$9:$R$296,14),'Curve Paste'!BS17)</f>
        <v>2.12119217385181</v>
      </c>
      <c r="D17" s="1238" t="n">
        <f aca="false">IF(Assumptions!$L$30=4,VLOOKUP($A17,'Henwood Reference'!$E$9:$R$296,14),'Curve Paste'!BT17)</f>
        <v>2.12119217385181</v>
      </c>
      <c r="E17" s="1239" t="n">
        <v>0.27</v>
      </c>
      <c r="F17" s="1239" t="n">
        <v>0.2775</v>
      </c>
      <c r="G17" s="1239" t="n">
        <v>0.285</v>
      </c>
      <c r="H17" s="1239" t="n">
        <f aca="false">I17-$H$4</f>
        <v>-0.07</v>
      </c>
      <c r="I17" s="1239"/>
      <c r="J17" s="1239" t="n">
        <f aca="false">I17+$J$4</f>
        <v>0.07</v>
      </c>
      <c r="K17" s="1240" t="n">
        <v>0</v>
      </c>
      <c r="L17" s="1241" t="n">
        <f aca="false">IF(Assumptions!$L$30=4,0,O17+P17)</f>
        <v>0</v>
      </c>
      <c r="M17" s="1242" t="n">
        <f aca="false">(IF(GasPriceCurve,IF(OBuySell=OCallPut,D17,B17),C17)+K17/1000+L17)/(1-GasTransportPercent)</f>
        <v>2.14695564155041</v>
      </c>
      <c r="N17" s="1239" t="n">
        <f aca="false">IF(Assumptions!$L$30=4,F17,CHOOSE(Assumptions!$L$30,E17,F17,G17))</f>
        <v>0.2775</v>
      </c>
      <c r="O17" s="0" t="n">
        <v>0.0375</v>
      </c>
      <c r="P17" s="647" t="n">
        <f aca="false">Assumptions!$L$32*(1+Assumptions!$C$26)^(YEAR(A17)-2000)</f>
        <v>0.08364</v>
      </c>
    </row>
    <row r="18" customFormat="false" ht="12.75" hidden="false" customHeight="false" outlineLevel="0" collapsed="false">
      <c r="A18" s="1237" t="n">
        <f aca="false">'Curve Paste'!BQ18</f>
        <v>37012</v>
      </c>
      <c r="B18" s="1238" t="n">
        <f aca="false">IF(Assumptions!$L$30=4,VLOOKUP($A18,'Henwood Reference'!$E$9:$R$296,14),'Curve Paste'!BR18)</f>
        <v>2.10177348419516</v>
      </c>
      <c r="C18" s="1238" t="n">
        <f aca="false">IF(Assumptions!$L$30=4,VLOOKUP($A18,'Henwood Reference'!$E$9:$R$296,14),'Curve Paste'!BS18)</f>
        <v>2.10177348419516</v>
      </c>
      <c r="D18" s="1238" t="n">
        <f aca="false">IF(Assumptions!$L$30=4,VLOOKUP($A18,'Henwood Reference'!$E$9:$R$296,14),'Curve Paste'!BT18)</f>
        <v>2.10177348419516</v>
      </c>
      <c r="E18" s="1239" t="n">
        <v>0.23</v>
      </c>
      <c r="F18" s="1239" t="n">
        <v>0.2375</v>
      </c>
      <c r="G18" s="1239" t="n">
        <v>0.245</v>
      </c>
      <c r="H18" s="1239" t="n">
        <f aca="false">I18-$H$4</f>
        <v>-0.07</v>
      </c>
      <c r="I18" s="1239"/>
      <c r="J18" s="1239" t="n">
        <f aca="false">I18+$J$4</f>
        <v>0.07</v>
      </c>
      <c r="K18" s="1240" t="n">
        <v>0</v>
      </c>
      <c r="L18" s="1241" t="n">
        <f aca="false">IF(Assumptions!$L$30=4,0,O18+P18)</f>
        <v>0</v>
      </c>
      <c r="M18" s="1242" t="n">
        <f aca="false">(IF(GasPriceCurve,IF(OBuySell=OCallPut,D18,B18),C18)+K18/1000+L18)/(1-GasTransportPercent)</f>
        <v>2.12730109736353</v>
      </c>
      <c r="N18" s="1239" t="n">
        <f aca="false">IF(Assumptions!$L$30=4,F18,CHOOSE(Assumptions!$L$30,E18,F18,G18))</f>
        <v>0.2375</v>
      </c>
      <c r="O18" s="0" t="n">
        <v>0.0525</v>
      </c>
      <c r="P18" s="647" t="n">
        <f aca="false">Assumptions!$L$32*(1+Assumptions!$C$26)^(YEAR(A18)-2000)</f>
        <v>0.08364</v>
      </c>
    </row>
    <row r="19" customFormat="false" ht="12.75" hidden="false" customHeight="false" outlineLevel="0" collapsed="false">
      <c r="A19" s="1237" t="n">
        <f aca="false">'Curve Paste'!BQ19</f>
        <v>37043</v>
      </c>
      <c r="B19" s="1238" t="n">
        <f aca="false">IF(Assumptions!$L$30=4,VLOOKUP($A19,'Henwood Reference'!$E$9:$R$296,14),'Curve Paste'!BR19)</f>
        <v>2.12358954294522</v>
      </c>
      <c r="C19" s="1238" t="n">
        <f aca="false">IF(Assumptions!$L$30=4,VLOOKUP($A19,'Henwood Reference'!$E$9:$R$296,14),'Curve Paste'!BS19)</f>
        <v>2.12358954294522</v>
      </c>
      <c r="D19" s="1238" t="n">
        <f aca="false">IF(Assumptions!$L$30=4,VLOOKUP($A19,'Henwood Reference'!$E$9:$R$296,14),'Curve Paste'!BT19)</f>
        <v>2.12358954294522</v>
      </c>
      <c r="E19" s="1239" t="n">
        <v>0.2175</v>
      </c>
      <c r="F19" s="1239" t="n">
        <v>0.225</v>
      </c>
      <c r="G19" s="1239" t="n">
        <v>0.2325</v>
      </c>
      <c r="H19" s="1239" t="n">
        <f aca="false">I19-$H$4</f>
        <v>-0.07</v>
      </c>
      <c r="I19" s="1239"/>
      <c r="J19" s="1239" t="n">
        <f aca="false">I19+$J$4</f>
        <v>0.07</v>
      </c>
      <c r="K19" s="1240" t="n">
        <v>0</v>
      </c>
      <c r="L19" s="1241" t="n">
        <f aca="false">IF(Assumptions!$L$30=4,0,O19+P19)</f>
        <v>0</v>
      </c>
      <c r="M19" s="1242" t="n">
        <f aca="false">(IF(GasPriceCurve,IF(OBuySell=OCallPut,D19,B19),C19)+K19/1000+L19)/(1-GasTransportPercent)</f>
        <v>2.14938212848707</v>
      </c>
      <c r="N19" s="1239" t="n">
        <f aca="false">IF(Assumptions!$L$30=4,F19,CHOOSE(Assumptions!$L$30,E19,F19,G19))</f>
        <v>0.225</v>
      </c>
      <c r="O19" s="0" t="n">
        <v>0.0825</v>
      </c>
      <c r="P19" s="647" t="n">
        <f aca="false">Assumptions!$L$32*(1+Assumptions!$C$26)^(YEAR(A19)-2000)</f>
        <v>0.08364</v>
      </c>
    </row>
    <row r="20" customFormat="false" ht="12.75" hidden="false" customHeight="false" outlineLevel="0" collapsed="false">
      <c r="A20" s="1237" t="n">
        <f aca="false">'Curve Paste'!BQ20</f>
        <v>37073</v>
      </c>
      <c r="B20" s="1238" t="n">
        <f aca="false">IF(Assumptions!$L$30=4,VLOOKUP($A20,'Henwood Reference'!$E$9:$R$296,14),'Curve Paste'!BR20)</f>
        <v>2.1780098213657</v>
      </c>
      <c r="C20" s="1238" t="n">
        <f aca="false">IF(Assumptions!$L$30=4,VLOOKUP($A20,'Henwood Reference'!$E$9:$R$296,14),'Curve Paste'!BS20)</f>
        <v>2.1780098213657</v>
      </c>
      <c r="D20" s="1238" t="n">
        <f aca="false">IF(Assumptions!$L$30=4,VLOOKUP($A20,'Henwood Reference'!$E$9:$R$296,14),'Curve Paste'!BT20)</f>
        <v>2.1780098213657</v>
      </c>
      <c r="E20" s="1239" t="n">
        <v>0.2075</v>
      </c>
      <c r="F20" s="1239" t="n">
        <v>0.215</v>
      </c>
      <c r="G20" s="1239" t="n">
        <v>0.2225</v>
      </c>
      <c r="H20" s="1239" t="n">
        <f aca="false">I20-$H$4</f>
        <v>-0.07</v>
      </c>
      <c r="I20" s="1239"/>
      <c r="J20" s="1239" t="n">
        <f aca="false">I20+$J$4</f>
        <v>0.07</v>
      </c>
      <c r="K20" s="1240" t="n">
        <v>0</v>
      </c>
      <c r="L20" s="1241" t="n">
        <f aca="false">IF(Assumptions!$L$30=4,0,O20+P20)</f>
        <v>0</v>
      </c>
      <c r="M20" s="1242" t="n">
        <f aca="false">(IF(GasPriceCurve,IF(OBuySell=OCallPut,D20,B20),C20)+K20/1000+L20)/(1-GasTransportPercent)</f>
        <v>2.20446338194909</v>
      </c>
      <c r="N20" s="1239" t="n">
        <f aca="false">IF(Assumptions!$L$30=4,F20,CHOOSE(Assumptions!$L$30,E20,F20,G20))</f>
        <v>0.215</v>
      </c>
      <c r="O20" s="0" t="n">
        <v>0.1825</v>
      </c>
      <c r="P20" s="647" t="n">
        <f aca="false">Assumptions!$L$32*(1+Assumptions!$C$26)^(YEAR(A20)-2000)</f>
        <v>0.08364</v>
      </c>
    </row>
    <row r="21" customFormat="false" ht="12.75" hidden="false" customHeight="false" outlineLevel="0" collapsed="false">
      <c r="A21" s="1237" t="n">
        <f aca="false">'Curve Paste'!BQ21</f>
        <v>37104</v>
      </c>
      <c r="B21" s="1238" t="n">
        <f aca="false">IF(Assumptions!$L$30=4,VLOOKUP($A21,'Henwood Reference'!$E$9:$R$296,14),'Curve Paste'!BR21)</f>
        <v>2.2564037907203</v>
      </c>
      <c r="C21" s="1238" t="n">
        <f aca="false">IF(Assumptions!$L$30=4,VLOOKUP($A21,'Henwood Reference'!$E$9:$R$296,14),'Curve Paste'!BS21)</f>
        <v>2.2564037907203</v>
      </c>
      <c r="D21" s="1238" t="n">
        <f aca="false">IF(Assumptions!$L$30=4,VLOOKUP($A21,'Henwood Reference'!$E$9:$R$296,14),'Curve Paste'!BT21)</f>
        <v>2.2564037907203</v>
      </c>
      <c r="E21" s="1239" t="n">
        <v>0.205</v>
      </c>
      <c r="F21" s="1239" t="n">
        <v>0.2125</v>
      </c>
      <c r="G21" s="1239" t="n">
        <v>0.22</v>
      </c>
      <c r="H21" s="1239" t="n">
        <f aca="false">I21-$H$4</f>
        <v>-0.07</v>
      </c>
      <c r="I21" s="1239"/>
      <c r="J21" s="1239" t="n">
        <f aca="false">I21+$J$4</f>
        <v>0.07</v>
      </c>
      <c r="K21" s="1240" t="n">
        <v>0</v>
      </c>
      <c r="L21" s="1241" t="n">
        <f aca="false">IF(Assumptions!$L$30=4,0,O21+P21)</f>
        <v>0</v>
      </c>
      <c r="M21" s="1242" t="n">
        <f aca="false">(IF(GasPriceCurve,IF(OBuySell=OCallPut,D21,B21),C21)+K21/1000+L21)/(1-GasTransportPercent)</f>
        <v>2.28380950477763</v>
      </c>
      <c r="N21" s="1239" t="n">
        <f aca="false">IF(Assumptions!$L$30=4,F21,CHOOSE(Assumptions!$L$30,E21,F21,G21))</f>
        <v>0.2125</v>
      </c>
      <c r="O21" s="0" t="n">
        <v>0.1825</v>
      </c>
      <c r="P21" s="647" t="n">
        <f aca="false">Assumptions!$L$32*(1+Assumptions!$C$26)^(YEAR(A21)-2000)</f>
        <v>0.08364</v>
      </c>
    </row>
    <row r="22" customFormat="false" ht="12.75" hidden="false" customHeight="false" outlineLevel="0" collapsed="false">
      <c r="A22" s="1237" t="n">
        <f aca="false">'Curve Paste'!BQ22</f>
        <v>37135</v>
      </c>
      <c r="B22" s="1238" t="n">
        <f aca="false">IF(Assumptions!$L$30=4,VLOOKUP($A22,'Henwood Reference'!$E$9:$R$296,14),'Curve Paste'!BR22)</f>
        <v>2.35014092227275</v>
      </c>
      <c r="C22" s="1238" t="n">
        <f aca="false">IF(Assumptions!$L$30=4,VLOOKUP($A22,'Henwood Reference'!$E$9:$R$296,14),'Curve Paste'!BS22)</f>
        <v>2.35014092227275</v>
      </c>
      <c r="D22" s="1238" t="n">
        <f aca="false">IF(Assumptions!$L$30=4,VLOOKUP($A22,'Henwood Reference'!$E$9:$R$296,14),'Curve Paste'!BT22)</f>
        <v>2.35014092227275</v>
      </c>
      <c r="E22" s="1239" t="n">
        <v>0.205</v>
      </c>
      <c r="F22" s="1239" t="n">
        <v>0.2125</v>
      </c>
      <c r="G22" s="1239" t="n">
        <v>0.22</v>
      </c>
      <c r="H22" s="1239" t="n">
        <f aca="false">I22-$H$4</f>
        <v>-0.07</v>
      </c>
      <c r="I22" s="1239"/>
      <c r="J22" s="1239" t="n">
        <f aca="false">I22+$J$4</f>
        <v>0.07</v>
      </c>
      <c r="K22" s="1240" t="n">
        <v>0</v>
      </c>
      <c r="L22" s="1241" t="n">
        <f aca="false">IF(Assumptions!$L$30=4,0,O22+P22)</f>
        <v>0</v>
      </c>
      <c r="M22" s="1242" t="n">
        <f aca="false">(IF(GasPriceCurve,IF(OBuySell=OCallPut,D22,B22),C22)+K22/1000+L22)/(1-GasTransportPercent)</f>
        <v>2.37868514400076</v>
      </c>
      <c r="N22" s="1239" t="n">
        <f aca="false">IF(Assumptions!$L$30=4,F22,CHOOSE(Assumptions!$L$30,E22,F22,G22))</f>
        <v>0.2125</v>
      </c>
      <c r="O22" s="0" t="n">
        <v>0.1825</v>
      </c>
      <c r="P22" s="647" t="n">
        <f aca="false">Assumptions!$L$32*(1+Assumptions!$C$26)^(YEAR(A22)-2000)</f>
        <v>0.08364</v>
      </c>
    </row>
    <row r="23" customFormat="false" ht="12.75" hidden="false" customHeight="false" outlineLevel="0" collapsed="false">
      <c r="A23" s="1237" t="n">
        <f aca="false">'Curve Paste'!BQ23</f>
        <v>37165</v>
      </c>
      <c r="B23" s="1238" t="n">
        <f aca="false">IF(Assumptions!$L$30=4,VLOOKUP($A23,'Henwood Reference'!$E$9:$R$296,14),'Curve Paste'!BR23)</f>
        <v>2.45059068728675</v>
      </c>
      <c r="C23" s="1238" t="n">
        <f aca="false">IF(Assumptions!$L$30=4,VLOOKUP($A23,'Henwood Reference'!$E$9:$R$296,14),'Curve Paste'!BS23)</f>
        <v>2.45059068728675</v>
      </c>
      <c r="D23" s="1238" t="n">
        <f aca="false">IF(Assumptions!$L$30=4,VLOOKUP($A23,'Henwood Reference'!$E$9:$R$296,14),'Curve Paste'!BT23)</f>
        <v>2.45059068728675</v>
      </c>
      <c r="E23" s="1239" t="n">
        <v>0.205</v>
      </c>
      <c r="F23" s="1239" t="n">
        <v>0.2125</v>
      </c>
      <c r="G23" s="1239" t="n">
        <v>0.22</v>
      </c>
      <c r="H23" s="1239" t="n">
        <f aca="false">I23-$H$4</f>
        <v>-0.07</v>
      </c>
      <c r="I23" s="1239"/>
      <c r="J23" s="1239" t="n">
        <f aca="false">I23+$J$4</f>
        <v>0.07</v>
      </c>
      <c r="K23" s="1240" t="n">
        <v>0</v>
      </c>
      <c r="L23" s="1241" t="n">
        <f aca="false">IF(Assumptions!$L$30=4,0,O23+P23)</f>
        <v>0</v>
      </c>
      <c r="M23" s="1242" t="n">
        <f aca="false">(IF(GasPriceCurve,IF(OBuySell=OCallPut,D23,B23),C23)+K23/1000+L23)/(1-GasTransportPercent)</f>
        <v>2.48035494664651</v>
      </c>
      <c r="N23" s="1239" t="n">
        <f aca="false">IF(Assumptions!$L$30=4,F23,CHOOSE(Assumptions!$L$30,E23,F23,G23))</f>
        <v>0.2125</v>
      </c>
      <c r="O23" s="0" t="n">
        <v>0.1025</v>
      </c>
      <c r="P23" s="647" t="n">
        <f aca="false">Assumptions!$L$32*(1+Assumptions!$C$26)^(YEAR(A23)-2000)</f>
        <v>0.08364</v>
      </c>
    </row>
    <row r="24" customFormat="false" ht="12.75" hidden="false" customHeight="false" outlineLevel="0" collapsed="false">
      <c r="A24" s="1237" t="n">
        <f aca="false">'Curve Paste'!BQ24</f>
        <v>37196</v>
      </c>
      <c r="B24" s="1238" t="n">
        <f aca="false">IF(Assumptions!$L$30=4,VLOOKUP($A24,'Henwood Reference'!$E$9:$R$296,14),'Curve Paste'!BR24)</f>
        <v>2.54912255702603</v>
      </c>
      <c r="C24" s="1238" t="n">
        <f aca="false">IF(Assumptions!$L$30=4,VLOOKUP($A24,'Henwood Reference'!$E$9:$R$296,14),'Curve Paste'!BS24)</f>
        <v>2.54912255702603</v>
      </c>
      <c r="D24" s="1238" t="n">
        <f aca="false">IF(Assumptions!$L$30=4,VLOOKUP($A24,'Henwood Reference'!$E$9:$R$296,14),'Curve Paste'!BT24)</f>
        <v>2.54912255702603</v>
      </c>
      <c r="E24" s="1239" t="n">
        <v>0.205</v>
      </c>
      <c r="F24" s="1239" t="n">
        <v>0.2125</v>
      </c>
      <c r="G24" s="1239" t="n">
        <v>0.22</v>
      </c>
      <c r="H24" s="1239" t="n">
        <f aca="false">I24-$H$4</f>
        <v>-0.07</v>
      </c>
      <c r="I24" s="1239"/>
      <c r="J24" s="1239" t="n">
        <f aca="false">I24+$J$4</f>
        <v>0.07</v>
      </c>
      <c r="K24" s="1240" t="n">
        <v>0</v>
      </c>
      <c r="L24" s="1241" t="n">
        <f aca="false">IF(Assumptions!$L$30=4,0,O24+P24)</f>
        <v>0</v>
      </c>
      <c r="M24" s="1242" t="n">
        <f aca="false">(IF(GasPriceCurve,IF(OBuySell=OCallPut,D24,B24),C24)+K24/1000+L24)/(1-GasTransportPercent)</f>
        <v>2.58008355974294</v>
      </c>
      <c r="N24" s="1239" t="n">
        <f aca="false">IF(Assumptions!$L$30=4,F24,CHOOSE(Assumptions!$L$30,E24,F24,G24))</f>
        <v>0.2125</v>
      </c>
      <c r="O24" s="0" t="n">
        <v>0.0675</v>
      </c>
      <c r="P24" s="647" t="n">
        <f aca="false">Assumptions!$L$32*(1+Assumptions!$C$26)^(YEAR(A24)-2000)</f>
        <v>0.08364</v>
      </c>
    </row>
    <row r="25" customFormat="false" ht="12.75" hidden="false" customHeight="false" outlineLevel="0" collapsed="false">
      <c r="A25" s="1237" t="n">
        <f aca="false">'Curve Paste'!BQ25</f>
        <v>37226</v>
      </c>
      <c r="B25" s="1238" t="n">
        <f aca="false">IF(Assumptions!$L$30=4,VLOOKUP($A25,'Henwood Reference'!$E$9:$R$296,14),'Curve Paste'!BR25)</f>
        <v>2.65323075411778</v>
      </c>
      <c r="C25" s="1238" t="n">
        <f aca="false">IF(Assumptions!$L$30=4,VLOOKUP($A25,'Henwood Reference'!$E$9:$R$296,14),'Curve Paste'!BS25)</f>
        <v>2.65323075411778</v>
      </c>
      <c r="D25" s="1238" t="n">
        <f aca="false">IF(Assumptions!$L$30=4,VLOOKUP($A25,'Henwood Reference'!$E$9:$R$296,14),'Curve Paste'!BT25)</f>
        <v>2.65323075411778</v>
      </c>
      <c r="E25" s="1239" t="n">
        <v>0.21</v>
      </c>
      <c r="F25" s="1239" t="n">
        <v>0.2175</v>
      </c>
      <c r="G25" s="1239" t="n">
        <v>0.225</v>
      </c>
      <c r="H25" s="1239" t="n">
        <f aca="false">I25-$H$4</f>
        <v>-0.07</v>
      </c>
      <c r="I25" s="1239"/>
      <c r="J25" s="1239" t="n">
        <f aca="false">I25+$J$4</f>
        <v>0.07</v>
      </c>
      <c r="K25" s="1240" t="n">
        <v>0</v>
      </c>
      <c r="L25" s="1241" t="n">
        <f aca="false">IF(Assumptions!$L$30=4,0,O25+P25)</f>
        <v>0</v>
      </c>
      <c r="M25" s="1242" t="n">
        <f aca="false">(IF(GasPriceCurve,IF(OBuySell=OCallPut,D25,B25),C25)+K25/1000+L25)/(1-GasTransportPercent)</f>
        <v>2.68545622886415</v>
      </c>
      <c r="N25" s="1239" t="n">
        <f aca="false">IF(Assumptions!$L$30=4,F25,CHOOSE(Assumptions!$L$30,E25,F25,G25))</f>
        <v>0.2175</v>
      </c>
      <c r="O25" s="0" t="n">
        <v>0.0675</v>
      </c>
      <c r="P25" s="647" t="n">
        <f aca="false">Assumptions!$L$32*(1+Assumptions!$C$26)^(YEAR(A25)-2000)</f>
        <v>0.08364</v>
      </c>
    </row>
    <row r="26" customFormat="false" ht="12.75" hidden="false" customHeight="false" outlineLevel="0" collapsed="false">
      <c r="A26" s="1237" t="n">
        <f aca="false">'Curve Paste'!BQ26</f>
        <v>37257</v>
      </c>
      <c r="B26" s="1238" t="n">
        <f aca="false">IF(Assumptions!$L$30=4,VLOOKUP($A26,'Henwood Reference'!$E$9:$R$296,14),'Curve Paste'!BR26)</f>
        <v>2.57968041488893</v>
      </c>
      <c r="C26" s="1238" t="n">
        <f aca="false">IF(Assumptions!$L$30=4,VLOOKUP($A26,'Henwood Reference'!$E$9:$R$296,14),'Curve Paste'!BS26)</f>
        <v>2.57968041488893</v>
      </c>
      <c r="D26" s="1238" t="n">
        <f aca="false">IF(Assumptions!$L$30=4,VLOOKUP($A26,'Henwood Reference'!$E$9:$R$296,14),'Curve Paste'!BT26)</f>
        <v>2.57968041488893</v>
      </c>
      <c r="E26" s="1239" t="n">
        <v>0.22</v>
      </c>
      <c r="F26" s="1239" t="n">
        <v>0.2275</v>
      </c>
      <c r="G26" s="1239" t="n">
        <v>0.235</v>
      </c>
      <c r="H26" s="1239" t="n">
        <f aca="false">I26-$H$4</f>
        <v>-0.07</v>
      </c>
      <c r="I26" s="1239"/>
      <c r="J26" s="1239" t="n">
        <f aca="false">I26+$J$4</f>
        <v>0.07</v>
      </c>
      <c r="K26" s="1240" t="n">
        <v>0</v>
      </c>
      <c r="L26" s="1241" t="n">
        <f aca="false">IF(Assumptions!$L$30=4,0,O26+P26)</f>
        <v>0</v>
      </c>
      <c r="M26" s="1242" t="n">
        <f aca="false">(IF(GasPriceCurve,IF(OBuySell=OCallPut,D26,B26),C26)+K26/1000+L26)/(1-GasTransportPercent)</f>
        <v>2.61101256567706</v>
      </c>
      <c r="N26" s="1239" t="n">
        <f aca="false">IF(Assumptions!$L$30=4,F26,CHOOSE(Assumptions!$L$30,E26,F26,G26))</f>
        <v>0.2275</v>
      </c>
      <c r="O26" s="0" t="n">
        <v>0.0525</v>
      </c>
      <c r="P26" s="647" t="n">
        <f aca="false">Assumptions!$L$32*(1+Assumptions!$C$26)^(YEAR(A26)-2000)</f>
        <v>0.0853128</v>
      </c>
    </row>
    <row r="27" customFormat="false" ht="12.75" hidden="false" customHeight="false" outlineLevel="0" collapsed="false">
      <c r="A27" s="1237" t="n">
        <f aca="false">'Curve Paste'!BQ27</f>
        <v>37288</v>
      </c>
      <c r="B27" s="1238" t="n">
        <f aca="false">IF(Assumptions!$L$30=4,VLOOKUP($A27,'Henwood Reference'!$E$9:$R$296,14),'Curve Paste'!BR27)</f>
        <v>2.37863611527513</v>
      </c>
      <c r="C27" s="1238" t="n">
        <f aca="false">IF(Assumptions!$L$30=4,VLOOKUP($A27,'Henwood Reference'!$E$9:$R$296,14),'Curve Paste'!BS27)</f>
        <v>2.37863611527513</v>
      </c>
      <c r="D27" s="1238" t="n">
        <f aca="false">IF(Assumptions!$L$30=4,VLOOKUP($A27,'Henwood Reference'!$E$9:$R$296,14),'Curve Paste'!BT27)</f>
        <v>2.37863611527513</v>
      </c>
      <c r="E27" s="1239" t="n">
        <v>0.2225</v>
      </c>
      <c r="F27" s="1239" t="n">
        <v>0.23</v>
      </c>
      <c r="G27" s="1239" t="n">
        <v>0.2375</v>
      </c>
      <c r="H27" s="1239" t="n">
        <f aca="false">I27-$H$4</f>
        <v>-0.07</v>
      </c>
      <c r="I27" s="1239"/>
      <c r="J27" s="1239" t="n">
        <f aca="false">I27+$J$4</f>
        <v>0.07</v>
      </c>
      <c r="K27" s="1240" t="n">
        <v>0</v>
      </c>
      <c r="L27" s="1241" t="n">
        <f aca="false">IF(Assumptions!$L$30=4,0,O27+P27)</f>
        <v>0</v>
      </c>
      <c r="M27" s="1242" t="n">
        <f aca="false">(IF(GasPriceCurve,IF(OBuySell=OCallPut,D27,B27),C27)+K27/1000+L27)/(1-GasTransportPercent)</f>
        <v>2.40752643246471</v>
      </c>
      <c r="N27" s="1239" t="n">
        <f aca="false">IF(Assumptions!$L$30=4,F27,CHOOSE(Assumptions!$L$30,E27,F27,G27))</f>
        <v>0.23</v>
      </c>
      <c r="O27" s="0" t="n">
        <v>0.0525</v>
      </c>
      <c r="P27" s="647" t="n">
        <f aca="false">Assumptions!$L$32*(1+Assumptions!$C$26)^(YEAR(A27)-2000)</f>
        <v>0.0853128</v>
      </c>
    </row>
    <row r="28" customFormat="false" ht="12.75" hidden="false" customHeight="false" outlineLevel="0" collapsed="false">
      <c r="A28" s="1237" t="n">
        <f aca="false">'Curve Paste'!BQ28</f>
        <v>37316</v>
      </c>
      <c r="B28" s="1238" t="n">
        <f aca="false">IF(Assumptions!$L$30=4,VLOOKUP($A28,'Henwood Reference'!$E$9:$R$296,14),'Curve Paste'!BR28)</f>
        <v>2.2475282508034</v>
      </c>
      <c r="C28" s="1238" t="n">
        <f aca="false">IF(Assumptions!$L$30=4,VLOOKUP($A28,'Henwood Reference'!$E$9:$R$296,14),'Curve Paste'!BS28)</f>
        <v>2.2475282508034</v>
      </c>
      <c r="D28" s="1238" t="n">
        <f aca="false">IF(Assumptions!$L$30=4,VLOOKUP($A28,'Henwood Reference'!$E$9:$R$296,14),'Curve Paste'!BT28)</f>
        <v>2.2475282508034</v>
      </c>
      <c r="E28" s="1239" t="n">
        <v>0.2025</v>
      </c>
      <c r="F28" s="1239" t="n">
        <v>0.21</v>
      </c>
      <c r="G28" s="1239" t="n">
        <v>0.2175</v>
      </c>
      <c r="H28" s="1239" t="n">
        <f aca="false">I28-$H$4</f>
        <v>-0.07</v>
      </c>
      <c r="I28" s="1239"/>
      <c r="J28" s="1239" t="n">
        <f aca="false">I28+$J$4</f>
        <v>0.07</v>
      </c>
      <c r="K28" s="1240" t="n">
        <v>0</v>
      </c>
      <c r="L28" s="1241" t="n">
        <f aca="false">IF(Assumptions!$L$30=4,0,O28+P28)</f>
        <v>0</v>
      </c>
      <c r="M28" s="1242" t="n">
        <f aca="false">(IF(GasPriceCurve,IF(OBuySell=OCallPut,D28,B28),C28)+K28/1000+L28)/(1-GasTransportPercent)</f>
        <v>2.27482616478077</v>
      </c>
      <c r="N28" s="1239" t="n">
        <f aca="false">IF(Assumptions!$L$30=4,F28,CHOOSE(Assumptions!$L$30,E28,F28,G28))</f>
        <v>0.21</v>
      </c>
      <c r="O28" s="0" t="n">
        <v>0.07</v>
      </c>
      <c r="P28" s="647" t="n">
        <f aca="false">Assumptions!$L$32*(1+Assumptions!$C$26)^(YEAR(A28)-2000)</f>
        <v>0.0853128</v>
      </c>
    </row>
    <row r="29" customFormat="false" ht="12.75" hidden="false" customHeight="false" outlineLevel="0" collapsed="false">
      <c r="A29" s="1237" t="n">
        <f aca="false">'Curve Paste'!BQ29</f>
        <v>37347</v>
      </c>
      <c r="B29" s="1238" t="n">
        <f aca="false">IF(Assumptions!$L$30=4,VLOOKUP($A29,'Henwood Reference'!$E$9:$R$296,14),'Curve Paste'!BR29)</f>
        <v>2.17643974642755</v>
      </c>
      <c r="C29" s="1238" t="n">
        <f aca="false">IF(Assumptions!$L$30=4,VLOOKUP($A29,'Henwood Reference'!$E$9:$R$296,14),'Curve Paste'!BS29)</f>
        <v>2.17643974642755</v>
      </c>
      <c r="D29" s="1238" t="n">
        <f aca="false">IF(Assumptions!$L$30=4,VLOOKUP($A29,'Henwood Reference'!$E$9:$R$296,14),'Curve Paste'!BT29)</f>
        <v>2.17643974642755</v>
      </c>
      <c r="E29" s="1239" t="n">
        <v>0.1875</v>
      </c>
      <c r="F29" s="1239" t="n">
        <v>0.195</v>
      </c>
      <c r="G29" s="1239" t="n">
        <v>0.2025</v>
      </c>
      <c r="H29" s="1239" t="n">
        <f aca="false">I29-$H$4</f>
        <v>-0.07</v>
      </c>
      <c r="I29" s="1239"/>
      <c r="J29" s="1239" t="n">
        <f aca="false">I29+$J$4</f>
        <v>0.07</v>
      </c>
      <c r="K29" s="1240" t="n">
        <v>0</v>
      </c>
      <c r="L29" s="1241" t="n">
        <f aca="false">IF(Assumptions!$L$30=4,0,O29+P29)</f>
        <v>0</v>
      </c>
      <c r="M29" s="1242" t="n">
        <f aca="false">(IF(GasPriceCurve,IF(OBuySell=OCallPut,D29,B29),C29)+K29/1000+L29)/(1-GasTransportPercent)</f>
        <v>2.20287423727485</v>
      </c>
      <c r="N29" s="1239" t="n">
        <f aca="false">IF(Assumptions!$L$30=4,F29,CHOOSE(Assumptions!$L$30,E29,F29,G29))</f>
        <v>0.195</v>
      </c>
      <c r="O29" s="0" t="n">
        <v>0.055</v>
      </c>
      <c r="P29" s="647" t="n">
        <f aca="false">Assumptions!$L$32*(1+Assumptions!$C$26)^(YEAR(A29)-2000)</f>
        <v>0.0853128</v>
      </c>
    </row>
    <row r="30" customFormat="false" ht="12.75" hidden="false" customHeight="false" outlineLevel="0" collapsed="false">
      <c r="A30" s="1237" t="n">
        <f aca="false">'Curve Paste'!BQ30</f>
        <v>37377</v>
      </c>
      <c r="B30" s="1238" t="n">
        <f aca="false">IF(Assumptions!$L$30=4,VLOOKUP($A30,'Henwood Reference'!$E$9:$R$296,14),'Curve Paste'!BR30)</f>
        <v>2.15651528672359</v>
      </c>
      <c r="C30" s="1238" t="n">
        <f aca="false">IF(Assumptions!$L$30=4,VLOOKUP($A30,'Henwood Reference'!$E$9:$R$296,14),'Curve Paste'!BS30)</f>
        <v>2.15651528672359</v>
      </c>
      <c r="D30" s="1238" t="n">
        <f aca="false">IF(Assumptions!$L$30=4,VLOOKUP($A30,'Henwood Reference'!$E$9:$R$296,14),'Curve Paste'!BT30)</f>
        <v>2.15651528672359</v>
      </c>
      <c r="E30" s="1239" t="n">
        <v>0.1825</v>
      </c>
      <c r="F30" s="1239" t="n">
        <v>0.19</v>
      </c>
      <c r="G30" s="1239" t="n">
        <v>0.1975</v>
      </c>
      <c r="H30" s="1239" t="n">
        <f aca="false">I30-$H$4</f>
        <v>-0.07</v>
      </c>
      <c r="I30" s="1239"/>
      <c r="J30" s="1239" t="n">
        <f aca="false">I30+$J$4</f>
        <v>0.07</v>
      </c>
      <c r="K30" s="1240" t="n">
        <v>0</v>
      </c>
      <c r="L30" s="1241" t="n">
        <f aca="false">IF(Assumptions!$L$30=4,0,O30+P30)</f>
        <v>0</v>
      </c>
      <c r="M30" s="1242" t="n">
        <f aca="false">(IF(GasPriceCurve,IF(OBuySell=OCallPut,D30,B30),C30)+K30/1000+L30)/(1-GasTransportPercent)</f>
        <v>2.1827077800846</v>
      </c>
      <c r="N30" s="1239" t="n">
        <f aca="false">IF(Assumptions!$L$30=4,F30,CHOOSE(Assumptions!$L$30,E30,F30,G30))</f>
        <v>0.19</v>
      </c>
      <c r="O30" s="0" t="n">
        <v>0.07</v>
      </c>
      <c r="P30" s="647" t="n">
        <f aca="false">Assumptions!$L$32*(1+Assumptions!$C$26)^(YEAR(A30)-2000)</f>
        <v>0.0853128</v>
      </c>
    </row>
    <row r="31" customFormat="false" ht="12.75" hidden="false" customHeight="false" outlineLevel="0" collapsed="false">
      <c r="A31" s="1237" t="n">
        <f aca="false">'Curve Paste'!BQ31</f>
        <v>37408</v>
      </c>
      <c r="B31" s="1238" t="n">
        <f aca="false">IF(Assumptions!$L$30=4,VLOOKUP($A31,'Henwood Reference'!$E$9:$R$296,14),'Curve Paste'!BR31)</f>
        <v>2.17889955626754</v>
      </c>
      <c r="C31" s="1238" t="n">
        <f aca="false">IF(Assumptions!$L$30=4,VLOOKUP($A31,'Henwood Reference'!$E$9:$R$296,14),'Curve Paste'!BS31)</f>
        <v>2.17889955626754</v>
      </c>
      <c r="D31" s="1238" t="n">
        <f aca="false">IF(Assumptions!$L$30=4,VLOOKUP($A31,'Henwood Reference'!$E$9:$R$296,14),'Curve Paste'!BT31)</f>
        <v>2.17889955626754</v>
      </c>
      <c r="E31" s="1239" t="n">
        <v>0.1775</v>
      </c>
      <c r="F31" s="1239" t="n">
        <v>0.185</v>
      </c>
      <c r="G31" s="1239" t="n">
        <v>0.1925</v>
      </c>
      <c r="H31" s="1239" t="n">
        <f aca="false">I31-$H$4</f>
        <v>-0.07</v>
      </c>
      <c r="I31" s="1239"/>
      <c r="J31" s="1239" t="n">
        <f aca="false">I31+$J$4</f>
        <v>0.07</v>
      </c>
      <c r="K31" s="1240" t="n">
        <v>0</v>
      </c>
      <c r="L31" s="1241" t="n">
        <f aca="false">IF(Assumptions!$L$30=4,0,O31+P31)</f>
        <v>0</v>
      </c>
      <c r="M31" s="1242" t="n">
        <f aca="false">(IF(GasPriceCurve,IF(OBuySell=OCallPut,D31,B31),C31)+K31/1000+L31)/(1-GasTransportPercent)</f>
        <v>2.20536392334772</v>
      </c>
      <c r="N31" s="1239" t="n">
        <f aca="false">IF(Assumptions!$L$30=4,F31,CHOOSE(Assumptions!$L$30,E31,F31,G31))</f>
        <v>0.185</v>
      </c>
      <c r="O31" s="0" t="n">
        <v>0.1</v>
      </c>
      <c r="P31" s="647" t="n">
        <f aca="false">Assumptions!$L$32*(1+Assumptions!$C$26)^(YEAR(A31)-2000)</f>
        <v>0.0853128</v>
      </c>
    </row>
    <row r="32" customFormat="false" ht="12.75" hidden="false" customHeight="false" outlineLevel="0" collapsed="false">
      <c r="A32" s="1237" t="n">
        <f aca="false">'Curve Paste'!BQ32</f>
        <v>37438</v>
      </c>
      <c r="B32" s="1238" t="n">
        <f aca="false">IF(Assumptions!$L$30=4,VLOOKUP($A32,'Henwood Reference'!$E$9:$R$296,14),'Curve Paste'!BR32)</f>
        <v>2.23473723963543</v>
      </c>
      <c r="C32" s="1238" t="n">
        <f aca="false">IF(Assumptions!$L$30=4,VLOOKUP($A32,'Henwood Reference'!$E$9:$R$296,14),'Curve Paste'!BS32)</f>
        <v>2.23473723963543</v>
      </c>
      <c r="D32" s="1238" t="n">
        <f aca="false">IF(Assumptions!$L$30=4,VLOOKUP($A32,'Henwood Reference'!$E$9:$R$296,14),'Curve Paste'!BT32)</f>
        <v>2.23473723963543</v>
      </c>
      <c r="E32" s="1239" t="n">
        <v>0.1775</v>
      </c>
      <c r="F32" s="1239" t="n">
        <v>0.185</v>
      </c>
      <c r="G32" s="1239" t="n">
        <v>0.1925</v>
      </c>
      <c r="H32" s="1239" t="n">
        <f aca="false">I32-$H$4</f>
        <v>-0.07</v>
      </c>
      <c r="I32" s="1239"/>
      <c r="J32" s="1239" t="n">
        <f aca="false">I32+$J$4</f>
        <v>0.07</v>
      </c>
      <c r="K32" s="1240" t="n">
        <v>0</v>
      </c>
      <c r="L32" s="1241" t="n">
        <f aca="false">IF(Assumptions!$L$30=4,0,O32+P32)</f>
        <v>0</v>
      </c>
      <c r="M32" s="1242" t="n">
        <f aca="false">(IF(GasPriceCurve,IF(OBuySell=OCallPut,D32,B32),C32)+K32/1000+L32)/(1-GasTransportPercent)</f>
        <v>2.26187979720185</v>
      </c>
      <c r="N32" s="1239" t="n">
        <f aca="false">IF(Assumptions!$L$30=4,F32,CHOOSE(Assumptions!$L$30,E32,F32,G32))</f>
        <v>0.185</v>
      </c>
      <c r="O32" s="0" t="n">
        <v>0.2</v>
      </c>
      <c r="P32" s="647" t="n">
        <f aca="false">Assumptions!$L$32*(1+Assumptions!$C$26)^(YEAR(A32)-2000)</f>
        <v>0.0853128</v>
      </c>
    </row>
    <row r="33" customFormat="false" ht="12.75" hidden="false" customHeight="false" outlineLevel="0" collapsed="false">
      <c r="A33" s="1237" t="n">
        <f aca="false">'Curve Paste'!BQ33</f>
        <v>37469</v>
      </c>
      <c r="B33" s="1238" t="n">
        <f aca="false">IF(Assumptions!$L$30=4,VLOOKUP($A33,'Henwood Reference'!$E$9:$R$296,14),'Curve Paste'!BR33)</f>
        <v>2.31517302140326</v>
      </c>
      <c r="C33" s="1238" t="n">
        <f aca="false">IF(Assumptions!$L$30=4,VLOOKUP($A33,'Henwood Reference'!$E$9:$R$296,14),'Curve Paste'!BS33)</f>
        <v>2.31517302140326</v>
      </c>
      <c r="D33" s="1238" t="n">
        <f aca="false">IF(Assumptions!$L$30=4,VLOOKUP($A33,'Henwood Reference'!$E$9:$R$296,14),'Curve Paste'!BT33)</f>
        <v>2.31517302140326</v>
      </c>
      <c r="E33" s="1239" t="n">
        <v>0.1775</v>
      </c>
      <c r="F33" s="1239" t="n">
        <v>0.185</v>
      </c>
      <c r="G33" s="1239" t="n">
        <v>0.1925</v>
      </c>
      <c r="H33" s="1239" t="n">
        <f aca="false">I33-$H$4</f>
        <v>-0.07</v>
      </c>
      <c r="I33" s="1239"/>
      <c r="J33" s="1239" t="n">
        <f aca="false">I33+$J$4</f>
        <v>0.07</v>
      </c>
      <c r="K33" s="1240" t="n">
        <v>0</v>
      </c>
      <c r="L33" s="1241" t="n">
        <f aca="false">IF(Assumptions!$L$30=4,0,O33+P33)</f>
        <v>0</v>
      </c>
      <c r="M33" s="1242" t="n">
        <f aca="false">(IF(GasPriceCurve,IF(OBuySell=OCallPut,D33,B33),C33)+K33/1000+L33)/(1-GasTransportPercent)</f>
        <v>2.34329253178468</v>
      </c>
      <c r="N33" s="1239" t="n">
        <f aca="false">IF(Assumptions!$L$30=4,F33,CHOOSE(Assumptions!$L$30,E33,F33,G33))</f>
        <v>0.185</v>
      </c>
      <c r="O33" s="0" t="n">
        <v>0.2</v>
      </c>
      <c r="P33" s="647" t="n">
        <f aca="false">Assumptions!$L$32*(1+Assumptions!$C$26)^(YEAR(A33)-2000)</f>
        <v>0.0853128</v>
      </c>
    </row>
    <row r="34" customFormat="false" ht="12.75" hidden="false" customHeight="false" outlineLevel="0" collapsed="false">
      <c r="A34" s="1237" t="n">
        <f aca="false">'Curve Paste'!BQ34</f>
        <v>37500</v>
      </c>
      <c r="B34" s="1238" t="n">
        <f aca="false">IF(Assumptions!$L$30=4,VLOOKUP($A34,'Henwood Reference'!$E$9:$R$296,14),'Curve Paste'!BR34)</f>
        <v>2.41135158614707</v>
      </c>
      <c r="C34" s="1238" t="n">
        <f aca="false">IF(Assumptions!$L$30=4,VLOOKUP($A34,'Henwood Reference'!$E$9:$R$296,14),'Curve Paste'!BS34)</f>
        <v>2.41135158614707</v>
      </c>
      <c r="D34" s="1238" t="n">
        <f aca="false">IF(Assumptions!$L$30=4,VLOOKUP($A34,'Henwood Reference'!$E$9:$R$296,14),'Curve Paste'!BT34)</f>
        <v>2.41135158614707</v>
      </c>
      <c r="E34" s="1239" t="n">
        <v>0.1775</v>
      </c>
      <c r="F34" s="1239" t="n">
        <v>0.185</v>
      </c>
      <c r="G34" s="1239" t="n">
        <v>0.1925</v>
      </c>
      <c r="H34" s="1239" t="n">
        <f aca="false">I34-$H$4</f>
        <v>-0.07</v>
      </c>
      <c r="I34" s="1239"/>
      <c r="J34" s="1239" t="n">
        <f aca="false">I34+$J$4</f>
        <v>0.07</v>
      </c>
      <c r="K34" s="1240" t="n">
        <v>0</v>
      </c>
      <c r="L34" s="1241" t="n">
        <f aca="false">IF(Assumptions!$L$30=4,0,O34+P34)</f>
        <v>0</v>
      </c>
      <c r="M34" s="1242" t="n">
        <f aca="false">(IF(GasPriceCurve,IF(OBuySell=OCallPut,D34,B34),C34)+K34/1000+L34)/(1-GasTransportPercent)</f>
        <v>2.44063925723387</v>
      </c>
      <c r="N34" s="1239" t="n">
        <f aca="false">IF(Assumptions!$L$30=4,F34,CHOOSE(Assumptions!$L$30,E34,F34,G34))</f>
        <v>0.185</v>
      </c>
      <c r="O34" s="0" t="n">
        <v>0.2</v>
      </c>
      <c r="P34" s="647" t="n">
        <f aca="false">Assumptions!$L$32*(1+Assumptions!$C$26)^(YEAR(A34)-2000)</f>
        <v>0.0853128</v>
      </c>
    </row>
    <row r="35" customFormat="false" ht="12.75" hidden="false" customHeight="false" outlineLevel="0" collapsed="false">
      <c r="A35" s="1237" t="n">
        <f aca="false">'Curve Paste'!BQ35</f>
        <v>37530</v>
      </c>
      <c r="B35" s="1238" t="n">
        <f aca="false">IF(Assumptions!$L$30=4,VLOOKUP($A35,'Henwood Reference'!$E$9:$R$296,14),'Curve Paste'!BR35)</f>
        <v>2.51441761844286</v>
      </c>
      <c r="C35" s="1238" t="n">
        <f aca="false">IF(Assumptions!$L$30=4,VLOOKUP($A35,'Henwood Reference'!$E$9:$R$296,14),'Curve Paste'!BS35)</f>
        <v>2.51441761844286</v>
      </c>
      <c r="D35" s="1238" t="n">
        <f aca="false">IF(Assumptions!$L$30=4,VLOOKUP($A35,'Henwood Reference'!$E$9:$R$296,14),'Curve Paste'!BT35)</f>
        <v>2.51441761844286</v>
      </c>
      <c r="E35" s="1239" t="n">
        <v>0.1775</v>
      </c>
      <c r="F35" s="1239" t="n">
        <v>0.185</v>
      </c>
      <c r="G35" s="1239" t="n">
        <v>0.1925</v>
      </c>
      <c r="H35" s="1239" t="n">
        <f aca="false">I35-$H$4</f>
        <v>-0.07</v>
      </c>
      <c r="I35" s="1239"/>
      <c r="J35" s="1239" t="n">
        <f aca="false">I35+$J$4</f>
        <v>0.07</v>
      </c>
      <c r="K35" s="1240" t="n">
        <v>0</v>
      </c>
      <c r="L35" s="1241" t="n">
        <f aca="false">IF(Assumptions!$L$30=4,0,O35+P35)</f>
        <v>0</v>
      </c>
      <c r="M35" s="1242" t="n">
        <f aca="false">(IF(GasPriceCurve,IF(OBuySell=OCallPut,D35,B35),C35)+K35/1000+L35)/(1-GasTransportPercent)</f>
        <v>2.5449571036871</v>
      </c>
      <c r="N35" s="1239" t="n">
        <f aca="false">IF(Assumptions!$L$30=4,F35,CHOOSE(Assumptions!$L$30,E35,F35,G35))</f>
        <v>0.185</v>
      </c>
      <c r="O35" s="0" t="n">
        <v>0.12</v>
      </c>
      <c r="P35" s="647" t="n">
        <f aca="false">Assumptions!$L$32*(1+Assumptions!$C$26)^(YEAR(A35)-2000)</f>
        <v>0.0853128</v>
      </c>
    </row>
    <row r="36" customFormat="false" ht="12.75" hidden="false" customHeight="false" outlineLevel="0" collapsed="false">
      <c r="A36" s="1237" t="n">
        <f aca="false">'Curve Paste'!BQ36</f>
        <v>37561</v>
      </c>
      <c r="B36" s="1238" t="n">
        <f aca="false">IF(Assumptions!$L$30=4,VLOOKUP($A36,'Henwood Reference'!$E$9:$R$296,14),'Curve Paste'!BR36)</f>
        <v>2.61551580286665</v>
      </c>
      <c r="C36" s="1238" t="n">
        <f aca="false">IF(Assumptions!$L$30=4,VLOOKUP($A36,'Henwood Reference'!$E$9:$R$296,14),'Curve Paste'!BS36)</f>
        <v>2.61551580286665</v>
      </c>
      <c r="D36" s="1238" t="n">
        <f aca="false">IF(Assumptions!$L$30=4,VLOOKUP($A36,'Henwood Reference'!$E$9:$R$296,14),'Curve Paste'!BT36)</f>
        <v>2.61551580286665</v>
      </c>
      <c r="E36" s="1239" t="n">
        <v>0.1775</v>
      </c>
      <c r="F36" s="1239" t="n">
        <v>0.185</v>
      </c>
      <c r="G36" s="1239" t="n">
        <v>0.1925</v>
      </c>
      <c r="H36" s="1239" t="n">
        <f aca="false">I36-$H$4</f>
        <v>-0.07</v>
      </c>
      <c r="I36" s="1239"/>
      <c r="J36" s="1239" t="n">
        <f aca="false">I36+$J$4</f>
        <v>0.07</v>
      </c>
      <c r="K36" s="1240" t="n">
        <v>0</v>
      </c>
      <c r="L36" s="1241" t="n">
        <f aca="false">IF(Assumptions!$L$30=4,0,O36+P36)</f>
        <v>0</v>
      </c>
      <c r="M36" s="1242" t="n">
        <f aca="false">(IF(GasPriceCurve,IF(OBuySell=OCallPut,D36,B36),C36)+K36/1000+L36)/(1-GasTransportPercent)</f>
        <v>2.64728320128203</v>
      </c>
      <c r="N36" s="1239" t="n">
        <f aca="false">IF(Assumptions!$L$30=4,F36,CHOOSE(Assumptions!$L$30,E36,F36,G36))</f>
        <v>0.185</v>
      </c>
      <c r="O36" s="0" t="n">
        <v>0.085</v>
      </c>
      <c r="P36" s="647" t="n">
        <f aca="false">Assumptions!$L$32*(1+Assumptions!$C$26)^(YEAR(A36)-2000)</f>
        <v>0.0853128</v>
      </c>
    </row>
    <row r="37" customFormat="false" ht="12.75" hidden="false" customHeight="false" outlineLevel="0" collapsed="false">
      <c r="A37" s="1237" t="n">
        <f aca="false">'Curve Paste'!BQ37</f>
        <v>37591</v>
      </c>
      <c r="B37" s="1238" t="n">
        <f aca="false">IF(Assumptions!$L$30=4,VLOOKUP($A37,'Henwood Reference'!$E$9:$R$296,14),'Curve Paste'!BR37)</f>
        <v>2.72233555303947</v>
      </c>
      <c r="C37" s="1238" t="n">
        <f aca="false">IF(Assumptions!$L$30=4,VLOOKUP($A37,'Henwood Reference'!$E$9:$R$296,14),'Curve Paste'!BS37)</f>
        <v>2.72233555303947</v>
      </c>
      <c r="D37" s="1238" t="n">
        <f aca="false">IF(Assumptions!$L$30=4,VLOOKUP($A37,'Henwood Reference'!$E$9:$R$296,14),'Curve Paste'!BT37)</f>
        <v>2.72233555303947</v>
      </c>
      <c r="E37" s="1239" t="n">
        <v>0.1775</v>
      </c>
      <c r="F37" s="1239" t="n">
        <v>0.185</v>
      </c>
      <c r="G37" s="1239" t="n">
        <v>0.1925</v>
      </c>
      <c r="H37" s="1239" t="n">
        <f aca="false">I37-$H$4</f>
        <v>-0.07</v>
      </c>
      <c r="I37" s="1239"/>
      <c r="J37" s="1239" t="n">
        <f aca="false">I37+$J$4</f>
        <v>0.07</v>
      </c>
      <c r="K37" s="1240" t="n">
        <v>0</v>
      </c>
      <c r="L37" s="1241" t="n">
        <f aca="false">IF(Assumptions!$L$30=4,0,O37+P37)</f>
        <v>0</v>
      </c>
      <c r="M37" s="1242" t="n">
        <f aca="false">(IF(GasPriceCurve,IF(OBuySell=OCallPut,D37,B37),C37)+K37/1000+L37)/(1-GasTransportPercent)</f>
        <v>2.7554003573274</v>
      </c>
      <c r="N37" s="1239" t="n">
        <f aca="false">IF(Assumptions!$L$30=4,F37,CHOOSE(Assumptions!$L$30,E37,F37,G37))</f>
        <v>0.185</v>
      </c>
      <c r="O37" s="0" t="n">
        <v>0.085</v>
      </c>
      <c r="P37" s="647" t="n">
        <f aca="false">Assumptions!$L$32*(1+Assumptions!$C$26)^(YEAR(A37)-2000)</f>
        <v>0.0853128</v>
      </c>
    </row>
    <row r="38" customFormat="false" ht="12.75" hidden="false" customHeight="false" outlineLevel="0" collapsed="false">
      <c r="A38" s="1237" t="n">
        <f aca="false">'Curve Paste'!BQ38</f>
        <v>37622</v>
      </c>
      <c r="B38" s="1238" t="n">
        <f aca="false">IF(Assumptions!$L$30=4,VLOOKUP($A38,'Henwood Reference'!$E$9:$R$296,14),'Curve Paste'!BR38)</f>
        <v>2.64346297464562</v>
      </c>
      <c r="C38" s="1238" t="n">
        <f aca="false">IF(Assumptions!$L$30=4,VLOOKUP($A38,'Henwood Reference'!$E$9:$R$296,14),'Curve Paste'!BS38)</f>
        <v>2.64346297464562</v>
      </c>
      <c r="D38" s="1238" t="n">
        <f aca="false">IF(Assumptions!$L$30=4,VLOOKUP($A38,'Henwood Reference'!$E$9:$R$296,14),'Curve Paste'!BT38)</f>
        <v>2.64346297464562</v>
      </c>
      <c r="E38" s="1239" t="n">
        <v>0.1775</v>
      </c>
      <c r="F38" s="1239" t="n">
        <v>0.185</v>
      </c>
      <c r="G38" s="1239" t="n">
        <v>0.1925</v>
      </c>
      <c r="H38" s="1239" t="n">
        <f aca="false">I38-$H$4</f>
        <v>-0.07</v>
      </c>
      <c r="I38" s="1239"/>
      <c r="J38" s="1239" t="n">
        <f aca="false">I38+$J$4</f>
        <v>0.07</v>
      </c>
      <c r="K38" s="1240" t="n">
        <v>0</v>
      </c>
      <c r="L38" s="1241" t="n">
        <f aca="false">IF(Assumptions!$L$30=4,0,O38+P38)</f>
        <v>0</v>
      </c>
      <c r="M38" s="1242" t="n">
        <f aca="false">(IF(GasPriceCurve,IF(OBuySell=OCallPut,D38,B38),C38)+K38/1000+L38)/(1-GasTransportPercent)</f>
        <v>2.67556981239435</v>
      </c>
      <c r="N38" s="1239" t="n">
        <f aca="false">IF(Assumptions!$L$30=4,F38,CHOOSE(Assumptions!$L$30,E38,F38,G38))</f>
        <v>0.185</v>
      </c>
      <c r="O38" s="0" t="n">
        <v>0.07</v>
      </c>
      <c r="P38" s="647" t="n">
        <f aca="false">Assumptions!$L$32*(1+Assumptions!$C$26)^(YEAR(A38)-2000)</f>
        <v>0.087019056</v>
      </c>
    </row>
    <row r="39" customFormat="false" ht="12.75" hidden="false" customHeight="false" outlineLevel="0" collapsed="false">
      <c r="A39" s="1237" t="n">
        <f aca="false">'Curve Paste'!BQ39</f>
        <v>37653</v>
      </c>
      <c r="B39" s="1238" t="n">
        <f aca="false">IF(Assumptions!$L$30=4,VLOOKUP($A39,'Henwood Reference'!$E$9:$R$296,14),'Curve Paste'!BR39)</f>
        <v>2.43744785772443</v>
      </c>
      <c r="C39" s="1238" t="n">
        <f aca="false">IF(Assumptions!$L$30=4,VLOOKUP($A39,'Henwood Reference'!$E$9:$R$296,14),'Curve Paste'!BS39)</f>
        <v>2.43744785772443</v>
      </c>
      <c r="D39" s="1238" t="n">
        <f aca="false">IF(Assumptions!$L$30=4,VLOOKUP($A39,'Henwood Reference'!$E$9:$R$296,14),'Curve Paste'!BT39)</f>
        <v>2.43744785772443</v>
      </c>
      <c r="E39" s="1239" t="n">
        <v>0.1775</v>
      </c>
      <c r="F39" s="1239" t="n">
        <v>0.185</v>
      </c>
      <c r="G39" s="1239" t="n">
        <v>0.1925</v>
      </c>
      <c r="H39" s="1239" t="n">
        <f aca="false">I39-$H$4</f>
        <v>-0.07</v>
      </c>
      <c r="I39" s="1239"/>
      <c r="J39" s="1239" t="n">
        <f aca="false">I39+$J$4</f>
        <v>0.07</v>
      </c>
      <c r="K39" s="1240" t="n">
        <v>0</v>
      </c>
      <c r="L39" s="1241" t="n">
        <f aca="false">IF(Assumptions!$L$30=4,0,O39+P39)</f>
        <v>0</v>
      </c>
      <c r="M39" s="1242" t="n">
        <f aca="false">(IF(GasPriceCurve,IF(OBuySell=OCallPut,D39,B39),C39)+K39/1000+L39)/(1-GasTransportPercent)</f>
        <v>2.46705248757533</v>
      </c>
      <c r="N39" s="1239" t="n">
        <f aca="false">IF(Assumptions!$L$30=4,F39,CHOOSE(Assumptions!$L$30,E39,F39,G39))</f>
        <v>0.185</v>
      </c>
      <c r="O39" s="0" t="n">
        <v>0.07</v>
      </c>
      <c r="P39" s="647" t="n">
        <f aca="false">Assumptions!$L$32*(1+Assumptions!$C$26)^(YEAR(A39)-2000)</f>
        <v>0.087019056</v>
      </c>
    </row>
    <row r="40" customFormat="false" ht="12.75" hidden="false" customHeight="false" outlineLevel="0" collapsed="false">
      <c r="A40" s="1237" t="n">
        <f aca="false">'Curve Paste'!BQ40</f>
        <v>37681</v>
      </c>
      <c r="B40" s="1238" t="n">
        <f aca="false">IF(Assumptions!$L$30=4,VLOOKUP($A40,'Henwood Reference'!$E$9:$R$296,14),'Curve Paste'!BR40)</f>
        <v>2.3030983532604</v>
      </c>
      <c r="C40" s="1238" t="n">
        <f aca="false">IF(Assumptions!$L$30=4,VLOOKUP($A40,'Henwood Reference'!$E$9:$R$296,14),'Curve Paste'!BS40)</f>
        <v>2.3030983532604</v>
      </c>
      <c r="D40" s="1238" t="n">
        <f aca="false">IF(Assumptions!$L$30=4,VLOOKUP($A40,'Henwood Reference'!$E$9:$R$296,14),'Curve Paste'!BT40)</f>
        <v>2.3030983532604</v>
      </c>
      <c r="E40" s="1239" t="n">
        <v>0.1775</v>
      </c>
      <c r="F40" s="1239" t="n">
        <v>0.185</v>
      </c>
      <c r="G40" s="1239" t="n">
        <v>0.1925</v>
      </c>
      <c r="H40" s="1239" t="n">
        <f aca="false">I40-$H$4</f>
        <v>-0.07</v>
      </c>
      <c r="I40" s="1239"/>
      <c r="J40" s="1239" t="n">
        <f aca="false">I40+$J$4</f>
        <v>0.07</v>
      </c>
      <c r="K40" s="1240" t="n">
        <v>0</v>
      </c>
      <c r="L40" s="1241" t="n">
        <f aca="false">IF(Assumptions!$L$30=4,0,O40+P40)</f>
        <v>0</v>
      </c>
      <c r="M40" s="1242" t="n">
        <f aca="false">(IF(GasPriceCurve,IF(OBuySell=OCallPut,D40,B40),C40)+K40/1000+L40)/(1-GasTransportPercent)</f>
        <v>2.33107120775345</v>
      </c>
      <c r="N40" s="1239" t="n">
        <f aca="false">IF(Assumptions!$L$30=4,F40,CHOOSE(Assumptions!$L$30,E40,F40,G40))</f>
        <v>0.185</v>
      </c>
      <c r="O40" s="0" t="n">
        <v>0.0875</v>
      </c>
      <c r="P40" s="647" t="n">
        <f aca="false">Assumptions!$L$32*(1+Assumptions!$C$26)^(YEAR(A40)-2000)</f>
        <v>0.087019056</v>
      </c>
    </row>
    <row r="41" customFormat="false" ht="12.75" hidden="false" customHeight="false" outlineLevel="0" collapsed="false">
      <c r="A41" s="1237" t="n">
        <f aca="false">'Curve Paste'!BQ41</f>
        <v>37712</v>
      </c>
      <c r="B41" s="1238" t="n">
        <f aca="false">IF(Assumptions!$L$30=4,VLOOKUP($A41,'Henwood Reference'!$E$9:$R$296,14),'Curve Paste'!BR41)</f>
        <v>2.23025218667485</v>
      </c>
      <c r="C41" s="1238" t="n">
        <f aca="false">IF(Assumptions!$L$30=4,VLOOKUP($A41,'Henwood Reference'!$E$9:$R$296,14),'Curve Paste'!BS41)</f>
        <v>2.23025218667485</v>
      </c>
      <c r="D41" s="1238" t="n">
        <f aca="false">IF(Assumptions!$L$30=4,VLOOKUP($A41,'Henwood Reference'!$E$9:$R$296,14),'Curve Paste'!BT41)</f>
        <v>2.23025218667485</v>
      </c>
      <c r="E41" s="1239" t="n">
        <v>0.1775</v>
      </c>
      <c r="F41" s="1239" t="n">
        <v>0.185</v>
      </c>
      <c r="G41" s="1239" t="n">
        <v>0.1925</v>
      </c>
      <c r="H41" s="1239" t="n">
        <f aca="false">I41-$H$4</f>
        <v>-0.07</v>
      </c>
      <c r="I41" s="1239"/>
      <c r="J41" s="1239" t="n">
        <f aca="false">I41+$J$4</f>
        <v>0.07</v>
      </c>
      <c r="K41" s="1240" t="n">
        <v>0</v>
      </c>
      <c r="L41" s="1241" t="n">
        <f aca="false">IF(Assumptions!$L$30=4,0,O41+P41)</f>
        <v>0</v>
      </c>
      <c r="M41" s="1242" t="n">
        <f aca="false">(IF(GasPriceCurve,IF(OBuySell=OCallPut,D41,B41),C41)+K41/1000+L41)/(1-GasTransportPercent)</f>
        <v>2.25734026991381</v>
      </c>
      <c r="N41" s="1239" t="n">
        <f aca="false">IF(Assumptions!$L$30=4,F41,CHOOSE(Assumptions!$L$30,E41,F41,G41))</f>
        <v>0.185</v>
      </c>
      <c r="O41" s="0" t="n">
        <v>0.0725000000000001</v>
      </c>
      <c r="P41" s="647" t="n">
        <f aca="false">Assumptions!$L$32*(1+Assumptions!$C$26)^(YEAR(A41)-2000)</f>
        <v>0.087019056</v>
      </c>
    </row>
    <row r="42" customFormat="false" ht="12.75" hidden="false" customHeight="false" outlineLevel="0" collapsed="false">
      <c r="A42" s="1237" t="n">
        <f aca="false">'Curve Paste'!BQ42</f>
        <v>37742</v>
      </c>
      <c r="B42" s="1238" t="n">
        <f aca="false">IF(Assumptions!$L$30=4,VLOOKUP($A42,'Henwood Reference'!$E$9:$R$296,14),'Curve Paste'!BR42)</f>
        <v>2.20983509500208</v>
      </c>
      <c r="C42" s="1238" t="n">
        <f aca="false">IF(Assumptions!$L$30=4,VLOOKUP($A42,'Henwood Reference'!$E$9:$R$296,14),'Curve Paste'!BS42)</f>
        <v>2.20983509500208</v>
      </c>
      <c r="D42" s="1238" t="n">
        <f aca="false">IF(Assumptions!$L$30=4,VLOOKUP($A42,'Henwood Reference'!$E$9:$R$296,14),'Curve Paste'!BT42)</f>
        <v>2.20983509500208</v>
      </c>
      <c r="E42" s="1239" t="n">
        <v>0.1775</v>
      </c>
      <c r="F42" s="1239" t="n">
        <v>0.185</v>
      </c>
      <c r="G42" s="1239" t="n">
        <v>0.1925</v>
      </c>
      <c r="H42" s="1239" t="n">
        <f aca="false">I42-$H$4</f>
        <v>-0.07</v>
      </c>
      <c r="I42" s="1239"/>
      <c r="J42" s="1239" t="n">
        <f aca="false">I42+$J$4</f>
        <v>0.07</v>
      </c>
      <c r="K42" s="1243" t="n">
        <f aca="false">K30</f>
        <v>0</v>
      </c>
      <c r="L42" s="1241" t="n">
        <f aca="false">IF(Assumptions!$L$30=4,0,O42+P42)</f>
        <v>0</v>
      </c>
      <c r="M42" s="1242" t="n">
        <f aca="false">(IF(GasPriceCurve,IF(OBuySell=OCallPut,D42,B42),C42)+K42/1000+L42)/(1-GasTransportPercent)</f>
        <v>2.23667519737052</v>
      </c>
      <c r="N42" s="1239" t="n">
        <f aca="false">IF(Assumptions!$L$30=4,F42,CHOOSE(Assumptions!$L$30,E42,F42,G42))</f>
        <v>0.185</v>
      </c>
      <c r="O42" s="0" t="n">
        <v>0.0875000000000001</v>
      </c>
      <c r="P42" s="647" t="n">
        <f aca="false">Assumptions!$L$32*(1+Assumptions!$C$26)^(YEAR(A42)-2000)</f>
        <v>0.087019056</v>
      </c>
    </row>
    <row r="43" customFormat="false" ht="12.75" hidden="false" customHeight="false" outlineLevel="0" collapsed="false">
      <c r="A43" s="1237" t="n">
        <f aca="false">'Curve Paste'!BQ43</f>
        <v>37773</v>
      </c>
      <c r="B43" s="1238" t="n">
        <f aca="false">IF(Assumptions!$L$30=4,VLOOKUP($A43,'Henwood Reference'!$E$9:$R$296,14),'Curve Paste'!BR43)</f>
        <v>2.23277281527642</v>
      </c>
      <c r="C43" s="1238" t="n">
        <f aca="false">IF(Assumptions!$L$30=4,VLOOKUP($A43,'Henwood Reference'!$E$9:$R$296,14),'Curve Paste'!BS43)</f>
        <v>2.23277281527642</v>
      </c>
      <c r="D43" s="1238" t="n">
        <f aca="false">IF(Assumptions!$L$30=4,VLOOKUP($A43,'Henwood Reference'!$E$9:$R$296,14),'Curve Paste'!BT43)</f>
        <v>2.23277281527642</v>
      </c>
      <c r="E43" s="1239" t="n">
        <v>0.1775</v>
      </c>
      <c r="F43" s="1239" t="n">
        <v>0.185</v>
      </c>
      <c r="G43" s="1239" t="n">
        <v>0.1925</v>
      </c>
      <c r="H43" s="1239" t="n">
        <f aca="false">I43-$H$4</f>
        <v>-0.07</v>
      </c>
      <c r="I43" s="1239"/>
      <c r="J43" s="1239" t="n">
        <f aca="false">I43+$J$4</f>
        <v>0.07</v>
      </c>
      <c r="K43" s="1243" t="n">
        <f aca="false">K31</f>
        <v>0</v>
      </c>
      <c r="L43" s="1241" t="n">
        <f aca="false">IF(Assumptions!$L$30=4,0,O43+P43)</f>
        <v>0</v>
      </c>
      <c r="M43" s="1242" t="n">
        <f aca="false">(IF(GasPriceCurve,IF(OBuySell=OCallPut,D43,B43),C43)+K43/1000+L43)/(1-GasTransportPercent)</f>
        <v>2.25989151343767</v>
      </c>
      <c r="N43" s="1239" t="n">
        <f aca="false">IF(Assumptions!$L$30=4,F43,CHOOSE(Assumptions!$L$30,E43,F43,G43))</f>
        <v>0.185</v>
      </c>
      <c r="O43" s="0" t="n">
        <v>0.1175</v>
      </c>
      <c r="P43" s="647" t="n">
        <f aca="false">Assumptions!$L$32*(1+Assumptions!$C$26)^(YEAR(A43)-2000)</f>
        <v>0.087019056</v>
      </c>
    </row>
    <row r="44" customFormat="false" ht="12.75" hidden="false" customHeight="false" outlineLevel="0" collapsed="false">
      <c r="A44" s="1237" t="n">
        <f aca="false">'Curve Paste'!BQ44</f>
        <v>37803</v>
      </c>
      <c r="B44" s="1238" t="n">
        <f aca="false">IF(Assumptions!$L$30=4,VLOOKUP($A44,'Henwood Reference'!$E$9:$R$296,14),'Curve Paste'!BR44)</f>
        <v>2.28999108453221</v>
      </c>
      <c r="C44" s="1238" t="n">
        <f aca="false">IF(Assumptions!$L$30=4,VLOOKUP($A44,'Henwood Reference'!$E$9:$R$296,14),'Curve Paste'!BS44)</f>
        <v>2.28999108453221</v>
      </c>
      <c r="D44" s="1238" t="n">
        <f aca="false">IF(Assumptions!$L$30=4,VLOOKUP($A44,'Henwood Reference'!$E$9:$R$296,14),'Curve Paste'!BT44)</f>
        <v>2.28999108453221</v>
      </c>
      <c r="E44" s="1239" t="n">
        <v>0.1775</v>
      </c>
      <c r="F44" s="1239" t="n">
        <v>0.185</v>
      </c>
      <c r="G44" s="1239" t="n">
        <v>0.1925</v>
      </c>
      <c r="H44" s="1239" t="n">
        <f aca="false">I44-$H$4</f>
        <v>-0.07</v>
      </c>
      <c r="I44" s="1239"/>
      <c r="J44" s="1239" t="n">
        <f aca="false">I44+$J$4</f>
        <v>0.07</v>
      </c>
      <c r="K44" s="1243" t="n">
        <f aca="false">K32</f>
        <v>0</v>
      </c>
      <c r="L44" s="1241" t="n">
        <f aca="false">IF(Assumptions!$L$30=4,0,O44+P44)</f>
        <v>0</v>
      </c>
      <c r="M44" s="1242" t="n">
        <f aca="false">(IF(GasPriceCurve,IF(OBuySell=OCallPut,D44,B44),C44)+K44/1000+L44)/(1-GasTransportPercent)</f>
        <v>2.31780474142936</v>
      </c>
      <c r="N44" s="1239" t="n">
        <f aca="false">IF(Assumptions!$L$30=4,F44,CHOOSE(Assumptions!$L$30,E44,F44,G44))</f>
        <v>0.185</v>
      </c>
      <c r="O44" s="0" t="n">
        <v>0.2175</v>
      </c>
      <c r="P44" s="647" t="n">
        <f aca="false">Assumptions!$L$32*(1+Assumptions!$C$26)^(YEAR(A44)-2000)</f>
        <v>0.087019056</v>
      </c>
    </row>
    <row r="45" customFormat="false" ht="12.75" hidden="false" customHeight="false" outlineLevel="0" collapsed="false">
      <c r="A45" s="1237" t="n">
        <f aca="false">'Curve Paste'!BQ45</f>
        <v>37834</v>
      </c>
      <c r="B45" s="1238" t="n">
        <f aca="false">IF(Assumptions!$L$30=4,VLOOKUP($A45,'Henwood Reference'!$E$9:$R$296,14),'Curve Paste'!BR45)</f>
        <v>2.37241563980376</v>
      </c>
      <c r="C45" s="1238" t="n">
        <f aca="false">IF(Assumptions!$L$30=4,VLOOKUP($A45,'Henwood Reference'!$E$9:$R$296,14),'Curve Paste'!BS45)</f>
        <v>2.37241563980376</v>
      </c>
      <c r="D45" s="1238" t="n">
        <f aca="false">IF(Assumptions!$L$30=4,VLOOKUP($A45,'Henwood Reference'!$E$9:$R$296,14),'Curve Paste'!BT45)</f>
        <v>2.37241563980376</v>
      </c>
      <c r="E45" s="1239" t="n">
        <v>0.1775</v>
      </c>
      <c r="F45" s="1239" t="n">
        <v>0.185</v>
      </c>
      <c r="G45" s="1239" t="n">
        <v>0.1925</v>
      </c>
      <c r="H45" s="1239" t="n">
        <f aca="false">I45-$H$4</f>
        <v>-0.07</v>
      </c>
      <c r="I45" s="1239"/>
      <c r="J45" s="1239" t="n">
        <f aca="false">I45+$J$4</f>
        <v>0.07</v>
      </c>
      <c r="K45" s="1243" t="n">
        <f aca="false">K33</f>
        <v>0</v>
      </c>
      <c r="L45" s="1241" t="n">
        <f aca="false">IF(Assumptions!$L$30=4,0,O45+P45)</f>
        <v>0</v>
      </c>
      <c r="M45" s="1242" t="n">
        <f aca="false">(IF(GasPriceCurve,IF(OBuySell=OCallPut,D45,B45),C45)+K45/1000+L45)/(1-GasTransportPercent)</f>
        <v>2.40123040465967</v>
      </c>
      <c r="N45" s="1239" t="n">
        <f aca="false">IF(Assumptions!$L$30=4,F45,CHOOSE(Assumptions!$L$30,E45,F45,G45))</f>
        <v>0.185</v>
      </c>
      <c r="O45" s="0" t="n">
        <v>0.2175</v>
      </c>
      <c r="P45" s="647" t="n">
        <f aca="false">Assumptions!$L$32*(1+Assumptions!$C$26)^(YEAR(A45)-2000)</f>
        <v>0.087019056</v>
      </c>
    </row>
    <row r="46" customFormat="false" ht="12.75" hidden="false" customHeight="false" outlineLevel="0" collapsed="false">
      <c r="A46" s="1237" t="n">
        <f aca="false">'Curve Paste'!BQ46</f>
        <v>37865</v>
      </c>
      <c r="B46" s="1238" t="n">
        <f aca="false">IF(Assumptions!$L$30=4,VLOOKUP($A46,'Henwood Reference'!$E$9:$R$296,14),'Curve Paste'!BR46)</f>
        <v>2.4709722181254</v>
      </c>
      <c r="C46" s="1238" t="n">
        <f aca="false">IF(Assumptions!$L$30=4,VLOOKUP($A46,'Henwood Reference'!$E$9:$R$296,14),'Curve Paste'!BS46)</f>
        <v>2.4709722181254</v>
      </c>
      <c r="D46" s="1238" t="n">
        <f aca="false">IF(Assumptions!$L$30=4,VLOOKUP($A46,'Henwood Reference'!$E$9:$R$296,14),'Curve Paste'!BT46)</f>
        <v>2.4709722181254</v>
      </c>
      <c r="E46" s="1239" t="n">
        <v>0.1775</v>
      </c>
      <c r="F46" s="1239" t="n">
        <v>0.185</v>
      </c>
      <c r="G46" s="1239" t="n">
        <v>0.1925</v>
      </c>
      <c r="H46" s="1239" t="n">
        <f aca="false">I46-$H$4</f>
        <v>-0.07</v>
      </c>
      <c r="I46" s="1239"/>
      <c r="J46" s="1239" t="n">
        <f aca="false">I46+$J$4</f>
        <v>0.07</v>
      </c>
      <c r="K46" s="1243" t="n">
        <f aca="false">K34</f>
        <v>0</v>
      </c>
      <c r="L46" s="1241" t="n">
        <f aca="false">IF(Assumptions!$L$30=4,0,O46+P46)</f>
        <v>0</v>
      </c>
      <c r="M46" s="1242" t="n">
        <f aca="false">(IF(GasPriceCurve,IF(OBuySell=OCallPut,D46,B46),C46)+K46/1000+L46)/(1-GasTransportPercent)</f>
        <v>2.50098402644271</v>
      </c>
      <c r="N46" s="1239" t="n">
        <f aca="false">IF(Assumptions!$L$30=4,F46,CHOOSE(Assumptions!$L$30,E46,F46,G46))</f>
        <v>0.185</v>
      </c>
      <c r="O46" s="0" t="n">
        <v>0.2175</v>
      </c>
      <c r="P46" s="647" t="n">
        <f aca="false">Assumptions!$L$32*(1+Assumptions!$C$26)^(YEAR(A46)-2000)</f>
        <v>0.087019056</v>
      </c>
    </row>
    <row r="47" customFormat="false" ht="12.75" hidden="false" customHeight="false" outlineLevel="0" collapsed="false">
      <c r="A47" s="1237" t="n">
        <f aca="false">'Curve Paste'!BQ47</f>
        <v>37895</v>
      </c>
      <c r="B47" s="1238" t="n">
        <f aca="false">IF(Assumptions!$L$30=4,VLOOKUP($A47,'Henwood Reference'!$E$9:$R$296,14),'Curve Paste'!BR47)</f>
        <v>2.57658655653145</v>
      </c>
      <c r="C47" s="1238" t="n">
        <f aca="false">IF(Assumptions!$L$30=4,VLOOKUP($A47,'Henwood Reference'!$E$9:$R$296,14),'Curve Paste'!BS47)</f>
        <v>2.57658655653145</v>
      </c>
      <c r="D47" s="1238" t="n">
        <f aca="false">IF(Assumptions!$L$30=4,VLOOKUP($A47,'Henwood Reference'!$E$9:$R$296,14),'Curve Paste'!BT47)</f>
        <v>2.57658655653145</v>
      </c>
      <c r="E47" s="1239" t="n">
        <v>0.1775</v>
      </c>
      <c r="F47" s="1239" t="n">
        <v>0.185</v>
      </c>
      <c r="G47" s="1239" t="n">
        <v>0.1925</v>
      </c>
      <c r="H47" s="1239" t="n">
        <f aca="false">I47-$H$4</f>
        <v>-0.07</v>
      </c>
      <c r="I47" s="1239"/>
      <c r="J47" s="1239" t="n">
        <f aca="false">I47+$J$4</f>
        <v>0.07</v>
      </c>
      <c r="K47" s="1243" t="n">
        <f aca="false">K35</f>
        <v>0</v>
      </c>
      <c r="L47" s="1241" t="n">
        <f aca="false">IF(Assumptions!$L$30=4,0,O47+P47)</f>
        <v>0</v>
      </c>
      <c r="M47" s="1242" t="n">
        <f aca="false">(IF(GasPriceCurve,IF(OBuySell=OCallPut,D47,B47),C47)+K47/1000+L47)/(1-GasTransportPercent)</f>
        <v>2.60788113009256</v>
      </c>
      <c r="N47" s="1239" t="n">
        <f aca="false">IF(Assumptions!$L$30=4,F47,CHOOSE(Assumptions!$L$30,E47,F47,G47))</f>
        <v>0.185</v>
      </c>
      <c r="O47" s="0" t="n">
        <v>0.1375</v>
      </c>
      <c r="P47" s="647" t="n">
        <f aca="false">Assumptions!$L$32*(1+Assumptions!$C$26)^(YEAR(A47)-2000)</f>
        <v>0.087019056</v>
      </c>
    </row>
    <row r="48" customFormat="false" ht="12.75" hidden="false" customHeight="false" outlineLevel="0" collapsed="false">
      <c r="A48" s="1237" t="n">
        <f aca="false">'Curve Paste'!BQ48</f>
        <v>37926</v>
      </c>
      <c r="B48" s="1238" t="n">
        <f aca="false">IF(Assumptions!$L$30=4,VLOOKUP($A48,'Henwood Reference'!$E$9:$R$296,14),'Curve Paste'!BR48)</f>
        <v>2.68018439205624</v>
      </c>
      <c r="C48" s="1238" t="n">
        <f aca="false">IF(Assumptions!$L$30=4,VLOOKUP($A48,'Henwood Reference'!$E$9:$R$296,14),'Curve Paste'!BS48)</f>
        <v>2.68018439205624</v>
      </c>
      <c r="D48" s="1238" t="n">
        <f aca="false">IF(Assumptions!$L$30=4,VLOOKUP($A48,'Henwood Reference'!$E$9:$R$296,14),'Curve Paste'!BT48)</f>
        <v>2.68018439205624</v>
      </c>
      <c r="E48" s="1239" t="n">
        <v>0.1775</v>
      </c>
      <c r="F48" s="1239" t="n">
        <v>0.185</v>
      </c>
      <c r="G48" s="1239" t="n">
        <v>0.1925</v>
      </c>
      <c r="H48" s="1239" t="n">
        <f aca="false">I48-$H$4</f>
        <v>-0.07</v>
      </c>
      <c r="I48" s="1239"/>
      <c r="J48" s="1239" t="n">
        <f aca="false">I48+$J$4</f>
        <v>0.07</v>
      </c>
      <c r="K48" s="1243" t="n">
        <f aca="false">K36</f>
        <v>0</v>
      </c>
      <c r="L48" s="1241" t="n">
        <f aca="false">IF(Assumptions!$L$30=4,0,O48+P48)</f>
        <v>0</v>
      </c>
      <c r="M48" s="1242" t="n">
        <f aca="false">(IF(GasPriceCurve,IF(OBuySell=OCallPut,D48,B48),C48)+K48/1000+L48)/(1-GasTransportPercent)</f>
        <v>2.71273723892332</v>
      </c>
      <c r="N48" s="1239" t="n">
        <f aca="false">IF(Assumptions!$L$30=4,F48,CHOOSE(Assumptions!$L$30,E48,F48,G48))</f>
        <v>0.185</v>
      </c>
      <c r="O48" s="0" t="n">
        <v>0.1025</v>
      </c>
      <c r="P48" s="647" t="n">
        <f aca="false">Assumptions!$L$32*(1+Assumptions!$C$26)^(YEAR(A48)-2000)</f>
        <v>0.087019056</v>
      </c>
    </row>
    <row r="49" customFormat="false" ht="12.75" hidden="false" customHeight="false" outlineLevel="0" collapsed="false">
      <c r="A49" s="1237" t="n">
        <f aca="false">'Curve Paste'!BQ49</f>
        <v>37956</v>
      </c>
      <c r="B49" s="1238" t="n">
        <f aca="false">IF(Assumptions!$L$30=4,VLOOKUP($A49,'Henwood Reference'!$E$9:$R$296,14),'Curve Paste'!BR49)</f>
        <v>2.78964525895782</v>
      </c>
      <c r="C49" s="1238" t="n">
        <f aca="false">IF(Assumptions!$L$30=4,VLOOKUP($A49,'Henwood Reference'!$E$9:$R$296,14),'Curve Paste'!BS49)</f>
        <v>2.78964525895782</v>
      </c>
      <c r="D49" s="1238" t="n">
        <f aca="false">IF(Assumptions!$L$30=4,VLOOKUP($A49,'Henwood Reference'!$E$9:$R$296,14),'Curve Paste'!BT49)</f>
        <v>2.78964525895782</v>
      </c>
      <c r="E49" s="1239" t="n">
        <v>0.1775</v>
      </c>
      <c r="F49" s="1239" t="n">
        <v>0.185</v>
      </c>
      <c r="G49" s="1239" t="n">
        <v>0.1925</v>
      </c>
      <c r="H49" s="1239" t="n">
        <f aca="false">I49-$H$4</f>
        <v>-0.07</v>
      </c>
      <c r="I49" s="1239"/>
      <c r="J49" s="1239" t="n">
        <f aca="false">I49+$J$4</f>
        <v>0.07</v>
      </c>
      <c r="K49" s="1243" t="n">
        <f aca="false">K37</f>
        <v>0</v>
      </c>
      <c r="L49" s="1241" t="n">
        <f aca="false">IF(Assumptions!$L$30=4,0,O49+P49)</f>
        <v>0</v>
      </c>
      <c r="M49" s="1242" t="n">
        <f aca="false">(IF(GasPriceCurve,IF(OBuySell=OCallPut,D49,B49),C49)+K49/1000+L49)/(1-GasTransportPercent)</f>
        <v>2.82352759003828</v>
      </c>
      <c r="N49" s="1239" t="n">
        <f aca="false">IF(Assumptions!$L$30=4,F49,CHOOSE(Assumptions!$L$30,E49,F49,G49))</f>
        <v>0.185</v>
      </c>
      <c r="O49" s="0" t="n">
        <v>0.1025</v>
      </c>
      <c r="P49" s="647" t="n">
        <f aca="false">Assumptions!$L$32*(1+Assumptions!$C$26)^(YEAR(A49)-2000)</f>
        <v>0.087019056</v>
      </c>
    </row>
    <row r="50" customFormat="false" ht="12.75" hidden="false" customHeight="false" outlineLevel="0" collapsed="false">
      <c r="A50" s="1237" t="n">
        <f aca="false">'Curve Paste'!BQ50</f>
        <v>37987</v>
      </c>
      <c r="B50" s="1238" t="n">
        <f aca="false">IF(Assumptions!$L$30=4,VLOOKUP($A50,'Henwood Reference'!$E$9:$R$296,14),'Curve Paste'!BR50)</f>
        <v>2.71971931217812</v>
      </c>
      <c r="C50" s="1238" t="n">
        <f aca="false">IF(Assumptions!$L$30=4,VLOOKUP($A50,'Henwood Reference'!$E$9:$R$296,14),'Curve Paste'!BS50)</f>
        <v>2.71971931217812</v>
      </c>
      <c r="D50" s="1238" t="n">
        <f aca="false">IF(Assumptions!$L$30=4,VLOOKUP($A50,'Henwood Reference'!$E$9:$R$296,14),'Curve Paste'!BT50)</f>
        <v>2.71971931217812</v>
      </c>
      <c r="E50" s="1239" t="n">
        <v>0.1775</v>
      </c>
      <c r="F50" s="1239" t="n">
        <v>0.185</v>
      </c>
      <c r="G50" s="1239" t="n">
        <v>0.1925</v>
      </c>
      <c r="H50" s="1239" t="n">
        <f aca="false">I50-$H$4</f>
        <v>-0.07</v>
      </c>
      <c r="I50" s="1239"/>
      <c r="J50" s="1239" t="n">
        <f aca="false">I50+$J$4</f>
        <v>0.07</v>
      </c>
      <c r="K50" s="1243" t="n">
        <f aca="false">K38</f>
        <v>0</v>
      </c>
      <c r="L50" s="1241" t="n">
        <f aca="false">IF(Assumptions!$L$30=4,0,O50+P50)</f>
        <v>0</v>
      </c>
      <c r="M50" s="1242" t="n">
        <f aca="false">(IF(GasPriceCurve,IF(OBuySell=OCallPut,D50,B50),C50)+K50/1000+L50)/(1-GasTransportPercent)</f>
        <v>2.75275234026125</v>
      </c>
      <c r="N50" s="1239" t="n">
        <f aca="false">IF(Assumptions!$L$30=4,F50,CHOOSE(Assumptions!$L$30,E50,F50,G50))</f>
        <v>0.185</v>
      </c>
      <c r="O50" s="0" t="n">
        <v>0.0875</v>
      </c>
      <c r="P50" s="647" t="n">
        <f aca="false">Assumptions!$L$32*(1+Assumptions!$C$26)^(YEAR(A50)-2000)</f>
        <v>0.08875943712</v>
      </c>
    </row>
    <row r="51" customFormat="false" ht="12.75" hidden="false" customHeight="false" outlineLevel="0" collapsed="false">
      <c r="A51" s="1237" t="n">
        <f aca="false">'Curve Paste'!BQ51</f>
        <v>38018</v>
      </c>
      <c r="B51" s="1238" t="n">
        <f aca="false">IF(Assumptions!$L$30=4,VLOOKUP($A51,'Henwood Reference'!$E$9:$R$296,14),'Curve Paste'!BR51)</f>
        <v>2.50776124903698</v>
      </c>
      <c r="C51" s="1238" t="n">
        <f aca="false">IF(Assumptions!$L$30=4,VLOOKUP($A51,'Henwood Reference'!$E$9:$R$296,14),'Curve Paste'!BS51)</f>
        <v>2.50776124903698</v>
      </c>
      <c r="D51" s="1238" t="n">
        <f aca="false">IF(Assumptions!$L$30=4,VLOOKUP($A51,'Henwood Reference'!$E$9:$R$296,14),'Curve Paste'!BT51)</f>
        <v>2.50776124903698</v>
      </c>
      <c r="E51" s="1239" t="n">
        <v>0.1675</v>
      </c>
      <c r="F51" s="1239" t="n">
        <v>0.175</v>
      </c>
      <c r="G51" s="1239" t="n">
        <v>0.1825</v>
      </c>
      <c r="H51" s="1239" t="n">
        <f aca="false">I51-$H$4</f>
        <v>-0.07</v>
      </c>
      <c r="I51" s="1239"/>
      <c r="J51" s="1239" t="n">
        <f aca="false">I51+$J$4</f>
        <v>0.07</v>
      </c>
      <c r="K51" s="1243" t="n">
        <f aca="false">K39</f>
        <v>0</v>
      </c>
      <c r="L51" s="1241" t="n">
        <f aca="false">IF(Assumptions!$L$30=4,0,O51+P51)</f>
        <v>0</v>
      </c>
      <c r="M51" s="1242" t="n">
        <f aca="false">(IF(GasPriceCurve,IF(OBuySell=OCallPut,D51,B51),C51)+K51/1000+L51)/(1-GasTransportPercent)</f>
        <v>2.53821988768925</v>
      </c>
      <c r="N51" s="1239" t="n">
        <f aca="false">IF(Assumptions!$L$30=4,F51,CHOOSE(Assumptions!$L$30,E51,F51,G51))</f>
        <v>0.175</v>
      </c>
      <c r="O51" s="0" t="n">
        <v>0.0875</v>
      </c>
      <c r="P51" s="647" t="n">
        <f aca="false">Assumptions!$L$32*(1+Assumptions!$C$26)^(YEAR(A51)-2000)</f>
        <v>0.08875943712</v>
      </c>
    </row>
    <row r="52" customFormat="false" ht="12.75" hidden="false" customHeight="false" outlineLevel="0" collapsed="false">
      <c r="A52" s="1237" t="n">
        <f aca="false">'Curve Paste'!BQ52</f>
        <v>38047</v>
      </c>
      <c r="B52" s="1238" t="n">
        <f aca="false">IF(Assumptions!$L$30=4,VLOOKUP($A52,'Henwood Reference'!$E$9:$R$296,14),'Curve Paste'!BR52)</f>
        <v>2.36953614606524</v>
      </c>
      <c r="C52" s="1238" t="n">
        <f aca="false">IF(Assumptions!$L$30=4,VLOOKUP($A52,'Henwood Reference'!$E$9:$R$296,14),'Curve Paste'!BS52)</f>
        <v>2.36953614606524</v>
      </c>
      <c r="D52" s="1238" t="n">
        <f aca="false">IF(Assumptions!$L$30=4,VLOOKUP($A52,'Henwood Reference'!$E$9:$R$296,14),'Curve Paste'!BT52)</f>
        <v>2.36953614606524</v>
      </c>
      <c r="E52" s="1239" t="n">
        <v>0.1675</v>
      </c>
      <c r="F52" s="1239" t="n">
        <v>0.175</v>
      </c>
      <c r="G52" s="1239" t="n">
        <v>0.1825</v>
      </c>
      <c r="H52" s="1239" t="n">
        <f aca="false">I52-$H$4</f>
        <v>-0.07</v>
      </c>
      <c r="I52" s="1239"/>
      <c r="J52" s="1239" t="n">
        <f aca="false">I52+$J$4</f>
        <v>0.07</v>
      </c>
      <c r="K52" s="1243" t="n">
        <f aca="false">K40</f>
        <v>0</v>
      </c>
      <c r="L52" s="1241" t="n">
        <f aca="false">IF(Assumptions!$L$30=4,0,O52+P52)</f>
        <v>0</v>
      </c>
      <c r="M52" s="1242" t="n">
        <f aca="false">(IF(GasPriceCurve,IF(OBuySell=OCallPut,D52,B52),C52)+K52/1000+L52)/(1-GasTransportPercent)</f>
        <v>2.398315937313</v>
      </c>
      <c r="N52" s="1239" t="n">
        <f aca="false">IF(Assumptions!$L$30=4,F52,CHOOSE(Assumptions!$L$30,E52,F52,G52))</f>
        <v>0.175</v>
      </c>
      <c r="O52" s="0" t="n">
        <v>0.105</v>
      </c>
      <c r="P52" s="647" t="n">
        <f aca="false">Assumptions!$L$32*(1+Assumptions!$C$26)^(YEAR(A52)-2000)</f>
        <v>0.08875943712</v>
      </c>
    </row>
    <row r="53" customFormat="false" ht="12.75" hidden="false" customHeight="false" outlineLevel="0" collapsed="false">
      <c r="A53" s="1237" t="n">
        <f aca="false">'Curve Paste'!BQ53</f>
        <v>38078</v>
      </c>
      <c r="B53" s="1238" t="n">
        <f aca="false">IF(Assumptions!$L$30=4,VLOOKUP($A53,'Henwood Reference'!$E$9:$R$296,14),'Curve Paste'!BR53)</f>
        <v>2.29458857616124</v>
      </c>
      <c r="C53" s="1238" t="n">
        <f aca="false">IF(Assumptions!$L$30=4,VLOOKUP($A53,'Henwood Reference'!$E$9:$R$296,14),'Curve Paste'!BS53)</f>
        <v>2.29458857616124</v>
      </c>
      <c r="D53" s="1238" t="n">
        <f aca="false">IF(Assumptions!$L$30=4,VLOOKUP($A53,'Henwood Reference'!$E$9:$R$296,14),'Curve Paste'!BT53)</f>
        <v>2.29458857616124</v>
      </c>
      <c r="E53" s="1239" t="n">
        <v>0.1675</v>
      </c>
      <c r="F53" s="1239" t="n">
        <v>0.175</v>
      </c>
      <c r="G53" s="1239" t="n">
        <v>0.1825</v>
      </c>
      <c r="H53" s="1239" t="n">
        <f aca="false">I53-$H$4</f>
        <v>-0.07</v>
      </c>
      <c r="I53" s="1239"/>
      <c r="J53" s="1239" t="n">
        <f aca="false">I53+$J$4</f>
        <v>0.07</v>
      </c>
      <c r="K53" s="1243" t="n">
        <f aca="false">K41</f>
        <v>0</v>
      </c>
      <c r="L53" s="1241" t="n">
        <f aca="false">IF(Assumptions!$L$30=4,0,O53+P53)</f>
        <v>0</v>
      </c>
      <c r="M53" s="1242" t="n">
        <f aca="false">(IF(GasPriceCurve,IF(OBuySell=OCallPut,D53,B53),C53)+K53/1000+L53)/(1-GasTransportPercent)</f>
        <v>2.32245807303769</v>
      </c>
      <c r="N53" s="1239" t="n">
        <f aca="false">IF(Assumptions!$L$30=4,F53,CHOOSE(Assumptions!$L$30,E53,F53,G53))</f>
        <v>0.175</v>
      </c>
      <c r="O53" s="0" t="n">
        <v>0.0900000000000001</v>
      </c>
      <c r="P53" s="647" t="n">
        <f aca="false">Assumptions!$L$32*(1+Assumptions!$C$26)^(YEAR(A53)-2000)</f>
        <v>0.08875943712</v>
      </c>
    </row>
    <row r="54" customFormat="false" ht="12.75" hidden="false" customHeight="false" outlineLevel="0" collapsed="false">
      <c r="A54" s="1237" t="n">
        <f aca="false">'Curve Paste'!BQ54</f>
        <v>38108</v>
      </c>
      <c r="B54" s="1238" t="n">
        <f aca="false">IF(Assumptions!$L$30=4,VLOOKUP($A54,'Henwood Reference'!$E$9:$R$296,14),'Curve Paste'!BR54)</f>
        <v>2.27358250985597</v>
      </c>
      <c r="C54" s="1238" t="n">
        <f aca="false">IF(Assumptions!$L$30=4,VLOOKUP($A54,'Henwood Reference'!$E$9:$R$296,14),'Curve Paste'!BS54)</f>
        <v>2.27358250985597</v>
      </c>
      <c r="D54" s="1238" t="n">
        <f aca="false">IF(Assumptions!$L$30=4,VLOOKUP($A54,'Henwood Reference'!$E$9:$R$296,14),'Curve Paste'!BT54)</f>
        <v>2.27358250985597</v>
      </c>
      <c r="E54" s="1239" t="n">
        <v>0.1675</v>
      </c>
      <c r="F54" s="1239" t="n">
        <v>0.175</v>
      </c>
      <c r="G54" s="1239" t="n">
        <v>0.1825</v>
      </c>
      <c r="H54" s="1239" t="n">
        <f aca="false">I54-$H$4</f>
        <v>-0.07</v>
      </c>
      <c r="I54" s="1239"/>
      <c r="J54" s="1239" t="n">
        <f aca="false">I54+$J$4</f>
        <v>0.07</v>
      </c>
      <c r="K54" s="1243" t="n">
        <f aca="false">K42</f>
        <v>0</v>
      </c>
      <c r="L54" s="1241" t="n">
        <f aca="false">IF(Assumptions!$L$30=4,0,O54+P54)</f>
        <v>0</v>
      </c>
      <c r="M54" s="1242" t="n">
        <f aca="false">(IF(GasPriceCurve,IF(OBuySell=OCallPut,D54,B54),C54)+K54/1000+L54)/(1-GasTransportPercent)</f>
        <v>2.30119687232385</v>
      </c>
      <c r="N54" s="1239" t="n">
        <f aca="false">IF(Assumptions!$L$30=4,F54,CHOOSE(Assumptions!$L$30,E54,F54,G54))</f>
        <v>0.175</v>
      </c>
      <c r="O54" s="0" t="n">
        <v>0.105</v>
      </c>
      <c r="P54" s="647" t="n">
        <f aca="false">Assumptions!$L$32*(1+Assumptions!$C$26)^(YEAR(A54)-2000)</f>
        <v>0.08875943712</v>
      </c>
    </row>
    <row r="55" customFormat="false" ht="12.75" hidden="false" customHeight="false" outlineLevel="0" collapsed="false">
      <c r="A55" s="1237" t="n">
        <f aca="false">'Curve Paste'!BQ55</f>
        <v>38139</v>
      </c>
      <c r="B55" s="1238" t="n">
        <f aca="false">IF(Assumptions!$L$30=4,VLOOKUP($A55,'Henwood Reference'!$E$9:$R$296,14),'Curve Paste'!BR55)</f>
        <v>2.29718191768041</v>
      </c>
      <c r="C55" s="1238" t="n">
        <f aca="false">IF(Assumptions!$L$30=4,VLOOKUP($A55,'Henwood Reference'!$E$9:$R$296,14),'Curve Paste'!BS55)</f>
        <v>2.29718191768041</v>
      </c>
      <c r="D55" s="1238" t="n">
        <f aca="false">IF(Assumptions!$L$30=4,VLOOKUP($A55,'Henwood Reference'!$E$9:$R$296,14),'Curve Paste'!BT55)</f>
        <v>2.29718191768041</v>
      </c>
      <c r="E55" s="1239" t="n">
        <v>0.1675</v>
      </c>
      <c r="F55" s="1239" t="n">
        <v>0.175</v>
      </c>
      <c r="G55" s="1239" t="n">
        <v>0.1825</v>
      </c>
      <c r="H55" s="1239" t="n">
        <f aca="false">I55-$H$4</f>
        <v>-0.07</v>
      </c>
      <c r="I55" s="1239"/>
      <c r="J55" s="1239" t="n">
        <f aca="false">I55+$J$4</f>
        <v>0.07</v>
      </c>
      <c r="K55" s="1243" t="n">
        <f aca="false">K43</f>
        <v>0</v>
      </c>
      <c r="L55" s="1241" t="n">
        <f aca="false">IF(Assumptions!$L$30=4,0,O55+P55)</f>
        <v>0</v>
      </c>
      <c r="M55" s="1242" t="n">
        <f aca="false">(IF(GasPriceCurve,IF(OBuySell=OCallPut,D55,B55),C55)+K55/1000+L55)/(1-GasTransportPercent)</f>
        <v>2.325082912632</v>
      </c>
      <c r="N55" s="1239" t="n">
        <f aca="false">IF(Assumptions!$L$30=4,F55,CHOOSE(Assumptions!$L$30,E55,F55,G55))</f>
        <v>0.175</v>
      </c>
      <c r="O55" s="0" t="n">
        <v>0.135</v>
      </c>
      <c r="P55" s="647" t="n">
        <f aca="false">Assumptions!$L$32*(1+Assumptions!$C$26)^(YEAR(A55)-2000)</f>
        <v>0.08875943712</v>
      </c>
    </row>
    <row r="56" customFormat="false" ht="12.75" hidden="false" customHeight="false" outlineLevel="0" collapsed="false">
      <c r="A56" s="1237" t="n">
        <f aca="false">'Curve Paste'!BQ56</f>
        <v>38169</v>
      </c>
      <c r="B56" s="1238" t="n">
        <f aca="false">IF(Assumptions!$L$30=4,VLOOKUP($A56,'Henwood Reference'!$E$9:$R$296,14),'Curve Paste'!BR56)</f>
        <v>2.35605077016556</v>
      </c>
      <c r="C56" s="1238" t="n">
        <f aca="false">IF(Assumptions!$L$30=4,VLOOKUP($A56,'Henwood Reference'!$E$9:$R$296,14),'Curve Paste'!BS56)</f>
        <v>2.35605077016556</v>
      </c>
      <c r="D56" s="1238" t="n">
        <f aca="false">IF(Assumptions!$L$30=4,VLOOKUP($A56,'Henwood Reference'!$E$9:$R$296,14),'Curve Paste'!BT56)</f>
        <v>2.35605077016556</v>
      </c>
      <c r="E56" s="1239" t="n">
        <v>0.1675</v>
      </c>
      <c r="F56" s="1239" t="n">
        <v>0.175</v>
      </c>
      <c r="G56" s="1239" t="n">
        <v>0.1825</v>
      </c>
      <c r="H56" s="1239" t="n">
        <f aca="false">I56-$H$4</f>
        <v>-0.07</v>
      </c>
      <c r="I56" s="1239"/>
      <c r="J56" s="1239" t="n">
        <f aca="false">I56+$J$4</f>
        <v>0.07</v>
      </c>
      <c r="K56" s="1243" t="n">
        <f aca="false">K44</f>
        <v>0</v>
      </c>
      <c r="L56" s="1241" t="n">
        <f aca="false">IF(Assumptions!$L$30=4,0,O56+P56)</f>
        <v>0</v>
      </c>
      <c r="M56" s="1242" t="n">
        <f aca="false">(IF(GasPriceCurve,IF(OBuySell=OCallPut,D56,B56),C56)+K56/1000+L56)/(1-GasTransportPercent)</f>
        <v>2.38466677142263</v>
      </c>
      <c r="N56" s="1239" t="n">
        <f aca="false">IF(Assumptions!$L$30=4,F56,CHOOSE(Assumptions!$L$30,E56,F56,G56))</f>
        <v>0.175</v>
      </c>
      <c r="O56" s="0" t="n">
        <v>0.235</v>
      </c>
      <c r="P56" s="647" t="n">
        <f aca="false">Assumptions!$L$32*(1+Assumptions!$C$26)^(YEAR(A56)-2000)</f>
        <v>0.08875943712</v>
      </c>
    </row>
    <row r="57" customFormat="false" ht="12.75" hidden="false" customHeight="false" outlineLevel="0" collapsed="false">
      <c r="A57" s="1237" t="n">
        <f aca="false">'Curve Paste'!BQ57</f>
        <v>38200</v>
      </c>
      <c r="B57" s="1238" t="n">
        <f aca="false">IF(Assumptions!$L$30=4,VLOOKUP($A57,'Henwood Reference'!$E$9:$R$296,14),'Curve Paste'!BR57)</f>
        <v>2.44085303784241</v>
      </c>
      <c r="C57" s="1238" t="n">
        <f aca="false">IF(Assumptions!$L$30=4,VLOOKUP($A57,'Henwood Reference'!$E$9:$R$296,14),'Curve Paste'!BS57)</f>
        <v>2.44085303784241</v>
      </c>
      <c r="D57" s="1238" t="n">
        <f aca="false">IF(Assumptions!$L$30=4,VLOOKUP($A57,'Henwood Reference'!$E$9:$R$296,14),'Curve Paste'!BT57)</f>
        <v>2.44085303784241</v>
      </c>
      <c r="E57" s="1239" t="n">
        <v>0.1675</v>
      </c>
      <c r="F57" s="1239" t="n">
        <v>0.175</v>
      </c>
      <c r="G57" s="1239" t="n">
        <v>0.1825</v>
      </c>
      <c r="H57" s="1239" t="n">
        <f aca="false">I57-$H$4</f>
        <v>-0.07</v>
      </c>
      <c r="I57" s="1239"/>
      <c r="J57" s="1239" t="n">
        <f aca="false">I57+$J$4</f>
        <v>0.07</v>
      </c>
      <c r="K57" s="1243" t="n">
        <f aca="false">K45</f>
        <v>0</v>
      </c>
      <c r="L57" s="1241" t="n">
        <f aca="false">IF(Assumptions!$L$30=4,0,O57+P57)</f>
        <v>0</v>
      </c>
      <c r="M57" s="1242" t="n">
        <f aca="false">(IF(GasPriceCurve,IF(OBuySell=OCallPut,D57,B57),C57)+K57/1000+L57)/(1-GasTransportPercent)</f>
        <v>2.47049902615628</v>
      </c>
      <c r="N57" s="1239" t="n">
        <f aca="false">IF(Assumptions!$L$30=4,F57,CHOOSE(Assumptions!$L$30,E57,F57,G57))</f>
        <v>0.175</v>
      </c>
      <c r="O57" s="0" t="n">
        <v>0.235</v>
      </c>
      <c r="P57" s="647" t="n">
        <f aca="false">Assumptions!$L$32*(1+Assumptions!$C$26)^(YEAR(A57)-2000)</f>
        <v>0.08875943712</v>
      </c>
    </row>
    <row r="58" customFormat="false" ht="12.75" hidden="false" customHeight="false" outlineLevel="0" collapsed="false">
      <c r="A58" s="1237" t="n">
        <f aca="false">'Curve Paste'!BQ58</f>
        <v>38231</v>
      </c>
      <c r="B58" s="1238" t="n">
        <f aca="false">IF(Assumptions!$L$30=4,VLOOKUP($A58,'Henwood Reference'!$E$9:$R$296,14),'Curve Paste'!BR58)</f>
        <v>2.54225269124194</v>
      </c>
      <c r="C58" s="1238" t="n">
        <f aca="false">IF(Assumptions!$L$30=4,VLOOKUP($A58,'Henwood Reference'!$E$9:$R$296,14),'Curve Paste'!BS58)</f>
        <v>2.54225269124194</v>
      </c>
      <c r="D58" s="1238" t="n">
        <f aca="false">IF(Assumptions!$L$30=4,VLOOKUP($A58,'Henwood Reference'!$E$9:$R$296,14),'Curve Paste'!BT58)</f>
        <v>2.54225269124194</v>
      </c>
      <c r="E58" s="1239" t="n">
        <v>0.1675</v>
      </c>
      <c r="F58" s="1239" t="n">
        <v>0.175</v>
      </c>
      <c r="G58" s="1239" t="n">
        <v>0.1825</v>
      </c>
      <c r="H58" s="1239" t="n">
        <f aca="false">I58-$H$4</f>
        <v>-0.07</v>
      </c>
      <c r="I58" s="1239"/>
      <c r="J58" s="1239" t="n">
        <f aca="false">I58+$J$4</f>
        <v>0.07</v>
      </c>
      <c r="K58" s="1243" t="n">
        <f aca="false">K46</f>
        <v>0</v>
      </c>
      <c r="L58" s="1241" t="n">
        <f aca="false">IF(Assumptions!$L$30=4,0,O58+P58)</f>
        <v>0</v>
      </c>
      <c r="M58" s="1242" t="n">
        <f aca="false">(IF(GasPriceCurve,IF(OBuySell=OCallPut,D58,B58),C58)+K58/1000+L58)/(1-GasTransportPercent)</f>
        <v>2.57313025429346</v>
      </c>
      <c r="N58" s="1239" t="n">
        <f aca="false">IF(Assumptions!$L$30=4,F58,CHOOSE(Assumptions!$L$30,E58,F58,G58))</f>
        <v>0.175</v>
      </c>
      <c r="O58" s="0" t="n">
        <v>0.235</v>
      </c>
      <c r="P58" s="647" t="n">
        <f aca="false">Assumptions!$L$32*(1+Assumptions!$C$26)^(YEAR(A58)-2000)</f>
        <v>0.08875943712</v>
      </c>
    </row>
    <row r="59" customFormat="false" ht="12.75" hidden="false" customHeight="false" outlineLevel="0" collapsed="false">
      <c r="A59" s="1237" t="n">
        <f aca="false">'Curve Paste'!BQ59</f>
        <v>38261</v>
      </c>
      <c r="B59" s="1238" t="n">
        <f aca="false">IF(Assumptions!$L$30=4,VLOOKUP($A59,'Henwood Reference'!$E$9:$R$296,14),'Curve Paste'!BR59)</f>
        <v>2.65091370089514</v>
      </c>
      <c r="C59" s="1238" t="n">
        <f aca="false">IF(Assumptions!$L$30=4,VLOOKUP($A59,'Henwood Reference'!$E$9:$R$296,14),'Curve Paste'!BS59)</f>
        <v>2.65091370089514</v>
      </c>
      <c r="D59" s="1238" t="n">
        <f aca="false">IF(Assumptions!$L$30=4,VLOOKUP($A59,'Henwood Reference'!$E$9:$R$296,14),'Curve Paste'!BT59)</f>
        <v>2.65091370089514</v>
      </c>
      <c r="E59" s="1239" t="n">
        <v>0.1675</v>
      </c>
      <c r="F59" s="1239" t="n">
        <v>0.175</v>
      </c>
      <c r="G59" s="1239" t="n">
        <v>0.1825</v>
      </c>
      <c r="H59" s="1239" t="n">
        <f aca="false">I59-$H$4</f>
        <v>-0.07</v>
      </c>
      <c r="I59" s="1239"/>
      <c r="J59" s="1239" t="n">
        <f aca="false">I59+$J$4</f>
        <v>0.07</v>
      </c>
      <c r="K59" s="1243" t="n">
        <f aca="false">K47</f>
        <v>0</v>
      </c>
      <c r="L59" s="1241" t="n">
        <f aca="false">IF(Assumptions!$L$30=4,0,O59+P59)</f>
        <v>0</v>
      </c>
      <c r="M59" s="1242" t="n">
        <f aca="false">(IF(GasPriceCurve,IF(OBuySell=OCallPut,D59,B59),C59)+K59/1000+L59)/(1-GasTransportPercent)</f>
        <v>2.68311103329468</v>
      </c>
      <c r="N59" s="1239" t="n">
        <f aca="false">IF(Assumptions!$L$30=4,F59,CHOOSE(Assumptions!$L$30,E59,F59,G59))</f>
        <v>0.175</v>
      </c>
      <c r="O59" s="0" t="n">
        <v>0.155</v>
      </c>
      <c r="P59" s="647" t="n">
        <f aca="false">Assumptions!$L$32*(1+Assumptions!$C$26)^(YEAR(A59)-2000)</f>
        <v>0.08875943712</v>
      </c>
    </row>
    <row r="60" customFormat="false" ht="12.75" hidden="false" customHeight="false" outlineLevel="0" collapsed="false">
      <c r="A60" s="1237" t="n">
        <f aca="false">'Curve Paste'!BQ60</f>
        <v>38292</v>
      </c>
      <c r="B60" s="1238" t="n">
        <f aca="false">IF(Assumptions!$L$30=4,VLOOKUP($A60,'Henwood Reference'!$E$9:$R$296,14),'Curve Paste'!BR60)</f>
        <v>2.75750003733301</v>
      </c>
      <c r="C60" s="1238" t="n">
        <f aca="false">IF(Assumptions!$L$30=4,VLOOKUP($A60,'Henwood Reference'!$E$9:$R$296,14),'Curve Paste'!BS60)</f>
        <v>2.75750003733301</v>
      </c>
      <c r="D60" s="1238" t="n">
        <f aca="false">IF(Assumptions!$L$30=4,VLOOKUP($A60,'Henwood Reference'!$E$9:$R$296,14),'Curve Paste'!BT60)</f>
        <v>2.75750003733301</v>
      </c>
      <c r="E60" s="1239" t="n">
        <v>0.1675</v>
      </c>
      <c r="F60" s="1239" t="n">
        <v>0.175</v>
      </c>
      <c r="G60" s="1239" t="n">
        <v>0.1825</v>
      </c>
      <c r="H60" s="1239" t="n">
        <f aca="false">I60-$H$4</f>
        <v>-0.07</v>
      </c>
      <c r="I60" s="1239"/>
      <c r="J60" s="1239" t="n">
        <f aca="false">I60+$J$4</f>
        <v>0.07</v>
      </c>
      <c r="K60" s="1243" t="n">
        <f aca="false">K48</f>
        <v>0</v>
      </c>
      <c r="L60" s="1241" t="n">
        <f aca="false">IF(Assumptions!$L$30=4,0,O60+P60)</f>
        <v>0</v>
      </c>
      <c r="M60" s="1242" t="n">
        <f aca="false">(IF(GasPriceCurve,IF(OBuySell=OCallPut,D60,B60),C60)+K60/1000+L60)/(1-GasTransportPercent)</f>
        <v>2.79099194062046</v>
      </c>
      <c r="N60" s="1239" t="n">
        <f aca="false">IF(Assumptions!$L$30=4,F60,CHOOSE(Assumptions!$L$30,E60,F60,G60))</f>
        <v>0.175</v>
      </c>
      <c r="O60" s="0" t="n">
        <v>0.12</v>
      </c>
      <c r="P60" s="647" t="n">
        <f aca="false">Assumptions!$L$32*(1+Assumptions!$C$26)^(YEAR(A60)-2000)</f>
        <v>0.08875943712</v>
      </c>
    </row>
    <row r="61" customFormat="false" ht="12.75" hidden="false" customHeight="false" outlineLevel="0" collapsed="false">
      <c r="A61" s="1237" t="n">
        <f aca="false">'Curve Paste'!BQ61</f>
        <v>38322</v>
      </c>
      <c r="B61" s="1238" t="n">
        <f aca="false">IF(Assumptions!$L$30=4,VLOOKUP($A61,'Henwood Reference'!$E$9:$R$296,14),'Curve Paste'!BR61)</f>
        <v>2.87011853681469</v>
      </c>
      <c r="C61" s="1238" t="n">
        <f aca="false">IF(Assumptions!$L$30=4,VLOOKUP($A61,'Henwood Reference'!$E$9:$R$296,14),'Curve Paste'!BS61)</f>
        <v>2.87011853681469</v>
      </c>
      <c r="D61" s="1238" t="n">
        <f aca="false">IF(Assumptions!$L$30=4,VLOOKUP($A61,'Henwood Reference'!$E$9:$R$296,14),'Curve Paste'!BT61)</f>
        <v>2.87011853681469</v>
      </c>
      <c r="E61" s="1239" t="n">
        <v>0.1675</v>
      </c>
      <c r="F61" s="1239" t="n">
        <v>0.175</v>
      </c>
      <c r="G61" s="1239" t="n">
        <v>0.1825</v>
      </c>
      <c r="H61" s="1239" t="n">
        <f aca="false">I61-$H$4</f>
        <v>-0.07</v>
      </c>
      <c r="I61" s="1239"/>
      <c r="J61" s="1239" t="n">
        <f aca="false">I61+$J$4</f>
        <v>0.07</v>
      </c>
      <c r="K61" s="1243" t="n">
        <f aca="false">K49</f>
        <v>0</v>
      </c>
      <c r="L61" s="1241" t="n">
        <f aca="false">IF(Assumptions!$L$30=4,0,O61+P61)</f>
        <v>0</v>
      </c>
      <c r="M61" s="1242" t="n">
        <f aca="false">(IF(GasPriceCurve,IF(OBuySell=OCallPut,D61,B61),C61)+K61/1000+L61)/(1-GasTransportPercent)</f>
        <v>2.90497827612823</v>
      </c>
      <c r="N61" s="1239" t="n">
        <f aca="false">IF(Assumptions!$L$30=4,F61,CHOOSE(Assumptions!$L$30,E61,F61,G61))</f>
        <v>0.175</v>
      </c>
      <c r="O61" s="0" t="n">
        <v>0.12</v>
      </c>
      <c r="P61" s="647" t="n">
        <f aca="false">Assumptions!$L$32*(1+Assumptions!$C$26)^(YEAR(A61)-2000)</f>
        <v>0.08875943712</v>
      </c>
    </row>
    <row r="62" customFormat="false" ht="12.75" hidden="false" customHeight="false" outlineLevel="0" collapsed="false">
      <c r="A62" s="1237" t="n">
        <f aca="false">'Curve Paste'!BQ62</f>
        <v>38353</v>
      </c>
      <c r="B62" s="1238" t="n">
        <f aca="false">IF(Assumptions!$L$30=4,VLOOKUP($A62,'Henwood Reference'!$E$9:$R$296,14),'Curve Paste'!BR62)</f>
        <v>2.78851992932054</v>
      </c>
      <c r="C62" s="1238" t="n">
        <f aca="false">IF(Assumptions!$L$30=4,VLOOKUP($A62,'Henwood Reference'!$E$9:$R$296,14),'Curve Paste'!BS62)</f>
        <v>2.78851992932054</v>
      </c>
      <c r="D62" s="1238" t="n">
        <f aca="false">IF(Assumptions!$L$30=4,VLOOKUP($A62,'Henwood Reference'!$E$9:$R$296,14),'Curve Paste'!BT62)</f>
        <v>2.78851992932054</v>
      </c>
      <c r="E62" s="1239" t="n">
        <v>0.1675</v>
      </c>
      <c r="F62" s="1239" t="n">
        <v>0.175</v>
      </c>
      <c r="G62" s="1239" t="n">
        <v>0.1825</v>
      </c>
      <c r="H62" s="1239" t="n">
        <f aca="false">I62-$H$4</f>
        <v>-0.07</v>
      </c>
      <c r="I62" s="1239"/>
      <c r="J62" s="1239" t="n">
        <f aca="false">I62+$J$4</f>
        <v>0.07</v>
      </c>
      <c r="K62" s="1243" t="n">
        <f aca="false">K50</f>
        <v>0</v>
      </c>
      <c r="L62" s="1241" t="n">
        <f aca="false">IF(Assumptions!$L$30=4,0,O62+P62)</f>
        <v>0</v>
      </c>
      <c r="M62" s="1242" t="n">
        <f aca="false">(IF(GasPriceCurve,IF(OBuySell=OCallPut,D62,B62),C62)+K62/1000+L62)/(1-GasTransportPercent)</f>
        <v>2.8223885924297</v>
      </c>
      <c r="N62" s="1239" t="n">
        <f aca="false">IF(Assumptions!$L$30=4,F62,CHOOSE(Assumptions!$L$30,E62,F62,G62))</f>
        <v>0.175</v>
      </c>
      <c r="O62" s="0" t="n">
        <v>0.105</v>
      </c>
      <c r="P62" s="647" t="n">
        <f aca="false">Assumptions!$L$32*(1+Assumptions!$C$26)^(YEAR(A62)-2000)</f>
        <v>0.0905346258624</v>
      </c>
    </row>
    <row r="63" customFormat="false" ht="12.75" hidden="false" customHeight="false" outlineLevel="0" collapsed="false">
      <c r="A63" s="1237" t="n">
        <f aca="false">'Curve Paste'!BQ63</f>
        <v>38384</v>
      </c>
      <c r="B63" s="1238" t="n">
        <f aca="false">IF(Assumptions!$L$30=4,VLOOKUP($A63,'Henwood Reference'!$E$9:$R$296,14),'Curve Paste'!BR63)</f>
        <v>2.57119997258725</v>
      </c>
      <c r="C63" s="1238" t="n">
        <f aca="false">IF(Assumptions!$L$30=4,VLOOKUP($A63,'Henwood Reference'!$E$9:$R$296,14),'Curve Paste'!BS63)</f>
        <v>2.57119997258725</v>
      </c>
      <c r="D63" s="1238" t="n">
        <f aca="false">IF(Assumptions!$L$30=4,VLOOKUP($A63,'Henwood Reference'!$E$9:$R$296,14),'Curve Paste'!BT63)</f>
        <v>2.57119997258725</v>
      </c>
      <c r="E63" s="1239" t="n">
        <v>0.1575</v>
      </c>
      <c r="F63" s="1239" t="n">
        <v>0.165</v>
      </c>
      <c r="G63" s="1239" t="n">
        <v>0.1725</v>
      </c>
      <c r="H63" s="1239" t="n">
        <f aca="false">I63-$H$4</f>
        <v>-0.07</v>
      </c>
      <c r="I63" s="1239"/>
      <c r="J63" s="1239" t="n">
        <f aca="false">I63+$J$4</f>
        <v>0.07</v>
      </c>
      <c r="K63" s="1243" t="n">
        <f aca="false">K51</f>
        <v>0</v>
      </c>
      <c r="L63" s="1241" t="n">
        <f aca="false">IF(Assumptions!$L$30=4,0,O63+P63)</f>
        <v>0</v>
      </c>
      <c r="M63" s="1242" t="n">
        <f aca="false">(IF(GasPriceCurve,IF(OBuySell=OCallPut,D63,B63),C63)+K63/1000+L63)/(1-GasTransportPercent)</f>
        <v>2.60242912205187</v>
      </c>
      <c r="N63" s="1239" t="n">
        <f aca="false">IF(Assumptions!$L$30=4,F63,CHOOSE(Assumptions!$L$30,E63,F63,G63))</f>
        <v>0.165</v>
      </c>
      <c r="O63" s="0" t="n">
        <v>0.105</v>
      </c>
      <c r="P63" s="647" t="n">
        <f aca="false">Assumptions!$L$32*(1+Assumptions!$C$26)^(YEAR(A63)-2000)</f>
        <v>0.0905346258624</v>
      </c>
    </row>
    <row r="64" customFormat="false" ht="12.75" hidden="false" customHeight="false" outlineLevel="0" collapsed="false">
      <c r="A64" s="1237" t="n">
        <f aca="false">'Curve Paste'!BQ64</f>
        <v>38412</v>
      </c>
      <c r="B64" s="1238" t="n">
        <f aca="false">IF(Assumptions!$L$30=4,VLOOKUP($A64,'Henwood Reference'!$E$9:$R$296,14),'Curve Paste'!BR64)</f>
        <v>2.42947819540121</v>
      </c>
      <c r="C64" s="1238" t="n">
        <f aca="false">IF(Assumptions!$L$30=4,VLOOKUP($A64,'Henwood Reference'!$E$9:$R$296,14),'Curve Paste'!BS64)</f>
        <v>2.42947819540121</v>
      </c>
      <c r="D64" s="1238" t="n">
        <f aca="false">IF(Assumptions!$L$30=4,VLOOKUP($A64,'Henwood Reference'!$E$9:$R$296,14),'Curve Paste'!BT64)</f>
        <v>2.42947819540121</v>
      </c>
      <c r="E64" s="1239" t="n">
        <v>0.1575</v>
      </c>
      <c r="F64" s="1239" t="n">
        <v>0.165</v>
      </c>
      <c r="G64" s="1239" t="n">
        <v>0.1725</v>
      </c>
      <c r="H64" s="1239" t="n">
        <f aca="false">I64-$H$4</f>
        <v>-0.07</v>
      </c>
      <c r="I64" s="1239"/>
      <c r="J64" s="1239" t="n">
        <f aca="false">I64+$J$4</f>
        <v>0.07</v>
      </c>
      <c r="K64" s="1243" t="n">
        <f aca="false">K52</f>
        <v>0</v>
      </c>
      <c r="L64" s="1241" t="n">
        <f aca="false">IF(Assumptions!$L$30=4,0,O64+P64)</f>
        <v>0</v>
      </c>
      <c r="M64" s="1242" t="n">
        <f aca="false">(IF(GasPriceCurve,IF(OBuySell=OCallPut,D64,B64),C64)+K64/1000+L64)/(1-GasTransportPercent)</f>
        <v>2.45898602773402</v>
      </c>
      <c r="N64" s="1239" t="n">
        <f aca="false">IF(Assumptions!$L$30=4,F64,CHOOSE(Assumptions!$L$30,E64,F64,G64))</f>
        <v>0.165</v>
      </c>
      <c r="O64" s="0" t="n">
        <v>0.1225</v>
      </c>
      <c r="P64" s="647" t="n">
        <f aca="false">Assumptions!$L$32*(1+Assumptions!$C$26)^(YEAR(A64)-2000)</f>
        <v>0.0905346258624</v>
      </c>
    </row>
    <row r="65" customFormat="false" ht="12.75" hidden="false" customHeight="false" outlineLevel="0" collapsed="false">
      <c r="A65" s="1237" t="n">
        <f aca="false">'Curve Paste'!BQ65</f>
        <v>38443</v>
      </c>
      <c r="B65" s="1238" t="n">
        <f aca="false">IF(Assumptions!$L$30=4,VLOOKUP($A65,'Henwood Reference'!$E$9:$R$296,14),'Curve Paste'!BR65)</f>
        <v>2.35263468019152</v>
      </c>
      <c r="C65" s="1238" t="n">
        <f aca="false">IF(Assumptions!$L$30=4,VLOOKUP($A65,'Henwood Reference'!$E$9:$R$296,14),'Curve Paste'!BS65)</f>
        <v>2.35263468019152</v>
      </c>
      <c r="D65" s="1238" t="n">
        <f aca="false">IF(Assumptions!$L$30=4,VLOOKUP($A65,'Henwood Reference'!$E$9:$R$296,14),'Curve Paste'!BT65)</f>
        <v>2.35263468019152</v>
      </c>
      <c r="E65" s="1239" t="n">
        <v>0.1575</v>
      </c>
      <c r="F65" s="1239" t="n">
        <v>0.165</v>
      </c>
      <c r="G65" s="1239" t="n">
        <v>0.1725</v>
      </c>
      <c r="H65" s="1239" t="n">
        <f aca="false">I65-$H$4</f>
        <v>-0.07</v>
      </c>
      <c r="I65" s="1239"/>
      <c r="J65" s="1239" t="n">
        <f aca="false">I65+$J$4</f>
        <v>0.07</v>
      </c>
      <c r="K65" s="1243" t="n">
        <f aca="false">K53</f>
        <v>0</v>
      </c>
      <c r="L65" s="1241" t="n">
        <f aca="false">IF(Assumptions!$L$30=4,0,O65+P65)</f>
        <v>0</v>
      </c>
      <c r="M65" s="1242" t="n">
        <f aca="false">(IF(GasPriceCurve,IF(OBuySell=OCallPut,D65,B65),C65)+K65/1000+L65)/(1-GasTransportPercent)</f>
        <v>2.38120919047725</v>
      </c>
      <c r="N65" s="1239" t="n">
        <f aca="false">IF(Assumptions!$L$30=4,F65,CHOOSE(Assumptions!$L$30,E65,F65,G65))</f>
        <v>0.165</v>
      </c>
      <c r="O65" s="0" t="n">
        <v>0.1075</v>
      </c>
      <c r="P65" s="647" t="n">
        <f aca="false">Assumptions!$L$32*(1+Assumptions!$C$26)^(YEAR(A65)-2000)</f>
        <v>0.0905346258624</v>
      </c>
    </row>
    <row r="66" customFormat="false" ht="12.75" hidden="false" customHeight="false" outlineLevel="0" collapsed="false">
      <c r="A66" s="1237" t="n">
        <f aca="false">'Curve Paste'!BQ66</f>
        <v>38473</v>
      </c>
      <c r="B66" s="1238" t="n">
        <f aca="false">IF(Assumptions!$L$30=4,VLOOKUP($A66,'Henwood Reference'!$E$9:$R$296,14),'Curve Paste'!BR66)</f>
        <v>2.3310972243715</v>
      </c>
      <c r="C66" s="1238" t="n">
        <f aca="false">IF(Assumptions!$L$30=4,VLOOKUP($A66,'Henwood Reference'!$E$9:$R$296,14),'Curve Paste'!BS66)</f>
        <v>2.3310972243715</v>
      </c>
      <c r="D66" s="1238" t="n">
        <f aca="false">IF(Assumptions!$L$30=4,VLOOKUP($A66,'Henwood Reference'!$E$9:$R$296,14),'Curve Paste'!BT66)</f>
        <v>2.3310972243715</v>
      </c>
      <c r="E66" s="1239" t="n">
        <v>0.1575</v>
      </c>
      <c r="F66" s="1239" t="n">
        <v>0.165</v>
      </c>
      <c r="G66" s="1239" t="n">
        <v>0.1725</v>
      </c>
      <c r="H66" s="1239" t="n">
        <f aca="false">I66-$H$4</f>
        <v>-0.07</v>
      </c>
      <c r="I66" s="1239"/>
      <c r="J66" s="1239" t="n">
        <f aca="false">I66+$J$4</f>
        <v>0.07</v>
      </c>
      <c r="K66" s="1243" t="n">
        <f aca="false">K54</f>
        <v>0</v>
      </c>
      <c r="L66" s="1241" t="n">
        <f aca="false">IF(Assumptions!$L$30=4,0,O66+P66)</f>
        <v>0</v>
      </c>
      <c r="M66" s="1242" t="n">
        <f aca="false">(IF(GasPriceCurve,IF(OBuySell=OCallPut,D66,B66),C66)+K66/1000+L66)/(1-GasTransportPercent)</f>
        <v>2.359410146125</v>
      </c>
      <c r="N66" s="1239" t="n">
        <f aca="false">IF(Assumptions!$L$30=4,F66,CHOOSE(Assumptions!$L$30,E66,F66,G66))</f>
        <v>0.165</v>
      </c>
      <c r="O66" s="0" t="n">
        <v>0.1225</v>
      </c>
      <c r="P66" s="647" t="n">
        <f aca="false">Assumptions!$L$32*(1+Assumptions!$C$26)^(YEAR(A66)-2000)</f>
        <v>0.0905346258624</v>
      </c>
    </row>
    <row r="67" customFormat="false" ht="12.75" hidden="false" customHeight="false" outlineLevel="0" collapsed="false">
      <c r="A67" s="1237" t="n">
        <f aca="false">'Curve Paste'!BQ67</f>
        <v>38504</v>
      </c>
      <c r="B67" s="1238" t="n">
        <f aca="false">IF(Assumptions!$L$30=4,VLOOKUP($A67,'Henwood Reference'!$E$9:$R$296,14),'Curve Paste'!BR67)</f>
        <v>2.35529362535449</v>
      </c>
      <c r="C67" s="1238" t="n">
        <f aca="false">IF(Assumptions!$L$30=4,VLOOKUP($A67,'Henwood Reference'!$E$9:$R$296,14),'Curve Paste'!BS67)</f>
        <v>2.35529362535449</v>
      </c>
      <c r="D67" s="1238" t="n">
        <f aca="false">IF(Assumptions!$L$30=4,VLOOKUP($A67,'Henwood Reference'!$E$9:$R$296,14),'Curve Paste'!BT67)</f>
        <v>2.35529362535449</v>
      </c>
      <c r="E67" s="1239" t="n">
        <v>0.1575</v>
      </c>
      <c r="F67" s="1239" t="n">
        <v>0.165</v>
      </c>
      <c r="G67" s="1239" t="n">
        <v>0.1725</v>
      </c>
      <c r="H67" s="1239" t="n">
        <f aca="false">I67-$H$4</f>
        <v>-0.07</v>
      </c>
      <c r="I67" s="1239"/>
      <c r="J67" s="1239" t="n">
        <f aca="false">I67+$J$4</f>
        <v>0.07</v>
      </c>
      <c r="K67" s="1243" t="n">
        <f aca="false">K55</f>
        <v>0</v>
      </c>
      <c r="L67" s="1241" t="n">
        <f aca="false">IF(Assumptions!$L$30=4,0,O67+P67)</f>
        <v>0</v>
      </c>
      <c r="M67" s="1242" t="n">
        <f aca="false">(IF(GasPriceCurve,IF(OBuySell=OCallPut,D67,B67),C67)+K67/1000+L67)/(1-GasTransportPercent)</f>
        <v>2.38390043052073</v>
      </c>
      <c r="N67" s="1239" t="n">
        <f aca="false">IF(Assumptions!$L$30=4,F67,CHOOSE(Assumptions!$L$30,E67,F67,G67))</f>
        <v>0.165</v>
      </c>
      <c r="O67" s="0" t="n">
        <v>0.1525</v>
      </c>
      <c r="P67" s="647" t="n">
        <f aca="false">Assumptions!$L$32*(1+Assumptions!$C$26)^(YEAR(A67)-2000)</f>
        <v>0.0905346258624</v>
      </c>
    </row>
    <row r="68" customFormat="false" ht="12.75" hidden="false" customHeight="false" outlineLevel="0" collapsed="false">
      <c r="A68" s="1237" t="n">
        <f aca="false">'Curve Paste'!BQ68</f>
        <v>38534</v>
      </c>
      <c r="B68" s="1238" t="n">
        <f aca="false">IF(Assumptions!$L$30=4,VLOOKUP($A68,'Henwood Reference'!$E$9:$R$296,14),'Curve Paste'!BR68)</f>
        <v>2.41565168055379</v>
      </c>
      <c r="C68" s="1238" t="n">
        <f aca="false">IF(Assumptions!$L$30=4,VLOOKUP($A68,'Henwood Reference'!$E$9:$R$296,14),'Curve Paste'!BS68)</f>
        <v>2.41565168055379</v>
      </c>
      <c r="D68" s="1238" t="n">
        <f aca="false">IF(Assumptions!$L$30=4,VLOOKUP($A68,'Henwood Reference'!$E$9:$R$296,14),'Curve Paste'!BT68)</f>
        <v>2.41565168055379</v>
      </c>
      <c r="E68" s="1239" t="n">
        <v>0.1575</v>
      </c>
      <c r="F68" s="1239" t="n">
        <v>0.165</v>
      </c>
      <c r="G68" s="1239" t="n">
        <v>0.1725</v>
      </c>
      <c r="H68" s="1239" t="n">
        <f aca="false">I68-$H$4</f>
        <v>-0.07</v>
      </c>
      <c r="I68" s="1239"/>
      <c r="J68" s="1239" t="n">
        <f aca="false">I68+$J$4</f>
        <v>0.07</v>
      </c>
      <c r="K68" s="1243" t="n">
        <f aca="false">K56</f>
        <v>0</v>
      </c>
      <c r="L68" s="1241" t="n">
        <f aca="false">IF(Assumptions!$L$30=4,0,O68+P68)</f>
        <v>0</v>
      </c>
      <c r="M68" s="1242" t="n">
        <f aca="false">(IF(GasPriceCurve,IF(OBuySell=OCallPut,D68,B68),C68)+K68/1000+L68)/(1-GasTransportPercent)</f>
        <v>2.44499157950789</v>
      </c>
      <c r="N68" s="1239" t="n">
        <f aca="false">IF(Assumptions!$L$30=4,F68,CHOOSE(Assumptions!$L$30,E68,F68,G68))</f>
        <v>0.165</v>
      </c>
      <c r="O68" s="0" t="n">
        <v>0.2525</v>
      </c>
      <c r="P68" s="647" t="n">
        <f aca="false">Assumptions!$L$32*(1+Assumptions!$C$26)^(YEAR(A68)-2000)</f>
        <v>0.0905346258624</v>
      </c>
    </row>
    <row r="69" customFormat="false" ht="12.75" hidden="false" customHeight="false" outlineLevel="0" collapsed="false">
      <c r="A69" s="1237" t="n">
        <f aca="false">'Curve Paste'!BQ69</f>
        <v>38565</v>
      </c>
      <c r="B69" s="1238" t="n">
        <f aca="false">IF(Assumptions!$L$30=4,VLOOKUP($A69,'Henwood Reference'!$E$9:$R$296,14),'Curve Paste'!BR69)</f>
        <v>2.50259918738275</v>
      </c>
      <c r="C69" s="1238" t="n">
        <f aca="false">IF(Assumptions!$L$30=4,VLOOKUP($A69,'Henwood Reference'!$E$9:$R$296,14),'Curve Paste'!BS69)</f>
        <v>2.50259918738275</v>
      </c>
      <c r="D69" s="1238" t="n">
        <f aca="false">IF(Assumptions!$L$30=4,VLOOKUP($A69,'Henwood Reference'!$E$9:$R$296,14),'Curve Paste'!BT69)</f>
        <v>2.50259918738275</v>
      </c>
      <c r="E69" s="1239" t="n">
        <v>0.1575</v>
      </c>
      <c r="F69" s="1239" t="n">
        <v>0.165</v>
      </c>
      <c r="G69" s="1239" t="n">
        <v>0.1725</v>
      </c>
      <c r="H69" s="1239" t="n">
        <f aca="false">I69-$H$4</f>
        <v>-0.07</v>
      </c>
      <c r="I69" s="1239"/>
      <c r="J69" s="1239" t="n">
        <f aca="false">I69+$J$4</f>
        <v>0.07</v>
      </c>
      <c r="K69" s="1243" t="n">
        <f aca="false">K57</f>
        <v>0</v>
      </c>
      <c r="L69" s="1241" t="n">
        <f aca="false">IF(Assumptions!$L$30=4,0,O69+P69)</f>
        <v>0</v>
      </c>
      <c r="M69" s="1242" t="n">
        <f aca="false">(IF(GasPriceCurve,IF(OBuySell=OCallPut,D69,B69),C69)+K69/1000+L69)/(1-GasTransportPercent)</f>
        <v>2.53299512892991</v>
      </c>
      <c r="N69" s="1239" t="n">
        <f aca="false">IF(Assumptions!$L$30=4,F69,CHOOSE(Assumptions!$L$30,E69,F69,G69))</f>
        <v>0.165</v>
      </c>
      <c r="O69" s="0" t="n">
        <v>0.2525</v>
      </c>
      <c r="P69" s="647" t="n">
        <f aca="false">Assumptions!$L$32*(1+Assumptions!$C$26)^(YEAR(A69)-2000)</f>
        <v>0.0905346258624</v>
      </c>
    </row>
    <row r="70" customFormat="false" ht="12.75" hidden="false" customHeight="false" outlineLevel="0" collapsed="false">
      <c r="A70" s="1237" t="n">
        <f aca="false">'Curve Paste'!BQ70</f>
        <v>38596</v>
      </c>
      <c r="B70" s="1238" t="n">
        <f aca="false">IF(Assumptions!$L$30=4,VLOOKUP($A70,'Henwood Reference'!$E$9:$R$296,14),'Curve Paste'!BR70)</f>
        <v>2.60656394325469</v>
      </c>
      <c r="C70" s="1238" t="n">
        <f aca="false">IF(Assumptions!$L$30=4,VLOOKUP($A70,'Henwood Reference'!$E$9:$R$296,14),'Curve Paste'!BS70)</f>
        <v>2.60656394325469</v>
      </c>
      <c r="D70" s="1238" t="n">
        <f aca="false">IF(Assumptions!$L$30=4,VLOOKUP($A70,'Henwood Reference'!$E$9:$R$296,14),'Curve Paste'!BT70)</f>
        <v>2.60656394325469</v>
      </c>
      <c r="E70" s="1239" t="n">
        <v>0.1575</v>
      </c>
      <c r="F70" s="1239" t="n">
        <v>0.165</v>
      </c>
      <c r="G70" s="1239" t="n">
        <v>0.1725</v>
      </c>
      <c r="H70" s="1239" t="n">
        <f aca="false">I70-$H$4</f>
        <v>-0.07</v>
      </c>
      <c r="I70" s="1239"/>
      <c r="J70" s="1239" t="n">
        <f aca="false">I70+$J$4</f>
        <v>0.07</v>
      </c>
      <c r="K70" s="1243" t="n">
        <f aca="false">K58</f>
        <v>0</v>
      </c>
      <c r="L70" s="1241" t="n">
        <f aca="false">IF(Assumptions!$L$30=4,0,O70+P70)</f>
        <v>0</v>
      </c>
      <c r="M70" s="1242" t="n">
        <f aca="false">(IF(GasPriceCurve,IF(OBuySell=OCallPut,D70,B70),C70)+K70/1000+L70)/(1-GasTransportPercent)</f>
        <v>2.63822261463025</v>
      </c>
      <c r="N70" s="1239" t="n">
        <f aca="false">IF(Assumptions!$L$30=4,F70,CHOOSE(Assumptions!$L$30,E70,F70,G70))</f>
        <v>0.165</v>
      </c>
      <c r="O70" s="0" t="n">
        <v>0.2525</v>
      </c>
      <c r="P70" s="647" t="n">
        <f aca="false">Assumptions!$L$32*(1+Assumptions!$C$26)^(YEAR(A70)-2000)</f>
        <v>0.0905346258624</v>
      </c>
    </row>
    <row r="71" customFormat="false" ht="12.75" hidden="false" customHeight="false" outlineLevel="0" collapsed="false">
      <c r="A71" s="1237" t="n">
        <f aca="false">'Curve Paste'!BQ71</f>
        <v>38626</v>
      </c>
      <c r="B71" s="1238" t="n">
        <f aca="false">IF(Assumptions!$L$30=4,VLOOKUP($A71,'Henwood Reference'!$E$9:$R$296,14),'Curve Paste'!BR71)</f>
        <v>2.71797374558293</v>
      </c>
      <c r="C71" s="1238" t="n">
        <f aca="false">IF(Assumptions!$L$30=4,VLOOKUP($A71,'Henwood Reference'!$E$9:$R$296,14),'Curve Paste'!BS71)</f>
        <v>2.71797374558293</v>
      </c>
      <c r="D71" s="1238" t="n">
        <f aca="false">IF(Assumptions!$L$30=4,VLOOKUP($A71,'Henwood Reference'!$E$9:$R$296,14),'Curve Paste'!BT71)</f>
        <v>2.71797374558293</v>
      </c>
      <c r="E71" s="1239" t="n">
        <v>0.1575</v>
      </c>
      <c r="F71" s="1239" t="n">
        <v>0.165</v>
      </c>
      <c r="G71" s="1239" t="n">
        <v>0.1725</v>
      </c>
      <c r="H71" s="1239" t="n">
        <f aca="false">I71-$H$4</f>
        <v>-0.07</v>
      </c>
      <c r="I71" s="1239"/>
      <c r="J71" s="1239" t="n">
        <f aca="false">I71+$J$4</f>
        <v>0.07</v>
      </c>
      <c r="K71" s="1243" t="n">
        <f aca="false">K59</f>
        <v>0</v>
      </c>
      <c r="L71" s="1241" t="n">
        <f aca="false">IF(Assumptions!$L$30=4,0,O71+P71)</f>
        <v>0</v>
      </c>
      <c r="M71" s="1242" t="n">
        <f aca="false">(IF(GasPriceCurve,IF(OBuySell=OCallPut,D71,B71),C71)+K71/1000+L71)/(1-GasTransportPercent)</f>
        <v>2.75098557245235</v>
      </c>
      <c r="N71" s="1239" t="n">
        <f aca="false">IF(Assumptions!$L$30=4,F71,CHOOSE(Assumptions!$L$30,E71,F71,G71))</f>
        <v>0.165</v>
      </c>
      <c r="O71" s="0" t="n">
        <v>0.1725</v>
      </c>
      <c r="P71" s="647" t="n">
        <f aca="false">Assumptions!$L$32*(1+Assumptions!$C$26)^(YEAR(A71)-2000)</f>
        <v>0.0905346258624</v>
      </c>
    </row>
    <row r="72" customFormat="false" ht="12.75" hidden="false" customHeight="false" outlineLevel="0" collapsed="false">
      <c r="A72" s="1237" t="n">
        <f aca="false">'Curve Paste'!BQ72</f>
        <v>38657</v>
      </c>
      <c r="B72" s="1238" t="n">
        <f aca="false">IF(Assumptions!$L$30=4,VLOOKUP($A72,'Henwood Reference'!$E$9:$R$296,14),'Curve Paste'!BR72)</f>
        <v>2.82725639178079</v>
      </c>
      <c r="C72" s="1238" t="n">
        <f aca="false">IF(Assumptions!$L$30=4,VLOOKUP($A72,'Henwood Reference'!$E$9:$R$296,14),'Curve Paste'!BS72)</f>
        <v>2.82725639178079</v>
      </c>
      <c r="D72" s="1238" t="n">
        <f aca="false">IF(Assumptions!$L$30=4,VLOOKUP($A72,'Henwood Reference'!$E$9:$R$296,14),'Curve Paste'!BT72)</f>
        <v>2.82725639178079</v>
      </c>
      <c r="E72" s="1239" t="n">
        <v>0.1575</v>
      </c>
      <c r="F72" s="1239" t="n">
        <v>0.165</v>
      </c>
      <c r="G72" s="1239" t="n">
        <v>0.1725</v>
      </c>
      <c r="H72" s="1239" t="n">
        <f aca="false">I72-$H$4</f>
        <v>-0.07</v>
      </c>
      <c r="I72" s="1239"/>
      <c r="J72" s="1239" t="n">
        <f aca="false">I72+$J$4</f>
        <v>0.07</v>
      </c>
      <c r="K72" s="1243" t="n">
        <f aca="false">K60</f>
        <v>0</v>
      </c>
      <c r="L72" s="1241" t="n">
        <f aca="false">IF(Assumptions!$L$30=4,0,O72+P72)</f>
        <v>0</v>
      </c>
      <c r="M72" s="1242" t="n">
        <f aca="false">(IF(GasPriceCurve,IF(OBuySell=OCallPut,D72,B72),C72)+K72/1000+L72)/(1-GasTransportPercent)</f>
        <v>2.86159553823967</v>
      </c>
      <c r="N72" s="1239" t="n">
        <f aca="false">IF(Assumptions!$L$30=4,F72,CHOOSE(Assumptions!$L$30,E72,F72,G72))</f>
        <v>0.165</v>
      </c>
      <c r="O72" s="0" t="n">
        <v>0.1375</v>
      </c>
      <c r="P72" s="647" t="n">
        <f aca="false">Assumptions!$L$32*(1+Assumptions!$C$26)^(YEAR(A72)-2000)</f>
        <v>0.0905346258624</v>
      </c>
    </row>
    <row r="73" customFormat="false" ht="12.75" hidden="false" customHeight="false" outlineLevel="0" collapsed="false">
      <c r="A73" s="1237" t="n">
        <f aca="false">'Curve Paste'!BQ73</f>
        <v>38687</v>
      </c>
      <c r="B73" s="1238" t="n">
        <f aca="false">IF(Assumptions!$L$30=4,VLOOKUP($A73,'Henwood Reference'!$E$9:$R$296,14),'Curve Paste'!BR73)</f>
        <v>2.94272379637974</v>
      </c>
      <c r="C73" s="1238" t="n">
        <f aca="false">IF(Assumptions!$L$30=4,VLOOKUP($A73,'Henwood Reference'!$E$9:$R$296,14),'Curve Paste'!BS73)</f>
        <v>2.94272379637974</v>
      </c>
      <c r="D73" s="1238" t="n">
        <f aca="false">IF(Assumptions!$L$30=4,VLOOKUP($A73,'Henwood Reference'!$E$9:$R$296,14),'Curve Paste'!BT73)</f>
        <v>2.94272379637974</v>
      </c>
      <c r="E73" s="1239" t="n">
        <v>0.1575</v>
      </c>
      <c r="F73" s="1239" t="n">
        <v>0.165</v>
      </c>
      <c r="G73" s="1239" t="n">
        <v>0.1725</v>
      </c>
      <c r="H73" s="1239" t="n">
        <f aca="false">I73-$H$4</f>
        <v>-0.07</v>
      </c>
      <c r="I73" s="1239"/>
      <c r="J73" s="1239" t="n">
        <f aca="false">I73+$J$4</f>
        <v>0.07</v>
      </c>
      <c r="K73" s="1243" t="n">
        <f aca="false">K61</f>
        <v>0</v>
      </c>
      <c r="L73" s="1241" t="n">
        <f aca="false">IF(Assumptions!$L$30=4,0,O73+P73)</f>
        <v>0</v>
      </c>
      <c r="M73" s="1242" t="n">
        <f aca="false">(IF(GasPriceCurve,IF(OBuySell=OCallPut,D73,B73),C73)+K73/1000+L73)/(1-GasTransportPercent)</f>
        <v>2.97846538095115</v>
      </c>
      <c r="N73" s="1239" t="n">
        <f aca="false">IF(Assumptions!$L$30=4,F73,CHOOSE(Assumptions!$L$30,E73,F73,G73))</f>
        <v>0.165</v>
      </c>
      <c r="O73" s="0" t="n">
        <v>0.1375</v>
      </c>
      <c r="P73" s="647" t="n">
        <f aca="false">Assumptions!$L$32*(1+Assumptions!$C$26)^(YEAR(A73)-2000)</f>
        <v>0.0905346258624</v>
      </c>
    </row>
    <row r="74" customFormat="false" ht="12.75" hidden="false" customHeight="false" outlineLevel="0" collapsed="false">
      <c r="A74" s="1237" t="n">
        <f aca="false">'Curve Paste'!BQ74</f>
        <v>38718</v>
      </c>
      <c r="B74" s="1238" t="n">
        <f aca="false">IF(Assumptions!$L$30=4,VLOOKUP($A74,'Henwood Reference'!$E$9:$R$296,14),'Curve Paste'!BR74)</f>
        <v>2.87116713684275</v>
      </c>
      <c r="C74" s="1238" t="n">
        <f aca="false">IF(Assumptions!$L$30=4,VLOOKUP($A74,'Henwood Reference'!$E$9:$R$296,14),'Curve Paste'!BS74)</f>
        <v>2.87116713684275</v>
      </c>
      <c r="D74" s="1238" t="n">
        <f aca="false">IF(Assumptions!$L$30=4,VLOOKUP($A74,'Henwood Reference'!$E$9:$R$296,14),'Curve Paste'!BT74)</f>
        <v>2.87116713684275</v>
      </c>
      <c r="E74" s="1239" t="n">
        <v>0.1575</v>
      </c>
      <c r="F74" s="1239" t="n">
        <v>0.165</v>
      </c>
      <c r="G74" s="1239" t="n">
        <v>0.1725</v>
      </c>
      <c r="H74" s="1239" t="n">
        <f aca="false">I74-$H$4</f>
        <v>-0.07</v>
      </c>
      <c r="I74" s="1239"/>
      <c r="J74" s="1239" t="n">
        <f aca="false">I74+$J$4</f>
        <v>0.07</v>
      </c>
      <c r="K74" s="1243" t="n">
        <f aca="false">K62</f>
        <v>0</v>
      </c>
      <c r="L74" s="1241" t="n">
        <f aca="false">IF(Assumptions!$L$30=4,0,O74+P74)</f>
        <v>0</v>
      </c>
      <c r="M74" s="1242" t="n">
        <f aca="false">(IF(GasPriceCurve,IF(OBuySell=OCallPut,D74,B74),C74)+K74/1000+L74)/(1-GasTransportPercent)</f>
        <v>2.90603961218902</v>
      </c>
      <c r="N74" s="1239" t="n">
        <f aca="false">IF(Assumptions!$L$30=4,F74,CHOOSE(Assumptions!$L$30,E74,F74,G74))</f>
        <v>0.165</v>
      </c>
      <c r="O74" s="0" t="n">
        <v>0.1175</v>
      </c>
      <c r="P74" s="647" t="n">
        <f aca="false">Assumptions!$L$32*(1+Assumptions!$C$26)^(YEAR(A74)-2000)</f>
        <v>0.092345318379648</v>
      </c>
    </row>
    <row r="75" customFormat="false" ht="12.75" hidden="false" customHeight="false" outlineLevel="0" collapsed="false">
      <c r="A75" s="1237" t="n">
        <f aca="false">'Curve Paste'!BQ75</f>
        <v>38749</v>
      </c>
      <c r="B75" s="1238" t="n">
        <f aca="false">IF(Assumptions!$L$30=4,VLOOKUP($A75,'Henwood Reference'!$E$9:$R$296,14),'Curve Paste'!BR75)</f>
        <v>2.64740616910072</v>
      </c>
      <c r="C75" s="1238" t="n">
        <f aca="false">IF(Assumptions!$L$30=4,VLOOKUP($A75,'Henwood Reference'!$E$9:$R$296,14),'Curve Paste'!BS75)</f>
        <v>2.64740616910072</v>
      </c>
      <c r="D75" s="1238" t="n">
        <f aca="false">IF(Assumptions!$L$30=4,VLOOKUP($A75,'Henwood Reference'!$E$9:$R$296,14),'Curve Paste'!BT75)</f>
        <v>2.64740616910072</v>
      </c>
      <c r="E75" s="1239" t="n">
        <v>0.1525</v>
      </c>
      <c r="F75" s="1239" t="n">
        <v>0.16</v>
      </c>
      <c r="G75" s="1239" t="n">
        <v>0.1675</v>
      </c>
      <c r="H75" s="1239" t="n">
        <f aca="false">I75-$H$4</f>
        <v>-0.07</v>
      </c>
      <c r="I75" s="1239"/>
      <c r="J75" s="1239" t="n">
        <f aca="false">I75+$J$4</f>
        <v>0.07</v>
      </c>
      <c r="K75" s="1243" t="n">
        <f aca="false">K63</f>
        <v>0</v>
      </c>
      <c r="L75" s="1241" t="n">
        <f aca="false">IF(Assumptions!$L$30=4,0,O75+P75)</f>
        <v>0</v>
      </c>
      <c r="M75" s="1242" t="n">
        <f aca="false">(IF(GasPriceCurve,IF(OBuySell=OCallPut,D75,B75),C75)+K75/1000+L75)/(1-GasTransportPercent)</f>
        <v>2.67956089989952</v>
      </c>
      <c r="N75" s="1239" t="n">
        <f aca="false">IF(Assumptions!$L$30=4,F75,CHOOSE(Assumptions!$L$30,E75,F75,G75))</f>
        <v>0.16</v>
      </c>
      <c r="O75" s="0" t="n">
        <v>0.1175</v>
      </c>
      <c r="P75" s="647" t="n">
        <f aca="false">Assumptions!$L$32*(1+Assumptions!$C$26)^(YEAR(A75)-2000)</f>
        <v>0.092345318379648</v>
      </c>
    </row>
    <row r="76" customFormat="false" ht="12.75" hidden="false" customHeight="false" outlineLevel="0" collapsed="false">
      <c r="A76" s="1237" t="n">
        <f aca="false">'Curve Paste'!BQ76</f>
        <v>38777</v>
      </c>
      <c r="B76" s="1238" t="n">
        <f aca="false">IF(Assumptions!$L$30=4,VLOOKUP($A76,'Henwood Reference'!$E$9:$R$296,14),'Curve Paste'!BR76)</f>
        <v>2.50148398832195</v>
      </c>
      <c r="C76" s="1238" t="n">
        <f aca="false">IF(Assumptions!$L$30=4,VLOOKUP($A76,'Henwood Reference'!$E$9:$R$296,14),'Curve Paste'!BS76)</f>
        <v>2.50148398832195</v>
      </c>
      <c r="D76" s="1238" t="n">
        <f aca="false">IF(Assumptions!$L$30=4,VLOOKUP($A76,'Henwood Reference'!$E$9:$R$296,14),'Curve Paste'!BT76)</f>
        <v>2.50148398832195</v>
      </c>
      <c r="E76" s="1239" t="n">
        <v>0.1525</v>
      </c>
      <c r="F76" s="1239" t="n">
        <v>0.16</v>
      </c>
      <c r="G76" s="1239" t="n">
        <v>0.1675</v>
      </c>
      <c r="H76" s="1239" t="n">
        <f aca="false">I76-$H$4</f>
        <v>-0.07</v>
      </c>
      <c r="I76" s="1239"/>
      <c r="J76" s="1239" t="n">
        <f aca="false">I76+$J$4</f>
        <v>0.07</v>
      </c>
      <c r="K76" s="1243" t="n">
        <f aca="false">K64</f>
        <v>0</v>
      </c>
      <c r="L76" s="1241" t="n">
        <f aca="false">IF(Assumptions!$L$30=4,0,O76+P76)</f>
        <v>0</v>
      </c>
      <c r="M76" s="1242" t="n">
        <f aca="false">(IF(GasPriceCurve,IF(OBuySell=OCallPut,D76,B76),C76)+K76/1000+L76)/(1-GasTransportPercent)</f>
        <v>2.53186638494125</v>
      </c>
      <c r="N76" s="1239" t="n">
        <f aca="false">IF(Assumptions!$L$30=4,F76,CHOOSE(Assumptions!$L$30,E76,F76,G76))</f>
        <v>0.16</v>
      </c>
      <c r="O76" s="0" t="n">
        <v>0.135</v>
      </c>
      <c r="P76" s="647" t="n">
        <f aca="false">Assumptions!$L$32*(1+Assumptions!$C$26)^(YEAR(A76)-2000)</f>
        <v>0.092345318379648</v>
      </c>
    </row>
    <row r="77" customFormat="false" ht="12.75" hidden="false" customHeight="false" outlineLevel="0" collapsed="false">
      <c r="A77" s="1237" t="n">
        <f aca="false">'Curve Paste'!BQ77</f>
        <v>38808</v>
      </c>
      <c r="B77" s="1238" t="n">
        <f aca="false">IF(Assumptions!$L$30=4,VLOOKUP($A77,'Henwood Reference'!$E$9:$R$296,14),'Curve Paste'!BR77)</f>
        <v>2.42236295596724</v>
      </c>
      <c r="C77" s="1238" t="n">
        <f aca="false">IF(Assumptions!$L$30=4,VLOOKUP($A77,'Henwood Reference'!$E$9:$R$296,14),'Curve Paste'!BS77)</f>
        <v>2.42236295596724</v>
      </c>
      <c r="D77" s="1238" t="n">
        <f aca="false">IF(Assumptions!$L$30=4,VLOOKUP($A77,'Henwood Reference'!$E$9:$R$296,14),'Curve Paste'!BT77)</f>
        <v>2.42236295596724</v>
      </c>
      <c r="E77" s="1239" t="n">
        <v>0.1525</v>
      </c>
      <c r="F77" s="1239" t="n">
        <v>0.16</v>
      </c>
      <c r="G77" s="1239" t="n">
        <v>0.1675</v>
      </c>
      <c r="H77" s="1239" t="n">
        <f aca="false">I77-$H$4</f>
        <v>-0.07</v>
      </c>
      <c r="I77" s="1239"/>
      <c r="J77" s="1239" t="n">
        <f aca="false">I77+$J$4</f>
        <v>0.07</v>
      </c>
      <c r="K77" s="1243" t="n">
        <f aca="false">K65</f>
        <v>0</v>
      </c>
      <c r="L77" s="1241" t="n">
        <f aca="false">IF(Assumptions!$L$30=4,0,O77+P77)</f>
        <v>0</v>
      </c>
      <c r="M77" s="1242" t="n">
        <f aca="false">(IF(GasPriceCurve,IF(OBuySell=OCallPut,D77,B77),C77)+K77/1000+L77)/(1-GasTransportPercent)</f>
        <v>2.45178436838789</v>
      </c>
      <c r="N77" s="1239" t="n">
        <f aca="false">IF(Assumptions!$L$30=4,F77,CHOOSE(Assumptions!$L$30,E77,F77,G77))</f>
        <v>0.16</v>
      </c>
      <c r="O77" s="0" t="n">
        <v>0.12</v>
      </c>
      <c r="P77" s="647" t="n">
        <f aca="false">Assumptions!$L$32*(1+Assumptions!$C$26)^(YEAR(A77)-2000)</f>
        <v>0.092345318379648</v>
      </c>
    </row>
    <row r="78" customFormat="false" ht="12.75" hidden="false" customHeight="false" outlineLevel="0" collapsed="false">
      <c r="A78" s="1237" t="n">
        <f aca="false">'Curve Paste'!BQ78</f>
        <v>38838</v>
      </c>
      <c r="B78" s="1238" t="n">
        <f aca="false">IF(Assumptions!$L$30=4,VLOOKUP($A78,'Henwood Reference'!$E$9:$R$296,14),'Curve Paste'!BR78)</f>
        <v>2.40018716489204</v>
      </c>
      <c r="C78" s="1238" t="n">
        <f aca="false">IF(Assumptions!$L$30=4,VLOOKUP($A78,'Henwood Reference'!$E$9:$R$296,14),'Curve Paste'!BS78)</f>
        <v>2.40018716489204</v>
      </c>
      <c r="D78" s="1238" t="n">
        <f aca="false">IF(Assumptions!$L$30=4,VLOOKUP($A78,'Henwood Reference'!$E$9:$R$296,14),'Curve Paste'!BT78)</f>
        <v>2.40018716489204</v>
      </c>
      <c r="E78" s="1239" t="n">
        <v>0.1525</v>
      </c>
      <c r="F78" s="1239" t="n">
        <v>0.16</v>
      </c>
      <c r="G78" s="1239" t="n">
        <v>0.1675</v>
      </c>
      <c r="H78" s="1239" t="n">
        <f aca="false">I78-$H$4</f>
        <v>-0.07</v>
      </c>
      <c r="I78" s="1239"/>
      <c r="J78" s="1239" t="n">
        <f aca="false">I78+$J$4</f>
        <v>0.07</v>
      </c>
      <c r="K78" s="1243" t="n">
        <f aca="false">K66</f>
        <v>0</v>
      </c>
      <c r="L78" s="1241" t="n">
        <f aca="false">IF(Assumptions!$L$30=4,0,O78+P78)</f>
        <v>0</v>
      </c>
      <c r="M78" s="1242" t="n">
        <f aca="false">(IF(GasPriceCurve,IF(OBuySell=OCallPut,D78,B78),C78)+K78/1000+L78)/(1-GasTransportPercent)</f>
        <v>2.42933923572069</v>
      </c>
      <c r="N78" s="1239" t="n">
        <f aca="false">IF(Assumptions!$L$30=4,F78,CHOOSE(Assumptions!$L$30,E78,F78,G78))</f>
        <v>0.16</v>
      </c>
      <c r="O78" s="0" t="n">
        <v>0.135</v>
      </c>
      <c r="P78" s="647" t="n">
        <f aca="false">Assumptions!$L$32*(1+Assumptions!$C$26)^(YEAR(A78)-2000)</f>
        <v>0.092345318379648</v>
      </c>
    </row>
    <row r="79" customFormat="false" ht="12.75" hidden="false" customHeight="false" outlineLevel="0" collapsed="false">
      <c r="A79" s="1237" t="n">
        <f aca="false">'Curve Paste'!BQ79</f>
        <v>38869</v>
      </c>
      <c r="B79" s="1238" t="n">
        <f aca="false">IF(Assumptions!$L$30=4,VLOOKUP($A79,'Henwood Reference'!$E$9:$R$296,14),'Curve Paste'!BR79)</f>
        <v>2.42510070795183</v>
      </c>
      <c r="C79" s="1238" t="n">
        <f aca="false">IF(Assumptions!$L$30=4,VLOOKUP($A79,'Henwood Reference'!$E$9:$R$296,14),'Curve Paste'!BS79)</f>
        <v>2.42510070795183</v>
      </c>
      <c r="D79" s="1238" t="n">
        <f aca="false">IF(Assumptions!$L$30=4,VLOOKUP($A79,'Henwood Reference'!$E$9:$R$296,14),'Curve Paste'!BT79)</f>
        <v>2.42510070795183</v>
      </c>
      <c r="E79" s="1239" t="n">
        <v>0.1525</v>
      </c>
      <c r="F79" s="1239" t="n">
        <v>0.16</v>
      </c>
      <c r="G79" s="1239" t="n">
        <v>0.1675</v>
      </c>
      <c r="H79" s="1239" t="n">
        <f aca="false">I79-$H$4</f>
        <v>-0.07</v>
      </c>
      <c r="I79" s="1239"/>
      <c r="J79" s="1239" t="n">
        <f aca="false">I79+$J$4</f>
        <v>0.07</v>
      </c>
      <c r="K79" s="1243" t="n">
        <f aca="false">K67</f>
        <v>0</v>
      </c>
      <c r="L79" s="1241" t="n">
        <f aca="false">IF(Assumptions!$L$30=4,0,O79+P79)</f>
        <v>0</v>
      </c>
      <c r="M79" s="1242" t="n">
        <f aca="false">(IF(GasPriceCurve,IF(OBuySell=OCallPut,D79,B79),C79)+K79/1000+L79)/(1-GasTransportPercent)</f>
        <v>2.45455537242088</v>
      </c>
      <c r="N79" s="1239" t="n">
        <f aca="false">IF(Assumptions!$L$30=4,F79,CHOOSE(Assumptions!$L$30,E79,F79,G79))</f>
        <v>0.16</v>
      </c>
      <c r="O79" s="0" t="n">
        <v>0.165</v>
      </c>
      <c r="P79" s="647" t="n">
        <f aca="false">Assumptions!$L$32*(1+Assumptions!$C$26)^(YEAR(A79)-2000)</f>
        <v>0.092345318379648</v>
      </c>
    </row>
    <row r="80" customFormat="false" ht="12.75" hidden="false" customHeight="false" outlineLevel="0" collapsed="false">
      <c r="A80" s="1237" t="n">
        <f aca="false">'Curve Paste'!BQ80</f>
        <v>38899</v>
      </c>
      <c r="B80" s="1238" t="n">
        <f aca="false">IF(Assumptions!$L$30=4,VLOOKUP($A80,'Henwood Reference'!$E$9:$R$296,14),'Curve Paste'!BR80)</f>
        <v>2.48724767800207</v>
      </c>
      <c r="C80" s="1238" t="n">
        <f aca="false">IF(Assumptions!$L$30=4,VLOOKUP($A80,'Henwood Reference'!$E$9:$R$296,14),'Curve Paste'!BS80)</f>
        <v>2.48724767800207</v>
      </c>
      <c r="D80" s="1238" t="n">
        <f aca="false">IF(Assumptions!$L$30=4,VLOOKUP($A80,'Henwood Reference'!$E$9:$R$296,14),'Curve Paste'!BT80)</f>
        <v>2.48724767800207</v>
      </c>
      <c r="E80" s="1239" t="n">
        <v>0.1525</v>
      </c>
      <c r="F80" s="1239" t="n">
        <v>0.16</v>
      </c>
      <c r="G80" s="1239" t="n">
        <v>0.1675</v>
      </c>
      <c r="H80" s="1239" t="n">
        <f aca="false">I80-$H$4</f>
        <v>-0.07</v>
      </c>
      <c r="I80" s="1239"/>
      <c r="J80" s="1239" t="n">
        <f aca="false">I80+$J$4</f>
        <v>0.07</v>
      </c>
      <c r="K80" s="1243" t="n">
        <f aca="false">K68</f>
        <v>0</v>
      </c>
      <c r="L80" s="1241" t="n">
        <f aca="false">IF(Assumptions!$L$30=4,0,O80+P80)</f>
        <v>0</v>
      </c>
      <c r="M80" s="1242" t="n">
        <f aca="false">(IF(GasPriceCurve,IF(OBuySell=OCallPut,D80,B80),C80)+K80/1000+L80)/(1-GasTransportPercent)</f>
        <v>2.51745716396971</v>
      </c>
      <c r="N80" s="1239" t="n">
        <f aca="false">IF(Assumptions!$L$30=4,F80,CHOOSE(Assumptions!$L$30,E80,F80,G80))</f>
        <v>0.16</v>
      </c>
      <c r="O80" s="0" t="n">
        <v>0.265</v>
      </c>
      <c r="P80" s="647" t="n">
        <f aca="false">Assumptions!$L$32*(1+Assumptions!$C$26)^(YEAR(A80)-2000)</f>
        <v>0.092345318379648</v>
      </c>
    </row>
    <row r="81" customFormat="false" ht="12.75" hidden="false" customHeight="false" outlineLevel="0" collapsed="false">
      <c r="A81" s="1237" t="n">
        <f aca="false">'Curve Paste'!BQ81</f>
        <v>38930</v>
      </c>
      <c r="B81" s="1238" t="n">
        <f aca="false">IF(Assumptions!$L$30=4,VLOOKUP($A81,'Henwood Reference'!$E$9:$R$296,14),'Curve Paste'!BR81)</f>
        <v>2.57677216789824</v>
      </c>
      <c r="C81" s="1238" t="n">
        <f aca="false">IF(Assumptions!$L$30=4,VLOOKUP($A81,'Henwood Reference'!$E$9:$R$296,14),'Curve Paste'!BS81)</f>
        <v>2.57677216789824</v>
      </c>
      <c r="D81" s="1238" t="n">
        <f aca="false">IF(Assumptions!$L$30=4,VLOOKUP($A81,'Henwood Reference'!$E$9:$R$296,14),'Curve Paste'!BT81)</f>
        <v>2.57677216789824</v>
      </c>
      <c r="E81" s="1239" t="n">
        <v>0.1525</v>
      </c>
      <c r="F81" s="1239" t="n">
        <v>0.16</v>
      </c>
      <c r="G81" s="1239" t="n">
        <v>0.1675</v>
      </c>
      <c r="H81" s="1239" t="n">
        <f aca="false">I81-$H$4</f>
        <v>-0.07</v>
      </c>
      <c r="I81" s="1239"/>
      <c r="J81" s="1239" t="n">
        <f aca="false">I81+$J$4</f>
        <v>0.07</v>
      </c>
      <c r="K81" s="1243" t="n">
        <f aca="false">K69</f>
        <v>0</v>
      </c>
      <c r="L81" s="1241" t="n">
        <f aca="false">IF(Assumptions!$L$30=4,0,O81+P81)</f>
        <v>0</v>
      </c>
      <c r="M81" s="1242" t="n">
        <f aca="false">(IF(GasPriceCurve,IF(OBuySell=OCallPut,D81,B81),C81)+K81/1000+L81)/(1-GasTransportPercent)</f>
        <v>2.60806899584842</v>
      </c>
      <c r="N81" s="1239" t="n">
        <f aca="false">IF(Assumptions!$L$30=4,F81,CHOOSE(Assumptions!$L$30,E81,F81,G81))</f>
        <v>0.16</v>
      </c>
      <c r="O81" s="0" t="n">
        <v>0.265</v>
      </c>
      <c r="P81" s="647" t="n">
        <f aca="false">Assumptions!$L$32*(1+Assumptions!$C$26)^(YEAR(A81)-2000)</f>
        <v>0.092345318379648</v>
      </c>
    </row>
    <row r="82" customFormat="false" ht="12.75" hidden="false" customHeight="false" outlineLevel="0" collapsed="false">
      <c r="A82" s="1237" t="n">
        <f aca="false">'Curve Paste'!BQ82</f>
        <v>38961</v>
      </c>
      <c r="B82" s="1238" t="n">
        <f aca="false">IF(Assumptions!$L$30=4,VLOOKUP($A82,'Henwood Reference'!$E$9:$R$296,14),'Curve Paste'!BR82)</f>
        <v>2.6838182704958</v>
      </c>
      <c r="C82" s="1238" t="n">
        <f aca="false">IF(Assumptions!$L$30=4,VLOOKUP($A82,'Henwood Reference'!$E$9:$R$296,14),'Curve Paste'!BS82)</f>
        <v>2.6838182704958</v>
      </c>
      <c r="D82" s="1238" t="n">
        <f aca="false">IF(Assumptions!$L$30=4,VLOOKUP($A82,'Henwood Reference'!$E$9:$R$296,14),'Curve Paste'!BT82)</f>
        <v>2.6838182704958</v>
      </c>
      <c r="E82" s="1239" t="n">
        <v>0.1525</v>
      </c>
      <c r="F82" s="1239" t="n">
        <v>0.16</v>
      </c>
      <c r="G82" s="1239" t="n">
        <v>0.1675</v>
      </c>
      <c r="H82" s="1239" t="n">
        <f aca="false">I82-$H$4</f>
        <v>-0.07</v>
      </c>
      <c r="I82" s="1239"/>
      <c r="J82" s="1239" t="n">
        <f aca="false">I82+$J$4</f>
        <v>0.07</v>
      </c>
      <c r="K82" s="1243" t="n">
        <f aca="false">K70</f>
        <v>0</v>
      </c>
      <c r="L82" s="1241" t="n">
        <f aca="false">IF(Assumptions!$L$30=4,0,O82+P82)</f>
        <v>0</v>
      </c>
      <c r="M82" s="1242" t="n">
        <f aca="false">(IF(GasPriceCurve,IF(OBuySell=OCallPut,D82,B82),C82)+K82/1000+L82)/(1-GasTransportPercent)</f>
        <v>2.71641525353826</v>
      </c>
      <c r="N82" s="1239" t="n">
        <f aca="false">IF(Assumptions!$L$30=4,F82,CHOOSE(Assumptions!$L$30,E82,F82,G82))</f>
        <v>0.16</v>
      </c>
      <c r="O82" s="0" t="n">
        <v>0.265</v>
      </c>
      <c r="P82" s="647" t="n">
        <f aca="false">Assumptions!$L$32*(1+Assumptions!$C$26)^(YEAR(A82)-2000)</f>
        <v>0.092345318379648</v>
      </c>
    </row>
    <row r="83" customFormat="false" ht="12.75" hidden="false" customHeight="false" outlineLevel="0" collapsed="false">
      <c r="A83" s="1237" t="n">
        <f aca="false">'Curve Paste'!BQ83</f>
        <v>38991</v>
      </c>
      <c r="B83" s="1238" t="n">
        <f aca="false">IF(Assumptions!$L$30=4,VLOOKUP($A83,'Henwood Reference'!$E$9:$R$296,14),'Curve Paste'!BR83)</f>
        <v>2.79853007865022</v>
      </c>
      <c r="C83" s="1238" t="n">
        <f aca="false">IF(Assumptions!$L$30=4,VLOOKUP($A83,'Henwood Reference'!$E$9:$R$296,14),'Curve Paste'!BS83)</f>
        <v>2.79853007865022</v>
      </c>
      <c r="D83" s="1238" t="n">
        <f aca="false">IF(Assumptions!$L$30=4,VLOOKUP($A83,'Henwood Reference'!$E$9:$R$296,14),'Curve Paste'!BT83)</f>
        <v>2.79853007865022</v>
      </c>
      <c r="E83" s="1239" t="n">
        <v>0.1525</v>
      </c>
      <c r="F83" s="1239" t="n">
        <v>0.16</v>
      </c>
      <c r="G83" s="1239" t="n">
        <v>0.1675</v>
      </c>
      <c r="H83" s="1239" t="n">
        <f aca="false">I83-$H$4</f>
        <v>-0.07</v>
      </c>
      <c r="I83" s="1239"/>
      <c r="J83" s="1239" t="n">
        <f aca="false">I83+$J$4</f>
        <v>0.07</v>
      </c>
      <c r="K83" s="1243" t="n">
        <f aca="false">K71</f>
        <v>0</v>
      </c>
      <c r="L83" s="1241" t="n">
        <f aca="false">IF(Assumptions!$L$30=4,0,O83+P83)</f>
        <v>0</v>
      </c>
      <c r="M83" s="1242" t="n">
        <f aca="false">(IF(GasPriceCurve,IF(OBuySell=OCallPut,D83,B83),C83)+K83/1000+L83)/(1-GasTransportPercent)</f>
        <v>2.83252032252046</v>
      </c>
      <c r="N83" s="1239" t="n">
        <f aca="false">IF(Assumptions!$L$30=4,F83,CHOOSE(Assumptions!$L$30,E83,F83,G83))</f>
        <v>0.16</v>
      </c>
      <c r="O83" s="0" t="n">
        <v>0.185</v>
      </c>
      <c r="P83" s="647" t="n">
        <f aca="false">Assumptions!$L$32*(1+Assumptions!$C$26)^(YEAR(A83)-2000)</f>
        <v>0.092345318379648</v>
      </c>
    </row>
    <row r="84" customFormat="false" ht="12.75" hidden="false" customHeight="false" outlineLevel="0" collapsed="false">
      <c r="A84" s="1237" t="n">
        <f aca="false">'Curve Paste'!BQ84</f>
        <v>39022</v>
      </c>
      <c r="B84" s="1238" t="n">
        <f aca="false">IF(Assumptions!$L$30=4,VLOOKUP($A84,'Henwood Reference'!$E$9:$R$296,14),'Curve Paste'!BR84)</f>
        <v>2.91105168521696</v>
      </c>
      <c r="C84" s="1238" t="n">
        <f aca="false">IF(Assumptions!$L$30=4,VLOOKUP($A84,'Henwood Reference'!$E$9:$R$296,14),'Curve Paste'!BS84)</f>
        <v>2.91105168521696</v>
      </c>
      <c r="D84" s="1238" t="n">
        <f aca="false">IF(Assumptions!$L$30=4,VLOOKUP($A84,'Henwood Reference'!$E$9:$R$296,14),'Curve Paste'!BT84)</f>
        <v>2.91105168521696</v>
      </c>
      <c r="E84" s="1239" t="n">
        <v>0.1525</v>
      </c>
      <c r="F84" s="1239" t="n">
        <v>0.16</v>
      </c>
      <c r="G84" s="1239" t="n">
        <v>0.1675</v>
      </c>
      <c r="H84" s="1239" t="n">
        <f aca="false">I84-$H$4</f>
        <v>-0.07</v>
      </c>
      <c r="I84" s="1239"/>
      <c r="J84" s="1239" t="n">
        <f aca="false">I84+$J$4</f>
        <v>0.07</v>
      </c>
      <c r="K84" s="1243" t="n">
        <f aca="false">K72</f>
        <v>0</v>
      </c>
      <c r="L84" s="1241" t="n">
        <f aca="false">IF(Assumptions!$L$30=4,0,O84+P84)</f>
        <v>0</v>
      </c>
      <c r="M84" s="1242" t="n">
        <f aca="false">(IF(GasPriceCurve,IF(OBuySell=OCallPut,D84,B84),C84)+K84/1000+L84)/(1-GasTransportPercent)</f>
        <v>2.94640858827627</v>
      </c>
      <c r="N84" s="1239" t="n">
        <f aca="false">IF(Assumptions!$L$30=4,F84,CHOOSE(Assumptions!$L$30,E84,F84,G84))</f>
        <v>0.16</v>
      </c>
      <c r="O84" s="0" t="n">
        <v>0.15</v>
      </c>
      <c r="P84" s="647" t="n">
        <f aca="false">Assumptions!$L$32*(1+Assumptions!$C$26)^(YEAR(A84)-2000)</f>
        <v>0.092345318379648</v>
      </c>
    </row>
    <row r="85" customFormat="false" ht="12.75" hidden="false" customHeight="false" outlineLevel="0" collapsed="false">
      <c r="A85" s="1237" t="n">
        <f aca="false">'Curve Paste'!BQ85</f>
        <v>39052</v>
      </c>
      <c r="B85" s="1238" t="n">
        <f aca="false">IF(Assumptions!$L$30=4,VLOOKUP($A85,'Henwood Reference'!$E$9:$R$296,14),'Curve Paste'!BR85)</f>
        <v>3.02994135639166</v>
      </c>
      <c r="C85" s="1238" t="n">
        <f aca="false">IF(Assumptions!$L$30=4,VLOOKUP($A85,'Henwood Reference'!$E$9:$R$296,14),'Curve Paste'!BS85)</f>
        <v>3.02994135639166</v>
      </c>
      <c r="D85" s="1238" t="n">
        <f aca="false">IF(Assumptions!$L$30=4,VLOOKUP($A85,'Henwood Reference'!$E$9:$R$296,14),'Curve Paste'!BT85)</f>
        <v>3.02994135639166</v>
      </c>
      <c r="E85" s="1239" t="n">
        <v>0.1525</v>
      </c>
      <c r="F85" s="1239" t="n">
        <v>0.16</v>
      </c>
      <c r="G85" s="1239" t="n">
        <v>0.1675</v>
      </c>
      <c r="H85" s="1239" t="n">
        <f aca="false">I85-$H$4</f>
        <v>-0.07</v>
      </c>
      <c r="I85" s="1239"/>
      <c r="J85" s="1239" t="n">
        <f aca="false">I85+$J$4</f>
        <v>0.07</v>
      </c>
      <c r="K85" s="1243" t="n">
        <f aca="false">K73</f>
        <v>0</v>
      </c>
      <c r="L85" s="1241" t="n">
        <f aca="false">IF(Assumptions!$L$30=4,0,O85+P85)</f>
        <v>0</v>
      </c>
      <c r="M85" s="1242" t="n">
        <f aca="false">(IF(GasPriceCurve,IF(OBuySell=OCallPut,D85,B85),C85)+K85/1000+L85)/(1-GasTransportPercent)</f>
        <v>3.06674226355431</v>
      </c>
      <c r="N85" s="1239" t="n">
        <f aca="false">IF(Assumptions!$L$30=4,F85,CHOOSE(Assumptions!$L$30,E85,F85,G85))</f>
        <v>0.16</v>
      </c>
      <c r="O85" s="0" t="n">
        <v>0.15</v>
      </c>
      <c r="P85" s="647" t="n">
        <f aca="false">Assumptions!$L$32*(1+Assumptions!$C$26)^(YEAR(A85)-2000)</f>
        <v>0.092345318379648</v>
      </c>
    </row>
    <row r="86" customFormat="false" ht="12.75" hidden="false" customHeight="false" outlineLevel="0" collapsed="false">
      <c r="A86" s="1237" t="n">
        <f aca="false">'Curve Paste'!BQ86</f>
        <v>39083</v>
      </c>
      <c r="B86" s="1238" t="n">
        <f aca="false">IF(Assumptions!$L$30=4,VLOOKUP($A86,'Henwood Reference'!$E$9:$R$296,14),'Curve Paste'!BR86)</f>
        <v>2.94871053193464</v>
      </c>
      <c r="C86" s="1238" t="n">
        <f aca="false">IF(Assumptions!$L$30=4,VLOOKUP($A86,'Henwood Reference'!$E$9:$R$296,14),'Curve Paste'!BS86)</f>
        <v>2.94871053193464</v>
      </c>
      <c r="D86" s="1238" t="n">
        <f aca="false">IF(Assumptions!$L$30=4,VLOOKUP($A86,'Henwood Reference'!$E$9:$R$296,14),'Curve Paste'!BT86)</f>
        <v>2.94871053193464</v>
      </c>
      <c r="E86" s="1239" t="n">
        <v>0.1525</v>
      </c>
      <c r="F86" s="1239" t="n">
        <v>0.16</v>
      </c>
      <c r="G86" s="1239" t="n">
        <v>0.1675</v>
      </c>
      <c r="H86" s="1239" t="n">
        <f aca="false">I86-$H$4</f>
        <v>-0.07</v>
      </c>
      <c r="I86" s="1239"/>
      <c r="J86" s="1239" t="n">
        <f aca="false">I86+$J$4</f>
        <v>0.07</v>
      </c>
      <c r="K86" s="1243" t="n">
        <f aca="false">K74</f>
        <v>0</v>
      </c>
      <c r="L86" s="1241" t="n">
        <f aca="false">IF(Assumptions!$L$30=4,0,O86+P86)</f>
        <v>0</v>
      </c>
      <c r="M86" s="1242" t="n">
        <f aca="false">(IF(GasPriceCurve,IF(OBuySell=OCallPut,D86,B86),C86)+K86/1000+L86)/(1-GasTransportPercent)</f>
        <v>2.98452482989336</v>
      </c>
      <c r="N86" s="1239" t="n">
        <f aca="false">IF(Assumptions!$L$30=4,F86,CHOOSE(Assumptions!$L$30,E86,F86,G86))</f>
        <v>0.16</v>
      </c>
      <c r="O86" s="0" t="n">
        <v>0.1225</v>
      </c>
      <c r="P86" s="647" t="n">
        <f aca="false">Assumptions!$L$32*(1+Assumptions!$C$26)^(YEAR(A86)-2000)</f>
        <v>0.094192224747241</v>
      </c>
    </row>
    <row r="87" customFormat="false" ht="12.75" hidden="false" customHeight="false" outlineLevel="0" collapsed="false">
      <c r="A87" s="1237" t="n">
        <f aca="false">'Curve Paste'!BQ87</f>
        <v>39114</v>
      </c>
      <c r="B87" s="1238" t="n">
        <f aca="false">IF(Assumptions!$L$30=4,VLOOKUP($A87,'Henwood Reference'!$E$9:$R$296,14),'Curve Paste'!BR87)</f>
        <v>2.71890631268519</v>
      </c>
      <c r="C87" s="1238" t="n">
        <f aca="false">IF(Assumptions!$L$30=4,VLOOKUP($A87,'Henwood Reference'!$E$9:$R$296,14),'Curve Paste'!BS87)</f>
        <v>2.71890631268519</v>
      </c>
      <c r="D87" s="1238" t="n">
        <f aca="false">IF(Assumptions!$L$30=4,VLOOKUP($A87,'Henwood Reference'!$E$9:$R$296,14),'Curve Paste'!BT87)</f>
        <v>2.71890631268519</v>
      </c>
      <c r="E87" s="1239" t="n">
        <v>0.1625</v>
      </c>
      <c r="F87" s="1239" t="n">
        <v>0.17</v>
      </c>
      <c r="G87" s="1239" t="n">
        <v>0.1775</v>
      </c>
      <c r="H87" s="1239" t="n">
        <f aca="false">I87-$H$4</f>
        <v>-0.07</v>
      </c>
      <c r="I87" s="1239"/>
      <c r="J87" s="1239" t="n">
        <f aca="false">I87+$J$4</f>
        <v>0.07</v>
      </c>
      <c r="K87" s="1243" t="n">
        <f aca="false">K75</f>
        <v>0</v>
      </c>
      <c r="L87" s="1241" t="n">
        <f aca="false">IF(Assumptions!$L$30=4,0,O87+P87)</f>
        <v>0</v>
      </c>
      <c r="M87" s="1242" t="n">
        <f aca="false">(IF(GasPriceCurve,IF(OBuySell=OCallPut,D87,B87),C87)+K87/1000+L87)/(1-GasTransportPercent)</f>
        <v>2.75192946628056</v>
      </c>
      <c r="N87" s="1239" t="n">
        <f aca="false">IF(Assumptions!$L$30=4,F87,CHOOSE(Assumptions!$L$30,E87,F87,G87))</f>
        <v>0.17</v>
      </c>
      <c r="O87" s="0" t="n">
        <v>0.1225</v>
      </c>
      <c r="P87" s="647" t="n">
        <f aca="false">Assumptions!$L$32*(1+Assumptions!$C$26)^(YEAR(A87)-2000)</f>
        <v>0.094192224747241</v>
      </c>
    </row>
    <row r="88" customFormat="false" ht="12.75" hidden="false" customHeight="false" outlineLevel="0" collapsed="false">
      <c r="A88" s="1237" t="n">
        <f aca="false">'Curve Paste'!BQ88</f>
        <v>39142</v>
      </c>
      <c r="B88" s="1238" t="n">
        <f aca="false">IF(Assumptions!$L$30=4,VLOOKUP($A88,'Henwood Reference'!$E$9:$R$296,14),'Curve Paste'!BR88)</f>
        <v>2.56904312088983</v>
      </c>
      <c r="C88" s="1238" t="n">
        <f aca="false">IF(Assumptions!$L$30=4,VLOOKUP($A88,'Henwood Reference'!$E$9:$R$296,14),'Curve Paste'!BS88)</f>
        <v>2.56904312088983</v>
      </c>
      <c r="D88" s="1238" t="n">
        <f aca="false">IF(Assumptions!$L$30=4,VLOOKUP($A88,'Henwood Reference'!$E$9:$R$296,14),'Curve Paste'!BT88)</f>
        <v>2.56904312088983</v>
      </c>
      <c r="E88" s="1239" t="n">
        <v>0.1625</v>
      </c>
      <c r="F88" s="1239" t="n">
        <v>0.17</v>
      </c>
      <c r="G88" s="1239" t="n">
        <v>0.1775</v>
      </c>
      <c r="H88" s="1239" t="n">
        <f aca="false">I88-$H$4</f>
        <v>-0.07</v>
      </c>
      <c r="I88" s="1239"/>
      <c r="J88" s="1239" t="n">
        <f aca="false">I88+$J$4</f>
        <v>0.07</v>
      </c>
      <c r="K88" s="1243" t="n">
        <f aca="false">K76</f>
        <v>0</v>
      </c>
      <c r="L88" s="1241" t="n">
        <f aca="false">IF(Assumptions!$L$30=4,0,O88+P88)</f>
        <v>0</v>
      </c>
      <c r="M88" s="1242" t="n">
        <f aca="false">(IF(GasPriceCurve,IF(OBuySell=OCallPut,D88,B88),C88)+K88/1000+L88)/(1-GasTransportPercent)</f>
        <v>2.60024607377513</v>
      </c>
      <c r="N88" s="1239" t="n">
        <f aca="false">IF(Assumptions!$L$30=4,F88,CHOOSE(Assumptions!$L$30,E88,F88,G88))</f>
        <v>0.17</v>
      </c>
      <c r="O88" s="0" t="n">
        <v>0.14</v>
      </c>
      <c r="P88" s="647" t="n">
        <f aca="false">Assumptions!$L$32*(1+Assumptions!$C$26)^(YEAR(A88)-2000)</f>
        <v>0.094192224747241</v>
      </c>
    </row>
    <row r="89" customFormat="false" ht="12.75" hidden="false" customHeight="false" outlineLevel="0" collapsed="false">
      <c r="A89" s="1237" t="n">
        <f aca="false">'Curve Paste'!BQ89</f>
        <v>39173</v>
      </c>
      <c r="B89" s="1238" t="n">
        <f aca="false">IF(Assumptions!$L$30=4,VLOOKUP($A89,'Henwood Reference'!$E$9:$R$296,14),'Curve Paste'!BR89)</f>
        <v>2.48778521764618</v>
      </c>
      <c r="C89" s="1238" t="n">
        <f aca="false">IF(Assumptions!$L$30=4,VLOOKUP($A89,'Henwood Reference'!$E$9:$R$296,14),'Curve Paste'!BS89)</f>
        <v>2.48778521764618</v>
      </c>
      <c r="D89" s="1238" t="n">
        <f aca="false">IF(Assumptions!$L$30=4,VLOOKUP($A89,'Henwood Reference'!$E$9:$R$296,14),'Curve Paste'!BT89)</f>
        <v>2.48778521764618</v>
      </c>
      <c r="E89" s="1239" t="n">
        <v>0.1625</v>
      </c>
      <c r="F89" s="1239" t="n">
        <v>0.17</v>
      </c>
      <c r="G89" s="1239" t="n">
        <v>0.1775</v>
      </c>
      <c r="H89" s="1239" t="n">
        <f aca="false">I89-$H$4</f>
        <v>-0.07</v>
      </c>
      <c r="I89" s="1239"/>
      <c r="J89" s="1239" t="n">
        <f aca="false">I89+$J$4</f>
        <v>0.07</v>
      </c>
      <c r="K89" s="1243" t="n">
        <f aca="false">K77</f>
        <v>0</v>
      </c>
      <c r="L89" s="1241" t="n">
        <f aca="false">IF(Assumptions!$L$30=4,0,O89+P89)</f>
        <v>0</v>
      </c>
      <c r="M89" s="1242" t="n">
        <f aca="false">(IF(GasPriceCurve,IF(OBuySell=OCallPut,D89,B89),C89)+K89/1000+L89)/(1-GasTransportPercent)</f>
        <v>2.51800123243541</v>
      </c>
      <c r="N89" s="1239" t="n">
        <f aca="false">IF(Assumptions!$L$30=4,F89,CHOOSE(Assumptions!$L$30,E89,F89,G89))</f>
        <v>0.17</v>
      </c>
      <c r="O89" s="0" t="n">
        <v>0.125</v>
      </c>
      <c r="P89" s="647" t="n">
        <f aca="false">Assumptions!$L$32*(1+Assumptions!$C$26)^(YEAR(A89)-2000)</f>
        <v>0.094192224747241</v>
      </c>
    </row>
    <row r="90" customFormat="false" ht="12.75" hidden="false" customHeight="false" outlineLevel="0" collapsed="false">
      <c r="A90" s="1237" t="n">
        <f aca="false">'Curve Paste'!BQ90</f>
        <v>39203</v>
      </c>
      <c r="B90" s="1238" t="n">
        <f aca="false">IF(Assumptions!$L$30=4,VLOOKUP($A90,'Henwood Reference'!$E$9:$R$296,14),'Curve Paste'!BR90)</f>
        <v>2.46501051120073</v>
      </c>
      <c r="C90" s="1238" t="n">
        <f aca="false">IF(Assumptions!$L$30=4,VLOOKUP($A90,'Henwood Reference'!$E$9:$R$296,14),'Curve Paste'!BS90)</f>
        <v>2.46501051120073</v>
      </c>
      <c r="D90" s="1238" t="n">
        <f aca="false">IF(Assumptions!$L$30=4,VLOOKUP($A90,'Henwood Reference'!$E$9:$R$296,14),'Curve Paste'!BT90)</f>
        <v>2.46501051120073</v>
      </c>
      <c r="E90" s="1239" t="n">
        <v>0.1625</v>
      </c>
      <c r="F90" s="1239" t="n">
        <v>0.17</v>
      </c>
      <c r="G90" s="1239" t="n">
        <v>0.1775</v>
      </c>
      <c r="H90" s="1239" t="n">
        <f aca="false">I90-$H$4</f>
        <v>-0.07</v>
      </c>
      <c r="I90" s="1239"/>
      <c r="J90" s="1239" t="n">
        <f aca="false">I90+$J$4</f>
        <v>0.07</v>
      </c>
      <c r="K90" s="1243" t="n">
        <f aca="false">K78</f>
        <v>0</v>
      </c>
      <c r="L90" s="1241" t="n">
        <f aca="false">IF(Assumptions!$L$30=4,0,O90+P90)</f>
        <v>0</v>
      </c>
      <c r="M90" s="1242" t="n">
        <f aca="false">(IF(GasPriceCurve,IF(OBuySell=OCallPut,D90,B90),C90)+K90/1000+L90)/(1-GasTransportPercent)</f>
        <v>2.4949499101222</v>
      </c>
      <c r="N90" s="1239" t="n">
        <f aca="false">IF(Assumptions!$L$30=4,F90,CHOOSE(Assumptions!$L$30,E90,F90,G90))</f>
        <v>0.17</v>
      </c>
      <c r="O90" s="0" t="n">
        <v>0.14</v>
      </c>
      <c r="P90" s="647" t="n">
        <f aca="false">Assumptions!$L$32*(1+Assumptions!$C$26)^(YEAR(A90)-2000)</f>
        <v>0.094192224747241</v>
      </c>
    </row>
    <row r="91" customFormat="false" ht="12.75" hidden="false" customHeight="false" outlineLevel="0" collapsed="false">
      <c r="A91" s="1237" t="n">
        <f aca="false">'Curve Paste'!BQ91</f>
        <v>39234</v>
      </c>
      <c r="B91" s="1238" t="n">
        <f aca="false">IF(Assumptions!$L$30=4,VLOOKUP($A91,'Henwood Reference'!$E$9:$R$296,14),'Curve Paste'!BR91)</f>
        <v>2.49059690979994</v>
      </c>
      <c r="C91" s="1238" t="n">
        <f aca="false">IF(Assumptions!$L$30=4,VLOOKUP($A91,'Henwood Reference'!$E$9:$R$296,14),'Curve Paste'!BS91)</f>
        <v>2.49059690979994</v>
      </c>
      <c r="D91" s="1238" t="n">
        <f aca="false">IF(Assumptions!$L$30=4,VLOOKUP($A91,'Henwood Reference'!$E$9:$R$296,14),'Curve Paste'!BT91)</f>
        <v>2.49059690979994</v>
      </c>
      <c r="E91" s="1239" t="n">
        <v>0.1625</v>
      </c>
      <c r="F91" s="1239" t="n">
        <v>0.17</v>
      </c>
      <c r="G91" s="1239" t="n">
        <v>0.1775</v>
      </c>
      <c r="H91" s="1239" t="n">
        <f aca="false">I91-$H$4</f>
        <v>-0.07</v>
      </c>
      <c r="I91" s="1239"/>
      <c r="J91" s="1239" t="n">
        <f aca="false">I91+$J$4</f>
        <v>0.07</v>
      </c>
      <c r="K91" s="1243" t="n">
        <f aca="false">K79</f>
        <v>0</v>
      </c>
      <c r="L91" s="1241" t="n">
        <f aca="false">IF(Assumptions!$L$30=4,0,O91+P91)</f>
        <v>0</v>
      </c>
      <c r="M91" s="1242" t="n">
        <f aca="false">(IF(GasPriceCurve,IF(OBuySell=OCallPut,D91,B91),C91)+K91/1000+L91)/(1-GasTransportPercent)</f>
        <v>2.5208470746963</v>
      </c>
      <c r="N91" s="1239" t="n">
        <f aca="false">IF(Assumptions!$L$30=4,F91,CHOOSE(Assumptions!$L$30,E91,F91,G91))</f>
        <v>0.17</v>
      </c>
      <c r="O91" s="0" t="n">
        <v>0.17</v>
      </c>
      <c r="P91" s="647" t="n">
        <f aca="false">Assumptions!$L$32*(1+Assumptions!$C$26)^(YEAR(A91)-2000)</f>
        <v>0.094192224747241</v>
      </c>
    </row>
    <row r="92" customFormat="false" ht="12.75" hidden="false" customHeight="false" outlineLevel="0" collapsed="false">
      <c r="A92" s="1237" t="n">
        <f aca="false">'Curve Paste'!BQ92</f>
        <v>39264</v>
      </c>
      <c r="B92" s="1238" t="n">
        <f aca="false">IF(Assumptions!$L$30=4,VLOOKUP($A92,'Henwood Reference'!$E$9:$R$296,14),'Curve Paste'!BR92)</f>
        <v>2.55442232169028</v>
      </c>
      <c r="C92" s="1238" t="n">
        <f aca="false">IF(Assumptions!$L$30=4,VLOOKUP($A92,'Henwood Reference'!$E$9:$R$296,14),'Curve Paste'!BS92)</f>
        <v>2.55442232169028</v>
      </c>
      <c r="D92" s="1238" t="n">
        <f aca="false">IF(Assumptions!$L$30=4,VLOOKUP($A92,'Henwood Reference'!$E$9:$R$296,14),'Curve Paste'!BT92)</f>
        <v>2.55442232169028</v>
      </c>
      <c r="E92" s="1239" t="n">
        <v>0.1625</v>
      </c>
      <c r="F92" s="1239" t="n">
        <v>0.17</v>
      </c>
      <c r="G92" s="1239" t="n">
        <v>0.1775</v>
      </c>
      <c r="H92" s="1239" t="n">
        <f aca="false">I92-$H$4</f>
        <v>-0.07</v>
      </c>
      <c r="I92" s="1239"/>
      <c r="J92" s="1239" t="n">
        <f aca="false">I92+$J$4</f>
        <v>0.07</v>
      </c>
      <c r="K92" s="1243" t="n">
        <f aca="false">K80</f>
        <v>0</v>
      </c>
      <c r="L92" s="1241" t="n">
        <f aca="false">IF(Assumptions!$L$30=4,0,O92+P92)</f>
        <v>0</v>
      </c>
      <c r="M92" s="1242" t="n">
        <f aca="false">(IF(GasPriceCurve,IF(OBuySell=OCallPut,D92,B92),C92)+K92/1000+L92)/(1-GasTransportPercent)</f>
        <v>2.5854476940185</v>
      </c>
      <c r="N92" s="1239" t="n">
        <f aca="false">IF(Assumptions!$L$30=4,F92,CHOOSE(Assumptions!$L$30,E92,F92,G92))</f>
        <v>0.17</v>
      </c>
      <c r="O92" s="0" t="n">
        <v>0.27</v>
      </c>
      <c r="P92" s="647" t="n">
        <f aca="false">Assumptions!$L$32*(1+Assumptions!$C$26)^(YEAR(A92)-2000)</f>
        <v>0.094192224747241</v>
      </c>
    </row>
    <row r="93" customFormat="false" ht="12.75" hidden="false" customHeight="false" outlineLevel="0" collapsed="false">
      <c r="A93" s="1237" t="n">
        <f aca="false">'Curve Paste'!BQ93</f>
        <v>39295</v>
      </c>
      <c r="B93" s="1238" t="n">
        <f aca="false">IF(Assumptions!$L$30=4,VLOOKUP($A93,'Henwood Reference'!$E$9:$R$296,14),'Curve Paste'!BR93)</f>
        <v>2.64636465511821</v>
      </c>
      <c r="C93" s="1238" t="n">
        <f aca="false">IF(Assumptions!$L$30=4,VLOOKUP($A93,'Henwood Reference'!$E$9:$R$296,14),'Curve Paste'!BS93)</f>
        <v>2.64636465511821</v>
      </c>
      <c r="D93" s="1238" t="n">
        <f aca="false">IF(Assumptions!$L$30=4,VLOOKUP($A93,'Henwood Reference'!$E$9:$R$296,14),'Curve Paste'!BT93)</f>
        <v>2.64636465511821</v>
      </c>
      <c r="E93" s="1239" t="n">
        <v>0.1625</v>
      </c>
      <c r="F93" s="1239" t="n">
        <v>0.17</v>
      </c>
      <c r="G93" s="1239" t="n">
        <v>0.1775</v>
      </c>
      <c r="H93" s="1239" t="n">
        <f aca="false">I93-$H$4</f>
        <v>-0.07</v>
      </c>
      <c r="I93" s="1239"/>
      <c r="J93" s="1239" t="n">
        <f aca="false">I93+$J$4</f>
        <v>0.07</v>
      </c>
      <c r="K93" s="1243" t="n">
        <f aca="false">K81</f>
        <v>0</v>
      </c>
      <c r="L93" s="1241" t="n">
        <f aca="false">IF(Assumptions!$L$30=4,0,O93+P93)</f>
        <v>0</v>
      </c>
      <c r="M93" s="1242" t="n">
        <f aca="false">(IF(GasPriceCurve,IF(OBuySell=OCallPut,D93,B93),C93)+K93/1000+L93)/(1-GasTransportPercent)</f>
        <v>2.6785067359496</v>
      </c>
      <c r="N93" s="1239" t="n">
        <f aca="false">IF(Assumptions!$L$30=4,F93,CHOOSE(Assumptions!$L$30,E93,F93,G93))</f>
        <v>0.17</v>
      </c>
      <c r="O93" s="0" t="n">
        <v>0.27</v>
      </c>
      <c r="P93" s="647" t="n">
        <f aca="false">Assumptions!$L$32*(1+Assumptions!$C$26)^(YEAR(A93)-2000)</f>
        <v>0.094192224747241</v>
      </c>
    </row>
    <row r="94" customFormat="false" ht="12.75" hidden="false" customHeight="false" outlineLevel="0" collapsed="false">
      <c r="A94" s="1237" t="n">
        <f aca="false">'Curve Paste'!BQ94</f>
        <v>39326</v>
      </c>
      <c r="B94" s="1238" t="n">
        <f aca="false">IF(Assumptions!$L$30=4,VLOOKUP($A94,'Henwood Reference'!$E$9:$R$296,14),'Curve Paste'!BR94)</f>
        <v>2.75630181833019</v>
      </c>
      <c r="C94" s="1238" t="n">
        <f aca="false">IF(Assumptions!$L$30=4,VLOOKUP($A94,'Henwood Reference'!$E$9:$R$296,14),'Curve Paste'!BS94)</f>
        <v>2.75630181833019</v>
      </c>
      <c r="D94" s="1238" t="n">
        <f aca="false">IF(Assumptions!$L$30=4,VLOOKUP($A94,'Henwood Reference'!$E$9:$R$296,14),'Curve Paste'!BT94)</f>
        <v>2.75630181833019</v>
      </c>
      <c r="E94" s="1239" t="n">
        <v>0.1625</v>
      </c>
      <c r="F94" s="1239" t="n">
        <v>0.17</v>
      </c>
      <c r="G94" s="1239" t="n">
        <v>0.1775</v>
      </c>
      <c r="H94" s="1239" t="n">
        <f aca="false">I94-$H$4</f>
        <v>-0.07</v>
      </c>
      <c r="I94" s="1239"/>
      <c r="J94" s="1239" t="n">
        <f aca="false">I94+$J$4</f>
        <v>0.07</v>
      </c>
      <c r="K94" s="1243" t="n">
        <f aca="false">K82</f>
        <v>0</v>
      </c>
      <c r="L94" s="1241" t="n">
        <f aca="false">IF(Assumptions!$L$30=4,0,O94+P94)</f>
        <v>0</v>
      </c>
      <c r="M94" s="1242" t="n">
        <f aca="false">(IF(GasPriceCurve,IF(OBuySell=OCallPut,D94,B94),C94)+K94/1000+L94)/(1-GasTransportPercent)</f>
        <v>2.7897791683504</v>
      </c>
      <c r="N94" s="1239" t="n">
        <f aca="false">IF(Assumptions!$L$30=4,F94,CHOOSE(Assumptions!$L$30,E94,F94,G94))</f>
        <v>0.17</v>
      </c>
      <c r="O94" s="0" t="n">
        <v>0.27</v>
      </c>
      <c r="P94" s="647" t="n">
        <f aca="false">Assumptions!$L$32*(1+Assumptions!$C$26)^(YEAR(A94)-2000)</f>
        <v>0.094192224747241</v>
      </c>
    </row>
    <row r="95" customFormat="false" ht="12.75" hidden="false" customHeight="false" outlineLevel="0" collapsed="false">
      <c r="A95" s="1237" t="n">
        <f aca="false">'Curve Paste'!BQ95</f>
        <v>39356</v>
      </c>
      <c r="B95" s="1238" t="n">
        <f aca="false">IF(Assumptions!$L$30=4,VLOOKUP($A95,'Henwood Reference'!$E$9:$R$296,14),'Curve Paste'!BR95)</f>
        <v>2.87411171957271</v>
      </c>
      <c r="C95" s="1238" t="n">
        <f aca="false">IF(Assumptions!$L$30=4,VLOOKUP($A95,'Henwood Reference'!$E$9:$R$296,14),'Curve Paste'!BS95)</f>
        <v>2.87411171957271</v>
      </c>
      <c r="D95" s="1238" t="n">
        <f aca="false">IF(Assumptions!$L$30=4,VLOOKUP($A95,'Henwood Reference'!$E$9:$R$296,14),'Curve Paste'!BT95)</f>
        <v>2.87411171957271</v>
      </c>
      <c r="E95" s="1239" t="n">
        <v>0.1625</v>
      </c>
      <c r="F95" s="1239" t="n">
        <v>0.17</v>
      </c>
      <c r="G95" s="1239" t="n">
        <v>0.1775</v>
      </c>
      <c r="H95" s="1239" t="n">
        <f aca="false">I95-$H$4</f>
        <v>-0.07</v>
      </c>
      <c r="I95" s="1239"/>
      <c r="J95" s="1239" t="n">
        <f aca="false">I95+$J$4</f>
        <v>0.07</v>
      </c>
      <c r="K95" s="1243" t="n">
        <f aca="false">K83</f>
        <v>0</v>
      </c>
      <c r="L95" s="1241" t="n">
        <f aca="false">IF(Assumptions!$L$30=4,0,O95+P95)</f>
        <v>0</v>
      </c>
      <c r="M95" s="1242" t="n">
        <f aca="false">(IF(GasPriceCurve,IF(OBuySell=OCallPut,D95,B95),C95)+K95/1000+L95)/(1-GasTransportPercent)</f>
        <v>2.90901995908169</v>
      </c>
      <c r="N95" s="1239" t="n">
        <f aca="false">IF(Assumptions!$L$30=4,F95,CHOOSE(Assumptions!$L$30,E95,F95,G95))</f>
        <v>0.17</v>
      </c>
      <c r="O95" s="0" t="n">
        <v>0.19</v>
      </c>
      <c r="P95" s="647" t="n">
        <f aca="false">Assumptions!$L$32*(1+Assumptions!$C$26)^(YEAR(A95)-2000)</f>
        <v>0.094192224747241</v>
      </c>
    </row>
    <row r="96" customFormat="false" ht="12.75" hidden="false" customHeight="false" outlineLevel="0" collapsed="false">
      <c r="A96" s="1237" t="n">
        <f aca="false">'Curve Paste'!BQ96</f>
        <v>39387</v>
      </c>
      <c r="B96" s="1238" t="n">
        <f aca="false">IF(Assumptions!$L$30=4,VLOOKUP($A96,'Henwood Reference'!$E$9:$R$296,14),'Curve Paste'!BR96)</f>
        <v>2.98967226709221</v>
      </c>
      <c r="C96" s="1238" t="n">
        <f aca="false">IF(Assumptions!$L$30=4,VLOOKUP($A96,'Henwood Reference'!$E$9:$R$296,14),'Curve Paste'!BS96)</f>
        <v>2.98967226709221</v>
      </c>
      <c r="D96" s="1238" t="n">
        <f aca="false">IF(Assumptions!$L$30=4,VLOOKUP($A96,'Henwood Reference'!$E$9:$R$296,14),'Curve Paste'!BT96)</f>
        <v>2.98967226709221</v>
      </c>
      <c r="E96" s="1239" t="n">
        <v>0.1625</v>
      </c>
      <c r="F96" s="1239" t="n">
        <v>0.17</v>
      </c>
      <c r="G96" s="1239" t="n">
        <v>0.1775</v>
      </c>
      <c r="H96" s="1239" t="n">
        <f aca="false">I96-$H$4</f>
        <v>-0.07</v>
      </c>
      <c r="I96" s="1239"/>
      <c r="J96" s="1239" t="n">
        <f aca="false">I96+$J$4</f>
        <v>0.07</v>
      </c>
      <c r="K96" s="1243" t="n">
        <f aca="false">K84</f>
        <v>0</v>
      </c>
      <c r="L96" s="1241" t="n">
        <f aca="false">IF(Assumptions!$L$30=4,0,O96+P96)</f>
        <v>0</v>
      </c>
      <c r="M96" s="1242" t="n">
        <f aca="false">(IF(GasPriceCurve,IF(OBuySell=OCallPut,D96,B96),C96)+K96/1000+L96)/(1-GasTransportPercent)</f>
        <v>3.02598407600426</v>
      </c>
      <c r="N96" s="1239" t="n">
        <f aca="false">IF(Assumptions!$L$30=4,F96,CHOOSE(Assumptions!$L$30,E96,F96,G96))</f>
        <v>0.17</v>
      </c>
      <c r="O96" s="0" t="n">
        <v>0.155</v>
      </c>
      <c r="P96" s="647" t="n">
        <f aca="false">Assumptions!$L$32*(1+Assumptions!$C$26)^(YEAR(A96)-2000)</f>
        <v>0.094192224747241</v>
      </c>
    </row>
    <row r="97" customFormat="false" ht="12.75" hidden="false" customHeight="false" outlineLevel="0" collapsed="false">
      <c r="A97" s="1237" t="n">
        <f aca="false">'Curve Paste'!BQ97</f>
        <v>39417</v>
      </c>
      <c r="B97" s="1238" t="n">
        <f aca="false">IF(Assumptions!$L$30=4,VLOOKUP($A97,'Henwood Reference'!$E$9:$R$296,14),'Curve Paste'!BR97)</f>
        <v>3.11177286549785</v>
      </c>
      <c r="C97" s="1238" t="n">
        <f aca="false">IF(Assumptions!$L$30=4,VLOOKUP($A97,'Henwood Reference'!$E$9:$R$296,14),'Curve Paste'!BS97)</f>
        <v>3.11177286549785</v>
      </c>
      <c r="D97" s="1238" t="n">
        <f aca="false">IF(Assumptions!$L$30=4,VLOOKUP($A97,'Henwood Reference'!$E$9:$R$296,14),'Curve Paste'!BT97)</f>
        <v>3.11177286549785</v>
      </c>
      <c r="E97" s="1239" t="n">
        <v>0.1625</v>
      </c>
      <c r="F97" s="1239" t="n">
        <v>0.17</v>
      </c>
      <c r="G97" s="1239" t="n">
        <v>0.1775</v>
      </c>
      <c r="H97" s="1239" t="n">
        <f aca="false">I97-$H$4</f>
        <v>-0.07</v>
      </c>
      <c r="I97" s="1239"/>
      <c r="J97" s="1239" t="n">
        <f aca="false">I97+$J$4</f>
        <v>0.07</v>
      </c>
      <c r="K97" s="1243" t="n">
        <f aca="false">K85</f>
        <v>0</v>
      </c>
      <c r="L97" s="1241" t="n">
        <f aca="false">IF(Assumptions!$L$30=4,0,O97+P97)</f>
        <v>0</v>
      </c>
      <c r="M97" s="1242" t="n">
        <f aca="false">(IF(GasPriceCurve,IF(OBuySell=OCallPut,D97,B97),C97)+K97/1000+L97)/(1-GasTransportPercent)</f>
        <v>3.1495676776294</v>
      </c>
      <c r="N97" s="1239" t="n">
        <f aca="false">IF(Assumptions!$L$30=4,F97,CHOOSE(Assumptions!$L$30,E97,F97,G97))</f>
        <v>0.17</v>
      </c>
      <c r="O97" s="0" t="n">
        <v>0.155</v>
      </c>
      <c r="P97" s="647" t="n">
        <f aca="false">Assumptions!$L$32*(1+Assumptions!$C$26)^(YEAR(A97)-2000)</f>
        <v>0.094192224747241</v>
      </c>
    </row>
    <row r="98" customFormat="false" ht="12.75" hidden="false" customHeight="false" outlineLevel="0" collapsed="false">
      <c r="A98" s="1237" t="n">
        <f aca="false">'Curve Paste'!BQ98</f>
        <v>39448</v>
      </c>
      <c r="B98" s="1238" t="n">
        <f aca="false">IF(Assumptions!$L$30=4,VLOOKUP($A98,'Henwood Reference'!$E$9:$R$296,14),'Curve Paste'!BR98)</f>
        <v>3.0460681799279</v>
      </c>
      <c r="C98" s="1238" t="n">
        <f aca="false">IF(Assumptions!$L$30=4,VLOOKUP($A98,'Henwood Reference'!$E$9:$R$296,14),'Curve Paste'!BS98)</f>
        <v>3.0460681799279</v>
      </c>
      <c r="D98" s="1238" t="n">
        <f aca="false">IF(Assumptions!$L$30=4,VLOOKUP($A98,'Henwood Reference'!$E$9:$R$296,14),'Curve Paste'!BT98)</f>
        <v>3.0460681799279</v>
      </c>
      <c r="E98" s="1239" t="n">
        <v>0.1625</v>
      </c>
      <c r="F98" s="1239" t="n">
        <v>0.17</v>
      </c>
      <c r="G98" s="1239" t="n">
        <v>0.1775</v>
      </c>
      <c r="H98" s="1239" t="n">
        <f aca="false">I98-$H$4</f>
        <v>-0.07</v>
      </c>
      <c r="I98" s="1239"/>
      <c r="J98" s="1239" t="n">
        <f aca="false">I98+$J$4</f>
        <v>0.07</v>
      </c>
      <c r="K98" s="1243" t="n">
        <f aca="false">K86</f>
        <v>0</v>
      </c>
      <c r="L98" s="1241" t="n">
        <f aca="false">IF(Assumptions!$L$30=4,0,O98+P98)</f>
        <v>0</v>
      </c>
      <c r="M98" s="1242" t="n">
        <f aca="false">(IF(GasPriceCurve,IF(OBuySell=OCallPut,D98,B98),C98)+K98/1000+L98)/(1-GasTransportPercent)</f>
        <v>3.0830649594412</v>
      </c>
      <c r="N98" s="1239" t="n">
        <f aca="false">IF(Assumptions!$L$30=4,F98,CHOOSE(Assumptions!$L$30,E98,F98,G98))</f>
        <v>0.17</v>
      </c>
      <c r="O98" s="0" t="n">
        <v>0.1275</v>
      </c>
      <c r="P98" s="647" t="n">
        <f aca="false">Assumptions!$L$32*(1+Assumptions!$C$26)^(YEAR(A98)-2000)</f>
        <v>0.0960760692421858</v>
      </c>
    </row>
    <row r="99" customFormat="false" ht="12.75" hidden="false" customHeight="false" outlineLevel="0" collapsed="false">
      <c r="A99" s="1237" t="n">
        <f aca="false">'Curve Paste'!BQ99</f>
        <v>39479</v>
      </c>
      <c r="B99" s="1238" t="n">
        <f aca="false">IF(Assumptions!$L$30=4,VLOOKUP($A99,'Henwood Reference'!$E$9:$R$296,14),'Curve Paste'!BR99)</f>
        <v>2.80867650913218</v>
      </c>
      <c r="C99" s="1238" t="n">
        <f aca="false">IF(Assumptions!$L$30=4,VLOOKUP($A99,'Henwood Reference'!$E$9:$R$296,14),'Curve Paste'!BS99)</f>
        <v>2.80867650913218</v>
      </c>
      <c r="D99" s="1238" t="n">
        <f aca="false">IF(Assumptions!$L$30=4,VLOOKUP($A99,'Henwood Reference'!$E$9:$R$296,14),'Curve Paste'!BT99)</f>
        <v>2.80867650913218</v>
      </c>
      <c r="E99" s="1239" t="n">
        <v>0.1525</v>
      </c>
      <c r="F99" s="1239" t="n">
        <v>0.16</v>
      </c>
      <c r="G99" s="1239" t="n">
        <v>0.1675</v>
      </c>
      <c r="H99" s="1239" t="n">
        <f aca="false">I99-$H$4</f>
        <v>-0.07</v>
      </c>
      <c r="I99" s="1239"/>
      <c r="J99" s="1239" t="n">
        <f aca="false">I99+$J$4</f>
        <v>0.07</v>
      </c>
      <c r="K99" s="1243" t="n">
        <f aca="false">K87</f>
        <v>0</v>
      </c>
      <c r="L99" s="1241" t="n">
        <f aca="false">IF(Assumptions!$L$30=4,0,O99+P99)</f>
        <v>0</v>
      </c>
      <c r="M99" s="1242" t="n">
        <f aca="false">(IF(GasPriceCurve,IF(OBuySell=OCallPut,D99,B99),C99)+K99/1000+L99)/(1-GasTransportPercent)</f>
        <v>2.84278998900018</v>
      </c>
      <c r="N99" s="1239" t="n">
        <f aca="false">IF(Assumptions!$L$30=4,F99,CHOOSE(Assumptions!$L$30,E99,F99,G99))</f>
        <v>0.16</v>
      </c>
      <c r="O99" s="0" t="n">
        <v>0.1275</v>
      </c>
      <c r="P99" s="647" t="n">
        <f aca="false">Assumptions!$L$32*(1+Assumptions!$C$26)^(YEAR(A99)-2000)</f>
        <v>0.0960760692421858</v>
      </c>
    </row>
    <row r="100" customFormat="false" ht="12.75" hidden="false" customHeight="false" outlineLevel="0" collapsed="false">
      <c r="A100" s="1237" t="n">
        <f aca="false">'Curve Paste'!BQ100</f>
        <v>39508</v>
      </c>
      <c r="B100" s="1238" t="n">
        <f aca="false">IF(Assumptions!$L$30=4,VLOOKUP($A100,'Henwood Reference'!$E$9:$R$296,14),'Curve Paste'!BR100)</f>
        <v>2.65386528065571</v>
      </c>
      <c r="C100" s="1238" t="n">
        <f aca="false">IF(Assumptions!$L$30=4,VLOOKUP($A100,'Henwood Reference'!$E$9:$R$296,14),'Curve Paste'!BS100)</f>
        <v>2.65386528065571</v>
      </c>
      <c r="D100" s="1238" t="n">
        <f aca="false">IF(Assumptions!$L$30=4,VLOOKUP($A100,'Henwood Reference'!$E$9:$R$296,14),'Curve Paste'!BT100)</f>
        <v>2.65386528065571</v>
      </c>
      <c r="E100" s="1239" t="n">
        <v>0.1525</v>
      </c>
      <c r="F100" s="1239" t="n">
        <v>0.16</v>
      </c>
      <c r="G100" s="1239" t="n">
        <v>0.1675</v>
      </c>
      <c r="H100" s="1239" t="n">
        <f aca="false">I100-$H$4</f>
        <v>-0.07</v>
      </c>
      <c r="I100" s="1239"/>
      <c r="J100" s="1239" t="n">
        <f aca="false">I100+$J$4</f>
        <v>0.07</v>
      </c>
      <c r="K100" s="1243" t="n">
        <f aca="false">K88</f>
        <v>0</v>
      </c>
      <c r="L100" s="1241" t="n">
        <f aca="false">IF(Assumptions!$L$30=4,0,O100+P100)</f>
        <v>0</v>
      </c>
      <c r="M100" s="1242" t="n">
        <f aca="false">(IF(GasPriceCurve,IF(OBuySell=OCallPut,D100,B100),C100)+K100/1000+L100)/(1-GasTransportPercent)</f>
        <v>2.68609846220214</v>
      </c>
      <c r="N100" s="1239" t="n">
        <f aca="false">IF(Assumptions!$L$30=4,F100,CHOOSE(Assumptions!$L$30,E100,F100,G100))</f>
        <v>0.16</v>
      </c>
      <c r="O100" s="0" t="n">
        <v>0.145</v>
      </c>
      <c r="P100" s="647" t="n">
        <f aca="false">Assumptions!$L$32*(1+Assumptions!$C$26)^(YEAR(A100)-2000)</f>
        <v>0.0960760692421858</v>
      </c>
    </row>
    <row r="101" customFormat="false" ht="12.75" hidden="false" customHeight="false" outlineLevel="0" collapsed="false">
      <c r="A101" s="1237" t="n">
        <f aca="false">'Curve Paste'!BQ101</f>
        <v>39539</v>
      </c>
      <c r="B101" s="1238" t="n">
        <f aca="false">IF(Assumptions!$L$30=4,VLOOKUP($A101,'Henwood Reference'!$E$9:$R$296,14),'Curve Paste'!BR101)</f>
        <v>2.56992448322663</v>
      </c>
      <c r="C101" s="1238" t="n">
        <f aca="false">IF(Assumptions!$L$30=4,VLOOKUP($A101,'Henwood Reference'!$E$9:$R$296,14),'Curve Paste'!BS101)</f>
        <v>2.56992448322663</v>
      </c>
      <c r="D101" s="1238" t="n">
        <f aca="false">IF(Assumptions!$L$30=4,VLOOKUP($A101,'Henwood Reference'!$E$9:$R$296,14),'Curve Paste'!BT101)</f>
        <v>2.56992448322663</v>
      </c>
      <c r="E101" s="1239" t="n">
        <v>0.1525</v>
      </c>
      <c r="F101" s="1239" t="n">
        <v>0.16</v>
      </c>
      <c r="G101" s="1239" t="n">
        <v>0.1675</v>
      </c>
      <c r="H101" s="1239" t="n">
        <f aca="false">I101-$H$4</f>
        <v>-0.07</v>
      </c>
      <c r="I101" s="1239"/>
      <c r="J101" s="1239" t="n">
        <f aca="false">I101+$J$4</f>
        <v>0.07</v>
      </c>
      <c r="K101" s="1243" t="n">
        <f aca="false">K89</f>
        <v>0</v>
      </c>
      <c r="L101" s="1241" t="n">
        <f aca="false">IF(Assumptions!$L$30=4,0,O101+P101)</f>
        <v>0</v>
      </c>
      <c r="M101" s="1242" t="n">
        <f aca="false">(IF(GasPriceCurve,IF(OBuySell=OCallPut,D101,B101),C101)+K101/1000+L101)/(1-GasTransportPercent)</f>
        <v>2.60113814091764</v>
      </c>
      <c r="N101" s="1239" t="n">
        <f aca="false">IF(Assumptions!$L$30=4,F101,CHOOSE(Assumptions!$L$30,E101,F101,G101))</f>
        <v>0.16</v>
      </c>
      <c r="O101" s="0" t="n">
        <v>0.13</v>
      </c>
      <c r="P101" s="647" t="n">
        <f aca="false">Assumptions!$L$32*(1+Assumptions!$C$26)^(YEAR(A101)-2000)</f>
        <v>0.0960760692421858</v>
      </c>
    </row>
    <row r="102" customFormat="false" ht="12.75" hidden="false" customHeight="false" outlineLevel="0" collapsed="false">
      <c r="A102" s="1237" t="n">
        <f aca="false">'Curve Paste'!BQ102</f>
        <v>39569</v>
      </c>
      <c r="B102" s="1238" t="n">
        <f aca="false">IF(Assumptions!$L$30=4,VLOOKUP($A102,'Henwood Reference'!$E$9:$R$296,14),'Curve Paste'!BR102)</f>
        <v>2.54639782373959</v>
      </c>
      <c r="C102" s="1238" t="n">
        <f aca="false">IF(Assumptions!$L$30=4,VLOOKUP($A102,'Henwood Reference'!$E$9:$R$296,14),'Curve Paste'!BS102)</f>
        <v>2.54639782373959</v>
      </c>
      <c r="D102" s="1238" t="n">
        <f aca="false">IF(Assumptions!$L$30=4,VLOOKUP($A102,'Henwood Reference'!$E$9:$R$296,14),'Curve Paste'!BT102)</f>
        <v>2.54639782373959</v>
      </c>
      <c r="E102" s="1239" t="n">
        <v>0.1525</v>
      </c>
      <c r="F102" s="1239" t="n">
        <v>0.16</v>
      </c>
      <c r="G102" s="1239" t="n">
        <v>0.1675</v>
      </c>
      <c r="H102" s="1239" t="n">
        <f aca="false">I102-$H$4</f>
        <v>-0.07</v>
      </c>
      <c r="I102" s="1239"/>
      <c r="J102" s="1239" t="n">
        <f aca="false">I102+$J$4</f>
        <v>0.07</v>
      </c>
      <c r="K102" s="1243" t="n">
        <f aca="false">K90</f>
        <v>0</v>
      </c>
      <c r="L102" s="1241" t="n">
        <f aca="false">IF(Assumptions!$L$30=4,0,O102+P102)</f>
        <v>0</v>
      </c>
      <c r="M102" s="1242" t="n">
        <f aca="false">(IF(GasPriceCurve,IF(OBuySell=OCallPut,D102,B102),C102)+K102/1000+L102)/(1-GasTransportPercent)</f>
        <v>2.57732573252995</v>
      </c>
      <c r="N102" s="1239" t="n">
        <f aca="false">IF(Assumptions!$L$30=4,F102,CHOOSE(Assumptions!$L$30,E102,F102,G102))</f>
        <v>0.16</v>
      </c>
      <c r="O102" s="0" t="n">
        <v>0.145</v>
      </c>
      <c r="P102" s="647" t="n">
        <f aca="false">Assumptions!$L$32*(1+Assumptions!$C$26)^(YEAR(A102)-2000)</f>
        <v>0.0960760692421858</v>
      </c>
    </row>
    <row r="103" customFormat="false" ht="12.75" hidden="false" customHeight="false" outlineLevel="0" collapsed="false">
      <c r="A103" s="1237" t="n">
        <f aca="false">'Curve Paste'!BQ103</f>
        <v>39600</v>
      </c>
      <c r="B103" s="1238" t="n">
        <f aca="false">IF(Assumptions!$L$30=4,VLOOKUP($A103,'Henwood Reference'!$E$9:$R$296,14),'Curve Paste'!BR103)</f>
        <v>2.57282900908923</v>
      </c>
      <c r="C103" s="1238" t="n">
        <f aca="false">IF(Assumptions!$L$30=4,VLOOKUP($A103,'Henwood Reference'!$E$9:$R$296,14),'Curve Paste'!BS103)</f>
        <v>2.57282900908923</v>
      </c>
      <c r="D103" s="1238" t="n">
        <f aca="false">IF(Assumptions!$L$30=4,VLOOKUP($A103,'Henwood Reference'!$E$9:$R$296,14),'Curve Paste'!BT103)</f>
        <v>2.57282900908923</v>
      </c>
      <c r="E103" s="1239" t="n">
        <v>0.1525</v>
      </c>
      <c r="F103" s="1239" t="n">
        <v>0.16</v>
      </c>
      <c r="G103" s="1239" t="n">
        <v>0.1675</v>
      </c>
      <c r="H103" s="1239" t="n">
        <f aca="false">I103-$H$4</f>
        <v>-0.07</v>
      </c>
      <c r="I103" s="1239"/>
      <c r="J103" s="1239" t="n">
        <f aca="false">I103+$J$4</f>
        <v>0.07</v>
      </c>
      <c r="K103" s="1243" t="n">
        <f aca="false">K91</f>
        <v>0</v>
      </c>
      <c r="L103" s="1241" t="n">
        <f aca="false">IF(Assumptions!$L$30=4,0,O103+P103)</f>
        <v>0</v>
      </c>
      <c r="M103" s="1242" t="n">
        <f aca="false">(IF(GasPriceCurve,IF(OBuySell=OCallPut,D103,B103),C103)+K103/1000+L103)/(1-GasTransportPercent)</f>
        <v>2.6040779444223</v>
      </c>
      <c r="N103" s="1239" t="n">
        <f aca="false">IF(Assumptions!$L$30=4,F103,CHOOSE(Assumptions!$L$30,E103,F103,G103))</f>
        <v>0.16</v>
      </c>
      <c r="O103" s="0" t="n">
        <v>0.175</v>
      </c>
      <c r="P103" s="647" t="n">
        <f aca="false">Assumptions!$L$32*(1+Assumptions!$C$26)^(YEAR(A103)-2000)</f>
        <v>0.0960760692421858</v>
      </c>
    </row>
    <row r="104" customFormat="false" ht="12.75" hidden="false" customHeight="false" outlineLevel="0" collapsed="false">
      <c r="A104" s="1237" t="n">
        <f aca="false">'Curve Paste'!BQ104</f>
        <v>39630</v>
      </c>
      <c r="B104" s="1238" t="n">
        <f aca="false">IF(Assumptions!$L$30=4,VLOOKUP($A104,'Henwood Reference'!$E$9:$R$296,14),'Curve Paste'!BR104)</f>
        <v>2.6387617461702</v>
      </c>
      <c r="C104" s="1238" t="n">
        <f aca="false">IF(Assumptions!$L$30=4,VLOOKUP($A104,'Henwood Reference'!$E$9:$R$296,14),'Curve Paste'!BS104)</f>
        <v>2.6387617461702</v>
      </c>
      <c r="D104" s="1238" t="n">
        <f aca="false">IF(Assumptions!$L$30=4,VLOOKUP($A104,'Henwood Reference'!$E$9:$R$296,14),'Curve Paste'!BT104)</f>
        <v>2.6387617461702</v>
      </c>
      <c r="E104" s="1239" t="n">
        <v>0.1525</v>
      </c>
      <c r="F104" s="1239" t="n">
        <v>0.16</v>
      </c>
      <c r="G104" s="1239" t="n">
        <v>0.1675</v>
      </c>
      <c r="H104" s="1239" t="n">
        <f aca="false">I104-$H$4</f>
        <v>-0.07</v>
      </c>
      <c r="I104" s="1239"/>
      <c r="J104" s="1239" t="n">
        <f aca="false">I104+$J$4</f>
        <v>0.07</v>
      </c>
      <c r="K104" s="1243" t="n">
        <f aca="false">K92</f>
        <v>0</v>
      </c>
      <c r="L104" s="1241" t="n">
        <f aca="false">IF(Assumptions!$L$30=4,0,O104+P104)</f>
        <v>0</v>
      </c>
      <c r="M104" s="1242" t="n">
        <f aca="false">(IF(GasPriceCurve,IF(OBuySell=OCallPut,D104,B104),C104)+K104/1000+L104)/(1-GasTransportPercent)</f>
        <v>2.67081148397794</v>
      </c>
      <c r="N104" s="1239" t="n">
        <f aca="false">IF(Assumptions!$L$30=4,F104,CHOOSE(Assumptions!$L$30,E104,F104,G104))</f>
        <v>0.16</v>
      </c>
      <c r="O104" s="0" t="n">
        <v>0.275</v>
      </c>
      <c r="P104" s="647" t="n">
        <f aca="false">Assumptions!$L$32*(1+Assumptions!$C$26)^(YEAR(A104)-2000)</f>
        <v>0.0960760692421858</v>
      </c>
    </row>
    <row r="105" customFormat="false" ht="12.75" hidden="false" customHeight="false" outlineLevel="0" collapsed="false">
      <c r="A105" s="1237" t="n">
        <f aca="false">'Curve Paste'!BQ105</f>
        <v>39661</v>
      </c>
      <c r="B105" s="1238" t="n">
        <f aca="false">IF(Assumptions!$L$30=4,VLOOKUP($A105,'Henwood Reference'!$E$9:$R$296,14),'Curve Paste'!BR105)</f>
        <v>2.73373974187715</v>
      </c>
      <c r="C105" s="1238" t="n">
        <f aca="false">IF(Assumptions!$L$30=4,VLOOKUP($A105,'Henwood Reference'!$E$9:$R$296,14),'Curve Paste'!BS105)</f>
        <v>2.73373974187715</v>
      </c>
      <c r="D105" s="1238" t="n">
        <f aca="false">IF(Assumptions!$L$30=4,VLOOKUP($A105,'Henwood Reference'!$E$9:$R$296,14),'Curve Paste'!BT105)</f>
        <v>2.73373974187715</v>
      </c>
      <c r="E105" s="1239" t="n">
        <v>0.1525</v>
      </c>
      <c r="F105" s="1239" t="n">
        <v>0.16</v>
      </c>
      <c r="G105" s="1239" t="n">
        <v>0.1675</v>
      </c>
      <c r="H105" s="1239" t="n">
        <f aca="false">I105-$H$4</f>
        <v>-0.07</v>
      </c>
      <c r="I105" s="1239"/>
      <c r="J105" s="1239" t="n">
        <f aca="false">I105+$J$4</f>
        <v>0.07</v>
      </c>
      <c r="K105" s="1243" t="n">
        <f aca="false">K93</f>
        <v>0</v>
      </c>
      <c r="L105" s="1241" t="n">
        <f aca="false">IF(Assumptions!$L$30=4,0,O105+P105)</f>
        <v>0</v>
      </c>
      <c r="M105" s="1242" t="n">
        <f aca="false">(IF(GasPriceCurve,IF(OBuySell=OCallPut,D105,B105),C105)+K105/1000+L105)/(1-GasTransportPercent)</f>
        <v>2.76694305858012</v>
      </c>
      <c r="N105" s="1239" t="n">
        <f aca="false">IF(Assumptions!$L$30=4,F105,CHOOSE(Assumptions!$L$30,E105,F105,G105))</f>
        <v>0.16</v>
      </c>
      <c r="O105" s="0" t="n">
        <v>0.275</v>
      </c>
      <c r="P105" s="647" t="n">
        <f aca="false">Assumptions!$L$32*(1+Assumptions!$C$26)^(YEAR(A105)-2000)</f>
        <v>0.0960760692421858</v>
      </c>
    </row>
    <row r="106" customFormat="false" ht="12.75" hidden="false" customHeight="false" outlineLevel="0" collapsed="false">
      <c r="A106" s="1237" t="n">
        <f aca="false">'Curve Paste'!BQ106</f>
        <v>39692</v>
      </c>
      <c r="B106" s="1238" t="n">
        <f aca="false">IF(Assumptions!$L$30=4,VLOOKUP($A106,'Henwood Reference'!$E$9:$R$296,14),'Curve Paste'!BR106)</f>
        <v>2.84730670310473</v>
      </c>
      <c r="C106" s="1238" t="n">
        <f aca="false">IF(Assumptions!$L$30=4,VLOOKUP($A106,'Henwood Reference'!$E$9:$R$296,14),'Curve Paste'!BS106)</f>
        <v>2.84730670310473</v>
      </c>
      <c r="D106" s="1238" t="n">
        <f aca="false">IF(Assumptions!$L$30=4,VLOOKUP($A106,'Henwood Reference'!$E$9:$R$296,14),'Curve Paste'!BT106)</f>
        <v>2.84730670310473</v>
      </c>
      <c r="E106" s="1239" t="n">
        <v>0.1525</v>
      </c>
      <c r="F106" s="1239" t="n">
        <v>0.16</v>
      </c>
      <c r="G106" s="1239" t="n">
        <v>0.1675</v>
      </c>
      <c r="H106" s="1239" t="n">
        <f aca="false">I106-$H$4</f>
        <v>-0.07</v>
      </c>
      <c r="I106" s="1239"/>
      <c r="J106" s="1239" t="n">
        <f aca="false">I106+$J$4</f>
        <v>0.07</v>
      </c>
      <c r="K106" s="1243" t="n">
        <f aca="false">K94</f>
        <v>0</v>
      </c>
      <c r="L106" s="1241" t="n">
        <f aca="false">IF(Assumptions!$L$30=4,0,O106+P106)</f>
        <v>0</v>
      </c>
      <c r="M106" s="1242" t="n">
        <f aca="false">(IF(GasPriceCurve,IF(OBuySell=OCallPut,D106,B106),C106)+K106/1000+L106)/(1-GasTransportPercent)</f>
        <v>2.88188937561208</v>
      </c>
      <c r="N106" s="1239" t="n">
        <f aca="false">IF(Assumptions!$L$30=4,F106,CHOOSE(Assumptions!$L$30,E106,F106,G106))</f>
        <v>0.16</v>
      </c>
      <c r="O106" s="0" t="n">
        <v>0.275</v>
      </c>
      <c r="P106" s="647" t="n">
        <f aca="false">Assumptions!$L$32*(1+Assumptions!$C$26)^(YEAR(A106)-2000)</f>
        <v>0.0960760692421858</v>
      </c>
    </row>
    <row r="107" customFormat="false" ht="12.75" hidden="false" customHeight="false" outlineLevel="0" collapsed="false">
      <c r="A107" s="1237" t="n">
        <f aca="false">'Curve Paste'!BQ107</f>
        <v>39722</v>
      </c>
      <c r="B107" s="1238" t="n">
        <f aca="false">IF(Assumptions!$L$30=4,VLOOKUP($A107,'Henwood Reference'!$E$9:$R$296,14),'Curve Paste'!BR107)</f>
        <v>2.96900633674759</v>
      </c>
      <c r="C107" s="1238" t="n">
        <f aca="false">IF(Assumptions!$L$30=4,VLOOKUP($A107,'Henwood Reference'!$E$9:$R$296,14),'Curve Paste'!BS107)</f>
        <v>2.96900633674759</v>
      </c>
      <c r="D107" s="1238" t="n">
        <f aca="false">IF(Assumptions!$L$30=4,VLOOKUP($A107,'Henwood Reference'!$E$9:$R$296,14),'Curve Paste'!BT107)</f>
        <v>2.96900633674759</v>
      </c>
      <c r="E107" s="1239" t="n">
        <v>0.1525</v>
      </c>
      <c r="F107" s="1239" t="n">
        <v>0.16</v>
      </c>
      <c r="G107" s="1239" t="n">
        <v>0.1675</v>
      </c>
      <c r="H107" s="1239" t="n">
        <f aca="false">I107-$H$4</f>
        <v>-0.07</v>
      </c>
      <c r="I107" s="1239"/>
      <c r="J107" s="1239" t="n">
        <f aca="false">I107+$J$4</f>
        <v>0.07</v>
      </c>
      <c r="K107" s="1243" t="n">
        <f aca="false">K95</f>
        <v>0</v>
      </c>
      <c r="L107" s="1241" t="n">
        <f aca="false">IF(Assumptions!$L$30=4,0,O107+P107)</f>
        <v>0</v>
      </c>
      <c r="M107" s="1242" t="n">
        <f aca="false">(IF(GasPriceCurve,IF(OBuySell=OCallPut,D107,B107),C107)+K107/1000+L107)/(1-GasTransportPercent)</f>
        <v>3.00506714245707</v>
      </c>
      <c r="N107" s="1239" t="n">
        <f aca="false">IF(Assumptions!$L$30=4,F107,CHOOSE(Assumptions!$L$30,E107,F107,G107))</f>
        <v>0.16</v>
      </c>
      <c r="O107" s="0" t="n">
        <v>0.195</v>
      </c>
      <c r="P107" s="647" t="n">
        <f aca="false">Assumptions!$L$32*(1+Assumptions!$C$26)^(YEAR(A107)-2000)</f>
        <v>0.0960760692421858</v>
      </c>
    </row>
    <row r="108" customFormat="false" ht="12.75" hidden="false" customHeight="false" outlineLevel="0" collapsed="false">
      <c r="A108" s="1237" t="n">
        <f aca="false">'Curve Paste'!BQ108</f>
        <v>39753</v>
      </c>
      <c r="B108" s="1238" t="n">
        <f aca="false">IF(Assumptions!$L$30=4,VLOOKUP($A108,'Henwood Reference'!$E$9:$R$296,14),'Curve Paste'!BR108)</f>
        <v>3.08838234970036</v>
      </c>
      <c r="C108" s="1238" t="n">
        <f aca="false">IF(Assumptions!$L$30=4,VLOOKUP($A108,'Henwood Reference'!$E$9:$R$296,14),'Curve Paste'!BS108)</f>
        <v>3.08838234970036</v>
      </c>
      <c r="D108" s="1238" t="n">
        <f aca="false">IF(Assumptions!$L$30=4,VLOOKUP($A108,'Henwood Reference'!$E$9:$R$296,14),'Curve Paste'!BT108)</f>
        <v>3.08838234970036</v>
      </c>
      <c r="E108" s="1239" t="n">
        <v>0.1525</v>
      </c>
      <c r="F108" s="1239" t="n">
        <v>0.16</v>
      </c>
      <c r="G108" s="1239" t="n">
        <v>0.1675</v>
      </c>
      <c r="H108" s="1239" t="n">
        <f aca="false">I108-$H$4</f>
        <v>-0.07</v>
      </c>
      <c r="I108" s="1239"/>
      <c r="J108" s="1239" t="n">
        <f aca="false">I108+$J$4</f>
        <v>0.07</v>
      </c>
      <c r="K108" s="1243" t="n">
        <f aca="false">K96</f>
        <v>0</v>
      </c>
      <c r="L108" s="1241" t="n">
        <f aca="false">IF(Assumptions!$L$30=4,0,O108+P108)</f>
        <v>0</v>
      </c>
      <c r="M108" s="1242" t="n">
        <f aca="false">(IF(GasPriceCurve,IF(OBuySell=OCallPut,D108,B108),C108)+K108/1000+L108)/(1-GasTransportPercent)</f>
        <v>3.12589306649834</v>
      </c>
      <c r="N108" s="1239" t="n">
        <f aca="false">IF(Assumptions!$L$30=4,F108,CHOOSE(Assumptions!$L$30,E108,F108,G108))</f>
        <v>0.16</v>
      </c>
      <c r="O108" s="0" t="n">
        <v>0.16</v>
      </c>
      <c r="P108" s="647" t="n">
        <f aca="false">Assumptions!$L$32*(1+Assumptions!$C$26)^(YEAR(A108)-2000)</f>
        <v>0.0960760692421858</v>
      </c>
    </row>
    <row r="109" customFormat="false" ht="12.75" hidden="false" customHeight="false" outlineLevel="0" collapsed="false">
      <c r="A109" s="1237" t="n">
        <f aca="false">'Curve Paste'!BQ109</f>
        <v>39783</v>
      </c>
      <c r="B109" s="1238" t="n">
        <f aca="false">IF(Assumptions!$L$30=4,VLOOKUP($A109,'Henwood Reference'!$E$9:$R$296,14),'Curve Paste'!BR109)</f>
        <v>3.21451434655986</v>
      </c>
      <c r="C109" s="1238" t="n">
        <f aca="false">IF(Assumptions!$L$30=4,VLOOKUP($A109,'Henwood Reference'!$E$9:$R$296,14),'Curve Paste'!BS109)</f>
        <v>3.21451434655986</v>
      </c>
      <c r="D109" s="1238" t="n">
        <f aca="false">IF(Assumptions!$L$30=4,VLOOKUP($A109,'Henwood Reference'!$E$9:$R$296,14),'Curve Paste'!BT109)</f>
        <v>3.21451434655986</v>
      </c>
      <c r="E109" s="1239" t="n">
        <v>0.1525</v>
      </c>
      <c r="F109" s="1239" t="n">
        <v>0.16</v>
      </c>
      <c r="G109" s="1239" t="n">
        <v>0.1675</v>
      </c>
      <c r="H109" s="1239" t="n">
        <f aca="false">I109-$H$4</f>
        <v>-0.07</v>
      </c>
      <c r="I109" s="1239"/>
      <c r="J109" s="1239" t="n">
        <f aca="false">I109+$J$4</f>
        <v>0.07</v>
      </c>
      <c r="K109" s="1243" t="n">
        <f aca="false">K97</f>
        <v>0</v>
      </c>
      <c r="L109" s="1241" t="n">
        <f aca="false">IF(Assumptions!$L$30=4,0,O109+P109)</f>
        <v>0</v>
      </c>
      <c r="M109" s="1242" t="n">
        <f aca="false">(IF(GasPriceCurve,IF(OBuySell=OCallPut,D109,B109),C109)+K109/1000+L109)/(1-GasTransportPercent)</f>
        <v>3.25355703093103</v>
      </c>
      <c r="N109" s="1239" t="n">
        <f aca="false">IF(Assumptions!$L$30=4,F109,CHOOSE(Assumptions!$L$30,E109,F109,G109))</f>
        <v>0.16</v>
      </c>
      <c r="O109" s="0" t="n">
        <v>0.16</v>
      </c>
      <c r="P109" s="647" t="n">
        <f aca="false">Assumptions!$L$32*(1+Assumptions!$C$26)^(YEAR(A109)-2000)</f>
        <v>0.0960760692421858</v>
      </c>
    </row>
    <row r="110" customFormat="false" ht="12.75" hidden="false" customHeight="false" outlineLevel="0" collapsed="false">
      <c r="A110" s="1237" t="n">
        <f aca="false">'Curve Paste'!BQ110</f>
        <v>39814</v>
      </c>
      <c r="B110" s="1238" t="n">
        <f aca="false">IF(Assumptions!$L$30=4,VLOOKUP($A110,'Henwood Reference'!$E$9:$R$296,14),'Curve Paste'!BR110)</f>
        <v>3.11705809446657</v>
      </c>
      <c r="C110" s="1238" t="n">
        <f aca="false">IF(Assumptions!$L$30=4,VLOOKUP($A110,'Henwood Reference'!$E$9:$R$296,14),'Curve Paste'!BS110)</f>
        <v>3.11705809446657</v>
      </c>
      <c r="D110" s="1238" t="n">
        <f aca="false">IF(Assumptions!$L$30=4,VLOOKUP($A110,'Henwood Reference'!$E$9:$R$296,14),'Curve Paste'!BT110)</f>
        <v>3.11705809446657</v>
      </c>
      <c r="E110" s="1239" t="n">
        <v>0.1525</v>
      </c>
      <c r="F110" s="1239" t="n">
        <v>0.16</v>
      </c>
      <c r="G110" s="1239" t="n">
        <v>0.1675</v>
      </c>
      <c r="H110" s="1239" t="n">
        <f aca="false">I110-$H$4</f>
        <v>-0.07</v>
      </c>
      <c r="I110" s="1239"/>
      <c r="J110" s="1239" t="n">
        <f aca="false">I110+$J$4</f>
        <v>0.07</v>
      </c>
      <c r="K110" s="1243" t="n">
        <f aca="false">K98</f>
        <v>0</v>
      </c>
      <c r="L110" s="1241" t="n">
        <f aca="false">IF(Assumptions!$L$30=4,0,O110+P110)</f>
        <v>0</v>
      </c>
      <c r="M110" s="1242" t="n">
        <f aca="false">(IF(GasPriceCurve,IF(OBuySell=OCallPut,D110,B110),C110)+K110/1000+L110)/(1-GasTransportPercent)</f>
        <v>3.15491709966252</v>
      </c>
      <c r="N110" s="1239" t="n">
        <f aca="false">IF(Assumptions!$L$30=4,F110,CHOOSE(Assumptions!$L$30,E110,F110,G110))</f>
        <v>0.16</v>
      </c>
      <c r="O110" s="0" t="n">
        <v>0.1325</v>
      </c>
      <c r="P110" s="647" t="n">
        <f aca="false">Assumptions!$L$32*(1+Assumptions!$C$26)^(YEAR(A110)-2000)</f>
        <v>0.0979975906270295</v>
      </c>
    </row>
    <row r="111" customFormat="false" ht="12.75" hidden="false" customHeight="false" outlineLevel="0" collapsed="false">
      <c r="A111" s="1237" t="n">
        <f aca="false">'Curve Paste'!BQ111</f>
        <v>39845</v>
      </c>
      <c r="B111" s="1238" t="n">
        <f aca="false">IF(Assumptions!$L$30=4,VLOOKUP($A111,'Henwood Reference'!$E$9:$R$296,14),'Curve Paste'!BR111)</f>
        <v>2.8741339098115</v>
      </c>
      <c r="C111" s="1238" t="n">
        <f aca="false">IF(Assumptions!$L$30=4,VLOOKUP($A111,'Henwood Reference'!$E$9:$R$296,14),'Curve Paste'!BS111)</f>
        <v>2.8741339098115</v>
      </c>
      <c r="D111" s="1238" t="n">
        <f aca="false">IF(Assumptions!$L$30=4,VLOOKUP($A111,'Henwood Reference'!$E$9:$R$296,14),'Curve Paste'!BT111)</f>
        <v>2.8741339098115</v>
      </c>
      <c r="E111" s="1239" t="n">
        <v>0.1515</v>
      </c>
      <c r="F111" s="1239" t="n">
        <v>0.159</v>
      </c>
      <c r="G111" s="1239" t="n">
        <v>0.1665</v>
      </c>
      <c r="H111" s="1239" t="n">
        <f aca="false">I111-$H$4</f>
        <v>-0.07</v>
      </c>
      <c r="I111" s="1239"/>
      <c r="J111" s="1239" t="n">
        <f aca="false">I111+$J$4</f>
        <v>0.07</v>
      </c>
      <c r="K111" s="1243" t="n">
        <f aca="false">K99</f>
        <v>0</v>
      </c>
      <c r="L111" s="1241" t="n">
        <f aca="false">IF(Assumptions!$L$30=4,0,O111+P111)</f>
        <v>0</v>
      </c>
      <c r="M111" s="1242" t="n">
        <f aca="false">(IF(GasPriceCurve,IF(OBuySell=OCallPut,D111,B111),C111)+K111/1000+L111)/(1-GasTransportPercent)</f>
        <v>2.90904241883755</v>
      </c>
      <c r="N111" s="1239" t="n">
        <f aca="false">IF(Assumptions!$L$30=4,F111,CHOOSE(Assumptions!$L$30,E111,F111,G111))</f>
        <v>0.159</v>
      </c>
      <c r="O111" s="0" t="n">
        <v>0.1325</v>
      </c>
      <c r="P111" s="647" t="n">
        <f aca="false">Assumptions!$L$32*(1+Assumptions!$C$26)^(YEAR(A111)-2000)</f>
        <v>0.0979975906270295</v>
      </c>
    </row>
    <row r="112" customFormat="false" ht="12.75" hidden="false" customHeight="false" outlineLevel="0" collapsed="false">
      <c r="A112" s="1237" t="n">
        <f aca="false">'Curve Paste'!BQ112</f>
        <v>39873</v>
      </c>
      <c r="B112" s="1238" t="n">
        <f aca="false">IF(Assumptions!$L$30=4,VLOOKUP($A112,'Henwood Reference'!$E$9:$R$296,14),'Curve Paste'!BR112)</f>
        <v>2.71571473980844</v>
      </c>
      <c r="C112" s="1238" t="n">
        <f aca="false">IF(Assumptions!$L$30=4,VLOOKUP($A112,'Henwood Reference'!$E$9:$R$296,14),'Curve Paste'!BS112)</f>
        <v>2.71571473980844</v>
      </c>
      <c r="D112" s="1238" t="n">
        <f aca="false">IF(Assumptions!$L$30=4,VLOOKUP($A112,'Henwood Reference'!$E$9:$R$296,14),'Curve Paste'!BT112)</f>
        <v>2.71571473980844</v>
      </c>
      <c r="E112" s="1239" t="n">
        <v>0.1515</v>
      </c>
      <c r="F112" s="1239" t="n">
        <v>0.159</v>
      </c>
      <c r="G112" s="1239" t="n">
        <v>0.1665</v>
      </c>
      <c r="H112" s="1239" t="n">
        <f aca="false">I112-$H$4</f>
        <v>-0.07</v>
      </c>
      <c r="I112" s="1239"/>
      <c r="J112" s="1239" t="n">
        <f aca="false">I112+$J$4</f>
        <v>0.07</v>
      </c>
      <c r="K112" s="1243" t="n">
        <f aca="false">K100</f>
        <v>0</v>
      </c>
      <c r="L112" s="1241" t="n">
        <f aca="false">IF(Assumptions!$L$30=4,0,O112+P112)</f>
        <v>0</v>
      </c>
      <c r="M112" s="1242" t="n">
        <f aca="false">(IF(GasPriceCurve,IF(OBuySell=OCallPut,D112,B112),C112)+K112/1000+L112)/(1-GasTransportPercent)</f>
        <v>2.74869912936077</v>
      </c>
      <c r="N112" s="1239" t="n">
        <f aca="false">IF(Assumptions!$L$30=4,F112,CHOOSE(Assumptions!$L$30,E112,F112,G112))</f>
        <v>0.159</v>
      </c>
      <c r="O112" s="0" t="n">
        <v>0.15</v>
      </c>
      <c r="P112" s="647" t="n">
        <f aca="false">Assumptions!$L$32*(1+Assumptions!$C$26)^(YEAR(A112)-2000)</f>
        <v>0.0979975906270295</v>
      </c>
    </row>
    <row r="113" customFormat="false" ht="12.75" hidden="false" customHeight="false" outlineLevel="0" collapsed="false">
      <c r="A113" s="1237" t="n">
        <f aca="false">'Curve Paste'!BQ113</f>
        <v>39904</v>
      </c>
      <c r="B113" s="1238" t="n">
        <f aca="false">IF(Assumptions!$L$30=4,VLOOKUP($A113,'Henwood Reference'!$E$9:$R$296,14),'Curve Paste'!BR113)</f>
        <v>2.62981766639216</v>
      </c>
      <c r="C113" s="1238" t="n">
        <f aca="false">IF(Assumptions!$L$30=4,VLOOKUP($A113,'Henwood Reference'!$E$9:$R$296,14),'Curve Paste'!BS113)</f>
        <v>2.62981766639216</v>
      </c>
      <c r="D113" s="1238" t="n">
        <f aca="false">IF(Assumptions!$L$30=4,VLOOKUP($A113,'Henwood Reference'!$E$9:$R$296,14),'Curve Paste'!BT113)</f>
        <v>2.62981766639216</v>
      </c>
      <c r="E113" s="1239" t="n">
        <v>0.1515</v>
      </c>
      <c r="F113" s="1239" t="n">
        <v>0.159</v>
      </c>
      <c r="G113" s="1239" t="n">
        <v>0.1665</v>
      </c>
      <c r="H113" s="1239" t="n">
        <f aca="false">I113-$H$4</f>
        <v>-0.07</v>
      </c>
      <c r="I113" s="1239"/>
      <c r="J113" s="1239" t="n">
        <f aca="false">I113+$J$4</f>
        <v>0.07</v>
      </c>
      <c r="K113" s="1243" t="n">
        <f aca="false">K101</f>
        <v>0</v>
      </c>
      <c r="L113" s="1241" t="n">
        <f aca="false">IF(Assumptions!$L$30=4,0,O113+P113)</f>
        <v>0</v>
      </c>
      <c r="M113" s="1242" t="n">
        <f aca="false">(IF(GasPriceCurve,IF(OBuySell=OCallPut,D113,B113),C113)+K113/1000+L113)/(1-GasTransportPercent)</f>
        <v>2.66175877165198</v>
      </c>
      <c r="N113" s="1239" t="n">
        <f aca="false">IF(Assumptions!$L$30=4,F113,CHOOSE(Assumptions!$L$30,E113,F113,G113))</f>
        <v>0.159</v>
      </c>
      <c r="O113" s="0" t="n">
        <v>0.135</v>
      </c>
      <c r="P113" s="647" t="n">
        <f aca="false">Assumptions!$L$32*(1+Assumptions!$C$26)^(YEAR(A113)-2000)</f>
        <v>0.0979975906270295</v>
      </c>
    </row>
    <row r="114" customFormat="false" ht="12.75" hidden="false" customHeight="false" outlineLevel="0" collapsed="false">
      <c r="A114" s="1237" t="n">
        <f aca="false">'Curve Paste'!BQ114</f>
        <v>39934</v>
      </c>
      <c r="B114" s="1238" t="n">
        <f aca="false">IF(Assumptions!$L$30=4,VLOOKUP($A114,'Henwood Reference'!$E$9:$R$296,14),'Curve Paste'!BR114)</f>
        <v>2.60574270809901</v>
      </c>
      <c r="C114" s="1238" t="n">
        <f aca="false">IF(Assumptions!$L$30=4,VLOOKUP($A114,'Henwood Reference'!$E$9:$R$296,14),'Curve Paste'!BS114)</f>
        <v>2.60574270809901</v>
      </c>
      <c r="D114" s="1238" t="n">
        <f aca="false">IF(Assumptions!$L$30=4,VLOOKUP($A114,'Henwood Reference'!$E$9:$R$296,14),'Curve Paste'!BT114)</f>
        <v>2.60574270809901</v>
      </c>
      <c r="E114" s="1239" t="n">
        <v>0.1515</v>
      </c>
      <c r="F114" s="1239" t="n">
        <v>0.159</v>
      </c>
      <c r="G114" s="1239" t="n">
        <v>0.1665</v>
      </c>
      <c r="H114" s="1239" t="n">
        <f aca="false">I114-$H$4</f>
        <v>-0.07</v>
      </c>
      <c r="I114" s="1239"/>
      <c r="J114" s="1239" t="n">
        <f aca="false">I114+$J$4</f>
        <v>0.07</v>
      </c>
      <c r="K114" s="1243" t="n">
        <f aca="false">K102</f>
        <v>0</v>
      </c>
      <c r="L114" s="1241" t="n">
        <f aca="false">IF(Assumptions!$L$30=4,0,O114+P114)</f>
        <v>0</v>
      </c>
      <c r="M114" s="1242" t="n">
        <f aca="false">(IF(GasPriceCurve,IF(OBuySell=OCallPut,D114,B114),C114)+K114/1000+L114)/(1-GasTransportPercent)</f>
        <v>2.63739140495851</v>
      </c>
      <c r="N114" s="1239" t="n">
        <f aca="false">IF(Assumptions!$L$30=4,F114,CHOOSE(Assumptions!$L$30,E114,F114,G114))</f>
        <v>0.159</v>
      </c>
      <c r="O114" s="0" t="n">
        <v>0.15</v>
      </c>
      <c r="P114" s="647" t="n">
        <f aca="false">Assumptions!$L$32*(1+Assumptions!$C$26)^(YEAR(A114)-2000)</f>
        <v>0.0979975906270295</v>
      </c>
    </row>
    <row r="115" customFormat="false" ht="12.75" hidden="false" customHeight="false" outlineLevel="0" collapsed="false">
      <c r="A115" s="1237" t="n">
        <f aca="false">'Curve Paste'!BQ115</f>
        <v>39965</v>
      </c>
      <c r="B115" s="1238" t="n">
        <f aca="false">IF(Assumptions!$L$30=4,VLOOKUP($A115,'Henwood Reference'!$E$9:$R$296,14),'Curve Paste'!BR115)</f>
        <v>2.63278988346538</v>
      </c>
      <c r="C115" s="1238" t="n">
        <f aca="false">IF(Assumptions!$L$30=4,VLOOKUP($A115,'Henwood Reference'!$E$9:$R$296,14),'Curve Paste'!BS115)</f>
        <v>2.63278988346538</v>
      </c>
      <c r="D115" s="1238" t="n">
        <f aca="false">IF(Assumptions!$L$30=4,VLOOKUP($A115,'Henwood Reference'!$E$9:$R$296,14),'Curve Paste'!BT115)</f>
        <v>2.63278988346538</v>
      </c>
      <c r="E115" s="1239" t="n">
        <v>0.1515</v>
      </c>
      <c r="F115" s="1239" t="n">
        <v>0.159</v>
      </c>
      <c r="G115" s="1239" t="n">
        <v>0.1665</v>
      </c>
      <c r="H115" s="1239" t="n">
        <f aca="false">I115-$H$4</f>
        <v>-0.07</v>
      </c>
      <c r="I115" s="1239"/>
      <c r="J115" s="1239" t="n">
        <f aca="false">I115+$J$4</f>
        <v>0.07</v>
      </c>
      <c r="K115" s="1243" t="n">
        <f aca="false">K103</f>
        <v>0</v>
      </c>
      <c r="L115" s="1241" t="n">
        <f aca="false">IF(Assumptions!$L$30=4,0,O115+P115)</f>
        <v>0</v>
      </c>
      <c r="M115" s="1242" t="n">
        <f aca="false">(IF(GasPriceCurve,IF(OBuySell=OCallPut,D115,B115),C115)+K115/1000+L115)/(1-GasTransportPercent)</f>
        <v>2.66476708852772</v>
      </c>
      <c r="N115" s="1239" t="n">
        <f aca="false">IF(Assumptions!$L$30=4,F115,CHOOSE(Assumptions!$L$30,E115,F115,G115))</f>
        <v>0.159</v>
      </c>
      <c r="O115" s="0" t="n">
        <v>0.18</v>
      </c>
      <c r="P115" s="647" t="n">
        <f aca="false">Assumptions!$L$32*(1+Assumptions!$C$26)^(YEAR(A115)-2000)</f>
        <v>0.0979975906270295</v>
      </c>
    </row>
    <row r="116" customFormat="false" ht="12.75" hidden="false" customHeight="false" outlineLevel="0" collapsed="false">
      <c r="A116" s="1237" t="n">
        <f aca="false">'Curve Paste'!BQ116</f>
        <v>39995</v>
      </c>
      <c r="B116" s="1238" t="n">
        <f aca="false">IF(Assumptions!$L$30=4,VLOOKUP($A116,'Henwood Reference'!$E$9:$R$296,14),'Curve Paste'!BR116)</f>
        <v>2.70025921102766</v>
      </c>
      <c r="C116" s="1238" t="n">
        <f aca="false">IF(Assumptions!$L$30=4,VLOOKUP($A116,'Henwood Reference'!$E$9:$R$296,14),'Curve Paste'!BS116)</f>
        <v>2.70025921102766</v>
      </c>
      <c r="D116" s="1238" t="n">
        <f aca="false">IF(Assumptions!$L$30=4,VLOOKUP($A116,'Henwood Reference'!$E$9:$R$296,14),'Curve Paste'!BT116)</f>
        <v>2.70025921102766</v>
      </c>
      <c r="E116" s="1239" t="n">
        <v>0.1515</v>
      </c>
      <c r="F116" s="1239" t="n">
        <v>0.159</v>
      </c>
      <c r="G116" s="1239" t="n">
        <v>0.1665</v>
      </c>
      <c r="H116" s="1239" t="n">
        <f aca="false">I116-$H$4</f>
        <v>-0.07</v>
      </c>
      <c r="I116" s="1239"/>
      <c r="J116" s="1239" t="n">
        <f aca="false">I116+$J$4</f>
        <v>0.07</v>
      </c>
      <c r="K116" s="1243" t="n">
        <f aca="false">K104</f>
        <v>0</v>
      </c>
      <c r="L116" s="1241" t="n">
        <f aca="false">IF(Assumptions!$L$30=4,0,O116+P116)</f>
        <v>0</v>
      </c>
      <c r="M116" s="1242" t="n">
        <f aca="false">(IF(GasPriceCurve,IF(OBuySell=OCallPut,D116,B116),C116)+K116/1000+L116)/(1-GasTransportPercent)</f>
        <v>2.73305588160694</v>
      </c>
      <c r="N116" s="1239" t="n">
        <f aca="false">IF(Assumptions!$L$30=4,F116,CHOOSE(Assumptions!$L$30,E116,F116,G116))</f>
        <v>0.159</v>
      </c>
      <c r="O116" s="0" t="n">
        <v>0.28</v>
      </c>
      <c r="P116" s="647" t="n">
        <f aca="false">Assumptions!$L$32*(1+Assumptions!$C$26)^(YEAR(A116)-2000)</f>
        <v>0.0979975906270295</v>
      </c>
    </row>
    <row r="117" customFormat="false" ht="12.75" hidden="false" customHeight="false" outlineLevel="0" collapsed="false">
      <c r="A117" s="1237" t="n">
        <f aca="false">'Curve Paste'!BQ117</f>
        <v>40026</v>
      </c>
      <c r="B117" s="1238" t="n">
        <f aca="false">IF(Assumptions!$L$30=4,VLOOKUP($A117,'Henwood Reference'!$E$9:$R$296,14),'Curve Paste'!BR117)</f>
        <v>2.79745070932222</v>
      </c>
      <c r="C117" s="1238" t="n">
        <f aca="false">IF(Assumptions!$L$30=4,VLOOKUP($A117,'Henwood Reference'!$E$9:$R$296,14),'Curve Paste'!BS117)</f>
        <v>2.79745070932222</v>
      </c>
      <c r="D117" s="1238" t="n">
        <f aca="false">IF(Assumptions!$L$30=4,VLOOKUP($A117,'Henwood Reference'!$E$9:$R$296,14),'Curve Paste'!BT117)</f>
        <v>2.79745070932222</v>
      </c>
      <c r="E117" s="1239" t="n">
        <v>0.1515</v>
      </c>
      <c r="F117" s="1239" t="n">
        <v>0.159</v>
      </c>
      <c r="G117" s="1239" t="n">
        <v>0.1665</v>
      </c>
      <c r="H117" s="1239" t="n">
        <f aca="false">I117-$H$4</f>
        <v>-0.07</v>
      </c>
      <c r="I117" s="1239"/>
      <c r="J117" s="1239" t="n">
        <f aca="false">I117+$J$4</f>
        <v>0.07</v>
      </c>
      <c r="K117" s="1243" t="n">
        <f aca="false">K105</f>
        <v>0</v>
      </c>
      <c r="L117" s="1241" t="n">
        <f aca="false">IF(Assumptions!$L$30=4,0,O117+P117)</f>
        <v>0</v>
      </c>
      <c r="M117" s="1242" t="n">
        <f aca="false">(IF(GasPriceCurve,IF(OBuySell=OCallPut,D117,B117),C117)+K117/1000+L117)/(1-GasTransportPercent)</f>
        <v>2.83142784344354</v>
      </c>
      <c r="N117" s="1239" t="n">
        <f aca="false">IF(Assumptions!$L$30=4,F117,CHOOSE(Assumptions!$L$30,E117,F117,G117))</f>
        <v>0.159</v>
      </c>
      <c r="O117" s="0" t="n">
        <v>0.28</v>
      </c>
      <c r="P117" s="647" t="n">
        <f aca="false">Assumptions!$L$32*(1+Assumptions!$C$26)^(YEAR(A117)-2000)</f>
        <v>0.0979975906270295</v>
      </c>
    </row>
    <row r="118" customFormat="false" ht="12.75" hidden="false" customHeight="false" outlineLevel="0" collapsed="false">
      <c r="A118" s="1237" t="n">
        <f aca="false">'Curve Paste'!BQ118</f>
        <v>40057</v>
      </c>
      <c r="B118" s="1238" t="n">
        <f aca="false">IF(Assumptions!$L$30=4,VLOOKUP($A118,'Henwood Reference'!$E$9:$R$296,14),'Curve Paste'!BR118)</f>
        <v>2.91366439688543</v>
      </c>
      <c r="C118" s="1238" t="n">
        <f aca="false">IF(Assumptions!$L$30=4,VLOOKUP($A118,'Henwood Reference'!$E$9:$R$296,14),'Curve Paste'!BS118)</f>
        <v>2.91366439688543</v>
      </c>
      <c r="D118" s="1238" t="n">
        <f aca="false">IF(Assumptions!$L$30=4,VLOOKUP($A118,'Henwood Reference'!$E$9:$R$296,14),'Curve Paste'!BT118)</f>
        <v>2.91366439688543</v>
      </c>
      <c r="E118" s="1239" t="n">
        <v>0.1515</v>
      </c>
      <c r="F118" s="1239" t="n">
        <v>0.159</v>
      </c>
      <c r="G118" s="1239" t="n">
        <v>0.1665</v>
      </c>
      <c r="H118" s="1239" t="n">
        <f aca="false">I118-$H$4</f>
        <v>-0.07</v>
      </c>
      <c r="I118" s="1239"/>
      <c r="J118" s="1239" t="n">
        <f aca="false">I118+$J$4</f>
        <v>0.07</v>
      </c>
      <c r="K118" s="1243" t="n">
        <f aca="false">K106</f>
        <v>0</v>
      </c>
      <c r="L118" s="1241" t="n">
        <f aca="false">IF(Assumptions!$L$30=4,0,O118+P118)</f>
        <v>0</v>
      </c>
      <c r="M118" s="1242" t="n">
        <f aca="false">(IF(GasPriceCurve,IF(OBuySell=OCallPut,D118,B118),C118)+K118/1000+L118)/(1-GasTransportPercent)</f>
        <v>2.94905303328485</v>
      </c>
      <c r="N118" s="1239" t="n">
        <f aca="false">IF(Assumptions!$L$30=4,F118,CHOOSE(Assumptions!$L$30,E118,F118,G118))</f>
        <v>0.159</v>
      </c>
      <c r="O118" s="0" t="n">
        <v>0.28</v>
      </c>
      <c r="P118" s="647" t="n">
        <f aca="false">Assumptions!$L$32*(1+Assumptions!$C$26)^(YEAR(A118)-2000)</f>
        <v>0.0979975906270295</v>
      </c>
    </row>
    <row r="119" customFormat="false" ht="12.75" hidden="false" customHeight="false" outlineLevel="0" collapsed="false">
      <c r="A119" s="1237" t="n">
        <f aca="false">'Curve Paste'!BQ119</f>
        <v>40087</v>
      </c>
      <c r="B119" s="1238" t="n">
        <f aca="false">IF(Assumptions!$L$30=4,VLOOKUP($A119,'Henwood Reference'!$E$9:$R$296,14),'Curve Paste'!BR119)</f>
        <v>3.03820029225369</v>
      </c>
      <c r="C119" s="1238" t="n">
        <f aca="false">IF(Assumptions!$L$30=4,VLOOKUP($A119,'Henwood Reference'!$E$9:$R$296,14),'Curve Paste'!BS119)</f>
        <v>3.03820029225369</v>
      </c>
      <c r="D119" s="1238" t="n">
        <f aca="false">IF(Assumptions!$L$30=4,VLOOKUP($A119,'Henwood Reference'!$E$9:$R$296,14),'Curve Paste'!BT119)</f>
        <v>3.03820029225369</v>
      </c>
      <c r="E119" s="1239" t="n">
        <v>0.1515</v>
      </c>
      <c r="F119" s="1239" t="n">
        <v>0.159</v>
      </c>
      <c r="G119" s="1239" t="n">
        <v>0.1665</v>
      </c>
      <c r="H119" s="1239" t="n">
        <f aca="false">I119-$H$4</f>
        <v>-0.07</v>
      </c>
      <c r="I119" s="1239"/>
      <c r="J119" s="1239" t="n">
        <f aca="false">I119+$J$4</f>
        <v>0.07</v>
      </c>
      <c r="K119" s="1243" t="n">
        <f aca="false">K107</f>
        <v>0</v>
      </c>
      <c r="L119" s="1241" t="n">
        <f aca="false">IF(Assumptions!$L$30=4,0,O119+P119)</f>
        <v>0</v>
      </c>
      <c r="M119" s="1242" t="n">
        <f aca="false">(IF(GasPriceCurve,IF(OBuySell=OCallPut,D119,B119),C119)+K119/1000+L119)/(1-GasTransportPercent)</f>
        <v>3.07510151037822</v>
      </c>
      <c r="N119" s="1239" t="n">
        <f aca="false">IF(Assumptions!$L$30=4,F119,CHOOSE(Assumptions!$L$30,E119,F119,G119))</f>
        <v>0.159</v>
      </c>
      <c r="O119" s="0" t="n">
        <v>0.2</v>
      </c>
      <c r="P119" s="647" t="n">
        <f aca="false">Assumptions!$L$32*(1+Assumptions!$C$26)^(YEAR(A119)-2000)</f>
        <v>0.0979975906270295</v>
      </c>
    </row>
    <row r="120" customFormat="false" ht="12.75" hidden="false" customHeight="false" outlineLevel="0" collapsed="false">
      <c r="A120" s="1237" t="n">
        <f aca="false">'Curve Paste'!BQ120</f>
        <v>40118</v>
      </c>
      <c r="B120" s="1238" t="n">
        <f aca="false">IF(Assumptions!$L$30=4,VLOOKUP($A120,'Henwood Reference'!$E$9:$R$296,14),'Curve Paste'!BR120)</f>
        <v>3.16035841396336</v>
      </c>
      <c r="C120" s="1238" t="n">
        <f aca="false">IF(Assumptions!$L$30=4,VLOOKUP($A120,'Henwood Reference'!$E$9:$R$296,14),'Curve Paste'!BS120)</f>
        <v>3.16035841396336</v>
      </c>
      <c r="D120" s="1238" t="n">
        <f aca="false">IF(Assumptions!$L$30=4,VLOOKUP($A120,'Henwood Reference'!$E$9:$R$296,14),'Curve Paste'!BT120)</f>
        <v>3.16035841396336</v>
      </c>
      <c r="E120" s="1239" t="n">
        <v>0.1515</v>
      </c>
      <c r="F120" s="1239" t="n">
        <v>0.159</v>
      </c>
      <c r="G120" s="1239" t="n">
        <v>0.1665</v>
      </c>
      <c r="H120" s="1239" t="n">
        <f aca="false">I120-$H$4</f>
        <v>-0.07</v>
      </c>
      <c r="I120" s="1239"/>
      <c r="J120" s="1239" t="n">
        <f aca="false">I120+$J$4</f>
        <v>0.07</v>
      </c>
      <c r="K120" s="1243" t="n">
        <f aca="false">K108</f>
        <v>0</v>
      </c>
      <c r="L120" s="1241" t="n">
        <f aca="false">IF(Assumptions!$L$30=4,0,O120+P120)</f>
        <v>0</v>
      </c>
      <c r="M120" s="1242" t="n">
        <f aca="false">(IF(GasPriceCurve,IF(OBuySell=OCallPut,D120,B120),C120)+K120/1000+L120)/(1-GasTransportPercent)</f>
        <v>3.19874333397101</v>
      </c>
      <c r="N120" s="1239" t="n">
        <f aca="false">IF(Assumptions!$L$30=4,F120,CHOOSE(Assumptions!$L$30,E120,F120,G120))</f>
        <v>0.159</v>
      </c>
      <c r="O120" s="0" t="n">
        <v>0.165</v>
      </c>
      <c r="P120" s="647" t="n">
        <f aca="false">Assumptions!$L$32*(1+Assumptions!$C$26)^(YEAR(A120)-2000)</f>
        <v>0.0979975906270295</v>
      </c>
    </row>
    <row r="121" customFormat="false" ht="12.75" hidden="false" customHeight="false" outlineLevel="0" collapsed="false">
      <c r="A121" s="1237" t="n">
        <f aca="false">'Curve Paste'!BQ121</f>
        <v>40148</v>
      </c>
      <c r="B121" s="1238" t="n">
        <f aca="false">IF(Assumptions!$L$30=4,VLOOKUP($A121,'Henwood Reference'!$E$9:$R$296,14),'Curve Paste'!BR121)</f>
        <v>3.28942997065827</v>
      </c>
      <c r="C121" s="1238" t="n">
        <f aca="false">IF(Assumptions!$L$30=4,VLOOKUP($A121,'Henwood Reference'!$E$9:$R$296,14),'Curve Paste'!BS121)</f>
        <v>3.28942997065827</v>
      </c>
      <c r="D121" s="1238" t="n">
        <f aca="false">IF(Assumptions!$L$30=4,VLOOKUP($A121,'Henwood Reference'!$E$9:$R$296,14),'Curve Paste'!BT121)</f>
        <v>3.28942997065827</v>
      </c>
      <c r="E121" s="1239" t="n">
        <v>0.1515</v>
      </c>
      <c r="F121" s="1239" t="n">
        <v>0.159</v>
      </c>
      <c r="G121" s="1239" t="n">
        <v>0.1665</v>
      </c>
      <c r="H121" s="1239" t="n">
        <f aca="false">I121-$H$4</f>
        <v>-0.07</v>
      </c>
      <c r="I121" s="1239"/>
      <c r="J121" s="1239" t="n">
        <f aca="false">I121+$J$4</f>
        <v>0.07</v>
      </c>
      <c r="K121" s="1243" t="n">
        <f aca="false">K109</f>
        <v>0</v>
      </c>
      <c r="L121" s="1241" t="n">
        <f aca="false">IF(Assumptions!$L$30=4,0,O121+P121)</f>
        <v>0</v>
      </c>
      <c r="M121" s="1242" t="n">
        <f aca="false">(IF(GasPriceCurve,IF(OBuySell=OCallPut,D121,B121),C121)+K121/1000+L121)/(1-GasTransportPercent)</f>
        <v>3.32938256139501</v>
      </c>
      <c r="N121" s="1239" t="n">
        <f aca="false">IF(Assumptions!$L$30=4,F121,CHOOSE(Assumptions!$L$30,E121,F121,G121))</f>
        <v>0.159</v>
      </c>
      <c r="O121" s="0" t="n">
        <v>0.165</v>
      </c>
      <c r="P121" s="647" t="n">
        <f aca="false">Assumptions!$L$32*(1+Assumptions!$C$26)^(YEAR(A121)-2000)</f>
        <v>0.0979975906270295</v>
      </c>
    </row>
    <row r="122" customFormat="false" ht="12.75" hidden="false" customHeight="false" outlineLevel="0" collapsed="false">
      <c r="A122" s="1237" t="n">
        <f aca="false">'Curve Paste'!BQ122</f>
        <v>40179</v>
      </c>
      <c r="B122" s="1238" t="n">
        <f aca="false">IF(Assumptions!$L$30=4,VLOOKUP($A122,'Henwood Reference'!$E$9:$R$296,14),'Curve Paste'!BR122)</f>
        <v>3.19762710305968</v>
      </c>
      <c r="C122" s="1238" t="n">
        <f aca="false">IF(Assumptions!$L$30=4,VLOOKUP($A122,'Henwood Reference'!$E$9:$R$296,14),'Curve Paste'!BS122)</f>
        <v>3.19762710305968</v>
      </c>
      <c r="D122" s="1238" t="n">
        <f aca="false">IF(Assumptions!$L$30=4,VLOOKUP($A122,'Henwood Reference'!$E$9:$R$296,14),'Curve Paste'!BT122)</f>
        <v>3.19762710305968</v>
      </c>
      <c r="E122" s="1239" t="n">
        <v>0.1515</v>
      </c>
      <c r="F122" s="1239" t="n">
        <v>0.159</v>
      </c>
      <c r="G122" s="1239" t="n">
        <v>0.1665</v>
      </c>
      <c r="H122" s="1239" t="n">
        <f aca="false">I122-$H$4</f>
        <v>-0.07</v>
      </c>
      <c r="I122" s="1239"/>
      <c r="J122" s="1239" t="n">
        <f aca="false">I122+$J$4</f>
        <v>0.07</v>
      </c>
      <c r="K122" s="1243" t="n">
        <f aca="false">K110</f>
        <v>0</v>
      </c>
      <c r="L122" s="1241" t="n">
        <f aca="false">IF(Assumptions!$L$30=4,0,O122+P122)</f>
        <v>0</v>
      </c>
      <c r="M122" s="1242" t="n">
        <f aca="false">(IF(GasPriceCurve,IF(OBuySell=OCallPut,D122,B122),C122)+K122/1000+L122)/(1-GasTransportPercent)</f>
        <v>3.2364646792102</v>
      </c>
      <c r="N122" s="1239" t="n">
        <f aca="false">IF(Assumptions!$L$30=4,F122,CHOOSE(Assumptions!$L$30,E122,F122,G122))</f>
        <v>0.159</v>
      </c>
      <c r="O122" s="0" t="n">
        <v>0.1425</v>
      </c>
      <c r="P122" s="647" t="n">
        <f aca="false">Assumptions!$L$32*(1+Assumptions!$C$26)^(YEAR(A122)-2000)</f>
        <v>0.0999575424395701</v>
      </c>
    </row>
    <row r="123" customFormat="false" ht="12.75" hidden="false" customHeight="false" outlineLevel="0" collapsed="false">
      <c r="A123" s="1237" t="n">
        <f aca="false">'Curve Paste'!BQ123</f>
        <v>40210</v>
      </c>
      <c r="B123" s="1238" t="n">
        <f aca="false">IF(Assumptions!$L$30=4,VLOOKUP($A123,'Henwood Reference'!$E$9:$R$296,14),'Curve Paste'!BR123)</f>
        <v>2.94842386933725</v>
      </c>
      <c r="C123" s="1238" t="n">
        <f aca="false">IF(Assumptions!$L$30=4,VLOOKUP($A123,'Henwood Reference'!$E$9:$R$296,14),'Curve Paste'!BS123)</f>
        <v>2.94842386933725</v>
      </c>
      <c r="D123" s="1238" t="n">
        <f aca="false">IF(Assumptions!$L$30=4,VLOOKUP($A123,'Henwood Reference'!$E$9:$R$296,14),'Curve Paste'!BT123)</f>
        <v>2.94842386933725</v>
      </c>
      <c r="E123" s="1239" t="n">
        <v>0.1505</v>
      </c>
      <c r="F123" s="1239" t="n">
        <v>0.158</v>
      </c>
      <c r="G123" s="1239" t="n">
        <v>0.1655</v>
      </c>
      <c r="H123" s="1239" t="n">
        <f aca="false">I123-$H$4</f>
        <v>-0.07</v>
      </c>
      <c r="I123" s="1239"/>
      <c r="J123" s="1239" t="n">
        <f aca="false">I123+$J$4</f>
        <v>0.07</v>
      </c>
      <c r="K123" s="1243" t="n">
        <f aca="false">K111</f>
        <v>0</v>
      </c>
      <c r="L123" s="1241" t="n">
        <f aca="false">IF(Assumptions!$L$30=4,0,O123+P123)</f>
        <v>0</v>
      </c>
      <c r="M123" s="1242" t="n">
        <f aca="false">(IF(GasPriceCurve,IF(OBuySell=OCallPut,D123,B123),C123)+K123/1000+L123)/(1-GasTransportPercent)</f>
        <v>2.98423468556402</v>
      </c>
      <c r="N123" s="1239" t="n">
        <f aca="false">IF(Assumptions!$L$30=4,F123,CHOOSE(Assumptions!$L$30,E123,F123,G123))</f>
        <v>0.158</v>
      </c>
      <c r="O123" s="0" t="n">
        <v>0.1425</v>
      </c>
      <c r="P123" s="647" t="n">
        <f aca="false">Assumptions!$L$32*(1+Assumptions!$C$26)^(YEAR(A123)-2000)</f>
        <v>0.0999575424395701</v>
      </c>
    </row>
    <row r="124" customFormat="false" ht="12.75" hidden="false" customHeight="false" outlineLevel="0" collapsed="false">
      <c r="A124" s="1237" t="n">
        <f aca="false">'Curve Paste'!BQ124</f>
        <v>40238</v>
      </c>
      <c r="B124" s="1238" t="n">
        <f aca="false">IF(Assumptions!$L$30=4,VLOOKUP($A124,'Henwood Reference'!$E$9:$R$296,14),'Curve Paste'!BR124)</f>
        <v>2.78590991666333</v>
      </c>
      <c r="C124" s="1238" t="n">
        <f aca="false">IF(Assumptions!$L$30=4,VLOOKUP($A124,'Henwood Reference'!$E$9:$R$296,14),'Curve Paste'!BS124)</f>
        <v>2.78590991666333</v>
      </c>
      <c r="D124" s="1238" t="n">
        <f aca="false">IF(Assumptions!$L$30=4,VLOOKUP($A124,'Henwood Reference'!$E$9:$R$296,14),'Curve Paste'!BT124)</f>
        <v>2.78590991666333</v>
      </c>
      <c r="E124" s="1239" t="n">
        <v>0.1505</v>
      </c>
      <c r="F124" s="1239" t="n">
        <v>0.158</v>
      </c>
      <c r="G124" s="1239" t="n">
        <v>0.1655</v>
      </c>
      <c r="H124" s="1239" t="n">
        <f aca="false">I124-$H$4</f>
        <v>-0.07</v>
      </c>
      <c r="I124" s="1239"/>
      <c r="J124" s="1239" t="n">
        <f aca="false">I124+$J$4</f>
        <v>0.07</v>
      </c>
      <c r="K124" s="1243" t="n">
        <f aca="false">K112</f>
        <v>0</v>
      </c>
      <c r="L124" s="1241" t="n">
        <f aca="false">IF(Assumptions!$L$30=4,0,O124+P124)</f>
        <v>0</v>
      </c>
      <c r="M124" s="1242" t="n">
        <f aca="false">(IF(GasPriceCurve,IF(OBuySell=OCallPut,D124,B124),C124)+K124/1000+L124)/(1-GasTransportPercent)</f>
        <v>2.8197468792139</v>
      </c>
      <c r="N124" s="1239" t="n">
        <f aca="false">IF(Assumptions!$L$30=4,F124,CHOOSE(Assumptions!$L$30,E124,F124,G124))</f>
        <v>0.158</v>
      </c>
      <c r="O124" s="0" t="n">
        <v>0.16</v>
      </c>
      <c r="P124" s="647" t="n">
        <f aca="false">Assumptions!$L$32*(1+Assumptions!$C$26)^(YEAR(A124)-2000)</f>
        <v>0.0999575424395701</v>
      </c>
    </row>
    <row r="125" customFormat="false" ht="12.75" hidden="false" customHeight="false" outlineLevel="0" collapsed="false">
      <c r="A125" s="1237" t="n">
        <f aca="false">'Curve Paste'!BQ125</f>
        <v>40269</v>
      </c>
      <c r="B125" s="1238" t="n">
        <f aca="false">IF(Assumptions!$L$30=4,VLOOKUP($A125,'Henwood Reference'!$E$9:$R$296,14),'Curve Paste'!BR125)</f>
        <v>2.69779259523226</v>
      </c>
      <c r="C125" s="1238" t="n">
        <f aca="false">IF(Assumptions!$L$30=4,VLOOKUP($A125,'Henwood Reference'!$E$9:$R$296,14),'Curve Paste'!BS125)</f>
        <v>2.69779259523226</v>
      </c>
      <c r="D125" s="1238" t="n">
        <f aca="false">IF(Assumptions!$L$30=4,VLOOKUP($A125,'Henwood Reference'!$E$9:$R$296,14),'Curve Paste'!BT125)</f>
        <v>2.69779259523226</v>
      </c>
      <c r="E125" s="1239" t="n">
        <v>0.1505</v>
      </c>
      <c r="F125" s="1239" t="n">
        <v>0.158</v>
      </c>
      <c r="G125" s="1239" t="n">
        <v>0.1655</v>
      </c>
      <c r="H125" s="1239" t="n">
        <f aca="false">I125-$H$4</f>
        <v>-0.07</v>
      </c>
      <c r="I125" s="1239"/>
      <c r="J125" s="1239" t="n">
        <f aca="false">I125+$J$4</f>
        <v>0.07</v>
      </c>
      <c r="K125" s="1243" t="n">
        <f aca="false">K113</f>
        <v>0</v>
      </c>
      <c r="L125" s="1241" t="n">
        <f aca="false">IF(Assumptions!$L$30=4,0,O125+P125)</f>
        <v>0</v>
      </c>
      <c r="M125" s="1242" t="n">
        <f aca="false">(IF(GasPriceCurve,IF(OBuySell=OCallPut,D125,B125),C125)+K125/1000+L125)/(1-GasTransportPercent)</f>
        <v>2.73055930691524</v>
      </c>
      <c r="N125" s="1239" t="n">
        <f aca="false">IF(Assumptions!$L$30=4,F125,CHOOSE(Assumptions!$L$30,E125,F125,G125))</f>
        <v>0.158</v>
      </c>
      <c r="O125" s="0" t="n">
        <v>0.145</v>
      </c>
      <c r="P125" s="647" t="n">
        <f aca="false">Assumptions!$L$32*(1+Assumptions!$C$26)^(YEAR(A125)-2000)</f>
        <v>0.0999575424395701</v>
      </c>
    </row>
    <row r="126" customFormat="false" ht="12.75" hidden="false" customHeight="false" outlineLevel="0" collapsed="false">
      <c r="A126" s="1237" t="n">
        <f aca="false">'Curve Paste'!BQ126</f>
        <v>40299</v>
      </c>
      <c r="B126" s="1238" t="n">
        <f aca="false">IF(Assumptions!$L$30=4,VLOOKUP($A126,'Henwood Reference'!$E$9:$R$296,14),'Curve Paste'!BR126)</f>
        <v>2.67309535289345</v>
      </c>
      <c r="C126" s="1238" t="n">
        <f aca="false">IF(Assumptions!$L$30=4,VLOOKUP($A126,'Henwood Reference'!$E$9:$R$296,14),'Curve Paste'!BS126)</f>
        <v>2.67309535289345</v>
      </c>
      <c r="D126" s="1238" t="n">
        <f aca="false">IF(Assumptions!$L$30=4,VLOOKUP($A126,'Henwood Reference'!$E$9:$R$296,14),'Curve Paste'!BT126)</f>
        <v>2.67309535289345</v>
      </c>
      <c r="E126" s="1239" t="n">
        <v>0.1505</v>
      </c>
      <c r="F126" s="1239" t="n">
        <v>0.158</v>
      </c>
      <c r="G126" s="1239" t="n">
        <v>0.1655</v>
      </c>
      <c r="H126" s="1239" t="n">
        <f aca="false">I126-$H$4</f>
        <v>-0.07</v>
      </c>
      <c r="I126" s="1239"/>
      <c r="J126" s="1239" t="n">
        <f aca="false">I126+$J$4</f>
        <v>0.07</v>
      </c>
      <c r="K126" s="1243" t="n">
        <f aca="false">K114</f>
        <v>0</v>
      </c>
      <c r="L126" s="1241" t="n">
        <f aca="false">IF(Assumptions!$L$30=4,0,O126+P126)</f>
        <v>0</v>
      </c>
      <c r="M126" s="1242" t="n">
        <f aca="false">(IF(GasPriceCurve,IF(OBuySell=OCallPut,D126,B126),C126)+K126/1000+L126)/(1-GasTransportPercent)</f>
        <v>2.70556209807029</v>
      </c>
      <c r="N126" s="1239" t="n">
        <f aca="false">IF(Assumptions!$L$30=4,F126,CHOOSE(Assumptions!$L$30,E126,F126,G126))</f>
        <v>0.158</v>
      </c>
      <c r="O126" s="0" t="n">
        <v>0.16</v>
      </c>
      <c r="P126" s="647" t="n">
        <f aca="false">Assumptions!$L$32*(1+Assumptions!$C$26)^(YEAR(A126)-2000)</f>
        <v>0.0999575424395701</v>
      </c>
    </row>
    <row r="127" customFormat="false" ht="12.75" hidden="false" customHeight="false" outlineLevel="0" collapsed="false">
      <c r="A127" s="1237" t="n">
        <f aca="false">'Curve Paste'!BQ127</f>
        <v>40330</v>
      </c>
      <c r="B127" s="1238" t="n">
        <f aca="false">IF(Assumptions!$L$30=4,VLOOKUP($A127,'Henwood Reference'!$E$9:$R$296,14),'Curve Paste'!BR127)</f>
        <v>2.70084163749631</v>
      </c>
      <c r="C127" s="1238" t="n">
        <f aca="false">IF(Assumptions!$L$30=4,VLOOKUP($A127,'Henwood Reference'!$E$9:$R$296,14),'Curve Paste'!BS127)</f>
        <v>2.70084163749631</v>
      </c>
      <c r="D127" s="1238" t="n">
        <f aca="false">IF(Assumptions!$L$30=4,VLOOKUP($A127,'Henwood Reference'!$E$9:$R$296,14),'Curve Paste'!BT127)</f>
        <v>2.70084163749631</v>
      </c>
      <c r="E127" s="1239" t="n">
        <v>0.1505</v>
      </c>
      <c r="F127" s="1239" t="n">
        <v>0.158</v>
      </c>
      <c r="G127" s="1239" t="n">
        <v>0.1655</v>
      </c>
      <c r="H127" s="1239" t="n">
        <f aca="false">I127-$H$4</f>
        <v>-0.07</v>
      </c>
      <c r="I127" s="1239"/>
      <c r="J127" s="1239" t="n">
        <f aca="false">I127+$J$4</f>
        <v>0.07</v>
      </c>
      <c r="K127" s="1243" t="n">
        <f aca="false">K115</f>
        <v>0</v>
      </c>
      <c r="L127" s="1241" t="n">
        <f aca="false">IF(Assumptions!$L$30=4,0,O127+P127)</f>
        <v>0</v>
      </c>
      <c r="M127" s="1242" t="n">
        <f aca="false">(IF(GasPriceCurve,IF(OBuySell=OCallPut,D127,B127),C127)+K127/1000+L127)/(1-GasTransportPercent)</f>
        <v>2.73364538208129</v>
      </c>
      <c r="N127" s="1239" t="n">
        <f aca="false">IF(Assumptions!$L$30=4,F127,CHOOSE(Assumptions!$L$30,E127,F127,G127))</f>
        <v>0.158</v>
      </c>
      <c r="O127" s="0" t="n">
        <v>0.19</v>
      </c>
      <c r="P127" s="647" t="n">
        <f aca="false">Assumptions!$L$32*(1+Assumptions!$C$26)^(YEAR(A127)-2000)</f>
        <v>0.0999575424395701</v>
      </c>
    </row>
    <row r="128" customFormat="false" ht="12.75" hidden="false" customHeight="false" outlineLevel="0" collapsed="false">
      <c r="A128" s="1237" t="n">
        <f aca="false">'Curve Paste'!BQ128</f>
        <v>40360</v>
      </c>
      <c r="B128" s="1238" t="n">
        <f aca="false">IF(Assumptions!$L$30=4,VLOOKUP($A128,'Henwood Reference'!$E$9:$R$296,14),'Curve Paste'!BR128)</f>
        <v>2.77005489689027</v>
      </c>
      <c r="C128" s="1238" t="n">
        <f aca="false">IF(Assumptions!$L$30=4,VLOOKUP($A128,'Henwood Reference'!$E$9:$R$296,14),'Curve Paste'!BS128)</f>
        <v>2.77005489689027</v>
      </c>
      <c r="D128" s="1238" t="n">
        <f aca="false">IF(Assumptions!$L$30=4,VLOOKUP($A128,'Henwood Reference'!$E$9:$R$296,14),'Curve Paste'!BT128)</f>
        <v>2.77005489689027</v>
      </c>
      <c r="E128" s="1239" t="n">
        <v>0.1505</v>
      </c>
      <c r="F128" s="1239" t="n">
        <v>0.158</v>
      </c>
      <c r="G128" s="1239" t="n">
        <v>0.1655</v>
      </c>
      <c r="H128" s="1239" t="n">
        <f aca="false">I128-$H$4</f>
        <v>-0.07</v>
      </c>
      <c r="I128" s="1239"/>
      <c r="J128" s="1239" t="n">
        <f aca="false">I128+$J$4</f>
        <v>0.07</v>
      </c>
      <c r="K128" s="1243" t="n">
        <f aca="false">K116</f>
        <v>0</v>
      </c>
      <c r="L128" s="1241" t="n">
        <f aca="false">IF(Assumptions!$L$30=4,0,O128+P128)</f>
        <v>0</v>
      </c>
      <c r="M128" s="1242" t="n">
        <f aca="false">(IF(GasPriceCurve,IF(OBuySell=OCallPut,D128,B128),C128)+K128/1000+L128)/(1-GasTransportPercent)</f>
        <v>2.80369928835048</v>
      </c>
      <c r="N128" s="1239" t="n">
        <f aca="false">IF(Assumptions!$L$30=4,F128,CHOOSE(Assumptions!$L$30,E128,F128,G128))</f>
        <v>0.158</v>
      </c>
      <c r="O128" s="0" t="n">
        <v>0.29</v>
      </c>
      <c r="P128" s="647" t="n">
        <f aca="false">Assumptions!$L$32*(1+Assumptions!$C$26)^(YEAR(A128)-2000)</f>
        <v>0.0999575424395701</v>
      </c>
    </row>
    <row r="129" customFormat="false" ht="12.75" hidden="false" customHeight="false" outlineLevel="0" collapsed="false">
      <c r="A129" s="1237" t="n">
        <f aca="false">'Curve Paste'!BQ129</f>
        <v>40391</v>
      </c>
      <c r="B129" s="1238" t="n">
        <f aca="false">IF(Assumptions!$L$30=4,VLOOKUP($A129,'Henwood Reference'!$E$9:$R$296,14),'Curve Paste'!BR129)</f>
        <v>2.86975857892474</v>
      </c>
      <c r="C129" s="1238" t="n">
        <f aca="false">IF(Assumptions!$L$30=4,VLOOKUP($A129,'Henwood Reference'!$E$9:$R$296,14),'Curve Paste'!BS129)</f>
        <v>2.86975857892474</v>
      </c>
      <c r="D129" s="1238" t="n">
        <f aca="false">IF(Assumptions!$L$30=4,VLOOKUP($A129,'Henwood Reference'!$E$9:$R$296,14),'Curve Paste'!BT129)</f>
        <v>2.86975857892474</v>
      </c>
      <c r="E129" s="1239" t="n">
        <v>0.1505</v>
      </c>
      <c r="F129" s="1239" t="n">
        <v>0.158</v>
      </c>
      <c r="G129" s="1239" t="n">
        <v>0.1655</v>
      </c>
      <c r="H129" s="1239" t="n">
        <f aca="false">I129-$H$4</f>
        <v>-0.07</v>
      </c>
      <c r="I129" s="1239"/>
      <c r="J129" s="1239" t="n">
        <f aca="false">I129+$J$4</f>
        <v>0.07</v>
      </c>
      <c r="K129" s="1243" t="n">
        <f aca="false">K117</f>
        <v>0</v>
      </c>
      <c r="L129" s="1241" t="n">
        <f aca="false">IF(Assumptions!$L$30=4,0,O129+P129)</f>
        <v>0</v>
      </c>
      <c r="M129" s="1242" t="n">
        <f aca="false">(IF(GasPriceCurve,IF(OBuySell=OCallPut,D129,B129),C129)+K129/1000+L129)/(1-GasTransportPercent)</f>
        <v>2.9046139462801</v>
      </c>
      <c r="N129" s="1239" t="n">
        <f aca="false">IF(Assumptions!$L$30=4,F129,CHOOSE(Assumptions!$L$30,E129,F129,G129))</f>
        <v>0.158</v>
      </c>
      <c r="O129" s="0" t="n">
        <v>0.29</v>
      </c>
      <c r="P129" s="647" t="n">
        <f aca="false">Assumptions!$L$32*(1+Assumptions!$C$26)^(YEAR(A129)-2000)</f>
        <v>0.0999575424395701</v>
      </c>
    </row>
    <row r="130" customFormat="false" ht="12.75" hidden="false" customHeight="false" outlineLevel="0" collapsed="false">
      <c r="A130" s="1237" t="n">
        <f aca="false">'Curve Paste'!BQ130</f>
        <v>40422</v>
      </c>
      <c r="B130" s="1238" t="n">
        <f aca="false">IF(Assumptions!$L$30=4,VLOOKUP($A130,'Henwood Reference'!$E$9:$R$296,14),'Curve Paste'!BR130)</f>
        <v>2.98897613144913</v>
      </c>
      <c r="C130" s="1238" t="n">
        <f aca="false">IF(Assumptions!$L$30=4,VLOOKUP($A130,'Henwood Reference'!$E$9:$R$296,14),'Curve Paste'!BS130)</f>
        <v>2.98897613144913</v>
      </c>
      <c r="D130" s="1238" t="n">
        <f aca="false">IF(Assumptions!$L$30=4,VLOOKUP($A130,'Henwood Reference'!$E$9:$R$296,14),'Curve Paste'!BT130)</f>
        <v>2.98897613144913</v>
      </c>
      <c r="E130" s="1239" t="n">
        <v>0.1505</v>
      </c>
      <c r="F130" s="1239" t="n">
        <v>0.158</v>
      </c>
      <c r="G130" s="1239" t="n">
        <v>0.1655</v>
      </c>
      <c r="H130" s="1239" t="n">
        <f aca="false">I130-$H$4</f>
        <v>-0.07</v>
      </c>
      <c r="I130" s="1239"/>
      <c r="J130" s="1239" t="n">
        <f aca="false">I130+$J$4</f>
        <v>0.07</v>
      </c>
      <c r="K130" s="1243" t="n">
        <f aca="false">K118</f>
        <v>0</v>
      </c>
      <c r="L130" s="1241" t="n">
        <f aca="false">IF(Assumptions!$L$30=4,0,O130+P130)</f>
        <v>0</v>
      </c>
      <c r="M130" s="1242" t="n">
        <f aca="false">(IF(GasPriceCurve,IF(OBuySell=OCallPut,D130,B130),C130)+K130/1000+L130)/(1-GasTransportPercent)</f>
        <v>3.0252794852724</v>
      </c>
      <c r="N130" s="1239" t="n">
        <f aca="false">IF(Assumptions!$L$30=4,F130,CHOOSE(Assumptions!$L$30,E130,F130,G130))</f>
        <v>0.158</v>
      </c>
      <c r="O130" s="0" t="n">
        <v>0.29</v>
      </c>
      <c r="P130" s="647" t="n">
        <f aca="false">Assumptions!$L$32*(1+Assumptions!$C$26)^(YEAR(A130)-2000)</f>
        <v>0.0999575424395701</v>
      </c>
    </row>
    <row r="131" customFormat="false" ht="12.75" hidden="false" customHeight="false" outlineLevel="0" collapsed="false">
      <c r="A131" s="1237" t="n">
        <f aca="false">'Curve Paste'!BQ131</f>
        <v>40452</v>
      </c>
      <c r="B131" s="1238" t="n">
        <f aca="false">IF(Assumptions!$L$30=4,VLOOKUP($A131,'Henwood Reference'!$E$9:$R$296,14),'Curve Paste'!BR131)</f>
        <v>3.11673100231286</v>
      </c>
      <c r="C131" s="1238" t="n">
        <f aca="false">IF(Assumptions!$L$30=4,VLOOKUP($A131,'Henwood Reference'!$E$9:$R$296,14),'Curve Paste'!BS131)</f>
        <v>3.11673100231286</v>
      </c>
      <c r="D131" s="1238" t="n">
        <f aca="false">IF(Assumptions!$L$30=4,VLOOKUP($A131,'Henwood Reference'!$E$9:$R$296,14),'Curve Paste'!BT131)</f>
        <v>3.11673100231286</v>
      </c>
      <c r="E131" s="1239" t="n">
        <v>0.1505</v>
      </c>
      <c r="F131" s="1239" t="n">
        <v>0.158</v>
      </c>
      <c r="G131" s="1239" t="n">
        <v>0.1655</v>
      </c>
      <c r="H131" s="1239" t="n">
        <f aca="false">I131-$H$4</f>
        <v>-0.07</v>
      </c>
      <c r="I131" s="1239"/>
      <c r="J131" s="1239" t="n">
        <f aca="false">I131+$J$4</f>
        <v>0.07</v>
      </c>
      <c r="K131" s="1243" t="n">
        <f aca="false">K119</f>
        <v>0</v>
      </c>
      <c r="L131" s="1241" t="n">
        <f aca="false">IF(Assumptions!$L$30=4,0,O131+P131)</f>
        <v>0</v>
      </c>
      <c r="M131" s="1242" t="n">
        <f aca="false">(IF(GasPriceCurve,IF(OBuySell=OCallPut,D131,B131),C131)+K131/1000+L131)/(1-GasTransportPercent)</f>
        <v>3.15458603472962</v>
      </c>
      <c r="N131" s="1239" t="n">
        <f aca="false">IF(Assumptions!$L$30=4,F131,CHOOSE(Assumptions!$L$30,E131,F131,G131))</f>
        <v>0.158</v>
      </c>
      <c r="O131" s="0" t="n">
        <v>0.21</v>
      </c>
      <c r="P131" s="647" t="n">
        <f aca="false">Assumptions!$L$32*(1+Assumptions!$C$26)^(YEAR(A131)-2000)</f>
        <v>0.0999575424395701</v>
      </c>
    </row>
    <row r="132" customFormat="false" ht="12.75" hidden="false" customHeight="false" outlineLevel="0" collapsed="false">
      <c r="A132" s="1237" t="n">
        <f aca="false">'Curve Paste'!BQ132</f>
        <v>40483</v>
      </c>
      <c r="B132" s="1238" t="n">
        <f aca="false">IF(Assumptions!$L$30=4,VLOOKUP($A132,'Henwood Reference'!$E$9:$R$296,14),'Curve Paste'!BR132)</f>
        <v>3.24204663936535</v>
      </c>
      <c r="C132" s="1238" t="n">
        <f aca="false">IF(Assumptions!$L$30=4,VLOOKUP($A132,'Henwood Reference'!$E$9:$R$296,14),'Curve Paste'!BS132)</f>
        <v>3.24204663936535</v>
      </c>
      <c r="D132" s="1238" t="n">
        <f aca="false">IF(Assumptions!$L$30=4,VLOOKUP($A132,'Henwood Reference'!$E$9:$R$296,14),'Curve Paste'!BT132)</f>
        <v>3.24204663936535</v>
      </c>
      <c r="E132" s="1239" t="n">
        <v>0.1505</v>
      </c>
      <c r="F132" s="1239" t="n">
        <v>0.158</v>
      </c>
      <c r="G132" s="1239" t="n">
        <v>0.1655</v>
      </c>
      <c r="H132" s="1239" t="n">
        <f aca="false">I132-$H$4</f>
        <v>-0.07</v>
      </c>
      <c r="I132" s="1239"/>
      <c r="J132" s="1239" t="n">
        <f aca="false">I132+$J$4</f>
        <v>0.07</v>
      </c>
      <c r="K132" s="1243" t="n">
        <f aca="false">K120</f>
        <v>0</v>
      </c>
      <c r="L132" s="1241" t="n">
        <f aca="false">IF(Assumptions!$L$30=4,0,O132+P132)</f>
        <v>0</v>
      </c>
      <c r="M132" s="1242" t="n">
        <f aca="false">(IF(GasPriceCurve,IF(OBuySell=OCallPut,D132,B132),C132)+K132/1000+L132)/(1-GasTransportPercent)</f>
        <v>3.281423724054</v>
      </c>
      <c r="N132" s="1239" t="n">
        <f aca="false">IF(Assumptions!$L$30=4,F132,CHOOSE(Assumptions!$L$30,E132,F132,G132))</f>
        <v>0.158</v>
      </c>
      <c r="O132" s="0" t="n">
        <v>0.175</v>
      </c>
      <c r="P132" s="647" t="n">
        <f aca="false">Assumptions!$L$32*(1+Assumptions!$C$26)^(YEAR(A132)-2000)</f>
        <v>0.0999575424395701</v>
      </c>
    </row>
    <row r="133" customFormat="false" ht="12.75" hidden="false" customHeight="false" outlineLevel="0" collapsed="false">
      <c r="A133" s="1237" t="n">
        <f aca="false">'Curve Paste'!BQ133</f>
        <v>40513</v>
      </c>
      <c r="B133" s="1238" t="n">
        <f aca="false">IF(Assumptions!$L$30=4,VLOOKUP($A133,'Henwood Reference'!$E$9:$R$296,14),'Curve Paste'!BR133)</f>
        <v>3.374454408298</v>
      </c>
      <c r="C133" s="1238" t="n">
        <f aca="false">IF(Assumptions!$L$30=4,VLOOKUP($A133,'Henwood Reference'!$E$9:$R$296,14),'Curve Paste'!BS133)</f>
        <v>3.374454408298</v>
      </c>
      <c r="D133" s="1238" t="n">
        <f aca="false">IF(Assumptions!$L$30=4,VLOOKUP($A133,'Henwood Reference'!$E$9:$R$296,14),'Curve Paste'!BT133)</f>
        <v>3.374454408298</v>
      </c>
      <c r="E133" s="1239" t="n">
        <v>0.1505</v>
      </c>
      <c r="F133" s="1239" t="n">
        <v>0.158</v>
      </c>
      <c r="G133" s="1239" t="n">
        <v>0.1655</v>
      </c>
      <c r="H133" s="1239" t="n">
        <f aca="false">I133-$H$4</f>
        <v>-0.07</v>
      </c>
      <c r="I133" s="1239"/>
      <c r="J133" s="1239" t="n">
        <f aca="false">I133+$J$4</f>
        <v>0.07</v>
      </c>
      <c r="K133" s="1243" t="n">
        <f aca="false">K121</f>
        <v>0</v>
      </c>
      <c r="L133" s="1241" t="n">
        <f aca="false">IF(Assumptions!$L$30=4,0,O133+P133)</f>
        <v>0</v>
      </c>
      <c r="M133" s="1242" t="n">
        <f aca="false">(IF(GasPriceCurve,IF(OBuySell=OCallPut,D133,B133),C133)+K133/1000+L133)/(1-GasTransportPercent)</f>
        <v>3.41543968451215</v>
      </c>
      <c r="N133" s="1239" t="n">
        <f aca="false">IF(Assumptions!$L$30=4,F133,CHOOSE(Assumptions!$L$30,E133,F133,G133))</f>
        <v>0.158</v>
      </c>
      <c r="O133" s="0" t="n">
        <v>0.175</v>
      </c>
      <c r="P133" s="647" t="n">
        <f aca="false">Assumptions!$L$32*(1+Assumptions!$C$26)^(YEAR(A133)-2000)</f>
        <v>0.0999575424395701</v>
      </c>
    </row>
    <row r="134" customFormat="false" ht="12.75" hidden="false" customHeight="false" outlineLevel="0" collapsed="false">
      <c r="A134" s="1237" t="n">
        <f aca="false">'Curve Paste'!BQ134</f>
        <v>40544</v>
      </c>
      <c r="B134" s="1238" t="n">
        <f aca="false">IF(Assumptions!$L$30=4,VLOOKUP($A134,'Henwood Reference'!$E$9:$R$296,14),'Curve Paste'!BR134)</f>
        <v>3.28374256903059</v>
      </c>
      <c r="C134" s="1238" t="n">
        <f aca="false">IF(Assumptions!$L$30=4,VLOOKUP($A134,'Henwood Reference'!$E$9:$R$296,14),'Curve Paste'!BS134)</f>
        <v>3.28374256903059</v>
      </c>
      <c r="D134" s="1238" t="n">
        <f aca="false">IF(Assumptions!$L$30=4,VLOOKUP($A134,'Henwood Reference'!$E$9:$R$296,14),'Curve Paste'!BT134)</f>
        <v>3.28374256903059</v>
      </c>
      <c r="E134" s="1239" t="n">
        <v>0.1505</v>
      </c>
      <c r="F134" s="1239" t="n">
        <v>0.158</v>
      </c>
      <c r="G134" s="1239" t="n">
        <v>0.1655</v>
      </c>
      <c r="H134" s="1239" t="n">
        <f aca="false">I134-$H$4</f>
        <v>-0.07</v>
      </c>
      <c r="I134" s="1239"/>
      <c r="J134" s="1239" t="n">
        <f aca="false">I134+$J$4</f>
        <v>0.07</v>
      </c>
      <c r="K134" s="1243" t="n">
        <f aca="false">K122</f>
        <v>0</v>
      </c>
      <c r="L134" s="1241" t="n">
        <f aca="false">IF(Assumptions!$L$30=4,0,O134+P134)</f>
        <v>0</v>
      </c>
      <c r="M134" s="1242" t="n">
        <f aca="false">(IF(GasPriceCurve,IF(OBuySell=OCallPut,D134,B134),C134)+K134/1000+L134)/(1-GasTransportPercent)</f>
        <v>3.32362608201477</v>
      </c>
      <c r="N134" s="1239" t="n">
        <f aca="false">IF(Assumptions!$L$30=4,F134,CHOOSE(Assumptions!$L$30,E134,F134,G134))</f>
        <v>0.158</v>
      </c>
      <c r="O134" s="0" t="n">
        <v>0.1475</v>
      </c>
      <c r="P134" s="647" t="n">
        <f aca="false">Assumptions!$L$32*(1+Assumptions!$C$26)^(YEAR(A134)-2000)</f>
        <v>0.101956693288361</v>
      </c>
    </row>
    <row r="135" customFormat="false" ht="12.75" hidden="false" customHeight="false" outlineLevel="0" collapsed="false">
      <c r="A135" s="1237" t="n">
        <f aca="false">'Curve Paste'!BQ135</f>
        <v>40575</v>
      </c>
      <c r="B135" s="1238" t="n">
        <f aca="false">IF(Assumptions!$L$30=4,VLOOKUP($A135,'Henwood Reference'!$E$9:$R$296,14),'Curve Paste'!BR135)</f>
        <v>3.02782802973631</v>
      </c>
      <c r="C135" s="1238" t="n">
        <f aca="false">IF(Assumptions!$L$30=4,VLOOKUP($A135,'Henwood Reference'!$E$9:$R$296,14),'Curve Paste'!BS135)</f>
        <v>3.02782802973631</v>
      </c>
      <c r="D135" s="1238" t="n">
        <f aca="false">IF(Assumptions!$L$30=4,VLOOKUP($A135,'Henwood Reference'!$E$9:$R$296,14),'Curve Paste'!BT135)</f>
        <v>3.02782802973631</v>
      </c>
      <c r="E135" s="1239" t="n">
        <v>0.1495</v>
      </c>
      <c r="F135" s="1239" t="n">
        <v>0.157</v>
      </c>
      <c r="G135" s="1239" t="n">
        <v>0.1645</v>
      </c>
      <c r="H135" s="1239" t="n">
        <f aca="false">I135-$H$4</f>
        <v>-0.07</v>
      </c>
      <c r="I135" s="1239"/>
      <c r="J135" s="1239" t="n">
        <f aca="false">I135+$J$4</f>
        <v>0.07</v>
      </c>
      <c r="K135" s="1243" t="n">
        <f aca="false">K123</f>
        <v>0</v>
      </c>
      <c r="L135" s="1241" t="n">
        <f aca="false">IF(Assumptions!$L$30=4,0,O135+P135)</f>
        <v>0</v>
      </c>
      <c r="M135" s="1242" t="n">
        <f aca="false">(IF(GasPriceCurve,IF(OBuySell=OCallPut,D135,B135),C135)+K135/1000+L135)/(1-GasTransportPercent)</f>
        <v>3.06460326896388</v>
      </c>
      <c r="N135" s="1239" t="n">
        <f aca="false">IF(Assumptions!$L$30=4,F135,CHOOSE(Assumptions!$L$30,E135,F135,G135))</f>
        <v>0.157</v>
      </c>
      <c r="O135" s="0" t="n">
        <v>0.1475</v>
      </c>
      <c r="P135" s="647" t="n">
        <f aca="false">Assumptions!$L$32*(1+Assumptions!$C$26)^(YEAR(A135)-2000)</f>
        <v>0.101956693288361</v>
      </c>
    </row>
    <row r="136" customFormat="false" ht="12.75" hidden="false" customHeight="false" outlineLevel="0" collapsed="false">
      <c r="A136" s="1237" t="n">
        <f aca="false">'Curve Paste'!BQ136</f>
        <v>40603</v>
      </c>
      <c r="B136" s="1238" t="n">
        <f aca="false">IF(Assumptions!$L$30=4,VLOOKUP($A136,'Henwood Reference'!$E$9:$R$296,14),'Curve Paste'!BR136)</f>
        <v>2.86093740513968</v>
      </c>
      <c r="C136" s="1238" t="n">
        <f aca="false">IF(Assumptions!$L$30=4,VLOOKUP($A136,'Henwood Reference'!$E$9:$R$296,14),'Curve Paste'!BS136)</f>
        <v>2.86093740513968</v>
      </c>
      <c r="D136" s="1238" t="n">
        <f aca="false">IF(Assumptions!$L$30=4,VLOOKUP($A136,'Henwood Reference'!$E$9:$R$296,14),'Curve Paste'!BT136)</f>
        <v>2.86093740513968</v>
      </c>
      <c r="E136" s="1239" t="n">
        <v>0.1495</v>
      </c>
      <c r="F136" s="1239" t="n">
        <v>0.157</v>
      </c>
      <c r="G136" s="1239" t="n">
        <v>0.1645</v>
      </c>
      <c r="H136" s="1239" t="n">
        <f aca="false">I136-$H$4</f>
        <v>-0.07</v>
      </c>
      <c r="I136" s="1239"/>
      <c r="J136" s="1239" t="n">
        <f aca="false">I136+$J$4</f>
        <v>0.07</v>
      </c>
      <c r="K136" s="1243" t="n">
        <f aca="false">K124</f>
        <v>0</v>
      </c>
      <c r="L136" s="1241" t="n">
        <f aca="false">IF(Assumptions!$L$30=4,0,O136+P136)</f>
        <v>0</v>
      </c>
      <c r="M136" s="1242" t="n">
        <f aca="false">(IF(GasPriceCurve,IF(OBuySell=OCallPut,D136,B136),C136)+K136/1000+L136)/(1-GasTransportPercent)</f>
        <v>2.89568563273247</v>
      </c>
      <c r="N136" s="1239" t="n">
        <f aca="false">IF(Assumptions!$L$30=4,F136,CHOOSE(Assumptions!$L$30,E136,F136,G136))</f>
        <v>0.157</v>
      </c>
      <c r="O136" s="0" t="n">
        <v>0.165</v>
      </c>
      <c r="P136" s="647" t="n">
        <f aca="false">Assumptions!$L$32*(1+Assumptions!$C$26)^(YEAR(A136)-2000)</f>
        <v>0.101956693288361</v>
      </c>
    </row>
    <row r="137" customFormat="false" ht="12.75" hidden="false" customHeight="false" outlineLevel="0" collapsed="false">
      <c r="A137" s="1237" t="n">
        <f aca="false">'Curve Paste'!BQ137</f>
        <v>40634</v>
      </c>
      <c r="B137" s="1238" t="n">
        <f aca="false">IF(Assumptions!$L$30=4,VLOOKUP($A137,'Henwood Reference'!$E$9:$R$296,14),'Curve Paste'!BR137)</f>
        <v>2.77044699142781</v>
      </c>
      <c r="C137" s="1238" t="n">
        <f aca="false">IF(Assumptions!$L$30=4,VLOOKUP($A137,'Henwood Reference'!$E$9:$R$296,14),'Curve Paste'!BS137)</f>
        <v>2.77044699142781</v>
      </c>
      <c r="D137" s="1238" t="n">
        <f aca="false">IF(Assumptions!$L$30=4,VLOOKUP($A137,'Henwood Reference'!$E$9:$R$296,14),'Curve Paste'!BT137)</f>
        <v>2.77044699142781</v>
      </c>
      <c r="E137" s="1239" t="n">
        <v>0.1495</v>
      </c>
      <c r="F137" s="1239" t="n">
        <v>0.157</v>
      </c>
      <c r="G137" s="1239" t="n">
        <v>0.1645</v>
      </c>
      <c r="H137" s="1239" t="n">
        <f aca="false">I137-$H$4</f>
        <v>-0.07</v>
      </c>
      <c r="I137" s="1239"/>
      <c r="J137" s="1239" t="n">
        <f aca="false">I137+$J$4</f>
        <v>0.07</v>
      </c>
      <c r="K137" s="1243" t="n">
        <f aca="false">K125</f>
        <v>0</v>
      </c>
      <c r="L137" s="1241" t="n">
        <f aca="false">IF(Assumptions!$L$30=4,0,O137+P137)</f>
        <v>0</v>
      </c>
      <c r="M137" s="1242" t="n">
        <f aca="false">(IF(GasPriceCurve,IF(OBuySell=OCallPut,D137,B137),C137)+K137/1000+L137)/(1-GasTransportPercent)</f>
        <v>2.80409614516985</v>
      </c>
      <c r="N137" s="1239" t="n">
        <f aca="false">IF(Assumptions!$L$30=4,F137,CHOOSE(Assumptions!$L$30,E137,F137,G137))</f>
        <v>0.157</v>
      </c>
      <c r="O137" s="0" t="n">
        <v>0.15</v>
      </c>
      <c r="P137" s="647" t="n">
        <f aca="false">Assumptions!$L$32*(1+Assumptions!$C$26)^(YEAR(A137)-2000)</f>
        <v>0.101956693288361</v>
      </c>
    </row>
    <row r="138" customFormat="false" ht="12.75" hidden="false" customHeight="false" outlineLevel="0" collapsed="false">
      <c r="A138" s="1237" t="n">
        <f aca="false">'Curve Paste'!BQ138</f>
        <v>40664</v>
      </c>
      <c r="B138" s="1238" t="n">
        <f aca="false">IF(Assumptions!$L$30=4,VLOOKUP($A138,'Henwood Reference'!$E$9:$R$296,14),'Curve Paste'!BR138)</f>
        <v>2.74508462633901</v>
      </c>
      <c r="C138" s="1238" t="n">
        <f aca="false">IF(Assumptions!$L$30=4,VLOOKUP($A138,'Henwood Reference'!$E$9:$R$296,14),'Curve Paste'!BS138)</f>
        <v>2.74508462633901</v>
      </c>
      <c r="D138" s="1238" t="n">
        <f aca="false">IF(Assumptions!$L$30=4,VLOOKUP($A138,'Henwood Reference'!$E$9:$R$296,14),'Curve Paste'!BT138)</f>
        <v>2.74508462633901</v>
      </c>
      <c r="E138" s="1239" t="n">
        <v>0.1495</v>
      </c>
      <c r="F138" s="1239" t="n">
        <v>0.157</v>
      </c>
      <c r="G138" s="1239" t="n">
        <v>0.1645</v>
      </c>
      <c r="H138" s="1239" t="n">
        <f aca="false">I138-$H$4</f>
        <v>-0.07</v>
      </c>
      <c r="I138" s="1239"/>
      <c r="J138" s="1239" t="n">
        <f aca="false">I138+$J$4</f>
        <v>0.07</v>
      </c>
      <c r="K138" s="1243" t="n">
        <f aca="false">K126</f>
        <v>0</v>
      </c>
      <c r="L138" s="1241" t="n">
        <f aca="false">IF(Assumptions!$L$30=4,0,O138+P138)</f>
        <v>0</v>
      </c>
      <c r="M138" s="1242" t="n">
        <f aca="false">(IF(GasPriceCurve,IF(OBuySell=OCallPut,D138,B138),C138)+K138/1000+L138)/(1-GasTransportPercent)</f>
        <v>2.77842573516095</v>
      </c>
      <c r="N138" s="1239" t="n">
        <f aca="false">IF(Assumptions!$L$30=4,F138,CHOOSE(Assumptions!$L$30,E138,F138,G138))</f>
        <v>0.157</v>
      </c>
      <c r="O138" s="0" t="n">
        <v>0.165</v>
      </c>
      <c r="P138" s="647" t="n">
        <f aca="false">Assumptions!$L$32*(1+Assumptions!$C$26)^(YEAR(A138)-2000)</f>
        <v>0.101956693288361</v>
      </c>
    </row>
    <row r="139" customFormat="false" ht="12.75" hidden="false" customHeight="false" outlineLevel="0" collapsed="false">
      <c r="A139" s="1237" t="n">
        <f aca="false">'Curve Paste'!BQ139</f>
        <v>40695</v>
      </c>
      <c r="B139" s="1238" t="n">
        <f aca="false">IF(Assumptions!$L$30=4,VLOOKUP($A139,'Henwood Reference'!$E$9:$R$296,14),'Curve Paste'!BR139)</f>
        <v>2.77357814761161</v>
      </c>
      <c r="C139" s="1238" t="n">
        <f aca="false">IF(Assumptions!$L$30=4,VLOOKUP($A139,'Henwood Reference'!$E$9:$R$296,14),'Curve Paste'!BS139)</f>
        <v>2.77357814761161</v>
      </c>
      <c r="D139" s="1238" t="n">
        <f aca="false">IF(Assumptions!$L$30=4,VLOOKUP($A139,'Henwood Reference'!$E$9:$R$296,14),'Curve Paste'!BT139)</f>
        <v>2.77357814761161</v>
      </c>
      <c r="E139" s="1239" t="n">
        <v>0.1495</v>
      </c>
      <c r="F139" s="1239" t="n">
        <v>0.157</v>
      </c>
      <c r="G139" s="1239" t="n">
        <v>0.1645</v>
      </c>
      <c r="H139" s="1239" t="n">
        <f aca="false">I139-$H$4</f>
        <v>-0.07</v>
      </c>
      <c r="I139" s="1239"/>
      <c r="J139" s="1239" t="n">
        <f aca="false">I139+$J$4</f>
        <v>0.07</v>
      </c>
      <c r="K139" s="1243" t="n">
        <f aca="false">K127</f>
        <v>0</v>
      </c>
      <c r="L139" s="1241" t="n">
        <f aca="false">IF(Assumptions!$L$30=4,0,O139+P139)</f>
        <v>0</v>
      </c>
      <c r="M139" s="1242" t="n">
        <f aca="false">(IF(GasPriceCurve,IF(OBuySell=OCallPut,D139,B139),C139)+K139/1000+L139)/(1-GasTransportPercent)</f>
        <v>2.8072653315907</v>
      </c>
      <c r="N139" s="1239" t="n">
        <f aca="false">IF(Assumptions!$L$30=4,F139,CHOOSE(Assumptions!$L$30,E139,F139,G139))</f>
        <v>0.157</v>
      </c>
      <c r="O139" s="0" t="n">
        <v>0.195</v>
      </c>
      <c r="P139" s="647" t="n">
        <f aca="false">Assumptions!$L$32*(1+Assumptions!$C$26)^(YEAR(A139)-2000)</f>
        <v>0.101956693288361</v>
      </c>
    </row>
    <row r="140" customFormat="false" ht="12.75" hidden="false" customHeight="false" outlineLevel="0" collapsed="false">
      <c r="A140" s="1237" t="n">
        <f aca="false">'Curve Paste'!BQ140</f>
        <v>40725</v>
      </c>
      <c r="B140" s="1238" t="n">
        <f aca="false">IF(Assumptions!$L$30=4,VLOOKUP($A140,'Henwood Reference'!$E$9:$R$296,14),'Curve Paste'!BR140)</f>
        <v>2.84465539298391</v>
      </c>
      <c r="C140" s="1238" t="n">
        <f aca="false">IF(Assumptions!$L$30=4,VLOOKUP($A140,'Henwood Reference'!$E$9:$R$296,14),'Curve Paste'!BS140)</f>
        <v>2.84465539298391</v>
      </c>
      <c r="D140" s="1238" t="n">
        <f aca="false">IF(Assumptions!$L$30=4,VLOOKUP($A140,'Henwood Reference'!$E$9:$R$296,14),'Curve Paste'!BT140)</f>
        <v>2.84465539298391</v>
      </c>
      <c r="E140" s="1239" t="n">
        <v>0.1495</v>
      </c>
      <c r="F140" s="1239" t="n">
        <v>0.157</v>
      </c>
      <c r="G140" s="1239" t="n">
        <v>0.1645</v>
      </c>
      <c r="H140" s="1239" t="n">
        <f aca="false">I140-$H$4</f>
        <v>-0.07</v>
      </c>
      <c r="I140" s="1239"/>
      <c r="J140" s="1239" t="n">
        <f aca="false">I140+$J$4</f>
        <v>0.07</v>
      </c>
      <c r="K140" s="1243" t="n">
        <f aca="false">K128</f>
        <v>0</v>
      </c>
      <c r="L140" s="1241" t="n">
        <f aca="false">IF(Assumptions!$L$30=4,0,O140+P140)</f>
        <v>0</v>
      </c>
      <c r="M140" s="1242" t="n">
        <f aca="false">(IF(GasPriceCurve,IF(OBuySell=OCallPut,D140,B140),C140)+K140/1000+L140)/(1-GasTransportPercent)</f>
        <v>2.87920586334404</v>
      </c>
      <c r="N140" s="1239" t="n">
        <f aca="false">IF(Assumptions!$L$30=4,F140,CHOOSE(Assumptions!$L$30,E140,F140,G140))</f>
        <v>0.157</v>
      </c>
      <c r="O140" s="0" t="n">
        <v>0.295</v>
      </c>
      <c r="P140" s="647" t="n">
        <f aca="false">Assumptions!$L$32*(1+Assumptions!$C$26)^(YEAR(A140)-2000)</f>
        <v>0.101956693288361</v>
      </c>
    </row>
    <row r="141" customFormat="false" ht="12.75" hidden="false" customHeight="false" outlineLevel="0" collapsed="false">
      <c r="A141" s="1237" t="n">
        <f aca="false">'Curve Paste'!BQ141</f>
        <v>40756</v>
      </c>
      <c r="B141" s="1238" t="n">
        <f aca="false">IF(Assumptions!$L$30=4,VLOOKUP($A141,'Henwood Reference'!$E$9:$R$296,14),'Curve Paste'!BR141)</f>
        <v>2.94704420019423</v>
      </c>
      <c r="C141" s="1238" t="n">
        <f aca="false">IF(Assumptions!$L$30=4,VLOOKUP($A141,'Henwood Reference'!$E$9:$R$296,14),'Curve Paste'!BS141)</f>
        <v>2.94704420019423</v>
      </c>
      <c r="D141" s="1238" t="n">
        <f aca="false">IF(Assumptions!$L$30=4,VLOOKUP($A141,'Henwood Reference'!$E$9:$R$296,14),'Curve Paste'!BT141)</f>
        <v>2.94704420019423</v>
      </c>
      <c r="E141" s="1239" t="n">
        <v>0.1495</v>
      </c>
      <c r="F141" s="1239" t="n">
        <v>0.157</v>
      </c>
      <c r="G141" s="1239" t="n">
        <v>0.1645</v>
      </c>
      <c r="H141" s="1239" t="n">
        <f aca="false">I141-$H$4</f>
        <v>-0.07</v>
      </c>
      <c r="I141" s="1239"/>
      <c r="J141" s="1239" t="n">
        <f aca="false">I141+$J$4</f>
        <v>0.07</v>
      </c>
      <c r="K141" s="1243" t="n">
        <f aca="false">K129</f>
        <v>0</v>
      </c>
      <c r="L141" s="1241" t="n">
        <f aca="false">IF(Assumptions!$L$30=4,0,O141+P141)</f>
        <v>0</v>
      </c>
      <c r="M141" s="1242" t="n">
        <f aca="false">(IF(GasPriceCurve,IF(OBuySell=OCallPut,D141,B141),C141)+K141/1000+L141)/(1-GasTransportPercent)</f>
        <v>2.9828382593059</v>
      </c>
      <c r="N141" s="1239" t="n">
        <f aca="false">IF(Assumptions!$L$30=4,F141,CHOOSE(Assumptions!$L$30,E141,F141,G141))</f>
        <v>0.157</v>
      </c>
      <c r="O141" s="0" t="n">
        <v>0.295</v>
      </c>
      <c r="P141" s="647" t="n">
        <f aca="false">Assumptions!$L$32*(1+Assumptions!$C$26)^(YEAR(A141)-2000)</f>
        <v>0.101956693288361</v>
      </c>
    </row>
    <row r="142" customFormat="false" ht="12.75" hidden="false" customHeight="false" outlineLevel="0" collapsed="false">
      <c r="A142" s="1237" t="n">
        <f aca="false">'Curve Paste'!BQ142</f>
        <v>40787</v>
      </c>
      <c r="B142" s="1238" t="n">
        <f aca="false">IF(Assumptions!$L$30=4,VLOOKUP($A142,'Henwood Reference'!$E$9:$R$296,14),'Curve Paste'!BR142)</f>
        <v>3.06947240698088</v>
      </c>
      <c r="C142" s="1238" t="n">
        <f aca="false">IF(Assumptions!$L$30=4,VLOOKUP($A142,'Henwood Reference'!$E$9:$R$296,14),'Curve Paste'!BS142)</f>
        <v>3.06947240698088</v>
      </c>
      <c r="D142" s="1238" t="n">
        <f aca="false">IF(Assumptions!$L$30=4,VLOOKUP($A142,'Henwood Reference'!$E$9:$R$296,14),'Curve Paste'!BT142)</f>
        <v>3.06947240698088</v>
      </c>
      <c r="E142" s="1239" t="n">
        <v>0.1495</v>
      </c>
      <c r="F142" s="1239" t="n">
        <v>0.157</v>
      </c>
      <c r="G142" s="1239" t="n">
        <v>0.1645</v>
      </c>
      <c r="H142" s="1239" t="n">
        <f aca="false">I142-$H$4</f>
        <v>-0.07</v>
      </c>
      <c r="I142" s="1239"/>
      <c r="J142" s="1239" t="n">
        <f aca="false">I142+$J$4</f>
        <v>0.07</v>
      </c>
      <c r="K142" s="1243" t="n">
        <f aca="false">K130</f>
        <v>0</v>
      </c>
      <c r="L142" s="1241" t="n">
        <f aca="false">IF(Assumptions!$L$30=4,0,O142+P142)</f>
        <v>0</v>
      </c>
      <c r="M142" s="1242" t="n">
        <f aca="false">(IF(GasPriceCurve,IF(OBuySell=OCallPut,D142,B142),C142)+K142/1000+L142)/(1-GasTransportPercent)</f>
        <v>3.10675344836121</v>
      </c>
      <c r="N142" s="1239" t="n">
        <f aca="false">IF(Assumptions!$L$30=4,F142,CHOOSE(Assumptions!$L$30,E142,F142,G142))</f>
        <v>0.157</v>
      </c>
      <c r="O142" s="0" t="n">
        <v>0.295</v>
      </c>
      <c r="P142" s="647" t="n">
        <f aca="false">Assumptions!$L$32*(1+Assumptions!$C$26)^(YEAR(A142)-2000)</f>
        <v>0.101956693288361</v>
      </c>
    </row>
    <row r="143" customFormat="false" ht="12.75" hidden="false" customHeight="false" outlineLevel="0" collapsed="false">
      <c r="A143" s="1237" t="n">
        <f aca="false">'Curve Paste'!BQ143</f>
        <v>40817</v>
      </c>
      <c r="B143" s="1238" t="n">
        <f aca="false">IF(Assumptions!$L$30=4,VLOOKUP($A143,'Henwood Reference'!$E$9:$R$296,14),'Curve Paste'!BR143)</f>
        <v>3.20066785108217</v>
      </c>
      <c r="C143" s="1238" t="n">
        <f aca="false">IF(Assumptions!$L$30=4,VLOOKUP($A143,'Henwood Reference'!$E$9:$R$296,14),'Curve Paste'!BS143)</f>
        <v>3.20066785108217</v>
      </c>
      <c r="D143" s="1238" t="n">
        <f aca="false">IF(Assumptions!$L$30=4,VLOOKUP($A143,'Henwood Reference'!$E$9:$R$296,14),'Curve Paste'!BT143)</f>
        <v>3.20066785108217</v>
      </c>
      <c r="E143" s="1239" t="n">
        <v>0.1495</v>
      </c>
      <c r="F143" s="1239" t="n">
        <v>0.157</v>
      </c>
      <c r="G143" s="1239" t="n">
        <v>0.1645</v>
      </c>
      <c r="H143" s="1239" t="n">
        <f aca="false">I143-$H$4</f>
        <v>-0.07</v>
      </c>
      <c r="I143" s="1239"/>
      <c r="J143" s="1239" t="n">
        <f aca="false">I143+$J$4</f>
        <v>0.07</v>
      </c>
      <c r="K143" s="1243" t="n">
        <f aca="false">K131</f>
        <v>0</v>
      </c>
      <c r="L143" s="1241" t="n">
        <f aca="false">IF(Assumptions!$L$30=4,0,O143+P143)</f>
        <v>0</v>
      </c>
      <c r="M143" s="1242" t="n">
        <f aca="false">(IF(GasPriceCurve,IF(OBuySell=OCallPut,D143,B143),C143)+K143/1000+L143)/(1-GasTransportPercent)</f>
        <v>3.23954235939491</v>
      </c>
      <c r="N143" s="1239" t="n">
        <f aca="false">IF(Assumptions!$L$30=4,F143,CHOOSE(Assumptions!$L$30,E143,F143,G143))</f>
        <v>0.157</v>
      </c>
      <c r="O143" s="0" t="n">
        <v>0.215</v>
      </c>
      <c r="P143" s="647" t="n">
        <f aca="false">Assumptions!$L$32*(1+Assumptions!$C$26)^(YEAR(A143)-2000)</f>
        <v>0.101956693288361</v>
      </c>
    </row>
    <row r="144" customFormat="false" ht="12.75" hidden="false" customHeight="false" outlineLevel="0" collapsed="false">
      <c r="A144" s="1237" t="n">
        <f aca="false">'Curve Paste'!BQ144</f>
        <v>40848</v>
      </c>
      <c r="B144" s="1238" t="n">
        <f aca="false">IF(Assumptions!$L$30=4,VLOOKUP($A144,'Henwood Reference'!$E$9:$R$296,14),'Curve Paste'!BR144)</f>
        <v>3.32935837023642</v>
      </c>
      <c r="C144" s="1238" t="n">
        <f aca="false">IF(Assumptions!$L$30=4,VLOOKUP($A144,'Henwood Reference'!$E$9:$R$296,14),'Curve Paste'!BS144)</f>
        <v>3.32935837023642</v>
      </c>
      <c r="D144" s="1238" t="n">
        <f aca="false">IF(Assumptions!$L$30=4,VLOOKUP($A144,'Henwood Reference'!$E$9:$R$296,14),'Curve Paste'!BT144)</f>
        <v>3.32935837023642</v>
      </c>
      <c r="E144" s="1239" t="n">
        <v>0.1495</v>
      </c>
      <c r="F144" s="1239" t="n">
        <v>0.157</v>
      </c>
      <c r="G144" s="1239" t="n">
        <v>0.1645</v>
      </c>
      <c r="H144" s="1239" t="n">
        <f aca="false">I144-$H$4</f>
        <v>-0.07</v>
      </c>
      <c r="I144" s="1239"/>
      <c r="J144" s="1239" t="n">
        <f aca="false">I144+$J$4</f>
        <v>0.07</v>
      </c>
      <c r="K144" s="1243" t="n">
        <f aca="false">K132</f>
        <v>0</v>
      </c>
      <c r="L144" s="1241" t="n">
        <f aca="false">IF(Assumptions!$L$30=4,0,O144+P144)</f>
        <v>0</v>
      </c>
      <c r="M144" s="1242" t="n">
        <f aca="false">(IF(GasPriceCurve,IF(OBuySell=OCallPut,D144,B144),C144)+K144/1000+L144)/(1-GasTransportPercent)</f>
        <v>3.36979592129193</v>
      </c>
      <c r="N144" s="1239" t="n">
        <f aca="false">IF(Assumptions!$L$30=4,F144,CHOOSE(Assumptions!$L$30,E144,F144,G144))</f>
        <v>0.157</v>
      </c>
      <c r="O144" s="0" t="n">
        <v>0.18</v>
      </c>
      <c r="P144" s="647" t="n">
        <f aca="false">Assumptions!$L$32*(1+Assumptions!$C$26)^(YEAR(A144)-2000)</f>
        <v>0.101956693288361</v>
      </c>
    </row>
    <row r="145" customFormat="false" ht="12.75" hidden="false" customHeight="false" outlineLevel="0" collapsed="false">
      <c r="A145" s="1237" t="n">
        <f aca="false">'Curve Paste'!BQ145</f>
        <v>40878</v>
      </c>
      <c r="B145" s="1238" t="n">
        <f aca="false">IF(Assumptions!$L$30=4,VLOOKUP($A145,'Henwood Reference'!$E$9:$R$296,14),'Curve Paste'!BR145)</f>
        <v>3.46533201985256</v>
      </c>
      <c r="C145" s="1238" t="n">
        <f aca="false">IF(Assumptions!$L$30=4,VLOOKUP($A145,'Henwood Reference'!$E$9:$R$296,14),'Curve Paste'!BS145)</f>
        <v>3.46533201985256</v>
      </c>
      <c r="D145" s="1238" t="n">
        <f aca="false">IF(Assumptions!$L$30=4,VLOOKUP($A145,'Henwood Reference'!$E$9:$R$296,14),'Curve Paste'!BT145)</f>
        <v>3.46533201985256</v>
      </c>
      <c r="E145" s="1239" t="n">
        <v>0.1495</v>
      </c>
      <c r="F145" s="1239" t="n">
        <v>0.157</v>
      </c>
      <c r="G145" s="1239" t="n">
        <v>0.1645</v>
      </c>
      <c r="H145" s="1239" t="n">
        <f aca="false">I145-$H$4</f>
        <v>-0.07</v>
      </c>
      <c r="I145" s="1239"/>
      <c r="J145" s="1239" t="n">
        <f aca="false">I145+$J$4</f>
        <v>0.07</v>
      </c>
      <c r="K145" s="1243" t="n">
        <f aca="false">K133</f>
        <v>0</v>
      </c>
      <c r="L145" s="1241" t="n">
        <f aca="false">IF(Assumptions!$L$30=4,0,O145+P145)</f>
        <v>0</v>
      </c>
      <c r="M145" s="1242" t="n">
        <f aca="false">(IF(GasPriceCurve,IF(OBuySell=OCallPut,D145,B145),C145)+K145/1000+L145)/(1-GasTransportPercent)</f>
        <v>3.50742107272527</v>
      </c>
      <c r="N145" s="1239" t="n">
        <f aca="false">IF(Assumptions!$L$30=4,F145,CHOOSE(Assumptions!$L$30,E145,F145,G145))</f>
        <v>0.157</v>
      </c>
      <c r="O145" s="0" t="n">
        <v>0.18</v>
      </c>
      <c r="P145" s="647" t="n">
        <f aca="false">Assumptions!$L$32*(1+Assumptions!$C$26)^(YEAR(A145)-2000)</f>
        <v>0.101956693288361</v>
      </c>
    </row>
    <row r="146" customFormat="false" ht="12.75" hidden="false" customHeight="false" outlineLevel="0" collapsed="false">
      <c r="A146" s="1237" t="n">
        <f aca="false">'Curve Paste'!BQ146</f>
        <v>40909</v>
      </c>
      <c r="B146" s="1238" t="n">
        <f aca="false">IF(Assumptions!$L$30=4,VLOOKUP($A146,'Henwood Reference'!$E$9:$R$296,14),'Curve Paste'!BR146)</f>
        <v>3.36311860984386</v>
      </c>
      <c r="C146" s="1238" t="n">
        <f aca="false">IF(Assumptions!$L$30=4,VLOOKUP($A146,'Henwood Reference'!$E$9:$R$296,14),'Curve Paste'!BS146)</f>
        <v>3.36311860984386</v>
      </c>
      <c r="D146" s="1238" t="n">
        <f aca="false">IF(Assumptions!$L$30=4,VLOOKUP($A146,'Henwood Reference'!$E$9:$R$296,14),'Curve Paste'!BT146)</f>
        <v>3.36311860984386</v>
      </c>
      <c r="E146" s="1239" t="n">
        <v>0.1495</v>
      </c>
      <c r="F146" s="1239" t="n">
        <v>0.157</v>
      </c>
      <c r="G146" s="1239" t="n">
        <v>0.1645</v>
      </c>
      <c r="H146" s="1239" t="n">
        <f aca="false">I146-$H$4</f>
        <v>-0.07</v>
      </c>
      <c r="I146" s="1239"/>
      <c r="J146" s="1239" t="n">
        <f aca="false">I146+$J$4</f>
        <v>0.07</v>
      </c>
      <c r="K146" s="1243" t="n">
        <f aca="false">K134</f>
        <v>0</v>
      </c>
      <c r="L146" s="1241" t="n">
        <f aca="false">IF(Assumptions!$L$30=4,0,O146+P146)</f>
        <v>0</v>
      </c>
      <c r="M146" s="1242" t="n">
        <f aca="false">(IF(GasPriceCurve,IF(OBuySell=OCallPut,D146,B146),C146)+K146/1000+L146)/(1-GasTransportPercent)</f>
        <v>3.40396620429541</v>
      </c>
      <c r="N146" s="1239" t="n">
        <f aca="false">IF(Assumptions!$L$30=4,F146,CHOOSE(Assumptions!$L$30,E146,F146,G146))</f>
        <v>0.157</v>
      </c>
      <c r="O146" s="0" t="n">
        <v>0.1525</v>
      </c>
      <c r="P146" s="647" t="n">
        <f aca="false">Assumptions!$L$32*(1+Assumptions!$C$26)^(YEAR(A146)-2000)</f>
        <v>0.103995827154129</v>
      </c>
    </row>
    <row r="147" customFormat="false" ht="12.75" hidden="false" customHeight="false" outlineLevel="0" collapsed="false">
      <c r="A147" s="1237" t="n">
        <f aca="false">'Curve Paste'!BQ147</f>
        <v>40940</v>
      </c>
      <c r="B147" s="1238" t="n">
        <f aca="false">IF(Assumptions!$L$30=4,VLOOKUP($A147,'Henwood Reference'!$E$9:$R$296,14),'Curve Paste'!BR147)</f>
        <v>3.10101799399556</v>
      </c>
      <c r="C147" s="1238" t="n">
        <f aca="false">IF(Assumptions!$L$30=4,VLOOKUP($A147,'Henwood Reference'!$E$9:$R$296,14),'Curve Paste'!BS147)</f>
        <v>3.10101799399556</v>
      </c>
      <c r="D147" s="1238" t="n">
        <f aca="false">IF(Assumptions!$L$30=4,VLOOKUP($A147,'Henwood Reference'!$E$9:$R$296,14),'Curve Paste'!BT147)</f>
        <v>3.10101799399556</v>
      </c>
      <c r="E147" s="1239" t="n">
        <v>0.1485</v>
      </c>
      <c r="F147" s="1239" t="n">
        <v>0.156</v>
      </c>
      <c r="G147" s="1239" t="n">
        <v>0.1635</v>
      </c>
      <c r="H147" s="1239" t="n">
        <f aca="false">I147-$H$4</f>
        <v>-0.07</v>
      </c>
      <c r="I147" s="1239"/>
      <c r="J147" s="1239" t="n">
        <f aca="false">I147+$J$4</f>
        <v>0.07</v>
      </c>
      <c r="K147" s="1243" t="n">
        <f aca="false">K135</f>
        <v>0</v>
      </c>
      <c r="L147" s="1241" t="n">
        <f aca="false">IF(Assumptions!$L$30=4,0,O147+P147)</f>
        <v>0</v>
      </c>
      <c r="M147" s="1242" t="n">
        <f aca="false">(IF(GasPriceCurve,IF(OBuySell=OCallPut,D147,B147),C147)+K147/1000+L147)/(1-GasTransportPercent)</f>
        <v>3.13868218015745</v>
      </c>
      <c r="N147" s="1239" t="n">
        <f aca="false">IF(Assumptions!$L$30=4,F147,CHOOSE(Assumptions!$L$30,E147,F147,G147))</f>
        <v>0.156</v>
      </c>
      <c r="O147" s="0" t="n">
        <v>0.1525</v>
      </c>
      <c r="P147" s="647" t="n">
        <f aca="false">Assumptions!$L$32*(1+Assumptions!$C$26)^(YEAR(A147)-2000)</f>
        <v>0.103995827154129</v>
      </c>
    </row>
    <row r="148" customFormat="false" ht="12.75" hidden="false" customHeight="false" outlineLevel="0" collapsed="false">
      <c r="A148" s="1237" t="n">
        <f aca="false">'Curve Paste'!BQ148</f>
        <v>40969</v>
      </c>
      <c r="B148" s="1238" t="n">
        <f aca="false">IF(Assumptions!$L$30=4,VLOOKUP($A148,'Henwood Reference'!$E$9:$R$296,14),'Curve Paste'!BR148)</f>
        <v>2.93009321728412</v>
      </c>
      <c r="C148" s="1238" t="n">
        <f aca="false">IF(Assumptions!$L$30=4,VLOOKUP($A148,'Henwood Reference'!$E$9:$R$296,14),'Curve Paste'!BS148)</f>
        <v>2.93009321728412</v>
      </c>
      <c r="D148" s="1238" t="n">
        <f aca="false">IF(Assumptions!$L$30=4,VLOOKUP($A148,'Henwood Reference'!$E$9:$R$296,14),'Curve Paste'!BT148)</f>
        <v>2.93009321728412</v>
      </c>
      <c r="E148" s="1239" t="n">
        <v>0.1485</v>
      </c>
      <c r="F148" s="1239" t="n">
        <v>0.156</v>
      </c>
      <c r="G148" s="1239" t="n">
        <v>0.1635</v>
      </c>
      <c r="H148" s="1239" t="n">
        <f aca="false">I148-$H$4</f>
        <v>-0.07</v>
      </c>
      <c r="I148" s="1239"/>
      <c r="J148" s="1239" t="n">
        <f aca="false">I148+$J$4</f>
        <v>0.07</v>
      </c>
      <c r="K148" s="1243" t="n">
        <f aca="false">K136</f>
        <v>0</v>
      </c>
      <c r="L148" s="1241" t="n">
        <f aca="false">IF(Assumptions!$L$30=4,0,O148+P148)</f>
        <v>0</v>
      </c>
      <c r="M148" s="1242" t="n">
        <f aca="false">(IF(GasPriceCurve,IF(OBuySell=OCallPut,D148,B148),C148)+K148/1000+L148)/(1-GasTransportPercent)</f>
        <v>2.96568139401227</v>
      </c>
      <c r="N148" s="1239" t="n">
        <f aca="false">IF(Assumptions!$L$30=4,F148,CHOOSE(Assumptions!$L$30,E148,F148,G148))</f>
        <v>0.156</v>
      </c>
      <c r="O148" s="0" t="n">
        <v>0.17</v>
      </c>
      <c r="P148" s="647" t="n">
        <f aca="false">Assumptions!$L$32*(1+Assumptions!$C$26)^(YEAR(A148)-2000)</f>
        <v>0.103995827154129</v>
      </c>
    </row>
    <row r="149" customFormat="false" ht="12.75" hidden="false" customHeight="false" outlineLevel="0" collapsed="false">
      <c r="A149" s="1237" t="n">
        <f aca="false">'Curve Paste'!BQ149</f>
        <v>41000</v>
      </c>
      <c r="B149" s="1238" t="n">
        <f aca="false">IF(Assumptions!$L$30=4,VLOOKUP($A149,'Henwood Reference'!$E$9:$R$296,14),'Curve Paste'!BR149)</f>
        <v>2.83741543028673</v>
      </c>
      <c r="C149" s="1238" t="n">
        <f aca="false">IF(Assumptions!$L$30=4,VLOOKUP($A149,'Henwood Reference'!$E$9:$R$296,14),'Curve Paste'!BS149)</f>
        <v>2.83741543028673</v>
      </c>
      <c r="D149" s="1238" t="n">
        <f aca="false">IF(Assumptions!$L$30=4,VLOOKUP($A149,'Henwood Reference'!$E$9:$R$296,14),'Curve Paste'!BT149)</f>
        <v>2.83741543028673</v>
      </c>
      <c r="E149" s="1239" t="n">
        <v>0.1485</v>
      </c>
      <c r="F149" s="1239" t="n">
        <v>0.156</v>
      </c>
      <c r="G149" s="1239" t="n">
        <v>0.1635</v>
      </c>
      <c r="H149" s="1239" t="n">
        <f aca="false">I149-$H$4</f>
        <v>-0.07</v>
      </c>
      <c r="I149" s="1239"/>
      <c r="J149" s="1239" t="n">
        <f aca="false">I149+$J$4</f>
        <v>0.07</v>
      </c>
      <c r="K149" s="1243" t="n">
        <f aca="false">K137</f>
        <v>0</v>
      </c>
      <c r="L149" s="1241" t="n">
        <f aca="false">IF(Assumptions!$L$30=4,0,O149+P149)</f>
        <v>0</v>
      </c>
      <c r="M149" s="1242" t="n">
        <f aca="false">(IF(GasPriceCurve,IF(OBuySell=OCallPut,D149,B149),C149)+K149/1000+L149)/(1-GasTransportPercent)</f>
        <v>2.87187796587726</v>
      </c>
      <c r="N149" s="1239" t="n">
        <f aca="false">IF(Assumptions!$L$30=4,F149,CHOOSE(Assumptions!$L$30,E149,F149,G149))</f>
        <v>0.156</v>
      </c>
      <c r="O149" s="0" t="n">
        <v>0.155</v>
      </c>
      <c r="P149" s="647" t="n">
        <f aca="false">Assumptions!$L$32*(1+Assumptions!$C$26)^(YEAR(A149)-2000)</f>
        <v>0.103995827154129</v>
      </c>
    </row>
    <row r="150" customFormat="false" ht="12.75" hidden="false" customHeight="false" outlineLevel="0" collapsed="false">
      <c r="A150" s="1237" t="n">
        <f aca="false">'Curve Paste'!BQ150</f>
        <v>41030</v>
      </c>
      <c r="B150" s="1238" t="n">
        <f aca="false">IF(Assumptions!$L$30=4,VLOOKUP($A150,'Henwood Reference'!$E$9:$R$296,14),'Curve Paste'!BR150)</f>
        <v>2.81143999517674</v>
      </c>
      <c r="C150" s="1238" t="n">
        <f aca="false">IF(Assumptions!$L$30=4,VLOOKUP($A150,'Henwood Reference'!$E$9:$R$296,14),'Curve Paste'!BS150)</f>
        <v>2.81143999517674</v>
      </c>
      <c r="D150" s="1238" t="n">
        <f aca="false">IF(Assumptions!$L$30=4,VLOOKUP($A150,'Henwood Reference'!$E$9:$R$296,14),'Curve Paste'!BT150)</f>
        <v>2.81143999517674</v>
      </c>
      <c r="E150" s="1239" t="n">
        <v>0.1485</v>
      </c>
      <c r="F150" s="1239" t="n">
        <v>0.156</v>
      </c>
      <c r="G150" s="1239" t="n">
        <v>0.1635</v>
      </c>
      <c r="H150" s="1239" t="n">
        <f aca="false">I150-$H$4</f>
        <v>-0.07</v>
      </c>
      <c r="I150" s="1239"/>
      <c r="J150" s="1239" t="n">
        <f aca="false">I150+$J$4</f>
        <v>0.07</v>
      </c>
      <c r="K150" s="1243" t="n">
        <f aca="false">K138</f>
        <v>0</v>
      </c>
      <c r="L150" s="1241" t="n">
        <f aca="false">IF(Assumptions!$L$30=4,0,O150+P150)</f>
        <v>0</v>
      </c>
      <c r="M150" s="1242" t="n">
        <f aca="false">(IF(GasPriceCurve,IF(OBuySell=OCallPut,D150,B150),C150)+K150/1000+L150)/(1-GasTransportPercent)</f>
        <v>2.84558703965257</v>
      </c>
      <c r="N150" s="1239" t="n">
        <f aca="false">IF(Assumptions!$L$30=4,F150,CHOOSE(Assumptions!$L$30,E150,F150,G150))</f>
        <v>0.156</v>
      </c>
      <c r="O150" s="0" t="n">
        <v>0.17</v>
      </c>
      <c r="P150" s="647" t="n">
        <f aca="false">Assumptions!$L$32*(1+Assumptions!$C$26)^(YEAR(A150)-2000)</f>
        <v>0.103995827154129</v>
      </c>
    </row>
    <row r="151" customFormat="false" ht="12.75" hidden="false" customHeight="false" outlineLevel="0" collapsed="false">
      <c r="A151" s="1237" t="n">
        <f aca="false">'Curve Paste'!BQ151</f>
        <v>41061</v>
      </c>
      <c r="B151" s="1238" t="n">
        <f aca="false">IF(Assumptions!$L$30=4,VLOOKUP($A151,'Henwood Reference'!$E$9:$R$296,14),'Curve Paste'!BR151)</f>
        <v>2.84062227412747</v>
      </c>
      <c r="C151" s="1238" t="n">
        <f aca="false">IF(Assumptions!$L$30=4,VLOOKUP($A151,'Henwood Reference'!$E$9:$R$296,14),'Curve Paste'!BS151)</f>
        <v>2.84062227412747</v>
      </c>
      <c r="D151" s="1238" t="n">
        <f aca="false">IF(Assumptions!$L$30=4,VLOOKUP($A151,'Henwood Reference'!$E$9:$R$296,14),'Curve Paste'!BT151)</f>
        <v>2.84062227412747</v>
      </c>
      <c r="E151" s="1239" t="n">
        <v>0.1485</v>
      </c>
      <c r="F151" s="1239" t="n">
        <v>0.156</v>
      </c>
      <c r="G151" s="1239" t="n">
        <v>0.1635</v>
      </c>
      <c r="H151" s="1239" t="n">
        <f aca="false">I151-$H$4</f>
        <v>-0.07</v>
      </c>
      <c r="I151" s="1239"/>
      <c r="J151" s="1239" t="n">
        <f aca="false">I151+$J$4</f>
        <v>0.07</v>
      </c>
      <c r="K151" s="1243" t="n">
        <f aca="false">K139</f>
        <v>0</v>
      </c>
      <c r="L151" s="1241" t="n">
        <f aca="false">IF(Assumptions!$L$30=4,0,O151+P151)</f>
        <v>0</v>
      </c>
      <c r="M151" s="1242" t="n">
        <f aca="false">(IF(GasPriceCurve,IF(OBuySell=OCallPut,D151,B151),C151)+K151/1000+L151)/(1-GasTransportPercent)</f>
        <v>2.87512375923833</v>
      </c>
      <c r="N151" s="1239" t="n">
        <f aca="false">IF(Assumptions!$L$30=4,F151,CHOOSE(Assumptions!$L$30,E151,F151,G151))</f>
        <v>0.156</v>
      </c>
      <c r="O151" s="0" t="n">
        <v>0.2</v>
      </c>
      <c r="P151" s="647" t="n">
        <f aca="false">Assumptions!$L$32*(1+Assumptions!$C$26)^(YEAR(A151)-2000)</f>
        <v>0.103995827154129</v>
      </c>
    </row>
    <row r="152" customFormat="false" ht="12.75" hidden="false" customHeight="false" outlineLevel="0" collapsed="false">
      <c r="A152" s="1237" t="n">
        <f aca="false">'Curve Paste'!BQ152</f>
        <v>41091</v>
      </c>
      <c r="B152" s="1238" t="n">
        <f aca="false">IF(Assumptions!$L$30=4,VLOOKUP($A152,'Henwood Reference'!$E$9:$R$296,14),'Curve Paste'!BR152)</f>
        <v>2.91341762931227</v>
      </c>
      <c r="C152" s="1238" t="n">
        <f aca="false">IF(Assumptions!$L$30=4,VLOOKUP($A152,'Henwood Reference'!$E$9:$R$296,14),'Curve Paste'!BS152)</f>
        <v>2.91341762931227</v>
      </c>
      <c r="D152" s="1238" t="n">
        <f aca="false">IF(Assumptions!$L$30=4,VLOOKUP($A152,'Henwood Reference'!$E$9:$R$296,14),'Curve Paste'!BT152)</f>
        <v>2.91341762931227</v>
      </c>
      <c r="E152" s="1239" t="n">
        <v>0.1485</v>
      </c>
      <c r="F152" s="1239" t="n">
        <v>0.156</v>
      </c>
      <c r="G152" s="1239" t="n">
        <v>0.1635</v>
      </c>
      <c r="H152" s="1239" t="n">
        <f aca="false">I152-$H$4</f>
        <v>-0.07</v>
      </c>
      <c r="I152" s="1239"/>
      <c r="J152" s="1239" t="n">
        <f aca="false">I152+$J$4</f>
        <v>0.07</v>
      </c>
      <c r="K152" s="1243" t="n">
        <f aca="false">K140</f>
        <v>0</v>
      </c>
      <c r="L152" s="1241" t="n">
        <f aca="false">IF(Assumptions!$L$30=4,0,O152+P152)</f>
        <v>0</v>
      </c>
      <c r="M152" s="1242" t="n">
        <f aca="false">(IF(GasPriceCurve,IF(OBuySell=OCallPut,D152,B152),C152)+K152/1000+L152)/(1-GasTransportPercent)</f>
        <v>2.94880326853469</v>
      </c>
      <c r="N152" s="1239" t="n">
        <f aca="false">IF(Assumptions!$L$30=4,F152,CHOOSE(Assumptions!$L$30,E152,F152,G152))</f>
        <v>0.156</v>
      </c>
      <c r="O152" s="0" t="n">
        <v>0.3</v>
      </c>
      <c r="P152" s="647" t="n">
        <f aca="false">Assumptions!$L$32*(1+Assumptions!$C$26)^(YEAR(A152)-2000)</f>
        <v>0.103995827154129</v>
      </c>
    </row>
    <row r="153" customFormat="false" ht="12.75" hidden="false" customHeight="false" outlineLevel="0" collapsed="false">
      <c r="A153" s="1237" t="n">
        <f aca="false">'Curve Paste'!BQ153</f>
        <v>41122</v>
      </c>
      <c r="B153" s="1238" t="n">
        <f aca="false">IF(Assumptions!$L$30=4,VLOOKUP($A153,'Henwood Reference'!$E$9:$R$296,14),'Curve Paste'!BR153)</f>
        <v>3.01828142290447</v>
      </c>
      <c r="C153" s="1238" t="n">
        <f aca="false">IF(Assumptions!$L$30=4,VLOOKUP($A153,'Henwood Reference'!$E$9:$R$296,14),'Curve Paste'!BS153)</f>
        <v>3.01828142290447</v>
      </c>
      <c r="D153" s="1238" t="n">
        <f aca="false">IF(Assumptions!$L$30=4,VLOOKUP($A153,'Henwood Reference'!$E$9:$R$296,14),'Curve Paste'!BT153)</f>
        <v>3.01828142290447</v>
      </c>
      <c r="E153" s="1239" t="n">
        <v>0.1485</v>
      </c>
      <c r="F153" s="1239" t="n">
        <v>0.156</v>
      </c>
      <c r="G153" s="1239" t="n">
        <v>0.1635</v>
      </c>
      <c r="H153" s="1239" t="n">
        <f aca="false">I153-$H$4</f>
        <v>-0.07</v>
      </c>
      <c r="I153" s="1239"/>
      <c r="J153" s="1239" t="n">
        <f aca="false">I153+$J$4</f>
        <v>0.07</v>
      </c>
      <c r="K153" s="1243" t="n">
        <f aca="false">K141</f>
        <v>0</v>
      </c>
      <c r="L153" s="1241" t="n">
        <f aca="false">IF(Assumptions!$L$30=4,0,O153+P153)</f>
        <v>0</v>
      </c>
      <c r="M153" s="1242" t="n">
        <f aca="false">(IF(GasPriceCurve,IF(OBuySell=OCallPut,D153,B153),C153)+K153/1000+L153)/(1-GasTransportPercent)</f>
        <v>3.05494071144177</v>
      </c>
      <c r="N153" s="1239" t="n">
        <f aca="false">IF(Assumptions!$L$30=4,F153,CHOOSE(Assumptions!$L$30,E153,F153,G153))</f>
        <v>0.156</v>
      </c>
      <c r="O153" s="0" t="n">
        <v>0.3</v>
      </c>
      <c r="P153" s="647" t="n">
        <f aca="false">Assumptions!$L$32*(1+Assumptions!$C$26)^(YEAR(A153)-2000)</f>
        <v>0.103995827154129</v>
      </c>
    </row>
    <row r="154" customFormat="false" ht="12.75" hidden="false" customHeight="false" outlineLevel="0" collapsed="false">
      <c r="A154" s="1237" t="n">
        <f aca="false">'Curve Paste'!BQ154</f>
        <v>41153</v>
      </c>
      <c r="B154" s="1238" t="n">
        <f aca="false">IF(Assumptions!$L$30=4,VLOOKUP($A154,'Henwood Reference'!$E$9:$R$296,14),'Curve Paste'!BR154)</f>
        <v>3.1436690170774</v>
      </c>
      <c r="C154" s="1238" t="n">
        <f aca="false">IF(Assumptions!$L$30=4,VLOOKUP($A154,'Henwood Reference'!$E$9:$R$296,14),'Curve Paste'!BS154)</f>
        <v>3.1436690170774</v>
      </c>
      <c r="D154" s="1238" t="n">
        <f aca="false">IF(Assumptions!$L$30=4,VLOOKUP($A154,'Henwood Reference'!$E$9:$R$296,14),'Curve Paste'!BT154)</f>
        <v>3.1436690170774</v>
      </c>
      <c r="E154" s="1239" t="n">
        <v>0.1485</v>
      </c>
      <c r="F154" s="1239" t="n">
        <v>0.156</v>
      </c>
      <c r="G154" s="1239" t="n">
        <v>0.1635</v>
      </c>
      <c r="H154" s="1239" t="n">
        <f aca="false">I154-$H$4</f>
        <v>-0.07</v>
      </c>
      <c r="I154" s="1239"/>
      <c r="J154" s="1239" t="n">
        <f aca="false">I154+$J$4</f>
        <v>0.07</v>
      </c>
      <c r="K154" s="1243" t="n">
        <f aca="false">K142</f>
        <v>0</v>
      </c>
      <c r="L154" s="1241" t="n">
        <f aca="false">IF(Assumptions!$L$30=4,0,O154+P154)</f>
        <v>0</v>
      </c>
      <c r="M154" s="1242" t="n">
        <f aca="false">(IF(GasPriceCurve,IF(OBuySell=OCallPut,D154,B154),C154)+K154/1000+L154)/(1-GasTransportPercent)</f>
        <v>3.18185123185972</v>
      </c>
      <c r="N154" s="1239" t="n">
        <f aca="false">IF(Assumptions!$L$30=4,F154,CHOOSE(Assumptions!$L$30,E154,F154,G154))</f>
        <v>0.156</v>
      </c>
      <c r="O154" s="0" t="n">
        <v>0.3</v>
      </c>
      <c r="P154" s="647" t="n">
        <f aca="false">Assumptions!$L$32*(1+Assumptions!$C$26)^(YEAR(A154)-2000)</f>
        <v>0.103995827154129</v>
      </c>
    </row>
    <row r="155" customFormat="false" ht="12.75" hidden="false" customHeight="false" outlineLevel="0" collapsed="false">
      <c r="A155" s="1237" t="n">
        <f aca="false">'Curve Paste'!BQ155</f>
        <v>41183</v>
      </c>
      <c r="B155" s="1238" t="n">
        <f aca="false">IF(Assumptions!$L$30=4,VLOOKUP($A155,'Henwood Reference'!$E$9:$R$296,14),'Curve Paste'!BR155)</f>
        <v>3.27803577400441</v>
      </c>
      <c r="C155" s="1238" t="n">
        <f aca="false">IF(Assumptions!$L$30=4,VLOOKUP($A155,'Henwood Reference'!$E$9:$R$296,14),'Curve Paste'!BS155)</f>
        <v>3.27803577400441</v>
      </c>
      <c r="D155" s="1238" t="n">
        <f aca="false">IF(Assumptions!$L$30=4,VLOOKUP($A155,'Henwood Reference'!$E$9:$R$296,14),'Curve Paste'!BT155)</f>
        <v>3.27803577400441</v>
      </c>
      <c r="E155" s="1239" t="n">
        <v>0.1485</v>
      </c>
      <c r="F155" s="1239" t="n">
        <v>0.156</v>
      </c>
      <c r="G155" s="1239" t="n">
        <v>0.1635</v>
      </c>
      <c r="H155" s="1239" t="n">
        <f aca="false">I155-$H$4</f>
        <v>-0.07</v>
      </c>
      <c r="I155" s="1239"/>
      <c r="J155" s="1239" t="n">
        <f aca="false">I155+$J$4</f>
        <v>0.07</v>
      </c>
      <c r="K155" s="1243" t="n">
        <f aca="false">K143</f>
        <v>0</v>
      </c>
      <c r="L155" s="1241" t="n">
        <f aca="false">IF(Assumptions!$L$30=4,0,O155+P155)</f>
        <v>0</v>
      </c>
      <c r="M155" s="1242" t="n">
        <f aca="false">(IF(GasPriceCurve,IF(OBuySell=OCallPut,D155,B155),C155)+K155/1000+L155)/(1-GasTransportPercent)</f>
        <v>3.31784997368867</v>
      </c>
      <c r="N155" s="1239" t="n">
        <f aca="false">IF(Assumptions!$L$30=4,F155,CHOOSE(Assumptions!$L$30,E155,F155,G155))</f>
        <v>0.156</v>
      </c>
      <c r="O155" s="0" t="n">
        <v>0.22</v>
      </c>
      <c r="P155" s="647" t="n">
        <f aca="false">Assumptions!$L$32*(1+Assumptions!$C$26)^(YEAR(A155)-2000)</f>
        <v>0.103995827154129</v>
      </c>
    </row>
    <row r="156" customFormat="false" ht="12.75" hidden="false" customHeight="false" outlineLevel="0" collapsed="false">
      <c r="A156" s="1237" t="n">
        <f aca="false">'Curve Paste'!BQ156</f>
        <v>41214</v>
      </c>
      <c r="B156" s="1238" t="n">
        <f aca="false">IF(Assumptions!$L$30=4,VLOOKUP($A156,'Henwood Reference'!$E$9:$R$296,14),'Curve Paste'!BR156)</f>
        <v>3.40983705585882</v>
      </c>
      <c r="C156" s="1238" t="n">
        <f aca="false">IF(Assumptions!$L$30=4,VLOOKUP($A156,'Henwood Reference'!$E$9:$R$296,14),'Curve Paste'!BS156)</f>
        <v>3.40983705585882</v>
      </c>
      <c r="D156" s="1238" t="n">
        <f aca="false">IF(Assumptions!$L$30=4,VLOOKUP($A156,'Henwood Reference'!$E$9:$R$296,14),'Curve Paste'!BT156)</f>
        <v>3.40983705585882</v>
      </c>
      <c r="E156" s="1239" t="n">
        <v>0.1485</v>
      </c>
      <c r="F156" s="1239" t="n">
        <v>0.156</v>
      </c>
      <c r="G156" s="1239" t="n">
        <v>0.1635</v>
      </c>
      <c r="H156" s="1239" t="n">
        <f aca="false">I156-$H$4</f>
        <v>-0.07</v>
      </c>
      <c r="I156" s="1239"/>
      <c r="J156" s="1239" t="n">
        <f aca="false">I156+$J$4</f>
        <v>0.07</v>
      </c>
      <c r="K156" s="1243" t="n">
        <f aca="false">K144</f>
        <v>0</v>
      </c>
      <c r="L156" s="1241" t="n">
        <f aca="false">IF(Assumptions!$L$30=4,0,O156+P156)</f>
        <v>0</v>
      </c>
      <c r="M156" s="1242" t="n">
        <f aca="false">(IF(GasPriceCurve,IF(OBuySell=OCallPut,D156,B156),C156)+K156/1000+L156)/(1-GasTransportPercent)</f>
        <v>3.45125208082876</v>
      </c>
      <c r="N156" s="1239" t="n">
        <f aca="false">IF(Assumptions!$L$30=4,F156,CHOOSE(Assumptions!$L$30,E156,F156,G156))</f>
        <v>0.156</v>
      </c>
      <c r="O156" s="0" t="n">
        <v>0.185</v>
      </c>
      <c r="P156" s="647" t="n">
        <f aca="false">Assumptions!$L$32*(1+Assumptions!$C$26)^(YEAR(A156)-2000)</f>
        <v>0.103995827154129</v>
      </c>
    </row>
    <row r="157" customFormat="false" ht="12.75" hidden="false" customHeight="false" outlineLevel="0" collapsed="false">
      <c r="A157" s="1237" t="n">
        <f aca="false">'Curve Paste'!BQ157</f>
        <v>41244</v>
      </c>
      <c r="B157" s="1238" t="n">
        <f aca="false">IF(Assumptions!$L$30=4,VLOOKUP($A157,'Henwood Reference'!$E$9:$R$296,14),'Curve Paste'!BR157)</f>
        <v>3.54909751914399</v>
      </c>
      <c r="C157" s="1238" t="n">
        <f aca="false">IF(Assumptions!$L$30=4,VLOOKUP($A157,'Henwood Reference'!$E$9:$R$296,14),'Curve Paste'!BS157)</f>
        <v>3.54909751914399</v>
      </c>
      <c r="D157" s="1238" t="n">
        <f aca="false">IF(Assumptions!$L$30=4,VLOOKUP($A157,'Henwood Reference'!$E$9:$R$296,14),'Curve Paste'!BT157)</f>
        <v>3.54909751914399</v>
      </c>
      <c r="E157" s="1239" t="n">
        <v>0.1485</v>
      </c>
      <c r="F157" s="1239" t="n">
        <v>0.156</v>
      </c>
      <c r="G157" s="1239" t="n">
        <v>0.1635</v>
      </c>
      <c r="H157" s="1239" t="n">
        <f aca="false">I157-$H$4</f>
        <v>-0.07</v>
      </c>
      <c r="I157" s="1239"/>
      <c r="J157" s="1239" t="n">
        <f aca="false">I157+$J$4</f>
        <v>0.07</v>
      </c>
      <c r="K157" s="1243" t="n">
        <f aca="false">K145</f>
        <v>0</v>
      </c>
      <c r="L157" s="1241" t="n">
        <f aca="false">IF(Assumptions!$L$30=4,0,O157+P157)</f>
        <v>0</v>
      </c>
      <c r="M157" s="1242" t="n">
        <f aca="false">(IF(GasPriceCurve,IF(OBuySell=OCallPut,D157,B157),C157)+K157/1000+L157)/(1-GasTransportPercent)</f>
        <v>3.59220396674492</v>
      </c>
      <c r="N157" s="1239" t="n">
        <f aca="false">IF(Assumptions!$L$30=4,F157,CHOOSE(Assumptions!$L$30,E157,F157,G157))</f>
        <v>0.156</v>
      </c>
      <c r="O157" s="0" t="n">
        <v>0.185</v>
      </c>
      <c r="P157" s="647" t="n">
        <f aca="false">Assumptions!$L$32*(1+Assumptions!$C$26)^(YEAR(A157)-2000)</f>
        <v>0.103995827154129</v>
      </c>
    </row>
    <row r="158" customFormat="false" ht="12.75" hidden="false" customHeight="false" outlineLevel="0" collapsed="false">
      <c r="A158" s="1237" t="n">
        <f aca="false">'Curve Paste'!BQ158</f>
        <v>41275</v>
      </c>
      <c r="B158" s="1238" t="n">
        <f aca="false">IF(Assumptions!$L$30=4,VLOOKUP($A158,'Henwood Reference'!$E$9:$R$296,14),'Curve Paste'!BR158)</f>
        <v>3.45788525547659</v>
      </c>
      <c r="C158" s="1238" t="n">
        <f aca="false">IF(Assumptions!$L$30=4,VLOOKUP($A158,'Henwood Reference'!$E$9:$R$296,14),'Curve Paste'!BS158)</f>
        <v>3.45788525547659</v>
      </c>
      <c r="D158" s="1238" t="n">
        <f aca="false">IF(Assumptions!$L$30=4,VLOOKUP($A158,'Henwood Reference'!$E$9:$R$296,14),'Curve Paste'!BT158)</f>
        <v>3.45788525547659</v>
      </c>
      <c r="E158" s="1239" t="n">
        <v>0.1485</v>
      </c>
      <c r="F158" s="1239" t="n">
        <v>0.156</v>
      </c>
      <c r="G158" s="1239" t="n">
        <v>0.1635</v>
      </c>
      <c r="H158" s="1239" t="n">
        <f aca="false">I158-$H$4</f>
        <v>-0.07</v>
      </c>
      <c r="I158" s="1239"/>
      <c r="J158" s="1239" t="n">
        <f aca="false">I158+$J$4</f>
        <v>0.07</v>
      </c>
      <c r="K158" s="1243" t="n">
        <f aca="false">K146</f>
        <v>0</v>
      </c>
      <c r="L158" s="1241" t="n">
        <f aca="false">IF(Assumptions!$L$30=4,0,O158+P158)</f>
        <v>0</v>
      </c>
      <c r="M158" s="1242" t="n">
        <f aca="false">(IF(GasPriceCurve,IF(OBuySell=OCallPut,D158,B158),C158)+K158/1000+L158)/(1-GasTransportPercent)</f>
        <v>3.49988386181841</v>
      </c>
      <c r="N158" s="1239" t="n">
        <f aca="false">IF(Assumptions!$L$30=4,F158,CHOOSE(Assumptions!$L$30,E158,F158,G158))</f>
        <v>0.156</v>
      </c>
      <c r="O158" s="0" t="n">
        <v>0.15375</v>
      </c>
      <c r="P158" s="647" t="n">
        <f aca="false">Assumptions!$L$32*(1+Assumptions!$C$26)^(YEAR(A158)-2000)</f>
        <v>0.106075743697211</v>
      </c>
    </row>
    <row r="159" customFormat="false" ht="12.75" hidden="false" customHeight="false" outlineLevel="0" collapsed="false">
      <c r="A159" s="1237" t="n">
        <f aca="false">'Curve Paste'!BQ159</f>
        <v>41306</v>
      </c>
      <c r="B159" s="1238" t="n">
        <f aca="false">IF(Assumptions!$L$30=4,VLOOKUP($A159,'Henwood Reference'!$E$9:$R$296,14),'Curve Paste'!BR159)</f>
        <v>3.18839911474388</v>
      </c>
      <c r="C159" s="1238" t="n">
        <f aca="false">IF(Assumptions!$L$30=4,VLOOKUP($A159,'Henwood Reference'!$E$9:$R$296,14),'Curve Paste'!BS159)</f>
        <v>3.18839911474388</v>
      </c>
      <c r="D159" s="1238" t="n">
        <f aca="false">IF(Assumptions!$L$30=4,VLOOKUP($A159,'Henwood Reference'!$E$9:$R$296,14),'Curve Paste'!BT159)</f>
        <v>3.18839911474388</v>
      </c>
      <c r="E159" s="1239" t="n">
        <v>0.1475</v>
      </c>
      <c r="F159" s="1239" t="n">
        <v>0.155</v>
      </c>
      <c r="G159" s="1239" t="n">
        <v>0.1625</v>
      </c>
      <c r="H159" s="1239" t="n">
        <f aca="false">I159-$H$4</f>
        <v>-0.07</v>
      </c>
      <c r="I159" s="1239"/>
      <c r="J159" s="1239" t="n">
        <f aca="false">I159+$J$4</f>
        <v>0.07</v>
      </c>
      <c r="K159" s="1243" t="n">
        <f aca="false">K147</f>
        <v>0</v>
      </c>
      <c r="L159" s="1241" t="n">
        <f aca="false">IF(Assumptions!$L$30=4,0,O159+P159)</f>
        <v>0</v>
      </c>
      <c r="M159" s="1242" t="n">
        <f aca="false">(IF(GasPriceCurve,IF(OBuySell=OCallPut,D159,B159),C159)+K159/1000+L159)/(1-GasTransportPercent)</f>
        <v>3.22712461006465</v>
      </c>
      <c r="N159" s="1239" t="n">
        <f aca="false">IF(Assumptions!$L$30=4,F159,CHOOSE(Assumptions!$L$30,E159,F159,G159))</f>
        <v>0.155</v>
      </c>
      <c r="O159" s="0" t="n">
        <v>0.15375</v>
      </c>
      <c r="P159" s="647" t="n">
        <f aca="false">Assumptions!$L$32*(1+Assumptions!$C$26)^(YEAR(A159)-2000)</f>
        <v>0.106075743697211</v>
      </c>
    </row>
    <row r="160" customFormat="false" ht="12.75" hidden="false" customHeight="false" outlineLevel="0" collapsed="false">
      <c r="A160" s="1237" t="n">
        <f aca="false">'Curve Paste'!BQ160</f>
        <v>41334</v>
      </c>
      <c r="B160" s="1238" t="n">
        <f aca="false">IF(Assumptions!$L$30=4,VLOOKUP($A160,'Henwood Reference'!$E$9:$R$296,14),'Curve Paste'!BR160)</f>
        <v>3.01265798463442</v>
      </c>
      <c r="C160" s="1238" t="n">
        <f aca="false">IF(Assumptions!$L$30=4,VLOOKUP($A160,'Henwood Reference'!$E$9:$R$296,14),'Curve Paste'!BS160)</f>
        <v>3.01265798463442</v>
      </c>
      <c r="D160" s="1238" t="n">
        <f aca="false">IF(Assumptions!$L$30=4,VLOOKUP($A160,'Henwood Reference'!$E$9:$R$296,14),'Curve Paste'!BT160)</f>
        <v>3.01265798463442</v>
      </c>
      <c r="E160" s="1239" t="n">
        <v>0.1475</v>
      </c>
      <c r="F160" s="1239" t="n">
        <v>0.155</v>
      </c>
      <c r="G160" s="1239" t="n">
        <v>0.1625</v>
      </c>
      <c r="H160" s="1239" t="n">
        <f aca="false">I160-$H$4</f>
        <v>-0.07</v>
      </c>
      <c r="I160" s="1239"/>
      <c r="J160" s="1239" t="n">
        <f aca="false">I160+$J$4</f>
        <v>0.07</v>
      </c>
      <c r="K160" s="1243" t="n">
        <f aca="false">K148</f>
        <v>0</v>
      </c>
      <c r="L160" s="1241" t="n">
        <f aca="false">IF(Assumptions!$L$30=4,0,O160+P160)</f>
        <v>0</v>
      </c>
      <c r="M160" s="1242" t="n">
        <f aca="false">(IF(GasPriceCurve,IF(OBuySell=OCallPut,D160,B160),C160)+K160/1000+L160)/(1-GasTransportPercent)</f>
        <v>3.04924897230204</v>
      </c>
      <c r="N160" s="1239" t="n">
        <f aca="false">IF(Assumptions!$L$30=4,F160,CHOOSE(Assumptions!$L$30,E160,F160,G160))</f>
        <v>0.155</v>
      </c>
      <c r="O160" s="0" t="n">
        <v>0.17125</v>
      </c>
      <c r="P160" s="647" t="n">
        <f aca="false">Assumptions!$L$32*(1+Assumptions!$C$26)^(YEAR(A160)-2000)</f>
        <v>0.106075743697211</v>
      </c>
    </row>
    <row r="161" customFormat="false" ht="12.75" hidden="false" customHeight="false" outlineLevel="0" collapsed="false">
      <c r="A161" s="1237" t="n">
        <f aca="false">'Curve Paste'!BQ161</f>
        <v>41365</v>
      </c>
      <c r="B161" s="1238" t="n">
        <f aca="false">IF(Assumptions!$L$30=4,VLOOKUP($A161,'Henwood Reference'!$E$9:$R$296,14),'Curve Paste'!BR161)</f>
        <v>2.91736870395593</v>
      </c>
      <c r="C161" s="1238" t="n">
        <f aca="false">IF(Assumptions!$L$30=4,VLOOKUP($A161,'Henwood Reference'!$E$9:$R$296,14),'Curve Paste'!BS161)</f>
        <v>2.91736870395593</v>
      </c>
      <c r="D161" s="1238" t="n">
        <f aca="false">IF(Assumptions!$L$30=4,VLOOKUP($A161,'Henwood Reference'!$E$9:$R$296,14),'Curve Paste'!BT161)</f>
        <v>2.91736870395593</v>
      </c>
      <c r="E161" s="1239" t="n">
        <v>0.1475</v>
      </c>
      <c r="F161" s="1239" t="n">
        <v>0.155</v>
      </c>
      <c r="G161" s="1239" t="n">
        <v>0.1625</v>
      </c>
      <c r="H161" s="1239" t="n">
        <f aca="false">I161-$H$4</f>
        <v>-0.07</v>
      </c>
      <c r="I161" s="1239"/>
      <c r="J161" s="1239" t="n">
        <f aca="false">I161+$J$4</f>
        <v>0.07</v>
      </c>
      <c r="K161" s="1243" t="n">
        <f aca="false">K149</f>
        <v>0</v>
      </c>
      <c r="L161" s="1241" t="n">
        <f aca="false">IF(Assumptions!$L$30=4,0,O161+P161)</f>
        <v>0</v>
      </c>
      <c r="M161" s="1242" t="n">
        <f aca="false">(IF(GasPriceCurve,IF(OBuySell=OCallPut,D161,B161),C161)+K161/1000+L161)/(1-GasTransportPercent)</f>
        <v>2.9528023319392</v>
      </c>
      <c r="N161" s="1239" t="n">
        <f aca="false">IF(Assumptions!$L$30=4,F161,CHOOSE(Assumptions!$L$30,E161,F161,G161))</f>
        <v>0.155</v>
      </c>
      <c r="O161" s="0" t="n">
        <v>0.15625</v>
      </c>
      <c r="P161" s="647" t="n">
        <f aca="false">Assumptions!$L$32*(1+Assumptions!$C$26)^(YEAR(A161)-2000)</f>
        <v>0.106075743697211</v>
      </c>
    </row>
    <row r="162" customFormat="false" ht="12.75" hidden="false" customHeight="false" outlineLevel="0" collapsed="false">
      <c r="A162" s="1237" t="n">
        <f aca="false">'Curve Paste'!BQ162</f>
        <v>41395</v>
      </c>
      <c r="B162" s="1238" t="n">
        <f aca="false">IF(Assumptions!$L$30=4,VLOOKUP($A162,'Henwood Reference'!$E$9:$R$296,14),'Curve Paste'!BR162)</f>
        <v>2.8906613277104</v>
      </c>
      <c r="C162" s="1238" t="n">
        <f aca="false">IF(Assumptions!$L$30=4,VLOOKUP($A162,'Henwood Reference'!$E$9:$R$296,14),'Curve Paste'!BS162)</f>
        <v>2.8906613277104</v>
      </c>
      <c r="D162" s="1238" t="n">
        <f aca="false">IF(Assumptions!$L$30=4,VLOOKUP($A162,'Henwood Reference'!$E$9:$R$296,14),'Curve Paste'!BT162)</f>
        <v>2.8906613277104</v>
      </c>
      <c r="E162" s="1239" t="n">
        <v>0.1475</v>
      </c>
      <c r="F162" s="1239" t="n">
        <v>0.155</v>
      </c>
      <c r="G162" s="1239" t="n">
        <v>0.1625</v>
      </c>
      <c r="H162" s="1239" t="n">
        <f aca="false">I162-$H$4</f>
        <v>-0.07</v>
      </c>
      <c r="I162" s="1239"/>
      <c r="J162" s="1239" t="n">
        <f aca="false">I162+$J$4</f>
        <v>0.07</v>
      </c>
      <c r="K162" s="1243" t="n">
        <f aca="false">K150</f>
        <v>0</v>
      </c>
      <c r="L162" s="1241" t="n">
        <f aca="false">IF(Assumptions!$L$30=4,0,O162+P162)</f>
        <v>0</v>
      </c>
      <c r="M162" s="1242" t="n">
        <f aca="false">(IF(GasPriceCurve,IF(OBuySell=OCallPut,D162,B162),C162)+K162/1000+L162)/(1-GasTransportPercent)</f>
        <v>2.92577057460567</v>
      </c>
      <c r="N162" s="1239" t="n">
        <f aca="false">IF(Assumptions!$L$30=4,F162,CHOOSE(Assumptions!$L$30,E162,F162,G162))</f>
        <v>0.155</v>
      </c>
      <c r="O162" s="0" t="n">
        <v>0.17125</v>
      </c>
      <c r="P162" s="647" t="n">
        <f aca="false">Assumptions!$L$32*(1+Assumptions!$C$26)^(YEAR(A162)-2000)</f>
        <v>0.106075743697211</v>
      </c>
    </row>
    <row r="163" customFormat="false" ht="12.75" hidden="false" customHeight="false" outlineLevel="0" collapsed="false">
      <c r="A163" s="1237" t="n">
        <f aca="false">'Curve Paste'!BQ163</f>
        <v>41426</v>
      </c>
      <c r="B163" s="1238" t="n">
        <f aca="false">IF(Assumptions!$L$30=4,VLOOKUP($A163,'Henwood Reference'!$E$9:$R$296,14),'Curve Paste'!BR163)</f>
        <v>2.92066591089982</v>
      </c>
      <c r="C163" s="1238" t="n">
        <f aca="false">IF(Assumptions!$L$30=4,VLOOKUP($A163,'Henwood Reference'!$E$9:$R$296,14),'Curve Paste'!BS163)</f>
        <v>2.92066591089982</v>
      </c>
      <c r="D163" s="1238" t="n">
        <f aca="false">IF(Assumptions!$L$30=4,VLOOKUP($A163,'Henwood Reference'!$E$9:$R$296,14),'Curve Paste'!BT163)</f>
        <v>2.92066591089982</v>
      </c>
      <c r="E163" s="1239" t="n">
        <v>0.1475</v>
      </c>
      <c r="F163" s="1239" t="n">
        <v>0.155</v>
      </c>
      <c r="G163" s="1239" t="n">
        <v>0.1625</v>
      </c>
      <c r="H163" s="1239" t="n">
        <f aca="false">I163-$H$4</f>
        <v>-0.07</v>
      </c>
      <c r="I163" s="1239"/>
      <c r="J163" s="1239" t="n">
        <f aca="false">I163+$J$4</f>
        <v>0.07</v>
      </c>
      <c r="K163" s="1243" t="n">
        <f aca="false">K151</f>
        <v>0</v>
      </c>
      <c r="L163" s="1241" t="n">
        <f aca="false">IF(Assumptions!$L$30=4,0,O163+P163)</f>
        <v>0</v>
      </c>
      <c r="M163" s="1242" t="n">
        <f aca="false">(IF(GasPriceCurve,IF(OBuySell=OCallPut,D163,B163),C163)+K163/1000+L163)/(1-GasTransportPercent)</f>
        <v>2.95613958593099</v>
      </c>
      <c r="N163" s="1239" t="n">
        <f aca="false">IF(Assumptions!$L$30=4,F163,CHOOSE(Assumptions!$L$30,E163,F163,G163))</f>
        <v>0.155</v>
      </c>
      <c r="O163" s="0" t="n">
        <v>0.20125</v>
      </c>
      <c r="P163" s="647" t="n">
        <f aca="false">Assumptions!$L$32*(1+Assumptions!$C$26)^(YEAR(A163)-2000)</f>
        <v>0.106075743697211</v>
      </c>
    </row>
    <row r="164" customFormat="false" ht="12.75" hidden="false" customHeight="false" outlineLevel="0" collapsed="false">
      <c r="A164" s="1237" t="n">
        <f aca="false">'Curve Paste'!BQ164</f>
        <v>41456</v>
      </c>
      <c r="B164" s="1238" t="n">
        <f aca="false">IF(Assumptions!$L$30=4,VLOOKUP($A164,'Henwood Reference'!$E$9:$R$296,14),'Curve Paste'!BR164)</f>
        <v>2.99551250852618</v>
      </c>
      <c r="C164" s="1238" t="n">
        <f aca="false">IF(Assumptions!$L$30=4,VLOOKUP($A164,'Henwood Reference'!$E$9:$R$296,14),'Curve Paste'!BS164)</f>
        <v>2.99551250852618</v>
      </c>
      <c r="D164" s="1238" t="n">
        <f aca="false">IF(Assumptions!$L$30=4,VLOOKUP($A164,'Henwood Reference'!$E$9:$R$296,14),'Curve Paste'!BT164)</f>
        <v>2.99551250852618</v>
      </c>
      <c r="E164" s="1239" t="n">
        <v>0.1475</v>
      </c>
      <c r="F164" s="1239" t="n">
        <v>0.155</v>
      </c>
      <c r="G164" s="1239" t="n">
        <v>0.1625</v>
      </c>
      <c r="H164" s="1239" t="n">
        <f aca="false">I164-$H$4</f>
        <v>-0.07</v>
      </c>
      <c r="I164" s="1239"/>
      <c r="J164" s="1239" t="n">
        <f aca="false">I164+$J$4</f>
        <v>0.07</v>
      </c>
      <c r="K164" s="1243" t="n">
        <f aca="false">K152</f>
        <v>0</v>
      </c>
      <c r="L164" s="1241" t="n">
        <f aca="false">IF(Assumptions!$L$30=4,0,O164+P164)</f>
        <v>0</v>
      </c>
      <c r="M164" s="1242" t="n">
        <f aca="false">(IF(GasPriceCurve,IF(OBuySell=OCallPut,D164,B164),C164)+K164/1000+L164)/(1-GasTransportPercent)</f>
        <v>3.03189525154471</v>
      </c>
      <c r="N164" s="1239" t="n">
        <f aca="false">IF(Assumptions!$L$30=4,F164,CHOOSE(Assumptions!$L$30,E164,F164,G164))</f>
        <v>0.155</v>
      </c>
      <c r="O164" s="0" t="n">
        <v>0.30125</v>
      </c>
      <c r="P164" s="647" t="n">
        <f aca="false">Assumptions!$L$32*(1+Assumptions!$C$26)^(YEAR(A164)-2000)</f>
        <v>0.106075743697211</v>
      </c>
    </row>
    <row r="165" customFormat="false" ht="12.75" hidden="false" customHeight="false" outlineLevel="0" collapsed="false">
      <c r="A165" s="1237" t="n">
        <f aca="false">'Curve Paste'!BQ165</f>
        <v>41487</v>
      </c>
      <c r="B165" s="1238" t="n">
        <f aca="false">IF(Assumptions!$L$30=4,VLOOKUP($A165,'Henwood Reference'!$E$9:$R$296,14),'Curve Paste'!BR165)</f>
        <v>3.10333117559146</v>
      </c>
      <c r="C165" s="1238" t="n">
        <f aca="false">IF(Assumptions!$L$30=4,VLOOKUP($A165,'Henwood Reference'!$E$9:$R$296,14),'Curve Paste'!BS165)</f>
        <v>3.10333117559146</v>
      </c>
      <c r="D165" s="1238" t="n">
        <f aca="false">IF(Assumptions!$L$30=4,VLOOKUP($A165,'Henwood Reference'!$E$9:$R$296,14),'Curve Paste'!BT165)</f>
        <v>3.10333117559146</v>
      </c>
      <c r="E165" s="1239" t="n">
        <v>0.1475</v>
      </c>
      <c r="F165" s="1239" t="n">
        <v>0.155</v>
      </c>
      <c r="G165" s="1239" t="n">
        <v>0.1625</v>
      </c>
      <c r="H165" s="1239" t="n">
        <f aca="false">I165-$H$4</f>
        <v>-0.07</v>
      </c>
      <c r="I165" s="1239"/>
      <c r="J165" s="1239" t="n">
        <f aca="false">I165+$J$4</f>
        <v>0.07</v>
      </c>
      <c r="K165" s="1243" t="n">
        <f aca="false">K153</f>
        <v>0</v>
      </c>
      <c r="L165" s="1241" t="n">
        <f aca="false">IF(Assumptions!$L$30=4,0,O165+P165)</f>
        <v>0</v>
      </c>
      <c r="M165" s="1242" t="n">
        <f aca="false">(IF(GasPriceCurve,IF(OBuySell=OCallPut,D165,B165),C165)+K165/1000+L165)/(1-GasTransportPercent)</f>
        <v>3.14102345707637</v>
      </c>
      <c r="N165" s="1239" t="n">
        <f aca="false">IF(Assumptions!$L$30=4,F165,CHOOSE(Assumptions!$L$30,E165,F165,G165))</f>
        <v>0.155</v>
      </c>
      <c r="O165" s="0" t="n">
        <v>0.30125</v>
      </c>
      <c r="P165" s="647" t="n">
        <f aca="false">Assumptions!$L$32*(1+Assumptions!$C$26)^(YEAR(A165)-2000)</f>
        <v>0.106075743697211</v>
      </c>
    </row>
    <row r="166" customFormat="false" ht="12.75" hidden="false" customHeight="false" outlineLevel="0" collapsed="false">
      <c r="A166" s="1237" t="n">
        <f aca="false">'Curve Paste'!BQ166</f>
        <v>41518</v>
      </c>
      <c r="B166" s="1238" t="n">
        <f aca="false">IF(Assumptions!$L$30=4,VLOOKUP($A166,'Henwood Reference'!$E$9:$R$296,14),'Curve Paste'!BR166)</f>
        <v>3.23225196709765</v>
      </c>
      <c r="C166" s="1238" t="n">
        <f aca="false">IF(Assumptions!$L$30=4,VLOOKUP($A166,'Henwood Reference'!$E$9:$R$296,14),'Curve Paste'!BS166)</f>
        <v>3.23225196709765</v>
      </c>
      <c r="D166" s="1238" t="n">
        <f aca="false">IF(Assumptions!$L$30=4,VLOOKUP($A166,'Henwood Reference'!$E$9:$R$296,14),'Curve Paste'!BT166)</f>
        <v>3.23225196709765</v>
      </c>
      <c r="E166" s="1239" t="n">
        <v>0.1475</v>
      </c>
      <c r="F166" s="1239" t="n">
        <v>0.155</v>
      </c>
      <c r="G166" s="1239" t="n">
        <v>0.1625</v>
      </c>
      <c r="H166" s="1239" t="n">
        <f aca="false">I166-$H$4</f>
        <v>-0.07</v>
      </c>
      <c r="I166" s="1239"/>
      <c r="J166" s="1239" t="n">
        <f aca="false">I166+$J$4</f>
        <v>0.07</v>
      </c>
      <c r="K166" s="1243" t="n">
        <f aca="false">K154</f>
        <v>0</v>
      </c>
      <c r="L166" s="1241" t="n">
        <f aca="false">IF(Assumptions!$L$30=4,0,O166+P166)</f>
        <v>0</v>
      </c>
      <c r="M166" s="1242" t="n">
        <f aca="false">(IF(GasPriceCurve,IF(OBuySell=OCallPut,D166,B166),C166)+K166/1000+L166)/(1-GasTransportPercent)</f>
        <v>3.27151008815551</v>
      </c>
      <c r="N166" s="1239" t="n">
        <f aca="false">IF(Assumptions!$L$30=4,F166,CHOOSE(Assumptions!$L$30,E166,F166,G166))</f>
        <v>0.155</v>
      </c>
      <c r="O166" s="0" t="n">
        <v>0.30125</v>
      </c>
      <c r="P166" s="647" t="n">
        <f aca="false">Assumptions!$L$32*(1+Assumptions!$C$26)^(YEAR(A166)-2000)</f>
        <v>0.106075743697211</v>
      </c>
    </row>
    <row r="167" customFormat="false" ht="12.75" hidden="false" customHeight="false" outlineLevel="0" collapsed="false">
      <c r="A167" s="1237" t="n">
        <f aca="false">'Curve Paste'!BQ167</f>
        <v>41548</v>
      </c>
      <c r="B167" s="1238" t="n">
        <f aca="false">IF(Assumptions!$L$30=4,VLOOKUP($A167,'Henwood Reference'!$E$9:$R$296,14),'Curve Paste'!BR167)</f>
        <v>3.37040493804674</v>
      </c>
      <c r="C167" s="1238" t="n">
        <f aca="false">IF(Assumptions!$L$30=4,VLOOKUP($A167,'Henwood Reference'!$E$9:$R$296,14),'Curve Paste'!BS167)</f>
        <v>3.37040493804674</v>
      </c>
      <c r="D167" s="1238" t="n">
        <f aca="false">IF(Assumptions!$L$30=4,VLOOKUP($A167,'Henwood Reference'!$E$9:$R$296,14),'Curve Paste'!BT167)</f>
        <v>3.37040493804674</v>
      </c>
      <c r="E167" s="1239" t="n">
        <v>0.1475</v>
      </c>
      <c r="F167" s="1239" t="n">
        <v>0.155</v>
      </c>
      <c r="G167" s="1239" t="n">
        <v>0.1625</v>
      </c>
      <c r="H167" s="1239" t="n">
        <f aca="false">I167-$H$4</f>
        <v>-0.07</v>
      </c>
      <c r="I167" s="1239"/>
      <c r="J167" s="1239" t="n">
        <f aca="false">I167+$J$4</f>
        <v>0.07</v>
      </c>
      <c r="K167" s="1243" t="n">
        <f aca="false">K155</f>
        <v>0</v>
      </c>
      <c r="L167" s="1241" t="n">
        <f aca="false">IF(Assumptions!$L$30=4,0,O167+P167)</f>
        <v>0</v>
      </c>
      <c r="M167" s="1242" t="n">
        <f aca="false">(IF(GasPriceCurve,IF(OBuySell=OCallPut,D167,B167),C167)+K167/1000+L167)/(1-GasTransportPercent)</f>
        <v>3.41134103041168</v>
      </c>
      <c r="N167" s="1239" t="n">
        <f aca="false">IF(Assumptions!$L$30=4,F167,CHOOSE(Assumptions!$L$30,E167,F167,G167))</f>
        <v>0.155</v>
      </c>
      <c r="O167" s="0" t="n">
        <v>0.22125</v>
      </c>
      <c r="P167" s="647" t="n">
        <f aca="false">Assumptions!$L$32*(1+Assumptions!$C$26)^(YEAR(A167)-2000)</f>
        <v>0.106075743697211</v>
      </c>
    </row>
    <row r="168" customFormat="false" ht="12.75" hidden="false" customHeight="false" outlineLevel="0" collapsed="false">
      <c r="A168" s="1237" t="n">
        <f aca="false">'Curve Paste'!BQ168</f>
        <v>41579</v>
      </c>
      <c r="B168" s="1238" t="n">
        <f aca="false">IF(Assumptions!$L$30=4,VLOOKUP($A168,'Henwood Reference'!$E$9:$R$296,14),'Curve Paste'!BR168)</f>
        <v>3.50592014344071</v>
      </c>
      <c r="C168" s="1238" t="n">
        <f aca="false">IF(Assumptions!$L$30=4,VLOOKUP($A168,'Henwood Reference'!$E$9:$R$296,14),'Curve Paste'!BS168)</f>
        <v>3.50592014344071</v>
      </c>
      <c r="D168" s="1238" t="n">
        <f aca="false">IF(Assumptions!$L$30=4,VLOOKUP($A168,'Henwood Reference'!$E$9:$R$296,14),'Curve Paste'!BT168)</f>
        <v>3.50592014344071</v>
      </c>
      <c r="E168" s="1239" t="n">
        <v>0.1475</v>
      </c>
      <c r="F168" s="1239" t="n">
        <v>0.155</v>
      </c>
      <c r="G168" s="1239" t="n">
        <v>0.1625</v>
      </c>
      <c r="H168" s="1239" t="n">
        <f aca="false">I168-$H$4</f>
        <v>-0.07</v>
      </c>
      <c r="I168" s="1239"/>
      <c r="J168" s="1239" t="n">
        <f aca="false">I168+$J$4</f>
        <v>0.07</v>
      </c>
      <c r="K168" s="1243" t="n">
        <f aca="false">K156</f>
        <v>0</v>
      </c>
      <c r="L168" s="1241" t="n">
        <f aca="false">IF(Assumptions!$L$30=4,0,O168+P168)</f>
        <v>0</v>
      </c>
      <c r="M168" s="1242" t="n">
        <f aca="false">(IF(GasPriceCurve,IF(OBuySell=OCallPut,D168,B168),C168)+K168/1000+L168)/(1-GasTransportPercent)</f>
        <v>3.5485021694744</v>
      </c>
      <c r="N168" s="1239" t="n">
        <f aca="false">IF(Assumptions!$L$30=4,F168,CHOOSE(Assumptions!$L$30,E168,F168,G168))</f>
        <v>0.155</v>
      </c>
      <c r="O168" s="0" t="n">
        <v>0.18625</v>
      </c>
      <c r="P168" s="647" t="n">
        <f aca="false">Assumptions!$L$32*(1+Assumptions!$C$26)^(YEAR(A168)-2000)</f>
        <v>0.106075743697211</v>
      </c>
    </row>
    <row r="169" customFormat="false" ht="12.75" hidden="false" customHeight="false" outlineLevel="0" collapsed="false">
      <c r="A169" s="1237" t="n">
        <f aca="false">'Curve Paste'!BQ169</f>
        <v>41609</v>
      </c>
      <c r="B169" s="1238" t="n">
        <f aca="false">IF(Assumptions!$L$30=4,VLOOKUP($A169,'Henwood Reference'!$E$9:$R$296,14),'Curve Paste'!BR169)</f>
        <v>3.64910471660894</v>
      </c>
      <c r="C169" s="1238" t="n">
        <f aca="false">IF(Assumptions!$L$30=4,VLOOKUP($A169,'Henwood Reference'!$E$9:$R$296,14),'Curve Paste'!BS169)</f>
        <v>3.64910471660894</v>
      </c>
      <c r="D169" s="1238" t="n">
        <f aca="false">IF(Assumptions!$L$30=4,VLOOKUP($A169,'Henwood Reference'!$E$9:$R$296,14),'Curve Paste'!BT169)</f>
        <v>3.64910471660894</v>
      </c>
      <c r="E169" s="1239" t="n">
        <v>0.1475</v>
      </c>
      <c r="F169" s="1239" t="n">
        <v>0.155</v>
      </c>
      <c r="G169" s="1239" t="n">
        <v>0.1625</v>
      </c>
      <c r="H169" s="1239" t="n">
        <f aca="false">I169-$H$4</f>
        <v>-0.07</v>
      </c>
      <c r="I169" s="1239"/>
      <c r="J169" s="1239" t="n">
        <f aca="false">I169+$J$4</f>
        <v>0.07</v>
      </c>
      <c r="K169" s="1243" t="n">
        <f aca="false">K157</f>
        <v>0</v>
      </c>
      <c r="L169" s="1241" t="n">
        <f aca="false">IF(Assumptions!$L$30=4,0,O169+P169)</f>
        <v>0</v>
      </c>
      <c r="M169" s="1242" t="n">
        <f aca="false">(IF(GasPriceCurve,IF(OBuySell=OCallPut,D169,B169),C169)+K169/1000+L169)/(1-GasTransportPercent)</f>
        <v>3.69342582652726</v>
      </c>
      <c r="N169" s="1239" t="n">
        <f aca="false">IF(Assumptions!$L$30=4,F169,CHOOSE(Assumptions!$L$30,E169,F169,G169))</f>
        <v>0.155</v>
      </c>
      <c r="O169" s="0" t="n">
        <v>0.18625</v>
      </c>
      <c r="P169" s="647" t="n">
        <f aca="false">Assumptions!$L$32*(1+Assumptions!$C$26)^(YEAR(A169)-2000)</f>
        <v>0.106075743697211</v>
      </c>
    </row>
    <row r="170" customFormat="false" ht="12.75" hidden="false" customHeight="false" outlineLevel="0" collapsed="false">
      <c r="A170" s="1237" t="n">
        <f aca="false">'Curve Paste'!BQ170</f>
        <v>41640</v>
      </c>
      <c r="B170" s="1238" t="n">
        <f aca="false">IF(Assumptions!$L$30=4,VLOOKUP($A170,'Henwood Reference'!$E$9:$R$296,14),'Curve Paste'!BR170)</f>
        <v>3.53870779665819</v>
      </c>
      <c r="C170" s="1238" t="n">
        <f aca="false">IF(Assumptions!$L$30=4,VLOOKUP($A170,'Henwood Reference'!$E$9:$R$296,14),'Curve Paste'!BS170)</f>
        <v>3.53870779665819</v>
      </c>
      <c r="D170" s="1238" t="n">
        <f aca="false">IF(Assumptions!$L$30=4,VLOOKUP($A170,'Henwood Reference'!$E$9:$R$296,14),'Curve Paste'!BT170)</f>
        <v>3.53870779665819</v>
      </c>
      <c r="E170" s="1239" t="n">
        <v>0.1475</v>
      </c>
      <c r="F170" s="1239" t="n">
        <v>0.155</v>
      </c>
      <c r="G170" s="1239" t="n">
        <v>0.1625</v>
      </c>
      <c r="H170" s="1239" t="n">
        <f aca="false">I170-$H$4</f>
        <v>-0.07</v>
      </c>
      <c r="I170" s="1239"/>
      <c r="J170" s="1239" t="n">
        <f aca="false">I170+$J$4</f>
        <v>0.07</v>
      </c>
      <c r="K170" s="1243" t="n">
        <f aca="false">K158</f>
        <v>0</v>
      </c>
      <c r="L170" s="1241" t="n">
        <f aca="false">IF(Assumptions!$L$30=4,0,O170+P170)</f>
        <v>0</v>
      </c>
      <c r="M170" s="1242" t="n">
        <f aca="false">(IF(GasPriceCurve,IF(OBuySell=OCallPut,D170,B170),C170)+K170/1000+L170)/(1-GasTransportPercent)</f>
        <v>3.58168805329776</v>
      </c>
      <c r="N170" s="1239" t="n">
        <f aca="false">IF(Assumptions!$L$30=4,F170,CHOOSE(Assumptions!$L$30,E170,F170,G170))</f>
        <v>0.155</v>
      </c>
      <c r="O170" s="0" t="n">
        <v>0.155</v>
      </c>
      <c r="P170" s="647" t="n">
        <f aca="false">Assumptions!$L$32*(1+Assumptions!$C$26)^(YEAR(A170)-2000)</f>
        <v>0.108197258571156</v>
      </c>
    </row>
    <row r="171" customFormat="false" ht="12.75" hidden="false" customHeight="false" outlineLevel="0" collapsed="false">
      <c r="A171" s="1237" t="n">
        <f aca="false">'Curve Paste'!BQ171</f>
        <v>41671</v>
      </c>
      <c r="B171" s="1238" t="n">
        <f aca="false">IF(Assumptions!$L$30=4,VLOOKUP($A171,'Henwood Reference'!$E$9:$R$296,14),'Curve Paste'!BR171)</f>
        <v>3.26292284809987</v>
      </c>
      <c r="C171" s="1238" t="n">
        <f aca="false">IF(Assumptions!$L$30=4,VLOOKUP($A171,'Henwood Reference'!$E$9:$R$296,14),'Curve Paste'!BS171)</f>
        <v>3.26292284809987</v>
      </c>
      <c r="D171" s="1238" t="n">
        <f aca="false">IF(Assumptions!$L$30=4,VLOOKUP($A171,'Henwood Reference'!$E$9:$R$296,14),'Curve Paste'!BT171)</f>
        <v>3.26292284809987</v>
      </c>
      <c r="E171" s="1239" t="n">
        <v>0.1465</v>
      </c>
      <c r="F171" s="1239" t="n">
        <v>0.154</v>
      </c>
      <c r="G171" s="1239" t="n">
        <v>0.1615</v>
      </c>
      <c r="H171" s="1239" t="n">
        <f aca="false">I171-$H$4</f>
        <v>-0.07</v>
      </c>
      <c r="I171" s="1239"/>
      <c r="J171" s="1239" t="n">
        <f aca="false">I171+$J$4</f>
        <v>0.07</v>
      </c>
      <c r="K171" s="1243" t="n">
        <f aca="false">K159</f>
        <v>0</v>
      </c>
      <c r="L171" s="1241" t="n">
        <f aca="false">IF(Assumptions!$L$30=4,0,O171+P171)</f>
        <v>0</v>
      </c>
      <c r="M171" s="1242" t="n">
        <f aca="false">(IF(GasPriceCurve,IF(OBuySell=OCallPut,D171,B171),C171)+K171/1000+L171)/(1-GasTransportPercent)</f>
        <v>3.30255348997963</v>
      </c>
      <c r="N171" s="1239" t="n">
        <f aca="false">IF(Assumptions!$L$30=4,F171,CHOOSE(Assumptions!$L$30,E171,F171,G171))</f>
        <v>0.154</v>
      </c>
      <c r="O171" s="0" t="n">
        <v>0.155</v>
      </c>
      <c r="P171" s="647" t="n">
        <f aca="false">Assumptions!$L$32*(1+Assumptions!$C$26)^(YEAR(A171)-2000)</f>
        <v>0.108197258571156</v>
      </c>
    </row>
    <row r="172" customFormat="false" ht="12.75" hidden="false" customHeight="false" outlineLevel="0" collapsed="false">
      <c r="A172" s="1237" t="n">
        <f aca="false">'Curve Paste'!BQ172</f>
        <v>41699</v>
      </c>
      <c r="B172" s="1238" t="n">
        <f aca="false">IF(Assumptions!$L$30=4,VLOOKUP($A172,'Henwood Reference'!$E$9:$R$296,14),'Curve Paste'!BR172)</f>
        <v>3.08307404995745</v>
      </c>
      <c r="C172" s="1238" t="n">
        <f aca="false">IF(Assumptions!$L$30=4,VLOOKUP($A172,'Henwood Reference'!$E$9:$R$296,14),'Curve Paste'!BS172)</f>
        <v>3.08307404995745</v>
      </c>
      <c r="D172" s="1238" t="n">
        <f aca="false">IF(Assumptions!$L$30=4,VLOOKUP($A172,'Henwood Reference'!$E$9:$R$296,14),'Curve Paste'!BT172)</f>
        <v>3.08307404995745</v>
      </c>
      <c r="E172" s="1239" t="n">
        <v>0.1465</v>
      </c>
      <c r="F172" s="1239" t="n">
        <v>0.154</v>
      </c>
      <c r="G172" s="1239" t="n">
        <v>0.1615</v>
      </c>
      <c r="H172" s="1239" t="n">
        <f aca="false">I172-$H$4</f>
        <v>-0.07</v>
      </c>
      <c r="I172" s="1239"/>
      <c r="J172" s="1239" t="n">
        <f aca="false">I172+$J$4</f>
        <v>0.07</v>
      </c>
      <c r="K172" s="1243" t="n">
        <f aca="false">K160</f>
        <v>0</v>
      </c>
      <c r="L172" s="1241" t="n">
        <f aca="false">IF(Assumptions!$L$30=4,0,O172+P172)</f>
        <v>0</v>
      </c>
      <c r="M172" s="1242" t="n">
        <f aca="false">(IF(GasPriceCurve,IF(OBuySell=OCallPut,D172,B172),C172)+K172/1000+L172)/(1-GasTransportPercent)</f>
        <v>3.1205202934792</v>
      </c>
      <c r="N172" s="1239" t="n">
        <f aca="false">IF(Assumptions!$L$30=4,F172,CHOOSE(Assumptions!$L$30,E172,F172,G172))</f>
        <v>0.154</v>
      </c>
      <c r="O172" s="0" t="n">
        <v>0.1725</v>
      </c>
      <c r="P172" s="647" t="n">
        <f aca="false">Assumptions!$L$32*(1+Assumptions!$C$26)^(YEAR(A172)-2000)</f>
        <v>0.108197258571156</v>
      </c>
    </row>
    <row r="173" customFormat="false" ht="12.75" hidden="false" customHeight="false" outlineLevel="0" collapsed="false">
      <c r="A173" s="1237" t="n">
        <f aca="false">'Curve Paste'!BQ173</f>
        <v>41730</v>
      </c>
      <c r="B173" s="1238" t="n">
        <f aca="false">IF(Assumptions!$L$30=4,VLOOKUP($A173,'Henwood Reference'!$E$9:$R$296,14),'Curve Paste'!BR173)</f>
        <v>2.98555753464195</v>
      </c>
      <c r="C173" s="1238" t="n">
        <f aca="false">IF(Assumptions!$L$30=4,VLOOKUP($A173,'Henwood Reference'!$E$9:$R$296,14),'Curve Paste'!BS173)</f>
        <v>2.98555753464195</v>
      </c>
      <c r="D173" s="1238" t="n">
        <f aca="false">IF(Assumptions!$L$30=4,VLOOKUP($A173,'Henwood Reference'!$E$9:$R$296,14),'Curve Paste'!BT173)</f>
        <v>2.98555753464195</v>
      </c>
      <c r="E173" s="1239" t="n">
        <v>0.1465</v>
      </c>
      <c r="F173" s="1239" t="n">
        <v>0.154</v>
      </c>
      <c r="G173" s="1239" t="n">
        <v>0.1615</v>
      </c>
      <c r="H173" s="1239" t="n">
        <f aca="false">I173-$H$4</f>
        <v>-0.07</v>
      </c>
      <c r="I173" s="1239"/>
      <c r="J173" s="1239" t="n">
        <f aca="false">I173+$J$4</f>
        <v>0.07</v>
      </c>
      <c r="K173" s="1243" t="n">
        <f aca="false">K161</f>
        <v>0</v>
      </c>
      <c r="L173" s="1241" t="n">
        <f aca="false">IF(Assumptions!$L$30=4,0,O173+P173)</f>
        <v>0</v>
      </c>
      <c r="M173" s="1242" t="n">
        <f aca="false">(IF(GasPriceCurve,IF(OBuySell=OCallPut,D173,B173),C173)+K173/1000+L173)/(1-GasTransportPercent)</f>
        <v>3.02181936704651</v>
      </c>
      <c r="N173" s="1239" t="n">
        <f aca="false">IF(Assumptions!$L$30=4,F173,CHOOSE(Assumptions!$L$30,E173,F173,G173))</f>
        <v>0.154</v>
      </c>
      <c r="O173" s="0" t="n">
        <v>0.1575</v>
      </c>
      <c r="P173" s="647" t="n">
        <f aca="false">Assumptions!$L$32*(1+Assumptions!$C$26)^(YEAR(A173)-2000)</f>
        <v>0.108197258571156</v>
      </c>
    </row>
    <row r="174" customFormat="false" ht="12.75" hidden="false" customHeight="false" outlineLevel="0" collapsed="false">
      <c r="A174" s="1237" t="n">
        <f aca="false">'Curve Paste'!BQ174</f>
        <v>41760</v>
      </c>
      <c r="B174" s="1238" t="n">
        <f aca="false">IF(Assumptions!$L$30=4,VLOOKUP($A174,'Henwood Reference'!$E$9:$R$296,14),'Curve Paste'!BR174)</f>
        <v>2.95822591616252</v>
      </c>
      <c r="C174" s="1238" t="n">
        <f aca="false">IF(Assumptions!$L$30=4,VLOOKUP($A174,'Henwood Reference'!$E$9:$R$296,14),'Curve Paste'!BS174)</f>
        <v>2.95822591616252</v>
      </c>
      <c r="D174" s="1238" t="n">
        <f aca="false">IF(Assumptions!$L$30=4,VLOOKUP($A174,'Henwood Reference'!$E$9:$R$296,14),'Curve Paste'!BT174)</f>
        <v>2.95822591616252</v>
      </c>
      <c r="E174" s="1239" t="n">
        <v>0.1465</v>
      </c>
      <c r="F174" s="1239" t="n">
        <v>0.154</v>
      </c>
      <c r="G174" s="1239" t="n">
        <v>0.1615</v>
      </c>
      <c r="H174" s="1239" t="n">
        <f aca="false">I174-$H$4</f>
        <v>-0.07</v>
      </c>
      <c r="I174" s="1239"/>
      <c r="J174" s="1239" t="n">
        <f aca="false">I174+$J$4</f>
        <v>0.07</v>
      </c>
      <c r="K174" s="1243" t="n">
        <f aca="false">K162</f>
        <v>0</v>
      </c>
      <c r="L174" s="1241" t="n">
        <f aca="false">IF(Assumptions!$L$30=4,0,O174+P174)</f>
        <v>0</v>
      </c>
      <c r="M174" s="1242" t="n">
        <f aca="false">(IF(GasPriceCurve,IF(OBuySell=OCallPut,D174,B174),C174)+K174/1000+L174)/(1-GasTransportPercent)</f>
        <v>2.9941557855896</v>
      </c>
      <c r="N174" s="1239" t="n">
        <f aca="false">IF(Assumptions!$L$30=4,F174,CHOOSE(Assumptions!$L$30,E174,F174,G174))</f>
        <v>0.154</v>
      </c>
      <c r="O174" s="0" t="n">
        <v>0.1725</v>
      </c>
      <c r="P174" s="647" t="n">
        <f aca="false">Assumptions!$L$32*(1+Assumptions!$C$26)^(YEAR(A174)-2000)</f>
        <v>0.108197258571156</v>
      </c>
    </row>
    <row r="175" customFormat="false" ht="12.75" hidden="false" customHeight="false" outlineLevel="0" collapsed="false">
      <c r="A175" s="1237" t="n">
        <f aca="false">'Curve Paste'!BQ175</f>
        <v>41791</v>
      </c>
      <c r="B175" s="1238" t="n">
        <f aca="false">IF(Assumptions!$L$30=4,VLOOKUP($A175,'Henwood Reference'!$E$9:$R$296,14),'Curve Paste'!BR175)</f>
        <v>2.9889318085283</v>
      </c>
      <c r="C175" s="1238" t="n">
        <f aca="false">IF(Assumptions!$L$30=4,VLOOKUP($A175,'Henwood Reference'!$E$9:$R$296,14),'Curve Paste'!BS175)</f>
        <v>2.9889318085283</v>
      </c>
      <c r="D175" s="1238" t="n">
        <f aca="false">IF(Assumptions!$L$30=4,VLOOKUP($A175,'Henwood Reference'!$E$9:$R$296,14),'Curve Paste'!BT175)</f>
        <v>2.9889318085283</v>
      </c>
      <c r="E175" s="1239" t="n">
        <v>0.1465</v>
      </c>
      <c r="F175" s="1239" t="n">
        <v>0.154</v>
      </c>
      <c r="G175" s="1239" t="n">
        <v>0.1615</v>
      </c>
      <c r="H175" s="1239" t="n">
        <f aca="false">I175-$H$4</f>
        <v>-0.07</v>
      </c>
      <c r="I175" s="1239"/>
      <c r="J175" s="1239" t="n">
        <f aca="false">I175+$J$4</f>
        <v>0.07</v>
      </c>
      <c r="K175" s="1243" t="n">
        <f aca="false">K163</f>
        <v>0</v>
      </c>
      <c r="L175" s="1241" t="n">
        <f aca="false">IF(Assumptions!$L$30=4,0,O175+P175)</f>
        <v>0</v>
      </c>
      <c r="M175" s="1242" t="n">
        <f aca="false">(IF(GasPriceCurve,IF(OBuySell=OCallPut,D175,B175),C175)+K175/1000+L175)/(1-GasTransportPercent)</f>
        <v>3.0252346240165</v>
      </c>
      <c r="N175" s="1239" t="n">
        <f aca="false">IF(Assumptions!$L$30=4,F175,CHOOSE(Assumptions!$L$30,E175,F175,G175))</f>
        <v>0.154</v>
      </c>
      <c r="O175" s="0" t="n">
        <v>0.2025</v>
      </c>
      <c r="P175" s="647" t="n">
        <f aca="false">Assumptions!$L$32*(1+Assumptions!$C$26)^(YEAR(A175)-2000)</f>
        <v>0.108197258571156</v>
      </c>
    </row>
    <row r="176" customFormat="false" ht="12.75" hidden="false" customHeight="false" outlineLevel="0" collapsed="false">
      <c r="A176" s="1237" t="n">
        <f aca="false">'Curve Paste'!BQ176</f>
        <v>41821</v>
      </c>
      <c r="B176" s="1238" t="n">
        <f aca="false">IF(Assumptions!$L$30=4,VLOOKUP($A176,'Henwood Reference'!$E$9:$R$296,14),'Curve Paste'!BR176)</f>
        <v>3.06552782574843</v>
      </c>
      <c r="C176" s="1238" t="n">
        <f aca="false">IF(Assumptions!$L$30=4,VLOOKUP($A176,'Henwood Reference'!$E$9:$R$296,14),'Curve Paste'!BS176)</f>
        <v>3.06552782574843</v>
      </c>
      <c r="D176" s="1238" t="n">
        <f aca="false">IF(Assumptions!$L$30=4,VLOOKUP($A176,'Henwood Reference'!$E$9:$R$296,14),'Curve Paste'!BT176)</f>
        <v>3.06552782574843</v>
      </c>
      <c r="E176" s="1239" t="n">
        <v>0.1465</v>
      </c>
      <c r="F176" s="1239" t="n">
        <v>0.154</v>
      </c>
      <c r="G176" s="1239" t="n">
        <v>0.1615</v>
      </c>
      <c r="H176" s="1239" t="n">
        <f aca="false">I176-$H$4</f>
        <v>-0.07</v>
      </c>
      <c r="I176" s="1239"/>
      <c r="J176" s="1239" t="n">
        <f aca="false">I176+$J$4</f>
        <v>0.07</v>
      </c>
      <c r="K176" s="1243" t="n">
        <f aca="false">K164</f>
        <v>0</v>
      </c>
      <c r="L176" s="1241" t="n">
        <f aca="false">IF(Assumptions!$L$30=4,0,O176+P176)</f>
        <v>0</v>
      </c>
      <c r="M176" s="1242" t="n">
        <f aca="false">(IF(GasPriceCurve,IF(OBuySell=OCallPut,D176,B176),C176)+K176/1000+L176)/(1-GasTransportPercent)</f>
        <v>3.10276095723526</v>
      </c>
      <c r="N176" s="1239" t="n">
        <f aca="false">IF(Assumptions!$L$30=4,F176,CHOOSE(Assumptions!$L$30,E176,F176,G176))</f>
        <v>0.154</v>
      </c>
      <c r="O176" s="0" t="n">
        <v>0.3025</v>
      </c>
      <c r="P176" s="647" t="n">
        <f aca="false">Assumptions!$L$32*(1+Assumptions!$C$26)^(YEAR(A176)-2000)</f>
        <v>0.108197258571156</v>
      </c>
    </row>
    <row r="177" customFormat="false" ht="12.75" hidden="false" customHeight="false" outlineLevel="0" collapsed="false">
      <c r="A177" s="1237" t="n">
        <f aca="false">'Curve Paste'!BQ177</f>
        <v>41852</v>
      </c>
      <c r="B177" s="1238" t="n">
        <f aca="false">IF(Assumptions!$L$30=4,VLOOKUP($A177,'Henwood Reference'!$E$9:$R$296,14),'Curve Paste'!BR177)</f>
        <v>3.17586658183206</v>
      </c>
      <c r="C177" s="1238" t="n">
        <f aca="false">IF(Assumptions!$L$30=4,VLOOKUP($A177,'Henwood Reference'!$E$9:$R$296,14),'Curve Paste'!BS177)</f>
        <v>3.17586658183206</v>
      </c>
      <c r="D177" s="1238" t="n">
        <f aca="false">IF(Assumptions!$L$30=4,VLOOKUP($A177,'Henwood Reference'!$E$9:$R$296,14),'Curve Paste'!BT177)</f>
        <v>3.17586658183206</v>
      </c>
      <c r="E177" s="1239" t="n">
        <v>0.1465</v>
      </c>
      <c r="F177" s="1239" t="n">
        <v>0.154</v>
      </c>
      <c r="G177" s="1239" t="n">
        <v>0.1615</v>
      </c>
      <c r="H177" s="1239" t="n">
        <f aca="false">I177-$H$4</f>
        <v>-0.07</v>
      </c>
      <c r="I177" s="1239"/>
      <c r="J177" s="1239" t="n">
        <f aca="false">I177+$J$4</f>
        <v>0.07</v>
      </c>
      <c r="K177" s="1243" t="n">
        <f aca="false">K165</f>
        <v>0</v>
      </c>
      <c r="L177" s="1241" t="n">
        <f aca="false">IF(Assumptions!$L$30=4,0,O177+P177)</f>
        <v>0</v>
      </c>
      <c r="M177" s="1242" t="n">
        <f aca="false">(IF(GasPriceCurve,IF(OBuySell=OCallPut,D177,B177),C177)+K177/1000+L177)/(1-GasTransportPercent)</f>
        <v>3.21443986015391</v>
      </c>
      <c r="N177" s="1239" t="n">
        <f aca="false">IF(Assumptions!$L$30=4,F177,CHOOSE(Assumptions!$L$30,E177,F177,G177))</f>
        <v>0.154</v>
      </c>
      <c r="O177" s="0" t="n">
        <v>0.3025</v>
      </c>
      <c r="P177" s="647" t="n">
        <f aca="false">Assumptions!$L$32*(1+Assumptions!$C$26)^(YEAR(A177)-2000)</f>
        <v>0.108197258571156</v>
      </c>
    </row>
    <row r="178" customFormat="false" ht="12.75" hidden="false" customHeight="false" outlineLevel="0" collapsed="false">
      <c r="A178" s="1237" t="n">
        <f aca="false">'Curve Paste'!BQ178</f>
        <v>41883</v>
      </c>
      <c r="B178" s="1238" t="n">
        <f aca="false">IF(Assumptions!$L$30=4,VLOOKUP($A178,'Henwood Reference'!$E$9:$R$296,14),'Curve Paste'!BR178)</f>
        <v>3.30780069078832</v>
      </c>
      <c r="C178" s="1238" t="n">
        <f aca="false">IF(Assumptions!$L$30=4,VLOOKUP($A178,'Henwood Reference'!$E$9:$R$296,14),'Curve Paste'!BS178)</f>
        <v>3.30780069078832</v>
      </c>
      <c r="D178" s="1238" t="n">
        <f aca="false">IF(Assumptions!$L$30=4,VLOOKUP($A178,'Henwood Reference'!$E$9:$R$296,14),'Curve Paste'!BT178)</f>
        <v>3.30780069078832</v>
      </c>
      <c r="E178" s="1239" t="n">
        <v>0.1465</v>
      </c>
      <c r="F178" s="1239" t="n">
        <v>0.154</v>
      </c>
      <c r="G178" s="1239" t="n">
        <v>0.1615</v>
      </c>
      <c r="H178" s="1239" t="n">
        <f aca="false">I178-$H$4</f>
        <v>-0.07</v>
      </c>
      <c r="I178" s="1239"/>
      <c r="J178" s="1239" t="n">
        <f aca="false">I178+$J$4</f>
        <v>0.07</v>
      </c>
      <c r="K178" s="1243" t="n">
        <f aca="false">K166</f>
        <v>0</v>
      </c>
      <c r="L178" s="1241" t="n">
        <f aca="false">IF(Assumptions!$L$30=4,0,O178+P178)</f>
        <v>0</v>
      </c>
      <c r="M178" s="1242" t="n">
        <f aca="false">(IF(GasPriceCurve,IF(OBuySell=OCallPut,D178,B178),C178)+K178/1000+L178)/(1-GasTransportPercent)</f>
        <v>3.34797640768049</v>
      </c>
      <c r="N178" s="1239" t="n">
        <f aca="false">IF(Assumptions!$L$30=4,F178,CHOOSE(Assumptions!$L$30,E178,F178,G178))</f>
        <v>0.154</v>
      </c>
      <c r="O178" s="0" t="n">
        <v>0.3025</v>
      </c>
      <c r="P178" s="647" t="n">
        <f aca="false">Assumptions!$L$32*(1+Assumptions!$C$26)^(YEAR(A178)-2000)</f>
        <v>0.108197258571156</v>
      </c>
    </row>
    <row r="179" customFormat="false" ht="12.75" hidden="false" customHeight="false" outlineLevel="0" collapsed="false">
      <c r="A179" s="1237" t="n">
        <f aca="false">'Curve Paste'!BQ179</f>
        <v>41913</v>
      </c>
      <c r="B179" s="1238" t="n">
        <f aca="false">IF(Assumptions!$L$30=4,VLOOKUP($A179,'Henwood Reference'!$E$9:$R$296,14),'Curve Paste'!BR179)</f>
        <v>3.44918276662636</v>
      </c>
      <c r="C179" s="1238" t="n">
        <f aca="false">IF(Assumptions!$L$30=4,VLOOKUP($A179,'Henwood Reference'!$E$9:$R$296,14),'Curve Paste'!BS179)</f>
        <v>3.44918276662636</v>
      </c>
      <c r="D179" s="1238" t="n">
        <f aca="false">IF(Assumptions!$L$30=4,VLOOKUP($A179,'Henwood Reference'!$E$9:$R$296,14),'Curve Paste'!BT179)</f>
        <v>3.44918276662636</v>
      </c>
      <c r="E179" s="1239" t="n">
        <v>0.1465</v>
      </c>
      <c r="F179" s="1239" t="n">
        <v>0.154</v>
      </c>
      <c r="G179" s="1239" t="n">
        <v>0.1615</v>
      </c>
      <c r="H179" s="1239" t="n">
        <f aca="false">I179-$H$4</f>
        <v>-0.07</v>
      </c>
      <c r="I179" s="1239"/>
      <c r="J179" s="1239" t="n">
        <f aca="false">I179+$J$4</f>
        <v>0.07</v>
      </c>
      <c r="K179" s="1243" t="n">
        <f aca="false">K167</f>
        <v>0</v>
      </c>
      <c r="L179" s="1241" t="n">
        <f aca="false">IF(Assumptions!$L$30=4,0,O179+P179)</f>
        <v>0</v>
      </c>
      <c r="M179" s="1242" t="n">
        <f aca="false">(IF(GasPriceCurve,IF(OBuySell=OCallPut,D179,B179),C179)+K179/1000+L179)/(1-GasTransportPercent)</f>
        <v>3.49107567472304</v>
      </c>
      <c r="N179" s="1239" t="n">
        <f aca="false">IF(Assumptions!$L$30=4,F179,CHOOSE(Assumptions!$L$30,E179,F179,G179))</f>
        <v>0.154</v>
      </c>
      <c r="O179" s="0" t="n">
        <v>0.2225</v>
      </c>
      <c r="P179" s="647" t="n">
        <f aca="false">Assumptions!$L$32*(1+Assumptions!$C$26)^(YEAR(A179)-2000)</f>
        <v>0.108197258571156</v>
      </c>
    </row>
    <row r="180" customFormat="false" ht="12.75" hidden="false" customHeight="false" outlineLevel="0" collapsed="false">
      <c r="A180" s="1237" t="n">
        <f aca="false">'Curve Paste'!BQ180</f>
        <v>41944</v>
      </c>
      <c r="B180" s="1238" t="n">
        <f aca="false">IF(Assumptions!$L$30=4,VLOOKUP($A180,'Henwood Reference'!$E$9:$R$296,14),'Curve Paste'!BR180)</f>
        <v>3.58786542335532</v>
      </c>
      <c r="C180" s="1238" t="n">
        <f aca="false">IF(Assumptions!$L$30=4,VLOOKUP($A180,'Henwood Reference'!$E$9:$R$296,14),'Curve Paste'!BS180)</f>
        <v>3.58786542335532</v>
      </c>
      <c r="D180" s="1238" t="n">
        <f aca="false">IF(Assumptions!$L$30=4,VLOOKUP($A180,'Henwood Reference'!$E$9:$R$296,14),'Curve Paste'!BT180)</f>
        <v>3.58786542335532</v>
      </c>
      <c r="E180" s="1239" t="n">
        <v>0.1465</v>
      </c>
      <c r="F180" s="1239" t="n">
        <v>0.154</v>
      </c>
      <c r="G180" s="1239" t="n">
        <v>0.1615</v>
      </c>
      <c r="H180" s="1239" t="n">
        <f aca="false">I180-$H$4</f>
        <v>-0.07</v>
      </c>
      <c r="I180" s="1239"/>
      <c r="J180" s="1239" t="n">
        <f aca="false">I180+$J$4</f>
        <v>0.07</v>
      </c>
      <c r="K180" s="1243" t="n">
        <f aca="false">K168</f>
        <v>0</v>
      </c>
      <c r="L180" s="1241" t="n">
        <f aca="false">IF(Assumptions!$L$30=4,0,O180+P180)</f>
        <v>0</v>
      </c>
      <c r="M180" s="1242" t="n">
        <f aca="false">(IF(GasPriceCurve,IF(OBuySell=OCallPut,D180,B180),C180)+K180/1000+L180)/(1-GasTransportPercent)</f>
        <v>3.6314427361896</v>
      </c>
      <c r="N180" s="1239" t="n">
        <f aca="false">IF(Assumptions!$L$30=4,F180,CHOOSE(Assumptions!$L$30,E180,F180,G180))</f>
        <v>0.154</v>
      </c>
      <c r="O180" s="0" t="n">
        <v>0.1875</v>
      </c>
      <c r="P180" s="647" t="n">
        <f aca="false">Assumptions!$L$32*(1+Assumptions!$C$26)^(YEAR(A180)-2000)</f>
        <v>0.108197258571156</v>
      </c>
    </row>
    <row r="181" customFormat="false" ht="12.75" hidden="false" customHeight="false" outlineLevel="0" collapsed="false">
      <c r="A181" s="1237" t="n">
        <f aca="false">'Curve Paste'!BQ181</f>
        <v>41974</v>
      </c>
      <c r="B181" s="1238" t="n">
        <f aca="false">IF(Assumptions!$L$30=4,VLOOKUP($A181,'Henwood Reference'!$E$9:$R$296,14),'Curve Paste'!BR181)</f>
        <v>3.73439670707247</v>
      </c>
      <c r="C181" s="1238" t="n">
        <f aca="false">IF(Assumptions!$L$30=4,VLOOKUP($A181,'Henwood Reference'!$E$9:$R$296,14),'Curve Paste'!BS181)</f>
        <v>3.73439670707247</v>
      </c>
      <c r="D181" s="1238" t="n">
        <f aca="false">IF(Assumptions!$L$30=4,VLOOKUP($A181,'Henwood Reference'!$E$9:$R$296,14),'Curve Paste'!BT181)</f>
        <v>3.73439670707247</v>
      </c>
      <c r="E181" s="1239" t="n">
        <v>0.1465</v>
      </c>
      <c r="F181" s="1239" t="n">
        <v>0.154</v>
      </c>
      <c r="G181" s="1239" t="n">
        <v>0.1615</v>
      </c>
      <c r="H181" s="1239" t="n">
        <f aca="false">I181-$H$4</f>
        <v>-0.07</v>
      </c>
      <c r="I181" s="1239"/>
      <c r="J181" s="1239" t="n">
        <f aca="false">I181+$J$4</f>
        <v>0.07</v>
      </c>
      <c r="K181" s="1243" t="n">
        <f aca="false">K169</f>
        <v>0</v>
      </c>
      <c r="L181" s="1241" t="n">
        <f aca="false">IF(Assumptions!$L$30=4,0,O181+P181)</f>
        <v>0</v>
      </c>
      <c r="M181" s="1242" t="n">
        <f aca="false">(IF(GasPriceCurve,IF(OBuySell=OCallPut,D181,B181),C181)+K181/1000+L181)/(1-GasTransportPercent)</f>
        <v>3.77975375209764</v>
      </c>
      <c r="N181" s="1239" t="n">
        <f aca="false">IF(Assumptions!$L$30=4,F181,CHOOSE(Assumptions!$L$30,E181,F181,G181))</f>
        <v>0.154</v>
      </c>
      <c r="O181" s="0" t="n">
        <v>0.1875</v>
      </c>
      <c r="P181" s="647" t="n">
        <f aca="false">Assumptions!$L$32*(1+Assumptions!$C$26)^(YEAR(A181)-2000)</f>
        <v>0.108197258571156</v>
      </c>
    </row>
    <row r="182" customFormat="false" ht="12.75" hidden="false" customHeight="false" outlineLevel="0" collapsed="false">
      <c r="A182" s="1237" t="n">
        <f aca="false">'Curve Paste'!BQ182</f>
        <v>42005</v>
      </c>
      <c r="B182" s="1238" t="n">
        <f aca="false">IF(Assumptions!$L$30=4,VLOOKUP($A182,'Henwood Reference'!$E$9:$R$296,14),'Curve Paste'!BR182)</f>
        <v>3.64177645541899</v>
      </c>
      <c r="C182" s="1238" t="n">
        <f aca="false">IF(Assumptions!$L$30=4,VLOOKUP($A182,'Henwood Reference'!$E$9:$R$296,14),'Curve Paste'!BS182)</f>
        <v>3.64177645541899</v>
      </c>
      <c r="D182" s="1238" t="n">
        <f aca="false">IF(Assumptions!$L$30=4,VLOOKUP($A182,'Henwood Reference'!$E$9:$R$296,14),'Curve Paste'!BT182)</f>
        <v>3.64177645541899</v>
      </c>
      <c r="E182" s="1239" t="n">
        <v>0.1465</v>
      </c>
      <c r="F182" s="1239" t="n">
        <v>0.154</v>
      </c>
      <c r="G182" s="1239" t="n">
        <v>0.1615</v>
      </c>
      <c r="H182" s="1239" t="n">
        <f aca="false">I182-$H$4</f>
        <v>-0.07</v>
      </c>
      <c r="I182" s="1239"/>
      <c r="J182" s="1239" t="n">
        <f aca="false">I182+$J$4</f>
        <v>0.07</v>
      </c>
      <c r="K182" s="1243" t="n">
        <f aca="false">K170</f>
        <v>0</v>
      </c>
      <c r="L182" s="1241" t="n">
        <f aca="false">IF(Assumptions!$L$30=4,0,O182+P182)</f>
        <v>0</v>
      </c>
      <c r="M182" s="1242" t="n">
        <f aca="false">(IF(GasPriceCurve,IF(OBuySell=OCallPut,D182,B182),C182)+K182/1000+L182)/(1-GasTransportPercent)</f>
        <v>3.68600855811639</v>
      </c>
      <c r="N182" s="1239" t="n">
        <f aca="false">IF(Assumptions!$L$30=4,F182,CHOOSE(Assumptions!$L$30,E182,F182,G182))</f>
        <v>0.154</v>
      </c>
      <c r="O182" s="0" t="n">
        <v>0.15625</v>
      </c>
      <c r="P182" s="647" t="n">
        <f aca="false">Assumptions!$L$32*(1+Assumptions!$C$26)^(YEAR(A182)-2000)</f>
        <v>0.110361203742579</v>
      </c>
    </row>
    <row r="183" customFormat="false" ht="12.75" hidden="false" customHeight="false" outlineLevel="0" collapsed="false">
      <c r="A183" s="1237" t="n">
        <f aca="false">'Curve Paste'!BQ183</f>
        <v>42036</v>
      </c>
      <c r="B183" s="1238" t="n">
        <f aca="false">IF(Assumptions!$L$30=4,VLOOKUP($A183,'Henwood Reference'!$E$9:$R$296,14),'Curve Paste'!BR183)</f>
        <v>3.3579589745388</v>
      </c>
      <c r="C183" s="1238" t="n">
        <f aca="false">IF(Assumptions!$L$30=4,VLOOKUP($A183,'Henwood Reference'!$E$9:$R$296,14),'Curve Paste'!BS183)</f>
        <v>3.3579589745388</v>
      </c>
      <c r="D183" s="1238" t="n">
        <f aca="false">IF(Assumptions!$L$30=4,VLOOKUP($A183,'Henwood Reference'!$E$9:$R$296,14),'Curve Paste'!BT183)</f>
        <v>3.3579589745388</v>
      </c>
      <c r="E183" s="1239" t="n">
        <v>0.1455</v>
      </c>
      <c r="F183" s="1239" t="n">
        <v>0.153</v>
      </c>
      <c r="G183" s="1239" t="n">
        <v>0.1605</v>
      </c>
      <c r="H183" s="1239" t="n">
        <f aca="false">I183-$H$4</f>
        <v>-0.07</v>
      </c>
      <c r="I183" s="1239"/>
      <c r="J183" s="1239" t="n">
        <f aca="false">I183+$J$4</f>
        <v>0.07</v>
      </c>
      <c r="K183" s="1243" t="n">
        <f aca="false">K171</f>
        <v>0</v>
      </c>
      <c r="L183" s="1241" t="n">
        <f aca="false">IF(Assumptions!$L$30=4,0,O183+P183)</f>
        <v>0</v>
      </c>
      <c r="M183" s="1242" t="n">
        <f aca="false">(IF(GasPriceCurve,IF(OBuySell=OCallPut,D183,B183),C183)+K183/1000+L183)/(1-GasTransportPercent)</f>
        <v>3.39874390135506</v>
      </c>
      <c r="N183" s="1239" t="n">
        <f aca="false">IF(Assumptions!$L$30=4,F183,CHOOSE(Assumptions!$L$30,E183,F183,G183))</f>
        <v>0.153</v>
      </c>
      <c r="O183" s="0" t="n">
        <v>0.15625</v>
      </c>
      <c r="P183" s="647" t="n">
        <f aca="false">Assumptions!$L$32*(1+Assumptions!$C$26)^(YEAR(A183)-2000)</f>
        <v>0.110361203742579</v>
      </c>
    </row>
    <row r="184" customFormat="false" ht="12.75" hidden="false" customHeight="false" outlineLevel="0" collapsed="false">
      <c r="A184" s="1237" t="n">
        <f aca="false">'Curve Paste'!BQ184</f>
        <v>42064</v>
      </c>
      <c r="B184" s="1238" t="n">
        <f aca="false">IF(Assumptions!$L$30=4,VLOOKUP($A184,'Henwood Reference'!$E$9:$R$296,14),'Curve Paste'!BR184)</f>
        <v>3.17287188731758</v>
      </c>
      <c r="C184" s="1238" t="n">
        <f aca="false">IF(Assumptions!$L$30=4,VLOOKUP($A184,'Henwood Reference'!$E$9:$R$296,14),'Curve Paste'!BS184)</f>
        <v>3.17287188731758</v>
      </c>
      <c r="D184" s="1238" t="n">
        <f aca="false">IF(Assumptions!$L$30=4,VLOOKUP($A184,'Henwood Reference'!$E$9:$R$296,14),'Curve Paste'!BT184)</f>
        <v>3.17287188731758</v>
      </c>
      <c r="E184" s="1239" t="n">
        <v>0.1455</v>
      </c>
      <c r="F184" s="1239" t="n">
        <v>0.153</v>
      </c>
      <c r="G184" s="1239" t="n">
        <v>0.1605</v>
      </c>
      <c r="H184" s="1239" t="n">
        <f aca="false">I184-$H$4</f>
        <v>-0.07</v>
      </c>
      <c r="I184" s="1239"/>
      <c r="J184" s="1239" t="n">
        <f aca="false">I184+$J$4</f>
        <v>0.07</v>
      </c>
      <c r="K184" s="1243" t="n">
        <f aca="false">K172</f>
        <v>0</v>
      </c>
      <c r="L184" s="1241" t="n">
        <f aca="false">IF(Assumptions!$L$30=4,0,O184+P184)</f>
        <v>0</v>
      </c>
      <c r="M184" s="1242" t="n">
        <f aca="false">(IF(GasPriceCurve,IF(OBuySell=OCallPut,D184,B184),C184)+K184/1000+L184)/(1-GasTransportPercent)</f>
        <v>3.21140879283156</v>
      </c>
      <c r="N184" s="1239" t="n">
        <f aca="false">IF(Assumptions!$L$30=4,F184,CHOOSE(Assumptions!$L$30,E184,F184,G184))</f>
        <v>0.153</v>
      </c>
      <c r="O184" s="0" t="n">
        <v>0.17375</v>
      </c>
      <c r="P184" s="647" t="n">
        <f aca="false">Assumptions!$L$32*(1+Assumptions!$C$26)^(YEAR(A184)-2000)</f>
        <v>0.110361203742579</v>
      </c>
    </row>
    <row r="185" customFormat="false" ht="12.75" hidden="false" customHeight="false" outlineLevel="0" collapsed="false">
      <c r="A185" s="1237" t="n">
        <f aca="false">'Curve Paste'!BQ185</f>
        <v>42095</v>
      </c>
      <c r="B185" s="1238" t="n">
        <f aca="false">IF(Assumptions!$L$30=4,VLOOKUP($A185,'Henwood Reference'!$E$9:$R$296,14),'Curve Paste'!BR185)</f>
        <v>3.07251509893685</v>
      </c>
      <c r="C185" s="1238" t="n">
        <f aca="false">IF(Assumptions!$L$30=4,VLOOKUP($A185,'Henwood Reference'!$E$9:$R$296,14),'Curve Paste'!BS185)</f>
        <v>3.07251509893685</v>
      </c>
      <c r="D185" s="1238" t="n">
        <f aca="false">IF(Assumptions!$L$30=4,VLOOKUP($A185,'Henwood Reference'!$E$9:$R$296,14),'Curve Paste'!BT185)</f>
        <v>3.07251509893685</v>
      </c>
      <c r="E185" s="1239" t="n">
        <v>0.1455</v>
      </c>
      <c r="F185" s="1239" t="n">
        <v>0.153</v>
      </c>
      <c r="G185" s="1239" t="n">
        <v>0.1605</v>
      </c>
      <c r="H185" s="1239" t="n">
        <f aca="false">I185-$H$4</f>
        <v>-0.07</v>
      </c>
      <c r="I185" s="1239"/>
      <c r="J185" s="1239" t="n">
        <f aca="false">I185+$J$4</f>
        <v>0.07</v>
      </c>
      <c r="K185" s="1243" t="n">
        <f aca="false">K173</f>
        <v>0</v>
      </c>
      <c r="L185" s="1241" t="n">
        <f aca="false">IF(Assumptions!$L$30=4,0,O185+P185)</f>
        <v>0</v>
      </c>
      <c r="M185" s="1242" t="n">
        <f aca="false">(IF(GasPriceCurve,IF(OBuySell=OCallPut,D185,B185),C185)+K185/1000+L185)/(1-GasTransportPercent)</f>
        <v>3.10983309608992</v>
      </c>
      <c r="N185" s="1239" t="n">
        <f aca="false">IF(Assumptions!$L$30=4,F185,CHOOSE(Assumptions!$L$30,E185,F185,G185))</f>
        <v>0.153</v>
      </c>
      <c r="O185" s="0" t="n">
        <v>0.15875</v>
      </c>
      <c r="P185" s="647" t="n">
        <f aca="false">Assumptions!$L$32*(1+Assumptions!$C$26)^(YEAR(A185)-2000)</f>
        <v>0.110361203742579</v>
      </c>
    </row>
    <row r="186" customFormat="false" ht="12.75" hidden="false" customHeight="false" outlineLevel="0" collapsed="false">
      <c r="A186" s="1237" t="n">
        <f aca="false">'Curve Paste'!BQ186</f>
        <v>42125</v>
      </c>
      <c r="B186" s="1238" t="n">
        <f aca="false">IF(Assumptions!$L$30=4,VLOOKUP($A186,'Henwood Reference'!$E$9:$R$296,14),'Curve Paste'!BR186)</f>
        <v>3.04438741776439</v>
      </c>
      <c r="C186" s="1238" t="n">
        <f aca="false">IF(Assumptions!$L$30=4,VLOOKUP($A186,'Henwood Reference'!$E$9:$R$296,14),'Curve Paste'!BS186)</f>
        <v>3.04438741776439</v>
      </c>
      <c r="D186" s="1238" t="n">
        <f aca="false">IF(Assumptions!$L$30=4,VLOOKUP($A186,'Henwood Reference'!$E$9:$R$296,14),'Curve Paste'!BT186)</f>
        <v>3.04438741776439</v>
      </c>
      <c r="E186" s="1239" t="n">
        <v>0.1455</v>
      </c>
      <c r="F186" s="1239" t="n">
        <v>0.153</v>
      </c>
      <c r="G186" s="1239" t="n">
        <v>0.1605</v>
      </c>
      <c r="H186" s="1239" t="n">
        <f aca="false">I186-$H$4</f>
        <v>-0.07</v>
      </c>
      <c r="I186" s="1239"/>
      <c r="J186" s="1239" t="n">
        <f aca="false">I186+$J$4</f>
        <v>0.07</v>
      </c>
      <c r="K186" s="1243" t="n">
        <f aca="false">K174</f>
        <v>0</v>
      </c>
      <c r="L186" s="1241" t="n">
        <f aca="false">IF(Assumptions!$L$30=4,0,O186+P186)</f>
        <v>0</v>
      </c>
      <c r="M186" s="1242" t="n">
        <f aca="false">(IF(GasPriceCurve,IF(OBuySell=OCallPut,D186,B186),C186)+K186/1000+L186)/(1-GasTransportPercent)</f>
        <v>3.08136378316234</v>
      </c>
      <c r="N186" s="1239" t="n">
        <f aca="false">IF(Assumptions!$L$30=4,F186,CHOOSE(Assumptions!$L$30,E186,F186,G186))</f>
        <v>0.153</v>
      </c>
      <c r="O186" s="0" t="n">
        <v>0.17375</v>
      </c>
      <c r="P186" s="647" t="n">
        <f aca="false">Assumptions!$L$32*(1+Assumptions!$C$26)^(YEAR(A186)-2000)</f>
        <v>0.110361203742579</v>
      </c>
    </row>
    <row r="187" customFormat="false" ht="12.75" hidden="false" customHeight="false" outlineLevel="0" collapsed="false">
      <c r="A187" s="1237" t="n">
        <f aca="false">'Curve Paste'!BQ187</f>
        <v>42156</v>
      </c>
      <c r="B187" s="1238" t="n">
        <f aca="false">IF(Assumptions!$L$30=4,VLOOKUP($A187,'Henwood Reference'!$E$9:$R$296,14),'Curve Paste'!BR187)</f>
        <v>3.07598765216801</v>
      </c>
      <c r="C187" s="1238" t="n">
        <f aca="false">IF(Assumptions!$L$30=4,VLOOKUP($A187,'Henwood Reference'!$E$9:$R$296,14),'Curve Paste'!BS187)</f>
        <v>3.07598765216801</v>
      </c>
      <c r="D187" s="1238" t="n">
        <f aca="false">IF(Assumptions!$L$30=4,VLOOKUP($A187,'Henwood Reference'!$E$9:$R$296,14),'Curve Paste'!BT187)</f>
        <v>3.07598765216801</v>
      </c>
      <c r="E187" s="1239" t="n">
        <v>0.1455</v>
      </c>
      <c r="F187" s="1239" t="n">
        <v>0.153</v>
      </c>
      <c r="G187" s="1239" t="n">
        <v>0.1605</v>
      </c>
      <c r="H187" s="1239" t="n">
        <f aca="false">I187-$H$4</f>
        <v>-0.07</v>
      </c>
      <c r="I187" s="1239"/>
      <c r="J187" s="1239" t="n">
        <f aca="false">I187+$J$4</f>
        <v>0.07</v>
      </c>
      <c r="K187" s="1243" t="n">
        <f aca="false">K175</f>
        <v>0</v>
      </c>
      <c r="L187" s="1241" t="n">
        <f aca="false">IF(Assumptions!$L$30=4,0,O187+P187)</f>
        <v>0</v>
      </c>
      <c r="M187" s="1242" t="n">
        <f aca="false">(IF(GasPriceCurve,IF(OBuySell=OCallPut,D187,B187),C187)+K187/1000+L187)/(1-GasTransportPercent)</f>
        <v>3.11334782608099</v>
      </c>
      <c r="N187" s="1239" t="n">
        <f aca="false">IF(Assumptions!$L$30=4,F187,CHOOSE(Assumptions!$L$30,E187,F187,G187))</f>
        <v>0.153</v>
      </c>
      <c r="O187" s="0" t="n">
        <v>0.20375</v>
      </c>
      <c r="P187" s="647" t="n">
        <f aca="false">Assumptions!$L$32*(1+Assumptions!$C$26)^(YEAR(A187)-2000)</f>
        <v>0.110361203742579</v>
      </c>
    </row>
    <row r="188" customFormat="false" ht="12.75" hidden="false" customHeight="false" outlineLevel="0" collapsed="false">
      <c r="A188" s="1237" t="n">
        <f aca="false">'Curve Paste'!BQ188</f>
        <v>42186</v>
      </c>
      <c r="B188" s="1238" t="n">
        <f aca="false">IF(Assumptions!$L$30=4,VLOOKUP($A188,'Henwood Reference'!$E$9:$R$296,14),'Curve Paste'!BR188)</f>
        <v>3.15481461051551</v>
      </c>
      <c r="C188" s="1238" t="n">
        <f aca="false">IF(Assumptions!$L$30=4,VLOOKUP($A188,'Henwood Reference'!$E$9:$R$296,14),'Curve Paste'!BS188)</f>
        <v>3.15481461051551</v>
      </c>
      <c r="D188" s="1238" t="n">
        <f aca="false">IF(Assumptions!$L$30=4,VLOOKUP($A188,'Henwood Reference'!$E$9:$R$296,14),'Curve Paste'!BT188)</f>
        <v>3.15481461051551</v>
      </c>
      <c r="E188" s="1239" t="n">
        <v>0.1455</v>
      </c>
      <c r="F188" s="1239" t="n">
        <v>0.153</v>
      </c>
      <c r="G188" s="1239" t="n">
        <v>0.1605</v>
      </c>
      <c r="H188" s="1239" t="n">
        <f aca="false">I188-$H$4</f>
        <v>-0.07</v>
      </c>
      <c r="I188" s="1239"/>
      <c r="J188" s="1239" t="n">
        <f aca="false">I188+$J$4</f>
        <v>0.07</v>
      </c>
      <c r="K188" s="1243" t="n">
        <f aca="false">K176</f>
        <v>0</v>
      </c>
      <c r="L188" s="1241" t="n">
        <f aca="false">IF(Assumptions!$L$30=4,0,O188+P188)</f>
        <v>0</v>
      </c>
      <c r="M188" s="1242" t="n">
        <f aca="false">(IF(GasPriceCurve,IF(OBuySell=OCallPut,D188,B188),C188)+K188/1000+L188)/(1-GasTransportPercent)</f>
        <v>3.19313219687805</v>
      </c>
      <c r="N188" s="1239" t="n">
        <f aca="false">IF(Assumptions!$L$30=4,F188,CHOOSE(Assumptions!$L$30,E188,F188,G188))</f>
        <v>0.153</v>
      </c>
      <c r="O188" s="0" t="n">
        <v>0.30375</v>
      </c>
      <c r="P188" s="647" t="n">
        <f aca="false">Assumptions!$L$32*(1+Assumptions!$C$26)^(YEAR(A188)-2000)</f>
        <v>0.110361203742579</v>
      </c>
    </row>
    <row r="189" customFormat="false" ht="12.75" hidden="false" customHeight="false" outlineLevel="0" collapsed="false">
      <c r="A189" s="1237" t="n">
        <f aca="false">'Curve Paste'!BQ189</f>
        <v>42217</v>
      </c>
      <c r="B189" s="1238" t="n">
        <f aca="false">IF(Assumptions!$L$30=4,VLOOKUP($A189,'Henwood Reference'!$E$9:$R$296,14),'Curve Paste'!BR189)</f>
        <v>3.26836710117468</v>
      </c>
      <c r="C189" s="1238" t="n">
        <f aca="false">IF(Assumptions!$L$30=4,VLOOKUP($A189,'Henwood Reference'!$E$9:$R$296,14),'Curve Paste'!BS189)</f>
        <v>3.26836710117468</v>
      </c>
      <c r="D189" s="1238" t="n">
        <f aca="false">IF(Assumptions!$L$30=4,VLOOKUP($A189,'Henwood Reference'!$E$9:$R$296,14),'Curve Paste'!BT189)</f>
        <v>3.26836710117468</v>
      </c>
      <c r="E189" s="1239" t="n">
        <v>0.1455</v>
      </c>
      <c r="F189" s="1239" t="n">
        <v>0.153</v>
      </c>
      <c r="G189" s="1239" t="n">
        <v>0.1605</v>
      </c>
      <c r="H189" s="1239" t="n">
        <f aca="false">I189-$H$4</f>
        <v>-0.07</v>
      </c>
      <c r="I189" s="1239"/>
      <c r="J189" s="1239" t="n">
        <f aca="false">I189+$J$4</f>
        <v>0.07</v>
      </c>
      <c r="K189" s="1243" t="n">
        <f aca="false">K177</f>
        <v>0</v>
      </c>
      <c r="L189" s="1241" t="n">
        <f aca="false">IF(Assumptions!$L$30=4,0,O189+P189)</f>
        <v>0</v>
      </c>
      <c r="M189" s="1242" t="n">
        <f aca="false">(IF(GasPriceCurve,IF(OBuySell=OCallPut,D189,B189),C189)+K189/1000+L189)/(1-GasTransportPercent)</f>
        <v>3.30806386758571</v>
      </c>
      <c r="N189" s="1239" t="n">
        <f aca="false">IF(Assumptions!$L$30=4,F189,CHOOSE(Assumptions!$L$30,E189,F189,G189))</f>
        <v>0.153</v>
      </c>
      <c r="O189" s="0" t="n">
        <v>0.30375</v>
      </c>
      <c r="P189" s="647" t="n">
        <f aca="false">Assumptions!$L$32*(1+Assumptions!$C$26)^(YEAR(A189)-2000)</f>
        <v>0.110361203742579</v>
      </c>
    </row>
    <row r="190" customFormat="false" ht="12.75" hidden="false" customHeight="false" outlineLevel="0" collapsed="false">
      <c r="A190" s="1237" t="n">
        <f aca="false">'Curve Paste'!BQ190</f>
        <v>42248</v>
      </c>
      <c r="B190" s="1238" t="n">
        <f aca="false">IF(Assumptions!$L$30=4,VLOOKUP($A190,'Henwood Reference'!$E$9:$R$296,14),'Curve Paste'!BR190)</f>
        <v>3.40414393251333</v>
      </c>
      <c r="C190" s="1238" t="n">
        <f aca="false">IF(Assumptions!$L$30=4,VLOOKUP($A190,'Henwood Reference'!$E$9:$R$296,14),'Curve Paste'!BS190)</f>
        <v>3.40414393251333</v>
      </c>
      <c r="D190" s="1238" t="n">
        <f aca="false">IF(Assumptions!$L$30=4,VLOOKUP($A190,'Henwood Reference'!$E$9:$R$296,14),'Curve Paste'!BT190)</f>
        <v>3.40414393251333</v>
      </c>
      <c r="E190" s="1239" t="n">
        <v>0.1455</v>
      </c>
      <c r="F190" s="1239" t="n">
        <v>0.153</v>
      </c>
      <c r="G190" s="1239" t="n">
        <v>0.1605</v>
      </c>
      <c r="H190" s="1239" t="n">
        <f aca="false">I190-$H$4</f>
        <v>-0.07</v>
      </c>
      <c r="I190" s="1239"/>
      <c r="J190" s="1239" t="n">
        <f aca="false">I190+$J$4</f>
        <v>0.07</v>
      </c>
      <c r="K190" s="1243" t="n">
        <f aca="false">K178</f>
        <v>0</v>
      </c>
      <c r="L190" s="1241" t="n">
        <f aca="false">IF(Assumptions!$L$30=4,0,O190+P190)</f>
        <v>0</v>
      </c>
      <c r="M190" s="1242" t="n">
        <f aca="false">(IF(GasPriceCurve,IF(OBuySell=OCallPut,D190,B190),C190)+K190/1000+L190)/(1-GasTransportPercent)</f>
        <v>3.44548981023616</v>
      </c>
      <c r="N190" s="1239" t="n">
        <f aca="false">IF(Assumptions!$L$30=4,F190,CHOOSE(Assumptions!$L$30,E190,F190,G190))</f>
        <v>0.153</v>
      </c>
      <c r="O190" s="0" t="n">
        <v>0.30375</v>
      </c>
      <c r="P190" s="647" t="n">
        <f aca="false">Assumptions!$L$32*(1+Assumptions!$C$26)^(YEAR(A190)-2000)</f>
        <v>0.110361203742579</v>
      </c>
    </row>
    <row r="191" customFormat="false" ht="12.75" hidden="false" customHeight="false" outlineLevel="0" collapsed="false">
      <c r="A191" s="1237" t="n">
        <f aca="false">'Curve Paste'!BQ191</f>
        <v>42278</v>
      </c>
      <c r="B191" s="1238" t="n">
        <f aca="false">IF(Assumptions!$L$30=4,VLOOKUP($A191,'Henwood Reference'!$E$9:$R$296,14),'Curve Paste'!BR191)</f>
        <v>3.54964391289924</v>
      </c>
      <c r="C191" s="1238" t="n">
        <f aca="false">IF(Assumptions!$L$30=4,VLOOKUP($A191,'Henwood Reference'!$E$9:$R$296,14),'Curve Paste'!BS191)</f>
        <v>3.54964391289924</v>
      </c>
      <c r="D191" s="1238" t="n">
        <f aca="false">IF(Assumptions!$L$30=4,VLOOKUP($A191,'Henwood Reference'!$E$9:$R$296,14),'Curve Paste'!BT191)</f>
        <v>3.54964391289924</v>
      </c>
      <c r="E191" s="1239" t="n">
        <v>0.1455</v>
      </c>
      <c r="F191" s="1239" t="n">
        <v>0.153</v>
      </c>
      <c r="G191" s="1239" t="n">
        <v>0.1605</v>
      </c>
      <c r="H191" s="1239" t="n">
        <f aca="false">I191-$H$4</f>
        <v>-0.07</v>
      </c>
      <c r="I191" s="1239"/>
      <c r="J191" s="1239" t="n">
        <f aca="false">I191+$J$4</f>
        <v>0.07</v>
      </c>
      <c r="K191" s="1243" t="n">
        <f aca="false">K179</f>
        <v>0</v>
      </c>
      <c r="L191" s="1241" t="n">
        <f aca="false">IF(Assumptions!$L$30=4,0,O191+P191)</f>
        <v>0</v>
      </c>
      <c r="M191" s="1242" t="n">
        <f aca="false">(IF(GasPriceCurve,IF(OBuySell=OCallPut,D191,B191),C191)+K191/1000+L191)/(1-GasTransportPercent)</f>
        <v>3.59275699686158</v>
      </c>
      <c r="N191" s="1239" t="n">
        <f aca="false">IF(Assumptions!$L$30=4,F191,CHOOSE(Assumptions!$L$30,E191,F191,G191))</f>
        <v>0.153</v>
      </c>
      <c r="O191" s="0" t="n">
        <v>0.22375</v>
      </c>
      <c r="P191" s="647" t="n">
        <f aca="false">Assumptions!$L$32*(1+Assumptions!$C$26)^(YEAR(A191)-2000)</f>
        <v>0.110361203742579</v>
      </c>
    </row>
    <row r="192" customFormat="false" ht="12.75" hidden="false" customHeight="false" outlineLevel="0" collapsed="false">
      <c r="A192" s="1237" t="n">
        <f aca="false">'Curve Paste'!BQ192</f>
        <v>42309</v>
      </c>
      <c r="B192" s="1238" t="n">
        <f aca="false">IF(Assumptions!$L$30=4,VLOOKUP($A192,'Henwood Reference'!$E$9:$R$296,14),'Curve Paste'!BR192)</f>
        <v>3.69236585070021</v>
      </c>
      <c r="C192" s="1238" t="n">
        <f aca="false">IF(Assumptions!$L$30=4,VLOOKUP($A192,'Henwood Reference'!$E$9:$R$296,14),'Curve Paste'!BS192)</f>
        <v>3.69236585070021</v>
      </c>
      <c r="D192" s="1238" t="n">
        <f aca="false">IF(Assumptions!$L$30=4,VLOOKUP($A192,'Henwood Reference'!$E$9:$R$296,14),'Curve Paste'!BT192)</f>
        <v>3.69236585070021</v>
      </c>
      <c r="E192" s="1239" t="n">
        <v>0.1455</v>
      </c>
      <c r="F192" s="1239" t="n">
        <v>0.153</v>
      </c>
      <c r="G192" s="1239" t="n">
        <v>0.1605</v>
      </c>
      <c r="H192" s="1239" t="n">
        <f aca="false">I192-$H$4</f>
        <v>-0.07</v>
      </c>
      <c r="I192" s="1239"/>
      <c r="J192" s="1239" t="n">
        <f aca="false">I192+$J$4</f>
        <v>0.07</v>
      </c>
      <c r="K192" s="1243" t="n">
        <f aca="false">K180</f>
        <v>0</v>
      </c>
      <c r="L192" s="1241" t="n">
        <f aca="false">IF(Assumptions!$L$30=4,0,O192+P192)</f>
        <v>0</v>
      </c>
      <c r="M192" s="1242" t="n">
        <f aca="false">(IF(GasPriceCurve,IF(OBuySell=OCallPut,D192,B192),C192)+K192/1000+L192)/(1-GasTransportPercent)</f>
        <v>3.73721239949414</v>
      </c>
      <c r="N192" s="1239" t="n">
        <f aca="false">IF(Assumptions!$L$30=4,F192,CHOOSE(Assumptions!$L$30,E192,F192,G192))</f>
        <v>0.153</v>
      </c>
      <c r="O192" s="0" t="n">
        <v>0.18875</v>
      </c>
      <c r="P192" s="647" t="n">
        <f aca="false">Assumptions!$L$32*(1+Assumptions!$C$26)^(YEAR(A192)-2000)</f>
        <v>0.110361203742579</v>
      </c>
    </row>
    <row r="193" customFormat="false" ht="12.75" hidden="false" customHeight="false" outlineLevel="0" collapsed="false">
      <c r="A193" s="1237" t="n">
        <f aca="false">'Curve Paste'!BQ193</f>
        <v>42339</v>
      </c>
      <c r="B193" s="1238" t="n">
        <f aca="false">IF(Assumptions!$L$30=4,VLOOKUP($A193,'Henwood Reference'!$E$9:$R$296,14),'Curve Paste'!BR193)</f>
        <v>3.84316501516566</v>
      </c>
      <c r="C193" s="1238" t="n">
        <f aca="false">IF(Assumptions!$L$30=4,VLOOKUP($A193,'Henwood Reference'!$E$9:$R$296,14),'Curve Paste'!BS193)</f>
        <v>3.84316501516566</v>
      </c>
      <c r="D193" s="1238" t="n">
        <f aca="false">IF(Assumptions!$L$30=4,VLOOKUP($A193,'Henwood Reference'!$E$9:$R$296,14),'Curve Paste'!BT193)</f>
        <v>3.84316501516566</v>
      </c>
      <c r="E193" s="1239" t="n">
        <v>0.1455</v>
      </c>
      <c r="F193" s="1239" t="n">
        <v>0.153</v>
      </c>
      <c r="G193" s="1239" t="n">
        <v>0.1605</v>
      </c>
      <c r="H193" s="1239" t="n">
        <f aca="false">I193-$H$4</f>
        <v>-0.07</v>
      </c>
      <c r="I193" s="1239"/>
      <c r="J193" s="1239" t="n">
        <f aca="false">I193+$J$4</f>
        <v>0.07</v>
      </c>
      <c r="K193" s="1243" t="n">
        <f aca="false">K181</f>
        <v>0</v>
      </c>
      <c r="L193" s="1241" t="n">
        <f aca="false">IF(Assumptions!$L$30=4,0,O193+P193)</f>
        <v>0</v>
      </c>
      <c r="M193" s="1242" t="n">
        <f aca="false">(IF(GasPriceCurve,IF(OBuySell=OCallPut,D193,B193),C193)+K193/1000+L193)/(1-GasTransportPercent)</f>
        <v>3.88984313275877</v>
      </c>
      <c r="N193" s="1239" t="n">
        <f aca="false">IF(Assumptions!$L$30=4,F193,CHOOSE(Assumptions!$L$30,E193,F193,G193))</f>
        <v>0.153</v>
      </c>
      <c r="O193" s="0" t="n">
        <v>0.18875</v>
      </c>
      <c r="P193" s="647" t="n">
        <f aca="false">Assumptions!$L$32*(1+Assumptions!$C$26)^(YEAR(A193)-2000)</f>
        <v>0.110361203742579</v>
      </c>
    </row>
    <row r="194" customFormat="false" ht="12.75" hidden="false" customHeight="false" outlineLevel="0" collapsed="false">
      <c r="A194" s="1237" t="n">
        <f aca="false">'Curve Paste'!BQ194</f>
        <v>42370</v>
      </c>
      <c r="B194" s="1238" t="n">
        <f aca="false">IF(Assumptions!$L$30=4,VLOOKUP($A194,'Henwood Reference'!$E$9:$R$296,14),'Curve Paste'!BR194)</f>
        <v>3.73737680905973</v>
      </c>
      <c r="C194" s="1238" t="n">
        <f aca="false">IF(Assumptions!$L$30=4,VLOOKUP($A194,'Henwood Reference'!$E$9:$R$296,14),'Curve Paste'!BS194)</f>
        <v>3.73737680905973</v>
      </c>
      <c r="D194" s="1238" t="n">
        <f aca="false">IF(Assumptions!$L$30=4,VLOOKUP($A194,'Henwood Reference'!$E$9:$R$296,14),'Curve Paste'!BT194)</f>
        <v>3.73737680905973</v>
      </c>
      <c r="E194" s="1239" t="n">
        <v>0.1455</v>
      </c>
      <c r="F194" s="1239" t="n">
        <v>0.153</v>
      </c>
      <c r="G194" s="1239" t="n">
        <v>0.1605</v>
      </c>
      <c r="H194" s="1239" t="n">
        <f aca="false">I194-$H$4</f>
        <v>-0.07</v>
      </c>
      <c r="I194" s="1239"/>
      <c r="J194" s="1239" t="n">
        <f aca="false">I194+$J$4</f>
        <v>0.07</v>
      </c>
      <c r="K194" s="1243" t="n">
        <f aca="false">K182</f>
        <v>0</v>
      </c>
      <c r="L194" s="1241" t="n">
        <f aca="false">IF(Assumptions!$L$30=4,0,O194+P194)</f>
        <v>0</v>
      </c>
      <c r="M194" s="1242" t="n">
        <f aca="false">(IF(GasPriceCurve,IF(OBuySell=OCallPut,D194,B194),C194)+K194/1000+L194)/(1-GasTransportPercent)</f>
        <v>3.78277004965559</v>
      </c>
      <c r="N194" s="1239" t="n">
        <f aca="false">IF(Assumptions!$L$30=4,F194,CHOOSE(Assumptions!$L$30,E194,F194,G194))</f>
        <v>0.153</v>
      </c>
      <c r="O194" s="0" t="n">
        <v>0.1575</v>
      </c>
      <c r="P194" s="647" t="n">
        <f aca="false">Assumptions!$L$32*(1+Assumptions!$C$26)^(YEAR(A194)-2000)</f>
        <v>0.11256842781743</v>
      </c>
    </row>
    <row r="195" customFormat="false" ht="12.75" hidden="false" customHeight="false" outlineLevel="0" collapsed="false">
      <c r="A195" s="1237" t="n">
        <f aca="false">'Curve Paste'!BQ195</f>
        <v>42401</v>
      </c>
      <c r="B195" s="1238" t="n">
        <f aca="false">IF(Assumptions!$L$30=4,VLOOKUP($A195,'Henwood Reference'!$E$9:$R$296,14),'Curve Paste'!BR195)</f>
        <v>3.4461088292613</v>
      </c>
      <c r="C195" s="1238" t="n">
        <f aca="false">IF(Assumptions!$L$30=4,VLOOKUP($A195,'Henwood Reference'!$E$9:$R$296,14),'Curve Paste'!BS195)</f>
        <v>3.4461088292613</v>
      </c>
      <c r="D195" s="1238" t="n">
        <f aca="false">IF(Assumptions!$L$30=4,VLOOKUP($A195,'Henwood Reference'!$E$9:$R$296,14),'Curve Paste'!BT195)</f>
        <v>3.4461088292613</v>
      </c>
      <c r="E195" s="1239" t="n">
        <v>0.1445</v>
      </c>
      <c r="F195" s="1239" t="n">
        <v>0.152</v>
      </c>
      <c r="G195" s="1239" t="n">
        <v>0.1595</v>
      </c>
      <c r="H195" s="1239" t="n">
        <f aca="false">I195-$H$4</f>
        <v>-0.07</v>
      </c>
      <c r="I195" s="1239"/>
      <c r="J195" s="1239" t="n">
        <f aca="false">I195+$J$4</f>
        <v>0.07</v>
      </c>
      <c r="K195" s="1243" t="n">
        <f aca="false">K183</f>
        <v>0</v>
      </c>
      <c r="L195" s="1241" t="n">
        <f aca="false">IF(Assumptions!$L$30=4,0,O195+P195)</f>
        <v>0</v>
      </c>
      <c r="M195" s="1242" t="n">
        <f aca="false">(IF(GasPriceCurve,IF(OBuySell=OCallPut,D195,B195),C195)+K195/1000+L195)/(1-GasTransportPercent)</f>
        <v>3.48796440208633</v>
      </c>
      <c r="N195" s="1239" t="n">
        <f aca="false">IF(Assumptions!$L$30=4,F195,CHOOSE(Assumptions!$L$30,E195,F195,G195))</f>
        <v>0.152</v>
      </c>
      <c r="O195" s="0" t="n">
        <v>0.1575</v>
      </c>
      <c r="P195" s="647" t="n">
        <f aca="false">Assumptions!$L$32*(1+Assumptions!$C$26)^(YEAR(A195)-2000)</f>
        <v>0.11256842781743</v>
      </c>
    </row>
    <row r="196" customFormat="false" ht="12.75" hidden="false" customHeight="false" outlineLevel="0" collapsed="false">
      <c r="A196" s="1237" t="n">
        <f aca="false">'Curve Paste'!BQ196</f>
        <v>42430</v>
      </c>
      <c r="B196" s="1238" t="n">
        <f aca="false">IF(Assumptions!$L$30=4,VLOOKUP($A196,'Henwood Reference'!$E$9:$R$296,14),'Curve Paste'!BR196)</f>
        <v>3.25616301685217</v>
      </c>
      <c r="C196" s="1238" t="n">
        <f aca="false">IF(Assumptions!$L$30=4,VLOOKUP($A196,'Henwood Reference'!$E$9:$R$296,14),'Curve Paste'!BS196)</f>
        <v>3.25616301685217</v>
      </c>
      <c r="D196" s="1238" t="n">
        <f aca="false">IF(Assumptions!$L$30=4,VLOOKUP($A196,'Henwood Reference'!$E$9:$R$296,14),'Curve Paste'!BT196)</f>
        <v>3.25616301685217</v>
      </c>
      <c r="E196" s="1239" t="n">
        <v>0.1445</v>
      </c>
      <c r="F196" s="1239" t="n">
        <v>0.152</v>
      </c>
      <c r="G196" s="1239" t="n">
        <v>0.1595</v>
      </c>
      <c r="H196" s="1239" t="n">
        <f aca="false">I196-$H$4</f>
        <v>-0.07</v>
      </c>
      <c r="I196" s="1239"/>
      <c r="J196" s="1239" t="n">
        <f aca="false">I196+$J$4</f>
        <v>0.07</v>
      </c>
      <c r="K196" s="1243" t="n">
        <f aca="false">K184</f>
        <v>0</v>
      </c>
      <c r="L196" s="1241" t="n">
        <f aca="false">IF(Assumptions!$L$30=4,0,O196+P196)</f>
        <v>0</v>
      </c>
      <c r="M196" s="1242" t="n">
        <f aca="false">(IF(GasPriceCurve,IF(OBuySell=OCallPut,D196,B196),C196)+K196/1000+L196)/(1-GasTransportPercent)</f>
        <v>3.29571155551839</v>
      </c>
      <c r="N196" s="1239" t="n">
        <f aca="false">IF(Assumptions!$L$30=4,F196,CHOOSE(Assumptions!$L$30,E196,F196,G196))</f>
        <v>0.152</v>
      </c>
      <c r="O196" s="0" t="n">
        <v>0.175</v>
      </c>
      <c r="P196" s="647" t="n">
        <f aca="false">Assumptions!$L$32*(1+Assumptions!$C$26)^(YEAR(A196)-2000)</f>
        <v>0.11256842781743</v>
      </c>
    </row>
    <row r="197" customFormat="false" ht="12.75" hidden="false" customHeight="false" outlineLevel="0" collapsed="false">
      <c r="A197" s="1237" t="n">
        <f aca="false">'Curve Paste'!BQ197</f>
        <v>42461</v>
      </c>
      <c r="B197" s="1238" t="n">
        <f aca="false">IF(Assumptions!$L$30=4,VLOOKUP($A197,'Henwood Reference'!$E$9:$R$296,14),'Curve Paste'!BR197)</f>
        <v>3.15317176021758</v>
      </c>
      <c r="C197" s="1238" t="n">
        <f aca="false">IF(Assumptions!$L$30=4,VLOOKUP($A197,'Henwood Reference'!$E$9:$R$296,14),'Curve Paste'!BS197)</f>
        <v>3.15317176021758</v>
      </c>
      <c r="D197" s="1238" t="n">
        <f aca="false">IF(Assumptions!$L$30=4,VLOOKUP($A197,'Henwood Reference'!$E$9:$R$296,14),'Curve Paste'!BT197)</f>
        <v>3.15317176021758</v>
      </c>
      <c r="E197" s="1239" t="n">
        <v>0.1445</v>
      </c>
      <c r="F197" s="1239" t="n">
        <v>0.152</v>
      </c>
      <c r="G197" s="1239" t="n">
        <v>0.1595</v>
      </c>
      <c r="H197" s="1239" t="n">
        <f aca="false">I197-$H$4</f>
        <v>-0.07</v>
      </c>
      <c r="I197" s="1239"/>
      <c r="J197" s="1239" t="n">
        <f aca="false">I197+$J$4</f>
        <v>0.07</v>
      </c>
      <c r="K197" s="1243" t="n">
        <f aca="false">K185</f>
        <v>0</v>
      </c>
      <c r="L197" s="1241" t="n">
        <f aca="false">IF(Assumptions!$L$30=4,0,O197+P197)</f>
        <v>0</v>
      </c>
      <c r="M197" s="1242" t="n">
        <f aca="false">(IF(GasPriceCurve,IF(OBuySell=OCallPut,D197,B197),C197)+K197/1000+L197)/(1-GasTransportPercent)</f>
        <v>3.19146939293277</v>
      </c>
      <c r="N197" s="1239" t="n">
        <f aca="false">IF(Assumptions!$L$30=4,F197,CHOOSE(Assumptions!$L$30,E197,F197,G197))</f>
        <v>0.152</v>
      </c>
      <c r="O197" s="0" t="n">
        <v>0.16</v>
      </c>
      <c r="P197" s="647" t="n">
        <f aca="false">Assumptions!$L$32*(1+Assumptions!$C$26)^(YEAR(A197)-2000)</f>
        <v>0.11256842781743</v>
      </c>
    </row>
    <row r="198" customFormat="false" ht="12.75" hidden="false" customHeight="false" outlineLevel="0" collapsed="false">
      <c r="A198" s="1237" t="n">
        <f aca="false">'Curve Paste'!BQ198</f>
        <v>42491</v>
      </c>
      <c r="B198" s="1238" t="n">
        <f aca="false">IF(Assumptions!$L$30=4,VLOOKUP($A198,'Henwood Reference'!$E$9:$R$296,14),'Curve Paste'!BR198)</f>
        <v>3.12430569866947</v>
      </c>
      <c r="C198" s="1238" t="n">
        <f aca="false">IF(Assumptions!$L$30=4,VLOOKUP($A198,'Henwood Reference'!$E$9:$R$296,14),'Curve Paste'!BS198)</f>
        <v>3.12430569866947</v>
      </c>
      <c r="D198" s="1238" t="n">
        <f aca="false">IF(Assumptions!$L$30=4,VLOOKUP($A198,'Henwood Reference'!$E$9:$R$296,14),'Curve Paste'!BT198)</f>
        <v>3.12430569866947</v>
      </c>
      <c r="E198" s="1239" t="n">
        <v>0.1445</v>
      </c>
      <c r="F198" s="1239" t="n">
        <v>0.152</v>
      </c>
      <c r="G198" s="1239" t="n">
        <v>0.1595</v>
      </c>
      <c r="H198" s="1239" t="n">
        <f aca="false">I198-$H$4</f>
        <v>-0.07</v>
      </c>
      <c r="I198" s="1239"/>
      <c r="J198" s="1239" t="n">
        <f aca="false">I198+$J$4</f>
        <v>0.07</v>
      </c>
      <c r="K198" s="1243" t="n">
        <f aca="false">K186</f>
        <v>0</v>
      </c>
      <c r="L198" s="1241" t="n">
        <f aca="false">IF(Assumptions!$L$30=4,0,O198+P198)</f>
        <v>0</v>
      </c>
      <c r="M198" s="1242" t="n">
        <f aca="false">(IF(GasPriceCurve,IF(OBuySell=OCallPut,D198,B198),C198)+K198/1000+L198)/(1-GasTransportPercent)</f>
        <v>3.16225273144683</v>
      </c>
      <c r="N198" s="1239" t="n">
        <f aca="false">IF(Assumptions!$L$30=4,F198,CHOOSE(Assumptions!$L$30,E198,F198,G198))</f>
        <v>0.152</v>
      </c>
      <c r="O198" s="0" t="n">
        <v>0.175</v>
      </c>
      <c r="P198" s="647" t="n">
        <f aca="false">Assumptions!$L$32*(1+Assumptions!$C$26)^(YEAR(A198)-2000)</f>
        <v>0.11256842781743</v>
      </c>
    </row>
    <row r="199" customFormat="false" ht="12.75" hidden="false" customHeight="false" outlineLevel="0" collapsed="false">
      <c r="A199" s="1237" t="n">
        <f aca="false">'Curve Paste'!BQ199</f>
        <v>42522</v>
      </c>
      <c r="B199" s="1238" t="n">
        <f aca="false">IF(Assumptions!$L$30=4,VLOOKUP($A199,'Henwood Reference'!$E$9:$R$296,14),'Curve Paste'!BR199)</f>
        <v>3.15673547151981</v>
      </c>
      <c r="C199" s="1238" t="n">
        <f aca="false">IF(Assumptions!$L$30=4,VLOOKUP($A199,'Henwood Reference'!$E$9:$R$296,14),'Curve Paste'!BS199)</f>
        <v>3.15673547151981</v>
      </c>
      <c r="D199" s="1238" t="n">
        <f aca="false">IF(Assumptions!$L$30=4,VLOOKUP($A199,'Henwood Reference'!$E$9:$R$296,14),'Curve Paste'!BT199)</f>
        <v>3.15673547151981</v>
      </c>
      <c r="E199" s="1239" t="n">
        <v>0.1445</v>
      </c>
      <c r="F199" s="1239" t="n">
        <v>0.152</v>
      </c>
      <c r="G199" s="1239" t="n">
        <v>0.1595</v>
      </c>
      <c r="H199" s="1239" t="n">
        <f aca="false">I199-$H$4</f>
        <v>-0.07</v>
      </c>
      <c r="I199" s="1239"/>
      <c r="J199" s="1239" t="n">
        <f aca="false">I199+$J$4</f>
        <v>0.07</v>
      </c>
      <c r="K199" s="1243" t="n">
        <f aca="false">K187</f>
        <v>0</v>
      </c>
      <c r="L199" s="1241" t="n">
        <f aca="false">IF(Assumptions!$L$30=4,0,O199+P199)</f>
        <v>0</v>
      </c>
      <c r="M199" s="1242" t="n">
        <f aca="false">(IF(GasPriceCurve,IF(OBuySell=OCallPut,D199,B199),C199)+K199/1000+L199)/(1-GasTransportPercent)</f>
        <v>3.19507638817795</v>
      </c>
      <c r="N199" s="1239" t="n">
        <f aca="false">IF(Assumptions!$L$30=4,F199,CHOOSE(Assumptions!$L$30,E199,F199,G199))</f>
        <v>0.152</v>
      </c>
      <c r="O199" s="0" t="n">
        <v>0.205</v>
      </c>
      <c r="P199" s="647" t="n">
        <f aca="false">Assumptions!$L$32*(1+Assumptions!$C$26)^(YEAR(A199)-2000)</f>
        <v>0.11256842781743</v>
      </c>
    </row>
    <row r="200" customFormat="false" ht="12.75" hidden="false" customHeight="false" outlineLevel="0" collapsed="false">
      <c r="A200" s="1237" t="n">
        <f aca="false">'Curve Paste'!BQ200</f>
        <v>42552</v>
      </c>
      <c r="B200" s="1238" t="n">
        <f aca="false">IF(Assumptions!$L$30=4,VLOOKUP($A200,'Henwood Reference'!$E$9:$R$296,14),'Curve Paste'!BR200)</f>
        <v>3.23763171808055</v>
      </c>
      <c r="C200" s="1238" t="n">
        <f aca="false">IF(Assumptions!$L$30=4,VLOOKUP($A200,'Henwood Reference'!$E$9:$R$296,14),'Curve Paste'!BS200)</f>
        <v>3.23763171808055</v>
      </c>
      <c r="D200" s="1238" t="n">
        <f aca="false">IF(Assumptions!$L$30=4,VLOOKUP($A200,'Henwood Reference'!$E$9:$R$296,14),'Curve Paste'!BT200)</f>
        <v>3.23763171808055</v>
      </c>
      <c r="E200" s="1239" t="n">
        <v>0.1445</v>
      </c>
      <c r="F200" s="1239" t="n">
        <v>0.152</v>
      </c>
      <c r="G200" s="1239" t="n">
        <v>0.1595</v>
      </c>
      <c r="H200" s="1239" t="n">
        <f aca="false">I200-$H$4</f>
        <v>-0.07</v>
      </c>
      <c r="I200" s="1239"/>
      <c r="J200" s="1239" t="n">
        <f aca="false">I200+$J$4</f>
        <v>0.07</v>
      </c>
      <c r="K200" s="1243" t="n">
        <f aca="false">K188</f>
        <v>0</v>
      </c>
      <c r="L200" s="1241" t="n">
        <f aca="false">IF(Assumptions!$L$30=4,0,O200+P200)</f>
        <v>0</v>
      </c>
      <c r="M200" s="1242" t="n">
        <f aca="false">(IF(GasPriceCurve,IF(OBuySell=OCallPut,D200,B200),C200)+K200/1000+L200)/(1-GasTransportPercent)</f>
        <v>3.27695518024347</v>
      </c>
      <c r="N200" s="1239" t="n">
        <f aca="false">IF(Assumptions!$L$30=4,F200,CHOOSE(Assumptions!$L$30,E200,F200,G200))</f>
        <v>0.152</v>
      </c>
      <c r="O200" s="0" t="n">
        <v>0.305</v>
      </c>
      <c r="P200" s="647" t="n">
        <f aca="false">Assumptions!$L$32*(1+Assumptions!$C$26)^(YEAR(A200)-2000)</f>
        <v>0.11256842781743</v>
      </c>
    </row>
    <row r="201" customFormat="false" ht="12.75" hidden="false" customHeight="false" outlineLevel="0" collapsed="false">
      <c r="A201" s="1237" t="n">
        <f aca="false">'Curve Paste'!BQ201</f>
        <v>42583</v>
      </c>
      <c r="B201" s="1238" t="n">
        <f aca="false">IF(Assumptions!$L$30=4,VLOOKUP($A201,'Henwood Reference'!$E$9:$R$296,14),'Curve Paste'!BR201)</f>
        <v>3.35416507766363</v>
      </c>
      <c r="C201" s="1238" t="n">
        <f aca="false">IF(Assumptions!$L$30=4,VLOOKUP($A201,'Henwood Reference'!$E$9:$R$296,14),'Curve Paste'!BS201)</f>
        <v>3.35416507766363</v>
      </c>
      <c r="D201" s="1238" t="n">
        <f aca="false">IF(Assumptions!$L$30=4,VLOOKUP($A201,'Henwood Reference'!$E$9:$R$296,14),'Curve Paste'!BT201)</f>
        <v>3.35416507766363</v>
      </c>
      <c r="E201" s="1239" t="n">
        <v>0.1445</v>
      </c>
      <c r="F201" s="1239" t="n">
        <v>0.152</v>
      </c>
      <c r="G201" s="1239" t="n">
        <v>0.1595</v>
      </c>
      <c r="H201" s="1239" t="n">
        <f aca="false">I201-$H$4</f>
        <v>-0.07</v>
      </c>
      <c r="I201" s="1239"/>
      <c r="J201" s="1239" t="n">
        <f aca="false">I201+$J$4</f>
        <v>0.07</v>
      </c>
      <c r="K201" s="1243" t="n">
        <f aca="false">K189</f>
        <v>0</v>
      </c>
      <c r="L201" s="1241" t="n">
        <f aca="false">IF(Assumptions!$L$30=4,0,O201+P201)</f>
        <v>0</v>
      </c>
      <c r="M201" s="1242" t="n">
        <f aca="false">(IF(GasPriceCurve,IF(OBuySell=OCallPut,D201,B201),C201)+K201/1000+L201)/(1-GasTransportPercent)</f>
        <v>3.39490392476076</v>
      </c>
      <c r="N201" s="1239" t="n">
        <f aca="false">IF(Assumptions!$L$30=4,F201,CHOOSE(Assumptions!$L$30,E201,F201,G201))</f>
        <v>0.152</v>
      </c>
      <c r="O201" s="0" t="n">
        <v>0.305</v>
      </c>
      <c r="P201" s="647" t="n">
        <f aca="false">Assumptions!$L$32*(1+Assumptions!$C$26)^(YEAR(A201)-2000)</f>
        <v>0.11256842781743</v>
      </c>
    </row>
    <row r="202" customFormat="false" ht="12.75" hidden="false" customHeight="false" outlineLevel="0" collapsed="false">
      <c r="A202" s="1237" t="n">
        <f aca="false">'Curve Paste'!BQ202</f>
        <v>42614</v>
      </c>
      <c r="B202" s="1238" t="n">
        <f aca="false">IF(Assumptions!$L$30=4,VLOOKUP($A202,'Henwood Reference'!$E$9:$R$296,14),'Curve Paste'!BR202)</f>
        <v>3.49350618958102</v>
      </c>
      <c r="C202" s="1238" t="n">
        <f aca="false">IF(Assumptions!$L$30=4,VLOOKUP($A202,'Henwood Reference'!$E$9:$R$296,14),'Curve Paste'!BS202)</f>
        <v>3.49350618958102</v>
      </c>
      <c r="D202" s="1238" t="n">
        <f aca="false">IF(Assumptions!$L$30=4,VLOOKUP($A202,'Henwood Reference'!$E$9:$R$296,14),'Curve Paste'!BT202)</f>
        <v>3.49350618958102</v>
      </c>
      <c r="E202" s="1239" t="n">
        <v>0.1445</v>
      </c>
      <c r="F202" s="1239" t="n">
        <v>0.152</v>
      </c>
      <c r="G202" s="1239" t="n">
        <v>0.1595</v>
      </c>
      <c r="H202" s="1239" t="n">
        <f aca="false">I202-$H$4</f>
        <v>-0.07</v>
      </c>
      <c r="I202" s="1239"/>
      <c r="J202" s="1239" t="n">
        <f aca="false">I202+$J$4</f>
        <v>0.07</v>
      </c>
      <c r="K202" s="1243" t="n">
        <f aca="false">K190</f>
        <v>0</v>
      </c>
      <c r="L202" s="1241" t="n">
        <f aca="false">IF(Assumptions!$L$30=4,0,O202+P202)</f>
        <v>0</v>
      </c>
      <c r="M202" s="1242" t="n">
        <f aca="false">(IF(GasPriceCurve,IF(OBuySell=OCallPut,D202,B202),C202)+K202/1000+L202)/(1-GasTransportPercent)</f>
        <v>3.53593743884719</v>
      </c>
      <c r="N202" s="1239" t="n">
        <f aca="false">IF(Assumptions!$L$30=4,F202,CHOOSE(Assumptions!$L$30,E202,F202,G202))</f>
        <v>0.152</v>
      </c>
      <c r="O202" s="0" t="n">
        <v>0.305</v>
      </c>
      <c r="P202" s="647" t="n">
        <f aca="false">Assumptions!$L$32*(1+Assumptions!$C$26)^(YEAR(A202)-2000)</f>
        <v>0.11256842781743</v>
      </c>
    </row>
    <row r="203" customFormat="false" ht="12.75" hidden="false" customHeight="false" outlineLevel="0" collapsed="false">
      <c r="A203" s="1237" t="n">
        <f aca="false">'Curve Paste'!BQ203</f>
        <v>42644</v>
      </c>
      <c r="B203" s="1238" t="n">
        <f aca="false">IF(Assumptions!$L$30=4,VLOOKUP($A203,'Henwood Reference'!$E$9:$R$296,14),'Curve Paste'!BR203)</f>
        <v>3.64282569314467</v>
      </c>
      <c r="C203" s="1238" t="n">
        <f aca="false">IF(Assumptions!$L$30=4,VLOOKUP($A203,'Henwood Reference'!$E$9:$R$296,14),'Curve Paste'!BS203)</f>
        <v>3.64282569314467</v>
      </c>
      <c r="D203" s="1238" t="n">
        <f aca="false">IF(Assumptions!$L$30=4,VLOOKUP($A203,'Henwood Reference'!$E$9:$R$296,14),'Curve Paste'!BT203)</f>
        <v>3.64282569314467</v>
      </c>
      <c r="E203" s="1239" t="n">
        <v>0.1445</v>
      </c>
      <c r="F203" s="1239" t="n">
        <v>0.152</v>
      </c>
      <c r="G203" s="1239" t="n">
        <v>0.1595</v>
      </c>
      <c r="H203" s="1239" t="n">
        <f aca="false">I203-$H$4</f>
        <v>-0.07</v>
      </c>
      <c r="I203" s="1239"/>
      <c r="J203" s="1239" t="n">
        <f aca="false">I203+$J$4</f>
        <v>0.07</v>
      </c>
      <c r="K203" s="1243" t="n">
        <f aca="false">K191</f>
        <v>0</v>
      </c>
      <c r="L203" s="1241" t="n">
        <f aca="false">IF(Assumptions!$L$30=4,0,O203+P203)</f>
        <v>0</v>
      </c>
      <c r="M203" s="1242" t="n">
        <f aca="false">(IF(GasPriceCurve,IF(OBuySell=OCallPut,D203,B203),C203)+K203/1000+L203)/(1-GasTransportPercent)</f>
        <v>3.68707053962011</v>
      </c>
      <c r="N203" s="1239" t="n">
        <f aca="false">IF(Assumptions!$L$30=4,F203,CHOOSE(Assumptions!$L$30,E203,F203,G203))</f>
        <v>0.152</v>
      </c>
      <c r="O203" s="0" t="n">
        <v>0.225</v>
      </c>
      <c r="P203" s="647" t="n">
        <f aca="false">Assumptions!$L$32*(1+Assumptions!$C$26)^(YEAR(A203)-2000)</f>
        <v>0.11256842781743</v>
      </c>
    </row>
    <row r="204" customFormat="false" ht="12.75" hidden="false" customHeight="false" outlineLevel="0" collapsed="false">
      <c r="A204" s="1237" t="n">
        <f aca="false">'Curve Paste'!BQ204</f>
        <v>42675</v>
      </c>
      <c r="B204" s="1238" t="n">
        <f aca="false">IF(Assumptions!$L$30=4,VLOOKUP($A204,'Henwood Reference'!$E$9:$R$296,14),'Curve Paste'!BR204)</f>
        <v>3.78929422766653</v>
      </c>
      <c r="C204" s="1238" t="n">
        <f aca="false">IF(Assumptions!$L$30=4,VLOOKUP($A204,'Henwood Reference'!$E$9:$R$296,14),'Curve Paste'!BS204)</f>
        <v>3.78929422766653</v>
      </c>
      <c r="D204" s="1238" t="n">
        <f aca="false">IF(Assumptions!$L$30=4,VLOOKUP($A204,'Henwood Reference'!$E$9:$R$296,14),'Curve Paste'!BT204)</f>
        <v>3.78929422766653</v>
      </c>
      <c r="E204" s="1239" t="n">
        <v>0.1445</v>
      </c>
      <c r="F204" s="1239" t="n">
        <v>0.152</v>
      </c>
      <c r="G204" s="1239" t="n">
        <v>0.1595</v>
      </c>
      <c r="H204" s="1239" t="n">
        <f aca="false">I204-$H$4</f>
        <v>-0.07</v>
      </c>
      <c r="I204" s="1239"/>
      <c r="J204" s="1239" t="n">
        <f aca="false">I204+$J$4</f>
        <v>0.07</v>
      </c>
      <c r="K204" s="1243" t="n">
        <f aca="false">K192</f>
        <v>0</v>
      </c>
      <c r="L204" s="1241" t="n">
        <f aca="false">IF(Assumptions!$L$30=4,0,O204+P204)</f>
        <v>0</v>
      </c>
      <c r="M204" s="1242" t="n">
        <f aca="false">(IF(GasPriceCurve,IF(OBuySell=OCallPut,D204,B204),C204)+K204/1000+L204)/(1-GasTransportPercent)</f>
        <v>3.8353180441969</v>
      </c>
      <c r="N204" s="1239" t="n">
        <f aca="false">IF(Assumptions!$L$30=4,F204,CHOOSE(Assumptions!$L$30,E204,F204,G204))</f>
        <v>0.152</v>
      </c>
      <c r="O204" s="0" t="n">
        <v>0.19</v>
      </c>
      <c r="P204" s="647" t="n">
        <f aca="false">Assumptions!$L$32*(1+Assumptions!$C$26)^(YEAR(A204)-2000)</f>
        <v>0.11256842781743</v>
      </c>
    </row>
    <row r="205" customFormat="false" ht="12.75" hidden="false" customHeight="false" outlineLevel="0" collapsed="false">
      <c r="A205" s="1237" t="n">
        <f aca="false">'Curve Paste'!BQ205</f>
        <v>42705</v>
      </c>
      <c r="B205" s="1238" t="n">
        <f aca="false">IF(Assumptions!$L$30=4,VLOOKUP($A205,'Henwood Reference'!$E$9:$R$296,14),'Curve Paste'!BR205)</f>
        <v>3.94405202430727</v>
      </c>
      <c r="C205" s="1238" t="n">
        <f aca="false">IF(Assumptions!$L$30=4,VLOOKUP($A205,'Henwood Reference'!$E$9:$R$296,14),'Curve Paste'!BS205)</f>
        <v>3.94405202430727</v>
      </c>
      <c r="D205" s="1238" t="n">
        <f aca="false">IF(Assumptions!$L$30=4,VLOOKUP($A205,'Henwood Reference'!$E$9:$R$296,14),'Curve Paste'!BT205)</f>
        <v>3.94405202430727</v>
      </c>
      <c r="E205" s="1239" t="n">
        <v>0.1445</v>
      </c>
      <c r="F205" s="1239" t="n">
        <v>0.152</v>
      </c>
      <c r="G205" s="1239" t="n">
        <v>0.1595</v>
      </c>
      <c r="H205" s="1239" t="n">
        <f aca="false">I205-$H$4</f>
        <v>-0.07</v>
      </c>
      <c r="I205" s="1239"/>
      <c r="J205" s="1239" t="n">
        <f aca="false">I205+$J$4</f>
        <v>0.07</v>
      </c>
      <c r="K205" s="1243" t="n">
        <f aca="false">K193</f>
        <v>0</v>
      </c>
      <c r="L205" s="1241" t="n">
        <f aca="false">IF(Assumptions!$L$30=4,0,O205+P205)</f>
        <v>0</v>
      </c>
      <c r="M205" s="1242" t="n">
        <f aca="false">(IF(GasPriceCurve,IF(OBuySell=OCallPut,D205,B205),C205)+K205/1000+L205)/(1-GasTransportPercent)</f>
        <v>3.99195549018954</v>
      </c>
      <c r="N205" s="1239" t="n">
        <f aca="false">IF(Assumptions!$L$30=4,F205,CHOOSE(Assumptions!$L$30,E205,F205,G205))</f>
        <v>0.152</v>
      </c>
      <c r="O205" s="0" t="n">
        <v>0.19</v>
      </c>
      <c r="P205" s="647" t="n">
        <f aca="false">Assumptions!$L$32*(1+Assumptions!$C$26)^(YEAR(A205)-2000)</f>
        <v>0.11256842781743</v>
      </c>
    </row>
    <row r="206" customFormat="false" ht="12.75" hidden="false" customHeight="false" outlineLevel="0" collapsed="false">
      <c r="A206" s="1237" t="n">
        <f aca="false">'Curve Paste'!BQ206</f>
        <v>42736</v>
      </c>
      <c r="B206" s="1238" t="n">
        <f aca="false">IF(Assumptions!$L$30=4,VLOOKUP($A206,'Henwood Reference'!$E$9:$R$296,14),'Curve Paste'!BR206)</f>
        <v>3.85358898933252</v>
      </c>
      <c r="C206" s="1238" t="n">
        <f aca="false">IF(Assumptions!$L$30=4,VLOOKUP($A206,'Henwood Reference'!$E$9:$R$296,14),'Curve Paste'!BS206)</f>
        <v>3.85358898933252</v>
      </c>
      <c r="D206" s="1238" t="n">
        <f aca="false">IF(Assumptions!$L$30=4,VLOOKUP($A206,'Henwood Reference'!$E$9:$R$296,14),'Curve Paste'!BT206)</f>
        <v>3.85358898933252</v>
      </c>
      <c r="E206" s="1239" t="n">
        <v>0.1445</v>
      </c>
      <c r="F206" s="1239" t="n">
        <v>0.152</v>
      </c>
      <c r="G206" s="1239" t="n">
        <v>0.1595</v>
      </c>
      <c r="H206" s="1239" t="n">
        <f aca="false">I206-$H$4</f>
        <v>-0.07</v>
      </c>
      <c r="I206" s="1239"/>
      <c r="J206" s="1239" t="n">
        <f aca="false">I206+$J$4</f>
        <v>0.07</v>
      </c>
      <c r="K206" s="1243" t="n">
        <f aca="false">K194</f>
        <v>0</v>
      </c>
      <c r="L206" s="1241" t="n">
        <f aca="false">IF(Assumptions!$L$30=4,0,O206+P206)</f>
        <v>0</v>
      </c>
      <c r="M206" s="1242" t="n">
        <f aca="false">(IF(GasPriceCurve,IF(OBuySell=OCallPut,D206,B206),C206)+K206/1000+L206)/(1-GasTransportPercent)</f>
        <v>3.90039371389931</v>
      </c>
      <c r="N206" s="1239" t="n">
        <f aca="false">IF(Assumptions!$L$30=4,F206,CHOOSE(Assumptions!$L$30,E206,F206,G206))</f>
        <v>0.152</v>
      </c>
      <c r="O206" s="0" t="n">
        <v>0.15875</v>
      </c>
      <c r="P206" s="647" t="n">
        <f aca="false">Assumptions!$L$32*(1+Assumptions!$C$26)^(YEAR(A206)-2000)</f>
        <v>0.114819796373779</v>
      </c>
    </row>
    <row r="207" customFormat="false" ht="12.75" hidden="false" customHeight="false" outlineLevel="0" collapsed="false">
      <c r="A207" s="1237" t="n">
        <f aca="false">'Curve Paste'!BQ207</f>
        <v>42767</v>
      </c>
      <c r="B207" s="1238" t="n">
        <f aca="false">IF(Assumptions!$L$30=4,VLOOKUP($A207,'Henwood Reference'!$E$9:$R$296,14),'Curve Paste'!BR207)</f>
        <v>3.55326415262473</v>
      </c>
      <c r="C207" s="1238" t="n">
        <f aca="false">IF(Assumptions!$L$30=4,VLOOKUP($A207,'Henwood Reference'!$E$9:$R$296,14),'Curve Paste'!BS207)</f>
        <v>3.55326415262473</v>
      </c>
      <c r="D207" s="1238" t="n">
        <f aca="false">IF(Assumptions!$L$30=4,VLOOKUP($A207,'Henwood Reference'!$E$9:$R$296,14),'Curve Paste'!BT207)</f>
        <v>3.55326415262473</v>
      </c>
      <c r="E207" s="1239" t="n">
        <v>0.1435</v>
      </c>
      <c r="F207" s="1239" t="n">
        <v>0.151</v>
      </c>
      <c r="G207" s="1239" t="n">
        <v>0.1585</v>
      </c>
      <c r="H207" s="1239" t="n">
        <f aca="false">I207-$H$4</f>
        <v>-0.07</v>
      </c>
      <c r="I207" s="1239"/>
      <c r="J207" s="1239" t="n">
        <f aca="false">I207+$J$4</f>
        <v>0.07</v>
      </c>
      <c r="K207" s="1243" t="n">
        <f aca="false">K195</f>
        <v>0</v>
      </c>
      <c r="L207" s="1241" t="n">
        <f aca="false">IF(Assumptions!$L$30=4,0,O207+P207)</f>
        <v>0</v>
      </c>
      <c r="M207" s="1242" t="n">
        <f aca="false">(IF(GasPriceCurve,IF(OBuySell=OCallPut,D207,B207),C207)+K207/1000+L207)/(1-GasTransportPercent)</f>
        <v>3.59642120711005</v>
      </c>
      <c r="N207" s="1239" t="n">
        <f aca="false">IF(Assumptions!$L$30=4,F207,CHOOSE(Assumptions!$L$30,E207,F207,G207))</f>
        <v>0.151</v>
      </c>
      <c r="O207" s="0" t="n">
        <v>0.15875</v>
      </c>
      <c r="P207" s="647" t="n">
        <f aca="false">Assumptions!$L$32*(1+Assumptions!$C$26)^(YEAR(A207)-2000)</f>
        <v>0.114819796373779</v>
      </c>
    </row>
    <row r="208" customFormat="false" ht="12.75" hidden="false" customHeight="false" outlineLevel="0" collapsed="false">
      <c r="A208" s="1237" t="n">
        <f aca="false">'Curve Paste'!BQ208</f>
        <v>42795</v>
      </c>
      <c r="B208" s="1238" t="n">
        <f aca="false">IF(Assumptions!$L$30=4,VLOOKUP($A208,'Henwood Reference'!$E$9:$R$296,14),'Curve Paste'!BR208)</f>
        <v>3.35741205403641</v>
      </c>
      <c r="C208" s="1238" t="n">
        <f aca="false">IF(Assumptions!$L$30=4,VLOOKUP($A208,'Henwood Reference'!$E$9:$R$296,14),'Curve Paste'!BS208)</f>
        <v>3.35741205403641</v>
      </c>
      <c r="D208" s="1238" t="n">
        <f aca="false">IF(Assumptions!$L$30=4,VLOOKUP($A208,'Henwood Reference'!$E$9:$R$296,14),'Curve Paste'!BT208)</f>
        <v>3.35741205403641</v>
      </c>
      <c r="E208" s="1239" t="n">
        <v>0.1435</v>
      </c>
      <c r="F208" s="1239" t="n">
        <v>0.151</v>
      </c>
      <c r="G208" s="1239" t="n">
        <v>0.1585</v>
      </c>
      <c r="H208" s="1239" t="n">
        <f aca="false">I208-$H$4</f>
        <v>-0.07</v>
      </c>
      <c r="I208" s="1239"/>
      <c r="J208" s="1239" t="n">
        <f aca="false">I208+$J$4</f>
        <v>0.07</v>
      </c>
      <c r="K208" s="1243" t="n">
        <f aca="false">K196</f>
        <v>0</v>
      </c>
      <c r="L208" s="1241" t="n">
        <f aca="false">IF(Assumptions!$L$30=4,0,O208+P208)</f>
        <v>0</v>
      </c>
      <c r="M208" s="1242" t="n">
        <f aca="false">(IF(GasPriceCurve,IF(OBuySell=OCallPut,D208,B208),C208)+K208/1000+L208)/(1-GasTransportPercent)</f>
        <v>3.39819033809354</v>
      </c>
      <c r="N208" s="1239" t="n">
        <f aca="false">IF(Assumptions!$L$30=4,F208,CHOOSE(Assumptions!$L$30,E208,F208,G208))</f>
        <v>0.151</v>
      </c>
      <c r="O208" s="0" t="n">
        <v>0.17625</v>
      </c>
      <c r="P208" s="647" t="n">
        <f aca="false">Assumptions!$L$32*(1+Assumptions!$C$26)^(YEAR(A208)-2000)</f>
        <v>0.114819796373779</v>
      </c>
    </row>
    <row r="209" customFormat="false" ht="12.75" hidden="false" customHeight="false" outlineLevel="0" collapsed="false">
      <c r="A209" s="1237" t="n">
        <f aca="false">'Curve Paste'!BQ209</f>
        <v>42826</v>
      </c>
      <c r="B209" s="1238" t="n">
        <f aca="false">IF(Assumptions!$L$30=4,VLOOKUP($A209,'Henwood Reference'!$E$9:$R$296,14),'Curve Paste'!BR209)</f>
        <v>3.2512183270345</v>
      </c>
      <c r="C209" s="1238" t="n">
        <f aca="false">IF(Assumptions!$L$30=4,VLOOKUP($A209,'Henwood Reference'!$E$9:$R$296,14),'Curve Paste'!BS209)</f>
        <v>3.2512183270345</v>
      </c>
      <c r="D209" s="1238" t="n">
        <f aca="false">IF(Assumptions!$L$30=4,VLOOKUP($A209,'Henwood Reference'!$E$9:$R$296,14),'Curve Paste'!BT209)</f>
        <v>3.2512183270345</v>
      </c>
      <c r="E209" s="1239" t="n">
        <v>0.1435</v>
      </c>
      <c r="F209" s="1239" t="n">
        <v>0.151</v>
      </c>
      <c r="G209" s="1239" t="n">
        <v>0.1585</v>
      </c>
      <c r="H209" s="1239" t="n">
        <f aca="false">I209-$H$4</f>
        <v>-0.07</v>
      </c>
      <c r="I209" s="1239"/>
      <c r="J209" s="1239" t="n">
        <f aca="false">I209+$J$4</f>
        <v>0.07</v>
      </c>
      <c r="K209" s="1243" t="n">
        <f aca="false">K197</f>
        <v>0</v>
      </c>
      <c r="L209" s="1241" t="n">
        <f aca="false">IF(Assumptions!$L$30=4,0,O209+P209)</f>
        <v>0</v>
      </c>
      <c r="M209" s="1242" t="n">
        <f aca="false">(IF(GasPriceCurve,IF(OBuySell=OCallPut,D209,B209),C209)+K209/1000+L209)/(1-GasTransportPercent)</f>
        <v>3.29070680873937</v>
      </c>
      <c r="N209" s="1239" t="n">
        <f aca="false">IF(Assumptions!$L$30=4,F209,CHOOSE(Assumptions!$L$30,E209,F209,G209))</f>
        <v>0.151</v>
      </c>
      <c r="O209" s="0" t="n">
        <v>0.16125</v>
      </c>
      <c r="P209" s="647" t="n">
        <f aca="false">Assumptions!$L$32*(1+Assumptions!$C$26)^(YEAR(A209)-2000)</f>
        <v>0.114819796373779</v>
      </c>
    </row>
    <row r="210" customFormat="false" ht="12.75" hidden="false" customHeight="false" outlineLevel="0" collapsed="false">
      <c r="A210" s="1237" t="n">
        <f aca="false">'Curve Paste'!BQ210</f>
        <v>42856</v>
      </c>
      <c r="B210" s="1238" t="n">
        <f aca="false">IF(Assumptions!$L$30=4,VLOOKUP($A210,'Henwood Reference'!$E$9:$R$296,14),'Curve Paste'!BR210)</f>
        <v>3.22145468728655</v>
      </c>
      <c r="C210" s="1238" t="n">
        <f aca="false">IF(Assumptions!$L$30=4,VLOOKUP($A210,'Henwood Reference'!$E$9:$R$296,14),'Curve Paste'!BS210)</f>
        <v>3.22145468728655</v>
      </c>
      <c r="D210" s="1238" t="n">
        <f aca="false">IF(Assumptions!$L$30=4,VLOOKUP($A210,'Henwood Reference'!$E$9:$R$296,14),'Curve Paste'!BT210)</f>
        <v>3.22145468728655</v>
      </c>
      <c r="E210" s="1239" t="n">
        <v>0.1435</v>
      </c>
      <c r="F210" s="1239" t="n">
        <v>0.151</v>
      </c>
      <c r="G210" s="1239" t="n">
        <v>0.1585</v>
      </c>
      <c r="H210" s="1239" t="n">
        <f aca="false">I210-$H$4</f>
        <v>-0.07</v>
      </c>
      <c r="I210" s="1239"/>
      <c r="J210" s="1239" t="n">
        <f aca="false">I210+$J$4</f>
        <v>0.07</v>
      </c>
      <c r="K210" s="1243" t="n">
        <f aca="false">K198</f>
        <v>0</v>
      </c>
      <c r="L210" s="1241" t="n">
        <f aca="false">IF(Assumptions!$L$30=4,0,O210+P210)</f>
        <v>0</v>
      </c>
      <c r="M210" s="1242" t="n">
        <f aca="false">(IF(GasPriceCurve,IF(OBuySell=OCallPut,D210,B210),C210)+K210/1000+L210)/(1-GasTransportPercent)</f>
        <v>3.26058166729408</v>
      </c>
      <c r="N210" s="1239" t="n">
        <f aca="false">IF(Assumptions!$L$30=4,F210,CHOOSE(Assumptions!$L$30,E210,F210,G210))</f>
        <v>0.151</v>
      </c>
      <c r="O210" s="0" t="n">
        <v>0.17625</v>
      </c>
      <c r="P210" s="647" t="n">
        <f aca="false">Assumptions!$L$32*(1+Assumptions!$C$26)^(YEAR(A210)-2000)</f>
        <v>0.114819796373779</v>
      </c>
    </row>
    <row r="211" customFormat="false" ht="12.75" hidden="false" customHeight="false" outlineLevel="0" collapsed="false">
      <c r="A211" s="1237" t="n">
        <f aca="false">'Curve Paste'!BQ211</f>
        <v>42887</v>
      </c>
      <c r="B211" s="1238" t="n">
        <f aca="false">IF(Assumptions!$L$30=4,VLOOKUP($A211,'Henwood Reference'!$E$9:$R$296,14),'Curve Paste'!BR211)</f>
        <v>3.25489285046017</v>
      </c>
      <c r="C211" s="1238" t="n">
        <f aca="false">IF(Assumptions!$L$30=4,VLOOKUP($A211,'Henwood Reference'!$E$9:$R$296,14),'Curve Paste'!BS211)</f>
        <v>3.25489285046017</v>
      </c>
      <c r="D211" s="1238" t="n">
        <f aca="false">IF(Assumptions!$L$30=4,VLOOKUP($A211,'Henwood Reference'!$E$9:$R$296,14),'Curve Paste'!BT211)</f>
        <v>3.25489285046017</v>
      </c>
      <c r="E211" s="1239" t="n">
        <v>0.1435</v>
      </c>
      <c r="F211" s="1239" t="n">
        <v>0.151</v>
      </c>
      <c r="G211" s="1239" t="n">
        <v>0.1585</v>
      </c>
      <c r="H211" s="1239" t="n">
        <f aca="false">I211-$H$4</f>
        <v>-0.07</v>
      </c>
      <c r="I211" s="1239"/>
      <c r="J211" s="1239" t="n">
        <f aca="false">I211+$J$4</f>
        <v>0.07</v>
      </c>
      <c r="K211" s="1243" t="n">
        <f aca="false">K199</f>
        <v>0</v>
      </c>
      <c r="L211" s="1241" t="n">
        <f aca="false">IF(Assumptions!$L$30=4,0,O211+P211)</f>
        <v>0</v>
      </c>
      <c r="M211" s="1242" t="n">
        <f aca="false">(IF(GasPriceCurve,IF(OBuySell=OCallPut,D211,B211),C211)+K211/1000+L211)/(1-GasTransportPercent)</f>
        <v>3.29442596200422</v>
      </c>
      <c r="N211" s="1239" t="n">
        <f aca="false">IF(Assumptions!$L$30=4,F211,CHOOSE(Assumptions!$L$30,E211,F211,G211))</f>
        <v>0.151</v>
      </c>
      <c r="O211" s="0" t="n">
        <v>0.20625</v>
      </c>
      <c r="P211" s="647" t="n">
        <f aca="false">Assumptions!$L$32*(1+Assumptions!$C$26)^(YEAR(A211)-2000)</f>
        <v>0.114819796373779</v>
      </c>
    </row>
    <row r="212" customFormat="false" ht="12.75" hidden="false" customHeight="false" outlineLevel="0" collapsed="false">
      <c r="A212" s="1237" t="n">
        <f aca="false">'Curve Paste'!BQ212</f>
        <v>42917</v>
      </c>
      <c r="B212" s="1238" t="n">
        <f aca="false">IF(Assumptions!$L$30=4,VLOOKUP($A212,'Henwood Reference'!$E$9:$R$296,14),'Curve Paste'!BR212)</f>
        <v>3.33830453222292</v>
      </c>
      <c r="C212" s="1238" t="n">
        <f aca="false">IF(Assumptions!$L$30=4,VLOOKUP($A212,'Henwood Reference'!$E$9:$R$296,14),'Curve Paste'!BS212)</f>
        <v>3.33830453222292</v>
      </c>
      <c r="D212" s="1238" t="n">
        <f aca="false">IF(Assumptions!$L$30=4,VLOOKUP($A212,'Henwood Reference'!$E$9:$R$296,14),'Curve Paste'!BT212)</f>
        <v>3.33830453222292</v>
      </c>
      <c r="E212" s="1239" t="n">
        <v>0.1435</v>
      </c>
      <c r="F212" s="1239" t="n">
        <v>0.151</v>
      </c>
      <c r="G212" s="1239" t="n">
        <v>0.1585</v>
      </c>
      <c r="H212" s="1239" t="n">
        <f aca="false">I212-$H$4</f>
        <v>-0.07</v>
      </c>
      <c r="I212" s="1239"/>
      <c r="J212" s="1239" t="n">
        <f aca="false">I212+$J$4</f>
        <v>0.07</v>
      </c>
      <c r="K212" s="1243" t="n">
        <f aca="false">K200</f>
        <v>0</v>
      </c>
      <c r="L212" s="1241" t="n">
        <f aca="false">IF(Assumptions!$L$30=4,0,O212+P212)</f>
        <v>0</v>
      </c>
      <c r="M212" s="1242" t="n">
        <f aca="false">(IF(GasPriceCurve,IF(OBuySell=OCallPut,D212,B212),C212)+K212/1000+L212)/(1-GasTransportPercent)</f>
        <v>3.37885074111632</v>
      </c>
      <c r="N212" s="1239" t="n">
        <f aca="false">IF(Assumptions!$L$30=4,F212,CHOOSE(Assumptions!$L$30,E212,F212,G212))</f>
        <v>0.151</v>
      </c>
      <c r="O212" s="0" t="n">
        <v>0.30625</v>
      </c>
      <c r="P212" s="647" t="n">
        <f aca="false">Assumptions!$L$32*(1+Assumptions!$C$26)^(YEAR(A212)-2000)</f>
        <v>0.114819796373779</v>
      </c>
    </row>
    <row r="213" customFormat="false" ht="12.75" hidden="false" customHeight="false" outlineLevel="0" collapsed="false">
      <c r="A213" s="1237" t="n">
        <f aca="false">'Curve Paste'!BQ213</f>
        <v>42948</v>
      </c>
      <c r="B213" s="1238" t="n">
        <f aca="false">IF(Assumptions!$L$30=4,VLOOKUP($A213,'Henwood Reference'!$E$9:$R$296,14),'Curve Paste'!BR213)</f>
        <v>3.45846144824239</v>
      </c>
      <c r="C213" s="1238" t="n">
        <f aca="false">IF(Assumptions!$L$30=4,VLOOKUP($A213,'Henwood Reference'!$E$9:$R$296,14),'Curve Paste'!BS213)</f>
        <v>3.45846144824239</v>
      </c>
      <c r="D213" s="1238" t="n">
        <f aca="false">IF(Assumptions!$L$30=4,VLOOKUP($A213,'Henwood Reference'!$E$9:$R$296,14),'Curve Paste'!BT213)</f>
        <v>3.45846144824239</v>
      </c>
      <c r="E213" s="1239" t="n">
        <v>0.1435</v>
      </c>
      <c r="F213" s="1239" t="n">
        <v>0.151</v>
      </c>
      <c r="G213" s="1239" t="n">
        <v>0.1585</v>
      </c>
      <c r="H213" s="1239" t="n">
        <f aca="false">I213-$H$4</f>
        <v>-0.07</v>
      </c>
      <c r="I213" s="1239"/>
      <c r="J213" s="1239" t="n">
        <f aca="false">I213+$J$4</f>
        <v>0.07</v>
      </c>
      <c r="K213" s="1243" t="n">
        <f aca="false">K201</f>
        <v>0</v>
      </c>
      <c r="L213" s="1241" t="n">
        <f aca="false">IF(Assumptions!$L$30=4,0,O213+P213)</f>
        <v>0</v>
      </c>
      <c r="M213" s="1242" t="n">
        <f aca="false">(IF(GasPriceCurve,IF(OBuySell=OCallPut,D213,B213),C213)+K213/1000+L213)/(1-GasTransportPercent)</f>
        <v>3.50046705287692</v>
      </c>
      <c r="N213" s="1239" t="n">
        <f aca="false">IF(Assumptions!$L$30=4,F213,CHOOSE(Assumptions!$L$30,E213,F213,G213))</f>
        <v>0.151</v>
      </c>
      <c r="O213" s="0" t="n">
        <v>0.30625</v>
      </c>
      <c r="P213" s="647" t="n">
        <f aca="false">Assumptions!$L$32*(1+Assumptions!$C$26)^(YEAR(A213)-2000)</f>
        <v>0.114819796373779</v>
      </c>
    </row>
    <row r="214" customFormat="false" ht="12.75" hidden="false" customHeight="false" outlineLevel="0" collapsed="false">
      <c r="A214" s="1237" t="n">
        <f aca="false">'Curve Paste'!BQ214</f>
        <v>42979</v>
      </c>
      <c r="B214" s="1238" t="n">
        <f aca="false">IF(Assumptions!$L$30=4,VLOOKUP($A214,'Henwood Reference'!$E$9:$R$296,14),'Curve Paste'!BR214)</f>
        <v>3.60213531418616</v>
      </c>
      <c r="C214" s="1238" t="n">
        <f aca="false">IF(Assumptions!$L$30=4,VLOOKUP($A214,'Henwood Reference'!$E$9:$R$296,14),'Curve Paste'!BS214)</f>
        <v>3.60213531418616</v>
      </c>
      <c r="D214" s="1238" t="n">
        <f aca="false">IF(Assumptions!$L$30=4,VLOOKUP($A214,'Henwood Reference'!$E$9:$R$296,14),'Curve Paste'!BT214)</f>
        <v>3.60213531418616</v>
      </c>
      <c r="E214" s="1239" t="n">
        <v>0.1435</v>
      </c>
      <c r="F214" s="1239" t="n">
        <v>0.151</v>
      </c>
      <c r="G214" s="1239" t="n">
        <v>0.1585</v>
      </c>
      <c r="H214" s="1239" t="n">
        <f aca="false">I214-$H$4</f>
        <v>-0.07</v>
      </c>
      <c r="I214" s="1239"/>
      <c r="J214" s="1239" t="n">
        <f aca="false">I214+$J$4</f>
        <v>0.07</v>
      </c>
      <c r="K214" s="1243" t="n">
        <f aca="false">K202</f>
        <v>0</v>
      </c>
      <c r="L214" s="1241" t="n">
        <f aca="false">IF(Assumptions!$L$30=4,0,O214+P214)</f>
        <v>0</v>
      </c>
      <c r="M214" s="1242" t="n">
        <f aca="false">(IF(GasPriceCurve,IF(OBuySell=OCallPut,D214,B214),C214)+K214/1000+L214)/(1-GasTransportPercent)</f>
        <v>3.64588594553255</v>
      </c>
      <c r="N214" s="1239" t="n">
        <f aca="false">IF(Assumptions!$L$30=4,F214,CHOOSE(Assumptions!$L$30,E214,F214,G214))</f>
        <v>0.151</v>
      </c>
      <c r="O214" s="0" t="n">
        <v>0.30625</v>
      </c>
      <c r="P214" s="647" t="n">
        <f aca="false">Assumptions!$L$32*(1+Assumptions!$C$26)^(YEAR(A214)-2000)</f>
        <v>0.114819796373779</v>
      </c>
    </row>
    <row r="215" customFormat="false" ht="12.75" hidden="false" customHeight="false" outlineLevel="0" collapsed="false">
      <c r="A215" s="1237" t="n">
        <f aca="false">'Curve Paste'!BQ215</f>
        <v>43009</v>
      </c>
      <c r="B215" s="1238" t="n">
        <f aca="false">IF(Assumptions!$L$30=4,VLOOKUP($A215,'Henwood Reference'!$E$9:$R$296,14),'Curve Paste'!BR215)</f>
        <v>3.75609784572182</v>
      </c>
      <c r="C215" s="1238" t="n">
        <f aca="false">IF(Assumptions!$L$30=4,VLOOKUP($A215,'Henwood Reference'!$E$9:$R$296,14),'Curve Paste'!BS215)</f>
        <v>3.75609784572182</v>
      </c>
      <c r="D215" s="1238" t="n">
        <f aca="false">IF(Assumptions!$L$30=4,VLOOKUP($A215,'Henwood Reference'!$E$9:$R$296,14),'Curve Paste'!BT215)</f>
        <v>3.75609784572182</v>
      </c>
      <c r="E215" s="1239" t="n">
        <v>0.1435</v>
      </c>
      <c r="F215" s="1239" t="n">
        <v>0.151</v>
      </c>
      <c r="G215" s="1239" t="n">
        <v>0.1585</v>
      </c>
      <c r="H215" s="1239" t="n">
        <f aca="false">I215-$H$4</f>
        <v>-0.07</v>
      </c>
      <c r="I215" s="1239"/>
      <c r="J215" s="1239" t="n">
        <f aca="false">I215+$J$4</f>
        <v>0.07</v>
      </c>
      <c r="K215" s="1243" t="n">
        <f aca="false">K203</f>
        <v>0</v>
      </c>
      <c r="L215" s="1241" t="n">
        <f aca="false">IF(Assumptions!$L$30=4,0,O215+P215)</f>
        <v>0</v>
      </c>
      <c r="M215" s="1242" t="n">
        <f aca="false">(IF(GasPriceCurve,IF(OBuySell=OCallPut,D215,B215),C215)+K215/1000+L215)/(1-GasTransportPercent)</f>
        <v>3.80171846732977</v>
      </c>
      <c r="N215" s="1239" t="n">
        <f aca="false">IF(Assumptions!$L$30=4,F215,CHOOSE(Assumptions!$L$30,E215,F215,G215))</f>
        <v>0.151</v>
      </c>
      <c r="O215" s="0" t="n">
        <v>0.22625</v>
      </c>
      <c r="P215" s="647" t="n">
        <f aca="false">Assumptions!$L$32*(1+Assumptions!$C$26)^(YEAR(A215)-2000)</f>
        <v>0.114819796373779</v>
      </c>
    </row>
    <row r="216" customFormat="false" ht="12.75" hidden="false" customHeight="false" outlineLevel="0" collapsed="false">
      <c r="A216" s="1237" t="n">
        <f aca="false">'Curve Paste'!BQ216</f>
        <v>43040</v>
      </c>
      <c r="B216" s="1238" t="n">
        <f aca="false">IF(Assumptions!$L$30=4,VLOOKUP($A216,'Henwood Reference'!$E$9:$R$296,14),'Curve Paste'!BR216)</f>
        <v>3.90712075851693</v>
      </c>
      <c r="C216" s="1238" t="n">
        <f aca="false">IF(Assumptions!$L$30=4,VLOOKUP($A216,'Henwood Reference'!$E$9:$R$296,14),'Curve Paste'!BS216)</f>
        <v>3.90712075851693</v>
      </c>
      <c r="D216" s="1238" t="n">
        <f aca="false">IF(Assumptions!$L$30=4,VLOOKUP($A216,'Henwood Reference'!$E$9:$R$296,14),'Curve Paste'!BT216)</f>
        <v>3.90712075851693</v>
      </c>
      <c r="E216" s="1239" t="n">
        <v>0.1435</v>
      </c>
      <c r="F216" s="1239" t="n">
        <v>0.151</v>
      </c>
      <c r="G216" s="1239" t="n">
        <v>0.1585</v>
      </c>
      <c r="H216" s="1239" t="n">
        <f aca="false">I216-$H$4</f>
        <v>-0.07</v>
      </c>
      <c r="I216" s="1239"/>
      <c r="J216" s="1239" t="n">
        <f aca="false">I216+$J$4</f>
        <v>0.07</v>
      </c>
      <c r="K216" s="1243" t="n">
        <f aca="false">K204</f>
        <v>0</v>
      </c>
      <c r="L216" s="1241" t="n">
        <f aca="false">IF(Assumptions!$L$30=4,0,O216+P216)</f>
        <v>0</v>
      </c>
      <c r="M216" s="1242" t="n">
        <f aca="false">(IF(GasPriceCurve,IF(OBuySell=OCallPut,D216,B216),C216)+K216/1000+L216)/(1-GasTransportPercent)</f>
        <v>3.95457566651511</v>
      </c>
      <c r="N216" s="1239" t="n">
        <f aca="false">IF(Assumptions!$L$30=4,F216,CHOOSE(Assumptions!$L$30,E216,F216,G216))</f>
        <v>0.151</v>
      </c>
      <c r="O216" s="0" t="n">
        <v>0.19125</v>
      </c>
      <c r="P216" s="647" t="n">
        <f aca="false">Assumptions!$L$32*(1+Assumptions!$C$26)^(YEAR(A216)-2000)</f>
        <v>0.114819796373779</v>
      </c>
    </row>
    <row r="217" customFormat="false" ht="12.75" hidden="false" customHeight="false" outlineLevel="0" collapsed="false">
      <c r="A217" s="1237" t="n">
        <f aca="false">'Curve Paste'!BQ217</f>
        <v>43070</v>
      </c>
      <c r="B217" s="1238" t="n">
        <f aca="false">IF(Assumptions!$L$30=4,VLOOKUP($A217,'Henwood Reference'!$E$9:$R$296,14),'Curve Paste'!BR217)</f>
        <v>4.06669068459515</v>
      </c>
      <c r="C217" s="1238" t="n">
        <f aca="false">IF(Assumptions!$L$30=4,VLOOKUP($A217,'Henwood Reference'!$E$9:$R$296,14),'Curve Paste'!BS217)</f>
        <v>4.06669068459515</v>
      </c>
      <c r="D217" s="1238" t="n">
        <f aca="false">IF(Assumptions!$L$30=4,VLOOKUP($A217,'Henwood Reference'!$E$9:$R$296,14),'Curve Paste'!BT217)</f>
        <v>4.06669068459515</v>
      </c>
      <c r="E217" s="1239" t="n">
        <v>0.1435</v>
      </c>
      <c r="F217" s="1239" t="n">
        <v>0.151</v>
      </c>
      <c r="G217" s="1239" t="n">
        <v>0.1585</v>
      </c>
      <c r="H217" s="1239" t="n">
        <f aca="false">I217-$H$4</f>
        <v>-0.07</v>
      </c>
      <c r="I217" s="1239"/>
      <c r="J217" s="1239" t="n">
        <f aca="false">I217+$J$4</f>
        <v>0.07</v>
      </c>
      <c r="K217" s="1243" t="n">
        <f aca="false">K205</f>
        <v>0</v>
      </c>
      <c r="L217" s="1241" t="n">
        <f aca="false">IF(Assumptions!$L$30=4,0,O217+P217)</f>
        <v>0</v>
      </c>
      <c r="M217" s="1242" t="n">
        <f aca="false">(IF(GasPriceCurve,IF(OBuySell=OCallPut,D217,B217),C217)+K217/1000+L217)/(1-GasTransportPercent)</f>
        <v>4.11608368886149</v>
      </c>
      <c r="N217" s="1239" t="n">
        <f aca="false">IF(Assumptions!$L$30=4,F217,CHOOSE(Assumptions!$L$30,E217,F217,G217))</f>
        <v>0.151</v>
      </c>
      <c r="O217" s="0" t="n">
        <v>0.19125</v>
      </c>
      <c r="P217" s="647" t="n">
        <f aca="false">Assumptions!$L$32*(1+Assumptions!$C$26)^(YEAR(A217)-2000)</f>
        <v>0.114819796373779</v>
      </c>
    </row>
    <row r="218" customFormat="false" ht="12.75" hidden="false" customHeight="false" outlineLevel="0" collapsed="false">
      <c r="A218" s="1237" t="n">
        <f aca="false">'Curve Paste'!BQ218</f>
        <v>43101</v>
      </c>
      <c r="B218" s="1238" t="n">
        <f aca="false">IF(Assumptions!$L$30=4,VLOOKUP($A218,'Henwood Reference'!$E$9:$R$296,14),'Curve Paste'!BR218)</f>
        <v>3.96669649592118</v>
      </c>
      <c r="C218" s="1238" t="n">
        <f aca="false">IF(Assumptions!$L$30=4,VLOOKUP($A218,'Henwood Reference'!$E$9:$R$296,14),'Curve Paste'!BS218)</f>
        <v>3.96669649592118</v>
      </c>
      <c r="D218" s="1238" t="n">
        <f aca="false">IF(Assumptions!$L$30=4,VLOOKUP($A218,'Henwood Reference'!$E$9:$R$296,14),'Curve Paste'!BT218)</f>
        <v>3.96669649592118</v>
      </c>
      <c r="E218" s="1239" t="n">
        <v>0.1435</v>
      </c>
      <c r="F218" s="1239" t="n">
        <v>0.151</v>
      </c>
      <c r="G218" s="1239" t="n">
        <v>0.1585</v>
      </c>
      <c r="H218" s="1239" t="n">
        <f aca="false">I218-$H$4</f>
        <v>-0.07</v>
      </c>
      <c r="I218" s="1239"/>
      <c r="J218" s="1239" t="n">
        <f aca="false">I218+$J$4</f>
        <v>0.07</v>
      </c>
      <c r="K218" s="1243" t="n">
        <f aca="false">K206</f>
        <v>0</v>
      </c>
      <c r="L218" s="1241" t="n">
        <f aca="false">IF(Assumptions!$L$30=4,0,O218+P218)</f>
        <v>0</v>
      </c>
      <c r="M218" s="1242" t="n">
        <f aca="false">(IF(GasPriceCurve,IF(OBuySell=OCallPut,D218,B218),C218)+K218/1000+L218)/(1-GasTransportPercent)</f>
        <v>4.01487499587164</v>
      </c>
      <c r="N218" s="1239" t="n">
        <f aca="false">IF(Assumptions!$L$30=4,F218,CHOOSE(Assumptions!$L$30,E218,F218,G218))</f>
        <v>0.151</v>
      </c>
      <c r="O218" s="0" t="n">
        <v>0.16</v>
      </c>
      <c r="P218" s="647" t="n">
        <f aca="false">Assumptions!$L$32*(1+Assumptions!$C$26)^(YEAR(A218)-2000)</f>
        <v>0.117116192301254</v>
      </c>
    </row>
    <row r="219" customFormat="false" ht="12.75" hidden="false" customHeight="false" outlineLevel="0" collapsed="false">
      <c r="A219" s="1237" t="n">
        <f aca="false">'Curve Paste'!BQ219</f>
        <v>43132</v>
      </c>
      <c r="B219" s="1238" t="n">
        <f aca="false">IF(Assumptions!$L$30=4,VLOOKUP($A219,'Henwood Reference'!$E$9:$R$296,14),'Curve Paste'!BR219)</f>
        <v>3.65755676132451</v>
      </c>
      <c r="C219" s="1238" t="n">
        <f aca="false">IF(Assumptions!$L$30=4,VLOOKUP($A219,'Henwood Reference'!$E$9:$R$296,14),'Curve Paste'!BS219)</f>
        <v>3.65755676132451</v>
      </c>
      <c r="D219" s="1238" t="n">
        <f aca="false">IF(Assumptions!$L$30=4,VLOOKUP($A219,'Henwood Reference'!$E$9:$R$296,14),'Curve Paste'!BT219)</f>
        <v>3.65755676132451</v>
      </c>
      <c r="E219" s="1239" t="n">
        <v>0.1435</v>
      </c>
      <c r="F219" s="1239" t="n">
        <v>0.151</v>
      </c>
      <c r="G219" s="1239" t="n">
        <v>0.1585</v>
      </c>
      <c r="H219" s="1239" t="n">
        <f aca="false">I219-$H$4</f>
        <v>-0.07</v>
      </c>
      <c r="I219" s="1239"/>
      <c r="J219" s="1239" t="n">
        <f aca="false">I219+$J$4</f>
        <v>0.07</v>
      </c>
      <c r="K219" s="1243" t="n">
        <f aca="false">K207</f>
        <v>0</v>
      </c>
      <c r="L219" s="1241" t="n">
        <f aca="false">IF(Assumptions!$L$30=4,0,O219+P219)</f>
        <v>0</v>
      </c>
      <c r="M219" s="1242" t="n">
        <f aca="false">(IF(GasPriceCurve,IF(OBuySell=OCallPut,D219,B219),C219)+K219/1000+L219)/(1-GasTransportPercent)</f>
        <v>3.70198052765638</v>
      </c>
      <c r="N219" s="1239" t="n">
        <f aca="false">IF(Assumptions!$L$30=4,F219,CHOOSE(Assumptions!$L$30,E219,F219,G219))</f>
        <v>0.151</v>
      </c>
      <c r="O219" s="0" t="n">
        <v>0.16</v>
      </c>
      <c r="P219" s="647" t="n">
        <f aca="false">Assumptions!$L$32*(1+Assumptions!$C$26)^(YEAR(A219)-2000)</f>
        <v>0.117116192301254</v>
      </c>
    </row>
    <row r="220" customFormat="false" ht="12.75" hidden="false" customHeight="false" outlineLevel="0" collapsed="false">
      <c r="A220" s="1237" t="n">
        <f aca="false">'Curve Paste'!BQ220</f>
        <v>43160</v>
      </c>
      <c r="B220" s="1238" t="n">
        <f aca="false">IF(Assumptions!$L$30=4,VLOOKUP($A220,'Henwood Reference'!$E$9:$R$296,14),'Curve Paste'!BR220)</f>
        <v>3.45595616631045</v>
      </c>
      <c r="C220" s="1238" t="n">
        <f aca="false">IF(Assumptions!$L$30=4,VLOOKUP($A220,'Henwood Reference'!$E$9:$R$296,14),'Curve Paste'!BS220)</f>
        <v>3.45595616631045</v>
      </c>
      <c r="D220" s="1238" t="n">
        <f aca="false">IF(Assumptions!$L$30=4,VLOOKUP($A220,'Henwood Reference'!$E$9:$R$296,14),'Curve Paste'!BT220)</f>
        <v>3.45595616631045</v>
      </c>
      <c r="E220" s="1239" t="n">
        <v>0.1435</v>
      </c>
      <c r="F220" s="1239" t="n">
        <v>0.151</v>
      </c>
      <c r="G220" s="1239" t="n">
        <v>0.1585</v>
      </c>
      <c r="H220" s="1239" t="n">
        <f aca="false">I220-$H$4</f>
        <v>-0.07</v>
      </c>
      <c r="I220" s="1239"/>
      <c r="J220" s="1239" t="n">
        <f aca="false">I220+$J$4</f>
        <v>0.07</v>
      </c>
      <c r="K220" s="1243" t="n">
        <f aca="false">K208</f>
        <v>0</v>
      </c>
      <c r="L220" s="1241" t="n">
        <f aca="false">IF(Assumptions!$L$30=4,0,O220+P220)</f>
        <v>0</v>
      </c>
      <c r="M220" s="1242" t="n">
        <f aca="false">(IF(GasPriceCurve,IF(OBuySell=OCallPut,D220,B220),C220)+K220/1000+L220)/(1-GasTransportPercent)</f>
        <v>3.49793134241948</v>
      </c>
      <c r="N220" s="1239" t="n">
        <f aca="false">IF(Assumptions!$L$30=4,F220,CHOOSE(Assumptions!$L$30,E220,F220,G220))</f>
        <v>0.151</v>
      </c>
      <c r="O220" s="0" t="n">
        <v>0.1775</v>
      </c>
      <c r="P220" s="647" t="n">
        <f aca="false">Assumptions!$L$32*(1+Assumptions!$C$26)^(YEAR(A220)-2000)</f>
        <v>0.117116192301254</v>
      </c>
    </row>
    <row r="221" customFormat="false" ht="12.75" hidden="false" customHeight="false" outlineLevel="0" collapsed="false">
      <c r="A221" s="1237" t="n">
        <f aca="false">'Curve Paste'!BQ221</f>
        <v>43191</v>
      </c>
      <c r="B221" s="1238" t="n">
        <f aca="false">IF(Assumptions!$L$30=4,VLOOKUP($A221,'Henwood Reference'!$E$9:$R$296,14),'Curve Paste'!BR221)</f>
        <v>3.34664552473622</v>
      </c>
      <c r="C221" s="1238" t="n">
        <f aca="false">IF(Assumptions!$L$30=4,VLOOKUP($A221,'Henwood Reference'!$E$9:$R$296,14),'Curve Paste'!BS221)</f>
        <v>3.34664552473622</v>
      </c>
      <c r="D221" s="1238" t="n">
        <f aca="false">IF(Assumptions!$L$30=4,VLOOKUP($A221,'Henwood Reference'!$E$9:$R$296,14),'Curve Paste'!BT221)</f>
        <v>3.34664552473622</v>
      </c>
      <c r="E221" s="1239" t="n">
        <v>0.1435</v>
      </c>
      <c r="F221" s="1239" t="n">
        <v>0.151</v>
      </c>
      <c r="G221" s="1239" t="n">
        <v>0.1585</v>
      </c>
      <c r="H221" s="1239" t="n">
        <f aca="false">I221-$H$4</f>
        <v>-0.07</v>
      </c>
      <c r="I221" s="1239"/>
      <c r="J221" s="1239" t="n">
        <f aca="false">I221+$J$4</f>
        <v>0.07</v>
      </c>
      <c r="K221" s="1243" t="n">
        <f aca="false">K209</f>
        <v>0</v>
      </c>
      <c r="L221" s="1241" t="n">
        <f aca="false">IF(Assumptions!$L$30=4,0,O221+P221)</f>
        <v>0</v>
      </c>
      <c r="M221" s="1242" t="n">
        <f aca="false">(IF(GasPriceCurve,IF(OBuySell=OCallPut,D221,B221),C221)+K221/1000+L221)/(1-GasTransportPercent)</f>
        <v>3.38729304123099</v>
      </c>
      <c r="N221" s="1239" t="n">
        <f aca="false">IF(Assumptions!$L$30=4,F221,CHOOSE(Assumptions!$L$30,E221,F221,G221))</f>
        <v>0.151</v>
      </c>
      <c r="O221" s="0" t="n">
        <v>0.1625</v>
      </c>
      <c r="P221" s="647" t="n">
        <f aca="false">Assumptions!$L$32*(1+Assumptions!$C$26)^(YEAR(A221)-2000)</f>
        <v>0.117116192301254</v>
      </c>
    </row>
    <row r="222" customFormat="false" ht="12.75" hidden="false" customHeight="false" outlineLevel="0" collapsed="false">
      <c r="A222" s="1237" t="n">
        <f aca="false">'Curve Paste'!BQ222</f>
        <v>43221</v>
      </c>
      <c r="B222" s="1238" t="n">
        <f aca="false">IF(Assumptions!$L$30=4,VLOOKUP($A222,'Henwood Reference'!$E$9:$R$296,14),'Curve Paste'!BR222)</f>
        <v>3.31600828609431</v>
      </c>
      <c r="C222" s="1238" t="n">
        <f aca="false">IF(Assumptions!$L$30=4,VLOOKUP($A222,'Henwood Reference'!$E$9:$R$296,14),'Curve Paste'!BS222)</f>
        <v>3.31600828609431</v>
      </c>
      <c r="D222" s="1238" t="n">
        <f aca="false">IF(Assumptions!$L$30=4,VLOOKUP($A222,'Henwood Reference'!$E$9:$R$296,14),'Curve Paste'!BT222)</f>
        <v>3.31600828609431</v>
      </c>
      <c r="E222" s="1239" t="n">
        <v>0.1435</v>
      </c>
      <c r="F222" s="1239" t="n">
        <v>0.151</v>
      </c>
      <c r="G222" s="1239" t="n">
        <v>0.1585</v>
      </c>
      <c r="H222" s="1239" t="n">
        <f aca="false">I222-$H$4</f>
        <v>-0.07</v>
      </c>
      <c r="I222" s="1239"/>
      <c r="J222" s="1239" t="n">
        <f aca="false">I222+$J$4</f>
        <v>0.07</v>
      </c>
      <c r="K222" s="1243" t="n">
        <f aca="false">K210</f>
        <v>0</v>
      </c>
      <c r="L222" s="1241" t="n">
        <f aca="false">IF(Assumptions!$L$30=4,0,O222+P222)</f>
        <v>0</v>
      </c>
      <c r="M222" s="1242" t="n">
        <f aca="false">(IF(GasPriceCurve,IF(OBuySell=OCallPut,D222,B222),C222)+K222/1000+L222)/(1-GasTransportPercent)</f>
        <v>3.35628369037885</v>
      </c>
      <c r="N222" s="1239" t="n">
        <f aca="false">IF(Assumptions!$L$30=4,F222,CHOOSE(Assumptions!$L$30,E222,F222,G222))</f>
        <v>0.151</v>
      </c>
      <c r="O222" s="0" t="n">
        <v>0.1775</v>
      </c>
      <c r="P222" s="647" t="n">
        <f aca="false">Assumptions!$L$32*(1+Assumptions!$C$26)^(YEAR(A222)-2000)</f>
        <v>0.117116192301254</v>
      </c>
    </row>
    <row r="223" customFormat="false" ht="12.75" hidden="false" customHeight="false" outlineLevel="0" collapsed="false">
      <c r="A223" s="1237" t="n">
        <f aca="false">'Curve Paste'!BQ223</f>
        <v>43252</v>
      </c>
      <c r="B223" s="1238" t="n">
        <f aca="false">IF(Assumptions!$L$30=4,VLOOKUP($A223,'Henwood Reference'!$E$9:$R$296,14),'Curve Paste'!BR223)</f>
        <v>3.3504278998772</v>
      </c>
      <c r="C223" s="1238" t="n">
        <f aca="false">IF(Assumptions!$L$30=4,VLOOKUP($A223,'Henwood Reference'!$E$9:$R$296,14),'Curve Paste'!BS223)</f>
        <v>3.3504278998772</v>
      </c>
      <c r="D223" s="1238" t="n">
        <f aca="false">IF(Assumptions!$L$30=4,VLOOKUP($A223,'Henwood Reference'!$E$9:$R$296,14),'Curve Paste'!BT223)</f>
        <v>3.3504278998772</v>
      </c>
      <c r="E223" s="1239" t="n">
        <v>0.1435</v>
      </c>
      <c r="F223" s="1239" t="n">
        <v>0.151</v>
      </c>
      <c r="G223" s="1239" t="n">
        <v>0.1585</v>
      </c>
      <c r="H223" s="1239" t="n">
        <f aca="false">I223-$H$4</f>
        <v>-0.07</v>
      </c>
      <c r="I223" s="1239"/>
      <c r="J223" s="1239" t="n">
        <f aca="false">I223+$J$4</f>
        <v>0.07</v>
      </c>
      <c r="K223" s="1243" t="n">
        <f aca="false">K211</f>
        <v>0</v>
      </c>
      <c r="L223" s="1241" t="n">
        <f aca="false">IF(Assumptions!$L$30=4,0,O223+P223)</f>
        <v>0</v>
      </c>
      <c r="M223" s="1242" t="n">
        <f aca="false">(IF(GasPriceCurve,IF(OBuySell=OCallPut,D223,B223),C223)+K223/1000+L223)/(1-GasTransportPercent)</f>
        <v>3.39112135615101</v>
      </c>
      <c r="N223" s="1239" t="n">
        <f aca="false">IF(Assumptions!$L$30=4,F223,CHOOSE(Assumptions!$L$30,E223,F223,G223))</f>
        <v>0.151</v>
      </c>
      <c r="O223" s="0" t="n">
        <v>0.2075</v>
      </c>
      <c r="P223" s="647" t="n">
        <f aca="false">Assumptions!$L$32*(1+Assumptions!$C$26)^(YEAR(A223)-2000)</f>
        <v>0.117116192301254</v>
      </c>
    </row>
    <row r="224" customFormat="false" ht="12.75" hidden="false" customHeight="false" outlineLevel="0" collapsed="false">
      <c r="A224" s="1237" t="n">
        <f aca="false">'Curve Paste'!BQ224</f>
        <v>43282</v>
      </c>
      <c r="B224" s="1238" t="n">
        <f aca="false">IF(Assumptions!$L$30=4,VLOOKUP($A224,'Henwood Reference'!$E$9:$R$296,14),'Curve Paste'!BR224)</f>
        <v>3.43628781557737</v>
      </c>
      <c r="C224" s="1238" t="n">
        <f aca="false">IF(Assumptions!$L$30=4,VLOOKUP($A224,'Henwood Reference'!$E$9:$R$296,14),'Curve Paste'!BS224)</f>
        <v>3.43628781557737</v>
      </c>
      <c r="D224" s="1238" t="n">
        <f aca="false">IF(Assumptions!$L$30=4,VLOOKUP($A224,'Henwood Reference'!$E$9:$R$296,14),'Curve Paste'!BT224)</f>
        <v>3.43628781557737</v>
      </c>
      <c r="E224" s="1239" t="n">
        <v>0.1435</v>
      </c>
      <c r="F224" s="1239" t="n">
        <v>0.151</v>
      </c>
      <c r="G224" s="1239" t="n">
        <v>0.1585</v>
      </c>
      <c r="H224" s="1239" t="n">
        <f aca="false">I224-$H$4</f>
        <v>-0.07</v>
      </c>
      <c r="I224" s="1239"/>
      <c r="J224" s="1239" t="n">
        <f aca="false">I224+$J$4</f>
        <v>0.07</v>
      </c>
      <c r="K224" s="1243" t="n">
        <f aca="false">K212</f>
        <v>0</v>
      </c>
      <c r="L224" s="1241" t="n">
        <f aca="false">IF(Assumptions!$L$30=4,0,O224+P224)</f>
        <v>0</v>
      </c>
      <c r="M224" s="1242" t="n">
        <f aca="false">(IF(GasPriceCurve,IF(OBuySell=OCallPut,D224,B224),C224)+K224/1000+L224)/(1-GasTransportPercent)</f>
        <v>3.47802410483539</v>
      </c>
      <c r="N224" s="1239" t="n">
        <f aca="false">IF(Assumptions!$L$30=4,F224,CHOOSE(Assumptions!$L$30,E224,F224,G224))</f>
        <v>0.151</v>
      </c>
      <c r="O224" s="0" t="n">
        <v>0.3075</v>
      </c>
      <c r="P224" s="647" t="n">
        <f aca="false">Assumptions!$L$32*(1+Assumptions!$C$26)^(YEAR(A224)-2000)</f>
        <v>0.117116192301254</v>
      </c>
    </row>
    <row r="225" customFormat="false" ht="12.75" hidden="false" customHeight="false" outlineLevel="0" collapsed="false">
      <c r="A225" s="1237" t="n">
        <f aca="false">'Curve Paste'!BQ225</f>
        <v>43313</v>
      </c>
      <c r="B225" s="1238" t="n">
        <f aca="false">IF(Assumptions!$L$30=4,VLOOKUP($A225,'Henwood Reference'!$E$9:$R$296,14),'Curve Paste'!BR225)</f>
        <v>3.55997148268731</v>
      </c>
      <c r="C225" s="1238" t="n">
        <f aca="false">IF(Assumptions!$L$30=4,VLOOKUP($A225,'Henwood Reference'!$E$9:$R$296,14),'Curve Paste'!BS225)</f>
        <v>3.55997148268731</v>
      </c>
      <c r="D225" s="1238" t="n">
        <f aca="false">IF(Assumptions!$L$30=4,VLOOKUP($A225,'Henwood Reference'!$E$9:$R$296,14),'Curve Paste'!BT225)</f>
        <v>3.55997148268731</v>
      </c>
      <c r="E225" s="1239" t="n">
        <v>0.1435</v>
      </c>
      <c r="F225" s="1239" t="n">
        <v>0.151</v>
      </c>
      <c r="G225" s="1239" t="n">
        <v>0.1585</v>
      </c>
      <c r="H225" s="1239" t="n">
        <f aca="false">I225-$H$4</f>
        <v>-0.07</v>
      </c>
      <c r="I225" s="1239"/>
      <c r="J225" s="1239" t="n">
        <f aca="false">I225+$J$4</f>
        <v>0.07</v>
      </c>
      <c r="K225" s="1243" t="n">
        <f aca="false">K213</f>
        <v>0</v>
      </c>
      <c r="L225" s="1241" t="n">
        <f aca="false">IF(Assumptions!$L$30=4,0,O225+P225)</f>
        <v>0</v>
      </c>
      <c r="M225" s="1242" t="n">
        <f aca="false">(IF(GasPriceCurve,IF(OBuySell=OCallPut,D225,B225),C225)+K225/1000+L225)/(1-GasTransportPercent)</f>
        <v>3.60321000271995</v>
      </c>
      <c r="N225" s="1239" t="n">
        <f aca="false">IF(Assumptions!$L$30=4,F225,CHOOSE(Assumptions!$L$30,E225,F225,G225))</f>
        <v>0.151</v>
      </c>
      <c r="O225" s="0" t="n">
        <v>0.3075</v>
      </c>
      <c r="P225" s="647" t="n">
        <f aca="false">Assumptions!$L$32*(1+Assumptions!$C$26)^(YEAR(A225)-2000)</f>
        <v>0.117116192301254</v>
      </c>
    </row>
    <row r="226" customFormat="false" ht="12.75" hidden="false" customHeight="false" outlineLevel="0" collapsed="false">
      <c r="A226" s="1237" t="n">
        <f aca="false">'Curve Paste'!BQ226</f>
        <v>43344</v>
      </c>
      <c r="B226" s="1238" t="n">
        <f aca="false">IF(Assumptions!$L$30=4,VLOOKUP($A226,'Henwood Reference'!$E$9:$R$296,14),'Curve Paste'!BR226)</f>
        <v>3.7078623506995</v>
      </c>
      <c r="C226" s="1238" t="n">
        <f aca="false">IF(Assumptions!$L$30=4,VLOOKUP($A226,'Henwood Reference'!$E$9:$R$296,14),'Curve Paste'!BS226)</f>
        <v>3.7078623506995</v>
      </c>
      <c r="D226" s="1238" t="n">
        <f aca="false">IF(Assumptions!$L$30=4,VLOOKUP($A226,'Henwood Reference'!$E$9:$R$296,14),'Curve Paste'!BT226)</f>
        <v>3.7078623506995</v>
      </c>
      <c r="E226" s="1239" t="n">
        <v>0.1435</v>
      </c>
      <c r="F226" s="1239" t="n">
        <v>0.151</v>
      </c>
      <c r="G226" s="1239" t="n">
        <v>0.1585</v>
      </c>
      <c r="H226" s="1239" t="n">
        <f aca="false">I226-$H$4</f>
        <v>-0.07</v>
      </c>
      <c r="I226" s="1239"/>
      <c r="J226" s="1239" t="n">
        <f aca="false">I226+$J$4</f>
        <v>0.07</v>
      </c>
      <c r="K226" s="1243" t="n">
        <f aca="false">K214</f>
        <v>0</v>
      </c>
      <c r="L226" s="1241" t="n">
        <f aca="false">IF(Assumptions!$L$30=4,0,O226+P226)</f>
        <v>0</v>
      </c>
      <c r="M226" s="1242" t="n">
        <f aca="false">(IF(GasPriceCurve,IF(OBuySell=OCallPut,D226,B226),C226)+K226/1000+L226)/(1-GasTransportPercent)</f>
        <v>3.75289711609261</v>
      </c>
      <c r="N226" s="1239" t="n">
        <f aca="false">IF(Assumptions!$L$30=4,F226,CHOOSE(Assumptions!$L$30,E226,F226,G226))</f>
        <v>0.151</v>
      </c>
      <c r="O226" s="0" t="n">
        <v>0.3075</v>
      </c>
      <c r="P226" s="647" t="n">
        <f aca="false">Assumptions!$L$32*(1+Assumptions!$C$26)^(YEAR(A226)-2000)</f>
        <v>0.117116192301254</v>
      </c>
    </row>
    <row r="227" customFormat="false" ht="12.75" hidden="false" customHeight="false" outlineLevel="0" collapsed="false">
      <c r="A227" s="1237" t="n">
        <f aca="false">'Curve Paste'!BQ227</f>
        <v>43374</v>
      </c>
      <c r="B227" s="1238" t="n">
        <f aca="false">IF(Assumptions!$L$30=4,VLOOKUP($A227,'Henwood Reference'!$E$9:$R$296,14),'Curve Paste'!BR227)</f>
        <v>3.86634386910643</v>
      </c>
      <c r="C227" s="1238" t="n">
        <f aca="false">IF(Assumptions!$L$30=4,VLOOKUP($A227,'Henwood Reference'!$E$9:$R$296,14),'Curve Paste'!BS227)</f>
        <v>3.86634386910643</v>
      </c>
      <c r="D227" s="1238" t="n">
        <f aca="false">IF(Assumptions!$L$30=4,VLOOKUP($A227,'Henwood Reference'!$E$9:$R$296,14),'Curve Paste'!BT227)</f>
        <v>3.86634386910643</v>
      </c>
      <c r="E227" s="1239" t="n">
        <v>0.1435</v>
      </c>
      <c r="F227" s="1239" t="n">
        <v>0.151</v>
      </c>
      <c r="G227" s="1239" t="n">
        <v>0.1585</v>
      </c>
      <c r="H227" s="1239" t="n">
        <f aca="false">I227-$H$4</f>
        <v>-0.07</v>
      </c>
      <c r="I227" s="1239"/>
      <c r="J227" s="1239" t="n">
        <f aca="false">I227+$J$4</f>
        <v>0.07</v>
      </c>
      <c r="K227" s="1243" t="n">
        <f aca="false">K215</f>
        <v>0</v>
      </c>
      <c r="L227" s="1241" t="n">
        <f aca="false">IF(Assumptions!$L$30=4,0,O227+P227)</f>
        <v>0</v>
      </c>
      <c r="M227" s="1242" t="n">
        <f aca="false">(IF(GasPriceCurve,IF(OBuySell=OCallPut,D227,B227),C227)+K227/1000+L227)/(1-GasTransportPercent)</f>
        <v>3.91330351124132</v>
      </c>
      <c r="N227" s="1239" t="n">
        <f aca="false">IF(Assumptions!$L$30=4,F227,CHOOSE(Assumptions!$L$30,E227,F227,G227))</f>
        <v>0.151</v>
      </c>
      <c r="O227" s="0" t="n">
        <v>0.2275</v>
      </c>
      <c r="P227" s="647" t="n">
        <f aca="false">Assumptions!$L$32*(1+Assumptions!$C$26)^(YEAR(A227)-2000)</f>
        <v>0.117116192301254</v>
      </c>
    </row>
    <row r="228" customFormat="false" ht="12.75" hidden="false" customHeight="false" outlineLevel="0" collapsed="false">
      <c r="A228" s="1237" t="n">
        <f aca="false">'Curve Paste'!BQ228</f>
        <v>43405</v>
      </c>
      <c r="B228" s="1238" t="n">
        <f aca="false">IF(Assumptions!$L$30=4,VLOOKUP($A228,'Henwood Reference'!$E$9:$R$296,14),'Curve Paste'!BR228)</f>
        <v>4.02179948740057</v>
      </c>
      <c r="C228" s="1238" t="n">
        <f aca="false">IF(Assumptions!$L$30=4,VLOOKUP($A228,'Henwood Reference'!$E$9:$R$296,14),'Curve Paste'!BS228)</f>
        <v>4.02179948740057</v>
      </c>
      <c r="D228" s="1238" t="n">
        <f aca="false">IF(Assumptions!$L$30=4,VLOOKUP($A228,'Henwood Reference'!$E$9:$R$296,14),'Curve Paste'!BT228)</f>
        <v>4.02179948740057</v>
      </c>
      <c r="E228" s="1239" t="n">
        <v>0.1435</v>
      </c>
      <c r="F228" s="1239" t="n">
        <v>0.151</v>
      </c>
      <c r="G228" s="1239" t="n">
        <v>0.1585</v>
      </c>
      <c r="H228" s="1239" t="n">
        <f aca="false">I228-$H$4</f>
        <v>-0.07</v>
      </c>
      <c r="I228" s="1239"/>
      <c r="J228" s="1239" t="n">
        <f aca="false">I228+$J$4</f>
        <v>0.07</v>
      </c>
      <c r="K228" s="1243" t="n">
        <f aca="false">K216</f>
        <v>0</v>
      </c>
      <c r="L228" s="1241" t="n">
        <f aca="false">IF(Assumptions!$L$30=4,0,O228+P228)</f>
        <v>0</v>
      </c>
      <c r="M228" s="1242" t="n">
        <f aca="false">(IF(GasPriceCurve,IF(OBuySell=OCallPut,D228,B228),C228)+K228/1000+L228)/(1-GasTransportPercent)</f>
        <v>4.07064725445402</v>
      </c>
      <c r="N228" s="1239" t="n">
        <f aca="false">IF(Assumptions!$L$30=4,F228,CHOOSE(Assumptions!$L$30,E228,F228,G228))</f>
        <v>0.151</v>
      </c>
      <c r="O228" s="0" t="n">
        <v>0.1925</v>
      </c>
      <c r="P228" s="647" t="n">
        <f aca="false">Assumptions!$L$32*(1+Assumptions!$C$26)^(YEAR(A228)-2000)</f>
        <v>0.117116192301254</v>
      </c>
    </row>
    <row r="229" customFormat="false" ht="12.75" hidden="false" customHeight="false" outlineLevel="0" collapsed="false">
      <c r="A229" s="1237" t="n">
        <f aca="false">'Curve Paste'!BQ229</f>
        <v>43435</v>
      </c>
      <c r="B229" s="1238" t="n">
        <f aca="false">IF(Assumptions!$L$30=4,VLOOKUP($A229,'Henwood Reference'!$E$9:$R$296,14),'Curve Paste'!BR229)</f>
        <v>4.18605298417488</v>
      </c>
      <c r="C229" s="1238" t="n">
        <f aca="false">IF(Assumptions!$L$30=4,VLOOKUP($A229,'Henwood Reference'!$E$9:$R$296,14),'Curve Paste'!BS229)</f>
        <v>4.18605298417488</v>
      </c>
      <c r="D229" s="1238" t="n">
        <f aca="false">IF(Assumptions!$L$30=4,VLOOKUP($A229,'Henwood Reference'!$E$9:$R$296,14),'Curve Paste'!BT229)</f>
        <v>4.18605298417488</v>
      </c>
      <c r="E229" s="1239" t="n">
        <v>0.1435</v>
      </c>
      <c r="F229" s="1239" t="n">
        <v>0.151</v>
      </c>
      <c r="G229" s="1239" t="n">
        <v>0.1585</v>
      </c>
      <c r="H229" s="1239" t="n">
        <f aca="false">I229-$H$4</f>
        <v>-0.07</v>
      </c>
      <c r="I229" s="1239"/>
      <c r="J229" s="1239" t="n">
        <f aca="false">I229+$J$4</f>
        <v>0.07</v>
      </c>
      <c r="K229" s="1243" t="n">
        <f aca="false">K217</f>
        <v>0</v>
      </c>
      <c r="L229" s="1241" t="n">
        <f aca="false">IF(Assumptions!$L$30=4,0,O229+P229)</f>
        <v>0</v>
      </c>
      <c r="M229" s="1242" t="n">
        <f aca="false">(IF(GasPriceCurve,IF(OBuySell=OCallPut,D229,B229),C229)+K229/1000+L229)/(1-GasTransportPercent)</f>
        <v>4.23689573297053</v>
      </c>
      <c r="N229" s="1239" t="n">
        <f aca="false">IF(Assumptions!$L$30=4,F229,CHOOSE(Assumptions!$L$30,E229,F229,G229))</f>
        <v>0.151</v>
      </c>
      <c r="O229" s="0" t="n">
        <v>0.1925</v>
      </c>
      <c r="P229" s="647" t="n">
        <f aca="false">Assumptions!$L$32*(1+Assumptions!$C$26)^(YEAR(A229)-2000)</f>
        <v>0.117116192301254</v>
      </c>
    </row>
    <row r="230" customFormat="false" ht="12.75" hidden="false" customHeight="false" outlineLevel="0" collapsed="false">
      <c r="A230" s="1237" t="n">
        <f aca="false">'Curve Paste'!BQ230</f>
        <v>43466</v>
      </c>
      <c r="B230" s="1238" t="n">
        <f aca="false">IF(Assumptions!$L$30=4,VLOOKUP($A230,'Henwood Reference'!$E$9:$R$296,14),'Curve Paste'!BR230)</f>
        <v>4.06546457810841</v>
      </c>
      <c r="C230" s="1238" t="n">
        <f aca="false">IF(Assumptions!$L$30=4,VLOOKUP($A230,'Henwood Reference'!$E$9:$R$296,14),'Curve Paste'!BS230)</f>
        <v>4.06546457810841</v>
      </c>
      <c r="D230" s="1238" t="n">
        <f aca="false">IF(Assumptions!$L$30=4,VLOOKUP($A230,'Henwood Reference'!$E$9:$R$296,14),'Curve Paste'!BT230)</f>
        <v>4.06546457810841</v>
      </c>
      <c r="E230" s="1239" t="n">
        <v>0.1435</v>
      </c>
      <c r="F230" s="1239" t="n">
        <v>0.151</v>
      </c>
      <c r="G230" s="1239" t="n">
        <v>0.1585</v>
      </c>
      <c r="H230" s="1239" t="n">
        <f aca="false">I230-$H$4</f>
        <v>-0.07</v>
      </c>
      <c r="I230" s="1239"/>
      <c r="J230" s="1239" t="n">
        <f aca="false">I230+$J$4</f>
        <v>0.07</v>
      </c>
      <c r="K230" s="1243" t="n">
        <f aca="false">K218</f>
        <v>0</v>
      </c>
      <c r="L230" s="1241" t="n">
        <f aca="false">IF(Assumptions!$L$30=4,0,O230+P230)</f>
        <v>0</v>
      </c>
      <c r="M230" s="1242" t="n">
        <f aca="false">(IF(GasPriceCurve,IF(OBuySell=OCallPut,D230,B230),C230)+K230/1000+L230)/(1-GasTransportPercent)</f>
        <v>4.11484269039313</v>
      </c>
      <c r="N230" s="1239" t="n">
        <f aca="false">IF(Assumptions!$L$30=4,F230,CHOOSE(Assumptions!$L$30,E230,F230,G230))</f>
        <v>0.151</v>
      </c>
      <c r="O230" s="0" t="n">
        <v>0.16125</v>
      </c>
      <c r="P230" s="647" t="n">
        <f aca="false">Assumptions!$L$32*(1+Assumptions!$C$26)^(YEAR(A230)-2000)</f>
        <v>0.119458516147279</v>
      </c>
    </row>
    <row r="231" customFormat="false" ht="12.75" hidden="false" customHeight="false" outlineLevel="0" collapsed="false">
      <c r="A231" s="1237" t="n">
        <f aca="false">'Curve Paste'!BQ231</f>
        <v>43497</v>
      </c>
      <c r="B231" s="1238" t="n">
        <f aca="false">IF(Assumptions!$L$30=4,VLOOKUP($A231,'Henwood Reference'!$E$9:$R$296,14),'Curve Paste'!BR231)</f>
        <v>3.74862747146793</v>
      </c>
      <c r="C231" s="1238" t="n">
        <f aca="false">IF(Assumptions!$L$30=4,VLOOKUP($A231,'Henwood Reference'!$E$9:$R$296,14),'Curve Paste'!BS231)</f>
        <v>3.74862747146793</v>
      </c>
      <c r="D231" s="1238" t="n">
        <f aca="false">IF(Assumptions!$L$30=4,VLOOKUP($A231,'Henwood Reference'!$E$9:$R$296,14),'Curve Paste'!BT231)</f>
        <v>3.74862747146793</v>
      </c>
      <c r="E231" s="1244" t="n">
        <f aca="false">E219-0.001</f>
        <v>0.1425</v>
      </c>
      <c r="F231" s="1244" t="n">
        <f aca="false">F219-0.001</f>
        <v>0.15</v>
      </c>
      <c r="G231" s="1244" t="n">
        <f aca="false">G219-0.001</f>
        <v>0.1575</v>
      </c>
      <c r="H231" s="1239" t="n">
        <f aca="false">I231-$H$4</f>
        <v>-0.07</v>
      </c>
      <c r="I231" s="1239"/>
      <c r="J231" s="1239" t="n">
        <f aca="false">I231+$J$4</f>
        <v>0.07</v>
      </c>
      <c r="K231" s="1243" t="n">
        <f aca="false">K219</f>
        <v>0</v>
      </c>
      <c r="L231" s="1241" t="n">
        <f aca="false">IF(Assumptions!$L$30=4,0,O231+P231)</f>
        <v>0</v>
      </c>
      <c r="M231" s="1242" t="n">
        <f aca="false">(IF(GasPriceCurve,IF(OBuySell=OCallPut,D231,B231),C231)+K231/1000+L231)/(1-GasTransportPercent)</f>
        <v>3.79415735978535</v>
      </c>
      <c r="N231" s="1239" t="n">
        <f aca="false">IF(Assumptions!$L$30=4,F231,CHOOSE(Assumptions!$L$30,E231,F231,G231))</f>
        <v>0.15</v>
      </c>
      <c r="O231" s="0" t="n">
        <v>0.16125</v>
      </c>
      <c r="P231" s="647" t="n">
        <f aca="false">Assumptions!$L$32*(1+Assumptions!$C$26)^(YEAR(A231)-2000)</f>
        <v>0.119458516147279</v>
      </c>
    </row>
    <row r="232" customFormat="false" ht="12.75" hidden="false" customHeight="false" outlineLevel="0" collapsed="false">
      <c r="A232" s="1237" t="n">
        <f aca="false">'Curve Paste'!BQ232</f>
        <v>43525</v>
      </c>
      <c r="B232" s="1238" t="n">
        <f aca="false">IF(Assumptions!$L$30=4,VLOOKUP($A232,'Henwood Reference'!$E$9:$R$296,14),'Curve Paste'!BR232)</f>
        <v>3.54200715685651</v>
      </c>
      <c r="C232" s="1238" t="n">
        <f aca="false">IF(Assumptions!$L$30=4,VLOOKUP($A232,'Henwood Reference'!$E$9:$R$296,14),'Curve Paste'!BS232)</f>
        <v>3.54200715685651</v>
      </c>
      <c r="D232" s="1238" t="n">
        <f aca="false">IF(Assumptions!$L$30=4,VLOOKUP($A232,'Henwood Reference'!$E$9:$R$296,14),'Curve Paste'!BT232)</f>
        <v>3.54200715685651</v>
      </c>
      <c r="E232" s="1244" t="n">
        <f aca="false">E231</f>
        <v>0.1425</v>
      </c>
      <c r="F232" s="1244" t="n">
        <f aca="false">F231</f>
        <v>0.15</v>
      </c>
      <c r="G232" s="1244" t="n">
        <f aca="false">G231</f>
        <v>0.1575</v>
      </c>
      <c r="H232" s="1239" t="n">
        <f aca="false">I232-$H$4</f>
        <v>-0.07</v>
      </c>
      <c r="I232" s="1239"/>
      <c r="J232" s="1239" t="n">
        <f aca="false">I232+$J$4</f>
        <v>0.07</v>
      </c>
      <c r="K232" s="1243" t="n">
        <f aca="false">K220</f>
        <v>0</v>
      </c>
      <c r="L232" s="1241" t="n">
        <f aca="false">IF(Assumptions!$L$30=4,0,O232+P232)</f>
        <v>0</v>
      </c>
      <c r="M232" s="1242" t="n">
        <f aca="false">(IF(GasPriceCurve,IF(OBuySell=OCallPut,D232,B232),C232)+K232/1000+L232)/(1-GasTransportPercent)</f>
        <v>3.58502748669687</v>
      </c>
      <c r="N232" s="1239" t="n">
        <f aca="false">IF(Assumptions!$L$30=4,F232,CHOOSE(Assumptions!$L$30,E232,F232,G232))</f>
        <v>0.15</v>
      </c>
      <c r="O232" s="0" t="n">
        <v>0.17875</v>
      </c>
      <c r="P232" s="647" t="n">
        <f aca="false">Assumptions!$L$32*(1+Assumptions!$C$26)^(YEAR(A232)-2000)</f>
        <v>0.119458516147279</v>
      </c>
    </row>
    <row r="233" customFormat="false" ht="12.75" hidden="false" customHeight="false" outlineLevel="0" collapsed="false">
      <c r="A233" s="1237" t="n">
        <f aca="false">'Curve Paste'!BQ233</f>
        <v>43556</v>
      </c>
      <c r="B233" s="1238" t="n">
        <f aca="false">IF(Assumptions!$L$30=4,VLOOKUP($A233,'Henwood Reference'!$E$9:$R$296,14),'Curve Paste'!BR233)</f>
        <v>3.42997475362443</v>
      </c>
      <c r="C233" s="1238" t="n">
        <f aca="false">IF(Assumptions!$L$30=4,VLOOKUP($A233,'Henwood Reference'!$E$9:$R$296,14),'Curve Paste'!BS233)</f>
        <v>3.42997475362443</v>
      </c>
      <c r="D233" s="1238" t="n">
        <f aca="false">IF(Assumptions!$L$30=4,VLOOKUP($A233,'Henwood Reference'!$E$9:$R$296,14),'Curve Paste'!BT233)</f>
        <v>3.42997475362443</v>
      </c>
      <c r="E233" s="1244" t="n">
        <f aca="false">E232</f>
        <v>0.1425</v>
      </c>
      <c r="F233" s="1244" t="n">
        <f aca="false">F232</f>
        <v>0.15</v>
      </c>
      <c r="G233" s="1244" t="n">
        <f aca="false">G232</f>
        <v>0.1575</v>
      </c>
      <c r="H233" s="1239" t="n">
        <f aca="false">I233-$H$4</f>
        <v>-0.07</v>
      </c>
      <c r="I233" s="1239"/>
      <c r="J233" s="1239" t="n">
        <f aca="false">I233+$J$4</f>
        <v>0.07</v>
      </c>
      <c r="K233" s="1243" t="n">
        <f aca="false">K221</f>
        <v>0</v>
      </c>
      <c r="L233" s="1241" t="n">
        <f aca="false">IF(Assumptions!$L$30=4,0,O233+P233)</f>
        <v>0</v>
      </c>
      <c r="M233" s="1242" t="n">
        <f aca="false">(IF(GasPriceCurve,IF(OBuySell=OCallPut,D233,B233),C233)+K233/1000+L233)/(1-GasTransportPercent)</f>
        <v>3.47163436601663</v>
      </c>
      <c r="N233" s="1239" t="n">
        <f aca="false">IF(Assumptions!$L$30=4,F233,CHOOSE(Assumptions!$L$30,E233,F233,G233))</f>
        <v>0.15</v>
      </c>
      <c r="O233" s="0" t="n">
        <v>0.16375</v>
      </c>
      <c r="P233" s="647" t="n">
        <f aca="false">Assumptions!$L$32*(1+Assumptions!$C$26)^(YEAR(A233)-2000)</f>
        <v>0.119458516147279</v>
      </c>
    </row>
    <row r="234" customFormat="false" ht="12.75" hidden="false" customHeight="false" outlineLevel="0" collapsed="false">
      <c r="A234" s="1237" t="n">
        <f aca="false">'Curve Paste'!BQ234</f>
        <v>43586</v>
      </c>
      <c r="B234" s="1238" t="n">
        <f aca="false">IF(Assumptions!$L$30=4,VLOOKUP($A234,'Henwood Reference'!$E$9:$R$296,14),'Curve Paste'!BR234)</f>
        <v>3.39857466828949</v>
      </c>
      <c r="C234" s="1238" t="n">
        <f aca="false">IF(Assumptions!$L$30=4,VLOOKUP($A234,'Henwood Reference'!$E$9:$R$296,14),'Curve Paste'!BS234)</f>
        <v>3.39857466828949</v>
      </c>
      <c r="D234" s="1238" t="n">
        <f aca="false">IF(Assumptions!$L$30=4,VLOOKUP($A234,'Henwood Reference'!$E$9:$R$296,14),'Curve Paste'!BT234)</f>
        <v>3.39857466828949</v>
      </c>
      <c r="E234" s="1244" t="n">
        <f aca="false">E233</f>
        <v>0.1425</v>
      </c>
      <c r="F234" s="1244" t="n">
        <f aca="false">F233</f>
        <v>0.15</v>
      </c>
      <c r="G234" s="1244" t="n">
        <f aca="false">G233</f>
        <v>0.1575</v>
      </c>
      <c r="H234" s="1239" t="n">
        <f aca="false">I234-$H$4</f>
        <v>-0.07</v>
      </c>
      <c r="I234" s="1239"/>
      <c r="J234" s="1239" t="n">
        <f aca="false">I234+$J$4</f>
        <v>0.07</v>
      </c>
      <c r="K234" s="1243" t="n">
        <f aca="false">K222</f>
        <v>0</v>
      </c>
      <c r="L234" s="1241" t="n">
        <f aca="false">IF(Assumptions!$L$30=4,0,O234+P234)</f>
        <v>0</v>
      </c>
      <c r="M234" s="1242" t="n">
        <f aca="false">(IF(GasPriceCurve,IF(OBuySell=OCallPut,D234,B234),C234)+K234/1000+L234)/(1-GasTransportPercent)</f>
        <v>3.43985290312701</v>
      </c>
      <c r="N234" s="1239" t="n">
        <f aca="false">IF(Assumptions!$L$30=4,F234,CHOOSE(Assumptions!$L$30,E234,F234,G234))</f>
        <v>0.15</v>
      </c>
      <c r="O234" s="0" t="n">
        <v>0.17875</v>
      </c>
      <c r="P234" s="647" t="n">
        <f aca="false">Assumptions!$L$32*(1+Assumptions!$C$26)^(YEAR(A234)-2000)</f>
        <v>0.119458516147279</v>
      </c>
    </row>
    <row r="235" customFormat="false" ht="12.75" hidden="false" customHeight="false" outlineLevel="0" collapsed="false">
      <c r="A235" s="1237" t="n">
        <f aca="false">'Curve Paste'!BQ235</f>
        <v>43617</v>
      </c>
      <c r="B235" s="1238" t="n">
        <f aca="false">IF(Assumptions!$L$30=4,VLOOKUP($A235,'Henwood Reference'!$E$9:$R$296,14),'Curve Paste'!BR235)</f>
        <v>3.43385130736949</v>
      </c>
      <c r="C235" s="1238" t="n">
        <f aca="false">IF(Assumptions!$L$30=4,VLOOKUP($A235,'Henwood Reference'!$E$9:$R$296,14),'Curve Paste'!BS235)</f>
        <v>3.43385130736949</v>
      </c>
      <c r="D235" s="1238" t="n">
        <f aca="false">IF(Assumptions!$L$30=4,VLOOKUP($A235,'Henwood Reference'!$E$9:$R$296,14),'Curve Paste'!BT235)</f>
        <v>3.43385130736949</v>
      </c>
      <c r="E235" s="1244" t="n">
        <f aca="false">E234</f>
        <v>0.1425</v>
      </c>
      <c r="F235" s="1244" t="n">
        <f aca="false">F234</f>
        <v>0.15</v>
      </c>
      <c r="G235" s="1244" t="n">
        <f aca="false">G234</f>
        <v>0.1575</v>
      </c>
      <c r="H235" s="1239" t="n">
        <f aca="false">I235-$H$4</f>
        <v>-0.07</v>
      </c>
      <c r="I235" s="1239"/>
      <c r="J235" s="1239" t="n">
        <f aca="false">I235+$J$4</f>
        <v>0.07</v>
      </c>
      <c r="K235" s="1243" t="n">
        <f aca="false">K223</f>
        <v>0</v>
      </c>
      <c r="L235" s="1241" t="n">
        <f aca="false">IF(Assumptions!$L$30=4,0,O235+P235)</f>
        <v>0</v>
      </c>
      <c r="M235" s="1242" t="n">
        <f aca="false">(IF(GasPriceCurve,IF(OBuySell=OCallPut,D235,B235),C235)+K235/1000+L235)/(1-GasTransportPercent)</f>
        <v>3.47555800341041</v>
      </c>
      <c r="N235" s="1239" t="n">
        <f aca="false">IF(Assumptions!$L$30=4,F235,CHOOSE(Assumptions!$L$30,E235,F235,G235))</f>
        <v>0.15</v>
      </c>
      <c r="O235" s="0" t="n">
        <v>0.20875</v>
      </c>
      <c r="P235" s="647" t="n">
        <f aca="false">Assumptions!$L$32*(1+Assumptions!$C$26)^(YEAR(A235)-2000)</f>
        <v>0.119458516147279</v>
      </c>
    </row>
    <row r="236" customFormat="false" ht="12.75" hidden="false" customHeight="false" outlineLevel="0" collapsed="false">
      <c r="A236" s="1237" t="n">
        <f aca="false">'Curve Paste'!BQ236</f>
        <v>43647</v>
      </c>
      <c r="B236" s="1238" t="n">
        <f aca="false">IF(Assumptions!$L$30=4,VLOOKUP($A236,'Henwood Reference'!$E$9:$R$296,14),'Curve Paste'!BR236)</f>
        <v>3.52184907738223</v>
      </c>
      <c r="C236" s="1238" t="n">
        <f aca="false">IF(Assumptions!$L$30=4,VLOOKUP($A236,'Henwood Reference'!$E$9:$R$296,14),'Curve Paste'!BS236)</f>
        <v>3.52184907738223</v>
      </c>
      <c r="D236" s="1238" t="n">
        <f aca="false">IF(Assumptions!$L$30=4,VLOOKUP($A236,'Henwood Reference'!$E$9:$R$296,14),'Curve Paste'!BT236)</f>
        <v>3.52184907738223</v>
      </c>
      <c r="E236" s="1244" t="n">
        <f aca="false">E235</f>
        <v>0.1425</v>
      </c>
      <c r="F236" s="1244" t="n">
        <f aca="false">F235</f>
        <v>0.15</v>
      </c>
      <c r="G236" s="1244" t="n">
        <f aca="false">G235</f>
        <v>0.1575</v>
      </c>
      <c r="H236" s="1239" t="n">
        <f aca="false">I236-$H$4</f>
        <v>-0.07</v>
      </c>
      <c r="I236" s="1239"/>
      <c r="J236" s="1239" t="n">
        <f aca="false">I236+$J$4</f>
        <v>0.07</v>
      </c>
      <c r="K236" s="1243" t="n">
        <f aca="false">K224</f>
        <v>0</v>
      </c>
      <c r="L236" s="1241" t="n">
        <f aca="false">IF(Assumptions!$L$30=4,0,O236+P236)</f>
        <v>0</v>
      </c>
      <c r="M236" s="1242" t="n">
        <f aca="false">(IF(GasPriceCurve,IF(OBuySell=OCallPut,D236,B236),C236)+K236/1000+L236)/(1-GasTransportPercent)</f>
        <v>3.56462457224922</v>
      </c>
      <c r="N236" s="1239" t="n">
        <f aca="false">IF(Assumptions!$L$30=4,F236,CHOOSE(Assumptions!$L$30,E236,F236,G236))</f>
        <v>0.15</v>
      </c>
      <c r="O236" s="0" t="n">
        <v>0.30875</v>
      </c>
      <c r="P236" s="647" t="n">
        <f aca="false">Assumptions!$L$32*(1+Assumptions!$C$26)^(YEAR(A236)-2000)</f>
        <v>0.119458516147279</v>
      </c>
    </row>
    <row r="237" customFormat="false" ht="12.75" hidden="false" customHeight="false" outlineLevel="0" collapsed="false">
      <c r="A237" s="1237" t="n">
        <f aca="false">'Curve Paste'!BQ237</f>
        <v>43678</v>
      </c>
      <c r="B237" s="1238" t="n">
        <f aca="false">IF(Assumptions!$L$30=4,VLOOKUP($A237,'Henwood Reference'!$E$9:$R$296,14),'Curve Paste'!BR237)</f>
        <v>3.64861238484552</v>
      </c>
      <c r="C237" s="1238" t="n">
        <f aca="false">IF(Assumptions!$L$30=4,VLOOKUP($A237,'Henwood Reference'!$E$9:$R$296,14),'Curve Paste'!BS237)</f>
        <v>3.64861238484552</v>
      </c>
      <c r="D237" s="1238" t="n">
        <f aca="false">IF(Assumptions!$L$30=4,VLOOKUP($A237,'Henwood Reference'!$E$9:$R$296,14),'Curve Paste'!BT237)</f>
        <v>3.64861238484552</v>
      </c>
      <c r="E237" s="1244" t="n">
        <f aca="false">E236</f>
        <v>0.1425</v>
      </c>
      <c r="F237" s="1244" t="n">
        <f aca="false">F236</f>
        <v>0.15</v>
      </c>
      <c r="G237" s="1244" t="n">
        <f aca="false">G236</f>
        <v>0.1575</v>
      </c>
      <c r="H237" s="1239" t="n">
        <f aca="false">I237-$H$4</f>
        <v>-0.07</v>
      </c>
      <c r="I237" s="1239"/>
      <c r="J237" s="1239" t="n">
        <f aca="false">I237+$J$4</f>
        <v>0.07</v>
      </c>
      <c r="K237" s="1243" t="n">
        <f aca="false">K225</f>
        <v>0</v>
      </c>
      <c r="L237" s="1241" t="n">
        <f aca="false">IF(Assumptions!$L$30=4,0,O237+P237)</f>
        <v>0</v>
      </c>
      <c r="M237" s="1242" t="n">
        <f aca="false">(IF(GasPriceCurve,IF(OBuySell=OCallPut,D237,B237),C237)+K237/1000+L237)/(1-GasTransportPercent)</f>
        <v>3.69292751502583</v>
      </c>
      <c r="N237" s="1239" t="n">
        <f aca="false">IF(Assumptions!$L$30=4,F237,CHOOSE(Assumptions!$L$30,E237,F237,G237))</f>
        <v>0.15</v>
      </c>
      <c r="O237" s="0" t="n">
        <v>0.30875</v>
      </c>
      <c r="P237" s="647" t="n">
        <f aca="false">Assumptions!$L$32*(1+Assumptions!$C$26)^(YEAR(A237)-2000)</f>
        <v>0.119458516147279</v>
      </c>
    </row>
    <row r="238" customFormat="false" ht="12.75" hidden="false" customHeight="false" outlineLevel="0" collapsed="false">
      <c r="A238" s="1237" t="n">
        <f aca="false">'Curve Paste'!BQ238</f>
        <v>43709</v>
      </c>
      <c r="B238" s="1238" t="n">
        <f aca="false">IF(Assumptions!$L$30=4,VLOOKUP($A238,'Henwood Reference'!$E$9:$R$296,14),'Curve Paste'!BR238)</f>
        <v>3.80018563627716</v>
      </c>
      <c r="C238" s="1238" t="n">
        <f aca="false">IF(Assumptions!$L$30=4,VLOOKUP($A238,'Henwood Reference'!$E$9:$R$296,14),'Curve Paste'!BS238)</f>
        <v>3.80018563627716</v>
      </c>
      <c r="D238" s="1238" t="n">
        <f aca="false">IF(Assumptions!$L$30=4,VLOOKUP($A238,'Henwood Reference'!$E$9:$R$296,14),'Curve Paste'!BT238)</f>
        <v>3.80018563627716</v>
      </c>
      <c r="E238" s="1244" t="n">
        <f aca="false">E237</f>
        <v>0.1425</v>
      </c>
      <c r="F238" s="1244" t="n">
        <f aca="false">F237</f>
        <v>0.15</v>
      </c>
      <c r="G238" s="1244" t="n">
        <f aca="false">G237</f>
        <v>0.1575</v>
      </c>
      <c r="H238" s="1239" t="n">
        <f aca="false">I238-$H$4</f>
        <v>-0.07</v>
      </c>
      <c r="I238" s="1239"/>
      <c r="J238" s="1239" t="n">
        <f aca="false">I238+$J$4</f>
        <v>0.07</v>
      </c>
      <c r="K238" s="1243" t="n">
        <f aca="false">K226</f>
        <v>0</v>
      </c>
      <c r="L238" s="1241" t="n">
        <f aca="false">IF(Assumptions!$L$30=4,0,O238+P238)</f>
        <v>0</v>
      </c>
      <c r="M238" s="1242" t="n">
        <f aca="false">(IF(GasPriceCurve,IF(OBuySell=OCallPut,D238,B238),C238)+K238/1000+L238)/(1-GasTransportPercent)</f>
        <v>3.84634173712263</v>
      </c>
      <c r="N238" s="1239" t="n">
        <f aca="false">IF(Assumptions!$L$30=4,F238,CHOOSE(Assumptions!$L$30,E238,F238,G238))</f>
        <v>0.15</v>
      </c>
      <c r="O238" s="0" t="n">
        <v>0.30875</v>
      </c>
      <c r="P238" s="647" t="n">
        <f aca="false">Assumptions!$L$32*(1+Assumptions!$C$26)^(YEAR(A238)-2000)</f>
        <v>0.119458516147279</v>
      </c>
    </row>
    <row r="239" customFormat="false" ht="12.75" hidden="false" customHeight="false" outlineLevel="0" collapsed="false">
      <c r="A239" s="1237" t="n">
        <f aca="false">'Curve Paste'!BQ239</f>
        <v>43739</v>
      </c>
      <c r="B239" s="1238" t="n">
        <f aca="false">IF(Assumptions!$L$30=4,VLOOKUP($A239,'Henwood Reference'!$E$9:$R$296,14),'Curve Paste'!BR239)</f>
        <v>3.96261323819495</v>
      </c>
      <c r="C239" s="1238" t="n">
        <f aca="false">IF(Assumptions!$L$30=4,VLOOKUP($A239,'Henwood Reference'!$E$9:$R$296,14),'Curve Paste'!BS239)</f>
        <v>3.96261323819495</v>
      </c>
      <c r="D239" s="1238" t="n">
        <f aca="false">IF(Assumptions!$L$30=4,VLOOKUP($A239,'Henwood Reference'!$E$9:$R$296,14),'Curve Paste'!BT239)</f>
        <v>3.96261323819495</v>
      </c>
      <c r="E239" s="1244" t="n">
        <f aca="false">E238</f>
        <v>0.1425</v>
      </c>
      <c r="F239" s="1244" t="n">
        <f aca="false">F238</f>
        <v>0.15</v>
      </c>
      <c r="G239" s="1244" t="n">
        <f aca="false">G238</f>
        <v>0.1575</v>
      </c>
      <c r="H239" s="1239" t="n">
        <f aca="false">I239-$H$4</f>
        <v>-0.07</v>
      </c>
      <c r="I239" s="1239"/>
      <c r="J239" s="1239" t="n">
        <f aca="false">I239+$J$4</f>
        <v>0.07</v>
      </c>
      <c r="K239" s="1243" t="n">
        <f aca="false">K227</f>
        <v>0</v>
      </c>
      <c r="L239" s="1241" t="n">
        <f aca="false">IF(Assumptions!$L$30=4,0,O239+P239)</f>
        <v>0</v>
      </c>
      <c r="M239" s="1242" t="n">
        <f aca="false">(IF(GasPriceCurve,IF(OBuySell=OCallPut,D239,B239),C239)+K239/1000+L239)/(1-GasTransportPercent)</f>
        <v>4.01074214392202</v>
      </c>
      <c r="N239" s="1239" t="n">
        <f aca="false">IF(Assumptions!$L$30=4,F239,CHOOSE(Assumptions!$L$30,E239,F239,G239))</f>
        <v>0.15</v>
      </c>
      <c r="O239" s="0" t="n">
        <v>0.22875</v>
      </c>
      <c r="P239" s="647" t="n">
        <f aca="false">Assumptions!$L$32*(1+Assumptions!$C$26)^(YEAR(A239)-2000)</f>
        <v>0.119458516147279</v>
      </c>
    </row>
    <row r="240" customFormat="false" ht="12.75" hidden="false" customHeight="false" outlineLevel="0" collapsed="false">
      <c r="A240" s="1237" t="n">
        <f aca="false">'Curve Paste'!BQ240</f>
        <v>43770</v>
      </c>
      <c r="B240" s="1238" t="n">
        <f aca="false">IF(Assumptions!$L$30=4,VLOOKUP($A240,'Henwood Reference'!$E$9:$R$296,14),'Curve Paste'!BR240)</f>
        <v>4.1219395971167</v>
      </c>
      <c r="C240" s="1238" t="n">
        <f aca="false">IF(Assumptions!$L$30=4,VLOOKUP($A240,'Henwood Reference'!$E$9:$R$296,14),'Curve Paste'!BS240)</f>
        <v>4.1219395971167</v>
      </c>
      <c r="D240" s="1238" t="n">
        <f aca="false">IF(Assumptions!$L$30=4,VLOOKUP($A240,'Henwood Reference'!$E$9:$R$296,14),'Curve Paste'!BT240)</f>
        <v>4.1219395971167</v>
      </c>
      <c r="E240" s="1244" t="n">
        <f aca="false">E239</f>
        <v>0.1425</v>
      </c>
      <c r="F240" s="1244" t="n">
        <f aca="false">F239</f>
        <v>0.15</v>
      </c>
      <c r="G240" s="1244" t="n">
        <f aca="false">G239</f>
        <v>0.1575</v>
      </c>
      <c r="H240" s="1239" t="n">
        <f aca="false">I240-$H$4</f>
        <v>-0.07</v>
      </c>
      <c r="I240" s="1239"/>
      <c r="J240" s="1239" t="n">
        <f aca="false">I240+$J$4</f>
        <v>0.07</v>
      </c>
      <c r="K240" s="1243" t="n">
        <f aca="false">K228</f>
        <v>0</v>
      </c>
      <c r="L240" s="1241" t="n">
        <f aca="false">IF(Assumptions!$L$30=4,0,O240+P240)</f>
        <v>0</v>
      </c>
      <c r="M240" s="1242" t="n">
        <f aca="false">(IF(GasPriceCurve,IF(OBuySell=OCallPut,D240,B240),C240)+K240/1000+L240)/(1-GasTransportPercent)</f>
        <v>4.17200364080638</v>
      </c>
      <c r="N240" s="1239" t="n">
        <f aca="false">IF(Assumptions!$L$30=4,F240,CHOOSE(Assumptions!$L$30,E240,F240,G240))</f>
        <v>0.15</v>
      </c>
      <c r="O240" s="0" t="n">
        <v>0.19375</v>
      </c>
      <c r="P240" s="647" t="n">
        <f aca="false">Assumptions!$L$32*(1+Assumptions!$C$26)^(YEAR(A240)-2000)</f>
        <v>0.119458516147279</v>
      </c>
    </row>
    <row r="241" customFormat="false" ht="12.75" hidden="false" customHeight="false" outlineLevel="0" collapsed="false">
      <c r="A241" s="1237" t="n">
        <f aca="false">'Curve Paste'!BQ241</f>
        <v>43800</v>
      </c>
      <c r="B241" s="1238" t="n">
        <f aca="false">IF(Assumptions!$L$30=4,VLOOKUP($A241,'Henwood Reference'!$E$9:$R$296,14),'Curve Paste'!BR241)</f>
        <v>4.29028289579182</v>
      </c>
      <c r="C241" s="1238" t="n">
        <f aca="false">IF(Assumptions!$L$30=4,VLOOKUP($A241,'Henwood Reference'!$E$9:$R$296,14),'Curve Paste'!BS241)</f>
        <v>4.29028289579182</v>
      </c>
      <c r="D241" s="1238" t="n">
        <f aca="false">IF(Assumptions!$L$30=4,VLOOKUP($A241,'Henwood Reference'!$E$9:$R$296,14),'Curve Paste'!BT241)</f>
        <v>4.29028289579182</v>
      </c>
      <c r="E241" s="1244" t="n">
        <f aca="false">E240</f>
        <v>0.1425</v>
      </c>
      <c r="F241" s="1244" t="n">
        <f aca="false">F240</f>
        <v>0.15</v>
      </c>
      <c r="G241" s="1244" t="n">
        <f aca="false">G240</f>
        <v>0.1575</v>
      </c>
      <c r="H241" s="1239" t="n">
        <f aca="false">I241-$H$4</f>
        <v>-0.07</v>
      </c>
      <c r="I241" s="1239"/>
      <c r="J241" s="1239" t="n">
        <f aca="false">I241+$J$4</f>
        <v>0.07</v>
      </c>
      <c r="K241" s="1243" t="n">
        <f aca="false">K229</f>
        <v>0</v>
      </c>
      <c r="L241" s="1241" t="n">
        <f aca="false">IF(Assumptions!$L$30=4,0,O241+P241)</f>
        <v>0</v>
      </c>
      <c r="M241" s="1242" t="n">
        <f aca="false">(IF(GasPriceCurve,IF(OBuySell=OCallPut,D241,B241),C241)+K241/1000+L241)/(1-GasTransportPercent)</f>
        <v>4.34239159493099</v>
      </c>
      <c r="N241" s="1239" t="n">
        <f aca="false">IF(Assumptions!$L$30=4,F241,CHOOSE(Assumptions!$L$30,E241,F241,G241))</f>
        <v>0.15</v>
      </c>
      <c r="O241" s="0" t="n">
        <v>0.19375</v>
      </c>
      <c r="P241" s="647" t="n">
        <f aca="false">Assumptions!$L$32*(1+Assumptions!$C$26)^(YEAR(A241)-2000)</f>
        <v>0.119458516147279</v>
      </c>
    </row>
    <row r="242" customFormat="false" ht="12.75" hidden="false" customHeight="false" outlineLevel="0" collapsed="false">
      <c r="A242" s="1237" t="n">
        <f aca="false">'Curve Paste'!BQ242</f>
        <v>43831</v>
      </c>
      <c r="B242" s="1238" t="n">
        <f aca="false">IF(Assumptions!$L$30=4,VLOOKUP($A242,'Henwood Reference'!$E$9:$R$296,14),'Curve Paste'!BR242)</f>
        <v>4.21037031213429</v>
      </c>
      <c r="C242" s="1238" t="n">
        <f aca="false">IF(Assumptions!$L$30=4,VLOOKUP($A242,'Henwood Reference'!$E$9:$R$296,14),'Curve Paste'!BS242)</f>
        <v>4.21037031213429</v>
      </c>
      <c r="D242" s="1238" t="n">
        <f aca="false">IF(Assumptions!$L$30=4,VLOOKUP($A242,'Henwood Reference'!$E$9:$R$296,14),'Curve Paste'!BT242)</f>
        <v>4.21037031213429</v>
      </c>
      <c r="E242" s="1244" t="n">
        <f aca="false">E241</f>
        <v>0.1425</v>
      </c>
      <c r="F242" s="1244" t="n">
        <f aca="false">F241</f>
        <v>0.15</v>
      </c>
      <c r="G242" s="1244" t="n">
        <f aca="false">G241</f>
        <v>0.1575</v>
      </c>
      <c r="H242" s="1239" t="n">
        <f aca="false">I242-$H$4</f>
        <v>-0.07</v>
      </c>
      <c r="I242" s="1239"/>
      <c r="J242" s="1239" t="n">
        <f aca="false">I242+$J$4</f>
        <v>0.07</v>
      </c>
      <c r="K242" s="1243" t="n">
        <f aca="false">K230</f>
        <v>0</v>
      </c>
      <c r="L242" s="1241" t="n">
        <f aca="false">IF(Assumptions!$L$30=4,0,O242+P242)</f>
        <v>0</v>
      </c>
      <c r="M242" s="1242" t="n">
        <f aca="false">(IF(GasPriceCurve,IF(OBuySell=OCallPut,D242,B242),C242)+K242/1000+L242)/(1-GasTransportPercent)</f>
        <v>4.26150841309138</v>
      </c>
      <c r="N242" s="1239" t="n">
        <f aca="false">IF(Assumptions!$L$30=4,F242,CHOOSE(Assumptions!$L$30,E242,F242,G242))</f>
        <v>0.15</v>
      </c>
      <c r="O242" s="0" t="n">
        <v>0.1625</v>
      </c>
      <c r="P242" s="647" t="n">
        <f aca="false">Assumptions!$L$32*(1+Assumptions!$C$26)^(YEAR(A242)-2000)</f>
        <v>0.121847686470225</v>
      </c>
    </row>
    <row r="243" customFormat="false" ht="12.75" hidden="false" customHeight="false" outlineLevel="0" collapsed="false">
      <c r="A243" s="1237" t="n">
        <f aca="false">'Curve Paste'!BQ243</f>
        <v>43862</v>
      </c>
      <c r="B243" s="1238" t="n">
        <f aca="false">IF(Assumptions!$L$30=4,VLOOKUP($A243,'Henwood Reference'!$E$9:$R$296,14),'Curve Paste'!BR243)</f>
        <v>3.88224015088165</v>
      </c>
      <c r="C243" s="1238" t="n">
        <f aca="false">IF(Assumptions!$L$30=4,VLOOKUP($A243,'Henwood Reference'!$E$9:$R$296,14),'Curve Paste'!BS243)</f>
        <v>3.88224015088165</v>
      </c>
      <c r="D243" s="1238" t="n">
        <f aca="false">IF(Assumptions!$L$30=4,VLOOKUP($A243,'Henwood Reference'!$E$9:$R$296,14),'Curve Paste'!BT243)</f>
        <v>3.88224015088165</v>
      </c>
      <c r="E243" s="1244" t="n">
        <f aca="false">E242</f>
        <v>0.1425</v>
      </c>
      <c r="F243" s="1244" t="n">
        <f aca="false">F242</f>
        <v>0.15</v>
      </c>
      <c r="G243" s="1244" t="n">
        <f aca="false">G242</f>
        <v>0.1575</v>
      </c>
      <c r="H243" s="1239" t="n">
        <f aca="false">I243-$H$4</f>
        <v>-0.07</v>
      </c>
      <c r="I243" s="1239"/>
      <c r="J243" s="1239" t="n">
        <f aca="false">I243+$J$4</f>
        <v>0.07</v>
      </c>
      <c r="K243" s="1243" t="n">
        <f aca="false">K231</f>
        <v>0</v>
      </c>
      <c r="L243" s="1241" t="n">
        <f aca="false">IF(Assumptions!$L$30=4,0,O243+P243)</f>
        <v>0</v>
      </c>
      <c r="M243" s="1242" t="n">
        <f aca="false">(IF(GasPriceCurve,IF(OBuySell=OCallPut,D243,B243),C243)+K243/1000+L243)/(1-GasTransportPercent)</f>
        <v>3.92939286526483</v>
      </c>
      <c r="N243" s="1239" t="n">
        <f aca="false">IF(Assumptions!$L$30=4,F243,CHOOSE(Assumptions!$L$30,E243,F243,G243))</f>
        <v>0.15</v>
      </c>
      <c r="O243" s="0" t="n">
        <v>0.1625</v>
      </c>
      <c r="P243" s="647" t="n">
        <f aca="false">Assumptions!$L$32*(1+Assumptions!$C$26)^(YEAR(A243)-2000)</f>
        <v>0.121847686470225</v>
      </c>
    </row>
    <row r="244" customFormat="false" ht="12.75" hidden="false" customHeight="false" outlineLevel="0" collapsed="false">
      <c r="A244" s="1237" t="n">
        <f aca="false">'Curve Paste'!BQ244</f>
        <v>43891</v>
      </c>
      <c r="B244" s="1238" t="n">
        <f aca="false">IF(Assumptions!$L$30=4,VLOOKUP($A244,'Henwood Reference'!$E$9:$R$296,14),'Curve Paste'!BR244)</f>
        <v>3.66825524908021</v>
      </c>
      <c r="C244" s="1238" t="n">
        <f aca="false">IF(Assumptions!$L$30=4,VLOOKUP($A244,'Henwood Reference'!$E$9:$R$296,14),'Curve Paste'!BS244)</f>
        <v>3.66825524908021</v>
      </c>
      <c r="D244" s="1238" t="n">
        <f aca="false">IF(Assumptions!$L$30=4,VLOOKUP($A244,'Henwood Reference'!$E$9:$R$296,14),'Curve Paste'!BT244)</f>
        <v>3.66825524908021</v>
      </c>
      <c r="E244" s="1244" t="n">
        <f aca="false">E243</f>
        <v>0.1425</v>
      </c>
      <c r="F244" s="1244" t="n">
        <f aca="false">F243</f>
        <v>0.15</v>
      </c>
      <c r="G244" s="1244" t="n">
        <f aca="false">G243</f>
        <v>0.1575</v>
      </c>
      <c r="H244" s="1239" t="n">
        <f aca="false">I244-$H$4</f>
        <v>-0.07</v>
      </c>
      <c r="I244" s="1239"/>
      <c r="J244" s="1239" t="n">
        <f aca="false">I244+$J$4</f>
        <v>0.07</v>
      </c>
      <c r="K244" s="1243" t="n">
        <f aca="false">K232</f>
        <v>0</v>
      </c>
      <c r="L244" s="1241" t="n">
        <f aca="false">IF(Assumptions!$L$30=4,0,O244+P244)</f>
        <v>0</v>
      </c>
      <c r="M244" s="1242" t="n">
        <f aca="false">(IF(GasPriceCurve,IF(OBuySell=OCallPut,D244,B244),C244)+K244/1000+L244)/(1-GasTransportPercent)</f>
        <v>3.71280895655892</v>
      </c>
      <c r="N244" s="1239" t="n">
        <f aca="false">IF(Assumptions!$L$30=4,F244,CHOOSE(Assumptions!$L$30,E244,F244,G244))</f>
        <v>0.15</v>
      </c>
      <c r="O244" s="0" t="n">
        <v>0.18</v>
      </c>
      <c r="P244" s="647" t="n">
        <f aca="false">Assumptions!$L$32*(1+Assumptions!$C$26)^(YEAR(A244)-2000)</f>
        <v>0.121847686470225</v>
      </c>
    </row>
    <row r="245" customFormat="false" ht="12.75" hidden="false" customHeight="false" outlineLevel="0" collapsed="false">
      <c r="A245" s="1237" t="n">
        <f aca="false">'Curve Paste'!BQ245</f>
        <v>43922</v>
      </c>
      <c r="B245" s="1238" t="n">
        <f aca="false">IF(Assumptions!$L$30=4,VLOOKUP($A245,'Henwood Reference'!$E$9:$R$296,14),'Curve Paste'!BR245)</f>
        <v>3.55222966442615</v>
      </c>
      <c r="C245" s="1238" t="n">
        <f aca="false">IF(Assumptions!$L$30=4,VLOOKUP($A245,'Henwood Reference'!$E$9:$R$296,14),'Curve Paste'!BS245)</f>
        <v>3.55222966442615</v>
      </c>
      <c r="D245" s="1238" t="n">
        <f aca="false">IF(Assumptions!$L$30=4,VLOOKUP($A245,'Henwood Reference'!$E$9:$R$296,14),'Curve Paste'!BT245)</f>
        <v>3.55222966442615</v>
      </c>
      <c r="E245" s="1244" t="n">
        <f aca="false">E244</f>
        <v>0.1425</v>
      </c>
      <c r="F245" s="1244" t="n">
        <f aca="false">F244</f>
        <v>0.15</v>
      </c>
      <c r="G245" s="1244" t="n">
        <f aca="false">G244</f>
        <v>0.1575</v>
      </c>
      <c r="H245" s="1239" t="n">
        <f aca="false">I245-$H$4</f>
        <v>-0.07</v>
      </c>
      <c r="I245" s="1239"/>
      <c r="J245" s="1239" t="n">
        <f aca="false">I245+$J$4</f>
        <v>0.07</v>
      </c>
      <c r="K245" s="1243" t="n">
        <f aca="false">K233</f>
        <v>0</v>
      </c>
      <c r="L245" s="1241" t="n">
        <f aca="false">IF(Assumptions!$L$30=4,0,O245+P245)</f>
        <v>0</v>
      </c>
      <c r="M245" s="1242" t="n">
        <f aca="false">(IF(GasPriceCurve,IF(OBuySell=OCallPut,D245,B245),C245)+K245/1000+L245)/(1-GasTransportPercent)</f>
        <v>3.59537415427748</v>
      </c>
      <c r="N245" s="1239" t="n">
        <f aca="false">IF(Assumptions!$L$30=4,F245,CHOOSE(Assumptions!$L$30,E245,F245,G245))</f>
        <v>0.15</v>
      </c>
      <c r="O245" s="0" t="n">
        <v>0.165</v>
      </c>
      <c r="P245" s="647" t="n">
        <f aca="false">Assumptions!$L$32*(1+Assumptions!$C$26)^(YEAR(A245)-2000)</f>
        <v>0.121847686470225</v>
      </c>
    </row>
    <row r="246" customFormat="false" ht="12.75" hidden="false" customHeight="false" outlineLevel="0" collapsed="false">
      <c r="A246" s="1237" t="n">
        <f aca="false">'Curve Paste'!BQ246</f>
        <v>43952</v>
      </c>
      <c r="B246" s="1238" t="n">
        <f aca="false">IF(Assumptions!$L$30=4,VLOOKUP($A246,'Henwood Reference'!$E$9:$R$296,14),'Curve Paste'!BR246)</f>
        <v>3.51971038291411</v>
      </c>
      <c r="C246" s="1238" t="n">
        <f aca="false">IF(Assumptions!$L$30=4,VLOOKUP($A246,'Henwood Reference'!$E$9:$R$296,14),'Curve Paste'!BS246)</f>
        <v>3.51971038291411</v>
      </c>
      <c r="D246" s="1238" t="n">
        <f aca="false">IF(Assumptions!$L$30=4,VLOOKUP($A246,'Henwood Reference'!$E$9:$R$296,14),'Curve Paste'!BT246)</f>
        <v>3.51971038291411</v>
      </c>
      <c r="E246" s="1244" t="n">
        <f aca="false">E245</f>
        <v>0.1425</v>
      </c>
      <c r="F246" s="1244" t="n">
        <f aca="false">F245</f>
        <v>0.15</v>
      </c>
      <c r="G246" s="1244" t="n">
        <f aca="false">G245</f>
        <v>0.1575</v>
      </c>
      <c r="H246" s="1239" t="n">
        <f aca="false">I246-$H$4</f>
        <v>-0.07</v>
      </c>
      <c r="I246" s="1239"/>
      <c r="J246" s="1239" t="n">
        <f aca="false">I246+$J$4</f>
        <v>0.07</v>
      </c>
      <c r="K246" s="1243" t="n">
        <f aca="false">K234</f>
        <v>0</v>
      </c>
      <c r="L246" s="1241" t="n">
        <f aca="false">IF(Assumptions!$L$30=4,0,O246+P246)</f>
        <v>0</v>
      </c>
      <c r="M246" s="1242" t="n">
        <f aca="false">(IF(GasPriceCurve,IF(OBuySell=OCallPut,D246,B246),C246)+K246/1000+L246)/(1-GasTransportPercent)</f>
        <v>3.56245990173493</v>
      </c>
      <c r="N246" s="1239" t="n">
        <f aca="false">IF(Assumptions!$L$30=4,F246,CHOOSE(Assumptions!$L$30,E246,F246,G246))</f>
        <v>0.15</v>
      </c>
      <c r="O246" s="0" t="n">
        <v>0.18</v>
      </c>
      <c r="P246" s="647" t="n">
        <f aca="false">Assumptions!$L$32*(1+Assumptions!$C$26)^(YEAR(A246)-2000)</f>
        <v>0.121847686470225</v>
      </c>
    </row>
    <row r="247" customFormat="false" ht="12.75" hidden="false" customHeight="false" outlineLevel="0" collapsed="false">
      <c r="A247" s="1237" t="n">
        <f aca="false">'Curve Paste'!BQ247</f>
        <v>43983</v>
      </c>
      <c r="B247" s="1238" t="n">
        <f aca="false">IF(Assumptions!$L$30=4,VLOOKUP($A247,'Henwood Reference'!$E$9:$R$296,14),'Curve Paste'!BR247)</f>
        <v>3.55624439053874</v>
      </c>
      <c r="C247" s="1238" t="n">
        <f aca="false">IF(Assumptions!$L$30=4,VLOOKUP($A247,'Henwood Reference'!$E$9:$R$296,14),'Curve Paste'!BS247)</f>
        <v>3.55624439053874</v>
      </c>
      <c r="D247" s="1238" t="n">
        <f aca="false">IF(Assumptions!$L$30=4,VLOOKUP($A247,'Henwood Reference'!$E$9:$R$296,14),'Curve Paste'!BT247)</f>
        <v>3.55624439053874</v>
      </c>
      <c r="E247" s="1244" t="n">
        <f aca="false">E246</f>
        <v>0.1425</v>
      </c>
      <c r="F247" s="1244" t="n">
        <f aca="false">F246</f>
        <v>0.15</v>
      </c>
      <c r="G247" s="1244" t="n">
        <f aca="false">G246</f>
        <v>0.1575</v>
      </c>
      <c r="H247" s="1239" t="n">
        <f aca="false">I247-$H$4</f>
        <v>-0.07</v>
      </c>
      <c r="I247" s="1239"/>
      <c r="J247" s="1239" t="n">
        <f aca="false">I247+$J$4</f>
        <v>0.07</v>
      </c>
      <c r="K247" s="1243" t="n">
        <f aca="false">K235</f>
        <v>0</v>
      </c>
      <c r="L247" s="1241" t="n">
        <f aca="false">IF(Assumptions!$L$30=4,0,O247+P247)</f>
        <v>0</v>
      </c>
      <c r="M247" s="1242" t="n">
        <f aca="false">(IF(GasPriceCurve,IF(OBuySell=OCallPut,D247,B247),C247)+K247/1000+L247)/(1-GasTransportPercent)</f>
        <v>3.59943764224569</v>
      </c>
      <c r="N247" s="1239" t="n">
        <f aca="false">IF(Assumptions!$L$30=4,F247,CHOOSE(Assumptions!$L$30,E247,F247,G247))</f>
        <v>0.15</v>
      </c>
      <c r="O247" s="0" t="n">
        <v>0.21</v>
      </c>
      <c r="P247" s="647" t="n">
        <f aca="false">Assumptions!$L$32*(1+Assumptions!$C$26)^(YEAR(A247)-2000)</f>
        <v>0.121847686470225</v>
      </c>
    </row>
    <row r="248" customFormat="false" ht="12.75" hidden="false" customHeight="false" outlineLevel="0" collapsed="false">
      <c r="A248" s="1237" t="n">
        <f aca="false">'Curve Paste'!BQ248</f>
        <v>44013</v>
      </c>
      <c r="B248" s="1238" t="n">
        <f aca="false">IF(Assumptions!$L$30=4,VLOOKUP($A248,'Henwood Reference'!$E$9:$R$296,14),'Curve Paste'!BR248)</f>
        <v>3.6473786732947</v>
      </c>
      <c r="C248" s="1238" t="n">
        <f aca="false">IF(Assumptions!$L$30=4,VLOOKUP($A248,'Henwood Reference'!$E$9:$R$296,14),'Curve Paste'!BS248)</f>
        <v>3.6473786732947</v>
      </c>
      <c r="D248" s="1238" t="n">
        <f aca="false">IF(Assumptions!$L$30=4,VLOOKUP($A248,'Henwood Reference'!$E$9:$R$296,14),'Curve Paste'!BT248)</f>
        <v>3.6473786732947</v>
      </c>
      <c r="E248" s="1244" t="n">
        <f aca="false">E247</f>
        <v>0.1425</v>
      </c>
      <c r="F248" s="1244" t="n">
        <f aca="false">F247</f>
        <v>0.15</v>
      </c>
      <c r="G248" s="1244" t="n">
        <f aca="false">G247</f>
        <v>0.1575</v>
      </c>
      <c r="H248" s="1239" t="n">
        <f aca="false">I248-$H$4</f>
        <v>-0.07</v>
      </c>
      <c r="I248" s="1239"/>
      <c r="J248" s="1239" t="n">
        <f aca="false">I248+$J$4</f>
        <v>0.07</v>
      </c>
      <c r="K248" s="1243" t="n">
        <f aca="false">K236</f>
        <v>0</v>
      </c>
      <c r="L248" s="1241" t="n">
        <f aca="false">IF(Assumptions!$L$30=4,0,O248+P248)</f>
        <v>0</v>
      </c>
      <c r="M248" s="1242" t="n">
        <f aca="false">(IF(GasPriceCurve,IF(OBuySell=OCallPut,D248,B248),C248)+K248/1000+L248)/(1-GasTransportPercent)</f>
        <v>3.69167881912419</v>
      </c>
      <c r="N248" s="1239" t="n">
        <f aca="false">IF(Assumptions!$L$30=4,F248,CHOOSE(Assumptions!$L$30,E248,F248,G248))</f>
        <v>0.15</v>
      </c>
      <c r="O248" s="0" t="n">
        <v>0.31</v>
      </c>
      <c r="P248" s="647" t="n">
        <f aca="false">Assumptions!$L$32*(1+Assumptions!$C$26)^(YEAR(A248)-2000)</f>
        <v>0.121847686470225</v>
      </c>
    </row>
    <row r="249" customFormat="false" ht="12.75" hidden="false" customHeight="false" outlineLevel="0" collapsed="false">
      <c r="A249" s="1237" t="n">
        <f aca="false">'Curve Paste'!BQ249</f>
        <v>44044</v>
      </c>
      <c r="B249" s="1238" t="n">
        <f aca="false">IF(Assumptions!$L$30=4,VLOOKUP($A249,'Henwood Reference'!$E$9:$R$296,14),'Curve Paste'!BR249)</f>
        <v>3.77866021717664</v>
      </c>
      <c r="C249" s="1238" t="n">
        <f aca="false">IF(Assumptions!$L$30=4,VLOOKUP($A249,'Henwood Reference'!$E$9:$R$296,14),'Curve Paste'!BS249)</f>
        <v>3.77866021717664</v>
      </c>
      <c r="D249" s="1238" t="n">
        <f aca="false">IF(Assumptions!$L$30=4,VLOOKUP($A249,'Henwood Reference'!$E$9:$R$296,14),'Curve Paste'!BT249)</f>
        <v>3.77866021717664</v>
      </c>
      <c r="E249" s="1244" t="n">
        <f aca="false">E248</f>
        <v>0.1425</v>
      </c>
      <c r="F249" s="1244" t="n">
        <f aca="false">F248</f>
        <v>0.15</v>
      </c>
      <c r="G249" s="1244" t="n">
        <f aca="false">G248</f>
        <v>0.1575</v>
      </c>
      <c r="H249" s="1239" t="n">
        <f aca="false">I249-$H$4</f>
        <v>-0.07</v>
      </c>
      <c r="I249" s="1239"/>
      <c r="J249" s="1239" t="n">
        <f aca="false">I249+$J$4</f>
        <v>0.07</v>
      </c>
      <c r="K249" s="1243" t="n">
        <f aca="false">K237</f>
        <v>0</v>
      </c>
      <c r="L249" s="1241" t="n">
        <f aca="false">IF(Assumptions!$L$30=4,0,O249+P249)</f>
        <v>0</v>
      </c>
      <c r="M249" s="1242" t="n">
        <f aca="false">(IF(GasPriceCurve,IF(OBuySell=OCallPut,D249,B249),C249)+K249/1000+L249)/(1-GasTransportPercent)</f>
        <v>3.82455487568486</v>
      </c>
      <c r="N249" s="1239" t="n">
        <f aca="false">IF(Assumptions!$L$30=4,F249,CHOOSE(Assumptions!$L$30,E249,F249,G249))</f>
        <v>0.15</v>
      </c>
      <c r="O249" s="0" t="n">
        <v>0.31</v>
      </c>
      <c r="P249" s="647" t="n">
        <f aca="false">Assumptions!$L$32*(1+Assumptions!$C$26)^(YEAR(A249)-2000)</f>
        <v>0.121847686470225</v>
      </c>
    </row>
    <row r="250" customFormat="false" ht="12.75" hidden="false" customHeight="false" outlineLevel="0" collapsed="false">
      <c r="A250" s="1237" t="n">
        <f aca="false">'Curve Paste'!BQ250</f>
        <v>44075</v>
      </c>
      <c r="B250" s="1238" t="n">
        <f aca="false">IF(Assumptions!$L$30=4,VLOOKUP($A250,'Henwood Reference'!$E$9:$R$296,14),'Curve Paste'!BR250)</f>
        <v>3.93563600817919</v>
      </c>
      <c r="C250" s="1238" t="n">
        <f aca="false">IF(Assumptions!$L$30=4,VLOOKUP($A250,'Henwood Reference'!$E$9:$R$296,14),'Curve Paste'!BS250)</f>
        <v>3.93563600817919</v>
      </c>
      <c r="D250" s="1238" t="n">
        <f aca="false">IF(Assumptions!$L$30=4,VLOOKUP($A250,'Henwood Reference'!$E$9:$R$296,14),'Curve Paste'!BT250)</f>
        <v>3.93563600817919</v>
      </c>
      <c r="E250" s="1244" t="n">
        <f aca="false">E249</f>
        <v>0.1425</v>
      </c>
      <c r="F250" s="1244" t="n">
        <f aca="false">F249</f>
        <v>0.15</v>
      </c>
      <c r="G250" s="1244" t="n">
        <f aca="false">G249</f>
        <v>0.1575</v>
      </c>
      <c r="H250" s="1239" t="n">
        <f aca="false">I250-$H$4</f>
        <v>-0.07</v>
      </c>
      <c r="I250" s="1239"/>
      <c r="J250" s="1239" t="n">
        <f aca="false">I250+$J$4</f>
        <v>0.07</v>
      </c>
      <c r="K250" s="1243" t="n">
        <f aca="false">K238</f>
        <v>0</v>
      </c>
      <c r="L250" s="1241" t="n">
        <f aca="false">IF(Assumptions!$L$30=4,0,O250+P250)</f>
        <v>0</v>
      </c>
      <c r="M250" s="1242" t="n">
        <f aca="false">(IF(GasPriceCurve,IF(OBuySell=OCallPut,D250,B250),C250)+K250/1000+L250)/(1-GasTransportPercent)</f>
        <v>3.9834372552421</v>
      </c>
      <c r="N250" s="1239" t="n">
        <f aca="false">IF(Assumptions!$L$30=4,F250,CHOOSE(Assumptions!$L$30,E250,F250,G250))</f>
        <v>0.15</v>
      </c>
      <c r="O250" s="0" t="n">
        <v>0.31</v>
      </c>
      <c r="P250" s="647" t="n">
        <f aca="false">Assumptions!$L$32*(1+Assumptions!$C$26)^(YEAR(A250)-2000)</f>
        <v>0.121847686470225</v>
      </c>
    </row>
    <row r="251" customFormat="false" ht="12.75" hidden="false" customHeight="false" outlineLevel="0" collapsed="false">
      <c r="A251" s="1237" t="n">
        <f aca="false">'Curve Paste'!BQ251</f>
        <v>44105</v>
      </c>
      <c r="B251" s="1238" t="n">
        <f aca="false">IF(Assumptions!$L$30=4,VLOOKUP($A251,'Henwood Reference'!$E$9:$R$296,14),'Curve Paste'!BR251)</f>
        <v>4.10385303229703</v>
      </c>
      <c r="C251" s="1238" t="n">
        <f aca="false">IF(Assumptions!$L$30=4,VLOOKUP($A251,'Henwood Reference'!$E$9:$R$296,14),'Curve Paste'!BS251)</f>
        <v>4.10385303229703</v>
      </c>
      <c r="D251" s="1238" t="n">
        <f aca="false">IF(Assumptions!$L$30=4,VLOOKUP($A251,'Henwood Reference'!$E$9:$R$296,14),'Curve Paste'!BT251)</f>
        <v>4.10385303229703</v>
      </c>
      <c r="E251" s="1244" t="n">
        <f aca="false">E250</f>
        <v>0.1425</v>
      </c>
      <c r="F251" s="1244" t="n">
        <f aca="false">F250</f>
        <v>0.15</v>
      </c>
      <c r="G251" s="1244" t="n">
        <f aca="false">G250</f>
        <v>0.1575</v>
      </c>
      <c r="H251" s="1239" t="n">
        <f aca="false">I251-$H$4</f>
        <v>-0.07</v>
      </c>
      <c r="I251" s="1239"/>
      <c r="J251" s="1239" t="n">
        <f aca="false">I251+$J$4</f>
        <v>0.07</v>
      </c>
      <c r="K251" s="1243" t="n">
        <f aca="false">K239</f>
        <v>0</v>
      </c>
      <c r="L251" s="1241" t="n">
        <f aca="false">IF(Assumptions!$L$30=4,0,O251+P251)</f>
        <v>0</v>
      </c>
      <c r="M251" s="1242" t="n">
        <f aca="false">(IF(GasPriceCurve,IF(OBuySell=OCallPut,D251,B251),C251)+K251/1000+L251)/(1-GasTransportPercent)</f>
        <v>4.15369740111035</v>
      </c>
      <c r="N251" s="1239" t="n">
        <f aca="false">IF(Assumptions!$L$30=4,F251,CHOOSE(Assumptions!$L$30,E251,F251,G251))</f>
        <v>0.15</v>
      </c>
      <c r="O251" s="0" t="n">
        <v>0.23</v>
      </c>
      <c r="P251" s="647" t="n">
        <f aca="false">Assumptions!$L$32*(1+Assumptions!$C$26)^(YEAR(A251)-2000)</f>
        <v>0.121847686470225</v>
      </c>
    </row>
    <row r="252" customFormat="false" ht="12.75" hidden="false" customHeight="false" outlineLevel="0" collapsed="false">
      <c r="A252" s="1237" t="n">
        <f aca="false">'Curve Paste'!BQ252</f>
        <v>44136</v>
      </c>
      <c r="B252" s="1238" t="n">
        <f aca="false">IF(Assumptions!$L$30=4,VLOOKUP($A252,'Henwood Reference'!$E$9:$R$296,14),'Curve Paste'!BR252)</f>
        <v>4.26885827552477</v>
      </c>
      <c r="C252" s="1238" t="n">
        <f aca="false">IF(Assumptions!$L$30=4,VLOOKUP($A252,'Henwood Reference'!$E$9:$R$296,14),'Curve Paste'!BS252)</f>
        <v>4.26885827552477</v>
      </c>
      <c r="D252" s="1238" t="n">
        <f aca="false">IF(Assumptions!$L$30=4,VLOOKUP($A252,'Henwood Reference'!$E$9:$R$296,14),'Curve Paste'!BT252)</f>
        <v>4.26885827552477</v>
      </c>
      <c r="E252" s="1244" t="n">
        <f aca="false">E251</f>
        <v>0.1425</v>
      </c>
      <c r="F252" s="1244" t="n">
        <f aca="false">F251</f>
        <v>0.15</v>
      </c>
      <c r="G252" s="1244" t="n">
        <f aca="false">G251</f>
        <v>0.1575</v>
      </c>
      <c r="H252" s="1239" t="n">
        <f aca="false">I252-$H$4</f>
        <v>-0.07</v>
      </c>
      <c r="I252" s="1239"/>
      <c r="J252" s="1239" t="n">
        <f aca="false">I252+$J$4</f>
        <v>0.07</v>
      </c>
      <c r="K252" s="1243" t="n">
        <f aca="false">K240</f>
        <v>0</v>
      </c>
      <c r="L252" s="1241" t="n">
        <f aca="false">IF(Assumptions!$L$30=4,0,O252+P252)</f>
        <v>0</v>
      </c>
      <c r="M252" s="1242" t="n">
        <f aca="false">(IF(GasPriceCurve,IF(OBuySell=OCallPut,D252,B252),C252)+K252/1000+L252)/(1-GasTransportPercent)</f>
        <v>4.32070675660402</v>
      </c>
      <c r="N252" s="1239" t="n">
        <f aca="false">IF(Assumptions!$L$30=4,F252,CHOOSE(Assumptions!$L$30,E252,F252,G252))</f>
        <v>0.15</v>
      </c>
      <c r="O252" s="0" t="n">
        <v>0.195</v>
      </c>
      <c r="P252" s="647" t="n">
        <f aca="false">Assumptions!$L$32*(1+Assumptions!$C$26)^(YEAR(A252)-2000)</f>
        <v>0.121847686470225</v>
      </c>
    </row>
    <row r="253" customFormat="false" ht="12.75" hidden="false" customHeight="false" outlineLevel="0" collapsed="false">
      <c r="A253" s="1237" t="n">
        <f aca="false">'Curve Paste'!BQ253</f>
        <v>44166</v>
      </c>
      <c r="B253" s="1238" t="n">
        <f aca="false">IF(Assumptions!$L$30=4,VLOOKUP($A253,'Henwood Reference'!$E$9:$R$296,14),'Curve Paste'!BR253)</f>
        <v>4.4432018501325</v>
      </c>
      <c r="C253" s="1238" t="n">
        <f aca="false">IF(Assumptions!$L$30=4,VLOOKUP($A253,'Henwood Reference'!$E$9:$R$296,14),'Curve Paste'!BS253)</f>
        <v>4.4432018501325</v>
      </c>
      <c r="D253" s="1238" t="n">
        <f aca="false">IF(Assumptions!$L$30=4,VLOOKUP($A253,'Henwood Reference'!$E$9:$R$296,14),'Curve Paste'!BT253)</f>
        <v>4.4432018501325</v>
      </c>
      <c r="E253" s="1244" t="n">
        <f aca="false">E252</f>
        <v>0.1425</v>
      </c>
      <c r="F253" s="1244" t="n">
        <f aca="false">F252</f>
        <v>0.15</v>
      </c>
      <c r="G253" s="1244" t="n">
        <f aca="false">G252</f>
        <v>0.1575</v>
      </c>
      <c r="H253" s="1239" t="n">
        <f aca="false">I253-$H$4</f>
        <v>-0.07</v>
      </c>
      <c r="I253" s="1239"/>
      <c r="J253" s="1239" t="n">
        <f aca="false">I253+$J$4</f>
        <v>0.07</v>
      </c>
      <c r="K253" s="1243" t="n">
        <f aca="false">K241</f>
        <v>0</v>
      </c>
      <c r="L253" s="1241" t="n">
        <f aca="false">IF(Assumptions!$L$30=4,0,O253+P253)</f>
        <v>0</v>
      </c>
      <c r="M253" s="1242" t="n">
        <f aca="false">(IF(GasPriceCurve,IF(OBuySell=OCallPut,D253,B253),C253)+K253/1000+L253)/(1-GasTransportPercent)</f>
        <v>4.49716786450658</v>
      </c>
      <c r="N253" s="1239" t="n">
        <f aca="false">IF(Assumptions!$L$30=4,F253,CHOOSE(Assumptions!$L$30,E253,F253,G253))</f>
        <v>0.15</v>
      </c>
      <c r="O253" s="0" t="n">
        <v>0.195</v>
      </c>
      <c r="P253" s="647" t="n">
        <f aca="false">Assumptions!$L$32*(1+Assumptions!$C$26)^(YEAR(A253)-2000)</f>
        <v>0.121847686470225</v>
      </c>
    </row>
    <row r="254" customFormat="false" ht="12.75" hidden="false" customHeight="false" outlineLevel="0" collapsed="false">
      <c r="A254" s="1237" t="n">
        <f aca="false">'Curve Paste'!BQ254</f>
        <v>44197</v>
      </c>
      <c r="B254" s="1238" t="n">
        <f aca="false">IF(Assumptions!$L$30=4,VLOOKUP($A254,'Henwood Reference'!$E$9:$R$296,14),'Curve Paste'!BR254)</f>
        <v>4.29457771837697</v>
      </c>
      <c r="C254" s="1238" t="n">
        <f aca="false">IF(Assumptions!$L$30=4,VLOOKUP($A254,'Henwood Reference'!$E$9:$R$296,14),'Curve Paste'!BS254)</f>
        <v>4.29457771837697</v>
      </c>
      <c r="D254" s="1238" t="n">
        <f aca="false">IF(Assumptions!$L$30=4,VLOOKUP($A254,'Henwood Reference'!$E$9:$R$296,14),'Curve Paste'!BT254)</f>
        <v>4.29457771837697</v>
      </c>
      <c r="E254" s="1244" t="n">
        <f aca="false">E253</f>
        <v>0.1425</v>
      </c>
      <c r="F254" s="1244" t="n">
        <f aca="false">F253</f>
        <v>0.15</v>
      </c>
      <c r="G254" s="1244" t="n">
        <f aca="false">G253</f>
        <v>0.1575</v>
      </c>
      <c r="H254" s="1239" t="n">
        <f aca="false">I254-$H$4</f>
        <v>-0.07</v>
      </c>
      <c r="I254" s="1239"/>
      <c r="J254" s="1239" t="n">
        <f aca="false">I254+$J$4</f>
        <v>0.07</v>
      </c>
      <c r="K254" s="1243" t="n">
        <f aca="false">K242</f>
        <v>0</v>
      </c>
      <c r="L254" s="1241" t="n">
        <f aca="false">IF(Assumptions!$L$30=4,0,O254+P254)</f>
        <v>0</v>
      </c>
      <c r="M254" s="1242" t="n">
        <f aca="false">(IF(GasPriceCurve,IF(OBuySell=OCallPut,D254,B254),C254)+K254/1000+L254)/(1-GasTransportPercent)</f>
        <v>4.34673858135321</v>
      </c>
      <c r="N254" s="1239" t="n">
        <f aca="false">IF(Assumptions!$L$30=4,F254,CHOOSE(Assumptions!$L$30,E254,F254,G254))</f>
        <v>0.15</v>
      </c>
      <c r="O254" s="0" t="n">
        <v>0.16375</v>
      </c>
      <c r="P254" s="647" t="n">
        <f aca="false">Assumptions!$L$32*(1+Assumptions!$C$26)^(YEAR(A254)-2000)</f>
        <v>0.12428464019963</v>
      </c>
    </row>
    <row r="255" customFormat="false" ht="12.75" hidden="false" customHeight="false" outlineLevel="0" collapsed="false">
      <c r="A255" s="1237" t="n">
        <f aca="false">'Curve Paste'!BQ255</f>
        <v>44228</v>
      </c>
      <c r="B255" s="1238" t="n">
        <f aca="false">IF(Assumptions!$L$30=4,VLOOKUP($A255,'Henwood Reference'!$E$9:$R$296,14),'Curve Paste'!BR255)</f>
        <v>3.95988495389928</v>
      </c>
      <c r="C255" s="1238" t="n">
        <f aca="false">IF(Assumptions!$L$30=4,VLOOKUP($A255,'Henwood Reference'!$E$9:$R$296,14),'Curve Paste'!BS255)</f>
        <v>3.95988495389928</v>
      </c>
      <c r="D255" s="1238" t="n">
        <f aca="false">IF(Assumptions!$L$30=4,VLOOKUP($A255,'Henwood Reference'!$E$9:$R$296,14),'Curve Paste'!BT255)</f>
        <v>3.95988495389928</v>
      </c>
      <c r="E255" s="1244" t="n">
        <f aca="false">E254</f>
        <v>0.1425</v>
      </c>
      <c r="F255" s="1244" t="n">
        <f aca="false">F254</f>
        <v>0.15</v>
      </c>
      <c r="G255" s="1244" t="n">
        <f aca="false">G254</f>
        <v>0.1575</v>
      </c>
      <c r="H255" s="1239" t="n">
        <f aca="false">I255-$H$4</f>
        <v>-0.07</v>
      </c>
      <c r="I255" s="1239"/>
      <c r="J255" s="1239" t="n">
        <f aca="false">I255+$J$4</f>
        <v>0.07</v>
      </c>
      <c r="K255" s="1243" t="n">
        <f aca="false">K243</f>
        <v>0</v>
      </c>
      <c r="L255" s="1241" t="n">
        <f aca="false">IF(Assumptions!$L$30=4,0,O255+P255)</f>
        <v>0</v>
      </c>
      <c r="M255" s="1242" t="n">
        <f aca="false">(IF(GasPriceCurve,IF(OBuySell=OCallPut,D255,B255),C255)+K255/1000+L255)/(1-GasTransportPercent)</f>
        <v>4.00798072257012</v>
      </c>
      <c r="N255" s="1239" t="n">
        <f aca="false">IF(Assumptions!$L$30=4,F255,CHOOSE(Assumptions!$L$30,E255,F255,G255))</f>
        <v>0.15</v>
      </c>
      <c r="O255" s="0" t="n">
        <v>0.16375</v>
      </c>
      <c r="P255" s="647" t="n">
        <f aca="false">Assumptions!$L$32*(1+Assumptions!$C$26)^(YEAR(A255)-2000)</f>
        <v>0.12428464019963</v>
      </c>
    </row>
    <row r="256" customFormat="false" ht="12.75" hidden="false" customHeight="false" outlineLevel="0" collapsed="false">
      <c r="A256" s="1237" t="n">
        <f aca="false">'Curve Paste'!BQ256</f>
        <v>44256</v>
      </c>
      <c r="B256" s="1238" t="n">
        <f aca="false">IF(Assumptions!$L$30=4,VLOOKUP($A256,'Henwood Reference'!$E$9:$R$296,14),'Curve Paste'!BR256)</f>
        <v>3.74162035406181</v>
      </c>
      <c r="C256" s="1238" t="n">
        <f aca="false">IF(Assumptions!$L$30=4,VLOOKUP($A256,'Henwood Reference'!$E$9:$R$296,14),'Curve Paste'!BS256)</f>
        <v>3.74162035406181</v>
      </c>
      <c r="D256" s="1238" t="n">
        <f aca="false">IF(Assumptions!$L$30=4,VLOOKUP($A256,'Henwood Reference'!$E$9:$R$296,14),'Curve Paste'!BT256)</f>
        <v>3.74162035406181</v>
      </c>
      <c r="E256" s="1244" t="n">
        <f aca="false">E255</f>
        <v>0.1425</v>
      </c>
      <c r="F256" s="1244" t="n">
        <f aca="false">F255</f>
        <v>0.15</v>
      </c>
      <c r="G256" s="1244" t="n">
        <f aca="false">G255</f>
        <v>0.1575</v>
      </c>
      <c r="H256" s="1239" t="n">
        <f aca="false">I256-$H$4</f>
        <v>-0.07</v>
      </c>
      <c r="I256" s="1239"/>
      <c r="J256" s="1239" t="n">
        <f aca="false">I256+$J$4</f>
        <v>0.07</v>
      </c>
      <c r="K256" s="1243" t="n">
        <f aca="false">K244</f>
        <v>0</v>
      </c>
      <c r="L256" s="1241" t="n">
        <f aca="false">IF(Assumptions!$L$30=4,0,O256+P256)</f>
        <v>0</v>
      </c>
      <c r="M256" s="1242" t="n">
        <f aca="false">(IF(GasPriceCurve,IF(OBuySell=OCallPut,D256,B256),C256)+K256/1000+L256)/(1-GasTransportPercent)</f>
        <v>3.7870651356901</v>
      </c>
      <c r="N256" s="1239" t="n">
        <f aca="false">IF(Assumptions!$L$30=4,F256,CHOOSE(Assumptions!$L$30,E256,F256,G256))</f>
        <v>0.15</v>
      </c>
      <c r="O256" s="0" t="n">
        <v>0.18125</v>
      </c>
      <c r="P256" s="647" t="n">
        <f aca="false">Assumptions!$L$32*(1+Assumptions!$C$26)^(YEAR(A256)-2000)</f>
        <v>0.12428464019963</v>
      </c>
    </row>
    <row r="257" customFormat="false" ht="12.75" hidden="false" customHeight="false" outlineLevel="0" collapsed="false">
      <c r="A257" s="1237" t="n">
        <f aca="false">'Curve Paste'!BQ257</f>
        <v>44287</v>
      </c>
      <c r="B257" s="1238" t="n">
        <f aca="false">IF(Assumptions!$L$30=4,VLOOKUP($A257,'Henwood Reference'!$E$9:$R$296,14),'Curve Paste'!BR257)</f>
        <v>3.62327425771467</v>
      </c>
      <c r="C257" s="1238" t="n">
        <f aca="false">IF(Assumptions!$L$30=4,VLOOKUP($A257,'Henwood Reference'!$E$9:$R$296,14),'Curve Paste'!BS257)</f>
        <v>3.62327425771467</v>
      </c>
      <c r="D257" s="1238" t="n">
        <f aca="false">IF(Assumptions!$L$30=4,VLOOKUP($A257,'Henwood Reference'!$E$9:$R$296,14),'Curve Paste'!BT257)</f>
        <v>3.62327425771467</v>
      </c>
      <c r="E257" s="1244" t="n">
        <f aca="false">E256</f>
        <v>0.1425</v>
      </c>
      <c r="F257" s="1244" t="n">
        <f aca="false">F256</f>
        <v>0.15</v>
      </c>
      <c r="G257" s="1244" t="n">
        <f aca="false">G256</f>
        <v>0.1575</v>
      </c>
      <c r="H257" s="1239" t="n">
        <f aca="false">I257-$H$4</f>
        <v>-0.07</v>
      </c>
      <c r="I257" s="1239"/>
      <c r="J257" s="1239" t="n">
        <f aca="false">I257+$J$4</f>
        <v>0.07</v>
      </c>
      <c r="K257" s="1243" t="n">
        <f aca="false">K245</f>
        <v>0</v>
      </c>
      <c r="L257" s="1241" t="n">
        <f aca="false">IF(Assumptions!$L$30=4,0,O257+P257)</f>
        <v>0</v>
      </c>
      <c r="M257" s="1242" t="n">
        <f aca="false">(IF(GasPriceCurve,IF(OBuySell=OCallPut,D257,B257),C257)+K257/1000+L257)/(1-GasTransportPercent)</f>
        <v>3.66728163736303</v>
      </c>
      <c r="N257" s="1239" t="n">
        <f aca="false">IF(Assumptions!$L$30=4,F257,CHOOSE(Assumptions!$L$30,E257,F257,G257))</f>
        <v>0.15</v>
      </c>
      <c r="O257" s="0" t="n">
        <v>0.16625</v>
      </c>
      <c r="P257" s="647" t="n">
        <f aca="false">Assumptions!$L$32*(1+Assumptions!$C$26)^(YEAR(A257)-2000)</f>
        <v>0.12428464019963</v>
      </c>
    </row>
    <row r="258" customFormat="false" ht="12.75" hidden="false" customHeight="false" outlineLevel="0" collapsed="false">
      <c r="A258" s="1237" t="n">
        <f aca="false">'Curve Paste'!BQ258</f>
        <v>44317</v>
      </c>
      <c r="B258" s="1238" t="n">
        <f aca="false">IF(Assumptions!$L$30=4,VLOOKUP($A258,'Henwood Reference'!$E$9:$R$296,14),'Curve Paste'!BR258)</f>
        <v>3.59010459057239</v>
      </c>
      <c r="C258" s="1238" t="n">
        <f aca="false">IF(Assumptions!$L$30=4,VLOOKUP($A258,'Henwood Reference'!$E$9:$R$296,14),'Curve Paste'!BS258)</f>
        <v>3.59010459057239</v>
      </c>
      <c r="D258" s="1238" t="n">
        <f aca="false">IF(Assumptions!$L$30=4,VLOOKUP($A258,'Henwood Reference'!$E$9:$R$296,14),'Curve Paste'!BT258)</f>
        <v>3.59010459057239</v>
      </c>
      <c r="E258" s="1244" t="n">
        <f aca="false">E257</f>
        <v>0.1425</v>
      </c>
      <c r="F258" s="1244" t="n">
        <f aca="false">F257</f>
        <v>0.15</v>
      </c>
      <c r="G258" s="1244" t="n">
        <f aca="false">G257</f>
        <v>0.1575</v>
      </c>
      <c r="H258" s="1239" t="n">
        <f aca="false">I258-$H$4</f>
        <v>-0.07</v>
      </c>
      <c r="I258" s="1239"/>
      <c r="J258" s="1239" t="n">
        <f aca="false">I258+$J$4</f>
        <v>0.07</v>
      </c>
      <c r="K258" s="1243" t="n">
        <f aca="false">K246</f>
        <v>0</v>
      </c>
      <c r="L258" s="1241" t="n">
        <f aca="false">IF(Assumptions!$L$30=4,0,O258+P258)</f>
        <v>0</v>
      </c>
      <c r="M258" s="1242" t="n">
        <f aca="false">(IF(GasPriceCurve,IF(OBuySell=OCallPut,D258,B258),C258)+K258/1000+L258)/(1-GasTransportPercent)</f>
        <v>3.63370909976963</v>
      </c>
      <c r="N258" s="1239" t="n">
        <f aca="false">IF(Assumptions!$L$30=4,F258,CHOOSE(Assumptions!$L$30,E258,F258,G258))</f>
        <v>0.15</v>
      </c>
      <c r="O258" s="0" t="n">
        <v>0.18125</v>
      </c>
      <c r="P258" s="647" t="n">
        <f aca="false">Assumptions!$L$32*(1+Assumptions!$C$26)^(YEAR(A258)-2000)</f>
        <v>0.12428464019963</v>
      </c>
    </row>
    <row r="259" customFormat="false" ht="12.75" hidden="false" customHeight="false" outlineLevel="0" collapsed="false">
      <c r="A259" s="1237" t="n">
        <f aca="false">'Curve Paste'!BQ259</f>
        <v>44348</v>
      </c>
      <c r="B259" s="1238" t="n">
        <f aca="false">IF(Assumptions!$L$30=4,VLOOKUP($A259,'Henwood Reference'!$E$9:$R$296,14),'Curve Paste'!BR259)</f>
        <v>3.62736927834952</v>
      </c>
      <c r="C259" s="1238" t="n">
        <f aca="false">IF(Assumptions!$L$30=4,VLOOKUP($A259,'Henwood Reference'!$E$9:$R$296,14),'Curve Paste'!BS259)</f>
        <v>3.62736927834952</v>
      </c>
      <c r="D259" s="1238" t="n">
        <f aca="false">IF(Assumptions!$L$30=4,VLOOKUP($A259,'Henwood Reference'!$E$9:$R$296,14),'Curve Paste'!BT259)</f>
        <v>3.62736927834952</v>
      </c>
      <c r="E259" s="1244" t="n">
        <f aca="false">E258</f>
        <v>0.1425</v>
      </c>
      <c r="F259" s="1244" t="n">
        <f aca="false">F258</f>
        <v>0.15</v>
      </c>
      <c r="G259" s="1244" t="n">
        <f aca="false">G258</f>
        <v>0.1575</v>
      </c>
      <c r="H259" s="1239" t="n">
        <f aca="false">I259-$H$4</f>
        <v>-0.07</v>
      </c>
      <c r="I259" s="1239"/>
      <c r="J259" s="1239" t="n">
        <f aca="false">I259+$J$4</f>
        <v>0.07</v>
      </c>
      <c r="K259" s="1243" t="n">
        <f aca="false">K247</f>
        <v>0</v>
      </c>
      <c r="L259" s="1241" t="n">
        <f aca="false">IF(Assumptions!$L$30=4,0,O259+P259)</f>
        <v>0</v>
      </c>
      <c r="M259" s="1242" t="n">
        <f aca="false">(IF(GasPriceCurve,IF(OBuySell=OCallPut,D259,B259),C259)+K259/1000+L259)/(1-GasTransportPercent)</f>
        <v>3.67142639509061</v>
      </c>
      <c r="N259" s="1239" t="n">
        <f aca="false">IF(Assumptions!$L$30=4,F259,CHOOSE(Assumptions!$L$30,E259,F259,G259))</f>
        <v>0.15</v>
      </c>
      <c r="O259" s="0" t="n">
        <v>0.21125</v>
      </c>
      <c r="P259" s="647" t="n">
        <f aca="false">Assumptions!$L$32*(1+Assumptions!$C$26)^(YEAR(A259)-2000)</f>
        <v>0.12428464019963</v>
      </c>
    </row>
    <row r="260" customFormat="false" ht="12.75" hidden="false" customHeight="false" outlineLevel="0" collapsed="false">
      <c r="A260" s="1237" t="n">
        <f aca="false">'Curve Paste'!BQ260</f>
        <v>44378</v>
      </c>
      <c r="B260" s="1238" t="n">
        <f aca="false">IF(Assumptions!$L$30=4,VLOOKUP($A260,'Henwood Reference'!$E$9:$R$296,14),'Curve Paste'!BR260)</f>
        <v>3.7203262467606</v>
      </c>
      <c r="C260" s="1238" t="n">
        <f aca="false">IF(Assumptions!$L$30=4,VLOOKUP($A260,'Henwood Reference'!$E$9:$R$296,14),'Curve Paste'!BS260)</f>
        <v>3.7203262467606</v>
      </c>
      <c r="D260" s="1238" t="n">
        <f aca="false">IF(Assumptions!$L$30=4,VLOOKUP($A260,'Henwood Reference'!$E$9:$R$296,14),'Curve Paste'!BT260)</f>
        <v>3.7203262467606</v>
      </c>
      <c r="E260" s="1244" t="n">
        <f aca="false">E259</f>
        <v>0.1425</v>
      </c>
      <c r="F260" s="1244" t="n">
        <f aca="false">F259</f>
        <v>0.15</v>
      </c>
      <c r="G260" s="1244" t="n">
        <f aca="false">G259</f>
        <v>0.1575</v>
      </c>
      <c r="H260" s="1239" t="n">
        <f aca="false">I260-$H$4</f>
        <v>-0.07</v>
      </c>
      <c r="I260" s="1239"/>
      <c r="J260" s="1239" t="n">
        <f aca="false">I260+$J$4</f>
        <v>0.07</v>
      </c>
      <c r="K260" s="1243" t="n">
        <f aca="false">K248</f>
        <v>0</v>
      </c>
      <c r="L260" s="1241" t="n">
        <f aca="false">IF(Assumptions!$L$30=4,0,O260+P260)</f>
        <v>0</v>
      </c>
      <c r="M260" s="1242" t="n">
        <f aca="false">(IF(GasPriceCurve,IF(OBuySell=OCallPut,D260,B260),C260)+K260/1000+L260)/(1-GasTransportPercent)</f>
        <v>3.76551239550668</v>
      </c>
      <c r="N260" s="1239" t="n">
        <f aca="false">IF(Assumptions!$L$30=4,F260,CHOOSE(Assumptions!$L$30,E260,F260,G260))</f>
        <v>0.15</v>
      </c>
      <c r="O260" s="0" t="n">
        <v>0.31125</v>
      </c>
      <c r="P260" s="647" t="n">
        <f aca="false">Assumptions!$L$32*(1+Assumptions!$C$26)^(YEAR(A260)-2000)</f>
        <v>0.12428464019963</v>
      </c>
    </row>
    <row r="261" customFormat="false" ht="12.75" hidden="false" customHeight="false" outlineLevel="0" collapsed="false">
      <c r="A261" s="1237" t="n">
        <f aca="false">'Curve Paste'!BQ261</f>
        <v>44409</v>
      </c>
      <c r="B261" s="1238" t="n">
        <f aca="false">IF(Assumptions!$L$30=4,VLOOKUP($A261,'Henwood Reference'!$E$9:$R$296,14),'Curve Paste'!BR261)</f>
        <v>3.85423342152017</v>
      </c>
      <c r="C261" s="1238" t="n">
        <f aca="false">IF(Assumptions!$L$30=4,VLOOKUP($A261,'Henwood Reference'!$E$9:$R$296,14),'Curve Paste'!BS261)</f>
        <v>3.85423342152017</v>
      </c>
      <c r="D261" s="1238" t="n">
        <f aca="false">IF(Assumptions!$L$30=4,VLOOKUP($A261,'Henwood Reference'!$E$9:$R$296,14),'Curve Paste'!BT261)</f>
        <v>3.85423342152017</v>
      </c>
      <c r="E261" s="1244" t="n">
        <f aca="false">E260</f>
        <v>0.1425</v>
      </c>
      <c r="F261" s="1244" t="n">
        <f aca="false">F260</f>
        <v>0.15</v>
      </c>
      <c r="G261" s="1244" t="n">
        <f aca="false">G260</f>
        <v>0.1575</v>
      </c>
      <c r="H261" s="1239" t="n">
        <f aca="false">I261-$H$4</f>
        <v>-0.07</v>
      </c>
      <c r="I261" s="1239"/>
      <c r="J261" s="1239" t="n">
        <f aca="false">I261+$J$4</f>
        <v>0.07</v>
      </c>
      <c r="K261" s="1243" t="n">
        <f aca="false">K249</f>
        <v>0</v>
      </c>
      <c r="L261" s="1241" t="n">
        <f aca="false">IF(Assumptions!$L$30=4,0,O261+P261)</f>
        <v>0</v>
      </c>
      <c r="M261" s="1242" t="n">
        <f aca="false">(IF(GasPriceCurve,IF(OBuySell=OCallPut,D261,B261),C261)+K261/1000+L261)/(1-GasTransportPercent)</f>
        <v>3.90104597319855</v>
      </c>
      <c r="N261" s="1239" t="n">
        <f aca="false">IF(Assumptions!$L$30=4,F261,CHOOSE(Assumptions!$L$30,E261,F261,G261))</f>
        <v>0.15</v>
      </c>
      <c r="O261" s="0" t="n">
        <v>0.31125</v>
      </c>
      <c r="P261" s="647" t="n">
        <f aca="false">Assumptions!$L$32*(1+Assumptions!$C$26)^(YEAR(A261)-2000)</f>
        <v>0.12428464019963</v>
      </c>
    </row>
    <row r="262" customFormat="false" ht="12.75" hidden="false" customHeight="false" outlineLevel="0" collapsed="false">
      <c r="A262" s="1237" t="n">
        <f aca="false">'Curve Paste'!BQ262</f>
        <v>44440</v>
      </c>
      <c r="B262" s="1238" t="n">
        <f aca="false">IF(Assumptions!$L$30=4,VLOOKUP($A262,'Henwood Reference'!$E$9:$R$296,14),'Curve Paste'!BR262)</f>
        <v>4.01434872834278</v>
      </c>
      <c r="C262" s="1238" t="n">
        <f aca="false">IF(Assumptions!$L$30=4,VLOOKUP($A262,'Henwood Reference'!$E$9:$R$296,14),'Curve Paste'!BS262)</f>
        <v>4.01434872834278</v>
      </c>
      <c r="D262" s="1238" t="n">
        <f aca="false">IF(Assumptions!$L$30=4,VLOOKUP($A262,'Henwood Reference'!$E$9:$R$296,14),'Curve Paste'!BT262)</f>
        <v>4.01434872834278</v>
      </c>
      <c r="E262" s="1244" t="n">
        <f aca="false">E261</f>
        <v>0.1425</v>
      </c>
      <c r="F262" s="1244" t="n">
        <f aca="false">F261</f>
        <v>0.15</v>
      </c>
      <c r="G262" s="1244" t="n">
        <f aca="false">G261</f>
        <v>0.1575</v>
      </c>
      <c r="H262" s="1239" t="n">
        <f aca="false">I262-$H$4</f>
        <v>-0.07</v>
      </c>
      <c r="I262" s="1239"/>
      <c r="J262" s="1239" t="n">
        <f aca="false">I262+$J$4</f>
        <v>0.07</v>
      </c>
      <c r="K262" s="1243" t="n">
        <f aca="false">K250</f>
        <v>0</v>
      </c>
      <c r="L262" s="1241" t="n">
        <f aca="false">IF(Assumptions!$L$30=4,0,O262+P262)</f>
        <v>0</v>
      </c>
      <c r="M262" s="1242" t="n">
        <f aca="false">(IF(GasPriceCurve,IF(OBuySell=OCallPut,D262,B262),C262)+K262/1000+L262)/(1-GasTransportPercent)</f>
        <v>4.06310600034694</v>
      </c>
      <c r="N262" s="1239" t="n">
        <f aca="false">IF(Assumptions!$L$30=4,F262,CHOOSE(Assumptions!$L$30,E262,F262,G262))</f>
        <v>0.15</v>
      </c>
      <c r="O262" s="0" t="n">
        <v>0.31125</v>
      </c>
      <c r="P262" s="647" t="n">
        <f aca="false">Assumptions!$L$32*(1+Assumptions!$C$26)^(YEAR(A262)-2000)</f>
        <v>0.12428464019963</v>
      </c>
    </row>
    <row r="263" customFormat="false" ht="12.75" hidden="false" customHeight="false" outlineLevel="0" collapsed="false">
      <c r="A263" s="1237" t="n">
        <f aca="false">'Curve Paste'!BQ263</f>
        <v>44470</v>
      </c>
      <c r="B263" s="1238" t="n">
        <f aca="false">IF(Assumptions!$L$30=4,VLOOKUP($A263,'Henwood Reference'!$E$9:$R$296,14),'Curve Paste'!BR263)</f>
        <v>4.18593009294297</v>
      </c>
      <c r="C263" s="1238" t="n">
        <f aca="false">IF(Assumptions!$L$30=4,VLOOKUP($A263,'Henwood Reference'!$E$9:$R$296,14),'Curve Paste'!BS263)</f>
        <v>4.18593009294297</v>
      </c>
      <c r="D263" s="1238" t="n">
        <f aca="false">IF(Assumptions!$L$30=4,VLOOKUP($A263,'Henwood Reference'!$E$9:$R$296,14),'Curve Paste'!BT263)</f>
        <v>4.18593009294297</v>
      </c>
      <c r="E263" s="1244" t="n">
        <f aca="false">E262</f>
        <v>0.1425</v>
      </c>
      <c r="F263" s="1244" t="n">
        <f aca="false">F262</f>
        <v>0.15</v>
      </c>
      <c r="G263" s="1244" t="n">
        <f aca="false">G262</f>
        <v>0.1575</v>
      </c>
      <c r="H263" s="1239" t="n">
        <f aca="false">I263-$H$4</f>
        <v>-0.07</v>
      </c>
      <c r="I263" s="1239"/>
      <c r="J263" s="1239" t="n">
        <f aca="false">I263+$J$4</f>
        <v>0.07</v>
      </c>
      <c r="K263" s="1243" t="n">
        <f aca="false">K251</f>
        <v>0</v>
      </c>
      <c r="L263" s="1241" t="n">
        <f aca="false">IF(Assumptions!$L$30=4,0,O263+P263)</f>
        <v>0</v>
      </c>
      <c r="M263" s="1242" t="n">
        <f aca="false">(IF(GasPriceCurve,IF(OBuySell=OCallPut,D263,B263),C263)+K263/1000+L263)/(1-GasTransportPercent)</f>
        <v>4.23677134913256</v>
      </c>
      <c r="N263" s="1239" t="n">
        <f aca="false">IF(Assumptions!$L$30=4,F263,CHOOSE(Assumptions!$L$30,E263,F263,G263))</f>
        <v>0.15</v>
      </c>
      <c r="O263" s="0" t="n">
        <v>0.23125</v>
      </c>
      <c r="P263" s="647" t="n">
        <f aca="false">Assumptions!$L$32*(1+Assumptions!$C$26)^(YEAR(A263)-2000)</f>
        <v>0.12428464019963</v>
      </c>
    </row>
    <row r="264" customFormat="false" ht="12.75" hidden="false" customHeight="false" outlineLevel="0" collapsed="false">
      <c r="A264" s="1237" t="n">
        <f aca="false">'Curve Paste'!BQ264</f>
        <v>44501</v>
      </c>
      <c r="B264" s="1238" t="n">
        <f aca="false">IF(Assumptions!$L$30=4,VLOOKUP($A264,'Henwood Reference'!$E$9:$R$296,14),'Curve Paste'!BR264)</f>
        <v>4.35423544103527</v>
      </c>
      <c r="C264" s="1238" t="n">
        <f aca="false">IF(Assumptions!$L$30=4,VLOOKUP($A264,'Henwood Reference'!$E$9:$R$296,14),'Curve Paste'!BS264)</f>
        <v>4.35423544103527</v>
      </c>
      <c r="D264" s="1238" t="n">
        <f aca="false">IF(Assumptions!$L$30=4,VLOOKUP($A264,'Henwood Reference'!$E$9:$R$296,14),'Curve Paste'!BT264)</f>
        <v>4.35423544103527</v>
      </c>
      <c r="E264" s="1244" t="n">
        <f aca="false">E263</f>
        <v>0.1425</v>
      </c>
      <c r="F264" s="1244" t="n">
        <f aca="false">F263</f>
        <v>0.15</v>
      </c>
      <c r="G264" s="1244" t="n">
        <f aca="false">G263</f>
        <v>0.1575</v>
      </c>
      <c r="H264" s="1239" t="n">
        <f aca="false">I264-$H$4</f>
        <v>-0.07</v>
      </c>
      <c r="I264" s="1239"/>
      <c r="J264" s="1239" t="n">
        <f aca="false">I264+$J$4</f>
        <v>0.07</v>
      </c>
      <c r="K264" s="1243" t="n">
        <f aca="false">K252</f>
        <v>0</v>
      </c>
      <c r="L264" s="1241" t="n">
        <f aca="false">IF(Assumptions!$L$30=4,0,O264+P264)</f>
        <v>0</v>
      </c>
      <c r="M264" s="1242" t="n">
        <f aca="false">(IF(GasPriceCurve,IF(OBuySell=OCallPut,D264,B264),C264)+K264/1000+L264)/(1-GasTransportPercent)</f>
        <v>4.4071208917361</v>
      </c>
      <c r="N264" s="1239" t="n">
        <f aca="false">IF(Assumptions!$L$30=4,F264,CHOOSE(Assumptions!$L$30,E264,F264,G264))</f>
        <v>0.15</v>
      </c>
      <c r="O264" s="0" t="n">
        <v>0.19625</v>
      </c>
      <c r="P264" s="647" t="n">
        <f aca="false">Assumptions!$L$32*(1+Assumptions!$C$26)^(YEAR(A264)-2000)</f>
        <v>0.12428464019963</v>
      </c>
    </row>
    <row r="265" customFormat="false" ht="12.75" hidden="false" customHeight="false" outlineLevel="0" collapsed="false">
      <c r="A265" s="1237" t="n">
        <f aca="false">'Curve Paste'!BQ265</f>
        <v>44531</v>
      </c>
      <c r="B265" s="1238" t="n">
        <f aca="false">IF(Assumptions!$L$30=4,VLOOKUP($A265,'Henwood Reference'!$E$9:$R$296,14),'Curve Paste'!BR265)</f>
        <v>4.53206588713515</v>
      </c>
      <c r="C265" s="1238" t="n">
        <f aca="false">IF(Assumptions!$L$30=4,VLOOKUP($A265,'Henwood Reference'!$E$9:$R$296,14),'Curve Paste'!BS265)</f>
        <v>4.53206588713515</v>
      </c>
      <c r="D265" s="1238" t="n">
        <f aca="false">IF(Assumptions!$L$30=4,VLOOKUP($A265,'Henwood Reference'!$E$9:$R$296,14),'Curve Paste'!BT265)</f>
        <v>4.53206588713515</v>
      </c>
      <c r="E265" s="1244" t="n">
        <f aca="false">E264</f>
        <v>0.1425</v>
      </c>
      <c r="F265" s="1244" t="n">
        <f aca="false">F264</f>
        <v>0.15</v>
      </c>
      <c r="G265" s="1244" t="n">
        <f aca="false">G264</f>
        <v>0.1575</v>
      </c>
      <c r="H265" s="1239" t="n">
        <f aca="false">I265-$H$4</f>
        <v>-0.07</v>
      </c>
      <c r="I265" s="1239"/>
      <c r="J265" s="1239" t="n">
        <f aca="false">I265+$J$4</f>
        <v>0.07</v>
      </c>
      <c r="K265" s="1243" t="n">
        <f aca="false">K253</f>
        <v>0</v>
      </c>
      <c r="L265" s="1241" t="n">
        <f aca="false">IF(Assumptions!$L$30=4,0,O265+P265)</f>
        <v>0</v>
      </c>
      <c r="M265" s="1242" t="n">
        <f aca="false">(IF(GasPriceCurve,IF(OBuySell=OCallPut,D265,B265),C265)+K265/1000+L265)/(1-GasTransportPercent)</f>
        <v>4.58711122179671</v>
      </c>
      <c r="N265" s="1239" t="n">
        <f aca="false">IF(Assumptions!$L$30=4,F265,CHOOSE(Assumptions!$L$30,E265,F265,G265))</f>
        <v>0.15</v>
      </c>
      <c r="O265" s="0" t="n">
        <v>0.19625</v>
      </c>
      <c r="P265" s="647" t="n">
        <f aca="false">Assumptions!$L$32*(1+Assumptions!$C$26)^(YEAR(A265)-2000)</f>
        <v>0.12428464019963</v>
      </c>
    </row>
    <row r="266" customFormat="false" ht="12.75" hidden="false" customHeight="false" outlineLevel="0" collapsed="false">
      <c r="A266" s="1237" t="n">
        <f aca="false">'Curve Paste'!BQ266</f>
        <v>44562</v>
      </c>
      <c r="B266" s="1238" t="n">
        <f aca="false">IF(Assumptions!$L$30=4,VLOOKUP($A266,'Henwood Reference'!$E$9:$R$296,14),'Curve Paste'!BR266)</f>
        <v>4.53206588713515</v>
      </c>
      <c r="C266" s="1238" t="n">
        <f aca="false">IF(Assumptions!$L$30=4,VLOOKUP($A266,'Henwood Reference'!$E$9:$R$296,14),'Curve Paste'!BS266)</f>
        <v>4.53206588713515</v>
      </c>
      <c r="D266" s="1238" t="n">
        <f aca="false">IF(Assumptions!$L$30=4,VLOOKUP($A266,'Henwood Reference'!$E$9:$R$296,14),'Curve Paste'!BT266)</f>
        <v>4.53206588713515</v>
      </c>
      <c r="E266" s="1244" t="n">
        <f aca="false">E265</f>
        <v>0.1425</v>
      </c>
      <c r="F266" s="1244" t="n">
        <f aca="false">F265</f>
        <v>0.15</v>
      </c>
      <c r="G266" s="1244" t="n">
        <f aca="false">G265</f>
        <v>0.1575</v>
      </c>
      <c r="H266" s="1239" t="n">
        <f aca="false">I266-$H$4</f>
        <v>-0.07</v>
      </c>
      <c r="I266" s="1239"/>
      <c r="J266" s="1239" t="n">
        <f aca="false">I266+$J$4</f>
        <v>0.07</v>
      </c>
      <c r="K266" s="1243" t="n">
        <f aca="false">K254</f>
        <v>0</v>
      </c>
      <c r="L266" s="1241" t="n">
        <f aca="false">IF(Assumptions!$L$30=4,0,O266+P266)</f>
        <v>0</v>
      </c>
      <c r="M266" s="1242" t="n">
        <f aca="false">(IF(GasPriceCurve,IF(OBuySell=OCallPut,D266,B266),C266)+K266/1000+L266)/(1-GasTransportPercent)</f>
        <v>4.58711122179671</v>
      </c>
      <c r="N266" s="1239" t="n">
        <f aca="false">IF(Assumptions!$L$30=4,F266,CHOOSE(Assumptions!$L$30,E266,F266,G266))</f>
        <v>0.15</v>
      </c>
      <c r="O266" s="0" t="n">
        <v>0.165</v>
      </c>
      <c r="P266" s="647" t="n">
        <f aca="false">Assumptions!$L$32*(1+Assumptions!$C$26)^(YEAR(A266)-2000)</f>
        <v>0.126770333003622</v>
      </c>
    </row>
    <row r="267" customFormat="false" ht="12.75" hidden="false" customHeight="false" outlineLevel="0" collapsed="false">
      <c r="A267" s="1237" t="n">
        <f aca="false">'Curve Paste'!BQ267</f>
        <v>44593</v>
      </c>
      <c r="B267" s="1238" t="n">
        <f aca="false">IF(Assumptions!$L$30=4,VLOOKUP($A267,'Henwood Reference'!$E$9:$R$296,14),'Curve Paste'!BR267)</f>
        <v>4.53206588713515</v>
      </c>
      <c r="C267" s="1238" t="n">
        <f aca="false">IF(Assumptions!$L$30=4,VLOOKUP($A267,'Henwood Reference'!$E$9:$R$296,14),'Curve Paste'!BS267)</f>
        <v>4.53206588713515</v>
      </c>
      <c r="D267" s="1238" t="n">
        <f aca="false">IF(Assumptions!$L$30=4,VLOOKUP($A267,'Henwood Reference'!$E$9:$R$296,14),'Curve Paste'!BT267)</f>
        <v>4.53206588713515</v>
      </c>
      <c r="E267" s="1244" t="n">
        <f aca="false">E266</f>
        <v>0.1425</v>
      </c>
      <c r="F267" s="1244" t="n">
        <f aca="false">F266</f>
        <v>0.15</v>
      </c>
      <c r="G267" s="1244" t="n">
        <f aca="false">G266</f>
        <v>0.1575</v>
      </c>
      <c r="H267" s="1239" t="n">
        <f aca="false">I267-$H$4</f>
        <v>-0.07</v>
      </c>
      <c r="I267" s="1239"/>
      <c r="J267" s="1239" t="n">
        <f aca="false">I267+$J$4</f>
        <v>0.07</v>
      </c>
      <c r="K267" s="1243" t="n">
        <f aca="false">K255</f>
        <v>0</v>
      </c>
      <c r="L267" s="1241" t="n">
        <f aca="false">IF(Assumptions!$L$30=4,0,O267+P267)</f>
        <v>0</v>
      </c>
      <c r="M267" s="1242" t="n">
        <f aca="false">(IF(GasPriceCurve,IF(OBuySell=OCallPut,D267,B267),C267)+K267/1000+L267)/(1-GasTransportPercent)</f>
        <v>4.58711122179671</v>
      </c>
      <c r="N267" s="1239" t="n">
        <f aca="false">IF(Assumptions!$L$30=4,F267,CHOOSE(Assumptions!$L$30,E267,F267,G267))</f>
        <v>0.15</v>
      </c>
      <c r="O267" s="0" t="n">
        <v>0.165</v>
      </c>
      <c r="P267" s="647" t="n">
        <f aca="false">Assumptions!$L$32*(1+Assumptions!$C$26)^(YEAR(A267)-2000)</f>
        <v>0.126770333003622</v>
      </c>
    </row>
    <row r="268" customFormat="false" ht="12.75" hidden="false" customHeight="false" outlineLevel="0" collapsed="false">
      <c r="A268" s="1237" t="n">
        <f aca="false">'Curve Paste'!BQ268</f>
        <v>44621</v>
      </c>
      <c r="B268" s="1238" t="n">
        <f aca="false">IF(Assumptions!$L$30=4,VLOOKUP($A268,'Henwood Reference'!$E$9:$R$296,14),'Curve Paste'!BR268)</f>
        <v>4.53206588713515</v>
      </c>
      <c r="C268" s="1238" t="n">
        <f aca="false">IF(Assumptions!$L$30=4,VLOOKUP($A268,'Henwood Reference'!$E$9:$R$296,14),'Curve Paste'!BS268)</f>
        <v>4.53206588713515</v>
      </c>
      <c r="D268" s="1238" t="n">
        <f aca="false">IF(Assumptions!$L$30=4,VLOOKUP($A268,'Henwood Reference'!$E$9:$R$296,14),'Curve Paste'!BT268)</f>
        <v>4.53206588713515</v>
      </c>
      <c r="E268" s="1244" t="n">
        <f aca="false">E267</f>
        <v>0.1425</v>
      </c>
      <c r="F268" s="1244" t="n">
        <f aca="false">F267</f>
        <v>0.15</v>
      </c>
      <c r="G268" s="1244" t="n">
        <f aca="false">G267</f>
        <v>0.1575</v>
      </c>
      <c r="H268" s="1239" t="n">
        <f aca="false">I268-$H$4</f>
        <v>-0.07</v>
      </c>
      <c r="I268" s="1239"/>
      <c r="J268" s="1239" t="n">
        <f aca="false">I268+$J$4</f>
        <v>0.07</v>
      </c>
      <c r="K268" s="1243" t="n">
        <f aca="false">K256</f>
        <v>0</v>
      </c>
      <c r="L268" s="1241" t="n">
        <f aca="false">IF(Assumptions!$L$30=4,0,O268+P268)</f>
        <v>0</v>
      </c>
      <c r="M268" s="1242" t="n">
        <f aca="false">(IF(GasPriceCurve,IF(OBuySell=OCallPut,D268,B268),C268)+K268/1000+L268)/(1-GasTransportPercent)</f>
        <v>4.58711122179671</v>
      </c>
      <c r="N268" s="1239" t="n">
        <f aca="false">IF(Assumptions!$L$30=4,F268,CHOOSE(Assumptions!$L$30,E268,F268,G268))</f>
        <v>0.15</v>
      </c>
      <c r="O268" s="0" t="n">
        <v>0.1825</v>
      </c>
      <c r="P268" s="647" t="n">
        <f aca="false">Assumptions!$L$32*(1+Assumptions!$C$26)^(YEAR(A268)-2000)</f>
        <v>0.126770333003622</v>
      </c>
    </row>
    <row r="269" customFormat="false" ht="12.75" hidden="false" customHeight="false" outlineLevel="0" collapsed="false">
      <c r="A269" s="1237" t="n">
        <f aca="false">'Curve Paste'!BQ269</f>
        <v>44652</v>
      </c>
      <c r="B269" s="1238" t="n">
        <f aca="false">IF(Assumptions!$L$30=4,VLOOKUP($A269,'Henwood Reference'!$E$9:$R$296,14),'Curve Paste'!BR269)</f>
        <v>4.53206588713515</v>
      </c>
      <c r="C269" s="1238" t="n">
        <f aca="false">IF(Assumptions!$L$30=4,VLOOKUP($A269,'Henwood Reference'!$E$9:$R$296,14),'Curve Paste'!BS269)</f>
        <v>4.53206588713515</v>
      </c>
      <c r="D269" s="1238" t="n">
        <f aca="false">IF(Assumptions!$L$30=4,VLOOKUP($A269,'Henwood Reference'!$E$9:$R$296,14),'Curve Paste'!BT269)</f>
        <v>4.53206588713515</v>
      </c>
      <c r="E269" s="1244" t="n">
        <f aca="false">E268</f>
        <v>0.1425</v>
      </c>
      <c r="F269" s="1244" t="n">
        <f aca="false">F268</f>
        <v>0.15</v>
      </c>
      <c r="G269" s="1244" t="n">
        <f aca="false">G268</f>
        <v>0.1575</v>
      </c>
      <c r="H269" s="1239" t="n">
        <f aca="false">I269-$H$4</f>
        <v>-0.07</v>
      </c>
      <c r="I269" s="1239"/>
      <c r="J269" s="1239" t="n">
        <f aca="false">I269+$J$4</f>
        <v>0.07</v>
      </c>
      <c r="K269" s="1243" t="n">
        <f aca="false">K257</f>
        <v>0</v>
      </c>
      <c r="L269" s="1241" t="n">
        <f aca="false">IF(Assumptions!$L$30=4,0,O269+P269)</f>
        <v>0</v>
      </c>
      <c r="M269" s="1242" t="n">
        <f aca="false">(IF(GasPriceCurve,IF(OBuySell=OCallPut,D269,B269),C269)+K269/1000+L269)/(1-GasTransportPercent)</f>
        <v>4.58711122179671</v>
      </c>
      <c r="N269" s="1239" t="n">
        <f aca="false">IF(Assumptions!$L$30=4,F269,CHOOSE(Assumptions!$L$30,E269,F269,G269))</f>
        <v>0.15</v>
      </c>
      <c r="O269" s="0" t="n">
        <v>0.1675</v>
      </c>
      <c r="P269" s="647" t="n">
        <f aca="false">Assumptions!$L$32*(1+Assumptions!$C$26)^(YEAR(A269)-2000)</f>
        <v>0.126770333003622</v>
      </c>
    </row>
    <row r="270" customFormat="false" ht="12.75" hidden="false" customHeight="false" outlineLevel="0" collapsed="false">
      <c r="A270" s="1237" t="n">
        <f aca="false">'Curve Paste'!BQ270</f>
        <v>44682</v>
      </c>
      <c r="B270" s="1238" t="n">
        <f aca="false">IF(Assumptions!$L$30=4,VLOOKUP($A270,'Henwood Reference'!$E$9:$R$296,14),'Curve Paste'!BR270)</f>
        <v>4.53206588713515</v>
      </c>
      <c r="C270" s="1238" t="n">
        <f aca="false">IF(Assumptions!$L$30=4,VLOOKUP($A270,'Henwood Reference'!$E$9:$R$296,14),'Curve Paste'!BS270)</f>
        <v>4.53206588713515</v>
      </c>
      <c r="D270" s="1238" t="n">
        <f aca="false">IF(Assumptions!$L$30=4,VLOOKUP($A270,'Henwood Reference'!$E$9:$R$296,14),'Curve Paste'!BT270)</f>
        <v>4.53206588713515</v>
      </c>
      <c r="E270" s="1244" t="n">
        <f aca="false">E269</f>
        <v>0.1425</v>
      </c>
      <c r="F270" s="1244" t="n">
        <f aca="false">F269</f>
        <v>0.15</v>
      </c>
      <c r="G270" s="1244" t="n">
        <f aca="false">G269</f>
        <v>0.1575</v>
      </c>
      <c r="H270" s="1239" t="n">
        <f aca="false">I270-$H$4</f>
        <v>-0.07</v>
      </c>
      <c r="I270" s="1239"/>
      <c r="J270" s="1239" t="n">
        <f aca="false">I270+$J$4</f>
        <v>0.07</v>
      </c>
      <c r="K270" s="1243" t="n">
        <f aca="false">K258</f>
        <v>0</v>
      </c>
      <c r="L270" s="1241" t="n">
        <f aca="false">IF(Assumptions!$L$30=4,0,O270+P270)</f>
        <v>0</v>
      </c>
      <c r="M270" s="1242" t="n">
        <f aca="false">(IF(GasPriceCurve,IF(OBuySell=OCallPut,D270,B270),C270)+K270/1000+L270)/(1-GasTransportPercent)</f>
        <v>4.58711122179671</v>
      </c>
      <c r="N270" s="1239" t="n">
        <f aca="false">IF(Assumptions!$L$30=4,F270,CHOOSE(Assumptions!$L$30,E270,F270,G270))</f>
        <v>0.15</v>
      </c>
      <c r="O270" s="0" t="n">
        <v>0.1825</v>
      </c>
      <c r="P270" s="647" t="n">
        <f aca="false">Assumptions!$L$32*(1+Assumptions!$C$26)^(YEAR(A270)-2000)</f>
        <v>0.126770333003622</v>
      </c>
    </row>
    <row r="271" customFormat="false" ht="12.75" hidden="false" customHeight="false" outlineLevel="0" collapsed="false">
      <c r="A271" s="1237" t="n">
        <f aca="false">'Curve Paste'!BQ271</f>
        <v>44713</v>
      </c>
      <c r="B271" s="1238" t="n">
        <f aca="false">IF(Assumptions!$L$30=4,VLOOKUP($A271,'Henwood Reference'!$E$9:$R$296,14),'Curve Paste'!BR271)</f>
        <v>4.53206588713515</v>
      </c>
      <c r="C271" s="1238" t="n">
        <f aca="false">IF(Assumptions!$L$30=4,VLOOKUP($A271,'Henwood Reference'!$E$9:$R$296,14),'Curve Paste'!BS271)</f>
        <v>4.53206588713515</v>
      </c>
      <c r="D271" s="1238" t="n">
        <f aca="false">IF(Assumptions!$L$30=4,VLOOKUP($A271,'Henwood Reference'!$E$9:$R$296,14),'Curve Paste'!BT271)</f>
        <v>4.53206588713515</v>
      </c>
      <c r="E271" s="1244" t="n">
        <f aca="false">E270</f>
        <v>0.1425</v>
      </c>
      <c r="F271" s="1244" t="n">
        <f aca="false">F270</f>
        <v>0.15</v>
      </c>
      <c r="G271" s="1244" t="n">
        <f aca="false">G270</f>
        <v>0.1575</v>
      </c>
      <c r="H271" s="1239" t="n">
        <f aca="false">I271-$H$4</f>
        <v>-0.07</v>
      </c>
      <c r="I271" s="1239"/>
      <c r="J271" s="1239" t="n">
        <f aca="false">I271+$J$4</f>
        <v>0.07</v>
      </c>
      <c r="K271" s="1243" t="n">
        <f aca="false">K259</f>
        <v>0</v>
      </c>
      <c r="L271" s="1241" t="n">
        <f aca="false">IF(Assumptions!$L$30=4,0,O271+P271)</f>
        <v>0</v>
      </c>
      <c r="M271" s="1242" t="n">
        <f aca="false">(IF(GasPriceCurve,IF(OBuySell=OCallPut,D271,B271),C271)+K271/1000+L271)/(1-GasTransportPercent)</f>
        <v>4.58711122179671</v>
      </c>
      <c r="N271" s="1239" t="n">
        <f aca="false">IF(Assumptions!$L$30=4,F271,CHOOSE(Assumptions!$L$30,E271,F271,G271))</f>
        <v>0.15</v>
      </c>
      <c r="O271" s="0" t="n">
        <v>0.2125</v>
      </c>
      <c r="P271" s="647" t="n">
        <f aca="false">Assumptions!$L$32*(1+Assumptions!$C$26)^(YEAR(A271)-2000)</f>
        <v>0.126770333003622</v>
      </c>
    </row>
    <row r="272" customFormat="false" ht="12.75" hidden="false" customHeight="false" outlineLevel="0" collapsed="false">
      <c r="A272" s="1237" t="n">
        <f aca="false">'Curve Paste'!BQ272</f>
        <v>44743</v>
      </c>
      <c r="B272" s="1238" t="n">
        <f aca="false">IF(Assumptions!$L$30=4,VLOOKUP($A272,'Henwood Reference'!$E$9:$R$296,14),'Curve Paste'!BR272)</f>
        <v>4.53206588713515</v>
      </c>
      <c r="C272" s="1238" t="n">
        <f aca="false">IF(Assumptions!$L$30=4,VLOOKUP($A272,'Henwood Reference'!$E$9:$R$296,14),'Curve Paste'!BS272)</f>
        <v>4.53206588713515</v>
      </c>
      <c r="D272" s="1238" t="n">
        <f aca="false">IF(Assumptions!$L$30=4,VLOOKUP($A272,'Henwood Reference'!$E$9:$R$296,14),'Curve Paste'!BT272)</f>
        <v>4.53206588713515</v>
      </c>
      <c r="E272" s="1244" t="n">
        <f aca="false">E271</f>
        <v>0.1425</v>
      </c>
      <c r="F272" s="1244" t="n">
        <f aca="false">F271</f>
        <v>0.15</v>
      </c>
      <c r="G272" s="1244" t="n">
        <f aca="false">G271</f>
        <v>0.1575</v>
      </c>
      <c r="H272" s="1239" t="n">
        <f aca="false">I272-$H$4</f>
        <v>-0.07</v>
      </c>
      <c r="I272" s="1239"/>
      <c r="J272" s="1239" t="n">
        <f aca="false">I272+$J$4</f>
        <v>0.07</v>
      </c>
      <c r="K272" s="1243" t="n">
        <f aca="false">K260</f>
        <v>0</v>
      </c>
      <c r="L272" s="1241" t="n">
        <f aca="false">IF(Assumptions!$L$30=4,0,O272+P272)</f>
        <v>0</v>
      </c>
      <c r="M272" s="1242" t="n">
        <f aca="false">(IF(GasPriceCurve,IF(OBuySell=OCallPut,D272,B272),C272)+K272/1000+L272)/(1-GasTransportPercent)</f>
        <v>4.58711122179671</v>
      </c>
      <c r="N272" s="1239" t="n">
        <f aca="false">IF(Assumptions!$L$30=4,F272,CHOOSE(Assumptions!$L$30,E272,F272,G272))</f>
        <v>0.15</v>
      </c>
      <c r="O272" s="0" t="n">
        <v>0.3125</v>
      </c>
      <c r="P272" s="647" t="n">
        <f aca="false">Assumptions!$L$32*(1+Assumptions!$C$26)^(YEAR(A272)-2000)</f>
        <v>0.126770333003622</v>
      </c>
    </row>
    <row r="273" customFormat="false" ht="12.75" hidden="false" customHeight="false" outlineLevel="0" collapsed="false">
      <c r="A273" s="1237" t="n">
        <f aca="false">'Curve Paste'!BQ273</f>
        <v>44774</v>
      </c>
      <c r="B273" s="1238" t="n">
        <f aca="false">IF(Assumptions!$L$30=4,VLOOKUP($A273,'Henwood Reference'!$E$9:$R$296,14),'Curve Paste'!BR273)</f>
        <v>4.53206588713515</v>
      </c>
      <c r="C273" s="1238" t="n">
        <f aca="false">IF(Assumptions!$L$30=4,VLOOKUP($A273,'Henwood Reference'!$E$9:$R$296,14),'Curve Paste'!BS273)</f>
        <v>4.53206588713515</v>
      </c>
      <c r="D273" s="1238" t="n">
        <f aca="false">IF(Assumptions!$L$30=4,VLOOKUP($A273,'Henwood Reference'!$E$9:$R$296,14),'Curve Paste'!BT273)</f>
        <v>4.53206588713515</v>
      </c>
      <c r="E273" s="1244" t="n">
        <f aca="false">E272</f>
        <v>0.1425</v>
      </c>
      <c r="F273" s="1244" t="n">
        <f aca="false">F272</f>
        <v>0.15</v>
      </c>
      <c r="G273" s="1244" t="n">
        <f aca="false">G272</f>
        <v>0.1575</v>
      </c>
      <c r="H273" s="1239" t="n">
        <f aca="false">I273-$H$4</f>
        <v>-0.07</v>
      </c>
      <c r="I273" s="1239"/>
      <c r="J273" s="1239" t="n">
        <f aca="false">I273+$J$4</f>
        <v>0.07</v>
      </c>
      <c r="K273" s="1243" t="n">
        <f aca="false">K261</f>
        <v>0</v>
      </c>
      <c r="L273" s="1241" t="n">
        <f aca="false">IF(Assumptions!$L$30=4,0,O273+P273)</f>
        <v>0</v>
      </c>
      <c r="M273" s="1242" t="n">
        <f aca="false">(IF(GasPriceCurve,IF(OBuySell=OCallPut,D273,B273),C273)+K273/1000+L273)/(1-GasTransportPercent)</f>
        <v>4.58711122179671</v>
      </c>
      <c r="N273" s="1239" t="n">
        <f aca="false">IF(Assumptions!$L$30=4,F273,CHOOSE(Assumptions!$L$30,E273,F273,G273))</f>
        <v>0.15</v>
      </c>
      <c r="O273" s="0" t="n">
        <v>0.3125</v>
      </c>
      <c r="P273" s="647" t="n">
        <f aca="false">Assumptions!$L$32*(1+Assumptions!$C$26)^(YEAR(A273)-2000)</f>
        <v>0.126770333003622</v>
      </c>
    </row>
    <row r="274" customFormat="false" ht="12.75" hidden="false" customHeight="false" outlineLevel="0" collapsed="false">
      <c r="A274" s="1237" t="n">
        <f aca="false">'Curve Paste'!BQ274</f>
        <v>44805</v>
      </c>
      <c r="B274" s="1238" t="n">
        <f aca="false">IF(Assumptions!$L$30=4,VLOOKUP($A274,'Henwood Reference'!$E$9:$R$296,14),'Curve Paste'!BR274)</f>
        <v>4.53206588713515</v>
      </c>
      <c r="C274" s="1238" t="n">
        <f aca="false">IF(Assumptions!$L$30=4,VLOOKUP($A274,'Henwood Reference'!$E$9:$R$296,14),'Curve Paste'!BS274)</f>
        <v>4.53206588713515</v>
      </c>
      <c r="D274" s="1238" t="n">
        <f aca="false">IF(Assumptions!$L$30=4,VLOOKUP($A274,'Henwood Reference'!$E$9:$R$296,14),'Curve Paste'!BT274)</f>
        <v>4.53206588713515</v>
      </c>
      <c r="E274" s="1244" t="n">
        <f aca="false">E273</f>
        <v>0.1425</v>
      </c>
      <c r="F274" s="1244" t="n">
        <f aca="false">F273</f>
        <v>0.15</v>
      </c>
      <c r="G274" s="1244" t="n">
        <f aca="false">G273</f>
        <v>0.1575</v>
      </c>
      <c r="H274" s="1239" t="n">
        <f aca="false">I274-$H$4</f>
        <v>-0.07</v>
      </c>
      <c r="I274" s="1239"/>
      <c r="J274" s="1239" t="n">
        <f aca="false">I274+$J$4</f>
        <v>0.07</v>
      </c>
      <c r="K274" s="1243" t="n">
        <f aca="false">K262</f>
        <v>0</v>
      </c>
      <c r="L274" s="1241" t="n">
        <f aca="false">IF(Assumptions!$L$30=4,0,O274+P274)</f>
        <v>0</v>
      </c>
      <c r="M274" s="1242" t="n">
        <f aca="false">(IF(GasPriceCurve,IF(OBuySell=OCallPut,D274,B274),C274)+K274/1000+L274)/(1-GasTransportPercent)</f>
        <v>4.58711122179671</v>
      </c>
      <c r="N274" s="1239" t="n">
        <f aca="false">IF(Assumptions!$L$30=4,F274,CHOOSE(Assumptions!$L$30,E274,F274,G274))</f>
        <v>0.15</v>
      </c>
      <c r="O274" s="0" t="n">
        <v>0.3125</v>
      </c>
      <c r="P274" s="647" t="n">
        <f aca="false">Assumptions!$L$32*(1+Assumptions!$C$26)^(YEAR(A274)-2000)</f>
        <v>0.126770333003622</v>
      </c>
    </row>
    <row r="275" customFormat="false" ht="12.75" hidden="false" customHeight="false" outlineLevel="0" collapsed="false">
      <c r="A275" s="1237" t="n">
        <f aca="false">'Curve Paste'!BQ275</f>
        <v>44835</v>
      </c>
      <c r="B275" s="1238" t="n">
        <f aca="false">IF(Assumptions!$L$30=4,VLOOKUP($A275,'Henwood Reference'!$E$9:$R$296,14),'Curve Paste'!BR275)</f>
        <v>4.53206588713515</v>
      </c>
      <c r="C275" s="1238" t="n">
        <f aca="false">IF(Assumptions!$L$30=4,VLOOKUP($A275,'Henwood Reference'!$E$9:$R$296,14),'Curve Paste'!BS275)</f>
        <v>4.53206588713515</v>
      </c>
      <c r="D275" s="1238" t="n">
        <f aca="false">IF(Assumptions!$L$30=4,VLOOKUP($A275,'Henwood Reference'!$E$9:$R$296,14),'Curve Paste'!BT275)</f>
        <v>4.53206588713515</v>
      </c>
      <c r="E275" s="1244" t="n">
        <f aca="false">E274</f>
        <v>0.1425</v>
      </c>
      <c r="F275" s="1244" t="n">
        <f aca="false">F274</f>
        <v>0.15</v>
      </c>
      <c r="G275" s="1244" t="n">
        <f aca="false">G274</f>
        <v>0.1575</v>
      </c>
      <c r="H275" s="1239" t="n">
        <f aca="false">I275-$H$4</f>
        <v>-0.07</v>
      </c>
      <c r="I275" s="1239"/>
      <c r="J275" s="1239" t="n">
        <f aca="false">I275+$J$4</f>
        <v>0.07</v>
      </c>
      <c r="K275" s="1243" t="n">
        <f aca="false">K263</f>
        <v>0</v>
      </c>
      <c r="L275" s="1241" t="n">
        <f aca="false">IF(Assumptions!$L$30=4,0,O275+P275)</f>
        <v>0</v>
      </c>
      <c r="M275" s="1242" t="n">
        <f aca="false">(IF(GasPriceCurve,IF(OBuySell=OCallPut,D275,B275),C275)+K275/1000+L275)/(1-GasTransportPercent)</f>
        <v>4.58711122179671</v>
      </c>
      <c r="N275" s="1239" t="n">
        <f aca="false">IF(Assumptions!$L$30=4,F275,CHOOSE(Assumptions!$L$30,E275,F275,G275))</f>
        <v>0.15</v>
      </c>
      <c r="O275" s="0" t="n">
        <v>0.2325</v>
      </c>
      <c r="P275" s="647" t="n">
        <f aca="false">Assumptions!$L$32*(1+Assumptions!$C$26)^(YEAR(A275)-2000)</f>
        <v>0.126770333003622</v>
      </c>
    </row>
    <row r="276" customFormat="false" ht="12.75" hidden="false" customHeight="false" outlineLevel="0" collapsed="false">
      <c r="A276" s="1237" t="n">
        <f aca="false">'Curve Paste'!BQ276</f>
        <v>44866</v>
      </c>
      <c r="B276" s="1238" t="n">
        <f aca="false">IF(Assumptions!$L$30=4,VLOOKUP($A276,'Henwood Reference'!$E$9:$R$296,14),'Curve Paste'!BR276)</f>
        <v>4.53206588713515</v>
      </c>
      <c r="C276" s="1238" t="n">
        <f aca="false">IF(Assumptions!$L$30=4,VLOOKUP($A276,'Henwood Reference'!$E$9:$R$296,14),'Curve Paste'!BS276)</f>
        <v>4.53206588713515</v>
      </c>
      <c r="D276" s="1238" t="n">
        <f aca="false">IF(Assumptions!$L$30=4,VLOOKUP($A276,'Henwood Reference'!$E$9:$R$296,14),'Curve Paste'!BT276)</f>
        <v>4.53206588713515</v>
      </c>
      <c r="E276" s="1244" t="n">
        <f aca="false">E275</f>
        <v>0.1425</v>
      </c>
      <c r="F276" s="1244" t="n">
        <f aca="false">F275</f>
        <v>0.15</v>
      </c>
      <c r="G276" s="1244" t="n">
        <f aca="false">G275</f>
        <v>0.1575</v>
      </c>
      <c r="H276" s="1239" t="n">
        <f aca="false">I276-$H$4</f>
        <v>-0.07</v>
      </c>
      <c r="I276" s="1239"/>
      <c r="J276" s="1239" t="n">
        <f aca="false">I276+$J$4</f>
        <v>0.07</v>
      </c>
      <c r="K276" s="1243" t="n">
        <f aca="false">K264</f>
        <v>0</v>
      </c>
      <c r="L276" s="1241" t="n">
        <f aca="false">IF(Assumptions!$L$30=4,0,O276+P276)</f>
        <v>0</v>
      </c>
      <c r="M276" s="1242" t="n">
        <f aca="false">(IF(GasPriceCurve,IF(OBuySell=OCallPut,D276,B276),C276)+K276/1000+L276)/(1-GasTransportPercent)</f>
        <v>4.58711122179671</v>
      </c>
      <c r="N276" s="1239" t="n">
        <f aca="false">IF(Assumptions!$L$30=4,F276,CHOOSE(Assumptions!$L$30,E276,F276,G276))</f>
        <v>0.15</v>
      </c>
      <c r="O276" s="0" t="n">
        <v>0.1975</v>
      </c>
      <c r="P276" s="647" t="n">
        <f aca="false">Assumptions!$L$32*(1+Assumptions!$C$26)^(YEAR(A276)-2000)</f>
        <v>0.126770333003622</v>
      </c>
    </row>
    <row r="277" customFormat="false" ht="12.75" hidden="false" customHeight="false" outlineLevel="0" collapsed="false">
      <c r="A277" s="1237" t="n">
        <f aca="false">'Curve Paste'!BQ277</f>
        <v>44896</v>
      </c>
      <c r="B277" s="1238" t="n">
        <f aca="false">IF(Assumptions!$L$30=4,VLOOKUP($A277,'Henwood Reference'!$E$9:$R$296,14),'Curve Paste'!BR277)</f>
        <v>4.53206588713515</v>
      </c>
      <c r="C277" s="1238" t="n">
        <f aca="false">IF(Assumptions!$L$30=4,VLOOKUP($A277,'Henwood Reference'!$E$9:$R$296,14),'Curve Paste'!BS277)</f>
        <v>4.53206588713515</v>
      </c>
      <c r="D277" s="1238" t="n">
        <f aca="false">IF(Assumptions!$L$30=4,VLOOKUP($A277,'Henwood Reference'!$E$9:$R$296,14),'Curve Paste'!BT277)</f>
        <v>4.53206588713515</v>
      </c>
      <c r="E277" s="1244" t="n">
        <f aca="false">E276</f>
        <v>0.1425</v>
      </c>
      <c r="F277" s="1244" t="n">
        <f aca="false">F276</f>
        <v>0.15</v>
      </c>
      <c r="G277" s="1244" t="n">
        <f aca="false">G276</f>
        <v>0.1575</v>
      </c>
      <c r="H277" s="1239" t="n">
        <f aca="false">I277-$H$4</f>
        <v>-0.07</v>
      </c>
      <c r="I277" s="1239"/>
      <c r="J277" s="1239" t="n">
        <f aca="false">I277+$J$4</f>
        <v>0.07</v>
      </c>
      <c r="K277" s="1243" t="n">
        <f aca="false">K265</f>
        <v>0</v>
      </c>
      <c r="L277" s="1241" t="n">
        <f aca="false">IF(Assumptions!$L$30=4,0,O277+P277)</f>
        <v>0</v>
      </c>
      <c r="M277" s="1242" t="n">
        <f aca="false">(IF(GasPriceCurve,IF(OBuySell=OCallPut,D277,B277),C277)+K277/1000+L277)/(1-GasTransportPercent)</f>
        <v>4.58711122179671</v>
      </c>
      <c r="N277" s="1239" t="n">
        <f aca="false">IF(Assumptions!$L$30=4,F277,CHOOSE(Assumptions!$L$30,E277,F277,G277))</f>
        <v>0.15</v>
      </c>
      <c r="O277" s="0" t="n">
        <v>0.1975</v>
      </c>
      <c r="P277" s="647" t="n">
        <f aca="false">Assumptions!$L$32*(1+Assumptions!$C$26)^(YEAR(A277)-2000)</f>
        <v>0.126770333003622</v>
      </c>
    </row>
    <row r="278" customFormat="false" ht="12.75" hidden="false" customHeight="false" outlineLevel="0" collapsed="false">
      <c r="A278" s="1237" t="n">
        <f aca="false">'Curve Paste'!BQ278</f>
        <v>44927</v>
      </c>
      <c r="B278" s="1238" t="n">
        <f aca="false">IF(Assumptions!$L$30=4,VLOOKUP($A278,'Henwood Reference'!$E$9:$R$296,14),'Curve Paste'!BR278)</f>
        <v>4.53206588713515</v>
      </c>
      <c r="C278" s="1238" t="n">
        <f aca="false">IF(Assumptions!$L$30=4,VLOOKUP($A278,'Henwood Reference'!$E$9:$R$296,14),'Curve Paste'!BS278)</f>
        <v>4.53206588713515</v>
      </c>
      <c r="D278" s="1238" t="n">
        <f aca="false">IF(Assumptions!$L$30=4,VLOOKUP($A278,'Henwood Reference'!$E$9:$R$296,14),'Curve Paste'!BT278)</f>
        <v>4.53206588713515</v>
      </c>
      <c r="E278" s="1244" t="n">
        <f aca="false">E277</f>
        <v>0.1425</v>
      </c>
      <c r="F278" s="1244" t="n">
        <f aca="false">F277</f>
        <v>0.15</v>
      </c>
      <c r="G278" s="1244" t="n">
        <f aca="false">G277</f>
        <v>0.1575</v>
      </c>
      <c r="H278" s="1239" t="n">
        <f aca="false">I278-$H$4</f>
        <v>-0.07</v>
      </c>
      <c r="I278" s="1239"/>
      <c r="J278" s="1239" t="n">
        <f aca="false">I278+$J$4</f>
        <v>0.07</v>
      </c>
      <c r="K278" s="1243" t="n">
        <f aca="false">K266</f>
        <v>0</v>
      </c>
      <c r="L278" s="1241" t="n">
        <f aca="false">IF(Assumptions!$L$30=4,0,O278+P278)</f>
        <v>0</v>
      </c>
      <c r="M278" s="1242" t="n">
        <f aca="false">(IF(GasPriceCurve,IF(OBuySell=OCallPut,D278,B278),C278)+K278/1000+L278)/(1-GasTransportPercent)</f>
        <v>4.58711122179671</v>
      </c>
      <c r="N278" s="1239" t="n">
        <f aca="false">IF(Assumptions!$L$30=4,F278,CHOOSE(Assumptions!$L$30,E278,F278,G278))</f>
        <v>0.15</v>
      </c>
      <c r="O278" s="0" t="n">
        <v>0.16625</v>
      </c>
      <c r="P278" s="647" t="n">
        <f aca="false">Assumptions!$L$32*(1+Assumptions!$C$26)^(YEAR(A278)-2000)</f>
        <v>0.129305739663695</v>
      </c>
    </row>
    <row r="279" customFormat="false" ht="12.75" hidden="false" customHeight="false" outlineLevel="0" collapsed="false">
      <c r="A279" s="1237" t="n">
        <f aca="false">'Curve Paste'!BQ279</f>
        <v>44958</v>
      </c>
      <c r="B279" s="1238" t="n">
        <f aca="false">IF(Assumptions!$L$30=4,VLOOKUP($A279,'Henwood Reference'!$E$9:$R$296,14),'Curve Paste'!BR279)</f>
        <v>4.53206588713515</v>
      </c>
      <c r="C279" s="1238" t="n">
        <f aca="false">IF(Assumptions!$L$30=4,VLOOKUP($A279,'Henwood Reference'!$E$9:$R$296,14),'Curve Paste'!BS279)</f>
        <v>4.53206588713515</v>
      </c>
      <c r="D279" s="1238" t="n">
        <f aca="false">IF(Assumptions!$L$30=4,VLOOKUP($A279,'Henwood Reference'!$E$9:$R$296,14),'Curve Paste'!BT279)</f>
        <v>4.53206588713515</v>
      </c>
      <c r="E279" s="1244" t="n">
        <f aca="false">E278</f>
        <v>0.1425</v>
      </c>
      <c r="F279" s="1244" t="n">
        <f aca="false">F278</f>
        <v>0.15</v>
      </c>
      <c r="G279" s="1244" t="n">
        <f aca="false">G278</f>
        <v>0.1575</v>
      </c>
      <c r="H279" s="1239" t="n">
        <f aca="false">I279-$H$4</f>
        <v>-0.07</v>
      </c>
      <c r="I279" s="1239"/>
      <c r="J279" s="1239" t="n">
        <f aca="false">I279+$J$4</f>
        <v>0.07</v>
      </c>
      <c r="K279" s="1243" t="n">
        <f aca="false">K267</f>
        <v>0</v>
      </c>
      <c r="L279" s="1241" t="n">
        <f aca="false">IF(Assumptions!$L$30=4,0,O279+P279)</f>
        <v>0</v>
      </c>
      <c r="M279" s="1242" t="n">
        <f aca="false">(IF(GasPriceCurve,IF(OBuySell=OCallPut,D279,B279),C279)+K279/1000+L279)/(1-GasTransportPercent)</f>
        <v>4.58711122179671</v>
      </c>
      <c r="N279" s="1239" t="n">
        <f aca="false">IF(Assumptions!$L$30=4,F279,CHOOSE(Assumptions!$L$30,E279,F279,G279))</f>
        <v>0.15</v>
      </c>
      <c r="O279" s="0" t="n">
        <v>0.16625</v>
      </c>
      <c r="P279" s="647" t="n">
        <f aca="false">Assumptions!$L$32*(1+Assumptions!$C$26)^(YEAR(A279)-2000)</f>
        <v>0.129305739663695</v>
      </c>
    </row>
    <row r="280" customFormat="false" ht="12.75" hidden="false" customHeight="false" outlineLevel="0" collapsed="false">
      <c r="A280" s="1237" t="n">
        <f aca="false">'Curve Paste'!BQ280</f>
        <v>44986</v>
      </c>
      <c r="B280" s="1238" t="n">
        <f aca="false">IF(Assumptions!$L$30=4,VLOOKUP($A280,'Henwood Reference'!$E$9:$R$296,14),'Curve Paste'!BR280)</f>
        <v>4.53206588713515</v>
      </c>
      <c r="C280" s="1238" t="n">
        <f aca="false">IF(Assumptions!$L$30=4,VLOOKUP($A280,'Henwood Reference'!$E$9:$R$296,14),'Curve Paste'!BS280)</f>
        <v>4.53206588713515</v>
      </c>
      <c r="D280" s="1238" t="n">
        <f aca="false">IF(Assumptions!$L$30=4,VLOOKUP($A280,'Henwood Reference'!$E$9:$R$296,14),'Curve Paste'!BT280)</f>
        <v>4.53206588713515</v>
      </c>
      <c r="E280" s="1244" t="n">
        <f aca="false">E279</f>
        <v>0.1425</v>
      </c>
      <c r="F280" s="1244" t="n">
        <f aca="false">F279</f>
        <v>0.15</v>
      </c>
      <c r="G280" s="1244" t="n">
        <f aca="false">G279</f>
        <v>0.1575</v>
      </c>
      <c r="H280" s="1239" t="n">
        <f aca="false">I280-$H$4</f>
        <v>-0.07</v>
      </c>
      <c r="I280" s="1239"/>
      <c r="J280" s="1239" t="n">
        <f aca="false">I280+$J$4</f>
        <v>0.07</v>
      </c>
      <c r="K280" s="1243" t="n">
        <f aca="false">K268</f>
        <v>0</v>
      </c>
      <c r="L280" s="1241" t="n">
        <f aca="false">IF(Assumptions!$L$30=4,0,O280+P280)</f>
        <v>0</v>
      </c>
      <c r="M280" s="1242" t="n">
        <f aca="false">(IF(GasPriceCurve,IF(OBuySell=OCallPut,D280,B280),C280)+K280/1000+L280)/(1-GasTransportPercent)</f>
        <v>4.58711122179671</v>
      </c>
      <c r="N280" s="1239" t="n">
        <f aca="false">IF(Assumptions!$L$30=4,F280,CHOOSE(Assumptions!$L$30,E280,F280,G280))</f>
        <v>0.15</v>
      </c>
      <c r="O280" s="0" t="n">
        <v>0.18375</v>
      </c>
      <c r="P280" s="647" t="n">
        <f aca="false">Assumptions!$L$32*(1+Assumptions!$C$26)^(YEAR(A280)-2000)</f>
        <v>0.129305739663695</v>
      </c>
    </row>
    <row r="281" customFormat="false" ht="12.75" hidden="false" customHeight="false" outlineLevel="0" collapsed="false">
      <c r="A281" s="1237" t="n">
        <f aca="false">'Curve Paste'!BQ281</f>
        <v>45017</v>
      </c>
      <c r="B281" s="1238" t="n">
        <f aca="false">IF(Assumptions!$L$30=4,VLOOKUP($A281,'Henwood Reference'!$E$9:$R$296,14),'Curve Paste'!BR281)</f>
        <v>4.53206588713515</v>
      </c>
      <c r="C281" s="1238" t="n">
        <f aca="false">IF(Assumptions!$L$30=4,VLOOKUP($A281,'Henwood Reference'!$E$9:$R$296,14),'Curve Paste'!BS281)</f>
        <v>4.53206588713515</v>
      </c>
      <c r="D281" s="1238" t="n">
        <f aca="false">IF(Assumptions!$L$30=4,VLOOKUP($A281,'Henwood Reference'!$E$9:$R$296,14),'Curve Paste'!BT281)</f>
        <v>4.53206588713515</v>
      </c>
      <c r="E281" s="1244" t="n">
        <f aca="false">E280</f>
        <v>0.1425</v>
      </c>
      <c r="F281" s="1244" t="n">
        <f aca="false">F280</f>
        <v>0.15</v>
      </c>
      <c r="G281" s="1244" t="n">
        <f aca="false">G280</f>
        <v>0.1575</v>
      </c>
      <c r="H281" s="1239" t="n">
        <f aca="false">I281-$H$4</f>
        <v>-0.07</v>
      </c>
      <c r="I281" s="1239"/>
      <c r="J281" s="1239" t="n">
        <f aca="false">I281+$J$4</f>
        <v>0.07</v>
      </c>
      <c r="K281" s="1243" t="n">
        <f aca="false">K269</f>
        <v>0</v>
      </c>
      <c r="L281" s="1241" t="n">
        <f aca="false">IF(Assumptions!$L$30=4,0,O281+P281)</f>
        <v>0</v>
      </c>
      <c r="M281" s="1242" t="n">
        <f aca="false">(IF(GasPriceCurve,IF(OBuySell=OCallPut,D281,B281),C281)+K281/1000+L281)/(1-GasTransportPercent)</f>
        <v>4.58711122179671</v>
      </c>
      <c r="N281" s="1239" t="n">
        <f aca="false">IF(Assumptions!$L$30=4,F281,CHOOSE(Assumptions!$L$30,E281,F281,G281))</f>
        <v>0.15</v>
      </c>
      <c r="O281" s="0" t="n">
        <v>0.16875</v>
      </c>
      <c r="P281" s="647" t="n">
        <f aca="false">Assumptions!$L$32*(1+Assumptions!$C$26)^(YEAR(A281)-2000)</f>
        <v>0.129305739663695</v>
      </c>
    </row>
    <row r="282" customFormat="false" ht="12.75" hidden="false" customHeight="false" outlineLevel="0" collapsed="false">
      <c r="A282" s="1237" t="n">
        <f aca="false">'Curve Paste'!BQ282</f>
        <v>45047</v>
      </c>
      <c r="B282" s="1238" t="n">
        <f aca="false">IF(Assumptions!$L$30=4,VLOOKUP($A282,'Henwood Reference'!$E$9:$R$296,14),'Curve Paste'!BR282)</f>
        <v>4.53206588713515</v>
      </c>
      <c r="C282" s="1238" t="n">
        <f aca="false">IF(Assumptions!$L$30=4,VLOOKUP($A282,'Henwood Reference'!$E$9:$R$296,14),'Curve Paste'!BS282)</f>
        <v>4.53206588713515</v>
      </c>
      <c r="D282" s="1238" t="n">
        <f aca="false">IF(Assumptions!$L$30=4,VLOOKUP($A282,'Henwood Reference'!$E$9:$R$296,14),'Curve Paste'!BT282)</f>
        <v>4.53206588713515</v>
      </c>
      <c r="E282" s="1244" t="n">
        <f aca="false">E281</f>
        <v>0.1425</v>
      </c>
      <c r="F282" s="1244" t="n">
        <f aca="false">F281</f>
        <v>0.15</v>
      </c>
      <c r="G282" s="1244" t="n">
        <f aca="false">G281</f>
        <v>0.1575</v>
      </c>
      <c r="H282" s="1239" t="n">
        <f aca="false">I282-$H$4</f>
        <v>-0.07</v>
      </c>
      <c r="I282" s="1239"/>
      <c r="J282" s="1239" t="n">
        <f aca="false">I282+$J$4</f>
        <v>0.07</v>
      </c>
      <c r="K282" s="1243" t="n">
        <f aca="false">K270</f>
        <v>0</v>
      </c>
      <c r="L282" s="1241" t="n">
        <f aca="false">IF(Assumptions!$L$30=4,0,O282+P282)</f>
        <v>0</v>
      </c>
      <c r="M282" s="1242" t="n">
        <f aca="false">(IF(GasPriceCurve,IF(OBuySell=OCallPut,D282,B282),C282)+K282/1000+L282)/(1-GasTransportPercent)</f>
        <v>4.58711122179671</v>
      </c>
      <c r="N282" s="1239" t="n">
        <f aca="false">IF(Assumptions!$L$30=4,F282,CHOOSE(Assumptions!$L$30,E282,F282,G282))</f>
        <v>0.15</v>
      </c>
      <c r="O282" s="0" t="n">
        <v>0.18375</v>
      </c>
      <c r="P282" s="647" t="n">
        <f aca="false">Assumptions!$L$32*(1+Assumptions!$C$26)^(YEAR(A282)-2000)</f>
        <v>0.129305739663695</v>
      </c>
    </row>
    <row r="283" customFormat="false" ht="12.75" hidden="false" customHeight="false" outlineLevel="0" collapsed="false">
      <c r="A283" s="1237" t="n">
        <f aca="false">'Curve Paste'!BQ283</f>
        <v>45078</v>
      </c>
      <c r="B283" s="1238" t="n">
        <f aca="false">IF(Assumptions!$L$30=4,VLOOKUP($A283,'Henwood Reference'!$E$9:$R$296,14),'Curve Paste'!BR283)</f>
        <v>4.53206588713515</v>
      </c>
      <c r="C283" s="1238" t="n">
        <f aca="false">IF(Assumptions!$L$30=4,VLOOKUP($A283,'Henwood Reference'!$E$9:$R$296,14),'Curve Paste'!BS283)</f>
        <v>4.53206588713515</v>
      </c>
      <c r="D283" s="1238" t="n">
        <f aca="false">IF(Assumptions!$L$30=4,VLOOKUP($A283,'Henwood Reference'!$E$9:$R$296,14),'Curve Paste'!BT283)</f>
        <v>4.53206588713515</v>
      </c>
      <c r="E283" s="1244" t="n">
        <f aca="false">E282</f>
        <v>0.1425</v>
      </c>
      <c r="F283" s="1244" t="n">
        <f aca="false">F282</f>
        <v>0.15</v>
      </c>
      <c r="G283" s="1244" t="n">
        <f aca="false">G282</f>
        <v>0.1575</v>
      </c>
      <c r="H283" s="1239" t="n">
        <f aca="false">I283-$H$4</f>
        <v>-0.07</v>
      </c>
      <c r="I283" s="1239"/>
      <c r="J283" s="1239" t="n">
        <f aca="false">I283+$J$4</f>
        <v>0.07</v>
      </c>
      <c r="K283" s="1243" t="n">
        <f aca="false">K271</f>
        <v>0</v>
      </c>
      <c r="L283" s="1241" t="n">
        <f aca="false">IF(Assumptions!$L$30=4,0,O283+P283)</f>
        <v>0</v>
      </c>
      <c r="M283" s="1242" t="n">
        <f aca="false">(IF(GasPriceCurve,IF(OBuySell=OCallPut,D283,B283),C283)+K283/1000+L283)/(1-GasTransportPercent)</f>
        <v>4.58711122179671</v>
      </c>
      <c r="N283" s="1239" t="n">
        <f aca="false">IF(Assumptions!$L$30=4,F283,CHOOSE(Assumptions!$L$30,E283,F283,G283))</f>
        <v>0.15</v>
      </c>
      <c r="O283" s="0" t="n">
        <v>0.18375</v>
      </c>
      <c r="P283" s="647" t="n">
        <f aca="false">Assumptions!$L$32*(1+Assumptions!$C$26)^(YEAR(A283)-2000)</f>
        <v>0.129305739663695</v>
      </c>
    </row>
    <row r="284" customFormat="false" ht="12.75" hidden="false" customHeight="false" outlineLevel="0" collapsed="false">
      <c r="A284" s="1237" t="n">
        <f aca="false">'Curve Paste'!BQ284</f>
        <v>45108</v>
      </c>
      <c r="B284" s="1238" t="n">
        <f aca="false">IF(Assumptions!$L$30=4,VLOOKUP($A284,'Henwood Reference'!$E$9:$R$296,14),'Curve Paste'!BR284)</f>
        <v>4.53206588713515</v>
      </c>
      <c r="C284" s="1238" t="n">
        <f aca="false">IF(Assumptions!$L$30=4,VLOOKUP($A284,'Henwood Reference'!$E$9:$R$296,14),'Curve Paste'!BS284)</f>
        <v>4.53206588713515</v>
      </c>
      <c r="D284" s="1238" t="n">
        <f aca="false">IF(Assumptions!$L$30=4,VLOOKUP($A284,'Henwood Reference'!$E$9:$R$296,14),'Curve Paste'!BT284)</f>
        <v>4.53206588713515</v>
      </c>
      <c r="E284" s="1244" t="n">
        <f aca="false">E283</f>
        <v>0.1425</v>
      </c>
      <c r="F284" s="1244" t="n">
        <f aca="false">F283</f>
        <v>0.15</v>
      </c>
      <c r="G284" s="1244" t="n">
        <f aca="false">G283</f>
        <v>0.1575</v>
      </c>
      <c r="H284" s="1239" t="n">
        <f aca="false">I284-$H$4</f>
        <v>-0.07</v>
      </c>
      <c r="J284" s="1239" t="n">
        <f aca="false">I284+$J$4</f>
        <v>0.07</v>
      </c>
      <c r="K284" s="1243" t="n">
        <f aca="false">K272</f>
        <v>0</v>
      </c>
      <c r="L284" s="1241" t="n">
        <f aca="false">IF(Assumptions!$L$30=4,0,O284+P284)</f>
        <v>0</v>
      </c>
      <c r="M284" s="1242" t="n">
        <f aca="false">(IF(GasPriceCurve,IF(OBuySell=OCallPut,D284,B284),C284)+K284/1000+L284)/(1-GasTransportPercent)</f>
        <v>4.58711122179671</v>
      </c>
      <c r="N284" s="1239" t="n">
        <f aca="false">IF(Assumptions!$L$30=4,F284,CHOOSE(Assumptions!$L$30,E284,F284,G284))</f>
        <v>0.15</v>
      </c>
      <c r="O284" s="0" t="n">
        <v>0.18375</v>
      </c>
      <c r="P284" s="647" t="n">
        <f aca="false">Assumptions!$L$32*(1+Assumptions!$C$26)^(YEAR(A284)-2000)</f>
        <v>0.129305739663695</v>
      </c>
    </row>
    <row r="285" customFormat="false" ht="12.75" hidden="false" customHeight="false" outlineLevel="0" collapsed="false">
      <c r="A285" s="1237" t="n">
        <f aca="false">'Curve Paste'!BQ285</f>
        <v>45139</v>
      </c>
      <c r="B285" s="1238" t="n">
        <f aca="false">IF(Assumptions!$L$30=4,VLOOKUP($A285,'Henwood Reference'!$E$9:$R$296,14),'Curve Paste'!BR285)</f>
        <v>4.53206588713515</v>
      </c>
      <c r="C285" s="1238" t="n">
        <f aca="false">IF(Assumptions!$L$30=4,VLOOKUP($A285,'Henwood Reference'!$E$9:$R$296,14),'Curve Paste'!BS285)</f>
        <v>4.53206588713515</v>
      </c>
      <c r="D285" s="1238" t="n">
        <f aca="false">IF(Assumptions!$L$30=4,VLOOKUP($A285,'Henwood Reference'!$E$9:$R$296,14),'Curve Paste'!BT285)</f>
        <v>4.53206588713515</v>
      </c>
      <c r="E285" s="1244" t="n">
        <f aca="false">E284</f>
        <v>0.1425</v>
      </c>
      <c r="F285" s="1244" t="n">
        <f aca="false">F284</f>
        <v>0.15</v>
      </c>
      <c r="G285" s="1244" t="n">
        <f aca="false">G284</f>
        <v>0.1575</v>
      </c>
      <c r="H285" s="1239" t="n">
        <f aca="false">I285-$H$4</f>
        <v>-0.07</v>
      </c>
      <c r="J285" s="1239" t="n">
        <f aca="false">I285+$J$4</f>
        <v>0.07</v>
      </c>
      <c r="K285" s="1243" t="n">
        <f aca="false">K273</f>
        <v>0</v>
      </c>
      <c r="L285" s="1241" t="n">
        <f aca="false">IF(Assumptions!$L$30=4,0,O285+P285)</f>
        <v>0</v>
      </c>
      <c r="M285" s="1242" t="n">
        <f aca="false">(IF(GasPriceCurve,IF(OBuySell=OCallPut,D285,B285),C285)+K285/1000+L285)/(1-GasTransportPercent)</f>
        <v>4.58711122179671</v>
      </c>
      <c r="N285" s="1239" t="n">
        <f aca="false">IF(Assumptions!$L$30=4,F285,CHOOSE(Assumptions!$L$30,E285,F285,G285))</f>
        <v>0.15</v>
      </c>
      <c r="O285" s="0" t="n">
        <v>0.18375</v>
      </c>
      <c r="P285" s="647" t="n">
        <f aca="false">Assumptions!$L$32*(1+Assumptions!$C$26)^(YEAR(A285)-2000)</f>
        <v>0.129305739663695</v>
      </c>
    </row>
    <row r="286" customFormat="false" ht="12.75" hidden="false" customHeight="false" outlineLevel="0" collapsed="false">
      <c r="A286" s="1237" t="n">
        <f aca="false">'Curve Paste'!BQ286</f>
        <v>45170</v>
      </c>
      <c r="B286" s="1238" t="n">
        <f aca="false">IF(Assumptions!$L$30=4,VLOOKUP($A286,'Henwood Reference'!$E$9:$R$296,14),'Curve Paste'!BR286)</f>
        <v>4.53206588713515</v>
      </c>
      <c r="C286" s="1238" t="n">
        <f aca="false">IF(Assumptions!$L$30=4,VLOOKUP($A286,'Henwood Reference'!$E$9:$R$296,14),'Curve Paste'!BS286)</f>
        <v>4.53206588713515</v>
      </c>
      <c r="D286" s="1238" t="n">
        <f aca="false">IF(Assumptions!$L$30=4,VLOOKUP($A286,'Henwood Reference'!$E$9:$R$296,14),'Curve Paste'!BT286)</f>
        <v>4.53206588713515</v>
      </c>
      <c r="E286" s="1244" t="n">
        <f aca="false">E285</f>
        <v>0.1425</v>
      </c>
      <c r="F286" s="1244" t="n">
        <f aca="false">F285</f>
        <v>0.15</v>
      </c>
      <c r="G286" s="1244" t="n">
        <f aca="false">G285</f>
        <v>0.1575</v>
      </c>
      <c r="H286" s="1239" t="n">
        <f aca="false">I286-$H$4</f>
        <v>-0.07</v>
      </c>
      <c r="J286" s="1239" t="n">
        <f aca="false">I286+$J$4</f>
        <v>0.07</v>
      </c>
      <c r="K286" s="1243" t="n">
        <f aca="false">K274</f>
        <v>0</v>
      </c>
      <c r="L286" s="1241" t="n">
        <f aca="false">IF(Assumptions!$L$30=4,0,O286+P286)</f>
        <v>0</v>
      </c>
      <c r="M286" s="1242" t="n">
        <f aca="false">(IF(GasPriceCurve,IF(OBuySell=OCallPut,D286,B286),C286)+K286/1000+L286)/(1-GasTransportPercent)</f>
        <v>4.58711122179671</v>
      </c>
      <c r="N286" s="1239" t="n">
        <f aca="false">IF(Assumptions!$L$30=4,F286,CHOOSE(Assumptions!$L$30,E286,F286,G286))</f>
        <v>0.15</v>
      </c>
      <c r="O286" s="0" t="n">
        <v>0.18375</v>
      </c>
      <c r="P286" s="647" t="n">
        <f aca="false">Assumptions!$L$32*(1+Assumptions!$C$26)^(YEAR(A286)-2000)</f>
        <v>0.129305739663695</v>
      </c>
    </row>
    <row r="287" customFormat="false" ht="12.75" hidden="false" customHeight="false" outlineLevel="0" collapsed="false">
      <c r="A287" s="1237" t="n">
        <f aca="false">'Curve Paste'!BQ287</f>
        <v>45200</v>
      </c>
      <c r="B287" s="1238" t="n">
        <f aca="false">IF(Assumptions!$L$30=4,VLOOKUP($A287,'Henwood Reference'!$E$9:$R$296,14),'Curve Paste'!BR287)</f>
        <v>4.53206588713515</v>
      </c>
      <c r="C287" s="1238" t="n">
        <f aca="false">IF(Assumptions!$L$30=4,VLOOKUP($A287,'Henwood Reference'!$E$9:$R$296,14),'Curve Paste'!BS287)</f>
        <v>4.53206588713515</v>
      </c>
      <c r="D287" s="1238" t="n">
        <f aca="false">IF(Assumptions!$L$30=4,VLOOKUP($A287,'Henwood Reference'!$E$9:$R$296,14),'Curve Paste'!BT287)</f>
        <v>4.53206588713515</v>
      </c>
      <c r="E287" s="1244" t="n">
        <f aca="false">E286</f>
        <v>0.1425</v>
      </c>
      <c r="F287" s="1244" t="n">
        <f aca="false">F286</f>
        <v>0.15</v>
      </c>
      <c r="G287" s="1244" t="n">
        <f aca="false">G286</f>
        <v>0.1575</v>
      </c>
      <c r="H287" s="1239" t="n">
        <f aca="false">I287-$H$4</f>
        <v>-0.07</v>
      </c>
      <c r="J287" s="1239" t="n">
        <f aca="false">I287+$J$4</f>
        <v>0.07</v>
      </c>
      <c r="K287" s="1243" t="n">
        <f aca="false">K275</f>
        <v>0</v>
      </c>
      <c r="L287" s="1241" t="n">
        <f aca="false">IF(Assumptions!$L$30=4,0,O287+P287)</f>
        <v>0</v>
      </c>
      <c r="M287" s="1242" t="n">
        <f aca="false">(IF(GasPriceCurve,IF(OBuySell=OCallPut,D287,B287),C287)+K287/1000+L287)/(1-GasTransportPercent)</f>
        <v>4.58711122179671</v>
      </c>
      <c r="N287" s="1239" t="n">
        <f aca="false">IF(Assumptions!$L$30=4,F287,CHOOSE(Assumptions!$L$30,E287,F287,G287))</f>
        <v>0.15</v>
      </c>
      <c r="O287" s="0" t="n">
        <v>0.18375</v>
      </c>
      <c r="P287" s="647" t="n">
        <f aca="false">Assumptions!$L$32*(1+Assumptions!$C$26)^(YEAR(A287)-2000)</f>
        <v>0.129305739663695</v>
      </c>
    </row>
    <row r="288" customFormat="false" ht="12.75" hidden="false" customHeight="false" outlineLevel="0" collapsed="false">
      <c r="A288" s="1237" t="n">
        <f aca="false">'Curve Paste'!BQ288</f>
        <v>45231</v>
      </c>
      <c r="B288" s="1238" t="n">
        <f aca="false">IF(Assumptions!$L$30=4,VLOOKUP($A288,'Henwood Reference'!$E$9:$R$296,14),'Curve Paste'!BR288)</f>
        <v>4.53206588713515</v>
      </c>
      <c r="C288" s="1238" t="n">
        <f aca="false">IF(Assumptions!$L$30=4,VLOOKUP($A288,'Henwood Reference'!$E$9:$R$296,14),'Curve Paste'!BS288)</f>
        <v>4.53206588713515</v>
      </c>
      <c r="D288" s="1238" t="n">
        <f aca="false">IF(Assumptions!$L$30=4,VLOOKUP($A288,'Henwood Reference'!$E$9:$R$296,14),'Curve Paste'!BT288)</f>
        <v>4.53206588713515</v>
      </c>
      <c r="E288" s="1244" t="n">
        <f aca="false">E287</f>
        <v>0.1425</v>
      </c>
      <c r="F288" s="1244" t="n">
        <f aca="false">F287</f>
        <v>0.15</v>
      </c>
      <c r="G288" s="1244" t="n">
        <f aca="false">G287</f>
        <v>0.1575</v>
      </c>
      <c r="H288" s="1239" t="n">
        <f aca="false">I288-$H$4</f>
        <v>-0.07</v>
      </c>
      <c r="J288" s="1239" t="n">
        <f aca="false">I288+$J$4</f>
        <v>0.07</v>
      </c>
      <c r="K288" s="1243" t="n">
        <f aca="false">K276</f>
        <v>0</v>
      </c>
      <c r="L288" s="1241" t="n">
        <f aca="false">IF(Assumptions!$L$30=4,0,O288+P288)</f>
        <v>0</v>
      </c>
      <c r="M288" s="1242" t="n">
        <f aca="false">(IF(GasPriceCurve,IF(OBuySell=OCallPut,D288,B288),C288)+K288/1000+L288)/(1-GasTransportPercent)</f>
        <v>4.58711122179671</v>
      </c>
      <c r="N288" s="1239" t="n">
        <f aca="false">IF(Assumptions!$L$30=4,F288,CHOOSE(Assumptions!$L$30,E288,F288,G288))</f>
        <v>0.15</v>
      </c>
      <c r="O288" s="0" t="n">
        <v>0.18375</v>
      </c>
      <c r="P288" s="647" t="n">
        <f aca="false">Assumptions!$L$32*(1+Assumptions!$C$26)^(YEAR(A288)-2000)</f>
        <v>0.129305739663695</v>
      </c>
    </row>
    <row r="289" customFormat="false" ht="12.75" hidden="false" customHeight="false" outlineLevel="0" collapsed="false">
      <c r="A289" s="1237" t="n">
        <f aca="false">'Curve Paste'!BQ289</f>
        <v>45261</v>
      </c>
      <c r="B289" s="1238" t="n">
        <f aca="false">IF(Assumptions!$L$30=4,VLOOKUP($A289,'Henwood Reference'!$E$9:$R$296,14),'Curve Paste'!BR289)</f>
        <v>4.53206588713515</v>
      </c>
      <c r="C289" s="1238" t="n">
        <f aca="false">IF(Assumptions!$L$30=4,VLOOKUP($A289,'Henwood Reference'!$E$9:$R$296,14),'Curve Paste'!BS289)</f>
        <v>4.53206588713515</v>
      </c>
      <c r="D289" s="1238" t="n">
        <f aca="false">IF(Assumptions!$L$30=4,VLOOKUP($A289,'Henwood Reference'!$E$9:$R$296,14),'Curve Paste'!BT289)</f>
        <v>4.53206588713515</v>
      </c>
      <c r="E289" s="1244" t="n">
        <f aca="false">E288</f>
        <v>0.1425</v>
      </c>
      <c r="F289" s="1244" t="n">
        <f aca="false">F288</f>
        <v>0.15</v>
      </c>
      <c r="G289" s="1244" t="n">
        <f aca="false">G288</f>
        <v>0.1575</v>
      </c>
      <c r="H289" s="1239" t="n">
        <f aca="false">I289-$H$4</f>
        <v>-0.07</v>
      </c>
      <c r="J289" s="1239" t="n">
        <f aca="false">I289+$J$4</f>
        <v>0.07</v>
      </c>
      <c r="K289" s="1243" t="n">
        <f aca="false">K277</f>
        <v>0</v>
      </c>
      <c r="L289" s="1241" t="n">
        <f aca="false">IF(Assumptions!$L$30=4,0,O289+P289)</f>
        <v>0</v>
      </c>
      <c r="M289" s="1242" t="n">
        <f aca="false">(IF(GasPriceCurve,IF(OBuySell=OCallPut,D289,B289),C289)+K289/1000+L289)/(1-GasTransportPercent)</f>
        <v>4.58711122179671</v>
      </c>
      <c r="N289" s="1239" t="n">
        <f aca="false">IF(Assumptions!$L$30=4,F289,CHOOSE(Assumptions!$L$30,E289,F289,G289))</f>
        <v>0.15</v>
      </c>
      <c r="O289" s="0" t="n">
        <v>0.18375</v>
      </c>
      <c r="P289" s="647" t="n">
        <f aca="false">Assumptions!$L$32*(1+Assumptions!$C$26)^(YEAR(A289)-2000)</f>
        <v>0.129305739663695</v>
      </c>
    </row>
  </sheetData>
  <mergeCells count="4">
    <mergeCell ref="B3:G3"/>
    <mergeCell ref="H3:J3"/>
    <mergeCell ref="B4:D4"/>
    <mergeCell ref="E4:G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1997-06-16T14:08:16Z</dcterms:created>
  <dc:creator/>
  <dc:description/>
  <dc:language>en-US</dc:language>
  <cp:lastModifiedBy>wcheng</cp:lastModifiedBy>
  <cp:lastPrinted>2000-04-28T21:38:31Z</cp:lastPrinted>
  <cp:revision>0</cp:revision>
  <dc:subject/>
  <dc:title/>
</cp:coreProperties>
</file>